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garykrause/Downloads/"/>
    </mc:Choice>
  </mc:AlternateContent>
  <bookViews>
    <workbookView xWindow="-37340" yWindow="620" windowWidth="36240" windowHeight="19780" tabRatio="500"/>
  </bookViews>
  <sheets>
    <sheet name="Updated 01Jul2017" sheetId="1" r:id="rId1"/>
    <sheet name="Notes" sheetId="2" r:id="rId2"/>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3" i="2" l="1"/>
  <c r="BS1389" i="1"/>
  <c r="BS1388" i="1"/>
  <c r="BS1387" i="1"/>
  <c r="BS1386" i="1"/>
  <c r="BS1385" i="1"/>
  <c r="BS1384" i="1"/>
  <c r="BS1383" i="1"/>
  <c r="BS1382" i="1"/>
  <c r="BS1381" i="1"/>
  <c r="BS1380" i="1"/>
  <c r="BS1379" i="1"/>
  <c r="BS1378" i="1"/>
  <c r="BS1377" i="1"/>
  <c r="BS1376" i="1"/>
  <c r="BS1375" i="1"/>
  <c r="BS1374" i="1"/>
  <c r="BS1373" i="1"/>
  <c r="BS1372" i="1"/>
  <c r="BS1371" i="1"/>
  <c r="BS1370" i="1"/>
  <c r="BS1369" i="1"/>
  <c r="BS1368" i="1"/>
  <c r="BS1367" i="1"/>
  <c r="BS1366" i="1"/>
  <c r="BS1365" i="1"/>
  <c r="BS1364" i="1"/>
  <c r="BS1363" i="1"/>
  <c r="BS1362" i="1"/>
  <c r="BS1361" i="1"/>
  <c r="BS1360" i="1"/>
  <c r="BS1359" i="1"/>
  <c r="BS1358" i="1"/>
  <c r="BS1357" i="1"/>
  <c r="BS1356" i="1"/>
  <c r="BS1355" i="1"/>
  <c r="BS1354" i="1"/>
  <c r="BS1353" i="1"/>
  <c r="BS1352" i="1"/>
  <c r="BS1351" i="1"/>
  <c r="BS1350" i="1"/>
  <c r="BS1349" i="1"/>
  <c r="BS1348" i="1"/>
  <c r="BS1347" i="1"/>
  <c r="BS1346" i="1"/>
  <c r="BS1345" i="1"/>
  <c r="BS1344" i="1"/>
  <c r="BS1343" i="1"/>
  <c r="BS1342" i="1"/>
  <c r="BS1341" i="1"/>
  <c r="BS1340" i="1"/>
  <c r="BS1339" i="1"/>
  <c r="BS1338" i="1"/>
  <c r="BS1337" i="1"/>
  <c r="BS1336" i="1"/>
  <c r="BS1335" i="1"/>
  <c r="BS1334" i="1"/>
  <c r="BS1333" i="1"/>
  <c r="BS1332" i="1"/>
  <c r="BS1331" i="1"/>
  <c r="BS1330" i="1"/>
  <c r="BS1329" i="1"/>
  <c r="BS1328" i="1"/>
  <c r="BS1327" i="1"/>
  <c r="BS1326" i="1"/>
  <c r="BS1325" i="1"/>
  <c r="BS1324" i="1"/>
  <c r="BS1323" i="1"/>
  <c r="BS1322" i="1"/>
  <c r="BS1321" i="1"/>
  <c r="BS1320" i="1"/>
  <c r="BS1319" i="1"/>
  <c r="BS1318" i="1"/>
  <c r="BS1317" i="1"/>
  <c r="BS1316" i="1"/>
  <c r="BS1315" i="1"/>
  <c r="BS1314" i="1"/>
  <c r="BS1313" i="1"/>
  <c r="BS1312" i="1"/>
  <c r="BS1311" i="1"/>
  <c r="BS1310" i="1"/>
  <c r="BS1309" i="1"/>
  <c r="BS1308" i="1"/>
  <c r="BS1307" i="1"/>
  <c r="BS1306" i="1"/>
  <c r="BS1305" i="1"/>
  <c r="BS1304" i="1"/>
  <c r="BS1303" i="1"/>
  <c r="BS1302" i="1"/>
  <c r="BS1301" i="1"/>
  <c r="BS1300" i="1"/>
  <c r="BS1299" i="1"/>
  <c r="BS1298" i="1"/>
  <c r="BS1297" i="1"/>
  <c r="BS1296" i="1"/>
  <c r="BS1295" i="1"/>
  <c r="BS1294" i="1"/>
  <c r="BS1293" i="1"/>
  <c r="BS1292" i="1"/>
  <c r="BS1291" i="1"/>
  <c r="BS1290" i="1"/>
  <c r="BS1289" i="1"/>
  <c r="BS1288" i="1"/>
  <c r="BS1287" i="1"/>
  <c r="BS1286" i="1"/>
  <c r="BS1285" i="1"/>
  <c r="BS1284" i="1"/>
  <c r="BS1283" i="1"/>
  <c r="BS1282" i="1"/>
  <c r="BS1281" i="1"/>
  <c r="BS1280" i="1"/>
  <c r="BS1279" i="1"/>
  <c r="BS1278" i="1"/>
  <c r="BS1277" i="1"/>
  <c r="BS1276" i="1"/>
  <c r="BS1275" i="1"/>
  <c r="BS1274" i="1"/>
  <c r="BS1273" i="1"/>
  <c r="BS1272" i="1"/>
  <c r="BS1271" i="1"/>
  <c r="BS1270" i="1"/>
  <c r="BS1269" i="1"/>
  <c r="BS1268" i="1"/>
  <c r="BS1267" i="1"/>
  <c r="BS1266" i="1"/>
  <c r="BS1265" i="1"/>
  <c r="BS1264" i="1"/>
  <c r="BS1263" i="1"/>
  <c r="BS1262" i="1"/>
  <c r="BS1261" i="1"/>
  <c r="BS1260" i="1"/>
  <c r="BS1259" i="1"/>
  <c r="BS1258" i="1"/>
  <c r="BS1257" i="1"/>
  <c r="BS1256" i="1"/>
  <c r="BS1255" i="1"/>
  <c r="BS1254" i="1"/>
  <c r="BS1253" i="1"/>
  <c r="BS1252" i="1"/>
  <c r="BS1251" i="1"/>
  <c r="BS1250" i="1"/>
  <c r="BS1249" i="1"/>
  <c r="BS1248" i="1"/>
  <c r="BS1247" i="1"/>
  <c r="BS1246" i="1"/>
  <c r="BS1245" i="1"/>
  <c r="BS1244" i="1"/>
  <c r="BS1243" i="1"/>
  <c r="BS1167" i="1"/>
  <c r="BS1166" i="1"/>
  <c r="BS1165" i="1"/>
  <c r="BS1164" i="1"/>
  <c r="BS1163" i="1"/>
  <c r="BS1162" i="1"/>
  <c r="BS1161" i="1"/>
  <c r="BS1160" i="1"/>
  <c r="BS1159" i="1"/>
  <c r="BS1158" i="1"/>
  <c r="BS1157" i="1"/>
  <c r="BS1156" i="1"/>
  <c r="BS1155" i="1"/>
  <c r="BS1154" i="1"/>
  <c r="BS1153" i="1"/>
  <c r="BS1152" i="1"/>
  <c r="BS1151" i="1"/>
  <c r="BS1150" i="1"/>
  <c r="BS1149" i="1"/>
  <c r="BS1148" i="1"/>
  <c r="BS1147" i="1"/>
  <c r="BS1146" i="1"/>
  <c r="BS1145" i="1"/>
  <c r="BS1144" i="1"/>
  <c r="BS1143" i="1"/>
  <c r="BS1142" i="1"/>
  <c r="BS1141" i="1"/>
  <c r="BS1140" i="1"/>
  <c r="BS1139" i="1"/>
  <c r="BS1138" i="1"/>
  <c r="BS1137" i="1"/>
  <c r="BS1136" i="1"/>
  <c r="BS1135" i="1"/>
  <c r="BS1134" i="1"/>
  <c r="BS1133" i="1"/>
  <c r="BS1132" i="1"/>
  <c r="BS1131" i="1"/>
  <c r="BS1130" i="1"/>
  <c r="BS1129" i="1"/>
  <c r="BS1128" i="1"/>
  <c r="BS1127" i="1"/>
  <c r="BS1126" i="1"/>
  <c r="BS1125" i="1"/>
  <c r="BS1124" i="1"/>
  <c r="BS1123" i="1"/>
  <c r="BS1122" i="1"/>
  <c r="BS1121" i="1"/>
  <c r="BS1120" i="1"/>
  <c r="BS1119" i="1"/>
  <c r="BS1118" i="1"/>
  <c r="BS1117" i="1"/>
  <c r="BS1116" i="1"/>
  <c r="BS1115" i="1"/>
  <c r="BS1114" i="1"/>
  <c r="BS1113" i="1"/>
  <c r="BS1112" i="1"/>
  <c r="BS1111" i="1"/>
  <c r="BS1110" i="1"/>
  <c r="BS1109" i="1"/>
  <c r="BS1108" i="1"/>
  <c r="BS1107" i="1"/>
  <c r="BS1106" i="1"/>
  <c r="BS1105" i="1"/>
  <c r="BS1104" i="1"/>
  <c r="BS1103" i="1"/>
  <c r="BS1102" i="1"/>
  <c r="BS1101" i="1"/>
  <c r="BS1100" i="1"/>
  <c r="BS1099" i="1"/>
  <c r="BS1098" i="1"/>
  <c r="BS1097" i="1"/>
  <c r="BS1096" i="1"/>
  <c r="BS1095" i="1"/>
  <c r="BS1094" i="1"/>
  <c r="BS1093" i="1"/>
  <c r="BS1092" i="1"/>
  <c r="BS1091" i="1"/>
  <c r="BS1090" i="1"/>
  <c r="BS1089" i="1"/>
  <c r="BS1088" i="1"/>
  <c r="BS1087" i="1"/>
  <c r="BS1086" i="1"/>
  <c r="BS1085" i="1"/>
  <c r="BS1084" i="1"/>
  <c r="BS1083" i="1"/>
  <c r="BS1082" i="1"/>
  <c r="BS1081" i="1"/>
  <c r="BS1080" i="1"/>
  <c r="BS1079" i="1"/>
  <c r="BS1078" i="1"/>
  <c r="BS1077" i="1"/>
  <c r="BS1076" i="1"/>
  <c r="BS1075" i="1"/>
  <c r="BS1074" i="1"/>
  <c r="BS1073" i="1"/>
  <c r="BS1072" i="1"/>
  <c r="BS1071" i="1"/>
  <c r="BS1070" i="1"/>
  <c r="BS1069" i="1"/>
  <c r="BS1068" i="1"/>
  <c r="BS1067" i="1"/>
  <c r="BS1066" i="1"/>
  <c r="BS1065" i="1"/>
  <c r="BS1064" i="1"/>
  <c r="BS1063" i="1"/>
  <c r="BS1062" i="1"/>
  <c r="BS1061" i="1"/>
  <c r="BS1060" i="1"/>
  <c r="BS1059" i="1"/>
  <c r="BS1058" i="1"/>
  <c r="BS1057" i="1"/>
  <c r="BS1056" i="1"/>
  <c r="BS1055" i="1"/>
  <c r="BS1054" i="1"/>
  <c r="BS1053" i="1"/>
  <c r="BS1052" i="1"/>
  <c r="BS1051" i="1"/>
  <c r="BS1050" i="1"/>
  <c r="BS1049" i="1"/>
  <c r="BS1048" i="1"/>
  <c r="BS1047" i="1"/>
  <c r="BS1046" i="1"/>
  <c r="BS1045" i="1"/>
  <c r="BS1044" i="1"/>
  <c r="BS1043" i="1"/>
  <c r="BS1042" i="1"/>
  <c r="BS1041" i="1"/>
  <c r="BS1040" i="1"/>
  <c r="BS1039" i="1"/>
  <c r="BS1038" i="1"/>
  <c r="BS1037" i="1"/>
  <c r="BS1036" i="1"/>
  <c r="BS1035" i="1"/>
  <c r="BS1034" i="1"/>
  <c r="BS1033" i="1"/>
  <c r="BS1032" i="1"/>
  <c r="BS1031" i="1"/>
  <c r="BS1030" i="1"/>
  <c r="BS1029" i="1"/>
  <c r="BS1028" i="1"/>
  <c r="BS1027" i="1"/>
  <c r="BS1026" i="1"/>
  <c r="BS1025" i="1"/>
  <c r="BS1024" i="1"/>
  <c r="BS1023" i="1"/>
  <c r="BS1022" i="1"/>
  <c r="BS1021" i="1"/>
  <c r="BS1019" i="1"/>
  <c r="BS1018" i="1"/>
  <c r="BS1017" i="1"/>
  <c r="BS1016" i="1"/>
  <c r="BS1015" i="1"/>
  <c r="BS1014" i="1"/>
  <c r="BS1013" i="1"/>
  <c r="BS1012" i="1"/>
  <c r="BS1011" i="1"/>
  <c r="BS1010" i="1"/>
  <c r="BS1009" i="1"/>
  <c r="BS1008" i="1"/>
  <c r="BS1007" i="1"/>
  <c r="BS1006" i="1"/>
  <c r="BS1005" i="1"/>
  <c r="BS1004" i="1"/>
  <c r="BS1003" i="1"/>
  <c r="BS1002" i="1"/>
  <c r="BS1001" i="1"/>
  <c r="BS1000" i="1"/>
  <c r="BS999" i="1"/>
  <c r="BS998" i="1"/>
  <c r="BS997" i="1"/>
  <c r="BS996" i="1"/>
  <c r="BS995" i="1"/>
  <c r="BS994" i="1"/>
  <c r="BS993" i="1"/>
  <c r="BS992" i="1"/>
  <c r="BS991" i="1"/>
  <c r="BS990" i="1"/>
  <c r="BS989" i="1"/>
  <c r="BS988" i="1"/>
  <c r="BS987" i="1"/>
  <c r="BS986" i="1"/>
  <c r="BS985" i="1"/>
  <c r="BS984" i="1"/>
  <c r="BS983" i="1"/>
  <c r="BS982" i="1"/>
  <c r="BS981" i="1"/>
  <c r="BS980" i="1"/>
  <c r="BS979" i="1"/>
  <c r="BS978" i="1"/>
  <c r="BS977" i="1"/>
  <c r="BS976" i="1"/>
  <c r="BS975" i="1"/>
  <c r="BS974" i="1"/>
  <c r="BS973" i="1"/>
  <c r="BS972" i="1"/>
  <c r="BS971" i="1"/>
  <c r="BS970" i="1"/>
  <c r="BS969" i="1"/>
  <c r="BS968" i="1"/>
  <c r="BS967" i="1"/>
  <c r="BS966" i="1"/>
  <c r="BS965" i="1"/>
  <c r="BS964" i="1"/>
  <c r="BS963" i="1"/>
  <c r="BS962" i="1"/>
  <c r="BS961" i="1"/>
  <c r="BS960" i="1"/>
  <c r="BS959" i="1"/>
  <c r="BS958" i="1"/>
  <c r="BS957" i="1"/>
  <c r="BS956" i="1"/>
  <c r="BS955" i="1"/>
  <c r="BS954" i="1"/>
  <c r="BS953" i="1"/>
  <c r="BS952" i="1"/>
  <c r="BS951" i="1"/>
  <c r="BS950" i="1"/>
  <c r="BS949" i="1"/>
  <c r="BS948" i="1"/>
  <c r="BS947" i="1"/>
  <c r="BS946" i="1"/>
  <c r="BS945" i="1"/>
  <c r="BS944" i="1"/>
  <c r="BS943" i="1"/>
  <c r="BS942" i="1"/>
  <c r="BS941" i="1"/>
  <c r="BS940" i="1"/>
  <c r="BS939" i="1"/>
  <c r="BS937" i="1"/>
  <c r="BS936" i="1"/>
  <c r="BS935" i="1"/>
  <c r="BS934" i="1"/>
  <c r="BS933" i="1"/>
  <c r="BS932" i="1"/>
  <c r="BS931" i="1"/>
  <c r="BS930" i="1"/>
  <c r="BS929" i="1"/>
  <c r="BS928" i="1"/>
  <c r="BS927" i="1"/>
  <c r="BS924" i="1"/>
  <c r="BS923" i="1"/>
  <c r="BS922" i="1"/>
  <c r="BS921" i="1"/>
  <c r="BS920" i="1"/>
  <c r="BS919" i="1"/>
  <c r="BS918" i="1"/>
  <c r="BS917" i="1"/>
  <c r="BS916" i="1"/>
  <c r="BS915" i="1"/>
  <c r="BS914" i="1"/>
  <c r="BS913" i="1"/>
  <c r="BS911" i="1"/>
  <c r="BS910" i="1"/>
  <c r="BS909" i="1"/>
  <c r="BS908" i="1"/>
  <c r="BS907" i="1"/>
  <c r="BS906" i="1"/>
  <c r="BS905" i="1"/>
  <c r="BS904" i="1"/>
  <c r="BS903" i="1"/>
  <c r="BS902" i="1"/>
  <c r="BS901" i="1"/>
  <c r="BS900" i="1"/>
  <c r="BS899" i="1"/>
  <c r="BS898" i="1"/>
  <c r="BS897" i="1"/>
  <c r="BS896" i="1"/>
  <c r="BS895" i="1"/>
  <c r="BS894" i="1"/>
  <c r="BS893" i="1"/>
  <c r="BS892" i="1"/>
  <c r="BS891" i="1"/>
  <c r="BS890" i="1"/>
  <c r="BS889" i="1"/>
  <c r="BS888" i="1"/>
  <c r="BS887" i="1"/>
  <c r="BS886" i="1"/>
  <c r="BS885" i="1"/>
  <c r="BS884" i="1"/>
  <c r="BS883" i="1"/>
  <c r="BS882" i="1"/>
  <c r="BS881" i="1"/>
  <c r="BS880" i="1"/>
  <c r="BS879" i="1"/>
  <c r="BS878" i="1"/>
  <c r="BS877" i="1"/>
  <c r="BS876" i="1"/>
  <c r="BS875" i="1"/>
  <c r="BS874" i="1"/>
  <c r="BS873" i="1"/>
  <c r="BS872" i="1"/>
  <c r="BS871" i="1"/>
  <c r="BS870" i="1"/>
  <c r="BS869" i="1"/>
  <c r="BS868" i="1"/>
  <c r="BS867" i="1"/>
  <c r="BS866" i="1"/>
  <c r="BS865" i="1"/>
  <c r="BS864" i="1"/>
  <c r="BS863" i="1"/>
  <c r="BS862" i="1"/>
  <c r="BS861" i="1"/>
  <c r="BS860" i="1"/>
  <c r="BS859" i="1"/>
  <c r="BS858" i="1"/>
  <c r="BS857" i="1"/>
  <c r="BS856" i="1"/>
  <c r="BS855" i="1"/>
  <c r="BS854" i="1"/>
  <c r="BS853" i="1"/>
  <c r="BS852" i="1"/>
  <c r="BS851" i="1"/>
  <c r="BS850" i="1"/>
  <c r="BS849" i="1"/>
  <c r="BS848" i="1"/>
  <c r="BS847" i="1"/>
  <c r="BS846" i="1"/>
  <c r="BS845" i="1"/>
  <c r="BS844" i="1"/>
  <c r="BS843" i="1"/>
  <c r="BS842" i="1"/>
  <c r="BS841" i="1"/>
  <c r="BS840" i="1"/>
  <c r="BS839" i="1"/>
  <c r="BS838" i="1"/>
  <c r="BS837" i="1"/>
  <c r="BS836" i="1"/>
  <c r="BS835" i="1"/>
  <c r="BS834" i="1"/>
  <c r="BS833" i="1"/>
  <c r="BS832" i="1"/>
  <c r="BS831" i="1"/>
  <c r="BS830" i="1"/>
  <c r="BS829" i="1"/>
  <c r="BS828" i="1"/>
  <c r="BS827" i="1"/>
  <c r="BS826" i="1"/>
  <c r="BS825" i="1"/>
  <c r="BS824" i="1"/>
  <c r="BS823" i="1"/>
  <c r="BS822" i="1"/>
  <c r="BS821" i="1"/>
  <c r="BS820" i="1"/>
  <c r="BS819" i="1"/>
  <c r="BS818" i="1"/>
  <c r="BS817" i="1"/>
  <c r="BS816" i="1"/>
  <c r="BS815" i="1"/>
  <c r="BS814" i="1"/>
  <c r="BS813" i="1"/>
  <c r="BS812" i="1"/>
  <c r="BS811" i="1"/>
  <c r="BS810" i="1"/>
  <c r="BS809" i="1"/>
  <c r="BS808" i="1"/>
  <c r="BS807" i="1"/>
  <c r="BS806" i="1"/>
  <c r="BS805" i="1"/>
  <c r="BS804" i="1"/>
  <c r="BS803" i="1"/>
  <c r="BS802" i="1"/>
  <c r="BS801" i="1"/>
  <c r="BS800" i="1"/>
  <c r="BS799" i="1"/>
  <c r="BS798" i="1"/>
  <c r="BS797" i="1"/>
  <c r="BS796" i="1"/>
  <c r="BS795" i="1"/>
  <c r="BS794" i="1"/>
  <c r="BS793" i="1"/>
  <c r="BS792" i="1"/>
  <c r="BS791" i="1"/>
  <c r="BS790" i="1"/>
  <c r="BS789" i="1"/>
  <c r="BS788" i="1"/>
  <c r="BS787" i="1"/>
  <c r="BS786" i="1"/>
  <c r="BS785" i="1"/>
  <c r="BS784" i="1"/>
  <c r="BS783" i="1"/>
  <c r="BS782" i="1"/>
  <c r="BS779" i="1"/>
  <c r="BS778" i="1"/>
  <c r="BS777" i="1"/>
  <c r="BS776" i="1"/>
  <c r="BS775" i="1"/>
  <c r="BS774" i="1"/>
  <c r="BS773" i="1"/>
  <c r="BS772" i="1"/>
  <c r="BS771" i="1"/>
  <c r="BS770" i="1"/>
  <c r="BS769" i="1"/>
  <c r="BS767" i="1"/>
  <c r="BS766" i="1"/>
  <c r="BS765" i="1"/>
  <c r="BS764" i="1"/>
  <c r="BS763" i="1"/>
  <c r="BS762" i="1"/>
  <c r="BS761" i="1"/>
  <c r="BS760" i="1"/>
  <c r="BS759" i="1"/>
  <c r="BS758" i="1"/>
  <c r="BS757" i="1"/>
  <c r="BS756" i="1"/>
  <c r="BS755" i="1"/>
  <c r="BS754" i="1"/>
  <c r="BS753" i="1"/>
  <c r="BS752" i="1"/>
  <c r="BS751" i="1"/>
  <c r="BS750" i="1"/>
  <c r="BS749" i="1"/>
  <c r="BS748" i="1"/>
  <c r="BS747" i="1"/>
  <c r="BS746" i="1"/>
  <c r="BS745" i="1"/>
  <c r="BS744" i="1"/>
  <c r="BS743" i="1"/>
  <c r="BS742" i="1"/>
  <c r="BS741" i="1"/>
  <c r="BS740" i="1"/>
  <c r="BS739" i="1"/>
  <c r="BS737" i="1"/>
  <c r="BS736" i="1"/>
  <c r="BS735" i="1"/>
  <c r="BS734" i="1"/>
  <c r="BS733" i="1"/>
  <c r="BS732" i="1"/>
  <c r="BS731" i="1"/>
  <c r="BS730" i="1"/>
  <c r="BS729" i="1"/>
  <c r="BS728" i="1"/>
  <c r="BS727" i="1"/>
  <c r="BS725" i="1"/>
  <c r="BS724" i="1"/>
  <c r="BS723" i="1"/>
  <c r="BS722" i="1"/>
  <c r="BS721" i="1"/>
  <c r="BS720" i="1"/>
  <c r="BS719" i="1"/>
  <c r="BS718" i="1"/>
  <c r="BS717" i="1"/>
  <c r="BS716" i="1"/>
  <c r="BS715" i="1"/>
  <c r="BS714" i="1"/>
  <c r="BS713" i="1"/>
  <c r="BS712" i="1"/>
  <c r="BS711" i="1"/>
  <c r="BS710" i="1"/>
  <c r="BS709" i="1"/>
  <c r="BS708" i="1"/>
  <c r="BS707" i="1"/>
  <c r="BS706" i="1"/>
  <c r="BS705" i="1"/>
  <c r="BS704" i="1"/>
  <c r="BS703" i="1"/>
  <c r="BS702" i="1"/>
  <c r="BS701" i="1"/>
  <c r="BS700" i="1"/>
  <c r="BS699" i="1"/>
  <c r="BS698" i="1"/>
  <c r="BS697" i="1"/>
  <c r="BS696" i="1"/>
  <c r="BS695" i="1"/>
  <c r="BS694" i="1"/>
  <c r="BS693" i="1"/>
  <c r="BS692" i="1"/>
  <c r="BS691" i="1"/>
  <c r="BS690" i="1"/>
  <c r="BS689" i="1"/>
  <c r="BS688" i="1"/>
  <c r="BS687" i="1"/>
  <c r="BS686" i="1"/>
  <c r="BS685" i="1"/>
  <c r="BS684" i="1"/>
  <c r="BS683" i="1"/>
  <c r="BS682" i="1"/>
  <c r="BS681" i="1"/>
  <c r="BS680" i="1"/>
  <c r="BS679" i="1"/>
  <c r="BS678" i="1"/>
  <c r="BS677" i="1"/>
  <c r="BS676" i="1"/>
  <c r="BS675" i="1"/>
  <c r="BS674" i="1"/>
  <c r="BS673" i="1"/>
  <c r="BS672" i="1"/>
  <c r="BS670" i="1"/>
  <c r="BS669" i="1"/>
  <c r="BS668" i="1"/>
  <c r="BS667" i="1"/>
  <c r="BS666" i="1"/>
  <c r="BS665" i="1"/>
  <c r="BS664" i="1"/>
  <c r="BS663" i="1"/>
  <c r="BS658" i="1"/>
  <c r="BS657" i="1"/>
  <c r="BS656" i="1"/>
  <c r="BS647" i="1"/>
  <c r="BS644" i="1"/>
  <c r="BS643" i="1"/>
  <c r="BS642" i="1"/>
  <c r="BS641" i="1"/>
  <c r="BS640" i="1"/>
  <c r="BS639" i="1"/>
  <c r="BS638" i="1"/>
  <c r="BS637" i="1"/>
  <c r="BS636" i="1"/>
  <c r="BS635" i="1"/>
  <c r="BS634" i="1"/>
  <c r="BS633" i="1"/>
  <c r="BS632" i="1"/>
  <c r="BS631" i="1"/>
  <c r="BS630" i="1"/>
  <c r="BS629" i="1"/>
  <c r="BS628" i="1"/>
  <c r="BS627" i="1"/>
  <c r="BS626" i="1"/>
  <c r="BS625" i="1"/>
  <c r="BS624" i="1"/>
  <c r="BS623" i="1"/>
  <c r="BS622" i="1"/>
  <c r="BS621" i="1"/>
  <c r="BS620" i="1"/>
  <c r="BS619" i="1"/>
  <c r="BS618" i="1"/>
  <c r="BS617" i="1"/>
  <c r="BS616" i="1"/>
  <c r="BS615" i="1"/>
  <c r="BS614" i="1"/>
  <c r="BS613" i="1"/>
  <c r="BS612" i="1"/>
  <c r="BS611" i="1"/>
  <c r="BS610" i="1"/>
  <c r="BS609" i="1"/>
  <c r="BS608" i="1"/>
  <c r="BS607" i="1"/>
  <c r="BS606" i="1"/>
  <c r="BS605" i="1"/>
  <c r="BS604" i="1"/>
  <c r="BS603" i="1"/>
  <c r="BS602" i="1"/>
  <c r="BS601" i="1"/>
  <c r="BS600" i="1"/>
  <c r="BS599" i="1"/>
  <c r="BS598" i="1"/>
  <c r="BS597" i="1"/>
  <c r="BS596" i="1"/>
  <c r="BS595" i="1"/>
  <c r="BS594" i="1"/>
  <c r="BS593" i="1"/>
  <c r="BS592" i="1"/>
  <c r="BS591" i="1"/>
  <c r="BS590" i="1"/>
  <c r="BS589" i="1"/>
  <c r="BS588" i="1"/>
  <c r="BS587" i="1"/>
  <c r="BS586" i="1"/>
  <c r="BS585" i="1"/>
  <c r="BS584" i="1"/>
  <c r="BS583" i="1"/>
  <c r="BS582" i="1"/>
  <c r="BS581" i="1"/>
  <c r="BS580" i="1"/>
  <c r="BS579" i="1"/>
  <c r="BS578" i="1"/>
  <c r="BS577" i="1"/>
  <c r="BS576" i="1"/>
  <c r="BS575" i="1"/>
  <c r="BS574" i="1"/>
  <c r="BS573" i="1"/>
  <c r="BS572" i="1"/>
  <c r="BS571" i="1"/>
  <c r="BS570" i="1"/>
  <c r="BS569" i="1"/>
  <c r="BS568" i="1"/>
  <c r="BS567" i="1"/>
  <c r="BS566" i="1"/>
  <c r="BS565" i="1"/>
  <c r="BS564" i="1"/>
  <c r="BS563" i="1"/>
  <c r="BS562" i="1"/>
  <c r="BS561" i="1"/>
  <c r="BS560" i="1"/>
  <c r="BS559" i="1"/>
  <c r="BS558" i="1"/>
  <c r="BS557" i="1"/>
  <c r="BS556" i="1"/>
  <c r="BS555" i="1"/>
  <c r="BS554" i="1"/>
  <c r="BS553" i="1"/>
  <c r="BS552" i="1"/>
  <c r="BS551" i="1"/>
  <c r="BS550" i="1"/>
  <c r="BS549" i="1"/>
  <c r="BS548" i="1"/>
  <c r="BS547" i="1"/>
  <c r="BS546" i="1"/>
  <c r="BS545" i="1"/>
  <c r="BS544" i="1"/>
  <c r="BS543" i="1"/>
  <c r="BS542" i="1"/>
  <c r="BS541" i="1"/>
  <c r="BS540" i="1"/>
  <c r="BS539" i="1"/>
  <c r="BS538" i="1"/>
  <c r="BS537" i="1"/>
  <c r="BS536" i="1"/>
  <c r="BS535" i="1"/>
  <c r="BS534" i="1"/>
  <c r="BS533" i="1"/>
  <c r="BS532" i="1"/>
  <c r="BS531" i="1"/>
  <c r="BS530" i="1"/>
  <c r="BS529" i="1"/>
  <c r="BS528" i="1"/>
  <c r="BS527" i="1"/>
  <c r="BS526" i="1"/>
  <c r="BS525" i="1"/>
  <c r="BS524" i="1"/>
  <c r="BS523" i="1"/>
  <c r="BS522" i="1"/>
  <c r="BS521" i="1"/>
  <c r="BS520" i="1"/>
  <c r="BS519" i="1"/>
  <c r="BS518" i="1"/>
  <c r="BS517" i="1"/>
  <c r="BS516" i="1"/>
  <c r="BS515" i="1"/>
  <c r="BS514" i="1"/>
  <c r="BS513" i="1"/>
  <c r="BS512" i="1"/>
  <c r="BS511" i="1"/>
  <c r="BS510" i="1"/>
  <c r="BS509" i="1"/>
  <c r="BS508" i="1"/>
  <c r="BS507" i="1"/>
  <c r="BS506" i="1"/>
  <c r="BS505" i="1"/>
  <c r="BS504" i="1"/>
  <c r="BS503" i="1"/>
  <c r="BS502" i="1"/>
  <c r="BS501" i="1"/>
  <c r="BS500" i="1"/>
  <c r="BS499" i="1"/>
  <c r="BS498" i="1"/>
  <c r="BS497" i="1"/>
  <c r="BS496" i="1"/>
  <c r="BS495" i="1"/>
  <c r="BS494" i="1"/>
  <c r="BS493" i="1"/>
  <c r="BS492" i="1"/>
  <c r="BS491" i="1"/>
  <c r="BS490" i="1"/>
  <c r="BS489" i="1"/>
  <c r="BS488" i="1"/>
  <c r="BS487" i="1"/>
  <c r="BS486" i="1"/>
  <c r="BS485" i="1"/>
  <c r="BS484" i="1"/>
  <c r="BS483" i="1"/>
  <c r="BS482" i="1"/>
  <c r="BS481" i="1"/>
  <c r="BS480" i="1"/>
  <c r="BS479" i="1"/>
  <c r="BS478" i="1"/>
  <c r="BS477" i="1"/>
  <c r="BS476" i="1"/>
  <c r="BS475" i="1"/>
  <c r="BS474" i="1"/>
  <c r="BS473" i="1"/>
  <c r="BS472" i="1"/>
  <c r="BS471" i="1"/>
  <c r="BS470" i="1"/>
  <c r="BS469" i="1"/>
  <c r="BS468" i="1"/>
  <c r="BS467" i="1"/>
  <c r="BS466" i="1"/>
  <c r="BS465" i="1"/>
  <c r="BS464" i="1"/>
  <c r="BS463" i="1"/>
  <c r="BS462" i="1"/>
  <c r="BS461" i="1"/>
  <c r="BS460" i="1"/>
  <c r="BS459" i="1"/>
  <c r="BS458" i="1"/>
  <c r="BS457" i="1"/>
  <c r="BS456" i="1"/>
  <c r="BS455" i="1"/>
  <c r="BS454" i="1"/>
  <c r="BS453" i="1"/>
  <c r="BS452" i="1"/>
  <c r="BS451" i="1"/>
  <c r="BS450" i="1"/>
  <c r="BS449" i="1"/>
  <c r="BS448" i="1"/>
  <c r="BS447" i="1"/>
  <c r="BS446" i="1"/>
  <c r="BS445" i="1"/>
  <c r="BS444" i="1"/>
  <c r="BS443" i="1"/>
  <c r="BS442" i="1"/>
  <c r="BS441" i="1"/>
  <c r="BS440" i="1"/>
  <c r="BS439" i="1"/>
  <c r="BS438" i="1"/>
  <c r="BS437" i="1"/>
  <c r="BS436" i="1"/>
  <c r="BS435" i="1"/>
  <c r="BS434" i="1"/>
  <c r="BS433" i="1"/>
  <c r="BS432" i="1"/>
  <c r="BS431" i="1"/>
  <c r="BS430" i="1"/>
  <c r="BS429" i="1"/>
  <c r="BS428" i="1"/>
  <c r="BS427" i="1"/>
  <c r="BS426" i="1"/>
  <c r="BS425" i="1"/>
  <c r="BS424" i="1"/>
  <c r="BS423" i="1"/>
  <c r="BS422" i="1"/>
  <c r="BS421" i="1"/>
  <c r="BS420" i="1"/>
  <c r="BS419" i="1"/>
  <c r="BS418" i="1"/>
  <c r="BS417" i="1"/>
  <c r="BS416" i="1"/>
  <c r="BS415" i="1"/>
  <c r="BS414" i="1"/>
  <c r="BS413" i="1"/>
  <c r="BS412" i="1"/>
  <c r="BS411" i="1"/>
  <c r="BS410" i="1"/>
  <c r="BS409" i="1"/>
  <c r="BS408" i="1"/>
  <c r="BS407" i="1"/>
  <c r="BS406" i="1"/>
  <c r="BS405" i="1"/>
  <c r="BS404" i="1"/>
  <c r="BS403" i="1"/>
  <c r="BS402" i="1"/>
  <c r="BS401" i="1"/>
  <c r="BS400" i="1"/>
  <c r="BS399" i="1"/>
  <c r="BS398" i="1"/>
  <c r="BS397" i="1"/>
  <c r="BS396" i="1"/>
  <c r="BS395" i="1"/>
  <c r="BS394" i="1"/>
  <c r="BS393" i="1"/>
  <c r="BS392" i="1"/>
  <c r="BS391" i="1"/>
  <c r="BS390" i="1"/>
  <c r="BS389" i="1"/>
  <c r="BS388" i="1"/>
  <c r="BS387" i="1"/>
  <c r="BS386" i="1"/>
  <c r="BS385" i="1"/>
  <c r="BS384" i="1"/>
  <c r="BS383" i="1"/>
  <c r="BS382" i="1"/>
  <c r="BS381" i="1"/>
  <c r="BS380" i="1"/>
  <c r="BS379" i="1"/>
  <c r="BS378" i="1"/>
  <c r="BS377" i="1"/>
  <c r="BS376" i="1"/>
  <c r="BS375" i="1"/>
  <c r="BS374" i="1"/>
  <c r="BS373" i="1"/>
  <c r="BS372" i="1"/>
  <c r="BS371" i="1"/>
  <c r="BS370" i="1"/>
  <c r="BS369" i="1"/>
  <c r="BS368" i="1"/>
  <c r="BS367" i="1"/>
  <c r="BS366" i="1"/>
  <c r="BS365" i="1"/>
  <c r="BS364" i="1"/>
  <c r="BS363" i="1"/>
  <c r="BS362" i="1"/>
  <c r="BS361" i="1"/>
  <c r="BS360" i="1"/>
  <c r="BS359" i="1"/>
  <c r="BS358" i="1"/>
  <c r="BS357" i="1"/>
  <c r="BS356" i="1"/>
  <c r="BS355" i="1"/>
  <c r="BS354" i="1"/>
  <c r="BS353" i="1"/>
  <c r="BS352" i="1"/>
  <c r="BS351" i="1"/>
  <c r="BS350" i="1"/>
  <c r="BS349" i="1"/>
  <c r="BS348" i="1"/>
  <c r="BS347" i="1"/>
  <c r="BS346" i="1"/>
  <c r="BS345" i="1"/>
  <c r="BS344" i="1"/>
  <c r="BS343" i="1"/>
  <c r="BS342" i="1"/>
  <c r="BS341" i="1"/>
  <c r="BS340" i="1"/>
  <c r="BS339" i="1"/>
  <c r="BS338" i="1"/>
  <c r="BS337" i="1"/>
  <c r="BS336" i="1"/>
  <c r="BS335" i="1"/>
  <c r="BS334" i="1"/>
  <c r="BS333" i="1"/>
  <c r="BS332" i="1"/>
  <c r="BS331" i="1"/>
  <c r="BS330" i="1"/>
  <c r="BS329" i="1"/>
  <c r="BS328" i="1"/>
  <c r="BS327" i="1"/>
  <c r="BS326" i="1"/>
  <c r="BS325" i="1"/>
  <c r="BS324" i="1"/>
  <c r="BS323" i="1"/>
  <c r="BS322" i="1"/>
  <c r="BS321" i="1"/>
  <c r="BS320" i="1"/>
  <c r="BS319" i="1"/>
  <c r="BS318" i="1"/>
  <c r="BS317" i="1"/>
  <c r="BS316" i="1"/>
  <c r="BS315" i="1"/>
  <c r="BS314" i="1"/>
  <c r="BS313" i="1"/>
  <c r="BS312" i="1"/>
  <c r="BS311" i="1"/>
  <c r="BS310" i="1"/>
  <c r="BS309" i="1"/>
  <c r="BS308" i="1"/>
  <c r="BS307" i="1"/>
  <c r="BS306" i="1"/>
  <c r="BS305" i="1"/>
  <c r="BS304" i="1"/>
  <c r="BS303" i="1"/>
  <c r="BS302" i="1"/>
  <c r="BS301" i="1"/>
  <c r="BS300" i="1"/>
  <c r="BS299" i="1"/>
  <c r="BS298" i="1"/>
  <c r="BS297" i="1"/>
  <c r="BS296" i="1"/>
  <c r="BS295" i="1"/>
  <c r="BS294" i="1"/>
  <c r="BS293" i="1"/>
  <c r="BS292" i="1"/>
  <c r="BS291" i="1"/>
  <c r="BS290" i="1"/>
  <c r="BS289" i="1"/>
  <c r="BS288" i="1"/>
  <c r="BS287" i="1"/>
  <c r="BS286" i="1"/>
  <c r="BS285" i="1"/>
  <c r="BS284" i="1"/>
  <c r="BS283" i="1"/>
  <c r="BS282" i="1"/>
  <c r="BS281" i="1"/>
  <c r="BS280" i="1"/>
  <c r="BS279" i="1"/>
  <c r="BS278" i="1"/>
  <c r="BS277" i="1"/>
  <c r="BS276" i="1"/>
  <c r="BS275" i="1"/>
  <c r="BS274" i="1"/>
  <c r="BS273" i="1"/>
  <c r="BS272" i="1"/>
  <c r="BS271" i="1"/>
  <c r="BS270" i="1"/>
  <c r="BS269" i="1"/>
  <c r="BS268" i="1"/>
  <c r="BS267" i="1"/>
  <c r="BS266" i="1"/>
  <c r="BS265" i="1"/>
  <c r="BS264" i="1"/>
  <c r="BS263" i="1"/>
  <c r="BS262" i="1"/>
  <c r="BS261" i="1"/>
  <c r="BS260" i="1"/>
  <c r="BS259" i="1"/>
  <c r="BS258" i="1"/>
  <c r="BS257" i="1"/>
  <c r="BS256" i="1"/>
  <c r="BS255" i="1"/>
  <c r="BS254" i="1"/>
  <c r="BS253" i="1"/>
  <c r="BS252" i="1"/>
  <c r="BS251" i="1"/>
  <c r="BS250" i="1"/>
  <c r="BS249" i="1"/>
  <c r="BS248" i="1"/>
  <c r="BS247" i="1"/>
  <c r="BS246" i="1"/>
  <c r="BS245" i="1"/>
  <c r="BS244" i="1"/>
  <c r="BS243" i="1"/>
  <c r="BS242" i="1"/>
  <c r="BS241" i="1"/>
  <c r="BS240" i="1"/>
  <c r="BS239" i="1"/>
  <c r="BS238" i="1"/>
  <c r="BS237" i="1"/>
  <c r="BS236" i="1"/>
  <c r="BS235" i="1"/>
  <c r="BS234" i="1"/>
  <c r="BS233" i="1"/>
  <c r="BS232" i="1"/>
  <c r="BS231" i="1"/>
  <c r="BS230" i="1"/>
  <c r="BS229" i="1"/>
  <c r="BS228" i="1"/>
  <c r="BS227" i="1"/>
  <c r="BS226" i="1"/>
  <c r="BS225" i="1"/>
  <c r="BS224" i="1"/>
  <c r="BS223" i="1"/>
  <c r="BS222" i="1"/>
  <c r="BS221" i="1"/>
  <c r="BS220" i="1"/>
  <c r="BS219" i="1"/>
  <c r="BS218" i="1"/>
  <c r="BS217" i="1"/>
  <c r="BS216" i="1"/>
  <c r="BS215" i="1"/>
  <c r="BS214" i="1"/>
  <c r="BS213" i="1"/>
  <c r="BS212" i="1"/>
  <c r="BS211" i="1"/>
  <c r="BS210" i="1"/>
  <c r="BS209" i="1"/>
  <c r="BS208" i="1"/>
  <c r="BS207" i="1"/>
  <c r="BS206" i="1"/>
  <c r="BS205" i="1"/>
  <c r="BS204" i="1"/>
  <c r="BS203" i="1"/>
  <c r="BS202" i="1"/>
  <c r="BS201" i="1"/>
  <c r="BS200" i="1"/>
  <c r="BS199" i="1"/>
  <c r="BS198" i="1"/>
  <c r="BS197" i="1"/>
  <c r="BS196" i="1"/>
  <c r="BS195" i="1"/>
  <c r="BS194" i="1"/>
  <c r="BS193" i="1"/>
  <c r="BS192" i="1"/>
  <c r="BS191" i="1"/>
  <c r="BS190" i="1"/>
  <c r="BS189" i="1"/>
  <c r="BS188" i="1"/>
  <c r="BS187" i="1"/>
  <c r="BS186" i="1"/>
  <c r="BS185" i="1"/>
  <c r="BS184" i="1"/>
  <c r="BS183" i="1"/>
  <c r="BS182" i="1"/>
  <c r="BS181" i="1"/>
  <c r="BS180" i="1"/>
  <c r="BS179" i="1"/>
  <c r="BS178" i="1"/>
  <c r="BS177" i="1"/>
  <c r="BS176" i="1"/>
  <c r="BS175" i="1"/>
  <c r="BS174" i="1"/>
  <c r="BS173" i="1"/>
  <c r="BS172" i="1"/>
  <c r="BS171" i="1"/>
  <c r="BS170" i="1"/>
  <c r="BS169" i="1"/>
  <c r="BS168" i="1"/>
  <c r="BS167" i="1"/>
  <c r="BS166" i="1"/>
  <c r="BS165" i="1"/>
  <c r="BS164" i="1"/>
  <c r="BS163" i="1"/>
  <c r="BS162" i="1"/>
  <c r="BS161" i="1"/>
  <c r="BS160" i="1"/>
  <c r="BS159" i="1"/>
  <c r="BS158" i="1"/>
  <c r="BS157" i="1"/>
  <c r="BS156" i="1"/>
  <c r="BS155" i="1"/>
  <c r="BS154" i="1"/>
  <c r="BS153" i="1"/>
  <c r="BS152" i="1"/>
  <c r="BS151" i="1"/>
  <c r="BS150" i="1"/>
  <c r="BS149" i="1"/>
  <c r="BS148" i="1"/>
  <c r="BS147" i="1"/>
  <c r="BS146" i="1"/>
  <c r="BS145" i="1"/>
  <c r="BS144" i="1"/>
  <c r="BS143" i="1"/>
  <c r="BS142" i="1"/>
  <c r="BS141" i="1"/>
  <c r="BS140" i="1"/>
  <c r="BS139" i="1"/>
  <c r="BS138" i="1"/>
  <c r="BS137" i="1"/>
  <c r="BS136" i="1"/>
  <c r="BS135" i="1"/>
  <c r="BS134" i="1"/>
  <c r="BS133" i="1"/>
  <c r="BS132" i="1"/>
  <c r="BS131" i="1"/>
  <c r="BS130" i="1"/>
  <c r="BS129" i="1"/>
  <c r="BS128" i="1"/>
  <c r="BS127" i="1"/>
  <c r="BS126" i="1"/>
  <c r="BS125" i="1"/>
  <c r="BS124" i="1"/>
  <c r="BS123" i="1"/>
  <c r="BS122" i="1"/>
  <c r="BS121" i="1"/>
  <c r="BS120" i="1"/>
  <c r="BS119" i="1"/>
  <c r="BS118" i="1"/>
  <c r="BS117" i="1"/>
  <c r="BS116" i="1"/>
  <c r="BS115" i="1"/>
  <c r="BS114" i="1"/>
  <c r="BS113" i="1"/>
  <c r="BS112" i="1"/>
  <c r="BS111" i="1"/>
  <c r="BS110" i="1"/>
  <c r="BS109" i="1"/>
  <c r="BS108" i="1"/>
  <c r="BS107" i="1"/>
  <c r="BS106" i="1"/>
  <c r="BS105" i="1"/>
  <c r="BS104" i="1"/>
  <c r="BS103" i="1"/>
  <c r="BS102" i="1"/>
  <c r="BS101" i="1"/>
  <c r="BS100" i="1"/>
  <c r="BS99" i="1"/>
  <c r="BS98" i="1"/>
  <c r="BS97" i="1"/>
  <c r="BS96" i="1"/>
  <c r="BS95" i="1"/>
  <c r="BS94" i="1"/>
  <c r="BS93" i="1"/>
  <c r="BS92" i="1"/>
  <c r="BS91" i="1"/>
  <c r="BS90" i="1"/>
  <c r="BS89" i="1"/>
  <c r="BS88" i="1"/>
  <c r="BS87" i="1"/>
  <c r="BS86" i="1"/>
  <c r="BS85" i="1"/>
  <c r="BS84" i="1"/>
  <c r="BS83" i="1"/>
  <c r="BS82" i="1"/>
  <c r="BS81" i="1"/>
  <c r="BS80" i="1"/>
  <c r="BS79" i="1"/>
  <c r="BS78" i="1"/>
  <c r="BS77" i="1"/>
  <c r="BS76" i="1"/>
  <c r="BS75" i="1"/>
  <c r="BS74" i="1"/>
  <c r="BS73" i="1"/>
  <c r="BS72" i="1"/>
  <c r="BS71" i="1"/>
  <c r="BS70" i="1"/>
  <c r="BS69" i="1"/>
  <c r="BS68" i="1"/>
  <c r="BS67" i="1"/>
  <c r="BS66" i="1"/>
  <c r="BS65" i="1"/>
  <c r="BS64" i="1"/>
  <c r="BS63" i="1"/>
  <c r="BS62" i="1"/>
  <c r="BS61" i="1"/>
  <c r="BS60" i="1"/>
  <c r="BS59" i="1"/>
  <c r="BS58" i="1"/>
  <c r="BS57" i="1"/>
  <c r="BS56" i="1"/>
  <c r="BS55" i="1"/>
  <c r="BS54" i="1"/>
  <c r="BS53" i="1"/>
  <c r="BS52" i="1"/>
  <c r="BS51" i="1"/>
  <c r="BS50" i="1"/>
  <c r="BS49" i="1"/>
  <c r="BS48" i="1"/>
  <c r="BS47" i="1"/>
  <c r="BS46" i="1"/>
  <c r="BS45" i="1"/>
  <c r="BS44" i="1"/>
  <c r="BS43" i="1"/>
  <c r="BS42" i="1"/>
  <c r="BS41" i="1"/>
  <c r="BS40" i="1"/>
  <c r="BS39" i="1"/>
  <c r="BS38" i="1"/>
  <c r="BS37" i="1"/>
  <c r="BS36" i="1"/>
  <c r="BS35" i="1"/>
  <c r="BS34" i="1"/>
  <c r="BS33" i="1"/>
  <c r="BS32" i="1"/>
  <c r="BS31" i="1"/>
  <c r="BS30" i="1"/>
  <c r="BS29" i="1"/>
  <c r="BS28" i="1"/>
  <c r="BS27" i="1"/>
  <c r="BS26" i="1"/>
  <c r="BS25" i="1"/>
  <c r="BS24" i="1"/>
  <c r="BS23" i="1"/>
  <c r="BS22" i="1"/>
  <c r="BS21" i="1"/>
  <c r="BS20" i="1"/>
  <c r="BS19" i="1"/>
  <c r="BS18" i="1"/>
  <c r="BS17" i="1"/>
  <c r="BS16" i="1"/>
  <c r="BS15" i="1"/>
  <c r="BS14" i="1"/>
  <c r="BS13" i="1"/>
  <c r="BS12" i="1"/>
  <c r="BS11" i="1"/>
  <c r="BS10" i="1"/>
  <c r="BS9" i="1"/>
  <c r="BS8" i="1"/>
  <c r="BS7" i="1"/>
  <c r="BS6" i="1"/>
  <c r="BS5" i="1"/>
  <c r="BS4" i="1"/>
  <c r="BS3" i="1"/>
  <c r="BS2" i="1"/>
</calcChain>
</file>

<file path=xl/sharedStrings.xml><?xml version="1.0" encoding="utf-8"?>
<sst xmlns="http://schemas.openxmlformats.org/spreadsheetml/2006/main" count="103498" uniqueCount="19842">
  <si>
    <t>name</t>
  </si>
  <si>
    <t>school</t>
  </si>
  <si>
    <t>subschool</t>
  </si>
  <si>
    <t>descriptor</t>
  </si>
  <si>
    <t>spell_level</t>
  </si>
  <si>
    <t>casting_time</t>
  </si>
  <si>
    <t>components</t>
  </si>
  <si>
    <t>costly_components</t>
  </si>
  <si>
    <t>range</t>
  </si>
  <si>
    <t>area</t>
  </si>
  <si>
    <t>effect</t>
  </si>
  <si>
    <t>targets</t>
  </si>
  <si>
    <t>duration</t>
  </si>
  <si>
    <t>dismissible</t>
  </si>
  <si>
    <t>Section 15: Copyright Notice - Paizo Spells Database</t>
  </si>
  <si>
    <t>shapeable</t>
  </si>
  <si>
    <t>saving_throw</t>
  </si>
  <si>
    <t>spell_resistence</t>
  </si>
  <si>
    <t>description</t>
  </si>
  <si>
    <t>description_formated</t>
  </si>
  <si>
    <t>source</t>
  </si>
  <si>
    <t>full_text</t>
  </si>
  <si>
    <t>verbal</t>
  </si>
  <si>
    <t>somatic</t>
  </si>
  <si>
    <t>material</t>
  </si>
  <si>
    <t>focus</t>
  </si>
  <si>
    <t>divine_focus</t>
  </si>
  <si>
    <t>sor</t>
  </si>
  <si>
    <t>wiz</t>
  </si>
  <si>
    <t>cleric</t>
  </si>
  <si>
    <t>druid</t>
  </si>
  <si>
    <t>ranger</t>
  </si>
  <si>
    <t>bard</t>
  </si>
  <si>
    <t>paladin</t>
  </si>
  <si>
    <t>alchemist</t>
  </si>
  <si>
    <t>summoner</t>
  </si>
  <si>
    <t>witch</t>
  </si>
  <si>
    <t>inquisitor</t>
  </si>
  <si>
    <t>oracle</t>
  </si>
  <si>
    <t>antipaladin</t>
  </si>
  <si>
    <t>magus</t>
  </si>
  <si>
    <t>adept</t>
  </si>
  <si>
    <t>deity</t>
  </si>
  <si>
    <t>SLA_Level</t>
  </si>
  <si>
    <t>domain</t>
  </si>
  <si>
    <t>short_description</t>
  </si>
  <si>
    <t>acid</t>
  </si>
  <si>
    <t>air</t>
  </si>
  <si>
    <t>chaotic</t>
  </si>
  <si>
    <t>cold</t>
  </si>
  <si>
    <t>curse</t>
  </si>
  <si>
    <t>darkness</t>
  </si>
  <si>
    <t>death</t>
  </si>
  <si>
    <t>disease</t>
  </si>
  <si>
    <t>earth</t>
  </si>
  <si>
    <t>electricity</t>
  </si>
  <si>
    <t>emotion</t>
  </si>
  <si>
    <t>evil</t>
  </si>
  <si>
    <t>fear</t>
  </si>
  <si>
    <t>fire</t>
  </si>
  <si>
    <t>force</t>
  </si>
  <si>
    <t>good</t>
  </si>
  <si>
    <t>language_dependent</t>
  </si>
  <si>
    <t>lawful</t>
  </si>
  <si>
    <t>light</t>
  </si>
  <si>
    <t>mind_affecting</t>
  </si>
  <si>
    <t>pain</t>
  </si>
  <si>
    <t>poison</t>
  </si>
  <si>
    <t>shadow</t>
  </si>
  <si>
    <t>sonic</t>
  </si>
  <si>
    <t>water</t>
  </si>
  <si>
    <t>Paizo Spells Database. Copyright 2017 Mike Chopswil</t>
  </si>
  <si>
    <t>linktext</t>
  </si>
  <si>
    <t>id</t>
  </si>
  <si>
    <t>material_costs</t>
  </si>
  <si>
    <t>bloodline</t>
  </si>
  <si>
    <t>patron</t>
  </si>
  <si>
    <t>mythic_text</t>
  </si>
  <si>
    <t>augmented</t>
  </si>
  <si>
    <t>mythic</t>
  </si>
  <si>
    <t>bloodrager</t>
  </si>
  <si>
    <t>shaman</t>
  </si>
  <si>
    <t>psychic</t>
  </si>
  <si>
    <t>medium</t>
  </si>
  <si>
    <t>mesmerist</t>
  </si>
  <si>
    <t>occultist</t>
  </si>
  <si>
    <t>spiritualist</t>
  </si>
  <si>
    <t>skald</t>
  </si>
  <si>
    <t>investigator</t>
  </si>
  <si>
    <t>hunter</t>
  </si>
  <si>
    <t>haunt_statistics</t>
  </si>
  <si>
    <t>ruse</t>
  </si>
  <si>
    <t>draconic</t>
  </si>
  <si>
    <t>meditative</t>
  </si>
  <si>
    <t>Acid Arrow</t>
  </si>
  <si>
    <t>conjuration</t>
  </si>
  <si>
    <t>creation</t>
  </si>
  <si>
    <t>sorcerer/wizard 2, magus 2, bloodrager 2</t>
  </si>
  <si>
    <t>1 standard action</t>
  </si>
  <si>
    <t>V, S, M (rhubarb leaf and an adder's stomach), F (a dart)</t>
  </si>
  <si>
    <t>long (400 ft. + 40 ft./level)</t>
  </si>
  <si>
    <t>one arrow of acid</t>
  </si>
  <si>
    <t>1 round + 1 round per three levels</t>
  </si>
  <si>
    <t>none</t>
  </si>
  <si>
    <t>no</t>
  </si>
  <si>
    <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t>
  </si>
  <si>
    <t>&lt;p&gt;An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round.&lt;/p&gt;</t>
  </si>
  <si>
    <t>PFRPG Core</t>
  </si>
  <si>
    <t>&lt;link rel="stylesheet"href="PF.css"&gt;&lt;div class="heading"&gt;&lt;p class="alignleft"&gt;Acid Arrow &lt;/p&gt;&lt;div style="clear: both;"&gt;&lt;/div&gt;&lt;/div&gt;&lt;div&gt;&lt;h5&gt;&lt;b&gt;School &lt;/b&gt;conjuration (creation) [acid]; &lt;b&gt;Level &lt;/b&gt;sorcerer/wizard 2, magus 2, bloodrager 2&lt;/h5&gt;&lt;h5&gt;&lt;b&gt;Casting Time &lt;/b&gt;1 standard action&lt;/h5&gt;&lt;h5&gt;&lt;b&gt;Components &lt;/b&gt;V, S, M (rhubarb leaf and an adder's stomach), F (a dart)&lt;/h5&gt;&lt;h5&gt;&lt;b&gt;Range &lt;/b&gt;long (400 ft. + 40 ft./level)&lt;/h5&gt;&lt;h5&gt;&lt;b&gt;Effect &lt;/b&gt;one arrow of acid&lt;/h5&gt;&lt;h5&gt;&lt;b&gt;Duration &lt;/b&gt;1 round + 1 round per three levels&lt;/h5&gt;&lt;h5&gt;&lt;b&gt;Saving Throw &lt;/b&gt;none; &lt;b&gt;Spell Resistance &lt;/b&gt;no&lt;/h5&gt;&lt;/div&gt;&lt;div&gt;&lt;h4&gt;&lt;p&gt;An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round.&lt;/p&gt;&lt;/h4&gt;&lt;/div&gt;</t>
  </si>
  <si>
    <t>NULL</t>
  </si>
  <si>
    <t> Ranged touch attack; 2d4 damage for 1 round + 1 round/three levels.</t>
  </si>
  <si>
    <t>01 jul 2017: updated for AP 119, Adventurer's Armory 2, Aquatic Adventures, PFS 8-20, PFS 8-21, finished Adventurer's Guide</t>
  </si>
  <si>
    <t>10 Jun 2017: updated for AP 118, Legacy ofthe First World, started Adventurer's Guide</t>
  </si>
  <si>
    <t>08 May 2017: updated for AP 117, Heroes Of The Darklands, PFRPG Bestiary 6, PFS 8-18, PFS 8-19</t>
  </si>
  <si>
    <t>08 Apr 2017: updated for PFS 8-14, PFS 8-15, AP 115, AP 116, Monster Hunter's Handbook, PFS 8-16, PFS 8-17</t>
  </si>
  <si>
    <t>25 Feb 2017: updated for PFS 8-12, PFS 8-13, AP 114, Heroes Of The High Court, Psychic Anthology, Lands Of Conflict</t>
  </si>
  <si>
    <t>29 Jan 2017: updated for PFS 8-10, PFS 8-11, finished Villain Codex, AP 113, Qadira Jewel Of The East, Healer's Handbook</t>
  </si>
  <si>
    <t>18 Dec 2016: updated for AP 112, Paths Of The Righteous, The First World Realm Of The Fey, PFS 8-08, PFS 8-09 and more Villain Codex</t>
  </si>
  <si>
    <t>Acid Fog</t>
  </si>
  <si>
    <t>sorcerer/wizard 6, magus 6</t>
  </si>
  <si>
    <t>20 Nov 2016: updated for AP 111,Seers Of The Drowned City,Horror Realms,Blood Of The Beast, Villain Codex started, PFS 8-06, PFS 8-07</t>
  </si>
  <si>
    <t>V, S, M (powdered peas and an animal hoof)</t>
  </si>
  <si>
    <t>medium (100 ft. + 10 ft./level)</t>
  </si>
  <si>
    <t>fog spreads in 20-ft. radius, 20 ft. high</t>
  </si>
  <si>
    <t>28 Oct 2016: updated for Inner Sea Temples, Curse Of The Crimson Throne, PFS 8-04, PFS 8-05</t>
  </si>
  <si>
    <t>1 round/level</t>
  </si>
  <si>
    <t xml:space="preserve">02 Oct 2016: updated for AP 110, Planes Of Power, Divine Anthology
</t>
  </si>
  <si>
    <t>Acid fog creates a billowing mass of misty vapors like the solid fog spell. In addition to slowing down creatures and obscuring sight, this spell's vapors are highly acidic. Each round on your turn, starting when you cast the spell, the fog deals 2d6 points of acid damage to each creature and object within it.</t>
  </si>
  <si>
    <t>&lt;p&gt;&lt;i&gt;Acid fog&lt;/i&gt; creates a billowing mass of misty vapors like the &lt;i&gt;solid fog&lt;/i&gt; spell. In addition to slowing down creatures and obscuring sight, this spell's vapors are highly acidic. Each round on your turn, starting when you cast the spell, the fog deals 2d6 points of acid damage to each creature and object within it.&lt;/p&gt;</t>
  </si>
  <si>
    <t>29 Aug 2016: updated for AP 108, Legacy Of Dragons, Gallows Of Madness, Horror Adventures, PFS Pregen Characters, AP 109, Haunted Heroes Handbook</t>
  </si>
  <si>
    <t>&lt;link rel="stylesheet"href="PF.css"&gt;&lt;div class="heading"&gt;&lt;p class="alignleft"&gt;Acid Fog &lt;/p&gt;&lt;div style="clear: both;"&gt;&lt;/div&gt;&lt;/div&gt;&lt;div&gt;&lt;h5&gt;&lt;b&gt;School &lt;/b&gt;conjuration (creation) [acid]; &lt;b&gt;Level &lt;/b&gt;sorcerer/wizard 6, magus 6&lt;/h5&gt;&lt;h5&gt;&lt;b&gt;Casting Time &lt;/b&gt;1 standard action&lt;/h5&gt;&lt;h5&gt;&lt;b&gt;Components &lt;/b&gt;V, S, M (powdered peas and an animal hoof)&lt;/h5&gt;&lt;h5&gt;&lt;b&gt;Range &lt;/b&gt;medium (100 ft. + 10 ft./level)&lt;/h5&gt;&lt;h5&gt;&lt;b&gt;Effect &lt;/b&gt;fog spreads in 20-ft. radius, 20 ft. high&lt;/h5&gt;&lt;h5&gt;&lt;b&gt;Duration &lt;/b&gt;1 round/level&lt;/h5&gt;&lt;h5&gt;&lt;b&gt;Saving Throw &lt;/b&gt;none; &lt;b&gt;Spell Resistance &lt;/b&gt;no&lt;/h5&gt;&lt;/div&gt;&lt;div&gt;&lt;h4&gt;&lt;p&gt;&lt;i&gt;Acid fog&lt;/i&gt; creates a billowing mass of misty vapors like the &lt;i&gt;solid fog&lt;/i&gt; spell. In addition to slowing down creatures and obscuring sight, this spell's vapors are highly acidic. Each round on your turn, starting when you cast the spell, the fog deals 2d6 points of acid damage to each creature and object within it.&lt;/p&gt;&lt;/h4&gt;&lt;/div&gt;</t>
  </si>
  <si>
    <t>05 jul 2016: updated for AP 107, Path Of The Hellknight, Spymaster's Handbook, We B4 Goblins</t>
  </si>
  <si>
    <t> Fog deals acid damage.</t>
  </si>
  <si>
    <t>14 Jun 2016: add hunter class spell level field</t>
  </si>
  <si>
    <t xml:space="preserve">02 Jun 2016: updated for AP 106, Ire Of The Storm, Magic Tactics Toolbox, Inner Sea Intrigue, Ultimate Equipment eratta
</t>
  </si>
  <si>
    <t>30 Apr 2016: updated for AP 105, Heaven Unleashed, Armor Masters Handbook</t>
  </si>
  <si>
    <t>02 Apr 2016: updated for AP 104, Inner Sea Faiths, Ultimate Intrigue</t>
  </si>
  <si>
    <t>01 Mar 2016: updated for AP 103, Darklands Revisited, Blood Of Shadows, Down The Blighted Path</t>
  </si>
  <si>
    <t>Acid Splash</t>
  </si>
  <si>
    <t>31 Jan 2016: updated for AP 101,AP 102, Arcane Anthology</t>
  </si>
  <si>
    <t>sorcerer/wizard 0, summoner 0, inquisitor 0, magus 0</t>
  </si>
  <si>
    <t>V, S</t>
  </si>
  <si>
    <t>close (25 ft. + 5 ft./2 levels)</t>
  </si>
  <si>
    <t>one missile of acid</t>
  </si>
  <si>
    <t>instantaneous</t>
  </si>
  <si>
    <t>You fire a small orb of acid at the target. You must succeed on a ranged touch attack to hit your target. The orb deals 1d3 points of acid damage. This acid disappears after 1 round.</t>
  </si>
  <si>
    <t>&lt;p&gt;You fire a small orb of acid at the target. You must succeed on a ranged touch attack to hit your target. The orb deals 1d3 points of acid damage. This acid disappears after 1 round.&lt;/p&gt;</t>
  </si>
  <si>
    <t>20 dec 2015: updated for AP 100, Agents Of Evil, Cheliax, The Infernal Empire, The House On Hook Street. updated for all paizo bloodlines, patrons and domains added either spell level or level spell is gained</t>
  </si>
  <si>
    <t>&lt;link rel="stylesheet"href="PF.css"&gt;&lt;div class="heading"&gt;&lt;p class="alignleft"&gt;Acid Splash &lt;/p&gt;&lt;div style="clear: both;"&gt;&lt;/div&gt;&lt;/div&gt;&lt;div&gt;&lt;h5&gt;&lt;b&gt;School &lt;/b&gt;conjuration (creation) [acid]; &lt;b&gt;Level &lt;/b&gt;sorcerer/wizard 0, summoner 0, inquisitor 0, magus 0&lt;/h5&gt;&lt;h5&gt;&lt;b&gt;Casting Time &lt;/b&gt;1 standard action&lt;/h5&gt;&lt;h5&gt;&lt;b&gt;Components &lt;/b&gt;V, S&lt;/h5&gt;&lt;h5&gt;&lt;b&gt;Range &lt;/b&gt;close (25 ft. + 5 ft./2 levels)&lt;/h5&gt;&lt;h5&gt;&lt;b&gt;Effect &lt;/b&gt;one missile of acid&lt;/h5&gt;&lt;h5&gt;&lt;b&gt;Duration &lt;/b&gt;instantaneous&lt;/h5&gt;&lt;h5&gt;&lt;b&gt;Saving Throw &lt;/b&gt;none; &lt;b&gt;Spell Resistance &lt;/b&gt;no&lt;/h5&gt;&lt;/div&gt;&lt;div&gt;&lt;h4&gt;&lt;p&gt;You fire a small orb of acid at the target. You must succeed on a ranged touch attack to hit your target. The orb deals 1d3 points of acid damage. This acid disappears after 1 round.&lt;/p&gt;&lt;/h4&gt;&lt;/div&gt;</t>
  </si>
  <si>
    <t xml:space="preserve">28 nov 2015: updated for Weapon Master's Handbook, Occult Realms, Feast Of Dust, PFRPG Bestiary 5, update ADVANCED RACE GUIDE, ADVANCED CLASS GUIDE, ULTIMATE COMBAT for errata
</t>
  </si>
  <si>
    <t> Orb deals 1d3 acid damage.</t>
  </si>
  <si>
    <t>01 Nov2015: updated for AP 99, Occult Origins, Distant Shores, Black Markets, Inner Sea Races, added occulist spell elvels to older spells</t>
  </si>
  <si>
    <t>02 Oct 2015: Updated forAP 97, Dirty Tactics Toolbox, Occult Bestiary, Phantom Phenomena, AP 98, Heroes Of The Streets, Occult Adventures</t>
  </si>
  <si>
    <t>27 jul 2015: updated for AP 93, Cohorts &amp; Companions, AP 94, Monster Summoner's Handbook, Inner Sea Monster Codex, We Be Goblins Free, AP 95, AP 96, Hell Unleashed</t>
  </si>
  <si>
    <t>02 may 2015: updated for Tombs Of Golarion, Melee Tactics Toolbox, AP 92, Heroes Of The Wild, Pathfinder Unchained</t>
  </si>
  <si>
    <t>Aid</t>
  </si>
  <si>
    <t>enchantment</t>
  </si>
  <si>
    <t>compulsion</t>
  </si>
  <si>
    <t>mind-affecting</t>
  </si>
  <si>
    <t>cleric/oracle 2, inquisitor 2, alchemist 2, shaman 2, spiritualist 2</t>
  </si>
  <si>
    <t>V, S, DF</t>
  </si>
  <si>
    <t>touch</t>
  </si>
  <si>
    <t>living creature touched</t>
  </si>
  <si>
    <t>07 mar 2015: updated for AP 91, Belkzen, Daughters Of Fury</t>
  </si>
  <si>
    <t>1 min./level</t>
  </si>
  <si>
    <t>24 Jan2015: Updated for AP 90 &amp; Familiar Folio</t>
  </si>
  <si>
    <t>14 Dec 2014: updated for AP 88, AP 89, Ranged Tactics Toolbox, Giant Hunters Handbook,Plunder &amp; Peril and finished Monster Codex</t>
  </si>
  <si>
    <t>yes (harmless)</t>
  </si>
  <si>
    <t>Aid grants the target a +1 morale bonus on attack rolls and saves against fear effects, plus temporary hit points equal to 1d8 + caster level (to a maximum of 1d8+10 temporary hit points at caster level 10th).</t>
  </si>
  <si>
    <t>01 Nov 2014: updated for AP 87, Advanced Class Origins, Ships of the Inner Sea,  started Monster Codex</t>
  </si>
  <si>
    <t>&lt;p&gt;&lt;i&gt;Aid&lt;/i&gt; grants the target a +1 morale bonus on attack rolls and saves against fear effects, plus temporary hit points equal to 1d8 + caster level (to a maximum of 1d8+10 temporary hit points at caster level 10th).&lt;/p&gt;</t>
  </si>
  <si>
    <t>10 Oct 2014: updated for adding shaman and bloodrager levels to older spells</t>
  </si>
  <si>
    <t>&lt;link rel="stylesheet"href="PF.css"&gt;&lt;div class="heading"&gt;&lt;p class="alignleft"&gt;Aid&lt;/p&gt;&lt;div style="clear: both;"&gt;&lt;/div&gt;&lt;/div&gt;&lt;div&gt;&lt;h5&gt;&lt;b&gt;School &lt;/b&gt;enchantment (compulsion) [mind-affecting]; &lt;b&gt;Level &lt;/b&gt;cleric/oracle 2, alchemist 2, inquisitor 2&lt;/h5&gt;&lt;h5&gt;&lt;b&gt;Casting Time &lt;/b&gt;1 standard action&lt;/h5&gt;&lt;h5&gt;&lt;b&gt;Components &lt;/b&gt;V, S, DF&lt;/h5&gt;&lt;h5&gt;&lt;b&gt;Range &lt;/b&gt;touch&lt;/h5&gt;&lt;h5&gt;&lt;b&gt;Targets &lt;/b&gt; living creature touched&lt;/h5&gt;&lt;h5&gt;&lt;b&gt;Duration &lt;/b&gt;1 min./level&lt;/h5&gt;&lt;h5&gt;&lt;b&gt;Saving Throw &lt;/b&gt;none; &lt;b&gt;Spell Resistance &lt;/b&gt;yes (harmless)&lt;/h5&gt;&lt;/div&gt;&lt;div&gt;&lt;h4&gt;&lt;p&gt;&lt;i&gt;Aid&lt;/i&gt; grants the target a +1 morale bonus on attack rolls and saves against fear effects, plus temporary hit points equal to 1d8 + caster level (to a maximum of 1d8+10 temporary hit points at caster level 10th).&lt;/p&gt;&lt;/h4&gt;&lt;/div&gt;</t>
  </si>
  <si>
    <t>04 Oct 2014: updated for AP 86, Undead Unleashed, Champions Of Corruption</t>
  </si>
  <si>
    <t>Luck (2), Tactics (2)</t>
  </si>
  <si>
    <t> +1 on attack rolls and saves against fear, 1d8 temporary hp +1/level (max +10).</t>
  </si>
  <si>
    <t>06 Sep 2014: updated for Advanced Class Guide. New fields bloodrager
 And shaman</t>
  </si>
  <si>
    <t>23 Aug 2014: updated for AP 85, Technology Guide, People Of The Stars</t>
  </si>
  <si>
    <t>27 jul 2014: updated for AP 83, AP 84, People Of The River</t>
  </si>
  <si>
    <t>26 Jun 2014: updated for AP 82, Numeria Land Of Fallen Stars, Blood Of The Elements</t>
  </si>
  <si>
    <t>31 May 2014: updated for AP 81, Occult Mysteries, The Harrow Handbook</t>
  </si>
  <si>
    <t>Ancestors (4)</t>
  </si>
  <si>
    <t>04 May 2014: updated for AP 80, Alchemy Manual, Inner Sea Combat, Inner Sea Gods</t>
  </si>
  <si>
    <t>23 Mar 2014: Updated for AP 79 and Champions Of Balance</t>
  </si>
  <si>
    <t>23 Feb Updated for AP 78</t>
  </si>
  <si>
    <t>26 Jan 2014: updated for AP 77, Osirion, Legacy Of Pharaohs, People Of The Sands, UC errata. ADDed new field adpet for adept spell levels</t>
  </si>
  <si>
    <t>28 Dec 2013: updated for Wardens Of The Reborn Forge</t>
  </si>
  <si>
    <t>17 Nov 2013: updated for Blood Of The Moon</t>
  </si>
  <si>
    <t>Air Walk</t>
  </si>
  <si>
    <t>transmutation</t>
  </si>
  <si>
    <t>06 Oct 2013: updated all older spells for mthic data</t>
  </si>
  <si>
    <t>cleric/oracle 4, druid 4, alchemist 4, occultist 4</t>
  </si>
  <si>
    <t>29 Sep 2013: updated for AP 74, Mythic Origins, Mythic Realms. Updated older spells for new mythic data up to start of Ps</t>
  </si>
  <si>
    <t>creature (Gargantuan or smaller) touched</t>
  </si>
  <si>
    <t>10 min./level</t>
  </si>
  <si>
    <t>02 Sept 2013: updated for AP 73,Wrath Of The Righteous, Faiths &amp; Philosophies, Demon Hunter's Handbook, Demons Revisited, Mythic Adventures</t>
  </si>
  <si>
    <t>The subject can tread on air as if walking on solid ground. Moving upward is similar to walking up a hill. The maximum upward or downward angle possible is 45 degrees, at a rate equal to half the air walker's normal speed. 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air walk spell is dispelled, but not if it is negated by an antimagic field. You can cast air walk on a specially trained mount so it can be ridden through the air. You can train a mount to move with the aid of air walk (counts as a trick; see Handle Animal skill) with 1 week of work and a DC 25 Handle Animal check.</t>
  </si>
  <si>
    <t>28 Jul 2013: updated for AP 72,Dragonslayer's Handbook, The Worldwound,Pathfinder Society Primer, The Dragon's Demand</t>
  </si>
  <si>
    <t>&lt;p&gt;The subject can tread on air as if walking on solid ground. Moving upward is similar to walking up a hill. The maximum upward or downward angle possible is 45 degrees, at a rate equal to half the air walker's normal speed.&lt;/p&gt;&lt;p&gt;A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&lt;i&gt;air walk&lt;/i&gt; spell is dispelled, but not if it is negated by an &lt;i&gt;antimagic field&lt;/i&gt;.&lt;/p&gt;&lt;p&gt;You can cast &lt;i&gt;air walk&lt;/i&gt; on a specially trained mount so it can be ridden through the air. You can train a mount to move with the aid of &lt;i&gt;air walk&lt;/i&gt; (counts as a trick; see Handle Animal skill) with 1 week of work and a DC 25 Handle Animal check.&lt;/p&gt;</t>
  </si>
  <si>
    <t>29 Jun 2013: Updated for Kobolds Of Golarion &amp; Quests and Campaigns, AP 71. Added new field Patron, comma delim field of witch patron spells</t>
  </si>
  <si>
    <t>02 jun 2013: updated for Chronicle Of The Righteous. Doamin field cleanup (includes sub-domains) blodline field added. New Core rule  errata applied.</t>
  </si>
  <si>
    <t>&lt;link rel="stylesheet"href="PF.css"&gt;&lt;div class="heading"&gt;&lt;p class="alignleft"&gt;Air Walk &lt;/p&gt;&lt;div style="clear: both;"&gt;&lt;/div&gt;&lt;/div&gt;&lt;div&gt;&lt;h5&gt;&lt;b&gt;School &lt;/b&gt;transmutation [air]; &lt;b&gt;Level &lt;/b&gt;cleric/oracle 4, druid 4, alchemist 4, occultist 4&lt;/h5&gt;&lt;h5&gt;&lt;b&gt;Casting Time &lt;/b&gt;1 standard action&lt;/h5&gt;&lt;h5&gt;&lt;b&gt;Components &lt;/b&gt;V, S, DF&lt;/h5&gt;&lt;h5&gt;&lt;b&gt;Range &lt;/b&gt;touch&lt;/h5&gt;&lt;h5&gt;&lt;b&gt;Targets &lt;/b&gt; creature (Gargantuan or smaller) touched&lt;/h5&gt;&lt;h5&gt;&lt;b&gt;Duration &lt;/b&gt;10 min./level&lt;/h5&gt;&lt;h5&gt;&lt;b&gt;Saving Throw &lt;/b&gt;none; &lt;b&gt;Spell Resistance &lt;/b&gt;yes (harmless)&lt;/h5&gt;&lt;/div&gt;&lt;div&gt;&lt;h4&gt;&lt;p&gt;The subject can tread on air as if walking on solid ground. Moving upward is similar to walking up a hill. The maximum upward or downward angle possible is 45 degrees, at a rate equal to half the air walker's normal speed.&lt;/p&gt;&lt;p&gt;A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&lt;i&gt;air walk&lt;/i&gt; spell is dispelled, but not if it is negated by an &lt;i&gt;antimagic field&lt;/i&gt;.&lt;/p&gt;&lt;p&gt;You can cast &lt;i&gt;air walk&lt;/i&gt; on a specially trained mount so it can be ridden through the air. You can train a mount to move with the aid of &lt;i&gt;air walk&lt;/i&gt; (counts as a trick; see Handle Animal skill) with 1 week of work and a DC 25 Handle Animal check.&lt;/p&gt;&lt;/h4&gt;&lt;/div&gt;</t>
  </si>
  <si>
    <t>21 Apr 2013: Updated for Champions Of Purity &amp; AP 69. Updated oracle spell level and text to match cleric spell level</t>
  </si>
  <si>
    <t>Air (4)</t>
  </si>
  <si>
    <t>Subject treads on air as if solid (climb or descend at 45-degree angle).</t>
  </si>
  <si>
    <t>24 Mar 2013: updated for AP 68 and Dungeoneers Handbook. Reimported some spells due to parsing issues:  Telekinetic Assembly , Groundswell ,Ironbeard ,Death From Below  ,Jitterbugs ,Major Phantom Object,Minor Dream   , Minor Phantom Object,Battle Trance ,Spawn Ward , Sow Thought  ,Fins To Feet , Karmic Blessing  , Strong Wings  ,Imbue With Elemental Might,Squeeze,Shadow Anchor, Magic Stone, Resist Energy, Snake Staff,Gorum's Armor,Bowstaff,Brow Gasher.  And over the years some spells were missied in getting nto the DB in the place, her they are now : Corpse Hammer,Oath of Justice,Soothing Word,Tactical Formation.</t>
  </si>
  <si>
    <t>06 Mar 2013: Updated 2 spells, change blindness-deafness to blindness/deafness and Smug Narcissism to have only one Duration value.</t>
  </si>
  <si>
    <t>23 Feb 2013: updated for Animal Archive &amp; AP 67. Fixed the following spells for school,subschool,descriptor issues: breeze, Burning Disarm, Frost Fall, Martyr's Bargain, Sheet Lightning, Jolting Portent, Blast Barrier, Seducer's Eyes, Fairness, Genius Avaricious, Heroes' Feast, Curse Of Disgust</t>
  </si>
  <si>
    <t>06 Feb 2013: updated for People Of The North</t>
  </si>
  <si>
    <t>24 Dec 2012: updated for AP 65 and Blood Of The Night</t>
  </si>
  <si>
    <t>Align Weapon</t>
  </si>
  <si>
    <t>see text</t>
  </si>
  <si>
    <t>02 Dec 2012: updated for AP 64</t>
  </si>
  <si>
    <t>cleric/oracle 2, inquisitor 2</t>
  </si>
  <si>
    <t>weapon touched or 50 projectiles (all of which must be together at the time of casting)</t>
  </si>
  <si>
    <t>Will negates (harmless, object)</t>
  </si>
  <si>
    <t>yes (harmless, object)</t>
  </si>
  <si>
    <t>30 Sep 2012: Updated for AP 62, Artifacts &amp; Legends and Knights Of The Inner Sea</t>
  </si>
  <si>
    <t>Align weapon makes a weapon chaotic, evil, good, or lawful, as you choose. A weapon that is aligned can bypass the damage reduction of certain creatures. This spell has no effect on a weapon that already has an alignment. You can't cast this spell on a natural weapon, such as an unarmed strike. When you make a weapon chaotic, evil, good, or lawful, align weapon is a chaotic, evil, good, or lawful spell, respectively.</t>
  </si>
  <si>
    <t>&lt;p&gt;&lt;i&gt;Align weapon&lt;/i&gt; makes a weapon chaotic, evil, good, or lawful, as you choose. A weapon that is aligned can bypass the damage reduction of certain creatures. This spell has no effect on a weapon that already has an alignment.&lt;/p&gt;&lt;p&gt;You can't cast this spell on a natural weapon, such as an unarmed strike. When you make a weapon chaotic, evil, good, or lawful, &lt;i&gt;align weapon&lt;/i&gt; is a chaotic, evil, good, or lawful spell, respectively.&lt;/p&gt;</t>
  </si>
  <si>
    <t>19 Aug 2012: updated for RotRL-AE-Appendix</t>
  </si>
  <si>
    <t>&lt;link rel="stylesheet"href="PF.css"&gt;&lt;div class="heading"&gt;&lt;p class="alignleft"&gt;Align Weapon &lt;/p&gt;&lt;div style="clear: both;"&gt;&lt;/div&gt;&lt;/div&gt;&lt;div&gt;&lt;h5&gt;&lt;b&gt;School &lt;/b&gt;transmutation [see text]; &lt;b&gt;Level &lt;/b&gt;cleric/oracle 2, inquisitor 2&lt;/h5&gt;&lt;h5&gt;&lt;b&gt;Casting Time &lt;/b&gt;1 standard action&lt;/h5&gt;&lt;h5&gt;&lt;b&gt;Components &lt;/b&gt;V, S, DF&lt;/h5&gt;&lt;h5&gt;&lt;b&gt;Range &lt;/b&gt;touch&lt;/h5&gt;&lt;h5&gt;&lt;b&gt;Targets &lt;/b&gt; weapon touched or 50 projectiles (all of which must be together at the time of casting)&lt;/h5&gt;&lt;h5&gt;&lt;b&gt;Duration &lt;/b&gt;1 min./level&lt;/h5&gt;&lt;h5&gt;&lt;b&gt;Saving Throw &lt;/b&gt;Will negates (harmless, object); &lt;b&gt;Spell Resistance &lt;/b&gt;yes (harmless, object)&lt;/h5&gt;&lt;/div&gt;&lt;div&gt;&lt;h4&gt;&lt;p&gt;&lt;i&gt;Align weapon&lt;/i&gt; makes a weapon chaotic, evil, good, or lawful, as you choose. A weapon that is aligned can bypass the damage reduction of certain creatures. This spell has no effect on a weapon that already has an alignment.&lt;/p&gt;&lt;p&gt;You can't cast this spell on a natural weapon, such as an unarmed strike. When you make a weapon chaotic, evil, good, or lawful, &lt;i&gt;align weapon&lt;/i&gt; is a chaotic, evil, good, or lawful spell, respectively.&lt;/p&gt;&lt;/h4&gt;&lt;/div&gt;</t>
  </si>
  <si>
    <t>22 JUl  2012: Updated AP 58 &amp; 59, Magnimar City Of Monuments, RotRL-AE-Burnt Offerings, started RotRL-AE-The Skinsaw Murders , name field is now just name, added linkedtext and id fields</t>
  </si>
  <si>
    <t>21 Jun 2012: Updated with AP 57, Lost Kingdoms, Advanced Race Guide</t>
  </si>
  <si>
    <t>Chaos (2), Evil (2), Good (2), Law (2), Demodand (2)</t>
  </si>
  <si>
    <t> Weapon becomes good, evil, lawful, or chaotic.</t>
  </si>
  <si>
    <t>04 Jun2012: Added Hero Spells from APG</t>
  </si>
  <si>
    <t>27 May 2012: Updated for AP 56</t>
  </si>
  <si>
    <t>22 Apr 2012 Updated for AP 55</t>
  </si>
  <si>
    <t>01Apr2012: update for Ultimate Magic errata</t>
  </si>
  <si>
    <t>Alter Self</t>
  </si>
  <si>
    <t>polymorph</t>
  </si>
  <si>
    <t>bard 2, sorcerer/wizard 2, witch 2, summoner 2, alchemist 2, magus 2, shaman 2, psychic 2, mesmerist 2</t>
  </si>
  <si>
    <t>18 Mar 2012: updated Spark to be Magnus 0</t>
  </si>
  <si>
    <t>V, S, M (a piece of the creature whose form you plan to assume)</t>
  </si>
  <si>
    <t>personal</t>
  </si>
  <si>
    <t>you</t>
  </si>
  <si>
    <t>When you cast this spell, you can assume the form of any Small or Medium creature of the humanoid type. If the form you assume has any of the following abilities, you gain the listed ability: darkvision 60 feet, low-light vision, scent, and swim 30 feet. Small creature: If the form you take is that of a Small humanoid, you gain a +2 size bonus to your Dexterity. Medium creature: If the form you take is that of a Medium humanoid, you gain a +2 size bonus to your Strength.</t>
  </si>
  <si>
    <t>&lt;p&gt;When you cast this spell, you can assume the form of any Small or Medium creature of the humanoid type. If the form you assume has any of the following abilities, you gain the listed ability: darkvision 60 feet, low-light vision, scent, and swim 30 feet.&lt;/p&gt;&lt;p&gt;&lt;i&gt;Small creature&lt;/i&gt;: If the form you take is that of a Small humanoid, you gain a +2 size bonus to your Dexterity.&lt;/p&gt;&lt;p&gt;&lt;i&gt;Medium creature&lt;/i&gt;: If the form you take is that of a Medium humanoid, you gain a +2 size bonus to your Strength.&lt;/p&gt;</t>
  </si>
  <si>
    <t>&lt;link rel="stylesheet"href="PF.css"&gt;&lt;div class="heading"&gt;&lt;p class="alignleft"&gt;Alter Self &lt;/p&gt;&lt;div style="clear: both;"&gt;&lt;/div&gt;&lt;/div&gt;&lt;div&gt;&lt;h5&gt;&lt;b&gt;School &lt;/b&gt;transmutation (polymorph); &lt;b&gt;Level &lt;/b&gt;bard 2, sorcerer/wizard 2, alchemist 2, summoner 2, witch 2&lt;/h5&gt;&lt;h5&gt;&lt;b&gt;Casting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(D)&lt;/h5&gt;&lt;/div&gt;&lt;div&gt;&lt;h4&gt;&lt;p&gt;When you cast this spell, you can assume the form of any Small or Medium creature of the humanoid type. If the form you assume has any of the following abilities, you gain the listed ability: darkvision 60 feet, low-light vision, scent, and swim 30 feet.&lt;/p&gt;&lt;p&gt;&lt;i&gt;Small creature&lt;/i&gt;: If the form you take is that of a Small humanoid, you gain a +2 size bonus to your Dexterity.&lt;/p&gt;&lt;p&gt;&lt;i&gt;Medium creature&lt;/i&gt;: If the form you take is that of a Medium humanoid, you gain a +2 size bonus to your Strength.&lt;/p&gt;&lt;/h4&gt;&lt;/div&gt;</t>
  </si>
  <si>
    <t>Assume form of a Small or Medium humanoid.</t>
  </si>
  <si>
    <t>Alarm</t>
  </si>
  <si>
    <t>abjuration</t>
  </si>
  <si>
    <t>bard 1, ranger 1, sorcerer/wizard 1, summoner 1, inquisitor 1, occultist 1, psychic 1, spiritualist 1</t>
  </si>
  <si>
    <t>V, S, F/DF (a tiny bell and a piece of very fine silver wire)</t>
  </si>
  <si>
    <t>20-ft.-radius emanation centered on a point in space</t>
  </si>
  <si>
    <t>2 hours/level</t>
  </si>
  <si>
    <t>Alarm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alarm. You decide at the time of casting whether the alarm will be mental or audible in nature. Mental Alarm: A mental alarm alerts you (and only you) so long as you remain within 1 mile of the warded area. You note a single mental "ping" that awakens you from normal sleep but does not otherwise disturb concentration. A silence spell has no effect on a mental alarm. Audible Alarm: An audible alarm produces the sound of a hand bell, and anyone within 60 feet of the warded area can hear it clearly. Reduce the distance by 10 feet for each interposing closed door and by 20 feet for each substantial interposing wall. In quiet conditions, the ringing can be heard faintly as far as 180 feet away. The sound lasts for 1 round. Creatures within a silence spell cannot hear the ringing.  Ethereal or astral creatures do not trigger the alarm. Alarm can be made permanent with a permanency spell.</t>
  </si>
  <si>
    <t>&lt;p&gt;&lt;i&gt;Alarm&lt;/i&gt;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&lt;i&gt;alarm&lt;/i&gt;. You decide at the time of casting whether the &lt;i&gt;alarm&lt;/i&gt; will be mental or audible in nature.&lt;/p&gt;&lt;p&gt;&lt;i&gt;Mental Alarm&lt;/i&gt;: A mental &lt;i&gt;alarm&lt;/i&gt; alerts you (and only you) so long as you remain within 1 mile of the warded area. You note a single mental "ping" that awakens you from normal sleep but does not otherwise disturb concentration. A silence spell has no effect on a mental &lt;i&gt;alarm&lt;/i&gt;.&lt;/p&gt;&lt;p&gt;&lt;i&gt;Audible Alarm&lt;/i&gt;: An audible &lt;i&gt;alarm&lt;/i&gt; produces the sound of a hand bell, and anyone within 60 feet of the warded area can hear it clearly. Reduce the distance by 10 feet for each interposing closed door and by 20 feet for each substantial interposing wall.&lt;/p&gt;&lt;p&gt;In quiet conditions, the ringing can be heard faintly as far as 180 feet away. The sound lasts for 1 round. Creatures within a &lt;i&gt;silence&lt;/i&gt; spell cannot hear the ringing.  Ethereal or astral creatures do not trigger the &lt;i&gt;alarm&lt;/i&gt;.&lt;/p&gt;&lt;p&gt;&lt;i&gt;Alarm&lt;/i&gt; can be made permanent with a &lt;i&gt;permanency&lt;/i&gt; spell.&lt;/p&gt;</t>
  </si>
  <si>
    <t>&lt;link rel="stylesheet"href="PF.css"&gt;&lt;div class="heading"&gt;&lt;p class="alignleft"&gt;Alarm &lt;/p&gt;&lt;div style="clear: both;"&gt;&lt;/div&gt;&lt;/div&gt;&lt;div&gt;&lt;h5&gt;&lt;b&gt;School &lt;/b&gt;abjuration; &lt;b&gt;Level &lt;/b&gt;bard 1, ranger 1, sorcerer/wizard 1, summoner 1, inquisitor 1, occultist 1, psychic 1, spiritualist 1&lt;/h5&gt;&lt;h5&gt;&lt;b&gt;Casting Time &lt;/b&gt;1 standard action&lt;/h5&gt;&lt;h5&gt;&lt;b&gt;Components &lt;/b&gt;V, S, F/DF (a tiny bell and a piece of very fine silver wire)&lt;/h5&gt;&lt;h5&gt;&lt;b&gt;Range &lt;/b&gt;close (25 ft. + 5 ft./2 levels)&lt;/h5&gt;&lt;h5&gt;&lt;b&gt;Area &lt;/b&gt;20-ft.-radius emanation centered on a point in space&lt;/h5&gt;&lt;h5&gt;&lt;b&gt;Duration &lt;/b&gt;2 hours/level (D)&lt;/h5&gt;&lt;h5&gt;&lt;b&gt;Saving Throw &lt;/b&gt;none; &lt;b&gt;Spell Resistance &lt;/b&gt;no&lt;/h5&gt;&lt;/div&gt;&lt;div&gt;&lt;h4&gt;&lt;p&gt;&lt;i&gt;Alarm&lt;/i&gt;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&lt;i&gt;alarm&lt;/i&gt;. You decide at the time of casting whether the &lt;i&gt;alarm&lt;/i&gt; will be mental or audible in nature.&lt;/p&gt;&lt;p&gt;&lt;i&gt;Mental Alarm&lt;/i&gt;: A mental &lt;i&gt;alarm&lt;/i&gt; alerts you (and only you) so long as you remain within 1 mile of the warded area. You note a single mental "ping" that awakens you from normal sleep but does not otherwise disturb concentration. A silence spell has no effect on a mental &lt;i&gt;alarm&lt;/i&gt;.&lt;/p&gt;&lt;p&gt;&lt;i&gt;Audible Alarm&lt;/i&gt;: An audible &lt;i&gt;alarm&lt;/i&gt; produces the sound of a hand bell, and anyone within 60 feet of the warded area can hear it clearly. Reduce the distance by 10 feet for each interposing closed door and by 20 feet for each substantial interposing wall.&lt;/p&gt;&lt;p&gt;In quiet conditions, the ringing can be heard faintly as far as 180 feet away. The sound lasts for 1 round. Creatures within a &lt;i&gt;silence&lt;/i&gt; spell cannot hear the ringing.  Ethereal or astral creatures do not trigger the &lt;i&gt;alarm&lt;/i&gt;.&lt;/p&gt;&lt;p&gt;&lt;i&gt;Alarm&lt;/i&gt; can be made permanent with a &lt;i&gt;permanency&lt;/i&gt; spell.&lt;/p&gt;&lt;/h4&gt;&lt;/div&gt;</t>
  </si>
  <si>
    <t>Home (1), Ambush (1)</t>
  </si>
  <si>
    <t>Wards an area for 2 hours/level.</t>
  </si>
  <si>
    <t>Destined (3), Kobold Sorcerer (3), Kobold (3)</t>
  </si>
  <si>
    <t>Analyze Dweomer</t>
  </si>
  <si>
    <t>divination</t>
  </si>
  <si>
    <t>bard 6, sorcerer/wizard 6, witch 6, alchemist 6, occultist 6, psychic 6, spiritualist 6</t>
  </si>
  <si>
    <t>V, S, F (a ruby and gold lens worth 1,500 gp)</t>
  </si>
  <si>
    <t>one object or creature per caster level</t>
  </si>
  <si>
    <t>none or Will negates; see text</t>
  </si>
  <si>
    <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 An attended object may attempt a Will save to resist this effect if its holder so desires. If the save succeeds, you learn nothing about the object except what you can discern by looking at it. An object that makes its save cannot be affected by any other analyze dweomer spells for 24 hours. Analyze dweomer does not function when used on an artifact.</t>
  </si>
  <si>
    <t>&lt;p&gt;You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level.&lt;/p&gt;&lt;p&gt;An attended object may attempt a Will save to resist this effect if its holder so desires. If the save succeeds, you learn nothing about the object except what you can discern by looking at it. An object that makes its save cannot be affected by any other &lt;i&gt;analyze dweomer&lt;/i&gt; spells for 24 hours.&lt;/p&gt;&lt;p&gt;&lt;i&gt;Analyze dweomer&lt;/i&gt; does not function when used on an artifact.&lt;/p&gt;</t>
  </si>
  <si>
    <t>&lt;link rel="stylesheet"href="PF.css"&gt;&lt;div class="heading"&gt;&lt;p class="alignleft"&gt;Analyze Dweomer &lt;/p&gt;&lt;div style="clear: both;"&gt;&lt;/div&gt;&lt;/div&gt;&lt;div&gt;&lt;h5&gt;&lt;b&gt;School &lt;/b&gt;divination; &lt;b&gt;Level &lt;/b&gt;bard 6, sorcerer/wizard 6, alchemist 6, witch 6&lt;/h5&gt;&lt;h5&gt;&lt;b&gt;Casting Time &lt;/b&gt;1 standard action&lt;/h5&gt;&lt;h5&gt;&lt;b&gt;Components &lt;/b&gt;V, S, F (a ruby and gold lens worth 1,500 gp)&lt;/h5&gt;&lt;h5&gt;&lt;b&gt;Range &lt;/b&gt;close (25 ft. + 5 ft./2 levels)&lt;/h5&gt;&lt;h5&gt;&lt;b&gt;Targets &lt;/b&gt; one object or creature per caster level&lt;/h5&gt;&lt;h5&gt;&lt;b&gt;Duration &lt;/b&gt;1 round/level (D)&lt;/h5&gt;&lt;h5&gt;&lt;b&gt;Saving Throw &lt;/b&gt;none or Will negates; see text; &lt;b&gt;Spell Resistance &lt;/b&gt;no&lt;/h5&gt;&lt;/div&gt;&lt;div&gt;&lt;h4&gt;&lt;p&gt;You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level.&lt;/p&gt;&lt;p&gt;An attended object may attempt a Will save to resist this effect if its holder so desires. If the save succeeds, you learn nothing about the object except what you can discern by looking at it. An object that makes its save cannot be affected by any other &lt;i&gt;analyze dweomer&lt;/i&gt; spells for 24 hours.&lt;/p&gt;&lt;p&gt;&lt;i&gt;Analyze dweomer&lt;/i&gt; does not function when used on an artifact.&lt;/p&gt;&lt;/h4&gt;&lt;/div&gt;</t>
  </si>
  <si>
    <t>Arcane (6)</t>
  </si>
  <si>
    <t>Reveals magical aspects of subject.</t>
  </si>
  <si>
    <t>Animal Growth</t>
  </si>
  <si>
    <t>druid 5, ranger 4, sorcerer/wizard 5, shaman 5</t>
  </si>
  <si>
    <t>one animal (Gargantuan or smaller)</t>
  </si>
  <si>
    <t>Fortitude negates</t>
  </si>
  <si>
    <t>yes</t>
  </si>
  <si>
    <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the animal is similarly enlarged by the spell, though this change has no effect on the magical properties of any such equipment.  Any enlarged item that leaves the enlarged creature's possession instantly returns to its normal size.  The spell gives no means of command over an enlarged animal.  Multiple magical effects that increase size do not stack.</t>
  </si>
  <si>
    <t>&lt;p&gt;The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the animal is similarly enlarged by the spell, though this change has no effect on the magical properties of any such equipment.&lt;/p&gt;&lt;p&gt;Any enlarged item that leaves the enlarged creature's possession instantly returns to its normal size.&lt;/p&gt;&lt;p&gt;The spell gives no means of command over an enlarged animal.&lt;/p&gt;&lt;p&gt;Multiple magical effects that increase size do not stack.&lt;/p&gt;</t>
  </si>
  <si>
    <t>&lt;link rel="stylesheet"href="PF.css"&gt;&lt;div class="heading"&gt;&lt;p class="alignleft"&gt;Animal Growth &lt;/p&gt;&lt;div style="clear: both;"&gt;&lt;/div&gt;&lt;/div&gt;&lt;div&gt;&lt;h5&gt;&lt;b&gt;School &lt;/b&gt;transmutation; &lt;b&gt;Level &lt;/b&gt;druid 5, ranger 4, sorcerer/wizard 5, shaman 5&lt;/h5&gt;&lt;h5&gt;&lt;b&gt;Casting Time &lt;/b&gt;1 standard action&lt;/h5&gt;&lt;h5&gt;&lt;b&gt;Components &lt;/b&gt;V, S&lt;/h5&gt;&lt;h5&gt;&lt;b&gt;Range &lt;/b&gt;medium (100 ft. + 10 ft./level)&lt;/h5&gt;&lt;h5&gt;&lt;b&gt;Targets &lt;/b&gt; one animal (Gargantuan or smaller)&lt;/h5&gt;&lt;h5&gt;&lt;b&gt;Duration &lt;/b&gt;1 min./level&lt;/h5&gt;&lt;h5&gt;&lt;b&gt;Saving Throw &lt;/b&gt;Fortitude negates; &lt;b&gt;Spell Resistance &lt;/b&gt;yes&lt;/h5&gt;&lt;/div&gt;&lt;div&gt;&lt;h4&gt;&lt;p&gt;The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the animal is similarly enlarged by the spell, though this change has no effect on the magical properties of any such equipment.&lt;/p&gt;&lt;p&gt;Any enlarged item that leaves the enlarged creature's possession instantly returns to its normal size.&lt;/p&gt;&lt;p&gt;The spell gives no means of command over an enlarged animal.&lt;/p&gt;&lt;p&gt;Multiple magical effects that increase size do not stack.&lt;/p&gt;&lt;/h4&gt;&lt;/div&gt;</t>
  </si>
  <si>
    <t>Scalykind (5)</t>
  </si>
  <si>
    <t>One animal doubles in size.</t>
  </si>
  <si>
    <t>Animals (10)</t>
  </si>
  <si>
    <t>Animal Messenger</t>
  </si>
  <si>
    <t>bard 2, druid 2, ranger 1, shaman 2, psychic 2, mesmerist 2</t>
  </si>
  <si>
    <t>1 minute</t>
  </si>
  <si>
    <t>V, S, M (a morsel of food the animal likes)</t>
  </si>
  <si>
    <t>one Tiny animal</t>
  </si>
  <si>
    <t>1 day/level</t>
  </si>
  <si>
    <t>none; see text</t>
  </si>
  <si>
    <t>You compel a Tiny animal to go to a spot you designate. The most common use for this spell is to get an animal to carry a message to your allies. The animal cannot be one tamed or trained by someone else, including such creatures as familiars and animal companions.  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  During this period of waiting, the messenger allows others to approach it and remove any scroll or token it carries. The intended recipient gains no special ability to communicate with the animal or read any attached message (if it's written in a language he doesn't know, for example).</t>
  </si>
  <si>
    <t>&lt;p&gt;You compel a Tiny animal to go to a spot you designate. The most common use for this spell is to get an animal to carry a message to your allies. The animal cannot be one tamed or trained by someone else, including such creatures as familiars and animal companions.&lt;/p&gt;&lt;p&gt;Using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activities.&lt;/p&gt;&lt;p&gt;During this period of waiting, the messenger allows others to approach it and remove any scroll or token it carries. The intended recipient gains no special ability to communicate with the animal or read any attached message (if it's written in a language he doesn't know, for example).&lt;/p&gt;</t>
  </si>
  <si>
    <t>&lt;link rel="stylesheet"href="PF.css"&gt;&lt;div class="heading"&gt;&lt;p class="alignleft"&gt;Animal Messenger &lt;/p&gt;&lt;div style="clear: both;"&gt;&lt;/div&gt;&lt;/div&gt;&lt;div&gt;&lt;h5&gt;&lt;b&gt;School &lt;/b&gt;enchantment (compulsion) [mind-affecting]; &lt;b&gt;Level &lt;/b&gt;bard 2, druid 2, ranger 1, shaman 2, psychic 2, mesmerist 2&lt;/h5&gt;&lt;h5&gt;&lt;b&gt;Casting Time &lt;/b&gt;1 minute&lt;/h5&gt;&lt;h5&gt;&lt;b&gt;Components &lt;/b&gt;V, S, M (a morsel of food the animal likes)&lt;/h5&gt;&lt;h5&gt;&lt;b&gt;Range &lt;/b&gt;close (25 ft. + 5 ft./2 levels)&lt;/h5&gt;&lt;h5&gt;&lt;b&gt;Targets &lt;/b&gt; one Tiny animal&lt;/h5&gt;&lt;h5&gt;&lt;b&gt;Duration &lt;/b&gt;1 day/level&lt;/h5&gt;&lt;h5&gt;&lt;b&gt;Saving Throw &lt;/b&gt;none; see text; &lt;b&gt;Spell Resistance &lt;/b&gt;yes&lt;/h5&gt;&lt;/div&gt;&lt;div&gt;&lt;h4&gt;&lt;p&gt;You compel a Tiny animal to go to a spot you designate. The most common use for this spell is to get an animal to carry a message to your allies. The animal cannot be one tamed or trained by someone else, including such creatures as familiars and animal companions.&lt;/p&gt;&lt;p&gt;Using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activities.&lt;/p&gt;&lt;p&gt;During this period of waiting, the messenger allows others to approach it and remove any scroll or token it carries. The intended recipient gains no special ability to communicate with the animal or read any attached message (if it's written in a language he doesn't know, for example).&lt;/p&gt;&lt;/h4&gt;&lt;/div&gt;</t>
  </si>
  <si>
    <t>Sends a Tiny animal to a specific place.</t>
  </si>
  <si>
    <t>Animal Shapes</t>
  </si>
  <si>
    <t>druid 8, shaman 8</t>
  </si>
  <si>
    <t>up to one willing creature per level, all within 30 ft. of each other.</t>
  </si>
  <si>
    <t>1 hour/level</t>
  </si>
  <si>
    <t>As beast shape III,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t>
  </si>
  <si>
    <t>&lt;p&gt;As &lt;i&gt;beast shape III&lt;/i&gt;,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alone.&lt;/p&gt;</t>
  </si>
  <si>
    <t>&lt;link rel="stylesheet"href="PF.css"&gt;&lt;div class="heading"&gt;&lt;p class="alignleft"&gt;Animal Shapes&lt;/p&gt;&lt;div style="clear: both;"&gt;&lt;/div&gt;&lt;/div&gt;&lt;div&gt;&lt;h5&gt;&lt;b&gt;School &lt;/b&gt;transmutation (polymorph); &lt;b&gt;Level &lt;/b&gt;druid 8, shaman 8&lt;/h5&gt;&lt;h5&gt;&lt;b&gt;Casting Time &lt;/b&gt;1 standard action&lt;/h5&gt;&lt;h5&gt;&lt;b&gt;Components &lt;/b&gt;V, S, DF&lt;/h5&gt;&lt;h5&gt;&lt;b&gt;Range &lt;/b&gt;close (25 ft. + 5 ft./2 levels)&lt;/h5&gt;&lt;h5&gt;&lt;b&gt;Targets &lt;/b&gt; up to one willing creature per level, all within 30 ft. of each other.&lt;/h5&gt;&lt;h5&gt;&lt;b&gt;Duration &lt;/b&gt;1 hour/level (D)&lt;/h5&gt;&lt;h5&gt;&lt;b&gt;Saving Throw &lt;/b&gt;none; see text; &lt;b&gt;Spell Resistance &lt;/b&gt;yes (harmless)&lt;/h5&gt;&lt;/div&gt;&lt;div&gt;&lt;h4&gt;&lt;p&gt;As &lt;i&gt;beast shape III&lt;/i&gt;,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alone.&lt;/p&gt;&lt;/h4&gt;&lt;/div&gt;</t>
  </si>
  <si>
    <t>Animal (7), Scalykind (8)</t>
  </si>
  <si>
    <t> One ally/level polymorphs into chosen animal.</t>
  </si>
  <si>
    <t>Agility (16), Animals (16)</t>
  </si>
  <si>
    <t>Animal Trance</t>
  </si>
  <si>
    <t>mind-affecting, sonic</t>
  </si>
  <si>
    <t>bard 2, druid 2, psychic 2, mesmerist 2</t>
  </si>
  <si>
    <t>animals or magical beasts with Intelligence 1 or 2</t>
  </si>
  <si>
    <t>concentration</t>
  </si>
  <si>
    <t>Will negates</t>
  </si>
  <si>
    <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t>
  </si>
  <si>
    <t>&lt;p&gt;Your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affected.&lt;/p&gt;</t>
  </si>
  <si>
    <t>&lt;link rel="stylesheet"href="PF.css"&gt;&lt;div class="heading"&gt;&lt;p class="alignleft"&gt;Animal Trance&lt;/p&gt;&lt;div style="clear: both;"&gt;&lt;/div&gt;&lt;/div&gt;&lt;div&gt;&lt;h5&gt;&lt;b&gt;School &lt;/b&gt;enchantment (compulsion) [mind-affecting, sonic]; &lt;b&gt;Level &lt;/b&gt;bard 2, druid 2, psychic 2, mesmerist 2&lt;/h5&gt;&lt;h5&gt;&lt;b&gt;Casting Time &lt;/b&gt;1 standard action&lt;/h5&gt;&lt;h5&gt;&lt;b&gt;Components &lt;/b&gt;V, S&lt;/h5&gt;&lt;h5&gt;&lt;b&gt;Range &lt;/b&gt;close (25 ft. + 5 ft./2 levels)&lt;/h5&gt;&lt;h5&gt;&lt;b&gt;Targets &lt;/b&gt; animals or magical beasts with Intelligence 1 or 2&lt;/h5&gt;&lt;h5&gt;&lt;b&gt;Duration &lt;/b&gt;concentration&lt;/h5&gt;&lt;h5&gt;&lt;b&gt;Saving Throw &lt;/b&gt;Will negates; &lt;b&gt;Spell Resistance &lt;/b&gt;yes&lt;/h5&gt;&lt;/div&gt;&lt;div&gt;&lt;h4&gt;&lt;p&gt;Your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affected.&lt;/p&gt;&lt;/h4&gt;&lt;/div&gt;</t>
  </si>
  <si>
    <t>Scalykind (2)</t>
  </si>
  <si>
    <t>Fascinates 2d6 HD of animals.</t>
  </si>
  <si>
    <t>Animate Dead</t>
  </si>
  <si>
    <t>necromancy</t>
  </si>
  <si>
    <t>cleric/oracle 3, sorcerer/wizard 4, antipaladin 3, shaman 3, occultist 3, spiritualist 3</t>
  </si>
  <si>
    <t>V, S, M (an onyx gem worth at least 25 gp per Hit Die of the undead)</t>
  </si>
  <si>
    <t>one or more corpses touched</t>
  </si>
  <si>
    <t>This spell turns corpses into undead skeletons or zombies (see the Pathfinder RPG Bestiary) that obey your spoken commands.  The undead can be made to follow you, or they can be made to remain in an area and attack any creature (or just a specific kind of creature) entering the place. They remain animated until they are destroyed. A destroyed skeleton or zombie can't be animated again.  Regardless of the type of undead you create with this spell, you can't create more HD of undead than twice your caster level with a single casting of animate dead. The desecrate spell doubles this limit.  The undead you create remain under your control indefinitely.  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  Skeletons: A skeleton can be created only from a mostly intact corpse or skeleton. The corpse must have bones. If a skeleton is made from a corpse, the flesh falls off the bones.  Zombies: A zombie can be created only from a mostly intact corpse.  The corpse must be that of a creature with a physical anatomy.</t>
  </si>
  <si>
    <t>&lt;p&gt;This spell turns corpses into undead skeletons or zombies (see the &lt;i&gt;Pathfinder RPG&lt;/i&gt; Bestiary) that obey your spoken commands.&lt;/p&gt;&lt;p&gt;The undead can be made to follow you, or they can be made to remain in an area and attack any creature (or just a specific kind of creature) entering the place. They remain animated until they are destroyed. A destroyed skeleton or zombie can't be animated again.&lt;/p&gt;&lt;p&gt;Regardless of the type of undead you create with this spell, you can't create more HD of undead than twice your caster level with a single casting of &lt;i&gt;animate dead&lt;/i&gt;. The &lt;i&gt;desecrate&lt;/i&gt; spell doubles this limit.&lt;/p&gt;&lt;p&gt;The undead you create remain under your control indefinitely.&lt;/p&gt;&lt;p&gt;No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limit.&lt;/p&gt;&lt;p&gt;&lt;i&gt;Skeletons&lt;/i&gt;: A skeleton can be created only from a mostly intact corpse or skeleton. The corpse must have bones. If a skeleton is made from a corpse, the flesh falls off the bones.&lt;/p&gt;&lt;p&gt;&lt;i&gt;Zombies&lt;/i&gt;: A zombie can be created only from a mostly intact corpse.&lt;/p&gt;&lt;p&gt;The corpse must be that of a creature with a physical anatomy.&lt;/p&gt;</t>
  </si>
  <si>
    <t>&lt;link rel="stylesheet"href="PF.css"&gt;&lt;div class="heading"&gt;&lt;p class="alignleft"&gt;Animate Dead&lt;/p&gt;&lt;div style="clear: both;"&gt;&lt;/div&gt;&lt;/div&gt;&lt;div&gt;&lt;h5&gt;&lt;b&gt;School &lt;/b&gt;necromancy [evil]; &lt;b&gt;Level &lt;/b&gt;cleric/oracle 3, sorcerer/wizard 4, antipaladin 3, shaman 3, occultist 3, spiritualist 3&lt;/h5&gt;&lt;/div&gt;&lt;hr/&gt;&lt;div&gt;&lt;h5&gt;&lt;b&gt;CASTING&lt;/b&gt;&lt;/h5&gt;&lt;/div&gt;&lt;hr/&gt;&lt;div&gt;&lt;h5&gt;&lt;b&gt;Casting Time &lt;/b&gt;1 standard action&lt;/h5&gt;&lt;h5&gt;&lt;b&gt;Components &lt;/b&gt;V, S, M (an onyx gem worth at least 25 gp per Hit Die of the undead)&lt;/h5&gt;&lt;/div&gt;&lt;hr/&gt;&lt;div&gt;&lt;h5&gt;&lt;b&gt;EFFECT&lt;/b&gt;&lt;/h5&gt;&lt;/div&gt;&lt;hr/&gt;&lt;div&gt;&lt;h5&gt;&lt;b&gt;Range &lt;/b&gt;touch&lt;/h5&gt;&lt;h5&gt;&lt;b&gt;Targets &lt;/b&gt;one or more corpses touched&lt;/h5&gt;&lt;h5&gt;&lt;b&gt;Duration &lt;/b&gt;instantaneous&lt;/h5&gt;&lt;h5&gt;&lt;b&gt;Saving Throw &lt;/b&gt;none; &lt;b&gt;Spell Resistance &lt;/b&gt;no&lt;/h5&gt;&lt;/div&gt;&lt;hr/&gt;&lt;div&gt;&lt;h5&gt;&lt;b&gt;DESCRIPTION&lt;/b&gt;&lt;/h5&gt;&lt;/div&gt;&lt;hr/&gt;&lt;div&gt;&lt;h4&gt;&lt;p&gt;This spell turns corpses into undead skeletons or zombies (see the &lt;i&gt;Pathfinder RPG&lt;/i&gt; Bestiary) that obey your spoken commands.&lt;/p&gt;&lt;p&gt;The undead can be made to follow you, or they can be made to remain in an area and attack any creature (or just a specific kind of creature) entering the place. They remain animated until they are destroyed. A destroyed skeleton or zombie can't be animated again.&lt;/p&gt;&lt;p&gt;Regardless of the type of undead you create with this spell, you can't create more HD of undead than twice your caster level with a single casting of &lt;i&gt;animate dead&lt;/i&gt;. The &lt;i&gt;desecrate&lt;/i&gt; spell doubles this limit.&lt;/p&gt;&lt;p&gt;The undead you create remain under your control indefinitely.&lt;/p&gt;&lt;p&gt;No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limit.&lt;/p&gt;&lt;p&gt;&lt;i&gt;Skeletons&lt;/i&gt;: A skeleton can be created only from a mostly intact corpse or skeleton. The corpse must have bones. If a skeleton is made from a corpse, the flesh falls off the bones.&lt;/p&gt;&lt;p&gt;&lt;i&gt;Zombies&lt;/i&gt;: A zombie can be created only from a mostly intact corpse.&lt;/p&gt;&lt;p&gt;The corpse must be that of a creature with a physical anatomy.&lt;/p&gt;&lt;/h4&gt;&lt;h5&gt;&lt;b&gt;Mythic: &lt;/b&gt;Add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cost.&lt;/h5&gt;&lt;h5&gt;&lt;b&gt;Augmented (6th)&lt;/b&gt;: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216).&lt;/h5&gt;&lt;/div&gt;</t>
  </si>
  <si>
    <t>Death (3), Souls (3)</t>
  </si>
  <si>
    <t>Creates undead skeletons and zombies.</t>
  </si>
  <si>
    <t>Undead (9)</t>
  </si>
  <si>
    <t>Plague (8)</t>
  </si>
  <si>
    <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t>
  </si>
  <si>
    <t>Augmented (6th):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t>
  </si>
  <si>
    <t>Animate Objects</t>
  </si>
  <si>
    <t>bard 6, cleric/oracle 6, witch 6, occultist 6, psychic 6</t>
  </si>
  <si>
    <t>one Small object per caster level; see text</t>
  </si>
  <si>
    <t>You imbue inanimate objects with mobility and a semblance of life. Each such animated object then immediately attacks whomever or whatever you initially designate.  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Pathfinder RPG Bestiary for the statistics of animated objects.  This spell cannot affect objects carried or worn by a creature.  Animate objects can be made permanent with a permanency spell.</t>
  </si>
  <si>
    <t>&lt;p&gt;You imbue inanimate objects with mobility and a semblance of life. Each such animated object then immediately attacks whomever or whatever you initially designate.&lt;/p&gt;&lt;p&gt;An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&lt;i&gt;Pathfinder RPG Bestiary&lt;/i&gt; for the statistics of animated objects.&lt;/p&gt;&lt;p&gt;This spell cannot affect objects carried or worn by a creature.&lt;/p&gt;&lt;p&gt;&lt;i&gt;Animate objects&lt;/i&gt; can be made permanent with a &lt;i&gt;permanency&lt;/i&gt; spell.&lt;/p&gt;</t>
  </si>
  <si>
    <t>&lt;link rel="stylesheet"href="PF.css"&gt;&lt;div class="heading"&gt;&lt;p class="alignleft"&gt;Animate Objects&lt;/p&gt;&lt;div style="clear: both;"&gt;&lt;/div&gt;&lt;/div&gt;&lt;div&gt;&lt;h5&gt;&lt;b&gt;School &lt;/b&gt;transmutation; &lt;b&gt;Level &lt;/b&gt;bard 6, cleric/oracle 6, witch 6, occultist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Small object per caster level; see text&lt;/h5&gt;&lt;h5&gt;&lt;b&gt;Duration &lt;/b&gt;1 round/level&lt;/h5&gt;&lt;h5&gt;&lt;b&gt;Saving Throw &lt;/b&gt;none; &lt;b&gt;Spell Resistance &lt;/b&gt;no&lt;/h5&gt;&lt;/div&gt;&lt;hr/&gt;&lt;div&gt;&lt;h5&gt;&lt;b&gt;DESCRIPTION&lt;/b&gt;&lt;/h5&gt;&lt;/div&gt;&lt;hr/&gt;&lt;div&gt;&lt;h4&gt;&lt;p&gt;You imbue inanimate objects with mobility and a semblance of life. Each such animated object then immediately attacks whomever or whatever you initially designate.&lt;/p&gt;&lt;p&gt;An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&lt;i&gt;Pathfinder RPG Bestiary&lt;/i&gt; for the statistics of animated objects.&lt;/p&gt;&lt;p&gt;This spell cannot affect objects carried or worn by a creature.&lt;/p&gt;&lt;p&gt;&lt;i&gt;Animate objects&lt;/i&gt; can be made permanent with a &lt;i&gt;permanency&lt;/i&gt; spell.&lt;/p&gt;&lt;/h4&gt;&lt;h5&gt;&lt;b&gt;Mythic: &lt;/b&gt;Animated objects you create with this spell get the maximum number of hit points per level, gain a +4 bonus to their Strength ability scores, and have 1-1/2 times the normal number of construction points.&lt;/h5&gt;&lt;/div&gt;</t>
  </si>
  <si>
    <t>Chaos (6), Flotsam (6)</t>
  </si>
  <si>
    <t>Objects attack your foes.</t>
  </si>
  <si>
    <t>Impossible (13)</t>
  </si>
  <si>
    <t>Animated objects you create with this spell get the maximum number of hit points per level, gain a +4 bonus to their Strength ability scores, and have 1-1/2 times the normal number of construction points.</t>
  </si>
  <si>
    <t>Animate Plants</t>
  </si>
  <si>
    <t>druid 7, shaman 7</t>
  </si>
  <si>
    <t>V</t>
  </si>
  <si>
    <t>one Large plant per three caster levels or all plants within  range; see text</t>
  </si>
  <si>
    <t>1 round/level or 1 hour/level; see text</t>
  </si>
  <si>
    <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  Use the statistics for animated objects (see Pathfinder RPG Bestiary), except that plants smaller than Large don't have hardness.  Animate plants cannot affect plant creatures, nor does it affect nonliving vegetable material.  Entangle: Alternatively, you may imbue all plants within range with a degree of mobility, which allows them to entwine around creatures in the area. This usage of the spell duplicates the effect of an entangle spell. Spell resistance does not keep creatures from being entangled. This effect lasts 1 hour per caster level.</t>
  </si>
  <si>
    <t>&lt;p&gt;You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spell.&lt;/p&gt;&lt;p&gt;Use the statistics for animated objects (see &lt;i&gt;Pathfinder RPG&lt;/i&gt; Bestiary), except that plants smaller than Large don't have hardness.&lt;/p&gt;&lt;p&gt;&lt;i&gt;Animate plants&lt;/i&gt; cannot affect plant creatures, nor does it affect nonliving vegetable material.&lt;/p&gt;&lt;p&gt;&lt;i&gt;Entangle&lt;/i&gt;: Alternatively, you may imbue all plants within range with a degree of mobility, which allows them to entwine around creatures in the area. This usage of the spell duplicates the effect of an &lt;i&gt;entangle&lt;/i&gt; spell. Spell resistance does not keep creatures from being &lt;i&gt;entangle&lt;/i&gt;d. This effect lasts 1 hour per caster level.&lt;/p&gt;</t>
  </si>
  <si>
    <t>&lt;link rel="stylesheet"href="PF.css"&gt;&lt;div class="heading"&gt;&lt;p class="alignleft"&gt;Animate Plants&lt;/p&gt;&lt;div style="clear: both;"&gt;&lt;/div&gt;&lt;/div&gt;&lt;div&gt;&lt;h5&gt;&lt;b&gt;School &lt;/b&gt;transmutation; &lt;b&gt;Level &lt;/b&gt;druid 7, shaman 7&lt;/h5&gt;&lt;/div&gt;&lt;hr/&gt;&lt;div&gt;&lt;h5&gt;&lt;b&gt;CASTING&lt;/b&gt;&lt;/h5&gt;&lt;/div&gt;&lt;hr/&gt;&lt;div&gt;&lt;h5&gt;&lt;b&gt;Casting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Large plant per three caster levels or all plants within  range; see text&lt;/h5&gt;&lt;h5&gt;&lt;b&gt;Duration &lt;/b&gt;1 round/level or 1 hour/level; see text&lt;/h5&gt;&lt;h5&gt;&lt;b&gt;Saving Throw &lt;/b&gt;none; &lt;b&gt;Spell Resistance &lt;/b&gt;no&lt;/h5&gt;&lt;/div&gt;&lt;hr/&gt;&lt;div&gt;&lt;h5&gt;&lt;b&gt;DESCRIPTION&lt;/b&gt;&lt;/h5&gt;&lt;/div&gt;&lt;hr/&gt;&lt;div&gt;&lt;h4&gt;&lt;p&gt;You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spell.&lt;/p&gt;&lt;p&gt;Use the statistics for animated objects (see &lt;i&gt;Pathfinder RPG&lt;/i&gt; Bestiary), except that plants smaller than Large don't have hardness.&lt;/p&gt;&lt;p&gt;&lt;i&gt;Animate plants&lt;/i&gt; cannot affect plant creatures, nor does it affect nonliving vegetable material.&lt;/p&gt;&lt;p&gt;&lt;i&gt;Entangle&lt;/i&gt;: Alternatively, you may imbue all plants within range with a degree of mobility, which allows them to entwine around creatures in the area. This usage of the spell duplicates the effect of an &lt;i&gt;entangle&lt;/i&gt; spell. Spell resistance does not keep creatures from being &lt;i&gt;entangle&lt;/i&gt;d. This effect lasts 1 hour per caster level.&lt;/p&gt;&lt;/h4&gt;&lt;h5&gt;&lt;b&gt;Mythic: &lt;/b&gt;Animated plants you create with this spell get the maximum number of hit points per level, gain a +4 bonus to their Strength ability scores, and have 1-1/2 times the normal number of construction points.&lt;/h5&gt;&lt;/div&gt;</t>
  </si>
  <si>
    <t>Plant (7)</t>
  </si>
  <si>
    <t> One or more plants animate and fight for you.</t>
  </si>
  <si>
    <t>Verdant (17)</t>
  </si>
  <si>
    <t>Plant (14)</t>
  </si>
  <si>
    <t>Animated plants you create with this spell get the maximum number of hit points per level, gain a +4 bonus to their Strength ability scores, and have 1-1/2 times the normal number of construction points.</t>
  </si>
  <si>
    <t>Animate Rope</t>
  </si>
  <si>
    <t>bard 1, sorcerer/wizard 1, psychic 1, mesmerist 1</t>
  </si>
  <si>
    <t>one rope-like object, length up to 50 ft. + 5 ft./level; see text</t>
  </si>
  <si>
    <t>You can animate a nonliving rope-like object. The maximum length assumes a rope with a 1-inch diameter. Reduce the maximum length by 50% for every additional inch of thickness, and increase it by 50% for each reduction of the rope's diameter by half.  The possible commands are "coil" (form a neat, coiled stack), "coil and knot," "loop," "loop and knot," "tie and knot," and the opposites of all of the above ("uncoil," and so forth). You can give one command each round as a move action, as if directing an active spell.  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  The rope itself and any knots tied in it are not magical.  The spell cannot affect objects carried or worn by a creature.</t>
  </si>
  <si>
    <t>&lt;p&gt;You can animate a nonliving rope-like object. The maximum length assumes a rope with a 1-inch diameter. Reduce the maximum length by 50% for every additional inch of thickness, and increase it by 50% for each reduction of the rope's diameter by half.&lt;/p&gt;&lt;p&gt;The possible commands are "coil" (form a neat, coiled stack), "coil and knot," "loop," "loop and knot," "tie and knot," and the opposites of all of the above ("uncoil," and so forth). You can give one command each round as a move action, as if directing an active spell.&lt;/p&gt;&lt;p&gt;The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check.&lt;/p&gt;&lt;p&gt;The rope itself and any knots tied in it are not magical.&lt;/p&gt;&lt;p&gt;The spell cannot affect objects carried or worn by a creature.&lt;/p&gt;</t>
  </si>
  <si>
    <t>&lt;link rel="stylesheet"href="PF.css"&gt;&lt;div class="heading"&gt;&lt;p class="alignleft"&gt;Animate Rope &lt;/p&gt;&lt;div style="clear: both;"&gt;&lt;/div&gt;&lt;/div&gt;&lt;div&gt;&lt;h5&gt;&lt;b&gt;School &lt;/b&gt;transmutation; &lt;b&gt;Level &lt;/b&gt;bard 1, sorcerer/wizard 1, psychic 1, mesmerist 1&lt;/h5&gt;&lt;h5&gt;&lt;b&gt;Casting Time &lt;/b&gt;1 standard action&lt;/h5&gt;&lt;h5&gt;&lt;b&gt;Components &lt;/b&gt;V, S&lt;/h5&gt;&lt;h5&gt;&lt;b&gt;Range &lt;/b&gt;medium (100 ft. + 10 ft./level)&lt;/h5&gt;&lt;h5&gt;&lt;b&gt;Targets &lt;/b&gt; one rope-like object, length up to 50 ft. + 5 ft./level; see text&lt;/h5&gt;&lt;h5&gt;&lt;b&gt;Duration &lt;/b&gt;1 round/level&lt;/h5&gt;&lt;h5&gt;&lt;b&gt;Saving Throw &lt;/b&gt;none; &lt;b&gt;Spell Resistance &lt;/b&gt;no&lt;/h5&gt;&lt;/div&gt;&lt;div&gt;&lt;h4&gt;&lt;p&gt;You can animate a nonliving rope-like object. The maximum length assumes a rope with a 1-inch diameter. Reduce the maximum length by 50% for every additional inch of thickness, and increase it by 50% for each reduction of the rope's diameter by half.&lt;/p&gt;&lt;p&gt;The possible commands are "coil" (form a neat, coiled stack), "coil and knot," "loop," "loop and knot," "tie and knot," and the opposites of all of the above ("uncoil," and so forth). You can give one command each round as a move action, as if directing an active spell.&lt;/p&gt;&lt;p&gt;The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check.&lt;/p&gt;&lt;p&gt;The rope itself and any knots tied in it are not magical.&lt;/p&gt;&lt;p&gt;The spell cannot affect objects carried or worn by a creature.&lt;/p&gt;&lt;/h4&gt;&lt;/div&gt;</t>
  </si>
  <si>
    <t>Artifice (1)</t>
  </si>
  <si>
    <t>Makes a rope move at your command.</t>
  </si>
  <si>
    <t>Trickery (2)</t>
  </si>
  <si>
    <t>Antilife Shell</t>
  </si>
  <si>
    <t>cleric/oracle 6, druid 6, shaman 6, psychic 6</t>
  </si>
  <si>
    <t>1 round</t>
  </si>
  <si>
    <t>10 ft.</t>
  </si>
  <si>
    <t>10-ft.-radius emanation, centered on you</t>
  </si>
  <si>
    <t>You bring into being a mobile, hemispherical energy field that prevents the entrance of most types of living creatures.  The effect hedges out animals, aberrations, dragons, fey, giants, humanoids, magical beasts, monstrous humanoids, oozes, plants, and vermin, but not constructs, elementals, outsiders, or undead.  This spell may be used only defensively, not aggressively. Forcing an abjuration barrier against creatures that the spell keeps at bay collapses the barrier.</t>
  </si>
  <si>
    <t>&lt;p&gt;You bring into being a mobile, hemispherical energy field that prevents the entrance of most types of living creatures.&lt;/p&gt;&lt;p&gt;The effect hedges out animals, aberrations, dragons, fey, giants, humanoids, magical beasts, monstrous humanoids, oozes, plants, and vermin, but not constructs, elementals, outsiders, or undead.&lt;/p&gt;&lt;p&gt;This spell may be used only defensively, not aggressively. Forcing an abjuration barrier against creatures that the spell keeps at bay collapses the barrier.&lt;/p&gt;</t>
  </si>
  <si>
    <t>&lt;link rel="stylesheet"href="PF.css"&gt;&lt;div class="heading"&gt;&lt;p class="alignleft"&gt;Antilife Shell&lt;/p&gt;&lt;div style="clear: both;"&gt;&lt;/div&gt;&lt;/div&gt;&lt;div&gt;&lt;h5&gt;&lt;b&gt;School &lt;/b&gt;abjuration; &lt;b&gt;Level &lt;/b&gt;cleric/oracle 6, druid 6, shaman 6, psychic 6&lt;/h5&gt;&lt;h5&gt;&lt;b&gt;Casting Time &lt;/b&gt;1 round&lt;/h5&gt;&lt;h5&gt;&lt;b&gt;Components &lt;/b&gt;V, S, DF&lt;/h5&gt;&lt;h5&gt;&lt;b&gt;Range &lt;/b&gt;10 ft.&lt;/h5&gt;&lt;h5&gt;&lt;b&gt;Area &lt;/b&gt;10-ft.-radius emanation, centered on you&lt;/h5&gt;&lt;h5&gt;&lt;b&gt;Duration &lt;/b&gt;1 min./level (D)&lt;/h5&gt;&lt;h5&gt;&lt;b&gt;Saving Throw &lt;/b&gt;none; &lt;b&gt;Spell Resistance &lt;/b&gt;yes&lt;/h5&gt;&lt;/div&gt;&lt;div&gt;&lt;h4&gt;&lt;p&gt;You bring into being a mobile, hemispherical energy field that prevents the entrance of most types of living creatures.&lt;/p&gt;&lt;p&gt;The effect hedges out animals, aberrations, dragons, fey, giants, humanoids, magical beasts, monstrous humanoids, oozes, plants, and vermin, but not constructs, elementals, outsiders, or undead.&lt;/p&gt;&lt;p&gt;This spell may be used only defensively, not aggressively. Forcing an abjuration barrier against creatures that the spell keeps at bay collapses the barrier.&lt;/p&gt;&lt;/h4&gt;&lt;/div&gt;</t>
  </si>
  <si>
    <t>Animal (6), Souls (6)</t>
  </si>
  <si>
    <t>10-ft.-radius field hedges out living creatures.</t>
  </si>
  <si>
    <t>Animals (12)</t>
  </si>
  <si>
    <t>Antimagic Field</t>
  </si>
  <si>
    <t>cleric/oracle 8, sorcerer/wizard 6, occultist 6, psychic 7</t>
  </si>
  <si>
    <t>V, S, M/DF (pinch of powdered iron or iron filings)</t>
  </si>
  <si>
    <t>10 min./level (D)</t>
  </si>
  <si>
    <t>An invisible barrier surrounds you and moves with you. The space within this barrier is impervious to most magical effects, including spells, spell-like abilities, and supernatural abilities.  Likewise, it prevents the functioning of any magic items or spells within its confines.  An antimagic field suppresses any spell or magical effect used within, brought into, or cast into the area, but does not dispel it.  Time spent within an antimagic field counts against the suppressed spell's duration.  Summoned creatures of any type wink out if they enter an antimagic field. They reappear in the same spot once the field goes away. Time spent winked out counts normally against the duration of the conjuration that is maintaining the creature. If you cast antimagic field in an area occupied by a summoned creature that has spell resistance, you must make a caster level check (1d20 + caster level) against the creature's spell resistance to make it wink out.  (The effects of instantaneous conjurations are not affected by an antimagic field because the conjuration itself is no longer in effect, only its result.) A normal creature can enter the area, as can normal missiles.  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  Dispel magic does not remove the field.  Two or more antimagic fields sharing any of the same space have no effect on each other. Certain spells, such as wall of force, prismatic sphere, and prismatic wall, remain unaffected by antimagic field.  Artifacts and deities are unaffected by mortal magic such as this.  Should a creature be larger than the area enclosed by the barrier, any part of it that lies outside the barrier is unaffected by the field.</t>
  </si>
  <si>
    <t>&lt;p&gt;An invisible barrier surrounds you and moves with you. The space within this barrier is impervious to most magical effects, including spells, spell-like abilities, and supernatural abilities.&lt;/p&gt;&lt;p&gt;Likewise, it prevents the functioning of any magic items or spells within its confines.&lt;/p&gt;&lt;p&gt;An &lt;i&gt;antimagic field&lt;/i&gt; suppresses any spell or magical effect used within, brought into, or cast into the area, but does not dispel it.&lt;/p&gt;&lt;p&gt;Time spent within an &lt;i&gt;antimagic field&lt;/i&gt; counts against the suppressed spell's duration.&lt;/p&gt;&lt;p&gt;Summoned creatures of any type wink out if they enter an &lt;i&gt;antimagic field&lt;/i&gt;. They reappear in the same spot once the field goes away. Time spent winked out counts normally against the duration of the conjuration that is maintaining the creature. If you cast &lt;i&gt;antimagic field&lt;/i&gt; in an area occupied by a summoned creature that has spell resistance, you must make a caster level check (1d20 + caster level) against the creature's spell resistance to make it wink out.&lt;/p&gt;&lt;p&gt;(The effects of instantaneous conjurations are not affected by an &lt;i&gt;antimagic field&lt;/i&gt; because the conjuration itself is no longer in effect, only its result.) A normal creature can enter the area, as can normal missiles.&lt;/p&gt;&lt;p&gt;Furthermore,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field.&lt;/p&gt;&lt;p&gt;&lt;i&gt;Dispel magic&lt;/i&gt; does not remove the field.&lt;/p&gt;&lt;p&gt;Two or more &lt;i&gt;antimagic field&lt;/i&gt;s sharing any of the same space have no effect on each other. Certain spells, such as &lt;i&gt;wall of force&lt;/i&gt;, &lt;i&gt;prismatic sphere&lt;/i&gt;, and &lt;i&gt;prismatic wall&lt;/i&gt;, remain unaffected by &lt;i&gt;antimagic field&lt;/i&gt;.&lt;/p&gt;&lt;p&gt;Artifacts and deities are unaffected by mortal magic such as this.&lt;/p&gt;&lt;p&gt;Should a creature be larger than the area enclosed by the barrier, any part of it that lies outside the barrier is unaffected by the field.&lt;/p&gt;</t>
  </si>
  <si>
    <t>&lt;link rel="stylesheet"href="PF.css"&gt;&lt;div class="heading"&gt;&lt;p class="alignleft"&gt;Antimagic Field&lt;/p&gt;&lt;div style="clear: both;"&gt;&lt;/div&gt;&lt;/div&gt;&lt;div&gt;&lt;h5&gt;&lt;b&gt;School &lt;/b&gt;abjuration; &lt;b&gt;Level &lt;/b&gt;cleric/oracle 8, sorcerer/wizard 6, occultist 6, psychic 7&lt;/h5&gt;&lt;/div&gt;&lt;hr/&gt;&lt;div&gt;&lt;h5&gt;&lt;b&gt;CASTING&lt;/b&gt;&lt;/h5&gt;&lt;/div&gt;&lt;hr/&gt;&lt;div&gt;&lt;h5&gt;&lt;b&gt;Casting Time &lt;/b&gt;1 standard action&lt;/h5&gt;&lt;h5&gt;&lt;b&gt;Components &lt;/b&gt;V, S, M/DF (pinch of powdered iron or iron filings)&lt;/h5&gt;&lt;/div&gt;&lt;hr/&gt;&lt;div&gt;&lt;h5&gt;&lt;b&gt;EFFECT&lt;/b&gt;&lt;/h5&gt;&lt;/div&gt;&lt;hr/&gt;&lt;div&gt;&lt;h5&gt;&lt;b&gt;Range &lt;/b&gt;10 ft.&lt;/h5&gt;&lt;h5&gt;&lt;b&gt;Area &lt;/b&gt;10-ft.-radius emanation, centered on you&lt;/h5&gt;&lt;h5&gt;&lt;b&gt;Duration &lt;/b&gt;10 min./level (D)&lt;/h5&gt;&lt;h5&gt;&lt;b&gt;Saving Throw &lt;/b&gt;none; &lt;b&gt;Spell Resistance &lt;/b&gt;see text&lt;/h5&gt;&lt;/div&gt;&lt;hr/&gt;&lt;div&gt;&lt;h5&gt;&lt;b&gt;DESCRIPTION&lt;/b&gt;&lt;/h5&gt;&lt;/div&gt;&lt;hr/&gt;&lt;div&gt;&lt;h4&gt;&lt;p&gt;An invisible barrier surrounds you and moves with you. The space within this barrier is impervious to most magical effects, including spells, spell-like abilities, and supernatural abilities.&lt;/p&gt;&lt;p&gt;Likewise, it prevents the functioning of any magic items or spells within its confines.&lt;/p&gt;&lt;p&gt;An &lt;i&gt;antimagic field&lt;/i&gt; suppresses any spell or magical effect used within, brought into, or cast into the area, but does not dispel it.&lt;/p&gt;&lt;p&gt;Time spent within an &lt;i&gt;antimagic field&lt;/i&gt; counts against the suppressed spell's duration.&lt;/p&gt;&lt;p&gt;Summoned creatures of any type wink out if they enter an &lt;i&gt;antimagic field&lt;/i&gt;. They reappear in the same spot once the field goes away. Time spent winked out counts normally against the duration of the conjuration that is maintaining the creature. If you cast &lt;i&gt;antimagic field&lt;/i&gt; in an area occupied by a summoned creature that has spell resistance, you must make a caster level check (1d20 + caster level) against the creature's spell resistance to make it wink out.&lt;/p&gt;&lt;p&gt;(The effects of instantaneous conjurations are not affected by an &lt;i&gt;antimagic field&lt;/i&gt; because the conjuration itself is no longer in effect, only its result.) A normal creature can enter the area, as can normal missiles.&lt;/p&gt;&lt;p&gt;Furthermore,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field.&lt;/p&gt;&lt;p&gt;&lt;i&gt;Dispel magic&lt;/i&gt; does not remove the field.&lt;/p&gt;&lt;p&gt;Two or more &lt;i&gt;antimagic field&lt;/i&gt;s sharing any of the same space have no effect on each other. Certain spells, such as &lt;i&gt;wall of force&lt;/i&gt;, &lt;i&gt;prismatic sphere&lt;/i&gt;, and &lt;i&gt;prismatic wall&lt;/i&gt;, remain unaffected by &lt;i&gt;antimagic field&lt;/i&gt;.&lt;/p&gt;&lt;p&gt;Artifacts and deities are unaffected by mortal magic such as this.&lt;/p&gt;&lt;p&gt;Should a creature be larger than the area enclosed by the barrier, any part of it that lies outside the barrier is unaffected by the field.&lt;/p&gt;&lt;/h4&gt;&lt;h5&gt;&lt;b&gt;Mythic: &lt;/b&gt;Select a number of spell schools equal to half your tier. Spells and effects of the chosen schools are unaffected by the antimagic field.&lt;/h5&gt;&lt;/div&gt;</t>
  </si>
  <si>
    <t>Magic (6), Protection (6)</t>
  </si>
  <si>
    <t>Negates magic within 10 ft.</t>
  </si>
  <si>
    <t>Select a number of spell schools equal to half your tier. Spells and effects of the chosen schools are unaffected by the antimagic field.</t>
  </si>
  <si>
    <t>Antipathy</t>
  </si>
  <si>
    <t>mind-affecting, emotion</t>
  </si>
  <si>
    <t>druid 9, sorcerer/wizard 8, witch 8, summoner 6, occultist 6, psychic 8</t>
  </si>
  <si>
    <t>1 hour</t>
  </si>
  <si>
    <t>V, S, M/DF (a lump of alum soaked in vinegar)</t>
  </si>
  <si>
    <t>one location (up to a 10-ft. cube/level) or one object</t>
  </si>
  <si>
    <t>Will partial</t>
  </si>
  <si>
    <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 Creatures of the designated kind or alignment feel an urge to leave the area or to avoid the affected item. 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 Antipathy counters and dispels sympathy.</t>
  </si>
  <si>
    <t>&lt;p&gt;You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named.&lt;/p&gt;&lt;p&gt;Creatures of the designated kind or alignment feel an urge to leave the area or to avoid the affected item.&lt;/p&gt;&lt;p&gt;A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points.&lt;/p&gt;&lt;p&gt;&lt;i&gt;Antipathy&lt;/i&gt; counters and dispels &lt;i&gt;sympathy&lt;/i&gt;.&lt;/p&gt;</t>
  </si>
  <si>
    <t>&lt;link rel="stylesheet"href="PF.css"&gt;&lt;div class="heading"&gt;&lt;p class="alignleft"&gt;Antipathy&lt;/p&gt;&lt;div style="clear: both;"&gt;&lt;/div&gt;&lt;/div&gt;&lt;div&gt;&lt;h5&gt;&lt;b&gt;School &lt;/b&gt;enchantment (compulsion) [mind-affecting, emotion]; &lt;b&gt;Level &lt;/b&gt;druid 9, sorcerer/wizard 8, summoner 6, witch 8&lt;/h5&gt;&lt;h5&gt;&lt;b&gt;Casting Time &lt;/b&gt;1 hour&lt;/h5&gt;&lt;h5&gt;&lt;b&gt;Components &lt;/b&gt;V, S, M/DF (a lump of alum soaked in vinegar)&lt;/h5&gt;&lt;h5&gt;&lt;b&gt;Range &lt;/b&gt;close (25 ft. + 5 ft./2 levels)&lt;/h5&gt;&lt;h5&gt;&lt;b&gt;Targets &lt;/b&gt; one location (up to a 10-ft. cube/level) or one object&lt;/h5&gt;&lt;h5&gt;&lt;b&gt;Duration &lt;/b&gt;2 hours/level (D)&lt;/h5&gt;&lt;h5&gt;&lt;b&gt;Saving Throw &lt;/b&gt;Will partial; &lt;b&gt;Spell Resistance &lt;/b&gt;yes&lt;/h5&gt;&lt;/div&gt;&lt;div&gt;&lt;h4&gt;&lt;p&gt;You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named.&lt;/p&gt;&lt;p&gt;Creatures of the designated kind or alignment feel an urge to leave the area or to avoid the affected item.&lt;/p&gt;&lt;p&gt;A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points.&lt;/p&gt;&lt;p&gt;&lt;i&gt;Antipathy&lt;/i&gt; counters and dispels &lt;i&gt;sympathy&lt;/i&gt;.&lt;/p&gt;&lt;/h4&gt;&lt;/div&gt;</t>
  </si>
  <si>
    <t>Object or location affected by spell repels certain creatures.</t>
  </si>
  <si>
    <t>Peace (18)</t>
  </si>
  <si>
    <t>Antiplant Shell</t>
  </si>
  <si>
    <t>druid 4</t>
  </si>
  <si>
    <t>The antiplant shell spell creates an invisible, mobile barrier that keeps all creatures within the shell protected from attacks by plant creatures or animated plants. As with many abjuration spells, forcing the barrier against creatures that the spell keeps at bay strains and collapses the field.</t>
  </si>
  <si>
    <t>&lt;p&gt;The &lt;i&gt;antiplant shell&lt;/i&gt; spell creates an invisible, mobile barrier that keeps all creatures within the shell protected from attacks by plant creatures or animated plants. As with many abjuration spells, forcing the barrier against creatures that the spell keeps at bay strains and collapses the field.&lt;/p&gt;</t>
  </si>
  <si>
    <t>&lt;link rel="stylesheet"href="PF.css"&gt;&lt;div class="heading"&gt;&lt;p class="alignleft"&gt;Antiplant Shell&lt;/p&gt;&lt;div style="clear: both;"&gt;&lt;/div&gt;&lt;/div&gt;&lt;div&gt;&lt;h5&gt;&lt;b&gt;School &lt;/b&gt;abjuration; &lt;b&gt;Level &lt;/b&gt;druid 4&lt;/h5&gt;&lt;h5&gt;&lt;b&gt;Casting Time &lt;/b&gt;1 standard action&lt;/h5&gt;&lt;h5&gt;&lt;b&gt;Components &lt;/b&gt;V, S, DF&lt;/h5&gt;&lt;h5&gt;&lt;b&gt;Range &lt;/b&gt;10 ft.&lt;/h5&gt;&lt;h5&gt;&lt;b&gt;Area &lt;/b&gt;10-ft.-radius emanation, centered on you&lt;/h5&gt;&lt;h5&gt;&lt;b&gt;Duration &lt;/b&gt;1 min./level (D)&lt;/h5&gt;&lt;h5&gt;&lt;b&gt;Saving Throw &lt;/b&gt;none; &lt;b&gt;Spell Resistance &lt;/b&gt;yes&lt;/h5&gt;&lt;/div&gt;&lt;div&gt;&lt;h4&gt;&lt;p&gt;The &lt;i&gt;antiplant shell&lt;/i&gt; spell creates an invisible, mobile barrier that keeps all creatures within the shell protected from attacks by plant creatures or animated plants. As with many abjuration spells, forcing the barrier against creatures that the spell keeps at bay strains and collapses the field.&lt;/p&gt;&lt;/h4&gt;&lt;/div&gt;</t>
  </si>
  <si>
    <t> Keeps animated plants at bay.</t>
  </si>
  <si>
    <t>Arcane Eye</t>
  </si>
  <si>
    <t>scrying</t>
  </si>
  <si>
    <t>sorcerer/wizard 4, witch 4, alchemist 4, occultist 4, psychic 4, mesmerist 4</t>
  </si>
  <si>
    <t>10 minutes</t>
  </si>
  <si>
    <t>V, S, M (a bit of bat fur)</t>
  </si>
  <si>
    <t>unlimited</t>
  </si>
  <si>
    <t>magical sensor</t>
  </si>
  <si>
    <t>You create an invisible magical sensor that sends you visual information. You can create the arcane eye at any point you can see, but it can then travel outside your line of sight without hindrance. An arcane eye travels at 30 feet per round (300 feet per minute) if viewing an area ahead as a human would (primarily looking at the floor) or 10 feet per round (100 feet per minute) if examining the ceiling and walls as well as the floor ahead. It sees exactly as you would see if you were there. The eye can travel in any direction as long as the spell lasts. Solid barriers block its passage, but it can pass through a hole or space as small as 1 inch in diameter. The eye can't enter another plane of existence, even through a gate or similar magical portal. You must concentrate to use an arcane eye. If you do not concentrate, the eye is inert until you again concentrate.</t>
  </si>
  <si>
    <t>&lt;p&gt;You create an invisible magical sensor that sends you visual information. You can create the &lt;i&gt;arcane eye&lt;/i&gt; at any point you can see, but it can then travel outside your line of sight without hindrance. An &lt;i&gt;arcane eye&lt;/i&gt; travels at 30 feet per round (300 feet per minute) if viewing an area ahead as a human would (primarily looking at the floor) or 10 feet per round (100 feet per minute) if examining the ceiling and walls as well as the floor ahead. It sees exactly as you would see if you were there.&lt;/p&gt;&lt;p&gt;The eye can travel in any direction as long as the spell lasts. Solid barriers block its passage, but it can pass through a hole or space as small as 1 inch in diameter. The eye can't enter another plane of existence, even through a &lt;i&gt;gate&lt;/i&gt; or similar magical portal.&lt;/p&gt;&lt;p&gt;You must concentrate to use an &lt;i&gt;arcane eye&lt;/i&gt;. If you do not concentrate, the eye is inert until you again concentrate.&lt;/p&gt;</t>
  </si>
  <si>
    <t>&lt;link rel="stylesheet"href="PF.css"&gt;&lt;div class="heading"&gt;&lt;p class="alignleft"&gt;Arcane Eye &lt;/p&gt;&lt;div style="clear: both;"&gt;&lt;/div&gt;&lt;/div&gt;&lt;div&gt;&lt;h5&gt;&lt;b&gt;School &lt;/b&gt;divination (scrying); &lt;b&gt;Level &lt;/b&gt;sorcerer/wizard 4, alchemist 4, witch 4&lt;/h5&gt;&lt;h5&gt;&lt;b&gt;Casting Time &lt;/b&gt;10 minutes&lt;/h5&gt;&lt;h5&gt;&lt;b&gt;Components &lt;/b&gt;V, S, M (a bit of bat fur)&lt;/h5&gt;&lt;h5&gt;&lt;b&gt;Range &lt;/b&gt;unlimited&lt;/h5&gt;&lt;h5&gt;&lt;b&gt;Effect &lt;/b&gt;magical sensor&lt;/h5&gt;&lt;h5&gt;&lt;b&gt;Duration &lt;/b&gt;1 min./level (D)&lt;/h5&gt;&lt;h5&gt;&lt;b&gt;Saving Throw &lt;/b&gt;none; &lt;b&gt;Spell Resistance &lt;/b&gt;no&lt;/h5&gt;&lt;/div&gt;&lt;div&gt;&lt;h4&gt;&lt;p&gt;You create an invisible magical sensor that sends you visual information. You can create the &lt;i&gt;arcane eye&lt;/i&gt; at any point you can see, but it can then travel outside your line of sight without hindrance. An &lt;i&gt;arcane eye&lt;/i&gt; travels at 30 feet per round (300 feet per minute) if viewing an area ahead as a human would (primarily looking at the floor) or 10 feet per round (100 feet per minute) if examining the ceiling and walls as well as the floor ahead. It sees exactly as you would see if you were there.&lt;/p&gt;&lt;p&gt;The eye can travel in any direction as long as the spell lasts. Solid barriers block its passage, but it can pass through a hole or space as small as 1 inch in diameter. The eye can't enter another plane of existence, even through a &lt;i&gt;gate&lt;/i&gt; or similar magical portal.&lt;/p&gt;&lt;p&gt;You must concentrate to use an &lt;i&gt;arcane eye&lt;/i&gt;. If you do not concentrate, the eye is inert until you again concentrate.&lt;/p&gt;&lt;/h4&gt;&lt;/div&gt;</t>
  </si>
  <si>
    <t>Arcane (4)</t>
  </si>
  <si>
    <t> Invisible floating eye moves 30 ft./round.</t>
  </si>
  <si>
    <t>Arcane Lock</t>
  </si>
  <si>
    <t>sorcerer/wizard 2, occultist 2</t>
  </si>
  <si>
    <t>V, S, M (gold dust worth 25 gp)</t>
  </si>
  <si>
    <t>door, chest, or portal touched, up to 30 sq. ft./level in size</t>
  </si>
  <si>
    <t>permanent</t>
  </si>
  <si>
    <t>An arcane lock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dispel magic or knock spell. Add 10 to the normal DC to break open a door or portal affected by this spell. A knock spell does not remove an arcane lock; it only suppresses the effect for 10 minutes.</t>
  </si>
  <si>
    <t>&lt;p&gt;An &lt;i&gt;arcane lock&lt;/i&gt;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&lt;i&gt;dispel magic&lt;/i&gt; or &lt;i&gt;knock&lt;/i&gt; spell. Add 10 to the normal DC to break open a door or portal affected by this spell. A &lt;i&gt;knock&lt;/i&gt; spell does not remove an &lt;i&gt;arcane lock&lt;/i&gt;; it only suppresses the effect for 10 minutes.&lt;/p&gt;</t>
  </si>
  <si>
    <t>&lt;link rel="stylesheet"href="PF.css"&gt;&lt;div class="heading"&gt;&lt;p class="alignleft"&gt;Arcane Lock&lt;/p&gt;&lt;div style="clear: both;"&gt;&lt;/div&gt;&lt;/div&gt;&lt;div&gt;&lt;h5&gt;&lt;b&gt;School &lt;/b&gt;abjuration; &lt;b&gt;Level &lt;/b&gt;sorcerer/wizard 2, occultist 2&lt;/h5&gt;&lt;h5&gt;&lt;b&gt;Casting Time &lt;/b&gt;1 standard action&lt;/h5&gt;&lt;h5&gt;&lt;b&gt;Components &lt;/b&gt;V, S, M (gold dust worth 25 gp)&lt;/h5&gt;&lt;h5&gt;&lt;b&gt;Range &lt;/b&gt;touch&lt;/h5&gt;&lt;h5&gt;&lt;b&gt;Targets &lt;/b&gt; door, chest, or portal touched, up to 30 sq. ft./level in size&lt;/h5&gt;&lt;h5&gt;&lt;b&gt;Duration &lt;/b&gt;permanent&lt;/h5&gt;&lt;h5&gt;&lt;b&gt;Saving Throw &lt;/b&gt;none; &lt;b&gt;Spell Resistance &lt;/b&gt;no&lt;/h5&gt;&lt;/div&gt;&lt;div&gt;&lt;h4&gt;&lt;p&gt;An &lt;i&gt;arcane lock&lt;/i&gt;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&lt;i&gt;dispel magic&lt;/i&gt; or &lt;i&gt;knock&lt;/i&gt; spell. Add 10 to the normal DC to break open a door or portal affected by this spell. A &lt;i&gt;knock&lt;/i&gt; spell does not remove an &lt;i&gt;arcane lock&lt;/i&gt;; it only suppresses the effect for 10 minutes.&lt;/p&gt;&lt;/h4&gt;&lt;/div&gt;</t>
  </si>
  <si>
    <t>Wards (1)</t>
  </si>
  <si>
    <t> Magically locks a portal or chest.</t>
  </si>
  <si>
    <t>Arcane Mark</t>
  </si>
  <si>
    <t>universal</t>
  </si>
  <si>
    <t>sorcerer/wizard 0, summoner 0, magus 0, shaman 0, psychic 0</t>
  </si>
  <si>
    <t>one personal rune or mark, all of which must fit within 1 sq. ft.</t>
  </si>
  <si>
    <t>This spell allows you to inscribe your personal rune or mark, which can consist of no more than six characters. The writing can be visible or invisible. An arcane mark spell enables you to etch the rune upon any substance without harm to the material upon which it is placed. If an invisible mark is made, a detect magic spell causes it to glow and be visible, though not necessarily understandable. See invisibility, true seeing, a gem of seeing, or a robe of eyes likewise allows the user to see an invisible arcane mark. A read magic spell reveals the words, if any. The mark cannot be dispelled, but it can be removed by the caster or by an erase spell. If an arcane mark is placed on a living being, the effect gradually fades in about a month. Arcane mark must be cast on an object prior to casting instant summons on the same object (see that spell DESCRIPTION for details).</t>
  </si>
  <si>
    <t>&lt;p&gt;This spell allows you to inscribe your personal rune or mark, which can consist of no more than six characters. The writing can be visible or invisible. An &lt;i&gt;arcane mark&lt;/i&gt; spell enables you to etch the rune upon any substance without harm to the material upon which it is placed. If an invisible mark is made, a &lt;i&gt;detect magic&lt;/i&gt; spell causes it to glow and be visible, though not necessarily understandable.&lt;/p&gt;&lt;p&gt;&lt;i&gt;See invisibility&lt;/i&gt;, &lt;i&gt;true seeing&lt;/i&gt;, a &lt;i&gt;gem of seeing&lt;/i&gt;, or a &lt;i&gt;robe of eyes&lt;/i&gt; likewise allows the user to see an invisible &lt;i&gt;arcane mark&lt;/i&gt;. A &lt;i&gt;read magic&lt;/i&gt; spell reveals the words, if any. The mark cannot be dispelled, but it can be removed by the caster or by an &lt;i&gt;erase&lt;/i&gt; spell.&lt;/p&gt;&lt;p&gt;If an &lt;i&gt;arcane mark&lt;/i&gt; is placed on a living being, the effect gradually fades in about a month.&lt;/p&gt;&lt;p&gt;&lt;i&gt;Arcane mark&lt;/i&gt; must be cast on an object prior to casting &lt;i&gt;instant summons&lt;/i&gt; on the same object (see that spell description for details).&lt;/p&gt;</t>
  </si>
  <si>
    <t>&lt;link rel="stylesheet"href="PF.css"&gt;&lt;div class="heading"&gt;&lt;p class="alignleft"&gt;Arcane Mark&lt;/p&gt;&lt;div style="clear: both;"&gt;&lt;/div&gt;&lt;/div&gt;&lt;div&gt;&lt;h5&gt;&lt;b&gt;School &lt;/b&gt;universal; &lt;b&gt;Level &lt;/b&gt;sorcerer/wizard 0, summoner 0, magus 0, shaman 0, psychic 0&lt;/h5&gt;&lt;h5&gt;&lt;b&gt;Casting Time &lt;/b&gt;1 standard action&lt;/h5&gt;&lt;h5&gt;&lt;b&gt;Components &lt;/b&gt;V, S&lt;/h5&gt;&lt;h5&gt;&lt;b&gt;Range &lt;/b&gt;touch&lt;/h5&gt;&lt;h5&gt;&lt;b&gt;Effect &lt;/b&gt;one personal rune or mark, all of which must fit within 1 sq. ft.&lt;/h5&gt;&lt;h5&gt;&lt;b&gt;Duration &lt;/b&gt;permanent&lt;/h5&gt;&lt;h5&gt;&lt;b&gt;Saving Throw &lt;/b&gt;none; &lt;b&gt;Spell Resistance &lt;/b&gt;no&lt;/h5&gt;&lt;/div&gt;&lt;div&gt;&lt;h4&gt;&lt;p&gt;This spell allows you to inscribe your personal rune or mark, which can consist of no more than six characters. The writing can be visible or invisible. An &lt;i&gt;arcane mark&lt;/i&gt; spell enables you to etch the rune upon any substance without harm to the material upon which it is placed. If an invisible mark is made, a &lt;i&gt;detect magic&lt;/i&gt; spell causes it to glow and be visible, though not necessarily understandable.&lt;/p&gt;&lt;p&gt;&lt;i&gt;See invisibility&lt;/i&gt;, &lt;i&gt;true seeing&lt;/i&gt;, a &lt;i&gt;gem of seeing&lt;/i&gt;, or a &lt;i&gt;robe of eyes&lt;/i&gt; likewise allows the user to see an invisible &lt;i&gt;arcane mark&lt;/i&gt;. A &lt;i&gt;read magic&lt;/i&gt; spell reveals the words, if any. The mark cannot be dispelled, but it can be removed by the caster or by an &lt;i&gt;erase&lt;/i&gt; spell.&lt;/p&gt;&lt;p&gt;If an &lt;i&gt;arcane mark&lt;/i&gt; is placed on a living being, the effect gradually fades in about a month.&lt;/p&gt;&lt;p&gt;&lt;i&gt;Arcane mark&lt;/i&gt; must be cast on an object prior to casting &lt;i&gt;instant summons&lt;/i&gt; on the same object (see that spell description for details).&lt;/p&gt;&lt;/h4&gt;&lt;/div&gt;</t>
  </si>
  <si>
    <t> Inscribes a personal rune on an object or creature (visible or invisible).</t>
  </si>
  <si>
    <t>Arcane Sight</t>
  </si>
  <si>
    <t>sorcerer/wizard 3, witch 3, inquisitor 3, alchemist 3, magus 3, occultist 3, psychic 3</t>
  </si>
  <si>
    <t>This spell makes your eyes glow blue and allows you to see magical auras within 120 feet of you. The effect is similar to that of a detect magic spell, but arcane sight does not require concentration and discerns aura location and power more quickly. You know the location and power of all magical auras within your sight. An aura's power depends on a spell's functioning level or an item's caster level, as noted in the DESCRIPTION of the detect magic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 As with detect magic, you can use this spell to identify the properties of magic items, but not artifacts. Arcane sight can be made permanent with a permanency spell.</t>
  </si>
  <si>
    <t>&lt;p&gt;This spell makes your eyes glow blue and allows you to see magical auras within 120 feet of you. The effect is similar to that of a &lt;i&gt;detect magic&lt;/i&gt; spell, but &lt;i&gt;arcane sight&lt;/i&gt; does not require concentration and discerns aura location and power more quickly.&lt;/p&gt;&lt;p&gt;You know the location and power of all magical auras within your sight. An aura's power depends on a spell's functioning level or an item's caster level, as noted in the description of the &lt;i&gt;detect magic&lt;/i&gt;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use.&lt;/p&gt;&lt;p&gt;As with &lt;i&gt;detect magic&lt;/i&gt;, you can use this spell to identify the properties of magic items, but not artifacts.&lt;/p&gt;&lt;p&gt;&lt;i&gt;Arcane sight&lt;/i&gt; can be made permanent with a &lt;i&gt;permanency&lt;/i&gt; spell.&lt;/p&gt;</t>
  </si>
  <si>
    <t>&lt;link rel="stylesheet"href="PF.css"&gt;&lt;div class="heading"&gt;&lt;p class="alignleft"&gt;Arcane Sight &lt;/p&gt;&lt;div style="clear: both;"&gt;&lt;/div&gt;&lt;/div&gt;&lt;div&gt;&lt;h5&gt;&lt;b&gt;School &lt;/b&gt;divination; &lt;b&gt;Level &lt;/b&gt;sorcerer/wizard 3, alchemist 3, witch 3, inquisitor 3&lt;/h5&gt;&lt;h5&gt;&lt;b&gt;Casting Time &lt;/b&gt;1 standard action&lt;/h5&gt;&lt;h5&gt;&lt;b&gt;Components &lt;/b&gt;V, S&lt;/h5&gt;&lt;h5&gt;&lt;b&gt;Range &lt;/b&gt;personal&lt;/h5&gt;&lt;h5&gt;&lt;b&gt;Targets &lt;/b&gt; you&lt;/h5&gt;&lt;h5&gt;&lt;b&gt;Duration &lt;/b&gt;1 min./level (D)&lt;/h5&gt;&lt;/div&gt;&lt;div&gt;&lt;h4&gt;&lt;p&gt;This spell makes your eyes glow blue and allows you to see magical auras within 120 feet of you. The effect is similar to that of a &lt;i&gt;detect magic&lt;/i&gt; spell, but &lt;i&gt;arcane sight&lt;/i&gt; does not require concentration and discerns aura location and power more quickly.&lt;/p&gt;&lt;p&gt;You know the location and power of all magical auras within your sight. An aura's power depends on a spell's functioning level or an item's caster level, as noted in the description of the &lt;i&gt;detect magic&lt;/i&gt;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use.&lt;/p&gt;&lt;p&gt;As with &lt;i&gt;detect magic&lt;/i&gt;, you can use this spell to identify the properties of magic items, but not artifacts.&lt;/p&gt;&lt;p&gt;&lt;i&gt;Arcane sight&lt;/i&gt; can be made permanent with a &lt;i&gt;permanency&lt;/i&gt; spell.&lt;/p&gt;&lt;/h4&gt;&lt;/div&gt;</t>
  </si>
  <si>
    <t> Magical auras become visible to you.</t>
  </si>
  <si>
    <t>Arcane Sight, Greater</t>
  </si>
  <si>
    <t>sorcerer/wizard 7, witch 7, psychic 7</t>
  </si>
  <si>
    <t>This spell functions like arcane sight, except that you automatically know which spells or magical effects are active upon any individual or object you see. Unlike arcane sight, this spell cannot be made permanent with a permanency spell.</t>
  </si>
  <si>
    <t>&lt;p&gt;This spell functions like &lt;i&gt;arcane sight&lt;/i&gt;, except that you automatically know which spells or magical effects are active upon any individual or object you see.&lt;/p&gt;&lt;p&gt;Unlike &lt;i&gt;arcane sight&lt;/i&gt;, this spell cannot be made permanent with a &lt;i&gt;permanency&lt;/i&gt; spell.&lt;/p&gt;</t>
  </si>
  <si>
    <t>&lt;link rel="stylesheet"href="PF.css"&gt;&lt;div class="heading"&gt;&lt;p class="alignleft"&gt;Arcane Sight, Greater &lt;/p&gt;&lt;div style="clear: both;"&gt;&lt;/div&gt;&lt;/div&gt;&lt;div&gt;&lt;h5&gt;&lt;b&gt;School &lt;/b&gt;divination; &lt;b&gt;Level &lt;/b&gt;sorcerer/wizard 7, witch 7, psychic 7&lt;/h5&gt;&lt;h5&gt;&lt;b&gt;Casting Time &lt;/b&gt;1 standard action&lt;/h5&gt;&lt;h5&gt;&lt;b&gt;Components &lt;/b&gt;V, S&lt;/h5&gt;&lt;h5&gt;&lt;b&gt;Range &lt;/b&gt;personal&lt;/h5&gt;&lt;h5&gt;&lt;b&gt;Targets &lt;/b&gt; you&lt;/h5&gt;&lt;h5&gt;&lt;b&gt;Duration &lt;/b&gt;1 min./level (D)&lt;/h5&gt;&lt;/div&gt;&lt;div&gt;&lt;h4&gt;&lt;p&gt;This spell functions like &lt;i&gt;arcane sight&lt;/i&gt;, except that you automatically know which spells or magical effects are active upon any individual or object you see.&lt;/p&gt;&lt;p&gt;Unlike &lt;i&gt;arcane sight&lt;/i&gt;, this spell cannot be made permanent with a &lt;i&gt;permanency&lt;/i&gt; spell.&lt;/p&gt;&lt;/h4&gt;&lt;/div&gt;</t>
  </si>
  <si>
    <t> As arcane sight, but also reveals magic effects on creatures and objects.</t>
  </si>
  <si>
    <t>Astral Projection</t>
  </si>
  <si>
    <t>cleric/oracle 9, sorcerer/wizard 9, witch 9, psychic 9</t>
  </si>
  <si>
    <t>30 minutes</t>
  </si>
  <si>
    <t>V, S, M (1,000 gp jacinth)</t>
  </si>
  <si>
    <t>you plus one additional willing creature touched per two caster levels</t>
  </si>
  <si>
    <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 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 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 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dispel magic cast upon either the physical body or the astral form, the breaking of the silver cord, or the destruction of your body back on the Material Plane (which kills you). When this spell ends, your astral body and all of its gear, vanishes.</t>
  </si>
  <si>
    <t>&lt;p&gt;By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them.&lt;/p&gt;&lt;p&gt;You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enter.&lt;/p&gt;&lt;p&gt;While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planes.&lt;/p&gt;&lt;p&gt;You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&lt;i&gt;dispel magic&lt;/i&gt; cast upon either the physical body or the astral form, the breaking of the silver cord, or the destruction of your body back on the Material Plane (which kills you).&lt;/p&gt;&lt;p&gt;When this spell ends, your astral body and all of its gear, vanishes.&lt;/p&gt;</t>
  </si>
  <si>
    <t>&lt;link rel="stylesheet"href="PF.css"&gt;&lt;div class="heading"&gt;&lt;p class="alignleft"&gt;Astral Projection&lt;/p&gt;&lt;div style="clear: both;"&gt;&lt;/div&gt;&lt;/div&gt;&lt;div&gt;&lt;h5&gt;&lt;b&gt;School &lt;/b&gt;necromancy; &lt;b&gt;Level &lt;/b&gt;cleric/oracle 9, sorcerer/wizard 9, witch 9, psychic 9&lt;/h5&gt;&lt;h5&gt;&lt;b&gt;Casting Time &lt;/b&gt;30 minutes&lt;/h5&gt;&lt;h5&gt;&lt;b&gt;Components &lt;/b&gt;V, S, M (1,000 gp jacinth)&lt;/h5&gt;&lt;h5&gt;&lt;b&gt;Range &lt;/b&gt;touch&lt;/h5&gt;&lt;h5&gt;&lt;b&gt;Targets &lt;/b&gt; you plus one additional willing creature touched per two caster levels&lt;/h5&gt;&lt;h5&gt;&lt;b&gt;Duration &lt;/b&gt;see text&lt;/h5&gt;&lt;h5&gt;&lt;b&gt;Saving Throw &lt;/b&gt;none; &lt;b&gt;Spell Resistance &lt;/b&gt;yes&lt;/h5&gt;&lt;/div&gt;&lt;div&gt;&lt;h4&gt;&lt;p&gt;By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them.&lt;/p&gt;&lt;p&gt;You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enter.&lt;/p&gt;&lt;p&gt;While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planes.&lt;/p&gt;&lt;p&gt;You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&lt;i&gt;dispel magic&lt;/i&gt; cast upon either the physical body or the astral form, the breaking of the silver cord, or the destruction of your body back on the Material Plane (which kills you).&lt;/p&gt;&lt;p&gt;When this spell ends, your astral body and all of its gear, vanishes.&lt;/p&gt;&lt;/h4&gt;&lt;/div&gt;</t>
  </si>
  <si>
    <t>Travel (9)</t>
  </si>
  <si>
    <t>Projects you and others onto Astral Plane.</t>
  </si>
  <si>
    <t>Dreamspun (19)</t>
  </si>
  <si>
    <t>Stars (18)</t>
  </si>
  <si>
    <t>Atonement</t>
  </si>
  <si>
    <t>cleric/oracle 5, druid 5, inquisitor 5</t>
  </si>
  <si>
    <t>V, S, M (burning incense), F (a set of prayer beads or other prayer device worth at least 500 gp), DF</t>
  </si>
  <si>
    <t>This spell removes the burden of misdeeds from the subject. The creature seeking atonement must be truly repentant and desirous of setting right its misdeeds. If the atoning creature committed the evil act unwittingly or under some form of compulsion, atonement operates normally at no cost to you. However, in the case of a creature atoning for deliberate misdeeds, you must intercede with your deity (requiring you to expend 2,500 gp in rare incense and offerings). Atonement may be cast for one of several purposes, depending on the version selected. Reverse Magical Alignment Change: If a creature has had its alignment magically changed, atonement returns its alignment to its original status at no additional cost. Restore Class: A paladin, or other class, who has lost her class features due to violating the alignment restrictions of her class may have her class features restored by this spell. Restore Cleric or Druid Spell Powers: A cleric or druid who has lost the ability to cast spells by incurring the anger of her deity may regain that ability by seeking atonement from another cleric of the same deity or another druid. If the transgression was intentional, the casting cleric must expend 2,500 gp in rare incense and offerings for her god's intercession. Redemption or Temptation: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 Though the spell DESCRIPTION refers to evil acts, atonement can be used on any creature that has performed acts against its alignment, regardless of the actual alignment in question. Note: Normally, changing alignment is up to the player. This use of atonement offers a method for a character to change his or her alignment drastically, suddenly, and definitively.</t>
  </si>
  <si>
    <t>&lt;p&gt;This spell removes the burden of misdeeds from the subject. The creature seeking atonement must be truly repentant and desirous of setting right its misdeeds. If the atoning creature committed the evil act unwittingly or under some form of compulsion, &lt;i&gt;atonement&lt;/i&gt; operates normally at no cost to you. However, in the case of a creature atoning for deliberate misdeeds, you must intercede with your deity (requiring you to expend 2,500 gp in rare incense and offerings). &lt;i&gt;Atonement&lt;/i&gt; may be cast for one of several purposes, depending on the version selected.&lt;/p&gt;&lt;p&gt;&lt;i&gt;Reverse Magical Alignment Change&lt;/i&gt;: If a creature has had its alignment magically changed, atonement returns its alignment to its original status at no additional cost.&lt;/p&gt;&lt;p&gt;&lt;i&gt;Restore Class&lt;/i&gt;: A paladin, or other class, who has lost her class features due to violating the alignment restrictions of her class may have her class features restored by this spell.&lt;/p&gt;&lt;p&gt;&lt;i&gt;Restore Cleric or Druid Spell Powers&lt;/i&gt;: A cleric or druid who has lost the ability to cast spells by incurring the anger of her deity may regain that ability by seeking &lt;i&gt;atonement&lt;/i&gt; from another cleric of the same deity or another druid. If the transgression was intentional, the casting cleric must expend 2,500 gp in rare incense and offerings for her god's intercession.&lt;/p&gt;&lt;p&gt;&lt;i&gt;Redemption or Temptation&lt;/i&gt;: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naturally.&lt;/p&gt;&lt;p&gt;Though the spell descriptionrefers to evil acts, &lt;i&gt;atonement&lt;/i&gt; can be used on any creature that has performed acts against its alignment, regardless of the actual alignment in question.&lt;/p&gt;&lt;p&gt;Note: Normally, changing alignment is up to the player. This use of &lt;i&gt;atonement&lt;/i&gt; offers a method for a character to change his or her alignment drastically, suddenly, and definitively.&lt;/p&gt;</t>
  </si>
  <si>
    <t>&lt;link rel="stylesheet"href="PF.css"&gt;&lt;div class="heading"&gt;&lt;p class="alignleft"&gt;Atonement&lt;/p&gt;&lt;div style="clear: both;"&gt;&lt;/div&gt;&lt;/div&gt;&lt;div&gt;&lt;h5&gt;&lt;b&gt;School &lt;/b&gt;abjuration; &lt;b&gt;Level &lt;/b&gt;cleric/oracle 5, druid 5, inquisitor 5&lt;/h5&gt;&lt;h5&gt;&lt;b&gt;Casting Time &lt;/b&gt;1 hour&lt;/h5&gt;&lt;h5&gt;&lt;b&gt;Components &lt;/b&gt;V, S, M (burning incense), F (a set of prayer beads or other prayer device worth at least 500 gp), DF&lt;/h5&gt;&lt;h5&gt;&lt;b&gt;Range &lt;/b&gt;touch&lt;/h5&gt;&lt;h5&gt;&lt;b&gt;Targets &lt;/b&gt; living creature touched&lt;/h5&gt;&lt;h5&gt;&lt;b&gt;Duration &lt;/b&gt;instantaneous&lt;/h5&gt;&lt;h5&gt;&lt;b&gt;Saving Throw &lt;/b&gt;none; &lt;b&gt;Spell Resistance &lt;/b&gt;yes&lt;/h5&gt;&lt;/div&gt;&lt;div&gt;&lt;h4&gt;&lt;p&gt;This spell removes the burden of misdeeds from the subject. The creature seeking atonement must be truly repentant and desirous of setting right its misdeeds. If the atoning creature committed the evil act unwittingly or under some form of compulsion, &lt;i&gt;atonement&lt;/i&gt; operates normally at no cost to you. However, in the case of a creature atoning for deliberate misdeeds, you must intercede with your deity (requiring you to expend 2,500 gp in rare incense and offerings). &lt;i&gt;Atonement&lt;/i&gt; may be cast for one of several purposes, depending on the version selected.&lt;/p&gt;&lt;p&gt;&lt;i&gt;Reverse Magical Alignment Change&lt;/i&gt;: If a creature has had its alignment magically changed, atonement returns its alignment to its original status at no additional cost.&lt;/p&gt;&lt;p&gt;&lt;i&gt;Restore Class&lt;/i&gt;: A paladin, or other class, who has lost her class features due to violating the alignment restrictions of her class may have her class features restored by this spell.&lt;/p&gt;&lt;p&gt;&lt;i&gt;Restore Cleric or Druid Spell Powers&lt;/i&gt;: A cleric or druid who has lost the ability to cast spells by incurring the anger of her deity may regain that ability by seeking &lt;i&gt;atonement&lt;/i&gt; from another cleric of the same deity or another druid. If the transgression was intentional, the casting cleric must expend 2,500 gp in rare incense and offerings for her god's intercession.&lt;/p&gt;&lt;p&gt;&lt;i&gt;Redemption or Temptation&lt;/i&gt;: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naturally.&lt;/p&gt;&lt;p&gt;Though the spell descriptionrefers to evil acts, &lt;i&gt;atonement&lt;/i&gt; can be used on any creature that has performed acts against its alignment, regardless of the actual alignment in question.&lt;/p&gt;&lt;p&gt;Note: Normally, changing alignment is up to the player. This use of &lt;i&gt;atonement&lt;/i&gt; offers a method for a character to change his or her alignment drastically, suddenly, and definitively.&lt;/p&gt;&lt;/h4&gt;&lt;/div&gt;</t>
  </si>
  <si>
    <t>Purity (5), Redemption (5)</t>
  </si>
  <si>
    <t> Removes burden of misdeeds from subject.</t>
  </si>
  <si>
    <t>Augury</t>
  </si>
  <si>
    <t>cleric/oracle 2, witch 2, shaman 2, occultist 2, psychic 2, spiritualist 2</t>
  </si>
  <si>
    <t>V, S, M (incense worth at least 25 gp), F (a set of marked sticks or bones worth at least 25 gp)</t>
  </si>
  <si>
    <t>An augury can tell you whether a particular action will bring good or bad results for you in the immediate future. The base chance for receiving a meaningful reply is 70% + 1% per caster level, to a maximum of 90%; this roll is made secretly. A question may be so straightforward that a successful result is automatic, or so vague as to have no chance of success. If the augury succeeds, you get one of four results: Weal (if the action will probably bring good results).  Woe (for bad results).  Weal and woe (for both).  Nothing (for actions that don't have especially good or bad results). If the spell fails, you get the "nothing" result. A cleric who gets the "nothing" result has no way to tell whether it was the consequence of a failed or successful augury. The augury can see into the future only about half an hour, so anything that might happen after that does not affect the result. Thus, the result might not take into account the long-term consequences of a contemplated action. All auguries cast by the same person about the same topic use the same die result as the first casting.</t>
  </si>
  <si>
    <t>&lt;p&gt;An &lt;i&gt;augury&lt;/i&gt; can tell you whether a particular action will bring good or bad results for you in the immediate future.&lt;/p&gt;&lt;p&gt;The base chance for receiving a meaningful reply is 70% + 1% per caster level, to a maximum of 90%; this roll is made secretly. A question may be so straightforward that a successful result is automatic, or so vague as to have no chance of success. If the &lt;i&gt;augury&lt;/i&gt; succeeds, you get one of four results: &lt;ul&gt;&lt;li&gt;Weal (if the action will probably bring good results).  &lt;li&gt;Woe (for bad results).  &lt;li&gt;Weal and woe (for both).  &lt;li&gt;Nothing (for actions that don't have especially good or bad results).&lt;/ul&gt;&lt;/p&gt;&lt;p&gt;If the spell fails, you get the "nothing" result. A cleric who gets the "nothing" result has no way to tell whether it was the consequence of a failed or successful &lt;i&gt;augury&lt;/i&gt;.&lt;/p&gt;&lt;p&gt;The &lt;i&gt;augury&lt;/i&gt; can see into the future only about half an hour, so anything that might happen after that does not affect the result. Thus, the result might not take into account the long-term consequences of a contemplated action. All &lt;i&gt;auguries&lt;/i&gt; cast by the same person about the same topic use the same die result as the first casting.&lt;/p&gt;</t>
  </si>
  <si>
    <t>&lt;link rel="stylesheet"href="PF.css"&gt;&lt;div class="heading"&gt;&lt;p class="alignleft"&gt;Augury&lt;/p&gt;&lt;div style="clear: both;"&gt;&lt;/div&gt;&lt;/div&gt;&lt;div&gt;&lt;h5&gt;&lt;b&gt;School &lt;/b&gt;divination; &lt;b&gt;Level &lt;/b&gt;cleric/oracle 2, witch 2, shaman 2, occultist 2, psychic 2, spiritualist 2&lt;/h5&gt;&lt;h5&gt;&lt;b&gt;Casting Time &lt;/b&gt;1 minute&lt;/h5&gt;&lt;h5&gt;&lt;b&gt;Components &lt;/b&gt;V, S, M (incense worth at least 25 gp), F (a set of marked sticks or bones worth at least 25 gp)&lt;/h5&gt;&lt;h5&gt;&lt;b&gt;Range &lt;/b&gt;personal&lt;/h5&gt;&lt;h5&gt;&lt;b&gt;Targets &lt;/b&gt; you&lt;/h5&gt;&lt;h5&gt;&lt;b&gt;Duration &lt;/b&gt;instantaneous&lt;/h5&gt;&lt;/div&gt;&lt;div&gt;&lt;h4&gt;&lt;p&gt;An &lt;i&gt;augury&lt;/i&gt; can tell you whether a particular action will bring good or bad results for you in the immediate future.&lt;/p&gt;&lt;p&gt;The base chance for receiving a meaningful reply is 70% + 1% per caster level, to a maximum of 90%; this roll is made secretly. A question may be so straightforward that a successful result is automatic, or so vague as to have no chance of success. If the &lt;i&gt;augury&lt;/i&gt; succeeds, you get one of four results: &lt;ul&gt;&lt;li&gt;Weal (if the action will probably bring good results).  &lt;li&gt;Woe (for bad results).  &lt;li&gt;Weal and woe (for both).  &lt;li&gt;Nothing (for actions that don't have especially good or bad results).&lt;/ul&gt;&lt;/p&gt;&lt;p&gt;If the spell fails, you get the "nothing" result. A cleric who gets the "nothing" result has no way to tell whether it was the consequence of a failed or successful &lt;i&gt;augury&lt;/i&gt;.&lt;/p&gt;&lt;p&gt;The &lt;i&gt;augury&lt;/i&gt; can see into the future only about half an hour, so anything that might happen after that does not affect the result. Thus, the result might not take into account the long-term consequences of a contemplated action. All &lt;i&gt;auguries&lt;/i&gt; cast by the same person about the same topic use the same die result as the first casting.&lt;/p&gt;&lt;/h4&gt;&lt;/div&gt;</t>
  </si>
  <si>
    <t>Fate (2)</t>
  </si>
  <si>
    <t> Learns whether an action will be good or bad.</t>
  </si>
  <si>
    <t>Dreamspun (5), Harrow (5)</t>
  </si>
  <si>
    <t>Awaken</t>
  </si>
  <si>
    <t>druid 5, shaman 6</t>
  </si>
  <si>
    <t>24 hours</t>
  </si>
  <si>
    <t>V, S, M (herbs and oils worth 2,000 gp), DF</t>
  </si>
  <si>
    <t>animal or tree touched</t>
  </si>
  <si>
    <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awaken again, any previously awakened creatures remain friendly to you, but they no longer undertake tasks for you unless it is in their best interests. 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 An awakened animal gets 3d6 Intelligence, +1d3 Charisma, and +2 HD. Its type becomes magical beast (augmented animal). An awakened animal can't serve as an animal companion, familiar, or special mount. An awakened tree or animal can speak one language that you know, plus one additional language that you know per point of Intelligence bonus (if any). This spell does not function on an animal or plant with an Intelligence greater than 2.</t>
  </si>
  <si>
    <t>&lt;p&gt;You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&lt;i&gt;awaken&lt;/i&gt; again, any previously awakened creatures remain friendly to you, but they no longer undertake tasks for you unless it is in their best interests.&lt;/p&gt;&lt;p&gt;An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human's.&lt;/p&gt;&lt;p&gt;An awakened animal gets 3d6 Intelligence, +1d3 Charisma, and +2 HD. Its type becomes magical beast (augmented animal). An awakened animal can't serve as an animal companion, familiar, or special mount.&lt;/p&gt;&lt;p&gt;An awakened tree or animal can speak one language that you know, plus one additional language that you know per point of Intelligence bonus (if any). This spell does not function on an animal or plant with an Intelligence greater than 2.&lt;/p&gt;</t>
  </si>
  <si>
    <t>&lt;link rel="stylesheet"href="PF.css"&gt;&lt;div class="heading"&gt;&lt;p class="alignleft"&gt;Awaken&lt;/p&gt;&lt;div style="clear: both;"&gt;&lt;/div&gt;&lt;/div&gt;&lt;div&gt;&lt;h5&gt;&lt;b&gt;School &lt;/b&gt;transmutation; &lt;b&gt;Level &lt;/b&gt;druid 5, shaman 6&lt;/h5&gt;&lt;h5&gt;&lt;b&gt;Casting Time &lt;/b&gt;24 hours&lt;/h5&gt;&lt;h5&gt;&lt;b&gt;Components &lt;/b&gt;V, S, M (herbs and oils worth 2,000 gp), DF&lt;/h5&gt;&lt;h5&gt;&lt;b&gt;Range &lt;/b&gt;touch&lt;/h5&gt;&lt;h5&gt;&lt;b&gt;Targets &lt;/b&gt; animal or tree touched&lt;/h5&gt;&lt;h5&gt;&lt;b&gt;Duration &lt;/b&gt;instantaneous&lt;/h5&gt;&lt;h5&gt;&lt;b&gt;Saving Throw &lt;/b&gt;Will negates; &lt;b&gt;Spell Resistance &lt;/b&gt;yes&lt;/h5&gt;&lt;/div&gt;&lt;div&gt;&lt;h4&gt;&lt;p&gt;You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&lt;i&gt;awaken&lt;/i&gt; again, any previously awakened creatures remain friendly to you, but they no longer undertake tasks for you unless it is in their best interests.&lt;/p&gt;&lt;p&gt;An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human's.&lt;/p&gt;&lt;p&gt;An awakened animal gets 3d6 Intelligence, +1d3 Charisma, and +2 HD. Its type becomes magical beast (augmented animal). An awakened animal can't serve as an animal companion, familiar, or special mount.&lt;/p&gt;&lt;p&gt;An awakened tree or animal can speak one language that you know, plus one additional language that you know per point of Intelligence bonus (if any). This spell does not function on an animal or plant with an Intelligence greater than 2.&lt;/p&gt;&lt;/h4&gt;&lt;/div&gt;</t>
  </si>
  <si>
    <t> Animal or tree gains human intellect.</t>
  </si>
  <si>
    <t>Bane</t>
  </si>
  <si>
    <t>fear, mind-affecting</t>
  </si>
  <si>
    <t>antipaladin 1, cleric/oracle 1, inquisitor 1, shaman 1, mesmerist 1</t>
  </si>
  <si>
    <t>50 ft.</t>
  </si>
  <si>
    <t>50-ft.-radius burst, centered on you</t>
  </si>
  <si>
    <t>Bane fills your enemies with fear and doubt. Each affected creature takes a -1 penalty on attack rolls and a -1 penalty on saving throws against fear effects. Bane counters and dispels bless.</t>
  </si>
  <si>
    <t>&lt;p&gt;&lt;i&gt;Bane&lt;/i&gt; fills your enemies with fear and doubt. Each affected creature takes a -1 penalty on attack rolls and a -1 penalty on saving throws against fear effects. &lt;i&gt;Bane&lt;/i&gt; counters and dispels &lt;i&gt;bless&lt;/i&gt;.&lt;/p&gt;</t>
  </si>
  <si>
    <t>&lt;link rel="stylesheet"href="PF.css"&gt;&lt;div class="heading"&gt;&lt;p class="alignleft"&gt;Bane&lt;/p&gt;&lt;div style="clear: both;"&gt;&lt;/div&gt;&lt;/div&gt;&lt;div&gt;&lt;h5&gt;&lt;b&gt;School &lt;/b&gt;enchantment (compulsion) [fear, mind-affecting]; &lt;b&gt;Level &lt;/b&gt;antipaladin 1, cleric/oracle 1, inquisitor 1, shaman 1, mesmerist 1&lt;/h5&gt;&lt;/div&gt;&lt;hr/&gt;&lt;div&gt;&lt;h5&gt;&lt;b&gt;CASTING&lt;/b&gt;&lt;/h5&gt;&lt;/div&gt;&lt;hr/&gt;&lt;div&gt;&lt;h5&gt;&lt;b&gt;Casting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&lt;/b&gt;50-ft.-radius burst, centered on you&lt;/h5&gt;&lt;h5&gt;&lt;b&gt;Duration &lt;/b&gt;1 min./level&lt;/h5&gt;&lt;h5&gt;&lt;b&gt;Saving Throw &lt;/b&gt;Will negates; &lt;b&gt;Spell Resistance &lt;/b&gt;yes&lt;/h5&gt;&lt;/div&gt;&lt;hr/&gt;&lt;div&gt;&lt;h5&gt;&lt;b&gt;DESCRIPTION&lt;/b&gt;&lt;/h5&gt;&lt;/div&gt;&lt;hr/&gt;&lt;div&gt;&lt;h4&gt;&lt;p&gt;&lt;i&gt;Bane&lt;/i&gt; fills your enemies with fear and doubt. Each affected creature takes a -1 penalty on attack rolls and a -1 penalty on saving throws against fear effects. &lt;i&gt;Bane&lt;/i&gt; counters and dispels &lt;i&gt;bless&lt;/i&gt;.&lt;/p&gt;&lt;/h4&gt;&lt;h5&gt;&lt;b&gt;Mythic: &lt;/b&gt;The -1 penalty applies on attack rolls, weapon damage rolls, and all saving throws. Each affected creature must roll its next attack roll or saving throw twice and take the lower result.&lt;/h5&gt;&lt;/div&gt;</t>
  </si>
  <si>
    <t>Curse (1)</t>
  </si>
  <si>
    <t>Enemies take –1 on attack rolls and saves vs. fear.</t>
  </si>
  <si>
    <t>The -1 penalty applies on attack rolls, weapon damage rolls, and all saving throws. Each affected creature must roll its next attack roll or saving throw twice and take the lower result.</t>
  </si>
  <si>
    <t>Banishment</t>
  </si>
  <si>
    <t>cleric/oracle 6, sorcerer/wizard 7, summoner 5, inquisitor 5, shaman 6, psychic 7, spiritualist 6</t>
  </si>
  <si>
    <t>V, S, F (see text)</t>
  </si>
  <si>
    <t>one or more extraplanar creatures, no two of which can be more than 30 ft. apart</t>
  </si>
  <si>
    <t>A banishment spell is a more powerful version of the dismissal spell. It enables you to force extraplanar creatures out of your home plane. As many as 2 Hit Dice of creatures per caster level can be banished. 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 Certain rare items might work twice as well as a normal item for the purpose of the bonuses (each providing a +2 bonus on the caster level check against Spell Resistance and increasing the save DC by 4).</t>
  </si>
  <si>
    <t>&lt;p&gt;A &lt;i&gt;banishment&lt;/i&gt; spell is a more powerful version of the &lt;i&gt;dismissal&lt;/i&gt; spell. It enables you to force extraplanar creatures out of your home plane. As many as 2 Hit Dice of creatures per caster level can be banished.&lt;/p&gt;&lt;p&gt;You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2.&lt;/p&gt;&lt;p&gt;Certain rare items might work twice as well as a normal item for the purpose of the bonuses (each providing a +2 bonus on the caster level check against Spell Resistance and increasing the save DC by 4).&lt;/p&gt;</t>
  </si>
  <si>
    <t>&lt;link rel="stylesheet"href="PF.css"&gt;&lt;div class="heading"&gt;&lt;p class="alignleft"&gt;Banishment &lt;/p&gt;&lt;div style="clear: both;"&gt;&lt;/div&gt;&lt;/div&gt;&lt;div&gt;&lt;h5&gt;&lt;b&gt;School &lt;/b&gt;abjuration; &lt;b&gt;Level &lt;/b&gt;cleric/oracle 6, sorcerer/wizard 7, summoner 5, inquisitor 5, shaman 6, psychic 7, spiritualist 6&lt;/h5&gt;&lt;h5&gt;&lt;b&gt;Casting Time &lt;/b&gt;1 standard action&lt;/h5&gt;&lt;h5&gt;&lt;b&gt;Components &lt;/b&gt;V, S, F (see text)&lt;/h5&gt;&lt;h5&gt;&lt;b&gt;Range &lt;/b&gt;close (25 ft. + 5 ft./2 levels)&lt;/h5&gt;&lt;h5&gt;&lt;b&gt;Targets &lt;/b&gt; one or more extraplanar creatures, no two of which can be more than 30 ft. apart&lt;/h5&gt;&lt;h5&gt;&lt;b&gt;Duration &lt;/b&gt;instantaneous&lt;/h5&gt;&lt;h5&gt;&lt;b&gt;Saving Throw &lt;/b&gt;Will negates; &lt;b&gt;Spell Resistance &lt;/b&gt;yes&lt;/h5&gt;&lt;/div&gt;&lt;div&gt;&lt;h4&gt;&lt;p&gt;A &lt;i&gt;banishment&lt;/i&gt; spell is a more powerful version of the &lt;i&gt;dismissal&lt;/i&gt; spell. It enables you to force extraplanar creatures out of your home plane. As many as 2 Hit Dice of creatures per caster level can be banished.&lt;/p&gt;&lt;p&gt;You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2.&lt;/p&gt;&lt;p&gt;Certain rare items might work twice as well as a normal item for the purpose of the bonuses (each providing a +2 bonus on the caster level check against Spell Resistance and increasing the save DC by 4).&lt;/p&gt;&lt;/h4&gt;&lt;/div&gt;</t>
  </si>
  <si>
    <t>Banishes 2 HD/level of extraplanar creatures.</t>
  </si>
  <si>
    <t>Celestial (15)</t>
  </si>
  <si>
    <t>Boundaries (12), Dimensions (14)</t>
  </si>
  <si>
    <t>Barkskin</t>
  </si>
  <si>
    <t>druid 2, ranger 2, summoner 2, alchemist 2, shaman 2</t>
  </si>
  <si>
    <t>Barkskin toughens a creature's skin. The effect grants a +2 enhancement bonus to the creature's existing natural armor bonus. This enhancement bonus increases by 1 for every three caster levels above 3rd, to a maximum of +5 at 12th level.  The enhancement bonus provided by barkskin stacks with the target's natural armor bonus, but not with other enhancement bonuses to natural armor. A creature without natural armor has an effective natural armor bonus of +0.</t>
  </si>
  <si>
    <t>&lt;p&gt;&lt;i&gt;Barkskin&lt;/i&gt; toughens a creature's skin. The effect grants a +2 enhancement bonus to the creature's existing natural armor bonus. This enhancement bonus increases by 1 for every three caster levels above 3rd, to a maximum of +5 at 12th level.&lt;/p&gt;&lt;p&gt;The enhancement bonus provided by &lt;i&gt;barkskin&lt;/i&gt; stacks with the target's natural armor bonus, but not with other enhancement bonuses to natural armor. A creature without natural armor has an effective natural armor bonus of +0.&lt;/p&gt;</t>
  </si>
  <si>
    <t>&lt;link rel="stylesheet"href="PF.css"&gt;&lt;div class="heading"&gt;&lt;p class="alignleft"&gt;Barkskin&lt;/p&gt;&lt;div style="clear: both;"&gt;&lt;/div&gt;&lt;/div&gt;&lt;div&gt;&lt;h5&gt;&lt;b&gt;School &lt;/b&gt;transmutation; &lt;b&gt;Level &lt;/b&gt;druid 2, ranger 2, summoner 2, alchemist 2, shaman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&lt;/b&gt;10 min./level&lt;/h5&gt;&lt;h5&gt;&lt;b&gt;Saving Throw &lt;/b&gt;none; &lt;b&gt;Spell Resistance &lt;/b&gt;yes (harmless)&lt;/h5&gt;&lt;/div&gt;&lt;hr/&gt;&lt;div&gt;&lt;h5&gt;&lt;b&gt;DESCRIPTION&lt;/b&gt;&lt;/h5&gt;&lt;/div&gt;&lt;hr/&gt;&lt;div&gt;&lt;h4&gt;&lt;p&gt;&lt;i&gt;Barkskin&lt;/i&gt; toughens a creature's skin. The effect grants a +2 enhancement bonus to the creature's existing natural armor bonus. This enhancement bonus increases by 1 for every three caster levels above 3rd, to a maximum of +5 at 12th level.&lt;/p&gt;&lt;p&gt;The enhancement bonus provided by &lt;i&gt;barkskin&lt;/i&gt; stacks with the target's natural armor bonus, but not with other enhancement bonuses to natural armor. A creature without natural armor has an effective natural armor bonus of +0.&lt;/p&gt;&lt;/h4&gt;&lt;h5&gt;&lt;b&gt;Mythic: &lt;/b&gt;The target also gains DR/magic equal to the double the enhancement bonus the spell provides to the target's natural armor bonus.&lt;/h5&gt;&lt;h5&gt;&lt;b&gt;Augmented (6th)&lt;/b&gt;: If you expend two uses of mythic power, the spell grants DR/epic rather than DR/magic.&lt;/h5&gt;&lt;/div&gt;</t>
  </si>
  <si>
    <t>Defense (2), Plant (2)</t>
  </si>
  <si>
    <t>Grants +2 (or higher) enhancement to natural armor.</t>
  </si>
  <si>
    <t>Verdant (5)</t>
  </si>
  <si>
    <t>The target also gains DR/magic equal to the double the enhancement bonus the spell provides to the target's natural armor bonus.</t>
  </si>
  <si>
    <t>Augmented (6th): If you expend two uses of mythic power, the spell grants DR/epic rather than DR/magic.</t>
  </si>
  <si>
    <t>Bear's Endurance</t>
  </si>
  <si>
    <t>cleric/oracle 2, druid 2, ranger 2, sorcerer/wizard 2, summoner 2, alchemist 2, magus 2, bloodrager 2, shaman 2, psychic 2</t>
  </si>
  <si>
    <t>V, S, M/DF (a few hairs, or a pinch of dung, from a bear)</t>
  </si>
  <si>
    <t>creature touched</t>
  </si>
  <si>
    <t>Will negates (harmless)</t>
  </si>
  <si>
    <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t>
  </si>
  <si>
    <t>&lt;p&gt;The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are.&lt;/p&gt;</t>
  </si>
  <si>
    <t>&lt;link rel="stylesheet"href="PF.css"&gt;&lt;div class="heading"&gt;&lt;p class="alignleft"&gt;Bear's Endurance &lt;/p&gt;&lt;div style="clear: both;"&gt;&lt;/div&gt;&lt;/div&gt;&lt;div&gt;&lt;h5&gt;&lt;b&gt;School &lt;/b&gt;transmutation; &lt;b&gt;Level &lt;/b&gt;cleric/oracle 2, druid 2, ranger 2, sorcerer/wizard 2, alchemist 2, summoner 2&lt;/h5&gt;&lt;h5&gt;&lt;b&gt;Casting Time &lt;/b&gt;1 standard action&lt;/h5&gt;&lt;h5&gt;&lt;b&gt;Components &lt;/b&gt;V, S, M/DF (a few hairs, or a pinch of dung, from a bear)&lt;/h5&gt;&lt;h5&gt;&lt;b&gt;Range &lt;/b&gt;touch&lt;/h5&gt;&lt;h5&gt;&lt;b&gt;Targets &lt;/b&gt; creature touched&lt;/h5&gt;&lt;h5&gt;&lt;b&gt;Duration &lt;/b&gt;1 min./level&lt;/h5&gt;&lt;h5&gt;&lt;b&gt;Saving Throw &lt;/b&gt;Will negates (harmless); &lt;b&gt;Spell Resistance &lt;/b&gt;yes&lt;/h5&gt;&lt;/div&gt;&lt;div&gt;&lt;h4&gt;&lt;p&gt;The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are.&lt;/p&gt;&lt;/h4&gt;&lt;/div&gt;</t>
  </si>
  <si>
    <t>Subject gains +4 to Con for 1 min./level.</t>
  </si>
  <si>
    <t>Endurance (4), Transformation (4)</t>
  </si>
  <si>
    <t>Bear's Endurance, Mass</t>
  </si>
  <si>
    <t>cleric/oracle 6, druid 6, sorcerer/wizard 6, summoner 4, magus 6, shaman 6, psychic 6</t>
  </si>
  <si>
    <t>creature one creature/level, no two of which can be more than 30 ft. apart</t>
  </si>
  <si>
    <t>Mass bear's endurance works like bear's endurance, except that it affects multiple creatures.</t>
  </si>
  <si>
    <t>&lt;p&gt;&lt;i&gt;Mass bear's endurance&lt;/i&gt; works like &lt;i&gt;bear's endurance&lt;/i&gt;, except that it affects multiple creatures.&lt;/p&gt;</t>
  </si>
  <si>
    <t>&lt;link rel="stylesheet"href="PF.css"&gt;&lt;div class="heading"&gt;&lt;p class="alignleft"&gt;Bear's Endurance, Mass&lt;/p&gt;&lt;div style="clear: both;"&gt;&lt;/div&gt;&lt;/div&gt;&lt;div&gt;&lt;h5&gt;&lt;b&gt;School &lt;/b&gt;transmutation; &lt;b&gt;Level &lt;/b&gt;cleric/oracle 6, druid 6, sorcerer/wizard 6, summoner 4, magus 6, shaman 6, psychic 6&lt;/h5&gt;&lt;h5&gt;&lt;b&gt;Casting Time &lt;/b&gt;1 standard action&lt;/h5&gt;&lt;h5&gt;&lt;b&gt;Components &lt;/b&gt;V, S, M/DF (a few hairs, or a pinch of dung, from a bear)&lt;/h5&gt;&lt;h5&gt;&lt;b&gt;Range &lt;/b&gt;close (25 ft. + 5 ft./2 levels)&lt;/h5&gt;&lt;h5&gt;&lt;b&gt;Targets &lt;/b&gt; creature one creature/level, no two of which can be more than 30 ft. apart&lt;/h5&gt;&lt;h5&gt;&lt;b&gt;Duration &lt;/b&gt;1 min./level&lt;/h5&gt;&lt;h5&gt;&lt;b&gt;Saving Throw &lt;/b&gt;Will negates (harmless); &lt;b&gt;Spell Resistance &lt;/b&gt;yes&lt;/h5&gt;&lt;/div&gt;&lt;div&gt;&lt;h4&gt;&lt;p&gt;&lt;i&gt;Mass bear's endurance&lt;/i&gt; works like &lt;i&gt;bear's endurance&lt;/i&gt;, except that it affects multiple creatures.&lt;/p&gt;&lt;/h4&gt;&lt;/div&gt;</t>
  </si>
  <si>
    <t>As bear’s endurance, affects 1 subject/level.</t>
  </si>
  <si>
    <t>Endurance (12)</t>
  </si>
  <si>
    <t>Beast Shape I</t>
  </si>
  <si>
    <t>sorcerer/wizard 3, alchemist 3, magus 3, bloodrager 3</t>
  </si>
  <si>
    <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 Small animal: If the form you take is that of a Small animal, you gain a +2 size bonus to your Dexterity and a +1 natural armor bonus. Medium animal: If the form you take is that of a Medium animal, you gain a +2 size bonus to your Strength and a +2 natural armor bonus.</t>
  </si>
  <si>
    <t>&lt;p&gt;When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t>
  </si>
  <si>
    <t>&lt;link rel="stylesheet"href="PF.css"&gt;&lt;div class="heading"&gt;&lt;p class="alignleft"&gt;Beast Shape I&lt;/p&gt;&lt;div style="clear: both;"&gt;&lt;/div&gt;&lt;/div&gt;&lt;div&gt;&lt;h5&gt;&lt;b&gt;School &lt;/b&gt;transmutation (polymorph); &lt;b&gt;Level &lt;/b&gt;sorcerer/wizard 3, alchemist 3, magus 3, bloodrager 3&lt;/h5&gt;&lt;h5&gt;&lt;b&gt;Casting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bonus.&lt;/p&gt;&lt;/h4&gt;&lt;/div&gt;</t>
  </si>
  <si>
    <t>Fur (3)</t>
  </si>
  <si>
    <t> You take the form and some of the powers of a Small or Medium animal.</t>
  </si>
  <si>
    <t>Transformation (6)</t>
  </si>
  <si>
    <t>Beast Shape II</t>
  </si>
  <si>
    <t>sorcerer/wizard 4, alchemist 4, magus 4, bloodrager 4</t>
  </si>
  <si>
    <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t>
  </si>
  <si>
    <t>&lt;p&gt;This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trip.&lt;/p&gt;&lt;p&gt;&lt;i&gt;Tiny&lt;/i&gt; animal: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t>
  </si>
  <si>
    <t>&lt;link rel="stylesheet"href="PF.css"&gt;&lt;div class="heading"&gt;&lt;p class="alignleft"&gt;Beast Shape II&lt;/p&gt;&lt;div style="clear: both;"&gt;&lt;/div&gt;&lt;/div&gt;&lt;div&gt;&lt;h5&gt;&lt;b&gt;School &lt;/b&gt;transmutation (polymorph); &lt;b&gt;Level &lt;/b&gt;sorcerer/wizard 4, alchemist 4, magus 4, bloodrager 4&lt;/h5&gt;&lt;h5&gt;&lt;b&gt;Casting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trip.&lt;/p&gt;&lt;p&gt;&lt;i&gt;Tiny&lt;/i&gt; animal: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bonus.&lt;/p&gt;&lt;/h4&gt;&lt;/div&gt;</t>
  </si>
  <si>
    <t> You take the form and some of the powers of a Tiny or Large animal.</t>
  </si>
  <si>
    <t>Transformation (8)</t>
  </si>
  <si>
    <t>Beast Shape III</t>
  </si>
  <si>
    <t>sorcerer/wizard 5, alchemist 5, magus 5</t>
  </si>
  <si>
    <t>This spell functions as beast shape II,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t>
  </si>
  <si>
    <t>&lt;p&gt;This spell functions as &lt;i&gt;beast shape II&lt;/i&gt;,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t>
  </si>
  <si>
    <t>&lt;link rel="stylesheet"href="PF.css"&gt;&lt;div class="heading"&gt;&lt;p class="alignleft"&gt;Beast Shape III&lt;/p&gt;&lt;div style="clear: both;"&gt;&lt;/div&gt;&lt;/div&gt;&lt;div&gt;&lt;h5&gt;&lt;b&gt;School &lt;/b&gt;transmutation (polymorph); &lt;b&gt;Level &lt;/b&gt;sorcerer/wizard 5, alchemist 5, magus 5&lt;/h5&gt;&lt;h5&gt;&lt;b&gt;Casting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&lt;i&gt;beast shape II&lt;/i&gt;,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bonus.&lt;/p&gt;&lt;/h4&gt;&lt;/div&gt;</t>
  </si>
  <si>
    <t>Animal (5), Saurian (5)</t>
  </si>
  <si>
    <t> You take the form of a Diminutive or Huge animal, or Small or Medium magical beast.</t>
  </si>
  <si>
    <t>Transformation (10)</t>
  </si>
  <si>
    <t>Beast Shape IV</t>
  </si>
  <si>
    <t>sorcerer/wizard 6, alchemist 6, magus 6</t>
  </si>
  <si>
    <t>This spell functions as beast shape III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Tiny magical beast: If the form you take is that of a Tiny magical beast, you gain a -2 penalty to your Strength, a +8 size bonus to your Dexterity, and a +3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 Large magical beast: If the form you take is that of a Large magical beast, you gain a +6 size bonus to your Strength, a -2 penalty on your Dexterity, a +2 size bonus to your Constitution, and a +6 natural armor bonus.</t>
  </si>
  <si>
    <t>&lt;p&gt;This spell functions as &lt;i&gt;beast shape III&lt;/i&gt;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bonus.&lt;/p&gt;&lt;p&gt;&lt;i&gt;Tiny magical beast&lt;/i&gt;: If the form you take is that of a Tiny magical beast, you gain a -2 penalty to your Strength, a +8 size bonus to your Dexterity, and a +3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bonus.&lt;/p&gt;&lt;p&gt;&lt;i&gt;Large magical beast&lt;/i&gt;: If the form you take is that of a Large magical beast, you gain a +6 size bonus to your Strength, a -2 penalty on your Dexterity, a +2 size bonus to your Constitution, and a +6 natural armor bonus.&lt;/p&gt;</t>
  </si>
  <si>
    <t>&lt;link rel="stylesheet"href="PF.css"&gt;&lt;div class="heading"&gt;&lt;p class="alignleft"&gt;Beast Shape IV&lt;/p&gt;&lt;div style="clear: both;"&gt;&lt;/div&gt;&lt;/div&gt;&lt;div&gt;&lt;h5&gt;&lt;b&gt;School &lt;/b&gt;transmutation (polymorph); &lt;b&gt;Level &lt;/b&gt;sorcerer/wizard 6, alchemist 6, magus 6&lt;/h5&gt;&lt;h5&gt;&lt;b&gt;Casting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&lt;i&gt;beast shape III&lt;/i&gt;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bonus.&lt;/p&gt;&lt;p&gt;&lt;i&gt;Tiny magical beast&lt;/i&gt;: If the form you take is that of a Tiny magical beast, you gain a -2 penalty to your Strength, a +8 size bonus to your Dexterity, and a +3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bonus.&lt;/p&gt;&lt;p&gt;&lt;i&gt;Large magical beast&lt;/i&gt;: If the form you take is that of a Large magical beast, you gain a +6 size bonus to your Strength, a -2 penalty on your Dexterity, a +2 size bonus to your Constitution, and a +6 natural armor bonus.&lt;/p&gt;&lt;/h4&gt;&lt;/div&gt;</t>
  </si>
  <si>
    <t> You take the form of a Diminutive to Huge animal or a Tiny to Large magical beast.</t>
  </si>
  <si>
    <t>Aquatic (13)</t>
  </si>
  <si>
    <t>Animals (14)</t>
  </si>
  <si>
    <t>Bestow Curse</t>
  </si>
  <si>
    <t>cleric/oracle 3, sorcerer/wizard 4, witch 3, antipaladin 3, bloodrager 4, shaman 3, occultist 3, mesmerist 3, spiritualist 3</t>
  </si>
  <si>
    <t>You place a curse on the subject. Choose one of the following. -6 decrease to an ability score (minimum 1).  -4 penalty on attack rolls, saves, ability checks, and skill checks.  Each turn, the target has a 50% chance to act normally; otherwise, it takes no action. You may also invent your own curse, but it should be no more powerful than those described above. The curse bestowed by this spell cannot be dispelled, but it can be removed with a break enchantment, limited wish, miracle, remove curse, or wish spell. Bestow curse counters remove curse.</t>
  </si>
  <si>
    <t>&lt;p&gt;You place a curse on the subject. Choose one of the following.&lt;/p&gt;&lt;p&gt;&lt;ul&gt;&lt;li&gt;-6 decrease to an ability score (minimum 1).  &lt;li&gt;-4 penalty on attack rolls, saves, ability checks, and skill checks.  &lt;li&gt;Each turn, the target has a 50% chance to act normally; otherwise, it takes no action.&lt;/p&gt;&lt;p&gt;&lt;/ul&gt;You may also invent your own curse, but it should be no more powerful than those described above.&lt;/p&gt;&lt;p&gt;The curse bestowed by this spell cannot be dispelled, but it can be removed with a &lt;i&gt;break enchantment&lt;/i&gt;, &lt;i&gt;limited wish&lt;/i&gt;, &lt;i&gt;miracle&lt;/i&gt;, &lt;i&gt;remove curse&lt;/i&gt;, or &lt;i&gt;wish&lt;/i&gt; spell.&lt;/p&gt;&lt;p&gt;&lt;i&gt;Bestow curse&lt;/i&gt; counters &lt;i&gt;remove curse&lt;/i&gt;.&lt;/p&gt;</t>
  </si>
  <si>
    <t>&lt;link rel="stylesheet"href="PF.css"&gt;&lt;div class="heading"&gt;&lt;p class="alignleft"&gt;Bestow Curse &lt;/p&gt;&lt;div style="clear: both;"&gt;&lt;/div&gt;&lt;/div&gt;&lt;div&gt;&lt;h5&gt;&lt;b&gt;School &lt;/b&gt;necromancy [curse]; &lt;b&gt;Level &lt;/b&gt;cleric/oracle 3, sorcerer/wizard 4, witch 3, antipaladin 3, bloodrager 4, shaman 3, occultist 3, mesmerist 3, spiritualist 3&lt;/h5&gt;&lt;h5&gt;&lt;b&gt;Casting Time &lt;/b&gt;1 standard action&lt;/h5&gt;&lt;h5&gt;&lt;b&gt;Components &lt;/b&gt;V, S&lt;/h5&gt;&lt;h5&gt;&lt;b&gt;Range &lt;/b&gt;touch&lt;/h5&gt;&lt;h5&gt;&lt;b&gt;Targets &lt;/b&gt; creature touched&lt;/h5&gt;&lt;h5&gt;&lt;b&gt;Duration &lt;/b&gt;permanent&lt;/h5&gt;&lt;h5&gt;&lt;b&gt;Saving Throw &lt;/b&gt;Will negates; &lt;b&gt;Spell Resistance &lt;/b&gt;yes&lt;/h5&gt;&lt;/div&gt;&lt;div&gt;&lt;h4&gt;&lt;p&gt;You place a curse on the subject. Choose one of the following.&lt;/p&gt;&lt;p&gt;&lt;ul&gt;&lt;li&gt;-6 decrease to an ability score (minimum 1).  &lt;li&gt;-4 penalty on attack rolls, saves, ability checks, and skill checks.  &lt;li&gt;Each turn, the target has a 50% chance to act normally; otherwise, it takes no action.&lt;/p&gt;&lt;p&gt;&lt;/ul&gt;You may also invent your own curse, but it should be no more powerful than those described above.&lt;/p&gt;&lt;p&gt;The curse bestowed by this spell cannot be dispelled, but it can be removed with a &lt;i&gt;break enchantment&lt;/i&gt;, &lt;i&gt;limited wish&lt;/i&gt;, &lt;i&gt;miracle&lt;/i&gt;, &lt;i&gt;remove curse&lt;/i&gt;, or &lt;i&gt;wish&lt;/i&gt; spell.&lt;/p&gt;&lt;p&gt;&lt;i&gt;Bestow curse&lt;/i&gt; counters &lt;i&gt;remove curse&lt;/i&gt;.&lt;/p&gt;&lt;/h4&gt;&lt;/div&gt;</t>
  </si>
  <si>
    <t>Curse (3), Tyranny (3)</t>
  </si>
  <si>
    <t>–6 to an ability score; –4 on attack rolls, saves, and checks; or 50% chance of losing each action.</t>
  </si>
  <si>
    <t>Accursed (9), Div (9)</t>
  </si>
  <si>
    <t>Binding</t>
  </si>
  <si>
    <t>sorcerer/wizard 8, summoner 6, psychic 8</t>
  </si>
  <si>
    <t>V, S, M (opals worth 500 gp per HD of the target creature, plus other components as specified below)</t>
  </si>
  <si>
    <t>one living creature</t>
  </si>
  <si>
    <t>Will negates; see text</t>
  </si>
  <si>
    <t>A binding spell creates a magical restraint to hold a creature. The target gets an initial saving throw only if its Hit Dice equal at least half your caster level. You may have as many as six assistants help you with the spell. For each assistant who casts suggestion, your caster level for this casting of binding increases by 1. For each assistant who casts dominate animal, dominate person, or dominate monster, your caster level for this casting of binding increases by a number equal to a third of that assistant's level, provided that the spell's target is appropriate for a binding spell. Since the assistants' spells are cast simply to improve your caster level for the purpose of the binding spell, saving throws and spell resistance against the assistants' spells are irrelevant. Your caster level determines whether the target gets an initial Will saving throw and how long the binding lasts. All binding spells are dismissible. Regardless of the version of binding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 If you cast any of the first three versions of binding (those with limited durations), you may cast additional binding spells to prolong the effect, overlapping the durations. If you do so, the target gets a saving throw at the end of the first spell's duration, even if your caster level was high enough to disallow an initial saving throw. If the creature's save succeeds, all binding spells it has received are broken. The binding spell has six versions. Choose one of the following versions when you cast the spell. Chaining: The subject is confined by restraints that generate an antipathy spell affecting all creatures who approach the subject, except you. The duration is 1 year per caster level. The subject of this form of binding is confined to the spot it occupied when it received the spell. Casting this version requires a chain that is long enough to wrap around the creature three times. Slumber: This version causes the subject to become comatose for as long as 1 year per caster level. The subject does not need to eat or drink while slumbering, nor does it age. This form of binding is slightly easier to resist. Reduce the spell's save DC by 1. Casting this version requires a jar of sand or rose petals. This is a sleep effect. Bound Slumber: This combination of chaining and slumber lasts for as long as 1 month per caster level. Reduce the save DC by 2. Casting this version requires both a long chain and a jar of sand or rose petals. This is a sleep effect. Hedged Prison: The subject is transported to or otherwise brought within a confined area from which it cannot wander by any means. This effect is permanent. Reduce the save DC by 3. Casting this version requires a tiny golden cage worth 100 gp that is consumed when the spell is cast. Metamorphosis: The subject assumes gaseous form, except for its head or face. It is held harmless in a jar or other container, which may be transparent if you so choose. The creature remains aware of its surroundings and can speak, but it cannot leave the container, attack, or use any of its powers or abilities. The binding is permanent. The subject does not need to breathe, eat, or drink while metamorphosed, nor does it age. Reduce the save DC by 4. Minimus Containment: The subject is shrunk to a height of 1 inch or less and held within some gem, jar, or similar object. The binding is permanent. The subject does not need to breathe, eat, or drink while contained, nor does it age. Reduce the save DC by 4. You can't dispel a binding spell with dispel magic or a similar effect, though an antimagic field or mage's disjunction affects it normally. A bound extraplanar creature cannot be sent back to its home plane by dismissal, banishment, or a similar effect.</t>
  </si>
  <si>
    <t>&lt;p&gt;A &lt;i&gt;binding&lt;/i&gt; spell creates a magical restraint to hold a creature. The target gets an initial saving throw only if its Hit Dice equal at least half your caster level.&lt;/p&gt;&lt;p&gt;You may have as many as six assistants help you with the spell. For each assistant who casts &lt;i&gt;suggestion&lt;/i&gt;, your caster level for this casting of &lt;i&gt;binding&lt;/i&gt; increases by 1. For each assistant who casts &lt;i&gt;dominate animal&lt;/i&gt;, &lt;i&gt;dominate person&lt;/i&gt;, or &lt;i&gt;dominate monster&lt;/i&gt;, your caster level for this casting of binding increases by a number equal to a third of that assistant's level, provided that the spell's target is appropriate for a &lt;i&gt;binding&lt;/i&gt; spell. Since the assistants' spells are cast simply to improve your caster level for the purpose of the &lt;i&gt;binding&lt;/i&gt; spell, saving throws and spell resistance against the assistants' spells are irrelevant. Your caster level determines whether the target gets an initial Will saving throw and how long the &lt;i&gt;binding&lt;/i&gt; lasts. All &lt;i&gt;binding&lt;/i&gt; spells are dismissible.&lt;/p&gt;&lt;p&gt;Regardless of the version of &lt;i&gt;binding&lt;/i&gt;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2.&lt;/p&gt;&lt;p&gt;If you cast any of the first three versions of &lt;i&gt;binding&lt;/i&gt; (those with limited durations), you may cast additional &lt;i&gt;binding&lt;/i&gt; spells to prolong the effect, overlapping the durations. If you do so, the target gets a saving throw at the end of the first spell's duration, even if your caster level was high enough to disallow an initial saving throw. If the creature's save succeeds, all &lt;i&gt;binding&lt;/i&gt; spells it has received are broken.&lt;/p&gt;&lt;p&gt;The &lt;i&gt;binding&lt;/i&gt; spell has six versions. Choose one of the following versions when you cast the spell.&lt;/p&gt;&lt;p&gt;&lt;i&gt;Chaining&lt;/i&gt;: The subject is confined by restraints that generate an &lt;i&gt;antipathy&lt;/i&gt; spell affecting all creatures who approach the subject, except you. The duration is 1 year per caster level. The subject of this form of &lt;i&gt;binding&lt;/i&gt; is confined to the spot it occupied when it received the spell. Casting this version requires a chain that is long enough to wrap around the creature three times.&lt;/p&gt;&lt;p&gt;&lt;i&gt;Slumber&lt;/i&gt;: This version causes the subject to become comatose for as long as 1 year per caster level. The subject does not need to eat or drink while slumbering, nor does it age. This form of &lt;i&gt;binding&lt;/i&gt; is slightly easier to resist. Reduce the spell's save DC by 1. Casting this version requires a jar of sand or rose petals. This is a &lt;i&gt;sleep&lt;/i&gt; effect.&lt;/p&gt;&lt;p&gt;&lt;i&gt;Bound Slumber&lt;/i&gt;: This combination of chaining and slumber lasts for as long as 1 month per caster level. Reduce the save DC by 2. Casting this version requires both a long chain and a jar of sand or rose petals. This is a &lt;i&gt;sleep&lt;/i&gt; effect.&lt;/p&gt;&lt;p&gt;&lt;i&gt;Hedged Prison&lt;/i&gt;: The subject is transported to or otherwise brought within a confined area from which it cannot wander by any means. This effect is permanent. Reduce the save DC by 3. Casting this version requires a tiny golden cage worth 100 gp that is consumed when the spell is cast.&lt;/p&gt;&lt;p&gt;&lt;i&gt;Metamorphosis&lt;/i&gt;: The subject assumes &lt;i&gt;gaseous form&lt;/i&gt;, except for its head or face. It is held harmless in a jar or other container, which may be transparent if you so choose. The creature remains aware of its surroundings and can speak, but it cannot leave the container, attack, or use any of its powers or abilities. The &lt;i&gt;binding&lt;/i&gt; is permanent. The subject does not need to breathe, eat, or drink while metamorphosed, nor does it age. Reduce the save DC by 4.&lt;/p&gt;&lt;p&gt;&lt;i&gt;Minimus Containment&lt;/i&gt;: The subject is shrunk to a height of 1 inch or less and held within some gem, jar, or similar object. The &lt;i&gt;binding&lt;/i&gt; is permanent. The subject does not need to breathe, eat, or drink while contained, nor does it age. Reduce the save DC by 4.&lt;/p&gt;&lt;p&gt;You can't dispel a &lt;i&gt;binding&lt;/i&gt; spell with &lt;i&gt;dispel magic&lt;/i&gt; or a similar effect, though an &lt;i&gt;antimagic field&lt;/i&gt; or &lt;i&gt;mage's disjunction&lt;/i&gt; affects it normally. A bound extraplanar creature cannot be sent back to its home plane by &lt;i&gt;dismissal&lt;/i&gt;, &lt;i&gt;banishment&lt;/i&gt;, or a similar effect.&lt;/p&gt;</t>
  </si>
  <si>
    <t>&lt;link rel="stylesheet"href="PF.css"&gt;&lt;div class="heading"&gt;&lt;p class="alignleft"&gt;Binding&lt;/p&gt;&lt;div style="clear: both;"&gt;&lt;/div&gt;&lt;/div&gt;&lt;div&gt;&lt;h5&gt;&lt;b&gt;School &lt;/b&gt;enchantment (compulsion) [mind-affecting]; &lt;b&gt;Level &lt;/b&gt;sorcerer/wizard 8, summoner 6, psychic 8&lt;/h5&gt;&lt;h5&gt;&lt;b&gt;Casting Time &lt;/b&gt;1 minute&lt;/h5&gt;&lt;h5&gt;&lt;b&gt;Components &lt;/b&gt;V, S, M (opals worth 500 gp per HD of the target creature, plus other components as specified below)&lt;/h5&gt;&lt;h5&gt;&lt;b&gt;Range &lt;/b&gt;close (25 ft. + 5 ft./2 levels)&lt;/h5&gt;&lt;h5&gt;&lt;b&gt;Targets &lt;/b&gt; one living creature&lt;/h5&gt;&lt;h5&gt;&lt;b&gt;Duration &lt;/b&gt;see text (D)&lt;/h5&gt;&lt;h5&gt;&lt;b&gt;Saving Throw &lt;/b&gt;Will negates; see text; &lt;b&gt;Spell Resistance &lt;/b&gt;yes&lt;/h5&gt;&lt;/div&gt;&lt;div&gt;&lt;h4&gt;&lt;p&gt;A &lt;i&gt;binding&lt;/i&gt; spell creates a magical restraint to hold a creature. The target gets an initial saving throw only if its Hit Dice equal at least half your caster level.&lt;/p&gt;&lt;p&gt;You may have as many as six assistants help you with the spell. For each assistant who casts &lt;i&gt;suggestion&lt;/i&gt;, your caster level for this casting of &lt;i&gt;binding&lt;/i&gt; increases by 1. For each assistant who casts &lt;i&gt;dominate animal&lt;/i&gt;, &lt;i&gt;dominate person&lt;/i&gt;, or &lt;i&gt;dominate monster&lt;/i&gt;, your caster level for this casting of binding increases by a number equal to a third of that assistant's level, provided that the spell's target is appropriate for a &lt;i&gt;binding&lt;/i&gt; spell. Since the assistants' spells are cast simply to improve your caster level for the purpose of the &lt;i&gt;binding&lt;/i&gt; spell, saving throws and spell resistance against the assistants' spells are irrelevant. Your caster level determines whether the target gets an initial Will saving throw and how long the &lt;i&gt;binding&lt;/i&gt; lasts. All &lt;i&gt;binding&lt;/i&gt; spells are dismissible.&lt;/p&gt;&lt;p&gt;Regardless of the version of &lt;i&gt;binding&lt;/i&gt;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2.&lt;/p&gt;&lt;p&gt;If you cast any of the first three versions of &lt;i&gt;binding&lt;/i&gt; (those with limited durations), you may cast additional &lt;i&gt;binding&lt;/i&gt; spells to prolong the effect, overlapping the durations. If you do so, the target gets a saving throw at the end of the first spell's duration, even if your caster level was high enough to disallow an initial saving throw. If the creature's save succeeds, all &lt;i&gt;binding&lt;/i&gt; spells it has received are broken.&lt;/p&gt;&lt;p&gt;The &lt;i&gt;binding&lt;/i&gt; spell has six versions. Choose one of the following versions when you cast the spell.&lt;/p&gt;&lt;p&gt;&lt;i&gt;Chaining&lt;/i&gt;: The subject is confined by restraints that generate an &lt;i&gt;antipathy&lt;/i&gt; spell affecting all creatures who approach the subject, except you. The duration is 1 year per caster level. The subject of this form of &lt;i&gt;binding&lt;/i&gt; is confined to the spot it occupied when it received the spell. Casting this version requires a chain that is long enough to wrap around the creature three times.&lt;/p&gt;&lt;p&gt;&lt;i&gt;Slumber&lt;/i&gt;: This version causes the subject to become comatose for as long as 1 year per caster level. The subject does not need to eat or drink while slumbering, nor does it age. This form of &lt;i&gt;binding&lt;/i&gt; is slightly easier to resist. Reduce the spell's save DC by 1. Casting this version requires a jar of sand or rose petals. This is a &lt;i&gt;sleep&lt;/i&gt; effect.&lt;/p&gt;&lt;p&gt;&lt;i&gt;Bound Slumber&lt;/i&gt;: This combination of chaining and slumber lasts for as long as 1 month per caster level. Reduce the save DC by 2. Casting this version requires both a long chain and a jar of sand or rose petals. This is a &lt;i&gt;sleep&lt;/i&gt; effect.&lt;/p&gt;&lt;p&gt;&lt;i&gt;Hedged Prison&lt;/i&gt;: The subject is transported to or otherwise brought within a confined area from which it cannot wander by any means. This effect is permanent. Reduce the save DC by 3. Casting this version requires a tiny golden cage worth 100 gp that is consumed when the spell is cast.&lt;/p&gt;&lt;p&gt;&lt;i&gt;Metamorphosis&lt;/i&gt;: The subject assumes &lt;i&gt;gaseous form&lt;/i&gt;, except for its head or face. It is held harmless in a jar or other container, which may be transparent if you so choose. The creature remains aware of its surroundings and can speak, but it cannot leave the container, attack, or use any of its powers or abilities. The &lt;i&gt;binding&lt;/i&gt; is permanent. The subject does not need to breathe, eat, or drink while metamorphosed, nor does it age. Reduce the save DC by 4.&lt;/p&gt;&lt;p&gt;&lt;i&gt;Minimus Containment&lt;/i&gt;: The subject is shrunk to a height of 1 inch or less and held within some gem, jar, or similar object. The &lt;i&gt;binding&lt;/i&gt; is permanent. The subject does not need to breathe, eat, or drink while contained, nor does it age. Reduce the save DC by 4.&lt;/p&gt;&lt;p&gt;You can't dispel a &lt;i&gt;binding&lt;/i&gt; spell with &lt;i&gt;dispel magic&lt;/i&gt; or a similar effect, though an &lt;i&gt;antimagic field&lt;/i&gt; or &lt;i&gt;mage's disjunction&lt;/i&gt; affects it normally. A bound extraplanar creature cannot be sent back to its home plane by &lt;i&gt;dismissal&lt;/i&gt;, &lt;i&gt;banishment&lt;/i&gt;, or a similar effect.&lt;/p&gt;&lt;/h4&gt;&lt;/div&gt;</t>
  </si>
  <si>
    <t>Slavery (8)</t>
  </si>
  <si>
    <t> Utilizes an array of techniques to imprison a creature.</t>
  </si>
  <si>
    <t>Black Tentacles</t>
  </si>
  <si>
    <t>sorcerer/wizard 4, witch 4, summoner 3, magus 4, bloodrager 4, psychic 4, spiritualist 4</t>
  </si>
  <si>
    <t>V, S, M (octopus or squid tentacle)</t>
  </si>
  <si>
    <t>20-ft.-radius spread</t>
  </si>
  <si>
    <t>1 round/level (D)</t>
  </si>
  <si>
    <t>This spell causes a field of rubbery black tentacles to appear, burrowing up from the floor and reaching for any creature in the area.  Every creature within the area of the spell is the target of a combat maneuver check made to grapple each round at the beginning of your turn, including the round that black tentacles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  If the tentacles succeed in grappling a foe, that foe takes 1d6+4 points of damage and gains the grappled condition. Grappled opponents cannot move without first breaking the grapple. All other movement is prohibited unless the creature breaks the grapple first. The black tentacles spell receives a +5 bonus on grapple checks made against opponents it is already grappling, but cannot move foes or pin foes. Each round that black tentacles succeeds on a grapple check, it deals an additional 1d6+4 points of damage. The CMD of black tentacles, for the purposes of escaping the grapple, is equal to 10 + its CMB.  The tentacles created by this spell cannot be damaged, but they can be dispelled as normal. The entire area of effect is considered difficult terrain while the tentacles last.</t>
  </si>
  <si>
    <t>&lt;p&gt;This spell causes a field of rubbery &lt;i&gt;black tentacles&lt;/i&gt; to appear, burrowing up from the floor and reaching for any creature in the area.&lt;/p&gt;&lt;p&gt;Every creature within the area of the spell is the target of a combat maneuver check made to grapple each round at the beginning of your turn, including the round that &lt;i&gt;black tentacles&lt;/i&gt;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effect.&lt;/p&gt;&lt;p&gt;If the tentacles succeed in grappling a foe, that foe takes 1d6+4 points of damage and gains the grappled condition. Grappled opponents cannot move without first breaking the grapple. All other movement is prohibited unless the creature breaks the grapple first. The &lt;i&gt;black tentacles&lt;/i&gt; spell receives a +5 bonus on grapple checks made against opponents it is already grappling, but cannot move foes or pin foes. Each round that &lt;i&gt;black tentacles&lt;/i&gt; succeeds on a grapple check, it deals an additional 1d6+4 points of damage. The CMD of &lt;i&gt;black tentacles&lt;/i&gt;, for the purposes of escaping the grapple, is equal to 10 + its CMB.&lt;/p&gt;&lt;p&gt;The tentacles created by this spell cannot be damaged, but they can be dispelled as normal. The entire area of effect is considered difficult terrain while the tentacles last.&lt;/p&gt;</t>
  </si>
  <si>
    <t>&lt;link rel="stylesheet"href="PF.css"&gt;&lt;div class="heading"&gt;&lt;p class="alignleft"&gt;Black Tentacles&lt;/p&gt;&lt;div style="clear: both;"&gt;&lt;/div&gt;&lt;/div&gt;&lt;div&gt;&lt;h5&gt;&lt;b&gt;School &lt;/b&gt;conjuration (creation); &lt;b&gt;Level &lt;/b&gt;sorcerer/wizard 4, witch 4, summoner 3, magus 4, bloodrager 4, psychic 4, spiritualist 4&lt;/h5&gt;&lt;/div&gt;&lt;hr/&gt;&lt;div&gt;&lt;h5&gt;&lt;b&gt;CASTING&lt;/b&gt;&lt;/h5&gt;&lt;/div&gt;&lt;hr/&gt;&lt;div&gt;&lt;h5&gt;&lt;b&gt;Casting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&lt;/b&gt;20-ft.-radius spread&lt;/h5&gt;&lt;h5&gt;&lt;b&gt;Duration &lt;/b&gt;1 round/level (D)&lt;/h5&gt;&lt;h5&gt;&lt;b&gt;Saving Throw &lt;/b&gt;none; &lt;b&gt;Spell Resistance &lt;/b&gt;no&lt;/h5&gt;&lt;/div&gt;&lt;hr/&gt;&lt;div&gt;&lt;h5&gt;&lt;b&gt;DESCRIPTION&lt;/b&gt;&lt;/h5&gt;&lt;/div&gt;&lt;hr/&gt;&lt;div&gt;&lt;h4&gt;&lt;p&gt;This spell causes a field of rubbery &lt;i&gt;black tentacles&lt;/i&gt; to appear, burrowing up from the floor and reaching for any creature in the area.&lt;/p&gt;&lt;p&gt;Every creature within the area of the spell is the target of a combat maneuver check made to grapple each round at the beginning of your turn, including the round that &lt;i&gt;black tentacles&lt;/i&gt;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effect.&lt;/p&gt;&lt;p&gt;If the tentacles succeed in grappling a foe, that foe takes 1d6+4 points of damage and gains the grappled condition. Grappled opponents cannot move without first breaking the grapple. All other movement is prohibited unless the creature breaks the grapple first. The &lt;i&gt;black tentacles&lt;/i&gt; spell receives a +5 bonus on grapple checks made against opponents it is already grappling, but cannot move foes or pin foes. Each round that &lt;i&gt;black tentacles&lt;/i&gt; succeeds on a grapple check, it deals an additional 1d6+4 points of damage. The CMD of &lt;i&gt;black tentacles&lt;/i&gt;, for the purposes of escaping the grapple, is equal to 10 + its CMB.&lt;/p&gt;&lt;p&gt;The tentacles created by this spell cannot be damaged, but they can be dispelled as normal. The entire area of effect is considered difficult terrain while the tentacles last.&lt;/p&gt;&lt;/h4&gt;&lt;h5&gt;&lt;b&gt;Mythic: &lt;/b&gt;Add your tier to the base attack bonus of the tentacles. The tentacles also deal an additional 2d6 points of acid damage with a successful grapple.&lt;/h5&gt;&lt;h5&gt;&lt;b&gt;Augmented (6th)&lt;/b&gt;: If you expend two uses of mythic power, the spell creates twice as many tentacles in the same area, meaning each creature in the area is attacked twice per round. The tentacles can grapple creatures that are immune to grappling if that immunity is from a non-mythic source, but combat maneuver checks to grapple such creatures take a -5 penalty.&lt;/h5&gt;&lt;/div&gt;</t>
  </si>
  <si>
    <t> Tentacles grapple all creatures within a 20-ft. spread.</t>
  </si>
  <si>
    <t>Aberrant (9)</t>
  </si>
  <si>
    <t>Occult (8)</t>
  </si>
  <si>
    <t>Add your tier to the base attack bonus of the tentacles. The tentacles also deal an additional 2d6 points of acid damage with a successful grapple.</t>
  </si>
  <si>
    <t>Augmented (6th): If you expend two uses of mythic power, the spell creates twice as many tentacles in the same area, meaning each creature in the area is attacked twice per round. The tentacles can grapple creatures that are immune to grappling if that immunity is from a non-mythic source, but combat maneuver checks to grapple such creatures take a -5 penalty.</t>
  </si>
  <si>
    <t>Blade Barrier</t>
  </si>
  <si>
    <t>evocation</t>
  </si>
  <si>
    <t>cleric/oracle 6, inquisitor 6, occultist 6, psychic 6</t>
  </si>
  <si>
    <t>wall of whirling blades up to 20 ft. long/level, or a ringed wall of whirling blades with a radius of up to 5 ft. per two levels; either form is 20 ft. high</t>
  </si>
  <si>
    <t>1 min./level (D)</t>
  </si>
  <si>
    <t>Reflex half or Reflex negates; see text</t>
  </si>
  <si>
    <t>An immobile, vertical curtain of whirling blades shaped of pure force springs into existence. Any creature passing through the wall takes 1d6 points of damage per caster level (maximum 15d6), with a Reflex save for half damage.  If you evoke the barrier so that it appears where creatures are, each creature takes damage as if passing through the wall.  Each such creature can avoid the wall (ending up on the side of its choice) and thus take no damage by making a successful Reflex save.  A blade barrier provides cover (+4 bonus to AC, +2 bonus on Reflex saves) against attacks made through it.</t>
  </si>
  <si>
    <t>&lt;p&gt;An immobile, vertical curtain of whirling blades shaped of pure force springs into existence. Any creature passing through the wall takes 1d6 points of damage per caster level (maximum 15d6), with a Reflex save for half damage.&lt;/p&gt;&lt;p&gt;If you evoke the barrier so that it appears where creatures are, each creature takes damage as if passing through the wall.&lt;/p&gt;&lt;p&gt;Each such creature can avoid the wall (ending up on the side of its choice) and thus take no damage by making a successful Reflex save.&lt;/p&gt;&lt;p&gt;A &lt;i&gt;blade barrier&lt;/i&gt; provides cover (+4 bonus to AC, +2 bonus on Reflex saves) against attacks made through it.&lt;/p&gt;</t>
  </si>
  <si>
    <t>&lt;link rel="stylesheet"href="PF.css"&gt;&lt;div class="heading"&gt;&lt;p class="alignleft"&gt;Blade Barrier&lt;/p&gt;&lt;div style="clear: both;"&gt;&lt;/div&gt;&lt;/div&gt;&lt;div&gt;&lt;h5&gt;&lt;b&gt;School &lt;/b&gt;evocation [force]; &lt;b&gt;Level &lt;/b&gt;cleric/oracle 6, inquisitor 6, occultist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whirling blades up to 20 ft. long/level, or a ringed wall of whirling blades with a radius of up to 5 ft. per two levels; either form is 20 ft. high&lt;/h5&gt;&lt;h5&gt;&lt;b&gt;Duration &lt;/b&gt;1 min./level (D)&lt;/h5&gt;&lt;h5&gt;&lt;b&gt;Saving Throw &lt;/b&gt;Reflex half or Reflex negates; see text; &lt;b&gt;Spell Resistance &lt;/b&gt;yes&lt;/h5&gt;&lt;/div&gt;&lt;hr/&gt;&lt;div&gt;&lt;h5&gt;&lt;b&gt;DESCRIPTION&lt;/b&gt;&lt;/h5&gt;&lt;/div&gt;&lt;hr/&gt;&lt;div&gt;&lt;h4&gt;&lt;p&gt;An immobile, vertical curtain of whirling blades shaped of pure force springs into existence. Any creature passing through the wall takes 1d6 points of damage per caster level (maximum 15d6), with a Reflex save for half damage.&lt;/p&gt;&lt;p&gt;If you evoke the barrier so that it appears where creatures are, each creature takes damage as if passing through the wall.&lt;/p&gt;&lt;p&gt;Each such creature can avoid the wall (ending up on the side of its choice) and thus take no damage by making a successful Reflex save.&lt;/p&gt;&lt;p&gt;A &lt;i&gt;blade barrier&lt;/i&gt; provides cover (+4 bonus to AC, +2 bonus on Reflex saves) against attacks made through it.&lt;/p&gt;&lt;/h4&gt;&lt;h5&gt;&lt;b&gt;Mythic: &lt;/b&gt;You may cast this spell as an immediate action. The barrier's damage increases to 1d8 per caster level (maximum 20d8).&lt;/h5&gt;&lt;h5&gt;&lt;b&gt;Augmented (3rd)&lt;/b&gt;: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is.&lt;/h5&gt;&lt;/div&gt;</t>
  </si>
  <si>
    <t>Good (6), War (6)</t>
  </si>
  <si>
    <t> Wall of blades deals 1d6/level damage.</t>
  </si>
  <si>
    <t>Thorns (12)</t>
  </si>
  <si>
    <t>You may cast this spell as an immediate action. The barrier's damage increases to 1d8 per caster level (maximum 20d8).</t>
  </si>
  <si>
    <t>Augmented (3rd):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t>
  </si>
  <si>
    <t>Blasphemy</t>
  </si>
  <si>
    <t>evil, sonic</t>
  </si>
  <si>
    <t>cleric/oracle 7, inquisitor 6</t>
  </si>
  <si>
    <t>40 ft.</t>
  </si>
  <si>
    <t>nonevil creatures in a 40-ft.-radius spread centered on you</t>
  </si>
  <si>
    <t>Any nonevil creature within the area of a blasphemy spell suffers the following ill effects. HD Effect Equal to caster level Dazed Up to caster level -1 Weakened, dazed Up to caster level -5 Paralyzed, weakened, dazed Up to caster level -10 Killed, paralyzed, weakened, dazed The effects are cumulative and concurrent. A successful Will save reduces or eliminates these effects. Creatures affected by multiple effects make only one save and apply the result to all the effects. Dazed: The creature can take no actions for 1 round, though it defends itself normally. Save negates. Weakened: The creature's Strength score decreases by 2d6 points for 2d4 rounds. Save for half.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blasphemy or not. The banishment effect allows a Will save (at a -4 penalty) to negate. Creatures whose Hit Dice exceed your caster level are unaffected by blasphemy.</t>
  </si>
  <si>
    <t>&lt;p&gt;Any nonevil creature within the area of a &lt;i&gt;blasphemy&lt;/i&gt; spell suffers the following ill effects.  &lt;table border ='1'&gt;&lt;tr&gt;&lt;th&gt;HD&lt;/th&gt;&lt;th&gt;Effect&lt;/th&gt;&lt;/tr&gt;&lt;tr&gt;&lt;td&gt;Equal to caster level&lt;/td&gt;&lt;td&gt;Dazed&lt;/td&gt;&lt;/tr&gt;&lt;tr&gt;&lt;td&gt;Up to caster level -1&lt;/td&gt;&lt;td&gt;Weakened, dazed&lt;/td&gt;&lt;/tr&gt;&lt;tr&gt;&lt;td&gt;Up to caster level -5&lt;/td&gt;&lt;td&gt;Paralyzed, weakened, dazed&lt;/td&gt;&lt;/tr&gt;&lt;tr&gt;&lt;td&gt;Up to caster level -10&lt;/td&gt;&lt;td&gt;Killed, paralyzed, weakened, dazed&lt;/td&gt;&lt;/tr&gt;&lt;/table&gt;    The effects are cumulative and concurrent. A successful Will save reduces or eliminates these effects. Creatures affected by multiple effects make only one save and apply the result to all the effects.&lt;/p&gt;&lt;p&gt;&lt;i&gt;Dazed&lt;/i&gt;: The creature can take no actions for 1 round, though it defends itself normally. Save negates.&lt;/p&gt;&lt;p&gt;&lt;i&gt;Weakened&lt;/i&gt;: The creature's Strength score decreases by 2d6 points for 2d4 rounds. Save for half.&lt;/p&gt;&lt;p&gt;&lt;i&gt;Paralyzed&lt;/i&gt;: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&lt;i&gt;blasphemy&lt;/i&gt; or not. The banishment effect allows a Will save (at a -4 penalty) to negate.&lt;/p&gt;&lt;p&gt;Creatures whose Hit Dice exceed your caster level are unaffected by &lt;i&gt;blasphemy&lt;/i&gt;.&lt;/p&gt;</t>
  </si>
  <si>
    <t>&lt;link rel="stylesheet"href="PF.css"&gt;&lt;div class="heading"&gt;&lt;p class="alignleft"&gt;Blasphemy&lt;/p&gt;&lt;div style="clear: both;"&gt;&lt;/div&gt;&lt;/div&gt;&lt;div&gt;&lt;h5&gt;&lt;b&gt;School &lt;/b&gt;evocation [evil,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&lt;/b&gt;nonevil creatures in a 40-ft.-radius spread centered on you&lt;/h5&gt;&lt;h5&gt;&lt;b&gt;Duration &lt;/b&gt;instantaneous&lt;/h5&gt;&lt;h5&gt;&lt;b&gt;Saving Throw &lt;/b&gt;Will partial; &lt;b&gt;Spell Resistance &lt;/b&gt;yes&lt;/h5&gt;&lt;/div&gt;&lt;hr/&gt;&lt;div&gt;&lt;h5&gt;&lt;b&gt;DESCRIPTION&lt;/b&gt;&lt;/h5&gt;&lt;/div&gt;&lt;hr/&gt;&lt;div&gt;&lt;h4&gt;&lt;p&gt;Any nonevil creature within the area of a &lt;i&gt;blasphemy&lt;/i&gt; spell suffers the following ill effects.   &lt;table border ='1'&gt;&lt;tr&gt;&lt;th&gt;HD&lt;/th&gt;&lt;th&gt;Effect&lt;/th&gt;&lt;/tr&gt;&lt;tr&gt;&lt;td&gt;Equal to caster level&lt;/td&gt;&lt;td&gt;Dazed&lt;/td&gt;&lt;/tr&gt;&lt;tr&gt;&lt;td&gt;Up to caster level -1&lt;/td&gt;&lt;td&gt;Weakened, dazed&lt;/td&gt;&lt;/tr&gt;&lt;tr&gt;&lt;td&gt;Up to caster level -5&lt;/td&gt;&lt;td&gt;Paralyzed, weakened, dazed&lt;/td&gt;&lt;/tr&gt;&lt;tr&gt;&lt;td&gt;Up to caster level -10&lt;/td&gt;&lt;td&gt;Killed, paralyzed, weakened, dazed&lt;/td&gt;&lt;/tr&gt;&lt;/table&gt;   The effects are cumulative and concurrent. A successful Will save reduces or eliminates these effects. Creatures affected by multiple effects make only one save and apply the result to all the effects.&lt;/p&gt;&lt;p&gt;&lt;i&gt;Dazed&lt;/i&gt;: The creature can take no actions for 1 round, though it defends itself normally. Save negates.&lt;/p&gt;&lt;p&gt;&lt;i&gt;Weakened&lt;/i&gt;: The creature's Strength score decreases by 2d6 points for 2d4 rounds. Save for half.&lt;/p&gt;&lt;p&gt;&lt;i&gt;Paralyzed&lt;/i&gt;: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&lt;i&gt;blasphemy&lt;/i&gt; or not. The banishment effect allows a Will save (at a -4 penalty) to negate.&lt;/p&gt;&lt;p&gt;Creatures whose Hit Dice exceed your caster level are unaffected by &lt;i&gt;blasphemy&lt;/i&gt;.&lt;/p&gt;&lt;/h4&gt;&lt;h5&gt;&lt;b&gt;Mythic: &lt;/b&gt;When determining the spell's effect on non-mythic creatures, add your tier to your caster level. Nonevil creatures that fail the save take a -4 penalty on attack rolls and saving throws, and their spell resistance decreases by 5 for as long as the spell's other effects last.&lt;/h5&gt;&lt;/div&gt;</t>
  </si>
  <si>
    <t>Evil (7)</t>
  </si>
  <si>
    <t> Kills, paralyzes, weakens, or dazes nonevil subjects.</t>
  </si>
  <si>
    <t>When determining the spell's effect on non-mythic creatures, add your tier to your caster level. Nonevil creatures that fail the save take a -4 penalty on attack rolls and saving throws, and their spell resistance decreases by 5 for as long as the spell's other effects last.</t>
  </si>
  <si>
    <t>Bleed</t>
  </si>
  <si>
    <t>cleric/oracle 0, inquisitor 0, sorcerer/wizard 0, witch 0, shaman 0, occultist 0, psychic 0, mesmerist 0, spiritualist 0</t>
  </si>
  <si>
    <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t>
  </si>
  <si>
    <t>&lt;p&gt;You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damage.&lt;/p&gt;</t>
  </si>
  <si>
    <t>&lt;link rel="stylesheet"href="PF.css"&gt;&lt;div class="heading"&gt;&lt;p class="alignleft"&gt;Bleed&lt;/p&gt;&lt;div style="clear: both;"&gt;&lt;/div&gt;&lt;/div&gt;&lt;div&gt;&lt;h5&gt;&lt;b&gt;School &lt;/b&gt;necromancy; &lt;b&gt;Level &lt;/b&gt;cleric/oracle 0, inquisitor 0, sorcerer/wizard 0, witch 0, shaman 0, occultist 0, psychic 0, mesmerist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damage.&lt;/p&gt;&lt;/h4&gt;&lt;/div&gt;</t>
  </si>
  <si>
    <t>Cause a stabilized creature to resume dying.</t>
  </si>
  <si>
    <t>Bless</t>
  </si>
  <si>
    <t>cleric/oracle 1, paladin 1, inquisitor 1, shaman 1</t>
  </si>
  <si>
    <t>The caster and all allies within a 50-ft. burst, centered on the caster</t>
  </si>
  <si>
    <t>Bless fills your allies with courage. Each ally gains a +1 morale bonus on attack rolls and on saving throws against fear effects.  Bless counters and dispels bane.</t>
  </si>
  <si>
    <t>&lt;p&gt;&lt;i&gt;Bless&lt;/i&gt; fills your allies with courage. Each ally gains a +1 morale bonus on attack rolls and on saving throws against fear effects.&lt;/p&gt;&lt;p&gt;&lt;i&gt;Bless&lt;/i&gt; counters and dispels &lt;i&gt;bane&lt;/i&gt;.&lt;/p&gt;</t>
  </si>
  <si>
    <t>&lt;link rel="stylesheet"href="PF.css"&gt;&lt;div class="heading"&gt;&lt;p class="alignleft"&gt;Bless&lt;/p&gt;&lt;div style="clear: both;"&gt;&lt;/div&gt;&lt;/div&gt;&lt;div&gt;&lt;h5&gt;&lt;b&gt;School &lt;/b&gt;enchantment (compulsion) [mind-affecting]; &lt;b&gt;Level &lt;/b&gt;cleric/oracle 1, paladin 1, inquisitor 1, shaman 1&lt;/h5&gt;&lt;/div&gt;&lt;hr/&gt;&lt;div&gt;&lt;h5&gt;&lt;b&gt;CASTING&lt;/b&gt;&lt;/h5&gt;&lt;/div&gt;&lt;hr/&gt;&lt;div&gt;&lt;h5&gt;&lt;b&gt;Casting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&lt;/b&gt;The caster and all allies within a 50-ft. burst, centered on the caster&lt;/h5&gt;&lt;h5&gt;&lt;b&gt;Duration &lt;/b&gt;1 min./level&lt;/h5&gt;&lt;h5&gt;&lt;b&gt;Saving Throw &lt;/b&gt;none; &lt;b&gt;Spell Resistance &lt;/b&gt;yes (harmless)&lt;/h5&gt;&lt;/div&gt;&lt;hr/&gt;&lt;div&gt;&lt;h5&gt;&lt;b&gt;DESCRIPTION&lt;/b&gt;&lt;/h5&gt;&lt;/div&gt;&lt;hr/&gt;&lt;div&gt;&lt;h4&gt;&lt;p&gt;&lt;i&gt;Bless&lt;/i&gt; fills your allies with courage. Each ally gains a +1 morale bonus on attack rolls and on saving throws against fear effects.&lt;/p&gt;&lt;p&gt;&lt;i&gt;Bless&lt;/i&gt; counters and dispels &lt;i&gt;bane&lt;/i&gt;.&lt;/p&gt;&lt;/h4&gt;&lt;h5&gt;&lt;b&gt;Mythic: &lt;/b&gt;The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attempted.&lt;/h5&gt;&lt;/div&gt;</t>
  </si>
  <si>
    <t>Community (1), Leadership (1), Resolve (1)</t>
  </si>
  <si>
    <t>Allies gain +1 on attack rolls and saves against fear.</t>
  </si>
  <si>
    <t>Celestial (3)</t>
  </si>
  <si>
    <t>Ancestors (2)</t>
  </si>
  <si>
    <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t>
  </si>
  <si>
    <t>Bless Water</t>
  </si>
  <si>
    <t>cleric/oracle 1, paladin 1, inquisitor 1</t>
  </si>
  <si>
    <t>V, S, M (5 pounds of powdered silver worth 25 gp)</t>
  </si>
  <si>
    <t>flask of water touched</t>
  </si>
  <si>
    <t>Will negates (object)</t>
  </si>
  <si>
    <t>yes (object)</t>
  </si>
  <si>
    <t>This transmutation imbues a flask (1 pint) of water with positive energy, turning it into holy water.</t>
  </si>
  <si>
    <t>&lt;p&gt;This transmutation imbues a flask (1 pint) of water with positive energy, turning it into holy water.&lt;/p&gt;</t>
  </si>
  <si>
    <t>&lt;link rel="stylesheet"href="PF.css"&gt;&lt;div class="heading"&gt;&lt;p class="alignleft"&gt;Bless Water&lt;/p&gt;&lt;div style="clear: both;"&gt;&lt;/div&gt;&lt;/div&gt;&lt;div&gt;&lt;h5&gt;&lt;b&gt;School &lt;/b&gt;transmutation [good]; &lt;b&gt;Level &lt;/b&gt;cleric/oracle 1, paladin 1, inquisitor 1&lt;/h5&gt;&lt;h5&gt;&lt;b&gt;Casting Time &lt;/b&gt;1 minute&lt;/h5&gt;&lt;h5&gt;&lt;b&gt;Components &lt;/b&gt;V, S, M (5 pounds of powdered silver worth 25 gp)&lt;/h5&gt;&lt;h5&gt;&lt;b&gt;Range &lt;/b&gt;touch&lt;/h5&gt;&lt;h5&gt;&lt;b&gt;Targets &lt;/b&gt; flask of water touched&lt;/h5&gt;&lt;h5&gt;&lt;b&gt;Duration &lt;/b&gt;instantaneous&lt;/h5&gt;&lt;h5&gt;&lt;b&gt;Saving Throw &lt;/b&gt;Will negates (object); &lt;b&gt;Spell Resistance &lt;/b&gt;yes (object)&lt;/h5&gt;&lt;/div&gt;&lt;div&gt;&lt;h4&gt;&lt;p&gt;This transmutation imbues a flask (1 pint) of water with positive energy, turning it into holy water.&lt;/p&gt;&lt;/h4&gt;&lt;/div&gt;</t>
  </si>
  <si>
    <t>Divine (2)</t>
  </si>
  <si>
    <t>Makes holy water.</t>
  </si>
  <si>
    <t>Water (2)</t>
  </si>
  <si>
    <t>Bless Weapon</t>
  </si>
  <si>
    <t>paladin 1</t>
  </si>
  <si>
    <t>weapon touched</t>
  </si>
  <si>
    <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 In addition, all critical hit rolls against evil foes are automatically successful, so every threat is a critical hit. This last effect does not apply to any weapon that already has a magical effect related to critical hits, such as a keen weapon or a vorpal sword.</t>
  </si>
  <si>
    <t>&lt;p&gt;This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shoot.&lt;/p&gt;&lt;p&gt;In addition, all critical hit rolls against evil foes are automatically successful, so every threat is a critical hit. This last effect does not apply to any weapon that already has a magical effect related to critical hits, such as a &lt;i&gt;keen&lt;/i&gt; weapon or a &lt;i&gt;vorpal sword&lt;/i&gt;.&lt;/p&gt;</t>
  </si>
  <si>
    <t>&lt;link rel="stylesheet"href="PF.css"&gt;&lt;div class="heading"&gt;&lt;p class="alignleft"&gt;Bless Weapon&lt;/p&gt;&lt;div style="clear: both;"&gt;&lt;/div&gt;&lt;/div&gt;&lt;div&gt;&lt;h5&gt;&lt;b&gt;School &lt;/b&gt;transmutation; &lt;b&gt;Level &lt;/b&gt;paladin 1&lt;/h5&gt;&lt;h5&gt;&lt;b&gt;Casting Time &lt;/b&gt;1 standard action&lt;/h5&gt;&lt;h5&gt;&lt;b&gt;Components &lt;/b&gt;V, S&lt;/h5&gt;&lt;h5&gt;&lt;b&gt;Range &lt;/b&gt;touch&lt;/h5&gt;&lt;h5&gt;&lt;b&gt;Targets &lt;/b&gt; weapon touched&lt;/h5&gt;&lt;h5&gt;&lt;b&gt;Duration &lt;/b&gt;1 min./level&lt;/h5&gt;&lt;h5&gt;&lt;b&gt;Saving Throw &lt;/b&gt;none; &lt;b&gt;Spell Resistance &lt;/b&gt;no&lt;/h5&gt;&lt;/div&gt;&lt;div&gt;&lt;h4&gt;&lt;p&gt;This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shoot.&lt;/p&gt;&lt;p&gt;In addition, all critical hit rolls against evil foes are automatically successful, so every threat is a critical hit. This last effect does not apply to any weapon that already has a magical effect related to critical hits, such as a &lt;i&gt;keen&lt;/i&gt; weapon or a &lt;i&gt;vorpal sword&lt;/i&gt;.&lt;/p&gt;&lt;/h4&gt;&lt;/div&gt;</t>
  </si>
  <si>
    <t>Glory (2)</t>
  </si>
  <si>
    <t> Weapon strikes true against evil foes.</t>
  </si>
  <si>
    <t>Blight</t>
  </si>
  <si>
    <t>druid 4, sorcerer/wizard 5, witch 5, shaman 5</t>
  </si>
  <si>
    <t>Fortitude half; see text</t>
  </si>
  <si>
    <t>This spell withers a single plant of any size. An affected plant creature takes 1d6 points of damage per level (maximum 15d6) and may attempt a Fortitude saving throw for half damage. A plant that isn't a creature doesn't receive a save and immediately withers and dies.  This spell has no effect on the soil or surrounding plant life.</t>
  </si>
  <si>
    <t>&lt;p&gt;This spell withers a single plant of any size. An affected plant creature takes 1d6 points of damage per level (maximum 15d6) and may attempt a Fortitude saving throw for half damage. A plant that isn't a creature doesn't receive a save and immediately withers and dies.&lt;/p&gt;&lt;p&gt;This spell has no effect on the soil or surrounding plant life.&lt;/p&gt;</t>
  </si>
  <si>
    <t>&lt;link rel="stylesheet"href="PF.css"&gt;&lt;div class="heading"&gt;&lt;p class="alignleft"&gt;Blight&lt;/p&gt;&lt;div style="clear: both;"&gt;&lt;/div&gt;&lt;/div&gt;&lt;div&gt;&lt;h5&gt;&lt;b&gt;School &lt;/b&gt;necromancy; &lt;b&gt;Level &lt;/b&gt;druid 4, sorcerer/wizard 5, witch 5, shaman 5&lt;/h5&gt;&lt;h5&gt;&lt;b&gt;Casting Time &lt;/b&gt;1 standard action&lt;/h5&gt;&lt;h5&gt;&lt;b&gt;Components &lt;/b&gt;V, S, DF&lt;/h5&gt;&lt;h5&gt;&lt;b&gt;Range &lt;/b&gt;touch&lt;/h5&gt;&lt;h5&gt;&lt;b&gt;Duration &lt;/b&gt;instantaneous&lt;/h5&gt;&lt;h5&gt;&lt;b&gt;Saving Throw &lt;/b&gt;Fortitude half; see text; &lt;b&gt;Spell Resistance &lt;/b&gt;yes&lt;/h5&gt;&lt;/div&gt;&lt;div&gt;&lt;h4&gt;&lt;p&gt;This spell withers a single plant of any size. An affected plant creature takes 1d6 points of damage per level (maximum 15d6) and may attempt a Fortitude saving throw for half damage. A plant that isn't a creature doesn't receive a save and immediately withers and dies.&lt;/p&gt;&lt;p&gt;This spell has no effect on the soil or surrounding plant life.&lt;/p&gt;&lt;/h4&gt;&lt;/div&gt;</t>
  </si>
  <si>
    <t>Seasons (4), Radiation (2)</t>
  </si>
  <si>
    <t>Withers one plant or deals 1d6/level damage to plant creature.</t>
  </si>
  <si>
    <t>Daemon (11)</t>
  </si>
  <si>
    <t>Blindness/Deafness</t>
  </si>
  <si>
    <t>antipaladin 2, bard 2, cleric/oracle 3, sorcerer/wizard 2, witch 2, bloodrager 2, shaman 3, psychic 2, mesmerist 2, spiritualist 3</t>
  </si>
  <si>
    <t>permanent (D)</t>
  </si>
  <si>
    <t>You call upon the powers of unlife to render the subject blinded or deafened, as you choose.</t>
  </si>
  <si>
    <t>&lt;p&gt;You call upon the powers of unlife to render the subject blinded or deafened, as you choose.&lt;/p&gt;</t>
  </si>
  <si>
    <t>&lt;link rel="stylesheet"href="PF.css"&gt;&lt;div class="heading"&gt;&lt;p class="alignleft"&gt;Blindness/Deafness&lt;/p&gt;&lt;div style="clear: both;"&gt;&lt;/div&gt;&lt;/div&gt;&lt;div&gt;&lt;h5&gt;&lt;b&gt;School &lt;/b&gt;necromancy; &lt;b&gt;Level &lt;/b&gt;antipaladin 2, bard 2, cleric/oracle 3, sorcerer/wizard 2, witch 2, bloodrager 2, shaman 3, psychic 2, mesmerist 2, spiritualist 3&lt;/h5&gt;&lt;/div&gt;&lt;hr/&gt;&lt;div&gt;&lt;h5&gt;&lt;b&gt;CASTING&lt;/b&gt;&lt;/h5&gt;&lt;/div&gt;&lt;hr/&gt;&lt;div&gt;&lt;h5&gt;&lt;b&gt;Casting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living creature&lt;/h5&gt;&lt;h5&gt;&lt;b&gt;Duration &lt;/b&gt;permanent (D)&lt;/h5&gt;&lt;h5&gt;&lt;b&gt;Saving Throw &lt;/b&gt;Fortitude negates; &lt;b&gt;Spell Resistance &lt;/b&gt;yes&lt;/h5&gt;&lt;/div&gt;&lt;hr/&gt;&lt;div&gt;&lt;h5&gt;&lt;b&gt;DESCRIPTION&lt;/b&gt;&lt;/h5&gt;&lt;/div&gt;&lt;hr/&gt;&lt;div&gt;&lt;h4&gt;&lt;p&gt;You call upon the powers of unlife to render the subject blinded or deafened, as you choose.&lt;/p&gt;&lt;/h4&gt;&lt;h5&gt;&lt;b&gt;Mythic: &lt;/b&gt;You can cause the target to be both blinded and deafened at the same time. The target must attempt a saving throw against each effect separately.&lt;/h5&gt;&lt;/div&gt;</t>
  </si>
  <si>
    <t>Darkness (2)</t>
  </si>
  <si>
    <t>Makes subject blind or deaf.</t>
  </si>
  <si>
    <t>You can cause the target to be both blinded and deafened at the same time. The target must attempt a saving throw against each effect separately.</t>
  </si>
  <si>
    <t>Blink</t>
  </si>
  <si>
    <t>bard 3, sorcerer/wizard 3, magus 3, psychic 3</t>
  </si>
  <si>
    <t>You "blink" quickly back and forth between the Material Plane and the Ethereal Plane and look as though you're winking in and out of reality at random. Blink has several effects, as follows.  Physical attacks against you have a 50% miss chance, and the Blind-Fight feat doesn't help opponents, since you're ethereal and not merely invisible. If the attack is capable of striking ethereal creatures, the miss chance is only 20% (for concealment).  If the attacker can see invisible creatures, the miss chance is also only 20%. (For an attacker who can both see and strike ethereal creatures, there is no miss chance.) Likewise, your own attacks have a 20% miss chance, since you sometimes go ethereal just as you are about to strike.  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  While blinking, you take only half damage from area attacks (but full damage from those that extend onto the Ethereal Plane).  Although you are only partially visible, you are not considered invisible and targets retain their Dexterity bonus to AC against your attacks. You do receive a +2 bonus on attack rolls made against enemies that cannot see invisible creatures.  You take only half damage from falling, since you fall only while you are material.  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  Since you spend about half your time on the Ethereal Plane, you can see and even attack ethereal creatures. You interact with ethereal creatures roughly the same way you interact with material ones.  An ethereal creature is invisible, incorporeal, and capable of moving in any direction, even up or down. As an incorporeal creature, you can move through solid objects, including living creatures.  An ethereal creature can see and hear the Material Plane, but everything looks gray and insubstantial. Sight and hearing on the Material Plane are limited to 60 feet.  Force effects and abjurations affect you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objects as material.</t>
  </si>
  <si>
    <t>&lt;p&gt;You "blink" quickly back and forth between the Material Plane and the Ethereal Plane and look as though you're winking in and out of reality at random. &lt;i&gt;Blink&lt;/i&gt; has several effects, as follows.&lt;/p&gt;&lt;p&gt;Physical attacks against you have a 50% miss chance, and the Blind-Fight feat doesn't help opponents, since you're ethereal and not merely invisible. If the attack is capable of striking ethereal creatures, the miss chance is only 20% (for concealment).&lt;/p&gt;&lt;p&gt;If the attacker can see invisible creatures, the miss chance is also only 20%. (For an attacker who can both see and strike ethereal creatures, there is no miss chance.) Likewise, your own attacks have a 20% miss chance, since you sometimes go ethereal just as you are about to strike.&lt;/p&gt;&lt;p&gt;Any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Plane).&lt;/p&gt;&lt;p&gt;While blinking, you take only half damage from area attacks (but full damage from those that extend onto the Ethereal Plane).&lt;/p&gt;&lt;p&gt;Although you are only partially visible, you are not considered invisible and targets retain their Dexterity bonus to AC against your attacks. You do receive a +2 bonus on attack rolls made against enemies that cannot see invisible creatures.&lt;/p&gt;&lt;p&gt;You take only half damage from falling, since you fall only while you are material.&lt;/p&gt;&lt;p&gt;While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traveled.&lt;/p&gt;&lt;p&gt;Since you spend about half your time on the Ethereal Plane, you can see and even attack ethereal creatures. You interact with ethereal creatures roughly the same way you interact with material ones.&lt;/p&gt;&lt;p&gt;An ethereal creature is invisible, incorporeal, and capable of moving in any direction, even up or down. As an incorporeal creature, you can move through solid objects, including living creatures.&lt;/p&gt;&lt;p&gt;An ethereal creature can see and hear the Material Plane, but everything looks gray and insubstantial. Sight and hearing on the Material Plane are limited to 60 feet.&lt;/p&gt;&lt;p&gt;Force effects and abjurations affect you normally. Their effects extend onto the Ethereal Plane from the Material Plane, but not vice versa. An ethereal creature can't attack material creatures, and spells you cast while ethereal affect only other ethereal things.&lt;/p&gt;&lt;p&gt;Certain material creatures or objects have attacks or effects that work on the Ethereal Plane. Treat other ethereal creatures and objects as material.&lt;/p&gt;</t>
  </si>
  <si>
    <t>&lt;link rel="stylesheet"href="PF.css"&gt;&lt;div class="heading"&gt;&lt;p class="alignleft"&gt;Blink&lt;/p&gt;&lt;div style="clear: both;"&gt;&lt;/div&gt;&lt;/div&gt;&lt;div&gt;&lt;h5&gt;&lt;b&gt;School &lt;/b&gt;transmutation; &lt;b&gt;Level &lt;/b&gt;bard 3, sorcerer/wizard 3, magus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"blink" quickly back and forth between the Material Plane and the Ethereal Plane and look as though you're winking in and out of reality at random. &lt;i&gt;Blink&lt;/i&gt; has several effects, as follows.&lt;/p&gt;&lt;p&gt;Physical attacks against you have a 50% miss chance, and the Blind-Fight feat doesn't help opponents, since you're ethereal and not merely invisible. If the attack is capable of striking ethereal creatures, the miss chance is only 20% (for concealment).&lt;/p&gt;&lt;p&gt;If the attacker can see invisible creatures, the miss chance is also only 20%. (For an attacker who can both see and strike ethereal creatures, there is no miss chance.) Likewise, your own attacks have a 20% miss chance, since you sometimes go ethereal just as you are about to strike.&lt;/p&gt;&lt;p&gt;Any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Plane).&lt;/p&gt;&lt;p&gt;While blinking, you take only half damage from area attacks (but full damage from those that extend onto the Ethereal Plane).&lt;/p&gt;&lt;p&gt;Although you are only partially visible, you are not considered invisible and targets retain their Dexterity bonus to AC against your attacks. You do receive a +2 bonus on attack rolls made against enemies that cannot see invisible creatures.&lt;/p&gt;&lt;p&gt;You take only half damage from falling, since you fall only while you are material.&lt;/p&gt;&lt;p&gt;While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traveled.&lt;/p&gt;&lt;p&gt;Since you spend about half your time on the Ethereal Plane, you can see and even attack ethereal creatures. You interact with ethereal creatures roughly the same way you interact with material ones.&lt;/p&gt;&lt;p&gt;An ethereal creature is invisible, incorporeal, and capable of moving in any direction, even up or down. As an incorporeal creature, you can move through solid objects, including living creatures.&lt;/p&gt;&lt;p&gt;An ethereal creature can see and hear the Material Plane, but everything looks gray and insubstantial. Sight and hearing on the Material Plane are limited to 60 feet.&lt;/p&gt;&lt;p&gt;Force effects and abjurations affect you normally. Their effects extend onto the Ethereal Plane from the Material Plane, but not vice versa. An ethereal creature can't attack material creatures, and spells you cast while ethereal affect only other ethereal things.&lt;/p&gt;&lt;p&gt;Certain material creatures or objects have attacks or effects that work on the Ethereal Plane. Treat other ethereal creatures and objects as material.&lt;/p&gt;&lt;/h4&gt;&lt;h5&gt;&lt;b&gt;Mythic: &lt;/b&gt;You may spend a move action to remain corporeal or incorporeal until the end of your turn (you automatically resume blinking at the end of your turn).&lt;/h5&gt;&lt;h5&gt;&lt;b&gt;Augmented (3rd)&lt;/b&gt;: If you expend two uses of mythic power, you can spend either a swift action or a move action to remain corporeal or incorporeal until the end of your turn.&lt;/h5&gt;&lt;/div&gt;</t>
  </si>
  <si>
    <t>You randomly vanish and reappear for 1 round/level.</t>
  </si>
  <si>
    <t>Starsoul (7)</t>
  </si>
  <si>
    <t>Deception (6), Dimensions (6)</t>
  </si>
  <si>
    <t>You may spend a move action to remain corporeal or incorporeal until the end of your turn (you automatically resume blinking at the end of your turn).</t>
  </si>
  <si>
    <t>Augmented (3rd): If you expend two uses of mythic power, you can spend either a swift action or a move action to remain corporeal or incorporeal until the end of your turn.</t>
  </si>
  <si>
    <t>Blur</t>
  </si>
  <si>
    <t>illusion</t>
  </si>
  <si>
    <t>glamer</t>
  </si>
  <si>
    <t>bard 2, sorcerer/wizard 2, summoner 2, alchemist 2, magus 2, occultist 2, psychic 2, mesmerist 2, spiritualist 2</t>
  </si>
  <si>
    <t>The subject's outline appears blurred, shifting, and wavering. This distortion grants the subject concealment (20% miss chance). A see invisibility spell does not counteract the blur effect, but a true seeing spell does. Opponents that cannot see the subject ignore the spell's effect (though fighting an unseen opponent carries penalties of its own).</t>
  </si>
  <si>
    <t>&lt;p&gt;The subject's outline appears blurred, shifting, and wavering. This distortion grants the subject concealment (20% miss chance).&lt;/p&gt;&lt;p&gt;A &lt;i&gt;see invisibility&lt;/i&gt; spell does not counteract the &lt;i&gt;blur&lt;/i&gt; effect, but a &lt;i&gt;true seeing&lt;/i&gt; spell does.&lt;/p&gt;&lt;p&gt;Opponents that cannot see the subject ignore the spell's effect (though fighting an unseen opponent carries penalties of its own).&lt;/p&gt;</t>
  </si>
  <si>
    <t>&lt;link rel="stylesheet"href="PF.css"&gt;&lt;div class="heading"&gt;&lt;p class="alignleft"&gt;Blur&lt;/p&gt;&lt;div style="clear: both;"&gt;&lt;/div&gt;&lt;/div&gt;&lt;div&gt;&lt;h5&gt;&lt;b&gt;School &lt;/b&gt;illusion (glamer); &lt;b&gt;Level &lt;/b&gt;bard 2, sorcerer/wizard 2, alchemist 2, summoner 2&lt;/h5&gt;&lt;h5&gt;&lt;b&gt;Casting Time &lt;/b&gt;1 standard action&lt;/h5&gt;&lt;h5&gt;&lt;b&gt;Components &lt;/b&gt;V&lt;/h5&gt;&lt;h5&gt;&lt;b&gt;Range &lt;/b&gt;touch&lt;/h5&gt;&lt;h5&gt;&lt;b&gt;Targets &lt;/b&gt; creature touched&lt;/h5&gt;&lt;h5&gt;&lt;b&gt;Duration &lt;/b&gt;1 min./level (D)&lt;/h5&gt;&lt;h5&gt;&lt;b&gt;Saving Throw &lt;/b&gt;Will negates (harmless); &lt;b&gt;Spell Resistance &lt;/b&gt;yes (harmless)&lt;/h5&gt;&lt;/div&gt;&lt;div&gt;&lt;h4&gt;&lt;p&gt;The subject's outline appears blurred, shifting, and wavering. This distortion grants the subject concealment (20% miss chance).&lt;/p&gt;&lt;p&gt;A &lt;i&gt;see invisibility&lt;/i&gt; spell does not counteract the &lt;i&gt;blur&lt;/i&gt; effect, but a &lt;i&gt;true seeing&lt;/i&gt; spell does.&lt;/p&gt;&lt;p&gt;Opponents that cannot see the subject ignore the spell's effect (though fighting an unseen opponent carries penalties of its own).&lt;/p&gt;&lt;/h4&gt;&lt;/div&gt;</t>
  </si>
  <si>
    <t>Attacks miss subject 20% of the time.</t>
  </si>
  <si>
    <t>Destined (5), Protean (5)</t>
  </si>
  <si>
    <t>Break Enchantment</t>
  </si>
  <si>
    <t>bard 4, cleric/oracle 5, paladin 4, sorcerer/wizard 5, witch 5, inquisitor 5, shaman 5, occultist 4, psychic 4, mesmerist 4, spiritualist 5</t>
  </si>
  <si>
    <t>up to one creature per level, all within 30 ft. of each other</t>
  </si>
  <si>
    <t>This spell frees victims from enchantments, transmutations, and curses. Break enchantment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  If the spell is one that cannot be dispelled by dispel magic or stone to flesh, break enchantment works only if that spell is 5th level or lower.  If the effect comes from a permanent magic item, break enchantment does not remove the curse from the item, but it does free the victim from the item's effects.</t>
  </si>
  <si>
    <t>&lt;p&gt;This spell frees victims from enchantments, transmutations, and curses. &lt;i&gt;Break enchantment&lt;/i&gt;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curse.&lt;/p&gt;&lt;p&gt;If the spell is one that cannot be dispelled by &lt;i&gt;dispel magic&lt;/i&gt; or &lt;i&gt;stone to flesh&lt;/i&gt;, &lt;i&gt;break enchantment&lt;/i&gt; works only if that spell is 5th level or lower.&lt;/p&gt;&lt;p&gt;If the effect comes from a permanent magic item, &lt;i&gt;break enchantment&lt;/i&gt; does not remove the curse from the item, but it does free the victim from the item's effects.&lt;/p&gt;</t>
  </si>
  <si>
    <t>&lt;link rel="stylesheet"href="PF.css"&gt;&lt;div class="heading"&gt;&lt;p class="alignleft"&gt;Break Enchantment&lt;/p&gt;&lt;div style="clear: both;"&gt;&lt;/div&gt;&lt;/div&gt;&lt;div&gt;&lt;h5&gt;&lt;b&gt;School &lt;/b&gt;abjuration; &lt;b&gt;Level &lt;/b&gt;bard 4, cleric/oracle 5, paladin 4, sorcerer/wizard 5, witch 5, inquisitor 5, shaman 5, occultist 4, psychic 4, mesmerist 4, spiritualist 5&lt;/h5&gt;&lt;/div&gt;&lt;hr/&gt;&lt;div&gt;&lt;h5&gt;&lt;b&gt;CASTING&lt;/b&gt;&lt;/h5&gt;&lt;/div&gt;&lt;hr/&gt;&lt;div&gt;&lt;h5&gt;&lt;b&gt;Casting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&lt;/b&gt;up to one creature per level, all within 30 ft. of each other&lt;/h5&gt;&lt;h5&gt;&lt;b&gt;Duration &lt;/b&gt;instantaneous&lt;/h5&gt;&lt;h5&gt;&lt;b&gt;Saving Throw &lt;/b&gt;see text; &lt;b&gt;Spell Resistance &lt;/b&gt;no&lt;/h5&gt;&lt;/div&gt;&lt;hr/&gt;&lt;div&gt;&lt;h5&gt;&lt;b&gt;DESCRIPTION&lt;/b&gt;&lt;/h5&gt;&lt;/div&gt;&lt;hr/&gt;&lt;div&gt;&lt;h4&gt;&lt;p&gt;This spell frees victims from enchantments, transmutations, and curses. &lt;i&gt;Break enchantment&lt;/i&gt;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curse.&lt;/p&gt;&lt;p&gt;If the spell is one that cannot be dispelled by &lt;i&gt;dispel magic&lt;/i&gt; or &lt;i&gt;stone to flesh&lt;/i&gt;, &lt;i&gt;break enchantment&lt;/i&gt; works only if that spell is 5th level or lower.&lt;/p&gt;&lt;p&gt;If the effect comes from a permanent magic item, &lt;i&gt;break enchantment&lt;/i&gt; does not remove the curse from the item, but it does free the victim from the item's effects.&lt;/p&gt;&lt;/h4&gt;&lt;h5&gt;&lt;b&gt;Mythic: &lt;/b&gt;Against non-mythic effects, the spell automatically succeeds without requiring a caster level check. Against mythic effects, add your tier to your caster level check. The maximum level of spell this spell can remove is 5 + half your tier.&lt;/h5&gt;&lt;h5&gt;&lt;b&gt;Augmented (7th)&lt;/b&gt;: If you expend two uses of mythic power, you can apply a removed enchantment, transmutation, or curse to the creature that originally cast it. The creature must be a valid target of the spell and on the same plane as you, and it gets a saving throw at the effect's original DC.&lt;/h5&gt;&lt;/div&gt;</t>
  </si>
  <si>
    <t>Liberation (5), Luck (5), Restoration (5)</t>
  </si>
  <si>
    <t>Frees subjects from enchantments, transmutations, and curses.</t>
  </si>
  <si>
    <t>Destined (11)</t>
  </si>
  <si>
    <t>Against non-mythic effects, the spell automatically succeeds without requiring a caster level check. Against mythic effects, add your tier to your caster level check. The maximum level of spell this spell can remove is 5 + half your tier.</t>
  </si>
  <si>
    <t>Augmented (7th): If you expend two uses of mythic power, you can apply a removed enchantment, transmutation, or curse to the creature that originally cast it. The creature must be a valid target of the spell and on the same plane as you, and it gets a saving throw at the effect's original DC.</t>
  </si>
  <si>
    <t>Breath Of Life</t>
  </si>
  <si>
    <t>healing</t>
  </si>
  <si>
    <t>cleric/oracle 5, shaman 5, spiritualist 5</t>
  </si>
  <si>
    <t>Will negates (harmless) or Will half, see text</t>
  </si>
  <si>
    <t>yes (harmless) or yes, see text</t>
  </si>
  <si>
    <t>This spell cures 5d8 points of damage + 1 point per caster level (maximum +25).  Unlike other spells that heal damage, breath of life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breath of life gain a temporary negative level that lasts for 1 day.  Creatures slain by death effects cannot be saved by breath of life.  Like cure spells, breath of life deals damage to undead creatures rather than curing them, and cannot bring them back to life.</t>
  </si>
  <si>
    <t>&lt;p&gt;This spell cures 5d8 points of damage + 1 point per caster level (maximum +25).&lt;/p&gt;&lt;p&gt;Unlike other spells that heal damage, &lt;i&gt;breath of life&lt;/i&gt;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&lt;i&gt;breath of life&lt;/i&gt; gain a temporary negative level that lasts for 1 day.&lt;/p&gt;&lt;p&gt;Creatures slain by death effects cannot be saved by &lt;i&gt;breath of life&lt;/i&gt;.&lt;/p&gt;&lt;p&gt;Like cure spells, &lt;i&gt;breath of life&lt;/i&gt; deals damage to undead creatures rather than curing them, and cannot bring them back to life.&lt;/p&gt;</t>
  </si>
  <si>
    <t>&lt;link rel="stylesheet"href="PF.css"&gt;&lt;div class="heading"&gt;&lt;p class="alignleft"&gt;Breath Of Life&lt;/p&gt;&lt;div style="clear: both;"&gt;&lt;/div&gt;&lt;/div&gt;&lt;div&gt;&lt;h5&gt;&lt;b&gt;School &lt;/b&gt;conjuration (healing); &lt;b&gt;Level &lt;/b&gt;cleric/oracle 5, shaman 5,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or Will half, see text; &lt;b&gt;Spell Resistance &lt;/b&gt;yes (harmless) or yes, see text&lt;/h5&gt;&lt;/div&gt;&lt;hr/&gt;&lt;div&gt;&lt;h5&gt;&lt;b&gt;DESCRIPTION&lt;/b&gt;&lt;/h5&gt;&lt;/div&gt;&lt;hr/&gt;&lt;div&gt;&lt;h4&gt;&lt;p&gt;This spell cures 5d8 points of damage + 1 point per caster level (maximum +25).&lt;/p&gt;&lt;p&gt;Unlike other spells that heal damage, &lt;i&gt;breath of life&lt;/i&gt;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&lt;i&gt;breath of life&lt;/i&gt; gain a temporary negative level that lasts for 1 day.&lt;/p&gt;&lt;p&gt;Creatures slain by death effects cannot be saved by &lt;i&gt;breath of life&lt;/i&gt;.&lt;/p&gt;&lt;p&gt;Like cure spells, &lt;i&gt;breath of life&lt;/i&gt; deals damage to undead creatures rather than curing them, and cannot bring them back to life.&lt;/p&gt;&lt;/h4&gt;&lt;h5&gt;&lt;b&gt;Mythic: &lt;/b&gt;The spell heals 5d12 points of damage + 1 point per 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spell.&lt;/h5&gt;&lt;h5&gt;&lt;b&gt;Augmented (9th)&lt;/b&gt;: If you expend two uses of mythic power, you can target up to one creature per caster level within 30 feet of you. Alternatively, you can target one creature that has been dead for a number of rounds up to your caster level.&lt;/h5&gt;&lt;/div&gt;</t>
  </si>
  <si>
    <t>Healing (5)</t>
  </si>
  <si>
    <t> Cures 5d8 damage + 1/level and restores life to recently slain creatures.</t>
  </si>
  <si>
    <t>The spell heals 5d12 points of damage + 1 point per 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t>
  </si>
  <si>
    <t>Augmented (9th): If you expend two uses of mythic power, you can target up to one creature per caster level within 30 feet of you. Alternatively, you can target one creature that has been dead for a number of rounds up to your caster level.</t>
  </si>
  <si>
    <t>Bull's Strength</t>
  </si>
  <si>
    <t>cleric/oracle 2, druid 2, paladin 2, sorcerer/wizard 2, summoner 2, alchemist 2, antipaladin 2, magus 2, bloodrager 2, shaman 2, psychic 2</t>
  </si>
  <si>
    <t>V, S, M/DF (a few hairs, or a pinch of dung, from a bull)</t>
  </si>
  <si>
    <t>The subject becomes stronger. The spell grants a +4 enhancement bonus to Strength, adding the usual benefits to melee attack rolls, melee damage rolls, and other uses of the Strength modifier.</t>
  </si>
  <si>
    <t>&lt;p&gt;The subject becomes stronger. The spell grants a +4 enhancement bonus to Strength, adding the usual benefits to melee attack rolls, melee damage rolls, and other uses of the Strength modifier.&lt;/p&gt;</t>
  </si>
  <si>
    <t>&lt;link rel="stylesheet"href="PF.css"&gt;&lt;div class="heading"&gt;&lt;p class="alignleft"&gt;Bull's Strength&lt;/p&gt;&lt;div style="clear: both;"&gt;&lt;/div&gt;&lt;/div&gt;&lt;div&gt;&lt;h5&gt;&lt;b&gt;School &lt;/b&gt;transmutation; &lt;b&gt;Level &lt;/b&gt;cleric/oracle 2, druid 2, paladin 2, sorcerer/wizard 2, summoner 2, alchemist 2, antipaladin 2, magus 2, bloodrager 2, shaman 2, psychic 2&lt;/h5&gt;&lt;h5&gt;&lt;b&gt;Casting Time &lt;/b&gt;1 standard action&lt;/h5&gt;&lt;h5&gt;&lt;b&gt;Components &lt;/b&gt;V, S, M/DF (a few hairs, or a pinch of dung, from a bull)&lt;/h5&gt;&lt;h5&gt;&lt;b&gt;Range &lt;/b&gt;touch&lt;/h5&gt;&lt;h5&gt;&lt;b&gt;Targets &lt;/b&gt; creature touched&lt;/h5&gt;&lt;h5&gt;&lt;b&gt;Duration &lt;/b&gt;1 min./level&lt;/h5&gt;&lt;h5&gt;&lt;b&gt;Saving Throw &lt;/b&gt;Will negates (harmless); &lt;b&gt;Spell Resistance &lt;/b&gt;yes (harmless)&lt;/h5&gt;&lt;/div&gt;&lt;div&gt;&lt;h4&gt;&lt;p&gt;The subject becomes stronger. The spell grants a +4 enhancement bonus to Strength, adding the usual benefits to melee attack rolls, melee damage rolls, and other uses of the Strength modifier.&lt;/p&gt;&lt;/h4&gt;&lt;/div&gt;</t>
  </si>
  <si>
    <t>Rage (2), Strength (2)</t>
  </si>
  <si>
    <t>Subject gains +4 to Str for 1 min./level.</t>
  </si>
  <si>
    <t>Abyssal (5), Orc (5)</t>
  </si>
  <si>
    <t>Strength (4)</t>
  </si>
  <si>
    <t>Bull's Strength, Mass</t>
  </si>
  <si>
    <t>one creature/level, no two of which can be more than 30 ft. apart</t>
  </si>
  <si>
    <t>This spell functions like bull's strength, except that it affects multiple creatures.</t>
  </si>
  <si>
    <t>&lt;p&gt;This spell functions like &lt;i&gt;bull's strength&lt;/i&gt;, except that it affects multiple creatures.&lt;/p&gt;</t>
  </si>
  <si>
    <t>&lt;link rel="stylesheet"href="PF.css"&gt;&lt;div class="heading"&gt;&lt;p class="alignleft"&gt;Bull's Strength, Mass&lt;/p&gt;&lt;div style="clear: both;"&gt;&lt;/div&gt;&lt;/div&gt;&lt;div&gt;&lt;h5&gt;&lt;b&gt;School &lt;/b&gt;transmutation; &lt;b&gt;Level &lt;/b&gt;cleric/oracle 6, druid 6, sorcerer/wizard 6, summoner 4, magus 6, shaman 6, psychic 6&lt;/h5&gt;&lt;h5&gt;&lt;b&gt;Casting Time &lt;/b&gt;1 standard action&lt;/h5&gt;&lt;h5&gt;&lt;b&gt;Components &lt;/b&gt;V, S, M/DF (a few hairs, or a pinch of dung, from a bull)&lt;/h5&gt;&lt;h5&gt;&lt;b&gt;Range &lt;/b&gt;close (25 ft. + 5 ft./2 levels)&lt;/h5&gt;&lt;h5&gt;&lt;b&gt;Targets &lt;/b&gt; one creature/level, no two of which can be more than 30 ft. apart&lt;/h5&gt;&lt;h5&gt;&lt;b&gt;Duration &lt;/b&gt;1 min./level&lt;/h5&gt;&lt;h5&gt;&lt;b&gt;Saving Throw &lt;/b&gt;Will negates (harmless); &lt;b&gt;Spell Resistance &lt;/b&gt;yes (harmless)&lt;/h5&gt;&lt;/div&gt;&lt;div&gt;&lt;h4&gt;&lt;p&gt;This spell functions like &lt;i&gt;bull's strength&lt;/i&gt;, except that it affects multiple creatures.&lt;/p&gt;&lt;/h4&gt;&lt;/div&gt;</t>
  </si>
  <si>
    <t>Ferocity (6)</t>
  </si>
  <si>
    <t>As bull’s strength, affects 1 subject/level.</t>
  </si>
  <si>
    <t>Devotion (12), Strength (12)</t>
  </si>
  <si>
    <t>Burning Hands</t>
  </si>
  <si>
    <t>sorcerer/wizard 1, witch 1, magus 1, bloodrager 1, shaman 1, occultist 1</t>
  </si>
  <si>
    <t>15 ft.</t>
  </si>
  <si>
    <t>cone-shaped burst</t>
  </si>
  <si>
    <t>Reflex half</t>
  </si>
  <si>
    <t>A cone of searing flame shoots from your fingertips. Any creature in the area of the flames takes 1d4 points of fire damage per caster level (maximum 5d4). Flammable materials burn if the flames touch them. A character can extinguish burning items as a full-round action.</t>
  </si>
  <si>
    <t>&lt;p&gt;A cone of searing flame shoots from your fingertips. Any creature in the area of the flames takes 1d4 points of fire damage per caster level (maximum 5d4). Flammable materials burn if the flames touch them. A character can extinguish burning items as a full-round action.&lt;/p&gt;</t>
  </si>
  <si>
    <t>&lt;link rel="stylesheet"href="PF.css"&gt;&lt;div class="heading"&gt;&lt;p class="alignleft"&gt;Burning Hands&lt;/p&gt;&lt;div style="clear: both;"&gt;&lt;/div&gt;&lt;/div&gt;&lt;div&gt;&lt;h5&gt;&lt;b&gt;School &lt;/b&gt;evocation [fire]; &lt;b&gt;Level &lt;/b&gt;sorcerer/wizard 1, witch 1, magus 1, bloodrager 1, shaman 1, occultist 1&lt;/h5&gt;&lt;/div&gt;&lt;hr/&gt;&lt;div&gt;&lt;h5&gt;&lt;b&gt;CASTING&lt;/b&gt;&lt;/h5&gt;&lt;/div&gt;&lt;hr/&gt;&lt;div&gt;&lt;h5&gt;&lt;b&gt;Casting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&lt;/b&gt;Reflex half; &lt;b&gt;Spell Resistance &lt;/b&gt;yes&lt;/h5&gt;&lt;/div&gt;&lt;hr/&gt;&lt;div&gt;&lt;h5&gt;&lt;b&gt;DESCRIPTION&lt;/b&gt;&lt;/h5&gt;&lt;/div&gt;&lt;hr/&gt;&lt;div&gt;&lt;h4&gt;&lt;p&gt;A cone of searing flame shoots from your fingertips. Any creature in the area of the flames takes 1d4 points of fire damage per caster level (maximum 5d4). Flammable materials burn if the flames touch them. A character can extinguish burning items as a full-round action.&lt;/p&gt;&lt;/h4&gt;&lt;h5&gt;&lt;b&gt;Mythic: &lt;/b&gt;The range increases to 20 feet, and the damage dealt increases to 1d6 points of fire damage per caster level (maximum 5d6).&lt;/h5&gt;&lt;/div&gt;</t>
  </si>
  <si>
    <t>Fire (1)</t>
  </si>
  <si>
    <t> 1d4/level fire damage (max 5d4).</t>
  </si>
  <si>
    <t>Elemental (3), Orc (3)</t>
  </si>
  <si>
    <t>Vengeance (2)</t>
  </si>
  <si>
    <t>The range increases to 20 feet, and the damage dealt increases to 1d6 points of fire damage per caster level (maximum 5d6).</t>
  </si>
  <si>
    <t>Call Lightning</t>
  </si>
  <si>
    <t>druid 3, shaman 3, occultist 3</t>
  </si>
  <si>
    <t>one or more 30-ft.-long vertical lines of lightning</t>
  </si>
  <si>
    <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  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  If you are outdoors and in a stormy area-a rain shower, clouds and wind, hot and cloudy conditions, or even a tornado (including a whirlwind formed by a djinni or an air elemental of at least Large size)-each bolt deals 3d10 points of electricity damage instead of 3d6.  This spell functions indoors or underground but not underwater.</t>
  </si>
  <si>
    <t>&lt;p&gt;Immediately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affected.&lt;/p&gt;&lt;p&gt;You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bolts).&lt;/p&gt;&lt;p&gt;If you are outdoors and in a stormy area-a rain shower, clouds and wind, hot and cloudy conditions, or even a tornado (including a whirlwind formed by a djinni or an air elemental of at least Large size)-each bolt deals 3d10 points of electricity damage instead of 3d6.&lt;/p&gt;&lt;p&gt;This spell functions indoors or underground but not underwater.&lt;/p&gt;</t>
  </si>
  <si>
    <t>&lt;link rel="stylesheet"href="PF.css"&gt;&lt;div class="heading"&gt;&lt;p class="alignleft"&gt;Call Lightning&lt;/p&gt;&lt;div style="clear: both;"&gt;&lt;/div&gt;&lt;/div&gt;&lt;div&gt;&lt;h5&gt;&lt;b&gt;School &lt;/b&gt;evocation [electricity]; &lt;b&gt;Level &lt;/b&gt;druid 3, shaman 3, occultist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ft./level)&lt;/h5&gt;&lt;h5&gt;&lt;b&gt;Effect &lt;/b&gt;one or more 30-ft.-long vertical lines of lightning&lt;/h5&gt;&lt;h5&gt;&lt;b&gt;Duration &lt;/b&gt;1 min./level&lt;/h5&gt;&lt;h5&gt;&lt;b&gt;Saving Throw &lt;/b&gt;Reflex half; &lt;b&gt;Spell Resistance &lt;/b&gt;yes&lt;/h5&gt;&lt;/div&gt;&lt;hr/&gt;&lt;div&gt;&lt;h5&gt;&lt;b&gt;DESCRIPTION&lt;/b&gt;&lt;/h5&gt;&lt;/div&gt;&lt;hr/&gt;&lt;div&gt;&lt;h4&gt;&lt;p&gt;Immediately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affected.&lt;/p&gt;&lt;p&gt;You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bolts).&lt;/p&gt;&lt;p&gt;If you are outdoors and in a stormy area-a rain shower, clouds and wind, hot and cloudy conditions, or even a tornado (including a whirlwind formed by a djinni or an air elemental of at least Large size)-each bolt deals 3d10 points of electricity damage instead of 3d6.&lt;/p&gt;&lt;p&gt;This spell functions indoors or underground but not underwater.&lt;/p&gt;&lt;/h4&gt;&lt;h5&gt;&lt;b&gt;Mythic: &lt;/b&gt;Each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minute.&lt;/h5&gt;&lt;/div&gt;</t>
  </si>
  <si>
    <t>Catastrophe (3), Weather (3)</t>
  </si>
  <si>
    <t> Calls down lightning bolts (3d6 per bolt) from sky.</t>
  </si>
  <si>
    <t>Storms (6)</t>
  </si>
  <si>
    <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t>
  </si>
  <si>
    <t>Call Lightning Storm</t>
  </si>
  <si>
    <t>druid 5, shaman 5, occultist 5</t>
  </si>
  <si>
    <t>This spell functions like call lightning, except that each bolt deals 5d6 points of electricity damage (or 5d10 if created outdoors in a stormy area), and you may call a maximum of 15 bolts.</t>
  </si>
  <si>
    <t>&lt;p&gt;This spell functions like &lt;i&gt;call lightning&lt;/i&gt;, except that each bolt deals 5d6 points of electricity damage (or 5d10 if created outdoors in a stormy area), and you may call a maximum of 15 bolts.&lt;/p&gt;</t>
  </si>
  <si>
    <t>&lt;link rel="stylesheet"href="PF.css"&gt;&lt;div class="heading"&gt;&lt;p class="alignleft"&gt;Call Lightning Storm&lt;/p&gt;&lt;div style="clear: both;"&gt;&lt;/div&gt;&lt;/div&gt;&lt;div&gt;&lt;h5&gt;&lt;b&gt;School &lt;/b&gt;evocation [electricity]; &lt;b&gt;Level &lt;/b&gt;druid 5, shaman 5, occultist 5&lt;/h5&gt;&lt;h5&gt;&lt;b&gt;Casting Time &lt;/b&gt;1 round&lt;/h5&gt;&lt;h5&gt;&lt;b&gt;Components &lt;/b&gt;V, S&lt;/h5&gt;&lt;h5&gt;&lt;b&gt;Range &lt;/b&gt;long (400 ft. + 40 ft./level)&lt;/h5&gt;&lt;h5&gt;&lt;b&gt;Effect &lt;/b&gt;one or more 30-ft.-long vertical lines of lightning&lt;/h5&gt;&lt;h5&gt;&lt;b&gt;Duration &lt;/b&gt;1 min./level&lt;/h5&gt;&lt;h5&gt;&lt;b&gt;Saving Throw &lt;/b&gt;Reflex half; &lt;b&gt;Spell Resistance &lt;/b&gt;yes&lt;/h5&gt;&lt;/div&gt;&lt;div&gt;&lt;h4&gt;&lt;p&gt;This spell functions like &lt;i&gt;call lightning&lt;/i&gt;, except that each bolt deals 5d6 points of electricity damage (or 5d10 if created outdoors in a stormy area), and you may call a maximum of 15 bolts.&lt;/p&gt;&lt;/h4&gt;&lt;/div&gt;</t>
  </si>
  <si>
    <t>Storms (5)</t>
  </si>
  <si>
    <t> As call lightning, but 5d6 damage per bolt.</t>
  </si>
  <si>
    <t>Starsoul (9)</t>
  </si>
  <si>
    <t>Storms (10)</t>
  </si>
  <si>
    <t>Calm Animals</t>
  </si>
  <si>
    <t>druid 1, ranger 1, shaman 1, psychic 1</t>
  </si>
  <si>
    <t>animals within 30 ft. of each other</t>
  </si>
  <si>
    <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  The affected creatures remain where they are and do not attack or flee. They are not helpless and defend themselves normally if attacked. Any threat breaks the spell on the threatened creatures.</t>
  </si>
  <si>
    <t>&lt;p&gt;This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level.&lt;/p&gt;&lt;p&gt;The affected creatures remain where they are and do not attack or flee. They are not helpless and defend themselves normally if attacked. Any threat breaks the spell on the threatened creatures.&lt;/p&gt;</t>
  </si>
  <si>
    <t>&lt;link rel="stylesheet"href="PF.css"&gt;&lt;div class="heading"&gt;&lt;p class="alignleft"&gt;Calm Animals&lt;/p&gt;&lt;div style="clear: both;"&gt;&lt;/div&gt;&lt;/div&gt;&lt;div&gt;&lt;h5&gt;&lt;b&gt;School &lt;/b&gt;enchantment (compulsion) [mind-affecting, emotion]; &lt;b&gt;Level &lt;/b&gt;druid 1, ranger 1, shaman 1, psychic 1&lt;/h5&gt;&lt;h5&gt;&lt;b&gt;Casting Time &lt;/b&gt;1 standard action&lt;/h5&gt;&lt;h5&gt;&lt;b&gt;Components &lt;/b&gt;V, S&lt;/h5&gt;&lt;h5&gt;&lt;b&gt;Range &lt;/b&gt;close (25 ft. + 5 ft./2 levels)&lt;/h5&gt;&lt;h5&gt;&lt;b&gt;Targets &lt;/b&gt; animals within 30 ft. of each other&lt;/h5&gt;&lt;h5&gt;&lt;b&gt;Duration &lt;/b&gt;1 min./level&lt;/h5&gt;&lt;h5&gt;&lt;b&gt;Saving Throw &lt;/b&gt;Will negates; &lt;b&gt;Spell Resistance &lt;/b&gt;yes&lt;/h5&gt;&lt;/div&gt;&lt;div&gt;&lt;h4&gt;&lt;p&gt;This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level.&lt;/p&gt;&lt;p&gt;The affected creatures remain where they are and do not attack or flee. They are not helpless and defend themselves normally if attacked. Any threat breaks the spell on the threatened creatures.&lt;/p&gt;&lt;/h4&gt;&lt;/div&gt;</t>
  </si>
  <si>
    <t>Animal (1)</t>
  </si>
  <si>
    <t>Calms 2d4 + level HD of animals.</t>
  </si>
  <si>
    <t>Calm Emotions</t>
  </si>
  <si>
    <t>bard 2, cleric/oracle 2, inquisitor 2, shaman 2, occultist 2, psychic 2, mesmerist 2</t>
  </si>
  <si>
    <t>creatures in a 20-ft.-radius spread</t>
  </si>
  <si>
    <t>concentration, up to 1 round/level</t>
  </si>
  <si>
    <t>This spell calms agitated creatures. You have no control over the affected creatures, but calm emotions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 This spell automatically suppresses (but does not dispel) any morale bonuses granted by spells such as bless, good hope, and rage, and also negates a bard's ability to inspire courage or a barbarian's rage ability. It also suppresses any fear effects and removes the confused condition from all targets. While the spell lasts, a suppressed spell, condition, or effect has no effect. When the calm emotions spell ends, the original spell or effect takes hold of the creature again, provided that its duration has not expired in the meantime.</t>
  </si>
  <si>
    <t>&lt;p&gt;This spell calms agitated creatures. You have no control over the affected creatures, but &lt;i&gt;calm emotions&lt;/i&gt;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creatures.&lt;/p&gt;&lt;p&gt;This spell automatically suppresses (but does not dispel) any morale bonuses granted by spells such as &lt;i&gt;bless&lt;/i&gt;, &lt;i&gt;good hope&lt;/i&gt;, and &lt;i&gt;rage&lt;/i&gt;, and also negates a bard's ability to inspire courage or a barbarian's rage ability. It also suppresses any fear effects and removes the confused condition from all targets. While the spell lasts, a suppressed spell, condition, or effect has no effect. When the &lt;i&gt;calm emotions spell&lt;/i&gt; ends, the original spell or effect takes hold of the creature again, provided that its duration has not expired in the meantime.&lt;/p&gt;</t>
  </si>
  <si>
    <t>&lt;link rel="stylesheet"href="PF.css"&gt;&lt;div class="heading"&gt;&lt;p class="alignleft"&gt;Calm Emotions&lt;/p&gt;&lt;div style="clear: both;"&gt;&lt;/div&gt;&lt;/div&gt;&lt;div&gt;&lt;h5&gt;&lt;b&gt;School &lt;/b&gt;enchantment (compulsion) [mind-affecting, emotion]; &lt;b&gt;Level &lt;/b&gt;bard 2, cleric/oracle 2, inquisitor 2, shaman 2, occultist 2, psychic 2, mesmerist 2&lt;/h5&gt;&lt;h5&gt;&lt;b&gt;Casting Time &lt;/b&gt;1 standard action&lt;/h5&gt;&lt;h5&gt;&lt;b&gt;Components &lt;/b&gt;V, S, DF&lt;/h5&gt;&lt;h5&gt;&lt;b&gt;Range &lt;/b&gt;medium (100 ft. + 10 ft./level)&lt;/h5&gt;&lt;h5&gt;&lt;b&gt;Area &lt;/b&gt;creatures in a 20-ft.-radius spread&lt;/h5&gt;&lt;h5&gt;&lt;b&gt;Duration &lt;/b&gt;concentration, up to 1 round/level (D)&lt;/h5&gt;&lt;h5&gt;&lt;b&gt;Saving Throw &lt;/b&gt;Will negates; &lt;b&gt;Spell Resistance &lt;/b&gt;yes&lt;/h5&gt;&lt;/div&gt;&lt;div&gt;&lt;h4&gt;&lt;p&gt;This spell calms agitated creatures. You have no control over the affected creatures, but &lt;i&gt;calm emotions&lt;/i&gt;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creatures.&lt;/p&gt;&lt;p&gt;This spell automatically suppresses (but does not dispel) any morale bonuses granted by spells such as &lt;i&gt;bless&lt;/i&gt;, &lt;i&gt;good hope&lt;/i&gt;, and &lt;i&gt;rage&lt;/i&gt;, and also negates a bard's ability to inspire courage or a barbarian's rage ability. It also suppresses any fear effects and removes the confused condition from all targets. While the spell lasts, a suppressed spell, condition, or effect has no effect. When the &lt;i&gt;calm emotions spell&lt;/i&gt; ends, the original spell or effect takes hold of the creature again, provided that its duration has not expired in the meantime.&lt;/p&gt;&lt;/h4&gt;&lt;/div&gt;</t>
  </si>
  <si>
    <t>Charm (2), Family (2)</t>
  </si>
  <si>
    <t>Calms creatures, negating emotion effects.</t>
  </si>
  <si>
    <t>Enchantment (4), Peace (4)</t>
  </si>
  <si>
    <t>Cat's Grace</t>
  </si>
  <si>
    <t>bard 2, druid 2, ranger 2, sorcerer/wizard 2, summoner 2, alchemist 2, magus 2, bloodrager 2, psychic 2, mesmerist 2</t>
  </si>
  <si>
    <t>V, S, M (pinch of cat fur)</t>
  </si>
  <si>
    <t>The transmuted creature becomes more graceful, agile, and coordinated. The spell grants a +4 enhancement bonus to Dexterity, adding the usual benefits to AC, Reflex saves, and other uses of the Dexterity modifier.</t>
  </si>
  <si>
    <t>&lt;p&gt;The transmuted creature becomes more graceful, agile, and coordinated. The spell grants a +4 enhancement bonus to Dexterity, adding the usual benefits to AC, Reflex saves, and other uses of the Dexterity modifier.&lt;/p&gt;</t>
  </si>
  <si>
    <t>&lt;link rel="stylesheet"href="PF.css"&gt;&lt;div class="heading"&gt;&lt;p class="alignleft"&gt;Cat's Grace&lt;/p&gt;&lt;div style="clear: both;"&gt;&lt;/div&gt;&lt;/div&gt;&lt;div&gt;&lt;h5&gt;&lt;b&gt;School &lt;/b&gt;transmutation; &lt;b&gt;Level &lt;/b&gt;bard 2, druid 2, ranger 2, sorcerer/wizard 2, alchemist 2, summoner 2&lt;/h5&gt;&lt;h5&gt;&lt;b&gt;Casting Time &lt;/b&gt;1 standard action&lt;/h5&gt;&lt;h5&gt;&lt;b&gt;Components &lt;/b&gt;V, S, M (pinch of cat fur)&lt;/h5&gt;&lt;h5&gt;&lt;b&gt;Range &lt;/b&gt;touch&lt;/h5&gt;&lt;h5&gt;&lt;b&gt;Targets &lt;/b&gt; creature touched&lt;/h5&gt;&lt;h5&gt;&lt;b&gt;Duration &lt;/b&gt;1 min./level&lt;/h5&gt;&lt;h5&gt;&lt;b&gt;Saving Throw &lt;/b&gt;Will negates (harmless); &lt;b&gt;Spell Resistance &lt;/b&gt;yes&lt;/h5&gt;&lt;/div&gt;&lt;div&gt;&lt;h4&gt;&lt;p&gt;The transmuted creature becomes more graceful, agile, and coordinated. The spell grants a +4 enhancement bonus to Dexterity, adding the usual benefits to AC, Reflex saves, and other uses of the Dexterity modifier.&lt;/p&gt;&lt;/h4&gt;&lt;/div&gt;</t>
  </si>
  <si>
    <t>Flowing (2)</t>
  </si>
  <si>
    <t>Subject gains +4 to Dex for 1 min./level.</t>
  </si>
  <si>
    <t>Agility (4)</t>
  </si>
  <si>
    <t>Cat's Grace, Mass</t>
  </si>
  <si>
    <t>bard 6, druid 6, sorcerer/wizard 6, summoner 4, magus 6, psychic 6</t>
  </si>
  <si>
    <t>This spell functions like cat's grace, except that it affects multiple creatures.</t>
  </si>
  <si>
    <t>&lt;p&gt;This spell functions like &lt;i&gt;cat's grace&lt;/i&gt;, except that it affects multiple creatures.&lt;/p&gt;</t>
  </si>
  <si>
    <t>&lt;link rel="stylesheet"href="PF.css"&gt;&lt;div class="heading"&gt;&lt;p class="alignleft"&gt;Cat's Grace, Mass&lt;/p&gt;&lt;div style="clear: both;"&gt;&lt;/div&gt;&lt;/div&gt;&lt;div&gt;&lt;h5&gt;&lt;b&gt;School &lt;/b&gt;transmutation; &lt;b&gt;Level &lt;/b&gt;bard 6, druid 6, sorcerer/wizard 6, , summoner 4&lt;/h5&gt;&lt;h5&gt;&lt;b&gt;Casting Time &lt;/b&gt;1 standard action&lt;/h5&gt;&lt;h5&gt;&lt;b&gt;Components &lt;/b&gt;V, S, M (pinch of cat fur)&lt;/h5&gt;&lt;h5&gt;&lt;b&gt;Range &lt;/b&gt;close (25 ft. + 5 ft./2 levels)&lt;/h5&gt;&lt;h5&gt;&lt;b&gt;Targets &lt;/b&gt; one creature/level, no two of which can be more than 30 ft. apart&lt;/h5&gt;&lt;h5&gt;&lt;b&gt;Duration &lt;/b&gt;1 min./level&lt;/h5&gt;&lt;h5&gt;&lt;b&gt;Saving Throw &lt;/b&gt;Will negates (harmless); &lt;b&gt;Spell Resistance &lt;/b&gt;yes&lt;/h5&gt;&lt;/div&gt;&lt;div&gt;&lt;h4&gt;&lt;p&gt;This spell functions like &lt;i&gt;cat's grace&lt;/i&gt;, except that it affects multiple creatures.&lt;/p&gt;&lt;/h4&gt;&lt;/div&gt;</t>
  </si>
  <si>
    <t>As cat’s grace, affects 1 subject/level.</t>
  </si>
  <si>
    <t>Agility (12)</t>
  </si>
  <si>
    <t>Cause Fear</t>
  </si>
  <si>
    <t>emotion, fear, mind-affecting</t>
  </si>
  <si>
    <t>antipaladin 1, bard 1, cleric/oracle 1, inquisitor 1, sorcerer/wizard 1, witch 1, bloodrager 1, shaman 1, occultist 1, psychic 1, mesmerist 1, spiritualist 1</t>
  </si>
  <si>
    <t>one living creature with 5 or fewer HD</t>
  </si>
  <si>
    <t>1d4 rounds or 1 round; see text</t>
  </si>
  <si>
    <t>The affected creature becomes frightened. If the subject succeeds on a Will save, it is shaken for 1 round. Creatures with 6 or more HD are immune to this effect. Cause fear counters and dispels remove fear.</t>
  </si>
  <si>
    <t>&lt;p&gt;The affected creature becomes frightened. If the subject succeeds on a Will save, it is shaken for 1 round. Creatures with 6 or more HD are immune to this effect. Cause fear counters and dispels remove fear.&lt;/p&gt;</t>
  </si>
  <si>
    <t>&lt;link rel="stylesheet"href="PF.css"&gt;&lt;div class="heading"&gt;&lt;p class="alignleft"&gt;Cause Fear&lt;/p&gt;&lt;div style="clear: both;"&gt;&lt;/div&gt;&lt;/div&gt;&lt;div&gt;&lt;h5&gt;&lt;b&gt;School &lt;/b&gt;necromancy [emotion, fear, mind-affecting]; &lt;b&gt;Level &lt;/b&gt;antipaladin 1, bard 1, cleric/oracle 1, inquisitor 1, sorcerer/wizard 1, witch 1, bloodrager 1, shaman 1, occultist 1, psychic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 with 5 or fewer HD&lt;/h5&gt;&lt;h5&gt;&lt;b&gt;Duration &lt;/b&gt;1d4 rounds or 1 round; see text&lt;/h5&gt;&lt;h5&gt;&lt;b&gt;Saving Throw &lt;/b&gt;Will partial; &lt;b&gt;Spell Resistance &lt;/b&gt;yes&lt;/h5&gt;&lt;/div&gt;&lt;hr/&gt;&lt;div&gt;&lt;h5&gt;&lt;b&gt;DESCRIPTION&lt;/b&gt;&lt;/h5&gt;&lt;/div&gt;&lt;hr/&gt;&lt;div&gt;&lt;h4&gt;&lt;p&gt;The affected creature becomes frightened. If the subject succeeds on a Will save, it is shaken for 1 round. Creatures with 6 or more HD are immune to this effect. Cause fear counters and dispels remove fear.&lt;/p&gt;&lt;/h4&gt;&lt;/div&gt;</t>
  </si>
  <si>
    <t>Daemon (1), Death (1), Fear (1)</t>
  </si>
  <si>
    <t>A creature of 5 HD or less flees for 1d4 rounds.</t>
  </si>
  <si>
    <t>Abyssal (3)</t>
  </si>
  <si>
    <t>Chain Lightning</t>
  </si>
  <si>
    <t>sorcerer/wizard 6, witch 7, magus 6, occultist 6</t>
  </si>
  <si>
    <t>V, S, F (a bit of fur; a piece of amber, glass, or a crystal rod; plus one silver pin per caster level)</t>
  </si>
  <si>
    <t>one primary target, plus one secondary target/level (each of which must be within 30 ft. of the primary target)</t>
  </si>
  <si>
    <t>This spell creates an electrical discharge that begins as a single stroke commencing from your fingertips. Unlike lightning bolt, chain lightning strikes one object or creature initially, then arcs to other targets.  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  Each target can attempt a Reflex saving throw for half damage.  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t>
  </si>
  <si>
    <t>&lt;p&gt;This spell creates an electrical discharge that begins as a single stroke commencing from your fingertips. Unlike &lt;i&gt;lightning bolt&lt;/i&gt;, &lt;i&gt;chain lightning&lt;/i&gt; strikes one object or creature initially, then arcs to other targets.&lt;/p&gt;&lt;p&gt;The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bolt.&lt;/p&gt;&lt;p&gt;Each target can attempt a Reflex saving throw for half damage.&lt;/p&gt;&lt;p&gt;The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maximum.&lt;/p&gt;</t>
  </si>
  <si>
    <t>&lt;link rel="stylesheet"href="PF.css"&gt;&lt;div class="heading"&gt;&lt;p class="alignleft"&gt;Chain Lightning&lt;/p&gt;&lt;div style="clear: both;"&gt;&lt;/div&gt;&lt;/div&gt;&lt;div&gt;&lt;h5&gt;&lt;b&gt;School &lt;/b&gt;evocation [electricity]; &lt;b&gt;Level &lt;/b&gt;sorcerer/wizard 6, witch 7, magus 6, occultist 6&lt;/h5&gt;&lt;/div&gt;&lt;hr/&gt;&lt;div&gt;&lt;h5&gt;&lt;b&gt;CASTING&lt;/b&gt;&lt;/h5&gt;&lt;/div&gt;&lt;hr/&gt;&lt;div&gt;&lt;h5&gt;&lt;b&gt;Casting Time &lt;/b&gt;1 standard action&lt;/h5&gt;&lt;h5&gt;&lt;b&gt;Components &lt;/b&gt;V, S, F (a bit of fur; a piece of amber, glass, or a crystal rod; plus one silver pin per caster level)&lt;/h5&gt;&lt;/div&gt;&lt;hr/&gt;&lt;div&gt;&lt;h5&gt;&lt;b&gt;EFFECT&lt;/b&gt;&lt;/h5&gt;&lt;/div&gt;&lt;hr/&gt;&lt;div&gt;&lt;h5&gt;&lt;b&gt;Range &lt;/b&gt;long (400 ft. + 40 ft./level)&lt;/h5&gt;&lt;h5&gt;&lt;b&gt;Targets &lt;/b&gt;one primary target, plus one secondary target/level (each of which must be within 30 ft. of the primary target)&lt;/h5&gt;&lt;h5&gt;&lt;b&gt;Duration &lt;/b&gt;instantaneous&lt;/h5&gt;&lt;h5&gt;&lt;b&gt;Saving Throw &lt;/b&gt;Reflex half; &lt;b&gt;Spell Resistance &lt;/b&gt;yes&lt;/h5&gt;&lt;/div&gt;&lt;hr/&gt;&lt;div&gt;&lt;h5&gt;&lt;b&gt;DESCRIPTION&lt;/b&gt;&lt;/h5&gt;&lt;/div&gt;&lt;hr/&gt;&lt;div&gt;&lt;h4&gt;&lt;p&gt;This spell creates an electrical discharge that begins as a single stroke commencing from your fingertips. Unlike &lt;i&gt;lightning bolt&lt;/i&gt;, &lt;i&gt;chain lightning&lt;/i&gt; strikes one object or creature initially, then arcs to other targets.&lt;/p&gt;&lt;p&gt;The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bolt.&lt;/p&gt;&lt;p&gt;Each target can attempt a Reflex saving throw for half damage.&lt;/p&gt;&lt;p&gt;The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maximum.&lt;/p&gt;&lt;/h4&gt;&lt;h5&gt;&lt;b&gt;Mythic: &lt;/b&gt;This spell deals 1d10 points of damage per caster level (maximum 20d10) and the save DC isn't reduced for secondary targets. Secondary targets have to be within 30 feet of any other target, not necessarily the primary target.&lt;/h5&gt;&lt;/div&gt;</t>
  </si>
  <si>
    <t>Air (6)</t>
  </si>
  <si>
    <t> 1d6/level damage and 1 secondary bolt/level.</t>
  </si>
  <si>
    <t>Djinni (13), Stormborn (13)</t>
  </si>
  <si>
    <t>This spell deals 1d10 points of damage per caster level (maximum 20d10) and the save DC isn't reduced for secondary targets. Secondary targets have to be within 30 feet of any other target, not necessarily the primary target.</t>
  </si>
  <si>
    <t>Changestaff</t>
  </si>
  <si>
    <t>druid 7</t>
  </si>
  <si>
    <t>V, S, F (a quarterstaff that has been carved and polished for 28 days)</t>
  </si>
  <si>
    <t>your touched staff</t>
  </si>
  <si>
    <t>1 hour/level (D)</t>
  </si>
  <si>
    <t>You change a specially prepared quarterstaff into a Huge treant-like creature (see the Pathfinder RPG Bestiary), about 24 feet tall.  When you plant the end of the staff in the ground and speak a special command to conclude the casting of the spell, your staff turns into a creature that looks and fights just like a treant.  The staff-treant defends you and obeys any spoken commands.  However, it is by no means a true treant; it cannot converse with actual treants or control trees. If the staff-treant is reduced to 0 or fewer hit points, it crumbles to powder and the staff is destroyed.  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t>
  </si>
  <si>
    <t>&lt;p&gt;You change a specially prepared quarterstaff into a Huge treant-like creature (see the &lt;i&gt;Pathfinder RPG&lt;/i&gt; Bestiary), about 24 feet tall.&lt;/p&gt;&lt;p&gt;When you plant the end of the staff in the ground and speak a special command to conclude the casting of the spell, your staff turns into a creature that looks and fights just like a treant.&lt;/p&gt;&lt;p&gt;The staff-treant defends you and obeys any spoken commands.&lt;/p&gt;&lt;p&gt;However, it is by no means a true treant; it cannot converse with actual treants or control trees. If the staff-treant is reduced to 0 or fewer hit points, it crumbles to powder and the staff is destroyed.&lt;/p&gt;&lt;p&gt;Otherwise,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appeared.&lt;/p&gt;</t>
  </si>
  <si>
    <t>&lt;link rel="stylesheet"href="PF.css"&gt;&lt;div class="heading"&gt;&lt;p class="alignleft"&gt;Changestaff&lt;/p&gt;&lt;div style="clear: both;"&gt;&lt;/div&gt;&lt;/div&gt;&lt;div&gt;&lt;h5&gt;&lt;b&gt;School &lt;/b&gt;transmutation; &lt;b&gt;Level &lt;/b&gt;druid 7&lt;/h5&gt;&lt;/div&gt;&lt;hr/&gt;&lt;div&gt;&lt;h5&gt;&lt;b&gt;CASTING&lt;/b&gt;&lt;/h5&gt;&lt;/div&gt;&lt;hr/&gt;&lt;div&gt;&lt;h5&gt;&lt;b&gt;Casting Time &lt;/b&gt;1 round&lt;/h5&gt;&lt;h5&gt;&lt;b&gt;Components &lt;/b&gt;V, S, F (a quarterstaff that has been carved and polished for 28 days)&lt;/h5&gt;&lt;/div&gt;&lt;hr/&gt;&lt;div&gt;&lt;h5&gt;&lt;b&gt;EFFECT&lt;/b&gt;&lt;/h5&gt;&lt;/div&gt;&lt;hr/&gt;&lt;div&gt;&lt;h5&gt;&lt;b&gt;Range &lt;/b&gt;touch&lt;/h5&gt;&lt;h5&gt;&lt;b&gt;Targets &lt;/b&gt;your touched staff&lt;/h5&gt;&lt;h5&gt;&lt;b&gt;Duration &lt;/b&gt;1 hour/level (D)&lt;/h5&gt;&lt;h5&gt;&lt;b&gt;Saving Throw &lt;/b&gt;none; &lt;b&gt;Spell Resistance &lt;/b&gt;no&lt;/h5&gt;&lt;/div&gt;&lt;hr/&gt;&lt;div&gt;&lt;h5&gt;&lt;b&gt;DESCRIPTION&lt;/b&gt;&lt;/h5&gt;&lt;/div&gt;&lt;hr/&gt;&lt;div&gt;&lt;h4&gt;&lt;p&gt;You change a specially prepared quarterstaff into a Huge treant-like creature (see the &lt;i&gt;Pathfinder RPG&lt;/i&gt; Bestiary), about 24 feet tall.&lt;/p&gt;&lt;p&gt;When you plant the end of the staff in the ground and speak a special command to conclude the casting of the spell, your staff turns into a creature that looks and fights just like a treant.&lt;/p&gt;&lt;p&gt;The staff-treant defends you and obeys any spoken commands.&lt;/p&gt;&lt;p&gt;However, it is by no means a true treant; it cannot converse with actual treants or control trees. If the staff-treant is reduced to 0 or fewer hit points, it crumbles to powder and the staff is destroyed.&lt;/p&gt;&lt;p&gt;Otherwise,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appeared.&lt;/p&gt;&lt;/h4&gt;&lt;h5&gt;&lt;b&gt;Mythic: &lt;/b&gt;The treant-like creature created with this spell is considered a mythic creature, and it gains DR 10/epic and slashing instead of gaining DR 10/slashing.&lt;/h5&gt;&lt;h5&gt;&lt;b&gt;Augmented (7th)&lt;/b&gt;: If you expend two uses of mythic power, the creature gains the savage mythic template (see page 224).&lt;/h5&gt;&lt;/div&gt;</t>
  </si>
  <si>
    <t> Your staff becomes a treant on command.</t>
  </si>
  <si>
    <t>The treant-like creature created with this spell is considered a mythic creature, and it gains DR 10/epic and slashing instead of gaining DR 10/slashing.</t>
  </si>
  <si>
    <t>Augmented (7th): If you expend two uses of mythic power, the creature gains the savage mythic template (see page 224).</t>
  </si>
  <si>
    <t>Chaos Hammer</t>
  </si>
  <si>
    <t>cleric/oracle 4, inquisitor 4</t>
  </si>
  <si>
    <t>20-ft.-radius burst</t>
  </si>
  <si>
    <t>instantaneous (1d6 rounds); see text</t>
  </si>
  <si>
    <t>Will partial; see text</t>
  </si>
  <si>
    <t>You unleash chaotic power to smite your enemies. The power takes the form of a multicolored explosion of leaping, ricocheting energy. Only lawful and neutral (not chaotic) creatures are harmed by the spell.  The spell deals 1d8 points of damage per two caster levels (maximum 5d8) to lawful creatures (or 1d6 points of damage per caster level, maximum 10d6, to lawful outsiders) and slows them for 1d6 rounds (see the slow spell). A successful Will save reduces the damage by half and negates the slow effect.  The spell deals only half damage against creatures who are neither lawful nor chaotic, and they are not slowed. Such a creature can reduce the damage by half again (down to one-quarter) with a successful Will save.</t>
  </si>
  <si>
    <t>&lt;p&gt;You unleash chaotic power to smite your enemies. The power takes the form of a multicolored explosion of leaping, ricocheting energy. Only lawful and neutral (not chaotic) creatures are harmed by the spell.&lt;/p&gt;&lt;p&gt;The spell deals 1d8 points of damage per two caster levels (maximum 5d8) to lawful creatures (or 1d6 points of damage per caster level, maximum 10d6, to lawful outsiders) and &lt;i&gt;slow&lt;/i&gt;s them for 1d6 rounds (see the &lt;i&gt;slow&lt;/i&gt; spell). A successful Will save reduces the damage by half and negates the &lt;i&gt;slow&lt;/i&gt; effect.&lt;/p&gt;&lt;p&gt;The spell deals only half damage against creatures who are neither lawful nor chaotic, and they are not &lt;i&gt;slow&lt;/i&gt;ed. Such a creature can reduce the damage by half again (down to one-quarter) with a successful Will save.&lt;/p&gt;</t>
  </si>
  <si>
    <t>&lt;link rel="stylesheet"href="PF.css"&gt;&lt;div class="heading"&gt;&lt;p class="alignleft"&gt;Chaos Hammer&lt;/p&gt;&lt;div style="clear: both;"&gt;&lt;/div&gt;&lt;/div&gt;&lt;div&gt;&lt;h5&gt;&lt;b&gt;School &lt;/b&gt;evocation [chaotic];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(1d6 rounds); see text&lt;/h5&gt;&lt;h5&gt;&lt;b&gt;Saving Throw &lt;/b&gt;Will partial; see text; &lt;b&gt;Spell Resistance &lt;/b&gt;yes&lt;/h5&gt;&lt;/div&gt;&lt;hr/&gt;&lt;div&gt;&lt;h5&gt;&lt;b&gt;DESCRIPTION&lt;/b&gt;&lt;/h5&gt;&lt;/div&gt;&lt;hr/&gt;&lt;div&gt;&lt;h4&gt;&lt;p&gt;You unleash chaotic power to smite your enemies. The power takes the form of a multicolored explosion of leaping, ricocheting energy. Only lawful and neutral (not chaotic) creatures are harmed by the spell.&lt;/p&gt;&lt;p&gt;The spell deals 1d8 points of damage per two caster levels (maximum 5d8) to lawful creatures (or 1d6 points of damage per caster level, maximum 10d6, to lawful outsiders) and &lt;i&gt;slow&lt;/i&gt;s them for 1d6 rounds (see the &lt;i&gt;slow&lt;/i&gt; spell). A successful Will save reduces the damage by half and negates the &lt;i&gt;slow&lt;/i&gt; effect.&lt;/p&gt;&lt;p&gt;The spell deals only half damage against creatures who are neither lawful nor chaotic, and they are not &lt;i&gt;slow&lt;/i&gt;ed. Such a creature can reduce the damage by half again (down to one-quarter) with a successful Will save.&lt;/p&gt;&lt;/h4&gt;&lt;h5&gt;&lt;b&gt;Mythic: &lt;/b&gt;The damage dealt to lawful outsiders increases to 1d10 points of damage per caster level (maximum 10d10), and the damage dealt to other lawful creatures increases to 1d12 points of damage per 2 caster levels (maximum 5d12). The duration of slow increases to 2d6 rounds. Lawful creatures that succeed at their saves are slowed for 1 round.&lt;/h5&gt;&lt;/div&gt;</t>
  </si>
  <si>
    <t>Chaos (4)</t>
  </si>
  <si>
    <t> Harms and slows lawful creatures (1d8 damage/2 levels).</t>
  </si>
  <si>
    <t>The damage dealt to lawful outsiders increases to 1d10 points of damage per caster level (maximum 10d10), and the damage dealt to other lawful creatures increases to 1d12 points of damage per 2 caster levels (maximum 5d12). The duration of slow increases to 2d6 rounds. Lawful creatures that succeed at their saves are slowed for 1 round.</t>
  </si>
  <si>
    <t>Charm Person</t>
  </si>
  <si>
    <t>charm</t>
  </si>
  <si>
    <t>bard 1, sorcerer/wizard 1, witch 1, shaman 1, occultist 1, psychic 1, mesmerist 1</t>
  </si>
  <si>
    <t>one humanoid creature</t>
  </si>
  <si>
    <t>This charm makes a humanoid creature regard you as its trusted friend and ally (treat the target's attitude as friendly). If the creature is currently being threatened or attacked by you or your allies, however, it receives a +5 bonus on its saving throw.  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t>
  </si>
  <si>
    <t>&lt;p&gt;This charm makes a humanoid creature regard you as its trusted friend and ally (treat the target's attitude as friendly). If the creature is currently being threatened or attacked by you or your allies, however, it receives a +5 bonus on its saving throw.&lt;/p&gt;&lt;p&gt;The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pantomiming.&lt;/p&gt;</t>
  </si>
  <si>
    <t>&lt;link rel="stylesheet"href="PF.css"&gt;&lt;div class="heading"&gt;&lt;p class="alignleft"&gt;Charm Person&lt;/p&gt;&lt;div style="clear: both;"&gt;&lt;/div&gt;&lt;/div&gt;&lt;div&gt;&lt;h5&gt;&lt;b&gt;School &lt;/b&gt;enchantment (charm) [mind-affecting]; &lt;b&gt;Level &lt;/b&gt;bard 1, sorcerer/wizard 1, witch 1, shaman 1, occultist 1, psychic 1, mesmerist 1&lt;/h5&gt;&lt;h5&gt;&lt;b&gt;Casting Time &lt;/b&gt;1 standard action&lt;/h5&gt;&lt;h5&gt;&lt;b&gt;Components &lt;/b&gt;V, S&lt;/h5&gt;&lt;h5&gt;&lt;b&gt;Range &lt;/b&gt;close (25 ft. + 5 ft./2 levels)&lt;/h5&gt;&lt;h5&gt;&lt;b&gt;Targets &lt;/b&gt; one humanoid creature&lt;/h5&gt;&lt;h5&gt;&lt;b&gt;Duration &lt;/b&gt;1 hour/level&lt;/h5&gt;&lt;h5&gt;&lt;b&gt;Saving Throw &lt;/b&gt;Will negates; &lt;b&gt;Spell Resistance &lt;/b&gt;yes&lt;/h5&gt;&lt;/div&gt;&lt;div&gt;&lt;h4&gt;&lt;p&gt;This charm makes a humanoid creature regard you as its trusted friend and ally (treat the target's attitude as friendly). If the creature is currently being threatened or attacked by you or your allies, however, it receives a +5 bonus on its saving throw.&lt;/p&gt;&lt;p&gt;The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pantomiming.&lt;/p&gt;&lt;/h4&gt;&lt;/div&gt;</t>
  </si>
  <si>
    <t>Charm (1), Slavery (1)</t>
  </si>
  <si>
    <t>Makes one person your friend.</t>
  </si>
  <si>
    <t>Rakshasa (3)</t>
  </si>
  <si>
    <t>Charm Animal</t>
  </si>
  <si>
    <t>one animal</t>
  </si>
  <si>
    <t>This spell functions like charm person, except that it affects a creature of the animal type.</t>
  </si>
  <si>
    <t>&lt;p&gt;This spell functions like &lt;i&gt;charm person&lt;/i&gt;, except that it affects a creature of the animal type.&lt;/p&gt;</t>
  </si>
  <si>
    <t>&lt;link rel="stylesheet"href="PF.css"&gt;&lt;div class="heading"&gt;&lt;p class="alignleft"&gt;Charm Animal&lt;/p&gt;&lt;div style="clear: both;"&gt;&lt;/div&gt;&lt;/div&gt;&lt;div&gt;&lt;h5&gt;&lt;b&gt;School &lt;/b&gt;enchantment (charm) [mind-affecting]; &lt;b&gt;Level &lt;/b&gt;druid 1, ranger 1, shaman 1, psychic 1&lt;/h5&gt;&lt;h5&gt;&lt;b&gt;Casting Time &lt;/b&gt;1 standard action&lt;/h5&gt;&lt;h5&gt;&lt;b&gt;Components &lt;/b&gt;V, S&lt;/h5&gt;&lt;h5&gt;&lt;b&gt;Range &lt;/b&gt;close (25 ft. + 5 ft./2 levels)&lt;/h5&gt;&lt;h5&gt;&lt;b&gt;Targets &lt;/b&gt; one animal&lt;/h5&gt;&lt;h5&gt;&lt;b&gt;Duration &lt;/b&gt;1 hour/level&lt;/h5&gt;&lt;h5&gt;&lt;b&gt;Saving Throw &lt;/b&gt;Will negates; &lt;b&gt;Spell Resistance &lt;/b&gt;yes&lt;/h5&gt;&lt;/div&gt;&lt;div&gt;&lt;h4&gt;&lt;p&gt;This spell functions like &lt;i&gt;charm person&lt;/i&gt;, except that it affects a creature of the animal type.&lt;/p&gt;&lt;/h4&gt;&lt;/div&gt;</t>
  </si>
  <si>
    <t>Makes one animal your friend.</t>
  </si>
  <si>
    <t>Pestilence (3)</t>
  </si>
  <si>
    <t>Animals (2)</t>
  </si>
  <si>
    <t>Charm Monster</t>
  </si>
  <si>
    <t>bard 3, sorcerer/wizard 4, witch 4, summoner 3, occultist 4, psychic 4, mesmerist 3</t>
  </si>
  <si>
    <t>This spell functions like charm person, except that the effect is not restricted by creature type or size.</t>
  </si>
  <si>
    <t>&lt;p&gt;This spell functions like &lt;i&gt;charm person&lt;/i&gt;, except that the effect is not restricted by creature type or size.&lt;/p&gt;</t>
  </si>
  <si>
    <t>&lt;link rel="stylesheet"href="PF.css"&gt;&lt;div class="heading"&gt;&lt;p class="alignleft"&gt;Charm Monster&lt;/p&gt;&lt;div style="clear: both;"&gt;&lt;/div&gt;&lt;/div&gt;&lt;div&gt;&lt;h5&gt;&lt;b&gt;School &lt;/b&gt;enchantment (charm) [mind-affecting]; &lt;b&gt;Level &lt;/b&gt;bard 3, sorcerer/wizard 4, summoner 3, witch 4&lt;/h5&gt;&lt;h5&gt;&lt;b&gt;Casting Time &lt;/b&gt;1 standard action&lt;/h5&gt;&lt;h5&gt;&lt;b&gt;Components &lt;/b&gt;V, S&lt;/h5&gt;&lt;h5&gt;&lt;b&gt;Range &lt;/b&gt;close (25 ft. + 5 ft./2 levels)&lt;/h5&gt;&lt;h5&gt;&lt;b&gt;Targets &lt;/b&gt; one living creature&lt;/h5&gt;&lt;h5&gt;&lt;b&gt;Duration &lt;/b&gt;1 day/level&lt;/h5&gt;&lt;h5&gt;&lt;b&gt;Saving Throw &lt;/b&gt;Will negates; &lt;b&gt;Spell Resistance &lt;/b&gt;yes&lt;/h5&gt;&lt;/div&gt;&lt;div&gt;&lt;h4&gt;&lt;p&gt;This spell functions like &lt;i&gt;charm person&lt;/i&gt;, except that the effect is not restricted by creature type or size.&lt;/p&gt;&lt;/h4&gt;&lt;/div&gt;</t>
  </si>
  <si>
    <t>Charm (5)</t>
  </si>
  <si>
    <t>Makes monster believe it is your ally.</t>
  </si>
  <si>
    <t>Infernal (9), Oni (9)</t>
  </si>
  <si>
    <t>Charm Monster, Mass</t>
  </si>
  <si>
    <t>bard 6, sorcerer/wizard 8, witch 8, summoner 6, occultist 6, psychic 8, mesmerist 6</t>
  </si>
  <si>
    <t>One or more creatures, no two of which can be more than 30 ft. apart</t>
  </si>
  <si>
    <t>This spell functions like charm monster,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t>
  </si>
  <si>
    <t>&lt;p&gt;This spell functions like &lt;i&gt;charm monster&lt;/i&gt;,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affect.&lt;/p&gt;</t>
  </si>
  <si>
    <t>&lt;link rel="stylesheet"href="PF.css"&gt;&lt;div class="heading"&gt;&lt;p class="alignleft"&gt;Charm Monster, Mass&lt;/p&gt;&lt;div style="clear: both;"&gt;&lt;/div&gt;&lt;/div&gt;&lt;div&gt;&lt;h5&gt;&lt;b&gt;School &lt;/b&gt;enchantment (charm) [mind-affecting]; &lt;b&gt;Level &lt;/b&gt;bard 6, sorcerer/wizard 8, summoner 6, summoner 8&lt;/h5&gt;&lt;h5&gt;&lt;b&gt;Casting Time &lt;/b&gt;1 standard action&lt;/h5&gt;&lt;h5&gt;&lt;b&gt;Components &lt;/b&gt;V&lt;/h5&gt;&lt;h5&gt;&lt;b&gt;Range &lt;/b&gt;close (25 ft. + 5 ft./2 levels)&lt;/h5&gt;&lt;h5&gt;&lt;b&gt;Targets &lt;/b&gt; One or more creatures, no two of which can be more than 30 ft. apart&lt;/h5&gt;&lt;h5&gt;&lt;b&gt;Duration &lt;/b&gt;1 day/level&lt;/h5&gt;&lt;h5&gt;&lt;b&gt;Saving Throw &lt;/b&gt;Will negates; &lt;b&gt;Spell Resistance &lt;/b&gt;yes&lt;/h5&gt;&lt;/div&gt;&lt;div&gt;&lt;h4&gt;&lt;p&gt;This spell functions like &lt;i&gt;charm monster&lt;/i&gt;,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affect.&lt;/p&gt;&lt;/h4&gt;&lt;/div&gt;</t>
  </si>
  <si>
    <t>As charm monster, but all within 30 ft.</t>
  </si>
  <si>
    <t>Chill Metal</t>
  </si>
  <si>
    <t>druid 2, occultist 2, psychic 2</t>
  </si>
  <si>
    <t>metal equipment of one creature per two levels, no two of which can be more than 30 ft. apart; or 25 lbs. of metal/level, none of which can be more than 30 ft. away from any of the rest</t>
  </si>
  <si>
    <t>7 rounds</t>
  </si>
  <si>
    <t>Chill metal makes metal extremely cold. Unattended, nonmagical metal gets no saving throw. Magical metal is allowed a saving throw against the spell. An item in a creature's possession uses the creature's saving throw bonus unless its own is higher. A creature takes cold damage if its equipment is chilled. It takes full damage if its armor, shield, or weapon is affected. The creature takes minimum damage (1 point or 2 points; see the table) if it's not wearing or wielding such an item. 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 Round Metal Temperature Damage 1 Cold None 2 Icy 1d4 points 3-5 Freezing 2d4 points 6 Icy 1d4 points 7 Cold None Any heat intense enough to damage the creature negates cold damage from the spell (and vice versa) on a point-for-point basis. Underwater, chill metal deals no damage, but ice immediately forms around the affected metal, making it float if unattended. Chill metal counters and dispels heat metal.</t>
  </si>
  <si>
    <t>&lt;p&gt;&lt;i&gt;Chill metal&lt;/i&gt; makes metal extremely cold. Unattended, nonmagical metal gets no saving throw. Magical metal is allowed a saving throw against the spell. An item in a creature's possession uses the creature's saving throw bonus unless its own is higher.&lt;/p&gt;&lt;p&gt;A creature takes cold damage if its equipment is chilled. It takes full damage if its armor, shield, or weapon is affected. The creature takes minimum damage (1 point or 2 points; see the table) if it's not wearing or wielding such an item.&lt;/p&gt;&lt;p&gt;On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below.&lt;/p&gt;   &lt;table border ='1'&gt;&lt;tr&gt;&lt;th&gt;&lt;table&gt;&lt;tr&gt;&lt;th&gt;Round&lt;/th&gt;&lt;th&gt;Metal Temperature&lt;/th&gt;&lt;th&gt;Damage&lt;/th&gt;&lt;/tr&gt; &lt;tr&gt;&lt;td&gt;1&lt;/td&gt;&lt;td&gt;Cold&lt;/td&gt;&lt;td&gt;None&lt;/td&gt;&lt;/tr&gt; &lt;tr&gt;&lt;td&gt;2&lt;/td&gt;&lt;td&gt;Icy&lt;/td&gt;&lt;td&gt;1d4 points&lt;/td&gt;&lt;/tr&gt; &lt;tr&gt;&lt;td&gt;3-5&lt;/td&gt;&lt;td&gt;Freezing&lt;/td&gt;&lt;td&gt;2d4 points&lt;/td&gt;&lt;/tr&gt; &lt;tr&gt;&lt;td&gt;6&lt;/td&gt;&lt;td&gt;Icy&lt;/td&gt;&lt;td&gt;1d4 points&lt;/td&gt;&lt;/tr&gt; &lt;tr&gt;&lt;td&gt;7&lt;/td&gt;&lt;td&gt;Cold&lt;/td&gt;&lt;td&gt;None&lt;/td&gt;&lt;/tr&gt; &lt;/table&gt;&lt;/td&gt;&lt;/tr&gt;&lt;tr&gt;&lt;td&gt;2&lt;/td&gt;&lt;td&gt;Icy 1d4 points&lt;/td&gt;&lt;/tr&gt;&lt;tr&gt;&lt;td&gt;3-5&lt;/td&gt;&lt;td&gt;Freezing 2d4 points&lt;/td&gt;&lt;/tr&gt;&lt;tr&gt;&lt;td&gt;6&lt;/td&gt;&lt;td&gt;Icy 1d4 points&lt;/td&gt;&lt;/tr&gt;&lt;tr&gt;&lt;td&gt;7&lt;/td&gt;&lt;td&gt;Cold None&lt;/td&gt;&lt;/tr&gt;&lt;/table&gt;    Any heat intense enough to damage the creature negates cold damage from the spell (and vice versa) on a point-for-point basis.&lt;/p&gt;&lt;p&gt;Underwater, &lt;i&gt;chill metal&lt;/i&gt; deals no damage, but ice immediately forms around the affected metal, making it float if unattended.&lt;/p&gt;&lt;p&gt;&lt;i&gt;Chill metal&lt;/i&gt; counters and dispels &lt;i&gt;heat metal&lt;/i&gt;.&lt;/p&gt;</t>
  </si>
  <si>
    <t>&lt;link rel="stylesheet"href="PF.css"&gt;&lt;div class="heading"&gt;&lt;p class="alignleft"&gt;Chill Metal&lt;/p&gt;&lt;div style="clear: both;"&gt;&lt;/div&gt;&lt;/div&gt;&lt;div&gt;&lt;h5&gt;&lt;b&gt;School &lt;/b&gt;transmutation [cold]; &lt;b&gt;Level &lt;/b&gt;druid 2, occultist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&lt;/b&gt;metal equipment of one creature per two levels, no two of which can be more than 30 ft. apart; or 25 lbs. of metal/level, none of which can be more than 30 ft. away from any of the rest&lt;/h5&gt;&lt;h5&gt;&lt;b&gt;Duration &lt;/b&gt;7 rounds&lt;/h5&gt;&lt;h5&gt;&lt;b&gt;Saving Throw &lt;/b&gt;Will negates (object); &lt;b&gt;Spell Resistance &lt;/b&gt;yes (object)&lt;/h5&gt;&lt;/div&gt;&lt;hr/&gt;&lt;div&gt;&lt;h5&gt;&lt;b&gt;DESCRIPTION&lt;/b&gt;&lt;/h5&gt;&lt;/div&gt;&lt;hr/&gt;&lt;div&gt;&lt;h4&gt;&lt;p&gt;&lt;i&gt;Chill metal&lt;/i&gt; makes metal extremely cold. Unattended, nonmagical metal gets no saving throw. Magical metal is allowed a saving throw against the spell. An item in a creature's possession uses the creature's saving throw bonus unless its own is higher.&lt;/p&gt;&lt;p&gt;A creature takes cold damage if its equipment is chilled. It takes full damage if its armor, shield, or weapon is affected. The creature takes minimum damage (1 point or 2 points; see the table) if it's not wearing or wielding such an item.&lt;/p&gt;&lt;p&gt;On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 &lt;table border ='1'&gt;&lt;tr&gt;&lt;th&gt;Round&lt;/th&gt;&lt;th&gt;Metal Temperature Damage&lt;/th&gt;&lt;/tr&gt;&lt;tr&gt;&lt;td&gt;1&lt;/td&gt;&lt;td&gt;Cold None&lt;/td&gt;&lt;/tr&gt;&lt;tr&gt;&lt;td&gt;2&lt;/td&gt;&lt;td&gt;Icy 1d4 points&lt;/td&gt;&lt;/tr&gt;&lt;tr&gt;&lt;td&gt;3-5&lt;/td&gt;&lt;td&gt;Freezing 2d4 points&lt;/td&gt;&lt;/tr&gt;&lt;tr&gt;&lt;td&gt;6&lt;/td&gt;&lt;td&gt;Icy 1d4 points&lt;/td&gt;&lt;/tr&gt;&lt;tr&gt;&lt;td&gt;7&lt;/td&gt;&lt;td&gt;Cold None&lt;/td&gt;&lt;/tr&gt;&lt;/table&gt;  Any heat intense enough to damage the creature negates cold damage from the spell (and vice versa) on a point-for-point basis.&lt;/p&gt;&lt;p&gt;Underwater, &lt;i&gt;chill metal&lt;/i&gt; deals no damage, but ice immediately forms around the affected metal, making it float if unattended.&lt;/p&gt;&lt;p&gt;&lt;i&gt;Chill metal&lt;/i&gt; counters and dispels &lt;i&gt;heat metal&lt;/i&gt;.&lt;/p&gt;&lt;/h4&gt;&lt;h5&gt;&lt;b&gt;Mythic: &lt;/b&gt;The damage dealt increases to 1d8 points of cold damage on rounds 2 and 6, and to 2d8 points of cold damage on rounds 3 through 5. Each round a creature takes cold damage from this spell, it also takes 1 point of Dexterity damage (Fortitude negates).&lt;/h5&gt;&lt;/div&gt;</t>
  </si>
  <si>
    <t> Cold metal damages those who touch it.</t>
  </si>
  <si>
    <t>The damage dealt increases to 1d8 points of cold damage on rounds 2 and 6, and to 2d8 points of cold damage on rounds 3 through 5. Each round a creature takes cold damage from this spell, it also takes 1 point of Dexterity damage (Fortitude negates).</t>
  </si>
  <si>
    <t>Chill Touch</t>
  </si>
  <si>
    <t>sorcerer/wizard 1, witch 1, magus 1, bloodrager 1, shaman 1, spiritualist 1</t>
  </si>
  <si>
    <t>creature or creatures touched (up to one/level)</t>
  </si>
  <si>
    <t>Fortitude partial or Will negates; see text</t>
  </si>
  <si>
    <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  An undead creature you touch takes no damage of either sort, but it must make a successful Will saving throw or flee as if panicked for 1d4 rounds + 1 round per caster level.</t>
  </si>
  <si>
    <t>&lt;p&gt;A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level.&lt;/p&gt;&lt;p&gt;An undead creature you touch takes no damage of either sort, but it must make a successful Will saving throw or flee as if panicked for 1d4 rounds + 1 round per caster level.&lt;/p&gt;</t>
  </si>
  <si>
    <t>&lt;link rel="stylesheet"href="PF.css"&gt;&lt;div class="heading"&gt;&lt;p class="alignleft"&gt;Chill Touch&lt;/p&gt;&lt;div style="clear: both;"&gt;&lt;/div&gt;&lt;/div&gt;&lt;div&gt;&lt;h5&gt;&lt;b&gt;School &lt;/b&gt;necromancy; &lt;b&gt;Level &lt;/b&gt;sorcerer/wizard 1, witch 1, magus 1, bloodrager 1, shaman 1, spiritualist 1&lt;/h5&gt;&lt;h5&gt;&lt;b&gt;Casting Time &lt;/b&gt;1 standard action&lt;/h5&gt;&lt;h5&gt;&lt;b&gt;Components &lt;/b&gt;V, S&lt;/h5&gt;&lt;h5&gt;&lt;b&gt;Range &lt;/b&gt;touch&lt;/h5&gt;&lt;h5&gt;&lt;b&gt;Targets &lt;/b&gt; creature or creatures touched (up to one/level)&lt;/h5&gt;&lt;h5&gt;&lt;b&gt;Duration &lt;/b&gt;instantaneous&lt;/h5&gt;&lt;h5&gt;&lt;b&gt;Saving Throw &lt;/b&gt;Fortitude partial or Will negates; see text; &lt;b&gt;Spell Resistance &lt;/b&gt;yes&lt;/h5&gt;&lt;/div&gt;&lt;div&gt;&lt;h4&gt;&lt;p&gt;A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level.&lt;/p&gt;&lt;p&gt;An undead creature you touch takes no damage of either sort, but it must make a successful Will saving throw or flee as if panicked for 1d4 rounds + 1 round per caster level.&lt;/p&gt;&lt;/h4&gt;&lt;/div&gt;</t>
  </si>
  <si>
    <t> One touch/level deals 1d6 damage and possibly 1 Str damage.</t>
  </si>
  <si>
    <t>Undead (3)</t>
  </si>
  <si>
    <t>Circle Of Death</t>
  </si>
  <si>
    <t>sorcerer/wizard 6, inquisitor 6, spiritualist 6</t>
  </si>
  <si>
    <t>V, S, M (a crushed black pearl worth 500 gp)</t>
  </si>
  <si>
    <t>several living creatures within a 40-ft.-radius burst</t>
  </si>
  <si>
    <t>Circle of death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t>
  </si>
  <si>
    <t>&lt;p&gt;&lt;i&gt;Circle of death&lt;/i&gt;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wasted.&lt;/p&gt;</t>
  </si>
  <si>
    <t>&lt;link rel="stylesheet"href="PF.css"&gt;&lt;div class="heading"&gt;&lt;p class="alignleft"&gt;Circle Of Death&lt;/p&gt;&lt;div style="clear: both;"&gt;&lt;/div&gt;&lt;/div&gt;&lt;div&gt;&lt;h5&gt;&lt;b&gt;School &lt;/b&gt;necromancy [death]; &lt;b&gt;Level &lt;/b&gt;sorcerer/wizard 6, inquisitor 6, spiritualist 6&lt;/h5&gt;&lt;/div&gt;&lt;hr/&gt;&lt;div&gt;&lt;h5&gt;&lt;b&gt;CASTING&lt;/b&gt;&lt;/h5&gt;&lt;/div&gt;&lt;hr/&gt;&lt;div&gt;&lt;h5&gt;&lt;b&gt;Casting Time &lt;/b&gt;1 standard action&lt;/h5&gt;&lt;h5&gt;&lt;b&gt;Components &lt;/b&gt;V, S, M (a crushed black pearl worth 500 gp)&lt;/h5&gt;&lt;/div&gt;&lt;hr/&gt;&lt;div&gt;&lt;h5&gt;&lt;b&gt;EFFECT&lt;/b&gt;&lt;/h5&gt;&lt;/div&gt;&lt;hr/&gt;&lt;div&gt;&lt;h5&gt;&lt;b&gt;Range &lt;/b&gt;medium (100 ft. + 10 ft./level)&lt;/h5&gt;&lt;h5&gt;&lt;b&gt;Area &lt;/b&gt;several living creatures within a 40-ft.-radius burst&lt;/h5&gt;&lt;h5&gt;&lt;b&gt;Duration &lt;/b&gt;instantaneous&lt;/h5&gt;&lt;h5&gt;&lt;b&gt;Saving Throw &lt;/b&gt;Fortitude negates; &lt;b&gt;Spell Resistance &lt;/b&gt;yes&lt;/h5&gt;&lt;/div&gt;&lt;hr/&gt;&lt;div&gt;&lt;h5&gt;&lt;b&gt;DESCRIPTION&lt;/b&gt;&lt;/h5&gt;&lt;/div&gt;&lt;hr/&gt;&lt;div&gt;&lt;h4&gt;&lt;p&gt;&lt;i&gt;Circle of death&lt;/i&gt;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wasted.&lt;/p&gt;&lt;/h4&gt;&lt;h5&gt;&lt;b&gt;Mythic: &lt;/b&gt;The number of Hit Dice worth of creatures killed by the spell increases to 1d6 per caster level (maximum 20d6). Add your tier to the maximum HD of creatures that can be affected by the spell. (For example, at 3rd tier, a creature with 12 HD cannot be affected.)&lt;/h5&gt;&lt;h5&gt;&lt;b&gt;Augmented (6th)&lt;/b&gt;: If you expend two uses of mythic power, creatures that succeed at their saves against this spell take 1d6 points of damage per tier.&lt;/h5&gt;&lt;/div&gt;</t>
  </si>
  <si>
    <t> Kills 1d4/level HD of creatures.</t>
  </si>
  <si>
    <t>Daemon (13)</t>
  </si>
  <si>
    <t>Death (12)</t>
  </si>
  <si>
    <t>The number of Hit Dice worth of creatures killed by the spell increases to 1d6 per caster level (maximum 20d6). Add your tier to the maximum HD of creatures that can be affected by the spell. (For example, at 3rd tier, a creature with 12 HD cannot be affected.)</t>
  </si>
  <si>
    <t>Augmented (6th): If you expend two uses of mythic power, creatures that succeed at their saves against this spell take 1d6 points of damage per tier.</t>
  </si>
  <si>
    <t>Clairaudience/Clairvoyance</t>
  </si>
  <si>
    <t>bard 3, sorcerer/wizard 3, witch 3, shaman 3, occultist 3, psychic 3, mesmerist 3, spiritualist 3</t>
  </si>
  <si>
    <t>V, S, F/DF (a small horn or a glass eye)</t>
  </si>
  <si>
    <t>Clairaudience/clairvoyance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Clairaudience/clairvoyance functions only on the plane of existence you are currently occupying.</t>
  </si>
  <si>
    <t>&lt;p&gt;&lt;i&gt;Clairaudience/clairvoyance&lt;/i&gt;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&lt;i&gt;Clairaudience/clairvoyance&lt;/i&gt; functions only on the plane of existence you are currently occupying.&lt;/p&gt;</t>
  </si>
  <si>
    <t>&lt;link rel="stylesheet"href="PF.css"&gt;&lt;div class="heading"&gt;&lt;p class="alignleft"&gt;Clairaudience/Clairvoyance&lt;/p&gt;&lt;div style="clear: both;"&gt;&lt;/div&gt;&lt;/div&gt;&lt;div&gt;&lt;h5&gt;&lt;b&gt;School &lt;/b&gt;divination (scrying); &lt;b&gt;Level &lt;/b&gt;bard 3, sorcerer/wizard 3, witch 3, shaman 3, occultist 3, psychic 3, mesmerist 3, spiritualist 3, alchemist 2, witch 2, inquisitor 2, witch 8, witch 3&lt;/h5&gt;&lt;h5&gt;&lt;b&gt;Casting Time &lt;/b&gt;10 minutes&lt;/h5&gt;&lt;h5&gt;&lt;b&gt;Components &lt;/b&gt;V, S, F/DF (a small horn or a glass eye)&lt;/h5&gt;&lt;h5&gt;&lt;b&gt;Range &lt;/b&gt;long (400 ft. + 40 ft./level)&lt;/h5&gt;&lt;h5&gt;&lt;b&gt;Effect &lt;/b&gt;magical sensor&lt;/h5&gt;&lt;h5&gt;&lt;b&gt;Duration &lt;/b&gt;1 min./level (D)&lt;/h5&gt;&lt;h5&gt;&lt;b&gt;Saving Throw &lt;/b&gt;none; &lt;b&gt;Spell Resistance &lt;/b&gt;no&lt;/h5&gt;&lt;/div&gt;&lt;div&gt;&lt;h4&gt;&lt;p&gt;&lt;i&gt;Clairaudience/clairvoyance&lt;/i&gt;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&lt;i&gt;Clairaudience/clairvoyance&lt;/i&gt; functions only on the plane of existence you are currently occupying.&lt;/p&gt;&lt;/h4&gt;&lt;/div&gt;</t>
  </si>
  <si>
    <t>Hear or see at a distance for 1 min./level.</t>
  </si>
  <si>
    <t>Clenched Fist</t>
  </si>
  <si>
    <t>sorcerer/wizard 8, psychic 8</t>
  </si>
  <si>
    <t>V, S, F/DF (a leather glove)</t>
  </si>
  <si>
    <t>10-ft. hand</t>
  </si>
  <si>
    <t>This spell functions like interposing hand, except that the hand can also push or strike one opponent that you select. The floating hand can move as far as 60 feet and can attack in the same round. Since this hand is directed by you, its ability to notice or attack invisible or concealed creatures is no better than yours. 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 The clenched fist can also interpose itself as interposing hand does, or it can bull rush an opponent as forceful hand does. Its CMB for bull rush checks uses your caster level in place of its base attack bonus, with a +11 bonus for its Strength score and a +1 bonus for being Large.</t>
  </si>
  <si>
    <t>&lt;p&gt;This spell functions like &lt;i&gt;interposing hand&lt;/i&gt;, except that the hand can also push or strike one opponent that you select. The floating hand can move as far as 60 feet and can attack in the same round. Since this hand is directed by you, its ability to notice or attack invisible or concealed creatures is no better than yours.&lt;/p&gt;&lt;p&gt;The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action.&lt;/p&gt;&lt;p&gt;The &lt;i&gt;clenched fist&lt;/i&gt; can also interpose itself as &lt;i&gt;interposing hand&lt;/i&gt; does, or it can bull rush an opponent as &lt;i&gt;forceful hand&lt;/i&gt; does. Its CMB for bull rush checks uses your caster level in place of its base attack bonus, with a +11 bonus for its Strength score and a +1 bonus for being Large.&lt;/p&gt;</t>
  </si>
  <si>
    <t>&lt;link rel="stylesheet"href="PF.css"&gt;&lt;div class="heading"&gt;&lt;p class="alignleft"&gt;Clenched Fist&lt;/p&gt;&lt;div style="clear: both;"&gt;&lt;/div&gt;&lt;/div&gt;&lt;div&gt;&lt;h5&gt;&lt;b&gt;School &lt;/b&gt;evocation [force]; &lt;b&gt;Level &lt;/b&gt;sorcerer/wizard 8, psychic 8&lt;/h5&gt;&lt;h5&gt;&lt;b&gt;Casting Time &lt;/b&gt;1 standard action&lt;/h5&gt;&lt;h5&gt;&lt;b&gt;Components &lt;/b&gt;V, S, F/DF (a leather glove)&lt;/h5&gt;&lt;h5&gt;&lt;b&gt;Range &lt;/b&gt;medium (100 ft. + 10 ft./level)&lt;/h5&gt;&lt;h5&gt;&lt;b&gt;Effect &lt;/b&gt;10-ft. hand&lt;/h5&gt;&lt;h5&gt;&lt;b&gt;Duration &lt;/b&gt;1 round/level (D)&lt;/h5&gt;&lt;h5&gt;&lt;b&gt;Saving Throw &lt;/b&gt;none; &lt;b&gt;Spell Resistance &lt;/b&gt;yes&lt;/h5&gt;&lt;/div&gt;&lt;div&gt;&lt;h4&gt;&lt;p&gt;This spell functions like &lt;i&gt;interposing hand&lt;/i&gt;, except that the hand can also push or strike one opponent that you select. The floating hand can move as far as 60 feet and can attack in the same round. Since this hand is directed by you, its ability to notice or attack invisible or concealed creatures is no better than yours.&lt;/p&gt;&lt;p&gt;The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action.&lt;/p&gt;&lt;p&gt;The &lt;i&gt;clenched fist&lt;/i&gt; can also interpose itself as &lt;i&gt;interposing hand&lt;/i&gt; does, or it can bull rush an opponent as &lt;i&gt;forceful hand&lt;/i&gt; does. Its CMB for bull rush checks uses your caster level in place of its base attack bonus, with a +11 bonus for its Strength score and a +1 bonus for being Large.&lt;/p&gt;&lt;/h4&gt;&lt;/div&gt;</t>
  </si>
  <si>
    <t>Strength (8)</t>
  </si>
  <si>
    <t> Large hand provides cover, pushes, or attacks your foes.</t>
  </si>
  <si>
    <t>Cloak of Chaos</t>
  </si>
  <si>
    <t>cleric/oracle 8</t>
  </si>
  <si>
    <t>V, S, F (a tiny reliquary worth 500 gp)</t>
  </si>
  <si>
    <t>20 ft.</t>
  </si>
  <si>
    <t>one creature/level in a 20-ft.-radius burst centered on you</t>
  </si>
  <si>
    <t>A random pattern of color surrounds the subjects, protecting them from attacks, granting them resistance to spells cast by lawful creatures, and causing lawful creatures that strike the subjects to become confused. This abjuration has four effects. First, each warded creature gains a +4 deflection bonus to AC and a +4 resistance bonus on saves. Unlike protection from law, the benefit of this spell applies against all attacks, not just against attacks by lawful creatures. Second, each warded creature gains spell resistance 25 against lawful spells and spells cast by lawful creatures. Third, the abjuration protects from possession and mental influence, just as protection from law does. Finally, if a lawful creature succeeds on a melee attack against a warded creature, the offending attacker is confused for 1 round (Will save negates, as with the confusion spell, but against the save DC of cloak of chaos).</t>
  </si>
  <si>
    <t>&lt;p&gt;A random pattern of color surrounds the subjects, protecting them from attacks, granting them resistance to spells cast by lawful creatures, and causing lawful creatures that strike the subjects to become confused. This abjuration has four effects.&lt;/p&gt;&lt;p&gt;First, each warded creature gains a +4 deflection bonus to AC and a +4 resistance bonus on saves. Unlike &lt;i&gt;protection from law&lt;/i&gt;, the benefit of this spell applies against all attacks, not just against attacks by lawful creatures.&lt;/p&gt;&lt;p&gt;Second, each warded creature gains spell resistance 25 against lawful spells and spells cast by lawful creatures.&lt;/p&gt;&lt;p&gt;Third, the abjuration protects from possession and mental influence, just as &lt;i&gt;protection from law&lt;/i&gt; does.&lt;/p&gt;&lt;p&gt;Finally, if a lawful creature succeeds on a melee attack against a warded creature, the offending attacker is confused for 1 round (Will save negates, as with the &lt;i&gt;confusion spell&lt;/i&gt;, but against the save DC of &lt;i&gt;cloak of chaos&lt;/i&gt;).&lt;/p&gt;</t>
  </si>
  <si>
    <t>&lt;link rel="stylesheet"href="PF.css"&gt;&lt;div class="heading"&gt;&lt;p class="alignleft"&gt;Cloak of Chaos&lt;/p&gt;&lt;div style="clear: both;"&gt;&lt;/div&gt;&lt;/div&gt;&lt;div&gt;&lt;h5&gt;&lt;b&gt;School &lt;/b&gt;abjuration [chaotic]; &lt;b&gt;Level &lt;/b&gt;cleric/oracle 8&lt;/h5&gt;&lt;h5&gt;&lt;b&gt;Casting Time &lt;/b&gt;1 standard action&lt;/h5&gt;&lt;h5&gt;&lt;b&gt;Components &lt;/b&gt;V, S, F (a tiny reliquary worth 500 gp)&lt;/h5&gt;&lt;h5&gt;&lt;b&gt;Range &lt;/b&gt;20 ft.&lt;/h5&gt;&lt;h5&gt;&lt;b&gt;Targets &lt;/b&gt; one creature/level in a 20-ft.-radius burst centered on you&lt;/h5&gt;&lt;h5&gt;&lt;b&gt;Duration &lt;/b&gt;1 round/level (D)&lt;/h5&gt;&lt;h5&gt;&lt;b&gt;Saving Throw &lt;/b&gt;see text; &lt;b&gt;Spell Resistance &lt;/b&gt;yes (harmless)&lt;/h5&gt;&lt;/div&gt;&lt;div&gt;&lt;h4&gt;&lt;p&gt;A random pattern of color surrounds the subjects, protecting them from attacks, granting them resistance to spells cast by lawful creatures, and causing lawful creatures that strike the subjects to become confused. This abjuration has four effects.&lt;/p&gt;&lt;p&gt;First, each warded creature gains a +4 deflection bonus to AC and a +4 resistance bonus on saves. Unlike &lt;i&gt;protection from law&lt;/i&gt;, the benefit of this spell applies against all attacks, not just against attacks by lawful creatures.&lt;/p&gt;&lt;p&gt;Second, each warded creature gains spell resistance 25 against lawful spells and spells cast by lawful creatures.&lt;/p&gt;&lt;p&gt;Third, the abjuration protects from possession and mental influence, just as &lt;i&gt;protection from law&lt;/i&gt; does.&lt;/p&gt;&lt;p&gt;Finally, if a lawful creature succeeds on a melee attack against a warded creature, the offending attacker is confused for 1 round (Will save negates, as with the &lt;i&gt;confusion spell&lt;/i&gt;, but against the save DC of &lt;i&gt;cloak of chaos&lt;/i&gt;).&lt;/p&gt;&lt;/h4&gt;&lt;/div&gt;</t>
  </si>
  <si>
    <t>Chaos (8)</t>
  </si>
  <si>
    <t> +4 to AC, +4 resistance, and SR 25 against lawful spells.</t>
  </si>
  <si>
    <t>Clone</t>
  </si>
  <si>
    <t>sorcerer/wizard 8, witch 8</t>
  </si>
  <si>
    <t>V, S, M (laboratory supplies worth 1,000 gp), F (special laboratory equipment costing 500 gp)</t>
  </si>
  <si>
    <t>0 ft.</t>
  </si>
  <si>
    <t>one clone</t>
  </si>
  <si>
    <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  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  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  The spell duplicates only the original's body and mind, not its equipment. A duplicate can be grown while the original still lives, or when the original soul is unavailable, but the resulting body is merely a soulless bit of inert flesh which rots if not preserved.</t>
  </si>
  <si>
    <t>&lt;p&gt;This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fails.&lt;/p&gt;&lt;p&gt;To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months.&lt;/p&gt;&lt;p&gt;When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well.&lt;/p&gt;&lt;p&gt;The spell duplicates only the original's body and mind, not its equipment. A duplicate can be grown while the original still lives, or when the original soul is unavailable, but the resulting body is merely a soulless bit of inert flesh which rots if not preserved.&lt;/p&gt;</t>
  </si>
  <si>
    <t>&lt;link rel="stylesheet"href="PF.css"&gt;&lt;div class="heading"&gt;&lt;p class="alignleft"&gt;Clone&lt;/p&gt;&lt;div style="clear: both;"&gt;&lt;/div&gt;&lt;/div&gt;&lt;div&gt;&lt;h5&gt;&lt;b&gt;School &lt;/b&gt;necromancy; &lt;b&gt;Level &lt;/b&gt;sorcerer/wizard 8, witch 8&lt;/h5&gt;&lt;h5&gt;&lt;b&gt;Casting Time &lt;/b&gt;10 minutes&lt;/h5&gt;&lt;h5&gt;&lt;b&gt;Components &lt;/b&gt;V, S, M (laboratory supplies worth 1,000 gp), F (special laboratory equipment costing 500 gp)&lt;/h5&gt;&lt;h5&gt;&lt;b&gt;Range &lt;/b&gt;0 ft.&lt;/h5&gt;&lt;h5&gt;&lt;b&gt;Effect &lt;/b&gt;one clone&lt;/h5&gt;&lt;h5&gt;&lt;b&gt;Duration &lt;/b&gt;instantaneous&lt;/h5&gt;&lt;h5&gt;&lt;b&gt;Saving Throw &lt;/b&gt;none; &lt;b&gt;Spell Resistance &lt;/b&gt;no&lt;/h5&gt;&lt;/div&gt;&lt;div&gt;&lt;h4&gt;&lt;p&gt;This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fails.&lt;/p&gt;&lt;p&gt;To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months.&lt;/p&gt;&lt;p&gt;When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well.&lt;/p&gt;&lt;p&gt;The spell duplicates only the original's body and mind, not its equipment. A duplicate can be grown while the original still lives, or when the original soul is unavailable, but the resulting body is merely a soulless bit of inert flesh which rots if not preserved.&lt;/p&gt;&lt;/h4&gt;&lt;/div&gt;</t>
  </si>
  <si>
    <t> Duplicate awakens when original dies.</t>
  </si>
  <si>
    <t>Cloudkill</t>
  </si>
  <si>
    <t>sorcerer/wizard 5, witch 5, magus 5, spiritualist 5</t>
  </si>
  <si>
    <t>cloud spreads in 20-ft. radius, 20 ft. high</t>
  </si>
  <si>
    <t>Fortitude partial; see text</t>
  </si>
  <si>
    <t>This spell generates a bank of fog, similar to a fog cloud, except that its vapors are yellowish green and poisonous. These vapors automatically kill any living creature with 3 or fewer HD (no save).  A living creature with 4 to 6 HD is slain unless it succeeds on a Fortitude save (in which case it takes 1d4 points of Constitution damage on your turn each round while in the cloud).  A living creature with more than 6 HD takes 1d4 points of Constitution damage on your turn each round while in the cloud (a successful Fortitude save halves this damage). Holding one's breath doesn't help, but creatures immune to poison are unaffected by the spell.  Unlike a fog cloud, the cloudkill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land, even pouring down den or sinkhole openings. It cannot penetrate liquids, nor can it be cast underwater.</t>
  </si>
  <si>
    <t>&lt;p&gt;This spell generates a bank of fog, similar to a &lt;i&gt;fog cloud&lt;/i&gt;, except that its vapors are yellowish green and poisonous. These vapors automatically kill any living creature with 3 or fewer HD (no save).&lt;/p&gt;&lt;p&gt;A living creature with 4 to 6 HD is slain unless it succeeds on a Fortitude save (in which case it takes 1d4 points of Constitution damage on your turn each round while in the cloud).&lt;/p&gt;&lt;p&gt;A living creature with more than 6 HD takes 1d4 points of Constitution damage on your turn each round while in the cloud (a successful Fortitude save halves this damage). Holding one's breath doesn't help, but creatures immune to poison are unaffected by the spell.&lt;/p&gt;&lt;p&gt;Unlike a &lt;i&gt;fog cloud&lt;/i&gt;, the &lt;i&gt;cloudkill&lt;/i&gt;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land, even pouring down den or sinkhole openings. It cannot penetrate liquids, nor can it be cast underwater.&lt;/p&gt;</t>
  </si>
  <si>
    <t>&lt;link rel="stylesheet"href="PF.css"&gt;&lt;div class="heading"&gt;&lt;p class="alignleft"&gt;Cloudkill&lt;/p&gt;&lt;div style="clear: both;"&gt;&lt;/div&gt;&lt;/div&gt;&lt;div&gt;&lt;h5&gt;&lt;b&gt;School &lt;/b&gt;conjuration (creation); &lt;b&gt;Level &lt;/b&gt;sorcerer/wizard 5, witch 5, magus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min./level&lt;/h5&gt;&lt;h5&gt;&lt;b&gt;Saving Throw &lt;/b&gt;Fortitude partial; see text; &lt;b&gt;Spell Resistance &lt;/b&gt;no&lt;/h5&gt;&lt;/div&gt;&lt;hr/&gt;&lt;div&gt;&lt;h5&gt;&lt;b&gt;DESCRIPTION&lt;/b&gt;&lt;/h5&gt;&lt;/div&gt;&lt;hr/&gt;&lt;div&gt;&lt;h4&gt;&lt;p&gt;This spell generates a bank of fog, similar to a &lt;i&gt;fog cloud&lt;/i&gt;, except that its vapors are yellowish green and poisonous. These vapors automatically kill any living creature with 3 or fewer HD (no save).&lt;/p&gt;&lt;p&gt;A living creature with 4 to 6 HD is slain unless it succeeds on a Fortitude save (in which case it takes 1d4 points of Constitution damage on your turn each round while in the cloud).&lt;/p&gt;&lt;p&gt;A living creature with more than 6 HD takes 1d4 points of Constitution damage on your turn each round while in the cloud (a successful Fortitude save halves this damage). Holding one's breath doesn't help, but creatures immune to poison are unaffected by the spell.&lt;/p&gt;&lt;p&gt;Unlike a &lt;i&gt;fog cloud&lt;/i&gt;, the &lt;i&gt;cloudkill&lt;/i&gt;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land, even pouring down den or sinkhole openings. It cannot penetrate liquids, nor can it be cast underwater.&lt;/p&gt;&lt;/h4&gt;&lt;h5&gt;&lt;b&gt;Mythic: &lt;/b&gt;As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damage.)&lt;/h5&gt;&lt;h5&gt;&lt;b&gt;Augmented (6th)&lt;/b&gt;: If you expend two uses of mythic power, the spell bypasses the poison immunity of living creatures.&lt;/h5&gt;&lt;/div&gt;</t>
  </si>
  <si>
    <t>Venom (6)</t>
  </si>
  <si>
    <t> Kills 3 HD or less; 4–6 HD save or die, 6+ HD take Con damage.</t>
  </si>
  <si>
    <t>Orc (11)</t>
  </si>
  <si>
    <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t>
  </si>
  <si>
    <t>Augmented (6th): If you expend two uses of mythic power, the spell bypasses the poison immunity of living creatures.</t>
  </si>
  <si>
    <t>Color Spray</t>
  </si>
  <si>
    <t>pattern</t>
  </si>
  <si>
    <t>sorcerer/wizard 1, magus 1, bloodrager 1, psychic 1, mesmerist 1</t>
  </si>
  <si>
    <t>V, S, M (red, yellow, and blue powder or colored sand)</t>
  </si>
  <si>
    <t>instantaneous; see text</t>
  </si>
  <si>
    <t>A vivid cone of clashing colors springs forth from your hand, causing creatures to become stunned, perhaps also blinded, and possibly knocking them unconscious. Each creature within the cone is affected according to its HD.  2 HD or less: The creature is unconscious, blinded, and stunned for 2d4 rounds, then blinded and stunned for 1d4 rounds, and then stunned for 1 round. (Only living creatures are knocked unconscious.) 3 or 4 HD: The creature is blinded and stunned for 1d4 rounds, then stunned for 1 round.  5 or more HD: The creature is stunned for 1 round.  Sightless creatures are not affected by color spray.</t>
  </si>
  <si>
    <t>&lt;p&gt;A vivid cone of clashing colors springs forth from your hand, causing creatures to become stunned, perhaps also blinded, and possibly knocking them unconscious. Each creature within the cone is affected according to its HD.&lt;/p&gt;&lt;p&gt;2 HD or less: The creature is unconscious, blinded, and stunned for 2d4 rounds, then blinded and stunned for 1d4 rounds, and then stunned for 1 round. (Only living creatures are knocked unconscious.) 3 or 4 HD: The creature is blinded and stunned for 1d4 rounds, then stunned for 1 round.&lt;/p&gt;&lt;p&gt;5 or more HD: The creature is stunned for 1 round.&lt;/p&gt;&lt;p&gt;Sightless creatures are not affected by &lt;i&gt;color spray&lt;/i&gt;.&lt;/p&gt;</t>
  </si>
  <si>
    <t>&lt;link rel="stylesheet"href="PF.css"&gt;&lt;div class="heading"&gt;&lt;p class="alignleft"&gt;Color Spray&lt;/p&gt;&lt;div style="clear: both;"&gt;&lt;/div&gt;&lt;/div&gt;&lt;div&gt;&lt;h5&gt;&lt;b&gt;School &lt;/b&gt;illusion (pattern) [mind-affecting]; &lt;b&gt;Level &lt;/b&gt;sorcerer/wizard 1, magus 1, bloodrager 1, psychic 1, mesmerist 1&lt;/h5&gt;&lt;/div&gt;&lt;hr/&gt;&lt;div&gt;&lt;h5&gt;&lt;b&gt;CASTING&lt;/b&gt;&lt;/h5&gt;&lt;/div&gt;&lt;hr/&gt;&lt;div&gt;&lt;h5&gt;&lt;b&gt;Casting Time &lt;/b&gt;1 standard action&lt;/h5&gt;&lt;h5&gt;&lt;b&gt;Components &lt;/b&gt;V, S, M (red, yellow, and blue powder or colored sand)&lt;/h5&gt;&lt;/div&gt;&lt;hr/&gt;&lt;div&gt;&lt;h5&gt;&lt;b&gt;EFFECT&lt;/b&gt;&lt;/h5&gt;&lt;/div&gt;&lt;hr/&gt;&lt;div&gt;&lt;h5&gt;&lt;b&gt;Range &lt;/b&gt;15 ft.&lt;/h5&gt;&lt;h5&gt;&lt;b&gt;Area &lt;/b&gt;cone-shaped burst&lt;/h5&gt;&lt;h5&gt;&lt;b&gt;Duration &lt;/b&gt;instantaneous; see text&lt;/h5&gt;&lt;h5&gt;&lt;b&gt;Saving Throw &lt;/b&gt;Will negates; &lt;b&gt;Spell Resistance &lt;/b&gt;yes&lt;/h5&gt;&lt;/div&gt;&lt;hr/&gt;&lt;div&gt;&lt;h5&gt;&lt;b&gt;DESCRIPTION&lt;/b&gt;&lt;/h5&gt;&lt;/div&gt;&lt;hr/&gt;&lt;div&gt;&lt;h4&gt;&lt;p&gt;A vivid cone of clashing colors springs forth from your hand, causing creatures to become stunned, perhaps also blinded, and possibly knocking them unconscious. Each creature within the cone is affected according to its HD.&lt;/p&gt;&lt;p&gt;2 HD or less: The creature is unconscious, blinded, and stunned for 2d4 rounds, then blinded and stunned for 1d4 rounds, and then stunned for 1 round. (Only living creatures are knocked unconscious.) 3 or 4 HD: The creature is blinded and stunned for 1d4 rounds, then stunned for 1 round.&lt;/p&gt;&lt;p&gt;5 or more HD: The creature is stunned for 1 round.&lt;/p&gt;&lt;p&gt;Sightless creatures are not affected by &lt;i&gt;color spray&lt;/i&gt;.&lt;/p&gt;&lt;/h4&gt;&lt;h5&gt;&lt;b&gt;Mythic: &lt;/b&gt;The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minute.&lt;/h5&gt;&lt;/div&gt;</t>
  </si>
  <si>
    <t> Knocks unconscious, blinds, and/or stuns weak creatures.</t>
  </si>
  <si>
    <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t>
  </si>
  <si>
    <t>Command</t>
  </si>
  <si>
    <t>language-dependent, mind-affecting</t>
  </si>
  <si>
    <t>antipaladin 1, cleric/oracle 1, inquisitor 1, witch 1, occultist 1, psychic 1, mesmerist 1</t>
  </si>
  <si>
    <t>You give the subject a single command, which it obeys to the best of its ability at its earliest opportunity. You may select from the following options.  Approach: On its turn, the subject moves toward you as quickly and directly as possible for 1 round. The creature may do nothing but move during its turn, and it provokes attacks of opportunity for this movement as normal.  Drop: On its turn, the subject drops whatever it is holding. It can't pick up any dropped item until its next turn.  Fall: On its turn, the subject falls to the ground and remains prone for 1 round. It may act normally while prone but takes any appropriate penalties.  Flee: On its turn, the subject moves away from you as quickly as possible for 1 round. It may do nothing but move during its turn, and it provokes attacks of opportunity for this movement as normal.  Halt: The subject stands in place for 1 round. It may not take any actions but is not considered helpless.  If the subject can't carry out your command on its next turn, the spell automatically fails.</t>
  </si>
  <si>
    <t>&lt;p&gt;You give the subject a single command, which it obeys to the best of its ability at its earliest opportunity. You may select from the following options.&lt;/p&gt;&lt;p&gt;&lt;i&gt;Approach&lt;/i&gt;: On its turn, the subject moves toward you as quickly and directly as possible for 1 round. The creature may do nothing but move during its turn, and it provokes attacks of opportunity for this movement as normal.&lt;/p&gt;&lt;p&gt;&lt;i&gt;Drop&lt;/i&gt;: On its turn, the subject drops whatever it is holding. It can't pick up any dropped item until its next turn.&lt;/p&gt;&lt;p&gt;&lt;i&gt;Fall&lt;/i&gt;: On its turn, the subject falls to the ground and remains prone for 1 round. It may act normally while prone but takes any appropriate penalties.&lt;/p&gt;&lt;p&gt;&lt;i&gt;Flee&lt;/i&gt;: On its turn, the subject moves away from you as quickly as possible for 1 round. It may do nothing but move during its turn, and it provokes attacks of opportunity for this movement as normal.&lt;/p&gt;&lt;p&gt;&lt;i&gt;Halt&lt;/i&gt;: The subject stands in place for 1 round. It may not take any actions but is not considered helpless.&lt;/p&gt;&lt;p&gt;If the subject can't carry out your command on its next turn, the spell automatically fails.&lt;/p&gt;</t>
  </si>
  <si>
    <t>&lt;link rel="stylesheet"href="PF.css"&gt;&lt;div class="heading"&gt;&lt;p class="alignleft"&gt;Command&lt;/p&gt;&lt;div style="clear: both;"&gt;&lt;/div&gt;&lt;/div&gt;&lt;div&gt;&lt;h5&gt;&lt;b&gt;School &lt;/b&gt;enchantment (compulsion) [language-dependent, mind-affecting]; &lt;b&gt;Level &lt;/b&gt;antipaladin 1, cleric/oracle 1, inquisitor 1, witch 1, occultist 1, psychic 1, mesmerist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give the subject a single command, which it obeys to the best of its ability at its earliest opportunity. You may select from the following options.&lt;/p&gt;&lt;p&gt;&lt;i&gt;Approach&lt;/i&gt;: On its turn, the subject moves toward you as quickly and directly as possible for 1 round. The creature may do nothing but move during its turn, and it provokes attacks of opportunity for this movement as normal.&lt;/p&gt;&lt;p&gt;&lt;i&gt;Drop&lt;/i&gt;: On its turn, the subject drops whatever it is holding. It can't pick up any dropped item until its next turn.&lt;/p&gt;&lt;p&gt;&lt;i&gt;Fall&lt;/i&gt;: On its turn, the subject falls to the ground and remains prone for 1 round. It may act normally while prone but takes any appropriate penalties.&lt;/p&gt;&lt;p&gt;&lt;i&gt;Flee&lt;/i&gt;: On its turn, the subject moves away from you as quickly as possible for 1 round. It may do nothing but move during its turn, and it provokes attacks of opportunity for this movement as normal.&lt;/p&gt;&lt;p&gt;&lt;i&gt;Halt&lt;/i&gt;: The subject stands in place for 1 round. It may not take any actions but is not considered helpless.&lt;/p&gt;&lt;p&gt;If the subject can't carry out your command on its next turn, the spell automatically fails.&lt;/p&gt;&lt;/h4&gt;&lt;h5&gt;&lt;b&gt;Mythic: &lt;/b&gt;You can target up to one creature per level, each of which must receive the same command. Creatures that succeed at their saving throws are staggered for 1 round (this is a mind-affecting effect).&lt;/h5&gt;&lt;/div&gt;</t>
  </si>
  <si>
    <t>Devil (1), Toil (1), Tyranny (1)</t>
  </si>
  <si>
    <t>One subject obeys a command for 1 round.</t>
  </si>
  <si>
    <t>Portents (2)</t>
  </si>
  <si>
    <t>You can target up to one creature per level, each of which must receive the same command. Creatures that succeed at their saving throws are staggered for 1 round (this is a mind-affecting effect).</t>
  </si>
  <si>
    <t>Command, Greater</t>
  </si>
  <si>
    <t>cleric/oracle 5, inquisitor 5, occultist 5, psychic 5, mesmerist 4</t>
  </si>
  <si>
    <t>This spell functions like command, except that up to one creature per level may be affected, and the activities continue beyond 1 round. At the start of each commanded creature's action after the first, it gets another Will save to attempt to break free from the spell. Each creature must receive the same command.</t>
  </si>
  <si>
    <t>&lt;p&gt;This spell functions like &lt;i&gt;command&lt;/i&gt;, except that up to one creature per level may be affected, and the activities continue beyond 1 round. At the start of each commanded creature's action after the first, it gets another Will save to attempt to break free from the spell. Each creature must receive the same command.&lt;/p&gt;</t>
  </si>
  <si>
    <t>&lt;link rel="stylesheet"href="PF.css"&gt;&lt;div class="heading"&gt;&lt;p class="alignleft"&gt;Command, Greater&lt;/p&gt;&lt;div style="clear: both;"&gt;&lt;/div&gt;&lt;/div&gt;&lt;div&gt;&lt;h5&gt;&lt;b&gt;School &lt;/b&gt;enchantment (compulsion) [language-dependent, mind-affecting]; &lt;b&gt;Level &lt;/b&gt;cleric/oracle 5, inquisitor 5, occultist 5, psychic 5, mesmerist 4&lt;/h5&gt;&lt;h5&gt;&lt;b&gt;Casting Time &lt;/b&gt;1 standard action&lt;/h5&gt;&lt;h5&gt;&lt;b&gt;Components &lt;/b&gt;V&lt;/h5&gt;&lt;h5&gt;&lt;b&gt;Range &lt;/b&gt;close (25 ft. + 5 ft./2 levels)&lt;/h5&gt;&lt;h5&gt;&lt;b&gt;Targets &lt;/b&gt; one creature/level, no two of which can be more than 30 ft. apart&lt;/h5&gt;&lt;h5&gt;&lt;b&gt;Duration &lt;/b&gt;1 round/level&lt;/h5&gt;&lt;h5&gt;&lt;b&gt;Saving Throw &lt;/b&gt;Will negates; &lt;b&gt;Spell Resistance &lt;/b&gt;yes&lt;/h5&gt;&lt;/div&gt;&lt;div&gt;&lt;h4&gt;&lt;p&gt;This spell functions like &lt;i&gt;command&lt;/i&gt;, except that up to one creature per level may be affected, and the activities continue beyond 1 round. At the start of each commanded creature's action after the first, it gets another Will save to attempt to break free from the spell. Each creature must receive the same command.&lt;/p&gt;&lt;/h4&gt;&lt;/div&gt;</t>
  </si>
  <si>
    <t>Inevitable (5), Nobility (5), Tactics (5), Loyalty (5)</t>
  </si>
  <si>
    <t> As command, but affects one subject/level.</t>
  </si>
  <si>
    <t>Imperious (11)</t>
  </si>
  <si>
    <t>Command Plants</t>
  </si>
  <si>
    <t>druid 4, ranger 3, shaman 4</t>
  </si>
  <si>
    <t>up to 2 HD/level of plant creatures, no two of which can be more than 30 ft. apart</t>
  </si>
  <si>
    <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  You can affect a number of plant creatures whose combined level or HD do not exceed twice your level.</t>
  </si>
  <si>
    <t>&lt;p&gt;This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doing.&lt;/p&gt;&lt;p&gt;You can affect a number of plant creatures whose combined level or HD do not exceed twice your level.&lt;/p&gt;</t>
  </si>
  <si>
    <t>&lt;link rel="stylesheet"href="PF.css"&gt;&lt;div class="heading"&gt;&lt;p class="alignleft"&gt;Command Plants&lt;/p&gt;&lt;div style="clear: both;"&gt;&lt;/div&gt;&lt;/div&gt;&lt;div&gt;&lt;h5&gt;&lt;b&gt;School &lt;/b&gt;transmutation; &lt;b&gt;Level &lt;/b&gt;druid 4, ranger 3, shaman 4&lt;/h5&gt;&lt;h5&gt;&lt;b&gt;Casting Time &lt;/b&gt;1 standard action&lt;/h5&gt;&lt;h5&gt;&lt;b&gt;Components &lt;/b&gt;V&lt;/h5&gt;&lt;h5&gt;&lt;b&gt;Range &lt;/b&gt;close (25 ft. + 5 ft./2 levels)&lt;/h5&gt;&lt;h5&gt;&lt;b&gt;Targets &lt;/b&gt; up to 2 HD/level of plant creatures, no two of which can be more than 30 ft. apart&lt;/h5&gt;&lt;h5&gt;&lt;b&gt;Duration &lt;/b&gt;1 day/level&lt;/h5&gt;&lt;h5&gt;&lt;b&gt;Saving Throw &lt;/b&gt;Will negates; &lt;b&gt;Spell Resistance &lt;/b&gt;yes&lt;/h5&gt;&lt;/div&gt;&lt;div&gt;&lt;h4&gt;&lt;p&gt;This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doing.&lt;/p&gt;&lt;p&gt;You can affect a number of plant creatures whose combined level or HD do not exceed twice your level.&lt;/p&gt;&lt;/h4&gt;&lt;/div&gt;</t>
  </si>
  <si>
    <t>Plant (4)</t>
  </si>
  <si>
    <t>Sways the actions of plant creatures.</t>
  </si>
  <si>
    <t>Verdant (9)</t>
  </si>
  <si>
    <t>Command Undead</t>
  </si>
  <si>
    <t>sorcerer/wizard 2</t>
  </si>
  <si>
    <t>V, S, M (a shred of raw meat and a splinter of bone)</t>
  </si>
  <si>
    <t>one undead creature</t>
  </si>
  <si>
    <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  A nonintelligent undead creature gets no saving throw against this spell. When you control a mindless being, you can communicate only basic commands, such as "come here," "go there," "fight," "stand still," and so on. Nonintelligent undead won't resist suicidal or obviously harmful orders.  Any act by you or your apparent allies that threatens the commanded undead (regardless of its Intelligence) breaks the spell.  Your commands are not telepathic. The undead creature must be able to hear you.</t>
  </si>
  <si>
    <t>&lt;p&gt;This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doing.&lt;/p&gt;&lt;p&gt;A nonintelligent undead creature gets no saving throw against this spell. When you control a mindless being, you can communicate only basic commands, such as "come here," "go there," "fight," "stand still," and so on. Nonintelligent undead won't resist suicidal or obviously harmful orders.&lt;/p&gt;&lt;p&gt;Any act by you or your apparent allies that threatens the commanded undead (regardless of its Intelligence) breaks the spell.&lt;/p&gt;&lt;p&gt;Your commands are not telepathic. The undead creature must be able to hear you.&lt;/p&gt;</t>
  </si>
  <si>
    <t>&lt;link rel="stylesheet"href="PF.css"&gt;&lt;div class="heading"&gt;&lt;p class="alignleft"&gt;Command Undead&lt;/p&gt;&lt;div style="clear: both;"&gt;&lt;/div&gt;&lt;/div&gt;&lt;div&gt;&lt;h5&gt;&lt;b&gt;School &lt;/b&gt;necromancy; &lt;b&gt;Level &lt;/b&gt;sorcerer/wizard 2&lt;/h5&gt;&lt;h5&gt;&lt;b&gt;Casting Time &lt;/b&gt;1 standard action&lt;/h5&gt;&lt;h5&gt;&lt;b&gt;Components &lt;/b&gt;V, S, M (a shred of raw meat and a splinter of bone)&lt;/h5&gt;&lt;h5&gt;&lt;b&gt;Range &lt;/b&gt;close (25 ft. + 5 ft./2 levels)&lt;/h5&gt;&lt;h5&gt;&lt;b&gt;Targets &lt;/b&gt; one undead creature&lt;/h5&gt;&lt;h5&gt;&lt;b&gt;Duration &lt;/b&gt;1 day/level&lt;/h5&gt;&lt;h5&gt;&lt;b&gt;Saving Throw &lt;/b&gt;Will negates; see text; &lt;b&gt;Spell Resistance &lt;/b&gt;yes&lt;/h5&gt;&lt;/div&gt;&lt;div&gt;&lt;h4&gt;&lt;p&gt;This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doing.&lt;/p&gt;&lt;p&gt;A nonintelligent undead creature gets no saving throw against this spell. When you control a mindless being, you can communicate only basic commands, such as "come here," "go there," "fight," "stand still," and so on. Nonintelligent undead won't resist suicidal or obviously harmful orders.&lt;/p&gt;&lt;p&gt;Any act by you or your apparent allies that threatens the commanded undead (regardless of its Intelligence) breaks the spell.&lt;/p&gt;&lt;p&gt;Your commands are not telepathic. The undead creature must be able to hear you.&lt;/p&gt;&lt;/h4&gt;&lt;/div&gt;</t>
  </si>
  <si>
    <t>Inevitable (3)</t>
  </si>
  <si>
    <t> Undead creature obeys your commands.</t>
  </si>
  <si>
    <t>Occult (4), Plague (4)</t>
  </si>
  <si>
    <t>Commune</t>
  </si>
  <si>
    <t>cleric/oracle 5, inquisitor 5, shaman 5, occultist 5</t>
  </si>
  <si>
    <t>V, S, M (holy or unholy water and incense worth 500 gp), DF</t>
  </si>
  <si>
    <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  The spell, at best, provides information to aid character decisions. The entities contacted structure their answers to further their own purposes. If you lag, discuss the answers, or go off to do anything else, the spell ends.</t>
  </si>
  <si>
    <t>&lt;p&gt;You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instead.&lt;/p&gt;&lt;p&gt;The spell, at best, provides information to aid character decisions. The entities contacted structure their answers to further their own purposes. If you lag, discuss the answers, or go off to do anything else, the spell ends.&lt;/p&gt;</t>
  </si>
  <si>
    <t>&lt;link rel="stylesheet"href="PF.css"&gt;&lt;div class="heading"&gt;&lt;p class="alignleft"&gt;Commune&lt;/p&gt;&lt;div style="clear: both;"&gt;&lt;/div&gt;&lt;/div&gt;&lt;div&gt;&lt;h5&gt;&lt;b&gt;School &lt;/b&gt;divination; &lt;b&gt;Level &lt;/b&gt;cleric/oracle 5, inquisitor 5, shaman 5, occultist 5&lt;/h5&gt;&lt;h5&gt;&lt;b&gt;Casting Time &lt;/b&gt;10 minutes&lt;/h5&gt;&lt;h5&gt;&lt;b&gt;Components &lt;/b&gt;V, S, M (holy or unholy water and incense worth 500 gp), DF&lt;/h5&gt;&lt;h5&gt;&lt;b&gt;Range &lt;/b&gt;personal&lt;/h5&gt;&lt;h5&gt;&lt;b&gt;Targets &lt;/b&gt; you&lt;/h5&gt;&lt;h5&gt;&lt;b&gt;Duration &lt;/b&gt;1 round/level&lt;/h5&gt;&lt;/div&gt;&lt;div&gt;&lt;h4&gt;&lt;p&gt;You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instead.&lt;/p&gt;&lt;p&gt;The spell, at best, provides information to aid character decisions. The entities contacted structure their answers to further their own purposes. If you lag, discuss the answers, or go off to do anything else, the spell ends.&lt;/p&gt;&lt;/h4&gt;&lt;/div&gt;</t>
  </si>
  <si>
    <t> Deity answers one yes-or-no question/level.</t>
  </si>
  <si>
    <t>Ancestors (10)</t>
  </si>
  <si>
    <t>Commune with Nature</t>
  </si>
  <si>
    <t>druid 5, ranger 4, shaman 5, psychic 5</t>
  </si>
  <si>
    <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  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t>
  </si>
  <si>
    <t>&lt;p&gt;You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setting.&lt;/p&gt;&lt;p&gt;In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towns.&lt;/p&gt;</t>
  </si>
  <si>
    <t>&lt;link rel="stylesheet"href="PF.css"&gt;&lt;div class="heading"&gt;&lt;p class="alignleft"&gt;Commune with Nature&lt;/p&gt;&lt;div style="clear: both;"&gt;&lt;/div&gt;&lt;/div&gt;&lt;div&gt;&lt;h5&gt;&lt;b&gt;School &lt;/b&gt;divination; &lt;b&gt;Level &lt;/b&gt;druid 5, ranger 4, shaman 5, psychic 5&lt;/h5&gt;&lt;h5&gt;&lt;b&gt;Casting Time &lt;/b&gt;10 minutes&lt;/h5&gt;&lt;h5&gt;&lt;b&gt;Components &lt;/b&gt;V, S&lt;/h5&gt;&lt;h5&gt;&lt;b&gt;Range &lt;/b&gt;personal&lt;/h5&gt;&lt;h5&gt;&lt;b&gt;Targets &lt;/b&gt; you&lt;/h5&gt;&lt;h5&gt;&lt;b&gt;Duration &lt;/b&gt;instantaneous&lt;/h5&gt;&lt;/div&gt;&lt;div&gt;&lt;h4&gt;&lt;p&gt;You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setting.&lt;/p&gt;&lt;p&gt;In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towns.&lt;/p&gt;&lt;/h4&gt;&lt;/div&gt;</t>
  </si>
  <si>
    <t>Ruins (5)</t>
  </si>
  <si>
    <t>Learn about terrain for 1 mile/level.</t>
  </si>
  <si>
    <t>Comprehend Languages</t>
  </si>
  <si>
    <t>bard 1, cleric/oracle 1, sorcerer/wizard 1, witch 1, inquisitor 1, alchemist 1, shaman 1, occultist 1, psychic 1, mesmerist 1, spiritualist 1</t>
  </si>
  <si>
    <t>V, S, M/DF (pinch of soot and salt)</t>
  </si>
  <si>
    <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 Written material can be read at the rate of one page (250 words) per minute. Magical writing cannot be read, though the spell reveals that it is magical. This spell can be foiled by certain warding magic (such as the secret page and illusory script spells). It does not decipher codes or reveal messages concealed in otherwise normal text. Comprehend languages can be made permanent with a permanency spell.</t>
  </si>
  <si>
    <t>&lt;p&gt;You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it.&lt;/p&gt;&lt;p&gt;Written material can be read at the rate of one page (250 words) per minute. Magical writing cannot be read, though the spell reveals that it is magical. This spell can be foiled by certain warding magic (such as the &lt;i&gt;secret page&lt;/i&gt; and &lt;i&gt;illusory script&lt;/i&gt; spells). It does not decipher codes or reveal messages concealed in otherwise normal text.&lt;/p&gt;&lt;p&gt;&lt;i&gt;Comprehend languages&lt;/i&gt; can be made permanent with a &lt;i&gt;permanency&lt;/i&gt; spell.&lt;/p&gt;</t>
  </si>
  <si>
    <t>&lt;link rel="stylesheet"href="PF.css"&gt;&lt;div class="heading"&gt;&lt;p class="alignleft"&gt;Comprehend Languages&lt;/p&gt;&lt;div style="clear: both;"&gt;&lt;/div&gt;&lt;/div&gt;&lt;div&gt;&lt;h5&gt;&lt;b&gt;School &lt;/b&gt;divination; &lt;b&gt;Level &lt;/b&gt;bard 1, cleric/oracle 1, sorcerer/wizard 1, alchemist 1, witch 1, inquisitor 1&lt;/h5&gt;&lt;h5&gt;&lt;b&gt;Casting Time &lt;/b&gt;1 standard action&lt;/h5&gt;&lt;h5&gt;&lt;b&gt;Components &lt;/b&gt;V, S, M/DF (pinch of soot and salt)&lt;/h5&gt;&lt;h5&gt;&lt;b&gt;Range &lt;/b&gt;personal&lt;/h5&gt;&lt;h5&gt;&lt;b&gt;Targets &lt;/b&gt; you&lt;/h5&gt;&lt;h5&gt;&lt;b&gt;Duration &lt;/b&gt;10 min./level&lt;/h5&gt;&lt;/div&gt;&lt;div&gt;&lt;h4&gt;&lt;p&gt;You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it.&lt;/p&gt;&lt;p&gt;Written material can be read at the rate of one page (250 words) per minute. Magical writing cannot be read, though the spell reveals that it is magical. This spell can be foiled by certain warding magic (such as the &lt;i&gt;secret page&lt;/i&gt; and &lt;i&gt;illusory script&lt;/i&gt; spells). It does not decipher codes or reveal messages concealed in otherwise normal text.&lt;/p&gt;&lt;p&gt;&lt;i&gt;Comprehend languages&lt;/i&gt; can be made permanent with a &lt;i&gt;permanency&lt;/i&gt; spell.&lt;/p&gt;&lt;/h4&gt;&lt;/div&gt;</t>
  </si>
  <si>
    <t>Knowledge (1), Language (1)</t>
  </si>
  <si>
    <t>You understand all languages.</t>
  </si>
  <si>
    <t>Cone of Cold</t>
  </si>
  <si>
    <t>sorcerer/wizard 5, witch 6, magus 5, shaman 6, occultist 5</t>
  </si>
  <si>
    <t>V, S, M (a small crystal or glass cone)</t>
  </si>
  <si>
    <t>60 ft.</t>
  </si>
  <si>
    <t>Cone of cold creates an area of extreme cold, originating at your hand and extending outward in a cone. It drains heat, dealing 1d6 points of cold damage per caster level (maximum 15d6).</t>
  </si>
  <si>
    <t>&lt;p&gt;&lt;i&gt;Cone of cold&lt;/i&gt; creates an area of extreme cold, originating at your hand and extending outward in a cone. It drains heat, dealing 1d6 points of cold damage per caster level (maximum 15d6).&lt;/p&gt;</t>
  </si>
  <si>
    <t>&lt;link rel="stylesheet"href="PF.css"&gt;&lt;div class="heading"&gt;&lt;p class="alignleft"&gt;Cone of Cold&lt;/p&gt;&lt;div style="clear: both;"&gt;&lt;/div&gt;&lt;/div&gt;&lt;div&gt;&lt;h5&gt;&lt;b&gt;School &lt;/b&gt;evocation [cold]; &lt;b&gt;Level &lt;/b&gt;sorcerer/wizard 5, witch 6, magus 5, shaman 6, occultist 5&lt;/h5&gt;&lt;h5&gt;&lt;b&gt;Casting Time &lt;/b&gt;1 standard action&lt;/h5&gt;&lt;h5&gt;&lt;b&gt;Components &lt;/b&gt;V, S, M (a small crystal or glass cone)&lt;/h5&gt;&lt;h5&gt;&lt;b&gt;Range &lt;/b&gt;60 ft.&lt;/h5&gt;&lt;h5&gt;&lt;b&gt;Area &lt;/b&gt;cone-shaped burst&lt;/h5&gt;&lt;h5&gt;&lt;b&gt;Duration &lt;/b&gt;instantaneous&lt;/h5&gt;&lt;h5&gt;&lt;b&gt;Saving Throw &lt;/b&gt;Reflex half; &lt;b&gt;Spell Resistance &lt;/b&gt;yes&lt;/h5&gt;&lt;/div&gt;&lt;div&gt;&lt;h4&gt;&lt;p&gt;&lt;i&gt;Cone of cold&lt;/i&gt; creates an area of extreme cold, originating at your hand and extending outward in a cone. It drains heat, dealing 1d6 points of cold damage per caster level (maximum 15d6).&lt;/p&gt;&lt;/h4&gt;&lt;/div&gt;</t>
  </si>
  <si>
    <t>Water (6)</t>
  </si>
  <si>
    <t> 1d6/level cold damage.</t>
  </si>
  <si>
    <t>Boreal (11), Oni (11)</t>
  </si>
  <si>
    <t>Winter (10)</t>
  </si>
  <si>
    <t>Confusion</t>
  </si>
  <si>
    <t>bard 3, sorcerer/wizard 4, witch 4, bloodrager 4, occultist 4, psychic 4, mesmerist 3, spiritualist 4</t>
  </si>
  <si>
    <t>V, S, M/DF (three nutshells)</t>
  </si>
  <si>
    <t>all creatures in a 15-ft.-radius burst</t>
  </si>
  <si>
    <t>This spell causes confusion in the targets, making them unable to determine their actions. Roll on the following table at the start of each subject's turn each round to see what it does in that round. d% Behavior 01-25 Act normally 26-50 Do nothing but babble incoherently 51-75 Deal 1d8 points of damage + Str modifier to self with item in hand 76-100 Attack nearest creature (for this purpose, a familiar counts as part of the subject's self)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t>
  </si>
  <si>
    <t>&lt;p&gt;This spell causes confusion in the targets, making them unable to determine their actions. Roll on the following table at the start of each subject's turn each round to see what it does in that round.&lt;/p&gt;&lt;p&gt;&lt;table&gt;&lt;tr&gt;&lt;th&gt;d%&lt;/th&gt;&lt;th&gt;Behavior&lt;/th&gt;&lt;/tr&gt; &lt;tr&gt;&lt;td&gt;01-25&lt;/td&gt;&lt;td&gt;Act normally&lt;/td&gt;&lt;/tr&gt; &lt;tr&gt;&lt;td&gt;26-50&lt;/td&gt;&lt;td&gt;Do nothing but babble incoherently&lt;/td&gt;&lt;/tr&gt; &lt;tr&gt;&lt;td&gt;51-75&lt;/td&gt;&lt;td&gt;Deal 1d8 points of damage + Str modifier to self with item in hand&lt;/td&gt;&lt;/tr&gt; &lt;tr&gt;&lt;td&gt;76-100&lt;/td&gt;&lt;td&gt;Attack nearest creature (for this purpose, a familiar counts as part of the subject's self)&lt;/td&gt;&lt;/tr&gt;&lt;/table&gt;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attacked).&lt;/p&gt;</t>
  </si>
  <si>
    <t>&lt;link rel="stylesheet"href="PF.css"&gt;&lt;div class="heading"&gt;&lt;p class="alignleft"&gt;Confusion&lt;/p&gt;&lt;div style="clear: both;"&gt;&lt;/div&gt;&lt;/div&gt;&lt;div&gt;&lt;h5&gt;&lt;b&gt;School &lt;/b&gt;enchantment (compulsion) [mind-affecting]; &lt;b&gt;Level &lt;/b&gt;bard 3, sorcerer/wizard 4, witch 4, bloodrager 4, occultist 4, psychic 4, mesmerist 3, spiritualist 4&lt;/h5&gt;&lt;h5&gt;&lt;b&gt;Casting Time &lt;/b&gt;1 standard action&lt;/h5&gt;&lt;h5&gt;&lt;b&gt;Components &lt;/b&gt;V, S, M/DF (three nutshells)&lt;/h5&gt;&lt;h5&gt;&lt;b&gt;Range &lt;/b&gt;medium (100 ft. + 10 ft./level)&lt;/h5&gt;&lt;h5&gt;&lt;b&gt;Targets &lt;/b&gt; all creatures in a 15-ft.-radius burst&lt;/h5&gt;&lt;h5&gt;&lt;b&gt;Duration &lt;/b&gt;1 round/level&lt;/h5&gt;&lt;h5&gt;&lt;b&gt;Saving Throw &lt;/b&gt;Will negates; &lt;b&gt;Spell Resistance &lt;/b&gt;yes&lt;/h5&gt;&lt;/div&gt;&lt;div&gt;&lt;h4&gt;&lt;p&gt;This spell causes confusion in the targets, making them unable to determine their actions. Roll on the following table at the start of each subject's turn each round to see what it does in that round.&lt;/p&gt;&lt;p&gt;&lt;table&gt;&lt;tr&gt;&lt;th&gt;d%&lt;/th&gt;&lt;th&gt;Behavior&lt;/th&gt;&lt;/tr&gt; &lt;tr&gt;&lt;td&gt;01-25&lt;/td&gt;&lt;td&gt;Act normally&lt;/td&gt;&lt;/tr&gt; &lt;tr&gt;&lt;td&gt;26-50&lt;/td&gt;&lt;td&gt;Do nothing but babble incoherently&lt;/td&gt;&lt;/tr&gt; &lt;tr&gt;&lt;td&gt;51-75&lt;/td&gt;&lt;td&gt;Deal 1d8 points of damage + Str modifier to self with item in hand&lt;/td&gt;&lt;/tr&gt; &lt;tr&gt;&lt;td&gt;76-100&lt;/td&gt;&lt;td&gt;Attack nearest creature (for this purpose, a familiar counts as part of the subject's self)&lt;/td&gt;&lt;/tr&gt;&lt;/table&gt;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attacked).&lt;/p&gt;&lt;/h4&gt;&lt;/div&gt;</t>
  </si>
  <si>
    <t>Lust (4), Madness (4), Trickery (4), Entropy (5), Riot (4), Whimsy (4)</t>
  </si>
  <si>
    <t>Subjects behave oddly for 1 round/level.</t>
  </si>
  <si>
    <t>Impossible (9), Protean (9)</t>
  </si>
  <si>
    <t>Deception (8), Insanity (8)</t>
  </si>
  <si>
    <t>Confusion, Lesser</t>
  </si>
  <si>
    <t>bard 1, psychic 1, mesmerist 1</t>
  </si>
  <si>
    <t>This spell causes a single creature to become confused for 1 round.</t>
  </si>
  <si>
    <t>&lt;p&gt;This spell causes a single creature to become confused for 1 round.&lt;/p&gt;</t>
  </si>
  <si>
    <t>&lt;link rel="stylesheet"href="PF.css"&gt;&lt;div class="heading"&gt;&lt;p class="alignleft"&gt;Confusion, Lesser&lt;/p&gt;&lt;div style="clear: both;"&gt;&lt;/div&gt;&lt;/div&gt;&lt;div&gt;&lt;h5&gt;&lt;b&gt;School &lt;/b&gt;enchantment (compulsion) [mind-affecting]; &lt;b&gt;Level &lt;/b&gt;bard 1, psychic 1, mesmerist 1&lt;/h5&gt;&lt;h5&gt;&lt;b&gt;Casting Time &lt;/b&gt;1 standard action&lt;/h5&gt;&lt;h5&gt;&lt;b&gt;Components &lt;/b&gt;V, S, DF&lt;/h5&gt;&lt;h5&gt;&lt;b&gt;Range &lt;/b&gt;close (25 ft. + 5 ft./2 levels)&lt;/h5&gt;&lt;h5&gt;&lt;b&gt;Targets &lt;/b&gt; one living creature&lt;/h5&gt;&lt;h5&gt;&lt;b&gt;Duration &lt;/b&gt;1 round&lt;/h5&gt;&lt;h5&gt;&lt;b&gt;Saving Throw &lt;/b&gt;Will negates; &lt;b&gt;Spell Resistance &lt;/b&gt;yes&lt;/h5&gt;&lt;/div&gt;&lt;div&gt;&lt;h4&gt;&lt;p&gt;This spell causes a single creature to become confused for 1 round.&lt;/p&gt;&lt;/h4&gt;&lt;/div&gt;</t>
  </si>
  <si>
    <t>Madness (1), Protean (1)</t>
  </si>
  <si>
    <t> One creature is confused for 1 round.</t>
  </si>
  <si>
    <t>Impossible (3)</t>
  </si>
  <si>
    <t>Consecrate</t>
  </si>
  <si>
    <t>V, S, M (a vial of holy water and 25 gp worth of silver dust), DF</t>
  </si>
  <si>
    <t>20-ft.-radius emanation</t>
  </si>
  <si>
    <t>This spell blesses an area with positive energy. The DC to resist positive channeled energy within this area gains a +3 sacred bonus. Every undead creature entering a consecrated area suffers minor disruption, suffering a -1 penalty on attack rolls, damage rolls, and saves. Undead cannot be created within or summoned into a consecrated area. If the consecrated area contains an altar, shrine, or other permanent fixture dedicated to your deity, pantheon, or aligned higher power, the modifiers given above are doubled (+6 sacred bonus to positive channeled energy DCs, -2 penalties for undead in the area).  You cannot consecrate an area with a similar fixture of a deity other than your own patron. Instead, the consecrate spell curses the area, cutting off its connection with the associated deity or power.  This secondary function, if used, does not also grant the bonuses and penalties relating to undead, as given above.  Consecrate counters and dispels desecrate.</t>
  </si>
  <si>
    <t>&lt;p&gt;This spell blesses an area with positive energy. The DC to resist positive channeled energy within this area gains a +3 sacred bonus. Every undead creature entering a &lt;i&gt;consecrate&lt;/i&gt;d area suffers minor disruption, suffering a -1 penalty on attack rolls, damage rolls, and saves. Undead cannot be created within or summoned into a &lt;i&gt;consecrate&lt;/i&gt;d area. If the &lt;i&gt;consecrate&lt;/i&gt;d area contains an altar, shrine, or other permanent fixture dedicated to your deity, pantheon, or aligned higher power, the modifiers given above are doubled (+6 sacred bonus to positive channeled energy DCs, -2 penalties for undead in the area).&lt;/p&gt;&lt;p&gt;You cannot &lt;i&gt;consecrate&lt;/i&gt; an area with a similar fixture of a deity other than your own patron. Instead, the &lt;i&gt;consecrate&lt;/i&gt; spell curses the area, cutting off its connection with the associated deity or power.&lt;/p&gt;&lt;p&gt;This secondary function, if used, does not also grant the bonuses and penalties relating to undead, as given above.&lt;/p&gt;&lt;p&gt;&lt;i&gt;Consecrate&lt;/i&gt; counters and dispels &lt;i&gt;desecrate&lt;/i&gt;.&lt;/p&gt;</t>
  </si>
  <si>
    <t>&lt;link rel="stylesheet"href="PF.css"&gt;&lt;div class="heading"&gt;&lt;p class="alignleft"&gt;Consecrate&lt;/p&gt;&lt;div style="clear: both;"&gt;&lt;/div&gt;&lt;/div&gt;&lt;div&gt;&lt;h5&gt;&lt;b&gt;School &lt;/b&gt;evocation [good]; &lt;b&gt;Level &lt;/b&gt;cleric/oracle 2, inquisitor 2&lt;/h5&gt;&lt;/div&gt;&lt;hr/&gt;&lt;div&gt;&lt;h5&gt;&lt;b&gt;CASTING&lt;/b&gt;&lt;/h5&gt;&lt;/div&gt;&lt;hr/&gt;&lt;div&gt;&lt;h5&gt;&lt;b&gt;Casting Time &lt;/b&gt;1 standard action&lt;/h5&gt;&lt;h5&gt;&lt;b&gt;Components &lt;/b&gt;V, S, M (a vial of holy water and 25 gp worth of silver dust), DF&lt;/h5&gt;&lt;/div&gt;&lt;hr/&gt;&lt;div&gt;&lt;h5&gt;&lt;b&gt;EFFECT&lt;/b&gt;&lt;/h5&gt;&lt;/div&gt;&lt;hr/&gt;&lt;div&gt;&lt;h5&gt;&lt;b&gt;Range &lt;/b&gt;close (25 ft. + 5 ft./2 levels)&lt;/h5&gt;&lt;h5&gt;&lt;b&gt;Area &lt;/b&gt;20-ft.-radius emanation&lt;/h5&gt;&lt;h5&gt;&lt;b&gt;Duration &lt;/b&gt;2 hours/level&lt;/h5&gt;&lt;h5&gt;&lt;b&gt;Saving Throw &lt;/b&gt;none; &lt;b&gt;Spell Resistance &lt;/b&gt;no&lt;/h5&gt;&lt;/div&gt;&lt;hr/&gt;&lt;div&gt;&lt;h5&gt;&lt;b&gt;DESCRIPTION&lt;/b&gt;&lt;/h5&gt;&lt;/div&gt;&lt;hr/&gt;&lt;div&gt;&lt;h4&gt;&lt;p&gt;This spell blesses an area with positive energy. The DC to resist positive channeled energy within this area gains a +3 sacred bonus. Every undead creature entering a &lt;i&gt;consecrate&lt;/i&gt;d area suffers minor disruption, suffering a -1 penalty on attack rolls, damage rolls, and saves. Undead cannot be created within or summoned into a &lt;i&gt;consecrate&lt;/i&gt;d area. If the &lt;i&gt;consecrate&lt;/i&gt;d area contains an altar, shrine, or other permanent fixture dedicated to your deity, pantheon, or aligned higher power, the modifiers given above are doubled (+6 sacred bonus to positive channeled energy DCs, -2 penalties for undead in the area).&lt;/p&gt;&lt;p&gt;You cannot &lt;i&gt;consecrate&lt;/i&gt; an area with a similar fixture of a deity other than your own patron. Instead, the &lt;i&gt;consecrate&lt;/i&gt; spell curses the area, cutting off its connection with the associated deity or power.&lt;/p&gt;&lt;p&gt;This secondary function, if used, does not also grant the bonuses and penalties relating to undead, as given above.&lt;/p&gt;&lt;p&gt;&lt;i&gt;Consecrate&lt;/i&gt; counters and dispels &lt;i&gt;desecrate&lt;/i&gt;.&lt;/p&gt;&lt;/h4&gt;&lt;h5&gt;&lt;b&gt;Mythic: &lt;/b&gt;The black pudding has fast healing equal to your tier, as do any puddings that split off from it. The black puddings from this spell never attack you, though they're otherwise uncontrolled and might attack your allies if there are no other obvious opponents.&lt;/h5&gt;&lt;h5&gt;&lt;b&gt;Augmented (6th)&lt;/b&gt;: If you expend two uses of mythic power, the pudding gains the savage mythic template (see page 224). Puddings that split off from the giant pudding don't gain the template.&lt;/h5&gt;&lt;/div&gt;</t>
  </si>
  <si>
    <t> Fills area with positive energy, weakening undead.</t>
  </si>
  <si>
    <t>The black pudding has fast healing equal to your tier, as do any puddings that split off from it. The black puddings from this spell never attack you, though they're otherwise uncontrolled and might attack your allies if there are no other obvious opponents.</t>
  </si>
  <si>
    <t>Augmented (6th): If you expend two uses of mythic power, the pudding gains the savage mythic template (see page 224). Puddings that split off from the giant pudding don't gain the template.</t>
  </si>
  <si>
    <t>Contact Other Plane</t>
  </si>
  <si>
    <t>sorcerer/wizard 5, witch 5, summoner 4, alchemist 5, occultist 4, psychic 5, spiritualist 5</t>
  </si>
  <si>
    <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 You must concentrate on maintaining the spell (a standard action) in order to ask questions at the rate of one per round. A question is answered by the power during the same round. You may ask one question for every two caster levels. 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 Avoid Int/Cha Decrease: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 True Answer: You get a true, one-word answer. Questions that cannot be answered in this way are answered randomly. Don't Know: The entity tells you that it doesn't know. Lie: The entity intentionally lies to you. Random Answer: The entity tries to lie but doesn't know the answer, so it makes one up.  Plane Contacted  Avoid Int/Cha Decrease  True Answer  Don't Know  Lie  Random Answer Elemental Plane  DC 7/1 week  01-34  35-62  63-83  84-100 Positive/Negative Energy Plane  DC 8/1 week  01-39  40-65  66-86  87-100 Astral Plane  DC 9/1 week  01-44  45-67  68-88  89-100 Outer Plane, demigod  DC 10/2 weeks  01-49  50-70  71-91  92-100 Outer Plane, lesser deity  DC 12/3 weeks  01-60  61-75  76-95  96-100 Outer Plane, intermediate deity  DC 14/4 weeks  01-73  74-81  82-98  99-100 Outer Plane, greater deity</t>
  </si>
  <si>
    <t>&lt;p&gt;You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answer.&lt;/p&gt;&lt;p&gt;You must concentrate on maintaining the spell (a standard action) in order to ask questions at the rate of one per round. A question is answered by the power during the same round. You may ask one question for every two caster levels.&lt;/p&gt;&lt;p&gt;Contact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forces.&lt;/p&gt;&lt;p&gt;&lt;i&gt;Avoid Int/Cha Decrease&lt;/i&gt;: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gain.&lt;/p&gt;&lt;p&gt;&lt;i&gt;True Answer&lt;/i&gt;: You get a true, one-word answer. Questions that cannot be answered in this way are answered randomly.&lt;/p&gt;&lt;p&gt;&lt;i&gt;Don't Know&lt;/i&gt;: The entity tells you that it doesn't know.&lt;/p&gt;&lt;p&gt;&lt;i&gt;Lie&lt;/i&gt;: The entity intentionally lies to you.&lt;/p&gt;&lt;p&gt;&lt;i&gt;Random Answer&lt;/i&gt;: The entity tries to lie but doesn't know the answer, so it makes one up.&lt;/p&gt;&lt;p&gt; &lt;table&gt; &lt;tr&gt; &lt;td&gt;Contact Other Plane&lt;/td&gt; &lt;/tr&gt; &lt;tr&gt; &lt;th&gt;Plane Contacted&lt;/th&gt; &lt;th&gt;Avoid Int/Cha Decrease&lt;/th&gt;  &lt;th&gt;True Answer&lt;/th&gt; &lt;th&gt;Don't Know&lt;/th&gt; &lt;th&gt;Lie&lt;/th&gt; &lt;th&gt;Random Answer&lt;/th&gt; &lt;/tr&gt; &lt;tr&gt; &lt;td&gt;Elemental Plane&lt;/td&gt; &lt;td&gt;DC 7/1 week&lt;/td&gt; &lt;td&gt;01-34&lt;/td&gt;  &lt;td&gt;35-62&lt;/td&gt; &lt;td&gt;63-83&lt;/td&gt; &lt;td&gt;84-100&lt;/td&gt; &lt;/tr&gt; &lt;tr&gt; &lt;td&gt;Positive/Negative Energy Plane&lt;/td&gt; &lt;td&gt;DC 8/1 week&lt;/td&gt; &lt;td&gt;01-39&lt;/td&gt; &lt;td&gt;40-65&lt;/td&gt; &lt;td&gt;66-86&lt;/td&gt;  &lt;td&gt;87-100&lt;/td&gt; &lt;/tr&gt; &lt;tr&gt; &lt;td&gt;Astral Plane&lt;/td&gt; &lt;td&gt;DC 9/1 week&lt;/td&gt; &lt;td&gt;01-44&lt;/td&gt; &lt;td&gt;45-67&lt;/td&gt; &lt;td&gt;68-88&lt;/td&gt; &lt;td&gt;89-100&lt;/td&gt; &lt;/tr&gt;  &lt;tr&gt; &lt;td&gt;Outer Plane, demigod&lt;/td&gt; &lt;td&gt;DC 10/2 weeks&lt;/td&gt; &lt;td&gt;01-49&lt;/td&gt; &lt;td&gt;50-70&lt;/td&gt; &lt;td&gt;71-91&lt;/td&gt; &lt;td&gt;92-100&lt;/td&gt; &lt;/tr&gt; &lt;tr&gt; &lt;td&gt;Outer Plane, lesser deity&lt;/td&gt;  &lt;td&gt;DC 12/3 weeks&lt;/td&gt; &lt;td&gt;01-60&lt;/td&gt; &lt;td&gt;61-75&lt;/td&gt; &lt;td&gt;76-95&lt;/td&gt; &lt;td&gt;96-100&lt;/td&gt; &lt;/tr&gt; &lt;tr&gt; &lt;td&gt;Outer Plane, intermediate deity&lt;/td&gt; &lt;td&gt;DC 14/4 weeks&lt;/td&gt; &lt;td&gt;01-73&lt;/td&gt;  &lt;td&gt;74-81&lt;/td&gt; &lt;td&gt;82-98&lt;/td&gt; &lt;td&gt;99-100&lt;/td&gt; &lt;/tr&gt; &lt;tr&gt; &lt;td&gt;Outer Plane, greater deity&lt;/td&gt; &lt;td&gt;DC 16/5 weeks&lt;/td&gt; &lt;td&gt;01-88&lt;/td&gt; &lt;td&gt;89-90&lt;/td&gt; &lt;td&gt;91-99&lt;/td&gt;  &lt;td&gt;100&lt;/td&gt; &lt;/tr&gt; &lt;/table&gt;&lt;/p&gt;</t>
  </si>
  <si>
    <t>&lt;link rel="stylesheet"href="PF.css"&gt;&lt;div class="heading"&gt;&lt;p class="alignleft"&gt;Contact Other Plane&lt;/p&gt;&lt;div style="clear: both;"&gt;&lt;/div&gt;&lt;/div&gt;&lt;div&gt;&lt;h5&gt;&lt;b&gt;School &lt;/b&gt;divination; &lt;b&gt;Level &lt;/b&gt;sorcerer/wizard 5, alchemist 5, summoner 4, witch 5&lt;/h5&gt;&lt;h5&gt;&lt;b&gt;Casting Time &lt;/b&gt;10 minutes&lt;/h5&gt;&lt;h5&gt;&lt;b&gt;Components &lt;/b&gt;V&lt;/h5&gt;&lt;h5&gt;&lt;b&gt;Range &lt;/b&gt;personal&lt;/h5&gt;&lt;h5&gt;&lt;b&gt;Targets &lt;/b&gt; you&lt;/h5&gt;&lt;h5&gt;&lt;b&gt;Duration &lt;/b&gt;concentration&lt;/h5&gt;&lt;/div&gt;&lt;div&gt;&lt;h4&gt;&lt;p&gt;You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answer.&lt;/p&gt;&lt;p&gt;You must concentrate on maintaining the spell (a standard action) in order to ask questions at the rate of one per round. A question is answered by the power during the same round. You may ask one question for every two caster levels.&lt;/p&gt;&lt;p&gt;Contact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forces.&lt;/p&gt;&lt;p&gt;&lt;i&gt;Avoid Int/Cha Decrease&lt;/i&gt;: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gain.&lt;/p&gt;&lt;p&gt;&lt;i&gt;True Answer&lt;/i&gt;: You get a true, one-word answer. Questions that cannot be answered in this way are answered randomly.&lt;/p&gt;&lt;p&gt;&lt;i&gt;Don't Know&lt;/i&gt;: The entity tells you that it doesn't know.&lt;/p&gt;&lt;p&gt;&lt;i&gt;Lie&lt;/i&gt;: The entity intentionally lies to you.&lt;/p&gt;&lt;p&gt;&lt;i&gt;Random Answer&lt;/i&gt;: The entity tries to lie but doesn't know the answer, so it makes one up.&lt;/p&gt;&lt;p&gt; &lt;table&gt; &lt;tr&gt; &lt;td&gt;Contact Other Plane&lt;/td&gt; &lt;/tr&gt; &lt;tr&gt; &lt;th&gt;Plane Contacted&lt;/th&gt; &lt;th&gt;Avoid Int/Cha Decrease&lt;/th&gt;  &lt;th&gt;True Answer&lt;/th&gt; &lt;th&gt;Don't Know&lt;/th&gt; &lt;th&gt;Lie&lt;/th&gt; &lt;th&gt;Random Answer&lt;/th&gt; &lt;/tr&gt; &lt;tr&gt; &lt;td&gt;Elemental Plane&lt;/td&gt; &lt;td&gt;DC 7/1 week&lt;/td&gt; &lt;td&gt;01-34&lt;/td&gt;  &lt;td&gt;35-62&lt;/td&gt; &lt;td&gt;63-83&lt;/td&gt; &lt;td&gt;84-100&lt;/td&gt; &lt;/tr&gt; &lt;tr&gt; &lt;td&gt;Positive/Negative Energy Plane&lt;/td&gt; &lt;td&gt;DC 8/1 week&lt;/td&gt; &lt;td&gt;01-39&lt;/td&gt; &lt;td&gt;40-65&lt;/td&gt; &lt;td&gt;66-86&lt;/td&gt;  &lt;td&gt;87-100&lt;/td&gt; &lt;/tr&gt; &lt;tr&gt; &lt;td&gt;Astral Plane&lt;/td&gt; &lt;td&gt;DC 9/1 week&lt;/td&gt; &lt;td&gt;01-44&lt;/td&gt; &lt;td&gt;45-67&lt;/td&gt; &lt;td&gt;68-88&lt;/td&gt; &lt;td&gt;89-100&lt;/td&gt; &lt;/tr&gt;  &lt;tr&gt; &lt;td&gt;Outer Plane, demigod&lt;/td&gt; &lt;td&gt;DC 10/2 weeks&lt;/td&gt; &lt;td&gt;01-49&lt;/td&gt; &lt;td&gt;50-70&lt;/td&gt; &lt;td&gt;71-91&lt;/td&gt; &lt;td&gt;92-100&lt;/td&gt; &lt;/tr&gt; &lt;tr&gt; &lt;td&gt;Outer Plane, lesser deity&lt;/td&gt;  &lt;td&gt;DC 12/3 weeks&lt;/td&gt; &lt;td&gt;01-60&lt;/td&gt; &lt;td&gt;61-75&lt;/td&gt; &lt;td&gt;76-95&lt;/td&gt; &lt;td&gt;96-100&lt;/td&gt; &lt;/tr&gt; &lt;tr&gt; &lt;td&gt;Outer Plane, intermediate deity&lt;/td&gt; &lt;td&gt;DC 14/4 weeks&lt;/td&gt; &lt;td&gt;01-73&lt;/td&gt;  &lt;td&gt;74-81&lt;/td&gt; &lt;td&gt;82-98&lt;/td&gt; &lt;td&gt;99-100&lt;/td&gt; &lt;/tr&gt; &lt;tr&gt; &lt;td&gt;Outer Plane, greater deity&lt;/td&gt; &lt;td&gt;DC 16/5 weeks&lt;/td&gt; &lt;td&gt;01-88&lt;/td&gt; &lt;td&gt;89-90&lt;/td&gt; &lt;td&gt;91-99&lt;/td&gt;  &lt;td&gt;100&lt;/td&gt; &lt;/tr&gt; &lt;/table&gt;&lt;/p&gt;&lt;/h4&gt;&lt;/div&gt;</t>
  </si>
  <si>
    <t> Lets you ask question of extraplanar entity.</t>
  </si>
  <si>
    <t>Harrow (11)</t>
  </si>
  <si>
    <t>Portents (10)</t>
  </si>
  <si>
    <t>Contagion</t>
  </si>
  <si>
    <t>cleric/oracle 3, druid 3, sorcerer/wizard 4, antipaladin 3, bloodrager 4</t>
  </si>
  <si>
    <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t>
  </si>
  <si>
    <t>&lt;p&gt;The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557.&lt;/p&gt;</t>
  </si>
  <si>
    <t>&lt;link rel="stylesheet"href="PF.css"&gt;&lt;div class="heading"&gt;&lt;p class="alignleft"&gt;Contagion&lt;/p&gt;&lt;div style="clear: both;"&gt;&lt;/div&gt;&lt;/div&gt;&lt;div&gt;&lt;h5&gt;&lt;b&gt;School &lt;/b&gt;necromancy [evil]; &lt;b&gt;Level &lt;/b&gt;cleric/oracle 3, druid 3, sorcerer/wizard 4, antipaladin 3, bloodrager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557.&lt;/p&gt;&lt;/h4&gt;&lt;h5&gt;&lt;b&gt;Mythic: &lt;/b&gt;The affected target is highly contagious. Any creature it touches or that touches it with natural weapons or unarmed strikes must save or contract the disease. The save DC for these targets is equal to the spell's DC - 4. The target can't spread this disease to you.&lt;/h5&gt;&lt;h5&gt;&lt;b&gt;Augmented (7th)&lt;/b&gt;: If you expend five uses of mythic power, the spell targets every living creature within a 1-mile radius. You can select one creature per caster level within your line of sight; these creatures are unaffected by the spell.&lt;/h5&gt;&lt;/div&gt;</t>
  </si>
  <si>
    <t>Decay (3), Plague (3)</t>
  </si>
  <si>
    <t>Infects subject with chosen disease.</t>
  </si>
  <si>
    <t>Pestilence (7), Daemon (9)</t>
  </si>
  <si>
    <t>Plague (6)</t>
  </si>
  <si>
    <t>The affected target is highly contagious. Any creature it touches or that touches it with natural weapons or unarmed strikes must save or contract the disease. The save DC for these targets is equal to the spell's DC - 4. The target can't spread this disease to you.</t>
  </si>
  <si>
    <t>Augmented (7th): If you expend five uses of mythic power, the spell targets every living creature within a 1-mile radius. You can select one creature per caster level within your line of sight; these creatures are unaffected by the spell.</t>
  </si>
  <si>
    <t>Contingency</t>
  </si>
  <si>
    <t>sorcerer/wizard 6, occultist 6, psychic 6</t>
  </si>
  <si>
    <t>at least 10 minutes; see text</t>
  </si>
  <si>
    <t>V, S, M (quicksilver and an eyelash of a spell-using creature), F (ivory statuette of you worth 1,500 gp)</t>
  </si>
  <si>
    <t>1 day/level (D) or until discharged</t>
  </si>
  <si>
    <t>You can place another spell upon your person so that it comes into effect under some condition you dictate when casting contingency.  The contingency spell and the companion spell are cast at the same time. The 10-minute casting time is the minimum total for both castings; if the companion spell has a casting time longer than 10 minutes, use that instead. You must pay any costs associated with the companion spell when you cast contingency.  The spell to be brought into effect by the contingency must be one that affects your person and be of a spell level no higher than one-third your caster level (rounded down, maximum 6th level).  The conditions needed to bring the spell into effect must be clear, although they can be general. In all cases, the contingency immediately brings into effect the companion spell, the latter being "cast" instantaneously when the prescribed circumstances occur.  If complicated or convoluted conditions are prescribed, the whole spell combination (contingency and the companion magic) may fail when triggered. The companion spell occurs based solely on the stated conditions, regardless of whether you want it to.  You can use only one contingency spell at a time; if a second is cast, the first one (if still active) is dispelled.</t>
  </si>
  <si>
    <t>&lt;p&gt;You can place another spell upon your person so that it comes into effect under some condition you dictate when casting &lt;i&gt;contingency&lt;/i&gt;.&lt;/p&gt;&lt;p&gt;The &lt;i&gt;contingency&lt;/i&gt; spell and the companion spell are cast at the same time. The 10-minute casting time is the minimum total for both castings; if the companion spell has a casting time longer than 10 minutes, use that instead. You must pay any costs associated with the companion spell when you cast &lt;i&gt;contingency&lt;/i&gt;.&lt;/p&gt;&lt;p&gt;The spell to be brought into effect by the &lt;i&gt;contingency&lt;/i&gt; must be one that affects your person and be of a spell level no higher than one-third your caster level (rounded down, maximum 6th level).&lt;/p&gt;&lt;p&gt;The conditions needed to bring the spell into effect must be clear, although they can be general. In all cases, the &lt;i&gt;contingency&lt;/i&gt; immediately brings into effect the companion spell, the latter being "cast" instantaneously when the prescribed circumstances occur.&lt;/p&gt;&lt;p&gt;If complicated or convoluted conditions are prescribed, the whole spell combination (&lt;i&gt;contingency&lt;/i&gt; and the companion magic) may fail when triggered. The companion spell occurs based solely on the stated conditions, regardless of whether you want it to.&lt;/p&gt;&lt;p&gt;You can use only one &lt;i&gt;contingency&lt;/i&gt; spell at a time; if a second is cast, the first one (if still active) is dispelled.&lt;/p&gt;</t>
  </si>
  <si>
    <t>&lt;link rel="stylesheet"href="PF.css"&gt;&lt;div class="heading"&gt;&lt;p class="alignleft"&gt;Contingency&lt;/p&gt;&lt;div style="clear: both;"&gt;&lt;/div&gt;&lt;/div&gt;&lt;div&gt;&lt;h5&gt;&lt;b&gt;School &lt;/b&gt;evocation; &lt;b&gt;Level &lt;/b&gt;sorcerer/wizard 6, occultist 6, psychic 6&lt;/h5&gt;&lt;/div&gt;&lt;hr/&gt;&lt;div&gt;&lt;h5&gt;&lt;b&gt;CASTING&lt;/b&gt;&lt;/h5&gt;&lt;/div&gt;&lt;hr/&gt;&lt;div&gt;&lt;h5&gt;&lt;b&gt;Casting Time &lt;/b&gt;at least 10 minutes; see text&lt;/h5&gt;&lt;h5&gt;&lt;b&gt;Components &lt;/b&gt;V, S, M (quicksilver and an eyelash of a spell-using creature), F (ivory statuette of you worth 1,500 gp)&lt;/h5&gt;&lt;/div&gt;&lt;hr/&gt;&lt;div&gt;&lt;h5&gt;&lt;b&gt;EFFECT&lt;/b&gt;&lt;/h5&gt;&lt;/div&gt;&lt;hr/&gt;&lt;div&gt;&lt;h5&gt;&lt;b&gt;Range &lt;/b&gt;personal&lt;/h5&gt;&lt;h5&gt;&lt;b&gt;Targets &lt;/b&gt;you&lt;/h5&gt;&lt;h5&gt;&lt;b&gt;Duration &lt;/b&gt;1 day/level (D) or until discharged&lt;/h5&gt;&lt;/div&gt;&lt;hr/&gt;&lt;div&gt;&lt;h5&gt;&lt;b&gt;DESCRIPTION&lt;/b&gt;&lt;/h5&gt;&lt;/div&gt;&lt;hr/&gt;&lt;div&gt;&lt;h4&gt;&lt;p&gt;You can place another spell upon your person so that it comes into effect under some condition you dictate when casting &lt;i&gt;contingency&lt;/i&gt;.&lt;/p&gt;&lt;p&gt;The &lt;i&gt;contingency&lt;/i&gt; spell and the companion spell are cast at the same time. The 10-minute casting time is the minimum total for both castings; if the companion spell has a casting time longer than 10 minutes, use that instead. You must pay any costs associated with the companion spell when you cast &lt;i&gt;contingency&lt;/i&gt;.&lt;/p&gt;&lt;p&gt;The spell to be brought into effect by the &lt;i&gt;contingency&lt;/i&gt; must be one that affects your person and be of a spell level no higher than one-third your caster level (rounded down, maximum 6th level).&lt;/p&gt;&lt;p&gt;The conditions needed to bring the spell into effect must be clear, although they can be general. In all cases, the &lt;i&gt;contingency&lt;/i&gt; immediately brings into effect the companion spell, the latter being "cast" instantaneously when the prescribed circumstances occur.&lt;/p&gt;&lt;p&gt;If complicated or convoluted conditions are prescribed, the whole spell combination (&lt;i&gt;contingency&lt;/i&gt; and the companion magic) may fail when triggered. The companion spell occurs based solely on the stated conditions, regardless of whether you want it to.&lt;/p&gt;&lt;p&gt;You can use only one &lt;i&gt;contingency&lt;/i&gt; spell at a time; if a second is cast, the first one (if still active) is dispelled.&lt;/p&gt;&lt;/h4&gt;&lt;h5&gt;&lt;b&gt;Mythic: &lt;/b&gt;You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tier.&lt;/h5&gt;&lt;h5&gt;&lt;b&gt;Augmented (5th)&lt;/b&gt;: If you expend two uses of mythic power, the casting time changes to 1 full round plus the casting time of the companion spell, but the duration of mythic contingency decreases to 1 hour per level or until discharged.&lt;/h5&gt;&lt;/div&gt;</t>
  </si>
  <si>
    <t> Sets trigger condition for another spell.</t>
  </si>
  <si>
    <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t>
  </si>
  <si>
    <t>Augmented (5th): If you expend two uses of mythic power, the casting time changes to 1 full round plus the casting time of the companion spell, but the duration of mythic contingency decreases to 1 hour per level or until discharged.</t>
  </si>
  <si>
    <t>Continual Flame</t>
  </si>
  <si>
    <t>cleric/oracle 3, sorcerer/wizard 2, inquisitor 3, occultist 2, psychic 3</t>
  </si>
  <si>
    <t>V, S, M (ruby dust worth 50 gp)</t>
  </si>
  <si>
    <t>object touched Effect magical, heatless flame</t>
  </si>
  <si>
    <t>A flame, equivalent in brightness to a torch, springs forth from an object that you touch. The effect looks like a regular flame, but it creates no heat and doesn't use oxygen. A continual flame can be covered and hidden but not smothered or quenched. Light spells counter and dispel darkness spells of an equal or lower level.</t>
  </si>
  <si>
    <t>&lt;p&gt;A flame, equivalent in brightness to a torch, springs forth from an object that you touch. The effect looks like a regular flame, but it creates no heat and doesn't use oxygen. A &lt;i&gt;continual flame&lt;/i&gt; can be covered and hidden but not smothered or quenched.&lt;/p&gt;&lt;p&gt;Light spells counter and dispel &lt;i&gt;darkness&lt;/i&gt; spells of an equal or lower level.&lt;/p&gt;</t>
  </si>
  <si>
    <t>&lt;link rel="stylesheet"href="PF.css"&gt;&lt;div class="heading"&gt;&lt;p class="alignleft"&gt;Continual Flame&lt;/p&gt;&lt;div style="clear: both;"&gt;&lt;/div&gt;&lt;/div&gt;&lt;div&gt;&lt;h5&gt;&lt;b&gt;School &lt;/b&gt;evocation [light]; &lt;b&gt;Level &lt;/b&gt;cleric/oracle 3, sorcerer/wizard 2, inquisitor 3, occultist 2, psychic 3&lt;/h5&gt;&lt;h5&gt;&lt;b&gt;Casting Time &lt;/b&gt;1 standard action&lt;/h5&gt;&lt;h5&gt;&lt;b&gt;Components &lt;/b&gt;V, S, M (ruby dust worth 50 gp)&lt;/h5&gt;&lt;h5&gt;&lt;b&gt;Range &lt;/b&gt;touch&lt;/h5&gt;&lt;h5&gt;&lt;b&gt;Targets &lt;/b&gt; object touched Effect magical, heatless flame&lt;/h5&gt;&lt;h5&gt;&lt;b&gt;Duration &lt;/b&gt;permanent&lt;/h5&gt;&lt;h5&gt;&lt;b&gt;Saving Throw &lt;/b&gt;none; &lt;b&gt;Spell Resistance &lt;/b&gt;no&lt;/h5&gt;&lt;/div&gt;&lt;div&gt;&lt;h4&gt;&lt;p&gt;A flame, equivalent in brightness to a torch, springs forth from an object that you touch. The effect looks like a regular flame, but it creates no heat and doesn't use oxygen. A &lt;i&gt;continual flame&lt;/i&gt; can be covered and hidden but not smothered or quenched.&lt;/p&gt;&lt;p&gt;Light spells counter and dispel &lt;i&gt;darkness&lt;/i&gt; spells of an equal or lower level.&lt;/p&gt;&lt;/h4&gt;&lt;/div&gt;</t>
  </si>
  <si>
    <t>Day (2)</t>
  </si>
  <si>
    <t>Makes a permanent, heatless light.</t>
  </si>
  <si>
    <t>Light (4)</t>
  </si>
  <si>
    <t>Control Plants</t>
  </si>
  <si>
    <t>druid 8</t>
  </si>
  <si>
    <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  Suicidal or self-destructive commands are simply ignored.</t>
  </si>
  <si>
    <t>&lt;p&gt;This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behavior.&lt;/p&gt;&lt;p&gt;Suicidal or self-destructive commands are simply ignored.&lt;/p&gt;</t>
  </si>
  <si>
    <t>&lt;link rel="stylesheet"href="PF.css"&gt;&lt;div class="heading"&gt;&lt;p class="alignleft"&gt;Control Plants&lt;/p&gt;&lt;div style="clear: both;"&gt;&lt;/div&gt;&lt;/div&gt;&lt;div&gt;&lt;h5&gt;&lt;b&gt;School &lt;/b&gt;transmutation; &lt;b&gt;Level &lt;/b&gt;druid 8&lt;/h5&gt;&lt;h5&gt;&lt;b&gt;Casting Time &lt;/b&gt;1 standard action&lt;/h5&gt;&lt;h5&gt;&lt;b&gt;Components &lt;/b&gt;V, S, DF&lt;/h5&gt;&lt;h5&gt;&lt;b&gt;Range &lt;/b&gt;close (25 ft. + 5 ft./2 levels)&lt;/h5&gt;&lt;h5&gt;&lt;b&gt;Targets &lt;/b&gt; up to 2 HD/level of plant creatures, no two of which can be more than 30 ft. apart&lt;/h5&gt;&lt;h5&gt;&lt;b&gt;Duration &lt;/b&gt;1 min./level&lt;/h5&gt;&lt;h5&gt;&lt;b&gt;Saving Throw &lt;/b&gt;Will negates; &lt;b&gt;Spell Resistance &lt;/b&gt;no&lt;/h5&gt;&lt;/div&gt;&lt;div&gt;&lt;h4&gt;&lt;p&gt;This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behavior.&lt;/p&gt;&lt;p&gt;Suicidal or self-destructive commands are simply ignored.&lt;/p&gt;&lt;/h4&gt;&lt;/div&gt;</t>
  </si>
  <si>
    <t>Plant (8)</t>
  </si>
  <si>
    <t> Controls actions of one or more plant creatures.</t>
  </si>
  <si>
    <t>Plant (16)</t>
  </si>
  <si>
    <t>Control Undead</t>
  </si>
  <si>
    <t>sorcerer/wizard 7</t>
  </si>
  <si>
    <t>V, S, M (a piece of bone and a piece of raw meat)</t>
  </si>
  <si>
    <t>up to 2 HD/level of undead creatures, no two of which can be more than 30 ft. apart</t>
  </si>
  <si>
    <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  Intelligent undead creatures remember that you controlled them, and they may seek revenge after the spell's effects end.</t>
  </si>
  <si>
    <t>&lt;p&gt;This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behavior.&lt;/p&gt;&lt;p&gt;Intelligent undead creatures remember that you controlled them, and they may seek revenge after the spell's effects end.&lt;/p&gt;</t>
  </si>
  <si>
    <t>&lt;link rel="stylesheet"href="PF.css"&gt;&lt;div class="heading"&gt;&lt;p class="alignleft"&gt;Control Undead&lt;/p&gt;&lt;div style="clear: both;"&gt;&lt;/div&gt;&lt;/div&gt;&lt;div&gt;&lt;h5&gt;&lt;b&gt;School &lt;/b&gt;necromancy; &lt;b&gt;Level &lt;/b&gt;sorcerer/wizard 7&lt;/h5&gt;&lt;h5&gt;&lt;b&gt;Casting Time &lt;/b&gt;1 standard action&lt;/h5&gt;&lt;h5&gt;&lt;b&gt;Components &lt;/b&gt;V, S, M (a piece of bone and a piece of raw meat)&lt;/h5&gt;&lt;h5&gt;&lt;b&gt;Range &lt;/b&gt;close (25 ft. + 5 ft./2 levels)&lt;/h5&gt;&lt;h5&gt;&lt;b&gt;Targets &lt;/b&gt; up to 2 HD/level of undead creatures, no two of which can be more than 30 ft. apart&lt;/h5&gt;&lt;h5&gt;&lt;b&gt;Duration &lt;/b&gt;1 min./level&lt;/h5&gt;&lt;h5&gt;&lt;b&gt;Saving Throw &lt;/b&gt;Will negates; &lt;b&gt;Spell Resistance &lt;/b&gt;yes&lt;/h5&gt;&lt;/div&gt;&lt;div&gt;&lt;h4&gt;&lt;p&gt;This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behavior.&lt;/p&gt;&lt;p&gt;Intelligent undead creatures remember that you controlled them, and they may seek revenge after the spell's effects end.&lt;/p&gt;&lt;/h4&gt;&lt;/div&gt;</t>
  </si>
  <si>
    <t> Undead don't attack you while under your command.</t>
  </si>
  <si>
    <t>Ghoul (15)</t>
  </si>
  <si>
    <t>Plague (14)</t>
  </si>
  <si>
    <t>Control Water</t>
  </si>
  <si>
    <t>cleric/oracle 4, druid 4, sorcerer/wizard 6, shaman 4</t>
  </si>
  <si>
    <t>V, S, M/DF (a pinch of dust for lower water or a drop of water for raise water)</t>
  </si>
  <si>
    <t>water in a volume of 10 ft./level by 10 ft./level by 2 ft./level</t>
  </si>
  <si>
    <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 Lower Water: This causes water or similar liquid to reduce its depth by as much as 2 feet per caster level (to a minimum depth of 1 inch). The water is lowered within a squarish depression whose sides are up to caster level Ã—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slow spell (Will negates). The spell has no effect on other creatures. Raise Water: This causes water or similar liquid to rise in height, just as the lower water version causes it to lower. Boats raised in this way slide down the sides of the hump that the spell creates. If the area affected by the spell includes riverbanks, a beach, or other land nearby, the water can spill over onto dry land. With either version of this spell, you may reduce one horizontal dimension by half and double the other horizontal dimension to change the overall area of effect.</t>
  </si>
  <si>
    <t>&lt;p&gt;This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areas.&lt;/p&gt;&lt;p&gt;&lt;i&gt;Lower Water&lt;/i&gt;: This causes water or similar liquid to reduce its depth by as much as 2 feet per caster level (to a minimum depth of 1 inch). The water is lowered within a squarish depression whose sides are up to caster level x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&lt;i&gt;slow&lt;/i&gt; spell (Will negates). The spell has no effect on other creatures.&lt;/p&gt;&lt;p&gt;&lt;i&gt;Raise Water&lt;/i&gt;: This causes water or similar liquid to rise in height, just as the &lt;i&gt;lower water&lt;/i&gt; version causes it to lower. Boats raised in this way slide down the sides of the hump that the spell creates. If the area affected by the spell includes riverbanks, a beach, or other land nearby, the water can spill over onto dry land.&lt;/p&gt;&lt;p&gt;With either version of this spell, you may reduce one horizontal dimension by half and double the other horizontal dimension to change the overall area of effect.&lt;/p&gt;</t>
  </si>
  <si>
    <t>&lt;link rel="stylesheet"href="PF.css"&gt;&lt;div class="heading"&gt;&lt;p class="alignleft"&gt;Control Water&lt;/p&gt;&lt;div style="clear: both;"&gt;&lt;/div&gt;&lt;/div&gt;&lt;div&gt;&lt;h5&gt;&lt;b&gt;School &lt;/b&gt;transmutation [water]; &lt;b&gt;Level &lt;/b&gt;cleric/oracle 4, druid 4, sorcerer/wizard 6, shaman 4&lt;/h5&gt;&lt;h5&gt;&lt;b&gt;Casting Time &lt;/b&gt;1 standard action&lt;/h5&gt;&lt;h5&gt;&lt;b&gt;Components &lt;/b&gt;V, S, M/DF (a pinch of dust for lower water or a drop of water for raise water)&lt;/h5&gt;&lt;h5&gt;&lt;b&gt;Range &lt;/b&gt;long (400 ft. + 40 ft./level)&lt;/h5&gt;&lt;h5&gt;&lt;b&gt;Area &lt;/b&gt;water in a volume of 10 ft./level by 10 ft./level by 2 ft./level  (S)&lt;/h5&gt;&lt;h5&gt;&lt;b&gt;Duration &lt;/b&gt;10 min./level (D)&lt;/h5&gt;&lt;h5&gt;&lt;b&gt;Saving Throw &lt;/b&gt;none; see text; &lt;b&gt;Spell Resistance &lt;/b&gt;no&lt;/h5&gt;&lt;/div&gt;&lt;div&gt;&lt;h4&gt;&lt;p&gt;This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areas.&lt;/p&gt;&lt;p&gt;&lt;i&gt;Lower Water&lt;/i&gt;: This causes water or similar liquid to reduce its depth by as much as 2 feet per caster level (to a minimum depth of 1 inch). The water is lowered within a squarish depression whose sides are up to caster level x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&lt;i&gt;slow&lt;/i&gt; spell (Will negates). The spell has no effect on other creatures.&lt;/p&gt;&lt;p&gt;&lt;i&gt;Raise Water&lt;/i&gt;: This causes water or similar liquid to rise in height, just as the &lt;i&gt;lower water&lt;/i&gt; version causes it to lower. Boats raised in this way slide down the sides of the hump that the spell creates. If the area affected by the spell includes riverbanks, a beach, or other land nearby, the water can spill over onto dry land.&lt;/p&gt;&lt;p&gt;With either version of this spell, you may reduce one horizontal dimension by half and double the other horizontal dimension to change the overall area of effect.&lt;/p&gt;&lt;/h4&gt;&lt;/div&gt;</t>
  </si>
  <si>
    <t>Water (4)</t>
  </si>
  <si>
    <t>Raises or lowers bodies of water.</t>
  </si>
  <si>
    <t>Aquatic (11)</t>
  </si>
  <si>
    <t>Moon (12), Water (8)</t>
  </si>
  <si>
    <t>Control Weather</t>
  </si>
  <si>
    <t>cleric/oracle 7, druid 7, sorcerer/wizard 7, witch 7, shaman 7</t>
  </si>
  <si>
    <t>10 minutes; see text</t>
  </si>
  <si>
    <t>2 miles</t>
  </si>
  <si>
    <t>2-mile-radius circle, centered on you; see text</t>
  </si>
  <si>
    <t>4d12 hours; see text</t>
  </si>
  <si>
    <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 Season Possible Weather Spring Tornado, thunderstorm, sleet storm, or hot weather Summer Torrential rain, heat wave, or hailstorm Autumn Hot or cold weather, fog, or sleet Winter Frigid cold, blizzard, or thaw Late winter Hurricane-force winds or early spring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 Control weather can do away with atmospheric phenomena (naturally occurring or otherwise) as well as create them. A druid casting this spell doubles the duration and affects a circle with a 3-mile radius.</t>
  </si>
  <si>
    <t>&lt;p&gt;You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season.&lt;/p&gt;&lt;p&gt;&lt;b&gt;&lt;table&gt;&lt;tr&gt;&lt;th&gt;Season&lt;/th&gt;&lt;th&gt;Possible Weather&lt;/th&gt;&lt;/tr&gt; &lt;tbody&gt;&lt;tr&gt;&lt;td&gt;Spring&lt;/td&gt;&lt;td&gt;Tornado, thunderstorm, sleet storm,  or hot weather&lt;/td&gt;&lt;/tr&gt; &lt;tr&gt;&lt;td&gt;Summer&lt;/td&gt;&lt;td&gt;Torrential rain, heat wave, or hailstorm&lt;/td&gt;&lt;/tr&gt; &lt;tr&gt;&lt;td&gt;Autumn&lt;/td&gt;&lt;td&gt;Hot or cold weather, fog, or sleet&lt;/td&gt;&lt;/tr&gt; &lt;tr&gt;&lt;td&gt;Winter&lt;/td&gt;&lt;td&gt;Frigid cold, blizzard, or thaw&lt;/td&gt;&lt;/tr&gt; &lt;tr&gt;&lt;td&gt;Late winter&lt;/td&gt;&lt;td&gt;Hurricane-force winds or early spring&lt;/td&gt;&lt;/tr&gt;&lt;/table&gt;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simultaneously.&lt;/p&gt;&lt;p&gt;&lt;i&gt;Control weather&lt;/i&gt; can do away with atmospheric phenomena (naturally occurring or otherwise) as well as create them.&lt;/p&gt;&lt;p&gt;A druid casting this spell doubles the duration and affects a circle with a 3-mile radius.&lt;/p&gt;</t>
  </si>
  <si>
    <t>&lt;link rel="stylesheet"href="PF.css"&gt;&lt;div class="heading"&gt;&lt;p class="alignleft"&gt;Control Weather&lt;/p&gt;&lt;div style="clear: both;"&gt;&lt;/div&gt;&lt;/div&gt;&lt;div&gt;&lt;h5&gt;&lt;b&gt;School &lt;/b&gt;transmutation; &lt;b&gt;Level &lt;/b&gt;cleric/oracle 7, druid 7, sorcerer/wizard 7, witch 7, shaman 7&lt;/h5&gt;&lt;/div&gt;&lt;hr/&gt;&lt;div&gt;&lt;h5&gt;&lt;b&gt;CASTING&lt;/b&gt;&lt;/h5&gt;&lt;/div&gt;&lt;hr/&gt;&lt;div&gt;&lt;h5&gt;&lt;b&gt;Casting Time &lt;/b&gt;10 minutes; see text&lt;/h5&gt;&lt;h5&gt;&lt;b&gt;Components &lt;/b&gt;V, S&lt;/h5&gt;&lt;/div&gt;&lt;hr/&gt;&lt;div&gt;&lt;h5&gt;&lt;b&gt;EFFECT&lt;/b&gt;&lt;/h5&gt;&lt;/div&gt;&lt;hr/&gt;&lt;div&gt;&lt;h5&gt;&lt;b&gt;Range &lt;/b&gt;2 miles&lt;/h5&gt;&lt;h5&gt;&lt;b&gt;Area &lt;/b&gt;2-mile-radius circle, centered on you; see text&lt;/h5&gt;&lt;h5&gt;&lt;b&gt;Duration &lt;/b&gt;4d12 hours; see text&lt;/h5&gt;&lt;h5&gt;&lt;b&gt;Saving Throw &lt;/b&gt;none; &lt;b&gt;Spell Resistance &lt;/b&gt;no&lt;/h5&gt;&lt;/div&gt;&lt;hr/&gt;&lt;div&gt;&lt;h5&gt;&lt;b&gt;DESCRIPTION&lt;/b&gt;&lt;/h5&gt;&lt;/div&gt;&lt;hr/&gt;&lt;div&gt;&lt;h4&gt;&lt;p&gt;You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season.&lt;/p&gt;   &lt;table border ='1'&gt;&lt;tr&gt;&lt;th&gt;Season&lt;/th&gt;&lt;th&gt;Possible Weather&lt;/th&gt;&lt;/tr&gt;&lt;tr&gt;&lt;td&gt;Spring&lt;/td&gt;&lt;td&gt;Tornado, thunderstorm, sleet storm, or hot weather&lt;/td&gt;&lt;/tr&gt;&lt;tr&gt;&lt;td&gt;Summer&lt;/td&gt;&lt;td&gt;Torrential rain, heat wave, or hailstorm&lt;/td&gt;&lt;/tr&gt;&lt;tr&gt;&lt;td&gt;Autumn&lt;/td&gt;&lt;td&gt;Hot or cold weather, fog, or sleet&lt;/td&gt;&lt;/tr&gt;&lt;tr&gt;&lt;td&gt;Winter&lt;/td&gt;&lt;td&gt;Frigid cold, blizzard, or thaw&lt;/td&gt;&lt;/tr&gt;&lt;tr&gt;&lt;td&gt;Late winter or early spring&lt;/td&gt;&lt;td&gt;Hurricane-force winds&lt;/td&gt;&lt;/tr&gt;&lt;/table&gt;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simultaneously.&lt;/p&gt;&lt;p&gt;&lt;i&gt;Control weather&lt;/i&gt; can do away with atmospheric phenomena (naturally occurring or otherwise) as well as create them.&lt;/p&gt;&lt;p&gt;A druid casting this spell doubles the duration and affects a circle with a 3-mile radius.&lt;/p&gt;&lt;/h4&gt;&lt;h5&gt;&lt;b&gt;Mythic: &lt;/b&gt;The casting time changes to 1 standard action, and the duration doubles. The weather changes after a number of rounds equal to 11 - your tier.&lt;/h5&gt;&lt;h5&gt;&lt;b&gt;Augmented (6th)&lt;/b&gt;: If you expend two uses of mythic power, you can create weather of any type regardless of the season, and the weather changes after 1 round.&lt;/h5&gt;&lt;/div&gt;</t>
  </si>
  <si>
    <t>Catastrophe (7), Weather (7)</t>
  </si>
  <si>
    <t>Changes weather in local area.</t>
  </si>
  <si>
    <t>Stormborn (15)</t>
  </si>
  <si>
    <t>Winter (14), Storms (14)</t>
  </si>
  <si>
    <t>The casting time changes to 1 standard action, and the duration doubles. The weather changes after a number of rounds equal to 11 - your tier.</t>
  </si>
  <si>
    <t>Augmented (6th): If you expend two uses of mythic power, you can create weather of any type regardless of the season, and the weather changes after 1 round.</t>
  </si>
  <si>
    <t>Control Winds</t>
  </si>
  <si>
    <t>40 ft./level</t>
  </si>
  <si>
    <t>40 ft./level radius cylinder 40 ft. high</t>
  </si>
  <si>
    <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 Wind Direction: You may choose one of four basic wind patterns to function over the spell's area.      * A downdraft blows from the center outward in equal strength in all directions.     * An updraft blows from the outer edges in toward the center in equal strength from all directions, veering upward before impinging on the eye in the center.     * Rotation causes the winds to circle the center in clockwise or counterclockwise fashion.     * A blast simply causes the winds to blow in one direction across the entire area from one side to the other.  Wind Strength: For every three caster levels, you can increase or decrease wind strength by one level. Each round on your turn, a creature in the wind must make a Fortitude save or suffer the effect of being in the windy area. See Environment for more details. Strong winds (21+ mph) make sailing difficult. A severe wind (31+ mph) causes minor ship and building damage. A windstorm (51+ mph) drives most flying creatures from the skies, uproots small trees, knocks down light wooden structures, tears off roofs, and endangers ships. Hurricane force winds (75+ mph) destroy wooden buildings, uproot large trees, and cause most ships to founder. A tornado (175+ mph) destroys all nonfortified buildings and often uproots large trees.</t>
  </si>
  <si>
    <t>&lt;p&gt;You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limit.&lt;/p&gt;&lt;p&gt;&lt;i&gt;Wind Direction&lt;/i&gt;: You may choose one of four basic wind patterns to function over the spell's area.&lt;/p&gt;&lt;p&gt;&lt;ul&gt;     &lt;li&gt; A downdraft blows from the center outward in equal strength in all directions.&lt;/p&gt;&lt;p&gt;    &lt;li&gt; An updraft blows from the outer edges in toward the center in equal strength from all directions, veering upward before impinging on the eye in the center.&lt;/p&gt;&lt;p&gt;    &lt;li&gt; Rotation causes the winds to circle the center in clockwise or counterclockwise fashion.&lt;/p&gt;&lt;p&gt;    &lt;li&gt; A blast simply causes the winds to blow in one direction across the entire area from one side to the other.&lt;/ul&gt;&lt;/p&gt;&lt;p&gt; &lt;i&gt;Wind Strength&lt;/i&gt;: For every three caster levels, you can increase or decrease wind strength by one level. Each round on your turn, a creature in the wind must make a Fortitude save or suffer the effect of being in the windy area. See Environment for more details.&lt;/p&gt;&lt;p&gt;Strong winds (21+ mph) make sailing difficult.&lt;/p&gt;&lt;p&gt;A severe wind (31+ mph) causes minor ship and building damage.&lt;/p&gt;&lt;p&gt;A windstorm (51+ mph) drives most flying creatures from the skies, uproots small trees, knocks down light wooden structures, tears off roofs, and endangers ships.&lt;/p&gt;&lt;p&gt;Hurricane force winds (75+ mph) destroy wooden buildings, uproot large trees, and cause most ships to founder.&lt;/p&gt;&lt;p&gt;A tornado (175+ mph) destroys all nonfortified buildings and often uproots large trees.&lt;/p&gt;</t>
  </si>
  <si>
    <t>&lt;link rel="stylesheet"href="PF.css"&gt;&lt;div class="heading"&gt;&lt;p class="alignleft"&gt;Control Winds&lt;/p&gt;&lt;div style="clear: both;"&gt;&lt;/div&gt;&lt;/div&gt;&lt;div&gt;&lt;h5&gt;&lt;b&gt;School &lt;/b&gt;transmutation [air]; &lt;b&gt;Level &lt;/b&gt;druid 5, shaman 5, occultist 5&lt;/h5&gt;&lt;h5&gt;&lt;b&gt;Casting Time &lt;/b&gt;1 standard action&lt;/h5&gt;&lt;h5&gt;&lt;b&gt;Components &lt;/b&gt;V, S&lt;/h5&gt;&lt;h5&gt;&lt;b&gt;Range &lt;/b&gt;40 ft./level&lt;/h5&gt;&lt;h5&gt;&lt;b&gt;Area &lt;/b&gt;40 ft./level radius cylinder 40 ft. high&lt;/h5&gt;&lt;h5&gt;&lt;b&gt;Duration &lt;/b&gt;10 min./level&lt;/h5&gt;&lt;h5&gt;&lt;b&gt;Saving Throw &lt;/b&gt;Fortitude negates; &lt;b&gt;Spell Resistance &lt;/b&gt;no&lt;/h5&gt;&lt;/div&gt;&lt;div&gt;&lt;h4&gt;&lt;p&gt;You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limit.&lt;/p&gt;&lt;p&gt;&lt;i&gt;Wind Direction&lt;/i&gt;: You may choose one of four basic wind patterns to function over the spell's area.&lt;/p&gt;&lt;p&gt;&lt;ul&gt;     &lt;li&gt; A downdraft blows from the center outward in equal strength in all directions.&lt;/p&gt;&lt;p&gt;    &lt;li&gt; An updraft blows from the outer edges in toward the center in equal strength from all directions, veering upward before impinging on the eye in the center.&lt;/p&gt;&lt;p&gt;    &lt;li&gt; Rotation causes the winds to circle the center in clockwise or counterclockwise fashion.&lt;/p&gt;&lt;p&gt;    &lt;li&gt; A blast simply causes the winds to blow in one direction across the entire area from one side to the other.&lt;/ul&gt;&lt;/p&gt;&lt;p&gt; &lt;i&gt;Wind Strength&lt;/i&gt;: For every three caster levels, you can increase or decrease wind strength by one level. Each round on your turn, a creature in the wind must make a Fortitude save or suffer the effect of being in the windy area. See Environment for more details.&lt;/p&gt;&lt;p&gt;Strong winds (21+ mph) make sailing difficult.&lt;/p&gt;&lt;p&gt;A severe wind (31+ mph) causes minor ship and building damage.&lt;/p&gt;&lt;p&gt;A windstorm (51+ mph) drives most flying creatures from the skies, uproots small trees, knocks down light wooden structures, tears off roofs, and endangers ships.&lt;/p&gt;&lt;p&gt;Hurricane force winds (75+ mph) destroy wooden buildings, uproot large trees, and cause most ships to founder.&lt;/p&gt;&lt;p&gt;A tornado (175+ mph) destroys all nonfortified buildings and often uproots large trees.&lt;/p&gt;&lt;/h4&gt;&lt;/div&gt;</t>
  </si>
  <si>
    <t>Air (5), Weather (6)</t>
  </si>
  <si>
    <t> Changes wind direction and speed.</t>
  </si>
  <si>
    <t>Create Food and Water</t>
  </si>
  <si>
    <t>cleric/oracle 3, shaman 3, occultist 3</t>
  </si>
  <si>
    <t>food and water to sustain three humans or one horse/level for 24 hours</t>
  </si>
  <si>
    <t>24 hours; see text</t>
  </si>
  <si>
    <t>The food that this spell creates is simple fare of your choice--highly nourishing, if rather bland. Food so created decays and becomes inedible after 24 hours, although it can be kept fresh for another 24 hours by casting a purify food and water spell on it. The water created by this spell is just like clean rain water, and it doesn't go bad as the food does.</t>
  </si>
  <si>
    <t>&lt;p&gt;The food that this spell creates is simple fare of your choice--highly nourishing, if rather bland. Food so created decays and becomes inedible after 24 hours, although it can be kept fresh for another 24 hours by casting a &lt;i&gt;purify food and water&lt;/i&gt; spell on it. The water created by this spell is just like clean rain water, and it doesn't go bad as the food does.&lt;/p&gt;</t>
  </si>
  <si>
    <t>&lt;link rel="stylesheet"href="PF.css"&gt;&lt;div class="heading"&gt;&lt;p class="alignleft"&gt;Create Food and Water&lt;/p&gt;&lt;div style="clear: both;"&gt;&lt;/div&gt;&lt;/div&gt;&lt;div&gt;&lt;h5&gt;&lt;b&gt;School &lt;/b&gt;conjuration (creation); &lt;b&gt;Level &lt;/b&gt;cleric/oracle 3, shaman 3, occultist 3&lt;/h5&gt;&lt;h5&gt;&lt;b&gt;Casting Time &lt;/b&gt;10 minutes&lt;/h5&gt;&lt;h5&gt;&lt;b&gt;Components &lt;/b&gt;V, S&lt;/h5&gt;&lt;h5&gt;&lt;b&gt;Range &lt;/b&gt;close (25 ft. + 5 ft./2 levels)&lt;/h5&gt;&lt;h5&gt;&lt;b&gt;Effect &lt;/b&gt;food and water to sustain three humans or one horse/level for 24 hours&lt;/h5&gt;&lt;h5&gt;&lt;b&gt;Duration &lt;/b&gt;24 hours; see text&lt;/h5&gt;&lt;h5&gt;&lt;b&gt;Saving Throw &lt;/b&gt;none; &lt;b&gt;Spell Resistance &lt;/b&gt;no&lt;/h5&gt;&lt;/div&gt;&lt;div&gt;&lt;h4&gt;&lt;p&gt;The food that this spell creates is simple fare of your choice--highly nourishing, if rather bland. Food so created decays and becomes inedible after 24 hours, although it can be kept fresh for another 24 hours by casting a &lt;i&gt;purify food and water&lt;/i&gt; spell on it. The water created by this spell is just like clean rain water, and it doesn't go bad as the food does.&lt;/p&gt;&lt;/h4&gt;&lt;/div&gt;</t>
  </si>
  <si>
    <t>Family (3)</t>
  </si>
  <si>
    <t> Feeds three humans (or one horse)/level.</t>
  </si>
  <si>
    <t>Create Undead</t>
  </si>
  <si>
    <t>cleric/oracle 6, sorcerer/wizard 6, shaman 6, spiritualist 6</t>
  </si>
  <si>
    <t>V, S, M (a clay pot filled with grave dirt and an onyx gem worth at least 50 gp per HD of the undead to be created)</t>
  </si>
  <si>
    <t>one corpse</t>
  </si>
  <si>
    <t>A much more potent spell than animate dead, this evil spell allows you to infuse a dead body with negative energy to create more powerful sorts of undead: ghouls, ghasts, mummies, and mohrgs. The type or types of undead you can create are based on your caster level, as shown on the table below. Caster Level Undead Created 11th or lower Ghoul 12th-14th Ghast 15th-17th Mummy 18th or higher Mohrg  You may create less powerful undead than your level would allow if you choose. Created undead are not automatically under the control of their animator. If you are capable of commanding undead, you may attempt to command the undead creature as it forms. This spell must be cast at night.</t>
  </si>
  <si>
    <t>&lt;p&gt;A much more potent spell than  &lt;i&gt;animate dead &lt;/i&gt;, this evil spell allows you to infuse a dead body with negative energy to create more powerful sorts of undead: ghouls, ghasts, mummies, and mohrgs. The type or types of undead you can create are based on your caster level, as shown on the table below.&lt;/p&gt;&lt;p&gt;&lt;table&gt;&lt;thead&gt;&lt;tr&gt;&lt;th&gt;Caster Level&lt;/th&gt;&lt;th&gt;Undead Created&lt;/th&gt;&lt;/tr&gt; &lt;tbody&gt;&lt;tr&gt;&lt;td&gt;11th or lower&lt;/td&gt;&lt;td&gt;Ghoul&lt;/td&gt;&lt;/tr&gt; &lt;tr&gt;&lt;td&gt;12th-14th&lt;/td&gt;&lt;td&gt;Ghast&lt;/td&gt;&lt;/tr&gt; &lt;tr&gt;&lt;td&gt;15th-17th&lt;/td&gt;&lt;td&gt;Mummy&lt;/td&gt;&lt;/tr&gt; &lt;tr&gt;&lt;td&gt;18th or higher&lt;/td&gt;&lt;td&gt;Mohrg&lt;/td&gt;&lt;/tr&gt;&lt;/tbody&gt;&lt;/table&gt;  You may create less powerful undead than your level would allow if you choose. Created undead are not automatically under the control of their animator. If you are capable of commanding undead, you may attempt to command the undead creature as it forms.&lt;/p&gt;&lt;p&gt;This spell must be cast at night.&lt;/p&gt;</t>
  </si>
  <si>
    <t>&lt;link rel="stylesheet"href="PF.css"&gt;&lt;div class="heading"&gt;&lt;p class="alignleft"&gt;Create Undead&lt;/p&gt;&lt;div style="clear: both;"&gt;&lt;/div&gt;&lt;/div&gt;&lt;div&gt;&lt;h5&gt;&lt;b&gt;School &lt;/b&gt;necromancy [evil]; &lt;b&gt;Level &lt;/b&gt;cleric/oracle 6, sorcerer/wizard 6, shaman 6, spiritualist 6&lt;/h5&gt;&lt;h5&gt;&lt;b&gt;Casting Time &lt;/b&gt;1 hour&lt;/h5&gt;&lt;h5&gt;&lt;b&gt;Components &lt;/b&gt;V, S, M (a clay pot filled with grave dirt and an onyx gem worth at least 50 gp per HD of the undead to be created)&lt;/h5&gt;&lt;h5&gt;&lt;b&gt;Range &lt;/b&gt;close (25 ft. + 5 ft./2 levels)&lt;/h5&gt;&lt;h5&gt;&lt;b&gt;Targets &lt;/b&gt; one corpse&lt;/h5&gt;&lt;h5&gt;&lt;b&gt;Duration &lt;/b&gt;instantaneous&lt;/h5&gt;&lt;h5&gt;&lt;b&gt;Saving Throw &lt;/b&gt;none; &lt;b&gt;Spell Resistance &lt;/b&gt;no&lt;/h5&gt;&lt;/div&gt;&lt;div&gt;&lt;h4&gt;&lt;p&gt;A much more potent spell than  &lt;i&gt;animate dead &lt;/i&gt;, this evil spell allows you to infuse a dead body with negative energy to create more powerful sorts of undead: ghouls, ghasts, mummies, and mohrgs. The type or types of undead you can create are based on your caster level, as shown on the table below.&lt;/p&gt;&lt;p&gt;&lt;table&gt;&lt;thead&gt;&lt;tr&gt;&lt;th&gt;Caster Level&lt;/th&gt;&lt;th&gt;Undead Created&lt;/th&gt;&lt;/tr&gt; &lt;tbody&gt;&lt;tr&gt;&lt;td&gt;11th or lower&lt;/td&gt;&lt;td&gt;Ghoul&lt;/td&gt;&lt;/tr&gt; &lt;tr&gt;&lt;td&gt;12th-14th&lt;/td&gt;&lt;td&gt;Ghast&lt;/td&gt;&lt;/tr&gt; &lt;tr&gt;&lt;td&gt;15th-17th&lt;/td&gt;&lt;td&gt;Mummy&lt;/td&gt;&lt;/tr&gt; &lt;tr&gt;&lt;td&gt;18th or higher&lt;/td&gt;&lt;td&gt;Mohrg&lt;/td&gt;&lt;/tr&gt;&lt;/tbody&gt;&lt;/table&gt;  You may create less powerful undead than your level would allow if you choose. Created undead are not automatically under the control of their animator. If you are capable of commanding undead, you may attempt to command the undead creature as it forms.&lt;/p&gt;&lt;p&gt;This spell must be cast at night.&lt;/p&gt;&lt;/h4&gt;&lt;/div&gt;</t>
  </si>
  <si>
    <t>Death (6), Evil (6)</t>
  </si>
  <si>
    <t>Create ghasts, ghouls, mohrgs, or mummies.</t>
  </si>
  <si>
    <t>Occult (12), Plague (12)</t>
  </si>
  <si>
    <t>Create Greater Undead</t>
  </si>
  <si>
    <t>cleric/oracle 8, sorcerer/wizard 8, shaman 8</t>
  </si>
  <si>
    <t>This spell functions like create undead, except that you can create more powerful and intelligent sorts of undead: shadows, wraiths, spectres, and devourers. The type or types of undead created is based on caster level, as shown below. Caster Level Undead Created 15th or lower Shadow 16th-17th Wraith 18th-19th Spectre 20th or higher Devourer</t>
  </si>
  <si>
    <t>&lt;p&gt;This spell functions like  &lt;i&gt;create undead &lt;/i&gt;, except that you can create more powerful and intelligent sorts of undead: shadows, wraiths, spectres, and devourers. The type or types of undead created is based on caster level, as shown below.&lt;/p&gt;&lt;p&gt;&lt;table&gt;&lt;tr&gt;&lt;th&gt;Caster Level&lt;/th&gt;&lt;th&gt;Undead Created&lt;/th&gt;&lt;/tr&gt; &lt;tr&gt;&lt;td&gt;15th or lower&lt;/td&gt;&lt;td&gt;Shadow&lt;/td&gt;&lt;/tr&gt; &lt;tr&gt;&lt;td&gt;16th-17th&lt;/td&gt;&lt;td&gt;Wraith&lt;/td&gt;&lt;/tr&gt; &lt;tr&gt;&lt;td&gt;18th-19th&lt;/td&gt;&lt;td&gt;Spectre&lt;/td&gt;&lt;/tr&gt; &lt;tr&gt;&lt;td&gt;20th or higher&lt;/td&gt;&lt;td&gt;Devourer&lt;/td&gt;&lt;/tr&gt;&lt;/table&gt;&lt;/p&gt;</t>
  </si>
  <si>
    <t>&lt;link rel="stylesheet"href="PF.css"&gt;&lt;div class="heading"&gt;&lt;p class="alignleft"&gt;Create Greater Undead&lt;/p&gt;&lt;div style="clear: both;"&gt;&lt;/div&gt;&lt;/div&gt;&lt;div&gt;&lt;h5&gt;&lt;b&gt;School &lt;/b&gt;necromancy [evil]; &lt;b&gt;Level &lt;/b&gt;cleric/oracle 8, sorcerer/wizard 8, shaman 8&lt;/h5&gt;&lt;h5&gt;&lt;b&gt;Casting Time &lt;/b&gt;1 hour&lt;/h5&gt;&lt;h5&gt;&lt;b&gt;Components &lt;/b&gt;V, S, M (a clay pot filled with grave dirt and an onyx gem worth at least 50 gp per HD of the undead to be created)&lt;/h5&gt;&lt;h5&gt;&lt;b&gt;Range &lt;/b&gt;close (25 ft. + 5 ft./2 levels)&lt;/h5&gt;&lt;h5&gt;&lt;b&gt;Targets &lt;/b&gt; one corpse&lt;/h5&gt;&lt;h5&gt;&lt;b&gt;Duration &lt;/b&gt;instantaneous&lt;/h5&gt;&lt;h5&gt;&lt;b&gt;Saving Throw &lt;/b&gt;none; &lt;b&gt;Spell Resistance &lt;/b&gt;no&lt;/h5&gt;&lt;/div&gt;&lt;div&gt;&lt;h4&gt;&lt;p&gt;This spell functions like  &lt;i&gt;create undead &lt;/i&gt;, except that you can create more powerful and intelligent sorts of undead: shadows, wraiths, spectres, and devourers. The type or types of undead created is based on caster level, as shown below.&lt;/p&gt;&lt;p&gt;&lt;table&gt;&lt;tr&gt;&lt;th&gt;Caster Level&lt;/th&gt;&lt;th&gt;Undead Created&lt;/th&gt;&lt;/tr&gt; &lt;tr&gt;&lt;td&gt;15th or lower&lt;/td&gt;&lt;td&gt;Shadow&lt;/td&gt;&lt;/tr&gt; &lt;tr&gt;&lt;td&gt;16th-17th&lt;/td&gt;&lt;td&gt;Wraith&lt;/td&gt;&lt;/tr&gt; &lt;tr&gt;&lt;td&gt;18th-19th&lt;/td&gt;&lt;td&gt;Spectre&lt;/td&gt;&lt;/tr&gt; &lt;tr&gt;&lt;td&gt;20th or higher&lt;/td&gt;&lt;td&gt;Devourer&lt;/td&gt;&lt;/tr&gt;&lt;/table&gt;&lt;/p&gt;&lt;/h4&gt;&lt;/div&gt;</t>
  </si>
  <si>
    <t>Death (8)</t>
  </si>
  <si>
    <t>Create shadows, wraiths, spectres, or devourers.</t>
  </si>
  <si>
    <t>Plague (16)</t>
  </si>
  <si>
    <t>Create Water</t>
  </si>
  <si>
    <t>cleric/oracle 0, druid 0, paladin 1, inquisitor 0, shaman 0, occultist 0</t>
  </si>
  <si>
    <t>up to 2 gallons of water/level</t>
  </si>
  <si>
    <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  Note: Conjuration spells can't create substances or objects within a creature. Water weighs about 8 pounds per gallon. One cubic foot of water contains roughly 8 gallons and weighs about 60 pounds.</t>
  </si>
  <si>
    <t>&lt;p&gt;This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consumed.&lt;/p&gt;&lt;p&gt;Note: Conjuration spells can't create substances or objects within a creature. Water weighs about 8 pounds per gallon. One cubic foot of water contains roughly 8 gallons and weighs about 60 pounds.&lt;/p&gt;</t>
  </si>
  <si>
    <t>&lt;link rel="stylesheet"href="PF.css"&gt;&lt;div class="heading"&gt;&lt;p class="alignleft"&gt;Create Water&lt;/p&gt;&lt;div style="clear: both;"&gt;&lt;/div&gt;&lt;/div&gt;&lt;div&gt;&lt;h5&gt;&lt;b&gt;School &lt;/b&gt;conjuration (creation) [water]; &lt;b&gt;Level &lt;/b&gt;cleric/oracle 0, druid 0, paladin 1, inquisitor 0, shaman 0, occultist 0&lt;/h5&gt;&lt;h5&gt;&lt;b&gt;Casting Time &lt;/b&gt;1 standard action&lt;/h5&gt;&lt;h5&gt;&lt;b&gt;Components &lt;/b&gt;V, S&lt;/h5&gt;&lt;h5&gt;&lt;b&gt;Range &lt;/b&gt;close (25 ft. + 5 ft./2 levels)&lt;/h5&gt;&lt;h5&gt;&lt;b&gt;Effect &lt;/b&gt;up to 2 gallons of water/level&lt;/h5&gt;&lt;h5&gt;&lt;b&gt;Duration &lt;/b&gt;instantaneous&lt;/h5&gt;&lt;h5&gt;&lt;b&gt;Saving Throw &lt;/b&gt;none; &lt;b&gt;Spell Resistance &lt;/b&gt;no&lt;/h5&gt;&lt;/div&gt;&lt;div&gt;&lt;h4&gt;&lt;p&gt;This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consumed.&lt;/p&gt;&lt;p&gt;Note: Conjuration spells can't create substances or objects within a creature. Water weighs about 8 pounds per gallon. One cubic foot of water contains roughly 8 gallons and weighs about 60 pounds.&lt;/p&gt;&lt;/h4&gt;&lt;/div&gt;</t>
  </si>
  <si>
    <t>Creates 2 gallons/level of pure water.</t>
  </si>
  <si>
    <t>Creeping Doom</t>
  </si>
  <si>
    <t>summoning</t>
  </si>
  <si>
    <t>druid 7, summoner 5, shaman 7</t>
  </si>
  <si>
    <t>close (25 ft. + 5 ft./2 levels)/100 ft.; see text</t>
  </si>
  <si>
    <t>four swarms of insects</t>
  </si>
  <si>
    <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  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t>
  </si>
  <si>
    <t>&lt;p&gt;This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once.&lt;/p&gt;&lt;p&gt;You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feet).&lt;/p&gt;</t>
  </si>
  <si>
    <t>&lt;link rel="stylesheet"href="PF.css"&gt;&lt;div class="heading"&gt;&lt;p class="alignleft"&gt;Creeping Doom&lt;/p&gt;&lt;div style="clear: both;"&gt;&lt;/div&gt;&lt;/div&gt;&lt;div&gt;&lt;h5&gt;&lt;b&gt;School &lt;/b&gt;conjuration (summoning); &lt;b&gt;Level &lt;/b&gt;druid 7, summoner 5, shaman 7&lt;/h5&gt;&lt;h5&gt;&lt;b&gt;Casting Time &lt;/b&gt;1 standard action&lt;/h5&gt;&lt;h5&gt;&lt;b&gt;Components &lt;/b&gt;V, S&lt;/h5&gt;&lt;h5&gt;&lt;b&gt;Range &lt;/b&gt;close (25 ft. + 5 ft./2 levels)/100 ft.; see text&lt;/h5&gt;&lt;h5&gt;&lt;b&gt;Effect &lt;/b&gt;four swarms of insects&lt;/h5&gt;&lt;h5&gt;&lt;b&gt;Duration &lt;/b&gt;1 round/level&lt;/h5&gt;&lt;h5&gt;&lt;b&gt;Saving Throw &lt;/b&gt;Fortitude partial; see text; &lt;b&gt;Spell Resistance &lt;/b&gt;no&lt;/h5&gt;&lt;/div&gt;&lt;div&gt;&lt;h4&gt;&lt;p&gt;This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once.&lt;/p&gt;&lt;p&gt;You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feet).&lt;/p&gt;&lt;/h4&gt;&lt;/div&gt;</t>
  </si>
  <si>
    <t>Scalykind (7), Vermin (7)</t>
  </si>
  <si>
    <t> Swarms of centipedes attack at your command.</t>
  </si>
  <si>
    <t>Pestilence (15)</t>
  </si>
  <si>
    <t>Crushing Despair</t>
  </si>
  <si>
    <t>bard 3, sorcerer/wizard 4, witch 4, bloodrager 4, psychic 4, mesmerist 3, spiritualist 4</t>
  </si>
  <si>
    <t>V, S, M</t>
  </si>
  <si>
    <t>30 ft.</t>
  </si>
  <si>
    <t>An invisible cone of despair causes great sadness in the subjects. Each affected creature takes a -2 penalty on attack rolls, saving throws, ability checks, skill checks, and weapon damage rolls. Crushing despair counters and dispels good hope.</t>
  </si>
  <si>
    <t>&lt;p&gt;An invisible cone of despair causes great sadness in the subjects. Each affected creature takes a -2 penalty on attack rolls, saving throws, ability checks, skill checks, and weapon damage rolls.&lt;/p&gt;&lt;p&gt; &lt;i&gt;Crushing despair &lt;/i&gt; counters and dispels  &lt;i&gt;good hope &lt;/i&gt;.&lt;/p&gt;</t>
  </si>
  <si>
    <t>&lt;link rel="stylesheet"href="PF.css"&gt;&lt;div class="heading"&gt;&lt;p class="alignleft"&gt;Crushing Despair&lt;/p&gt;&lt;div style="clear: both;"&gt;&lt;/div&gt;&lt;/div&gt;&lt;div&gt;&lt;h5&gt;&lt;b&gt;School &lt;/b&gt;enchantment (compulsion) [mind-affecting, emotion]; &lt;b&gt;Level &lt;/b&gt;bard 3, sorcerer/wizard 4, witch 4, bloodrager 4, psychic 4, mesmerist 3, spiritualist 4&lt;/h5&gt;&lt;h5&gt;&lt;b&gt;Casting Time &lt;/b&gt;1 standard action&lt;/h5&gt;&lt;h5&gt;&lt;b&gt;Components &lt;/b&gt;V, S, M&lt;/h5&gt;&lt;h5&gt;&lt;b&gt;Range &lt;/b&gt;30 ft.&lt;/h5&gt;&lt;h5&gt;&lt;b&gt;Area &lt;/b&gt;cone-shaped burst&lt;/h5&gt;&lt;h5&gt;&lt;b&gt;Duration &lt;/b&gt;1 min./level&lt;/h5&gt;&lt;h5&gt;&lt;b&gt;Saving Throw &lt;/b&gt;Will negates; &lt;b&gt;Spell Resistance &lt;/b&gt;yes&lt;/h5&gt;&lt;/div&gt;&lt;div&gt;&lt;h4&gt;&lt;p&gt;An invisible cone of despair causes great sadness in the subjects. Each affected creature takes a -2 penalty on attack rolls, saving throws, ability checks, skill checks, and weapon damage rolls.&lt;/p&gt;&lt;p&gt; &lt;i&gt;Crushing despair &lt;/i&gt; counters and dispels  &lt;i&gt;good hope &lt;/i&gt;.&lt;/p&gt;&lt;/h4&gt;&lt;/div&gt;</t>
  </si>
  <si>
    <t>Isolation (4)</t>
  </si>
  <si>
    <t>Subjects take –2 on attack rolls, damage rolls, saves, and checks.</t>
  </si>
  <si>
    <t>Crushing Hand</t>
  </si>
  <si>
    <t>sorcerer/wizard 9, psychic 9</t>
  </si>
  <si>
    <t>V, S, F (a soft glove)</t>
  </si>
  <si>
    <t>This spell functions as interposing hand, except that it can also grapple one opponent as grasping hand. Its CMB and CMD for grapple checks use your caster level in place of its base attack bonus, with a +12 bonus for its Strength score (35) and a +1 bonus for being Large (its Dexterity is 10, granting no bonus to the CMD). A crushing hand deals 2d6+12 points of damage on each successful grapple check against an opponent. The crushing hand can instead be directed to bull rush a target (as forceful hand), using the same bonuses outlined above, or it can be directed to interpose itself, as interposing hand does.</t>
  </si>
  <si>
    <t>&lt;p&gt;This spell functions as &lt;i&gt;interposing hand&lt;/i&gt;, except that it can also grapple one opponent as &lt;i&gt;grasping hand&lt;/i&gt;. Its CMB and CMD for grapple checks use your caster level in place of its base attack bonus, with a +12 bonus for its Strength score (35) and a +1 bonus for being Large (its Dexterity is 10, granting no bonus to the CMD). A &lt;i&gt;crushing hand&lt;/i&gt; deals 2d6+12 points of damage on each successful grapple check against an opponent. The &lt;i&gt;crushing hand&lt;/i&gt; can instead be directed to bull rush a target (as &lt;i&gt;forceful hand&lt;/i&gt;), using the same bonuses outlined above, or it can be directed to interpose itself, as &lt;i&gt;interposing hand&lt;/i&gt; does.&lt;/p&gt;</t>
  </si>
  <si>
    <t>&lt;link rel="stylesheet"href="PF.css"&gt;&lt;div class="heading"&gt;&lt;p class="alignleft"&gt;Crushing Hand&lt;/p&gt;&lt;div style="clear: both;"&gt;&lt;/div&gt;&lt;/div&gt;&lt;div&gt;&lt;h5&gt;&lt;b&gt;School &lt;/b&gt;evocation [force]; &lt;b&gt;Level &lt;/b&gt;sorcerer/wizard 9, psychic 9&lt;/h5&gt;&lt;h5&gt;&lt;b&gt;Casting Time &lt;/b&gt;1 standard action&lt;/h5&gt;&lt;h5&gt;&lt;b&gt;Components &lt;/b&gt;V, S, F (a soft glove)&lt;/h5&gt;&lt;h5&gt;&lt;b&gt;Range &lt;/b&gt;medium (100 ft. + 10 ft./level)&lt;/h5&gt;&lt;h5&gt;&lt;b&gt;Effect &lt;/b&gt;10-ft. hand&lt;/h5&gt;&lt;h5&gt;&lt;b&gt;Duration &lt;/b&gt;1 round/level (D)&lt;/h5&gt;&lt;h5&gt;&lt;b&gt;Saving Throw &lt;/b&gt;none; &lt;b&gt;Spell Resistance &lt;/b&gt;yes&lt;/h5&gt;&lt;/div&gt;&lt;div&gt;&lt;h4&gt;&lt;p&gt;This spell functions as &lt;i&gt;interposing hand&lt;/i&gt;, except that it can also grapple one opponent as &lt;i&gt;grasping hand&lt;/i&gt;. Its CMB and CMD for grapple checks use your caster level in place of its base attack bonus, with a +12 bonus for its Strength score (35) and a +1 bonus for being Large (its Dexterity is 10, granting no bonus to the CMD). A &lt;i&gt;crushing hand&lt;/i&gt; deals 2d6+12 points of damage on each successful grapple check against an opponent. The &lt;i&gt;crushing hand&lt;/i&gt; can instead be directed to bull rush a target (as &lt;i&gt;forceful hand&lt;/i&gt;), using the same bonuses outlined above, or it can be directed to interpose itself, as &lt;i&gt;interposing hand&lt;/i&gt; does.&lt;/p&gt;&lt;/h4&gt;&lt;/div&gt;</t>
  </si>
  <si>
    <t>Strength (9)</t>
  </si>
  <si>
    <t> Large hand provides cover, pushes, or crushes your foes.</t>
  </si>
  <si>
    <t>Cure Light Wounds</t>
  </si>
  <si>
    <t>bard 1, cleric/oracle 1, druid 1, paladin 1, ranger 2, witch 1, inquisitor 1, alchemist 1, shaman 1, occultist 1, spiritualist 1</t>
  </si>
  <si>
    <t>Will half (harmless); see text</t>
  </si>
  <si>
    <t>yes (harmless); see text</t>
  </si>
  <si>
    <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t>
  </si>
  <si>
    <t>&lt;p&gt;When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damage.&lt;/p&gt;</t>
  </si>
  <si>
    <t>&lt;link rel="stylesheet"href="PF.css"&gt;&lt;div class="heading"&gt;&lt;p class="alignleft"&gt;Cure Light Wounds&lt;/p&gt;&lt;div style="clear: both;"&gt;&lt;/div&gt;&lt;/div&gt;&lt;div&gt;&lt;h5&gt;&lt;b&gt;School &lt;/b&gt;conjuration (healing); &lt;b&gt;Level &lt;/b&gt;bard 1, cleric/oracle 1, druid 1, paladin 1, ranger 2, witch 1, inquisitor 1, alchemist 1, shaman 1, occultist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damage.&lt;/p&gt;&lt;/h4&gt;&lt;h5&gt;&lt;b&gt;Mythic: &lt;/b&gt;The damage cured increases to 2d8 points of damage + 2 points per caster level (maximum +10). The spell cures up to 1 point of ability damage if the target is a living creature. The target chooses what type of ability damage is cured.&lt;/h5&gt;&lt;/div&gt;</t>
  </si>
  <si>
    <t>Healing (1)</t>
  </si>
  <si>
    <t>Cures 1d8 damage + 1/level (max +5).</t>
  </si>
  <si>
    <t>The damage cured increases to 2d8 points of damage + 2 points per caster level (maximum +10). The spell cures up to 1 point of ability damage if the target is a living creature. The target chooses what type of ability damage is cured.</t>
  </si>
  <si>
    <t>Cure Critical Wounds</t>
  </si>
  <si>
    <t>bard 4, cleric/oracle 4, druid 5, witch 5, inquisitor 4, alchemist 4, shaman 4, occultist 4, spiritualist 4</t>
  </si>
  <si>
    <t>This spell functions like cure light wounds, except that it cures 4d8 points of damage + 1 point per caster level (maximum +20).</t>
  </si>
  <si>
    <t>&lt;p&gt;This spell functions like &lt;i&gt;cure light wounds&lt;/i&gt;, except that it cures 4d8 points of damage + 1 point per caster level (maximum +20).&lt;/p&gt;</t>
  </si>
  <si>
    <t>&lt;link rel="stylesheet"href="PF.css"&gt;&lt;div class="heading"&gt;&lt;p class="alignleft"&gt;Cure Critical Wounds&lt;/p&gt;&lt;div style="clear: both;"&gt;&lt;/div&gt;&lt;/div&gt;&lt;div&gt;&lt;h5&gt;&lt;b&gt;School &lt;/b&gt;conjuration (healing); &lt;b&gt;Level &lt;/b&gt;bard 4, cleric/oracle 4, druid 5, witch 5, inquisitor 4, alchemist 4, shaman 4, occultist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4d8 points of damage + 1 point per caster level (maximum +20).&lt;/p&gt;&lt;/h4&gt;&lt;h5&gt;&lt;b&gt;Mythic: &lt;/b&gt;The damage cured increases to 8d8 points of damage + 2 points per caster level (maximum +40). The spell cures up to 4 points of ability damage if the target is a living creature. The target chooses what types of ability damage are cured.&lt;/h5&gt;&lt;/div&gt;</t>
  </si>
  <si>
    <t>Healing (4)</t>
  </si>
  <si>
    <t>Cures 4d8 damage + 1/level (max +20).</t>
  </si>
  <si>
    <t>The damage cured increases to 8d8 points of damage + 2 points per caster level (maximum +40). The spell cures up to 4 points of ability damage if the target is a living creature. The target chooses what types of ability damage are cured.</t>
  </si>
  <si>
    <t>Cure Light Wounds, Mass</t>
  </si>
  <si>
    <t>bard 5, cleric/oracle 5, druid 6, witch 6, inquisitor 5, shaman 5, occultist 5</t>
  </si>
  <si>
    <t>Will half (harmless) or Will half; see text</t>
  </si>
  <si>
    <t>yes (harmless) or yes; see text</t>
  </si>
  <si>
    <t>You channel positive energy to cure 1d8 points of damage + 1 point per caster level (maximum +25) on each selected creature. Like other cure spells, mass cure light wounds deals damage to undead in its area rather than curing them. Each affected undead may attempt a Will save for half damage.</t>
  </si>
  <si>
    <t>&lt;p&gt;You channel positive energy to cure 1d8 points of damage + 1 point per caster level (maximum +25) on each selected creature. Like other cure spells, &lt;i&gt;mass cure light wounds&lt;/i&gt; deals damage to undead in its area rather than curing them. Each affected undead may attempt a Will save for half damage.&lt;/p&gt;</t>
  </si>
  <si>
    <t>&lt;link rel="stylesheet"href="PF.css"&gt;&lt;div class="heading"&gt;&lt;p class="alignleft"&gt;Cure Light Wounds, Mass&lt;/p&gt;&lt;div style="clear: both;"&gt;&lt;/div&gt;&lt;/div&gt;&lt;div&gt;&lt;h5&gt;&lt;b&gt;School &lt;/b&gt;conjuration (healing); &lt;b&gt;Level &lt;/b&gt;bard 5, cleric/oracle 5, druid 6, witch 6, inquisitor 5, shaman 5, occultist 5&lt;/h5&gt;&lt;h5&gt;&lt;b&gt;Casting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text&lt;/h5&gt;&lt;/div&gt;&lt;div&gt;&lt;h4&gt;&lt;p&gt;You channel positive energy to cure 1d8 points of damage + 1 point per caster level (maximum +25) on each selected creature. Like other cure spells, &lt;i&gt;mass cure light wounds&lt;/i&gt; deals damage to undead in its area rather than curing them. Each affected undead may attempt a Will save for half damage.&lt;/p&gt;&lt;/h4&gt;&lt;/div&gt;</t>
  </si>
  <si>
    <t>Cures 1d8 damage + 1/level, affects 1 subject/level.</t>
  </si>
  <si>
    <t>Cure Critical Wounds, Mass</t>
  </si>
  <si>
    <t>cleric/oracle 8, druid 9, witch 9, shaman 8</t>
  </si>
  <si>
    <t>This spell functions like mass cure light wounds, except that it cures 4d8 points of damage + 1 point per caster level (maximum +40).</t>
  </si>
  <si>
    <t>&lt;p&gt;This spell functions like &lt;i&gt;mass cure light wounds&lt;/i&gt;, except that it cures 4d8 points of damage + 1 point per caster level (maximum +40).&lt;/p&gt;</t>
  </si>
  <si>
    <t>&lt;link rel="stylesheet"href="PF.css"&gt;&lt;div class="heading"&gt;&lt;p class="alignleft"&gt;Cure Critical Wounds, Mass&lt;/p&gt;&lt;div style="clear: both;"&gt;&lt;/div&gt;&lt;/div&gt;&lt;div&gt;&lt;h5&gt;&lt;b&gt;School &lt;/b&gt;conjuration (healing); &lt;b&gt;Level &lt;/b&gt;cleric/oracle 8, druid 9, witch 9, shaman 8&lt;/h5&gt;&lt;h5&gt;&lt;b&gt;Casting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4d8 points of damage + 1 point per caster level (maximum +40).&lt;/p&gt;&lt;/h4&gt;&lt;/div&gt;</t>
  </si>
  <si>
    <t>Community (8), Healing (8)</t>
  </si>
  <si>
    <t>Cures 4d8 damage + 1/level for many creatures.</t>
  </si>
  <si>
    <t>Healing (16)</t>
  </si>
  <si>
    <t>Cure Moderate Wounds</t>
  </si>
  <si>
    <t>bard 2, cleric/oracle 2, druid 3, paladin 3, ranger 3, witch 2, inquisitor 2, alchemist 2, shaman 2, occultist 2, spiritualist 2</t>
  </si>
  <si>
    <t>This spell functions like cure light wounds, except that it cures 2d8 points of damage + 1 point per caster level (maximum +10).</t>
  </si>
  <si>
    <t>&lt;p&gt;This spell functions like &lt;i&gt;cure light wounds&lt;/i&gt;, except that it cures 2d8 points of damage + 1 point per caster level (maximum +10).&lt;/p&gt;</t>
  </si>
  <si>
    <t>&lt;link rel="stylesheet"href="PF.css"&gt;&lt;div class="heading"&gt;&lt;p class="alignleft"&gt;Cure Moderate Wounds&lt;/p&gt;&lt;div style="clear: both;"&gt;&lt;/div&gt;&lt;/div&gt;&lt;div&gt;&lt;h5&gt;&lt;b&gt;School &lt;/b&gt;conjuration (healing); &lt;b&gt;Level &lt;/b&gt;bard 2, cleric/oracle 2, druid 3, paladin 3, ranger 3, witch 2, inquisitor 2, alchemist 2, shaman 2, occultist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2d8 points of damage + 1 point per caster level (maximum +10).&lt;/p&gt;&lt;/h4&gt;&lt;h5&gt;&lt;b&gt;Mythic: &lt;/b&gt;The damage cured increases to 4d8 points of damage + 2 points per caster level (maximum +20). The spell cures up to 2 points of ability damage if the target is a living creature. The target chooses what types of ability damage are cured.&lt;/h5&gt;&lt;/div&gt;</t>
  </si>
  <si>
    <t>Healing (2)</t>
  </si>
  <si>
    <t>Cures 2d8 damage + 1/level (max +10).</t>
  </si>
  <si>
    <t>The damage cured increases to 4d8 points of damage + 2 points per caster level (maximum +20). The spell cures up to 2 points of ability damage if the target is a living creature. The target chooses what types of ability damage are cured.</t>
  </si>
  <si>
    <t>Cure Moderate Wounds, Mass</t>
  </si>
  <si>
    <t>bard 6, cleric/oracle 6, druid 7, witch 7, inquisitor 6, shaman 6, occultist 6</t>
  </si>
  <si>
    <t>This spell functions like mass cure light wounds, except that it cures 2d8 points of damage + 1 point per caster level (maximum +30).</t>
  </si>
  <si>
    <t>&lt;p&gt;This spell functions like &lt;i&gt;mass cure light wounds&lt;/i&gt;, except that it cures 2d8 points of damage + 1 point per caster level (maximum +30).&lt;/p&gt;</t>
  </si>
  <si>
    <t>&lt;link rel="stylesheet"href="PF.css"&gt;&lt;div class="heading"&gt;&lt;p class="alignleft"&gt;Cure Moderate Wounds, Mass&lt;/p&gt;&lt;div style="clear: both;"&gt;&lt;/div&gt;&lt;/div&gt;&lt;div&gt;&lt;h5&gt;&lt;b&gt;School &lt;/b&gt;conjuration (healing); &lt;b&gt;Level &lt;/b&gt;bard 6, cleric/oracle 6, druid 7, witch 7, inquisitor 6, shaman 6, occultist 6&lt;/h5&gt;&lt;h5&gt;&lt;b&gt;Casting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2d8 points of damage + 1 point per caster level (maximum +30).&lt;/p&gt;&lt;/h4&gt;&lt;/div&gt;</t>
  </si>
  <si>
    <t>Cures 2d8 damage + 1/level, affects 1 subject/level.</t>
  </si>
  <si>
    <t>Cure Serious Wounds</t>
  </si>
  <si>
    <t>bard 3, cleric/oracle 3, druid 4, paladin 4, ranger 4, witch 4, inquisitor 3, alchemist 3, shaman 3, occultist 3, spiritualist 3</t>
  </si>
  <si>
    <t>This spell functions like cure light wounds, except that it cures 3d8 points of damage + 1 point per caster level (maximum +15).</t>
  </si>
  <si>
    <t>&lt;p&gt;This spell functions like &lt;i&gt;cure light wounds&lt;/i&gt;, except that it cures 3d8 points of damage + 1 point per caster level (maximum +15).&lt;/p&gt;</t>
  </si>
  <si>
    <t>&lt;link rel="stylesheet"href="PF.css"&gt;&lt;div class="heading"&gt;&lt;p class="alignleft"&gt;Cure Serious Wounds&lt;/p&gt;&lt;div style="clear: both;"&gt;&lt;/div&gt;&lt;/div&gt;&lt;div&gt;&lt;h5&gt;&lt;b&gt;School &lt;/b&gt;conjuration (healing); &lt;b&gt;Level &lt;/b&gt;bard 3, cleric/oracle 3, druid 4, paladin 4, ranger 4, witch 4, inquisitor 3, alchemist 3, shaman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3d8 points of damage + 1 point per caster level (maximum +15).&lt;/p&gt;&lt;/h4&gt;&lt;h5&gt;&lt;b&gt;Mythic: &lt;/b&gt;The damage cured increases to 6d8 points of damage + 2 points per caster level (maximum +30). The spell cures up to 3 points of ability damage if the target is a living creature. The target chooses what types of ability damage are cured.&lt;/h5&gt;&lt;/div&gt;</t>
  </si>
  <si>
    <t>Healing (3)</t>
  </si>
  <si>
    <t>Cures 3d8 damage + 1/level (max +15).</t>
  </si>
  <si>
    <t>The damage cured increases to 6d8 points of damage + 2 points per caster level (maximum +30). The spell cures up to 3 points of ability damage if the target is a living creature. The target chooses what types of ability damage are cured.</t>
  </si>
  <si>
    <t>Cure Serious Wounds, Mass</t>
  </si>
  <si>
    <t>cleric/oracle 7, druid 8, witch 8, shaman 7</t>
  </si>
  <si>
    <t>This spell functions like mass cure light wounds, except that it cures 3d8 points of damage + 1 point per caster level (maximum +35).</t>
  </si>
  <si>
    <t>&lt;p&gt;This spell functions like &lt;i&gt;mass cure light wounds&lt;/i&gt;, except that it cures 3d8 points of damage + 1 point per caster level (maximum +35).&lt;/p&gt;</t>
  </si>
  <si>
    <t>&lt;link rel="stylesheet"href="PF.css"&gt;&lt;div class="heading"&gt;&lt;p class="alignleft"&gt;Cure Serious Wounds, Mass&lt;/p&gt;&lt;div style="clear: both;"&gt;&lt;/div&gt;&lt;/div&gt;&lt;div&gt;&lt;h5&gt;&lt;b&gt;School &lt;/b&gt;conjuration (healing); &lt;b&gt;Level &lt;/b&gt;cleric/oracle 7, druid 8, witch 8, shaman 7&lt;/h5&gt;&lt;h5&gt;&lt;b&gt;Casting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3d8 points of damage + 1 point per caster level (maximum +35).&lt;/p&gt;&lt;/h4&gt;&lt;/div&gt;</t>
  </si>
  <si>
    <t>Cures 3d8 damage + 1/level, affects 1 subject/level.</t>
  </si>
  <si>
    <t>Curse Water</t>
  </si>
  <si>
    <t>cleric/oracle 1, inquisitor 1, antipaladin 1</t>
  </si>
  <si>
    <t>V, S, M (5 lbs. of powdered silver worth 25 gp)</t>
  </si>
  <si>
    <t>This spell imbues a flask (1 pint) of water with negative energy, turning it into unholy water (see Equipment). Unholy water damages good outsiders the way holy water damages undead and evil outsiders.</t>
  </si>
  <si>
    <t>&lt;p&gt;This spell imbues a flask (1 pint) of water with negative energy, turning it into unholy water (see Equipment). Unholy water damages good outsiders the way holy water damages undead and evil outsiders.&lt;/p&gt;</t>
  </si>
  <si>
    <t>&lt;link rel="stylesheet"href="PF.css"&gt;&lt;div class="heading"&gt;&lt;p class="alignleft"&gt;Curse Water&lt;/p&gt;&lt;div style="clear: both;"&gt;&lt;/div&gt;&lt;/div&gt;&lt;div&gt;&lt;h5&gt;&lt;b&gt;School &lt;/b&gt;necromancy [evil]; &lt;b&gt;Level &lt;/b&gt;cleric/oracle 1, inquisitor 1, antipaladin 1&lt;/h5&gt;&lt;h5&gt;&lt;b&gt;Casting Time &lt;/b&gt;1 minute&lt;/h5&gt;&lt;h5&gt;&lt;b&gt;Components &lt;/b&gt;V, S, M (5 lbs. of powdered silver worth 25 gp)&lt;/h5&gt;&lt;h5&gt;&lt;b&gt;Range &lt;/b&gt;touch&lt;/h5&gt;&lt;h5&gt;&lt;b&gt;Targets &lt;/b&gt; flask of water touched&lt;/h5&gt;&lt;h5&gt;&lt;b&gt;Duration &lt;/b&gt;instantaneous&lt;/h5&gt;&lt;h5&gt;&lt;b&gt;Saving Throw &lt;/b&gt;Will negates (object); &lt;b&gt;Spell Resistance &lt;/b&gt;yes (object)&lt;/h5&gt;&lt;/div&gt;&lt;div&gt;&lt;h4&gt;&lt;p&gt;This spell imbues a flask (1 pint) of water with negative energy, turning it into unholy water (see Equipment). Unholy water damages good outsiders the way holy water damages undead and evil outsiders.&lt;/p&gt;&lt;/h4&gt;&lt;/div&gt;</t>
  </si>
  <si>
    <t>Makes water unholy.</t>
  </si>
  <si>
    <t>Dancing Lights</t>
  </si>
  <si>
    <t>bard 0, sorcerer/wizard 0, witch 0, magus 0, shaman 0, occultist 0, psychic 0, mesmerist 0</t>
  </si>
  <si>
    <t>Up to four lights, all within a 10-ft.-radius area</t>
  </si>
  <si>
    <t>Depending on the version selected, you create up to four lights that resemble lanterns or torches (and cast that amount of light), or up to four glowing spheres of light (which look like will-o'-wisps), or one faintly glowing, vaguely humanoid shape. The dancing lights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 You can only have one dancing lights spell active at any one time. If you cast this spell while another casting is still in effect, the previous casting is dispelled. If you make this spell permanent, it does not count against this limit. Dancing lights can be made permanent with a permanency spell.</t>
  </si>
  <si>
    <t>&lt;p&gt;Depending on the version selected, you create up to four lights that resemble lanterns or torches (and cast that amount of light), or up to four glowing spheres of light (which look like will-o'-wisps), or one faintly glowing, vaguely humanoid shape. The &lt;i&gt;dancing lights&lt;/i&gt;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range.&lt;/p&gt;&lt;p&gt;You can only have one &lt;i&gt;dancing lights&lt;/i&gt; spell active at any one time. If you cast this spell while another casting is still in effect, the previous casting is dispelled. If you make this spell permanent, it does not count against this limit.&lt;/p&gt;&lt;p&gt;&lt;i&gt;Dancing lights&lt;/i&gt; can be made permanent with a &lt;i&gt;permanency&lt;/i&gt; spell.&lt;/p&gt;</t>
  </si>
  <si>
    <t>&lt;link rel="stylesheet"href="PF.css"&gt;&lt;div class="heading"&gt;&lt;p class="alignleft"&gt;Dancing Lights&lt;/p&gt;&lt;div style="clear: both;"&gt;&lt;/div&gt;&lt;/div&gt;&lt;div&gt;&lt;h5&gt;&lt;b&gt;School &lt;/b&gt;evocation [light]; &lt;b&gt;Level &lt;/b&gt;bard 0, sorcerer/wizard 0, witch 0, magus 0, shaman 0, occultist 0, psychic 0, mesmerist 0&lt;/h5&gt;&lt;h5&gt;&lt;b&gt;Casting Time &lt;/b&gt;1 standard action&lt;/h5&gt;&lt;h5&gt;&lt;b&gt;Components &lt;/b&gt;V, S&lt;/h5&gt;&lt;h5&gt;&lt;b&gt;Range &lt;/b&gt;medium (100 ft. + 10 ft./level)&lt;/h5&gt;&lt;h5&gt;&lt;b&gt;Effect &lt;/b&gt;Up to four lights, all within a 10-ft.-radius area&lt;/h5&gt;&lt;h5&gt;&lt;b&gt;Duration &lt;/b&gt;1 minute (D)&lt;/h5&gt;&lt;h5&gt;&lt;b&gt;Saving Throw &lt;/b&gt;none; &lt;b&gt;Spell Resistance &lt;/b&gt;no&lt;/h5&gt;&lt;/div&gt;&lt;div&gt;&lt;h4&gt;&lt;p&gt;Depending on the version selected, you create up to four lights that resemble lanterns or torches (and cast that amount of light), or up to four glowing spheres of light (which look like will-o'-wisps), or one faintly glowing, vaguely humanoid shape. The &lt;i&gt;dancing lights&lt;/i&gt;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range.&lt;/p&gt;&lt;p&gt;You can only have one &lt;i&gt;dancing lights&lt;/i&gt; spell active at any one time. If you cast this spell while another casting is still in effect, the previous casting is dispelled. If you make this spell permanent, it does not count against this limit.&lt;/p&gt;&lt;p&gt;&lt;i&gt;Dancing lights&lt;/i&gt; can be made permanent with a &lt;i&gt;permanency&lt;/i&gt; spell.&lt;/p&gt;&lt;/h4&gt;&lt;/div&gt;</t>
  </si>
  <si>
    <t>Creates torches or other lights.</t>
  </si>
  <si>
    <t>Darkness</t>
  </si>
  <si>
    <t>bard 2, cleric/oracle 2, sorcerer/wizard 2, inquisitor 2, antipaladin 2, magus 2, shaman 2, occultist 2</t>
  </si>
  <si>
    <t>V, M/DF (bat fur and a piece of coal)</t>
  </si>
  <si>
    <t>object touched</t>
  </si>
  <si>
    <t>This spell causes an object to radiate darkness out to a 20-foot radius. This darkness causes the illumination level in the area to drop one step, from bright light to normal light, from normal light to dim light, or from dim light to darkness. This spell has no effect in an area that is already dark. Creatures with light vulnerability or sensitivity take no penalties in normal light. All creatures gain concealment (20% miss chance) in dim light. All creatures gain total concealment (50% miss chance) in darkness.  Creatures with darkvision can see in an area of dim light or darkness without penalty. Nonmagical sources of light, such as torches and lanterns, do not increase the light level in an area of darkness. Magical light sources only increase the light level in an area if they are of a higher spell level than darkness.  If darkness is cast on a small object that is then placed inside or under a lightproof covering, the spell's effect is blocked until the covering is removed.  This spell does not stack with itself. Darkness can be used to counter or dispel any light spell of equal or lower spell level.</t>
  </si>
  <si>
    <t>&lt;p&gt;This spell causes an object to radiate &lt;i&gt;darkness&lt;/i&gt; out to a 20-foot radius. This &lt;i&gt;darkness&lt;/i&gt; causes the illumination level in the area to drop one step, from bright light to normal light, from normal light to dim light, or from dim light to &lt;i&gt;darkness&lt;/i&gt;. This spell has no effect in an area that is already dark. Creatures with light vulnerability or sensitivity take no penalties in normal light. All creatures gain concealment (20% miss chance) in dim light. All creatures gain total concealment (50% miss chance) in &lt;i&gt;darkness&lt;/i&gt;.&lt;/p&gt;&lt;p&gt;Creatures with darkvision can see in an area of dim light or &lt;i&gt;darkness&lt;/i&gt; without penalty. Nonmagical sources of light, such as torches and lanterns, do not increase the light level in an area of &lt;i&gt;darkness&lt;/i&gt;. Magical light sources only increase the light level in an area if they are of a higher spell level than &lt;i&gt;darkness&lt;/i&gt;.&lt;/p&gt;&lt;p&gt;If &lt;i&gt;darkness&lt;/i&gt; is cast on a small object that is then placed inside or under a lightproof covering, the spell's effect is blocked until the covering is removed.&lt;/p&gt;&lt;p&gt;This spell does not stack with itself. &lt;i&gt;Darkness&lt;/i&gt; can be used to counter or dispel any light spell of equal or lower spell level.&lt;/p&gt;</t>
  </si>
  <si>
    <t>&lt;link rel="stylesheet"href="PF.css"&gt;&lt;div class="heading"&gt;&lt;p class="alignleft"&gt;Darkness&lt;/p&gt;&lt;div style="clear: both;"&gt;&lt;/div&gt;&lt;/div&gt;&lt;div&gt;&lt;h5&gt;&lt;b&gt;School &lt;/b&gt;evocation [darkness]; &lt;b&gt;Level &lt;/b&gt;bard 2, cleric/oracle 2, sorcerer/wizard 2, inquisitor 2, antipaladin 2, magus 2, shaman 2, occultist 2&lt;/h5&gt;&lt;/div&gt;&lt;hr/&gt;&lt;div&gt;&lt;h5&gt;&lt;b&gt;CASTING&lt;/b&gt;&lt;/h5&gt;&lt;/div&gt;&lt;hr/&gt;&lt;div&gt;&lt;h5&gt;&lt;b&gt;Casting Time &lt;/b&gt;1 standard action&lt;/h5&gt;&lt;h5&gt;&lt;b&gt;Components &lt;/b&gt;V, M/DF (bat fur and a piece of coal)&lt;/h5&gt;&lt;/div&gt;&lt;hr/&gt;&lt;div&gt;&lt;h5&gt;&lt;b&gt;EFFECT&lt;/b&gt;&lt;/h5&gt;&lt;/div&gt;&lt;hr/&gt;&lt;div&gt;&lt;h5&gt;&lt;b&gt;Range &lt;/b&gt;touch&lt;/h5&gt;&lt;h5&gt;&lt;b&gt;Targets &lt;/b&gt;object touched&lt;/h5&gt;&lt;h5&gt;&lt;b&gt;Duration &lt;/b&gt;1 min./level (D)&lt;/h5&gt;&lt;h5&gt;&lt;b&gt;Saving Throw &lt;/b&gt;none; &lt;b&gt;Spell Resistance &lt;/b&gt;no&lt;/h5&gt;&lt;/div&gt;&lt;hr/&gt;&lt;div&gt;&lt;h5&gt;&lt;b&gt;DESCRIPTION&lt;/b&gt;&lt;/h5&gt;&lt;/div&gt;&lt;hr/&gt;&lt;div&gt;&lt;h4&gt;&lt;p&gt;This spell causes an object to radiate &lt;i&gt;darkness&lt;/i&gt; out to a 20-foot radius. This &lt;i&gt;darkness&lt;/i&gt; causes the illumination level in the area to drop one step, from bright light to normal light, from normal light to dim light, or from dim light to &lt;i&gt;darkness&lt;/i&gt;. This spell has no effect in an area that is already dark. Creatures with light vulnerability or sensitivity take no penalties in normal light. All creatures gain concealment (20% miss chance) in dim light. All creatures gain total concealment (50% miss chance) in &lt;i&gt;darkness&lt;/i&gt;.&lt;/p&gt;&lt;p&gt;Creatures with darkvision can see in an area of dim light or &lt;i&gt;darkness&lt;/i&gt; without penalty. Nonmagical sources of light, such as torches and lanterns, do not increase the light level in an area of &lt;i&gt;darkness&lt;/i&gt;. Magical light sources only increase the light level in an area if they are of a higher spell level than &lt;i&gt;darkness&lt;/i&gt;.&lt;/p&gt;&lt;p&gt;If &lt;i&gt;darkness&lt;/i&gt; is cast on a small object that is then placed inside or under a lightproof covering, the spell's effect is blocked until the covering is removed.&lt;/p&gt;&lt;p&gt;This spell does not stack with itself. &lt;i&gt;Darkness&lt;/i&gt; can be used to counter or dispel any light spell of equal or lower spell level.&lt;/p&gt;&lt;/h4&gt;&lt;h5&gt;&lt;b&gt;Mythic: &lt;/b&gt;The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fear.&lt;/h5&gt;&lt;/div&gt;</t>
  </si>
  <si>
    <t>20-ft. radius of supernatural shadow.</t>
  </si>
  <si>
    <t>Moon (2), Shadow (4)</t>
  </si>
  <si>
    <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t>
  </si>
  <si>
    <t>Darkvision</t>
  </si>
  <si>
    <t>ranger 3, sorcerer/wizard 2, alchemist 2, antipaladin 2, occultist 2, psychic 2</t>
  </si>
  <si>
    <t>V, S, M (either a pinch of dried carrot or an agate)</t>
  </si>
  <si>
    <t>The subject gains the ability to see 60 feet even in total darkness. Darkvision is black and white only but otherwise like normal sight. Darkvision can be made permanent with a permanency spell.</t>
  </si>
  <si>
    <t>&lt;p&gt;The subject gains the ability to see 60 feet even in total darkness. Darkvision is black and white only but otherwise like normal sight.&lt;/p&gt;&lt;p&gt;&lt;i&gt;Darkvision&lt;/i&gt; can be made permanent with a &lt;i&gt;permanency&lt;/i&gt; spell.&lt;/p&gt;</t>
  </si>
  <si>
    <t>&lt;link rel="stylesheet"href="PF.css"&gt;&lt;div class="heading"&gt;&lt;p class="alignleft"&gt;Darkvision&lt;/p&gt;&lt;div style="clear: both;"&gt;&lt;/div&gt;&lt;/div&gt;&lt;div&gt;&lt;h5&gt;&lt;b&gt;School &lt;/b&gt;transmutation; &lt;b&gt;Level &lt;/b&gt;ranger 3, sorcerer/wizard 2, alchemist 2, antipaladin 2, occultist 2, psychic 2&lt;/h5&gt;&lt;h5&gt;&lt;b&gt;Casting Time &lt;/b&gt;1 standard action&lt;/h5&gt;&lt;h5&gt;&lt;b&gt;Components &lt;/b&gt;V, S, M (either a pinch of dried carrot or an agate)&lt;/h5&gt;&lt;h5&gt;&lt;b&gt;Range &lt;/b&gt;touch&lt;/h5&gt;&lt;h5&gt;&lt;b&gt;Targets &lt;/b&gt; creature touched&lt;/h5&gt;&lt;h5&gt;&lt;b&gt;Duration &lt;/b&gt;1 hour/level&lt;/h5&gt;&lt;h5&gt;&lt;b&gt;Saving Throw &lt;/b&gt;Will negates (harmless); &lt;b&gt;Spell Resistance &lt;/b&gt;yes (harmless)&lt;/h5&gt;&lt;/div&gt;&lt;div&gt;&lt;h4&gt;&lt;p&gt;The subject gains the ability to see 60 feet even in total darkness. Darkvision is black and white only but otherwise like normal sight.&lt;/p&gt;&lt;p&gt;&lt;i&gt;Darkvision&lt;/i&gt; can be made permanent with a &lt;i&gt;permanency&lt;/i&gt; spell.&lt;/p&gt;&lt;/h4&gt;&lt;/div&gt;</t>
  </si>
  <si>
    <t>Vermin (3)</t>
  </si>
  <si>
    <t>See 60 ft. in total darkness.</t>
  </si>
  <si>
    <t>Deep Earth (5), Shadow (5)</t>
  </si>
  <si>
    <t>Moon (4)</t>
  </si>
  <si>
    <t>Daylight</t>
  </si>
  <si>
    <t>bard 3, cleric/oracle 3, druid 3, paladin 3, sorcerer/wizard 3, inquisitor 3, magus 3, shaman 3, occultist 3</t>
  </si>
  <si>
    <t>You touch an object when you cast this spell, causing the object to shed bright light in a 60-foot radius. This illumination increases the light level for an additional 60 feet by one step (darkness becomes dim light, dim light becomes normal light, and normal light becomes bright light). Creatures that take penalties in bright light take them while within the 60-foot radius of this magical light. Despite its name, this spell is not the equivalent of daylight for the purposes of creatures that are damaged or destroyed by such light.  If daylight is cast on a small object that is then placed inside or under a light-proof covering, the spell's effects are blocked until the covering is removed.  Daylight brought into an area of magical darkness (or vice versa) is temporarily negated, so that the otherwise prevailing light conditions exist in the overlapping areas of effect.  Daylight counters or dispels any darkness spell of equal or lower level, such as darkness.</t>
  </si>
  <si>
    <t>&lt;p&gt;You touch an object when you cast this spell, causing the object to shed bright light in a 60-foot radius. This illumination increases the light level for an additional 60 feet by one step (&lt;i&gt;darkness&lt;/i&gt; becomes dim light, dim light becomes normal light, and normal light becomes bright light). Creatures that take penalties in bright light take them while within the 60-foot radius of this magical light. Despite its name, this spell is not the equivalent of &lt;i&gt;daylight&lt;/i&gt; for the purposes of creatures that are damaged or destroyed by such light.&lt;/p&gt;&lt;p&gt;If &lt;i&gt;daylight&lt;/i&gt; is cast on a small object that is then placed inside or under a light-proof covering, the spell's effects are blocked until the covering is removed.&lt;/p&gt;&lt;p&gt;&lt;i&gt;Daylight&lt;/i&gt; brought into an area of magical &lt;i&gt;darkness&lt;/i&gt; (or vice versa) is temporarily negated, so that the otherwise prevailing light conditions exist in the overlapping areas of effect.&lt;/p&gt;&lt;p&gt;&lt;i&gt;Daylight&lt;/i&gt; counters or dispels any &lt;i&gt;darkness&lt;/i&gt; spell of equal or lower level, such as &lt;i&gt;darkness&lt;/i&gt;.&lt;/p&gt;</t>
  </si>
  <si>
    <t>&lt;link rel="stylesheet"href="PF.css"&gt;&lt;div class="heading"&gt;&lt;p class="alignleft"&gt;Daylight&lt;/p&gt;&lt;div style="clear: both;"&gt;&lt;/div&gt;&lt;/div&gt;&lt;div&gt;&lt;h5&gt;&lt;b&gt;School &lt;/b&gt;evocation [light]; &lt;b&gt;Level &lt;/b&gt;bard 3, cleric/oracle 3, druid 3, paladin 3, sorcerer/wizard 3, inquisitor 3, magus 3, shaman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&lt;/b&gt;10 min./level (D)&lt;/h5&gt;&lt;h5&gt;&lt;b&gt;Saving Throw &lt;/b&gt;none; &lt;b&gt;Spell Resistance &lt;/b&gt;no&lt;/h5&gt;&lt;/div&gt;&lt;hr/&gt;&lt;div&gt;&lt;h5&gt;&lt;b&gt;DESCRIPTION&lt;/b&gt;&lt;/h5&gt;&lt;/div&gt;&lt;hr/&gt;&lt;div&gt;&lt;h4&gt;&lt;p&gt;You touch an object when you cast this spell, causing the object to shed bright light in a 60-foot radius. This illumination increases the light level for an additional 60 feet by one step (&lt;i&gt;darkness&lt;/i&gt; becomes dim light, dim light becomes normal light, and normal light becomes bright light). Creatures that take penalties in bright light take them while within the 60-foot radius of this magical light. Despite its name, this spell is not the equivalent of &lt;i&gt;daylight&lt;/i&gt; for the purposes of creatures that are damaged or destroyed by such light.&lt;/p&gt;&lt;p&gt;If &lt;i&gt;daylight&lt;/i&gt; is cast on a small object that is then placed inside or under a light-proof covering, the spell's effects are blocked until the covering is removed.&lt;/p&gt;&lt;p&gt;&lt;i&gt;Daylight&lt;/i&gt; brought into an area of magical &lt;i&gt;darkness&lt;/i&gt; (or vice versa) is temporarily negated, so that the otherwise prevailing light conditions exist in the overlapping areas of effect.&lt;/p&gt;&lt;p&gt;&lt;i&gt;Daylight&lt;/i&gt; counters or dispels any &lt;i&gt;darkness&lt;/i&gt; spell of equal or lower level, such as &lt;i&gt;darkness&lt;/i&gt;.&lt;/p&gt;&lt;/h4&gt;&lt;h5&gt;&lt;b&gt;Mythic: &lt;/b&gt;The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fear.&lt;/h5&gt;&lt;/div&gt;</t>
  </si>
  <si>
    <t>Day (3), Light (3)</t>
  </si>
  <si>
    <t>60-ft. radius of bright light.</t>
  </si>
  <si>
    <t>Light (6), Summer (6)</t>
  </si>
  <si>
    <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t>
  </si>
  <si>
    <t>Daze</t>
  </si>
  <si>
    <t>bard 0, sorcerer/wizard 0, witch 0, summoner 0, inquisitor 0, magus 0, shaman 0, occultist 0, psychic 0, mesmerist 0, spiritualist 0</t>
  </si>
  <si>
    <t>V, S, M (a pinch of wool or similar substance)</t>
  </si>
  <si>
    <t>one humanoid creature of 4 HD or less</t>
  </si>
  <si>
    <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t>
  </si>
  <si>
    <t>&lt;p&gt;This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minute.&lt;/p&gt;</t>
  </si>
  <si>
    <t>&lt;link rel="stylesheet"href="PF.css"&gt;&lt;div class="heading"&gt;&lt;p class="alignleft"&gt;Daze&lt;/p&gt;&lt;div style="clear: both;"&gt;&lt;/div&gt;&lt;/div&gt;&lt;div&gt;&lt;h5&gt;&lt;b&gt;School &lt;/b&gt;enchantment (compulsion) [mind-affecting]; &lt;b&gt;Level &lt;/b&gt;bard 0, sorcerer/wizard 0, summoner 0, witch 0, inquisitor 0&lt;/h5&gt;&lt;h5&gt;&lt;b&gt;Casting Time &lt;/b&gt;1 standard action&lt;/h5&gt;&lt;h5&gt;&lt;b&gt;Components &lt;/b&gt;V, S, M (a pinch of wool or similar substance)&lt;/h5&gt;&lt;h5&gt;&lt;b&gt;Range &lt;/b&gt;close (25 ft. + 5 ft./2 levels)&lt;/h5&gt;&lt;h5&gt;&lt;b&gt;Targets &lt;/b&gt; one humanoid creature of 4 HD or less&lt;/h5&gt;&lt;h5&gt;&lt;b&gt;Duration &lt;/b&gt;1 round&lt;/h5&gt;&lt;h5&gt;&lt;b&gt;Saving Throw &lt;/b&gt;Will negates; &lt;b&gt;Spell Resistance &lt;/b&gt;yes&lt;/h5&gt;&lt;/div&gt;&lt;div&gt;&lt;h4&gt;&lt;p&gt;This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minute.&lt;/p&gt;&lt;/h4&gt;&lt;/div&gt;</t>
  </si>
  <si>
    <t>Humanoid creature of 4 HD or less loses next action.</t>
  </si>
  <si>
    <t>Daze Monster</t>
  </si>
  <si>
    <t>bard 2, sorcerer/wizard 2, summoner 1, witch 2, bloodrager 2, occultist 2, psychic 2, mesmerist 2</t>
  </si>
  <si>
    <t>one living creature of 6 HD or less</t>
  </si>
  <si>
    <t>This spell functions like daze, but it can affect any one living creature of any type. Creatures of 7 or more HD are not affected.</t>
  </si>
  <si>
    <t>&lt;p&gt;This spell functions like &lt;i&gt;daze&lt;/i&gt;, but it can affect any one living creature of any type. Creatures of 7 or more HD are not affected.&lt;/p&gt;</t>
  </si>
  <si>
    <t>&lt;link rel="stylesheet"href="PF.css"&gt;&lt;div class="heading"&gt;&lt;p class="alignleft"&gt;Daze Monster&lt;/p&gt;&lt;div style="clear: both;"&gt;&lt;/div&gt;&lt;/div&gt;&lt;div&gt;&lt;h5&gt;&lt;b&gt;School &lt;/b&gt;enchantment (compulsion) [mind-affecting]; &lt;b&gt;Level &lt;/b&gt;bard 2, sorcerer/wizard 2, witch 2, summoner 1&lt;/h5&gt;&lt;h5&gt;&lt;b&gt;Casting Time &lt;/b&gt;1 standard action&lt;/h5&gt;&lt;h5&gt;&lt;b&gt;Components &lt;/b&gt;V, S, M (a pinch of wool or similar substance)&lt;/h5&gt;&lt;h5&gt;&lt;b&gt;Range &lt;/b&gt;medium (100 ft. + 10 ft./level)&lt;/h5&gt;&lt;h5&gt;&lt;b&gt;Targets &lt;/b&gt; one living creature of 6 HD or less&lt;/h5&gt;&lt;h5&gt;&lt;b&gt;Duration &lt;/b&gt;1 round&lt;/h5&gt;&lt;h5&gt;&lt;b&gt;Saving Throw &lt;/b&gt;Will negates; &lt;b&gt;Spell Resistance &lt;/b&gt;yes&lt;/h5&gt;&lt;/div&gt;&lt;div&gt;&lt;h4&gt;&lt;p&gt;This spell functions like &lt;i&gt;daze&lt;/i&gt;, but it can affect any one living creature of any type. Creatures of 7 or more HD are not affected.&lt;/p&gt;&lt;/h4&gt;&lt;/div&gt;</t>
  </si>
  <si>
    <t>Living creature of 6 HD or less loses next action.</t>
  </si>
  <si>
    <t>Death Knell</t>
  </si>
  <si>
    <t>death, evil</t>
  </si>
  <si>
    <t>antipaladin 1, cleric/oracle 2, inquisitor 2, witch 2, spiritualist 2</t>
  </si>
  <si>
    <t>instantaneous/10 minutes per HD of subject; see text</t>
  </si>
  <si>
    <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t>
  </si>
  <si>
    <t>&lt;p&gt;You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creature.&lt;/p&gt;</t>
  </si>
  <si>
    <t>&lt;link rel="stylesheet"href="PF.css"&gt;&lt;div class="heading"&gt;&lt;p class="alignleft"&gt;Death Knell&lt;/p&gt;&lt;div style="clear: both;"&gt;&lt;/div&gt;&lt;/div&gt;&lt;div&gt;&lt;h5&gt;&lt;b&gt;School &lt;/b&gt;necromancy [death, evil]; &lt;b&gt;Level &lt;/b&gt;antipaladin 1, cleric/oracle 2, inquisitor 2, witch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&lt;/b&gt;instantaneous/10 minutes per HD of subject; see text&lt;/h5&gt;&lt;h5&gt;&lt;b&gt;Saving Throw &lt;/b&gt;Will negates; &lt;b&gt;Spell Resistance &lt;/b&gt;yes&lt;/h5&gt;&lt;/div&gt;&lt;hr/&gt;&lt;div&gt;&lt;h5&gt;&lt;b&gt;DESCRIPTION&lt;/b&gt;&lt;/h5&gt;&lt;/div&gt;&lt;hr/&gt;&lt;div&gt;&lt;h4&gt;&lt;p&gt;You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creature.&lt;/p&gt;&lt;/h4&gt;&lt;h5&gt;&lt;b&gt;Mythic: &lt;/b&gt;Increase the spell's range to close (25 feet + 5 feet per 2 caster levels). Increase the temporary hp gained from the spell to 2d8 and the enhancement bonuses to Strength to +4, and gain a +4 enhancement bonus to Dexterity.&lt;/h5&gt;&lt;h5&gt;&lt;b&gt;Augmented (3rd)&lt;/b&gt;: If you expend two uses of mythic power, the casting time decreases to 1 immediate action, and you may target a creature that you killed on your last turn as if it were still alive; the dead target gets no save.&lt;/h5&gt;&lt;/div&gt;</t>
  </si>
  <si>
    <t>Death (2)</t>
  </si>
  <si>
    <t>Kills dying creature; you gain 1d8 temporary hp, +2 to Str, and +1 caster level.</t>
  </si>
  <si>
    <t>Increase the spell's range to close (25 feet + 5 feet per 2 caster levels). Increase the temporary hp gained from the spell to 2d8 and the enhancement bonuses to Strength to +4, and gain a +4 enhancement bonus to Dexterity.</t>
  </si>
  <si>
    <t>Augmented (3rd): If you expend two uses of mythic power, the casting time decreases to 1 immediate action, and you may target a creature that you killed on your last turn as if it were still alive; the dead target gets no save.</t>
  </si>
  <si>
    <t>Death Ward</t>
  </si>
  <si>
    <t>cleric/oracle 4, druid 5, paladin 4, witch 4, inquisitor 4, alchemist 4, occultist 4, spiritualist 4</t>
  </si>
  <si>
    <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 This spell does not remove negative levels that the subject has already gained, but it does remove the penalties from negative levels for the duration of its effect. Death ward does not protect against other sorts of attacks, even if those attacks might be lethal.</t>
  </si>
  <si>
    <t>&lt;p&gt;The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energy.&lt;/p&gt;&lt;p&gt;This spell does not remove negative levels that the subject has already gained, but it does remove the penalties from negative levels for the duration of its effect.&lt;/p&gt;&lt;p&gt;&lt;i&gt;Death ward&lt;/i&gt; does not protect against other sorts of attacks, even if those attacks might be lethal.&lt;/p&gt;</t>
  </si>
  <si>
    <t>&lt;link rel="stylesheet"href="PF.css"&gt;&lt;div class="heading"&gt;&lt;p class="alignleft"&gt;Death Ward&lt;/p&gt;&lt;div style="clear: both;"&gt;&lt;/div&gt;&lt;/div&gt;&lt;div&gt;&lt;h5&gt;&lt;b&gt;School &lt;/b&gt;necromancy; &lt;b&gt;Level &lt;/b&gt;cleric/oracle 4, druid 5, paladin 4, witch 4, inquisitor 4&lt;/h5&gt;&lt;h5&gt;&lt;b&gt;Casting Time &lt;/b&gt;1 standard action&lt;/h5&gt;&lt;h5&gt;&lt;b&gt;Components &lt;/b&gt;V, S, DF&lt;/h5&gt;&lt;h5&gt;&lt;b&gt;Range &lt;/b&gt;touch&lt;/h5&gt;&lt;h5&gt;&lt;b&gt;Targets &lt;/b&gt; living creature touched&lt;/h5&gt;&lt;h5&gt;&lt;b&gt;Duration &lt;/b&gt;1 min./level&lt;/h5&gt;&lt;h5&gt;&lt;b&gt;Saving Throw &lt;/b&gt;Will negates (harmless); &lt;b&gt;Spell Resistance &lt;/b&gt;yes (harmless)&lt;/h5&gt;&lt;/div&gt;&lt;div&gt;&lt;h4&gt;&lt;p&gt;The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energy.&lt;/p&gt;&lt;p&gt;This spell does not remove negative levels that the subject has already gained, but it does remove the penalties from negative levels for the duration of its effect.&lt;/p&gt;&lt;p&gt;&lt;i&gt;Death ward&lt;/i&gt; does not protect against other sorts of attacks, even if those attacks might be lethal.&lt;/p&gt;&lt;/h4&gt;&lt;/div&gt;</t>
  </si>
  <si>
    <t>Death (4), Repose (4)</t>
  </si>
  <si>
    <t>Grants bonuses against death spells and negative energy.</t>
  </si>
  <si>
    <t>Deathwatch</t>
  </si>
  <si>
    <t>cleric/oracle 1, spiritualist 1</t>
  </si>
  <si>
    <t>cone-shaped emanation</t>
  </si>
  <si>
    <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Deathwatch sees through any spell or ability that allows creatures to feign death.</t>
  </si>
  <si>
    <t>&lt;p&gt;Using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&lt;i&gt;Deathwatch&lt;/i&gt; sees through any spell or ability that allows creatures to feign death.&lt;/p&gt;</t>
  </si>
  <si>
    <t>&lt;link rel="stylesheet"href="PF.css"&gt;&lt;div class="heading"&gt;&lt;p class="alignleft"&gt;Deathwatch&lt;/p&gt;&lt;div style="clear: both;"&gt;&lt;/div&gt;&lt;/div&gt;&lt;div&gt;&lt;h5&gt;&lt;b&gt;School &lt;/b&gt;necromancy; &lt;b&gt;Level &lt;/b&gt;cleric/oracle 1, spiritualist 1&lt;/h5&gt;&lt;h5&gt;&lt;b&gt;Casting Time &lt;/b&gt;1 standard action&lt;/h5&gt;&lt;h5&gt;&lt;b&gt;Components &lt;/b&gt;V, S&lt;/h5&gt;&lt;h5&gt;&lt;b&gt;Range &lt;/b&gt;30 ft.&lt;/h5&gt;&lt;h5&gt;&lt;b&gt;Area &lt;/b&gt;cone-shaped emanation&lt;/h5&gt;&lt;h5&gt;&lt;b&gt;Duration &lt;/b&gt;10 min./level&lt;/h5&gt;&lt;h5&gt;&lt;b&gt;Saving Throw &lt;/b&gt;none; &lt;b&gt;Spell Resistance &lt;/b&gt;no&lt;/h5&gt;&lt;/div&gt;&lt;div&gt;&lt;h4&gt;&lt;p&gt;Using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&lt;i&gt;Deathwatch&lt;/i&gt; sees through any spell or ability that allows creatures to feign death.&lt;/p&gt;&lt;/h4&gt;&lt;/div&gt;</t>
  </si>
  <si>
    <t>Repose (1)</t>
  </si>
  <si>
    <t> Reveals how near death subjects within 30 ft. are.</t>
  </si>
  <si>
    <t>Deeper Darkness</t>
  </si>
  <si>
    <t>This spell functions as darkness, except that objects radiate darkness in a 60-foot radius and the light level is lowered by two steps. Bright light becomes dim light and normal light becomes darkness. Areas of dim light and darkness become supernaturally dark. This functions like darkness, but even creatures with darkvision cannot see within the spell's confines. This spell does not stack with itself. Deeper darkness can be used to counter or dispel any light spell of equal or lower spell level.</t>
  </si>
  <si>
    <t>&lt;p&gt;This spell functions as &lt;i&gt;darkness&lt;/i&gt;, except that objects radiate &lt;i&gt;darkness&lt;/i&gt; in a 60-foot radius and the light level is lowered by two steps. Bright light becomes dim light and normal light becomes &lt;i&gt;darkness&lt;/i&gt;. Areas of dim light and &lt;i&gt;darkness&lt;/i&gt; become supernaturally dark. This functions like &lt;i&gt;darkness&lt;/i&gt;, but even creatures with darkvision cannot see within the spell's confines.&lt;/p&gt;&lt;p&gt;This spell does not stack with itself. &lt;b&gt;Deeper&lt;/b&gt; &lt;i&gt;darkness&lt;/i&gt; can be used to counter or dispel any light spell of equal or lower spell level.&lt;/p&gt;</t>
  </si>
  <si>
    <t>&lt;link rel="stylesheet"href="PF.css"&gt;&lt;div class="heading"&gt;&lt;p class="alignleft"&gt;Deeper Darkness&lt;/p&gt;&lt;div style="clear: both;"&gt;&lt;/div&gt;&lt;/div&gt;&lt;div&gt;&lt;h5&gt;&lt;b&gt;School &lt;/b&gt;evocation [darkness]; &lt;b&gt;Level &lt;/b&gt;cleric/oracle 3, shaman 3, occultist 3&lt;/h5&gt;&lt;/div&gt;&lt;hr/&gt;&lt;div&gt;&lt;h5&gt;&lt;b&gt;CASTING&lt;/b&gt;&lt;/h5&gt;&lt;/div&gt;&lt;hr/&gt;&lt;div&gt;&lt;h5&gt;&lt;b&gt;Casting Time &lt;/b&gt;1 standard action&lt;/h5&gt;&lt;h5&gt;&lt;b&gt;Components &lt;/b&gt;V, M/DF (bat fur and a piece of coal)&lt;/h5&gt;&lt;/div&gt;&lt;hr/&gt;&lt;div&gt;&lt;h5&gt;&lt;b&gt;EFFECT&lt;/b&gt;&lt;/h5&gt;&lt;/div&gt;&lt;hr/&gt;&lt;div&gt;&lt;h5&gt;&lt;b&gt;Range &lt;/b&gt;touch&lt;/h5&gt;&lt;h5&gt;&lt;b&gt;Targets &lt;/b&gt;object touched&lt;/h5&gt;&lt;h5&gt;&lt;b&gt;Duration &lt;/b&gt;10 min./level (D)&lt;/h5&gt;&lt;h5&gt;&lt;b&gt;Saving Throw &lt;/b&gt;none; &lt;b&gt;Spell Resistance &lt;/b&gt;no&lt;/h5&gt;&lt;/div&gt;&lt;hr/&gt;&lt;div&gt;&lt;h5&gt;&lt;b&gt;DESCRIPTION&lt;/b&gt;&lt;/h5&gt;&lt;/div&gt;&lt;hr/&gt;&lt;div&gt;&lt;h4&gt;&lt;p&gt;This spell functions as &lt;i&gt;darkness&lt;/i&gt;, except that objects radiate &lt;i&gt;darkness&lt;/i&gt; in a 60-foot radius and the light level is lowered by two steps. Bright light becomes dim light and normal light becomes &lt;i&gt;darkness&lt;/i&gt;. Areas of dim light and &lt;i&gt;darkness&lt;/i&gt; become supernaturally dark. This functions like &lt;i&gt;darkness&lt;/i&gt;, but even creatures with darkvision cannot see within the spell's confines.&lt;/p&gt;&lt;p&gt;This spell does not stack with itself. &lt;i&gt;Deeper darkness&lt;/i&gt; can be used to counter or dispel any light spell of equal or lower spell level.&lt;/p&gt;&lt;/h4&gt;&lt;/div&gt;</t>
  </si>
  <si>
    <t>Darkness (3)</t>
  </si>
  <si>
    <t>Object sheds shadows in 60-ft. radius.</t>
  </si>
  <si>
    <t>Shadow (7), Div (7)</t>
  </si>
  <si>
    <t>Shadow (6)</t>
  </si>
  <si>
    <t>Deep Slumber</t>
  </si>
  <si>
    <t>bard 3, sorcerer/wizard 3, witch 3, shaman 3, occultist 3, psychic 3, mesmerist 3</t>
  </si>
  <si>
    <t>V, S, M (fine sand, rose petals, or a live cricket)</t>
  </si>
  <si>
    <t>one or more living creatures within a 10-ft.-radius burst</t>
  </si>
  <si>
    <t>This spell functions like sleep, except that it affects 10 HD of targets.</t>
  </si>
  <si>
    <t>&lt;p&gt;This spell functions like &lt;i&gt;sleep&lt;/i&gt;, except that it affects 10 HD of targets.&lt;/p&gt;</t>
  </si>
  <si>
    <t>&lt;link rel="stylesheet"href="PF.css"&gt;&lt;div class="heading"&gt;&lt;p class="alignleft"&gt;Deep Slumber&lt;/p&gt;&lt;div style="clear: both;"&gt;&lt;/div&gt;&lt;/div&gt;&lt;div&gt;&lt;h5&gt;&lt;b&gt;School &lt;/b&gt;enchantment (compulsion) [mind-affecting]; &lt;b&gt;Level &lt;/b&gt;bard 3, sorcerer/wizard 3, witch 3, shaman 3, occultist 3, psychic 3, mesmerist 3&lt;/h5&gt;&lt;/div&gt;&lt;hr/&gt;&lt;div&gt;&lt;h5&gt;&lt;b&gt;CASTING&lt;/b&gt;&lt;/h5&gt;&lt;/div&gt;&lt;hr/&gt;&lt;div&gt;&lt;h5&gt;&lt;b&gt;Casting Time &lt;/b&gt;1 round&lt;/h5&gt;&lt;h5&gt;&lt;b&gt;Components &lt;/b&gt;V, S, M (fine sand, rose petals, or a live cricket)&lt;/h5&gt;&lt;/div&gt;&lt;hr/&gt;&lt;div&gt;&lt;h5&gt;&lt;b&gt;EFFECT&lt;/b&gt;&lt;/h5&gt;&lt;/div&gt;&lt;hr/&gt;&lt;div&gt;&lt;h5&gt;&lt;b&gt;Range &lt;/b&gt;close (25 ft. + 5 ft./2 levels)&lt;/h5&gt;&lt;h5&gt;&lt;b&gt;Area &lt;/b&gt;one or more living creatures within a 10-ft.-radius burst&lt;/h5&gt;&lt;h5&gt;&lt;b&gt;Duration &lt;/b&gt;1 min./level&lt;/h5&gt;&lt;h5&gt;&lt;b&gt;Saving Throw &lt;/b&gt;Will negates; &lt;b&gt;Spell Resistance &lt;/b&gt;yes&lt;/h5&gt;&lt;/div&gt;&lt;hr/&gt;&lt;div&gt;&lt;h5&gt;&lt;b&gt;DESCRIPTION&lt;/b&gt;&lt;/h5&gt;&lt;/div&gt;&lt;hr/&gt;&lt;div&gt;&lt;h4&gt;&lt;p&gt;This spell functions like &lt;i&gt;sleep&lt;/i&gt;, except that it affects 10 HD of targets.&lt;/p&gt;&lt;/h4&gt;&lt;h5&gt;&lt;b&gt;Mythic: &lt;/b&gt;This spell works like mythic sleep, except that it affects up to 20 Hit Dice of creatures. Alternatively, you may target one creature rather than an area, increasing the duration to 1 hour per level.&lt;/h5&gt;&lt;h5&gt;&lt;b&gt;Augmented (5th)&lt;/b&gt;: If you expend two uses of mythic power, creatures affected by the spell can be awakened only by mythic effects. If you're 5th tier and expend three uses of mythic power, the duration increases to 10 years per tier. If you're 5th tier and expend four uses of mythic power, the spell has both augmented effects. Creatures sleeping for years because of this spell age and breathe as normal, but don't need to eat or drink while the spell lasts.&lt;/h5&gt;&lt;/div&gt;</t>
  </si>
  <si>
    <t>Puts 10 HD of creatures to sleep.</t>
  </si>
  <si>
    <t>Dreamspun (7), Fey (7)</t>
  </si>
  <si>
    <t>This spell works like mythic sleep, except that it affects up to 20 Hit Dice of creatures. Alternatively, you may target one creature rather than an area, increasing the duration to 1 hour per level.</t>
  </si>
  <si>
    <t>Augmented (5th): If you expend two uses of mythic power, creatures affected by the spell can be awakened only by mythic effects. If you're 5th tier and expend three uses of mythic power, the duration increases to 10 years per tier. If you're 5th tier and expend four uses of mythic power, the spell has both augmented effects. Creatures sleeping for years because of this spell age and breathe as normal, but don't need to eat or drink while the spell lasts.</t>
  </si>
  <si>
    <t>Delayed Blast Fireball</t>
  </si>
  <si>
    <t>V, S, M (a ball of bat guano and sulfur)</t>
  </si>
  <si>
    <t>5 rounds or less; see text</t>
  </si>
  <si>
    <t>This spell functions like fireball, except that it is more powerful and can detonate up to 5 rounds after the spell is cast. The burst of flame deals 1d6 points of fire damage per caster level (maximum 20d6). The glowing bead created by delayed blast fireball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t>
  </si>
  <si>
    <t>&lt;p&gt;This spell functions like &lt;i&gt;fireball&lt;/i&gt;, except that it is more powerful and can detonate up to 5 rounds after the spell is cast. The burst of flame deals 1d6 points of fire damage per caster level (maximum 20d6). The glowing bead created by &lt;i&gt;delayed blast fireball&lt;/i&gt;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handled.&lt;/p&gt;</t>
  </si>
  <si>
    <t>&lt;link rel="stylesheet"href="PF.css"&gt;&lt;div class="heading"&gt;&lt;p class="alignleft"&gt;Delayed Blast Fireball&lt;/p&gt;&lt;div style="clear: both;"&gt;&lt;/div&gt;&lt;/div&gt;&lt;div&gt;&lt;h5&gt;&lt;b&gt;School &lt;/b&gt;evocation [fire]; &lt;b&gt;Level &lt;/b&gt;sorcerer/wizard 7&lt;/h5&gt;&lt;h5&gt;&lt;b&gt;Casting Time &lt;/b&gt;1 standard action&lt;/h5&gt;&lt;h5&gt;&lt;b&gt;Components &lt;/b&gt;V, S, M (a ball of bat guano and sulfur)&lt;/h5&gt;&lt;h5&gt;&lt;b&gt;Range &lt;/b&gt;long (400 ft. + 40 ft./level)&lt;/h5&gt;&lt;h5&gt;&lt;b&gt;Area &lt;/b&gt;20-ft.-radius spread&lt;/h5&gt;&lt;h5&gt;&lt;b&gt;Duration &lt;/b&gt;5 rounds or less; see text&lt;/h5&gt;&lt;h5&gt;&lt;b&gt;Saving Throw &lt;/b&gt;Reflex half; &lt;b&gt;Spell Resistance &lt;/b&gt;yes&lt;/h5&gt;&lt;/div&gt;&lt;div&gt;&lt;h4&gt;&lt;p&gt;This spell functions like &lt;i&gt;fireball&lt;/i&gt;, except that it is more powerful and can detonate up to 5 rounds after the spell is cast. The burst of flame deals 1d6 points of fire damage per caster level (maximum 20d6). The glowing bead created by &lt;i&gt;delayed blast fireball&lt;/i&gt;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handled.&lt;/p&gt;&lt;/h4&gt;&lt;/div&gt;</t>
  </si>
  <si>
    <t>Arson (7)</t>
  </si>
  <si>
    <t> 1d6/level fire damage; you can postpone blast for up to 5 rounds.</t>
  </si>
  <si>
    <t>Kobold Sorcerer (15), Orc (15), Kobold (15)</t>
  </si>
  <si>
    <t>Delay Poison</t>
  </si>
  <si>
    <t>bard 2, cleric/oracle 2, druid 2, paladin 2, ranger 1, alchemist 2, witch 2, inquisitor 2, shaman 2, occultist 2, mesmerist 2</t>
  </si>
  <si>
    <t>Fortitude negates (harmless)</t>
  </si>
  <si>
    <t>The subject becomes temporarily immune to poison. Any poison in its system or any poison to which it is exposed during the spell's duration does not affect the subject until the spell's duration has expired. Delay poison does not cure any damage that poison may have already done.</t>
  </si>
  <si>
    <t>&lt;p&gt;The subject becomes temporarily immune to poison. Any poison in its system or any poison to which it is exposed during the spell's duration does not affect the subject until the spell's duration has expired. &lt;i&gt;Delay poison&lt;/i&gt; does not cure any damage that poison may have already done.&lt;/p&gt;</t>
  </si>
  <si>
    <t>&lt;link rel="stylesheet"href="PF.css"&gt;&lt;div class="heading"&gt;&lt;p class="alignleft"&gt;Delay Poison&lt;/p&gt;&lt;div style="clear: both;"&gt;&lt;/div&gt;&lt;/div&gt;&lt;div&gt;&lt;h5&gt;&lt;b&gt;School &lt;/b&gt;conjuration (healing); &lt;b&gt;Level &lt;/b&gt;bard 2, cleric/oracle 2, druid 2, paladin 2, ranger 1, alchemist 2, witch 2, inquisitor 2, shaman 2, occultist 2, mesmerist 2, alchemist 2, witch 2, inquisitor 2&lt;/h5&gt;&lt;h5&gt;&lt;b&gt;Casting Time &lt;/b&gt;1 standard action&lt;/h5&gt;&lt;h5&gt;&lt;b&gt;Components &lt;/b&gt;V, S, DF&lt;/h5&gt;&lt;h5&gt;&lt;b&gt;Range &lt;/b&gt;touch&lt;/h5&gt;&lt;h5&gt;&lt;b&gt;Targets &lt;/b&gt; creature touched&lt;/h5&gt;&lt;h5&gt;&lt;b&gt;Duration &lt;/b&gt;1 hour/level&lt;/h5&gt;&lt;h5&gt;&lt;b&gt;Saving Throw &lt;/b&gt;Fortitude negates (harmless); &lt;b&gt;Spell Resistance &lt;/b&gt;yes (harmless)&lt;/h5&gt;&lt;/div&gt;&lt;div&gt;&lt;h4&gt;&lt;p&gt;The subject becomes temporarily immune to poison. Any poison in its system or any poison to which it is exposed during the spell's duration does not affect the subject until the spell's duration has expired. &lt;i&gt;Delay poison&lt;/i&gt; does not cure any damage that poison may have already done.&lt;/p&gt;&lt;/h4&gt;&lt;/div&gt;</t>
  </si>
  <si>
    <t>Stops poison from harming target for 1 hour/level.</t>
  </si>
  <si>
    <t>Serpentine (5)</t>
  </si>
  <si>
    <t>Demand</t>
  </si>
  <si>
    <t>sorcerer/wizard 8, witch 8, psychic 8, mesmerist 6</t>
  </si>
  <si>
    <t>V, S, M/DF (fine copper wire)</t>
  </si>
  <si>
    <t>one creature</t>
  </si>
  <si>
    <t>1 round; see text</t>
  </si>
  <si>
    <t>This spell functions like sending, but the message can also contain a suggestion (see the suggestion spell), which the subject does its best to carry out. A successful Will save negates the suggestion effect but not the contact itself. The demand, if received, is understood even if the subject's Intelligence score is as low as 1. If the message is impossible or meaningless according to the circumstances that exist for the subject at the time the demand is issued, the message is understood but the suggestion is ineffective. The demand's message to the creature must be 25 words or less, including the suggestion. The creature can also give a short reply immediately.</t>
  </si>
  <si>
    <t>&lt;p&gt;This spell functions like &lt;i&gt;sending&lt;/i&gt;, but the message can also contain a &lt;i&gt;suggestion&lt;/i&gt; (see the &lt;i&gt;suggestion&lt;/i&gt; spell), which the subject does its best to carry out. A successful Will save negates the &lt;i&gt;suggestion&lt;/i&gt; effect but not the contact itself. The &lt;i&gt;demand&lt;/i&gt;, if received, is understood even if the subject's Intelligence score is as low as 1. If the message is impossible or meaningless according to the circumstances that exist for the subject at the time the &lt;i&gt;demand&lt;/i&gt; is issued, the message is understood but the &lt;i&gt;suggestion&lt;/i&gt; is ineffective.&lt;/p&gt;&lt;p&gt;The &lt;i&gt;demand's&lt;/i&gt; message to the creature must be 25 words or less, including the &lt;i&gt;suggestion&lt;/i&gt;. The creature can also give a short reply immediately.&lt;/p&gt;</t>
  </si>
  <si>
    <t>&lt;link rel="stylesheet"href="PF.css"&gt;&lt;div class="heading"&gt;&lt;p class="alignleft"&gt;Demand&lt;/p&gt;&lt;div style="clear: both;"&gt;&lt;/div&gt;&lt;/div&gt;&lt;div&gt;&lt;h5&gt;&lt;b&gt;School &lt;/b&gt;enchantment (compulsion) [mind-affecting]; &lt;b&gt;Level &lt;/b&gt;sorcerer/wizard 8, witch 8, psychic 8, mesmerist 6&lt;/h5&gt;&lt;h5&gt;&lt;b&gt;Casting Time &lt;/b&gt;10 minutes&lt;/h5&gt;&lt;h5&gt;&lt;b&gt;Components &lt;/b&gt;V, S, M/DF (fine copper wire)&lt;/h5&gt;&lt;h5&gt;&lt;b&gt;Range &lt;/b&gt;see text&lt;/h5&gt;&lt;h5&gt;&lt;b&gt;Targets &lt;/b&gt; one creature&lt;/h5&gt;&lt;h5&gt;&lt;b&gt;Duration &lt;/b&gt;1 round; see text&lt;/h5&gt;&lt;h5&gt;&lt;b&gt;Saving Throw &lt;/b&gt;Will partial; &lt;b&gt;Spell Resistance &lt;/b&gt;yes&lt;/h5&gt;&lt;/div&gt;&lt;div&gt;&lt;h4&gt;&lt;p&gt;This spell functions like &lt;i&gt;sending&lt;/i&gt;, but the message can also contain a &lt;i&gt;suggestion&lt;/i&gt; (see the &lt;i&gt;suggestion&lt;/i&gt; spell), which the subject does its best to carry out. A successful Will save negates the &lt;i&gt;suggestion&lt;/i&gt; effect but not the contact itself. The &lt;i&gt;demand&lt;/i&gt;, if received, is understood even if the subject's Intelligence score is as low as 1. If the message is impossible or meaningless according to the circumstances that exist for the subject at the time the &lt;i&gt;demand&lt;/i&gt; is issued, the message is understood but the &lt;i&gt;suggestion&lt;/i&gt; is ineffective.&lt;/p&gt;&lt;p&gt;The &lt;i&gt;demand's&lt;/i&gt; message to the creature must be 25 words or less, including the &lt;i&gt;suggestion&lt;/i&gt;. The creature can also give a short reply immediately.&lt;/p&gt;&lt;/h4&gt;&lt;/div&gt;</t>
  </si>
  <si>
    <t>Charm (8), Nobility (8), Torture (8)</t>
  </si>
  <si>
    <t> As sending, plus you can send suggestion.</t>
  </si>
  <si>
    <t>Enchantment (16)</t>
  </si>
  <si>
    <t>Desecrate</t>
  </si>
  <si>
    <t>cleric/oracle 2, inquisitor 2, antipaladin 2</t>
  </si>
  <si>
    <t>V, S, M (a vial of unholy water and 25 gp worth (5 pounds) of silver dust, all of which must be sprinkled around the area), DF</t>
  </si>
  <si>
    <t>This spell imbues an area with negative energy. The DC to resist negative channeled energy within this area gains a +3 profane bonus. Every undead creature entering a desecrated area gains a +1 profane bonus on all attack rolls, damage rolls, and saving throws.  An undead creature created within or summoned into such an area gains +1 hit points per HD. If the desecrated area contains an altar, shrine, or other permanent fixture dedicated to your deity or aligned higher power, the modifiers given above are doubled (+6 profane bonus to negative channeled energy DCs, +2 profane bonus and +2 hit points per HD for undead created in the area).  Furthermore, anyone who casts animate dead within this area may create as many as double the normal amount of undead (that is, 4 HD per caster level rather than 2 HD per caster level).  If the area contains an altar, shrine, or other permanent fixture of a deity, pantheon, or higher power other than your patron, the desecrate spell instead curses the area, cutting off its connection with the associated deity or power. This secondary function, if used, does not also grant the bonuses and penalties relating to undead, as given above.  Desecrate counters and dispels consecrate.</t>
  </si>
  <si>
    <t>&lt;p&gt;This spell imbues an area with negative energy. The DC to resist negative channeled energy within this area gains a +3 profane bonus. Every undead creature entering a &lt;i&gt;&lt;i&gt;desecrate&lt;/i&gt;d&lt;/i&gt; area gains a +1 profane bonus on all attack rolls, damage rolls, and saving throws.&lt;/p&gt;&lt;p&gt;An undead creature created within or summoned into such an area gains +1 hit points per HD. If the &lt;i&gt;&lt;i&gt;desecrate&lt;/i&gt;d&lt;/i&gt; area contains an altar, shrine, or other permanent fixture dedicated to your deity or aligned higher power, the modifiers given above are doubled (+6 profane bonus to negative channeled energy DCs, +2 profane bonus and +2 hit points per HD for undead created in the area).&lt;/p&gt;&lt;p&gt;Furthermore, anyone who casts &lt;i&gt;animate dead&lt;/i&gt; within this area may create as many as double the normal amount of undead (that is, 4 HD per caster level rather than 2 HD per caster level).&lt;/p&gt;&lt;p&gt;If the area contains an altar, shrine, or other permanent fixture of a deity, pantheon, or higher power other than your patron, the &lt;i&gt;desecrate&lt;/i&gt; spell instead curses the area, cutting off its connection with the associated deity or power. This secondary function, if used, does not also grant the bonuses and penalties relating to undead, as given above.&lt;/p&gt;&lt;p&gt;&lt;i&gt;Desecrate&lt;/i&gt; counters and dispels &lt;i&gt;consecrate&lt;/i&gt;.&lt;/p&gt;</t>
  </si>
  <si>
    <t>&lt;link rel="stylesheet"href="PF.css"&gt;&lt;div class="heading"&gt;&lt;p class="alignleft"&gt;Desecrate&lt;/p&gt;&lt;div style="clear: both;"&gt;&lt;/div&gt;&lt;/div&gt;&lt;div&gt;&lt;h5&gt;&lt;b&gt;School &lt;/b&gt;evocation [evil]; &lt;b&gt;Level &lt;/b&gt;cleric/oracle 2, inquisitor 2, antipaladin 2&lt;/h5&gt;&lt;/div&gt;&lt;hr/&gt;&lt;div&gt;&lt;h5&gt;&lt;b&gt;CASTING&lt;/b&gt;&lt;/h5&gt;&lt;/div&gt;&lt;hr/&gt;&lt;div&gt;&lt;h5&gt;&lt;b&gt;Casting Time &lt;/b&gt;1 standard action&lt;/h5&gt;&lt;h5&gt;&lt;b&gt;Components &lt;/b&gt;V, S, M (a vial of unholy water and 25 gp worth (5 pounds) of silver dust, all of which must be sprinkled around the area), DF&lt;/h5&gt;&lt;/div&gt;&lt;hr/&gt;&lt;div&gt;&lt;h5&gt;&lt;b&gt;EFFECT&lt;/b&gt;&lt;/h5&gt;&lt;/div&gt;&lt;hr/&gt;&lt;div&gt;&lt;h5&gt;&lt;b&gt;Range &lt;/b&gt;close (25 ft. + 5 ft./2 levels)&lt;/h5&gt;&lt;h5&gt;&lt;b&gt;Area &lt;/b&gt;20-ft.-radius emanation&lt;/h5&gt;&lt;h5&gt;&lt;b&gt;Duration &lt;/b&gt;2 hours/level&lt;/h5&gt;&lt;h5&gt;&lt;b&gt;Saving Throw &lt;/b&gt;none; &lt;b&gt;Spell Resistance &lt;/b&gt;yes&lt;/h5&gt;&lt;/div&gt;&lt;hr/&gt;&lt;div&gt;&lt;h5&gt;&lt;b&gt;DESCRIPTION&lt;/b&gt;&lt;/h5&gt;&lt;/div&gt;&lt;hr/&gt;&lt;div&gt;&lt;h4&gt;&lt;p&gt;This spell imbues an area with negative energy. The DC to resist negative channeled energy within this area gains a +3 profane bonus. Every undead creature entering a &lt;i&gt;&lt;i&gt;desecrate&lt;/i&gt;d&lt;/i&gt; area gains a +1 profane bonus on all attack rolls, damage rolls, and saving throws.&lt;/p&gt;&lt;p&gt;An undead creature created within or summoned into such an area gains +1 hit points per HD. If the &lt;i&gt;&lt;i&gt;desecrate&lt;/i&gt;d&lt;/i&gt; area contains an altar, shrine, or other permanent fixture dedicated to your deity or aligned higher power, the modifiers given above are doubled (+6 profane bonus to negative channeled energy DCs, +2 profane bonus and +2 hit points per HD for undead created in the area).&lt;/p&gt;&lt;p&gt;Furthermore, anyone who casts &lt;i&gt;animate dead&lt;/i&gt; within this area may create as many as double the normal amount of undead (that is, 4 HD per caster level rather than 2 HD per caster level).&lt;/p&gt;&lt;p&gt;If the area contains an altar, shrine, or other permanent fixture of a deity, pantheon, or higher power other than your patron, the &lt;i&gt;desecrate&lt;/i&gt; spell instead curses the area, cutting off its connection with the associated deity or power. This secondary function, if used, does not also grant the bonuses and penalties relating to undead, as given above.&lt;/p&gt;&lt;p&gt;&lt;i&gt;Desecrate&lt;/i&gt; counters and dispels &lt;i&gt;consecrate&lt;/i&gt;.&lt;/p&gt;&lt;/h4&gt;&lt;h5&gt;&lt;b&gt;Mythic: &lt;/b&gt;Select one alignment component that you have (chaotic, evil, or lawful). Outsiders with the opposite alignment subtype of the chosen alignment component take a -1 penalty on attack rolls, damage rolls, and saves in the area.&lt;/h5&gt;&lt;/div&gt;</t>
  </si>
  <si>
    <t>Fills area with negative energy; aids undead.</t>
  </si>
  <si>
    <t>Select one alignment component that you have (chaotic, evil, or lawful). Outsiders with the opposite alignment subtype of the chosen alignment component take a -1 penalty on attack rolls, damage rolls, and saves in the area.</t>
  </si>
  <si>
    <t>Destruction</t>
  </si>
  <si>
    <t>cleric/oracle 7, witch 8, shaman 8</t>
  </si>
  <si>
    <t>V, S, F (holy or unholy symbol costing 500 gp)</t>
  </si>
  <si>
    <t>Fortitude partial</t>
  </si>
  <si>
    <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true resurrection, a carefully worded wish spell followed by resurrection, or miracle.</t>
  </si>
  <si>
    <t>&lt;p&gt;This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&lt;i&gt;true resurrection&lt;/i&gt;, a carefully worded &lt;i&gt;wish&lt;/i&gt; spell followed by &lt;i&gt;resurrection&lt;/i&gt;, or &lt;i&gt;miracle&lt;/i&gt;.&lt;/p&gt;</t>
  </si>
  <si>
    <t>&lt;link rel="stylesheet"href="PF.css"&gt;&lt;div class="heading"&gt;&lt;p class="alignleft"&gt;Destruction&lt;/p&gt;&lt;div style="clear: both;"&gt;&lt;/div&gt;&lt;/div&gt;&lt;div&gt;&lt;h5&gt;&lt;b&gt;School &lt;/b&gt;necromancy [death]; &lt;b&gt;Level &lt;/b&gt;cleric/oracle 7, witch 8, shaman 8&lt;/h5&gt;&lt;h5&gt;&lt;b&gt;Casting Time &lt;/b&gt;1 standard action&lt;/h5&gt;&lt;h5&gt;&lt;b&gt;Components &lt;/b&gt;V, S, F (holy or unholy symbol costing 500 gp)&lt;/h5&gt;&lt;h5&gt;&lt;b&gt;Range &lt;/b&gt;close (25 ft. + 5 ft./2 levels)&lt;/h5&gt;&lt;h5&gt;&lt;b&gt;Targets &lt;/b&gt; one creature&lt;/h5&gt;&lt;h5&gt;&lt;b&gt;Duration &lt;/b&gt;instantaneous&lt;/h5&gt;&lt;h5&gt;&lt;b&gt;Saving Throw &lt;/b&gt;Fortitude partial; &lt;b&gt;Spell Resistance &lt;/b&gt;yes&lt;/h5&gt;&lt;/div&gt;&lt;div&gt;&lt;h4&gt;&lt;p&gt;This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&lt;i&gt;true resurrection&lt;/i&gt;, a carefully worded &lt;i&gt;wish&lt;/i&gt; spell followed by &lt;i&gt;resurrection&lt;/i&gt;, or &lt;i&gt;miracle&lt;/i&gt;.&lt;/p&gt;&lt;/h4&gt;&lt;/div&gt;</t>
  </si>
  <si>
    <t>Death (7), Repose (7), Entropy (7)</t>
  </si>
  <si>
    <t> Kills subject and destroys remains.</t>
  </si>
  <si>
    <t>Detect Animals or Plants</t>
  </si>
  <si>
    <t>concentration, up to 10 min./level</t>
  </si>
  <si>
    <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 1st Round: Presence or absence of that kind of animal or plant in the area. 2nd Round: Number of individuals of the specified kind in the area and the condition of the healthiest specimen. 3rd Round: The condition (see below) and location of each individual present. If an animal or a plant is outside your line of sight, then you discern its direction but not its exact location. Conditions: For purposes of this spell, the categories of condition are as follows: Normal: Has at least 90% of full normal hit points, free of disease. Fair: 30% to 90% of full normal hit points remaining. Poor: Less than 30% of full normal hit points remaining, afflicted with a disease, or suffering from a debilitating injury. Weak: 0 or fewer hit points remaining, afflicted with a disease that has reduced an ability score to 5 or less, or crippled. If a creature falls into more than one category, the spell indicates the weaker of the two. Each round you can turn to detect a kind of animal or plant in a new area. The spell can penetrate barriers, but 1 foot of stone, 1 inch of common metal, a thin sheet of lead, or 3 feet of wood or dirt blocks it.</t>
  </si>
  <si>
    <t>&lt;p&gt;You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plant.&lt;/p&gt;&lt;p&gt;&lt;i&gt;1st Round&lt;/i&gt;: Presence or absence of that kind of animal or plant in the area.&lt;/p&gt;&lt;p&gt;&lt;i&gt;2nd Round&lt;/i&gt;: Number of individuals of the specified kind in the area and the condition of the healthiest specimen.&lt;/p&gt;&lt;p&gt;&lt;i&gt;3rd Round&lt;/i&gt;: The condition (see below) and location of each individual present. If an animal or a plant is outside your line of sight, then you discern its direction but not its exact location.&lt;/p&gt;&lt;p&gt;&lt;i&gt;Conditions&lt;/i&gt;: For purposes of this spell, the categories of condition are as follows: Normal: Has at least 90% of full normal hit points, free of disease.&lt;/p&gt;&lt;p&gt;Fair: 30% to 90% of full normal hit points remaining.&lt;/p&gt;&lt;p&gt;Poor: Less than 30% of full normal hit points remaining, afflicted with a disease, or suffering from a debilitating injury.&lt;/p&gt;&lt;p&gt;Weak: 0 or fewer hit points remaining, afflicted with a disease that has reduced an ability score to 5 or less, or crippled.&lt;/p&gt;&lt;p&gt;If a creature falls into more than one category, the spell indicates the weaker of the two.&lt;/p&gt;&lt;p&gt;Each round you can turn to detect a kind of animal or plant in a new area. The spell can penetrate barriers, but 1 foot of stone, 1 inch of common metal, a thin sheet of lead, or 3 feet of wood or dirt blocks it.&lt;/p&gt;</t>
  </si>
  <si>
    <t>&lt;link rel="stylesheet"href="PF.css"&gt;&lt;div class="heading"&gt;&lt;p class="alignleft"&gt;Detect Animals or Plants&lt;/p&gt;&lt;div style="clear: both;"&gt;&lt;/div&gt;&lt;/div&gt;&lt;div&gt;&lt;h5&gt;&lt;b&gt;School &lt;/b&gt;divination; &lt;b&gt;Level &lt;/b&gt;druid 1, ranger 1, shaman 1, psychic 1&lt;/h5&gt;&lt;h5&gt;&lt;b&gt;Casting Time &lt;/b&gt;1 standard action&lt;/h5&gt;&lt;h5&gt;&lt;b&gt;Components &lt;/b&gt;V, S&lt;/h5&gt;&lt;h5&gt;&lt;b&gt;Range &lt;/b&gt;long (400 ft. + 40 ft./level)&lt;/h5&gt;&lt;h5&gt;&lt;b&gt;Area &lt;/b&gt;cone-shaped emanation&lt;/h5&gt;&lt;h5&gt;&lt;b&gt;Duration &lt;/b&gt;concentration, up to 10 min./level (D)&lt;/h5&gt;&lt;h5&gt;&lt;b&gt;Saving Throw &lt;/b&gt;none; &lt;b&gt;Spell Resistance &lt;/b&gt;no&lt;/h5&gt;&lt;/div&gt;&lt;div&gt;&lt;h4&gt;&lt;p&gt;You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plant.&lt;/p&gt;&lt;p&gt;&lt;i&gt;1st Round&lt;/i&gt;: Presence or absence of that kind of animal or plant in the area.&lt;/p&gt;&lt;p&gt;&lt;i&gt;2nd Round&lt;/i&gt;: Number of individuals of the specified kind in the area and the condition of the healthiest specimen.&lt;/p&gt;&lt;p&gt;&lt;i&gt;3rd Round&lt;/i&gt;: The condition (see below) and location of each individual present. If an animal or a plant is outside your line of sight, then you discern its direction but not its exact location.&lt;/p&gt;&lt;p&gt;&lt;i&gt;Conditions&lt;/i&gt;: For purposes of this spell, the categories of condition are as follows: Normal: Has at least 90% of full normal hit points, free of disease.&lt;/p&gt;&lt;p&gt;Fair: 30% to 90% of full normal hit points remaining.&lt;/p&gt;&lt;p&gt;Poor: Less than 30% of full normal hit points remaining, afflicted with a disease, or suffering from a debilitating injury.&lt;/p&gt;&lt;p&gt;Weak: 0 or fewer hit points remaining, afflicted with a disease that has reduced an ability score to 5 or less, or crippled.&lt;/p&gt;&lt;p&gt;If a creature falls into more than one category, the spell indicates the weaker of the two.&lt;/p&gt;&lt;p&gt;Each round you can turn to detect a kind of animal or plant in a new area. The spell can penetrate barriers, but 1 foot of stone, 1 inch of common metal, a thin sheet of lead, or 3 feet of wood or dirt blocks it.&lt;/p&gt;&lt;/h4&gt;&lt;/div&gt;</t>
  </si>
  <si>
    <t>Detects kinds of animals or plants.</t>
  </si>
  <si>
    <t>Detect Chaos</t>
  </si>
  <si>
    <t>cleric/oracle 1, inquisitor 1, shaman 1, spiritualist 1</t>
  </si>
  <si>
    <t>concentration, up to 10 min./ level</t>
  </si>
  <si>
    <t>This spell functions like detect evil, except that it detects the auras of chaotic creatures, clerics of chaotic deities, chaotic spells, and chaotic magic items, and you are vulnerable to an overwhelming chaotic aura if you are lawful.</t>
  </si>
  <si>
    <t>&lt;p&gt;This spell functions like &lt;i&gt;detect evil&lt;/i&gt;, except that it detects the auras of chaotic creatures, clerics of chaotic deities, chaotic spells, and chaotic magic items, and you are vulnerable to an overwhelming chaotic aura if you are lawful.&lt;/p&gt;</t>
  </si>
  <si>
    <t>&lt;link rel="stylesheet"href="PF.css"&gt;&lt;div class="heading"&gt;&lt;p class="alignleft"&gt;Detect Chaos&lt;/p&gt;&lt;div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chaotic creatures, clerics of chaotic deities, chaotic spells, and chaotic magic items, and you are vulnerable to an overwhelming chaotic aura if you are lawful.&lt;/p&gt;&lt;/h4&gt;&lt;/div&gt;</t>
  </si>
  <si>
    <t>Reveals creatures, spells, or objects of selected alignment.</t>
  </si>
  <si>
    <t>Detect Evil</t>
  </si>
  <si>
    <t>You can sense the presence of evil. The amount of information revealed depends on how long you study a particular area or subject. 1st Round: Presence or absence of evil. 2nd Round: Number of evil auras (creatures, objects, or spells) in the area and the power of the most potent evil aura present. If you are of good alignment, and the strongest evil aura's power is overwhelming (see below), and the HD or level of the aura's source is at least twice your character level, you are stunned for 1 round and the spell ends. 3rd Round: The power and location of each aura. If an aura is outside your line of sight, then you discern its direction but not its exact location. Aura Power: An evil aura's power depends on the type of evil creature or object that you're detecting and its HD, caster level, or (in the case of a cleric) class level; see the table below. If an aura falls into more than one strength category, the spell indicates the stronger of the two. Lingering Aura: An evil aura lingers after its original source dissipates (in the case of a spell) or is destroyed (in the case of a creature or magic item). If detect evil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Animals, traps, poisons, and other potential perils are not evil, and as such this spell does not detect them. Creatures with actively evil intents count as evil creatures for the purpose of this spell.  Each round, you can turn to detect evil in a new area. The spell can penetrate barriers, but 1 foot of stone, 1 inch of common metal, a thin sheet of lead, or 3 feet of wood or dirt blocks it. Detect Chaos/Evil/Good/Law Creature/Object Aura Power None Faint Moderate Strong Overwhelming Aligned creature1 (HD) 5 or lower 5-10 11-25 26-50 51 or higher Aligned Undead (HD) --  2 or lower 3-8 9-20 21 or higher Aligned outsider (HD) --  1 or lower 2-4 5-10 11 or higher Cleric or paladin of an aligned deity2 (class levels) --  1 2-4 5â€“10 11 or higher Aligned magic item or spell (caster level) 5th or lower 6th-10th 11th-15th 16th-20th 21st or higher 1 Except for undead and outsiders, which have their own entries on the table. 2 Some characters who are not clerics may radiate an aura of equivalent power. The class description will indicate whether this applies.</t>
  </si>
  <si>
    <t>&lt;p&gt;You can sense the presence of evil. The amount of information revealed depends on how long you study a particular area or subject.&lt;/p&gt;&lt;p&gt;&lt;i&gt;1st Round&lt;/i&gt;: Presence or absence of evil.&lt;/p&gt;&lt;p&gt;&lt;i&gt;2nd Round&lt;/i&gt;: Number of evil auras (creatures, objects, or spells) in the area and the power of the most potent evil aura present.&lt;/p&gt;&lt;p&gt;If you are of good alignment, and the strongest evil aura's power is overwhelming (see below), and the HD or level of the aura's source is at least twice your character level, you are stunned for 1 round and the spell ends.&lt;/p&gt;&lt;p&gt;&lt;i&gt;3rd Round&lt;/i&gt;: The power and location of each aura. If an aura is outside your line of sight, then you discern its direction but not its exact location.&lt;/p&gt;&lt;p&gt;&lt;i&gt;Aura Power&lt;/i&gt;: An evil aura's power depends on the type of evil creature or object that you're detecting and its HD, caster level, or (in the case of a cleric) class level; see the table below. If an aura falls into more than one strength category, the spell indicates the stronger of the two.&lt;/p&gt;&lt;p&gt;&lt;i&gt;Lingering Aura&lt;/i&gt;: An evil aura lingers after its original source dissipates (in the case of a spell) or is destroyed (in the case of a creature or magic item). If &lt;i&gt;detect evil&lt;/i&gt;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Animals, traps, poisons, and other potential perils are not evil, and as such this spell does not detect them. Creatures with actively evil intents count as evil creatures for the purpose of this spell.&lt;/p&gt;&lt;p&gt; Each round, you can turn to &lt;i&gt;detect evil&lt;/i&gt; in a new area. The spell can penetrate barriers, but 1 foot of stone, 1 inch of common metal, a thin sheet of lead, or 3 feet of wood or dirt blocks it.&lt;/p&gt;&lt;p&gt;&lt;table&gt;&lt;caption&gt;Detect Chaos/Evil/Good/Law&lt;/caption&gt; &lt;tr&gt;&lt;th rowspan="2"&gt;Creature/Object&lt;/th&gt;&lt;th colspan="5"&gt;Aura Power&lt;/th&gt;&lt;/tr&gt; &lt;tr&gt;&lt;th style="text-align:center"&gt;None&lt;/th&gt;&lt;th style="text-align:center"&gt;Faint&lt;/th&gt;&lt;th style="text-align:center"&gt;Moderate&lt;/th&gt;&lt;th style="text-align:center"&gt;Strong&lt;/th&gt;&lt;th style="text-align:center"&gt;Overwhelming&lt;/th&gt;&lt;/tr&gt; &lt;tr&gt;&lt;td&gt;Aligned creature&lt;sup&gt;1&lt;/sup&gt; (HD)&lt;/td&gt;&lt;td style="text-align:center"&gt;5 or lower&lt;/td&gt;&lt;td style="text-align:center"&gt;5-10&lt;/td&gt;&lt;td style="text-align:center"&gt;11-25&lt;/td&gt;&lt;td style="text-align:center"&gt;26-50&lt;/td&gt;&lt;td style="text-align:center"&gt;51 or higher&lt;/td&gt;&lt;/tr&gt; &lt;tr&gt;&lt;td&gt;Aligned Undead (HD)&lt;/td&gt;&lt;td style="text-align:center"&gt;--&lt;br /&gt;&lt;/td&gt;&lt;td style="text-align:center"&gt;2 or lower&lt;/td&gt;&lt;td style="text-align:center"&gt;3-8&lt;/td&gt;&lt;td style="text-align:center"&gt;9-20&lt;/td&gt;&lt;td style="text-align:center"&gt;21 or higher&lt;/td&gt;&lt;/tr&gt;  &lt;tr&gt;&lt;td&gt;Aligned outsider (HD)&lt;/td&gt;&lt;td style="text-align:center"&gt;--&lt;br /&gt;&lt;/td&gt;&lt;td style="text-align:center"&gt;1 or lower&lt;/td&gt;&lt;td style="text-align:center"&gt;2-4&lt;/td&gt;&lt;td style="text-align:center"&gt;5-10&lt;/td&gt;&lt;td style="text-align:center"&gt;11 or higher&lt;/td&gt;&lt;/tr&gt; &lt;tr&gt;&lt;td&gt;Cleric or paladin of an aligned deity&lt;sup&gt;2&lt;/sup&gt; (class levels)&lt;/td&gt;&lt;td style="text-align:center"&gt;--&lt;br /&gt;&lt;/td&gt;&lt;td style="text-align:center"&gt;1&lt;/td&gt;&lt;td style="text-align:center"&gt;2-4&lt;/td&gt;&lt;td style="text-align:center"&gt;5-10&lt;/td&gt;&lt;td style="text-align:center"&gt;11 or higher&lt;/td&gt;&lt;/tr&gt;  &lt;tr&gt;&lt;td&gt;Aligned magic item or spell (caster level)&lt;/td&gt;&lt;td&gt;5th or lower&lt;/td&gt;&lt;td style="text-align:center"&gt;6th-10th&lt;/td&gt;&lt;td style="text-align:center"&gt;11th-15th&lt;/td&gt;&lt;td style="text-align:center"&gt;16th-20th&lt;/td&gt;&lt;td style="text-align:center"&gt;21st or higher&lt;/td&gt;&lt;/tr&gt; &lt;/tbody&gt;&lt;tfoot&gt;&lt;tr&gt;&lt;td colspan="6"&gt;1 Except for undead and outsiders, which have their own entries on the table.&lt;/td&gt;&lt;/tr&gt; &lt;tr&gt;&lt;td colspan="6"&gt;2 Some characters who are not clerics may radiate an aura of equivalent power. The class description will indicate whether this applies.&lt;/td&gt;&lt;/tr&gt;&lt;/tfoot&gt;&lt;/table&gt;&gt;&lt;/td&gt;&lt;/tr&gt;&lt;/table&gt;&lt;/p&gt;</t>
  </si>
  <si>
    <t>&lt;link rel="stylesheet"href="PF.css"&gt;&lt;div class="heading"&gt;&lt;p class="alignleft"&gt;Detect Evil&lt;/p&gt;&lt;div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&lt;/b&gt;no&lt;/h5&gt;&lt;/div&gt;&lt;div&gt;&lt;h4&gt;&lt;p&gt;You can sense the presence of evil. The amount of information revealed depends on how long you study a particular area or subject.&lt;/p&gt;&lt;p&gt;&lt;i&gt;1st Round&lt;/i&gt;: Presence or absence of evil.&lt;/p&gt;&lt;p&gt;&lt;i&gt;2nd Round&lt;/i&gt;: Number of evil auras (creatures, objects, or spells) in the area and the power of the most potent evil aura present.&lt;/p&gt;&lt;p&gt;If you are of good alignment, and the strongest evil aura's power is overwhelming (see below), and the HD or level of the aura's source is at least twice your character level, you are stunned for 1 round and the spell ends.&lt;/p&gt;&lt;p&gt;&lt;i&gt;3rd Round&lt;/i&gt;: The power and location of each aura. If an aura is outside your line of sight, then you discern its direction but not its exact location.&lt;/p&gt;&lt;p&gt;&lt;i&gt;Aura Power&lt;/i&gt;: An evil aura's power depends on the type of evil creature or object that you're detecting and its HD, caster level, or (in the case of a cleric) class level; see the table below. If an aura falls into more than one strength category, the spell indicates the stronger of the two.&lt;/p&gt;&lt;p&gt;&lt;i&gt;Lingering Aura&lt;/i&gt;: An evil aura lingers after its original source dissipates (in the case of a spell) or is destroyed (in the case of a creature or magic item). If &lt;i&gt;detect evil&lt;/i&gt;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Animals, traps, poisons, and other potential perils are not evil, and as such this spell does not detect them. Creatures with actively evil intents count as evil creatures for the purpose of this spell.&lt;/p&gt;&lt;p&gt; Each round, you can turn to &lt;i&gt;detect evil&lt;/i&gt; in a new area. The spell can penetrate barriers, but 1 foot of stone, 1 inch of common metal, a thin sheet of lead, or 3 feet of wood or dirt blocks it.&lt;/p&gt;&lt;p&gt;&lt;table&gt;&lt;caption&gt;Detect Chaos/Evil/Good/Law&lt;/caption&gt; &lt;tr&gt;&lt;th rowspan="2"&gt;Creature/Object&lt;/th&gt;&lt;th colspan="5"&gt;Aura Power&lt;/th&gt;&lt;/tr&gt; &lt;tr&gt;&lt;th style="text-align:center"&gt;None&lt;/th&gt;&lt;th style="text-align:center"&gt;Faint&lt;/th&gt;&lt;th style="text-align:center"&gt;Moderate&lt;/th&gt;&lt;th style="text-align:center"&gt;Strong&lt;/th&gt;&lt;th style="text-align:center"&gt;Overwhelming&lt;/th&gt;&lt;/tr&gt; &lt;tr&gt;&lt;td&gt;Aligned creature&lt;sup&gt;1&lt;/sup&gt; (HD)&lt;/td&gt;&lt;td style="text-align:center"&gt;5 or lower&lt;/td&gt;&lt;td style="text-align:center"&gt;5-10&lt;/td&gt;&lt;td style="text-align:center"&gt;11-25&lt;/td&gt;&lt;td style="text-align:center"&gt;26-50&lt;/td&gt;&lt;td style="text-align:center"&gt;51 or higher&lt;/td&gt;&lt;/tr&gt; &lt;tr&gt;&lt;td&gt;Aligned Undead (HD)&lt;/td&gt;&lt;td style="text-align:center"&gt;--&lt;br /&gt;&lt;/td&gt;&lt;td style="text-align:center"&gt;2 or lower&lt;/td&gt;&lt;td style="text-align:center"&gt;3-8&lt;/td&gt;&lt;td style="text-align:center"&gt;9-20&lt;/td&gt;&lt;td style="text-align:center"&gt;21 or higher&lt;/td&gt;&lt;/tr&gt;  &lt;tr&gt;&lt;td&gt;Aligned outsider (HD)&lt;/td&gt;&lt;td style="text-align:center"&gt;--&lt;br /&gt;&lt;/td&gt;&lt;td style="text-align:center"&gt;1 or lower&lt;/td&gt;&lt;td style="text-align:center"&gt;2-4&lt;/td&gt;&lt;td style="text-align:center"&gt;5-10&lt;/td&gt;&lt;td style="text-align:center"&gt;11 or higher&lt;/td&gt;&lt;/tr&gt; &lt;tr&gt;&lt;td&gt;Cleric or paladin of an aligned deity&lt;sup&gt;2&lt;/sup&gt; (class levels)&lt;/td&gt;&lt;td style="text-align:center"&gt;--&lt;br /&gt;&lt;/td&gt;&lt;td style="text-align:center"&gt;1&lt;/td&gt;&lt;td style="text-align:center"&gt;2-4&lt;/td&gt;&lt;td style="text-align:center"&gt;5-10&lt;/td&gt;&lt;td style="text-align:center"&gt;11 or higher&lt;/td&gt;&lt;/tr&gt;  &lt;tr&gt;&lt;td&gt;Aligned magic item or spell (caster level)&lt;/td&gt;&lt;td&gt;5th or lower&lt;/td&gt;&lt;td style="text-align:center"&gt;6th-10th&lt;/td&gt;&lt;td style="text-align:center"&gt;11th-15th&lt;/td&gt;&lt;td style="text-align:center"&gt;16th-20th&lt;/td&gt;&lt;td style="text-align:center"&gt;21st or higher&lt;/td&gt;&lt;/tr&gt; &lt;/tbody&gt;&lt;tfoot&gt;&lt;tr&gt;&lt;td colspan="6"&gt;1 Except for undead and outsiders, which have their own entries on the table.&lt;/td&gt;&lt;/tr&gt; &lt;tr&gt;&lt;td colspan="6"&gt;2 Some characters who are not clerics may radiate an aura of equivalent power. The class description will indicate whether this applies.&lt;/td&gt;&lt;/tr&gt;&lt;/tfoot&gt;&lt;/table&gt;&lt;/div&gt;&lt;/td&gt;&lt;/tr&gt;&lt;/table&gt;&lt;/p&gt;&lt;/h4&gt;&lt;/div&gt;</t>
  </si>
  <si>
    <t>Detect Good</t>
  </si>
  <si>
    <t>This spell functions like detect evil, except that it detects the auras of good creatures, clerics or paladins of good deities, good spells, and good magic items, and you are vulnerable to an overwhelming good aura if you are evil.</t>
  </si>
  <si>
    <t>&lt;p&gt;This spell functions like &lt;i&gt;detect evil&lt;/i&gt;, except that it detects the auras of good creatures, clerics or paladins of good deities, good spells, and good magic items, and you are vulnerable to an overwhelming good aura if you are evil.&lt;/p&gt;</t>
  </si>
  <si>
    <t>&lt;link rel="stylesheet"href="PF.css"&gt;&lt;div class="heading"&gt;&lt;p class="alignleft"&gt;Detect Good&lt;/p&gt;&lt;div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good creatures, clerics or paladins of good deities, good spells, and good magic items, and you are vulnerable to an overwhelming good aura if you are evil.&lt;/p&gt;&lt;/h4&gt;&lt;/div&gt;</t>
  </si>
  <si>
    <t>Detect Law</t>
  </si>
  <si>
    <t>This spell functions like detect evil, except that it detects the auras of lawful creatures, clerics of lawful deities, lawful spells, and lawful magic items, and you are vulnerable to an overwhelming lawful aura if you are chaotic.</t>
  </si>
  <si>
    <t>&lt;p&gt;This spell functions like &lt;i&gt;detect evil&lt;/i&gt;, except that it detects the auras of lawful creatures, clerics of lawful deities, lawful spells, and lawful magic items, and you are vulnerable to an overwhelming lawful aura if you are chaotic.&lt;/p&gt;</t>
  </si>
  <si>
    <t>&lt;link rel="stylesheet"href="PF.css"&gt;&lt;div class="heading"&gt;&lt;p class="alignleft"&gt;Detect Law&lt;/p&gt;&lt;div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lawful creatures, clerics of lawful deities, lawful spells, and lawful magic items, and you are vulnerable to an overwhelming lawful aura if you are chaotic.&lt;/p&gt;&lt;/h4&gt;&lt;/div&gt;</t>
  </si>
  <si>
    <t>Detect Magic</t>
  </si>
  <si>
    <t>bard 0, cleric/oracle 0, druid 0, sorcerer/wizard 0, summoner 0, witch 0, inquisitor 0, magus 0, shaman 0, occultist 0, psychic 0, mesmerist 0, spiritualist 0</t>
  </si>
  <si>
    <t>concentration, up to 1 min./level</t>
  </si>
  <si>
    <t>You detect magical auras. The amount of information revealed depends on how long you study a particular area or subject. 1st Round: Presence or absence of magical auras. 2nd Round: Number of different magical auras and the power of the most potent aura. 3rd Round: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 Magical areas, multiple types of magic, or strong local magical emanations may distort or conceal weaker auras. Aura Strength: An aura's power depends on a spell's functioning spell level or an item's caster level; see the accompanying table. If an aura falls into more than one category, detect magic indicates the stronger of the two. Spell or Object Aura Power Faint Moderate Strong Overwhelming Functioning spell (spell level) 3rd or lower 4th-6th 7th-9th 10th+ (deity-level) Magic item (caster level) 5th or lower 6th-11th 12th-20th 21st+ (artifact)  Lingering Aura: A magical aura lingers after its original source dissipates (in the case of a spell) or is destroyed (in the case of a magic item). If detect magic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 Detect magic can be made permanent with a permanency spell.</t>
  </si>
  <si>
    <t>&lt;p&gt;You detect magical auras. The amount of information revealed depends on how long you study a particular area or subject.&lt;/p&gt;&lt;p&gt;&lt;i&gt;1st Round&lt;/i&gt;: Presence or absence of magical auras.&lt;/p&gt;&lt;p&gt;&lt;i&gt;2nd Round&lt;/i&gt;: Number of different magical auras and the power of the most potent aura.&lt;/p&gt;&lt;p&gt;&lt;i&gt;3rd Round&lt;/i&gt;: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Spellcraft).&lt;/p&gt;&lt;p&gt;Magical areas, multiple types of magic, or strong local magical emanations may distort or conceal weaker auras.&lt;/p&gt;&lt;p&gt;&lt;i&gt;Aura Strength&lt;/i&gt;: An aura's power depends on a spell's functioning spell level or an item's caster level; see the accompanying table. If an aura falls into more than one category, detect magic indicates the stronger of the two.&lt;/p&gt;&lt;p&gt;&lt;table&gt;&lt;tr&gt;&lt;th rowspan="2"&gt;Spell or Object&lt;/th&gt;&lt;th colspan="4" style="text-align:center"&gt;Aura Power&lt;/th&gt;&lt;/tr&gt; &lt;tr&gt;&lt;th&gt;Faint&lt;/th&gt;&lt;th&gt;Moderate&lt;/th&gt;&lt;th&gt;Strong&lt;/th&gt;&lt;th&gt;Overwhelming&lt;/th&gt;&lt;/tr&gt; &lt;tr&gt;&lt;td&gt;Functioning spell (spell level)&lt;/td&gt;&lt;td&gt;3rd or lower&lt;/td&gt;&lt;td&gt;4th-6th&lt;/td&gt;&lt;td&gt;7th-9th&lt;/td&gt;&lt;td&gt;10th+ (deity-level)&lt;/td&gt;&lt;/tr&gt; &lt;tr&gt;&lt;td&gt;Magic item (caster level)&lt;/td&gt;&lt;td&gt;5th or lower&lt;/td&gt;&lt;td&gt;6th-11th&lt;/td&gt;&lt;td&gt;12th-20th&lt;/td&gt;&lt;td&gt;21st+ (artifact)&lt;/td&gt;&lt;/tr&gt;&lt;/table&gt;  &lt;i&gt;Lingering Aura&lt;/i&gt;: A magical aura lingers after its original source dissipates (in the case of a spell) or is destroyed (in the case of a magic item). If &lt;i&gt;detect magic&lt;/i&gt;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it.&lt;/p&gt;&lt;p&gt;&lt;i&gt;Detect magic&lt;/i&gt; can be made permanent with a &lt;i&gt;permanency&lt;/i&gt; spell.&lt;/p&gt;</t>
  </si>
  <si>
    <t>&lt;link rel="stylesheet"href="PF.css"&gt;&lt;div class="heading"&gt;&lt;p class="alignleft"&gt;Detect Magic&lt;/p&gt;&lt;div style="clear: both;"&gt;&lt;/div&gt;&lt;/div&gt;&lt;div&gt;&lt;h5&gt;&lt;b&gt;School &lt;/b&gt;divination; &lt;b&gt;Level &lt;/b&gt;bard 0, cleric/oracle 0, druid 0, sorcerer/wizard 0, summoner 0, witch 0, inquisitor 0, magus 0, shaman 0, occultist 0, psychic 0, mesmerist 0, spiritualist 0, summoner 0, witch 0, inquisitor 0&lt;/h5&gt;&lt;h5&gt;&lt;b&gt;Casting Time &lt;/b&gt;1 standard action&lt;/h5&gt;&lt;h5&gt;&lt;b&gt;Components &lt;/b&gt;V, S&lt;/h5&gt;&lt;h5&gt;&lt;b&gt;Range &lt;/b&gt;60 ft.&lt;/h5&gt;&lt;h5&gt;&lt;b&gt;Area &lt;/b&gt;cone-shaped emanation&lt;/h5&gt;&lt;h5&gt;&lt;b&gt;Duration &lt;/b&gt;concentration, up to 1 min./level (D)&lt;/h5&gt;&lt;h5&gt;&lt;b&gt;Saving Throw &lt;/b&gt;none; &lt;b&gt;Spell Resistance &lt;/b&gt;no&lt;/h5&gt;&lt;/div&gt;&lt;div&gt;&lt;h4&gt;&lt;p&gt;You detect magical auras. The amount of information revealed depends on how long you study a particular area or subject.&lt;/p&gt;&lt;p&gt;&lt;i&gt;1st Round&lt;/i&gt;: Presence or absence of magical auras.&lt;/p&gt;&lt;p&gt;&lt;i&gt;2nd Round&lt;/i&gt;: Number of different magical auras and the power of the most potent aura.&lt;/p&gt;&lt;p&gt;&lt;i&gt;3rd Round&lt;/i&gt;: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Spellcraft).&lt;/p&gt;&lt;p&gt;Magical areas, multiple types of magic, or strong local magical emanations may distort or conceal weaker auras.&lt;/p&gt;&lt;p&gt;&lt;i&gt;Aura Strength&lt;/i&gt;: An aura's power depends on a spell's functioning spell level or an item's caster level; see the accompanying table. If an aura falls into more than one category, detect magic indicates the stronger of the two.&lt;/p&gt;&lt;p&gt;&lt;table&gt;&lt;tr&gt;&lt;th rowspan="2"&gt;Spell or Object&lt;/th&gt;&lt;th colspan="4" style="text-align:center"&gt;Aura Power&lt;/th&gt;&lt;/tr&gt; &lt;tr&gt;&lt;th&gt;Faint&lt;/th&gt;&lt;th&gt;Moderate&lt;/th&gt;&lt;th&gt;Strong&lt;/th&gt;&lt;th&gt;Overwhelming&lt;/th&gt;&lt;/tr&gt; &lt;tr&gt;&lt;td&gt;Functioning spell (spell level)&lt;/td&gt;&lt;td&gt;3rd or lower&lt;/td&gt;&lt;td&gt;4th-6th&lt;/td&gt;&lt;td&gt;7th-9th&lt;/td&gt;&lt;td&gt;10th+ (deity-level)&lt;/td&gt;&lt;/tr&gt; &lt;tr&gt;&lt;td&gt;Magic item (caster level)&lt;/td&gt;&lt;td&gt;5th or lower&lt;/td&gt;&lt;td&gt;6th-11th&lt;/td&gt;&lt;td&gt;12th-20th&lt;/td&gt;&lt;td&gt;21st+ (artifact)&lt;/td&gt;&lt;/tr&gt;&lt;/table&gt;  &lt;i&gt;Lingering Aura&lt;/i&gt;: A magical aura lingers after its original source dissipates (in the case of a spell) or is destroyed (in the case of a magic item). If &lt;i&gt;detect magic&lt;/i&gt;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it.&lt;/p&gt;&lt;p&gt;&lt;i&gt;Detect magic&lt;/i&gt; can be made permanent with a &lt;i&gt;permanency&lt;/i&gt; spell.&lt;/p&gt;&lt;/h4&gt;&lt;/div&gt;</t>
  </si>
  <si>
    <t>Detects spells and magic items within 60 ft.</t>
  </si>
  <si>
    <t>Detect Poison</t>
  </si>
  <si>
    <t>cleric/oracle 0, druid 0, paladin 1, ranger 1, sorcerer/wizard 0, shaman 0, occultist 0, psychic 0, mesmerist 0</t>
  </si>
  <si>
    <t>one creature, one object, or a 5-ft. cube</t>
  </si>
  <si>
    <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t>
  </si>
  <si>
    <t>&lt;p&gt;You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it.&lt;/p&gt;</t>
  </si>
  <si>
    <t>&lt;link rel="stylesheet"href="PF.css"&gt;&lt;div class="heading"&gt;&lt;p class="alignleft"&gt;Detect Poison&lt;/p&gt;&lt;div style="clear: both;"&gt;&lt;/div&gt;&lt;/div&gt;&lt;div&gt;&lt;h5&gt;&lt;b&gt;School &lt;/b&gt;divination; &lt;b&gt;Level &lt;/b&gt;cleric/oracle 0, druid 0, paladin 1, ranger 1, sorcerer/wizard 0, shaman 0, occultist 0, psychic 0, mesmerist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 or Area &lt;/b&gt;one creature, one object, or a 5-ft. cube&lt;h5&gt;&lt;b&gt;Duration &lt;/b&gt;instantaneous&lt;/h5&gt;&lt;h5&gt;&lt;b&gt;Saving Throw &lt;/b&gt;none; &lt;b&gt;Spell Resistance &lt;/b&gt;no&lt;/h5&gt;&lt;/div&gt;&lt;hr/&gt;&lt;div&gt;&lt;h5&gt;&lt;b&gt;DESCRIPTION&lt;/b&gt;&lt;/h5&gt;&lt;/div&gt;&lt;hr/&gt;&lt;div&gt;&lt;h4&gt;&lt;p&gt;You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it.&lt;/p&gt;&lt;/h4&gt;&lt;/div&gt;</t>
  </si>
  <si>
    <t>Detects poison in a creature or object.</t>
  </si>
  <si>
    <t>Detect Scrying</t>
  </si>
  <si>
    <t>bard 4, sorcerer/wizard 4, witch 4, inquisitor 4, shaman 4, occultist 4, psychic 4, mesmerist 4, spiritualist 4</t>
  </si>
  <si>
    <t>V, S, M (a piece of mirror and a miniature brass hearing trumpet)</t>
  </si>
  <si>
    <t>40-ft.-radius emanation centered on you</t>
  </si>
  <si>
    <t>You immediately become aware of any attempt to observe you by means of a divination (scrying) spell or effect. The spell's area radiates from you and moves as you move. You know the location of every magical sensor within the spell's area.  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t>
  </si>
  <si>
    <t>&lt;p&gt;You immediately become aware of any attempt to observe you by means of a divination (scrying) spell or effect. The spell's area radiates from you and moves as you move. You know the location of every magical sensor within the spell's area.&lt;/p&gt;&lt;p&gt;If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you.&lt;/p&gt;</t>
  </si>
  <si>
    <t>&lt;link rel="stylesheet"href="PF.css"&gt;&lt;div class="heading"&gt;&lt;p class="alignleft"&gt;Detect Scrying&lt;/p&gt;&lt;div style="clear: both;"&gt;&lt;/div&gt;&lt;/div&gt;&lt;div&gt;&lt;h5&gt;&lt;b&gt;School &lt;/b&gt;divination; &lt;b&gt;Level &lt;/b&gt;bard 4, sorcerer/wizard 4, witch 4, inquisitor 4, shaman 4, occultist 4, psychic 4, mesmerist 4, spiritualist 4&lt;/h5&gt;&lt;h5&gt;&lt;b&gt;Casting Time &lt;/b&gt;1 standard action&lt;/h5&gt;&lt;h5&gt;&lt;b&gt;Components &lt;/b&gt;V, S, M (a piece of mirror and a miniature brass hearing trumpet)&lt;/h5&gt;&lt;h5&gt;&lt;b&gt;Range &lt;/b&gt;40 ft.&lt;/h5&gt;&lt;h5&gt;&lt;b&gt;Area &lt;/b&gt;40-ft.-radius emanation centered on you&lt;/h5&gt;&lt;h5&gt;&lt;b&gt;Duration &lt;/b&gt;24 hours&lt;/h5&gt;&lt;h5&gt;&lt;b&gt;Saving Throw &lt;/b&gt;none; &lt;b&gt;Spell Resistance &lt;/b&gt;no&lt;/h5&gt;&lt;/div&gt;&lt;div&gt;&lt;h4&gt;&lt;p&gt;You immediately become aware of any attempt to observe you by means of a divination (scrying) spell or effect. The spell's area radiates from you and moves as you move. You know the location of every magical sensor within the spell's area.&lt;/p&gt;&lt;p&gt;If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you.&lt;/p&gt;&lt;/h4&gt;&lt;/div&gt;</t>
  </si>
  <si>
    <t>Solitude (4)</t>
  </si>
  <si>
    <t>Alerts you to magical eavesdropping.</t>
  </si>
  <si>
    <t>Rakshasa (9)</t>
  </si>
  <si>
    <t>Detect Secret Doors</t>
  </si>
  <si>
    <t>alchemist 1, bard 1, sorcerer/wizard 1, witch 1, occultist 1, psychic 1, mesmerist 1</t>
  </si>
  <si>
    <t>You can detect secret doors, compartments, caches, and so forth. Only passages, doors, or openings that have been specifically constructed to escape detection are detected by this spell. The amount of information revealed depends on how long you study a particular area or subject. 1st Round: Presence or absence of secret doors. 2nd Round: Number of secret doors and the location of each. If an aura is outside your line of sight, then you discern its direction but not its exact location. Each Additional Round: The mechanism or trigger for one particular secret portal closely examined by you. Each round, you can turn to detect secret doors in a new area. The spell can penetrate barriers, but 1 foot of stone, 1 inch of common metal, a thin sheet of lead, or 3 feet of wood or dirt blocks it.</t>
  </si>
  <si>
    <t>&lt;p&gt;You can detect secret doors, compartments, caches, and so forth. Only passages, doors, or openings that have been specifically constructed to escape detection are detected by this spell. The amount of information revealed depends on how long you study a particular area or subject.&lt;/p&gt;&lt;p&gt;&lt;i&gt;1st Round&lt;/i&gt;: Presence or absence of secret doors.&lt;/p&gt;&lt;p&gt;&lt;i&gt;2nd Round&lt;/i&gt;: Number of secret doors and the location of each. If an aura is outside your line of sight, then you discern its direction but not its exact location.&lt;/p&gt;&lt;p&gt;&lt;i&gt;Each Additional Round&lt;/i&gt;: The mechanism or trigger for one particular secret portal closely examined by you. Each round, you can turn to detect secret doors in a new area. The spell can penetrate barriers, but 1 foot of stone, 1 inch of common metal, a thin sheet of lead, or 3 feet of wood or dirt blocks it.&lt;/p&gt;</t>
  </si>
  <si>
    <t>&lt;link rel="stylesheet"href="PF.css"&gt;&lt;div class="heading"&gt;&lt;p class="alignleft"&gt;Detect Secret Doors&lt;/p&gt;&lt;div style="clear: both;"&gt;&lt;/div&gt;&lt;/div&gt;&lt;div&gt;&lt;h5&gt;&lt;b&gt;School &lt;/b&gt;divination; &lt;b&gt;Level &lt;/b&gt;bard 1, sorcerer/wizard 1, witch 1, alchemist 1&lt;/h5&gt;&lt;h5&gt;&lt;b&gt;Casting Time &lt;/b&gt;1 standard action&lt;/h5&gt;&lt;h5&gt;&lt;b&gt;Components &lt;/b&gt;V, S&lt;/h5&gt;&lt;h5&gt;&lt;b&gt;Range &lt;/b&gt;60 ft.&lt;/h5&gt;&lt;h5&gt;&lt;b&gt;Area &lt;/b&gt;cone-shaped emanation&lt;/h5&gt;&lt;h5&gt;&lt;b&gt;Duration &lt;/b&gt;concentration, up to 1 min./level (D)&lt;/h5&gt;&lt;h5&gt;&lt;b&gt;Saving Throw &lt;/b&gt;none; &lt;b&gt;Spell Resistance &lt;/b&gt;no&lt;/h5&gt;&lt;/div&gt;&lt;div&gt;&lt;h4&gt;&lt;p&gt;You can detect secret doors, compartments, caches, and so forth. Only passages, doors, or openings that have been specifically constructed to escape detection are detected by this spell. The amount of information revealed depends on how long you study a particular area or subject.&lt;/p&gt;&lt;p&gt;&lt;i&gt;1st Round&lt;/i&gt;: Presence or absence of secret doors.&lt;/p&gt;&lt;p&gt;&lt;i&gt;2nd Round&lt;/i&gt;: Number of secret doors and the location of each. If an aura is outside your line of sight, then you discern its direction but not its exact location.&lt;/p&gt;&lt;p&gt;&lt;i&gt;Each Additional Round&lt;/i&gt;: The mechanism or trigger for one particular secret portal closely examined by you. Each round, you can turn to detect secret doors in a new area. The spell can penetrate barriers, but 1 foot of stone, 1 inch of common metal, a thin sheet of lead, or 3 feet of wood or dirt blocks it.&lt;/p&gt;&lt;/h4&gt;&lt;/div&gt;</t>
  </si>
  <si>
    <t>Revelation (1)</t>
  </si>
  <si>
    <t>Reveals hidden doors within 60 ft.</t>
  </si>
  <si>
    <t>Detect Snares and Pits</t>
  </si>
  <si>
    <t>druid 1, ranger 1, occultist 1</t>
  </si>
  <si>
    <t>You can detect simple pits, deadfalls, and snares as well as mechanical traps constructed of natural materials. The spell does not detect complex traps, including trapdoor traps. Detect snares and pits does detect certain natural hazardsâ€”quicksand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 The amount of information revealed depends on how long you study a particular area. 1st Round: Presence or absence of hazards. 2nd Round: Number of hazards and the location of each. If a hazard is outside your line of sight, then you discern its direction but not its exact location. Each Additional Round: The general type and trigger for one particular hazard closely examined by you. Each round, you can turn to examine a new area. The spell can penetrate barriers, but 1 foot of stone, 1 inch of common metal, a thin sheet of lead, or 3 feet of wood or dirt blocks it.</t>
  </si>
  <si>
    <t>&lt;p&gt;You can detect simple pits, deadfalls, and snares as well as mechanical traps constructed of natural materials. The spell does not detect complex traps, including trapdoor traps.&lt;/p&gt;&lt;p&gt;&lt;i&gt;Detect snares and pits&lt;/i&gt; does detect certain natural hazards--quicksand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inactive.&lt;/p&gt;&lt;p&gt;The amount of information revealed depends on how long you study a particular area.&lt;/p&gt;&lt;p&gt;&lt;i&gt;1st Round&lt;/i&gt;: Presence or absence of hazards.&lt;/p&gt;&lt;p&gt;&lt;i&gt;2nd Round&lt;/i&gt;: Number of hazards and the location of each. If a hazard is outside your line of sight, then you discern its direction but not its exact location.&lt;/p&gt;&lt;p&gt;&lt;i&gt;Each Additional Round&lt;/i&gt;: The general type and trigger for one particular hazard closely examined by you.&lt;/p&gt;&lt;p&gt;Each round, you can turn to examine a new area. The spell can penetrate barriers, but 1 foot of stone, 1 inch of common metal, a thin sheet of lead, or 3 feet of wood or dirt blocks it.&lt;/p&gt;</t>
  </si>
  <si>
    <t>&lt;link rel="stylesheet"href="PF.css"&gt;&lt;div class="heading"&gt;&lt;p class="alignleft"&gt;Detect Snares and Pits&lt;/p&gt;&lt;div style="clear: both;"&gt;&lt;/div&gt;&lt;/div&gt;&lt;div&gt;&lt;h5&gt;&lt;b&gt;School &lt;/b&gt;divination; &lt;b&gt;Level &lt;/b&gt;druid 1, ranger 1, occultist 1&lt;/h5&gt;&lt;h5&gt;&lt;b&gt;Casting Time &lt;/b&gt;1 standard action&lt;/h5&gt;&lt;h5&gt;&lt;b&gt;Components &lt;/b&gt;V, S&lt;/h5&gt;&lt;h5&gt;&lt;b&gt;Range &lt;/b&gt;60 ft.&lt;/h5&gt;&lt;h5&gt;&lt;b&gt;Area &lt;/b&gt;cone-shaped emanation&lt;/h5&gt;&lt;h5&gt;&lt;b&gt;Duration &lt;/b&gt;concentration, up to 10 min./level (D)&lt;/h5&gt;&lt;h5&gt;&lt;b&gt;Saving Throw &lt;/b&gt;none; &lt;b&gt;Spell Resistance &lt;/b&gt;no&lt;/h5&gt;&lt;/div&gt;&lt;div&gt;&lt;h4&gt;&lt;p&gt;You can detect simple pits, deadfalls, and snares as well as mechanical traps constructed of natural materials. The spell does not detect complex traps, including trapdoor traps.&lt;/p&gt;&lt;p&gt;&lt;i&gt;Detect snares and pits&lt;/i&gt; does detect certain natural hazards--quicksand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inactive.&lt;/p&gt;&lt;p&gt;The amount of information revealed depends on how long you study a particular area.&lt;/p&gt;&lt;p&gt;&lt;i&gt;1st Round&lt;/i&gt;: Presence or absence of hazards.&lt;/p&gt;&lt;p&gt;&lt;i&gt;2nd Round&lt;/i&gt;: Number of hazards and the location of each. If a hazard is outside your line of sight, then you discern its direction but not its exact location.&lt;/p&gt;&lt;p&gt;&lt;i&gt;Each Additional Round&lt;/i&gt;: The general type and trigger for one particular hazard closely examined by you.&lt;/p&gt;&lt;p&gt;Each round, you can turn to examine a new area. The spell can penetrate barriers, but 1 foot of stone, 1 inch of common metal, a thin sheet of lead, or 3 feet of wood or dirt blocks it.&lt;/p&gt;&lt;/h4&gt;&lt;/div&gt;</t>
  </si>
  <si>
    <t>Reveals natural or primitive traps.</t>
  </si>
  <si>
    <t>Detect Thoughts</t>
  </si>
  <si>
    <t>bard 2, sorcerer/wizard 2, alchemist 2, summoner 2, witch 2, inquisitor 2, psychic 1, mesmerist 2, spiritualist 2</t>
  </si>
  <si>
    <t>V, S, F/DF (a copper piece)</t>
  </si>
  <si>
    <t>You detect surface thoughts. The amount of information revealed depends on how long you study a particular area or subject. 1st Round: Presence or absence of thoughts (from conscious creatures with Intelligence scores of 1 or higher). 2nd Round: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 3rd Round: Surface thoughts of any mind in the area. A target's Will save prevents you from reading its thoughts, and you must cast detect thoughts again to have another chance. Creatures of animal intelligence (Int 1 or 2) have simple, instinctual thoughts. Each round, you can turn to detect thoughts in a new area. The spell can penetrate barriers, but 1 foot of stone, 1 inch of common metal, a thin sheet of lead, or 3 feet of wood or dirt blocks it.</t>
  </si>
  <si>
    <t>&lt;p&gt;You detect surface thoughts. The amount of information revealed depends on how long you study a particular area or subject.&lt;/p&gt;&lt;p&gt;&lt;i&gt;1st Round&lt;/i&gt;: Presence or absence of thoughts (from conscious creatures with Intelligence scores of 1 or higher).&lt;/p&gt;&lt;p&gt;&lt;i&gt;2nd Round&lt;/i&gt;: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detecting.&lt;/p&gt;&lt;p&gt;&lt;i&gt;3rd Round&lt;/i&gt;: Surface thoughts of any mind in the area. A target's Will save prevents you from reading its thoughts, and you must cast &lt;i&gt;detect thoughts&lt;/i&gt; again to have another chance. Creatures of animal intelligence (Int 1 or 2) have simple, instinctual thoughts.&lt;/p&gt;&lt;p&gt;Each round, you can turn to detect thoughts in a new area. The spell can penetrate barriers, but 1 foot of stone, 1 inch of common metal, a thin sheet of lead, or 3 feet of wood or dirt blocks it.&lt;/p&gt;</t>
  </si>
  <si>
    <t>&lt;link rel="stylesheet"href="PF.css"&gt;&lt;div class="heading"&gt;&lt;p class="alignleft"&gt;Detect Thoughts&lt;/p&gt;&lt;div style="clear: both;"&gt;&lt;/div&gt;&lt;/div&gt;&lt;div&gt;&lt;h5&gt;&lt;b&gt;School &lt;/b&gt;divination [mind-affecting]; &lt;b&gt;Level &lt;/b&gt;bard 2, sorcerer/wizard 2, alchemist 2, summoner 2, witch 2, inquisitor 2, psychic 1, mesmerist 2, spiritualist 2, alchemist 2, summoner 2, witch 2, inquisitor 2&lt;/h5&gt;&lt;h5&gt;&lt;b&gt;Casting Time &lt;/b&gt;1 standard action&lt;/h5&gt;&lt;h5&gt;&lt;b&gt;Components &lt;/b&gt;V, S, F/DF (a copper piece)&lt;/h5&gt;&lt;h5&gt;&lt;b&gt;Range &lt;/b&gt;60 ft.&lt;/h5&gt;&lt;h5&gt;&lt;b&gt;Area &lt;/b&gt;cone-shaped emanation&lt;/h5&gt;&lt;h5&gt;&lt;b&gt;Duration &lt;/b&gt;concentration, up to 1 min./level (D)&lt;/h5&gt;&lt;h5&gt;&lt;b&gt;Saving Throw &lt;/b&gt;Will negates; see text; &lt;b&gt;Spell Resistance &lt;/b&gt;no&lt;/h5&gt;&lt;/div&gt;&lt;div&gt;&lt;h4&gt;&lt;p&gt;You detect surface thoughts. The amount of information revealed depends on how long you study a particular area or subject.&lt;/p&gt;&lt;p&gt;&lt;i&gt;1st Round&lt;/i&gt;: Presence or absence of thoughts (from conscious creatures with Intelligence scores of 1 or higher).&lt;/p&gt;&lt;p&gt;&lt;i&gt;2nd Round&lt;/i&gt;: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detecting.&lt;/p&gt;&lt;p&gt;&lt;i&gt;3rd Round&lt;/i&gt;: Surface thoughts of any mind in the area. A target's Will save prevents you from reading its thoughts, and you must cast &lt;i&gt;detect thoughts&lt;/i&gt; again to have another chance. Creatures of animal intelligence (Int 1 or 2) have simple, instinctual thoughts.&lt;/p&gt;&lt;p&gt;Each round, you can turn to detect thoughts in a new area. The spell can penetrate barriers, but 1 foot of stone, 1 inch of common metal, a thin sheet of lead, or 3 feet of wood or dirt blocks it.&lt;/p&gt;&lt;/h4&gt;&lt;/div&gt;</t>
  </si>
  <si>
    <t>Knowledge (2)</t>
  </si>
  <si>
    <t>Allows “listening” to surface thoughts.</t>
  </si>
  <si>
    <t>Detect Undead</t>
  </si>
  <si>
    <t>cleric/oracle 1, paladin 1, sorcerer/wizard 1, alchemist 1, inquisitor 1, alchemist 1, inquisitor 1, shaman 1, psychic 1, mesmerist 1, spiritualist 1</t>
  </si>
  <si>
    <t>V, S, M/DF (earth from a grave)</t>
  </si>
  <si>
    <t>concentration, up to 1 minute/ level</t>
  </si>
  <si>
    <t>You can detect the aura that surrounds undead creatures. The amount of information revealed depends on how long you study a particular area. 1st Round: Presence or absence of undead auras. 2nd Round: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 3rd Round: The strength and location of each undead aura. If an aura is outside your line of sight, then you discern its direction but not its exact location. Aura Strength: The strength of an undead aura is determined by the HD of the undead creature, as given on the table below. Lingering Aura: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 HD Strength Lingering Aura Duration 1 or lower Faint 1d6 rounds 2-4 Moderate 1d6 minutes 5-10 Strong 1d6 x 10 minutes 11 or higher Overwhelming 1d6 days  Each round, you can turn to detect undead in a new area. The spell can penetrate barriers, but 1 foot of stone, 1 inch of common metal, a thin sheet of lead, or 3 feet of wood or dirt blocks it.</t>
  </si>
  <si>
    <t>&lt;p&gt;You can detect the aura that surrounds undead creatures. The amount of information revealed depends on how long you study a particular area.&lt;/p&gt;&lt;p&gt;&lt;i&gt;1st Round&lt;/i&gt;: Presence or absence of undead auras.&lt;/p&gt;&lt;p&gt;&lt;i&gt;2nd Round&lt;/i&gt;: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ends.&lt;/p&gt;&lt;p&gt;&lt;i&gt;3rd Round&lt;/i&gt;: The strength and location of each undead aura. If an aura is outside your line of sight, then you discern its direction but not its exact location.&lt;/p&gt;&lt;p&gt;&lt;i&gt;Aura Strength&lt;/i&gt;: The strength of an undead aura is determined by the HD of the undead creature, as given on the table below.&lt;/p&gt;&lt;p&gt;&lt;i&gt;Lingering Aura&lt;/i&gt;: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below.&lt;/p&gt;&lt;p&gt;&lt;table&gt;&lt;tr&gt;&lt;th&gt;HD&lt;/th&gt;&lt;th&gt;Strength&lt;/th&gt;&lt;th&gt;Lingering Aura Duration&lt;/th&gt;&lt;/tr&gt; &lt;tr&gt;&lt;td&gt;1 or lower&lt;/td&gt;&lt;td&gt;Faint&lt;/td&gt;&lt;td&gt;1d6 rounds&lt;/td&gt;&lt;/tr&gt; &lt;tr&gt;&lt;td&gt;2-4&lt;/td&gt;&lt;td&gt;Moderate&lt;/td&gt;&lt;td&gt;1d6 minutes&lt;/td&gt;&lt;/tr&gt; &lt;tr&gt;&lt;td&gt;5-10&lt;/td&gt;&lt;td&gt;Strong&lt;/td&gt;&lt;td&gt;1d6 x 10 minutes&lt;/td&gt;&lt;/tr&gt; &lt;tr&gt;&lt;td&gt;11 or higher&lt;/td&gt;&lt;td&gt;Overwhelming&lt;/td&gt;&lt;td&gt;1d6 days&lt;/td&gt;&lt;/tr&gt;&lt;/table&gt;  Each round, you can turn to detect undead in a new area. The spell can penetrate barriers, but 1 foot of stone, 1 inch of common metal, a thin sheet of lead, or 3 feet of wood or dirt blocks it.&lt;/p&gt;</t>
  </si>
  <si>
    <t>&lt;link rel="stylesheet"href="PF.css"&gt;&lt;div class="heading"&gt;&lt;p class="alignleft"&gt;Detect Undead&lt;/p&gt;&lt;div style="clear: both;"&gt;&lt;/div&gt;&lt;/div&gt;&lt;div&gt;&lt;h5&gt;&lt;b&gt;School &lt;/b&gt;divination; &lt;b&gt;Level &lt;/b&gt;cleric/oracle 1, paladin 1, sorcerer/wizard 1, alchemist 1, inquisitor 1, alchemist 1, inquisitor 1, shaman 1, psychic 1, mesmerist 1, spiritualist 1&lt;/h5&gt;&lt;h5&gt;&lt;b&gt;Casting Time &lt;/b&gt;1 standard action&lt;/h5&gt;&lt;h5&gt;&lt;b&gt;Components &lt;/b&gt;V, S, M/DF (earth from a grave)&lt;/h5&gt;&lt;h5&gt;&lt;b&gt;Range &lt;/b&gt;60 ft.&lt;/h5&gt;&lt;h5&gt;&lt;b&gt;Area &lt;/b&gt;cone-shaped emanation&lt;/h5&gt;&lt;h5&gt;&lt;b&gt;Duration &lt;/b&gt;concentration, up to 1 minute/ level (D)&lt;/h5&gt;&lt;h5&gt;&lt;b&gt;Saving Throw &lt;/b&gt;none; &lt;b&gt;Spell Resistance &lt;/b&gt;no&lt;/h5&gt;&lt;/div&gt;&lt;div&gt;&lt;h4&gt;&lt;p&gt;You can detect the aura that surrounds undead creatures. The amount of information revealed depends on how long you study a particular area.&lt;/p&gt;&lt;p&gt;&lt;i&gt;1st Round&lt;/i&gt;: Presence or absence of undead auras.&lt;/p&gt;&lt;p&gt;&lt;i&gt;2nd Round&lt;/i&gt;: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ends.&lt;/p&gt;&lt;p&gt;&lt;i&gt;3rd Round&lt;/i&gt;: The strength and location of each undead aura. If an aura is outside your line of sight, then you discern its direction but not its exact location.&lt;/p&gt;&lt;p&gt;&lt;i&gt;Aura Strength&lt;/i&gt;: The strength of an undead aura is determined by the HD of the undead creature, as given on the table below.&lt;/p&gt;&lt;p&gt;&lt;i&gt;Lingering Aura&lt;/i&gt;: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below.&lt;/p&gt;&lt;p&gt;&lt;table&gt;&lt;tr&gt;&lt;th&gt;HD&lt;/th&gt;&lt;th&gt;Strength&lt;/th&gt;&lt;th&gt;Lingering Aura Duration&lt;/th&gt;&lt;/tr&gt; &lt;tr&gt;&lt;td&gt;1 or lower&lt;/td&gt;&lt;td&gt;Faint&lt;/td&gt;&lt;td&gt;1d6 rounds&lt;/td&gt;&lt;/tr&gt; &lt;tr&gt;&lt;td&gt;2-4&lt;/td&gt;&lt;td&gt;Moderate&lt;/td&gt;&lt;td&gt;1d6 minutes&lt;/td&gt;&lt;/tr&gt; &lt;tr&gt;&lt;td&gt;5-10&lt;/td&gt;&lt;td&gt;Strong&lt;/td&gt;&lt;td&gt;1d6 x 10 minutes&lt;/td&gt;&lt;/tr&gt; &lt;tr&gt;&lt;td&gt;11 or higher&lt;/td&gt;&lt;td&gt;Overwhelming&lt;/td&gt;&lt;td&gt;1d6 days&lt;/td&gt;&lt;/tr&gt;&lt;/table&gt;  Each round, you can turn to detect undead in a new area. The spell can penetrate barriers, but 1 foot of stone, 1 inch of common metal, a thin sheet of lead, or 3 feet of wood or dirt blocks it.&lt;/p&gt;&lt;/h4&gt;&lt;/div&gt;</t>
  </si>
  <si>
    <t>Reveals undead within 60 ft.</t>
  </si>
  <si>
    <t>Occult (2), Plague (2), Ethereal (2)</t>
  </si>
  <si>
    <t>Dictum</t>
  </si>
  <si>
    <t>lawful, sonic</t>
  </si>
  <si>
    <t>nonlawful creatures in a 40-ft.-radius spread centered on you</t>
  </si>
  <si>
    <t>Any nonlawful creature within the area of a dictum spell suffers the following ill effects. HD Effect Equal to caster level Deafened Up to caster level -1 Staggered, deafened Up to caster level -5 Paralyzed, staggered, deafened Up to caster level -10 Killed, paralyzed, staggered, deafened The effects are cumulative and concurrent. A successful Will save reduces or eliminates these effects. Creatures affected by multiple effects make only one save and apply the result to all the effects. Deafened: The creature is deafened for 1d4 rounds. Save negates. Staggered: The creature is staggered for 2d4 rounds. Save reduces the staggered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dictum or not. The banishment allows a Will save (at a -4 penalty) to negate. Creatures whose Hit Dice exceed your caster level are unaffected by dictum.</t>
  </si>
  <si>
    <t>&lt;p&gt;Any nonlawful creature within the area of a &lt;i&gt;dictum&lt;/i&gt; spell suffers the following ill effects.&lt;/p&gt;&lt;p&gt;HD Effect Equal to caster level &lt;i&gt;Deafened&lt;/i&gt; Up to caster level -1 &lt;i&gt;Staggered&lt;/i&gt;, deafened Up to caster level -5 &lt;i&gt;Paralyzed&lt;/i&gt;, staggered, deafened Up to caster level -10 &lt;i&gt;Killed&lt;/i&gt;, paralyzed, staggered, deafened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negates.&lt;/p&gt;&lt;p&gt;&lt;i&gt;Staggered&lt;/i&gt;: The creature is staggered for 2d4 rounds. Save reduces the staggered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&lt;i&gt;dictum&lt;/i&gt; or not. The banishment allows a Will save (at a -4 penalty) to negate.&lt;/p&gt;&lt;p&gt;Creatures whose Hit Dice exceed your caster level are unaffected by &lt;i&gt;dictum&lt;/i&gt;.&lt;/p&gt;</t>
  </si>
  <si>
    <t>&lt;link rel="stylesheet"href="PF.css"&gt;&lt;div class="heading"&gt;&lt;p class="alignleft"&gt;Dictum&lt;/p&gt;&lt;div style="clear: both;"&gt;&lt;/div&gt;&lt;/div&gt;&lt;div&gt;&lt;h5&gt;&lt;b&gt;School &lt;/b&gt;evocation [lawful,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&lt;/b&gt;nonlawful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nonlawful creature within the area of a &lt;i&gt;dictum&lt;/i&gt; spell suffers the following ill effects.&lt;/p&gt;   &lt;table border ='1'&gt;&lt;tr&gt;&lt;th&gt;HD&lt;/th&gt;&lt;th&gt;Effect&lt;/th&gt;&lt;/tr&gt;&lt;tr&gt;&lt;td&gt;Equal to caster level&lt;/td&gt;&lt;td&gt;Deafened&lt;/td&gt;&lt;/tr&gt;&lt;tr&gt;&lt;td&gt;Up to caster level -1&lt;/td&gt;&lt;td&gt;Staggered, deafened&lt;/td&gt;&lt;/tr&gt;&lt;tr&gt;&lt;td&gt;Up to caster level -5&lt;/td&gt;&lt;td&gt;Paralyzed, staggered, deafened&lt;/td&gt;&lt;/tr&gt;&lt;tr&gt;&lt;td&gt;Up to caster level -10&lt;/td&gt;&lt;td&gt;Killed, paralyzed, staggered, deafened&lt;/td&gt;&lt;/tr&gt;&lt;/table&gt;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negates.&lt;/p&gt;&lt;p&gt;&lt;i&gt;Staggered&lt;/i&gt;: The creature is staggered for 2d4 rounds. Save reduces the staggered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&lt;i&gt;dictum&lt;/i&gt; or not. The banishment allows a Will save (at a -4 penalty) to negate.&lt;/p&gt;&lt;p&gt;Creatures whose Hit Dice exceed your caster level are unaffected by &lt;i&gt;dictum&lt;/i&gt;.&lt;/p&gt;&lt;/h4&gt;&lt;h5&gt;&lt;b&gt;Mythic: &lt;/b&gt;When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last.&lt;/h5&gt;&lt;/div&gt;</t>
  </si>
  <si>
    <t>Law (7)</t>
  </si>
  <si>
    <t> Kills, paralyzes, staggers, or deafens nonlawful targets.</t>
  </si>
  <si>
    <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t>
  </si>
  <si>
    <t>Dimensional Anchor</t>
  </si>
  <si>
    <t>cleric/oracle 4, sorcerer/wizard 4, summoner 3, inquisitor 3, occultist 4, psychic 4, spiritualist 4</t>
  </si>
  <si>
    <t>ray</t>
  </si>
  <si>
    <t>A green ray springs from your hand. You must make a ranged touch attack to hit the target. Any creature or object struck by the ray is covered with a shimmering emerald field that completely blocks extradimensional travel. Forms of movement barred by a dimensional anchor include astral projection, blink, dimension door, ethereal jaunt, etherealness, gate, maze, plane shift, shadow walk, teleport, and similar spell-like abilities. The spell also prevents the use of a gate or teleportation circle for the duration of the spell. A dimensional anchor does not interfere with the movement of creatures already in ethereal or astral form when the spell is cast, nor does it block extradimensional perception or attack forms. Also, dimensional anchor does not prevent summoned creatures from disappearing at the end of a summoning spell.</t>
  </si>
  <si>
    <t>&lt;p&gt;A green ray springs from your hand. You must make a ranged touch attack to hit the target. Any creature or object struck by the ray is covered with a shimmering emerald field that completely blocks extradimensional travel. Forms of movement barred by a &lt;i&gt;dimensional anchor&lt;/i&gt; include &lt;i&gt;astral projection&lt;/i&gt;, &lt;i&gt;blink&lt;/i&gt;, &lt;i&gt;dimension door&lt;/i&gt;, &lt;i&gt;ethereal jaunt&lt;/i&gt;, &lt;i&gt;etherealness&lt;/i&gt;, &lt;i&gt;gate&lt;/i&gt;, &lt;i&gt;maze&lt;/i&gt;, &lt;i&gt;plane shift&lt;/i&gt;, &lt;i&gt;shadow walk&lt;/i&gt;, &lt;i&gt;teleport&lt;/i&gt;, and similar spell-like abilities. The spell also prevents the use of a &lt;i&gt;gate&lt;/i&gt; or &lt;i&gt;teleportation circle&lt;/i&gt; for the duration of the spell.&lt;/p&gt;&lt;p&gt;A &lt;i&gt;dimensional anchor&lt;/i&gt; does not interfere with the movement of creatures already in ethereal or astral form when the spell is cast, nor does it block extradimensional perception or attack forms. Also, &lt;i&gt;dimensional anchor&lt;/i&gt; does not prevent summoned creatures from disappearing at the end of a summoning spell.&lt;/p&gt;</t>
  </si>
  <si>
    <t>&lt;link rel="stylesheet"href="PF.css"&gt;&lt;div class="heading"&gt;&lt;p class="alignleft"&gt;Dimensional Anchor&lt;/p&gt;&lt;div style="clear: both;"&gt;&lt;/div&gt;&lt;/div&gt;&lt;div&gt;&lt;h5&gt;&lt;b&gt;School &lt;/b&gt;abjuration; &lt;b&gt;Level &lt;/b&gt;cleric/oracle 4, sorcerer/wizard 4, summoner 3, inquisitor 3, occultist 4, psychic 4, spiritualist 4&lt;/h5&gt;&lt;h5&gt;&lt;b&gt;Casting Time &lt;/b&gt;1 standard action&lt;/h5&gt;&lt;h5&gt;&lt;b&gt;Components &lt;/b&gt;V, S&lt;/h5&gt;&lt;h5&gt;&lt;b&gt;Range &lt;/b&gt;medium (100 ft. + 10 ft./level)&lt;/h5&gt;&lt;h5&gt;&lt;b&gt;Effect &lt;/b&gt;ray&lt;/h5&gt;&lt;h5&gt;&lt;b&gt;Duration &lt;/b&gt;1 min./level&lt;/h5&gt;&lt;h5&gt;&lt;b&gt;Saving Throw &lt;/b&gt;none; &lt;b&gt;Spell Resistance &lt;/b&gt;yes (object)&lt;/h5&gt;&lt;/div&gt;&lt;div&gt;&lt;h4&gt;&lt;p&gt;A green ray springs from your hand. You must make a ranged touch attack to hit the target. Any creature or object struck by the ray is covered with a shimmering emerald field that completely blocks extradimensional travel. Forms of movement barred by a &lt;i&gt;dimensional anchor&lt;/i&gt; include &lt;i&gt;astral projection&lt;/i&gt;, &lt;i&gt;blink&lt;/i&gt;, &lt;i&gt;dimension door&lt;/i&gt;, &lt;i&gt;ethereal jaunt&lt;/i&gt;, &lt;i&gt;etherealness&lt;/i&gt;, &lt;i&gt;gate&lt;/i&gt;, &lt;i&gt;maze&lt;/i&gt;, &lt;i&gt;plane shift&lt;/i&gt;, &lt;i&gt;shadow walk&lt;/i&gt;, &lt;i&gt;teleport&lt;/i&gt;, and similar spell-like abilities. The spell also prevents the use of a &lt;i&gt;gate&lt;/i&gt; or &lt;i&gt;teleportation circle&lt;/i&gt; for the duration of the spell.&lt;/p&gt;&lt;p&gt;A &lt;i&gt;dimensional anchor&lt;/i&gt; does not interfere with the movement of creatures already in ethereal or astral form when the spell is cast, nor does it block extradimensional perception or attack forms. Also, &lt;i&gt;dimensional anchor&lt;/i&gt; does not prevent summoned creatures from disappearing at the end of a summoning spell.&lt;/p&gt;&lt;/h4&gt;&lt;/div&gt;</t>
  </si>
  <si>
    <t>Wards (4)</t>
  </si>
  <si>
    <t>Bars extradimensional movement.</t>
  </si>
  <si>
    <t>Boundaries (8), Dimensions (8)</t>
  </si>
  <si>
    <t>Dimensional Lock</t>
  </si>
  <si>
    <t>cleric/oracle 8, sorcerer/wizard 8, summoner 6, psychic 8</t>
  </si>
  <si>
    <t>You create a shimmering emerald barrier that completely blocks extradimensional travel. Forms of movement barred include astral projection, blink, dimension door, ethereal jaunt, etherealness, gate, maze, plane shift, shadow walk, teleport, and similar spell-like abilities. Once dimensional lock is in place, extradimensional travel into or out of the area is not possible. A dimensional lock does not interfere with the movement of creatures already in ethereal or astral form when the spell is cast, nor does it block extradimensional perception or attack forms. Also, the spell does not prevent summoned creatures from disappearing at the end of a summoning spell.</t>
  </si>
  <si>
    <t>&lt;p&gt;You create a shimmering emerald barrier that completely blocks extradimensional travel. Forms of movement barred include &lt;i&gt;astral projection&lt;/i&gt;, &lt;i&gt;dimension door&lt;/i&gt;, &lt;i&gt;ethereal jaunt&lt;/i&gt;, &lt;i&gt;etherealness&lt;/i&gt;, &lt;i&gt;gate&lt;/i&gt;, &lt;i&gt;maze&lt;/i&gt;, &lt;i&gt;plane shift&lt;/i&gt;, &lt;i&gt;shadow walk&lt;/i&gt;, &lt;i&gt;teleport&lt;/i&gt;, and similar spell-like abilities. Once &lt;i&gt;dimensional lock&lt;/i&gt; is in place, extradimensional travel into or out of the area is not possible.&lt;/p&gt;&lt;p&gt;A &lt;i&gt;dimensional lock&lt;/i&gt; does not interfere with the movement of creatures already in ethereal or astral form when the spell is cast, nor does it block extradimensional perception or attack forms. Also, the spell does not prevent summoned creatures from disappearing at the end of a summoning spell.&lt;/p&gt;</t>
  </si>
  <si>
    <t>&lt;link rel="stylesheet"href="PF.css"&gt;&lt;div class="heading"&gt;&lt;p class="alignleft"&gt;Dimensional Lock&lt;/p&gt;&lt;div style="clear: both;"&gt;&lt;/div&gt;&lt;/div&gt;&lt;div&gt;&lt;h5&gt;&lt;b&gt;School &lt;/b&gt;abjuration; &lt;b&gt;Level &lt;/b&gt;cleric/oracle 8, sorcerer/wizard 8, summoner 6, psychic 8&lt;/h5&gt;&lt;h5&gt;&lt;b&gt;Casting Time &lt;/b&gt;1 standard action&lt;/h5&gt;&lt;h5&gt;&lt;b&gt;Components &lt;/b&gt;V, S&lt;/h5&gt;&lt;h5&gt;&lt;b&gt;Range &lt;/b&gt;medium (100 ft. + 10 ft./level)&lt;/h5&gt;&lt;h5&gt;&lt;b&gt;Area &lt;/b&gt;20-ft.-radius emanation centered on a point in space&lt;/h5&gt;&lt;h5&gt;&lt;b&gt;Duration &lt;/b&gt;1 day/level&lt;/h5&gt;&lt;h5&gt;&lt;b&gt;Saving Throw &lt;/b&gt;none; &lt;b&gt;Spell Resistance &lt;/b&gt;yes&lt;/h5&gt;&lt;/div&gt;&lt;div&gt;&lt;h4&gt;&lt;p&gt;You create a shimmering emerald barrier that completely blocks extradimensional travel. Forms of movement barred include &lt;i&gt;astral projection&lt;/i&gt;, &lt;i&gt;dimension door&lt;/i&gt;, &lt;i&gt;ethereal jaunt&lt;/i&gt;, &lt;i&gt;etherealness&lt;/i&gt;, &lt;i&gt;gate&lt;/i&gt;, &lt;i&gt;maze&lt;/i&gt;, &lt;i&gt;plane shift&lt;/i&gt;, &lt;i&gt;shadow walk&lt;/i&gt;, &lt;i&gt;teleport&lt;/i&gt;, and similar spell-like abilities. Once &lt;i&gt;dimensional lock&lt;/i&gt; is in place, extradimensional travel into or out of the area is not possible.&lt;/p&gt;&lt;p&gt;A &lt;i&gt;dimensional lock&lt;/i&gt; does not interfere with the movement of creatures already in ethereal or astral form when the spell is cast, nor does it block extradimensional perception or attack forms. Also, the spell does not prevent summoned creatures from disappearing at the end of a summoning spell.&lt;/p&gt;&lt;/h4&gt;&lt;/div&gt;</t>
  </si>
  <si>
    <t>Teleportation and interplanar travel blocked for 1 day/level.</t>
  </si>
  <si>
    <t>Accursed (17)</t>
  </si>
  <si>
    <t>Boundaries (16)</t>
  </si>
  <si>
    <t>Dimension Door</t>
  </si>
  <si>
    <t>teleportation</t>
  </si>
  <si>
    <t>bard 4, sorcerer/wizard 4, summoner 3, witch 4, magus 4, occultist 4, psychic 4, mesmerist 4, spiritualist 4</t>
  </si>
  <si>
    <t>you and touched objects or other touched willing creatures</t>
  </si>
  <si>
    <t>none and Will negates (object)</t>
  </si>
  <si>
    <t>no and yes (object)</t>
  </si>
  <si>
    <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If you arrive in a place that is already occupied by a solid body, you and each creature traveling with you take 1d6 points of damage and are shunted to a random open space on a suitable surface within 100 feet of the intended location.  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t>
  </si>
  <si>
    <t>&lt;p&gt;You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you.&lt;/p&gt;&lt;p&gt;If you arrive in a place that is already occupied by a solid body, you and each creature traveling with you take 1d6 points of damage and are shunted to a random open space on a suitable surface within 100 feet of the intended location.&lt;/p&gt;&lt;p&gt;If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fails.&lt;/p&gt;</t>
  </si>
  <si>
    <t>&lt;link rel="stylesheet"href="PF.css"&gt;&lt;div class="heading"&gt;&lt;p class="alignleft"&gt;Dimension Door&lt;/p&gt;&lt;div style="clear: both;"&gt;&lt;/div&gt;&lt;/div&gt;&lt;div&gt;&lt;h5&gt;&lt;b&gt;School &lt;/b&gt;conjuration (teleportation); &lt;b&gt;Level &lt;/b&gt;bard 4, sorcerer/wizard 4, summoner 3, witch 4, magus 4, occultist 4, psychic 4, mesmerist 4, spiritualist 4&lt;/h5&gt;&lt;h5&gt;&lt;b&gt;Casting Time &lt;/b&gt;1 standard action&lt;/h5&gt;&lt;h5&gt;&lt;b&gt;Components &lt;/b&gt;V&lt;/h5&gt;&lt;h5&gt;&lt;b&gt;Range &lt;/b&gt;long (400 ft. + 40 ft./level)&lt;/h5&gt;&lt;h5&gt;&lt;b&gt;Targets &lt;/b&gt; you and touched objects or other touched willing creatures&lt;/h5&gt;&lt;h5&gt;&lt;b&gt;Duration &lt;/b&gt;instantaneous&lt;/h5&gt;&lt;h5&gt;&lt;b&gt;Saving Throw &lt;/b&gt;none and Will negates (object); &lt;b&gt;Spell Resistance &lt;/b&gt;no and yes (object)&lt;/h5&gt;&lt;/div&gt;&lt;div&gt;&lt;h4&gt;&lt;p&gt;You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you.&lt;/p&gt;&lt;p&gt;If you arrive in a place that is already occupied by a solid body, you and each creature traveling with you take 1d6 points of damage and are shunted to a random open space on a suitable surface within 100 feet of the intended location.&lt;/p&gt;&lt;p&gt;If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fails.&lt;/p&gt;&lt;/h4&gt;&lt;/div&gt;</t>
  </si>
  <si>
    <t>Travel (4)</t>
  </si>
  <si>
    <t>Teleports you a short distance.</t>
  </si>
  <si>
    <t>Arcane (9)</t>
  </si>
  <si>
    <t>Diminish Plants</t>
  </si>
  <si>
    <t>druid 3, ranger 3</t>
  </si>
  <si>
    <t>This spell has two versions.  Prune Growth: This version of the spell causes normal vegetation within long range (400 feet + 40 feet per level) to shrink to about one-third normal size, becoming untangled and less bushy. The affected vegetation appears to have been carefully pruned and trimmed. This version of diminish plants automatically dispels any spells or effects that enhance plants, such as entangle, plant growth, and wall of thorns.  At your option, the area can be a 100-foot-radius circle, a 150-foot-radius semicircle, or a 200-foot-radius quarter-circle. You may also designate portions of the area that are not affected.  Stunt Growth: This version of the spell targets all normal plants within a range of 1/2 mile, reducing their potential productivity over the course of the following year to half normal.  This spell has no effect on plant creatures.</t>
  </si>
  <si>
    <t>&lt;p&gt;This spell has two versions.&lt;/p&gt;&lt;p&gt;&lt;i&gt;Prune Growth&lt;/i&gt;: This version of the spell causes normal vegetation within long range (400 feet + 40 feet per level) to shrink to about one-third normal size, becoming untangled and less bushy. The affected vegetation appears to have been carefully pruned and trimmed. This version of &lt;i&gt;diminish plants&lt;/i&gt; automatically dispels any spells or effects that enhance plants, such as &lt;i&gt;entangle&lt;/i&gt;, &lt;i&gt;plant growth&lt;/i&gt;, and &lt;i&gt;wall of thorns&lt;/i&gt;.&lt;/p&gt;&lt;p&gt;At your option, the area can be a 100-foot-radius circle, a 150-foot-radius semicircle, or a 200-foot-radius quarter-circle. You may also designate portions of the area that are not affected.&lt;/p&gt;&lt;p&gt;&lt;i&gt;Stunt Growth&lt;/i&gt;: This version of the spell targets all normal plants within a range of 1/2 mile, reducing their potential productivity over the course of the following year to half normal.&lt;/p&gt;&lt;p&gt;This spell has no effect on plant creatures.&lt;/p&gt;</t>
  </si>
  <si>
    <t>&lt;link rel="stylesheet"href="PF.css"&gt;&lt;div class="heading"&gt;&lt;p class="alignleft"&gt;Diminish Plants&lt;/p&gt;&lt;div style="clear: both;"&gt;&lt;/div&gt;&lt;/div&gt;&lt;div&gt;&lt;h5&gt;&lt;b&gt;School &lt;/b&gt;transmutation; &lt;b&gt;Level &lt;/b&gt;druid 3, ranger 3&lt;/h5&gt;&lt;/div&gt;&lt;hr/&gt;&lt;div&gt;&lt;h5&gt;&lt;b&gt;CASTING&lt;/b&gt;&lt;/h5&gt;&lt;/div&gt;&lt;hr/&gt;&lt;div&gt;&lt;h5&gt;&lt;b&gt;Casting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text&lt;/h5&gt;&lt;h5&gt;&lt;b&gt;Area &lt;/b&gt;see text&lt;/h5&gt;&lt;h5&gt;&lt;b&gt;Targets &lt;/b&gt;see text&lt;/h5&gt;&lt;h5&gt;&lt;b&gt;Duration &lt;/b&gt;instantaneous&lt;/h5&gt;&lt;h5&gt;&lt;b&gt;Saving Throw &lt;/b&gt;none; &lt;b&gt;Spell Resistance &lt;/b&gt;no&lt;/h5&gt;&lt;/div&gt;&lt;hr/&gt;&lt;div&gt;&lt;h5&gt;&lt;b&gt;DESCRIPTION&lt;/b&gt;&lt;/h5&gt;&lt;/div&gt;&lt;hr/&gt;&lt;div&gt;&lt;h4&gt;&lt;p&gt;This spell has two versions.&lt;/p&gt;&lt;p&gt;&lt;i&gt;Prune Growth&lt;/i&gt;: This version of the spell causes normal vegetation within long range (400 feet + 40 feet per level) to shrink to about one-third normal size, becoming untangled and less bushy. The affected vegetation appears to have been carefully pruned and trimmed. This version of &lt;i&gt;diminish plants&lt;/i&gt; automatically dispels any spells or effects that enhance plants, such as &lt;i&gt;entangle&lt;/i&gt;, &lt;i&gt;plant growth&lt;/i&gt;, and &lt;i&gt;wall of thorns&lt;/i&gt;.&lt;/p&gt;&lt;p&gt;At your option, the area can be a 100-foot-radius circle, a 150-foot-radius semicircle, or a 200-foot-radius quarter-circle. You may also designate portions of the area that are not affected.&lt;/p&gt;&lt;p&gt;&lt;i&gt;Stunt Growth&lt;/i&gt;: This version of the spell targets all normal plants within a range of 1/2 mile, reducing their potential productivity over the course of the following year to half normal.&lt;/p&gt;&lt;p&gt;This spell has no effect on plant creatures.&lt;/p&gt;&lt;/h4&gt;&lt;/div&gt;</t>
  </si>
  <si>
    <t>Reduces size or blights the growth of normal plants.</t>
  </si>
  <si>
    <t>Discern Lies</t>
  </si>
  <si>
    <t>cleric/oracle 4, paladin 3, alchemist 4, witch 4, inquisitor 4, alchemist 4, witch 4, inquisitor 4, psychic 4</t>
  </si>
  <si>
    <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  Each round, you may concentrate on a different target.</t>
  </si>
  <si>
    <t>&lt;p&gt;Each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evasions.&lt;/p&gt;&lt;p&gt;Each round, you may concentrate on a different target.&lt;/p&gt;</t>
  </si>
  <si>
    <t>&lt;link rel="stylesheet"href="PF.css"&gt;&lt;div class="heading"&gt;&lt;p class="alignleft"&gt;Discern Lies&lt;/p&gt;&lt;div style="clear: both;"&gt;&lt;/div&gt;&lt;/div&gt;&lt;div&gt;&lt;h5&gt;&lt;b&gt;School &lt;/b&gt;divination; &lt;b&gt;Level &lt;/b&gt;cleric/oracle 4, paladin 3, alchemist 4, witch 4, inquisitor 4, alchemist 4, witch 4, inquisitor 4, psychic 4&lt;/h5&gt;&lt;h5&gt;&lt;b&gt;Casting Time &lt;/b&gt;1 standard action&lt;/h5&gt;&lt;h5&gt;&lt;b&gt;Components &lt;/b&gt;V, S, DF&lt;/h5&gt;&lt;h5&gt;&lt;b&gt;Range &lt;/b&gt;close (25 ft. + 5 ft./2 levels)&lt;/h5&gt;&lt;h5&gt;&lt;b&gt;Targets &lt;/b&gt; one creature/level, no two of which can be more than 30 ft. apart&lt;/h5&gt;&lt;h5&gt;&lt;b&gt;Duration &lt;/b&gt;concentration, up to 1 round/level&lt;/h5&gt;&lt;h5&gt;&lt;b&gt;Saving Throw &lt;/b&gt;Will negates; &lt;b&gt;Spell Resistance &lt;/b&gt;no&lt;/h5&gt;&lt;/div&gt;&lt;div&gt;&lt;h4&gt;&lt;p&gt;Each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evasions.&lt;/p&gt;&lt;p&gt;Each round, you may concentrate on a different target.&lt;/p&gt;&lt;/h4&gt;&lt;/div&gt;</t>
  </si>
  <si>
    <t>Nobility (4)</t>
  </si>
  <si>
    <t>Reveals deliberate falsehoods.</t>
  </si>
  <si>
    <t>Discern Location</t>
  </si>
  <si>
    <t>cleric/oracle 8, sorcerer/wizard 8, summoner 6, witch 8, shaman 8, psychic 8</t>
  </si>
  <si>
    <t>one creature or object</t>
  </si>
  <si>
    <t>A discern location spell is among the most powerful means of locating creatures or objects. Nothing short of a mind blank spell or the direct intervention of a deity keeps you from learning the exact location of a single individual or object. Discern location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 To find a creature with the spell, you must have seen the creature or have some item that once belonged to it. To find an object, you must have touched it at least once.</t>
  </si>
  <si>
    <t>&lt;p&gt;A &lt;i&gt;discern location&lt;/i&gt; spell is among the most powerful means of locating creatures or objects. Nothing short of a &lt;i&gt;mind blank&lt;/i&gt; spell or the direct intervention of a deity keeps you from learning the exact location of a single individual or object. &lt;i&gt;Discern location&lt;/i&gt;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lies.&lt;/p&gt;&lt;p&gt;To find a creature with the spell, you must have seen the creature or have some item that once belonged to it. To find an object, you must have touched it at least once.&lt;/p&gt;</t>
  </si>
  <si>
    <t>&lt;link rel="stylesheet"href="PF.css"&gt;&lt;div class="heading"&gt;&lt;p class="alignleft"&gt;Discern Location&lt;/p&gt;&lt;div style="clear: both;"&gt;&lt;/div&gt;&lt;/div&gt;&lt;div&gt;&lt;h5&gt;&lt;b&gt;School &lt;/b&gt;divination; &lt;b&gt;Level &lt;/b&gt;cleric/oracle 8, sorcerer/wizard 8, summoner 6, witch 8, shaman 8, psychic 8&lt;/h5&gt;&lt;h5&gt;&lt;b&gt;Casting Time &lt;/b&gt;10 minutes&lt;/h5&gt;&lt;h5&gt;&lt;b&gt;Components &lt;/b&gt;V, S, DF&lt;/h5&gt;&lt;h5&gt;&lt;b&gt;Range &lt;/b&gt;unlimited&lt;/h5&gt;&lt;h5&gt;&lt;b&gt;Targets &lt;/b&gt; one creature or object&lt;/h5&gt;&lt;h5&gt;&lt;b&gt;Duration &lt;/b&gt;instantaneous&lt;/h5&gt;&lt;h5&gt;&lt;b&gt;Saving Throw &lt;/b&gt;none; &lt;b&gt;Spell Resistance &lt;/b&gt;no&lt;/h5&gt;&lt;/div&gt;&lt;div&gt;&lt;h4&gt;&lt;p&gt;A &lt;i&gt;discern location&lt;/i&gt; spell is among the most powerful means of locating creatures or objects. Nothing short of a &lt;i&gt;mind blank&lt;/i&gt; spell or the direct intervention of a deity keeps you from learning the exact location of a single individual or object. &lt;i&gt;Discern location&lt;/i&gt;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lies.&lt;/p&gt;&lt;p&gt;To find a creature with the spell, you must have seen the creature or have some item that once belonged to it. To find an object, you must have touched it at least once.&lt;/p&gt;&lt;/h4&gt;&lt;/div&gt;</t>
  </si>
  <si>
    <t>Knowledge (8)</t>
  </si>
  <si>
    <t>Reveals exact location of creature or object.</t>
  </si>
  <si>
    <t>Disguise Self</t>
  </si>
  <si>
    <t>bard 1, sorcerer/wizard 1, alchemist 1, inquisitor 1, antipaladin 1, occultist 1, psychic 1, mesmerist 1</t>
  </si>
  <si>
    <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  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t>
  </si>
  <si>
    <t>&lt;p&gt;You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gender.&lt;/p&gt;&lt;p&gt;The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illusion.&lt;/p&gt;</t>
  </si>
  <si>
    <t>&lt;link rel="stylesheet"href="PF.css"&gt;&lt;div class="heading"&gt;&lt;p class="alignleft"&gt;Disguise Self&lt;/p&gt;&lt;div style="clear: both;"&gt;&lt;/div&gt;&lt;/div&gt;&lt;div&gt;&lt;h5&gt;&lt;b&gt;School &lt;/b&gt;illusion (glamer); &lt;b&gt;Level &lt;/b&gt;bard 1, sorcerer/wizard 1, alchemist 1, inquisitor 1, antipaladin 1, occultist 1, psychic 1, mesmerist 1&lt;/h5&gt;&lt;h5&gt;&lt;b&gt;Casting Time &lt;/b&gt;1 standard action&lt;/h5&gt;&lt;h5&gt;&lt;b&gt;Components &lt;/b&gt;V, S&lt;/h5&gt;&lt;h5&gt;&lt;b&gt;Range &lt;/b&gt;personal&lt;/h5&gt;&lt;h5&gt;&lt;b&gt;Targets &lt;/b&gt; you&lt;/h5&gt;&lt;h5&gt;&lt;b&gt;Duration &lt;/b&gt;10 min./level (D)&lt;/h5&gt;&lt;/div&gt;&lt;div&gt;&lt;h4&gt;&lt;p&gt;You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gender.&lt;/p&gt;&lt;p&gt;The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illusion.&lt;/p&gt;&lt;/h4&gt;&lt;/div&gt;</t>
  </si>
  <si>
    <t>Trickery (1)</t>
  </si>
  <si>
    <t>Changes your appearance.</t>
  </si>
  <si>
    <t>Div (3), Nanite (3)</t>
  </si>
  <si>
    <t>Disintegrate</t>
  </si>
  <si>
    <t>sorcerer/wizard 6, magus 6, occultist 6, psychic 6, spiritualist 6</t>
  </si>
  <si>
    <t>V, S, M/DF (a lodestone and a pinch of dust)</t>
  </si>
  <si>
    <t>Fortitude partial (object)</t>
  </si>
  <si>
    <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  When used against an object, the ray simply disintegrates as much as a 10-foot cube of nonliving matter. Thus, the spell disintegrates only part of any very large object or structure targeted.  The ray affects even objects constructed entirely of force, such as forceful hand or a wall of force, but not magical effects such as a globe of invulnerability or an antimagic field.  A creature or object that makes a successful Fortitude save is partially affected, taking only 5d6 points of damage. If this damage reduces the creature or object to 0 or fewer hit points, it is entirely disintegrated.  Only the first creature or object struck can be affected; that is, the ray affects only one target per casting.</t>
  </si>
  <si>
    <t>&lt;p&gt;A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unaffected.&lt;/p&gt;&lt;p&gt;When used against an object, the ray simply disintegrates as much as a 10-foot cube of nonliving matter. Thus, the spell disintegrates only part of any very large object or structure targeted.&lt;/p&gt;&lt;p&gt;The ray affects even objects constructed entirely of force, such as &lt;i&gt;forceful hand&lt;/i&gt; or a &lt;i&gt;wall of force&lt;/i&gt;, but not magical effects such as a &lt;i&gt;globe of invulnerability&lt;/i&gt; or an &lt;i&gt;antimagic field&lt;/i&gt;.&lt;/p&gt;&lt;p&gt;A creature or object that makes a successful Fortitude save is partially affected, taking only 5d6 points of damage. If this damage reduces the creature or object to 0 or fewer hit points, it is entirely disintegrated.&lt;/p&gt;&lt;p&gt;Only the first creature or object struck can be affected; that is, the ray affects only one target per casting.&lt;/p&gt;</t>
  </si>
  <si>
    <t>&lt;link rel="stylesheet"href="PF.css"&gt;&lt;div class="heading"&gt;&lt;p class="alignleft"&gt;Disintegrate&lt;/p&gt;&lt;div style="clear: both;"&gt;&lt;/div&gt;&lt;/div&gt;&lt;div&gt;&lt;h5&gt;&lt;b&gt;School &lt;/b&gt;transmutation; &lt;b&gt;Level &lt;/b&gt;sorcerer/wizard 6, magus 6, occultist 6, psychic 6, spiritualist 6&lt;/h5&gt;&lt;/div&gt;&lt;hr/&gt;&lt;div&gt;&lt;h5&gt;&lt;b&gt;CASTING&lt;/b&gt;&lt;/h5&gt;&lt;/div&gt;&lt;hr/&gt;&lt;div&gt;&lt;h5&gt;&lt;b&gt;Casting Time &lt;/b&gt;1 standard action&lt;/h5&gt;&lt;h5&gt;&lt;b&gt;Components &lt;/b&gt;V, S, M/DF (a lodestone and a pinch of dust)&lt;/h5&gt;&lt;/div&gt;&lt;hr/&gt;&lt;div&gt;&lt;h5&gt;&lt;b&gt;EFFECT&lt;/b&gt;&lt;/h5&gt;&lt;/div&gt;&lt;hr/&gt;&lt;div&gt;&lt;h5&gt;&lt;b&gt;Range &lt;/b&gt;medium (100 ft. + 10 ft./level)&lt;/h5&gt;&lt;h5&gt;&lt;b&gt;Effect &lt;/b&gt;ray&lt;/h5&gt;&lt;h5&gt;&lt;b&gt;Duration &lt;/b&gt;instantaneous&lt;/h5&gt;&lt;h5&gt;&lt;b&gt;Saving Throw &lt;/b&gt;Fortitude partial (object); &lt;b&gt;Spell Resistance &lt;/b&gt;yes&lt;/h5&gt;&lt;/div&gt;&lt;hr/&gt;&lt;div&gt;&lt;h5&gt;&lt;b&gt;DESCRIPTION&lt;/b&gt;&lt;/h5&gt;&lt;/div&gt;&lt;hr/&gt;&lt;div&gt;&lt;h4&gt;&lt;p&gt;A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unaffected.&lt;/p&gt;&lt;p&gt;When used against an object, the ray simply disintegrates as much as a 10-foot cube of nonliving matter. Thus, the spell disintegrates only part of any very large object or structure targeted.&lt;/p&gt;&lt;p&gt;The ray affects even objects constructed entirely of force, such as &lt;i&gt;forceful hand&lt;/i&gt; or a &lt;i&gt;wall of force&lt;/i&gt;, but not magical effects such as a &lt;i&gt;globe of invulnerability&lt;/i&gt; or an &lt;i&gt;antimagic field&lt;/i&gt;.&lt;/p&gt;&lt;p&gt;A creature or object that makes a successful Fortitude save is partially affected, taking only 5d6 points of damage. If this damage reduces the creature or object to 0 or fewer hit points, it is entirely disintegrated.&lt;/p&gt;&lt;p&gt;Only the first creature or object struck can be affected; that is, the ray affects only one target per casting.&lt;/p&gt;&lt;/h4&gt;&lt;h5&gt;&lt;b&gt;Mythic: &lt;/b&gt;The damage dealt increases to 3d6 points of damage per caster level (maximum 60d6) plus 1d4 points of Constitution damage. A creature that succeeds at its saving throw takes 5d8 points of damage plus 1 point of Constitution damage. A creature whose Constitution score is reduced to 0 by this spell is entirely disintegrated.&lt;/h5&gt;&lt;h5&gt;&lt;b&gt;Augmented (7th)&lt;/b&gt;: If you expend two uses of mythic power, you fire two rays. Alternatively, you may fire only one ray, but if the target is a non-mythic creature and it fails its saving throw, it's automatically disintegrated regardless of its current hp.&lt;/h5&gt;&lt;/div&gt;</t>
  </si>
  <si>
    <t>Ash (7), Destruction (7)</t>
  </si>
  <si>
    <t> Reduces one creature or object to dust.</t>
  </si>
  <si>
    <t>Div (13), Protean (13)</t>
  </si>
  <si>
    <t>Time (12)</t>
  </si>
  <si>
    <t>The damage dealt increases to 3d6 points of damage per caster level (maximum 60d6) plus 1d4 points of Constitution damage. A creature that succeeds at its saving throw takes 5d8 points of damage plus 1 point of Constitution damage. A creature whose Constitution score is reduced to 0 by this spell is entirely disintegrated.</t>
  </si>
  <si>
    <t>Augmented (7th): If you expend two uses of mythic power, you fire two rays. Alternatively, you may fire only one ray, but if the target is a non-mythic creature and it fails its saving throw, it's automatically disintegrated regardless of its current hp.</t>
  </si>
  <si>
    <t>Dismissal</t>
  </si>
  <si>
    <t>cleric/oracle 4, sorcerer/wizard 5, summoner 4, inquisitor 4, shaman 4, occultist 4, psychic 5, spiritualist 5</t>
  </si>
  <si>
    <t>one extraplanar creature</t>
  </si>
  <si>
    <t>This spell forces an extraplanar creature back to its proper plane if it fails a Will save. If the spell is successful, the creature is instantly whisked away, but there is a 20% chance of actually sending the subject to a plane other than its own.</t>
  </si>
  <si>
    <t>&lt;p&gt;This spell forces an extraplanar creature back to its proper plane if it fails a Will save. If the spell is successful, the creature is instantly whisked away, but there is a 20% chance of actually sending the subject to a plane other than its own.&lt;/p&gt;</t>
  </si>
  <si>
    <t>&lt;link rel="stylesheet"href="PF.css"&gt;&lt;div class="heading"&gt;&lt;p class="alignleft"&gt;Dismissal&lt;/p&gt;&lt;div style="clear: both;"&gt;&lt;/div&gt;&lt;/div&gt;&lt;div&gt;&lt;h5&gt;&lt;b&gt;School &lt;/b&gt;abjuration; &lt;b&gt;Level &lt;/b&gt;cleric/oracle 4, sorcerer/wizard 5, summoner 4, inquisitor 4, shaman 4, occultist 4, psychic 5, spiritualist 5&lt;/h5&gt;&lt;h5&gt;&lt;b&gt;Casting Time &lt;/b&gt;1 standard action&lt;/h5&gt;&lt;h5&gt;&lt;b&gt;Components &lt;/b&gt;V, S, DF&lt;/h5&gt;&lt;h5&gt;&lt;b&gt;Range &lt;/b&gt;close (25 ft. + 5 ft./2 levels)&lt;/h5&gt;&lt;h5&gt;&lt;b&gt;Targets &lt;/b&gt; one extraplanar creature&lt;/h5&gt;&lt;h5&gt;&lt;b&gt;Duration &lt;/b&gt;instantaneous&lt;/h5&gt;&lt;h5&gt;&lt;b&gt;Saving Throw &lt;/b&gt;Will negates; see text; &lt;b&gt;Spell Resistance &lt;/b&gt;yes&lt;/h5&gt;&lt;/div&gt;&lt;div&gt;&lt;h4&gt;&lt;p&gt;This spell forces an extraplanar creature back to its proper plane if it fails a Will save. If the spell is successful, the creature is instantly whisked away, but there is a 20% chance of actually sending the subject to a plane other than its own.&lt;/p&gt;&lt;/h4&gt;&lt;/div&gt;</t>
  </si>
  <si>
    <t>Forces a creature to return to native plane.</t>
  </si>
  <si>
    <t>Abyssal (11)</t>
  </si>
  <si>
    <t>Peace (8)</t>
  </si>
  <si>
    <t>Dispel Chaos</t>
  </si>
  <si>
    <t>cleric/oracle 5, paladin 4, inquisitor 5, shaman 5</t>
  </si>
  <si>
    <t>you and a touched chaotic creature from another plane, or you and an enchantment or chaotic spell on a touched creature or object</t>
  </si>
  <si>
    <t>1 round/level or until discharged, whichever comes first</t>
  </si>
  <si>
    <t>This spell functions like dispel evil, except that you are surrounded by constant, blue lawful energy, and the spell affects chaotic creatures and spells rather than evil ones.</t>
  </si>
  <si>
    <t>&lt;p&gt;This spell functions like &lt;i&gt;dispel evil&lt;/i&gt;, except that you are surrounded by constant, blue lawful energy, and the spell affects chaotic creatures and spells rather than evil ones.&lt;/p&gt;</t>
  </si>
  <si>
    <t>&lt;link rel="stylesheet"href="PF.css"&gt;&lt;div class="heading"&gt;&lt;p class="alignleft"&gt;Dispel Chaos&lt;/p&gt;&lt;div style="clear: both;"&gt;&lt;/div&gt;&lt;/div&gt;&lt;div&gt;&lt;h5&gt;&lt;b&gt;School &lt;/b&gt;abjuration [lawful]; &lt;b&gt;Level &lt;/b&gt;cleric/oracle 5, paladin 4, inquisitor 5, shaman 5&lt;/h5&gt;&lt;h5&gt;&lt;b&gt;Casting Time &lt;/b&gt;1 standard action&lt;/h5&gt;&lt;h5&gt;&lt;b&gt;Components &lt;/b&gt;V, S, DF&lt;/h5&gt;&lt;h5&gt;&lt;b&gt;Range &lt;/b&gt;touch&lt;/h5&gt;&lt;h5&gt;&lt;b&gt;Targets &lt;/b&gt;you and a touched chaotic creature from another plane, or you and an enchantment or chaotic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constant, blue lawful energy, and the spell affects chaotic creatures and spells rather than evil ones.&lt;/p&gt;&lt;/h4&gt;&lt;/div&gt;</t>
  </si>
  <si>
    <t>Law (5)</t>
  </si>
  <si>
    <t> +4 bonus against attacks by chaotic creatures.</t>
  </si>
  <si>
    <t>Dispel Evil</t>
  </si>
  <si>
    <t>you and a touched evil creature from another plane, or you and an enchantment or evil spell on a touched creature or object</t>
  </si>
  <si>
    <t>Shimmering, white holy energy surrounds you. This energy has three effects. First, you gain a +4 deflection bonus to AC against attacks by evil creatures. 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 Third, with a touch you can automatically dispel any one enchantment spell cast by an evil creature or any one evil spell. Spells that can't be dispelled by dispel magic also can't be dispelled by dispel evil. Saving throws and spell resistance do not apply to this effect. This use discharges and ends the spell.</t>
  </si>
  <si>
    <t>&lt;p&gt;Shimmering, white holy energy surrounds you. This energy has three effects.&lt;/p&gt;&lt;p&gt;First, you gain a +4 deflection bonus to AC against attacks by evil creatures.&lt;/p&gt;&lt;p&gt;Second,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spell.&lt;/p&gt;&lt;p&gt;Third, with a touch you can automatically dispel any one enchantment spell cast by an evil creature or any one evil spell. Spells that can't be dispelled by &lt;i&gt;dispel magic&lt;/i&gt; also can't be dispelled by &lt;i&gt;dispel evil&lt;/i&gt;. Saving throws and spell resistance do not apply to this effect. This use discharges and ends the spell.&lt;/p&gt;</t>
  </si>
  <si>
    <t>&lt;link rel="stylesheet"href="PF.css"&gt;&lt;div class="heading"&gt;&lt;p class="alignleft"&gt;Dispel Evil&lt;/p&gt;&lt;div style="clear: both;"&gt;&lt;/div&gt;&lt;/div&gt;&lt;div&gt;&lt;h5&gt;&lt;b&gt;School &lt;/b&gt;abjuration [good]; &lt;b&gt;Level &lt;/b&gt;cleric/oracle 5, paladin 4, inquisitor 5, shaman 5&lt;/h5&gt;&lt;h5&gt;&lt;b&gt;Casting Time &lt;/b&gt;1 standard action&lt;/h5&gt;&lt;h5&gt;&lt;b&gt;Components &lt;/b&gt;V, S, DF&lt;/h5&gt;&lt;h5&gt;&lt;b&gt;Range &lt;/b&gt;touch&lt;/h5&gt;&lt;h5&gt;&lt;b&gt;Targets &lt;/b&gt;you and a touched evil creature from another plane, or you and an enchantment or evil spell on a touched creature or object&lt;/h5&gt;&lt;h5&gt;&lt;b&gt;Duration &lt;/b&gt;1 round/level or until discharged, whichever comes first&lt;/h5&gt;&lt;h5&gt;&lt;b&gt;Saving Throw &lt;/b&gt;see text; &lt;b&gt;Spell Resistance &lt;/b&gt;see text&lt;/h5&gt;&lt;/div&gt;&lt;div&gt;&lt;h4&gt;&lt;p&gt;Shimmering, white holy energy surrounds you. This energy has three effects.&lt;/p&gt;&lt;p&gt;First, you gain a +4 deflection bonus to AC against attacks by evil creatures.&lt;/p&gt;&lt;p&gt;Second,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spell.&lt;/p&gt;&lt;p&gt;Third, with a touch you can automatically dispel any one enchantment spell cast by an evil creature or any one evil spell. Spells that can't be dispelled by &lt;i&gt;dispel magic&lt;/i&gt; also can't be dispelled by &lt;i&gt;dispel evil&lt;/i&gt;. Saving throws and spell resistance do not apply to this effect. This use discharges and ends the spell.&lt;/p&gt;&lt;/h4&gt;&lt;/div&gt;</t>
  </si>
  <si>
    <t>Good (5)</t>
  </si>
  <si>
    <t> +4 bonus against attacks by evil creatures.</t>
  </si>
  <si>
    <t>Dispel Good</t>
  </si>
  <si>
    <t>cleric/oracle 5, inquisitor 5, antipaladin 4, shaman 5</t>
  </si>
  <si>
    <t>you and a touched good creature from another plane, or you and an enchantment or good spell on a touched creature or object</t>
  </si>
  <si>
    <t>This spell functions like dispel evil, except that you are surrounded by dark, wavering unholy energy, and the spell affects good creatures and spells rather than evil ones.</t>
  </si>
  <si>
    <t>&lt;p&gt;This spell functions like &lt;i&gt;dispel evil&lt;/i&gt;, except that you are surrounded by dark, wavering unholy energy, and the spell affects good creatures and spells rather than evil ones.&lt;/p&gt;</t>
  </si>
  <si>
    <t>&lt;link rel="stylesheet"href="PF.css"&gt;&lt;div class="heading"&gt;&lt;p class="alignleft"&gt;Dispel Good&lt;/p&gt;&lt;div style="clear: both;"&gt;&lt;/div&gt;&lt;/div&gt;&lt;div&gt;&lt;h5&gt;&lt;b&gt;School &lt;/b&gt;abjuration [evil]; &lt;b&gt;Level &lt;/b&gt;cleric/oracle 5, inquisitor 5, antipaladin 4, shaman 5&lt;/h5&gt;&lt;h5&gt;&lt;b&gt;Casting Time &lt;/b&gt;1 standard action&lt;/h5&gt;&lt;h5&gt;&lt;b&gt;Components &lt;/b&gt;V, S, DF&lt;/h5&gt;&lt;h5&gt;&lt;b&gt;Range &lt;/b&gt;touch&lt;/h5&gt;&lt;h5&gt;&lt;b&gt;Targets &lt;/b&gt;you and a touched good creature from another plane, or you and an enchantment or goodl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dark, wavering unholy energy, and the spell affects good creatures and spells rather than evil ones.&lt;/p&gt;&lt;/h4&gt;&lt;/div&gt;</t>
  </si>
  <si>
    <t>Evil (5)</t>
  </si>
  <si>
    <t>+4 against attacks by good creatures.</t>
  </si>
  <si>
    <t>Dispel Law</t>
  </si>
  <si>
    <t>you and a touched lawful creature from another plane, or you and an enchantment or lawful spell on a touched creature or object</t>
  </si>
  <si>
    <t>This spell functions like dispel evil, except that you are surrounded by flickering, yellow chaotic energy, and the spell affects lawful creatures and spells rather than evil ones.</t>
  </si>
  <si>
    <t>&lt;p&gt;This spell functions like &lt;i&gt;dispel evil&lt;/i&gt;, except that you are surrounded by flickering, yellow chaotic energy, and the spell affects lawful creatures and spells rather than evil ones.&lt;/p&gt;</t>
  </si>
  <si>
    <t>&lt;link rel="stylesheet"href="PF.css"&gt;&lt;div class="heading"&gt;&lt;p class="alignleft"&gt;Dispel Law&lt;/p&gt;&lt;div style="clear: both;"&gt;&lt;/div&gt;&lt;/div&gt;&lt;div&gt;&lt;h5&gt;&lt;b&gt;School &lt;/b&gt;abjuration [chaotic]; &lt;b&gt;Level &lt;/b&gt;cleric/oracle 5, inquisitor 5, antipaladin 4, shaman 5&lt;/h5&gt;&lt;h5&gt;&lt;b&gt;Casting Time &lt;/b&gt;1 standard action&lt;/h5&gt;&lt;h5&gt;&lt;b&gt;Components &lt;/b&gt;V, S, DF&lt;/h5&gt;&lt;h5&gt;&lt;b&gt;Range &lt;/b&gt;touch&lt;/h5&gt;&lt;h5&gt;&lt;b&gt;Targets &lt;/b&gt;you and a touched lawful creature from another plane, or you and an enchantment or lawful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flickering, yellow chaotic energy, and the spell affects lawful creatures and spells rather than evil ones.&lt;/p&gt;&lt;/h4&gt;&lt;/div&gt;</t>
  </si>
  <si>
    <t>Chaos (5)</t>
  </si>
  <si>
    <t>+4 against attacks by lawful creatures.</t>
  </si>
  <si>
    <t>Dispel Magic</t>
  </si>
  <si>
    <t>bard 3, cleric/oracle 3, druid 4, paladin 3, sorcerer/wizard 3, summoner 3, witch 3, inquisitor 3, antipaladin 3, magus 3, shaman 3, occultist 3, psychic 3, mesmerist 3, spiritualist 3</t>
  </si>
  <si>
    <t>one spellcaster, creature, or object</t>
  </si>
  <si>
    <t>You can use dispel magic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dispel magic. Dispel magic can dispel (but not counter) spell-like effects just as it does spells. The of a spell with an instantaneous duration can't be dispelled, because the magical effect is already over before the dispel magic can take effect. You choose to use dispel magic in one of two ways: a targeted dispel or a counterspell. Targeted Dispel: One object, creature, or spell is the target of the dispel magic spell. You make one dispel check (1d20 + your caster level) and compare that to the spell with highest caster level (DC = 11 + the spell's caster level). If successful, that spell ends. If not, compare the same result to the spell with the next highest caster level. Repeat this process until you have dispelled one spell affecting the target, or you have failed to dispel every spell. For example, a 7th-level caster casts dispel magic, targeting a creature affected by stoneskin (caster level 12th) and fly (caster level 6th). The caster level check results in a 19. This check is not high enough to end the stoneskin (which would have required a 23 or higher), but it is high enough to end the fly (which only required a 17). Had the dispel check resulted in a 23 or higher, the stoneskin would have been dispelled, leaving the fly intact. Had the dispel check been a 16 or less, no spells would have been affected. You can also use a targeted dispel to specifically end one spell affecting the target or one spell affecting an area (such as a wall of fire). You must name the specific spell effect to be targeted in this way. If your caster level check is equal to or higher than the DC of that spell, it ends. No other spells or effects on the target are dispelled if your check is not high enough to end the targeted effect. If you target an object or creature that is the effect of an ongoing spell (such as a monster summoned by summon monster), you make a dispel check to end the spell that conjured the object or creature. 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bag of holding) is temporarily closed. A magic item's physical properties are unchanged: A suppressed magic sword is still a sword (a masterwork sword, in fact). Artifacts and deities are unaffected by mortal magic such as this. You automatically succeed on your dispel check against any spell that you cast yourself. Counterspell: When dispel magic is used in this way, the spell targets a spellcaster and is cast as a counterspell. Unlike a true counterspell, however, dispel magic may not work; you must make a dispel check to counter the other spellcaster's spell.</t>
  </si>
  <si>
    <t>&lt;p&gt;You can use &lt;i&gt;dispel magic&lt;/i&gt;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&lt;i&gt;dispel magic&lt;/i&gt;. &lt;i&gt;&lt;i&gt;Dispel&lt;/i&gt; magic&lt;/i&gt; can dispel (but not counter) spell-like effects just as it does spells. The of a spell with an instantaneous duration can't be dispelled, because the magical effect is already over before the &lt;i&gt;dispel magic&lt;/i&gt; can take effect.&lt;/p&gt;&lt;p&gt;You choose to use &lt;i&gt;dispel magic&lt;/i&gt; in one of two ways: a targeted dispel or a counterspell.&lt;/p&gt;&lt;p&gt;&lt;i&gt;Targeted&lt;/i&gt; &lt;i&gt;Dispel&lt;/i&gt;: One object, creature, or spell is the target of the &lt;i&gt;dispel magic&lt;/i&gt; spell. You make one dispel check (1d20 + your caster level) and compare that to the spell with highest caster level (DC = 11 + the spell's caster level). If successful, that spell ends.&lt;/p&gt;&lt;p&gt;If not, compare the same result to the spell with the next highest caster level. Repeat this process until you have dispelled one spell affecting the target, or you have failed to dispel every spell.&lt;/p&gt;&lt;p&gt;For example, a 7th-level caster casts &lt;i&gt;dispel magic&lt;/i&gt;, targeting a creature affected by &lt;i&gt;stoneskin&lt;/i&gt; (caster level 12th) and &lt;i&gt;fly&lt;/i&gt; (caster level 6th). The caster level check results in a 19. This check is not high enough to end the &lt;i&gt;stoneskin&lt;/i&gt; (which would have required a 23 or higher), but it is high enough to end the &lt;i&gt;fly&lt;/i&gt; (which only required a 17). Had the dispel check resulted in a 23 or higher, the &lt;i&gt;stoneskin&lt;/i&gt; would have been dispelled, leaving the &lt;i&gt;fly&lt;/i&gt; intact. Had the dispel check been a 16 or less, no spells would have been affected.&lt;/p&gt;&lt;p&gt;You can also use a targeted dispel to specifically end one spell affecting the target or one spell affecting an area (such as a &lt;i&gt;wall of&lt;/i&gt; fire). You must name the specific spell effect to be targeted in this way. If your caster level check is equal to or higher than the DC of that spell, it ends. No other spells or effects on the target are dispelled if your check is not high enough to end the targeted effect.&lt;/p&gt;&lt;p&gt;If you target an object or creature that is the effect of an ongoing spell (such as a monster &lt;i&gt;summon&lt;/i&gt;ed by &lt;i&gt;summon&lt;/i&gt; monster), you make a dispel check to end the spell that conjured the object or creature.&lt;/p&gt;&lt;p&gt;If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&lt;i&gt;bag of&lt;/i&gt; holding) is temporarily closed. A magic item's physical properties are unchanged: A suppressed magic sword is still a sword (a masterwork sword, in fact). Artifacts and deities are unaffected by mortal magic such as this.&lt;/p&gt;&lt;p&gt;You automatically succeed on your dispel check against any spell that you cast yourself.&lt;/p&gt;&lt;p&gt;&lt;i&gt;Counterspell&lt;/i&gt;: When &lt;i&gt;dispel magic&lt;/i&gt; is used in this way, the spell targets a spellcaster and is cast as a counterspell. Unlike a true counterspell, however, &lt;i&gt;dispel magic&lt;/i&gt; may not work; you must make a dispel check to counter the other spellcaster's spell.&lt;/p&gt;</t>
  </si>
  <si>
    <t>&lt;link rel="stylesheet"href="PF.css"&gt;&lt;div class="heading"&gt;&lt;p class="alignleft"&gt;Dispel Magic&lt;/p&gt;&lt;div style="clear: both;"&gt;&lt;/div&gt;&lt;/div&gt;&lt;div&gt;&lt;h5&gt;&lt;b&gt;School &lt;/b&gt;abjuration; &lt;b&gt;Level &lt;/b&gt;bard 3, cleric/oracle 3, druid 4, paladin 3, sorcerer/wizard 3, summoner 3, witch 3, inquisitor 3, antipaladin 3, magus 3, shaman 3, occultist 3, psychic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 or Area &lt;/b&gt;one spellcaster, creature, or object&lt;h5&gt;&lt;b&gt;Duration &lt;/b&gt;instantaneous&lt;/h5&gt;&lt;h5&gt;&lt;b&gt;Saving Throw &lt;/b&gt;none; &lt;b&gt;Spell Resistance &lt;/b&gt;no&lt;/h5&gt;&lt;/div&gt;&lt;hr/&gt;&lt;div&gt;&lt;h5&gt;&lt;b&gt;DESCRIPTION&lt;/b&gt;&lt;/h5&gt;&lt;/div&gt;&lt;hr/&gt;&lt;div&gt;&lt;h4&gt;&lt;p&gt;You can use &lt;i&gt;dispel magic&lt;/i&gt;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&lt;i&gt;dispel magic&lt;/i&gt;. &lt;i&gt;&lt;i&gt;Dispel&lt;/i&gt; magic&lt;/i&gt; can dispel (but not counter) spell-like effects just as it does spells. The of a spell with an instantaneous duration can't be dispelled, because the magical effect is already over before the &lt;i&gt;dispel magic&lt;/i&gt; can take effect.&lt;/p&gt;&lt;p&gt;You choose to use &lt;i&gt;dispel magic&lt;/i&gt; in one of two ways: a targeted dispel or a counterspell.&lt;/p&gt;&lt;p&gt;&lt;i&gt;Targeted&lt;/i&gt; &lt;i&gt;Dispel&lt;/i&gt;: One object, creature, or spell is the target of the &lt;i&gt;dispel magic&lt;/i&gt; spell. You make one dispel check (1d20 + your caster level) and compare that to the spell with highest caster level (DC = 11 + the spell's caster level). If successful, that spell ends.&lt;/p&gt;&lt;p&gt;If not, compare the same result to the spell with the next highest caster level. Repeat this process until you have dispelled one spell affecting the target, or you have failed to dispel every spell.&lt;/p&gt;&lt;p&gt;For example, a 7th-level caster casts &lt;i&gt;dispel magic&lt;/i&gt;, targeting a creature affected by &lt;i&gt;stoneskin&lt;/i&gt; (caster level 12th) and &lt;i&gt;fly&lt;/i&gt; (caster level 6th). The caster level check results in a 19. This check is not high enough to end the &lt;i&gt;stoneskin&lt;/i&gt; (which would have required a 23 or higher), but it is high enough to end the &lt;i&gt;fly&lt;/i&gt; (which only required a 17). Had the dispel check resulted in a 23 or higher, the &lt;i&gt;stoneskin&lt;/i&gt; would have been dispelled, leaving the &lt;i&gt;fly&lt;/i&gt; intact. Had the dispel check been a 16 or less, no spells would have been affected.&lt;/p&gt;&lt;p&gt;You can also use a targeted dispel to specifically end one spell affecting the target or one spell affecting an area (such as a &lt;i&gt;wall of&lt;/i&gt; fire). You must name the specific spell effect to be targeted in this way. If your caster level check is equal to or higher than the DC of that spell, it ends. No other spells or effects on the target are dispelled if your check is not high enough to end the targeted effect.&lt;/p&gt;&lt;p&gt;If you target an object or creature that is the effect of an ongoing spell (such as a monster &lt;i&gt;summon&lt;/i&gt;ed by &lt;i&gt;summon&lt;/i&gt; monster), you make a dispel check to end the spell that conjured the object or creature.&lt;/p&gt;&lt;p&gt;If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&lt;i&gt;bag of&lt;/i&gt; holding) is temporarily closed. A magic item's physical properties are unchanged: A suppressed magic sword is still a sword (a masterwork sword, in fact). Artifacts and deities are unaffected by mortal magic such as this.&lt;/p&gt;&lt;p&gt;You automatically succeed on your dispel check against any spell that you cast yourself.&lt;/p&gt;&lt;p&gt;&lt;i&gt;Counterspell&lt;/i&gt;: When &lt;i&gt;dispel magic&lt;/i&gt; is used in this way, the spell targets a spellcaster and is cast as a counterspell. Unlike a true counterspell, however, &lt;i&gt;dispel magic&lt;/i&gt; may not work; you must make a dispel check to counter the other spellcaster's spell.&lt;/p&gt;&lt;/h4&gt;&lt;h5&gt;&lt;b&gt;Mythic: &lt;/b&gt;When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result.&lt;/h5&gt;&lt;/div&gt;</t>
  </si>
  <si>
    <t>Magic (3), Entropy (3)</t>
  </si>
  <si>
    <t>Cancels one magical spell or effect.</t>
  </si>
  <si>
    <t>Arcane (7)</t>
  </si>
  <si>
    <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t>
  </si>
  <si>
    <t>Dispel Magic, Greater</t>
  </si>
  <si>
    <t>bard 5, cleric/oracle 6, druid 6, sorcerer/wizard 6, witch 6, inquisitor 6, summoner 5, magus 6, shaman 6, occultist 5, psychic 6, spiritualist 6</t>
  </si>
  <si>
    <t>This spell functions like dispel magic, except that it can end more than one spell on a target and it can be used to target multiple creatures. You choose to use greater dispel magic in one of three ways: a targeted dispel, area dispel, or a counterspell: Targeted Dispel: This functions as a targeted dispel magic, but it can dispel one spell for every four caster levels you possess, starting with the highest level spells and proceeding to lower level spells. Additionally, greater dispel magic has a chance to dispel any effect that remove curse can remove, even if dispel magic can't dispel that effect. The DC of this check is equal to the curse's DC. Area Dispel: When greater dispel magic is used in this way, the spell affects everything within a 20-foot-radius burst. Roll one dispel check and apply that check to each creature in the area, as if targeted by dispel magic. For each object within the area that is the target of one or more spells, apply the dispel check as with creatures. Magic items are not affected by an area dispel. For each ongoing area or effect spell whose point of origin is within the area of the greater dispel magic spell, apply the dispel check to dispel the spell. For each ongoing spell whose area overlaps that of the greater dispel magic spell, apply the dispel check to end the effect, but only within the overlapping area. If an object or creature that is the effect of an ongoing spell (such as a monster summoned by summon monster) is in the area, apply the dispel check to end the spell that conjured that object or creature (returning it whence it came) in addition to attempting to dispel one spell targeting the creature or object. You may choose to automatically succeed on dispel checks against any spell that you have cast. Counterspell: This functions as dispel magic, but you receive a +4 bonus on your dispel check to counter the other spellcaster's spell.</t>
  </si>
  <si>
    <t>&lt;p&gt;This spell functions like &lt;i&gt;dispel magic&lt;/i&gt;, except that it can end more than one spell on a target and it can be used to target multiple creatures.&lt;/p&gt;&lt;p&gt;You choose to use &lt;i&gt;greater dispel magic&lt;/i&gt; in one of three ways: a targeted dispel, area dispel, or a counterspell: &lt;i&gt;Targeted Dispel&lt;/i&gt;: This functions as a targeted &lt;i&gt;dispel magic&lt;/i&gt;, but it can dispel one spell for every four caster levels you possess, starting with the highest level spells and proceeding to lower level spells.&lt;/p&gt;&lt;p&gt;Additionally, &lt;i&gt;greater dispel magic&lt;/i&gt; has a chance to dispel any effect that &lt;i&gt;remove curse&lt;/i&gt; can remove, even if &lt;i&gt;dispel magic&lt;/i&gt; can't dispel that effect. The DC of this check is equal to the curse's DC.&lt;/p&gt;&lt;p&gt;&lt;i&gt;Area Dispel&lt;/i&gt;: When &lt;i&gt;greater dispel magic&lt;/i&gt; is used in this way, the spell affects everything within a 20-foot-radius burst. Roll one dispel check and apply that check to each creature in the area, as if targeted by &lt;i&gt;dispel magic&lt;/i&gt;. For each object within the area that is the target of one or more spells, apply the dispel check as with creatures. Magic items are not affected by an area dispel.&lt;/p&gt;&lt;p&gt;For each ongoing area or effect spell whose point of origin is within the area of the &lt;i&gt;greater dispel magic&lt;/i&gt; spell, apply the dispel check to dispel the spell. For each ongoing spell whose area overlaps that of the &lt;i&gt;greater dispel magic&lt;/i&gt; spell, apply the dispel check to end the effect, but only within the overlapping area.&lt;/p&gt;&lt;p&gt;If an object or creature that is the effect of an ongoing spell (such as a monster summoned by &lt;i&gt;summon monster&lt;/i&gt;) is in the area, apply the dispel check to end the spell that conjured that object or creature (returning it whence it came) in addition to attempting to dispel one spell targeting the creature or object.&lt;/p&gt;&lt;p&gt;You may choose to automatically succeed on dispel checks against any spell that you have cast.&lt;/p&gt;&lt;p&gt;&lt;i&gt;Counterspell&lt;/i&gt;: This functions as &lt;i&gt;dispel magic&lt;/i&gt;, but you receive a +4 bonus on your dispel check to counter the other spellcaster's spell.&lt;/p&gt;</t>
  </si>
  <si>
    <t>&lt;link rel="stylesheet"href="PF.css"&gt;&lt;div class="heading"&gt;&lt;p class="alignleft"&gt;Dispel Magic, Greater&lt;/p&gt;&lt;div style="clear: both;"&gt;&lt;/div&gt;&lt;/div&gt;&lt;div&gt;&lt;h5&gt;&lt;b&gt;School &lt;/b&gt;abjuration; &lt;b&gt;Level &lt;/b&gt;bard 5, cleric/oracle 6, druid 6, sorcerer/wizard 6, witch 6, inquisitor 6, summoner 5, magus 6, shaman 6, occultist 5, psychic 6, spiritualist 6&lt;/h5&gt;&lt;h5&gt;&lt;b&gt;Casting Time &lt;/b&gt;1 standard action&lt;/h5&gt;&lt;h5&gt;&lt;b&gt;Components &lt;/b&gt;V, S&lt;/h5&gt;&lt;h5&gt;&lt;b&gt;Range &lt;/b&gt;medium (100 ft. + 10 ft./level)&lt;/h5&gt;&lt;h5&gt;&lt;b&gt;Area &lt;/b&gt;20-ft.-radius burst&lt;/h5&gt;&lt;h5&gt;&lt;b&gt;Targets &lt;/b&gt;one spellcaster, creature, or object&lt;/h5&gt;&lt;h5&gt;&lt;b&gt;Duration &lt;/b&gt;instantaneous&lt;/h5&gt;&lt;h5&gt;&lt;b&gt;Saving Throw &lt;/b&gt;none; &lt;b&gt;Spell Resistance &lt;/b&gt;no&lt;/h5&gt;&lt;/div&gt;&lt;div&gt;&lt;h4&gt;&lt;p&gt;This spell functions like &lt;i&gt;dispel magic&lt;/i&gt;, except that it can end more than one spell on a target and it can be used to target multiple creatures.&lt;/p&gt;&lt;p&gt;You choose to use &lt;i&gt;greater dispel magic&lt;/i&gt; in one of three ways: a targeted dispel, area dispel, or a counterspell: &lt;i&gt;Targeted Dispel&lt;/i&gt;: This functions as a targeted &lt;i&gt;dispel magic&lt;/i&gt;, but it can dispel one spell for every four caster levels you possess, starting with the highest level spells and proceeding to lower level spells.&lt;/p&gt;&lt;p&gt;Additionally, &lt;i&gt;greater dispel magic&lt;/i&gt; has a chance to dispel any effect that &lt;i&gt;remove curse&lt;/i&gt; can remove, even if &lt;i&gt;dispel magic&lt;/i&gt; can't dispel that effect. The DC of this check is equal to the curse's DC.&lt;/p&gt;&lt;p&gt;&lt;i&gt;Area Dispel&lt;/i&gt;: When &lt;i&gt;greater dispel magic&lt;/i&gt; is used in this way, the spell affects everything within a 20-foot-radius burst. Roll one dispel check and apply that check to each creature in the area, as if targeted by &lt;i&gt;dispel magic&lt;/i&gt;. For each object within the area that is the target of one or more spells, apply the dispel check as with creatures. Magic items are not affected by an area dispel.&lt;/p&gt;&lt;p&gt;For each ongoing area or effect spell whose point of origin is within the area of the &lt;i&gt;greater dispel magic&lt;/i&gt; spell, apply the dispel check to dispel the spell. For each ongoing spell whose area overlaps that of the &lt;i&gt;greater dispel magic&lt;/i&gt; spell, apply the dispel check to end the effect, but only within the overlapping area.&lt;/p&gt;&lt;p&gt;If an object or creature that is the effect of an ongoing spell (such as a monster summoned by &lt;i&gt;summon monster&lt;/i&gt;) is in the area, apply the dispel check to end the spell that conjured that object or creature (returning it whence it came) in addition to attempting to dispel one spell targeting the creature or object.&lt;/p&gt;&lt;p&gt;You may choose to automatically succeed on dispel checks against any spell that you have cast.&lt;/p&gt;&lt;p&gt;&lt;i&gt;Counterspell&lt;/i&gt;: This functions as &lt;i&gt;dispel magic&lt;/i&gt;, but you receive a +4 bonus on your dispel check to counter the other spellcaster's spell.&lt;/p&gt;&lt;/h4&gt;&lt;/div&gt;</t>
  </si>
  <si>
    <t>Liberation (6)</t>
  </si>
  <si>
    <t>Works as dispel magic, but can affect multiple targets.</t>
  </si>
  <si>
    <t>Celestial (13), Oni (13)</t>
  </si>
  <si>
    <t>Displacement</t>
  </si>
  <si>
    <t>bard 3, sorcerer/wizard 3, alchemist 3, summoner 3, magus 3, occultist 3, psychic 3, mesmerist 3, spiritualist 3</t>
  </si>
  <si>
    <t>V, M (a small loop of leather)</t>
  </si>
  <si>
    <t>The subject of this spell appears to be about 2 feet away from its true location. The creature benefits from a 50% miss chance as if it had total concealment. Unlike actual total concealment, displacement does not prevent enemies from targeting the creature normally. True seeing reveals its true location and negates the miss chance.</t>
  </si>
  <si>
    <t>&lt;p&gt;The subject of this spell appears to be about 2 feet away from its true location. The creature benefits from a 50% miss chance as if it had total concealment. Unlike actual total concealment, &lt;i&gt;displacement&lt;/i&gt; does not prevent enemies from targeting the creature normally. &lt;i&gt;True seeing&lt;/i&gt; reveals its true location and negates the miss chance.&lt;/p&gt;</t>
  </si>
  <si>
    <t>&lt;link rel="stylesheet"href="PF.css"&gt;&lt;div class="heading"&gt;&lt;p class="alignleft"&gt;Displacement&lt;/p&gt;&lt;div style="clear: both;"&gt;&lt;/div&gt;&lt;/div&gt;&lt;div&gt;&lt;h5&gt;&lt;b&gt;School &lt;/b&gt;illusion (glamer); &lt;b&gt;Level &lt;/b&gt;bard 3, sorcerer/wizard 3, alchemist 3, summoner 3, magus 3, occultist 3, psychic 3, mesmerist 3, spiritualist 3, witch 3, alchemist 2, witch 2, inquisitor 2, witch 8&lt;/h5&gt;&lt;h5&gt;&lt;b&gt;Casting Time &lt;/b&gt;1 standard action&lt;/h5&gt;&lt;h5&gt;&lt;b&gt;Components &lt;/b&gt;V, M (a small loop of leather)&lt;/h5&gt;&lt;h5&gt;&lt;b&gt;Range &lt;/b&gt;touch&lt;/h5&gt;&lt;h5&gt;&lt;b&gt;Targets &lt;/b&gt;creature touched&lt;/h5&gt;&lt;h5&gt;&lt;b&gt;Duration &lt;/b&gt;1 round/level (D)&lt;/h5&gt;&lt;h5&gt;&lt;b&gt;Saving Throw &lt;/b&gt;Will negates (harmless); &lt;b&gt;Spell Resistance &lt;/b&gt;yes (harmless)&lt;/h5&gt;&lt;/div&gt;&lt;div&gt;&lt;h4&gt;&lt;p&gt;The subject of this spell appears to be about 2 feet away from its true location. The creature benefits from a 50% miss chance as if it had total concealment. Unlike actual total concealment, &lt;i&gt;displacement&lt;/i&gt; does not prevent enemies from targeting the creature normally. &lt;i&gt;True seeing&lt;/i&gt; reveals its true location and negates the miss chance.&lt;/p&gt;&lt;/h4&gt;&lt;/div&gt;</t>
  </si>
  <si>
    <t>Protean (3)</t>
  </si>
  <si>
    <t>Attacks miss subject 50% of the time.</t>
  </si>
  <si>
    <t>Disrupting Weapon</t>
  </si>
  <si>
    <t>cleric/oracle 5, inquisitor 5, spiritualist 5</t>
  </si>
  <si>
    <t>one melee weapon</t>
  </si>
  <si>
    <t>Will negates (harmless, object); see text</t>
  </si>
  <si>
    <t>This spell makes a melee weapon deadly to undead. Any undead creature with HD equal to or less than your caster level must succeed on a Will save or be destroyed utterly if struck in combat with this weapon. Spell resistance does not apply against the destruction effect.</t>
  </si>
  <si>
    <t>&lt;p&gt;This spell makes a melee weapon deadly to undead. Any undead creature with HD equal to or less than your caster level must succeed on a Will save or be destroyed utterly if struck in combat with this weapon. Spell resistance does not apply against the destruction effect.&lt;/p&gt;</t>
  </si>
  <si>
    <t>&lt;link rel="stylesheet"href="PF.css"&gt;&lt;div class="heading"&gt;&lt;p class="alignleft"&gt;Disrupting Weapon&lt;/p&gt;&lt;div style="clear: both;"&gt;&lt;/div&gt;&lt;/div&gt;&lt;div&gt;&lt;h5&gt;&lt;b&gt;School &lt;/b&gt;transmutation; &lt;b&gt;Level &lt;/b&gt;cleric/oracle 5, inquisitor 5, spiritualist 5&lt;/h5&gt;&lt;h5&gt;&lt;b&gt;Casting Time &lt;/b&gt;1 standard action&lt;/h5&gt;&lt;h5&gt;&lt;b&gt;Components &lt;/b&gt;V, S&lt;/h5&gt;&lt;h5&gt;&lt;b&gt;Range &lt;/b&gt;touch&lt;/h5&gt;&lt;h5&gt;&lt;b&gt;Targets &lt;/b&gt;one melee weapon&lt;/h5&gt;&lt;h5&gt;&lt;b&gt;Duration &lt;/b&gt;1 round/level&lt;/h5&gt;&lt;h5&gt;&lt;b&gt;Saving Throw &lt;/b&gt;Will negates (harmless, object); see text; &lt;b&gt;Spell Resistance &lt;/b&gt;yes (harmless, object)&lt;/h5&gt;&lt;/div&gt;&lt;div&gt;&lt;h4&gt;&lt;p&gt;This spell makes a melee weapon deadly to undead. Any undead creature with HD equal to or less than your caster level must succeed on a Will save or be destroyed utterly if struck in combat with this weapon. Spell resistance does not apply against the destruction effect.&lt;/p&gt;&lt;/h4&gt;&lt;/div&gt;</t>
  </si>
  <si>
    <t> Melee weapon destroys undead.</t>
  </si>
  <si>
    <t>Disrupt Undead</t>
  </si>
  <si>
    <t>sorcerer/wizard 0, inquisitor 0, magus 0</t>
  </si>
  <si>
    <t>You direct a ray of positive energy. You must make a ranged touch attack to hit, and if the ray hits an undead creature, it deals 1d6 points of damage to it.</t>
  </si>
  <si>
    <t>&lt;p&gt;You direct a ray of positive energy. You must make a ranged touch attack to hit, and if the ray hits an undead creature, it deals 1d6 points of damage to it.&lt;/p&gt;</t>
  </si>
  <si>
    <t>&lt;link rel="stylesheet"href="PF.css"&gt;&lt;div class="heading"&gt;&lt;p class="alignleft"&gt;Disrupt Undead&lt;/p&gt;&lt;div style="clear: both;"&gt;&lt;/div&gt;&lt;/div&gt;&lt;div&gt;&lt;h5&gt;&lt;b&gt;School &lt;/b&gt;necromancy; &lt;b&gt;Level &lt;/b&gt;sorcerer/wizard 0, inquisitor 0, magus 0&lt;/h5&gt;&lt;h5&gt;&lt;b&gt;Casting Time &lt;/b&gt;1 standard action&lt;/h5&gt;&lt;h5&gt;&lt;b&gt;Components &lt;/b&gt;V, S&lt;/h5&gt;&lt;h5&gt;&lt;b&gt;Range &lt;/b&gt;close (25 ft. + 5 ft./2 levels)&lt;/h5&gt;&lt;h5&gt;&lt;b&gt;Effect &lt;/b&gt;ray&lt;/h5&gt;&lt;h5&gt;&lt;b&gt;Duration &lt;/b&gt;instantaneous&lt;/h5&gt;&lt;h5&gt;&lt;b&gt;Saving Throw &lt;/b&gt;none; &lt;b&gt;Spell Resistance &lt;/b&gt;yes&lt;/h5&gt;&lt;/div&gt;&lt;div&gt;&lt;h4&gt;&lt;p&gt;You direct a ray of positive energy. You must make a ranged touch attack to hit, and if the ray hits an undead creature, it deals 1d6 points of damage to it.&lt;/p&gt;&lt;/h4&gt;&lt;/div&gt;</t>
  </si>
  <si>
    <t> Deals 1d6 damage to one undead.</t>
  </si>
  <si>
    <t>Divination</t>
  </si>
  <si>
    <t>cleric/oracle 4, witch 4, inquisitor 4, shaman 4, psychic 4, spiritualist 4</t>
  </si>
  <si>
    <t>V, S, M (incense and an appropriate offering worth 25 gp)</t>
  </si>
  <si>
    <t>Similar to augury but more powerful, a divination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divination is 70% + 1% per caster level, to a maximum of 90%. If the die roll fails, you know the spell failed, unless specific magic yielding false information is at work. As with augury, multiple divinations about the same topic by the same caster use the same dice result as the first divination spell and yield the same answer each time.</t>
  </si>
  <si>
    <t>&lt;p&gt;Similar to &lt;i&gt;augury&lt;/i&gt; but more powerful, a &lt;i&gt;divination&lt;/i&gt;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&lt;i&gt;divination&lt;/i&gt; is 70% + 1% per caster level, to a maximum of 90%. If the die roll fails, you know the spell failed, unless specific magic yielding false information is at work.&lt;/p&gt;&lt;p&gt;As with &lt;i&gt;augury&lt;/i&gt;, multiple &lt;i&gt;divinations&lt;/i&gt; about the same topic by the same caster use the same dice result as the first &lt;i&gt;divination&lt;/i&gt; spell and yield the same answer each time.&lt;/p&gt;</t>
  </si>
  <si>
    <t>&lt;link rel="stylesheet"href="PF.css"&gt;&lt;div class="heading"&gt;&lt;p class="alignleft"&gt;Divination&lt;/p&gt;&lt;div style="clear: both;"&gt;&lt;/div&gt;&lt;/div&gt;&lt;div&gt;&lt;h5&gt;&lt;b&gt;School &lt;/b&gt;divination; &lt;b&gt;Level &lt;/b&gt;cleric/oracle 4, witch 4, inquisitor 4, shaman 4, psychic 4, spiritualist 4&lt;/h5&gt;&lt;h5&gt;&lt;b&gt;Casting Time &lt;/b&gt;10 minutes&lt;/h5&gt;&lt;h5&gt;&lt;b&gt;Components &lt;/b&gt;V, S, M (incense and an appropriate offering worth 25 gp)&lt;/h5&gt;&lt;h5&gt;&lt;b&gt;Range &lt;/b&gt;personal&lt;/h5&gt;&lt;h5&gt;&lt;b&gt;Targets &lt;/b&gt;you&lt;/h5&gt;&lt;h5&gt;&lt;b&gt;Duration &lt;/b&gt;instantaneous&lt;/h5&gt;&lt;/div&gt;&lt;div&gt;&lt;h4&gt;&lt;p&gt;Similar to &lt;i&gt;augury&lt;/i&gt; but more powerful, a &lt;i&gt;divination&lt;/i&gt;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&lt;i&gt;divination&lt;/i&gt; is 70% + 1% per caster level, to a maximum of 90%. If the die roll fails, you know the spell failed, unless specific magic yielding false information is at work.&lt;/p&gt;&lt;p&gt;As with &lt;i&gt;augury&lt;/i&gt;, multiple &lt;i&gt;divinations&lt;/i&gt; about the same topic by the same caster use the same dice result as the first &lt;i&gt;divination&lt;/i&gt; spell and yield the same answer each time.&lt;/p&gt;&lt;/h4&gt;&lt;/div&gt;</t>
  </si>
  <si>
    <t>Knowledge (4)</t>
  </si>
  <si>
    <t> Provides useful advice for specific proposed actions.</t>
  </si>
  <si>
    <t>Dreamspun (9)</t>
  </si>
  <si>
    <t>Portents (8)</t>
  </si>
  <si>
    <t>Divine Favor</t>
  </si>
  <si>
    <t>Calling upon the strength and wisdom of a deity, you gain a +1 luck bonus on attack and weapon damage rolls for every three caster levels you have (at least +1, maximum +3). The bonus doesn't apply to spell damage.</t>
  </si>
  <si>
    <t>&lt;p&gt;Calling upon the strength and wisdom of a deity, you gain a +1 luck bonus on attack and weapon damage rolls for every three caster levels you have (at least +1, maximum +3). The bonus doesn't apply to spell damage.&lt;/p&gt;</t>
  </si>
  <si>
    <t>&lt;link rel="stylesheet"href="PF.css"&gt;&lt;div class="heading"&gt;&lt;p class="alignleft"&gt;Divine Favor&lt;/p&gt;&lt;div style="clear: both;"&gt;&lt;/div&gt;&lt;/div&gt;&lt;div&gt;&lt;h5&gt;&lt;b&gt;School &lt;/b&gt;evocation; &lt;b&gt;Level &lt;/b&gt;cleric/oracle 1, paladin 1, inquisitor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minute&lt;/h5&gt;&lt;/div&gt;&lt;hr/&gt;&lt;div&gt;&lt;h5&gt;&lt;b&gt;DESCRIPTION&lt;/b&gt;&lt;/h5&gt;&lt;/div&gt;&lt;hr/&gt;&lt;div&gt;&lt;h4&gt;&lt;p&gt;Calling upon the strength and wisdom of a deity, you gain a +1 luck bonus on attack and weapon damage rolls for every three caster levels you have (at least +1, maximum +3). The bonus doesn't apply to spell damage.&lt;/p&gt;&lt;/h4&gt;&lt;h5&gt;&lt;b&gt;Mythic: &lt;/b&gt;You also gain the luck bonus on saving throws and skill checks. Alternatively, you can cast this spell on another willing creature, changing the range to touch and target to living creature touched.&lt;/h5&gt;&lt;/div&gt;</t>
  </si>
  <si>
    <t>Archon (1), Nobility (1)</t>
  </si>
  <si>
    <t>You gain +1 per three levels on attack and damage rolls.</t>
  </si>
  <si>
    <t>Devotion (2), Strength (2)</t>
  </si>
  <si>
    <t>You also gain the luck bonus on saving throws and skill checks. Alternatively, you can cast this spell on another willing creature, changing the range to touch and target to living creature touched.</t>
  </si>
  <si>
    <t>Divine Power</t>
  </si>
  <si>
    <t>cleric/oracle 4, inquisitor 4, shaman 4</t>
  </si>
  <si>
    <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haste or weapons with the speed special ability.</t>
  </si>
  <si>
    <t>&lt;p&gt;Calling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&lt;i&gt;haste&lt;/i&gt; or weapons with the speed special ability.&lt;/p&gt;</t>
  </si>
  <si>
    <t>&lt;link rel="stylesheet"href="PF.css"&gt;&lt;div class="heading"&gt;&lt;p class="alignleft"&gt;Divine Power&lt;/p&gt;&lt;div style="clear: both;"&gt;&lt;/div&gt;&lt;/div&gt;&lt;div&gt;&lt;h5&gt;&lt;b&gt;School &lt;/b&gt;evocation; &lt;b&gt;Level &lt;/b&gt;cleric/oracle 4, inquisitor 4, shaman 4&lt;/h5&gt;&lt;h5&gt;&lt;b&gt;Casting Time &lt;/b&gt;1 standard action&lt;/h5&gt;&lt;h5&gt;&lt;b&gt;Components &lt;/b&gt;V, S, DF&lt;/h5&gt;&lt;h5&gt;&lt;b&gt;Range &lt;/b&gt;personal&lt;/h5&gt;&lt;h5&gt;&lt;b&gt;Targets &lt;/b&gt;you&lt;/h5&gt;&lt;h5&gt;&lt;b&gt;Duration &lt;/b&gt;1 round/level&lt;/h5&gt;&lt;/div&gt;&lt;div&gt;&lt;h4&gt;&lt;p&gt;Calling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&lt;i&gt;haste&lt;/i&gt; or weapons with the speed special ability.&lt;/p&gt;&lt;/h4&gt;&lt;/div&gt;</t>
  </si>
  <si>
    <t>War (4)</t>
  </si>
  <si>
    <t> You gain attack bonuses and 1 hp/level.</t>
  </si>
  <si>
    <t>Dominate Animal</t>
  </si>
  <si>
    <t>druid 3, shaman 3, psychic 4, mesmerist 3</t>
  </si>
  <si>
    <t>This spell allows you to enchant the targeted animal and direct it with simple commands such as "Attack," "Run," and "Fetch." Suicidal or self-destructive commands (including an order to attack a creature two or more size categories larger than the dominated animal) are simply ignored. Dominate animal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t>
  </si>
  <si>
    <t>&lt;p&gt;This spell allows you to enchant the targeted animal and direct it with simple commands such as "Attack," "Run," and "Fetch." Suicidal or self-destructive commands (including an order to attack a creature two or more size categories larger than the dominated animal) are simply ignored.&lt;/p&gt;&lt;p&gt;&lt;i&gt;Dominate animal&lt;/i&gt;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action.&lt;/p&gt;</t>
  </si>
  <si>
    <t>&lt;link rel="stylesheet"href="PF.css"&gt;&lt;div class="heading"&gt;&lt;p class="alignleft"&gt;Dominate Animal&lt;/p&gt;&lt;div style="clear: both;"&gt;&lt;/div&gt;&lt;/div&gt;&lt;div&gt;&lt;h5&gt;&lt;b&gt;School &lt;/b&gt;enchantment (compulsion) [mind-affecting]; &lt;b&gt;Level &lt;/b&gt;druid 3, shaman 3, psychic 4, mesmerist 3&lt;/h5&gt;&lt;h5&gt;&lt;b&gt;Casting Time &lt;/b&gt;1 round&lt;/h5&gt;&lt;h5&gt;&lt;b&gt;Components &lt;/b&gt;V, S&lt;/h5&gt;&lt;h5&gt;&lt;b&gt;Range &lt;/b&gt;close (25 ft. + 5 ft./2 levels)&lt;/h5&gt;&lt;h5&gt;&lt;b&gt;Targets &lt;/b&gt;one animal&lt;/h5&gt;&lt;h5&gt;&lt;b&gt;Duration &lt;/b&gt;1 round/level&lt;/h5&gt;&lt;h5&gt;&lt;b&gt;Saving Throw &lt;/b&gt;Will negates; &lt;b&gt;Spell Resistance &lt;/b&gt;yes&lt;/h5&gt;&lt;/div&gt;&lt;div&gt;&lt;h4&gt;&lt;p&gt;This spell allows you to enchant the targeted animal and direct it with simple commands such as "Attack," "Run," and "Fetch." Suicidal or self-destructive commands (including an order to attack a creature two or more size categories larger than the dominated animal) are simply ignored.&lt;/p&gt;&lt;p&gt;&lt;i&gt;Dominate animal&lt;/i&gt;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action.&lt;/p&gt;&lt;/h4&gt;&lt;/div&gt;</t>
  </si>
  <si>
    <t>Animal (3)</t>
  </si>
  <si>
    <t> One animal obeys your silent mental commands and orders.</t>
  </si>
  <si>
    <t>Animals (6)</t>
  </si>
  <si>
    <t>Dominate Monster</t>
  </si>
  <si>
    <t>sorcerer/wizard 9, summoner 6, witch 9, psychic 9</t>
  </si>
  <si>
    <t>This spell functions like dominate person, except that the spell is not restricted by creature type.</t>
  </si>
  <si>
    <t>&lt;p&gt;This spell functions like &lt;i&gt;dominate person&lt;/i&gt;, except that the spell is not restricted by creature type.&lt;/p&gt;</t>
  </si>
  <si>
    <t>&lt;link rel="stylesheet"href="PF.css"&gt;&lt;div class="heading"&gt;&lt;p class="alignleft"&gt;Dominate Monster&lt;/p&gt;&lt;div style="clear: both;"&gt;&lt;/div&gt;&lt;/div&gt;&lt;div&gt;&lt;h5&gt;&lt;b&gt;School &lt;/b&gt;enchantment (compulsion) [mind-affecting]; &lt;b&gt;Level &lt;/b&gt;sorcerer/wizard 9, summoner 6, witch 9, psychic 9&lt;/h5&gt;&lt;h5&gt;&lt;b&gt;Casting Time &lt;/b&gt;1 round&lt;/h5&gt;&lt;h5&gt;&lt;b&gt;Components &lt;/b&gt;V, S&lt;/h5&gt;&lt;h5&gt;&lt;b&gt;Range &lt;/b&gt;close (25 ft. + 5 ft./2 levels)&lt;/h5&gt;&lt;h5&gt;&lt;b&gt;Targets &lt;/b&gt;one creature&lt;/h5&gt;&lt;h5&gt;&lt;b&gt;Duration &lt;/b&gt;1 day/level&lt;/h5&gt;&lt;h5&gt;&lt;b&gt;Saving Throw &lt;/b&gt;Will negates; &lt;b&gt;Spell Resistance &lt;/b&gt;yes&lt;/h5&gt;&lt;/div&gt;&lt;div&gt;&lt;h4&gt;&lt;p&gt;This spell functions like &lt;i&gt;dominate person&lt;/i&gt;, except that the spell is not restricted by creature type.&lt;/p&gt;&lt;/h4&gt;&lt;/div&gt;</t>
  </si>
  <si>
    <t>Charm (9)</t>
  </si>
  <si>
    <t> As dominate person, but any creature.</t>
  </si>
  <si>
    <t>Oni (19), Rakshasa (19), Serpentine (19)</t>
  </si>
  <si>
    <t>Enchantment (18)</t>
  </si>
  <si>
    <t>Dominate Person</t>
  </si>
  <si>
    <t>bard 4, sorcerer/wizard 5, witch 5, shaman 5, occultist 5, psychic 5, mesmerist 4, spiritualist 5</t>
  </si>
  <si>
    <t>one humanoid</t>
  </si>
  <si>
    <t>You can control the actions of any humanoid creature through a telepathic link that you establish with the subject's mind. 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 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 Changing your orders or giving a dominated creature a new command is a move action. 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 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 If you don't spend at least 1 round concentrating on the spell each day, the subject receives a new saving throw to throw off the domination. Protection from evil or a similar spell can prevent you from exercising control or using the telepathic link while the subject is so warded, but such an effect does not automatically dispel it.</t>
  </si>
  <si>
    <t>&lt;p&gt;You can control the actions of any humanoid creature through a telepathic link that you establish with the subject's mind.&lt;/p&gt;&lt;p&gt;If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telepathically.&lt;/p&gt;&lt;p&gt;Once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description).&lt;/p&gt;&lt;p&gt;Changing your orders or giving a dominated creature a new command is a move action.&lt;/p&gt;&lt;p&gt;By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on.&lt;/p&gt;&lt;p&gt;Subjects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it.&lt;/p&gt;&lt;p&gt;If you don't spend at least 1 round concentrating on the spell each day, the subject receives a new saving throw to throw off the domination.&lt;/p&gt;&lt;p&gt;&lt;i&gt;Protection from evil&lt;/i&gt; or a similar spell can prevent you from exercising control or using the telepathic link while the subject is so warded, but such an effect does not automatically dispel it.&lt;/p&gt;</t>
  </si>
  <si>
    <t>&lt;link rel="stylesheet"href="PF.css"&gt;&lt;div class="heading"&gt;&lt;p class="alignleft"&gt;Dominate Person&lt;/p&gt;&lt;div style="clear: both;"&gt;&lt;/div&gt;&lt;/div&gt;&lt;div&gt;&lt;h5&gt;&lt;b&gt;School &lt;/b&gt;enchantment (compulsion) [mind-affecting]; &lt;b&gt;Level &lt;/b&gt;bard 4, sorcerer/wizard 5, witch 5, shaman 5, occultist 5, psychic 5, mesmerist 4, spiritualist 5&lt;/h5&gt;&lt;h5&gt;&lt;b&gt;Casting Time &lt;/b&gt;1 round&lt;/h5&gt;&lt;h5&gt;&lt;b&gt;Components &lt;/b&gt;V, S&lt;/h5&gt;&lt;h5&gt;&lt;b&gt;Range &lt;/b&gt;close (25 ft. + 5 ft./2 levels)&lt;/h5&gt;&lt;h5&gt;&lt;b&gt;Targets &lt;/b&gt;one humanoid&lt;/h5&gt;&lt;h5&gt;&lt;b&gt;Duration &lt;/b&gt;1 day/level&lt;/h5&gt;&lt;h5&gt;&lt;b&gt;Saving Throw &lt;/b&gt;Will negates; &lt;b&gt;Spell Resistance &lt;/b&gt;yes&lt;/h5&gt;&lt;/div&gt;&lt;div&gt;&lt;h4&gt;&lt;p&gt;You can control the actions of any humanoid creature through a telepathic link that you establish with the subject's mind.&lt;/p&gt;&lt;p&gt;If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telepathically.&lt;/p&gt;&lt;p&gt;Once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description).&lt;/p&gt;&lt;p&gt;Changing your orders or giving a dominated creature a new command is a move action.&lt;/p&gt;&lt;p&gt;By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on.&lt;/p&gt;&lt;p&gt;Subjects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it.&lt;/p&gt;&lt;p&gt;If you don't spend at least 1 round concentrating on the spell each day, the subject receives a new saving throw to throw off the domination.&lt;/p&gt;&lt;p&gt;&lt;i&gt;Protection from evil&lt;/i&gt; or a similar spell can prevent you from exercising control or using the telepathic link while the subject is so warded, but such an effect does not automatically dispel it.&lt;/p&gt;&lt;/h4&gt;&lt;/div&gt;</t>
  </si>
  <si>
    <t>Slavery (5)</t>
  </si>
  <si>
    <t>Controls humanoid telepathically.</t>
  </si>
  <si>
    <t>Infernal (11), Maestro (11)</t>
  </si>
  <si>
    <t>Enchantment (10)</t>
  </si>
  <si>
    <t>Doom</t>
  </si>
  <si>
    <t>antipaladin 1, cleric/oracle 1, inquisitor 1, shaman 1, mesmerist 1, spiritualist 1</t>
  </si>
  <si>
    <t>This spell fills a single subject with a feeling of horrible dread that causes it to become shaken.</t>
  </si>
  <si>
    <t>&lt;p&gt;This spell fills a single subject with a feeling of horrible dread that causes it to become shaken.&lt;/p&gt;</t>
  </si>
  <si>
    <t>&lt;link rel="stylesheet"href="PF.css"&gt;&lt;div class="heading"&gt;&lt;p class="alignleft"&gt;Doom&lt;/p&gt;&lt;div style="clear: both;"&gt;&lt;/div&gt;&lt;/div&gt;&lt;div&gt;&lt;h5&gt;&lt;b&gt;School &lt;/b&gt;necromancy [emotion, fear, mind-affecting]; &lt;b&gt;Level &lt;/b&gt;antipaladin 1, cleric/oracle 1, inquisitor 1, shaman 1, mesmerist 1, spiritualist 1&lt;/h5&gt;&lt;/div&gt;&lt;hr/&gt;&lt;div&gt;&lt;h5&gt;&lt;b&gt;CASTING&lt;/b&gt;&lt;/h5&gt;&lt;/div&gt;&lt;hr/&gt;&lt;div&gt;&lt;h5&gt;&lt;b&gt;Casting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living creature&lt;/h5&gt;&lt;h5&gt;&lt;b&gt;Duration &lt;/b&gt;1 min./level&lt;/h5&gt;&lt;h5&gt;&lt;b&gt;Saving Throw &lt;/b&gt;Will negates; &lt;b&gt;Spell Resistance &lt;/b&gt;yes&lt;/h5&gt;&lt;/div&gt;&lt;hr/&gt;&lt;div&gt;&lt;h5&gt;&lt;b&gt;DESCRIPTION&lt;/b&gt;&lt;/h5&gt;&lt;/div&gt;&lt;hr/&gt;&lt;div&gt;&lt;h4&gt;&lt;p&gt;This spell fills a single subject with a feeling of horrible dread that causes it to become shaken.&lt;/p&gt;&lt;/h4&gt;&lt;/div&gt;</t>
  </si>
  <si>
    <t>Demon (1)</t>
  </si>
  <si>
    <t>One subject takes –2 on attack rolls, damage rolls, saves, and checks.</t>
  </si>
  <si>
    <t>Dream</t>
  </si>
  <si>
    <t>phantasm</t>
  </si>
  <si>
    <t>bard 5, sorcerer/wizard 5, alchemist 5, psychic 4, mesmerist 4, spiritualist 5</t>
  </si>
  <si>
    <t>one living creature touched</t>
  </si>
  <si>
    <t>You, or a messenger you touch, send a message to others in the form of a dream. At the beginning of the spell, you must name the recipient or identify him or her by some title that leaves no doubt as to identity. The messenger then enters a trance, appears in the intended recipient's dream, and delivers the message. The message can be of any length, and the recipient remembers it perfectly upon waking. The communication is one-way. The recipient cannot ask questions or offer information, nor can the messenger gain any information by observing the dreams of the recipient.  Once the message is delivered, the messenger's mind returns instantly to its body. The duration of the spell is the time required for the messenger to enter the recipient's dream and deliver the message.  If the recipient is awake when the spell begins, the messenger can choose to wake up (ending the spell) or remain in the trance.  The messenger can remain in the trance until the recipient goes to sleep, then enter the recipient's dream and deliver the message as normal. A messenger that is disturbed during the trance comes awake, ending the spell.  Creatures who don't sleep or don't dream cannot be contacted by this spell.  The messenger is unaware of its own surroundings or of the activities around it while in the trance. It is defenseless both physically and mentally (always failing any saving throw) while in the trance.</t>
  </si>
  <si>
    <t>&lt;p&gt;You, or a messenger you touch, send a message to others in the form of a &lt;i&gt;dream&lt;/i&gt;. At the beginning of the spell, you must name the recipient or identify him or her by some title that leaves no doubt as to identity. The messenger then enters a trance, appears in the intended recipient's &lt;i&gt;dream&lt;/i&gt;, and delivers the message. The message can be of any length, and the recipient remembers it perfectly upon waking. The communication is one-way. The recipient cannot ask questions or offer information, nor can the messenger gain any information by observing the &lt;i&gt;dream&lt;/i&gt;s of the recipient.&lt;/p&gt;&lt;p&gt;Once the message is delivered, the messenger's mind returns instantly to its body. The duration of the spell is the time required for the messenger to enter the recipient's &lt;i&gt;dream&lt;/i&gt; and deliver the message.&lt;/p&gt;&lt;p&gt;If the recipient is awake when the spell begins, the messenger can choose to wake up (ending the spell) or remain in the trance.&lt;/p&gt;&lt;p&gt;The messenger can remain in the trance until the recipient goes to sleep, then enter the recipient's &lt;i&gt;dream&lt;/i&gt; and deliver the message as normal. A messenger that is disturbed during the trance comes awake, ending the spell.&lt;/p&gt;&lt;p&gt;Creatures who don't sleep or don't &lt;i&gt;dream&lt;/i&gt; cannot be contacted by this spell.&lt;/p&gt;&lt;p&gt;The messenger is unaware of its own surroundings or of the activities around it while in the trance. It is defenseless both physically and mentally (always failing any saving throw) while in the trance.&lt;/p&gt;</t>
  </si>
  <si>
    <t>&lt;link rel="stylesheet"href="PF.css"&gt;&lt;div class="heading"&gt;&lt;p class="alignleft"&gt;Dream&lt;/p&gt;&lt;div style="clear: both;"&gt;&lt;/div&gt;&lt;/div&gt;&lt;div&gt;&lt;h5&gt;&lt;b&gt;School &lt;/b&gt;illusion (phantasm) [mind-affecting]; &lt;b&gt;Level &lt;/b&gt;bard 5, sorcerer/wizard 5, alchemist 5, psychic 4, mesmerist 4, spiritualist 5&lt;/h5&gt;&lt;/div&gt;&lt;hr/&gt;&lt;div&gt;&lt;h5&gt;&lt;b&gt;CASTING&lt;/b&gt;&lt;/h5&gt;&lt;/div&gt;&lt;hr/&gt;&lt;div&gt;&lt;h5&gt;&lt;b&gt;Casting Time &lt;/b&gt;1 minute&lt;/h5&gt;&lt;h5&gt;&lt;b&gt;Components &lt;/b&gt;V, S&lt;/h5&gt;&lt;/div&gt;&lt;hr/&gt;&lt;div&gt;&lt;h5&gt;&lt;b&gt;EFFECT&lt;/b&gt;&lt;/h5&gt;&lt;/div&gt;&lt;hr/&gt;&lt;div&gt;&lt;h5&gt;&lt;b&gt;Range &lt;/b&gt;unlimited&lt;/h5&gt;&lt;h5&gt;&lt;b&gt;Targets &lt;/b&gt;one living creature touched&lt;/h5&gt;&lt;h5&gt;&lt;b&gt;Duration &lt;/b&gt;see text&lt;/h5&gt;&lt;h5&gt;&lt;b&gt;Saving Throw &lt;/b&gt;none; &lt;b&gt;Spell Resistance &lt;/b&gt;yes&lt;/h5&gt;&lt;/div&gt;&lt;hr/&gt;&lt;div&gt;&lt;h5&gt;&lt;b&gt;DESCRIPTION&lt;/b&gt;&lt;/h5&gt;&lt;/div&gt;&lt;hr/&gt;&lt;div&gt;&lt;h4&gt;&lt;p&gt;You, or a messenger you touch, send a message to others in the form of a &lt;i&gt;dream&lt;/i&gt;. At the beginning of the spell, you must name the recipient or identify him or her by some title that leaves no doubt as to identity. The messenger then enters a trance, appears in the intended recipient's &lt;i&gt;dream&lt;/i&gt;, and delivers the message. The message can be of any length, and the recipient remembers it perfectly upon waking. The communication is one-way. The recipient cannot ask questions or offer information, nor can the messenger gain any information by observing the &lt;i&gt;dream&lt;/i&gt;s of the recipient.&lt;/p&gt;&lt;p&gt;Once the message is delivered, the messenger's mind returns instantly to its body. The duration of the spell is the time required for the messenger to enter the recipient's &lt;i&gt;dream&lt;/i&gt; and deliver the message.&lt;/p&gt;&lt;p&gt;If the recipient is awake when the spell begins, the messenger can choose to wake up (ending the spell) or remain in the trance.&lt;/p&gt;&lt;p&gt;The messenger can remain in the trance until the recipient goes to sleep, then enter the recipient's &lt;i&gt;dream&lt;/i&gt; and deliver the message as normal. A messenger that is disturbed during the trance comes awake, ending the spell.&lt;/p&gt;&lt;p&gt;Creatures who don't sleep or don't &lt;i&gt;dream&lt;/i&gt; cannot be contacted by this spell.&lt;/p&gt;&lt;p&gt;The messenger is unaware of its own surroundings or of the activities around it while in the trance. It is defenseless both physically and mentally (always failing any saving throw) while in the trance.&lt;/p&gt;&lt;/h4&gt;&lt;h5&gt;&lt;b&gt;Mythic: &lt;/b&gt;You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cryptic.&lt;/h5&gt;&lt;/div&gt;</t>
  </si>
  <si>
    <t>Moon (6), Imagination (5)</t>
  </si>
  <si>
    <t>Sends message to anyone sleeping.</t>
  </si>
  <si>
    <t>Dreamspun (11)</t>
  </si>
  <si>
    <t>Stars (10), Wisdom (10)</t>
  </si>
  <si>
    <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t>
  </si>
  <si>
    <t>Eagle's Splendor</t>
  </si>
  <si>
    <t>bard 2, cleric/oracle 2, paladin 2, sorcerer/wizard 2, alchemist 2, summoner 2, antipaladin 2, bloodrager 2, shaman 2, psychic 2, mesmerist 2</t>
  </si>
  <si>
    <t>V, S, M/DF (feathers or droppings from an eagle)</t>
  </si>
  <si>
    <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t>
  </si>
  <si>
    <t>&lt;p&gt;The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increase.&lt;/p&gt;</t>
  </si>
  <si>
    <t>&lt;link rel="stylesheet"href="PF.css"&gt;&lt;div class="heading"&gt;&lt;p class="alignleft"&gt;Eagle's Splendor&lt;/p&gt;&lt;div style="clear: both;"&gt;&lt;/div&gt;&lt;/div&gt;&lt;div&gt;&lt;h5&gt;&lt;b&gt;School &lt;/b&gt;transmutation; &lt;b&gt;Level &lt;/b&gt;bard 2, cleric/oracle 2, paladin 2, sorcerer/wizard 2, alchemist 2, summoner 2, antipaladin 2, bloodrager 2, shaman 2, psychic 2, mesmerist 2&lt;/h5&gt;&lt;h5&gt;&lt;b&gt;Casting Time &lt;/b&gt;1 standard action&lt;/h5&gt;&lt;h5&gt;&lt;b&gt;Components &lt;/b&gt;V, S, M/DF (feathers or droppings from an eagle)&lt;/h5&gt;&lt;h5&gt;&lt;b&gt;Range &lt;/b&gt;touch&lt;/h5&gt;&lt;h5&gt;&lt;b&gt;Targets &lt;/b&gt;creature touched&lt;/h5&gt;&lt;h5&gt;&lt;b&gt;Duration &lt;/b&gt;1 min./level&lt;/h5&gt;&lt;h5&gt;&lt;b&gt;Saving Throw &lt;/b&gt;Will negates (harmless); &lt;b&gt;Spell Resistance &lt;/b&gt;yes&lt;/h5&gt;&lt;/div&gt;&lt;div&gt;&lt;h4&gt;&lt;p&gt;The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increase.&lt;/p&gt;&lt;/h4&gt;&lt;/div&gt;</t>
  </si>
  <si>
    <t>Subject gains +4 to Cha for 1 min./level.</t>
  </si>
  <si>
    <t>Imperious (5)</t>
  </si>
  <si>
    <t>Eagle's Splendor, Mass</t>
  </si>
  <si>
    <t>bard 6, cleric/oracle 6, sorcerer/wizard 6, summoner 4, shaman 6, psychic 6</t>
  </si>
  <si>
    <t>One creature/level, no two of which can be more than 30 ft. apart</t>
  </si>
  <si>
    <t>This spell functions like eagle's splendor, except that it affects multiple creatures.</t>
  </si>
  <si>
    <t>&lt;p&gt;This spell functions like &lt;i&gt;eagle's splendor&lt;/i&gt;, except that it affects multiple creatures.&lt;/p&gt;</t>
  </si>
  <si>
    <t>&lt;link rel="stylesheet"href="PF.css"&gt;&lt;div class="heading"&gt;&lt;p class="alignleft"&gt;Eagle's Splendor, Mass&lt;/p&gt;&lt;div style="clear: both;"&gt;&lt;/div&gt;&lt;/div&gt;&lt;div&gt;&lt;h5&gt;&lt;b&gt;School &lt;/b&gt;transmutation; &lt;b&gt;Level &lt;/b&gt;bard 6, cleric/oracle 6, sorcerer/wizard 6, summoner 4, shaman 6, psychic 6&lt;/h5&gt;&lt;h5&gt;&lt;b&gt;Casting Time &lt;/b&gt;1 standard action&lt;/h5&gt;&lt;h5&gt;&lt;b&gt;Components &lt;/b&gt;V, S, M/DF (feathers or droppings from an eagle)&lt;/h5&gt;&lt;h5&gt;&lt;b&gt;Range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&lt;/b&gt;yes&lt;/h5&gt;&lt;/div&gt;&lt;div&gt;&lt;h4&gt;&lt;p&gt;This spell functions like &lt;i&gt;eagle's splendor&lt;/i&gt;, except that it affects multiple creatures.&lt;/p&gt;&lt;/h4&gt;&lt;/div&gt;</t>
  </si>
  <si>
    <t>As eagle’s splendor, affects 1 subject/level.</t>
  </si>
  <si>
    <t>Earthquake</t>
  </si>
  <si>
    <t>cleric/oracle 8, druid 8, shaman 8, psychic 8</t>
  </si>
  <si>
    <t>80-ft.-radius spread (S)</t>
  </si>
  <si>
    <t>When you cast earthquake,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earthquake affects all terrain, vegetation, structures, and creatures in the area. The specific effect of an earthquake spell depends on the nature of the terrain where it is cast.  Cave, Cavern, or Tunnel: The roof collapses, dealing 8d6 points of damage to any creature caught under the cave-in (Reflex DC 15 half) and pinning that creature beneath the rubble (see below). An earthquake cast on the roof of a very large cavern could also endanger those outside the actual area but below the falling debris and rubble.  Cliffs: Earthquake causes a cliff to crumble, creating a landslide that travels horizontally as far as it falls vertically. Any creature in the path takes 8d6 points of bludgeoning damage (Reflex DC 15 half ) and is pinned beneath the rubble (see below).  Open Ground: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  Structure: Any structure standing on open ground takes 100 points of damage, enough to collapse a typical wooden or masonry building, but not a structure built of stone or reinforced masonry.  Hardness does not reduce this damage, nor is it halved as damage dealt to objects normally is. Any creature caught inside a collapsing structure takes 8d6 points of bludgeoning damage (Reflex DC 15 half ) and is pinned beneath the rubble (see below).  River, Lake, or Marsh: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  Pinned Beneath Rubble: Any creature pinned beneath rubble takes 1d6 points of nonlethal damage per minute while pinned. If a pinned character falls unconscious, he or she must make a DC 15 Constitution check or take 1d6 points of lethal damage each minute thereafter until freed or dead.</t>
  </si>
  <si>
    <t>&lt;p&gt;When you cast &lt;i&gt;earthquake&lt;/i&gt;,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&lt;i&gt;earthquake&lt;/i&gt; affects all terrain, vegetation, structures, and creatures in the area. The specific effect of an &lt;i&gt;earthquake&lt;/i&gt; spell depends on the nature of the terrain where it is cast.&lt;/p&gt;&lt;p&gt;&lt;i&gt;Cave&lt;/i&gt;, &lt;i&gt;Cave&lt;/i&gt;rn, &lt;i&gt;or Tunnel&lt;/i&gt;: The roof collapses, dealing 8d6 points of damage to any creature caught under the cave-in (Reflex DC 15 half) and pinning that creature beneath the rubble (see below). An &lt;i&gt;earthquake&lt;/i&gt; cast on the roof of a very large cavern could also endanger those outside the actual area but below the falling debris and rubble.&lt;/p&gt;&lt;p&gt;&lt;i&gt;Cliffs&lt;/i&gt;: &lt;i&gt;Earthquake&lt;/i&gt; causes a cliff to crumble, creating a landslide that travels horizontally as far as it falls vertically. Any creature in the path takes 8d6 points of bludgeoning damage (Reflex DC 15 half ) and is pinned beneath the rubble (see below).&lt;/p&gt;&lt;p&gt;&lt;i&gt;Open Ground&lt;/i&gt;: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details).&lt;/p&gt;&lt;p&gt;&lt;i&gt;Structure&lt;/i&gt;: Any structure standing on open ground takes 100 points of damage, enough to collapse a typical wooden or masonry building, but not a structure built of stone or reinforced masonry.&lt;/p&gt;&lt;p&gt;Hardness does not reduce this damage, nor is it halved as damage dealt to objects normally is. Any creature caught inside a collapsing structure takes 8d6 points of bludgeoning damage (Reflex DC 15 half ) and is pinned beneath the rubble (see below).&lt;/p&gt;&lt;p&gt;&lt;i&gt;River&lt;/i&gt;, &lt;i&gt;Lake&lt;/i&gt;, &lt;i&gt;or Marsh&lt;/i&gt;: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mud.&lt;/p&gt;&lt;p&gt;&lt;i&gt;Pinned Beneath Rubble&lt;/i&gt;: Any creature pinned beneath rubble takes 1d6 points of nonlethal damage per minute while pinned. If a pinned character falls unconscious, he or she must make a DC 15 Constitution check or take 1d6 points of lethal damage each minute thereafter until freed or dead.&lt;/p&gt;</t>
  </si>
  <si>
    <t>&lt;link rel="stylesheet"href="PF.css"&gt;&lt;div class="heading"&gt;&lt;p class="alignleft"&gt;Earthquake&lt;/p&gt;&lt;div style="clear: both;"&gt;&lt;/div&gt;&lt;/div&gt;&lt;div&gt;&lt;h5&gt;&lt;b&gt;School &lt;/b&gt;evocation [earth]; &lt;b&gt;Level &lt;/b&gt;cleric/oracle 8, druid 8, shaman 8, psychic 8&lt;/h5&gt;&lt;/div&gt;&lt;hr/&gt;&lt;div&gt;&lt;h5&gt;&lt;b&gt;CASTING&lt;/b&gt;&lt;/h5&gt;&lt;/div&gt;&lt;hr/&gt;&lt;div&gt;&lt;h5&gt;&lt;b&gt;Casting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&lt;/b&gt;80-ft.-radius spread (S)&lt;/h5&gt;&lt;h5&gt;&lt;b&gt;Duration &lt;/b&gt;1 round&lt;/h5&gt;&lt;h5&gt;&lt;b&gt;Saving Throw &lt;/b&gt;see text; &lt;b&gt;Spell Resistance &lt;/b&gt;no&lt;/h5&gt;&lt;/div&gt;&lt;hr/&gt;&lt;div&gt;&lt;h5&gt;&lt;b&gt;DESCRIPTION&lt;/b&gt;&lt;/h5&gt;&lt;/div&gt;&lt;hr/&gt;&lt;div&gt;&lt;h4&gt;&lt;p&gt;When you cast &lt;i&gt;earthquake&lt;/i&gt;,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&lt;i&gt;earthquake&lt;/i&gt; affects all terrain, vegetation, structures, and creatures in the area. The specific effect of an &lt;i&gt;earthquake&lt;/i&gt; spell depends on the nature of the terrain where it is cast.&lt;/p&gt;&lt;p&gt;&lt;i&gt;Cave&lt;/i&gt;, &lt;i&gt;Cave&lt;/i&gt;rn, &lt;i&gt;or Tunnel&lt;/i&gt;: The roof collapses, dealing 8d6 points of damage to any creature caught under the cave-in (Reflex DC 15 half) and pinning that creature beneath the rubble (see below). An &lt;i&gt;earthquake&lt;/i&gt; cast on the roof of a very large cavern could also endanger those outside the actual area but below the falling debris and rubble.&lt;/p&gt;&lt;p&gt;&lt;i&gt;Cliffs&lt;/i&gt;: &lt;i&gt;Earthquake&lt;/i&gt; causes a cliff to crumble, creating a landslide that travels horizontally as far as it falls vertically. Any creature in the path takes 8d6 points of bludgeoning damage (Reflex DC 15 half ) and is pinned beneath the rubble (see below).&lt;/p&gt;&lt;p&gt;&lt;i&gt;Open Ground&lt;/i&gt;: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details).&lt;/p&gt;&lt;p&gt;&lt;i&gt;Structure&lt;/i&gt;: Any structure standing on open ground takes 100 points of damage, enough to collapse a typical wooden or masonry building, but not a structure built of stone or reinforced masonry.&lt;/p&gt;&lt;p&gt;Hardness does not reduce this damage, nor is it halved as damage dealt to objects normally is. Any creature caught inside a collapsing structure takes 8d6 points of bludgeoning damage (Reflex DC 15 half ) and is pinned beneath the rubble (see below).&lt;/p&gt;&lt;p&gt;&lt;i&gt;River&lt;/i&gt;, &lt;i&gt;Lake&lt;/i&gt;, &lt;i&gt;or Marsh&lt;/i&gt;: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mud.&lt;/p&gt;&lt;p&gt;&lt;i&gt;Pinned Beneath Rubble&lt;/i&gt;: Any creature pinned beneath rubble takes 1d6 points of nonlethal damage per minute while pinned. If a pinned character falls unconscious, he or she must make a DC 15 Constitution check or take 1d6 points of lethal damage each minute thereafter until freed or dead.&lt;/p&gt;&lt;/h4&gt;&lt;h5&gt;&lt;b&gt;Mythic: &lt;/b&gt;Increase the damage dealt to structures by 10 points of damage per tier. Increase the damage dealt by cave-ins and landslides to 10d8 points of damage. Increase the damage dealt to those pinned beneath rubble to 1d10 points per minute. Add your tier to the DC of concentration checks and Constitution checks attempted as a consequence of this spell.&lt;/h5&gt;&lt;h5&gt;&lt;b&gt;Augmented (8th)&lt;/b&gt;: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feet.&lt;/h5&gt;&lt;/div&gt;</t>
  </si>
  <si>
    <t>Destruction (8), Earth (8), Ruins (8)</t>
  </si>
  <si>
    <t>Intense tremor shakes 80-ft. radius.</t>
  </si>
  <si>
    <t>Deep Earth (17), Div (17)</t>
  </si>
  <si>
    <t>Increase the damage dealt to structures by 10 points of damage per tier. Increase the damage dealt by cave-ins and landslides to 10d8 points of damage. Increase the damage dealt to those pinned beneath rubble to 1d10 points per minute. Add your tier to the DC of concentration checks and Constitution checks attempted as a consequence of this spell.</t>
  </si>
  <si>
    <t>Augmented (8th):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t>
  </si>
  <si>
    <t>Elemental Body I</t>
  </si>
  <si>
    <t>V, S, M (the element you plan to assume)</t>
  </si>
  <si>
    <t>1 min/level</t>
  </si>
  <si>
    <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 Air elemental: If the form you take is that of a Small air elemental, you gain a +2 size bonus to your Dexterity and a +2 natural armor bonus. You also gain fly 60 feet (perfect), darkvision 60 feet, and the ability to create a whirlwind. Earth elemental: If the form you take is that of a Small earth elemental, you gain a +2 size bonus to your Strength and a +4 natural armor bonus. You also gain darkvision 60 feet, the push ability, and the ability to earth glide. Fire elemental: If the form you take is that of a Small fire elemental, you gain a +2 size bonus to your Dexterity and a +2 natural armor bonus. You gain darkvision 60 feet, resist fire 20, vulnerability to cold, and the burn ability. Water elemental: If the form you take is that of a Small water elemental, you gain a +2 size bonus to your Constitution and a +4 natural armor bonus. You also gain swim 60 feet, darkvision 60 feet, the ability to create a vortex, and the ability to breathe water.</t>
  </si>
  <si>
    <t>&lt;p&gt;When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effect.&lt;/p&gt;&lt;p&gt;&lt;i&gt;Air elemental&lt;/i&gt;: If the form you take is that of a Small air elemental, you gain a +2 size bonus to your Dexterity and a +2 natural armor bonus. You also gain fly 60 feet (perfect), darkvision 60 feet, and the ability to create a whirlwind.&lt;/p&gt;&lt;p&gt;&lt;i&gt;Earth elemental&lt;/i&gt;: If the form you take is that of a Small earth elemental, you gain a +2 size bonus to your Strength and a +4 natural armor bonus. You also gain darkvision 60 feet, the push ability, and the ability to earth glide.&lt;/p&gt;&lt;p&gt;&lt;i&gt;Fire elemental&lt;/i&gt;: If the form you take is that of a Small fire elemental, you gain a +2 size bonus to your Dexterity and a +2 natural armor bonus. You gain darkvision 60 feet, resist fire 20, vulnerability to cold, and the burn ability.&lt;/p&gt;&lt;p&gt;&lt;i&gt;Water elemental&lt;/i&gt;: If the form you take is that of a Small water elemental, you gain a +2 size bonus to your Constitution and a +4 natural armor bonus. You also gain swim 60 feet, darkvision 60 feet, the ability to create a vortex, and the ability to breathe water.&lt;/p&gt;</t>
  </si>
  <si>
    <t>&lt;link rel="stylesheet"href="PF.css"&gt;&lt;div class="heading"&gt;&lt;p class="alignleft"&gt;Elemental Body I&lt;/p&gt;&lt;div style="clear: both;"&gt;&lt;/div&gt;&lt;/div&gt;&lt;div&gt;&lt;h5&gt;&lt;b&gt;School &lt;/b&gt;transmutation (polymorph); &lt;b&gt;Level &lt;/b&gt;sorcerer/wizard 4, alchemist 4, magus 4, bloodrager 4&lt;/h5&gt;&lt;h5&gt;&lt;b&gt;Casting Time &lt;/b&gt;1 standard action&lt;/h5&gt;&lt;h5&gt;&lt;b&gt;Components &lt;/b&gt;V, S, M (the element you plan to assume)&lt;/h5&gt;&lt;h5&gt;&lt;b&gt;Range &lt;/b&gt;personal&lt;/h5&gt;&lt;h5&gt;&lt;b&gt;Targets &lt;/b&gt;you&lt;/h5&gt;&lt;h5&gt;&lt;b&gt;Duration &lt;/b&gt;1 min/level (D)&lt;/h5&gt;&lt;/div&gt;&lt;div&gt;&lt;h4&gt;&lt;p&gt;When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effect.&lt;/p&gt;&lt;p&gt;&lt;i&gt;Air elemental&lt;/i&gt;: If the form you take is that of a Small air elemental, you gain a +2 size bonus to your Dexterity and a +2 natural armor bonus. You also gain fly 60 feet (perfect), darkvision 60 feet, and the ability to create a whirlwind.&lt;/p&gt;&lt;p&gt;&lt;i&gt;Earth elemental&lt;/i&gt;: If the form you take is that of a Small earth elemental, you gain a +2 size bonus to your Strength and a +4 natural armor bonus. You also gain darkvision 60 feet, the push ability, and the ability to earth glide.&lt;/p&gt;&lt;p&gt;&lt;i&gt;Fire elemental&lt;/i&gt;: If the form you take is that of a Small fire elemental, you gain a +2 size bonus to your Dexterity and a +2 natural armor bonus. You gain darkvision 60 feet, resist fire 20, vulnerability to cold, and the burn ability.&lt;/p&gt;&lt;p&gt;&lt;i&gt;Water elemental&lt;/i&gt;: If the form you take is that of a Small water elemental, you gain a +2 size bonus to your Constitution and a +4 natural armor bonus. You also gain swim 60 feet, darkvision 60 feet, the ability to create a vortex, and the ability to breathe water.&lt;/p&gt;&lt;/h4&gt;&lt;/div&gt;</t>
  </si>
  <si>
    <t> Turns you into a Small elemental.</t>
  </si>
  <si>
    <t>Elemental (9)</t>
  </si>
  <si>
    <t>Elemental Body II</t>
  </si>
  <si>
    <t>This spell functions as elemental body I, except that it also allows you to assume the form of a Medium air, earth, fire, or water elemental. The abilities you gain depend upon the elemental. Air elemental: As elemental body I except that you gain a +4 size bonus to your Dexterity and a +3 natural armor bonus. Earth elemental: As elemental body I except that you gain a +4 size bonus to your Strength and a +5 natural armor bonus. Fire elemental: As elemental body I except that you gain a +4 size bonus to your Dexterity and a +3 natural armor bonus. Water elemental: As elemental body I except that you gain a +4 size bonus to your Constitution and a +5 natural armor bonus.</t>
  </si>
  <si>
    <t>&lt;p&gt;This spell functions as &lt;i&gt;elemental body I&lt;/i&gt;, except that it also allows you to assume the form of a Medium air, earth, fire, or water elemental. The abilities you gain depend upon the elemental.&lt;/p&gt;&lt;p&gt;&lt;i&gt;Air elemental&lt;/i&gt;: As &lt;i&gt;elemental body I&lt;/i&gt; except that you gain a +4 size bonus to your Dexterity and a +3 natural armor bonus.&lt;/p&gt;&lt;p&gt;&lt;i&gt;Earth elemental&lt;/i&gt;: As &lt;i&gt;elemental body I&lt;/i&gt; except that you gain a +4 size bonus to your Strength and a +5 natural armor bonus.&lt;/p&gt;&lt;p&gt;&lt;i&gt;Fire elemental&lt;/i&gt;: As &lt;i&gt;elemental body I&lt;/i&gt; except that you gain a +4 size bonus to your Dexterity and a +3 natural armor bonus.&lt;/p&gt;&lt;p&gt;&lt;i&gt;Water elemental&lt;/i&gt;: As &lt;i&gt;elemental body I&lt;/i&gt; except that you gain a +4 size bonus to your Constitution and a +5 natural armor bonus.&lt;/p&gt;</t>
  </si>
  <si>
    <t>&lt;link rel="stylesheet"href="PF.css"&gt;&lt;div class="heading"&gt;&lt;p class="alignleft"&gt;Elemental Body II&lt;/p&gt;&lt;div style="clear: both;"&gt;&lt;/div&gt;&lt;/div&gt;&lt;div&gt;&lt;h5&gt;&lt;b&gt;School &lt;/b&gt;transmutation (polymorph); &lt;b&gt;Level &lt;/b&gt;sorcerer/wizard 5, alchemist 5, magus 5&lt;/h5&gt;&lt;h5&gt;&lt;b&gt;Casting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I&lt;/i&gt;, except that it also allows you to assume the form of a Medium air, earth, fire, or water elemental. The abilities you gain depend upon the elemental.&lt;/p&gt;&lt;p&gt;&lt;i&gt;Air elemental&lt;/i&gt;: As &lt;i&gt;elemental body I&lt;/i&gt; except that you gain a +4 size bonus to your Dexterity and a +3 natural armor bonus.&lt;/p&gt;&lt;p&gt;&lt;i&gt;Earth elemental&lt;/i&gt;: As &lt;i&gt;elemental body I&lt;/i&gt; except that you gain a +4 size bonus to your Strength and a +5 natural armor bonus.&lt;/p&gt;&lt;p&gt;&lt;i&gt;Fire elemental&lt;/i&gt;: As &lt;i&gt;elemental body I&lt;/i&gt; except that you gain a +4 size bonus to your Dexterity and a +3 natural armor bonus.&lt;/p&gt;&lt;p&gt;&lt;i&gt;Water elemental&lt;/i&gt;: As &lt;i&gt;elemental body I&lt;/i&gt; except that you gain a +4 size bonus to your Constitution and a +5 natural armor bonus.&lt;/p&gt;&lt;/h4&gt;&lt;/div&gt;</t>
  </si>
  <si>
    <t>Rivers (5)</t>
  </si>
  <si>
    <t> Turns you into a Medium elemental.</t>
  </si>
  <si>
    <t>Elemental (11)</t>
  </si>
  <si>
    <t>Elemental Body III</t>
  </si>
  <si>
    <t>This spell functions as elemental body II, except that it also allows you to assume the form of a Large air, earth, fire, or water elemental. The abilities you gain depend upon the type of elemental into which you change. You are also immune to critical hits and sneak attacks while in elemental form. Air elemental: As elemental body I except that you gain a +2 size bonus to your Strength, +4 size bonus to your Dexterity, and a +4 natural armor bonus. Earth elemental: As elemental body I except that you gain a +6 size bonus to your Strength, a -2 penalty on your Dexterity, a +2 size bonus to your Constitution, and a +6 natural armor bonus. Fire elemental: As elemental body I except that you gain a +4 size bonus to your Dexterity, a +2 size bonus to your Constitution, and a +4 natural armor bonus. Water elemental: As elemental body I except that you gain a +2 size bonus to your Strength, a -2 penalty on your Dexterity, a +6 size bonus to your Constitution, and a +6 natural armor bonus.</t>
  </si>
  <si>
    <t>&lt;p&gt;This spell functions as &lt;i&gt;elemental body II&lt;/i&gt;, except that it also allows you to assume the form of a Large air, earth, fire, or water elemental. The abilities you gain depend upon the type of elemental into which you change. You are also immune to critical hits and sneak attacks while in elemental form.&lt;/p&gt;&lt;p&gt;&lt;i&gt;Air elemental&lt;/i&gt;: As &lt;i&gt;elemental body I&lt;/i&gt; except that you gain a +2 size bonus to your Strength, +4 size bonus to your Dexterity, and a +4 natural armor bonus.&lt;/p&gt;&lt;p&gt;&lt;i&gt;Earth elemental&lt;/i&gt;: As &lt;i&gt;elemental body I&lt;/i&gt; except that you gain a +6 size bonus to your Strength, a -2 penalty on your Dexterity, a +2 size bonus to your Constitution, and a +6 natural armor bonus.&lt;/p&gt;&lt;p&gt;&lt;i&gt;Fire elemental&lt;/i&gt;: As &lt;i&gt;elemental body I&lt;/i&gt; except that you gain a +4 size bonus to your Dexterity, a +2 size bonus to your Constitution, and a +4 natural armor bonus.&lt;/p&gt;&lt;p&gt;&lt;i&gt;Water elemental&lt;/i&gt;: As &lt;i&gt;elemental body I&lt;/i&gt; except that you gain a +2 size bonus to your Strength, a -2 penalty on your Dexterity, a +6 size bonus to your Constitution, and a +6 natural armor bonus.&lt;/p&gt;</t>
  </si>
  <si>
    <t>&lt;link rel="stylesheet"href="PF.css"&gt;&lt;div class="heading"&gt;&lt;p class="alignleft"&gt;Elemental Body III&lt;/p&gt;&lt;div style="clear: both;"&gt;&lt;/div&gt;&lt;/div&gt;&lt;div&gt;&lt;h5&gt;&lt;b&gt;School &lt;/b&gt;transmutation (polymorph); &lt;b&gt;Level &lt;/b&gt;sorcerer/wizard 6, alchemist 6, magus 6&lt;/h5&gt;&lt;h5&gt;&lt;b&gt;Casting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II&lt;/i&gt;, except that it also allows you to assume the form of a Large air, earth, fire, or water elemental. The abilities you gain depend upon the type of elemental into which you change. You are also immune to critical hits and sneak attacks while in elemental form.&lt;/p&gt;&lt;p&gt;&lt;i&gt;Air elemental&lt;/i&gt;: As &lt;i&gt;elemental body I&lt;/i&gt; except that you gain a +2 size bonus to your Strength, +4 size bonus to your Dexterity, and a +4 natural armor bonus.&lt;/p&gt;&lt;p&gt;&lt;i&gt;Earth elemental&lt;/i&gt;: As &lt;i&gt;elemental body I&lt;/i&gt; except that you gain a +6 size bonus to your Strength, a -2 penalty on your Dexterity, a +2 size bonus to your Constitution, and a +6 natural armor bonus.&lt;/p&gt;&lt;p&gt;&lt;i&gt;Fire elemental&lt;/i&gt;: As &lt;i&gt;elemental body I&lt;/i&gt; except that you gain a +4 size bonus to your Dexterity, a +2 size bonus to your Constitution, and a +4 natural armor bonus.&lt;/p&gt;&lt;p&gt;&lt;i&gt;Water elemental&lt;/i&gt;: As &lt;i&gt;elemental body I&lt;/i&gt; except that you gain a +2 size bonus to your Strength, a -2 penalty on your Dexterity, a +6 size bonus to your Constitution, and a +6 natural armor bonus.&lt;/p&gt;&lt;/h4&gt;&lt;/div&gt;</t>
  </si>
  <si>
    <t> Turns you into a Large elemental.</t>
  </si>
  <si>
    <t>Elemental (13), Marid (13)</t>
  </si>
  <si>
    <t>Water (12)</t>
  </si>
  <si>
    <t>Elemental Body IV</t>
  </si>
  <si>
    <t>This spell functions as elemental body III, except that it also allows you to assume the form of a Huge air, earth, fire, or water elemental. The abilities you gain depend upon the type of elemental into which you change. You are also immune to critical hits and sneak attacks while in elemental form and gain DR 5/-. Air elemental: As elemental body I except that you gain a +4 size bonus to your Strength, +6 size bonus to your Dexterity, and a +4 natural armor bonus. You also gain fly 120 feet (perfect). Earth elemental: As elemental body I except that you gain a +8 size bonus to your Strength, a -2 penalty on your Dexterity, a +4 size bonus to your Constitution, and a +6 natural armor bonus. Fire elemental: As elemental body I except that you gain a +6 size bonus to your Dexterity, a +4 size bonus to your Constitution, and a +4 natural armor bonus. Water elemental: As elemental body I except that you gain a +4 size bonus to your Strength, a -2 penalty on your Dexterity, a +8 size bonus to your Constitution, and a +6 natural armor bonus. You also gain swim 120 feet.</t>
  </si>
  <si>
    <t>&lt;p&gt;This spell functions as &lt;i&gt;elemental body III&lt;/i&gt;, except that it also allows you to assume the form of a Huge air, earth, fire, or water elemental. The abilities you gain depend upon the type of elemental into which you change. You are also immune to critical hits and sneak attacks while in elemental form and gain DR 5/-.&lt;/p&gt;&lt;p&gt;&lt;i&gt;Air elemental&lt;/i&gt;: As &lt;i&gt;elemental body I&lt;/i&gt; except that you gain a +4 size bonus to your Strength, +6 size bonus to your Dexterity, and a +4 natural armor bonus. You also gain fly 120 feet (perfect).&lt;/p&gt;&lt;p&gt;&lt;i&gt;Earth elemental&lt;/i&gt;: As &lt;i&gt;elemental body I&lt;/i&gt; except that you gain a +8 size bonus to your Strength, a -2 penalty on your Dexterity, a +4 size bonus to your Constitution, and a +6 natural armor bonus.&lt;/p&gt;&lt;p&gt;&lt;i&gt;Fire elemental&lt;/i&gt;: As &lt;i&gt;elemental body I&lt;/i&gt; except that you gain a +6 size bonus to your Dexterity, a +4 size bonus to your Constitution, and a +4 natural armor bonus.&lt;/p&gt;&lt;p&gt;&lt;i&gt;Water elemental&lt;/i&gt;: As &lt;i&gt;elemental body I&lt;/i&gt; except that you gain a +4 size bonus to your Strength, a -2 penalty on your Dexterity, a +8 size bonus to your Constitution, and a +6 natural armor bonus. You also gain swim 120 feet.&lt;/p&gt;</t>
  </si>
  <si>
    <t>&lt;link rel="stylesheet"href="PF.css"&gt;&lt;div class="heading"&gt;&lt;p class="alignleft"&gt;Elemental Body IV&lt;/p&gt;&lt;div style="clear: both;"&gt;&lt;/div&gt;&lt;/div&gt;&lt;div&gt;&lt;h5&gt;&lt;b&gt;School &lt;/b&gt;transmutation (polymorph); &lt;b&gt;Level &lt;/b&gt;sorcerer/wizard 7&lt;/h5&gt;&lt;h5&gt;&lt;b&gt;Casting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III&lt;/i&gt;, except that it also allows you to assume the form of a Huge air, earth, fire, or water elemental. The abilities you gain depend upon the type of elemental into which you change. You are also immune to critical hits and sneak attacks while in elemental form and gain DR 5/-.&lt;/p&gt;&lt;p&gt;&lt;i&gt;Air elemental&lt;/i&gt;: As &lt;i&gt;elemental body I&lt;/i&gt; except that you gain a +4 size bonus to your Strength, +6 size bonus to your Dexterity, and a +4 natural armor bonus. You also gain fly 120 feet (perfect).&lt;/p&gt;&lt;p&gt;&lt;i&gt;Earth elemental&lt;/i&gt;: As &lt;i&gt;elemental body I&lt;/i&gt; except that you gain a +8 size bonus to your Strength, a -2 penalty on your Dexterity, a +4 size bonus to your Constitution, and a +6 natural armor bonus.&lt;/p&gt;&lt;p&gt;&lt;i&gt;Fire elemental&lt;/i&gt;: As &lt;i&gt;elemental body I&lt;/i&gt; except that you gain a +6 size bonus to your Dexterity, a +4 size bonus to your Constitution, and a +4 natural armor bonus.&lt;/p&gt;&lt;p&gt;&lt;i&gt;Water elemental&lt;/i&gt;: As &lt;i&gt;elemental body I&lt;/i&gt; except that you gain a +4 size bonus to your Strength, a -2 penalty on your Dexterity, a +8 size bonus to your Constitution, and a +6 natural armor bonus. You also gain swim 120 feet.&lt;/p&gt;&lt;/h4&gt;&lt;/div&gt;</t>
  </si>
  <si>
    <t>Air (7), Earth (7), Fire (7), Water (7)</t>
  </si>
  <si>
    <t> Turns you into a Huge elemental.</t>
  </si>
  <si>
    <t>Elemental (15)</t>
  </si>
  <si>
    <t>Water (14)</t>
  </si>
  <si>
    <t>Elemental Swarm</t>
  </si>
  <si>
    <t>druid 9, witch 9, shaman 9</t>
  </si>
  <si>
    <t>two or more summoned creatures, no two of which can be more than 30 ft. apart</t>
  </si>
  <si>
    <t>This spell opens a portal to an Elemental Plane and summons elementals from it. A druid can choose any plane (Air, Earth, Fire, or Water); a cleric opens a portal to the plane matching his domain.  When the spell is complete, 2d4 Large elementals appear. Ten minutes later, 1d4 Huge elementals appear. Ten minutes after that, one greater elemental appears. Each elemental has maximum hit points per HD. Once these creatures appear, they serve you for the duration of the spell.  The elementals obey you explicitly and never attack you, even if someone else manages to gain control over them. You do not need to concentrate to maintain control over the elementals. You can dismiss them singly or in groups at any time.  When you use a summoning spell to summon an air, earth, fire, or water creature, it is a spell of that type.</t>
  </si>
  <si>
    <t>&lt;p&gt;This spell opens a portal to an Elemental Plane and summons elementals from it. A druid can choose any plane (Air, Earth, Fire, or Water); a cleric opens a portal to the plane matching his domain.&lt;/p&gt;&lt;p&gt;When the spell is complete, 2d4 Large elementals appear. Ten minutes later, 1d4 Huge elementals appear. Ten minutes after that, one greater elemental appears. Each elemental has maximum hit points per HD. Once these creatures appear, they serve you for the duration of the spell.&lt;/p&gt;&lt;p&gt;The elementals obey you explicitly and never attack you, even if someone else manages to gain control over them. You do not need to concentrate to maintain control over the elementals. You can dismiss them singly or in groups at any time.&lt;/p&gt;&lt;p&gt;When you use a summoning spell to summon an air, earth, fire, or water creature, it is a spell of that type.&lt;/p&gt;</t>
  </si>
  <si>
    <t>&lt;link rel="stylesheet"href="PF.css"&gt;&lt;div class="heading"&gt;&lt;p class="alignleft"&gt;Elemental Swarm&lt;/p&gt;&lt;div style="clear: both;"&gt;&lt;/div&gt;&lt;/div&gt;&lt;div&gt;&lt;h5&gt;&lt;b&gt;School &lt;/b&gt;conjuration (summoning) [see text]; &lt;b&gt;Level &lt;/b&gt;druid 9, witch 9, shaman 9&lt;/h5&gt;&lt;h5&gt;&lt;b&gt;Casting Time &lt;/b&gt;10 minutes&lt;/h5&gt;&lt;h5&gt;&lt;b&gt;Components &lt;/b&gt;V, S&lt;/h5&gt;&lt;h5&gt;&lt;b&gt;Range &lt;/b&gt;medium (100 ft. + 10 ft./level)&lt;/h5&gt;&lt;h5&gt;&lt;b&gt;Effect &lt;/b&gt;two or more summoned creatures, no two of which can be more than 30 ft. apart&lt;/h5&gt;&lt;h5&gt;&lt;b&gt;Duration &lt;/b&gt;10 min./level (D)&lt;/h5&gt;&lt;h5&gt;&lt;b&gt;Saving Throw &lt;/b&gt;none; &lt;b&gt;Spell Resistance &lt;/b&gt;no&lt;/h5&gt;&lt;/div&gt;&lt;div&gt;&lt;h4&gt;&lt;p&gt;This spell opens a portal to an Elemental Plane and summons elementals from it. A druid can choose any plane (Air, Earth, Fire, or Water); a cleric opens a portal to the plane matching his domain.&lt;/p&gt;&lt;p&gt;When the spell is complete, 2d4 Large elementals appear. Ten minutes later, 1d4 Huge elementals appear. Ten minutes after that, one greater elemental appears. Each elemental has maximum hit points per HD. Once these creatures appear, they serve you for the duration of the spell.&lt;/p&gt;&lt;p&gt;The elementals obey you explicitly and never attack you, even if someone else manages to gain control over them. You do not need to concentrate to maintain control over the elementals. You can dismiss them singly or in groups at any time.&lt;/p&gt;&lt;p&gt;When you use a summoning spell to summon an air, earth, fire, or water creature, it is a spell of that type.&lt;/p&gt;&lt;/h4&gt;&lt;/div&gt;</t>
  </si>
  <si>
    <t>Air (9), Earth (9), Fire (9), Water (9)</t>
  </si>
  <si>
    <t> Summons multiple elementals.</t>
  </si>
  <si>
    <t>Elemental (19)</t>
  </si>
  <si>
    <t>Endure Elements</t>
  </si>
  <si>
    <t>cleric/oracle 1, druid 1, paladin 1, ranger 1, sorcerer/wizard 1, alchemist 1, summoner 1, bloodrager 1, shaman 1, psychic 1, spiritualist 1</t>
  </si>
  <si>
    <t>A creature protected by endure elements suffers no harm from being in a hot or cold environment. It can exist comfortably in conditions between -50 and 140 degrees Fahrenheit without having to make Fortitude saves. The creature's equipment is likewise protected.  Endure elements doesn't provide any protection from fire or cold damage, nor does it protect against other environmental hazards such as smoke, lack of air, and so forth.</t>
  </si>
  <si>
    <t>&lt;p&gt;A creature protected by &lt;i&gt;endure elements&lt;/i&gt; suffers no harm from being in a hot or cold environment. It can exist comfortably in conditions between -50 and 140 degrees Fahrenheit without having to make Fortitude saves. The creature's equipment is likewise protected.&lt;/p&gt;&lt;p&gt;&lt;i&gt;Endure elements&lt;/i&gt; doesn't provide any protection from fire or cold damage, nor does it protect against other environmental hazards such as smoke, lack of air, and so forth.&lt;/p&gt;</t>
  </si>
  <si>
    <t>&lt;link rel="stylesheet"href="PF.css"&gt;&lt;div class="heading"&gt;&lt;p class="alignleft"&gt;Endure Elements&lt;/p&gt;&lt;div style="clear: both;"&gt;&lt;/div&gt;&lt;/div&gt;&lt;div&gt;&lt;h5&gt;&lt;b&gt;School &lt;/b&gt;abjuration; &lt;b&gt;Level &lt;/b&gt;cleric/oracle 1, druid 1, paladin 1, ranger 1, sorcerer/wizard 1, alchemist 1, summoner 1, bloodrager 1, shaman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(harmless)&lt;/h5&gt;&lt;/div&gt;&lt;hr/&gt;&lt;div&gt;&lt;h5&gt;&lt;b&gt;DESCRIPTION&lt;/b&gt;&lt;/h5&gt;&lt;/div&gt;&lt;hr/&gt;&lt;div&gt;&lt;h4&gt;&lt;p&gt;A creature protected by &lt;i&gt;endure elements&lt;/i&gt; suffers no harm from being in a hot or cold environment. It can exist comfortably in conditions between -50 and 140 degrees Fahrenheit without having to make Fortitude saves. The creature's equipment is likewise protected.&lt;/p&gt;&lt;p&gt;&lt;i&gt;Endure elements&lt;/i&gt; doesn't provide any protection from fire or cold damage, nor does it protect against other environmental hazards such as smoke, lack of air, and so forth.&lt;/p&gt;&lt;/h4&gt;&lt;h5&gt;&lt;b&gt;Mythic: &lt;/b&gt;The target changes to one creature touched per level. Affected creatures gain cold resistance 5 and fire resistance 5. They're not slowed by snow, and ignore penalties on Perception checks and ranged weapon attacks from hail, rain, sleet, and snow. They treat wind as one category weaker.&lt;/h5&gt;&lt;/div&gt;</t>
  </si>
  <si>
    <t>Sun (1)</t>
  </si>
  <si>
    <t>Exist comfortably in hot or cold regions.</t>
  </si>
  <si>
    <t>Martyred (3)</t>
  </si>
  <si>
    <t>Endurance (2)</t>
  </si>
  <si>
    <t>The target changes to one creature touched per level. Affected creatures gain cold resistance 5 and fire resistance 5. They're not slowed by snow, and ignore penalties on Perception checks and ranged weapon attacks from hail, rain, sleet, and snow. They treat wind as one category weaker.</t>
  </si>
  <si>
    <t>Energy Drain</t>
  </si>
  <si>
    <t>cleric/oracle 9, sorcerer/wizard 9, shaman 9</t>
  </si>
  <si>
    <t>ray of negative energy</t>
  </si>
  <si>
    <t>Fortitude partial; see text for enervation</t>
  </si>
  <si>
    <t>This spell functions like enervation, except that the creature struck gains 2d4 temporary negative levels. Twenty-four hours after gaining them, the subject must make a Fortitude saving throw (DC = energy drain spell's save DC) for each negative level. If the save succeeds, that negative level is removed. If it fails, that negative level becomes permanent. An undead creature struck by the ray gains 2d4x5 temporary hit points for 1 hour.</t>
  </si>
  <si>
    <t>&lt;p&gt;This spell functions like &lt;i&gt;enervation&lt;/i&gt;, except that the creature struck gains 2d4 temporary negative levels. Twenty-four hours after gaining them, the subject must make a Fortitude saving throw (DC = &lt;i&gt;energy drain&lt;/i&gt; spell's save DC) for each negative level. If the save succeeds, that negative level is removed. If it fails, that negative level becomes permanent.&lt;/p&gt;&lt;p&gt;An undead creature struck by the ray gains 2d4x5 temporary hit points for 1 hour.&lt;/p&gt;</t>
  </si>
  <si>
    <t>&lt;link rel="stylesheet"href="PF.css"&gt;&lt;div class="heading"&gt;&lt;p class="alignleft"&gt;Energy Drain&lt;/p&gt;&lt;div style="clear: both;"&gt;&lt;/div&gt;&lt;/div&gt;&lt;div&gt;&lt;h5&gt;&lt;b&gt;School &lt;/b&gt;necromancy; &lt;b&gt;Level &lt;/b&gt;cleric/oracle 9, sorcerer/wizard 9, shaman 9&lt;/h5&gt;&lt;h5&gt;&lt;b&gt;Casting Time &lt;/b&gt;1 standard action&lt;/h5&gt;&lt;h5&gt;&lt;b&gt;Components &lt;/b&gt;V, S&lt;/h5&gt;&lt;h5&gt;&lt;b&gt;Range &lt;/b&gt;close (25 ft. + 5 ft./2 levels)&lt;/h5&gt;&lt;h5&gt;&lt;b&gt;Effect &lt;/b&gt;ray of negative energy&lt;/h5&gt;&lt;h5&gt;&lt;b&gt;Duration &lt;/b&gt;instantaneous&lt;/h5&gt;&lt;h5&gt;&lt;b&gt;Saving Throw &lt;/b&gt;Fortitude partial; see text for enervation; &lt;b&gt;Spell Resistance &lt;/b&gt;yes&lt;/h5&gt;&lt;/div&gt;&lt;div&gt;&lt;h4&gt;&lt;p&gt;This spell functions like &lt;i&gt;enervation&lt;/i&gt;, except that the creature struck gains 2d4 temporary negative levels. Twenty-four hours after gaining them, the subject must make a Fortitude saving throw (DC = &lt;i&gt;energy drain&lt;/i&gt; spell's save DC) for each negative level. If the save succeeds, that negative level is removed. If it fails, that negative level becomes permanent.&lt;/p&gt;&lt;p&gt;An undead creature struck by the ray gains 2d4x5 temporary hit points for 1 hour.&lt;/p&gt;&lt;/h4&gt;&lt;/div&gt;</t>
  </si>
  <si>
    <t>Loss (9), Undead (9)</t>
  </si>
  <si>
    <t>Subject gains 2d4 negative levels.</t>
  </si>
  <si>
    <t>Accursed (19), Undead (19)</t>
  </si>
  <si>
    <t>Plague (18)</t>
  </si>
  <si>
    <t>Enervation</t>
  </si>
  <si>
    <t>sorcerer/wizard 4, witch 4, bloodrager 4, mesmerist 4, spiritualist 4</t>
  </si>
  <si>
    <t>You point your finger and fire a black ray of negative energy that suppresses the life force of any living creature it strikes. You must make a ranged touch attack to hit. If you hit, the subject gains 1d4 temporary negative levels (see Appendix 1). Negative levels stack.  Assuming the subject survives, it regains lost levels after a number of hours equal to your caster level (maximum 15 hours).  Usually, negative levels have a chance of becoming permanent, but the negative levels from enervation don't last long enough to do so.  An undead creature struck by the ray gains 1d4 x 5 temporary hit points for 1 hour.</t>
  </si>
  <si>
    <t>&lt;p&gt;You point your finger and fire a black ray of negative energy that suppresses the life force of any living creature it strikes. You must make a ranged touch attack to hit. If you hit, the subject gains 1d4 temporary negative levels (see Appendix 1). Negative levels stack.&lt;/p&gt;&lt;p&gt;Assuming the subject survives, it regains lost levels after a number of hours equal to your caster level (maximum 15 hours).&lt;/p&gt;&lt;p&gt;Usually, negative levels have a chance of becoming permanent, but the negative levels from &lt;i&gt;enervation&lt;/i&gt; don't last long enough to do so.&lt;/p&gt;&lt;p&gt;An undead creature struck by the ray gains 1d4 x 5 temporary hit points for 1 hour.&lt;/p&gt;</t>
  </si>
  <si>
    <t>&lt;link rel="stylesheet"href="PF.css"&gt;&lt;div class="heading"&gt;&lt;p class="alignleft"&gt;Enervation&lt;/p&gt;&lt;div style="clear: both;"&gt;&lt;/div&gt;&lt;/div&gt;&lt;div&gt;&lt;h5&gt;&lt;b&gt;School &lt;/b&gt;necromancy; &lt;b&gt;Level &lt;/b&gt;sorcerer/wizard 4, witch 4, bloodrager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 of negative energy&lt;/h5&gt;&lt;h5&gt;&lt;b&gt;Duration &lt;/b&gt;instantaneous&lt;/h5&gt;&lt;h5&gt;&lt;b&gt;Saving Throw &lt;/b&gt;none; &lt;b&gt;Spell Resistance &lt;/b&gt;yes&lt;/h5&gt;&lt;/div&gt;&lt;hr/&gt;&lt;div&gt;&lt;h5&gt;&lt;b&gt;DESCRIPTION&lt;/b&gt;&lt;/h5&gt;&lt;/div&gt;&lt;hr/&gt;&lt;div&gt;&lt;h4&gt;&lt;p&gt;You point your finger and fire a black ray of negative energy that suppresses the life force of any living creature it strikes. You must make a ranged touch attack to hit. If you hit, the subject gains 1d4 temporary negative levels (see Appendix 1). Negative levels stack.&lt;/p&gt;&lt;p&gt;Assuming the subject survives, it regains lost levels after a number of hours equal to your caster level (maximum 15 hours).&lt;/p&gt;&lt;p&gt;Usually, negative levels have a chance of becoming permanent, but the negative levels from &lt;i&gt;enervation&lt;/i&gt; don't last long enough to do so.&lt;/p&gt;&lt;p&gt;An undead creature struck by the ray gains 1d4 x 5 temporary hit points for 1 hour.&lt;/p&gt;&lt;/h4&gt;&lt;h5&gt;&lt;b&gt;Mythic: &lt;/b&gt;The number of negative levels inflicted increases to 1d6, and the target is sickened for 24 hours. An undead creature struck by the ray gains 1d6 x 5 temporary hit points for a number of hours equal to your caster level.&lt;/h5&gt;&lt;h5&gt;&lt;b&gt;Augmented (3rd)&lt;/b&gt;: If you expend two uses of mythic power, any creature attempting to remove the target's negative levels must succeed at a caster level check (DC 10 + your caster level + your tier).&lt;/h5&gt;&lt;/div&gt;</t>
  </si>
  <si>
    <t>Loss (5), Undead (4)</t>
  </si>
  <si>
    <t> Subject gains 1d4 negative levels.</t>
  </si>
  <si>
    <t>The number of negative levels inflicted increases to 1d6, and the target is sickened for 24 hours. An undead creature struck by the ray gains 1d6 x 5 temporary hit points for a number of hours equal to your caster level.</t>
  </si>
  <si>
    <t>Augmented (3rd): If you expend two uses of mythic power, any creature attempting to remove the target's negative levels must succeed at a caster level check (DC 10 + your caster level + your tier).</t>
  </si>
  <si>
    <t>Enlarge Person</t>
  </si>
  <si>
    <t>sorcerer/wizard 1, alchemist 1, summoner 1, witch 1, magus 1, bloodrager 1, occultist 1, psychic 1</t>
  </si>
  <si>
    <t>V, S, M (powdered iron)</t>
  </si>
  <si>
    <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  A humanoid creature whose size increases to Large has a space of 10 feet and a natural reach of 10 feet. This spell does not change the target's speed.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a creature is similarly enlarged by the spell. Melee weapons affected by this spell deal more damage (see page 145). Other magical properties are not affected by this spell. Any enlarged item that leaves an enlarged creature's possession (including a projectile or thrown weapon) instantly returns to its normal size. This means that thrown and projectile weapons deal their normal damage. Magical properties of enlarged items are not increased by this spell.  Multiple magical effects that increase size do not stack.  Enlarge person counters and dispels reduce person.  Enlarge person can be made permanent with a permanency spell.</t>
  </si>
  <si>
    <t>&lt;p&gt;This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size.&lt;/p&gt;&lt;p&gt;A humanoid creature whose size increases to Large has a space of 10 feet and a natural reach of 10 feet. This spell does not change the target's speed.&lt;/p&gt;&lt;p&gt;If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a creature is similarly &lt;i&gt;enlarged&lt;/i&gt; by the spell. Melee weapons affected by this spell deal more damage (see page 145). Other magical properties are not affected by this spell. Any &lt;i&gt;enlarged&lt;/i&gt; item that leaves an &lt;i&gt;enlarged&lt;/i&gt; creature's possession (including a projectile or thrown weapon) instantly returns to its normal size. This means that thrown and projectile weapons deal their normal damage. Magical properties of &lt;i&gt;enlarged&lt;/i&gt; items are not increased by this spell.&lt;/p&gt;&lt;p&gt;Multiple magical effects that increase size do not stack.&lt;/p&gt;&lt;p&gt;&lt;i&gt;Enlarge person&lt;/i&gt; counters and dispels &lt;i&gt;reduce person&lt;/i&gt;.&lt;/p&gt;&lt;p&gt;&lt;i&gt;Enlarge person&lt;/i&gt; can be made permanent with a &lt;i&gt;permanency&lt;/i&gt; spell.&lt;/p&gt;</t>
  </si>
  <si>
    <t>&lt;link rel="stylesheet"href="PF.css"&gt;&lt;div class="heading"&gt;&lt;p class="alignleft"&gt;Enlarge Person&lt;/p&gt;&lt;div style="clear: both;"&gt;&lt;/div&gt;&lt;/div&gt;&lt;div&gt;&lt;h5&gt;&lt;b&gt;School &lt;/b&gt;transmutation; &lt;b&gt;Level &lt;/b&gt;sorcerer/wizard 1, alchemist 1, summoner 1, witch 1, magus 1, bloodrager 1, occultist 1, psychic 1&lt;/h5&gt;&lt;/div&gt;&lt;hr/&gt;&lt;div&gt;&lt;h5&gt;&lt;b&gt;CASTING&lt;/b&gt;&lt;/h5&gt;&lt;/div&gt;&lt;hr/&gt;&lt;div&gt;&lt;h5&gt;&lt;b&gt;Casting Time &lt;/b&gt;1 round&lt;/h5&gt;&lt;h5&gt;&lt;b&gt;Components &lt;/b&gt;V, S, M (powdered iron)&lt;/h5&gt;&lt;/div&gt;&lt;hr/&gt;&lt;div&gt;&lt;h5&gt;&lt;b&gt;EFFECT&lt;/b&gt;&lt;/h5&gt;&lt;/div&gt;&lt;hr/&gt;&lt;div&gt;&lt;h5&gt;&lt;b&gt;Range &lt;/b&gt;close (25 ft. + 5 ft./2 levels)&lt;/h5&gt;&lt;h5&gt;&lt;b&gt;Targets &lt;/b&gt;one humanoid creature&lt;/h5&gt;&lt;h5&gt;&lt;b&gt;Duration &lt;/b&gt;1 min./level (D)&lt;/h5&gt;&lt;h5&gt;&lt;b&gt;Saving Throw &lt;/b&gt;Fortitude negates; &lt;b&gt;Spell Resistance &lt;/b&gt;yes&lt;/h5&gt;&lt;/div&gt;&lt;hr/&gt;&lt;div&gt;&lt;h5&gt;&lt;b&gt;DESCRIPTION&lt;/b&gt;&lt;/h5&gt;&lt;/div&gt;&lt;hr/&gt;&lt;div&gt;&lt;h4&gt;&lt;p&gt;This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size.&lt;/p&gt;&lt;p&gt;A humanoid creature whose size increases to Large has a space of 10 feet and a natural reach of 10 feet. This spell does not change the target's speed.&lt;/p&gt;&lt;p&gt;If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a creature is similarly &lt;i&gt;enlarged&lt;/i&gt; by the spell. Melee weapons affected by this spell deal more damage (see page 145). Other magical properties are not affected by this spell. Any &lt;i&gt;enlarged&lt;/i&gt; item that leaves an &lt;i&gt;enlarged&lt;/i&gt; creature's possession (including a projectile or thrown weapon) instantly returns to its normal size. This means that thrown and projectile weapons deal their normal damage. Magical properties of &lt;i&gt;enlarged&lt;/i&gt; items are not increased by this spell.&lt;/p&gt;&lt;p&gt;Multiple magical effects that increase size do not stack.&lt;/p&gt;&lt;p&gt;&lt;i&gt;Enlarge person&lt;/i&gt; counters and dispels &lt;i&gt;reduce person&lt;/i&gt;.&lt;/p&gt;&lt;p&gt;&lt;i&gt;Enlarge person&lt;/i&gt; can be made permanent with a &lt;i&gt;permanency&lt;/i&gt; spell.&lt;/p&gt;&lt;/h4&gt;&lt;h5&gt;&lt;b&gt;Mythic: &lt;/b&gt;You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person.&lt;/h5&gt;&lt;/div&gt;</t>
  </si>
  <si>
    <t>Growth (1), Strength (1)</t>
  </si>
  <si>
    <t> Humanoid creature doubles in size.</t>
  </si>
  <si>
    <t>Aberrant (3), Boreal (3), Efreeti (3)</t>
  </si>
  <si>
    <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t>
  </si>
  <si>
    <t>Enlarge Person, Mass</t>
  </si>
  <si>
    <t>sorcerer/wizard 4, summoner 3, bloodrager 4, psychic 4</t>
  </si>
  <si>
    <t>One humanoid creature/level, no two of which can be more than 30 ft. apart</t>
  </si>
  <si>
    <t>This spell functions like enlarge person, except that it affects multiple creatures.</t>
  </si>
  <si>
    <t>&lt;p&gt;This spell functions like &lt;i&gt;enlarge person&lt;/i&gt;, except that it affects multiple creatures.&lt;/p&gt;</t>
  </si>
  <si>
    <t>&lt;link rel="stylesheet"href="PF.css"&gt;&lt;div class="heading"&gt;&lt;p class="alignleft"&gt;Enlarge Person, Mass&lt;/p&gt;&lt;div style="clear: both;"&gt;&lt;/div&gt;&lt;/div&gt;&lt;div&gt;&lt;h5&gt;&lt;b&gt;School &lt;/b&gt;transmutation; &lt;b&gt;Level &lt;/b&gt;sorcerer/wizard 4, summoner 3, bloodrager 4, psychic 4&lt;/h5&gt;&lt;/div&gt;&lt;hr/&gt;&lt;div&gt;&lt;h5&gt;&lt;b&gt;CASTING&lt;/b&gt;&lt;/h5&gt;&lt;/div&gt;&lt;hr/&gt;&lt;div&gt;&lt;h5&gt;&lt;b&gt;Casting Time &lt;/b&gt;1 round&lt;/h5&gt;&lt;h5&gt;&lt;b&gt;Components &lt;/b&gt;V, S, M (powdered iron)&lt;/h5&gt;&lt;/div&gt;&lt;hr/&gt;&lt;div&gt;&lt;h5&gt;&lt;b&gt;EFFECT&lt;/b&gt;&lt;/h5&gt;&lt;/div&gt;&lt;hr/&gt;&lt;div&gt;&lt;h5&gt;&lt;b&gt;Range &lt;/b&gt;close (25 ft. + 5 ft./2 levels)&lt;/h5&gt;&lt;h5&gt;&lt;b&gt;Targets &lt;/b&gt;One humanoid creature/level, no two of which can be more than 30 ft. apart&lt;/h5&gt;&lt;h5&gt;&lt;b&gt;Duration &lt;/b&gt;1 min./level (D)&lt;/h5&gt;&lt;h5&gt;&lt;b&gt;Saving Throw &lt;/b&gt;Fortitude negates; &lt;b&gt;Spell Resistance &lt;/b&gt;yes&lt;/h5&gt;&lt;/div&gt;&lt;hr/&gt;&lt;div&gt;&lt;h5&gt;&lt;b&gt;DESCRIPTION&lt;/b&gt;&lt;/h5&gt;&lt;/div&gt;&lt;hr/&gt;&lt;div&gt;&lt;h4&gt;&lt;p&gt;This spell functions like &lt;i&gt;enlarge person&lt;/i&gt;, except that it affects multiple creatures.&lt;/p&gt;&lt;/h4&gt;&lt;/div&gt;</t>
  </si>
  <si>
    <t> 1 humanoid creature/level doubles in size.</t>
  </si>
  <si>
    <t>Entangle</t>
  </si>
  <si>
    <t>druid 1, ranger 1, shaman 1</t>
  </si>
  <si>
    <t>plants in a 40-ft.-radius spread</t>
  </si>
  <si>
    <t>Reflex partial; see text</t>
  </si>
  <si>
    <t>This spell causes tall grass, weeds, and other plants to wrap around creatures in the area of effect or those that enter the area. Creatures that fail their save gain the entangled condition. Creatures that make their save can move as normal, but those that remain in the area must save again at the end of your turn. Creatures that move into the area must save immediately. Those that fail must end their movement and gain the entangled condition. Entangled creatures can attempt to break free as a move action, making a Strength or Escape Artist check. The DC for this check is equal to the DC of the spell. The entire area of effect is considered difficult terrain while the effect lasts.  If the plants in the area are covered in thorns, those in the area take 1 point of damage each time they fail a save against the entangle or fail a check made to break free. Other effects, depending on the local plants, might be possible at GM discretion.</t>
  </si>
  <si>
    <t>&lt;p&gt;This spell causes tall grass, weeds, and other plants to wrap around creatures in the area of effect or those that enter the area. Creatures that fail their save gain the &lt;i&gt;entangle&lt;/i&gt;d condition. Creatures that make their save can move as normal, but those that remain in the area must save again at the end of your turn. Creatures that move into the area must save immediately. Those that fail must end their movement and gain the &lt;i&gt;entangle&lt;/i&gt;d condition. Entangled creatures can attempt to break free as a move action, making a Strength or Escape Artist check. The DC for this check is equal to the DC of the spell. The entire area of effect is considered difficult terrain while the effect lasts.&lt;/p&gt;&lt;p&gt;If the plants in the area are covered in thorns, those in the area take 1 point of damage each time they fail a save against the &lt;i&gt;entangle&lt;/i&gt; or fail a check made to break free. Other effects, depending on the local plants, might be possible at GM discretion.&lt;/p&gt;</t>
  </si>
  <si>
    <t>&lt;link rel="stylesheet"href="PF.css"&gt;&lt;div class="heading"&gt;&lt;p class="alignleft"&gt;Entangle&lt;/p&gt;&lt;div style="clear: both;"&gt;&lt;/div&gt;&lt;/div&gt;&lt;div&gt;&lt;h5&gt;&lt;b&gt;School &lt;/b&gt;transmutation; &lt;b&gt;Level &lt;/b&gt;druid 1, ranger 1, shaman 1&lt;/h5&gt;&lt;/div&gt;&lt;hr/&gt;&lt;div&gt;&lt;h5&gt;&lt;b&gt;CASTING&lt;/b&gt;&lt;/h5&gt;&lt;/div&gt;&lt;hr/&gt;&lt;div&gt;&lt;h5&gt;&lt;b&gt;Casting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causes tall grass, weeds, and other plants to wrap around creatures in the area of effect or those that enter the area. Creatures that fail their save gain the &lt;i&gt;entangle&lt;/i&gt;d condition. Creatures that make their save can move as normal, but those that remain in the area must save again at the end of your turn. Creatures that move into the area must save immediately. Those that fail must end their movement and gain the &lt;i&gt;entangle&lt;/i&gt;d condition. Entangled creatures can attempt to break free as a move action, making a Strength or Escape Artist check. The DC for this check is equal to the DC of the spell. The entire area of effect is considered difficult terrain while the effect lasts.&lt;/p&gt;&lt;p&gt;If the plants in the area are covered in thorns, those in the area take 1 point of damage each time they fail a save against the &lt;i&gt;entangle&lt;/i&gt; or fail a check made to break free. Other effects, depending on the local plants, might be possible at GM discretion.&lt;/p&gt;&lt;/h4&gt;&lt;h5&gt;&lt;b&gt;Mythic: &lt;/b&gt;The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area.&lt;/h5&gt;&lt;/div&gt;</t>
  </si>
  <si>
    <t>Plant (1)</t>
  </si>
  <si>
    <t>Plants entangle everyone in 40-ft. radius.</t>
  </si>
  <si>
    <t>Fey (3), Verdant (3)</t>
  </si>
  <si>
    <t>Plant (2)</t>
  </si>
  <si>
    <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t>
  </si>
  <si>
    <t>Enthrall</t>
  </si>
  <si>
    <t>language-dependent, mind-affecting, sonic</t>
  </si>
  <si>
    <t>bard 2, cleric/oracle 2, witch 2, inquisitor 2, shaman 2, psychic 2, mesmerist 2</t>
  </si>
  <si>
    <t>any number of creatures</t>
  </si>
  <si>
    <t>1 hour or less</t>
  </si>
  <si>
    <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t>
  </si>
  <si>
    <t>&lt;p&gt;If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hostile.&lt;/p&gt;</t>
  </si>
  <si>
    <t>&lt;link rel="stylesheet"href="PF.css"&gt;&lt;div class="heading"&gt;&lt;p class="alignleft"&gt;Enthrall&lt;/p&gt;&lt;div style="clear: both;"&gt;&lt;/div&gt;&lt;/div&gt;&lt;div&gt;&lt;h5&gt;&lt;b&gt;School &lt;/b&gt;enchantment (charm) [language-dependent, mind-affecting, sonic]; &lt;b&gt;Level &lt;/b&gt;bard 2, cleric/oracle 2, witch 2, inquisitor 2, shaman 2, psychic 2, mesmerist 2&lt;/h5&gt;&lt;/div&gt;&lt;hr/&gt;&lt;div&gt;&lt;h5&gt;&lt;b&gt;CASTING&lt;/b&gt;&lt;/h5&gt;&lt;/div&gt;&lt;hr/&gt;&lt;div&gt;&lt;h5&gt;&lt;b&gt;Casting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&lt;/b&gt;any number of creatures&lt;/h5&gt;&lt;h5&gt;&lt;b&gt;Duration &lt;/b&gt;1 hour or less&lt;/h5&gt;&lt;h5&gt;&lt;b&gt;Saving Throw &lt;/b&gt;Will negates; see text; &lt;b&gt;Spell Resistance &lt;/b&gt;yes&lt;/h5&gt;&lt;/div&gt;&lt;hr/&gt;&lt;div&gt;&lt;h5&gt;&lt;b&gt;DESCRIPTION&lt;/b&gt;&lt;/h5&gt;&lt;/div&gt;&lt;hr/&gt;&lt;div&gt;&lt;h4&gt;&lt;p&gt;If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hostile.&lt;/p&gt;&lt;/h4&gt;&lt;/div&gt;</t>
  </si>
  <si>
    <t>Love (2), Nobility (2), Revolution (2)</t>
  </si>
  <si>
    <t>Captivates all within 100 ft. + 10 ft./level.</t>
  </si>
  <si>
    <t>Entropic Shield</t>
  </si>
  <si>
    <t>cleric/oracle 1, psychic 1</t>
  </si>
  <si>
    <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t>
  </si>
  <si>
    <t>&lt;p&gt;A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affected.&lt;/p&gt;</t>
  </si>
  <si>
    <t>&lt;link rel="stylesheet"href="PF.css"&gt;&lt;div class="heading"&gt;&lt;p class="alignleft"&gt;Entropic Shield&lt;/p&gt;&lt;div style="clear: both;"&gt;&lt;/div&gt;&lt;/div&gt;&lt;div&gt;&lt;h5&gt;&lt;b&gt;School &lt;/b&gt;abjuration; &lt;b&gt;Level &lt;/b&gt;cleric/oracle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affected.&lt;/p&gt;&lt;/h4&gt;&lt;h5&gt;&lt;b&gt;Mythic: &lt;/b&gt;When a ranged attack misses because of this spell, there is a 50% chance that the attack is redirected back at the attacker rather than just being deflected harmlessly. The attack uses the same result as the attack roll the attacker made against you.&lt;/h5&gt;&lt;/div&gt;</t>
  </si>
  <si>
    <t>Entropy (1)</t>
  </si>
  <si>
    <t> Ranged attacks against you have 20% miss chance.</t>
  </si>
  <si>
    <t>When a ranged attack misses because of this spell, there is a 50% chance that the attack is redirected back at the attacker rather than just being deflected harmlessly. The attack uses the same result as the attack roll the attacker made against you.</t>
  </si>
  <si>
    <t>Erase</t>
  </si>
  <si>
    <t>bard 1, sorcerer/wizard 1, occultist 1, psychic 1</t>
  </si>
  <si>
    <t>one scroll or two pages</t>
  </si>
  <si>
    <t>Erase removes writings of either magical or mundane nature from a scroll or from one or two pages of paper, parchment, or similar surfaces. With this spell, you can remove explosive runes, a glyph of warding, a sepia snake sigil, or an arcane mark, but not illusory script or a symbol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explosive runes, a glyph of warding, or a sepia snake sigil, you accidentally activate that writing instead.</t>
  </si>
  <si>
    <t>&lt;p&gt;&lt;i&gt;Erase&lt;/i&gt; removes writings of either magical or mundane nature from a scroll or from one or two pages of paper, parchment, or similar surfaces. With this spell, you can remove &lt;i&gt;&lt;i&gt;explosive runes&lt;/i&gt;,&lt;/i&gt; a &lt;i&gt;&lt;i&gt;glyph of warding&lt;/i&gt;, a &lt;i&gt;sepia snake sigil&lt;/i&gt;,&lt;/i&gt; or an &lt;i&gt;arcane mark&lt;/i&gt;, but not &lt;i&gt;illusory script&lt;/i&gt; or a &lt;i&gt;symbol&lt;/i&gt;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&lt;i&gt;&lt;i&gt;explosive runes&lt;/i&gt;,&lt;/i&gt; a &lt;i&gt;glyph of warding&lt;/i&gt;, or a &lt;i&gt;sepia snake sigil&lt;/i&gt;, you accidentally activate that writing instead.&lt;/p&gt;</t>
  </si>
  <si>
    <t>&lt;link rel="stylesheet"href="PF.css"&gt;&lt;div class="heading"&gt;&lt;p class="alignleft"&gt;Erase&lt;/p&gt;&lt;div style="clear: both;"&gt;&lt;/div&gt;&lt;/div&gt;&lt;div&gt;&lt;h5&gt;&lt;b&gt;School &lt;/b&gt;transmutation; &lt;b&gt;Level &lt;/b&gt;bard 1, sorcerer/wizard 1, occultist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scroll or two pages&lt;/h5&gt;&lt;h5&gt;&lt;b&gt;Duration &lt;/b&gt;instantaneous&lt;/h5&gt;&lt;h5&gt;&lt;b&gt;Saving Throw &lt;/b&gt;see text; &lt;b&gt;Spell Resistance &lt;/b&gt;no&lt;/h5&gt;&lt;/div&gt;&lt;hr/&gt;&lt;div&gt;&lt;h5&gt;&lt;b&gt;DESCRIPTION&lt;/b&gt;&lt;/h5&gt;&lt;/div&gt;&lt;hr/&gt;&lt;div&gt;&lt;h4&gt;&lt;p&gt;&lt;i&gt;Erase&lt;/i&gt; removes writings of either magical or mundane nature from a scroll or from one or two pages of paper, parchment, or similar surfaces. With this spell, you can remove &lt;i&gt;&lt;i&gt;explosive runes&lt;/i&gt;,&lt;/i&gt; a &lt;i&gt;&lt;i&gt;glyph of warding&lt;/i&gt;, a &lt;i&gt;sepia snake sigil&lt;/i&gt;,&lt;/i&gt; or an &lt;i&gt;arcane mark&lt;/i&gt;, but not &lt;i&gt;illusory script&lt;/i&gt; or a &lt;i&gt;symbol&lt;/i&gt;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&lt;i&gt;&lt;i&gt;explosive runes&lt;/i&gt;,&lt;/i&gt; a &lt;i&gt;glyph of warding&lt;/i&gt;, or a &lt;i&gt;sepia snake sigil&lt;/i&gt;, you accidentally activate that writing instead.&lt;/p&gt;&lt;/h4&gt;&lt;/div&gt;</t>
  </si>
  <si>
    <t>Rune (1)</t>
  </si>
  <si>
    <t>Mundane or magical writing vanishes.</t>
  </si>
  <si>
    <t>Ethereal Jaunt</t>
  </si>
  <si>
    <t>cleric/oracle 7, sorcerer/wizard 7, psychic 6, summoner 5</t>
  </si>
  <si>
    <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t>
  </si>
  <si>
    <t>&lt;p&gt;You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travel.&lt;/p&gt;</t>
  </si>
  <si>
    <t>&lt;link rel="stylesheet"href="PF.css"&gt;&lt;div class="heading"&gt;&lt;p class="alignleft"&gt;Ethereal Jaunt&lt;/p&gt;&lt;div style="clear: both;"&gt;&lt;/div&gt;&lt;/div&gt;&lt;div&gt;&lt;h5&gt;&lt;b&gt;School &lt;/b&gt;transmutation; &lt;b&gt;Level &lt;/b&gt;cleric/oracle 7, sorcerer/wizard 7, psychic 6, summoner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travel.&lt;/p&gt;&lt;/h4&gt;&lt;/div&gt;</t>
  </si>
  <si>
    <t>Thievery (7)</t>
  </si>
  <si>
    <t>You become ethereal for 1 round/level.</t>
  </si>
  <si>
    <t>Ectoplasm (13)</t>
  </si>
  <si>
    <t>Agility (14), Boundaries (14), Spirits (14), Ethereal (12)</t>
  </si>
  <si>
    <t>Etherealness</t>
  </si>
  <si>
    <t>cleric/oracle 9, sorcerer/wizard 9, shaman 9, psychic 8</t>
  </si>
  <si>
    <t>touch; see text</t>
  </si>
  <si>
    <t>you and one other touched creature per three levels</t>
  </si>
  <si>
    <t>This spell functions like ethereal jaunt,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t>
  </si>
  <si>
    <t>&lt;p&gt;This spell functions like &lt;i&gt;ethereal jaunt,&lt;/i&gt;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existence.&lt;/p&gt;</t>
  </si>
  <si>
    <t>&lt;link rel="stylesheet"href="PF.css"&gt;&lt;div class="heading"&gt;&lt;p class="alignleft"&gt;Etherealness&lt;/p&gt;&lt;div style="clear: both;"&gt;&lt;/div&gt;&lt;/div&gt;&lt;div&gt;&lt;h5&gt;&lt;b&gt;School &lt;/b&gt;transmutation; &lt;b&gt;Level &lt;/b&gt;cleric/oracle 9, sorcerer/wizard 9, shaman 9, psychic 8&lt;/h5&gt;&lt;/div&gt;&lt;hr/&gt;&lt;div&gt;&lt;h5&gt;&lt;b&gt;CASTING&lt;/b&gt;&lt;/h5&gt;&lt;/div&gt;&lt;hr/&gt;&lt;div&gt;&lt;h5&gt;&lt;b&gt;Casting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text&lt;/h5&gt;&lt;h5&gt;&lt;b&gt;Targets &lt;/b&gt;you and one other touched creature per three levels&lt;/h5&gt;&lt;h5&gt;&lt;b&gt;Duration &lt;/b&gt;1 min./level (D)&lt;/h5&gt;&lt;/div&gt;&lt;hr/&gt;&lt;div&gt;&lt;h5&gt;&lt;b&gt;DESCRIPTION&lt;/b&gt;&lt;/h5&gt;&lt;/div&gt;&lt;hr/&gt;&lt;div&gt;&lt;h4&gt;&lt;p&gt;This spell functions like &lt;i&gt;ethereal jaunt,&lt;/i&gt;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existence.&lt;/p&gt;&lt;/h4&gt;&lt;/div&gt;</t>
  </si>
  <si>
    <t>Travel to Ethereal Plane with companions.</t>
  </si>
  <si>
    <t>Ectoplasm (19)</t>
  </si>
  <si>
    <t>Spirits (18), Ethereal (18)</t>
  </si>
  <si>
    <t>Expeditious Retreat</t>
  </si>
  <si>
    <t>bard 1, sorcerer/wizard 1, alchemist 1, summoner 1, inquisitor 1, magus 1, bloodrager 1, occultist 1, psychic 1, mesmerist 1, spiritualist 1</t>
  </si>
  <si>
    <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t>
  </si>
  <si>
    <t>&lt;p&gt;This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skill).&lt;/p&gt;</t>
  </si>
  <si>
    <t>&lt;link rel="stylesheet"href="PF.css"&gt;&lt;div class="heading"&gt;&lt;p class="alignleft"&gt;Expeditious Retreat&lt;/p&gt;&lt;div style="clear: both;"&gt;&lt;/div&gt;&lt;/div&gt;&lt;div&gt;&lt;h5&gt;&lt;b&gt;School &lt;/b&gt;transmutation; &lt;b&gt;Level &lt;/b&gt;bard 1, sorcerer/wizard 1, alchemist 1, summoner 1, inquisitor 1, magus 1, bloodrager 1, occultist 1, psychic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skill).&lt;/p&gt;&lt;/h4&gt;&lt;h5&gt;&lt;b&gt;Mythic: &lt;/b&gt;The speed bonus from the spell increases to 40 feet. Add your tier to Acrobatics checks to avoid attacks of opportunity from movement, and when your movement provokes an attack of opportunity, add your tier to your AC against that attack.&lt;/h5&gt;&lt;/div&gt;</t>
  </si>
  <si>
    <t>Azata (1), Exploration (1)</t>
  </si>
  <si>
    <t>Your base land speed increases by 30 ft.</t>
  </si>
  <si>
    <t>The speed bonus from the spell increases to 40 feet. Add your tier to Acrobatics checks to avoid attacks of opportunity from movement, and when your movement provokes an attack of opportunity, add your tier to your AC against that attack.</t>
  </si>
  <si>
    <t>Explosive Runes</t>
  </si>
  <si>
    <t>sorcerer/wizard 3, occultist 3</t>
  </si>
  <si>
    <t>one touched object weighing no more than 10 lbs.</t>
  </si>
  <si>
    <t>permanent until discharged</t>
  </si>
  <si>
    <t>You trace mystic runes upon a book, map, scroll, or similar object bearing written information. The explosive runes detonate when read, dealing 6d6 points of force damage. Anyone next to the explosive runes (close enough to read them) takes the full damage with no saving throw; any other creature within 10 feet of the explosive runes is entitled to a Reflex save for half damage. The object on which the explosive runes were written also takes full damage (no saving throw). You and any characters you specifically instruct can read the protected writing without triggering the explosive runes. Likewise, you can remove the explosive runes whenever desired. Another creature can remove them with a successful dispel magic or erase spell, but attempting to dispel or erase the explosive runes and failing to do so triggers the explosion. Magic traps such as explosive runes are hard to detect and disable. A character with the trapfinding class feature (only) can use Disable Device to thwart explosive runes. The DC to find magic traps using Perception and to disable them is 25 + spell level, or 28 for explosive runes.</t>
  </si>
  <si>
    <t>&lt;p&gt;You trace mystic runes upon a book, map, scroll, or similar object bearing written information. The &lt;i&gt;explosive runes&lt;/i&gt; detonate when read, dealing 6d6 points of force damage. Anyone next to the &lt;i&gt;explosive runes&lt;/i&gt; (close enough to read them) takes the full damage with no saving throw; any other creature within 10 feet of the &lt;i&gt;explosive runes&lt;/i&gt; is entitled to a Reflex save for half damage. The object on which the &lt;i&gt;explosive runes&lt;/i&gt; were written also takes full damage (no saving throw). You and any characters you specifically instruct can read the protected writing without triggering the &lt;i&gt;explosive runes&lt;/i&gt;. Likewise, you can remove the &lt;i&gt;explosive runes&lt;/i&gt; whenever desired. Another creature can remove them with a successful &lt;i&gt;dispel magic&lt;/i&gt; or &lt;i&gt;erase&lt;/i&gt; spell, but attempting to dispel or &lt;i&gt;erase&lt;/i&gt; the &lt;i&gt;explosive runes&lt;/i&gt; and failing to do so triggers the explosion. Magic traps such as &lt;i&gt;explosive runes&lt;/i&gt; are hard to detect and disable. A character with the trapfinding class feature (only) can use Disable Device to thwart &lt;i&gt;explosive runes&lt;/i&gt;. The DC to find magic traps using Perception and to disable them is 25 + spell level, or 28 for &lt;i&gt;explosive runes&lt;/i&gt;.&lt;/p&gt;</t>
  </si>
  <si>
    <t>&lt;link rel="stylesheet"href="PF.css"&gt;&lt;div class="heading"&gt;&lt;p class="alignleft"&gt;Explosive Runes&lt;/p&gt;&lt;div style="clear: both;"&gt;&lt;/div&gt;&lt;/div&gt;&lt;div&gt;&lt;h5&gt;&lt;b&gt;School &lt;/b&gt;abjuration [force]; &lt;b&gt;Level &lt;/b&gt;sorcerer/wizard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weighing no more than 10 lbs.&lt;/h5&gt;&lt;h5&gt;&lt;b&gt;Duration &lt;/b&gt;permanent until discharged (D)&lt;/h5&gt;&lt;h5&gt;&lt;b&gt;Saving Throw &lt;/b&gt;see text; &lt;b&gt;Spell Resistance &lt;/b&gt;yes&lt;/h5&gt;&lt;/div&gt;&lt;hr/&gt;&lt;div&gt;&lt;h5&gt;&lt;b&gt;DESCRIPTION&lt;/b&gt;&lt;/h5&gt;&lt;/div&gt;&lt;hr/&gt;&lt;div&gt;&lt;h4&gt;&lt;p&gt;You trace mystic runes upon a book, map, scroll, or similar object bearing written information. The &lt;i&gt;explosive runes&lt;/i&gt; detonate when read, dealing 6d6 points of force damage. Anyone next to the &lt;i&gt;explosive runes&lt;/i&gt; (close enough to read them) takes the full damage with no saving throw; any other creature within 10 feet of the &lt;i&gt;explosive runes&lt;/i&gt; is entitled to a Reflex save for half damage. The object on which the &lt;i&gt;explosive runes&lt;/i&gt; were written also takes full damage (no saving throw). You and any characters you specifically instruct can read the protected writing without triggering the &lt;i&gt;explosive runes&lt;/i&gt;. Likewise, you can remove the &lt;i&gt;explosive runes&lt;/i&gt; whenever desired. Another creature can remove them with a successful &lt;i&gt;dispel magic&lt;/i&gt; or &lt;i&gt;erase&lt;/i&gt; spell, but attempting to dispel or &lt;i&gt;erase&lt;/i&gt; the &lt;i&gt;explosive runes&lt;/i&gt; and failing to do so triggers the explosion. Magic traps such as &lt;i&gt;explosive runes&lt;/i&gt; are hard to detect and disable. A character with the trapfinding class feature (only) can use Disable Device to thwart &lt;i&gt;explosive runes&lt;/i&gt;. The DC to find magic traps using Perception and to disable them is 25 + spell level, or 28 for &lt;i&gt;explosive runes&lt;/i&gt;.&lt;/p&gt;&lt;/h4&gt;&lt;/div&gt;</t>
  </si>
  <si>
    <t>Rune (4)</t>
  </si>
  <si>
    <t> Deals 6d6 damage when read.</t>
  </si>
  <si>
    <t>Kobold Sorcerer (7), Kobold (7)</t>
  </si>
  <si>
    <t>Eyebite</t>
  </si>
  <si>
    <t>emotion, pain</t>
  </si>
  <si>
    <t>bard 6, sorcerer/wizard 6, alchemist 6, witch 6, mesmerist 6, spiritualist 6</t>
  </si>
  <si>
    <t>Each round, you can target a single living creature, striking it with waves of power. Depending on the target's HD, this attack has as many as three effects. HD Effect 10 or more Sickened 5-9 Panicked, sickened 4 or less Comatose, panicked, sickened The effects are cumulative and concurrent. Sickened: Sudden pain and fever sweeps over the subject's body. A creature affected by this spell remains sickened for 10 minutes per caster level. The effects cannot be negated by a remove disease or heal spell, but a remove curse is effective. Panicked: The subject becomes panicked for 1d4 rounds. Even after the panic ends, the creature remains shaken for 10 minutes per caster level, and it automatically becomes panicked again if it comes within sight of you during that time. This is a fear effect. Comatose: The subject falls into a catatonic coma for 10 minutes per caster level. During this time, it cannot be awakened by any means short of dispelling the effect. This is not a sleep effect, and thus elves are not immune to it. You must spend a swift action each round after the first to target a foe.</t>
  </si>
  <si>
    <t>&lt;p&gt;Each round, you can target a single living creature, striking it with waves of power. Depending on the target's HD, this attack has as many as three effects. &lt;table&gt;&lt;tr&gt;&lt;th&gt;hd&lt;/th&gt;&lt;th&gt;Effect&lt;/th&gt;&lt;/tr&gt;&lt;tr&gt;&lt;td&gt;10 or more&lt;/td&gt;&lt;td&gt;Sickened&lt;/td&gt;&lt;/tr&gt;&lt;tr&gt;&lt;td&gt;5-9&lt;/td&gt;&lt;td&gt;Panicked, sickened&lt;/td&gt;&lt;/tr&gt;&lt;tr&gt;&lt;td&gt;4 or less&lt;/td&gt;&lt;td&gt;Comatose, panicked, sickened&lt;/td&gt;&lt;/tr&gt;&lt;/table&gt;  The effects are cumulative and concurrent. &lt;i&gt;Sickened:&lt;/i&gt; Sudden pain and fever sweeps over the subject's body. A creature affected by this spell remains sickened for 10 minutes per caster level. The effects cannot be negated by a &lt;i&gt;remove disease&lt;/i&gt; or &lt;i&gt;heal&lt;/i&gt; spell, but a &lt;i&gt;remove curse&lt;/i&gt; is effective. &lt;i&gt;Panicked:&lt;/i&gt; The subject becomes panicked for 1d4 rounds. Even after the panic ends, the creature remains shaken for 10 minutes per caster level, and it automatically becomes panicked again if it comes within sight of you during that time. This is a fear effect. &lt;i&gt;Comatose:&lt;/i&gt; The subject falls into a catatonic coma for 10 minutes per caster level. During this time, it cannot be awakened by any means short of dispelling the effect. This is not a &lt;i&gt;sleep&lt;/i&gt; effect, and thus elves are not immune to it. You must spend a swift action each round after the first to target a foe.&lt;/p&gt;</t>
  </si>
  <si>
    <t>&lt;link rel="stylesheet"href="PF.css"&gt;&lt;div class="heading"&gt;&lt;p class="alignleft"&gt;Eyebite&lt;/p&gt;&lt;div style="clear: both;"&gt;&lt;/div&gt;&lt;/div&gt;&lt;div&gt;&lt;h5&gt;&lt;b&gt;School &lt;/b&gt;necromancy [emotion, pain]; &lt;b&gt;Level &lt;/b&gt;bard 6, sorcerer/wizard 6, alchemist 6, witch 6, mesmerist 6, spiritualist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&lt;/b&gt;Fortitude negates; &lt;b&gt;Spell Resistance &lt;/b&gt;yes&lt;/h5&gt;&lt;/div&gt;&lt;hr/&gt;&lt;div&gt;&lt;h5&gt;&lt;b&gt;DESCRIPTION&lt;/b&gt;&lt;/h5&gt;&lt;/div&gt;&lt;hr/&gt;&lt;div&gt;&lt;h4&gt;&lt;p&gt;Each round, you can target a single living creature, striking it with waves of power. Depending on the target's HD, this attack has as many as three effects. &lt;table&gt;&lt;tr&gt;&lt;th&gt;hd&lt;/th&gt;&lt;th&gt;Effect&lt;/th&gt;&lt;/tr&gt;&lt;tr&gt;&lt;td&gt;10 or more&lt;/td&gt;&lt;td&gt;Sickened&lt;/td&gt;&lt;/tr&gt;&lt;tr&gt;&lt;td&gt;5-9&lt;/td&gt;&lt;td&gt;Panicked, sickened&lt;/td&gt;&lt;/tr&gt;&lt;tr&gt;&lt;td&gt;4 or less&lt;/td&gt;&lt;td&gt;Comatose, panicked, sickened&lt;/td&gt;&lt;/tr&gt;&lt;/table&gt;  The effects are cumulative and concurrent. &lt;i&gt;Sickened:&lt;/i&gt; Sudden pain and fever sweeps over the subject's body. A creature affected by this spell remains sickened for 10 minutes per caster level. The effects cannot be negated by a &lt;i&gt;remove disease&lt;/i&gt; or &lt;i&gt;heal&lt;/i&gt; spell, but a &lt;i&gt;remove curse&lt;/i&gt; is effective. &lt;i&gt;Panicked:&lt;/i&gt; The subject becomes panicked for 1d4 rounds. Even after the panic ends, the creature remains shaken for 10 minutes per caster level, and it automatically becomes panicked again if it comes within sight of you during that time. This is a fear effect. &lt;i&gt;Comatose:&lt;/i&gt; The subject falls into a catatonic coma for 10 minutes per caster level. During this time, it cannot be awakened by any means short of dispelling the effect. This is not a &lt;i&gt;sleep&lt;/i&gt; effect, and thus elves are not immune to it. You must spend a swift action each round after the first to target a foe.&lt;/p&gt;&lt;/h4&gt;&lt;/div&gt;</t>
  </si>
  <si>
    <t>Curse (6), Scalykind (6)</t>
  </si>
  <si>
    <t>Target becomes panicked, sickened, and/or comatose.</t>
  </si>
  <si>
    <t>Accursed (13), Pestilence (13)</t>
  </si>
  <si>
    <t>Fabricate</t>
  </si>
  <si>
    <t>sorcerer/wizard 5, occultist 5, psychic 5</t>
  </si>
  <si>
    <t>V, S, M (the original material, which costs the same amount as the raw materials required to craft the item to be created)</t>
  </si>
  <si>
    <t>up to 10 cu. ft./level; see text</t>
  </si>
  <si>
    <t>You convert material of one sort into a product that is of the same material. Creatures or magic items cannot be created or transmuted by the fabricate spell. The quality of items made by this spell is commensurate with the quality of material used as the basis for the new fabrication. If you work with a mineral, the target is reduced to 1 cubic foot per level instead of 10 cubic feet. You must make an appropriate Craft check to fabricate articles requiring a high degree of craftsmanship. Casting requires 1 round per 10 cubic feet of material to be affected by the spell.</t>
  </si>
  <si>
    <t>&lt;p&gt;You convert material of one sort into a product that is of the same material. Creatures or magic items cannot be created or transmuted by the &lt;i&gt;fabricate&lt;/i&gt; spell. The quality of items made by this spell is commensurate with the quality of material used as the basis for the new fabrication. If you work with a mineral, the target is reduced to 1 cubic foot per level instead of 10 cubic feet. You must make an appropriate Craft check to &lt;i&gt;fabricate&lt;/i&gt; articles requiring a high degree of craftsmanship. Casting requires 1 round per 10 cubic feet of material to be affected by the spell.&lt;/p&gt;</t>
  </si>
  <si>
    <t>&lt;link rel="stylesheet"href="PF.css"&gt;&lt;div class="heading"&gt;&lt;p class="alignleft"&gt;Fabricate&lt;/p&gt;&lt;div style="clear: both;"&gt;&lt;/div&gt;&lt;/div&gt;&lt;div&gt;&lt;h5&gt;&lt;b&gt;School &lt;/b&gt;transmutation; &lt;b&gt;Level &lt;/b&gt;sorcerer/wizard 5, occultist 5, psychic 5&lt;/h5&gt;&lt;/div&gt;&lt;hr/&gt;&lt;div&gt;&lt;h5&gt;&lt;b&gt;CASTING&lt;/b&gt;&lt;/h5&gt;&lt;/div&gt;&lt;hr/&gt;&lt;div&gt;&lt;h5&gt;&lt;b&gt;Casting Time &lt;/b&gt;see text&lt;/h5&gt;&lt;h5&gt;&lt;b&gt;Components &lt;/b&gt;V, S, M (the original material, which costs the same amount as the raw materials required to craft the item to be created)&lt;/h5&gt;&lt;/div&gt;&lt;hr/&gt;&lt;div&gt;&lt;h5&gt;&lt;b&gt;EFFECT&lt;/b&gt;&lt;/h5&gt;&lt;/div&gt;&lt;hr/&gt;&lt;div&gt;&lt;h5&gt;&lt;b&gt;Range &lt;/b&gt;close (25 ft. + 5 ft./2 levels)&lt;/h5&gt;&lt;h5&gt;&lt;b&gt;Targets &lt;/b&gt;up to 10 cu. ft./level; see text&lt;/h5&gt;&lt;h5&gt;&lt;b&gt;Duration &lt;/b&gt;instantaneous&lt;/h5&gt;&lt;h5&gt;&lt;b&gt;Saving Throw &lt;/b&gt;none; &lt;b&gt;Spell Resistance &lt;/b&gt;no&lt;/h5&gt;&lt;/div&gt;&lt;hr/&gt;&lt;div&gt;&lt;h5&gt;&lt;b&gt;DESCRIPTION&lt;/b&gt;&lt;/h5&gt;&lt;/div&gt;&lt;hr/&gt;&lt;div&gt;&lt;h4&gt;&lt;p&gt;You convert material of one sort into a product that is of the same material. Creatures or magic items cannot be created or transmuted by the &lt;i&gt;fabricate&lt;/i&gt; spell. The quality of items made by this spell is commensurate with the quality of material used as the basis for the new fabrication. If you work with a mineral, the target is reduced to 1 cubic foot per level instead of 10 cubic feet. You must make an appropriate Craft check to &lt;i&gt;fabricate&lt;/i&gt; articles requiring a high degree of craftsmanship. Casting requires 1 round per 10 cubic feet of material to be affected by the spell.&lt;/p&gt;&lt;/h4&gt;&lt;/div&gt;</t>
  </si>
  <si>
    <t>Artifice (5)</t>
  </si>
  <si>
    <t> Transforms raw materials into finished items.</t>
  </si>
  <si>
    <t>Impossible (11)</t>
  </si>
  <si>
    <t>Faerie Fire</t>
  </si>
  <si>
    <t>druid 1, mesmerist 1</t>
  </si>
  <si>
    <t>creatures and objects within a 5-ft.-radius burst</t>
  </si>
  <si>
    <t>A pale glow surrounds and outlines the subjects. Outlined subjects shed light as candles. Creatures outlined by faerie fire take a -20 penalty on all Stealth checks. Outlined creatures do not benefit from the concealment normally provided by darkness (though a 2nd-level or higher magical darkness effect functions normally), blur, displacement, invisibility, or similar effects. The light is too dim to have any special effect on undead or dark-dwelling creatures vulnerable to light. The faerie fire can be blue, green, or violet, according to your choice at the time of casting. The faerie fire does not cause any harm to the objects or creatures thus outlined.</t>
  </si>
  <si>
    <t>&lt;p&gt;A pale glow surrounds and outlines the subjects. Outlined subjects shed light as candles. Creatures outlined by &lt;i&gt;faerie fire&lt;/i&gt; take a -20 penalty on all Stealth checks. Outlined creatures do not benefit from the concealment normally provided by &lt;i&gt;darkness&lt;/i&gt; (though a 2nd-level or higher magical &lt;i&gt;darkness&lt;/i&gt; effect functions normally), &lt;i&gt;blur&lt;/i&gt;, &lt;i&gt;displacement&lt;/i&gt;, &lt;i&gt;invisibility&lt;/i&gt;, or similar effects. The light is too dim to have any special effect on undead or dark-dwelling creatures vulnerable to light. The &lt;i&gt;faerie fire&lt;/i&gt; can be blue, green, or violet, according to your choice at the time of casting. The &lt;i&gt;faerie fire&lt;/i&gt; does not cause any harm to the objects or creatures thus outlined.&lt;/p&gt;</t>
  </si>
  <si>
    <t>&lt;link rel="stylesheet"href="PF.css"&gt;&lt;div class="heading"&gt;&lt;p class="alignleft"&gt;Faerie Fire&lt;/p&gt;&lt;div style="clear: both;"&gt;&lt;/div&gt;&lt;/div&gt;&lt;div&gt;&lt;h5&gt;&lt;b&gt;School &lt;/b&gt;evocation [light]; &lt;b&gt;Level &lt;/b&gt;druid 1, mesmerist 1&lt;/h5&gt;&lt;/div&gt;&lt;hr/&gt;&lt;div&gt;&lt;h5&gt;&lt;b&gt;CASTING&lt;/b&gt;&lt;/h5&gt;&lt;/div&gt;&lt;hr/&gt;&lt;div&gt;&lt;h5&gt;&lt;b&gt;Casting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&lt;/b&gt;creatures and objects within a 5-ft.-radius burst&lt;/h5&gt;&lt;h5&gt;&lt;b&gt;Duration &lt;/b&gt;1 min./level (D)&lt;/h5&gt;&lt;h5&gt;&lt;b&gt;Saving Throw &lt;/b&gt;none; &lt;b&gt;Spell Resistance &lt;/b&gt;yes&lt;/h5&gt;&lt;/div&gt;&lt;hr/&gt;&lt;div&gt;&lt;h5&gt;&lt;b&gt;DESCRIPTION&lt;/b&gt;&lt;/h5&gt;&lt;/div&gt;&lt;hr/&gt;&lt;div&gt;&lt;h4&gt;&lt;p&gt;A pale glow surrounds and outlines the subjects. Outlined subjects shed light as candles. Creatures outlined by &lt;i&gt;faerie fire&lt;/i&gt; take a -20 penalty on all Stealth checks. Outlined creatures do not benefit from the concealment normally provided by &lt;i&gt;darkness&lt;/i&gt; (though a 2nd-level or higher magical &lt;i&gt;darkness&lt;/i&gt; effect functions normally), &lt;i&gt;blur&lt;/i&gt;, &lt;i&gt;displacement&lt;/i&gt;, &lt;i&gt;invisibility&lt;/i&gt;, or similar effects. The light is too dim to have any special effect on undead or dark-dwelling creatures vulnerable to light. The &lt;i&gt;faerie fire&lt;/i&gt; can be blue, green, or violet, according to your choice at the time of casting. The &lt;i&gt;faerie fire&lt;/i&gt; does not cause any harm to the objects or creatures thus outlined.&lt;/p&gt;&lt;/h4&gt;&lt;h5&gt;&lt;b&gt;Mythic: &lt;/b&gt;Outlined creatures are dazzled. The spell outlines figment illusions in the burst, revealing them as such. This effect applies only to figments with a caster level equal to or less than your tier.&lt;/h5&gt;&lt;h5&gt;&lt;b&gt;Augmented (2nd)&lt;/b&gt;: If you expend two uses of mythic power, each creature in the burst must succeed at a Fortitude save or be blinded for 1 round.&lt;/h5&gt;&lt;/div&gt;</t>
  </si>
  <si>
    <t>Light (1), Moon (1)</t>
  </si>
  <si>
    <t> Outlines subjects with light, canceling blur, concealment, and the like.</t>
  </si>
  <si>
    <t>Stars (2)</t>
  </si>
  <si>
    <t>Outlined creatures are dazzled. The spell outlines figment illusions in the burst, revealing them as such. This effect applies only to figments with a caster level equal to or less than your tier.</t>
  </si>
  <si>
    <t>Augmented (2nd): If you expend two uses of mythic power, each creature in the burst must succeed at a Fortitude save or be blinded for 1 round.</t>
  </si>
  <si>
    <t>False Life</t>
  </si>
  <si>
    <t>sorcerer/wizard 2, alchemist 2, witch 2, bloodrager 2, shaman 2, occultist 2, psychic 2, mesmerist 2, spiritualist 2</t>
  </si>
  <si>
    <t>V, S, M (a drop of blood)</t>
  </si>
  <si>
    <t>1 hour/level or until discharged; see text</t>
  </si>
  <si>
    <t>You harness the power of unlife to grant yourself a limited ability to avoid death. While this spell is in effect, you gain temporary hit points equal to 1d10 + 1 per caster level (maximum +10).</t>
  </si>
  <si>
    <t>&lt;p&gt;You harness the power of unlife to grant yourself a limited ability to avoid death. While this spell is in effect, you gain temporary hit points equal to 1d10 + 1 per caster level (maximum +10).&lt;/p&gt;</t>
  </si>
  <si>
    <t>&lt;link rel="stylesheet"href="PF.css"&gt;&lt;div class="heading"&gt;&lt;p class="alignleft"&gt;False Life&lt;/p&gt;&lt;div style="clear: both;"&gt;&lt;/div&gt;&lt;/div&gt;&lt;div&gt;&lt;h5&gt;&lt;b&gt;School &lt;/b&gt;necromancy; &lt;b&gt;Level &lt;/b&gt;sorcerer/wizard 2, alchemist 2, witch 2, bloodrager 2, shaman 2, occultist 2, psychic 2, mesmerist 2, spiritualist 2&lt;/h5&gt;&lt;/div&gt;&lt;hr/&gt;&lt;div&gt;&lt;h5&gt;&lt;b&gt;CASTING&lt;/b&gt;&lt;/h5&gt;&lt;/div&gt;&lt;hr/&gt;&lt;div&gt;&lt;h5&gt;&lt;b&gt;Casting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hour/level or until discharged; see text&lt;/h5&gt;&lt;/div&gt;&lt;hr/&gt;&lt;div&gt;&lt;h5&gt;&lt;b&gt;DESCRIPTION&lt;/b&gt;&lt;/h5&gt;&lt;/div&gt;&lt;hr/&gt;&lt;div&gt;&lt;h4&gt;&lt;p&gt;You harness the power of unlife to grant yourself a limited ability to avoid death. While this spell is in effect, you gain temporary hit points equal to 1d10 + 1 per caster level (maximum +10).&lt;/p&gt;&lt;/h4&gt;&lt;/div&gt;</t>
  </si>
  <si>
    <t> Gain 1d10 temporary hp + 1/level (max +10).</t>
  </si>
  <si>
    <t>Undead (5)</t>
  </si>
  <si>
    <t>False Vision</t>
  </si>
  <si>
    <t>bard 5, sorcerer/wizard 5, occultist 5, psychic 5, mesmerist 5, spiritualist 5</t>
  </si>
  <si>
    <t>V, S, M (crushed jade worth 250 gp)</t>
  </si>
  <si>
    <t>40-ft.-radius emanation</t>
  </si>
  <si>
    <t>This spell creates a subtle illusion, causing any divination (scrying) spell used to view anything within the area of this spell to instead receive a false image (as the major image spell), as defined by you at the time of casting. As long as the duration lasts, you can concentrate to change the image as desired. While you aren't concentrating, the image remains static.</t>
  </si>
  <si>
    <t>&lt;p&gt;This spell creates a subtle illusion, causing any divination (scrying) spell used to view anything within the area of this spell to instead receive a false image (as the &lt;i&gt;major image&lt;/i&gt; spell), as defined by you at the time of casting. As long as the duration lasts, you can concentrate to change the image as desired. While you aren't concentrating, the image remains static.&lt;/p&gt;</t>
  </si>
  <si>
    <t>&lt;link rel="stylesheet"href="PF.css"&gt;&lt;div class="heading"&gt;&lt;p class="alignleft"&gt;False Vision&lt;/p&gt;&lt;div style="clear: both;"&gt;&lt;/div&gt;&lt;/div&gt;&lt;div&gt;&lt;h5&gt;&lt;b&gt;School &lt;/b&gt;illusion (glamer); &lt;b&gt;Level &lt;/b&gt;bard 5, sorcerer/wizard 5, occultist 5, psychic 5, mesmerist 5, spiritualist 5&lt;/h5&gt;&lt;/div&gt;&lt;hr/&gt;&lt;div&gt;&lt;h5&gt;&lt;b&gt;CASTING&lt;/b&gt;&lt;/h5&gt;&lt;/div&gt;&lt;hr/&gt;&lt;div&gt;&lt;h5&gt;&lt;b&gt;Casting Time &lt;/b&gt;1 standard action&lt;/h5&gt;&lt;h5&gt;&lt;b&gt;Components &lt;/b&gt;V, S, M (crushed jade worth 250 gp)&lt;/h5&gt;&lt;/div&gt;&lt;hr/&gt;&lt;div&gt;&lt;h5&gt;&lt;b&gt;EFFECT&lt;/b&gt;&lt;/h5&gt;&lt;/div&gt;&lt;hr/&gt;&lt;div&gt;&lt;h5&gt;&lt;b&gt;Range &lt;/b&gt;touch&lt;/h5&gt;&lt;h5&gt;&lt;b&gt;Area &lt;/b&gt;40-ft.-radius emanation&lt;/h5&gt;&lt;h5&gt;&lt;b&gt;Duration &lt;/b&gt;1 hour/level (D)&lt;/h5&gt;&lt;h5&gt;&lt;b&gt;Saving Throw &lt;/b&gt;none; &lt;b&gt;Spell Resistance &lt;/b&gt;no&lt;/h5&gt;&lt;/div&gt;&lt;hr/&gt;&lt;div&gt;&lt;h5&gt;&lt;b&gt;DESCRIPTION&lt;/b&gt;&lt;/h5&gt;&lt;/div&gt;&lt;hr/&gt;&lt;div&gt;&lt;h4&gt;&lt;p&gt;This spell creates a subtle illusion, causing any divination (scrying) spell used to view anything within the area of this spell to instead receive a false image (as the &lt;i&gt;major image&lt;/i&gt; spell), as defined by you at the time of casting. As long as the duration lasts, you can concentrate to change the image as desired. While you aren't concentrating, the image remains static.&lt;/p&gt;&lt;/h4&gt;&lt;/div&gt;</t>
  </si>
  <si>
    <t>Trickery (5)</t>
  </si>
  <si>
    <t>Fools scrying with an illusion.</t>
  </si>
  <si>
    <t>Feather Fall</t>
  </si>
  <si>
    <t>bard 1, sorcerer/wizard 1, summoner 1, magus 1, bloodrager 1, occultist 1, psychic 1, spiritualist 1</t>
  </si>
  <si>
    <t>1 immediate action</t>
  </si>
  <si>
    <t>one Medium or smaller freefalling object or creature/level, no two of which may be more than 20 ft. apart</t>
  </si>
  <si>
    <t>until landing or 1 round/level</t>
  </si>
  <si>
    <t>Will negates (harmless) or Will negates (object)</t>
  </si>
  <si>
    <t>The affected creatures or objects fall slowly. Feather fall instantly changes the rate at which the targets fall to a mere 60 feet per round (equivalent to the end of a fall from a few feet), and the subjects take no damage upon landing while the spell is in effect. When the spell duration expires, a normal rate of falling resumes.  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  This spell has no special effect on ranged weapons unless they are falling quite a distance. If the spell is cast on a falling item, the object does half normal damage based on its weight, with no bonus for the height of the drop.  Feather fall works only upon free-falling objects. It does not affect a sword blow or a charging or flying creature.</t>
  </si>
  <si>
    <t>&lt;p&gt;The affected creatures or objects fall slowly. &lt;i&gt;Feather fall&lt;/i&gt; instantly changes the rate at which the targets fall to a mere 60 feet per round (equivalent to the end of a fall from a few feet), and the subjects take no damage upon landing while the spell is in effect. When the spell duration expires, a normal rate of falling resumes.&lt;/p&gt;&lt;p&gt;The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forth.&lt;/p&gt;&lt;p&gt;This spell has no special effect on ranged weapons unless they are falling quite a distance. If the spell is cast on a falling item, the object does half normal damage based on its weight, with no bonus for the height of the drop.&lt;/p&gt;&lt;p&gt;&lt;i&gt;Feather fall&lt;/i&gt; works only upon free-falling objects. It does not affect a sword blow or a charging or flying creature.&lt;/p&gt;</t>
  </si>
  <si>
    <t>&lt;link rel="stylesheet"href="PF.css"&gt;&lt;div class="heading"&gt;&lt;p class="alignleft"&gt;Feather Fall&lt;/p&gt;&lt;div style="clear: both;"&gt;&lt;/div&gt;&lt;/div&gt;&lt;div&gt;&lt;h5&gt;&lt;b&gt;School &lt;/b&gt;transmutation; &lt;b&gt;Level &lt;/b&gt;bard 1, sorcerer/wizard 1, summoner 1, magus 1, bloodrager 1, occultist 1, psychic 1, spiritualist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Medium or smaller freefalling object or creature/level, no two of which may be more than 20 ft. apart&lt;/h5&gt;&lt;h5&gt;&lt;b&gt;Duration &lt;/b&gt;until landing or 1 round/level&lt;/h5&gt;&lt;h5&gt;&lt;b&gt;Saving Throw &lt;/b&gt;Will negates (harmless) or Will negates (object); &lt;b&gt;Spell Resistance &lt;/b&gt;yes (object)&lt;/h5&gt;&lt;/div&gt;&lt;hr/&gt;&lt;div&gt;&lt;h5&gt;&lt;b&gt;DESCRIPTION&lt;/b&gt;&lt;/h5&gt;&lt;/div&gt;&lt;hr/&gt;&lt;div&gt;&lt;h4&gt;&lt;p&gt;The affected creatures or objects fall slowly. &lt;i&gt;Feather fall&lt;/i&gt; instantly changes the rate at which the targets fall to a mere 60 feet per round (equivalent to the end of a fall from a few feet), and the subjects take no damage upon landing while the spell is in effect. When the spell duration expires, a normal rate of falling resumes.&lt;/p&gt;&lt;p&gt;The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forth.&lt;/p&gt;&lt;p&gt;This spell has no special effect on ranged weapons unless they are falling quite a distance. If the spell is cast on a falling item, the object does half normal damage based on its weight, with no bonus for the height of the drop.&lt;/p&gt;&lt;p&gt;&lt;i&gt;Feather fall&lt;/i&gt; works only upon free-falling objects. It does not affect a sword blow or a charging or flying creature.&lt;/p&gt;&lt;/h4&gt;&lt;h5&gt;&lt;b&gt;Mythic: &lt;/b&gt;The spell affects one additional target per level. The targets don't have to be within 20 feet of each other.&lt;/h5&gt;&lt;h5&gt;&lt;b&gt;Augmented (4th)&lt;/b&gt;: If you expend two uses of mythic power, the spell absorbs the targets' velocity and transforms it into a concussive blast. Targets fall at the normal rate (not slowed) but land safely. When a target lands, it creates a 10-foot-radius burst of force that deals 1d6 points of damage per caster level (maximum 5d6, Reflex half, DC equal to the DC of feather fall). The targets of this spell are unaffected by these concussive blasts.&lt;/h5&gt;&lt;/div&gt;</t>
  </si>
  <si>
    <t>Feather (2), Void (1)</t>
  </si>
  <si>
    <t>Objects or creatures fall slowly.</t>
  </si>
  <si>
    <t>The spell affects one additional target per level. The targets don't have to be within 20 feet of each other.</t>
  </si>
  <si>
    <t>Augmented (4th): If you expend two uses of mythic power, the spell absorbs the targets' velocity and transforms it into a concussive blast. Targets fall at the normal rate (not slowed) but land safely. When a target lands, it creates a 10-foot-radius burst of force that deals 1d6 points of damage per caster level (maximum 5d6, Reflex half, DC equal to the DC of feather fall). The targets of this spell are unaffected by these concussive blasts.</t>
  </si>
  <si>
    <t>Feeblemind</t>
  </si>
  <si>
    <t>sorcerer/wizard 5, witch 5, psychic 5, mesmerist 5, spiritualist 5</t>
  </si>
  <si>
    <t>V, S, M (a handful of clay, crystal, or glass spheres)</t>
  </si>
  <si>
    <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wish, miracle, or wish spell is used to cancel the of the feeblemind. A creature that can cast arcane spells, such as a sorcerer or a wizard, takes a -4 penalty on its saving throw.</t>
  </si>
  <si>
    <t>&lt;p&gt;Target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&lt;i&gt;wish&lt;/i&gt;, miracle, or &lt;i&gt;wish&lt;/i&gt; spell is used to cancel the of the &lt;i&gt;feeblemind.&lt;/i&gt; A creature that can cast arcane spells, such as a sorcerer or a wizard, takes a -4 penalty on its saving throw.&lt;/p&gt;</t>
  </si>
  <si>
    <t>&lt;link rel="stylesheet"href="PF.css"&gt;&lt;div class="heading"&gt;&lt;p class="alignleft"&gt;Feeblemind&lt;/p&gt;&lt;div style="clear: both;"&gt;&lt;/div&gt;&lt;/div&gt;&lt;div&gt;&lt;h5&gt;&lt;b&gt;School &lt;/b&gt;enchantment (compulsion) [mind-affecting]; &lt;b&gt;Level &lt;/b&gt;sorcerer/wizard 5, witch 5, psychic 5, mesmerist 5, spiritualist 5&lt;/h5&gt;&lt;/div&gt;&lt;hr/&gt;&lt;div&gt;&lt;h5&gt;&lt;b&gt;CASTING&lt;/b&gt;&lt;/h5&gt;&lt;/div&gt;&lt;hr/&gt;&lt;div&gt;&lt;h5&gt;&lt;b&gt;Casting Time &lt;/b&gt;1 standard action&lt;/h5&gt;&lt;h5&gt;&lt;b&gt;Components &lt;/b&gt;V, S, M (a handful of clay, crystal, or glass spheres)&lt;/h5&gt;&lt;/div&gt;&lt;hr/&gt;&lt;div&gt;&lt;h5&gt;&lt;b&gt;EFFECT&lt;/b&gt;&lt;/h5&gt;&lt;/div&gt;&lt;hr/&gt;&lt;div&gt;&lt;h5&gt;&lt;b&gt;Range &lt;/b&gt;medium (100 ft. + 10 ft./level)&lt;/h5&gt;&lt;h5&gt;&lt;b&gt;Targets &lt;/b&gt;one creature&lt;/h5&gt;&lt;h5&gt;&lt;b&gt;Duration &lt;/b&gt;instantaneous&lt;/h5&gt;&lt;h5&gt;&lt;b&gt;Saving Throw &lt;/b&gt;Will negates; see text; &lt;b&gt;Spell Resistance &lt;/b&gt;yes&lt;/h5&gt;&lt;/div&gt;&lt;hr/&gt;&lt;div&gt;&lt;h5&gt;&lt;b&gt;DESCRIPTION&lt;/b&gt;&lt;/h5&gt;&lt;/div&gt;&lt;hr/&gt;&lt;div&gt;&lt;h4&gt;&lt;p&gt;Target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&lt;i&gt;wish&lt;/i&gt;, miracle, or &lt;i&gt;wish&lt;/i&gt; spell is used to cancel the of the &lt;i&gt;feeblemind.&lt;/i&gt; A creature that can cast arcane spells, such as a sorcerer or a wizard, takes a -4 penalty on its saving throw.&lt;/p&gt;&lt;/h4&gt;&lt;/div&gt;</t>
  </si>
  <si>
    <t> Subject's Int and Cha drop to 1.</t>
  </si>
  <si>
    <t>Aberrant (11), Accursed (11)</t>
  </si>
  <si>
    <t>Find the Path</t>
  </si>
  <si>
    <t>bard 6, cleric/oracle 6, druid 6, witch 6, inquisitor 6, shaman 6, occultist 6, psychic 6, spiritualist 6</t>
  </si>
  <si>
    <t>3 rounds</t>
  </si>
  <si>
    <t>V, S, F (a set of divination counters)</t>
  </si>
  <si>
    <t>personal or touch</t>
  </si>
  <si>
    <t>you or creature touched</t>
  </si>
  <si>
    <t>none or Will negates (harmless)</t>
  </si>
  <si>
    <t>no or yes (harmless)</t>
  </si>
  <si>
    <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Find the path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Find the path can be used to remove the subject and its companions from the effect of a maze spell in a single round, specifying the destination as "outside the maze." This divination is keyed to the recipient, not its companions, and its effect does not predict or allow for the actions of creatures (including guardians) who might take action to oppose the caster as he follows the path revealed by this spell.</t>
  </si>
  <si>
    <t>&lt;p&gt;The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&lt;i&gt;Find the path&lt;/i&gt;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&lt;i&gt;Find the path&lt;/i&gt; can be used to remove the subject and its companions from the effect of a &lt;i&gt;maze&lt;/i&gt; spell in a single round, specifying the destination as "outside the &lt;i&gt;maze&lt;/i&gt;." This divination is keyed to the recipient, not its companions, and its effect does not predict or allow for the actions of creatures (including guardians) who might take action to oppose the caster as he follows the path revealed by this spell.&lt;/p&gt;</t>
  </si>
  <si>
    <t>&lt;link rel="stylesheet"href="PF.css"&gt;&lt;div class="heading"&gt;&lt;p class="alignleft"&gt;Find the Path&lt;/p&gt;&lt;div style="clear: both;"&gt;&lt;/div&gt;&lt;/div&gt;&lt;div&gt;&lt;h5&gt;&lt;b&gt;School &lt;/b&gt;divination; &lt;b&gt;Level &lt;/b&gt;bard 6, cleric/oracle 6, druid 6, witch 6, inquisitor 6, shaman 6, occultist 6, psychic 6, spiritualist 6&lt;/h5&gt;&lt;/div&gt;&lt;hr/&gt;&lt;div&gt;&lt;h5&gt;&lt;b&gt;CASTING&lt;/b&gt;&lt;/h5&gt;&lt;/div&gt;&lt;hr/&gt;&lt;div&gt;&lt;h5&gt;&lt;b&gt;Casting Time &lt;/b&gt;3 rounds&lt;/h5&gt;&lt;h5&gt;&lt;b&gt;Components &lt;/b&gt;V, S, F (a set of divination counters)&lt;/h5&gt;&lt;/div&gt;&lt;hr/&gt;&lt;div&gt;&lt;h5&gt;&lt;b&gt;EFFECT&lt;/b&gt;&lt;/h5&gt;&lt;/div&gt;&lt;hr/&gt;&lt;div&gt;&lt;h5&gt;&lt;b&gt;Range &lt;/b&gt;personal or touch&lt;/h5&gt;&lt;h5&gt;&lt;b&gt;Targets &lt;/b&gt;you or creature touched&lt;/h5&gt;&lt;h5&gt;&lt;b&gt;Duration &lt;/b&gt;10 min./level&lt;/h5&gt;&lt;h5&gt;&lt;b&gt;Saving Throw &lt;/b&gt;none or Will negates (harmless); &lt;b&gt;Spell Resistance &lt;/b&gt;no or yes (harmless)&lt;/h5&gt;&lt;/div&gt;&lt;hr/&gt;&lt;div&gt;&lt;h5&gt;&lt;b&gt;DESCRIPTION&lt;/b&gt;&lt;/h5&gt;&lt;/div&gt;&lt;hr/&gt;&lt;div&gt;&lt;h4&gt;&lt;p&gt;The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&lt;i&gt;Find the path&lt;/i&gt;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&lt;i&gt;Find the path&lt;/i&gt; can be used to remove the subject and its companions from the effect of a &lt;i&gt;maze&lt;/i&gt; spell in a single round, specifying the destination as "outside the &lt;i&gt;maze&lt;/i&gt;." This divination is keyed to the recipient, not its companions, and its effect does not predict or allow for the actions of creatures (including guardians) who might take action to oppose the caster as he follows the path revealed by this spell.&lt;/p&gt;&lt;/h4&gt;&lt;/div&gt;</t>
  </si>
  <si>
    <t>Knowledge (6), Travel (6)</t>
  </si>
  <si>
    <t>Shows most direct way to a location.</t>
  </si>
  <si>
    <t>Find Traps</t>
  </si>
  <si>
    <t>cleric/oracle 2, witch 2, inquisitor 2, occultist 2, psychic 2</t>
  </si>
  <si>
    <t>You gain intuitive insight into the workings of traps. You gain an insight bonus equal to 1/2 your caster level (maximum +10) on Perception checks made to find traps while the spell is in effect. You receive a check to notice traps within 10 feet of you, even if you are not actively searching for them. Note that find traps grants no ability to disable the traps that you may find.</t>
  </si>
  <si>
    <t>&lt;p&gt;You gain intuitive insight into the workings of traps. You gain an insight bonus equal to 1/2 your caster level (maximum +10) on Perception checks made to &lt;i&gt;find traps&lt;/i&gt; while the spell is in effect. You receive a check to notice traps within 10 feet of you, even if you are not actively searching for them. Note that &lt;i&gt;find traps&lt;/i&gt; grants no ability to disable the traps that you may find.&lt;/p&gt;</t>
  </si>
  <si>
    <t>&lt;link rel="stylesheet"href="PF.css"&gt;&lt;div class="heading"&gt;&lt;p class="alignleft"&gt;Find Traps&lt;/p&gt;&lt;div style="clear: both;"&gt;&lt;/div&gt;&lt;/div&gt;&lt;div&gt;&lt;h5&gt;&lt;b&gt;School &lt;/b&gt;divination; &lt;b&gt;Level &lt;/b&gt;cleric/oracle 2, witch 2, inquisitor 2, occultist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gain intuitive insight into the workings of traps. You gain an insight bonus equal to 1/2 your caster level (maximum +10) on Perception checks made to &lt;i&gt;find traps&lt;/i&gt; while the spell is in effect. You receive a check to notice traps within 10 feet of you, even if you are not actively searching for them. Note that &lt;i&gt;find traps&lt;/i&gt; grants no ability to disable the traps that you may find.&lt;/p&gt;&lt;/h4&gt;&lt;/div&gt;</t>
  </si>
  <si>
    <t> Notice traps as a rogue does.</t>
  </si>
  <si>
    <t>Finger Of Death</t>
  </si>
  <si>
    <t>druid 8, sorcerer/wizard 7, psychic 7</t>
  </si>
  <si>
    <t>This spell instantly delivers 10 points of damage per caster level. If the target's Fortitude saving throw succeeds, it instead takes 3d6 points of damage + 1 point per caster level. The subject might die from damage even if it succeeds on its saving throw.</t>
  </si>
  <si>
    <t>&lt;p&gt;This spell instantly delivers 10 points of damage per caster level. If the target's Fortitude saving throw succeeds, it instead takes 3d6 points of damage + 1 point per caster level. The subject might die from damage even if it succeeds on its saving throw.&lt;/p&gt;</t>
  </si>
  <si>
    <t>&lt;link rel="stylesheet"href="PF.css"&gt;&lt;div class="heading"&gt;&lt;p class="alignleft"&gt;Finger Of Death&lt;/p&gt;&lt;div style="clear: both;"&gt;&lt;/div&gt;&lt;/div&gt;&lt;div&gt;&lt;h5&gt;&lt;b&gt;School &lt;/b&gt;necromancy [death]; &lt;b&gt;Level &lt;/b&gt;druid 8, sorcerer/wizard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&lt;/b&gt;Fortitude partial; &lt;b&gt;Spell Resistance &lt;/b&gt;yes&lt;/h5&gt;&lt;/div&gt;&lt;hr/&gt;&lt;div&gt;&lt;h5&gt;&lt;b&gt;DESCRIPTION&lt;/b&gt;&lt;/h5&gt;&lt;/div&gt;&lt;hr/&gt;&lt;div&gt;&lt;h4&gt;&lt;p&gt;This spell instantly delivers 10 points of damage per caster level. If the target's Fortitude saving throw succeeds, it instead takes 3d6 points of damage + 1 point per caster level. The subject might die from damage even if it succeeds on its saving throw.&lt;/p&gt;&lt;/h4&gt;&lt;h5&gt;&lt;b&gt;Mythic: &lt;/b&gt;The damage dealt increases to 15 points of damage per caster level plus 1d8 points of Constitution damage. A creature that succeeds at its saving throw takes 3d8 points of damage + 1 point per caster level, takes 1d4 points of Constitution damage, and is staggered for 1 round.&lt;/h5&gt;&lt;/div&gt;</t>
  </si>
  <si>
    <t>Deals 10 damage/level to one subject.</t>
  </si>
  <si>
    <t>Undead (15)</t>
  </si>
  <si>
    <t>Death (14)</t>
  </si>
  <si>
    <t>The damage dealt increases to 15 points of damage per caster level plus 1d8 points of Constitution damage. A creature that succeeds at its saving throw takes 3d8 points of damage + 1 point per caster level, takes 1d4 points of Constitution damage, and is staggered for 1 round.</t>
  </si>
  <si>
    <t>Fire Shield</t>
  </si>
  <si>
    <t>fire or cold</t>
  </si>
  <si>
    <t>sorcerer/wizard 4, alchemist 4, summoner 3, magus 4, bloodrager 4, occultist 4</t>
  </si>
  <si>
    <t>V, S, M (phosphorus for the warm shield; a firefly or glowworm for the chill shield)</t>
  </si>
  <si>
    <t>This spell wreathes you in flame and causes damage to each creature that attacks you in melee. The flames also protect you from either cold-based or fire-based attacks, depending on if you choose cool or warm flames for your fire shield.  Any creature striking you with its body or a handheld weapon deals normal damage, but at the same time the attacker takes 1d6 points of damage + 1 point per caster level (maximum +15).  This damage is either cold damage (if you choose a chill shield) or fire damage (if you choose a warm shield). If the attacker has spell resistance, it applies to this effect. Creatures wielding melee weapons with reach are not subject to this damage if they attack you.  When casting this spell, you appear to immolate yourself, but the flames are thin and wispy, increasing the light level within 10 feet by one step, up to normal light. The color of the flames is blue or green if the chill shield is cast, violet or red if the warm shield is employed. The special powers of each version are as follows.  Chill Shield: The flames are cool to the touch. You take only half damage from fire-based attacks. If such an attack allows a Reflex save for half damage, you take no damage on a successful saving throw.  Warm Shield: The flames are warm to the touch. You take only half damage from cold-based attacks. If such an attack allows a Reflex save for half damage, you take no damage on a successful saving throw.</t>
  </si>
  <si>
    <t>&lt;p&gt;This spell wreathes you in flame and causes damage to each creature that attacks you in melee. The flames also protect you from either cold-based or fire-based attacks, depending on if you choose cool or &lt;i&gt;warm&lt;/i&gt; flames for your &lt;i&gt;fire shield&lt;/i&gt;.&lt;/p&gt;&lt;p&gt;Any creature striking you with its body or a handheld weapon deals normal damage, but at the same time the attacker takes 1d6 points of damage + 1 point per caster level (maximum +15).&lt;/p&gt;&lt;p&gt;This damage is either cold damage (if you choose a &lt;i&gt;&lt;i&gt;chill&lt;/i&gt; shield)&lt;/i&gt; or fire damage (if you choose a &lt;i&gt;&lt;i&gt;warm&lt;/i&gt; shield&lt;/i&gt;). If the attacker has spell resistance, it applies to this effect. Creatures wielding melee weapons with reach are not subject to this damage if they attack you.&lt;/p&gt;&lt;p&gt;When casting this spell, you appear to immolate yourself, but the flames are thin and wispy, increasing the light level within 10 feet by one step, up to normal light. The color of the flames is blue or green if the &lt;i&gt;chill&lt;/i&gt; shield is cast, violet or red if the &lt;i&gt;&lt;i&gt;warm&lt;/i&gt; shield&lt;/i&gt; is employed. The special powers of each version are as follows.&lt;/p&gt;&lt;p&gt;&lt;i&gt;Chill Shield&lt;/i&gt;: The flames are cool to the touch. You take only half damage from fire-based attacks. If such an attack allows a Reflex save for half damage, you take no damage on a successful saving throw.&lt;/p&gt;&lt;p&gt;&lt;i&gt;Warm Shield&lt;/i&gt;: The flames are &lt;i&gt;warm&lt;/i&gt; to the touch. You take only half damage from cold-based attacks. If such an attack allows a Reflex save for half damage, you take no damage on a successful saving throw.&lt;/p&gt;</t>
  </si>
  <si>
    <t>&lt;link rel="stylesheet"href="PF.css"&gt;&lt;div class="heading"&gt;&lt;p class="alignleft"&gt;Fire Shield&lt;/p&gt;&lt;div style="clear: both;"&gt;&lt;/div&gt;&lt;/div&gt;&lt;div&gt;&lt;h5&gt;&lt;b&gt;School &lt;/b&gt;evocation [fire or cold]; &lt;b&gt;Level &lt;/b&gt;sorcerer/wizard 4, alchemist 4, summoner 3, magus 4, bloodrager 4, occultist 4&lt;/h5&gt;&lt;/div&gt;&lt;hr/&gt;&lt;div&gt;&lt;h5&gt;&lt;b&gt;CASTING&lt;/b&gt;&lt;/h5&gt;&lt;/div&gt;&lt;hr/&gt;&lt;div&gt;&lt;h5&gt;&lt;b&gt;Casting Time &lt;/b&gt;1 standard action&lt;/h5&gt;&lt;h5&gt;&lt;b&gt;Components &lt;/b&gt;V, S, M (phosphorus for the warm shield; a firefly or glowworm for the chill shield)&lt;/h5&gt;&lt;/div&gt;&lt;hr/&gt;&lt;div&gt;&lt;h5&gt;&lt;b&gt;EFFECT&lt;/b&gt;&lt;/h5&gt;&lt;/div&gt;&lt;hr/&gt;&lt;div&gt;&lt;h5&gt;&lt;b&gt;Range &lt;/b&gt;personal&lt;/h5&gt;&lt;h5&gt;&lt;b&gt;Targets &lt;/b&gt;you&lt;/h5&gt;&lt;h5&gt;&lt;b&gt;Duration &lt;/b&gt;1 round/level (D)&lt;/h5&gt;&lt;/div&gt;&lt;hr/&gt;&lt;div&gt;&lt;h5&gt;&lt;b&gt;DESCRIPTION&lt;/b&gt;&lt;/h5&gt;&lt;/div&gt;&lt;hr/&gt;&lt;div&gt;&lt;h4&gt;&lt;p&gt;This spell wreathes you in flame and causes damage to each creature that attacks you in melee. The flames also protect you from either cold-based or fire-based attacks, depending on if you choose cool or &lt;i&gt;warm&lt;/i&gt; flames for your &lt;i&gt;fire shield&lt;/i&gt;.&lt;/p&gt;&lt;p&gt;Any creature striking you with its body or a handheld weapon deals normal damage, but at the same time the attacker takes 1d6 points of damage + 1 point per caster level (maximum +15).&lt;/p&gt;&lt;p&gt;This damage is either cold damage (if you choose a &lt;i&gt;&lt;i&gt;chill&lt;/i&gt; shield)&lt;/i&gt; or fire damage (if you choose a &lt;i&gt;&lt;i&gt;warm&lt;/i&gt; shield&lt;/i&gt;). If the attacker has spell resistance, it applies to this effect. Creatures wielding melee weapons with reach are not subject to this damage if they attack you.&lt;/p&gt;&lt;p&gt;When casting this spell, you appear to immolate yourself, but the flames are thin and wispy, increasing the light level within 10 feet by one step, up to normal light. The color of the flames is blue or green if the &lt;i&gt;chill&lt;/i&gt; shield is cast, violet or red if the &lt;i&gt;&lt;i&gt;warm&lt;/i&gt; shield&lt;/i&gt; is employed. The special powers of each version are as follows.&lt;/p&gt;&lt;p&gt;&lt;i&gt;Chill Shield&lt;/i&gt;: The flames are cool to the touch. You take only half damage from fire-based attacks. If such an attack allows a Reflex save for half damage, you take no damage on a successful saving throw.&lt;/p&gt;&lt;p&gt;&lt;i&gt;Warm Shield&lt;/i&gt;: The flames are &lt;i&gt;warm&lt;/i&gt; to the touch. You take only half damage from cold-based attacks. If such an attack allows a Reflex save for half damage, you take no damage on a successful saving throw.&lt;/p&gt;&lt;/h4&gt;&lt;h5&gt;&lt;b&gt;Mythic: &lt;/b&gt;The damage dealt to your attackers increases to 1d8 points of damage + 1 point per caster level (maximum +15). A chill shield gives you fire immunity. A warm shield gives you cold immunity.&lt;/h5&gt;&lt;/div&gt;</t>
  </si>
  <si>
    <t>Fire (5), Sun (4)</t>
  </si>
  <si>
    <t> Creatures attacking you take fire damage; you're protected from heat or cold.</t>
  </si>
  <si>
    <t>The damage dealt to your attackers increases to 1d8 points of damage + 1 point per caster level (maximum +15). A chill shield gives you fire immunity. A warm shield gives you cold immunity.</t>
  </si>
  <si>
    <t>Fire Seeds</t>
  </si>
  <si>
    <t>druid 6, shaman 6</t>
  </si>
  <si>
    <t>V, S, M (acorns or holly berries)</t>
  </si>
  <si>
    <t>up to four acorns or up to eight holly berries</t>
  </si>
  <si>
    <t>10 min./level or until used</t>
  </si>
  <si>
    <t>none or Reflex half; see text</t>
  </si>
  <si>
    <t>Depending on the version of fire seeds you choose, you turn acorns into splash weapons that you or another character can throw, or you turn holly berries into bombs that you can detonate on command.  Acorn Grenades: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  Each acorn grenade explodes upon striking any hard surface.  In addition to its regular fire damage, all creatures adjacent to the explosion take 1 point of fire damage per die of the explosion.  This explosion of fire ignites any combustible materials adjacent to the target.  Holly Berry Bombs: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t>
  </si>
  <si>
    <t>&lt;p&gt;Depending on the version of &lt;i&gt;fire seeds&lt;/i&gt; you choose, you turn acorns into splash weapons that you or another character can throw, or you turn holly berries into bombs that you can detonate on command.&lt;/p&gt;&lt;p&gt;&lt;i&gt;Acorn Grenades&lt;/i&gt;: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damage.&lt;/p&gt;&lt;p&gt;Each acorn grenade explodes upon striking any hard surface.&lt;/p&gt;&lt;p&gt;In addition to its regular fire damage, all creatures adjacent to the explosion take 1 point of fire damage per die of the explosion.&lt;/p&gt;&lt;p&gt;This explosion of fire ignites any combustible materials adjacent to the target.&lt;/p&gt;&lt;p&gt;&lt;i&gt;Holly Berry Bombs&lt;/i&gt;: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damage.&lt;/p&gt;</t>
  </si>
  <si>
    <t>&lt;link rel="stylesheet"href="PF.css"&gt;&lt;div class="heading"&gt;&lt;p class="alignleft"&gt;Fire Seeds&lt;/p&gt;&lt;div style="clear: both;"&gt;&lt;/div&gt;&lt;/div&gt;&lt;div&gt;&lt;h5&gt;&lt;b&gt;School &lt;/b&gt;conjuration (creation) [fire]; &lt;b&gt;Level &lt;/b&gt;druid 6, shaman 6&lt;/h5&gt;&lt;/div&gt;&lt;hr/&gt;&lt;div&gt;&lt;h5&gt;&lt;b&gt;CASTING&lt;/b&gt;&lt;/h5&gt;&lt;/div&gt;&lt;hr/&gt;&lt;div&gt;&lt;h5&gt;&lt;b&gt;Casting Time &lt;/b&gt;1 standard action&lt;/h5&gt;&lt;h5&gt;&lt;b&gt;Components &lt;/b&gt;V, S, M (acorns or holly berries)&lt;/h5&gt;&lt;/div&gt;&lt;hr/&gt;&lt;div&gt;&lt;h5&gt;&lt;b&gt;EFFECT&lt;/b&gt;&lt;/h5&gt;&lt;/div&gt;&lt;hr/&gt;&lt;div&gt;&lt;h5&gt;&lt;b&gt;Range &lt;/b&gt;touch&lt;/h5&gt;&lt;h5&gt;&lt;b&gt;Targets &lt;/b&gt;up to four acorns or up to eight holly berries&lt;/h5&gt;&lt;h5&gt;&lt;b&gt;Duration &lt;/b&gt;10 min./level or until used&lt;/h5&gt;&lt;h5&gt;&lt;b&gt;Saving Throw &lt;/b&gt;none or Reflex half; see text; &lt;b&gt;Spell Resistance &lt;/b&gt;no&lt;/h5&gt;&lt;/div&gt;&lt;hr/&gt;&lt;div&gt;&lt;h5&gt;&lt;b&gt;DESCRIPTION&lt;/b&gt;&lt;/h5&gt;&lt;/div&gt;&lt;hr/&gt;&lt;div&gt;&lt;h4&gt;&lt;p&gt;Depending on the version of &lt;i&gt;fire seeds&lt;/i&gt; you choose, you turn acorns into splash weapons that you or another character can throw, or you turn holly berries into bombs that you can detonate on command.&lt;/p&gt;&lt;p&gt;&lt;i&gt;Acorn Grenades&lt;/i&gt;: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damage.&lt;/p&gt;&lt;p&gt;Each acorn grenade explodes upon striking any hard surface.&lt;/p&gt;&lt;p&gt;In addition to its regular fire damage, all creatures adjacent to the explosion take 1 point of fire damage per die of the explosion.&lt;/p&gt;&lt;p&gt;This explosion of fire ignites any combustible materials adjacent to the target.&lt;/p&gt;&lt;p&gt;&lt;i&gt;Holly Berry Bombs&lt;/i&gt;: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damage.&lt;/p&gt;&lt;/h4&gt;&lt;h5&gt;&lt;b&gt;Mythic: &lt;/b&gt;Each acorn's damage increases to 1d6 points of fire damage per caster level (maximum 20d6 for all acorns, no more than 10d6 for any particular acorn). Each holly berry's damage increases to 2d6 points of fire damage + 2 points per caster level. Any creature that fails its Reflex save against an acorn or holly berry catches on fire (Core Rulebook 444), taking 2d6 points of fire damage each round until the fire is extinguished. Attempts to extinguish this fire use the spell's save DC.&lt;/h5&gt;&lt;/div&gt;</t>
  </si>
  <si>
    <t>Fire (6), Sun (6)</t>
  </si>
  <si>
    <t> Acorns and berries become grenades and bombs.</t>
  </si>
  <si>
    <t>Each acorn's damage increases to 1d6 points of fire damage per caster level (maximum 20d6 for all acorns, no more than 10d6 for any particular acorn). Each holly berry's damage increases to 2d6 points of fire damage + 2 points per caster level. Any creature that fails its Reflex save against an acorn or holly berry catches on fire (Core Rulebook 444), taking 2d6 points of fire damage each round until the fire is extinguished. Attempts to extinguish this fire use the spell's save DC.</t>
  </si>
  <si>
    <t>Fire Storm</t>
  </si>
  <si>
    <t>cleric/oracle 8, druid 7, shaman 8</t>
  </si>
  <si>
    <t>two 10-ft. cubes per level (S)</t>
  </si>
  <si>
    <t>When a fire storm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t>
  </si>
  <si>
    <t>&lt;p&gt;When a &lt;i&gt;fire storm&lt;/i&gt;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save.&lt;/p&gt;</t>
  </si>
  <si>
    <t>&lt;link rel="stylesheet"href="PF.css"&gt;&lt;div class="heading"&gt;&lt;p class="alignleft"&gt;Fire Storm&lt;/p&gt;&lt;div style="clear: both;"&gt;&lt;/div&gt;&lt;/div&gt;&lt;div&gt;&lt;h5&gt;&lt;b&gt;School &lt;/b&gt;evocation [fire]; &lt;b&gt;Level &lt;/b&gt;cleric/oracle 8, druid 7, shaman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&lt;/b&gt;two 10-ft. cubes per level (S)&lt;/h5&gt;&lt;h5&gt;&lt;b&gt;Duration &lt;/b&gt;instantaneous&lt;/h5&gt;&lt;h5&gt;&lt;b&gt;Saving Throw &lt;/b&gt;Reflex half; &lt;b&gt;Spell Resistance &lt;/b&gt;yes&lt;/h5&gt;&lt;/div&gt;&lt;hr/&gt;&lt;div&gt;&lt;h5&gt;&lt;b&gt;DESCRIPTION&lt;/b&gt;&lt;/h5&gt;&lt;/div&gt;&lt;hr/&gt;&lt;div&gt;&lt;h4&gt;&lt;p&gt;When a &lt;i&gt;fire storm&lt;/i&gt;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save.&lt;/p&gt;&lt;/h4&gt;&lt;h5&gt;&lt;b&gt;Mythic: &lt;/b&gt;The damage dealt increases to 1d8 points of damage per caster level (maximum 20d8). Half of this damage is fire damage, and the other half is divine energy that bypasses fire resistance and fire immunity. You can exclude any number of animals from damage just as you can plant creatures.&lt;/h5&gt;&lt;h5&gt;&lt;b&gt;Augmented (8th)&lt;/b&gt;: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area.&lt;/h5&gt;&lt;/div&gt;</t>
  </si>
  <si>
    <t>Deals 1d6/level fire damage.</t>
  </si>
  <si>
    <t>Elements (16)</t>
  </si>
  <si>
    <t>The damage dealt increases to 1d8 points of damage per caster level (maximum 20d8). Half of this damage is fire damage, and the other half is divine energy that bypasses fire resistance and fire immunity. You can exclude any number of animals from damage just as you can plant creatures.</t>
  </si>
  <si>
    <t>Augmented (8th):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t>
  </si>
  <si>
    <t>Fire Trap</t>
  </si>
  <si>
    <t>druid 2, sorcerer/wizard 4, occultist 4</t>
  </si>
  <si>
    <t>permanent until discharged (D)</t>
  </si>
  <si>
    <t>Reflex half; see text</t>
  </si>
  <si>
    <t>Fire trap creates a fiery explosion when an intruder opens the item that the trap protects. A fire trap spell can ward any object that can be opened and closed.  When casting fire trap,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  A fire-trapped item cannot have a second closure or warding spell placed on it. A knock spell does not bypass a fire trap. An unsuccessful dispel magic spell does not detonate the spell.  Underwater, this ward deals half damage and creates a large cloud of steam.  You can use the fire-trapped object without discharging it, as can any individual to whom the object was specifically attuned when cast. Attuning a fire-trapped object to an individual usually involves setting a password that you can share with friends.  Magic traps such as fire trap are hard to detect and disable. A character with trapfinding can use the Perception skill to find a fire trap and Disable Device to thwart it. The DC in each case is 25 + spell level (DC 27 for a druid's fire trap or DC 29 for the arcane version).</t>
  </si>
  <si>
    <t>&lt;p&gt;&lt;i&gt;Fire trap&lt;/i&gt; creates a fiery explosion when an intruder opens the item that the trap protects. A &lt;i&gt;fire trap&lt;/i&gt; spell can ward any object that can be opened and closed.&lt;/p&gt;&lt;p&gt;When casting &lt;i&gt;fire trap&lt;/i&gt;,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explosion.&lt;/p&gt;&lt;p&gt;A fire-trapped item cannot have a second closure or warding spell placed on it. A &lt;i&gt;knock&lt;/i&gt; spell does not bypass a &lt;i&gt;fire trap&lt;/i&gt;. An unsuccessful &lt;i&gt;dispel magic&lt;/i&gt; spell does not detonate the spell.&lt;/p&gt;&lt;p&gt;Underwater, this ward deals half damage and creates a large cloud of steam.&lt;/p&gt;&lt;p&gt;You can use the fire-trapped object without discharging it, as can any individual to whom the object was specifically attuned when cast. Attuning a fire-trapped object to an individual usually involves setting a password that you can share with friends.&lt;/p&gt;&lt;p&gt;Magic traps such as &lt;i&gt;fire trap&lt;/i&gt; are hard to detect and disable. A character with trapfinding can use the Perception skill to find a &lt;i&gt;fire trap&lt;/i&gt; and Disable Device to thwart it. The DC in each case is 25 + spell level (DC 27 for a druid's &lt;i&gt;fire trap&lt;/i&gt; or DC 29 for the arcane version).&lt;/p&gt;</t>
  </si>
  <si>
    <t>&lt;link rel="stylesheet"href="PF.css"&gt;&lt;div class="heading"&gt;&lt;p class="alignleft"&gt;Fire Trap&lt;/p&gt;&lt;div style="clear: both;"&gt;&lt;/div&gt;&lt;/div&gt;&lt;div&gt;&lt;h5&gt;&lt;b&gt;School &lt;/b&gt;abjuration [fire]; &lt;b&gt;Level &lt;/b&gt;druid 2, sorcerer/wizard 4, occultist 4&lt;/h5&gt;&lt;/div&gt;&lt;hr/&gt;&lt;div&gt;&lt;h5&gt;&lt;b&gt;CASTING&lt;/b&gt;&lt;/h5&gt;&lt;/div&gt;&lt;hr/&gt;&lt;div&gt;&lt;h5&gt;&lt;b&gt;Casting Time &lt;/b&gt;10 minutes&lt;/h5&gt;&lt;h5&gt;&lt;b&gt;Components &lt;/b&gt;V, S, M (gold dust worth 25 gp)&lt;/h5&gt;&lt;/div&gt;&lt;hr/&gt;&lt;div&gt;&lt;h5&gt;&lt;b&gt;EFFECT&lt;/b&gt;&lt;/h5&gt;&lt;/div&gt;&lt;hr/&gt;&lt;div&gt;&lt;h5&gt;&lt;b&gt;Range &lt;/b&gt;touch&lt;/h5&gt;&lt;h5&gt;&lt;b&gt;Targets &lt;/b&gt;object touched&lt;/h5&gt;&lt;h5&gt;&lt;b&gt;Duration &lt;/b&gt;permanent until discharged (D)&lt;/h5&gt;&lt;h5&gt;&lt;b&gt;Saving Throw &lt;/b&gt;Reflex half; see text; &lt;b&gt;Spell Resistance &lt;/b&gt;yes&lt;/h5&gt;&lt;/div&gt;&lt;hr/&gt;&lt;div&gt;&lt;h5&gt;&lt;b&gt;DESCRIPTION&lt;/b&gt;&lt;/h5&gt;&lt;/div&gt;&lt;hr/&gt;&lt;div&gt;&lt;h4&gt;&lt;p&gt;&lt;i&gt;Fire trap&lt;/i&gt; creates a fiery explosion when an intruder opens the item that the trap protects. A &lt;i&gt;fire trap&lt;/i&gt; spell can ward any object that can be opened and closed.&lt;/p&gt;&lt;p&gt;When casting &lt;i&gt;fire trap&lt;/i&gt;,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explosion.&lt;/p&gt;&lt;p&gt;A fire-trapped item cannot have a second closure or warding spell placed on it. A &lt;i&gt;knock&lt;/i&gt; spell does not bypass a &lt;i&gt;fire trap&lt;/i&gt;. An unsuccessful &lt;i&gt;dispel magic&lt;/i&gt; spell does not detonate the spell.&lt;/p&gt;&lt;p&gt;Underwater, this ward deals half damage and creates a large cloud of steam.&lt;/p&gt;&lt;p&gt;You can use the fire-trapped object without discharging it, as can any individual to whom the object was specifically attuned when cast. Attuning a fire-trapped object to an individual usually involves setting a password that you can share with friends.&lt;/p&gt;&lt;p&gt;Magic traps such as &lt;i&gt;fire trap&lt;/i&gt; are hard to detect and disable. A character with trapfinding can use the Perception skill to find a &lt;i&gt;fire trap&lt;/i&gt; and Disable Device to thwart it. The DC in each case is 25 + spell level (DC 27 for a druid's &lt;i&gt;fire trap&lt;/i&gt; or DC 29 for the arcane version).&lt;/p&gt;&lt;/h4&gt;&lt;/div&gt;</t>
  </si>
  <si>
    <t>Opened object deals 1d4 + 1/level damage.</t>
  </si>
  <si>
    <t>Fireball</t>
  </si>
  <si>
    <t>sorcerer/wizard 3, magus 3, bloodrager 3, occultist 3</t>
  </si>
  <si>
    <t>A fireball spell generates a searing explosion of flame that detonates with a low roar and deals 1d6 points of fire damage per caster level (maximum 10d6) to every creature within the area.  Unattended objects also take this damage. The explosion creates almost no pressure.  You point your finger and determine the range (distance and height) at which the fireball is to burst. A glowing, pea-sized bead streaks from the pointing digit and, unless it impacts upon a material body or solid barrier prior to attaining the prescribed range, blossoms into the fireball at that point. An early impact results in an early detonation. If you attempt to send the bead through a narrow passage, such as through an arrow slit, you must "hit" the opening with a ranged touch attack, or else the bead strikes the barrier and detonates prematurely.  The fireball sets fire to combustibles and damages objects in the area. It can melt metals with low melting points, such as lead, gold, copper, silver, and bronze. If the damage caused to an interposing barrier shatters or breaks through it, the fireball may continue beyond the barrier if the area permits; otherwise it stops at the barrier just as any other spell effect does.</t>
  </si>
  <si>
    <t>&lt;p&gt;A &lt;i&gt;fireball&lt;/i&gt; spell generates a searing explosion of flame that detonates with a low roar and deals 1d6 points of fire damage per caster level (maximum 10d6) to every creature within the area.&lt;/p&gt;&lt;p&gt;Unattended objects also take this damage. The explosion creates almost no pressure.&lt;/p&gt;&lt;p&gt;You point your finger and determine the range (distance and height) at which the &lt;i&gt;fireball&lt;/i&gt; is to burst. A glowing, pea-sized bead streaks from the pointing digit and, unless it impacts upon a material body or solid barrier prior to attaining the prescribed range, blossoms into the &lt;i&gt;fireball&lt;/i&gt; at that point. An early impact results in an early detonation. If you attempt to send the bead through a narrow passage, such as through an arrow slit, you must "hit" the opening with a ranged touch attack, or else the bead strikes the barrier and detonates prematurely.&lt;/p&gt;&lt;p&gt;The &lt;i&gt;fireball&lt;/i&gt; sets fire to combustibles and damages objects in the area. It can melt metals with low melting points, such as lead, gold, copper, silver, and bronze. If the damage caused to an interposing barrier shatters or breaks through it, the &lt;i&gt;fireball&lt;/i&gt; may continue beyond the barrier if the area permits; otherwise it stops at the barrier just as any other spell effect does.&lt;/p&gt;</t>
  </si>
  <si>
    <t>&lt;link rel="stylesheet"href="PF.css"&gt;&lt;div class="heading"&gt;&lt;p class="alignleft"&gt;Fireball&lt;/p&gt;&lt;div style="clear: both;"&gt;&lt;/div&gt;&lt;/div&gt;&lt;div&gt;&lt;h5&gt;&lt;b&gt;School &lt;/b&gt;evocation [fire]; &lt;b&gt;Level &lt;/b&gt;sorcerer/wizard 3, magus 3, bloodrager 3, occultist 3&lt;/h5&gt;&lt;/div&gt;&lt;hr/&gt;&lt;div&gt;&lt;h5&gt;&lt;b&gt;CASTING&lt;/b&gt;&lt;/h5&gt;&lt;/div&gt;&lt;hr/&gt;&lt;div&gt;&lt;h5&gt;&lt;b&gt;Casting Time &lt;/b&gt;1 standard action&lt;/h5&gt;&lt;h5&gt;&lt;b&gt;Components &lt;/b&gt;V, S, M (a ball of bat guano and sulfur)&lt;/h5&gt;&lt;/div&gt;&lt;hr/&gt;&lt;div&gt;&lt;h5&gt;&lt;b&gt;EFFECT&lt;/b&gt;&lt;/h5&gt;&lt;/div&gt;&lt;hr/&gt;&lt;div&gt;&lt;h5&gt;&lt;b&gt;Range &lt;/b&gt;long (400 ft. + 40 ft./level)&lt;/h5&gt;&lt;h5&gt;&lt;b&gt;Area &lt;/b&gt;20-ft.-radius spread&lt;/h5&gt;&lt;h5&gt;&lt;b&gt;Duration &lt;/b&gt;instantaneous&lt;/h5&gt;&lt;h5&gt;&lt;b&gt;Saving Throw &lt;/b&gt;Reflex half; &lt;b&gt;Spell Resistance &lt;/b&gt;yes&lt;/h5&gt;&lt;/div&gt;&lt;hr/&gt;&lt;div&gt;&lt;h5&gt;&lt;b&gt;DESCRIPTION&lt;/b&gt;&lt;/h5&gt;&lt;/div&gt;&lt;hr/&gt;&lt;div&gt;&lt;h4&gt;&lt;p&gt;A &lt;i&gt;fireball&lt;/i&gt; spell generates a searing explosion of flame that detonates with a low roar and deals 1d6 points of fire damage per caster level (maximum 10d6) to every creature within the area.&lt;/p&gt;&lt;p&gt;Unattended objects also take this damage. The explosion creates almost no pressure.&lt;/p&gt;&lt;p&gt;You point your finger and determine the range (distance and height) at which the &lt;i&gt;fireball&lt;/i&gt; is to burst. A glowing, pea-sized bead streaks from the pointing digit and, unless it impacts upon a material body or solid barrier prior to attaining the prescribed range, blossoms into the &lt;i&gt;fireball&lt;/i&gt; at that point. An early impact results in an early detonation. If you attempt to send the bead through a narrow passage, such as through an arrow slit, you must "hit" the opening with a ranged touch attack, or else the bead strikes the barrier and detonates prematurely.&lt;/p&gt;&lt;p&gt;The &lt;i&gt;fireball&lt;/i&gt; sets fire to combustibles and damages objects in the area. It can melt metals with low melting points, such as lead, gold, copper, silver, and bronze. If the damage caused to an interposing barrier shatters or breaks through it, the &lt;i&gt;fireball&lt;/i&gt; may continue beyond the barrier if the area permits; otherwise it stops at the barrier just as any other spell effect does.&lt;/p&gt;&lt;/h4&gt;&lt;h5&gt;&lt;b&gt;Mythic: &lt;/b&gt;The damage dealt increases to 1d10 points of fire damage per caster level (maximum 10d10). Any creature that fails its Reflex saving throw catches on fire (Core Rulebook 444), taking 2d6 points of fire damage each round until the fire is extinguished. Attempts to extinguish this fire use the spell's save DC.&lt;/h5&gt;&lt;h5&gt;&lt;b&gt;Augmented (6th)&lt;/b&gt;: If you expend two uses of mythic power, the maximum damage increases to 20d10, the area increases to a 40-foot radius spread, and any fire damage dealt by the spell bypasses fire resistance and fire immunity.&lt;/h5&gt;&lt;/div&gt;</t>
  </si>
  <si>
    <t>Fire (3)</t>
  </si>
  <si>
    <t> 1d6 damage per level, 20-ft. radius.</t>
  </si>
  <si>
    <t>Efreeti (7)</t>
  </si>
  <si>
    <t>Elements (6)</t>
  </si>
  <si>
    <t>The damage dealt increases to 1d10 points of fire damage per caster level (maximum 10d10). Any creature that fails its Reflex saving throw catches on fire (Core Rulebook 444), taking 2d6 points of fire damage each round until the fire is extinguished. Attempts to extinguish this fire use the spell's save DC.</t>
  </si>
  <si>
    <t>Augmented (6th): If you expend two uses of mythic power, the maximum damage increases to 20d10, the area increases to a 40-foot radius spread, and any fire damage dealt by the spell bypasses fire resistance and fire immunity.</t>
  </si>
  <si>
    <t>Flame Arrow</t>
  </si>
  <si>
    <t>V, S, M (a drop of oil and a small piece of flint)</t>
  </si>
  <si>
    <t>fifty projectiles, all of which must be together at the time of casting</t>
  </si>
  <si>
    <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t>
  </si>
  <si>
    <t>&lt;p&gt;This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strikes.&lt;/p&gt;</t>
  </si>
  <si>
    <t>&lt;link rel="stylesheet"href="PF.css"&gt;&lt;div class="heading"&gt;&lt;p class="alignleft"&gt;Flame Arrow&lt;/p&gt;&lt;div style="clear: both;"&gt;&lt;/div&gt;&lt;/div&gt;&lt;div&gt;&lt;h5&gt;&lt;b&gt;School &lt;/b&gt;transmutation [fire]; &lt;b&gt;Level &lt;/b&gt;sorcerer/wizard 3, magus 3, bloodrager 3, occultist 3&lt;/h5&gt;&lt;/div&gt;&lt;hr/&gt;&lt;div&gt;&lt;h5&gt;&lt;b&gt;CASTING&lt;/b&gt;&lt;/h5&gt;&lt;/div&gt;&lt;hr/&gt;&lt;div&gt;&lt;h5&gt;&lt;b&gt;Casting Time &lt;/b&gt;1 standard action&lt;/h5&gt;&lt;h5&gt;&lt;b&gt;Components &lt;/b&gt;V, S, M (a drop of oil and a small piece of flint)&lt;/h5&gt;&lt;/div&gt;&lt;hr/&gt;&lt;div&gt;&lt;h5&gt;&lt;b&gt;EFFECT&lt;/b&gt;&lt;/h5&gt;&lt;/div&gt;&lt;hr/&gt;&lt;div&gt;&lt;h5&gt;&lt;b&gt;Range &lt;/b&gt;close (25 ft. + 5 ft./2 levels)&lt;/h5&gt;&lt;h5&gt;&lt;b&gt;Targets &lt;/b&gt;fifty projectiles, all of which must be together at the time of casting&lt;/h5&gt;&lt;h5&gt;&lt;b&gt;Duration &lt;/b&gt;10 min./level&lt;/h5&gt;&lt;h5&gt;&lt;b&gt;Saving Throw &lt;/b&gt;none; &lt;b&gt;Spell Resistance &lt;/b&gt;no&lt;/h5&gt;&lt;/div&gt;&lt;hr/&gt;&lt;div&gt;&lt;h5&gt;&lt;b&gt;DESCRIPTION&lt;/b&gt;&lt;/h5&gt;&lt;/div&gt;&lt;hr/&gt;&lt;div&gt;&lt;h4&gt;&lt;p&gt;This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strikes.&lt;/p&gt;&lt;/h4&gt;&lt;/div&gt;</t>
  </si>
  <si>
    <t> Arrows deal +1d6 fire damage.</t>
  </si>
  <si>
    <t>Flame Blade</t>
  </si>
  <si>
    <t>druid 2, shaman 2</t>
  </si>
  <si>
    <t>sword-like beam</t>
  </si>
  <si>
    <t>A 3-foot-long, blazing beam of red-hot fire springs forth from your hand. You wield this blade-like beam as if it were a scimitar. Attacks with the flame blade are melee touch attacks.  The blade deals 1d8 points of fire damage + 1 point per two caster levels (maximum +10). Since the blade is immaterial, your Strength modifier does not apply to the damage. A flame blade can ignite combustible materials such as parchment, straw, dry sticks, and cloth.</t>
  </si>
  <si>
    <t>&lt;p&gt;A 3-foot-long, blazing beam of red-hot fire springs forth from your hand. You wield this blade-like beam as if it were a scimitar. Attacks with the &lt;i&gt;flame blade&lt;/i&gt; are melee touch attacks.&lt;/p&gt;&lt;p&gt;The blade deals 1d8 points of fire damage + 1 point per two caster levels (maximum +10). Since the blade is immaterial, your Strength modifier does not apply to the damage. A &lt;i&gt;flame blade&lt;/i&gt; can ignite combustible materials such as parchment, straw, dry sticks, and cloth.&lt;/p&gt;</t>
  </si>
  <si>
    <t>&lt;link rel="stylesheet"href="PF.css"&gt;&lt;div class="heading"&gt;&lt;p class="alignleft"&gt;Flame Blade&lt;/p&gt;&lt;div style="clear: both;"&gt;&lt;/div&gt;&lt;/div&gt;&lt;div&gt;&lt;h5&gt;&lt;b&gt;School &lt;/b&gt;evocation [fire]; &lt;b&gt;Level &lt;/b&gt;druid 2, shaman 2&lt;/h5&gt;&lt;/div&gt;&lt;hr/&gt;&lt;div&gt;&lt;h5&gt;&lt;b&gt;CASTING&lt;/b&gt;&lt;/h5&gt;&lt;/div&gt;&lt;hr/&gt;&lt;div&gt;&lt;h5&gt;&lt;b&gt;Casting Time &lt;/b&gt;1 standard action&lt;/h5&gt;&lt;h5&gt;&lt;b&gt;Components &lt;/b&gt;V, S, DF&lt;/h5&gt;&lt;/div&gt;&lt;hr/&gt;&lt;div&gt;&lt;h5&gt;&lt;b&gt;EFFECT&lt;/b&gt;&lt;/h5&gt;&lt;/div&gt;&lt;hr/&gt;&lt;div&gt;&lt;h5&gt;&lt;b&gt;Range &lt;/b&gt;0 ft.&lt;/h5&gt;&lt;h5&gt;&lt;b&gt;Effect &lt;/b&gt;sword-like beam&lt;/h5&gt;&lt;h5&gt;&lt;b&gt;Duration &lt;/b&gt;1 min./level (D)&lt;/h5&gt;&lt;h5&gt;&lt;b&gt;Saving Throw &lt;/b&gt;none; &lt;b&gt;Spell Resistance &lt;/b&gt;yes&lt;/h5&gt;&lt;/div&gt;&lt;hr/&gt;&lt;div&gt;&lt;h5&gt;&lt;b&gt;DESCRIPTION&lt;/b&gt;&lt;/h5&gt;&lt;/div&gt;&lt;hr/&gt;&lt;div&gt;&lt;h4&gt;&lt;p&gt;A 3-foot-long, blazing beam of red-hot fire springs forth from your hand. You wield this blade-like beam as if it were a scimitar. Attacks with the &lt;i&gt;flame blade&lt;/i&gt; are melee touch attacks.&lt;/p&gt;&lt;p&gt;The blade deals 1d8 points of fire damage + 1 point per two caster levels (maximum +10). Since the blade is immaterial, your Strength modifier does not apply to the damage. A &lt;i&gt;flame blade&lt;/i&gt; can ignite combustible materials such as parchment, straw, dry sticks, and cloth.&lt;/p&gt;&lt;/h4&gt;&lt;h5&gt;&lt;b&gt;Mythic: &lt;/b&gt;The blade's damage increases to 2d6 points of fire damage + 1 point per caster level (maximum +20). The blade threatens a critical hit on a natural 18-20 as if it were an actual scimitar.&lt;/h5&gt;&lt;h5&gt;&lt;b&gt;Augmented (3rd)&lt;/b&gt;: If you expend two uses of mythic power, the blade threatens a critical hit on a natural 15-20, and bypasses hardness, fire resistance, and fire immunity.&lt;/h5&gt;&lt;/div&gt;</t>
  </si>
  <si>
    <t> Touch attack deals 1d8 + 1/two levels damage.</t>
  </si>
  <si>
    <t>The blade's damage increases to 2d6 points of fire damage + 1 point per caster level (maximum +20). The blade threatens a critical hit on a natural 18-20 as if it were an actual scimitar.</t>
  </si>
  <si>
    <t>Augmented (3rd): If you expend two uses of mythic power, the blade threatens a critical hit on a natural 15-20, and bypasses hardness, fire resistance, and fire immunity.</t>
  </si>
  <si>
    <t>Flame Strike</t>
  </si>
  <si>
    <t>cleric/oracle 5, druid 4, inquisitor 5, shaman 5</t>
  </si>
  <si>
    <t>cylinder (10-ft. radius, 40-ft. high)</t>
  </si>
  <si>
    <t>A flame strike evokes a vertical column of divine fire. The spell deals 1d6 points of damage per caster level (maximum 15d6). Half the damage is fire damage, but the other half results directly from divine power and is therefore not subject to being reduced by resistance to fire-based attacks.</t>
  </si>
  <si>
    <t>&lt;p&gt;A &lt;i&gt;flame strike&lt;/i&gt; evokes a vertical column of divine fire. The spell deals 1d6 points of damage per caster level (maximum 15d6). Half the damage is fire damage, but the other half results directly from divine power and is therefore not subject to being reduced by resistance to fire-based attacks.&lt;/p&gt;</t>
  </si>
  <si>
    <t>&lt;link rel="stylesheet"href="PF.css"&gt;&lt;div class="heading"&gt;&lt;p class="alignleft"&gt;Flame Strike&lt;/p&gt;&lt;div style="clear: both;"&gt;&lt;/div&gt;&lt;/div&gt;&lt;div&gt;&lt;h5&gt;&lt;b&gt;School &lt;/b&gt;evocation [fire]; &lt;b&gt;Level &lt;/b&gt;cleric/oracle 5, druid 4, inquisitor 5, shaman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(10-ft. radius, 40-ft. high)&lt;/h5&gt;&lt;h5&gt;&lt;b&gt;Duration &lt;/b&gt;instantaneous&lt;/h5&gt;&lt;h5&gt;&lt;b&gt;Saving Throw &lt;/b&gt;Reflex half; &lt;b&gt;Spell Resistance &lt;/b&gt;yes&lt;/h5&gt;&lt;/div&gt;&lt;hr/&gt;&lt;div&gt;&lt;h5&gt;&lt;b&gt;DESCRIPTION&lt;/b&gt;&lt;/h5&gt;&lt;/div&gt;&lt;hr/&gt;&lt;div&gt;&lt;h4&gt;&lt;p&gt;A &lt;i&gt;flame strike&lt;/i&gt; evokes a vertical column of divine fire. The spell deals 1d6 points of damage per caster level (maximum 15d6). Half the damage is fire damage, but the other half results directly from divine power and is therefore not subject to being reduced by resistance to fire-based attacks.&lt;/p&gt;&lt;/h4&gt;&lt;h5&gt;&lt;b&gt;Mythic: &lt;/b&gt;The damage dealt increases to 1d8 per caster level (maximum 15d8). The area increases to a 20-foot-radius, 40-foot-high cylinder. You may have the divine half of the damage affect only one specific creature type (as the bane weapon quality).&lt;/h5&gt;&lt;/div&gt;</t>
  </si>
  <si>
    <t>Sun (5), War (5), Arson (5)</t>
  </si>
  <si>
    <t>Smites foes with divine fire (1d6/level damage).</t>
  </si>
  <si>
    <t>Celestial (11)</t>
  </si>
  <si>
    <t>Devotion (10), Elements (10)</t>
  </si>
  <si>
    <t>The damage dealt increases to 1d8 per caster level (maximum 15d8). The area increases to a 20-foot-radius, 40-foot-high cylinder. You may have the divine half of the damage affect only one specific creature type (as the bane weapon quality).</t>
  </si>
  <si>
    <t>Flaming Sphere</t>
  </si>
  <si>
    <t>druid 2, sorcerer/wizard 2, magus 2, bloodrager 2, occultist 2</t>
  </si>
  <si>
    <t>V, S, M/DF (tallow, brimstone, and powdered iron)</t>
  </si>
  <si>
    <t>5-ft.-diameter sphere</t>
  </si>
  <si>
    <t>Reflex negates</t>
  </si>
  <si>
    <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flaming sphere rolls over barriers less than 4 feet tall. It ignites flammable substances it touches and illuminates the same area as a torch would.  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flaming sphere winks out if it exceeds the spell's range.</t>
  </si>
  <si>
    <t>&lt;p&gt;A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&lt;i&gt;flaming sphere&lt;/i&gt; rolls over barriers less than 4 feet tall. It ignites flammable substances it touches and illuminates the same area as a torch would.&lt;/p&gt;&lt;p&gt;The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&lt;i&gt;flaming sphere&lt;/i&gt; winks out if it exceeds the spell's range.&lt;/p&gt;</t>
  </si>
  <si>
    <t>&lt;link rel="stylesheet"href="PF.css"&gt;&lt;div class="heading"&gt;&lt;p class="alignleft"&gt;Flaming Sphere&lt;/p&gt;&lt;div style="clear: both;"&gt;&lt;/div&gt;&lt;/div&gt;&lt;div&gt;&lt;h5&gt;&lt;b&gt;School &lt;/b&gt;evocation [fire]; &lt;b&gt;Level &lt;/b&gt;druid 2, sorcerer/wizard 2, magus 2, bloodrager 2, occultist 2&lt;/h5&gt;&lt;/div&gt;&lt;hr/&gt;&lt;div&gt;&lt;h5&gt;&lt;b&gt;CASTING&lt;/b&gt;&lt;/h5&gt;&lt;/div&gt;&lt;hr/&gt;&lt;div&gt;&lt;h5&gt;&lt;b&gt;Casting Time &lt;/b&gt;1 standard action&lt;/h5&gt;&lt;h5&gt;&lt;b&gt;Components &lt;/b&gt;V, S, M/DF (tallow, brimstone, and powdered iron)&lt;/h5&gt;&lt;/div&gt;&lt;hr/&gt;&lt;div&gt;&lt;h5&gt;&lt;b&gt;EFFECT&lt;/b&gt;&lt;/h5&gt;&lt;/div&gt;&lt;hr/&gt;&lt;div&gt;&lt;h5&gt;&lt;b&gt;Range &lt;/b&gt;medium (100 ft. + 10 ft./level)&lt;/h5&gt;&lt;h5&gt;&lt;b&gt;Effect &lt;/b&gt;5-ft.-diameter sphere&lt;/h5&gt;&lt;h5&gt;&lt;b&gt;Duration &lt;/b&gt;1 round/level&lt;/h5&gt;&lt;h5&gt;&lt;b&gt;Saving Throw &lt;/b&gt;Reflex negates; &lt;b&gt;Spell Resistance &lt;/b&gt;yes&lt;/h5&gt;&lt;/div&gt;&lt;hr/&gt;&lt;div&gt;&lt;h5&gt;&lt;b&gt;DESCRIPTION&lt;/b&gt;&lt;/h5&gt;&lt;/div&gt;&lt;hr/&gt;&lt;div&gt;&lt;h4&gt;&lt;p&gt;A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&lt;i&gt;flaming sphere&lt;/i&gt; rolls over barriers less than 4 feet tall. It ignites flammable substances it touches and illuminates the same area as a torch would.&lt;/p&gt;&lt;p&gt;The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&lt;i&gt;flaming sphere&lt;/i&gt; winks out if it exceeds the spell's range.&lt;/p&gt;&lt;/h4&gt;&lt;/div&gt;</t>
  </si>
  <si>
    <t>Arson (2)</t>
  </si>
  <si>
    <t>Rolling ball of fire deals 3d6 fire damage.</t>
  </si>
  <si>
    <t>Elements (4), Summer (4)</t>
  </si>
  <si>
    <t>Flare</t>
  </si>
  <si>
    <t>bard 0, druid 0, sorcerer/wizard 0, magus 0, occultist 0, psychic 0, mesmerist 0</t>
  </si>
  <si>
    <t>burst of light</t>
  </si>
  <si>
    <t>This cantrip creates a burst of light. If you cause the light to burst in front of a single creature, that creature is dazzled for 1 minute unless it makes a successful Fortitude save. Sightless creatures, as well as creatures already dazzled, are not affected by flare.</t>
  </si>
  <si>
    <t>&lt;p&gt;This cantrip creates a burst of light. If you cause the light to burst in front of a single creature, that creature is dazzled for 1 minute unless it makes a successful Fortitude save. Sightless creatures, as well as creatures already dazzled, are not affected by flare.&lt;/p&gt;</t>
  </si>
  <si>
    <t>&lt;link rel="stylesheet"href="PF.css"&gt;&lt;div class="heading"&gt;&lt;p class="alignleft"&gt;Flare&lt;/p&gt;&lt;div style="clear: both;"&gt;&lt;/div&gt;&lt;/div&gt;&lt;div&gt;&lt;h5&gt;&lt;b&gt;School &lt;/b&gt;evocation [light]; &lt;b&gt;Level &lt;/b&gt;bard 0, druid 0, sorcerer/wizard 0, magus 0, occultist 0, psychic 0, mesmerist 0&lt;/h5&gt;&lt;/div&gt;&lt;hr/&gt;&lt;div&gt;&lt;h5&gt;&lt;b&gt;CASTING&lt;/b&gt;&lt;/h5&gt;&lt;/div&gt;&lt;hr/&gt;&lt;div&gt;&lt;h5&gt;&lt;b&gt;Casting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&lt;/b&gt;burst of light&lt;/h5&gt;&lt;h5&gt;&lt;b&gt;Duration &lt;/b&gt;instantaneous&lt;/h5&gt;&lt;h5&gt;&lt;b&gt;Saving Throw &lt;/b&gt;Fortitude negates; &lt;b&gt;Spell Resistance &lt;/b&gt;yes&lt;/h5&gt;&lt;/div&gt;&lt;hr/&gt;&lt;div&gt;&lt;h5&gt;&lt;b&gt;DESCRIPTION&lt;/b&gt;&lt;/h5&gt;&lt;/div&gt;&lt;hr/&gt;&lt;div&gt;&lt;h4&gt;&lt;p&gt;This cantrip creates a burst of light. If you cause the light to burst in front of a single creature, that creature is dazzled for 1 minute unless it makes a successful Fortitude save. Sightless creatures, as well as creatures already dazzled, are not affected by flare.&lt;/p&gt;&lt;/h4&gt;&lt;/div&gt;</t>
  </si>
  <si>
    <t>Dazzles one creature (–1 on attack rolls).</t>
  </si>
  <si>
    <t>Flesh to Stone</t>
  </si>
  <si>
    <t>sorcerer/wizard 6, witch 6, magus 6, shaman 6</t>
  </si>
  <si>
    <t>V, S, M (lime, water, and earth)</t>
  </si>
  <si>
    <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deathwatch.  Only creatures made of flesh are affected by this spell.</t>
  </si>
  <si>
    <t>&lt;p&gt;The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&lt;i&gt;deathwatch.&lt;/i&gt;&lt;/p&gt;&lt;p&gt;Only creatures made of flesh are affected by this spell.&lt;/p&gt;</t>
  </si>
  <si>
    <t>&lt;link rel="stylesheet"href="PF.css"&gt;&lt;div class="heading"&gt;&lt;p class="alignleft"&gt;Flesh to Stone&lt;/p&gt;&lt;div style="clear: both;"&gt;&lt;/div&gt;&lt;/div&gt;&lt;div&gt;&lt;h5&gt;&lt;b&gt;School &lt;/b&gt;transmutation; &lt;b&gt;Level &lt;/b&gt;sorcerer/wizard 6, witch 6, magus 6, shaman 6&lt;/h5&gt;&lt;/div&gt;&lt;hr/&gt;&lt;div&gt;&lt;h5&gt;&lt;b&gt;CASTING&lt;/b&gt;&lt;/h5&gt;&lt;/div&gt;&lt;hr/&gt;&lt;div&gt;&lt;h5&gt;&lt;b&gt;Casting Time &lt;/b&gt;1 standard action&lt;/h5&gt;&lt;h5&gt;&lt;b&gt;Components &lt;/b&gt;V, S, M (lime, water, and earth)&lt;/h5&gt;&lt;/div&gt;&lt;hr/&gt;&lt;div&gt;&lt;h5&gt;&lt;b&gt;EFFECT&lt;/b&gt;&lt;/h5&gt;&lt;/div&gt;&lt;hr/&gt;&lt;div&gt;&lt;h5&gt;&lt;b&gt;Range &lt;/b&gt;medium (100 ft. + 10 ft./level)&lt;/h5&gt;&lt;h5&gt;&lt;b&gt;Targets &lt;/b&gt;one creature&lt;/h5&gt;&lt;h5&gt;&lt;b&gt;Duration &lt;/b&gt;instantaneous&lt;/h5&gt;&lt;h5&gt;&lt;b&gt;Saving Throw &lt;/b&gt;Fortitude negates; &lt;b&gt;Spell Resistance &lt;/b&gt;yes&lt;/h5&gt;&lt;/div&gt;&lt;hr/&gt;&lt;div&gt;&lt;h5&gt;&lt;b&gt;DESCRIPTION&lt;/b&gt;&lt;/h5&gt;&lt;/div&gt;&lt;hr/&gt;&lt;div&gt;&lt;h4&gt;&lt;p&gt;The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&lt;i&gt;deathwatch.&lt;/i&gt;&lt;/p&gt;&lt;p&gt;Only creatures made of flesh are affected by this spell.&lt;/p&gt;&lt;/h4&gt;&lt;/div&gt;</t>
  </si>
  <si>
    <t> Turns subject creature into statue.</t>
  </si>
  <si>
    <t>Mountain (12)</t>
  </si>
  <si>
    <t>Floating Disk</t>
  </si>
  <si>
    <t>sorcerer/wizard 1, magus 1, occultist 1, psychic 1</t>
  </si>
  <si>
    <t>V, S, M (a drop of mercury)</t>
  </si>
  <si>
    <t>3-ft.-diameter disk of force</t>
  </si>
  <si>
    <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  The disk winks out of existence when the spell duration expires.  The disk also winks out if you move beyond its range or try to take the disk more than 3 feet away from the surface beneath it.  When the disk winks out, whatever it was supporting falls to the surface beneath it.</t>
  </si>
  <si>
    <t>&lt;p&gt;You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you.&lt;/p&gt;&lt;p&gt;The disk winks out of existence when the spell duration expires.&lt;/p&gt;&lt;p&gt;The disk also winks out if you move beyond its range or try to take the disk more than 3 feet away from the surface beneath it.&lt;/p&gt;&lt;p&gt;When the disk winks out, whatever it was supporting falls to the surface beneath it.&lt;/p&gt;</t>
  </si>
  <si>
    <t>&lt;link rel="stylesheet"href="PF.css"&gt;&lt;div class="heading"&gt;&lt;p class="alignleft"&gt;Floating Disk&lt;/p&gt;&lt;div style="clear: both;"&gt;&lt;/div&gt;&lt;/div&gt;&lt;div&gt;&lt;h5&gt;&lt;b&gt;School &lt;/b&gt;evocation [force]; &lt;b&gt;Level &lt;/b&gt;sorcerer/wizard 1, magus 1, occultist 1, psychic 1&lt;/h5&gt;&lt;/div&gt;&lt;hr/&gt;&lt;div&gt;&lt;h5&gt;&lt;b&gt;CASTING&lt;/b&gt;&lt;/h5&gt;&lt;/div&gt;&lt;hr/&gt;&lt;div&gt;&lt;h5&gt;&lt;b&gt;Casting Time &lt;/b&gt;1 standard action&lt;/h5&gt;&lt;h5&gt;&lt;b&gt;Components &lt;/b&gt;V, S, M (a drop of mercury)&lt;/h5&gt;&lt;/div&gt;&lt;hr/&gt;&lt;div&gt;&lt;h5&gt;&lt;b&gt;EFFECT&lt;/b&gt;&lt;/h5&gt;&lt;/div&gt;&lt;hr/&gt;&lt;div&gt;&lt;h5&gt;&lt;b&gt;Range &lt;/b&gt;close (25 ft. + 5 ft./2 levels)&lt;/h5&gt;&lt;h5&gt;&lt;b&gt;Effect &lt;/b&gt;3-ft.-diameter disk of force&lt;/h5&gt;&lt;h5&gt;&lt;b&gt;Duration &lt;/b&gt;1 hour/level&lt;/h5&gt;&lt;h5&gt;&lt;b&gt;Saving Throw &lt;/b&gt;none; &lt;b&gt;Spell Resistance &lt;/b&gt;no&lt;/h5&gt;&lt;/div&gt;&lt;hr/&gt;&lt;div&gt;&lt;h5&gt;&lt;b&gt;DESCRIPTION&lt;/b&gt;&lt;/h5&gt;&lt;/div&gt;&lt;hr/&gt;&lt;div&gt;&lt;h4&gt;&lt;p&gt;You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you.&lt;/p&gt;&lt;p&gt;The disk winks out of existence when the spell duration expires.&lt;/p&gt;&lt;p&gt;The disk also winks out if you move beyond its range or try to take the disk more than 3 feet away from the surface beneath it.&lt;/p&gt;&lt;p&gt;When the disk winks out, whatever it was supporting falls to the surface beneath it.&lt;/p&gt;&lt;/h4&gt;&lt;/div&gt;</t>
  </si>
  <si>
    <t>Trade (1)</t>
  </si>
  <si>
    <t> Creates 3-ft.-diameter horizontal disk that holds 100 lbs./level.</t>
  </si>
  <si>
    <t>Fly</t>
  </si>
  <si>
    <t>sorcerer/wizard 3, alchemist 3, summoner 3, witch 3, magus 3, bloodrager 3, shaman 3, occultist 3, psychic 3, spiritualist 3</t>
  </si>
  <si>
    <t>V, S, F (a wing feather)</t>
  </si>
  <si>
    <t>The subject can fly at a speed of 60 feet (or 40 feet if it wears medium or heavy armor, or if it carries a medium or heavy load).  It can ascend at half speed and descend at double speed, and its maneuverability is good. Using a fly spell requires only as much concentration as walking, so the subject can attack or cast spells normally. The subject of a fly spell can charge but not run, and it cannot carry aloft more weight than its maximum load, plus any armor it wears. The subject gains a bonus on Fly skill checks equal to 1/2 your caster level.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fly spell is dispelled, but not if it is negated by an antimagic field.</t>
  </si>
  <si>
    <t>&lt;p&gt;The subject can &lt;i&gt;fly&lt;/i&gt; at a speed of 60 feet (or 40 feet if it wears medium or heavy armor, or if it carries a medium or heavy load).&lt;/p&gt;&lt;p&gt;It can ascend at half speed and descend at double speed, and its maneuverability is good. Using a &lt;i&gt;fly&lt;/i&gt; spell requires only as much concentration as walking, so the subject can attack or cast spells normally. The subject of a &lt;i&gt;fly&lt;/i&gt; spell can charge but not run, and it cannot carry aloft more weight than its maximum load, plus any armor it wears. The subject gains a bonus on Fly skill checks equal to 1/2 your caster level.&lt;/p&gt;&lt;p&gt;Should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&lt;i&gt;fly&lt;/i&gt; spell is dispelled, but not if it is negated by an &lt;i&gt;antimagic field&lt;/i&gt;.&lt;/p&gt;</t>
  </si>
  <si>
    <t>&lt;link rel="stylesheet"href="PF.css"&gt;&lt;div class="heading"&gt;&lt;p class="alignleft"&gt;Fly&lt;/p&gt;&lt;div style="clear: both;"&gt;&lt;/div&gt;&lt;/div&gt;&lt;div&gt;&lt;h5&gt;&lt;b&gt;School &lt;/b&gt;transmutation; &lt;b&gt;Level &lt;/b&gt;sorcerer/wizard 3, alchemist 3, summoner 3, witch 3, magus 3, bloodrager 3, shaman 3, occultist 3, psychic 3, spiritualist 3&lt;/h5&gt;&lt;/div&gt;&lt;hr/&gt;&lt;div&gt;&lt;h5&gt;&lt;b&gt;CASTING&lt;/b&gt;&lt;/h5&gt;&lt;/div&gt;&lt;hr/&gt;&lt;div&gt;&lt;h5&gt;&lt;b&gt;Casting Time &lt;/b&gt;1 standard action&lt;/h5&gt;&lt;h5&gt;&lt;b&gt;Components &lt;/b&gt;V, S, F (a wing feather)&lt;/h5&gt;&lt;/div&gt;&lt;hr/&gt;&lt;div&gt;&lt;h5&gt;&lt;b&gt;EFFECT&lt;/b&gt;&lt;/h5&gt;&lt;/div&gt;&lt;hr/&gt;&lt;div&gt;&lt;h5&gt;&lt;b&gt;Range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(harmless)&lt;/h5&gt;&lt;/div&gt;&lt;hr/&gt;&lt;div&gt;&lt;h5&gt;&lt;b&gt;DESCRIPTION&lt;/b&gt;&lt;/h5&gt;&lt;/div&gt;&lt;hr/&gt;&lt;div&gt;&lt;h4&gt;&lt;p&gt;The subject can &lt;i&gt;fly&lt;/i&gt; at a speed of 60 feet (or 40 feet if it wears medium or heavy armor, or if it carries a medium or heavy load).&lt;/p&gt;&lt;p&gt;It can ascend at half speed and descend at double speed, and its maneuverability is good. Using a &lt;i&gt;fly&lt;/i&gt; spell requires only as much concentration as walking, so the subject can attack or cast spells normally. The subject of a &lt;i&gt;fly&lt;/i&gt; spell can charge but not run, and it cannot carry aloft more weight than its maximum load, plus any armor it wears. The subject gains a bonus on Fly skill checks equal to 1/2 your caster level.&lt;/p&gt;&lt;p&gt;Should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&lt;i&gt;fly&lt;/i&gt; spell is dispelled, but not if it is negated by an &lt;i&gt;antimagic field&lt;/i&gt;.&lt;/p&gt;&lt;/h4&gt;&lt;h5&gt;&lt;b&gt;Mythic: &lt;/b&gt;The fly speed changes to 120 feet (or 80 feet if the target is wearing medium or heavy armor, or carrying a medium or heavy load) with perfect maneuverability. When the duration expires, the target is protected by feather fall for a number of rounds equal to your caster level.&lt;/h5&gt;&lt;h5&gt;&lt;b&gt;Augmented (3rd)&lt;/b&gt;: If you expend two uses of mythic power, the target adds your tier on Reflex saves and as a dodge bonus to AC. It gains these bonuses only while flying.&lt;/h5&gt;&lt;/div&gt;</t>
  </si>
  <si>
    <t>Azata (3), Feather (3), Travel (3), Void (3)</t>
  </si>
  <si>
    <t> Subject flies at speed of 60 ft.</t>
  </si>
  <si>
    <t>Djinni (7), Draconic (7), Oni (7)</t>
  </si>
  <si>
    <t>The fly speed changes to 120 feet (or 80 feet if the target is wearing medium or heavy armor, or carrying a medium or heavy load) with perfect maneuverability. When the duration expires, the target is protected by feather fall for a number of rounds equal to your caster level.</t>
  </si>
  <si>
    <t>Augmented (3rd): If you expend two uses of mythic power, the target adds your tier on Reflex saves and as a dodge bonus to AC. It gains these bonuses only while flying.</t>
  </si>
  <si>
    <t>Fog Cloud</t>
  </si>
  <si>
    <t>druid 2, magus 2, sorcerer/wizard 2, witch 2, shaman 2</t>
  </si>
  <si>
    <t>medium (100 ft. + 10 ft. level)</t>
  </si>
  <si>
    <t>fog spreads in 20-ft. radius</t>
  </si>
  <si>
    <t>A bank of fog billows out from the point you designate. The fog obscures all sight, including darkvision, beyond 5 feet. A creature within 5 feet has concealment (attacks have a 20% miss chance).  Creatures farther away have total concealment (50% miss chance, and the attacker can't use sight to locate the target).  A moderate wind (11+ mph) disperses the fog in 4 rounds; a strong wind (21+ mph) disperses the fog in 1 round.  The spell does not function underwater.</t>
  </si>
  <si>
    <t>&lt;p&gt;A bank of fog billows out from the point you designate. The fog obscures all sight, including darkvision, beyond 5 feet. A creature within 5 feet has concealment (attacks have a 20% miss chance).&lt;/p&gt;&lt;p&gt;Creatures farther away have total concealment (50% miss chance, and the attacker can't use sight to locate the target).&lt;/p&gt;&lt;p&gt;A moderate wind (11+ mph) disperses the fog in 4 rounds; a strong wind (21+ mph) disperses the fog in 1 round.&lt;/p&gt;&lt;p&gt;The spell does not function underwater.&lt;/p&gt;</t>
  </si>
  <si>
    <t>&lt;link rel="stylesheet"href="PF.css"&gt;&lt;div class="heading"&gt;&lt;p class="alignleft"&gt;Fog Cloud&lt;/p&gt;&lt;div style="clear: both;"&gt;&lt;/div&gt;&lt;/div&gt;&lt;div&gt;&lt;h5&gt;&lt;b&gt;School &lt;/b&gt;conjuration (creation); &lt;b&gt;Level &lt;/b&gt;druid 2, magus 2, sorcerer/wizard 2, witch 2, shaman 2&lt;/h5&gt;&lt;/div&gt;&lt;hr/&gt;&lt;div&gt;&lt;h5&gt;&lt;b&gt;CASTING&lt;/b&gt;&lt;/h5&gt;&lt;/div&gt;&lt;hr/&gt;&lt;div&gt;&lt;h5&gt;&lt;b&gt;Casting Time &lt;/b&gt;1 standard action&lt;/h5&gt;&lt;h5&gt;&lt;b&gt;Components &lt;/b&gt;V, S&lt;/h5&gt;&lt;/div&gt;&lt;hr/&gt;&lt;div&gt;&lt;h5&gt;&lt;b&gt;EFFECT&lt;/b&gt;&lt;/h5&gt;&lt;/div&gt;&lt;hr/&gt;&lt;div&gt;&lt;h5&gt;&lt;b&gt;Range &lt;/b&gt;medium (100 ft. + 10 ft. level)&lt;/h5&gt;&lt;h5&gt;&lt;b&gt;Effect &lt;/b&gt;fog spreads in 20-ft. radius&lt;/h5&gt;&lt;h5&gt;&lt;b&gt;Duration &lt;/b&gt;10 min./level&lt;/h5&gt;&lt;h5&gt;&lt;b&gt;Saving Throw &lt;/b&gt;none; &lt;b&gt;Spell Resistance &lt;/b&gt;no&lt;/h5&gt;&lt;/div&gt;&lt;hr/&gt;&lt;div&gt;&lt;h5&gt;&lt;b&gt;DESCRIPTION&lt;/b&gt;&lt;/h5&gt;&lt;/div&gt;&lt;hr/&gt;&lt;div&gt;&lt;h4&gt;&lt;p&gt;A bank of fog billows out from the point you designate. The fog obscures all sight, including darkvision, beyond 5 feet. A creature within 5 feet has concealment (attacks have a 20% miss chance).&lt;/p&gt;&lt;p&gt;Creatures farther away have total concealment (50% miss chance, and the attacker can't use sight to locate the target).&lt;/p&gt;&lt;p&gt;A moderate wind (11+ mph) disperses the fog in 4 rounds; a strong wind (21+ mph) disperses the fog in 1 round.&lt;/p&gt;&lt;p&gt;The spell does not function underwater.&lt;/p&gt;&lt;/h4&gt;&lt;h5&gt;&lt;b&gt;Mythic: &lt;/b&gt;The radius of the fog increases to 50 feet.&lt;/h5&gt;&lt;h5&gt;&lt;b&gt;Augmented (3rd)&lt;/b&gt;: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version.&lt;/h5&gt;&lt;/div&gt;</t>
  </si>
  <si>
    <t>Water (2), Weather (2)</t>
  </si>
  <si>
    <t>Fog obscures vision.</t>
  </si>
  <si>
    <t>Storms (4)</t>
  </si>
  <si>
    <t>The radius of the fog increases to 50 feet.</t>
  </si>
  <si>
    <t>Augmented (3rd):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t>
  </si>
  <si>
    <t>Forbiddance</t>
  </si>
  <si>
    <t>cleric/oracle 6, inquisitor 6, occultist 6</t>
  </si>
  <si>
    <t>6 rounds</t>
  </si>
  <si>
    <t>V, S, M (holy water and incense worth 1,500 gp, plus 1,500 gp per 60-foot cube), DF</t>
  </si>
  <si>
    <t>60-ft. cube/level</t>
  </si>
  <si>
    <t>Forbiddance seals an area against all planar travel into or within it. This includes all teleportation spells (such as dimension door and teleport), plane shifting, astral travel, ethereal travel, and all summoning spells. Such effects simply fail automatically.  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  Alignments identical: No effect. The creature may enter the area freely (although not by planar travel).  Alignments different with respect to either law/chaos or good/evil: The creature takes 6d6 points of damage. A successful Will save halves the damage, and spell resistance applies.  Alignments different with respect to both law/chaos and good/evil: The creature takes 12d6 points of damage. A successful Will save halves the damage, and spell resistance applies.  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  Dispel magic does not dispel a forbiddance effect unless the dispeller's level is at least as high as your caster level.  You can't have multiple overlapping forbiddance effects. In such a case, the more recent effect stops at the boundary of the older effect.</t>
  </si>
  <si>
    <t>&lt;p&gt;&lt;i&gt;Forbiddance&lt;/i&gt; seals an area against all planar travel into or within it. This includes all teleportation spells (such as &lt;i&gt;dimension door&lt;/i&gt; and &lt;i&gt;teleport),&lt;/i&gt; plane shifting, astral travel, ethereal travel, and all summoning spells. Such effects simply fail automatically.&lt;/p&gt;&lt;p&gt;In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normal.&lt;/p&gt;&lt;p&gt;&lt;i&gt;Alignments identical&lt;/i&gt;: No effect. The creature may enter the area freely (although not by planar travel).&lt;/p&gt;&lt;p&gt;&lt;i&gt;Alignments different with respect to either law/chaos or good/evil&lt;/i&gt;: The creature takes 6d6 points of damage. A successful Will save halves the damage, and spell resistance applies.&lt;/p&gt;&lt;p&gt;&lt;i&gt;Alignments different with respect to both law/chaos and good/evil&lt;/i&gt;: The creature takes 12d6 points of damage. A successful Will save halves the damage, and spell resistance applies.&lt;/p&gt;&lt;p&gt;At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cube.&lt;/p&gt;&lt;p&gt;&lt;i&gt;Dispel magic&lt;/i&gt; does not dispel a &lt;i&gt;forbiddance&lt;/i&gt; effect unless the dispeller's level is at least as high as your caster level.&lt;/p&gt;&lt;p&gt;You can't have multiple overlapping &lt;i&gt;forbiddance&lt;/i&gt; effects. In such a case, the more recent effect stops at the boundary of the older effect.&lt;/p&gt;</t>
  </si>
  <si>
    <t>&lt;link rel="stylesheet"href="PF.css"&gt;&lt;div class="heading"&gt;&lt;p class="alignleft"&gt;Forbiddance&lt;/p&gt;&lt;div style="clear: both;"&gt;&lt;/div&gt;&lt;/div&gt;&lt;div&gt;&lt;h5&gt;&lt;b&gt;School &lt;/b&gt;abjuration; &lt;b&gt;Level &lt;/b&gt;cleric/oracle 6, inquisitor 6, occultist 6&lt;/h5&gt;&lt;/div&gt;&lt;hr/&gt;&lt;div&gt;&lt;h5&gt;&lt;b&gt;CASTING&lt;/b&gt;&lt;/h5&gt;&lt;/div&gt;&lt;hr/&gt;&lt;div&gt;&lt;h5&gt;&lt;b&gt;Casting Time &lt;/b&gt;6 rounds&lt;/h5&gt;&lt;h5&gt;&lt;b&gt;Components &lt;/b&gt;V, S, M (holy water and incense worth 1,500 gp, plus 1,500 gp per 60-foot cube), DF&lt;/h5&gt;&lt;/div&gt;&lt;hr/&gt;&lt;div&gt;&lt;h5&gt;&lt;b&gt;EFFECT&lt;/b&gt;&lt;/h5&gt;&lt;/div&gt;&lt;hr/&gt;&lt;div&gt;&lt;h5&gt;&lt;b&gt;Range &lt;/b&gt;medium (100 ft. + 10 ft./level)&lt;/h5&gt;&lt;h5&gt;&lt;b&gt;Area &lt;/b&gt;60-ft. cube/level  (S)&lt;/h5&gt;&lt;h5&gt;&lt;b&gt;Duration &lt;/b&gt;permanent&lt;/h5&gt;&lt;h5&gt;&lt;b&gt;Saving Throw &lt;/b&gt;see text; &lt;b&gt;Spell Resistance &lt;/b&gt;yes&lt;/h5&gt;&lt;/div&gt;&lt;hr/&gt;&lt;div&gt;&lt;h5&gt;&lt;b&gt;DESCRIPTION&lt;/b&gt;&lt;/h5&gt;&lt;/div&gt;&lt;hr/&gt;&lt;div&gt;&lt;h4&gt;&lt;p&gt;&lt;i&gt;Forbiddance&lt;/i&gt; seals an area against all planar travel into or within it. This includes all teleportation spells (such as &lt;i&gt;dimension door&lt;/i&gt; and &lt;i&gt;teleport),&lt;/i&gt; plane shifting, astral travel, ethereal travel, and all summoning spells. Such effects simply fail automatically.&lt;/p&gt;&lt;p&gt;In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normal.&lt;/p&gt;&lt;p&gt;&lt;i&gt;Alignments identical&lt;/i&gt;: No effect. The creature may enter the area freely (although not by planar travel).&lt;/p&gt;&lt;p&gt;&lt;i&gt;Alignments different with respect to either law/chaos or good/evil&lt;/i&gt;: The creature takes 6d6 points of damage. A successful Will save halves the damage, and spell resistance applies.&lt;/p&gt;&lt;p&gt;&lt;i&gt;Alignments different with respect to both law/chaos and good/evil&lt;/i&gt;: The creature takes 12d6 points of damage. A successful Will save halves the damage, and spell resistance applies.&lt;/p&gt;&lt;p&gt;At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cube.&lt;/p&gt;&lt;p&gt;&lt;i&gt;Dispel magic&lt;/i&gt; does not dispel a &lt;i&gt;forbiddance&lt;/i&gt; effect unless the dispeller's level is at least as high as your caster level.&lt;/p&gt;&lt;p&gt;You can't have multiple overlapping &lt;i&gt;forbiddance&lt;/i&gt; effects. In such a case, the more recent effect stops at the boundary of the older effect.&lt;/p&gt;&lt;/h4&gt;&lt;/div&gt;</t>
  </si>
  <si>
    <t> Blocks planar travel, damages creatures of different alignment.</t>
  </si>
  <si>
    <t>Forcecage</t>
  </si>
  <si>
    <t>sorcerer/wizard 7, psychic 7</t>
  </si>
  <si>
    <t>V, S, M (ruby dust worth 500 gp)</t>
  </si>
  <si>
    <t>barred cage (20-ft. cube) or windowless cell (10-ft. cube)</t>
  </si>
  <si>
    <t>This spell creates an immobile, invisible cubical prison composed of either bars of force or solid walls of force (your choice).  Creatures within the area are caught and contained unless they are too big to fit inside, in which case the spell automatically fails.  Teleportation and other forms of astral travel provide a means of escape, but the force walls or bars extend into the Ethereal Plane, blocking ethereal travel.  Like a wall of force, a forcecage resists dispel magic, although a mage's disjunction still functions. The walls of a forcecage can be damaged by spells as normal, except for disintegrate, which automatically destroys it. The walls of a forcecage can be damaged by weapons and supernatural abilities, but they have a Hardness of 30 and a number of hit points equal to 20 per caster level. Contact with a sphere of annihilation or rod of cancellation instantly destroys a forcecage.  Barred Cage: This version of the spell produces a 20-foot cube made of bands of force (similar to a wall of force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  Windowless Cell: This version of the spell produces a 10-foot cube with no way in and no way out. Solid walls of force form its six sides.</t>
  </si>
  <si>
    <t>&lt;p&gt;This spell creates an immobile, invisible cubical prison composed of either bars of force or solid walls of force (your choice).&lt;/p&gt;&lt;p&gt;Creatures within the area are caught and contained unless they are too big to fit inside, in which case the spell automatically fails.&lt;/p&gt;&lt;p&gt;Teleportation and other forms of astral travel provide a means of escape, but the force walls or bars extend into the Ethereal Plane, blocking ethereal travel.&lt;/p&gt;&lt;p&gt;Like a &lt;i&gt;wall of force&lt;/i&gt;, a &lt;i&gt;forcecage&lt;/i&gt; resists &lt;i&gt;dispel magic,&lt;/i&gt; although a mage's disjunction still functions. The walls of a &lt;i&gt;forcecage&lt;/i&gt; can be damaged by spells as normal, except for &lt;i&gt;disintegrate,&lt;/i&gt; which automatically destroys it. The walls of a &lt;i&gt;forcecage&lt;/i&gt; can be damaged by weapons and supernatural abilities, but they have a Hardness of 30 and a number of hit points equal to 20 per caster level. Contact with a &lt;i&gt;sphere of annihilation&lt;/i&gt; or &lt;i&gt;rod of cancellation&lt;/i&gt; instantly destroys a &lt;i&gt;forcecage&lt;/i&gt;.&lt;/p&gt;&lt;p&gt;Barred Cage: This version of the spell produces a 20-foot cube made of bands of force (similar to a &lt;i&gt;wall of force&lt;/i&gt;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bars.&lt;/p&gt;&lt;p&gt;&lt;i&gt;Windowless Cell&lt;/i&gt;: This version of the spell produces a 10-foot cube with no way in and no way out. Solid walls of force form its six sides.&lt;/p&gt;</t>
  </si>
  <si>
    <t>&lt;link rel="stylesheet"href="PF.css"&gt;&lt;div class="heading"&gt;&lt;p class="alignleft"&gt;Forcecage&lt;/p&gt;&lt;div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M (ruby dust worth 500 gp)&lt;/h5&gt;&lt;/div&gt;&lt;hr/&gt;&lt;div&gt;&lt;h5&gt;&lt;b&gt;EFFECT&lt;/b&gt;&lt;/h5&gt;&lt;/div&gt;&lt;hr/&gt;&lt;div&gt;&lt;h5&gt;&lt;b&gt;Range &lt;/b&gt;close (25 ft. + 5 ft./2 levels)&lt;/h5&gt;&lt;h5&gt;&lt;b&gt;Area &lt;/b&gt;barred cage (20-ft. cube) or windowless cell (10-ft. cube)&lt;/h5&gt;&lt;h5&gt;&lt;b&gt;Duration &lt;/b&gt;1 round/level (D)&lt;/h5&gt;&lt;h5&gt;&lt;b&gt;Saving Throw &lt;/b&gt;Reflex negates; &lt;b&gt;Spell Resistance &lt;/b&gt;no&lt;/h5&gt;&lt;/div&gt;&lt;hr/&gt;&lt;div&gt;&lt;h5&gt;&lt;b&gt;DESCRIPTION&lt;/b&gt;&lt;/h5&gt;&lt;/div&gt;&lt;hr/&gt;&lt;div&gt;&lt;h4&gt;&lt;p&gt;This spell creates an immobile, invisible cubical prison composed of either bars of force or solid walls of force (your choice).&lt;/p&gt;&lt;p&gt;Creatures within the area are caught and contained unless they are too big to fit inside, in which case the spell automatically fails.&lt;/p&gt;&lt;p&gt;Teleportation and other forms of astral travel provide a means of escape, but the force walls or bars extend into the Ethereal Plane, blocking ethereal travel.&lt;/p&gt;&lt;p&gt;Like a &lt;i&gt;wall of force&lt;/i&gt;, a &lt;i&gt;forcecage&lt;/i&gt; resists &lt;i&gt;dispel magic,&lt;/i&gt; although a mage's disjunction still functions. The walls of a &lt;i&gt;forcecage&lt;/i&gt; can be damaged by spells as normal, except for &lt;i&gt;disintegrate,&lt;/i&gt; which automatically destroys it. The walls of a &lt;i&gt;forcecage&lt;/i&gt; can be damaged by weapons and supernatural abilities, but they have a Hardness of 30 and a number of hit points equal to 20 per caster level. Contact with a &lt;i&gt;sphere of annihilation&lt;/i&gt; or &lt;i&gt;rod of cancellation&lt;/i&gt; instantly destroys a &lt;i&gt;forcecage&lt;/i&gt;.&lt;/p&gt;&lt;p&gt;Barred Cage: This version of the spell produces a 20-foot cube made of bands of force (similar to a &lt;i&gt;wall of force&lt;/i&gt;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bars.&lt;/p&gt;&lt;p&gt;&lt;i&gt;Windowless Cell&lt;/i&gt;: This version of the spell produces a 10-foot cube with no way in and no way out. Solid walls of force form its six sides.&lt;/p&gt;&lt;/h4&gt;&lt;/div&gt;</t>
  </si>
  <si>
    <t> Cube or cage of force imprisons all inside.</t>
  </si>
  <si>
    <t>Peace (14)</t>
  </si>
  <si>
    <t>Forceful Hand</t>
  </si>
  <si>
    <t>sorcerer/wizard 6, magus 6, occultist 6, psychic 6</t>
  </si>
  <si>
    <t>This spell functions as interposing hand, except that it can also pursue and bull rush one opponent you select. The forceful hand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Forceful hand prevents the opponent from moving closer to you without first succeeding on a bull rush attack, moving both the forceful hand and the target closer to you. The forceful hand can instead be directed to interpose itself, as interposing hand does.</t>
  </si>
  <si>
    <t>&lt;p&gt;This spell functions as &lt;i&gt;interposing hand&lt;/i&gt;, except that it can also pursue and bull rush one opponent you select. The &lt;i&gt;&lt;i&gt;forceful&lt;/i&gt; hand&lt;/i&gt;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&lt;i&gt;Forceful hand&lt;/i&gt; prevents the opponent from moving closer to you without first succeeding on a bull rush attack, moving both the &lt;i&gt;&lt;i&gt;forceful&lt;/i&gt; hand&lt;/i&gt; and the target closer to you. The &lt;i&gt;&lt;i&gt;forceful&lt;/i&gt; hand&lt;/i&gt; can instead be directed to interpose itself, as &lt;i&gt;interposing hand&lt;/i&gt; does.&lt;/p&gt;</t>
  </si>
  <si>
    <t>&lt;link rel="stylesheet"href="PF.css"&gt;&lt;div class="heading"&gt;&lt;p class="alignleft"&gt;Forceful Hand&lt;/p&gt;&lt;div style="clear: both;"&gt;&lt;/div&gt;&lt;/div&gt;&lt;div&gt;&lt;h5&gt;&lt;b&gt;School &lt;/b&gt;evocation [force]; &lt;b&gt;Level &lt;/b&gt;sorcerer/wizard 6, magus 6, occultist 6, psychic 6&lt;/h5&gt;&lt;/div&gt;&lt;hr/&gt;&lt;div&gt;&lt;h5&gt;&lt;b&gt;CASTING&lt;/b&gt;&lt;/h5&gt;&lt;/div&gt;&lt;hr/&gt;&lt;div&gt;&lt;h5&gt;&lt;b&gt;Casting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&lt;/b&gt;yes&lt;/h5&gt;&lt;/div&gt;&lt;hr/&gt;&lt;div&gt;&lt;h5&gt;&lt;b&gt;DESCRIPTION&lt;/b&gt;&lt;/h5&gt;&lt;/div&gt;&lt;hr/&gt;&lt;div&gt;&lt;h4&gt;&lt;p&gt;This spell functions as &lt;i&gt;interposing hand&lt;/i&gt;, except that it can also pursue and bull rush one opponent you select. The &lt;i&gt;&lt;i&gt;forceful&lt;/i&gt; hand&lt;/i&gt;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&lt;i&gt;Forceful hand&lt;/i&gt; prevents the opponent from moving closer to you without first succeeding on a bull rush attack, moving both the &lt;i&gt;&lt;i&gt;forceful&lt;/i&gt; hand&lt;/i&gt; and the target closer to you. The &lt;i&gt;&lt;i&gt;forceful&lt;/i&gt; hand&lt;/i&gt; can instead be directed to interpose itself, as &lt;i&gt;interposing hand&lt;/i&gt; does.&lt;/p&gt;&lt;/h4&gt;&lt;/div&gt;</t>
  </si>
  <si>
    <t> Hand pushes creatures away.</t>
  </si>
  <si>
    <t>Foresight</t>
  </si>
  <si>
    <t>druid 9, sorcerer/wizard 9, witch 9, shaman 9, psychic 9</t>
  </si>
  <si>
    <t>V, S, M/DF (a hummingbird's feather)</t>
  </si>
  <si>
    <t>This spell grants you a powerful sixth sense in relation to yourself or another. Once foresight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  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t>
  </si>
  <si>
    <t>&lt;p&gt;This spell grants you a powerful sixth sense in relation to yourself or another. Once &lt;i&gt;foresight&lt;/i&gt;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AC.&lt;/p&gt;&lt;p&gt;When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saves.&lt;/p&gt;</t>
  </si>
  <si>
    <t>&lt;link rel="stylesheet"href="PF.css"&gt;&lt;div class="heading"&gt;&lt;p class="alignleft"&gt;Foresight&lt;/p&gt;&lt;div style="clear: both;"&gt;&lt;/div&gt;&lt;/div&gt;&lt;div&gt;&lt;h5&gt;&lt;b&gt;School &lt;/b&gt;divination; &lt;b&gt;Level &lt;/b&gt;druid 9, sorcerer/wizard 9, witch 9, shaman 9, psychic 9&lt;/h5&gt;&lt;/div&gt;&lt;hr/&gt;&lt;div&gt;&lt;h5&gt;&lt;b&gt;CASTING&lt;/b&gt;&lt;/h5&gt;&lt;/div&gt;&lt;hr/&gt;&lt;div&gt;&lt;h5&gt;&lt;b&gt;Casting Time &lt;/b&gt;1 standard action&lt;/h5&gt;&lt;h5&gt;&lt;b&gt;Components &lt;/b&gt;V, S, M/DF (a hummingbird's feather)&lt;/h5&gt;&lt;/div&gt;&lt;hr/&gt;&lt;div&gt;&lt;h5&gt;&lt;b&gt;EFFECT&lt;/b&gt;&lt;/h5&gt;&lt;/div&gt;&lt;hr/&gt;&lt;div&gt;&lt;h5&gt;&lt;b&gt;Range &lt;/b&gt;personal or touch&lt;/h5&gt;&lt;h5&gt;&lt;b&gt;Targets &lt;/b&gt;see text&lt;/h5&gt;&lt;h5&gt;&lt;b&gt;Duration &lt;/b&gt;10 min./level&lt;/h5&gt;&lt;h5&gt;&lt;b&gt;Saving Throw &lt;/b&gt;none or Will negates (harmless); &lt;b&gt;Spell Resistance &lt;/b&gt;no or yes (harmless)&lt;/h5&gt;&lt;/div&gt;&lt;hr/&gt;&lt;div&gt;&lt;h5&gt;&lt;b&gt;DESCRIPTION&lt;/b&gt;&lt;/h5&gt;&lt;/div&gt;&lt;hr/&gt;&lt;div&gt;&lt;h4&gt;&lt;p&gt;This spell grants you a powerful sixth sense in relation to yourself or another. Once &lt;i&gt;foresight&lt;/i&gt;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AC.&lt;/p&gt;&lt;p&gt;When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saves.&lt;/p&gt;&lt;/h4&gt;&lt;h5&gt;&lt;b&gt;Mythic: &lt;/b&gt;The spell's insight bonus increases to +3. If you cast the spell on another creature, you and the target are simultaneously warned by the spell, and the target gains the spell's insight bonuses.&lt;/h5&gt;&lt;/div&gt;</t>
  </si>
  <si>
    <t>Knowledge (9)</t>
  </si>
  <si>
    <t>“Sixth sense” warns of impending danger.</t>
  </si>
  <si>
    <t>Destined (19)</t>
  </si>
  <si>
    <t>Portents (18)</t>
  </si>
  <si>
    <t>The spell's insight bonus increases to +3. If you cast the spell on another creature, you and the target are simultaneously warned by the spell, and the target gains the spell's insight bonuses.</t>
  </si>
  <si>
    <t>Form of the Dragon I</t>
  </si>
  <si>
    <t>V, S, M (a scale of the dragon type you plan to assume)</t>
  </si>
  <si>
    <t>see below</t>
  </si>
  <si>
    <t>You become a Medium chromatic or metallic dragon (see the Pathfinder RPG Bestiary).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 Black dragon: 60-foot line of acid, resist acid 20, swim 60 feet Blue dragon: 60-foot line of electricity, resist electricity 20, burrow 20 feet Green dragon: 30-foot cone of acid, resist acid 20, swim 40 feet Red dragon: 30-foot cone of fire, resist fire 30, vulnerability to cold White dragon: 30-foot cone of cold, resist cold 20, swim 60 feet, vulnerability to fire Brass dragon: 60-foot line of fire, resist fire 20, burrow 30 feet, vulnerability to cold Bronze dragon: 60-foot line of electricity, resist electricity 20, swim 60 feet Copper dragon: 60-foot line of acid, resist acid 20, spider climb (always active) Gold dragon: 30-foot cone of fire, resist fire 20, swim 60 feet Silver dragon: 30-foot cone of cold, resist cold 30, vulnerability to fire</t>
  </si>
  <si>
    <t>&lt;p&gt;You become a Medium chromatic or metallic dragon (see the &lt;i&gt;Pathfinder RPG Bestiary&lt;/i&gt;).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below.&lt;/p&gt;&lt;p&gt;&lt;br&gt;&lt;i&gt;Black dragon&lt;/i&gt;: 60-foot line of acid, resist acid 20, swim 60 feet &lt;br&gt;&lt;i&gt;Blue dragon&lt;/i&gt;: 60-foot line of electricity, resist electricity 20, burrow 20 feet &lt;br&gt;&lt;i&gt;Green dragon&lt;/i&gt;: 30-foot cone of acid, resist acid 20, swim 40 feet &lt;br&gt;&lt;i&gt;Red dragon&lt;/i&gt;: 30-foot cone of fire, resist fire 30, vulnerability to cold &lt;br&gt;&lt;i&gt;White dragon&lt;/i&gt;: 30-foot cone of cold, resist cold 20, swim 60 feet, vulnerability to fire &lt;br&gt;&lt;i&gt;Brass dragon&lt;/i&gt;: 60-foot line of fire, resist fire 20, burrow 30 feet, vulnerability to cold &lt;br&gt;&lt;i&gt;Bronze dragon&lt;/i&gt;: 60-foot line of electricity, resist electricity 20, swim 60 feet &lt;br&gt;&lt;i&gt;Copper dragon&lt;/i&gt;: 60-foot line of acid, resist acid 20, &lt;i&gt;spider climb&lt;/i&gt; (always active) &lt;br&gt;&lt;i&gt;Gold dragon&lt;/i&gt;: 30-foot cone of fire, resist fire 20, swim 60 feet &lt;br&gt;&lt;i&gt;Silver dragon&lt;/i&gt;: 30-foot cone of cold, resist cold 30, vulnerability to fire&lt;/p&gt;</t>
  </si>
  <si>
    <t>&lt;link rel="stylesheet"href="PF.css"&gt;&lt;div class="heading"&gt;&lt;p class="alignleft"&gt;Form of the Dragon I&lt;/p&gt;&lt;div style="clear: both;"&gt;&lt;/div&gt;&lt;/div&gt;&lt;div&gt;&lt;h5&gt;&lt;b&gt;School &lt;/b&gt;transmutation (polymorph); &lt;b&gt;Level &lt;/b&gt;sorcerer/wizard 6, alchemist 6, magus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&lt;/b&gt;no&lt;/h5&gt;&lt;/div&gt;&lt;hr/&gt;&lt;div&gt;&lt;h5&gt;&lt;b&gt;DESCRIPTION&lt;/b&gt;&lt;/h5&gt;&lt;/div&gt;&lt;hr/&gt;&lt;div&gt;&lt;h4&gt;&lt;p&gt;You become a Medium chromatic or metallic dragon (see the &lt;i&gt;Pathfinder RPG Bestiary&lt;/i&gt;).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below.&lt;/p&gt;&lt;p&gt;&lt;br&gt;&lt;i&gt;Black dragon&lt;/i&gt;: 60-foot line of acid, resist acid 20, swim 60 feet &lt;br&gt;&lt;i&gt;Blue dragon&lt;/i&gt;: 60-foot line of electricity, resist electricity 20, burrow 20 feet &lt;br&gt;&lt;i&gt;Green dragon&lt;/i&gt;: 30-foot cone of acid, resist acid 20, swim 40 feet &lt;br&gt;&lt;i&gt;Red dragon&lt;/i&gt;: 30-foot cone of fire, resist fire 30, vulnerability to cold &lt;br&gt;&lt;i&gt;White dragon&lt;/i&gt;: 30-foot cone of cold, resist cold 20, swim 60 feet, vulnerability to fire &lt;br&gt;&lt;i&gt;Brass dragon&lt;/i&gt;: 60-foot line of fire, resist fire 20, burrow 30 feet, vulnerability to cold &lt;br&gt;&lt;i&gt;Bronze dragon&lt;/i&gt;: 60-foot line of electricity, resist electricity 20, swim 60 feet &lt;br&gt;&lt;i&gt;Copper dragon&lt;/i&gt;: 60-foot line of acid, resist acid 20, &lt;i&gt;spider climb&lt;/i&gt; (always active) &lt;br&gt;&lt;i&gt;Gold dragon&lt;/i&gt;: 30-foot cone of fire, resist fire 20, swim 60 feet &lt;br&gt;&lt;i&gt;Silver dragon&lt;/i&gt;: 30-foot cone of cold, resist cold 30, vulnerability to fire&lt;/p&gt;&lt;/h4&gt;&lt;/div&gt;</t>
  </si>
  <si>
    <t>Dragon (6)</t>
  </si>
  <si>
    <t> Turns you into a Medium dragon.</t>
  </si>
  <si>
    <t>Draconic (13)</t>
  </si>
  <si>
    <t>Transformation (12)</t>
  </si>
  <si>
    <t>Form of the Dragon II</t>
  </si>
  <si>
    <t>This spell functions as form of the dragon I except that it also allows you to assume the form of a Large chromatic or metallic dragon.  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t>
  </si>
  <si>
    <t>&lt;p&gt;This spell functions as &lt;i&gt;form of the dragon I&lt;/i&gt; except that it also allows you to assume the form of a Large chromatic or metallic dragon.&lt;/p&gt;&lt;p&gt;You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cones.&lt;/p&gt;</t>
  </si>
  <si>
    <t>&lt;link rel="stylesheet"href="PF.css"&gt;&lt;div class="heading"&gt;&lt;p class="alignleft"&gt;Form of the Dragon 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&lt;/b&gt;no&lt;/h5&gt;&lt;/div&gt;&lt;hr/&gt;&lt;div&gt;&lt;h5&gt;&lt;b&gt;DESCRIPTION&lt;/b&gt;&lt;/h5&gt;&lt;/div&gt;&lt;hr/&gt;&lt;div&gt;&lt;h4&gt;&lt;p&gt;This spell functions as &lt;i&gt;form of the dragon I&lt;/i&gt; except that it also allows you to assume the form of a Large chromatic or metallic dragon.&lt;/p&gt;&lt;p&gt;You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cones.&lt;/p&gt;&lt;/h4&gt;&lt;/div&gt;</t>
  </si>
  <si>
    <t> Turns you into a Large dragon.</t>
  </si>
  <si>
    <t>Draconic (15)</t>
  </si>
  <si>
    <t>Transformation (14)</t>
  </si>
  <si>
    <t>Form of the Dragon III</t>
  </si>
  <si>
    <t>sorcerer/wizard 8</t>
  </si>
  <si>
    <t>This spell functions as form of the dragon II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form of the dragon I grants resistance to).  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t>
  </si>
  <si>
    <t>&lt;p&gt;This spell functions as &lt;i&gt;&lt;i&gt;form of the dragon I&lt;/i&gt;I&lt;/i&gt;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&lt;i&gt;form of the dragon I&lt;/i&gt; grants resistance to).&lt;/p&gt;&lt;p&gt;You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cones.&lt;/p&gt;</t>
  </si>
  <si>
    <t>&lt;link rel="stylesheet"href="PF.css"&gt;&lt;div class="heading"&gt;&lt;p class="alignleft"&gt;Form of the Dragon III&lt;/p&gt;&lt;div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&lt;/b&gt;no&lt;/h5&gt;&lt;/div&gt;&lt;hr/&gt;&lt;div&gt;&lt;h5&gt;&lt;b&gt;DESCRIPTION&lt;/b&gt;&lt;/h5&gt;&lt;/div&gt;&lt;hr/&gt;&lt;div&gt;&lt;h4&gt;&lt;p&gt;This spell functions as &lt;i&gt;&lt;i&gt;form of the dragon I&lt;/i&gt;I&lt;/i&gt;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&lt;i&gt;form of the dragon I&lt;/i&gt; grants resistance to).&lt;/p&gt;&lt;p&gt;You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cones.&lt;/p&gt;&lt;/h4&gt;&lt;/div&gt;</t>
  </si>
  <si>
    <t> Turns you into a Huge dragon.</t>
  </si>
  <si>
    <t>Draconic (17), Kobold Sorcerer (17), Kobold (17)</t>
  </si>
  <si>
    <t>Transformation (16)</t>
  </si>
  <si>
    <t>Fox's Cunning</t>
  </si>
  <si>
    <t>bard 2, sorcerer/wizard 2, alchemist 2, summoner 2, psychic 2</t>
  </si>
  <si>
    <t>V, S, M/DF (hairs or dung from a fox)</t>
  </si>
  <si>
    <t>The target becomes smarter. The spell grants a +4 enhancement bonus to Intelligence, adding the usual benefits to Intelligencebased skill checks and other uses of the Intelligence modifier.  Wizards (and other spellcasters who rely on Intelligence) affected by this spell do not gain any additional bonus spells for the increased Intelligence, but the save DCs for spells they cast while under this spell's effect do increase. This spell doesn't grant extra skill ranks.</t>
  </si>
  <si>
    <t>&lt;p&gt;The target becomes smarter. The spell grants a +4 enhancement bonus to Intelligence, adding the usual benefits to Intelligencebased skill checks and other uses of the Intelligence modifier.&lt;/p&gt;&lt;p&gt;Wizards (and other spellcasters who rely on Intelligence) affected by this spell do not gain any additional bonus spells for the increased Intelligence, but the save DCs for spells they cast while under this spell's effect do increase. This spell doesn't grant extra skill ranks.&lt;/p&gt;</t>
  </si>
  <si>
    <t>&lt;link rel="stylesheet"href="PF.css"&gt;&lt;div class="heading"&gt;&lt;p class="alignleft"&gt;Fox's Cunning&lt;/p&gt;&lt;div style="clear: both;"&gt;&lt;/div&gt;&lt;/div&gt;&lt;div&gt;&lt;h5&gt;&lt;b&gt;School &lt;/b&gt;transmutation; &lt;b&gt;Level &lt;/b&gt;bard 2, sorcerer/wizard 2, alchemist 2, summoner 2, psychic 2&lt;/h5&gt;&lt;/div&gt;&lt;hr/&gt;&lt;div&gt;&lt;h5&gt;&lt;b&gt;CASTING&lt;/b&gt;&lt;/h5&gt;&lt;/div&gt;&lt;hr/&gt;&lt;div&gt;&lt;h5&gt;&lt;b&gt;Casting Time &lt;/b&gt;1 standard action&lt;/h5&gt;&lt;h5&gt;&lt;b&gt;Components &lt;/b&gt;V, S, M/DF (hairs or dung from a fox)&lt;/h5&gt;&lt;/div&gt;&lt;hr/&gt;&lt;div&gt;&lt;h5&gt;&lt;b&gt;EFFECT&lt;/b&gt;&lt;/h5&gt;&lt;/div&gt;&lt;hr/&gt;&lt;div&gt;&lt;h5&gt;&lt;b&gt;Range &lt;/b&gt;touch&lt;/h5&gt;&lt;h5&gt;&lt;b&gt;Targets &lt;/b&gt;creature touched&lt;/h5&gt;&lt;h5&gt;&lt;b&gt;Duration &lt;/b&gt;1 min./level&lt;/h5&gt;&lt;h5&gt;&lt;b&gt;Saving Throw &lt;/b&gt;Will negates (harmless); &lt;b&gt;Spell Resistance &lt;/b&gt;yes&lt;/h5&gt;&lt;/div&gt;&lt;hr/&gt;&lt;div&gt;&lt;h5&gt;&lt;b&gt;DESCRIPTION&lt;/b&gt;&lt;/h5&gt;&lt;/div&gt;&lt;hr/&gt;&lt;div&gt;&lt;h4&gt;&lt;p&gt;The target becomes smarter. The spell grants a +4 enhancement bonus to Intelligence, adding the usual benefits to Intelligencebased skill checks and other uses of the Intelligence modifier.&lt;/p&gt;&lt;p&gt;Wizards (and other spellcasters who rely on Intelligence) affected by this spell do not gain any additional bonus spells for the increased Intelligence, but the save DCs for spells they cast while under this spell's effect do increase. This spell doesn't grant extra skill ranks.&lt;/p&gt;&lt;/h4&gt;&lt;/div&gt;</t>
  </si>
  <si>
    <t>Education (2)</t>
  </si>
  <si>
    <t>Subject gains +4 to Int for 1 min./level.</t>
  </si>
  <si>
    <t>Fox's Cunning, Mass</t>
  </si>
  <si>
    <t>bard 6, sorcerer/wizard 6, summoner 4, psychic 6</t>
  </si>
  <si>
    <t>This spell functions like fox's cunning, except that it affects multiple creatures.</t>
  </si>
  <si>
    <t>&lt;p&gt;This spell functions like fox's cunning, except that it affects multiple creatures.&lt;/p&gt;</t>
  </si>
  <si>
    <t>&lt;link rel="stylesheet"href="PF.css"&gt;&lt;div class="heading"&gt;&lt;p class="alignleft"&gt;Fox's Cunning, Mass&lt;/p&gt;&lt;div style="clear: both;"&gt;&lt;/div&gt;&lt;/div&gt;&lt;div&gt;&lt;h5&gt;&lt;b&gt;School &lt;/b&gt;transmutation; &lt;b&gt;Level &lt;/b&gt;bard 6, sorcerer/wizard 6, summoner 4, psychic 6&lt;/h5&gt;&lt;/div&gt;&lt;hr/&gt;&lt;div&gt;&lt;h5&gt;&lt;b&gt;CASTING&lt;/b&gt;&lt;/h5&gt;&lt;/div&gt;&lt;hr/&gt;&lt;div&gt;&lt;h5&gt;&lt;b&gt;Casting Time &lt;/b&gt;1 standard action&lt;/h5&gt;&lt;h5&gt;&lt;b&gt;Components &lt;/b&gt;V, S, M/DF (hairs or dung from a fox)&lt;/h5&gt;&lt;/div&gt;&lt;hr/&gt;&lt;div&gt;&lt;h5&gt;&lt;b&gt;EFFECT&lt;/b&gt;&lt;/h5&gt;&lt;/div&gt;&lt;hr/&gt;&lt;div&gt;&lt;h5&gt;&lt;b&gt;Range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&lt;/b&gt;yes&lt;/h5&gt;&lt;/div&gt;&lt;hr/&gt;&lt;div&gt;&lt;h5&gt;&lt;b&gt;DESCRIPTION&lt;/b&gt;&lt;/h5&gt;&lt;/div&gt;&lt;hr/&gt;&lt;div&gt;&lt;h4&gt;&lt;p&gt;This spell functions like fox's cunning, except that it affects multiple creatures.&lt;/p&gt;&lt;/h4&gt;&lt;/div&gt;</t>
  </si>
  <si>
    <t>As fox’s cunning, affects 1 subject/level.</t>
  </si>
  <si>
    <t>Freedom</t>
  </si>
  <si>
    <t>close (25 ft. + 5 ft./2 levels) or see text</t>
  </si>
  <si>
    <t>The subject is freed from spells and effects that restrict movement, including binding, entangle, grappling, imprisonment, maze, paralysis, petrification, pinning, sleep, slow, stunning, temporal stasis, and web. To free a creature from imprisonment or maze, you must know its name and background, and you must cast this spell at the spot where it was entombed or banished into the maze.</t>
  </si>
  <si>
    <t>&lt;p&gt;The subject is freed from spells and effects that restrict movement, including &lt;i&gt;binding, entangle&lt;/i&gt;, grappling, &lt;i&gt;&lt;i&gt;imprisonment&lt;/i&gt;, maze&lt;/i&gt;, paralysis, petrification, pinning, &lt;i&gt;sleep, slow&lt;/i&gt;, stunning, &lt;i&gt;temporal stasis&lt;/i&gt;, and &lt;i&gt;web.&lt;/i&gt; To free a creature from &lt;i&gt;imprisonment&lt;/i&gt; or &lt;i&gt;maze,&lt;/i&gt; you must know its name and background, and you must cast this spell at the spot where it was entombed or banished into the maze.&lt;/p&gt;</t>
  </si>
  <si>
    <t>&lt;link rel="stylesheet"href="PF.css"&gt;&lt;div class="heading"&gt;&lt;p class="alignleft"&gt;Freedom&lt;/p&gt;&lt;div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 or see text&lt;/h5&gt;&lt;h5&gt;&lt;b&gt;Targets &lt;/b&gt;one creature&lt;/h5&gt;&lt;h5&gt;&lt;b&gt;Duration &lt;/b&gt;instantaneous&lt;/h5&gt;&lt;h5&gt;&lt;b&gt;Saving Throw &lt;/b&gt;Will negates (harmless); &lt;b&gt;Spell Resistance &lt;/b&gt;yes&lt;/h5&gt;&lt;/div&gt;&lt;hr/&gt;&lt;div&gt;&lt;h5&gt;&lt;b&gt;DESCRIPTION&lt;/b&gt;&lt;/h5&gt;&lt;/div&gt;&lt;hr/&gt;&lt;div&gt;&lt;h4&gt;&lt;p&gt;The subject is freed from spells and effects that restrict movement, including &lt;i&gt;binding, entangle&lt;/i&gt;, grappling, &lt;i&gt;&lt;i&gt;imprisonment&lt;/i&gt;, maze&lt;/i&gt;, paralysis, petrification, pinning, &lt;i&gt;sleep, slow&lt;/i&gt;, stunning, &lt;i&gt;temporal stasis&lt;/i&gt;, and &lt;i&gt;web.&lt;/i&gt; To free a creature from &lt;i&gt;imprisonment&lt;/i&gt; or &lt;i&gt;maze,&lt;/i&gt; you must know its name and background, and you must cast this spell at the spot where it was entombed or banished into the maze.&lt;/p&gt;&lt;/h4&gt;&lt;/div&gt;</t>
  </si>
  <si>
    <t>Liberation (9)</t>
  </si>
  <si>
    <t> Releases creature from imprisonment.</t>
  </si>
  <si>
    <t>Freedom of Movement</t>
  </si>
  <si>
    <t>bard 4, cleric/oracle 4, druid 4, ranger 4, alchemist 4, inquisitor 4, alchemist 4, inquisitor 4, occultist 4, psychic 4, mesmerist 4, spiritualist 4</t>
  </si>
  <si>
    <t>V, S, M (a leather strip bound to the target), DF</t>
  </si>
  <si>
    <t>This spell enables you or a creature you touch to move and attack normally for the duration of the spell, even under the influence of magic that usually impedes movement, such as paralysis, solid fog, slow, and web. All combat maneuver checks made to grapple the target automatically fail. The subject automatically succeeds on any combat maneuver checks and Escape Artist checks made to escape a grapple or a pin.  The spell also allows the subject to move and attack normally while underwater, even with slashing weapons such as axes and swords or with bludgeoning weapons such as flails, hammers, and maces, provided that the weapon is wielded in the hand rather than hurled. The freedom of movement spell does not, however, grant water breathing.</t>
  </si>
  <si>
    <t>&lt;p&gt;This spell enables you or a creature you touch to move and attack normally for the duration of the spell, even under the influence of magic that usually impedes movement, such as paralysis, solid fog, slow, and &lt;i&gt;web.&lt;/i&gt; All combat maneuver checks made to grapple the target automatically fail. The subject automatically succeeds on any combat maneuver checks and Escape Artist checks made to escape a grapple or a pin.&lt;/p&gt;&lt;p&gt;The spell also allows the subject to move and attack normally while underwater, even with slashing weapons such as axes and swords or with bludgeoning weapons such as flails, hammers, and maces, provided that the weapon is wielded in the hand rather than hurled. The &lt;i&gt;freedom of movement&lt;/i&gt; spell does not, however, grant water breathing.&lt;/p&gt;</t>
  </si>
  <si>
    <t>&lt;link rel="stylesheet"href="PF.css"&gt;&lt;div class="heading"&gt;&lt;p class="alignleft"&gt;Freedom of Movement&lt;/p&gt;&lt;div style="clear: both;"&gt;&lt;/div&gt;&lt;/div&gt;&lt;div&gt;&lt;h5&gt;&lt;b&gt;School &lt;/b&gt;abjuration; &lt;b&gt;Level &lt;/b&gt;bard 4, cleric/oracle 4, druid 4, ranger 4, alchemist 4, inquisitor 4, alchemist 4, inquisitor 4, occultist 4, psychic 4, mesmerist 4, spiritualist 4&lt;/h5&gt;&lt;/div&gt;&lt;hr/&gt;&lt;div&gt;&lt;h5&gt;&lt;b&gt;CASTING&lt;/b&gt;&lt;/h5&gt;&lt;/div&gt;&lt;hr/&gt;&lt;div&gt;&lt;h5&gt;&lt;b&gt;Casting Time &lt;/b&gt;1 standard action&lt;/h5&gt;&lt;h5&gt;&lt;b&gt;Components &lt;/b&gt;V, S, M (a leather strip bound to the target), DF&lt;/h5&gt;&lt;/div&gt;&lt;hr/&gt;&lt;div&gt;&lt;h5&gt;&lt;b&gt;EFFECT&lt;/b&gt;&lt;/h5&gt;&lt;/div&gt;&lt;hr/&gt;&lt;div&gt;&lt;h5&gt;&lt;b&gt;Range &lt;/b&gt;personal or touch&lt;/h5&gt;&lt;h5&gt;&lt;b&gt;Targets &lt;/b&gt;you or creature touched&lt;/h5&gt;&lt;h5&gt;&lt;b&gt;Duration &lt;/b&gt;10 min./level&lt;/h5&gt;&lt;h5&gt;&lt;b&gt;Saving Throw &lt;/b&gt;Will negates (harmless); &lt;b&gt;Spell Resistance &lt;/b&gt;yes (harmless)&lt;/h5&gt;&lt;/div&gt;&lt;hr/&gt;&lt;div&gt;&lt;h5&gt;&lt;b&gt;DESCRIPTION&lt;/b&gt;&lt;/h5&gt;&lt;/div&gt;&lt;hr/&gt;&lt;div&gt;&lt;h4&gt;&lt;p&gt;This spell enables you or a creature you touch to move and attack normally for the duration of the spell, even under the influence of magic that usually impedes movement, such as paralysis, solid fog, slow, and &lt;i&gt;web.&lt;/i&gt; All combat maneuver checks made to grapple the target automatically fail. The subject automatically succeeds on any combat maneuver checks and Escape Artist checks made to escape a grapple or a pin.&lt;/p&gt;&lt;p&gt;The spell also allows the subject to move and attack normally while underwater, even with slashing weapons such as axes and swords or with bludgeoning weapons such as flails, hammers, and maces, provided that the weapon is wielded in the hand rather than hurled. The &lt;i&gt;freedom of movement&lt;/i&gt; spell does not, however, grant water breathing.&lt;/p&gt;&lt;/h4&gt;&lt;/div&gt;</t>
  </si>
  <si>
    <t>Liberation (4), Luck (4), Flowing (4)</t>
  </si>
  <si>
    <t>Subject moves normally despite impediments to restrict movement.</t>
  </si>
  <si>
    <t>Destined (9)</t>
  </si>
  <si>
    <t>Agility (8)</t>
  </si>
  <si>
    <t>Freezing Sphere</t>
  </si>
  <si>
    <t>sorcerer/wizard 6, magus 6, occultist 6</t>
  </si>
  <si>
    <t>V, S, F (a small crystal sphere)</t>
  </si>
  <si>
    <t>see Text</t>
  </si>
  <si>
    <t>instantaneous or 1 round/level; see text</t>
  </si>
  <si>
    <t>Freezing sphere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  If the freezing sphere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  You can refrain from firing the globe after completing the spell, if you wish. Treat this as a touch spell for which you are holding the charge. You can hold the charge for as long as 1 round per level, at the end of which time the freezing sphere bursts centered on you (and you receive no saving throw to resist its effect). Firing the globe in a later round is a standard action.</t>
  </si>
  <si>
    <t>&lt;p&gt;&lt;i&gt;Freezing sphere&lt;/i&gt;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rounds.&lt;/p&gt;&lt;p&gt;If the &lt;i&gt;freezing sphere&lt;/i&gt;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so.&lt;/p&gt;&lt;p&gt;You can refrain from firing the globe after completing the spell, if you wish. Treat this as a touch spell for which you are holding the charge. You can hold the charge for as long as 1 round per level, at the end of which time the &lt;i&gt;freezing sphere&lt;/i&gt; bursts centered on you (and you receive no saving throw to resist its effect). Firing the globe in a later round is a standard action.&lt;/p&gt;</t>
  </si>
  <si>
    <t>&lt;link rel="stylesheet"href="PF.css"&gt;&lt;div class="heading"&gt;&lt;p class="alignleft"&gt;Freezing Sphere&lt;/p&gt;&lt;div style="clear: both;"&gt;&lt;/div&gt;&lt;/div&gt;&lt;div&gt;&lt;h5&gt;&lt;b&gt;School &lt;/b&gt;evocation [cold]; &lt;b&gt;Level &lt;/b&gt;sorcerer/wizard 6, magus 6, occultist 6&lt;/h5&gt;&lt;/div&gt;&lt;hr/&gt;&lt;div&gt;&lt;h5&gt;&lt;b&gt;CASTING&lt;/b&gt;&lt;/h5&gt;&lt;/div&gt;&lt;hr/&gt;&lt;div&gt;&lt;h5&gt;&lt;b&gt;Casting Time &lt;/b&gt;1 standard action&lt;/h5&gt;&lt;h5&gt;&lt;b&gt;Components &lt;/b&gt;V, S, F (a small crystal sphere)&lt;/h5&gt;&lt;/div&gt;&lt;hr/&gt;&lt;div&gt;&lt;h5&gt;&lt;b&gt;EFFECT&lt;/b&gt;&lt;/h5&gt;&lt;/div&gt;&lt;hr/&gt;&lt;div&gt;&lt;h5&gt;&lt;b&gt;Range &lt;/b&gt;long (400 ft. + 40 ft./level)&lt;/h5&gt;&lt;h5&gt;&lt;b&gt;Targets &lt;/b&gt;see text&lt;/h5&gt;&lt;h5&gt;&lt;b&gt;Duration &lt;/b&gt;instantaneous or 1 round/level; see text&lt;/h5&gt;&lt;h5&gt;&lt;b&gt;Saving Throw &lt;/b&gt;Reflex half; see text; &lt;b&gt;Spell Resistance &lt;/b&gt;yes&lt;/h5&gt;&lt;/div&gt;&lt;hr/&gt;&lt;div&gt;&lt;h5&gt;&lt;b&gt;DESCRIPTION&lt;/b&gt;&lt;/h5&gt;&lt;/div&gt;&lt;hr/&gt;&lt;div&gt;&lt;h4&gt;&lt;p&gt;&lt;i&gt;Freezing sphere&lt;/i&gt;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rounds.&lt;/p&gt;&lt;p&gt;If the &lt;i&gt;freezing sphere&lt;/i&gt;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so.&lt;/p&gt;&lt;p&gt;You can refrain from firing the globe after completing the spell, if you wish. Treat this as a touch spell for which you are holding the charge. You can hold the charge for as long as 1 round per level, at the end of which time the &lt;i&gt;freezing sphere&lt;/i&gt; bursts centered on you (and you receive no saving throw to resist its effect). Firing the globe in a later round is a standard action.&lt;/p&gt;&lt;/h4&gt;&lt;/div&gt;</t>
  </si>
  <si>
    <t>Ice (7)</t>
  </si>
  <si>
    <t> Freezes water or deals cold damage.</t>
  </si>
  <si>
    <t>Elements (12), Winter (12)</t>
  </si>
  <si>
    <t>Gaseous Form</t>
  </si>
  <si>
    <t>bard 3, sorcerer/wizard 3, alchemist 3, magus 3, occultist 3, psychic 3, spiritualist 3</t>
  </si>
  <si>
    <t>S, M/DF (a bit of gauze and a wisp of smoke)</t>
  </si>
  <si>
    <t>willing corporeal creature touched</t>
  </si>
  <si>
    <t>2 min./level (D)</t>
  </si>
  <si>
    <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gaseous form. This does not rule out the use of certain spells that the subject may have prepared using the feats Silent Spell, Still Spell, and Eschew Materials. The subject also loses supernatural abilities while in gaseous form. If it has a touch spell ready to use, that spell is discharged harmlessly when the gaseous form spell takes effect.  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gaseous form. Continuously active items remain active, though in some cases their effects may be moot.</t>
  </si>
  <si>
    <t>&lt;p&gt;The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&lt;i&gt;gaseous form&lt;/i&gt;. This does not rule out the use of certain spells that the subject may have prepared using the feats Silent Spell, Still Spell, and Eschew Materials. The subject also loses supernatural abilities while in &lt;i&gt;gaseous form&lt;/i&gt;. If it has a touch spell ready to use, that spell is discharged harmlessly when the &lt;i&gt;gaseous form&lt;/i&gt; spell takes effect.&lt;/p&gt;&lt;p&gt;A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&lt;i&gt;gaseous form&lt;/i&gt;. Continuously active items remain active, though in some cases their effects may be moot.&lt;/p&gt;</t>
  </si>
  <si>
    <t>&lt;link rel="stylesheet"href="PF.css"&gt;&lt;div class="heading"&gt;&lt;p class="alignleft"&gt;Gaseous Form&lt;/p&gt;&lt;div style="clear: both;"&gt;&lt;/div&gt;&lt;/div&gt;&lt;div&gt;&lt;h5&gt;&lt;b&gt;School &lt;/b&gt;transmutation; &lt;b&gt;Level &lt;/b&gt;bard 3, sorcerer/wizard 3, alchemist 3, magus 3, occultist 3, psychic 3, spiritualist 3&lt;/h5&gt;&lt;/div&gt;&lt;hr/&gt;&lt;div&gt;&lt;h5&gt;&lt;b&gt;CASTING&lt;/b&gt;&lt;/h5&gt;&lt;/div&gt;&lt;hr/&gt;&lt;div&gt;&lt;h5&gt;&lt;b&gt;Casting Time &lt;/b&gt;1 standard action&lt;/h5&gt;&lt;h5&gt;&lt;b&gt;Components &lt;/b&gt;S, M/DF (a bit of gauze and a wisp of smoke)&lt;/h5&gt;&lt;/div&gt;&lt;hr/&gt;&lt;div&gt;&lt;h5&gt;&lt;b&gt;EFFECT&lt;/b&gt;&lt;/h5&gt;&lt;/div&gt;&lt;hr/&gt;&lt;div&gt;&lt;h5&gt;&lt;b&gt;Range &lt;/b&gt;touch&lt;/h5&gt;&lt;h5&gt;&lt;b&gt;Targets &lt;/b&gt;willing corporeal creature touched&lt;/h5&gt;&lt;h5&gt;&lt;b&gt;Duration &lt;/b&gt;2 min./level (D)&lt;/h5&gt;&lt;h5&gt;&lt;b&gt;Saving Throw &lt;/b&gt;none; &lt;b&gt;Spell Resistance &lt;/b&gt;no&lt;/h5&gt;&lt;/div&gt;&lt;hr/&gt;&lt;div&gt;&lt;h5&gt;&lt;b&gt;DESCRIPTION&lt;/b&gt;&lt;/h5&gt;&lt;/div&gt;&lt;hr/&gt;&lt;div&gt;&lt;h4&gt;&lt;p&gt;The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&lt;i&gt;gaseous form&lt;/i&gt;. This does not rule out the use of certain spells that the subject may have prepared using the feats Silent Spell, Still Spell, and Eschew Materials. The subject also loses supernatural abilities while in &lt;i&gt;gaseous form&lt;/i&gt;. If it has a touch spell ready to use, that spell is discharged harmlessly when the &lt;i&gt;gaseous form&lt;/i&gt; spell takes effect.&lt;/p&gt;&lt;p&gt;A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&lt;i&gt;gaseous form&lt;/i&gt;. Continuously active items remain active, though in some cases their effects may be moot.&lt;/p&gt;&lt;/h4&gt;&lt;h5&gt;&lt;b&gt;Mythic: &lt;/b&gt;The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action.&lt;/h5&gt;&lt;h5&gt;&lt;b&gt;Augmented&lt;/b&gt;: If you expend two uses of mythic power, the target can shift into or out of gaseous form as a move action.&lt;/h5&gt;&lt;/div&gt;</t>
  </si>
  <si>
    <t>Air (3)</t>
  </si>
  <si>
    <t>Subject becomes insubstantial and can fly slowly.</t>
  </si>
  <si>
    <t>Marid (7), Nanite (7), Protean (7)</t>
  </si>
  <si>
    <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t>
  </si>
  <si>
    <t>Augmented: If you expend two uses of mythic power, the target can shift into or out of gaseous form as a move action.</t>
  </si>
  <si>
    <t>Gate</t>
  </si>
  <si>
    <t>creation or calling</t>
  </si>
  <si>
    <t>cleric/oracle 9, sorcerer/wizard 9, psychic 9</t>
  </si>
  <si>
    <t>V, S, M (see text)</t>
  </si>
  <si>
    <t>instantaneous or concentration (up to 1 round/level); see text</t>
  </si>
  <si>
    <t>Casting a gate spell has two effects. First, it creates an interdimensional connection between your plane of existence and a plane you specify, allowing travel between those two planes in either direction.  Second, you may then call a particular individual or kind of being through the gate.  The gate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  A gate has a front and a back. Creatures moving through the gate from the front are transported to the other plane; creatures moving through it from the back are not.  Planar Travel: As a mode of planar travel, a gate spell functions much like a plane shift spell, except that the gate opens precisely at the point you desire (a creation effect). Deities and other beings who rule a planar realm can prevent a gate from opening in their presence or personal demesnes if they so desire. Travelers need not join hands with you-anyone who chooses to step through the portal is transported. A gate cannot be opened to another point on the same plane; the spell works only for interplanar travel.  You may hold the gate open only for a brief time (no more than 1 round per caster level), and you must concentrate on doing so, or else the interplanar connection is severed.  Calling Creatures: The second effect of the gate spell is to call an extraplanar creature to your aid (a calling effect). By naming a particular being or kind of being as you cast the spell, you cause the gate to open in the immediate vicinity of the desired creature and pull the subject through, willing or unwilling. Deities and unique beings are under no compulsion to come through the gate, although they may choose to do so of their own accord. This use of the spell creates a gate that remains open just long enough to transport the called creatures. This use of the spell has a material cost of 10,000 gp in rare incense and offerings. This cost is in addition to any cost that must be paid to the called creatures.  If you choose to call a kind of creature instead of a known individual, you may call either a single creature or several creatures.  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  If you choose to exact a longer or more involved form of service from a called creature, you must offer some fair trade in return for that service. The service exacted must be reasonable with respect to the promised favor or reward; see the lesser planar ally spell for appropriate rewards. Some creatures may want their payment in "livestock" rather than in coin, which could involve complications.  Immediately upon completion of the service, the being is transported to your vicinity, and you must then and there turn over the promised reward. After this is done, the creature is instantly freed to return to its own plane.  Failure to fulfill the promise to the letter results in your being subjected to service by the creature or by its liege and master, at the very least. At worst, the creature or its kin may attack you.  Note: When you use a calling spell such as gate to call an air, chaotic, earth, evil, fire, good, lawful, or water creature, it becomes a spell of that type.</t>
  </si>
  <si>
    <t>&lt;p&gt;Casting a &lt;i&gt;gate&lt;/i&gt; spell has two effects. First, it creates an interdimensional connection between your plane of existence and a plane you specify, allowing travel between those two planes in either direction.&lt;/p&gt;&lt;p&gt;Second, you may then call a particular individual or kind of being through the &lt;i&gt;gate&lt;/i&gt;.&lt;/p&gt;&lt;p&gt;The &lt;i&gt;gate&lt;/i&gt;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side.&lt;/p&gt;&lt;p&gt;A &lt;i&gt;gate&lt;/i&gt; has a front and a back. Creatures moving through the &lt;i&gt;gate&lt;/i&gt; from the front are transported to the other plane; creatures moving through it from the back are not.&lt;/p&gt;&lt;p&gt;&lt;i&gt;Planar Travel&lt;/i&gt;: As a mode of planar travel, a &lt;i&gt;gate&lt;/i&gt; spell functions much like a &lt;i&gt;plane shift&lt;/i&gt; spell, except that the &lt;i&gt;gate&lt;/i&gt; opens precisely at the point you desire (a creation effect). Deities and other beings who rule a planar realm can prevent a &lt;i&gt;gate&lt;/i&gt; from opening in their presence or personal demesnes if they so desire. Travelers need not join hands with you-anyone who chooses to step through the portal is transported. A &lt;i&gt;gate&lt;/i&gt; cannot be opened to another point on the same plane; the spell works only for interplanar travel.&lt;/p&gt;&lt;p&gt;You may hold the &lt;i&gt;gate&lt;/i&gt; open only for a brief time (no more than 1 round per caster level), and you must concentrate on doing so, or else the interplanar connection is severed.&lt;/p&gt;&lt;p&gt;&lt;i&gt;Calling Creatures&lt;/i&gt;: The second effect of the &lt;i&gt;gate&lt;/i&gt; spell is to call an extraplanar creature to your aid (a calling effect). By naming a particular being or kind of being as you cast the spell, you cause the &lt;i&gt;gate&lt;/i&gt; to open in the immediate vicinity of the desired creature and pull the subject through, willing or unwilling. Deities and unique beings are under no compulsion to come through the &lt;i&gt;gate&lt;/i&gt;, although they may choose to do so of their own accord. This use of the spell creates a &lt;i&gt;gate&lt;/i&gt; that remains open just long enough to transport the called creatures. This use of the spell has a material cost of 10,000 gp in rare incense and offerings. This cost is in addition to any cost that must be paid to the called creatures.&lt;/p&gt;&lt;p&gt;If you choose to call a kind of creature instead of a known individual, you may call either a single creature or several creatures.&lt;/p&gt;&lt;p&gt;In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time.&lt;/p&gt;&lt;p&gt;If you choose to exact a longer or more involved form of service from a called creature, you must offer some fair trade in return for that service. The service exacted must be reasonable with respect to the promised favor or reward; see the &lt;i&gt;lesser planar ally&lt;/i&gt; spell for appropriate rewards. Some creatures may want their payment in "livestock" rather than in coin, which could involve complications.&lt;/p&gt;&lt;p&gt;Immediately upon completion of the service, the being is transported to your vicinity, and you must then and there turn over the promised reward. After this is done, the creature is instantly freed to return to its own plane.&lt;/p&gt;&lt;p&gt;Failure to fulfill the promise to the letter results in your being subjected to service by the creature or by its liege and master, at the very least. At worst, the creature or its kin may attack you.&lt;/p&gt;&lt;p&gt;&lt;i&gt;Note:&lt;/i&gt; When you use a calling spell such as &lt;i&gt;gate&lt;/i&gt; to call an air, chaotic, earth, evil, fire, good, lawful, or water creature, it becomes a spell of that type.&lt;/p&gt;</t>
  </si>
  <si>
    <t>&lt;link rel="stylesheet"href="PF.css"&gt;&lt;div class="heading"&gt;&lt;p class="alignleft"&gt;Gate&lt;/p&gt;&lt;div style="clear: both;"&gt;&lt;/div&gt;&lt;/div&gt;&lt;div&gt;&lt;h5&gt;&lt;b&gt;School &lt;/b&gt;conjuration (creation or calling); &lt;b&gt;Level &lt;/b&gt;cleric/oracle 9, sorcerer/wizard 9, psychic 9&lt;/h5&gt;&lt;/div&gt;&lt;hr/&gt;&lt;div&gt;&lt;h5&gt;&lt;b&gt;CASTING&lt;/b&gt;&lt;/h5&gt;&lt;/div&gt;&lt;hr/&gt;&lt;div&gt;&lt;h5&gt;&lt;b&gt;Casting Time &lt;/b&gt;1 standard action&lt;/h5&gt;&lt;h5&gt;&lt;b&gt;Components &lt;/b&gt;V, S, M (see text)&lt;/h5&gt;&lt;/div&gt;&lt;hr/&gt;&lt;div&gt;&lt;h5&gt;&lt;b&gt;EFFECT&lt;/b&gt;&lt;/h5&gt;&lt;/div&gt;&lt;hr/&gt;&lt;div&gt;&lt;h5&gt;&lt;b&gt;Range &lt;/b&gt;medium (100 ft. + 10 ft./level)&lt;/h5&gt;&lt;h5&gt;&lt;b&gt;Effect &lt;/b&gt;see text&lt;/h5&gt;&lt;h5&gt;&lt;b&gt;Duration &lt;/b&gt;instantaneous or concentration (up to 1 round/level); see text&lt;/h5&gt;&lt;h5&gt;&lt;b&gt;Saving Throw &lt;/b&gt;none; &lt;b&gt;Spell Resistance &lt;/b&gt;no&lt;/h5&gt;&lt;/div&gt;&lt;hr/&gt;&lt;div&gt;&lt;h5&gt;&lt;b&gt;DESCRIPTION&lt;/b&gt;&lt;/h5&gt;&lt;/div&gt;&lt;hr/&gt;&lt;div&gt;&lt;h4&gt;&lt;p&gt;Casting a &lt;i&gt;gate&lt;/i&gt; spell has two effects. First, it creates an interdimensional connection between your plane of existence and a plane you specify, allowing travel between those two planes in either direction.&lt;/p&gt;&lt;p&gt;Second, you may then call a particular individual or kind of being through the &lt;i&gt;gate&lt;/i&gt;.&lt;/p&gt;&lt;p&gt;The &lt;i&gt;gate&lt;/i&gt;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side.&lt;/p&gt;&lt;p&gt;A &lt;i&gt;gate&lt;/i&gt; has a front and a back. Creatures moving through the &lt;i&gt;gate&lt;/i&gt; from the front are transported to the other plane; creatures moving through it from the back are not.&lt;/p&gt;&lt;p&gt;&lt;i&gt;Planar Travel&lt;/i&gt;: As a mode of planar travel, a &lt;i&gt;gate&lt;/i&gt; spell functions much like a &lt;i&gt;plane shift&lt;/i&gt; spell, except that the &lt;i&gt;gate&lt;/i&gt; opens precisely at the point you desire (a creation effect). Deities and other beings who rule a planar realm can prevent a &lt;i&gt;gate&lt;/i&gt; from opening in their presence or personal demesnes if they so desire. Travelers need not join hands with you-anyone who chooses to step through the portal is transported. A &lt;i&gt;gate&lt;/i&gt; cannot be opened to another point on the same plane; the spell works only for interplanar travel.&lt;/p&gt;&lt;p&gt;You may hold the &lt;i&gt;gate&lt;/i&gt; open only for a brief time (no more than 1 round per caster level), and you must concentrate on doing so, or else the interplanar connection is severed.&lt;/p&gt;&lt;p&gt;&lt;i&gt;Calling Creatures&lt;/i&gt;: The second effect of the &lt;i&gt;gate&lt;/i&gt; spell is to call an extraplanar creature to your aid (a calling effect). By naming a particular being or kind of being as you cast the spell, you cause the &lt;i&gt;gate&lt;/i&gt; to open in the immediate vicinity of the desired creature and pull the subject through, willing or unwilling. Deities and unique beings are under no compulsion to come through the &lt;i&gt;gate&lt;/i&gt;, although they may choose to do so of their own accord. This use of the spell creates a &lt;i&gt;gate&lt;/i&gt; that remains open just long enough to transport the called creatures. This use of the spell has a material cost of 10,000 gp in rare incense and offerings. This cost is in addition to any cost that must be paid to the called creatures.&lt;/p&gt;&lt;p&gt;If you choose to call a kind of creature instead of a known individual, you may call either a single creature or several creatures.&lt;/p&gt;&lt;p&gt;In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time.&lt;/p&gt;&lt;p&gt;If you choose to exact a longer or more involved form of service from a called creature, you must offer some fair trade in return for that service. The service exacted must be reasonable with respect to the promised favor or reward; see the &lt;i&gt;lesser planar ally&lt;/i&gt; spell for appropriate rewards. Some creatures may want their payment in "livestock" rather than in coin, which could involve complications.&lt;/p&gt;&lt;p&gt;Immediately upon completion of the service, the being is transported to your vicinity, and you must then and there turn over the promised reward. After this is done, the creature is instantly freed to return to its own plane.&lt;/p&gt;&lt;p&gt;Failure to fulfill the promise to the letter results in your being subjected to service by the creature or by its liege and master, at the very least. At worst, the creature or its kin may attack you.&lt;/p&gt;&lt;p&gt;&lt;i&gt;Note:&lt;/i&gt; When you use a calling spell such as &lt;i&gt;gate&lt;/i&gt; to call an air, chaotic, earth, evil, fire, good, lawful, or water creature, it becomes a spell of that type.&lt;/p&gt;&lt;/h4&gt;&lt;/div&gt;</t>
  </si>
  <si>
    <t>Glory (9), Trade (9)</t>
  </si>
  <si>
    <t>Connects two planes for travel or summoning.</t>
  </si>
  <si>
    <t>Celestial (19)</t>
  </si>
  <si>
    <t>Boundaries (18), Occult (18), Dimensions (18)</t>
  </si>
  <si>
    <t>Geas/Quest</t>
  </si>
  <si>
    <t>language-dependent, mind-affecting, curse</t>
  </si>
  <si>
    <t>bard 6, cleric/oracle 6, sorcerer/wizard 6, inquisitor 5, witch 6, psychic 6, mesmerist 6</t>
  </si>
  <si>
    <t>1 day/level or until discharged</t>
  </si>
  <si>
    <t>This spell functions similarly to lesser geas, except that it affects a creature of any HD and allows no saving throw.  If the subject is prevented from obeying the geas/quest for 24 hours, it takes a -3 penalty to each of its ability scores. Each day, another -3 penalty accumulates, up to a total of -12. No ability score can be reduced to less than 1 by this effect. The ability score penalties are removed 24 hours after the subject resumes obeying the geas/quest.  A remove curse spell ends a geas/quest spell only if its caster level is at least two higher than your caster level. Break enchantment does not end a geas/quest, but limited wish, miracle, and wish do.  Bards, sorcerers, and wizards usually refer to this spell as geas, while clerics call the same spell quest.</t>
  </si>
  <si>
    <t>&lt;p&gt;This spell functions similarly to &lt;i&gt;lesser &lt;i&gt;geas,&lt;/i&gt;&lt;/i&gt; except that it affects a creature of any HD and allows no saving throw.&lt;/p&gt;&lt;p&gt;If the subject is prevented from obeying the &lt;i&gt;geas/quest&lt;/i&gt; for 24 hours, it takes a -3 penalty to each of its ability scores. Each day, another -3 penalty accumulates, up to a total of -12. No ability score can be reduced to less than 1 by this effect. The ability score penalties are removed 24 hours after the subject resumes obeying the &lt;i&gt;geas/quest&lt;/i&gt;.&lt;/p&gt;&lt;p&gt;A remove curse spell ends a &lt;i&gt;geas/quest&lt;/i&gt; spell only if its caster level is at least two higher than your caster level. &lt;i&gt;Break enchantment&lt;/i&gt; does not end a &lt;i&gt;geas/quest&lt;/i&gt;, but limited &lt;i&gt;wish&lt;/i&gt;, miracle, and &lt;i&gt;wish&lt;/i&gt; do.&lt;/p&gt;&lt;p&gt;Bards, sorcerers, and wizards usually refer to this spell as &lt;i&gt;geas,&lt;/i&gt; while clerics call the same spell quest.&lt;/p&gt;</t>
  </si>
  <si>
    <t>&lt;link rel="stylesheet"href="PF.css"&gt;&lt;div class="heading"&gt;&lt;p class="alignleft"&gt;Geas /Quest&lt;/p&gt;&lt;div style="clear: both;"&gt;&lt;/div&gt;&lt;/div&gt;&lt;div&gt;&lt;h5&gt;&lt;b&gt;School &lt;/b&gt;enchantment (compulsion) [language-dependent, mind-affecting, curse]; &lt;b&gt;Level &lt;/b&gt;bard 6, cleric/oracle 6, sorcerer/wizard 6, inquisitor 5, witch 6, psychic 6, mesmerist 6&lt;/h5&gt;&lt;/div&gt;&lt;hr/&gt;&lt;div&gt;&lt;h5&gt;&lt;b&gt;CASTING&lt;/b&gt;&lt;/h5&gt;&lt;/div&gt;&lt;hr/&gt;&lt;div&gt;&lt;h5&gt;&lt;b&gt;Casting Time &lt;/b&gt;10 minutes&lt;/h5&gt;&lt;h5&gt;&lt;b&gt;Components &lt;/b&gt;V&lt;/h5&gt;&lt;/div&gt;&lt;hr/&gt;&lt;div&gt;&lt;h5&gt;&lt;b&gt;EFFECT&lt;/b&gt;&lt;/h5&gt;&lt;/div&gt;&lt;hr/&gt;&lt;div&gt;&lt;h5&gt;&lt;b&gt;Range &lt;/b&gt;close (25 ft. + 5 ft./2 levels)&lt;/h5&gt;&lt;h5&gt;&lt;b&gt;Targets &lt;/b&gt;one living creature&lt;/h5&gt;&lt;h5&gt;&lt;b&gt;Duration &lt;/b&gt;1 day/level or until discharged (D)&lt;/h5&gt;&lt;h5&gt;&lt;b&gt;Saving Throw &lt;/b&gt;none; &lt;b&gt;Spell Resistance &lt;/b&gt;yes&lt;/h5&gt;&lt;/div&gt;&lt;hr/&gt;&lt;div&gt;&lt;h5&gt;&lt;b&gt;DESCRIPTION&lt;/b&gt;&lt;/h5&gt;&lt;/div&gt;&lt;hr/&gt;&lt;div&gt;&lt;h4&gt;&lt;p&gt;This spell functions similarly to &lt;i&gt;lesser &lt;i&gt;geas,&lt;/i&gt;&lt;/i&gt; except that it affects a creature of any HD and allows no saving throw.&lt;/p&gt;&lt;p&gt;If the subject is prevented from obeying the &lt;i&gt;geas/quest&lt;/i&gt; for 24 hours, it takes a -3 penalty to each of its ability scores. Each day, another -3 penalty accumulates, up to a total of -12. No ability score can be reduced to less than 1 by this effect. The ability score penalties are removed 24 hours after the subject resumes obeying the &lt;i&gt;geas/quest&lt;/i&gt;.&lt;/p&gt;&lt;p&gt;A remove curse spell ends a &lt;i&gt;geas/quest&lt;/i&gt; spell only if its caster level is at least two higher than your caster level. &lt;i&gt;Break enchantment&lt;/i&gt; does not end a &lt;i&gt;geas/quest&lt;/i&gt;, but limited &lt;i&gt;wish&lt;/i&gt;, miracle, and &lt;i&gt;wish&lt;/i&gt; do.&lt;/p&gt;&lt;p&gt;Bards, sorcerers, and wizards usually refer to this spell as &lt;i&gt;geas,&lt;/i&gt; while clerics call the same spell quest.&lt;/p&gt;&lt;/h4&gt;&lt;/div&gt;</t>
  </si>
  <si>
    <t>Ancestors (6), Charm (6), Honor (6), Nobility (6)</t>
  </si>
  <si>
    <t>As lesser geas, but affects any creature.</t>
  </si>
  <si>
    <t>Enchantment (12)</t>
  </si>
  <si>
    <t>Geas, Lesser</t>
  </si>
  <si>
    <t>bard 3, sorcerer/wizard 4, witch 4, inquisitor 4, psychic 4, mesmerist 3</t>
  </si>
  <si>
    <t>one living creature with 7 HD or less</t>
  </si>
  <si>
    <t>A lesser geas places a magical command on a creature to carry out some service or to refrain from some action or course of activity, as desired by you. The creature must have 7 or fewer HD and be able to understand you. While a geas cannot compel a creature to kill itself or perform acts that would result in certain death, it can cause almost any other course of activity.  The geased creature must follow the given instructions until the geas is completed, no matter how long it takes.  If the instructions involve some open-ended task that the recipient cannot complete through his own actions, the spell remains in effect for a maximum of 1 day per caster level. A clever recipient can subvert some instructions.  If the subject is prevented from obeying the lesser geas for 24 hours, it takes a -2 penalty to each of its ability scores. Each day, another -2 penalty accumulates, up to a total of -8. No ability score can be reduced to less than 1 by this effect. The ability score penalties are removed 24 hours after the subject resumes obeying the lesser geas.  A lesser geas (and all ability score penalties) can be ended by break enchantment, limited wish, remove curse, miracle, or wish. Dispel magic does not affect a lesser geas.</t>
  </si>
  <si>
    <t>&lt;p&gt;A &lt;i&gt;lesser &lt;i&gt;geas&lt;/i&gt;&lt;/i&gt; places a magical command on a creature to carry out some service or to refrain from some action or course of activity, as desired by you. The creature must have 7 or fewer HD and be able to understand you. While a &lt;i&gt;geas&lt;/i&gt; cannot compel a creature to kill itself or perform acts that would result in certain death, it can cause almost any other course of activity.&lt;/p&gt;&lt;p&gt;The &lt;i&gt;geas&lt;/i&gt;ed creature must follow the given instructions until the &lt;i&gt;geas&lt;/i&gt; is completed, no matter how long it takes.&lt;/p&gt;&lt;p&gt;If the instructions involve some open-ended task that the recipient cannot complete through his own actions, the spell remains in effect for a maximum of 1 day per caster level. A clever recipient can subvert some instructions.&lt;/p&gt;&lt;p&gt;If the subject is prevented from obeying the &lt;i&gt;lesser &lt;i&gt;geas&lt;/i&gt;&lt;/i&gt; for 24 hours, it takes a -2 penalty to each of its ability scores. Each day, another -2 penalty accumulates, up to a total of -8. No ability score can be reduced to less than 1 by this effect. The ability score penalties are removed 24 hours after the subject resumes obeying the &lt;i&gt;lesser &lt;i&gt;geas&lt;/i&gt;&lt;/i&gt;.&lt;/p&gt;&lt;p&gt;A &lt;i&gt;lesser &lt;i&gt;geas&lt;/i&gt;&lt;/i&gt; (and all ability score penalties) can be ended by break enchantment, limited wish, remove curse, miracle, or &lt;i&gt;wish. Dispel magic&lt;/i&gt; does not affect a &lt;i&gt;lesser &lt;i&gt;geas&lt;/i&gt;&lt;/i&gt;.&lt;/p&gt;</t>
  </si>
  <si>
    <t>&lt;link rel="stylesheet"href="PF.css"&gt;&lt;div class="heading"&gt;&lt;p class="alignleft"&gt;Geas, Lesser&lt;/p&gt;&lt;div style="clear: both;"&gt;&lt;/div&gt;&lt;/div&gt;&lt;div&gt;&lt;h5&gt;&lt;b&gt;School &lt;/b&gt;enchantment (compulsion) [language-dependent, mind-affecting, curse]; &lt;b&gt;Level &lt;/b&gt;bard 3, sorcerer/wizard 4, witch 4, inquisitor 4, psychic 4, mesmerist 3&lt;/h5&gt;&lt;/div&gt;&lt;hr/&gt;&lt;div&gt;&lt;h5&gt;&lt;b&gt;CASTING&lt;/b&gt;&lt;/h5&gt;&lt;/div&gt;&lt;hr/&gt;&lt;div&gt;&lt;h5&gt;&lt;b&gt;Casting Time &lt;/b&gt;1 round&lt;/h5&gt;&lt;h5&gt;&lt;b&gt;Components &lt;/b&gt;V&lt;/h5&gt;&lt;/div&gt;&lt;hr/&gt;&lt;div&gt;&lt;h5&gt;&lt;b&gt;EFFECT&lt;/b&gt;&lt;/h5&gt;&lt;/div&gt;&lt;hr/&gt;&lt;div&gt;&lt;h5&gt;&lt;b&gt;Range &lt;/b&gt;close (25 ft. + 5 ft./2 levels)&lt;/h5&gt;&lt;h5&gt;&lt;b&gt;Targets &lt;/b&gt;one living creature with 7 HD or less&lt;/h5&gt;&lt;h5&gt;&lt;b&gt;Duration &lt;/b&gt;1 day/level or until discharged (D)&lt;/h5&gt;&lt;h5&gt;&lt;b&gt;Saving Throw &lt;/b&gt;Will negates; &lt;b&gt;Spell Resistance &lt;/b&gt;yes&lt;/h5&gt;&lt;/div&gt;&lt;hr/&gt;&lt;div&gt;&lt;h5&gt;&lt;b&gt;DESCRIPTION&lt;/b&gt;&lt;/h5&gt;&lt;/div&gt;&lt;hr/&gt;&lt;div&gt;&lt;h4&gt;&lt;p&gt;A &lt;i&gt;lesser &lt;i&gt;geas&lt;/i&gt;&lt;/i&gt; places a magical command on a creature to carry out some service or to refrain from some action or course of activity, as desired by you. The creature must have 7 or fewer HD and be able to understand you. While a &lt;i&gt;geas&lt;/i&gt; cannot compel a creature to kill itself or perform acts that would result in certain death, it can cause almost any other course of activity.&lt;/p&gt;&lt;p&gt;The &lt;i&gt;geas&lt;/i&gt;ed creature must follow the given instructions until the &lt;i&gt;geas&lt;/i&gt; is completed, no matter how long it takes.&lt;/p&gt;&lt;p&gt;If the instructions involve some open-ended task that the recipient cannot complete through his own actions, the spell remains in effect for a maximum of 1 day per caster level. A clever recipient can subvert some instructions.&lt;/p&gt;&lt;p&gt;If the subject is prevented from obeying the &lt;i&gt;lesser &lt;i&gt;geas&lt;/i&gt;&lt;/i&gt; for 24 hours, it takes a -2 penalty to each of its ability scores. Each day, another -2 penalty accumulates, up to a total of -8. No ability score can be reduced to less than 1 by this effect. The ability score penalties are removed 24 hours after the subject resumes obeying the &lt;i&gt;lesser &lt;i&gt;geas&lt;/i&gt;&lt;/i&gt;.&lt;/p&gt;&lt;p&gt;A &lt;i&gt;lesser &lt;i&gt;geas&lt;/i&gt;&lt;/i&gt; (and all ability score penalties) can be ended by break enchantment, limited wish, remove curse, miracle, or &lt;i&gt;wish. Dispel magic&lt;/i&gt; does not affect a &lt;i&gt;lesser &lt;i&gt;geas&lt;/i&gt;&lt;/i&gt;.&lt;/p&gt;&lt;/h4&gt;&lt;/div&gt;</t>
  </si>
  <si>
    <t>Commands subject of 7 HD or less.</t>
  </si>
  <si>
    <t>Gentle Repose</t>
  </si>
  <si>
    <t>cleric/oracle 2, sorcerer/wizard 3, witch 2, shaman 2, occultist 3, spiritualist 2</t>
  </si>
  <si>
    <t>V, S, M/DF (salt and a copper piece for each of the corpse's eyes)</t>
  </si>
  <si>
    <t>corpse touched</t>
  </si>
  <si>
    <t>You preserve the remains of a dead creature so that they do not decay. Doing so effectively extends the time limit on raising that creature from the dead (see raise dead). Days spent under the influence of this spell don't count against the time limit.  Additionally, this spell makes transporting a slain (and thus decaying) comrade less unpleasant.  The spell also works on severed body parts and the like.</t>
  </si>
  <si>
    <t>&lt;p&gt;You preserve the remains of a dead creature so that they do not decay. Doing so effectively extends the time limit on raising that creature from the dead (see &lt;i&gt;raise dead&lt;/i&gt;). Days spent under the influence of this spell don't count against the time limit.&lt;/p&gt;&lt;p&gt;Additionally, this spell makes transporting a slain (and thus decaying) comrade less unpleasant.&lt;/p&gt;&lt;p&gt;The spell also works on severed body parts and the like.&lt;/p&gt;</t>
  </si>
  <si>
    <t>&lt;link rel="stylesheet"href="PF.css"&gt;&lt;div class="heading"&gt;&lt;p class="alignleft"&gt;Gentle Repose&lt;/p&gt;&lt;div style="clear: both;"&gt;&lt;/div&gt;&lt;/div&gt;&lt;div&gt;&lt;h5&gt;&lt;b&gt;School &lt;/b&gt;necromancy; &lt;b&gt;Level &lt;/b&gt;cleric/oracle 2, sorcerer/wizard 3, witch 2, shaman 2, occultist 3, spiritualist 2&lt;/h5&gt;&lt;/div&gt;&lt;hr/&gt;&lt;div&gt;&lt;h5&gt;&lt;b&gt;CASTING&lt;/b&gt;&lt;/h5&gt;&lt;/div&gt;&lt;hr/&gt;&lt;div&gt;&lt;h5&gt;&lt;b&gt;Casting Time &lt;/b&gt;1 standard action&lt;/h5&gt;&lt;h5&gt;&lt;b&gt;Components &lt;/b&gt;V, S, M/DF (salt and a copper piece for each of the corpse's eyes)&lt;/h5&gt;&lt;/div&gt;&lt;hr/&gt;&lt;div&gt;&lt;h5&gt;&lt;b&gt;EFFECT&lt;/b&gt;&lt;/h5&gt;&lt;/div&gt;&lt;hr/&gt;&lt;div&gt;&lt;h5&gt;&lt;b&gt;Range &lt;/b&gt;touch&lt;/h5&gt;&lt;h5&gt;&lt;b&gt;Targets &lt;/b&gt;corpse touched&lt;/h5&gt;&lt;h5&gt;&lt;b&gt;Duration &lt;/b&gt;1 day/level&lt;/h5&gt;&lt;h5&gt;&lt;b&gt;Saving Throw &lt;/b&gt;Will negates (object); &lt;b&gt;Spell Resistance &lt;/b&gt;yes (object)&lt;/h5&gt;&lt;/div&gt;&lt;hr/&gt;&lt;div&gt;&lt;h5&gt;&lt;b&gt;DESCRIPTION&lt;/b&gt;&lt;/h5&gt;&lt;/div&gt;&lt;hr/&gt;&lt;div&gt;&lt;h4&gt;&lt;p&gt;You preserve the remains of a dead creature so that they do not decay. Doing so effectively extends the time limit on raising that creature from the dead (see &lt;i&gt;raise dead&lt;/i&gt;). Days spent under the influence of this spell don't count against the time limit.&lt;/p&gt;&lt;p&gt;Additionally, this spell makes transporting a slain (and thus decaying) comrade less unpleasant.&lt;/p&gt;&lt;p&gt;The spell also works on severed body parts and the like.&lt;/p&gt;&lt;/h4&gt;&lt;/div&gt;</t>
  </si>
  <si>
    <t>Repose (2)</t>
  </si>
  <si>
    <t>Preserves one corpse.</t>
  </si>
  <si>
    <t>Ghost Sound</t>
  </si>
  <si>
    <t>figment</t>
  </si>
  <si>
    <t>bard 0, sorcerer/wizard 0, magus 0, occultist 0, psychic 0, mesmerist 0</t>
  </si>
  <si>
    <t>V, S, M (a bit of wool or a small lump of wax)</t>
  </si>
  <si>
    <t>illusory sounds</t>
  </si>
  <si>
    <t>Will disbelief</t>
  </si>
  <si>
    <t>Ghost sound allows you to create a volume of sound that rises, recedes, approaches, or remains at a fixed place. You choose what type of sound ghost sound creates when casting it and cannot thereafter change the sound's basic character.  The volume of sound created depends on your level. You can produce as much noise as four normal humans per caster level (maximum 40 humans). Thus, talking, singing, shouting, walking, marching, or running sounds can be created. The noise a ghost sound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ghost sound receives a Will save to disbelieve.  Ghost sound can enhance the effectiveness of a silent image spell.  Ghost sound can be made permanent with a permanency spell.</t>
  </si>
  <si>
    <t>&lt;p&gt;&lt;i&gt;Ghost sound&lt;/i&gt; allows you to create a volume of sound that rises, recedes, approaches, or remains at a fixed place. You choose what type of sound &lt;i&gt;ghost sound&lt;/i&gt; creates when casting it and cannot thereafter change the sound's basic character.&lt;/p&gt;&lt;p&gt;The volume of sound created depends on your level. You can produce as much noise as four normal humans per caster level (maximum 40 humans). Thus, talking, singing, shouting, walking, marching, or running sounds can be created. The noise a &lt;i&gt;ghost sound&lt;/i&gt;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&lt;i&gt;ghost sound&lt;/i&gt; receives a Will save to disbelieve.&lt;/p&gt;&lt;p&gt;&lt;i&gt;Ghost sound&lt;/i&gt; can enhance the effectiveness of a &lt;i&gt;silent image&lt;/i&gt; spell.&lt;/p&gt;&lt;p&gt;&lt;i&gt;Ghost sound&lt;/i&gt; can be made permanent with a &lt;i&gt;permanency&lt;/i&gt; spell.&lt;/p&gt;</t>
  </si>
  <si>
    <t>&lt;link rel="stylesheet"href="PF.css"&gt;&lt;div class="heading"&gt;&lt;p class="alignleft"&gt;Ghost Sound&lt;/p&gt;&lt;div style="clear: both;"&gt;&lt;/div&gt;&lt;/div&gt;&lt;div&gt;&lt;h5&gt;&lt;b&gt;School &lt;/b&gt;illusion (figment); &lt;b&gt;Level &lt;/b&gt;bard 0, sorcerer/wizard 0, magus 0, occultist 0, psychic 0, mesmerist 0&lt;/h5&gt;&lt;/div&gt;&lt;hr/&gt;&lt;div&gt;&lt;h5&gt;&lt;b&gt;CASTING&lt;/b&gt;&lt;/h5&gt;&lt;/div&gt;&lt;hr/&gt;&lt;div&gt;&lt;h5&gt;&lt;b&gt;Casting Time &lt;/b&gt;1 standard action&lt;/h5&gt;&lt;h5&gt;&lt;b&gt;Components &lt;/b&gt;V, S, M (a bit of wool or a small lump of wax)&lt;/h5&gt;&lt;/div&gt;&lt;hr/&gt;&lt;div&gt;&lt;h5&gt;&lt;b&gt;EFFECT&lt;/b&gt;&lt;/h5&gt;&lt;/div&gt;&lt;hr/&gt;&lt;div&gt;&lt;h5&gt;&lt;b&gt;Range &lt;/b&gt;close (25 ft. + 5 ft./2 levels)&lt;/h5&gt;&lt;h5&gt;&lt;b&gt;Effect &lt;/b&gt;illusory sounds&lt;/h5&gt;&lt;h5&gt;&lt;b&gt;Duration &lt;/b&gt;1 round/level (D)&lt;/h5&gt;&lt;h5&gt;&lt;b&gt;Saving Throw &lt;/b&gt;Will disbelief; &lt;b&gt;Spell Resistance &lt;/b&gt;no&lt;/h5&gt;&lt;/div&gt;&lt;hr/&gt;&lt;div&gt;&lt;h5&gt;&lt;b&gt;DESCRIPTION&lt;/b&gt;&lt;/h5&gt;&lt;/div&gt;&lt;hr/&gt;&lt;div&gt;&lt;h4&gt;&lt;p&gt;&lt;i&gt;Ghost sound&lt;/i&gt; allows you to create a volume of sound that rises, recedes, approaches, or remains at a fixed place. You choose what type of sound &lt;i&gt;ghost sound&lt;/i&gt; creates when casting it and cannot thereafter change the sound's basic character.&lt;/p&gt;&lt;p&gt;The volume of sound created depends on your level. You can produce as much noise as four normal humans per caster level (maximum 40 humans). Thus, talking, singing, shouting, walking, marching, or running sounds can be created. The noise a &lt;i&gt;ghost sound&lt;/i&gt;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&lt;i&gt;ghost sound&lt;/i&gt; receives a Will save to disbelieve.&lt;/p&gt;&lt;p&gt;&lt;i&gt;Ghost sound&lt;/i&gt; can enhance the effectiveness of a &lt;i&gt;silent image&lt;/i&gt; spell.&lt;/p&gt;&lt;p&gt;&lt;i&gt;Ghost sound&lt;/i&gt; can be made permanent with a &lt;i&gt;permanency&lt;/i&gt; spell.&lt;/p&gt;&lt;/h4&gt;&lt;/div&gt;</t>
  </si>
  <si>
    <t>Figment sounds.</t>
  </si>
  <si>
    <t>Ghoul touch</t>
  </si>
  <si>
    <t>sorcerer/wizard 2, bloodrager 2, spiritualist 2</t>
  </si>
  <si>
    <t>V, S, M (cloth from a ghoul or earth from a ghoul's lair)</t>
  </si>
  <si>
    <t>living humanoid touched</t>
  </si>
  <si>
    <t>1d6+2 rounds</t>
  </si>
  <si>
    <t>Imbuing you with negative energy, this spell allows you to paralyze a single living humanoid for the duration of the spell with a successful melee touch attack.  A paralyzed subject exudes a carrion stench that causes all living creatures (except you) in a 10-foot-radius spread to become sickened (Fortitude negates). A neutralize poison spell removes the effect from a sickened creature, and creatures immune to poison are unaffected by the stench. This is a poison effect.</t>
  </si>
  <si>
    <t>&lt;p&gt;Imbuing you with negative energy, this spell allows you to paralyze a single living humanoid for the duration of the spell with a successful melee touch attack.&lt;/p&gt;&lt;p&gt;A paralyzed subject exudes a carrion stench that causes all living creatures (except you) in a 10-foot-radius spread to become sickened (Fortitude negates). A &lt;i&gt;neutralize poison&lt;/i&gt; spell removes the effect from a sickened creature, and creatures immune to poison are unaffected by the stench. This is a poison effect.&lt;/p&gt;</t>
  </si>
  <si>
    <t>&lt;link rel="stylesheet"href="PF.css"&gt;&lt;div class="heading"&gt;&lt;p class="alignleft"&gt;Ghoul touch&lt;/p&gt;&lt;div style="clear: both;"&gt;&lt;/div&gt;&lt;/div&gt;&lt;div&gt;&lt;h5&gt;&lt;b&gt;School &lt;/b&gt;necromancy; &lt;b&gt;Level &lt;/b&gt;sorcerer/wizard 2, bloodrager 2, spiritualist 2&lt;/h5&gt;&lt;/div&gt;&lt;hr/&gt;&lt;div&gt;&lt;h5&gt;&lt;b&gt;CASTING&lt;/b&gt;&lt;/h5&gt;&lt;/div&gt;&lt;hr/&gt;&lt;div&gt;&lt;h5&gt;&lt;b&gt;Casting Time &lt;/b&gt;1 standard action&lt;/h5&gt;&lt;h5&gt;&lt;b&gt;Components &lt;/b&gt;V, S, M (cloth from a ghoul or earth from a ghoul's lair)&lt;/h5&gt;&lt;/div&gt;&lt;hr/&gt;&lt;div&gt;&lt;h5&gt;&lt;b&gt;EFFECT&lt;/b&gt;&lt;/h5&gt;&lt;/div&gt;&lt;hr/&gt;&lt;div&gt;&lt;h5&gt;&lt;b&gt;Range &lt;/b&gt;touch&lt;/h5&gt;&lt;h5&gt;&lt;b&gt;Targets &lt;/b&gt;living humanoid touched&lt;/h5&gt;&lt;h5&gt;&lt;b&gt;Duration &lt;/b&gt;1d6+2 rounds&lt;/h5&gt;&lt;h5&gt;&lt;b&gt;Saving Throw &lt;/b&gt;Fortitude negates; &lt;b&gt;Spell Resistance &lt;/b&gt;yes&lt;/h5&gt;&lt;/div&gt;&lt;hr/&gt;&lt;div&gt;&lt;h5&gt;&lt;b&gt;DESCRIPTION&lt;/b&gt;&lt;/h5&gt;&lt;/div&gt;&lt;hr/&gt;&lt;div&gt;&lt;h4&gt;&lt;p&gt;Imbuing you with negative energy, this spell allows you to paralyze a single living humanoid for the duration of the spell with a successful melee touch attack.&lt;/p&gt;&lt;p&gt;A paralyzed subject exudes a carrion stench that causes all living creatures (except you) in a 10-foot-radius spread to become sickened (Fortitude negates). A &lt;i&gt;neutralize poison&lt;/i&gt; spell removes the effect from a sickened creature, and creatures immune to poison are unaffected by the stench. This is a poison effect.&lt;/p&gt;&lt;/h4&gt;&lt;/div&gt;</t>
  </si>
  <si>
    <t>Undead (2)</t>
  </si>
  <si>
    <t> Paralyzes one subject, which exudes stench that makes those nearby sickened.</t>
  </si>
  <si>
    <t>Giant Form I</t>
  </si>
  <si>
    <t>sorcerer/wizard 7, alchemist 6</t>
  </si>
  <si>
    <t>When you cast this spell you can assume the form of any Large humanoid creature of the giant subtype (see the Pathfinder RPG Bestiary).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t>
  </si>
  <si>
    <t>&lt;p&gt;When you cast this spell you can assume the form of any Large humanoid creature of the giant subtype (see the &lt;i&gt;Pathfinder RPG Bestiary&lt;/i&gt;).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vulnerability.&lt;/p&gt;</t>
  </si>
  <si>
    <t>&lt;link rel="stylesheet"href="PF.css"&gt;&lt;div class="heading"&gt;&lt;p class="alignleft"&gt;Giant Form I&lt;/p&gt;&lt;div style="clear: both;"&gt;&lt;/div&gt;&lt;/div&gt;&lt;div&gt;&lt;h5&gt;&lt;b&gt;School &lt;/b&gt;transmutation (polymorph); &lt;b&gt;Level &lt;/b&gt;sorcerer/wizard 7, alchemist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(D)&lt;/h5&gt;&lt;/div&gt;&lt;hr/&gt;&lt;div&gt;&lt;h5&gt;&lt;b&gt;DESCRIPTION&lt;/b&gt;&lt;/h5&gt;&lt;/div&gt;&lt;hr/&gt;&lt;div&gt;&lt;h4&gt;&lt;p&gt;When you cast this spell you can assume the form of any Large humanoid creature of the giant subtype (see the &lt;i&gt;Pathfinder RPG Bestiary&lt;/i&gt;).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vulnerability.&lt;/p&gt;&lt;/h4&gt;&lt;/div&gt;</t>
  </si>
  <si>
    <t> Turns you into a Large giant.</t>
  </si>
  <si>
    <t>Boreal (15)</t>
  </si>
  <si>
    <t>Strength (14)</t>
  </si>
  <si>
    <t>Giant Form II</t>
  </si>
  <si>
    <t>Transmutation</t>
  </si>
  <si>
    <t>This spell functions as giant form I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t>
  </si>
  <si>
    <t>&lt;p&gt;This spell functions as &lt;i&gt;giant form I&lt;/i&gt;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vulnerability.&lt;/p&gt;</t>
  </si>
  <si>
    <t>&lt;link rel="stylesheet"href="PF.css"&gt;&lt;div class="heading"&gt;&lt;p class="alignleft"&gt;Giant Form II&lt;/p&gt;&lt;div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&lt;i&gt;giant form I&lt;/i&gt;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vulnerability.&lt;/p&gt;&lt;/h4&gt;&lt;/div&gt;</t>
  </si>
  <si>
    <t> Turns you into a Huge giant.</t>
  </si>
  <si>
    <t>Efreeti (17)</t>
  </si>
  <si>
    <t>Strength (16)</t>
  </si>
  <si>
    <t>Giant Vermin</t>
  </si>
  <si>
    <t>cleric/oracle 4, druid 4, shaman 4</t>
  </si>
  <si>
    <t>1 or more vermin, no two of which can be more than 30 ft. apart</t>
  </si>
  <si>
    <t>You turn a number of normal-sized centipedes, scorpions, or spiders into their giant counterparts (see the Pathfinder RPG Bestiary). Only one type of vermin can be transmuted (so a single casting cannot affect both a centipede and a spider). The number of vermin which can be affected by this spell depends on your caster level, as noted on the table below. 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 Caster Level C entipedes Scorpions Spiders 9th or lower 3 1 2 10th-13th 4 2 3 14th-17th 6 3 4 18th-19th 8 4 5 20th or higher 12 6 8</t>
  </si>
  <si>
    <t>&lt;p&gt;You turn a number of normal-sized centipedes, scorpions, or spiders into their giant counterparts (see the &lt;i&gt;Pathfinder RPG Bestiary&lt;/i&gt;). Only one type of vermin can be transmuted (so a single casting cannot affect both a centipede and a spider). The number of vermin which can be affected by this spell depends on your caster level, as noted on the table below.&lt;/p&gt;&lt;p&gt;Giant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them.&lt;/p&gt;&lt;p&gt; &lt;table&gt;&lt;tr&gt;&lt;th&gt;Caster Level&lt;/th&gt;&lt;th&gt;Centipedes&lt;/th&gt;&lt;th&gt;Scorpions&lt;/th&gt;&lt;th&gt;Spiders&lt;/th&gt;&lt;/tr&gt;&lt;tr&gt;&lt;td&gt;9th or lower&lt;/td&gt;&lt;td&gt;3&lt;/td&gt;&lt;td&gt;1&lt;/td&gt;&lt;td&gt;2&lt;/td&gt;&lt;/tr&gt;&lt;tr&gt;&lt;td&gt;10th-13th&lt;/td&gt;&lt;td&gt;4&lt;/td&gt;&lt;td&gt;2&lt;/td&gt;&lt;td&gt;3&lt;/td&gt;&lt;/tr&gt;&lt;tr&gt;&lt;td&gt;14th-17th&lt;/td&gt;&lt;td&gt;6&lt;/td&gt;&lt;td&gt;3&lt;/td&gt;&lt;td&gt;4&lt;/td&gt;&lt;/tr&gt;&lt;tr&gt;&lt;td&gt;18th-19th&lt;/td&gt;&lt;td&gt;8&lt;/td&gt;&lt;td&gt;4&lt;/td&gt;&lt;td&gt;5&lt;/td&gt;&lt;/tr&gt;&lt;tr&gt;&lt;td&gt;20th or higher&lt;/td&gt;&lt;td&gt;12&lt;/td&gt;&lt;td&gt;6&lt;/td&gt;&lt;td&gt;8&lt;/td&gt;&lt;/tr&gt;&lt;/table&gt; &lt;/p&gt;</t>
  </si>
  <si>
    <t>&lt;link rel="stylesheet"href="PF.css"&gt;&lt;div class="heading"&gt;&lt;p class="alignleft"&gt;Giant Vermin&lt;/p&gt;&lt;div style="clear: both;"&gt;&lt;/div&gt;&lt;/div&gt;&lt;div&gt;&lt;h5&gt;&lt;b&gt;School &lt;/b&gt;transmutation; &lt;b&gt;Level &lt;/b&gt;cleric/oracle 4, druid 4, shaman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&lt;/b&gt;1 or more vermin, no two of which can be more than 30 ft. apart&lt;/h5&gt;&lt;h5&gt;&lt;b&gt;Duration &lt;/b&gt;1 min./level&lt;/h5&gt;&lt;h5&gt;&lt;b&gt;Saving Throw &lt;/b&gt;none; &lt;b&gt;Spell Resistance &lt;/b&gt;yes&lt;/h5&gt;&lt;/div&gt;&lt;hr/&gt;&lt;div&gt;&lt;h5&gt;&lt;b&gt;DESCRIPTION&lt;/b&gt;&lt;/h5&gt;&lt;/div&gt;&lt;hr/&gt;&lt;div&gt;&lt;h4&gt;&lt;p&gt;You turn a number of normal-sized centipedes, scorpions, or spiders into their giant counterparts (see the &lt;i&gt;Pathfinder RPG Bestiary&lt;/i&gt;). Only one type of vermin can be transmuted (so a single casting cannot affect both a centipede and a spider). The number of vermin which can be affected by this spell depends on your caster level, as noted on the table below.&lt;/p&gt;&lt;p&gt;Giant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them.&lt;/p&gt;&lt;p&gt; &lt;table&gt;&lt;tr&gt;&lt;th&gt;Caster Level&lt;/th&gt;&lt;th&gt;Centipedes&lt;/th&gt;&lt;th&gt;Scorpions&lt;/th&gt;&lt;th&gt;Spiders&lt;/th&gt;&lt;/tr&gt;&lt;tr&gt;&lt;td&gt;9th or lower&lt;/td&gt;&lt;td&gt;3&lt;/td&gt;&lt;td&gt;1&lt;/td&gt;&lt;td&gt;2&lt;/td&gt;&lt;/tr&gt;&lt;tr&gt;&lt;td&gt;10th-13th&lt;/td&gt;&lt;td&gt;4&lt;/td&gt;&lt;td&gt;2&lt;/td&gt;&lt;td&gt;3&lt;/td&gt;&lt;/tr&gt;&lt;tr&gt;&lt;td&gt;14th-17th&lt;/td&gt;&lt;td&gt;6&lt;/td&gt;&lt;td&gt;3&lt;/td&gt;&lt;td&gt;4&lt;/td&gt;&lt;/tr&gt;&lt;tr&gt;&lt;td&gt;18th-19th&lt;/td&gt;&lt;td&gt;8&lt;/td&gt;&lt;td&gt;4&lt;/td&gt;&lt;td&gt;5&lt;/td&gt;&lt;/tr&gt;&lt;tr&gt;&lt;td&gt;20th or higher&lt;/td&gt;&lt;td&gt;12&lt;/td&gt;&lt;td&gt;6&lt;/td&gt;&lt;td&gt;8&lt;/td&gt;&lt;/tr&gt;&lt;/table&gt; &lt;/p&gt;&lt;/h4&gt;&lt;/div&gt;</t>
  </si>
  <si>
    <t>Turns centipedes, scorpions, or spiders into giant vermin.</t>
  </si>
  <si>
    <t>Plague (10)</t>
  </si>
  <si>
    <t>Glibness</t>
  </si>
  <si>
    <t>bard 3, mesmerist 3</t>
  </si>
  <si>
    <t>S</t>
  </si>
  <si>
    <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  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t>
  </si>
  <si>
    <t>&lt;p&gt;Your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innuendo.&lt;/p&gt;&lt;p&gt;If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truth.&lt;/p&gt;</t>
  </si>
  <si>
    <t>&lt;link rel="stylesheet"href="PF.css"&gt;&lt;div class="heading"&gt;&lt;p class="alignleft"&gt;Glibness&lt;/p&gt;&lt;div style="clear: both;"&gt;&lt;/div&gt;&lt;/div&gt;&lt;div&gt;&lt;h5&gt;&lt;b&gt;School &lt;/b&gt;transmutation; &lt;b&gt;Level &lt;/b&gt;bard 3, mesmerist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&lt;/b&gt;10 min./level (D)&lt;/h5&gt;&lt;/div&gt;&lt;hr/&gt;&lt;div&gt;&lt;h5&gt;&lt;b&gt;DESCRIPTION&lt;/b&gt;&lt;/h5&gt;&lt;/div&gt;&lt;hr/&gt;&lt;div&gt;&lt;h4&gt;&lt;p&gt;Your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innuendo.&lt;/p&gt;&lt;p&gt;If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truth.&lt;/p&gt;&lt;/h4&gt;&lt;/div&gt;</t>
  </si>
  <si>
    <t> You gain +20 bonus on Bluff checks, and your lies can escape magical discernment.</t>
  </si>
  <si>
    <t>Glitterdust</t>
  </si>
  <si>
    <t>bard 2, sorcerer/wizard 2, summoner 2, witch 2, magus 2, bloodrager 2, occultist 2, mesmerist 2</t>
  </si>
  <si>
    <t>V, S, M (ground mica)</t>
  </si>
  <si>
    <t>creatures and objects within 10-ft.-radius spread</t>
  </si>
  <si>
    <t>Will negates (blinding only)</t>
  </si>
  <si>
    <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  Any creature covered by the dust takes a -40 penalty on Stealth checks.</t>
  </si>
  <si>
    <t>&lt;p&gt;A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effect.&lt;/p&gt;&lt;p&gt;Any creature covered by the dust takes a -40 penalty on Stealth checks.&lt;/p&gt;</t>
  </si>
  <si>
    <t>&lt;link rel="stylesheet"href="PF.css"&gt;&lt;div class="heading"&gt;&lt;p class="alignleft"&gt;Glitterdust&lt;/p&gt;&lt;div style="clear: both;"&gt;&lt;/div&gt;&lt;/div&gt;&lt;div&gt;&lt;h5&gt;&lt;b&gt;School &lt;/b&gt;conjuration (creation); &lt;b&gt;Level &lt;/b&gt;bard 2, sorcerer/wizard 2, summoner 2, witch 2, magus 2, bloodrager 2, occultist 2, mesmerist 2&lt;/h5&gt;&lt;/div&gt;&lt;hr/&gt;&lt;div&gt;&lt;h5&gt;&lt;b&gt;CASTING&lt;/b&gt;&lt;/h5&gt;&lt;/div&gt;&lt;hr/&gt;&lt;div&gt;&lt;h5&gt;&lt;b&gt;Casting Time &lt;/b&gt;1 standard action&lt;/h5&gt;&lt;h5&gt;&lt;b&gt;Components &lt;/b&gt;V, S, M (ground mica)&lt;/h5&gt;&lt;/div&gt;&lt;hr/&gt;&lt;div&gt;&lt;h5&gt;&lt;b&gt;EFFECT&lt;/b&gt;&lt;/h5&gt;&lt;/div&gt;&lt;hr/&gt;&lt;div&gt;&lt;h5&gt;&lt;b&gt;Range &lt;/b&gt;medium (100 ft. + 10 ft./level)&lt;/h5&gt;&lt;h5&gt;&lt;b&gt;Area &lt;/b&gt;creatures and objects within 10-ft.-radius spread&lt;/h5&gt;&lt;h5&gt;&lt;b&gt;Duration &lt;/b&gt;1 round/level&lt;/h5&gt;&lt;h5&gt;&lt;b&gt;Saving Throw &lt;/b&gt;Will negates (blinding only); &lt;b&gt;Spell Resistance &lt;/b&gt;no&lt;/h5&gt;&lt;/div&gt;&lt;hr/&gt;&lt;div&gt;&lt;h5&gt;&lt;b&gt;DESCRIPTION&lt;/b&gt;&lt;/h5&gt;&lt;/div&gt;&lt;hr/&gt;&lt;div&gt;&lt;h4&gt;&lt;p&gt;A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effect.&lt;/p&gt;&lt;p&gt;Any creature covered by the dust takes a -40 penalty on Stealth checks.&lt;/p&gt;&lt;/h4&gt;&lt;/div&gt;</t>
  </si>
  <si>
    <t>Blinds creatures, outlines invisible creatures.</t>
  </si>
  <si>
    <t>Shaitan (5), Starsoul (5)</t>
  </si>
  <si>
    <t>Globe of Invulnerability, Lesser</t>
  </si>
  <si>
    <t>sorcerer/wizard 4, occultist 4, psychic 4</t>
  </si>
  <si>
    <t>V, S, M (a glass or crystal bead)</t>
  </si>
  <si>
    <t>10-ft.-radius spherical emanation, centered on you</t>
  </si>
  <si>
    <t>An immobile, faintly shimmering magical sphere surrounds you and excludes all spell effects of 3rd level or lower. The area or effect of any such spells does not include the area of the lesser globe of invulnerability. Such spells fail to affect any target located within the globe. Excluded effects include spell-like abilities and spells or spell-like effects from items. Any type of spell, however, can be cast through or out of the magical globe.  Spells of 4th level and higher are not affected by the globe, nor are spells already in effect when the globe is cast. The globe can be brought down by a dispel magic spell. You can leave and return to the globe without penalty.  Note that spell effects are not disrupted unless their effects enter the globe, and even then they are merely suppressed, not dispelled.  If a given spell has more than one level depending on which character class is casting it, use the level appropriate to the caster to determine whether lesser globe of invulnerability stops it.</t>
  </si>
  <si>
    <t>&lt;p&gt;An immobile, faintly shimmering magical sphere surrounds you and excludes all spell effects of 3rd level or lower. The area or effect of any such spells does not include the area of the &lt;i&gt;lesser globe of invulnerability&lt;/i&gt;. Such spells fail to affect any target located within the globe. Excluded effects include spell-like abilities and spells or spell-like effects from items. Any type of spell, however, can be cast through or out of the magical globe.&lt;/p&gt;&lt;p&gt;Spells of 4th level and higher are not affected by the globe, nor are spells already in effect when the globe is cast. The globe can be brought down by a &lt;i&gt;dispel magic&lt;/i&gt; spell. You can leave and return to the globe without penalty.&lt;/p&gt;&lt;p&gt;Note that spell effects are not disrupted unless their effects enter the globe, and even then they are merely suppressed, not dispelled.&lt;/p&gt;&lt;p&gt;If a given spell has more than one level depending on which character class is casting it, use the level appropriate to the caster to determine whether &lt;i&gt;lesser globe of invulnerability&lt;/i&gt; stops it.&lt;/p&gt;</t>
  </si>
  <si>
    <t>&lt;link rel="stylesheet"href="PF.css"&gt;&lt;div class="heading"&gt;&lt;p class="alignleft"&gt;Globe of Invulnerability, Lesser&lt;/p&gt;&lt;div style="clear: both;"&gt;&lt;/div&gt;&lt;/div&gt;&lt;div&gt;&lt;h5&gt;&lt;b&gt;School &lt;/b&gt;abjuration; &lt;b&gt;Level &lt;/b&gt;sorcerer/wizard 4, occultist 4, psychic 4&lt;/h5&gt;&lt;/div&gt;&lt;hr/&gt;&lt;div&gt;&lt;h5&gt;&lt;b&gt;CASTING&lt;/b&gt;&lt;/h5&gt;&lt;/div&gt;&lt;hr/&gt;&lt;div&gt;&lt;h5&gt;&lt;b&gt;Casting Time &lt;/b&gt;1 standard action&lt;/h5&gt;&lt;h5&gt;&lt;b&gt;Components &lt;/b&gt;V, S, M (a glass or crystal bead)&lt;/h5&gt;&lt;/div&gt;&lt;hr/&gt;&lt;div&gt;&lt;h5&gt;&lt;b&gt;EFFECT&lt;/b&gt;&lt;/h5&gt;&lt;/div&gt;&lt;hr/&gt;&lt;div&gt;&lt;h5&gt;&lt;b&gt;Range &lt;/b&gt;10 ft.&lt;/h5&gt;&lt;h5&gt;&lt;b&gt;Area &lt;/b&gt;10-ft.-radius spherical emanation, centered on you&lt;/h5&gt;&lt;h5&gt;&lt;b&gt;Duration &lt;/b&gt;1 round/level (D)&lt;/h5&gt;&lt;h5&gt;&lt;b&gt;Saving Throw &lt;/b&gt;none; &lt;b&gt;Spell Resistance &lt;/b&gt;no&lt;/h5&gt;&lt;/div&gt;&lt;hr/&gt;&lt;div&gt;&lt;h5&gt;&lt;b&gt;DESCRIPTION&lt;/b&gt;&lt;/h5&gt;&lt;/div&gt;&lt;hr/&gt;&lt;div&gt;&lt;h4&gt;&lt;p&gt;An immobile, faintly shimmering magical sphere surrounds you and excludes all spell effects of 3rd level or lower. The area or effect of any such spells does not include the area of the &lt;i&gt;lesser globe of invulnerability&lt;/i&gt;. Such spells fail to affect any target located within the globe. Excluded effects include spell-like abilities and spells or spell-like effects from items. Any type of spell, however, can be cast through or out of the magical globe.&lt;/p&gt;&lt;p&gt;Spells of 4th level and higher are not affected by the globe, nor are spells already in effect when the globe is cast. The globe can be brought down by a &lt;i&gt;dispel magic&lt;/i&gt; spell. You can leave and return to the globe without penalty.&lt;/p&gt;&lt;p&gt;Note that spell effects are not disrupted unless their effects enter the globe, and even then they are merely suppressed, not dispelled.&lt;/p&gt;&lt;p&gt;If a given spell has more than one level depending on which character class is casting it, use the level appropriate to the caster to determine whether &lt;i&gt;lesser globe of invulnerability&lt;/i&gt; stops it.&lt;/p&gt;&lt;/h4&gt;&lt;/div&gt;</t>
  </si>
  <si>
    <t> Stops 1st- through 3rd-level spell effects.</t>
  </si>
  <si>
    <t>Wisdom (8)</t>
  </si>
  <si>
    <t>Globe Of Invulnerability</t>
  </si>
  <si>
    <t>This spell functions like lesser globe of invulnerability, except that it also excludes 4th-level spells and spell-like effects.</t>
  </si>
  <si>
    <t>&lt;p&gt;This spell functions like &lt;i&gt;lesser globe of invulnerability&lt;/i&gt;, except that it also excludes 4th-level spells and spell-like effects.&lt;/p&gt;</t>
  </si>
  <si>
    <t>&lt;link rel="stylesheet"href="PF.css"&gt;&lt;div class="heading"&gt;&lt;p class="alignleft"&gt;Globe Of Invulnerability&lt;/p&gt;&lt;div style="clear: both;"&gt;&lt;/div&gt;&lt;/div&gt;&lt;div&gt;&lt;h5&gt;&lt;b&gt;School &lt;/b&gt;abjuration; &lt;b&gt;Level &lt;/b&gt;sorcerer/wizard 6, occultist 6, psychic 6&lt;/h5&gt;&lt;/div&gt;&lt;hr/&gt;&lt;div&gt;&lt;h5&gt;&lt;b&gt;CASTING&lt;/b&gt;&lt;/h5&gt;&lt;/div&gt;&lt;hr/&gt;&lt;div&gt;&lt;h5&gt;&lt;b&gt;Casting Time &lt;/b&gt;1 standard action&lt;/h5&gt;&lt;h5&gt;&lt;b&gt;Components &lt;/b&gt;V, S, M (a glass or crystal bead)&lt;/h5&gt;&lt;/div&gt;&lt;hr/&gt;&lt;div&gt;&lt;h5&gt;&lt;b&gt;EFFECT&lt;/b&gt;&lt;/h5&gt;&lt;/div&gt;&lt;hr/&gt;&lt;div&gt;&lt;h5&gt;&lt;b&gt;Range &lt;/b&gt;10 ft.&lt;/h5&gt;&lt;h5&gt;&lt;b&gt;Area &lt;/b&gt;10-ft.-radius spherical emanation, centered on you&lt;/h5&gt;&lt;h5&gt;&lt;b&gt;Duration &lt;/b&gt;1 round/level (D)&lt;/h5&gt;&lt;h5&gt;&lt;b&gt;Saving Throw &lt;/b&gt;none; &lt;b&gt;Spell Resistance &lt;/b&gt;no&lt;/h5&gt;&lt;/div&gt;&lt;hr/&gt;&lt;div&gt;&lt;h5&gt;&lt;b&gt;DESCRIPTION&lt;/b&gt;&lt;/h5&gt;&lt;/div&gt;&lt;hr/&gt;&lt;div&gt;&lt;h4&gt;&lt;p&gt;This spell functions like &lt;i&gt;lesser globe of invulnerability&lt;/i&gt;, except that it also excludes 4th-level spells and spell-like effects.&lt;/p&gt;&lt;/h4&gt;&lt;h5&gt;&lt;b&gt;Mythic: &lt;/b&gt;Add half your tier to the level of non-mythic spells the globe excludes. The globe excludes mythic spells of 4th level or lower.&lt;/h5&gt;&lt;/div&gt;</t>
  </si>
  <si>
    <t> As lesser globe of invulnerability, plus 4th-level spell effects.</t>
  </si>
  <si>
    <t>Add half your tier to the level of non-mythic spells the globe excludes. The globe excludes mythic spells of 4th level or lower.</t>
  </si>
  <si>
    <t>Glyph Of Warding</t>
  </si>
  <si>
    <t>cleric/oracle 3</t>
  </si>
  <si>
    <t>V, S, M (powdered diamond worth 200 gp)</t>
  </si>
  <si>
    <t>object touched or up to 5 sq. ft./level</t>
  </si>
  <si>
    <t>no (object) and yes; see text</t>
  </si>
  <si>
    <t>This powerful inscription harms those who enter, pass, or open the warded area or object. A glyph of warding can guard a bridge or passage, ward a portal, trap a chest or box, and so on. 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 Glyphs respond to invisible creatures normally but are not triggered by those who travel past them ethereally. Multiple glyphs cannot be cast on the same area. However, if a cabinet has three different drawers, each can be separately warded. When casting the spell, you weave a tracery of faintly glowing lines around the warding sigil. A glyph can be placed to conform to any shape up to the limitations of your total square footage. When the spell is completed, the glyph and tracery become nearly invisible. Glyphs cannot be affected or bypassed by such means as physical or magical probing, though they can be dispelled. Mislead, polymorph, and nondetection (and similar magical effects) can fool a glyph, though nonmagical disguises and the like can't. Read magic allows you to identify a glyph of warding with a DC 13 Knowledge (arcana) check. Identifying the glyph does not discharge it and allows you to know the basic nature of the glyph (version, type of damage caused, what spell is stored). Note: Magic traps such as glyph of warding are hard to detect and disable. While any character can use Perception to find a glyph, only a character with the trapfinding class feature can use Disable Device to disarm it. The DC in each case is 25 + spell level, or 28 for glyph of warding. Depending on the version selected, a glyph either blasts the intruder or activates a spell. Blast Glyph: A blast glyph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 Spell Glyph: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 Saving Throws and spell resistance operate as normal, except that the DC is based on the level of the spell stored in the glyph.</t>
  </si>
  <si>
    <t>&lt;p&gt;This powerful inscription harms those who enter, pass, or open the warded area or object. A &lt;i&gt;glyph of warding&lt;/i&gt; can guard a bridge or passage, ward a portal, trap a chest or box, and so on.&lt;/p&gt;&lt;p&gt;You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level.&lt;/p&gt;&lt;p&gt;Glyphs respond to invisible creatures normally but are not triggered by those who travel past them ethereally. Multiple glyphs cannot be cast on the same area. However, if a cabinet has three different drawers, each can be separately warded.&lt;/p&gt;&lt;p&gt;When casting the spell, you weave a tracery of faintly glowing lines around the warding sigil. A glyph can be placed to conform to any shape up to the limitations of your total square footage. When the spell is completed, the glyph and tracery become nearly invisible.&lt;/p&gt;&lt;p&gt;Glyphs cannot be affected or bypassed by such means as physical or magical probing, though they can be dispelled. &lt;i&gt;Mislead&lt;/i&gt;, &lt;i&gt;polymorph&lt;/i&gt;, and &lt;i&gt;nondetection&lt;/i&gt; (and similar magical effects) can fool a glyph, though nonmagical disguises and the like can't. &lt;i&gt;Read magic&lt;/i&gt; allows you to identify a &lt;i&gt;glyph of warding&lt;/i&gt; with a DC 13 Knowledge (arcana) check. Identifying the glyph does not discharge it and allows you to know the basic nature of the glyph (version, type of damage caused, what spell is stored).&lt;/p&gt;&lt;p&gt;&lt;i&gt;Note&lt;/i&gt;: Magic traps such as &lt;i&gt;glyph of warding&lt;/i&gt; are hard to detect and disable. While any character can use Perception to find a glyph, only a character with the trapfinding class feature can use Disable Device to disarm it. The DC in each case is 25 + spell level, or 28 for &lt;i&gt;glyph of warding&lt;/i&gt;.&lt;/p&gt;&lt;p&gt;Depending on the version selected, a glyph either blasts the intruder or activates a spell.&lt;/p&gt;&lt;p&gt;&lt;i&gt;Blast Glyph&lt;/i&gt;: A &lt;i&gt;blast glyph&lt;/i&gt;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effect.&lt;/p&gt;&lt;p&gt;&lt;i&gt;Spell Glyph&lt;/i&gt;: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attack.Saving Throws and spell resistance operate as normal, except that the DC is based on the level of the spell stored in the glyph.&lt;/p&gt;</t>
  </si>
  <si>
    <t>&lt;link rel="stylesheet"href="PF.css"&gt;&lt;div class="heading"&gt;&lt;p class="alignleft"&gt;Glyph Of Warding&lt;/p&gt;&lt;div style="clear: both;"&gt;&lt;/div&gt;&lt;/div&gt;&lt;div&gt;&lt;h5&gt;&lt;b&gt;School &lt;/b&gt;abjuration; &lt;b&gt;Level &lt;/b&gt;cleric/oracle 3&lt;/h5&gt;&lt;/div&gt;&lt;hr/&gt;&lt;div&gt;&lt;h5&gt;&lt;b&gt;CASTING&lt;/b&gt;&lt;/h5&gt;&lt;/div&gt;&lt;hr/&gt;&lt;div&gt;&lt;h5&gt;&lt;b&gt;Casting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powerful inscription harms those who enter, pass, or open the warded area or object. A &lt;i&gt;glyph of warding&lt;/i&gt; can guard a bridge or passage, ward a portal, trap a chest or box, and so on.&lt;/p&gt;&lt;p&gt;You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level.&lt;/p&gt;&lt;p&gt;Glyphs respond to invisible creatures normally but are not triggered by those who travel past them ethereally. Multiple glyphs cannot be cast on the same area. However, if a cabinet has three different drawers, each can be separately warded.&lt;/p&gt;&lt;p&gt;When casting the spell, you weave a tracery of faintly glowing lines around the warding sigil. A glyph can be placed to conform to any shape up to the limitations of your total square footage. When the spell is completed, the glyph and tracery become nearly invisible.&lt;/p&gt;&lt;p&gt;Glyphs cannot be affected or bypassed by such means as physical or magical probing, though they can be dispelled. &lt;i&gt;Mislead&lt;/i&gt;, &lt;i&gt;polymorph&lt;/i&gt;, and &lt;i&gt;nondetection&lt;/i&gt; (and similar magical effects) can fool a glyph, though nonmagical disguises and the like can't. &lt;i&gt;Read magic&lt;/i&gt; allows you to identify a &lt;i&gt;glyph of warding&lt;/i&gt; with a DC 13 Knowledge (arcana) check. Identifying the glyph does not discharge it and allows you to know the basic nature of the glyph (version, type of damage caused, what spell is stored).&lt;/p&gt;&lt;p&gt;&lt;i&gt;Note&lt;/i&gt;: Magic traps such as &lt;i&gt;glyph of warding&lt;/i&gt; are hard to detect and disable. While any character can use Perception to find a glyph, only a character with the trapfinding class feature can use Disable Device to disarm it. The DC in each case is 25 + spell level, or 28 for &lt;i&gt;glyph of warding&lt;/i&gt;.&lt;/p&gt;&lt;p&gt;Depending on the version selected, a glyph either blasts the intruder or activates a spell.&lt;/p&gt;&lt;p&gt;&lt;i&gt;Blast Glyph&lt;/i&gt;: A &lt;i&gt;blast glyph&lt;/i&gt;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effect.&lt;/p&gt;&lt;p&gt;&lt;i&gt;Spell Glyph&lt;/i&gt;: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attack.Saving Throws and spell resistance operate as normal, except that the DC is based on the level of the spell stored in the glyph.&lt;/p&gt;&lt;/h4&gt;&lt;h5&gt;&lt;b&gt;Mythic: &lt;/b&gt;Add your tier to the DC to detect or disable the glyph. Blast glyph damage increases to 1d6 points of damage per caster level (maximum 20d6). Add half your tier to the maximum spell level you can store in a spell glyph.&lt;/h5&gt;&lt;/div&gt;</t>
  </si>
  <si>
    <t>Home (3), Rune (3)</t>
  </si>
  <si>
    <t> Inscription harms those who pass it.</t>
  </si>
  <si>
    <t>Add your tier to the DC to detect or disable the glyph. Blast glyph damage increases to 1d6 points of damage per caster level (maximum 20d6). Add half your tier to the maximum spell level you can store in a spell glyph.</t>
  </si>
  <si>
    <t>Glyph of Warding, Greater</t>
  </si>
  <si>
    <t>cleric/oracle 6</t>
  </si>
  <si>
    <t>This spell functions like glyph of warding, except that a greater blast glyph deals up to 10d8 points of damage, and a greater spell glyph can store a spell of 6th level or lower.  Read magic allows you to identify a greater glyph of warding with aDC 16 Spellcraft check.  Material Component: You trace the glyph with incense, which must first be sprinkled with powdered diamond worth at least 400 gp.</t>
  </si>
  <si>
    <t>&lt;p&gt;This spell functions like &lt;i&gt;glyph of warding&lt;/i&gt;, except that a &lt;i&gt;greater blast glyph&lt;/i&gt; deals up to 10d8 points of damage, and a &lt;i&gt;greater spell glyph&lt;/i&gt; can store a spell of 6th level or lower.&lt;/p&gt;&lt;p&gt;&lt;i&gt;Read magic&lt;/i&gt; allows you to identify a greater &lt;i&gt;glyph of warding&lt;/i&gt; with aDC 16 Spellcraft check.&lt;/p&gt;&lt;p&gt;&lt;i&gt;Material Component&lt;/i&gt;: You trace the glyph with incense, which must first be sprinkled with powdered diamond worth at least 400 gp.&lt;/p&gt;</t>
  </si>
  <si>
    <t>&lt;link rel="stylesheet"href="PF.css"&gt;&lt;div class="heading"&gt;&lt;p class="alignleft"&gt;Glyph of Warding, Greater&lt;/p&gt;&lt;div style="clear: both;"&gt;&lt;/div&gt;&lt;/div&gt;&lt;div&gt;&lt;h5&gt;&lt;b&gt;School &lt;/b&gt;abjuration; &lt;b&gt;Level &lt;/b&gt;cleric/oracle 6&lt;/h5&gt;&lt;/div&gt;&lt;hr/&gt;&lt;div&gt;&lt;h5&gt;&lt;b&gt;CASTING&lt;/b&gt;&lt;/h5&gt;&lt;/div&gt;&lt;hr/&gt;&lt;div&gt;&lt;h5&gt;&lt;b&gt;Casting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like &lt;i&gt;glyph of warding&lt;/i&gt;, except that a &lt;i&gt;greater blast glyph&lt;/i&gt; deals up to 10d8 points of damage, and a &lt;i&gt;greater spell glyph&lt;/i&gt; can store a spell of 6th level or lower.&lt;/p&gt;&lt;p&gt;&lt;i&gt;Read magic&lt;/i&gt; allows you to identify a greater &lt;i&gt;glyph of warding&lt;/i&gt; with aDC 16 Spellcraft check.&lt;/p&gt;&lt;p&gt;&lt;i&gt;Material Component&lt;/i&gt;: You trace the glyph with incense, which must first be sprinkled with powdered diamond worth at least 400 gp.&lt;/p&gt;&lt;/h4&gt;&lt;/div&gt;</t>
  </si>
  <si>
    <t>Rune (6)</t>
  </si>
  <si>
    <t> As glyph of warding, but up to 10d8 damage or 6th-level spell.</t>
  </si>
  <si>
    <t>Goodberry</t>
  </si>
  <si>
    <t>druid 1, shaman 1</t>
  </si>
  <si>
    <t>2d4 fresh berries touched</t>
  </si>
  <si>
    <t>Casting goodberry makes 2d4 freshly picked berries magical. You (as well as any other druid of 3rd or higher level) can immediately discern which berries are affected. Each transmuted berry provides nourishment as if it were a normal meal for a Medium creature.  The berry also cures 1 point of damage when eaten, subject to a maximum of 8 points of such curing in any 24-hour period.</t>
  </si>
  <si>
    <t>&lt;p&gt;Casting &lt;i&gt;goodberry&lt;/i&gt; makes 2d4 freshly picked berries magical. You (as well as any other druid of 3rd or higher level) can immediately discern which berries are affected. Each transmuted berry provides nourishment as if it were a normal meal for a Medium creature.&lt;/p&gt;&lt;p&gt;The berry also cures 1 point of damage when eaten, subject to a maximum of 8 points of such curing in any 24-hour period.&lt;/p&gt;</t>
  </si>
  <si>
    <t>&lt;link rel="stylesheet"href="PF.css"&gt;&lt;div class="heading"&gt;&lt;p class="alignleft"&gt;Goodberry&lt;/p&gt;&lt;div style="clear: both;"&gt;&lt;/div&gt;&lt;/div&gt;&lt;div&gt;&lt;h5&gt;&lt;b&gt;School &lt;/b&gt;transmutation; &lt;b&gt;Level &lt;/b&gt;druid 1, shaman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&lt;/b&gt;2d4 fresh berries touched&lt;/h5&gt;&lt;h5&gt;&lt;b&gt;Duration &lt;/b&gt;1 day/level&lt;/h5&gt;&lt;h5&gt;&lt;b&gt;Saving Throw &lt;/b&gt;none; &lt;b&gt;Spell Resistance &lt;/b&gt;yes&lt;/h5&gt;&lt;/div&gt;&lt;hr/&gt;&lt;div&gt;&lt;h5&gt;&lt;b&gt;DESCRIPTION&lt;/b&gt;&lt;/h5&gt;&lt;/div&gt;&lt;hr/&gt;&lt;div&gt;&lt;h4&gt;&lt;p&gt;Casting &lt;i&gt;goodberry&lt;/i&gt; makes 2d4 freshly picked berries magical. You (as well as any other druid of 3rd or higher level) can immediately discern which berries are affected. Each transmuted berry provides nourishment as if it were a normal meal for a Medium creature.&lt;/p&gt;&lt;p&gt;The berry also cures 1 point of damage when eaten, subject to a maximum of 8 points of such curing in any 24-hour period.&lt;/p&gt;&lt;/h4&gt;&lt;/div&gt;</t>
  </si>
  <si>
    <t>Seasons (1)</t>
  </si>
  <si>
    <t> 2d4 berries each cure 1 hp (max 8 hp/24 hours).</t>
  </si>
  <si>
    <t>Summer (2)</t>
  </si>
  <si>
    <t>Good Hope</t>
  </si>
  <si>
    <t>bard 3</t>
  </si>
  <si>
    <t>one living creature/level, no two of which may be more than 30 ft. apart</t>
  </si>
  <si>
    <t>This spell instills powerful hope in the subjects. Each affected creature gains a +2 morale bonus on saving throws, attack rolls, ability checks, skill checks, and weapon damage rolls.  Good hope counters and dispels crushing despair.</t>
  </si>
  <si>
    <t>&lt;p&gt;This spell instills powerful hope in the subjects. Each affected creature gains a +2 morale bonus on saving throws, attack rolls, ability checks, skill checks, and weapon damage rolls.&lt;/p&gt;&lt;p&gt;&lt;i&gt;Good hope&lt;/i&gt; counters and dispels crushing despair.&lt;/p&gt;</t>
  </si>
  <si>
    <t>&lt;link rel="stylesheet"href="PF.css"&gt;&lt;div class="heading"&gt;&lt;p class="alignleft"&gt;Good Hope&lt;/p&gt;&lt;div style="clear: both;"&gt;&lt;/div&gt;&lt;/div&gt;&lt;div&gt;&lt;h5&gt;&lt;b&gt;School &lt;/b&gt;enchantment (compulsion) [mind-affecting, emotion];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creature/level, no two of which may be more than 30 ft. apart&lt;/h5&gt;&lt;h5&gt;&lt;b&gt;Duration &lt;/b&gt;1 min./level&lt;/h5&gt;&lt;h5&gt;&lt;b&gt;Saving Throw &lt;/b&gt;Will negates (harmless); &lt;b&gt;Spell Resistance &lt;/b&gt;yes (harmless)&lt;/h5&gt;&lt;/div&gt;&lt;hr/&gt;&lt;div&gt;&lt;h5&gt;&lt;b&gt;DESCRIPTION&lt;/b&gt;&lt;/h5&gt;&lt;/div&gt;&lt;hr/&gt;&lt;div&gt;&lt;h4&gt;&lt;p&gt;This spell instills powerful hope in the subjects. Each affected creature gains a +2 morale bonus on saving throws, attack rolls, ability checks, skill checks, and weapon damage rolls.&lt;/p&gt;&lt;p&gt;&lt;i&gt;Good hope&lt;/i&gt; counters and dispels crushing despair.&lt;/p&gt;&lt;/h4&gt;&lt;/div&gt;</t>
  </si>
  <si>
    <t>Revelry (3)</t>
  </si>
  <si>
    <t> Subjects gain +2 on attack rolls, damage rolls, saves, and checks.</t>
  </si>
  <si>
    <t>Grasping Hand</t>
  </si>
  <si>
    <t>This spell functions as interposing hand, except that it can also grapple one opponent you select. The grasping hand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  The hand holds but does not harm creatures that it grapples.  Directing the spell to a new target is a move action. The grasping hand can instead be directed to bull rush a target, using the same bonuses outlined above, or it can be directed to interpose itself, as interposing hand does.</t>
  </si>
  <si>
    <t>&lt;p&gt;This spell functions as &lt;i&gt;interposing hand&lt;/i&gt;, except that it can also grapple one opponent you select. The &lt;i&gt;grasping hand&lt;/i&gt;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Defense).&lt;/p&gt;&lt;p&gt;The hand holds but does not harm creatures that it grapples.&lt;/p&gt;&lt;p&gt;Directing the spell to a new target is a move action. The &lt;i&gt;grasping hand&lt;/i&gt; can instead be directed to bull rush a target, using the same bonuses outlined above, or it can be directed to interpose itself, as &lt;i&gt;interposing hand&lt;/i&gt; does.&lt;/p&gt;</t>
  </si>
  <si>
    <t>&lt;link rel="stylesheet"href="PF.css"&gt;&lt;div class="heading"&gt;&lt;p class="alignleft"&gt;Grasping Hand&lt;/p&gt;&lt;div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&lt;/b&gt;yes&lt;/h5&gt;&lt;/div&gt;&lt;hr/&gt;&lt;div&gt;&lt;h5&gt;&lt;b&gt;DESCRIPTION&lt;/b&gt;&lt;/h5&gt;&lt;/div&gt;&lt;hr/&gt;&lt;div&gt;&lt;h4&gt;&lt;p&gt;This spell functions as &lt;i&gt;interposing hand&lt;/i&gt;, except that it can also grapple one opponent you select. The &lt;i&gt;grasping hand&lt;/i&gt;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Defense).&lt;/p&gt;&lt;p&gt;The hand holds but does not harm creatures that it grapples.&lt;/p&gt;&lt;p&gt;Directing the spell to a new target is a move action. The &lt;i&gt;grasping hand&lt;/i&gt; can instead be directed to bull rush a target, using the same bonuses outlined above, or it can be directed to interpose itself, as &lt;i&gt;interposing hand&lt;/i&gt; does.&lt;/p&gt;&lt;/h4&gt;&lt;/div&gt;</t>
  </si>
  <si>
    <t>Strength (7)</t>
  </si>
  <si>
    <t> Hand provides cover, pushes, or grapples.</t>
  </si>
  <si>
    <t>Grease</t>
  </si>
  <si>
    <t>bard 1, sorcerer/wizard 1, summoner 1, magus 1, mesmerist 1</t>
  </si>
  <si>
    <t>V, S, M (butter)</t>
  </si>
  <si>
    <t>one object or 10-ft. square</t>
  </si>
  <si>
    <t>A grease spell covers a solid surface with a layer of slippery grease. Any creature in the area when the spell is cast must make a successful Reflex save or fall. A creature can walk within or through the area of grease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  The spell can also be used to create a greasy coating on an item.  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greased item. A creature wearing greased armor or clothing gains a +10 circumstance bonus on Escape Artist checks and combat maneuver checks made to escape a grapple, and to their CMD to avoid being grappled.</t>
  </si>
  <si>
    <t>&lt;p&gt;A &lt;i&gt;grease&lt;/i&gt; spell covers a solid surface with a layer of slippery &lt;i&gt;grease&lt;/i&gt;. Any creature in the area when the spell is cast must make a successful Reflex save or fall. A creature can walk within or through the area of &lt;i&gt;grease&lt;/i&gt;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flat-footed.&lt;/p&gt;&lt;p&gt;The spell can also be used to create a greasy coating on an item.&lt;/p&gt;&lt;p&gt;Material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&lt;i&gt;grease&lt;/i&gt;d item. A creature wearing &lt;i&gt;grease&lt;/i&gt;d armor or clothing gains a +10 circumstance bonus on Escape Artist checks and combat maneuver checks made to escape a grapple, and to their CMD to avoid being grappled.&lt;/p&gt;</t>
  </si>
  <si>
    <t>&lt;link rel="stylesheet"href="PF.css"&gt;&lt;div class="heading"&gt;&lt;p class="alignleft"&gt;Grease&lt;/p&gt;&lt;div style="clear: both;"&gt;&lt;/div&gt;&lt;/div&gt;&lt;div&gt;&lt;h5&gt;&lt;b&gt;School &lt;/b&gt;conjuration (creation); &lt;b&gt;Level &lt;/b&gt;bard 1, sorcerer/wizard 1, summoner 1, magus 1, mesmerist 1&lt;/h5&gt;&lt;/div&gt;&lt;hr/&gt;&lt;div&gt;&lt;h5&gt;&lt;b&gt;CASTING&lt;/b&gt;&lt;/h5&gt;&lt;/div&gt;&lt;hr/&gt;&lt;div&gt;&lt;h5&gt;&lt;b&gt;Casting Time &lt;/b&gt;1 standard action&lt;/h5&gt;&lt;h5&gt;&lt;b&gt;Components &lt;/b&gt;V, S, M (butter)&lt;/h5&gt;&lt;/div&gt;&lt;hr/&gt;&lt;div&gt;&lt;h5&gt;&lt;b&gt;EFFECT&lt;/b&gt;&lt;/h5&gt;&lt;/div&gt;&lt;hr/&gt;&lt;div&gt;&lt;h5&gt;&lt;b&gt;Range &lt;/b&gt;close (25 ft. + 5 ft./2 levels)&lt;/h5&gt;&lt;h5&gt;&lt;b&gt;Targets &lt;/b&gt;one object or 10-ft. square&lt;/h5&gt;&lt;h5&gt;&lt;b&gt;Duration &lt;/b&gt;1 min./level (D)&lt;/h5&gt;&lt;h5&gt;&lt;b&gt;Saving Throw &lt;/b&gt;see text; &lt;b&gt;Spell Resistance &lt;/b&gt;no&lt;/h5&gt;&lt;/div&gt;&lt;hr/&gt;&lt;div&gt;&lt;h5&gt;&lt;b&gt;DESCRIPTION&lt;/b&gt;&lt;/h5&gt;&lt;/div&gt;&lt;hr/&gt;&lt;div&gt;&lt;h4&gt;&lt;p&gt;A &lt;i&gt;grease&lt;/i&gt; spell covers a solid surface with a layer of slippery &lt;i&gt;grease&lt;/i&gt;. Any creature in the area when the spell is cast must make a successful Reflex save or fall. A creature can walk within or through the area of &lt;i&gt;grease&lt;/i&gt;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flat-footed.&lt;/p&gt;&lt;p&gt;The spell can also be used to create a greasy coating on an item.&lt;/p&gt;&lt;p&gt;Material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&lt;i&gt;grease&lt;/i&gt;d item. A creature wearing &lt;i&gt;grease&lt;/i&gt;d armor or clothing gains a +10 circumstance bonus on Escape Artist checks and combat maneuver checks made to escape a grapple, and to their CMD to avoid being grappled.&lt;/p&gt;&lt;/h4&gt;&lt;h5&gt;&lt;b&gt;Mythic: &lt;/b&gt;If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grappled.&lt;/h5&gt;&lt;h5&gt;&lt;b&gt;Augmented&lt;/b&gt;: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DC.&lt;/h5&gt;&lt;/div&gt;</t>
  </si>
  <si>
    <t>Makes 10-ft. square or one object slippery.</t>
  </si>
  <si>
    <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t>
  </si>
  <si>
    <t>Augmented: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t>
  </si>
  <si>
    <t>Guards and Wards</t>
  </si>
  <si>
    <t>sorcerer/wizard 6, witch 6</t>
  </si>
  <si>
    <t>V, S, M (burning incense, a small measure of brimstone and oil, a knotted string, and a small amount of blood), F (a small silver rod)</t>
  </si>
  <si>
    <t>anywhere within the area to be warded</t>
  </si>
  <si>
    <t>up to 200 sq. ft./level</t>
  </si>
  <si>
    <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  Fog: Fog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  Arcane Locks: All doors in the warded area are arcane locked.  Saving Throw: none. Spell Resistance: no.  Webs: Webs fill all stairs from top to bottom. These strands are identical with those created by the web spell, except that they regrow in 10 minutes if they are burned or torn away while the guards and wards spell lasts. Saving Throw: Reflex negates; see text for web. Spell Resistance: no.  Confusion: Where there are choices in direction-such as a corridor intersection or side passage-a minor confusion-type effect functions so as to make it 50% probable that intruders believe they are going in the opposite direction from the one they actually chose. This is a mind-affecting effect. Saving Throw: none. Spell Resistance: yes.  Lost Doors: One door per caster level is covered by a silent image to appear as if it were a plain wall. Saving Throw: Will disbelief (if interacted with). Spell Resistance: no.  In addition, you can place your choice of one of the following five magical effects.  1. Dancing lights in four corridors. You can designate a simple program that causes the lights to repeat as long as the guards and wards spell lasts. Saving Throw: none. Spell Resistance: no.  2. A magic mouth in two places. Saving Throw: none. Spell Resistance: no.  3. A stinking cloud in two places. The vapors appear in the places you designate; they return within 10 minutes if dispersed by wind while the guards and wards spell lasts. Saving Throw: Fortitude negates; see text for stinking cloud. Spell Resistance: no.  4. A gust of wind in one corridor or room. Saving Throw: Fortitude negates. Spell Resistance: yes.  5. A suggestion in one place. You select an area of up to 5 feet square, and any creature who enters or passes through the area receives the suggestion mentally. Saving Throw: Will negates.  Spell Resistance: yes.  The whole warded area radiates strong magic of the abjuration school. A dispel magic cast on a specific effect, if successful, removes only that effect. A successful mage's disjunction destroys the entire guards and wards effect.</t>
  </si>
  <si>
    <t>&lt;p&gt;This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area.&lt;/p&gt;&lt;p&gt;&lt;i&gt;Fog: Fog&lt;/i&gt;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no.&lt;/p&gt;&lt;p&gt;&lt;i&gt;Arcane Locks&lt;/i&gt;: All doors in the warded area are &lt;i&gt;arcane locked.&lt;/i&gt;&lt;/p&gt;&lt;p&gt;Saving Throw: none. Spell Resistance: no.&lt;/p&gt;&lt;p&gt;&lt;i&gt;Webs: Webs&lt;/i&gt; fill all stairs from top to bottom. These strands are identical with those created by the &lt;i&gt;web&lt;/i&gt; spell, except that they regrow in 10 minutes if they are burned or torn away while the &lt;i&gt;guards and wards&lt;/i&gt; spell lasts. Saving Throw: Reflex negates; see text for &lt;i&gt;web&lt;/i&gt;. Spell Resistance: no.&lt;/p&gt;&lt;p&gt;&lt;i&gt;Confusion:&lt;/i&gt; Where there are choices in direction-such as a corridor intersection or side passage-a minor &lt;i&gt;confusion-type&lt;/i&gt; effect functions so as to make it 50% probable that intruders believe they are going in the opposite direction from the one they actually chose. This is a mind-affecting effect. Saving Throw: none. Spell Resistance: yes.&lt;/p&gt;&lt;p&gt;&lt;i&gt;Lost Doors&lt;/i&gt;: One door per caster level is covered by a &lt;i&gt;silent image&lt;/i&gt; to appear as if it were a plain wall. Saving Throw: Will disbelief (if interacted with). Spell Resistance: no.&lt;/p&gt;&lt;p&gt;In addition, you can place your choice of one of the following five magical effects.&lt;/p&gt;&lt;p&gt;1. &lt;i&gt;Dancing lights&lt;/i&gt; in four corridors. You can designate a simple program that causes the lights to repeat as long as the &lt;i&gt;guards and wards&lt;/i&gt; spell lasts. Saving Throw: none. Spell Resistance: no.&lt;/p&gt;&lt;p&gt;2. A &lt;i&gt;magic mouth&lt;/i&gt; in two places. Saving Throw: none. Spell Resistance: no.&lt;/p&gt;&lt;p&gt;3. A &lt;i&gt;stinking cloud&lt;/i&gt; in two places. The vapors appear in the places you designate; they return within 10 minutes if dispersed by wind while the &lt;i&gt;guards and wards&lt;/i&gt; spell lasts. Saving Throw: Fortitude negates; see text for &lt;i&gt;stinking cloud&lt;/i&gt;. Spell Resistance: no.&lt;/p&gt;&lt;p&gt;4. A &lt;i&gt;gust of wind in&lt;/i&gt; one corridor or room. Saving Throw: Fortitude negates. Spell Resistance: yes.&lt;/p&gt;&lt;p&gt;5. A &lt;i&gt;suggestion&lt;/i&gt; in one place. You select an area of up to 5 feet square, and any creature who enters or passes through the area receives the &lt;i&gt;suggestion&lt;/i&gt; mentally. Saving Throw: Will negates.&lt;/p&gt;&lt;p&gt;Spell Resistance: yes.&lt;/p&gt;&lt;p&gt;The whole warded area radiates strong magic of the abjuration school. A &lt;i&gt;dispel magic&lt;/i&gt; cast on a specific effect, if successful, removes only that effect. A successful mage's disjunction destroys the entire &lt;i&gt;guards and wards&lt;/i&gt; effect.&lt;/p&gt;</t>
  </si>
  <si>
    <t>&lt;link rel="stylesheet"href="PF.css"&gt;&lt;div class="heading"&gt;&lt;p class="alignleft"&gt;Guards and Wards&lt;/p&gt;&lt;div style="clear: both;"&gt;&lt;/div&gt;&lt;/div&gt;&lt;div&gt;&lt;h5&gt;&lt;b&gt;School &lt;/b&gt;abjuration; &lt;b&gt;Level &lt;/b&gt;sorcerer/wizard 6, witch 6&lt;/h5&gt;&lt;/div&gt;&lt;hr/&gt;&lt;div&gt;&lt;h5&gt;&lt;b&gt;CASTING&lt;/b&gt;&lt;/h5&gt;&lt;/div&gt;&lt;hr/&gt;&lt;div&gt;&lt;h5&gt;&lt;b&gt;Casting Time &lt;/b&gt;30 minutes&lt;/h5&gt;&lt;h5&gt;&lt;b&gt;Components &lt;/b&gt;V, S, M (burning incense, a small measure of brimstone and oil, a knotted string, and a small amount of blood), F (a small silver rod)&lt;/h5&gt;&lt;/div&gt;&lt;hr/&gt;&lt;div&gt;&lt;h5&gt;&lt;b&gt;EFFECT&lt;/b&gt;&lt;/h5&gt;&lt;/div&gt;&lt;hr/&gt;&lt;div&gt;&lt;h5&gt;&lt;b&gt;Range &lt;/b&gt;anywhere within the area to be warded&lt;/h5&gt;&lt;h5&gt;&lt;b&gt;Area &lt;/b&gt;up to 200 sq. ft./level  (S)&lt;/h5&gt;&lt;h5&gt;&lt;b&gt;Duration &lt;/b&gt;2 hours/level (D)&lt;/h5&gt;&lt;h5&gt;&lt;b&gt;Saving Throw &lt;/b&gt;see text; &lt;b&gt;Spell Resistance &lt;/b&gt;see text&lt;/h5&gt;&lt;/div&gt;&lt;hr/&gt;&lt;div&gt;&lt;h5&gt;&lt;b&gt;DESCRIPTION&lt;/b&gt;&lt;/h5&gt;&lt;/div&gt;&lt;hr/&gt;&lt;div&gt;&lt;h4&gt;&lt;p&gt;This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area.&lt;/p&gt;&lt;p&gt;&lt;i&gt;Fog: Fog&lt;/i&gt;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no.&lt;/p&gt;&lt;p&gt;&lt;i&gt;Arcane Locks&lt;/i&gt;: All doors in the warded area are &lt;i&gt;arcane locked.&lt;/i&gt;&lt;/p&gt;&lt;p&gt;Saving Throw: none. Spell Resistance: no.&lt;/p&gt;&lt;p&gt;&lt;i&gt;Webs: Webs&lt;/i&gt; fill all stairs from top to bottom. These strands are identical with those created by the &lt;i&gt;web&lt;/i&gt; spell, except that they regrow in 10 minutes if they are burned or torn away while the &lt;i&gt;guards and wards&lt;/i&gt; spell lasts. Saving Throw: Reflex negates; see text for &lt;i&gt;web&lt;/i&gt;. Spell Resistance: no.&lt;/p&gt;&lt;p&gt;&lt;i&gt;Confusion:&lt;/i&gt; Where there are choices in direction-such as a corridor intersection or side passage-a minor &lt;i&gt;confusion-type&lt;/i&gt; effect functions so as to make it 50% probable that intruders believe they are going in the opposite direction from the one they actually chose. This is a mind-affecting effect. Saving Throw: none. Spell Resistance: yes.&lt;/p&gt;&lt;p&gt;&lt;i&gt;Lost Doors&lt;/i&gt;: One door per caster level is covered by a &lt;i&gt;silent image&lt;/i&gt; to appear as if it were a plain wall. Saving Throw: Will disbelief (if interacted with). Spell Resistance: no.&lt;/p&gt;&lt;p&gt;In addition, you can place your choice of one of the following five magical effects.&lt;/p&gt;&lt;p&gt;1. &lt;i&gt;Dancing lights&lt;/i&gt; in four corridors. You can designate a simple program that causes the lights to repeat as long as the &lt;i&gt;guards and wards&lt;/i&gt; spell lasts. Saving Throw: none. Spell Resistance: no.&lt;/p&gt;&lt;p&gt;2. A &lt;i&gt;magic mouth&lt;/i&gt; in two places. Saving Throw: none. Spell Resistance: no.&lt;/p&gt;&lt;p&gt;3. A &lt;i&gt;stinking cloud&lt;/i&gt; in two places. The vapors appear in the places you designate; they return within 10 minutes if dispersed by wind while the &lt;i&gt;guards and wards&lt;/i&gt; spell lasts. Saving Throw: Fortitude negates; see text for &lt;i&gt;stinking cloud&lt;/i&gt;. Spell Resistance: no.&lt;/p&gt;&lt;p&gt;4. A &lt;i&gt;gust of wind in&lt;/i&gt; one corridor or room. Saving Throw: Fortitude negates. Spell Resistance: yes.&lt;/p&gt;&lt;p&gt;5. A &lt;i&gt;suggestion&lt;/i&gt; in one place. You select an area of up to 5 feet square, and any creature who enters or passes through the area receives the &lt;i&gt;suggestion&lt;/i&gt; mentally. Saving Throw: Will negates.&lt;/p&gt;&lt;p&gt;Spell Resistance: yes.&lt;/p&gt;&lt;p&gt;The whole warded area radiates strong magic of the abjuration school. A &lt;i&gt;dispel magic&lt;/i&gt; cast on a specific effect, if successful, removes only that effect. A successful mage's disjunction destroys the entire &lt;i&gt;guards and wards&lt;/i&gt; effect.&lt;/p&gt;&lt;/h4&gt;&lt;/div&gt;</t>
  </si>
  <si>
    <t>Home (7), Wards (6), Greed (6)</t>
  </si>
  <si>
    <t> Array of magic effects protect area.</t>
  </si>
  <si>
    <t>Kobold Sorcerer (13), Kobold (13)</t>
  </si>
  <si>
    <t>Guidance</t>
  </si>
  <si>
    <t>cleric/oracle 0, druid 0, summoner 0, witch 0, inquisitor 0, summoner 0, witch 0, inquisitor 0, shaman 0, occultist 0, spiritualist 0</t>
  </si>
  <si>
    <t>1 minute or until discharged</t>
  </si>
  <si>
    <t>This spell imbues the subject with a touch of divine guidance.  The creature gets a +1 competence bonus on a single attack roll, saving throw, or skill check. It must choose to use the bonus before making the roll to which it applies.</t>
  </si>
  <si>
    <t>&lt;p&gt;This spell imbues the subject with a touch of divine guidance.&lt;/p&gt;&lt;p&gt;The creature gets a +1 competence bonus on a single attack roll, saving throw, or skill check. It must choose to use the bonus before making the roll to which it applies.&lt;/p&gt;</t>
  </si>
  <si>
    <t>&lt;link rel="stylesheet"href="PF.css"&gt;&lt;div class="heading"&gt;&lt;p class="alignleft"&gt;Guidance&lt;/p&gt;&lt;div style="clear: both;"&gt;&lt;/div&gt;&lt;/div&gt;&lt;div&gt;&lt;h5&gt;&lt;b&gt;School &lt;/b&gt;divination; &lt;b&gt;Level &lt;/b&gt;cleric/oracle 0, druid 0, summoner 0, witch 0, inquisitor 0, summoner 0, witch 0, inquisitor 0, shaman 0, occultist 0, spiritualist 0&lt;/h5&gt;&lt;/div&gt;&lt;hr/&gt;&lt;div&gt;&lt;h5&gt;&lt;b&gt;CASTING&lt;/b&gt;&lt;/h5&gt;&lt;/div&gt;&lt;hr/&gt;&lt;div&gt;&lt;h5&gt;&lt;b&gt;Casting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 or until discharged&lt;/h5&gt;&lt;h5&gt;&lt;b&gt;Saving Throw &lt;/b&gt;Will negates (harmless); &lt;b&gt;Spell Resistance &lt;/b&gt;yes&lt;/h5&gt;&lt;/div&gt;&lt;hr/&gt;&lt;div&gt;&lt;h5&gt;&lt;b&gt;DESCRIPTION&lt;/b&gt;&lt;/h5&gt;&lt;/div&gt;&lt;hr/&gt;&lt;div&gt;&lt;h4&gt;&lt;p&gt;This spell imbues the subject with a touch of divine guidance.&lt;/p&gt;&lt;p&gt;The creature gets a +1 competence bonus on a single attack roll, saving throw, or skill check. It must choose to use the bonus before making the roll to which it applies.&lt;/p&gt;&lt;/h4&gt;&lt;/div&gt;</t>
  </si>
  <si>
    <t>+1 on one attack roll, saving throw, or skill check.</t>
  </si>
  <si>
    <t>Gust Of Wind</t>
  </si>
  <si>
    <t>line-shaped gust of severe wind emanating out from you to the extreme of the range</t>
  </si>
  <si>
    <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  A Tiny or smaller creature on the ground is knocked down and rolled 1d4 x 10 feet, taking 1d4 points of nonlethal damage per 10 feet.  Small creatures are knocked prone by the force of the wind.  Medium or smaller creatures are unable to move forward against the force of the wind unless they succeed at a DC 15 Strength check.  Large or larger creatures may move normally within a gust of wind effect.  This spell can't move a creature beyond the limit of it's range.  Any creature, regardless of size, takes a -4 penalty on ranged attacks and Perception checks in the area of a gust of wind.  The force of the gust automatically extinguishes candles, torches, and similar unprotected flames. It causes protected flames, such as those in lanterns, to dance wildly and has a 50% chance to extinguish those lights.  In addition to the effects noted, a gust of wind can do anything that a sudden blast of wind would be expected to do. It can create a stinging spray of sand or dust, fan a large fire, overturn delicate awnings or hangings, heel over a small boat, and blow gases or vapors to the edge of its range.  Gust of wind can be made permanent with a permanency spell.</t>
  </si>
  <si>
    <t>&lt;p&gt;This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wind.&lt;/p&gt;&lt;p&gt;A Tiny or smaller creature on the ground is knocked down and rolled 1d4 x 10 feet, taking 1d4 points of nonlethal damage per 10 feet.&lt;/p&gt;&lt;p&gt;Small creatures are knocked prone by the force of the wind.&lt;/p&gt;&lt;p&gt;Medium or smaller creatures are unable to move forward against the force of the wind unless they succeed at a DC 15 Strength check.&lt;/p&gt;&lt;p&gt;Large or larger creatures may move normally within a &lt;i&gt;gust of wind&lt;/i&gt; effect.&lt;/p&gt;&lt;p&gt;This spell can't move a creature beyond the limit of it's range.&lt;/p&gt;&lt;p&gt;Any creature, regardless of size, takes a -4 penalty on ranged attacks and Perception checks in the area of a &lt;i&gt;gust of wind&lt;/i&gt;.&lt;/p&gt;&lt;p&gt;The force of the gust automatically extinguishes candles, torches, and similar unprotected flames. It causes protected flames, such as those in lanterns, to dance wildly and has a 50% chance to extinguish those lights.&lt;/p&gt;&lt;p&gt;In addition to the effects noted, a &lt;i&gt;gust of wind&lt;/i&gt; can do anything that a sudden blast of wind would be expected to do. It can create a stinging spray of sand or dust, fan a large fire, overturn delicate awnings or hangings, heel over a small boat, and blow gases or vapors to the edge of its range.&lt;/p&gt;&lt;p&gt;&lt;i&gt;Gust of wind&lt;/i&gt; can be made permanent with a &lt;i&gt;permanency&lt;/i&gt; spell.&lt;/p&gt;</t>
  </si>
  <si>
    <t>&lt;link rel="stylesheet"href="PF.css"&gt;&lt;div class="heading"&gt;&lt;p class="alignleft"&gt;Gust Of Wind&lt;/p&gt;&lt;div style="clear: both;"&gt;&lt;/div&gt;&lt;/div&gt;&lt;div&gt;&lt;h5&gt;&lt;b&gt;School &lt;/b&gt;evocation [air]; &lt;b&gt;Level &lt;/b&gt;druid 2, sorcerer/wizard 2, magus 2, bloodrager 2, occultist 2&lt;/h5&gt;&lt;/div&gt;&lt;hr/&gt;&lt;div&gt;&lt;h5&gt;&lt;b&gt;CASTING&lt;/b&gt;&lt;/h5&gt;&lt;/div&gt;&lt;hr/&gt;&lt;div&gt;&lt;h5&gt;&lt;b&gt;Casting Time &lt;/b&gt;1 standard action&lt;/h5&gt;&lt;h5&gt;&lt;b&gt;Components &lt;/b&gt;V, S&lt;/h5&gt;&lt;/div&gt;&lt;hr/&gt;&lt;div&gt;&lt;h5&gt;&lt;b&gt;EFFECT&lt;/b&gt;&lt;/h5&gt;&lt;/div&gt;&lt;hr/&gt;&lt;div&gt;&lt;h5&gt;&lt;b&gt;Range &lt;/b&gt;60 ft.&lt;/h5&gt;&lt;h5&gt;&lt;b&gt;Effect &lt;/b&gt;line-shaped gust of severe wind emanating out from you to the extreme of the range&lt;/h5&gt;&lt;h5&gt;&lt;b&gt;Duration &lt;/b&gt;1 round&lt;/h5&gt;&lt;h5&gt;&lt;b&gt;Saving Throw &lt;/b&gt;Fortitude negates; &lt;b&gt;Spell Resistance &lt;/b&gt;yes&lt;/h5&gt;&lt;/div&gt;&lt;hr/&gt;&lt;div&gt;&lt;h5&gt;&lt;b&gt;DESCRIPTION&lt;/b&gt;&lt;/h5&gt;&lt;/div&gt;&lt;hr/&gt;&lt;div&gt;&lt;h4&gt;&lt;p&gt;This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wind.&lt;/p&gt;&lt;p&gt;A Tiny or smaller creature on the ground is knocked down and rolled 1d4 x 10 feet, taking 1d4 points of nonlethal damage per 10 feet.&lt;/p&gt;&lt;p&gt;Small creatures are knocked prone by the force of the wind.&lt;/p&gt;&lt;p&gt;Medium or smaller creatures are unable to move forward against the force of the wind unless they succeed at a DC 15 Strength check.&lt;/p&gt;&lt;p&gt;Large or larger creatures may move normally within a &lt;i&gt;gust of wind&lt;/i&gt; effect.&lt;/p&gt;&lt;p&gt;This spell can't move a creature beyond the limit of it's range.&lt;/p&gt;&lt;p&gt;Any creature, regardless of size, takes a -4 penalty on ranged attacks and Perception checks in the area of a &lt;i&gt;gust of wind&lt;/i&gt;.&lt;/p&gt;&lt;p&gt;The force of the gust automatically extinguishes candles, torches, and similar unprotected flames. It causes protected flames, such as those in lanterns, to dance wildly and has a 50% chance to extinguish those lights.&lt;/p&gt;&lt;p&gt;In addition to the effects noted, a &lt;i&gt;gust of wind&lt;/i&gt; can do anything that a sudden blast of wind would be expected to do. It can create a stinging spray of sand or dust, fan a large fire, overturn delicate awnings or hangings, heel over a small boat, and blow gases or vapors to the edge of its range.&lt;/p&gt;&lt;p&gt;&lt;i&gt;Gust of wind&lt;/i&gt; can be made permanent with a &lt;i&gt;permanency&lt;/i&gt; spell.&lt;/p&gt;&lt;/h4&gt;&lt;h5&gt;&lt;b&gt;Mythic: &lt;/b&gt;The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flames.&lt;/h5&gt;&lt;h5&gt;&lt;b&gt;Augmented (2nd)&lt;/b&gt;: If you expend two uses of mythic power, the spell lasts for 1 additional round and the range increases by 30 feet. As a swift action at the start of your turn, you can expend another use of mythic power to extend the duration by 1 round and the range by another 30 feet.&lt;/h5&gt;&lt;/div&gt;</t>
  </si>
  <si>
    <t>Catastrophe (2)</t>
  </si>
  <si>
    <t>Blows away or knocks down smaller creatures.</t>
  </si>
  <si>
    <t>Stormborn (5)</t>
  </si>
  <si>
    <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t>
  </si>
  <si>
    <t>Augmented (2nd): If you expend two uses of mythic power, the spell lasts for 1 additional round and the range increases by 30 feet. As a swift action at the start of your turn, you can expend another use of mythic power to extend the duration by 1 round and the range by another 30 feet.</t>
  </si>
  <si>
    <t>Hallow</t>
  </si>
  <si>
    <t>V, S, M (herbs, oils, and incense worth at least 1,000 gp, plus 1,000 gp per level of the spell to be included in the hallowed area), DF</t>
  </si>
  <si>
    <t>40-ft. radius emanating from the touched point</t>
  </si>
  <si>
    <t>Hallow makes a particular site, building, or structure a holy site.  This has four major effects.  First, the site is warded by a magic circle against evil effect.  Second, the DC to resist positive channeled energy within this area gains a +4 sacred bonus and the DC to resist negative energy is reduced by 4. Spell resistance does not apply to this effect. This provision does not apply to the druid version of the spell.  Third, any dead body interred in a hallowed site cannot be turned into an undead creature.  Finally, you can fix a single spell effect to the hallowed site.  The spell effect lasts for 1 year and functions throughout the entire site, regardless of the normal duration and area or effect.  You may designate whether the effect applies to all creatures, creatures who share your faith or alignment, or creatures who adhere to another faith or alignment. At the end of the year, the chosen effect lapses, but it can be renewed or replaced simply by casting hallow again.  Spell effects that may be tied to a hallowed site include aid, bane, bless, cause fear, darkness, daylight, death ward, deeper darkness, detect evil, detect magic,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hallow spell (and its associated spell effect) at a time. Hallow counters but does not dispel unhallow.</t>
  </si>
  <si>
    <t>&lt;p&gt;&lt;i&gt;Hallow&lt;/i&gt; makes a particular site, building, or structure a holy site.&lt;/p&gt;&lt;p&gt;This has four major effects.&lt;/p&gt;&lt;p&gt;First, the site is warded by a &lt;i&gt;magic circle against evil&lt;/i&gt; effect.&lt;/p&gt;&lt;p&gt;Second, the DC to resist positive channeled energy within this area gains a +4 sacred bonus and the DC to resist negative energy is reduced by 4. Spell resistance does not apply to this effect. This provision does not apply to the druid version of the spell.&lt;/p&gt;&lt;p&gt;Third, any dead body interred in a &lt;i&gt;&lt;i&gt;hallow&lt;/i&gt;ed&lt;/i&gt; site cannot be turned into an undead creature.&lt;/p&gt;&lt;p&gt;Finally, you can fix a single spell effect to the &lt;i&gt;&lt;i&gt;hallow&lt;/i&gt;ed&lt;/i&gt; site.&lt;/p&gt;&lt;p&gt;The spell effect lasts for 1 year and functions throughout the entire site, regardless of the normal duration and area or effect.&lt;/p&gt;&lt;p&gt;You may designate whether the effect applies to all creatures, creatures who share your faith or alignment, or creatures who adhere to another faith or alignment. At the end of the year, the chosen effect lapses, but it can be renewed or replaced simply by casting &lt;i&gt;hallow&lt;/i&gt; again.&lt;/p&gt;&lt;p&gt;Spell effects that may be tied to a &lt;i&gt;&lt;i&gt;hallow&lt;/i&gt;ed&lt;/i&gt; site include &lt;i&gt;aid, bane, bless, cause fear, darkness, daylight, death ward, deeper darkness, detect evil, detect magic, dimensional anchor, discern lies, dispel magic, endure elements, freedom of movement, invisibility purge, protection from energy, remove fear, resist energy, silence, tongues,&lt;/i&gt; and &lt;i&gt;zone of truth&lt;/i&gt;. Saving throws and spell resistance might apply to these spells' effects. (See the individual spell descriptions for details.) An area can receive only one &lt;i&gt;hallow&lt;/i&gt; spell (and its associated spell effect) at a time. &lt;i&gt;Hallow&lt;/i&gt; counters but does not dispel un&lt;i&gt;hallow&lt;/i&gt;.&lt;/p&gt;</t>
  </si>
  <si>
    <t>&lt;link rel="stylesheet"href="PF.css"&gt;&lt;div class="heading"&gt;&lt;p class="alignleft"&gt;Hallow&lt;/p&gt;&lt;div style="clear: both;"&gt;&lt;/div&gt;&lt;/div&gt;&lt;div&gt;&lt;h5&gt;&lt;b&gt;School &lt;/b&gt;evocation [good]; &lt;b&gt;Level &lt;/b&gt;cleric/oracle 5, druid 5, inquisitor 5&lt;/h5&gt;&lt;/div&gt;&lt;hr/&gt;&lt;div&gt;&lt;h5&gt;&lt;b&gt;CASTING&lt;/b&gt;&lt;/h5&gt;&lt;/div&gt;&lt;hr/&gt;&lt;div&gt;&lt;h5&gt;&lt;b&gt;Casting Time &lt;/b&gt;24 hours&lt;/h5&gt;&lt;h5&gt;&lt;b&gt;Components &lt;/b&gt;V, S, M (herbs, oils, and incense worth at least 1,000 gp, plus 1,000 gp per level of the spell to be included in the hallowed area), DF&lt;/h5&gt;&lt;/div&gt;&lt;hr/&gt;&lt;div&gt;&lt;h5&gt;&lt;b&gt;EFFECT&lt;/b&gt;&lt;/h5&gt;&lt;/div&gt;&lt;hr/&gt;&lt;div&gt;&lt;h5&gt;&lt;b&gt;Range &lt;/b&gt;touch&lt;/h5&gt;&lt;h5&gt;&lt;b&gt;Area &lt;/b&gt;40-ft. radius emanating from the touched point&lt;/h5&gt;&lt;h5&gt;&lt;b&gt;Duration &lt;/b&gt;instantaneous&lt;/h5&gt;&lt;h5&gt;&lt;b&gt;Saving Throw &lt;/b&gt;see text; &lt;b&gt;Spell Resistance &lt;/b&gt;see text&lt;/h5&gt;&lt;/div&gt;&lt;hr/&gt;&lt;div&gt;&lt;h5&gt;&lt;b&gt;DESCRIPTION&lt;/b&gt;&lt;/h5&gt;&lt;/div&gt;&lt;hr/&gt;&lt;div&gt;&lt;h4&gt;&lt;p&gt;&lt;i&gt;Hallow&lt;/i&gt; makes a particular site, building, or structure a holy site.&lt;/p&gt;&lt;p&gt;This has four major effects.&lt;/p&gt;&lt;p&gt;First, the site is warded by a &lt;i&gt;magic circle against evil&lt;/i&gt; effect.&lt;/p&gt;&lt;p&gt;Second, the DC to resist positive channeled energy within this area gains a +4 sacred bonus and the DC to resist negative energy is reduced by 4. Spell resistance does not apply to this effect. This provision does not apply to the druid version of the spell.&lt;/p&gt;&lt;p&gt;Third, any dead body interred in a &lt;i&gt;&lt;i&gt;hallow&lt;/i&gt;ed&lt;/i&gt; site cannot be turned into an undead creature.&lt;/p&gt;&lt;p&gt;Finally, you can fix a single spell effect to the &lt;i&gt;&lt;i&gt;hallow&lt;/i&gt;ed&lt;/i&gt; site.&lt;/p&gt;&lt;p&gt;The spell effect lasts for 1 year and functions throughout the entire site, regardless of the normal duration and area or effect.&lt;/p&gt;&lt;p&gt;You may designate whether the effect applies to all creatures, creatures who share your faith or alignment, or creatures who adhere to another faith or alignment. At the end of the year, the chosen effect lapses, but it can be renewed or replaced simply by casting &lt;i&gt;hallow&lt;/i&gt; again.&lt;/p&gt;&lt;p&gt;Spell effects that may be tied to a &lt;i&gt;&lt;i&gt;hallow&lt;/i&gt;ed&lt;/i&gt; site include &lt;i&gt;aid, bane, bless, cause fear, darkness, daylight, death ward, deeper darkness, detect evil, detect magic, dimensional anchor, discern lies, dispel magic, endure elements, freedom of movement, invisibility purge, protection from energy, remove fear, resist energy, silence, tongues,&lt;/i&gt; and &lt;i&gt;zone of truth&lt;/i&gt;. Saving throws and spell resistance might apply to these spells' effects. (See the individual spell descriptions for details.) An area can receive only one &lt;i&gt;hallow&lt;/i&gt; spell (and its associated spell effect) at a time. &lt;i&gt;Hallow&lt;/i&gt; counters but does not dispel un&lt;i&gt;hallow&lt;/i&gt;.&lt;/p&gt;&lt;/h4&gt;&lt;/div&gt;</t>
  </si>
  <si>
    <t>Designates location as holy.</t>
  </si>
  <si>
    <t>Hallucinatory Terrain</t>
  </si>
  <si>
    <t>bard 4, sorcerer/wizard 4, psychic 4, mesmerist 4</t>
  </si>
  <si>
    <t>V, S, M (a stone, a twig, and a green leaf)</t>
  </si>
  <si>
    <t>one 30-ft. cube/level</t>
  </si>
  <si>
    <t>Will disbelief (if interacted with)</t>
  </si>
  <si>
    <t>You make natural terrain look, sound, and smell like some other sort of natural terrain. Structures, equipment, and creatures within the area are not hidden or changed in appearance.</t>
  </si>
  <si>
    <t>&lt;p&gt;You make natural terrain look, sound, and smell like some other sort of natural terrain. Structures, equipment, and creatures within the area are not hidden or changed in appearance.&lt;/p&gt;</t>
  </si>
  <si>
    <t>&lt;link rel="stylesheet"href="PF.css"&gt;&lt;div class="heading"&gt;&lt;p class="alignleft"&gt;Hallucinatory Terrain&lt;/p&gt;&lt;div style="clear: both;"&gt;&lt;/div&gt;&lt;/div&gt;&lt;div&gt;&lt;h5&gt;&lt;b&gt;School &lt;/b&gt;illusion (glamer); &lt;b&gt;Level &lt;/b&gt;bard 4, sorcerer/wizard 4, psychic 4, mesmerist 4&lt;/h5&gt;&lt;/div&gt;&lt;hr/&gt;&lt;div&gt;&lt;h5&gt;&lt;b&gt;CASTING&lt;/b&gt;&lt;/h5&gt;&lt;/div&gt;&lt;hr/&gt;&lt;div&gt;&lt;h5&gt;&lt;b&gt;Casting Time &lt;/b&gt;10 minutes&lt;/h5&gt;&lt;h5&gt;&lt;b&gt;Components &lt;/b&gt;V, S, M (a stone, a twig, and a green leaf)&lt;/h5&gt;&lt;/div&gt;&lt;hr/&gt;&lt;div&gt;&lt;h5&gt;&lt;b&gt;EFFECT&lt;/b&gt;&lt;/h5&gt;&lt;/div&gt;&lt;hr/&gt;&lt;div&gt;&lt;h5&gt;&lt;b&gt;Range &lt;/b&gt;long (400 ft. + 40 ft./level)&lt;/h5&gt;&lt;h5&gt;&lt;b&gt;Area &lt;/b&gt;one 30-ft. cube/level  (S)&lt;/h5&gt;&lt;h5&gt;&lt;b&gt;Duration &lt;/b&gt;2 hours/level (D)&lt;/h5&gt;&lt;h5&gt;&lt;b&gt;Saving Throw &lt;/b&gt;Will disbelief (if interacted with); &lt;b&gt;Spell Resistance &lt;/b&gt;no&lt;/h5&gt;&lt;/div&gt;&lt;hr/&gt;&lt;div&gt;&lt;h5&gt;&lt;b&gt;DESCRIPTION&lt;/b&gt;&lt;/h5&gt;&lt;/div&gt;&lt;hr/&gt;&lt;div&gt;&lt;h4&gt;&lt;p&gt;You make natural terrain look, sound, and smell like some other sort of natural terrain. Structures, equipment, and creatures within the area are not hidden or changed in appearance.&lt;/p&gt;&lt;/h4&gt;&lt;/div&gt;</t>
  </si>
  <si>
    <t>Makes one type of terrain appear like another (field as forest, or the like).</t>
  </si>
  <si>
    <t>Trickery (8)</t>
  </si>
  <si>
    <t>Halt Undead</t>
  </si>
  <si>
    <t>sorcerer/wizard 3, inquisitor 3</t>
  </si>
  <si>
    <t>V, S, M (a pinch of sulfur and powdered garlic)</t>
  </si>
  <si>
    <t>up to three undead creatures, no two of which can be more than 30 ft. apart</t>
  </si>
  <si>
    <t>Will negates (see text)</t>
  </si>
  <si>
    <t>This spell renders as many as three undead creatures immobile. A nonintelligent undead creature gets no saving throw; an intelligent undead creature does. If the spell is successful, it renders the undead creature immobile for the duration of the spell (similar to the effect of hold person on a living creature). The effect is broken if the halted creatures are attacked or take damage.</t>
  </si>
  <si>
    <t>&lt;p&gt;This spell renders as many as three undead creatures immobile. A nonintelligent undead creature gets no saving throw; an intelligent undead creature does. If the spell is successful, it renders the undead creature immobile for the duration of the spell (similar to the effect of &lt;i&gt;hold person on&lt;/i&gt; a living creature). The effect is broken if the &lt;i&gt;halted&lt;/i&gt; creatures are attacked or take damage.&lt;/p&gt;</t>
  </si>
  <si>
    <t>&lt;link rel="stylesheet"href="PF.css"&gt;&lt;div class="heading"&gt;&lt;p class="alignleft"&gt;Halt Undead&lt;/p&gt;&lt;div style="clear: both;"&gt;&lt;/div&gt;&lt;/div&gt;&lt;div&gt;&lt;h5&gt;&lt;b&gt;School &lt;/b&gt;necromancy; &lt;b&gt;Level &lt;/b&gt;sorcerer/wizard 3, inquisitor 3&lt;/h5&gt;&lt;/div&gt;&lt;hr/&gt;&lt;div&gt;&lt;h5&gt;&lt;b&gt;CASTING&lt;/b&gt;&lt;/h5&gt;&lt;/div&gt;&lt;hr/&gt;&lt;div&gt;&lt;h5&gt;&lt;b&gt;Casting Time &lt;/b&gt;1 standard action&lt;/h5&gt;&lt;h5&gt;&lt;b&gt;Components &lt;/b&gt;V, S, M (a pinch of sulfur and powdered garlic)&lt;/h5&gt;&lt;/div&gt;&lt;hr/&gt;&lt;div&gt;&lt;h5&gt;&lt;b&gt;EFFECT&lt;/b&gt;&lt;/h5&gt;&lt;/div&gt;&lt;hr/&gt;&lt;div&gt;&lt;h5&gt;&lt;b&gt;Range &lt;/b&gt;medium (100 ft. + 10 ft./level)&lt;/h5&gt;&lt;h5&gt;&lt;b&gt;Targets &lt;/b&gt;up to three undead creatures, no two of which can be more than 30 ft. apart&lt;/h5&gt;&lt;h5&gt;&lt;b&gt;Duration &lt;/b&gt;1 round/level&lt;/h5&gt;&lt;h5&gt;&lt;b&gt;Saving Throw &lt;/b&gt;Will negates (see text); &lt;b&gt;Spell Resistance &lt;/b&gt;yes&lt;/h5&gt;&lt;/div&gt;&lt;hr/&gt;&lt;div&gt;&lt;h5&gt;&lt;b&gt;DESCRIPTION&lt;/b&gt;&lt;/h5&gt;&lt;/div&gt;&lt;hr/&gt;&lt;div&gt;&lt;h4&gt;&lt;p&gt;This spell renders as many as three undead creatures immobile. A nonintelligent undead creature gets no saving throw; an intelligent undead creature does. If the spell is successful, it renders the undead creature immobile for the duration of the spell (similar to the effect of &lt;i&gt;hold person on&lt;/i&gt; a living creature). The effect is broken if the &lt;i&gt;halted&lt;/i&gt; creatures are attacked or take damage.&lt;/p&gt;&lt;/h4&gt;&lt;/div&gt;</t>
  </si>
  <si>
    <t> Immobilizes undead for 1 round/level.</t>
  </si>
  <si>
    <t>Harm</t>
  </si>
  <si>
    <t>cleric/oracle 6, witch 7, inquisitor 6, shaman 7, occultist 6, spiritualist 6</t>
  </si>
  <si>
    <t>Will half; see text</t>
  </si>
  <si>
    <t>Harm charges a subject with negative energy that deals 10 points of damage per caster level (to a maximum of 150 points at 15th level). If the creature successfully saves, harm deals half this amount. Harm cannot reduce the target's hit points to less than 1.  If used on an undead creature, harm acts like heal.</t>
  </si>
  <si>
    <t>&lt;p&gt;&lt;i&gt;Harm&lt;/i&gt; charges a subject with negative energy that deals 10 points of damage per caster level (to a maximum of 150 points at 15th level). If the creature successfully saves, &lt;i&gt;harm&lt;/i&gt; deals half this amount. &lt;i&gt;Harm&lt;/i&gt; cannot reduce the target's hit points to less than 1.&lt;/p&gt;&lt;p&gt;If used on an undead creature, &lt;i&gt;harm&lt;/i&gt; acts like &lt;i&gt;heal&lt;/i&gt;.&lt;/p&gt;</t>
  </si>
  <si>
    <t>&lt;link rel="stylesheet"href="PF.css"&gt;&lt;div class="heading"&gt;&lt;p class="alignleft"&gt;Harm&lt;/p&gt;&lt;div style="clear: both;"&gt;&lt;/div&gt;&lt;/div&gt;&lt;div&gt;&lt;h5&gt;&lt;b&gt;School &lt;/b&gt;necromancy; &lt;b&gt;Level &lt;/b&gt;cleric/oracle 6, witch 7, inquisitor 6, shaman 7, occultist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see text; &lt;b&gt;Spell Resistance &lt;/b&gt;yes&lt;/h5&gt;&lt;/div&gt;&lt;hr/&gt;&lt;div&gt;&lt;h5&gt;&lt;b&gt;DESCRIPTION&lt;/b&gt;&lt;/h5&gt;&lt;/div&gt;&lt;hr/&gt;&lt;div&gt;&lt;h4&gt;&lt;p&gt;&lt;i&gt;Harm&lt;/i&gt; charges a subject with negative energy that deals 10 points of damage per caster level (to a maximum of 150 points at 15th level). If the creature successfully saves, &lt;i&gt;harm&lt;/i&gt; deals half this amount. &lt;i&gt;Harm&lt;/i&gt; cannot reduce the target's hit points to less than 1.&lt;/p&gt;&lt;p&gt;If used on an undead creature, &lt;i&gt;harm&lt;/i&gt; acts like &lt;i&gt;heal&lt;/i&gt;.&lt;/p&gt;&lt;/h4&gt;&lt;h5&gt;&lt;b&gt;Mythic: &lt;/b&gt;The damage dealt increases to 15 points of damage per caster level (maximum 225 points).&lt;/h5&gt;&lt;h5&gt;&lt;b&gt;Augmented&lt;/b&gt;: If you expend two uses of mythic power, the spell also acts as poison.&lt;/h5&gt;&lt;/div&gt;</t>
  </si>
  <si>
    <t>Decay (6), Destruction (6)</t>
  </si>
  <si>
    <t> Deals 10 points/level damage to target.</t>
  </si>
  <si>
    <t>The damage dealt increases to 15 points of damage per caster level (maximum 225 points).</t>
  </si>
  <si>
    <t>Augmented: If you expend two uses of mythic power, the spell also acts as poison.</t>
  </si>
  <si>
    <t>Haste</t>
  </si>
  <si>
    <t>alchemist 3, bard 3, magus 3, sorcerer/wizard 3, summoner 2, bloodrager 3, occultist 3, psychic 3, spiritualist 3</t>
  </si>
  <si>
    <t>V, S, M (a shaving of licorice root)</t>
  </si>
  <si>
    <t>The transmuted creatures move and act more quickly than normal. This extra speed has several effects.  When making a full attack action, a hasted creature may make one extra attack with one natural or manufactured weapon. The attack is made using the creature's full base attack bonus, plus any modifiers appropriate to the situation. (This effect is not cumulative with similar effects, such as that provided by a speed weapon, nor does it actually grant an extra action, so you can't use it to cast a second spell or otherwise take an extra action in the round.) A hasted creature gains a +1 bonus on attack rolls and a +1 dodge bonus to AC and Reflex saves. Any condition that makes you lose your Dexterity bonus to Armor Class (if any) also makes you lose dodge bonuses.  All of the hasted creature's modes of movement (including land movement, burrow, climb, fly, and swim) increase by 30 feet, to a maximum of twice the subject's normal speed using that form of movement. This increase counts as an enhancement bonus, and it affects the creature's jumping distance as normal for increased speed. Multiple haste effects don't stack. Haste dispels and counters slow.</t>
  </si>
  <si>
    <t>&lt;p&gt;The transmuted creatures move and act more quickly than normal. This extra &lt;i&gt;speed&lt;/i&gt; has several effects.&lt;/p&gt;&lt;p&gt;When making a full attack action, a &lt;i&gt;haste&lt;/i&gt;d creature may make one extra attack with one natural or manufactured weapon. The attack is made using the creature's full base attack bonus, plus any modifiers appropriate to the situation. (This effect is not cumulative with similar effects, such as that provided by a &lt;i&gt;speed&lt;/i&gt; weapon, nor does it actually grant an extra action, so you can't use it to cast a second spell or otherwise take an extra action in the round.) A &lt;i&gt;haste&lt;/i&gt;d creature gains a +1 bonus on attack rolls and a +1 dodge bonus to AC and Reflex saves. Any condition that makes you lose your Dexterity bonus to Armor Class (if any) also makes you lose dodge bonuses.&lt;/p&gt;&lt;p&gt;All of the &lt;i&gt;haste&lt;/i&gt;d creature's modes of movement (including land movement, burrow, climb, fly, and swim) increase by 30 feet, to a maximum of twice the subject's normal &lt;i&gt;speed&lt;/i&gt; using that form of movement. This increase counts as an enhancement bonus, and it affects the creature's jumping distance as normal for increased &lt;i&gt;speed&lt;/i&gt;. Multiple &lt;i&gt;haste&lt;/i&gt; effects don't stack. &lt;i&gt;Haste&lt;/i&gt; dispels and counters &lt;i&gt;slow&lt;/i&gt;.&lt;/p&gt;</t>
  </si>
  <si>
    <t>&lt;link rel="stylesheet"href="PF.css"&gt;&lt;div class="heading"&gt;&lt;p class="alignleft"&gt;Haste&lt;/p&gt;&lt;div style="clear: both;"&gt;&lt;/div&gt;&lt;/div&gt;&lt;div&gt;&lt;h5&gt;&lt;b&gt;School &lt;/b&gt;transmutation; &lt;b&gt;Level &lt;/b&gt;alchemist 3, bard 3, magus 3, sorcerer/wizard 3, summoner 2, bloodrager 3, occultist 3, psychic 3, spiritualist 3&lt;/h5&gt;&lt;/div&gt;&lt;hr/&gt;&lt;div&gt;&lt;h5&gt;&lt;b&gt;CASTING&lt;/b&gt;&lt;/h5&gt;&lt;/div&gt;&lt;hr/&gt;&lt;div&gt;&lt;h5&gt;&lt;b&gt;Casting Time &lt;/b&gt;1 standard action&lt;/h5&gt;&lt;h5&gt;&lt;b&gt;Components &lt;/b&gt;V, S, M (a shaving of licorice root)&lt;/h5&gt;&lt;/div&gt;&lt;hr/&gt;&lt;div&gt;&lt;h5&gt;&lt;b&gt;EFFECT&lt;/b&gt;&lt;/h5&gt;&lt;/div&gt;&lt;hr/&gt;&lt;div&gt;&lt;h5&gt;&lt;b&gt;Range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(harmless)&lt;/h5&gt;&lt;/div&gt;&lt;hr/&gt;&lt;div&gt;&lt;h5&gt;&lt;b&gt;DESCRIPTION&lt;/b&gt;&lt;/h5&gt;&lt;/div&gt;&lt;hr/&gt;&lt;div&gt;&lt;h4&gt;&lt;p&gt;The transmuted creatures move and act more quickly than normal. This extra &lt;i&gt;speed&lt;/i&gt; has several effects.&lt;/p&gt;&lt;p&gt;When making a full attack action, a &lt;i&gt;haste&lt;/i&gt;d creature may make one extra attack with one natural or manufactured weapon. The attack is made using the creature's full base attack bonus, plus any modifiers appropriate to the situation. (This effect is not cumulative with similar effects, such as that provided by a &lt;i&gt;speed&lt;/i&gt; weapon, nor does it actually grant an extra action, so you can't use it to cast a second spell or otherwise take an extra action in the round.) A &lt;i&gt;haste&lt;/i&gt;d creature gains a +1 bonus on attack rolls and a +1 dodge bonus to AC and Reflex saves. Any condition that makes you lose your Dexterity bonus to Armor Class (if any) also makes you lose dodge bonuses.&lt;/p&gt;&lt;p&gt;All of the &lt;i&gt;haste&lt;/i&gt;d creature's modes of movement (including land movement, burrow, climb, fly, and swim) increase by 30 feet, to a maximum of twice the subject's normal &lt;i&gt;speed&lt;/i&gt; using that form of movement. This increase counts as an enhancement bonus, and it affects the creature's jumping distance as normal for increased &lt;i&gt;speed&lt;/i&gt;. Multiple &lt;i&gt;haste&lt;/i&gt; effects don't stack. &lt;i&gt;Haste&lt;/i&gt; dispels and counters &lt;i&gt;slow&lt;/i&gt;.&lt;/p&gt;&lt;/h4&gt;&lt;h5&gt;&lt;b&gt;Mythic: &lt;/b&gt;Affected creatures gain an additional move action each round. The movement speed increase changes to 50 feet, to a maximum of three times the creature's normal speed for that movement type.&lt;/h5&gt;&lt;h5&gt;&lt;b&gt;Augmented (3rd)&lt;/b&gt;: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it.&lt;/h5&gt;&lt;/div&gt;</t>
  </si>
  <si>
    <t>One creature/level moves faster, receives +1 on attack rolls, AC, and Reflex saves.</t>
  </si>
  <si>
    <t>Agility (6), Time (6)</t>
  </si>
  <si>
    <t>Affected creatures gain an additional move action each round. The movement speed increase changes to 50 feet, to a maximum of three times the creature's normal speed for that movement type.</t>
  </si>
  <si>
    <t>Augmented (3rd):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t>
  </si>
  <si>
    <t>Heal</t>
  </si>
  <si>
    <t>cleric/oracle 6, druid 7, alchemist 6, witch 7, inquisitor 6, shaman 7, occultist 6, spiritualist 6</t>
  </si>
  <si>
    <t>Heal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  Heal does not remove negative levels or restore permanently drained ability score points.  If used against an undead creature, heal instead acts like harm.</t>
  </si>
  <si>
    <t>&lt;p&gt;&lt;i&gt;Heal&lt;/i&gt;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level.&lt;/p&gt;&lt;p&gt;&lt;i&gt;Heal&lt;/i&gt; does not remove negative levels or restore permanently drained ability score points.&lt;/p&gt;&lt;p&gt;If used against an undead creature, &lt;i&gt;heal&lt;/i&gt; instead acts like &lt;i&gt;harm&lt;/i&gt;.&lt;/p&gt;</t>
  </si>
  <si>
    <t>&lt;link rel="stylesheet"href="PF.css"&gt;&lt;div class="heading"&gt;&lt;p class="alignleft"&gt;Heal&lt;/p&gt;&lt;div style="clear: both;"&gt;&lt;/div&gt;&lt;/div&gt;&lt;div&gt;&lt;h5&gt;&lt;b&gt;School &lt;/b&gt;conjuration (healing); &lt;b&gt;Level &lt;/b&gt;cleric/oracle 6, druid 7, alchemist 6, witch 7, inquisitor 6, shaman 7, occultist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(harmless)&lt;/h5&gt;&lt;/div&gt;&lt;hr/&gt;&lt;div&gt;&lt;h5&gt;&lt;b&gt;DESCRIPTION&lt;/b&gt;&lt;/h5&gt;&lt;/div&gt;&lt;hr/&gt;&lt;div&gt;&lt;h4&gt;&lt;p&gt;&lt;i&gt;Heal&lt;/i&gt;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level.&lt;/p&gt;&lt;p&gt;&lt;i&gt;Heal&lt;/i&gt; does not remove negative levels or restore permanently drained ability score points.&lt;/p&gt;&lt;p&gt;If used against an undead creature, &lt;i&gt;heal&lt;/i&gt; instead acts like &lt;i&gt;harm&lt;/i&gt;.&lt;/p&gt;&lt;/h4&gt;&lt;h5&gt;&lt;b&gt;Mythic: &lt;/b&gt;The damage cured increases to 15 points of damage per caster level (maximum 225 points).&lt;/h5&gt;&lt;h5&gt;&lt;b&gt;Augmented&lt;/b&gt;: If you expend two uses of mythic power, the spell also acts as restoration.&lt;/h5&gt;&lt;/div&gt;</t>
  </si>
  <si>
    <t>Healing (6)</t>
  </si>
  <si>
    <t>Cures 10 points/level damage, all diseases and mental conditions.</t>
  </si>
  <si>
    <t>The damage cured increases to 15 points of damage per caster level (maximum 225 points).</t>
  </si>
  <si>
    <t>Augmented: If you expend two uses of mythic power, the spell also acts as restoration.</t>
  </si>
  <si>
    <t>Heal, Mass</t>
  </si>
  <si>
    <t>cleric/oracle 9, shaman 9</t>
  </si>
  <si>
    <t>one or more creatures, no two of which can be more than 30 ft. apart</t>
  </si>
  <si>
    <t>This spell functions like heal, except as noted above. The maximum number of hit points restored to each creature is 250.</t>
  </si>
  <si>
    <t>&lt;p&gt;This spell functions like &lt;i&gt;heal,&lt;/i&gt; except as noted above. The maximum number of hit points restored to each creature is 250.&lt;/p&gt;</t>
  </si>
  <si>
    <t>&lt;link rel="stylesheet"href="PF.css"&gt;&lt;div class="heading"&gt;&lt;p class="alignleft"&gt;Heal, Mass&lt;/p&gt;&lt;div style="clear: both;"&gt;&lt;/div&gt;&lt;/div&gt;&lt;div&gt;&lt;h5&gt;&lt;b&gt;School &lt;/b&gt;conjuration (healing); &lt;b&gt;Level &lt;/b&gt;cleric/oracle 9, shaman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creatures, no two of which can be more than 30 ft. apart&lt;/h5&gt;&lt;h5&gt;&lt;b&gt;Duration &lt;/b&gt;instantaneous&lt;/h5&gt;&lt;h5&gt;&lt;b&gt;Saving Throw &lt;/b&gt;Will negates (harmless); &lt;b&gt;Spell Resistance &lt;/b&gt;yes (harmless)&lt;/h5&gt;&lt;/div&gt;&lt;hr/&gt;&lt;div&gt;&lt;h5&gt;&lt;b&gt;DESCRIPTION&lt;/b&gt;&lt;/h5&gt;&lt;/div&gt;&lt;hr/&gt;&lt;div&gt;&lt;h4&gt;&lt;p&gt;This spell functions like &lt;i&gt;heal,&lt;/i&gt; except as noted above. The maximum number of hit points restored to each creature is 250.&lt;/p&gt;&lt;/h4&gt;&lt;/div&gt;</t>
  </si>
  <si>
    <t>Healing (9)</t>
  </si>
  <si>
    <t> As heal, but affects 1 subject/level.</t>
  </si>
  <si>
    <t>Devotion (18)</t>
  </si>
  <si>
    <t>Heal Mount</t>
  </si>
  <si>
    <t>paladin 3</t>
  </si>
  <si>
    <t>your mount touched</t>
  </si>
  <si>
    <t>This spell functions like heal, but it affects only the paladin's special mount (typically a horse).</t>
  </si>
  <si>
    <t>&lt;p&gt;This spell functions like &lt;i&gt;heal,&lt;/i&gt; but it affects only the paladin's special mount (typically a horse).&lt;/p&gt;</t>
  </si>
  <si>
    <t>&lt;link rel="stylesheet"href="PF.css"&gt;&lt;div class="heading"&gt;&lt;p class="alignleft"&gt;Heal Mount&lt;/p&gt;&lt;div style="clear: both;"&gt;&lt;/div&gt;&lt;/div&gt;&lt;div&gt;&lt;h5&gt;&lt;b&gt;School &lt;/b&gt;conjuration (healing);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mount touched&lt;/h5&gt;&lt;h5&gt;&lt;b&gt;Duration &lt;/b&gt;instantaneous&lt;/h5&gt;&lt;h5&gt;&lt;b&gt;Saving Throw &lt;/b&gt;Will negates (harmless); &lt;b&gt;Spell Resistance &lt;/b&gt;yes (harmless)&lt;/h5&gt;&lt;/div&gt;&lt;hr/&gt;&lt;div&gt;&lt;h5&gt;&lt;b&gt;DESCRIPTION&lt;/b&gt;&lt;/h5&gt;&lt;/div&gt;&lt;hr/&gt;&lt;div&gt;&lt;h4&gt;&lt;p&gt;This spell functions like &lt;i&gt;heal,&lt;/i&gt; but it affects only the paladin's special mount (typically a horse).&lt;/p&gt;&lt;/h4&gt;&lt;/div&gt;</t>
  </si>
  <si>
    <t> As heal on horse or other special mount.</t>
  </si>
  <si>
    <t>Heat Metal</t>
  </si>
  <si>
    <t>metal equipment of one creature per two levels, no two of which can be more than 30 ft. apart; or 25 lbs. of metal/level, all of which must be within a 30-ft. circle</t>
  </si>
  <si>
    <t>Heat metal causes metal objects to become red-hot. Unattended, nonmagical metal gets no saving throw. Magical metal is allowed a saving throw against the spell. An item in a creature's possession uses the creature's saving throw bonus unless its own is higher. A creature takes fire damage if its equipment is heated. It takes full damage if its armor, shield, or weapon is affected. The creature takes minimum damage (1 point or 2 points; see the table) if it's not wearing or wielding such an item. 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 Round Metal Temperature Damage 1 Warm None 2 Hot 1d4 points 3-5 Searing 2d4 points 6 Hot 1d4 points 7 Warm None Any cold intense enough to damage the creature negates fire damage from the spell (and vice versa) on a point-for-point basis. If cast underwater, heat metal deals half damage and boils the surrounding water. Heat metal counters and dispels chill metal.</t>
  </si>
  <si>
    <t>&lt;p&gt;&lt;i&gt;Heat metal&lt;/i&gt; causes metal objects to become red-hot.&lt;/p&gt;&lt;p&gt;Unattended, nonmagical metal gets no saving throw. Magical metal is allowed a saving throw against the spell. An item in a creature's possession uses the creature's saving throw bonus unless its own is higher.&lt;/p&gt;&lt;p&gt;A creature takes fire damage if its equipment is heated. It takes full damage if its armor, shield, or weapon is affected. The creature takes minimum damage (1 point or 2 points; see the table) if it's not wearing or wielding such an item.&lt;/p&gt;&lt;p&gt;On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page.&lt;/p&gt;   &lt;table border ='1'&gt;&lt;tr&gt;&lt;th&gt;&lt;table&gt;&lt;tr&gt;&lt;th&gt;Round&lt;/th&gt;&lt;th&gt;Metal Temperature&lt;/th&gt;&lt;th&gt;Damage&lt;/th&gt;&lt;/tr&gt;&lt;tr&gt;&lt;td&gt;1&lt;/td&gt;&lt;td&gt;Warm&lt;/td&gt;&lt;td&gt;None&lt;/td&gt;&lt;/tr&gt;&lt;tr&gt;&lt;td&gt;2&lt;/td&gt;&lt;td&gt;Hot&lt;/td&gt;&lt;td&gt;1d4 points&lt;/td&gt;&lt;/tr&gt;&lt;tr&gt;&lt;td&gt;3-5&lt;/td&gt;&lt;td&gt;Searing&lt;/td&gt;&lt;td&gt;2d4 points&lt;/td&gt;&lt;/tr&gt;&lt;tr&gt;&lt;td&gt;6&lt;/td&gt;&lt;td&gt;Hot&lt;/td&gt;&lt;td&gt;1d4 points&lt;/td&gt;&lt;/tr&gt;&lt;tr&gt;&lt;td&gt;7&lt;/td&gt;&lt;td&gt;Warm&lt;/td&gt;&lt;td&gt;None&lt;/td&gt;&lt;/tr&gt;&lt;/table&gt;&lt;/td&gt;&lt;/tr&gt;&lt;tr&gt;&lt;td&gt;2&lt;/td&gt;&lt;td&gt;Hot&lt;/td&gt;&lt;td&gt;1d4 points&lt;/td&gt;&lt;/tr&gt;&lt;tr&gt;&lt;td&gt;3-5&lt;/td&gt;&lt;td&gt;Searing&lt;/td&gt;&lt;td&gt;2d4 points&lt;/td&gt;&lt;/tr&gt;&lt;tr&gt;&lt;td&gt;6&lt;/td&gt;&lt;td&gt;Hot&lt;/td&gt;&lt;td&gt;1d4 points&lt;/td&gt;&lt;/tr&gt;&lt;tr&gt;&lt;td&gt;7&lt;/td&gt;&lt;td&gt;Warm&lt;/td&gt;&lt;td&gt;None&lt;/td&gt;&lt;/tr&gt;&lt;/table&gt;   Any cold intense enough to damage the creature negates fire damage from the spell (and vice versa) on a point-for-point basis.&lt;/p&gt;&lt;p&gt;If cast underwater, &lt;i&gt;heat metal&lt;/i&gt; deals half damage and boils the surrounding water.&lt;/p&gt;&lt;p&gt;&lt;i&gt;Heat metal&lt;/i&gt; counters and dispels &lt;i&gt;chill metal&lt;/i&gt;.&lt;/p&gt;</t>
  </si>
  <si>
    <t>&lt;link rel="stylesheet"href="PF.css"&gt;&lt;div class="heading"&gt;&lt;p class="alignleft"&gt;Heat Metal&lt;/p&gt;&lt;div style="clear: both;"&gt;&lt;/div&gt;&lt;/div&gt;&lt;div&gt;&lt;h5&gt;&lt;b&gt;School &lt;/b&gt;transmutation [fire]; &lt;b&gt;Level &lt;/b&gt;druid 2, occultist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&lt;/b&gt;metal equipment of one creature per two levels, no two of which can be more than 30 ft. apart; or 25 lbs. of metal/level, all of which must be within a 30-ft. circle&lt;/h5&gt;&lt;h5&gt;&lt;b&gt;Duration &lt;/b&gt;7 rounds&lt;/h5&gt;&lt;h5&gt;&lt;b&gt;Saving Throw &lt;/b&gt;Will negates (object); &lt;b&gt;Spell Resistance &lt;/b&gt;yes (object)&lt;/h5&gt;&lt;/div&gt;&lt;hr/&gt;&lt;div&gt;&lt;h5&gt;&lt;b&gt;DESCRIPTION&lt;/b&gt;&lt;/h5&gt;&lt;/div&gt;&lt;hr/&gt;&lt;div&gt;&lt;h4&gt;&lt;p&gt;&lt;i&gt;Heat metal&lt;/i&gt; causes metal objects to become red-hot.&lt;/p&gt;&lt;p&gt;Unattended, nonmagical metal gets no saving throw. Magical metal is allowed a saving throw against the spell. An item in a creature's possession uses the creature's saving throw bonus unless its own is higher.&lt;/p&gt;&lt;p&gt;A creature takes fire damage if its equipment is heated. It takes full damage if its armor, shield, or weapon is affected. The creature takes minimum damage (1 point or 2 points; see the table) if it's not wearing or wielding such an item.&lt;/p&gt;&lt;p&gt;On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page.&lt;/p&gt; &lt;table border ='1'&gt;&lt;tr&gt;&lt;th&gt;Round&lt;/th&gt;&lt;th&gt;Metal Temperature&lt;/th&gt;&lt;th&gt;Damage&lt;/th&gt;&lt;/tr&gt;&lt;tr&gt;&lt;td&gt;1&lt;/td&gt;&lt;td&gt;Warm&lt;/td&gt;&lt;td&gt;None&lt;/td&gt;&lt;/tr&gt;&lt;tr&gt;&lt;td&gt;2&lt;/td&gt;&lt;td&gt;Hot&lt;/td&gt;&lt;td&gt;1d4 points&lt;/td&gt;&lt;/tr&gt;&lt;tr&gt;&lt;td&gt;3-5&lt;/td&gt;&lt;td&gt;Searing&lt;/td&gt;&lt;td&gt;2d4 points&lt;/td&gt;&lt;/tr&gt;&lt;tr&gt;&lt;td&gt;6&lt;/td&gt;&lt;td&gt;Hot&lt;/td&gt;&lt;td&gt;1d4 points&lt;/td&gt;&lt;/tr&gt;&lt;tr&gt;&lt;td&gt;7&lt;/td&gt;&lt;td&gt;Warm&lt;/td&gt;&lt;td&gt;None&lt;/td&gt;&lt;/tr&gt;&lt;/table&gt;  Any cold intense enough to damage the creature negates fire damage from the spell (and vice versa) on a point-for-point basis.&lt;/p&gt;&lt;p&gt;If cast underwater, &lt;i&gt;heat metal&lt;/i&gt; deals half damage and boils the surrounding water.&lt;/p&gt;&lt;p&gt;&lt;i&gt;Heat metal&lt;/i&gt; counters and dispels &lt;i&gt;chill metal&lt;/i&gt;.&lt;/p&gt;&lt;/h4&gt;&lt;h5&gt;&lt;b&gt;Mythic: &lt;/b&gt;The damage dealt increases to 1d8 points of fire damage on rounds 2 and 6 and to 2d8 points of fire damage per round on rounds 3 through 5. On any round in which a creature takes fire damage from this spell, that creature must succeed at a Reflex save or catch on fire (Core Rulebook 444).&lt;/h5&gt;&lt;/div&gt;</t>
  </si>
  <si>
    <t>Metal (2), Sun (2)</t>
  </si>
  <si>
    <t> Makes metal so hot it damages those who touch it.</t>
  </si>
  <si>
    <t>The damage dealt increases to 1d8 points of fire damage on rounds 2 and 6 and to 2d8 points of fire damage per round on rounds 3 through 5. On any round in which a creature takes fire damage from this spell, that creature must succeed at a Reflex save or catch on fire (Core Rulebook 444).</t>
  </si>
  <si>
    <t>Helping Hand</t>
  </si>
  <si>
    <t>cleric/oracle 3, psychic 3, spiritualist 3</t>
  </si>
  <si>
    <t>5 miles</t>
  </si>
  <si>
    <t>ghostly hand</t>
  </si>
  <si>
    <t>You create the ghostly image of a hand, which you can send to find a creature within 5 miles. The hand then beckons to that creature and leads it to you if the creature is willing to follow. 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 Distance Time to Locate 100 ft. or less 1 round 1,000 ft. 1 minute 1 mile 10 minutes 2 miles 1 hour 3 miles 2 hours 4 miles 3 hours 5 miles 4 hours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 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 If more than one subject in a 5-mile radius meets the description, the hand locates the closest creature. If that creature refuses to follow the hand, the hand does not seek out a second subject. If, at the end of 4 hours of searching, the hand has found no subject that matches the description within 5 miles, it returns to you, displays an outstretched palm (indicating that no such creature was found), and disappears. 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t>
  </si>
  <si>
    <t>&lt;p&gt;You create the ghostly image of a hand, which you can send to find a creature within 5 miles. The hand then beckons to that creature and leads it to you if the creature is willing to follow.&lt;/p&gt;&lt;p&gt;When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table.&lt;/p&gt;&lt;p&gt; &lt;table&gt;&lt;tr&gt;&lt;th&gt;Distance&lt;/th&gt;&lt;th&gt;Time to Locate&lt;/th&gt;&lt;/tr&gt;&lt;tr&gt;&lt;td&gt;100 ft. or less&lt;/td&gt;&lt;td&gt;1 round&lt;/td&gt;&lt;/tr&gt;&lt;tr&gt;&lt;td&gt;1,000 ft.&lt;/td&gt;&lt;td&gt;1 minute&lt;/td&gt;&lt;/tr&gt;&lt;tr&gt;&lt;td&gt;1 mile&lt;/td&gt;&lt;td&gt;10 minutes&lt;/td&gt;&lt;/tr&gt;&lt;tr&gt;&lt;td&gt;2 miles&lt;/td&gt;&lt;td&gt;1 hour&lt;/td&gt;&lt;/tr&gt;&lt;tr&gt;&lt;td&gt;3 miles&lt;/td&gt;&lt;td&gt;2 hours&lt;/td&gt;&lt;/tr&gt;&lt;tr&gt;&lt;td&gt;4 miles&lt;/td&gt;&lt;td&gt;3 hours&lt;/td&gt;&lt;/tr&gt;&lt;tr&gt;&lt;td&gt;5 miles&lt;/td&gt;&lt;td&gt;4 hours&lt;/td&gt;&lt;/tr&gt;&lt;/table&gt;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disappears.&lt;/p&gt;&lt;p&gt;The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you.&lt;/p&gt;&lt;p&gt;If more than one subject in a 5-mile radius meets the description, the hand locates the closest creature. If that creature refuses to follow the hand, the hand does not seek out a second subject.&lt;/p&gt;&lt;p&gt;If, at the end of 4 hours of searching, the hand has found no subject that matches the description within 5 miles, it returns to you, displays an outstretched palm (indicating that no such creature was found), and disappears.&lt;/p&gt;&lt;p&gt;The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spell.&lt;/p&gt;</t>
  </si>
  <si>
    <t>&lt;link rel="stylesheet"href="PF.css"&gt;&lt;div class="heading"&gt;&lt;p class="alignleft"&gt;Helping Hand&lt;/p&gt;&lt;div style="clear: both;"&gt;&lt;/div&gt;&lt;/div&gt;&lt;div&gt;&lt;h5&gt;&lt;b&gt;School &lt;/b&gt;evocation; &lt;b&gt;Level &lt;/b&gt;cleric/oracle 3, psychic 3, spiritualist 3&lt;/h5&gt;&lt;/div&gt;&lt;hr/&gt;&lt;div&gt;&lt;h5&gt;&lt;b&gt;CASTING&lt;/b&gt;&lt;/h5&gt;&lt;/div&gt;&lt;hr/&gt;&lt;div&gt;&lt;h5&gt;&lt;b&gt;Casting Time &lt;/b&gt;1 standard action&lt;/h5&gt;&lt;h5&gt;&lt;b&gt;Components &lt;/b&gt;V, S, DF&lt;/h5&gt;&lt;/div&gt;&lt;hr/&gt;&lt;div&gt;&lt;h5&gt;&lt;b&gt;EFFECT&lt;/b&gt;&lt;/h5&gt;&lt;/div&gt;&lt;hr/&gt;&lt;div&gt;&lt;h5&gt;&lt;b&gt;Range &lt;/b&gt;5 miles&lt;/h5&gt;&lt;h5&gt;&lt;b&gt;Effect &lt;/b&gt;ghostly hand&lt;/h5&gt;&lt;h5&gt;&lt;b&gt;Duration &lt;/b&gt;1 hour/level&lt;/h5&gt;&lt;h5&gt;&lt;b&gt;Saving Throw &lt;/b&gt;none; &lt;b&gt;Spell Resistance &lt;/b&gt;no&lt;/h5&gt;&lt;/div&gt;&lt;hr/&gt;&lt;div&gt;&lt;h5&gt;&lt;b&gt;DESCRIPTION&lt;/b&gt;&lt;/h5&gt;&lt;/div&gt;&lt;hr/&gt;&lt;div&gt;&lt;h4&gt;&lt;p&gt;You create the ghostly image of a hand, which you can send to find a creature within 5 miles. The hand then beckons to that creature and leads it to you if the creature is willing to follow.&lt;/p&gt;&lt;p&gt;When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table.&lt;/p&gt;&lt;p&gt; &lt;table&gt;&lt;tr&gt;&lt;th&gt;Distance&lt;/th&gt;&lt;th&gt;Time to Locate&lt;/th&gt;&lt;/tr&gt;&lt;tr&gt;&lt;td&gt;100 ft. or less&lt;/td&gt;&lt;td&gt;1 round&lt;/td&gt;&lt;/tr&gt;&lt;tr&gt;&lt;td&gt;1,000 ft.&lt;/td&gt;&lt;td&gt;1 minute&lt;/td&gt;&lt;/tr&gt;&lt;tr&gt;&lt;td&gt;1 mile&lt;/td&gt;&lt;td&gt;10 minutes&lt;/td&gt;&lt;/tr&gt;&lt;tr&gt;&lt;td&gt;2 miles&lt;/td&gt;&lt;td&gt;1 hour&lt;/td&gt;&lt;/tr&gt;&lt;tr&gt;&lt;td&gt;3 miles&lt;/td&gt;&lt;td&gt;2 hours&lt;/td&gt;&lt;/tr&gt;&lt;tr&gt;&lt;td&gt;4 miles&lt;/td&gt;&lt;td&gt;3 hours&lt;/td&gt;&lt;/tr&gt;&lt;tr&gt;&lt;td&gt;5 miles&lt;/td&gt;&lt;td&gt;4 hours&lt;/td&gt;&lt;/tr&gt;&lt;/table&gt;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disappears.&lt;/p&gt;&lt;p&gt;The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you.&lt;/p&gt;&lt;p&gt;If more than one subject in a 5-mile radius meets the description, the hand locates the closest creature. If that creature refuses to follow the hand, the hand does not seek out a second subject.&lt;/p&gt;&lt;p&gt;If, at the end of 4 hours of searching, the hand has found no subject that matches the description within 5 miles, it returns to you, displays an outstretched palm (indicating that no such creature was found), and disappears.&lt;/p&gt;&lt;p&gt;The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spell.&lt;/p&gt;&lt;/h4&gt;&lt;/div&gt;</t>
  </si>
  <si>
    <t> Ghostly hand leads subject to you.</t>
  </si>
  <si>
    <t>Heroes' Feast</t>
  </si>
  <si>
    <t>bard 6, cleric/oracle 6, inquisitor 6</t>
  </si>
  <si>
    <t>feast for one creature/level</t>
  </si>
  <si>
    <t>1 hour plus 12 hours; see text</t>
  </si>
  <si>
    <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   If the feast is interrupted for any reason, the spell is ruined and all effects of the spell are negated.</t>
  </si>
  <si>
    <t>&lt;p&gt;You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hours.&lt;/p&gt;&lt;p&gt; If the feast is interrupted for any reason, the spell is ruined and all effects of the spell are negated.&lt;/p&gt;</t>
  </si>
  <si>
    <t>&lt;link rel="stylesheet"href="PF.css"&gt;&lt;div class="heading"&gt;&lt;p class="alignleft"&gt;Heroes' Feast&lt;/p&gt;&lt;div style="clear: both;"&gt;&lt;/div&gt;&lt;/div&gt;&lt;div&gt;&lt;h5&gt;&lt;b&gt;School &lt;/b&gt;conjuration (creation); &lt;b&gt;Level &lt;/b&gt;bard 6, cleric/oracle 6, inquisitor 6&lt;/h5&gt;&lt;/div&gt;&lt;hr/&gt;&lt;div&gt;&lt;h5&gt;&lt;b&gt;CASTING&lt;/b&gt;&lt;/h5&gt;&lt;/div&gt;&lt;hr/&gt;&lt;div&gt;&lt;h5&gt;&lt;b&gt;Casting Time &lt;/b&gt;10 minutes&lt;/h5&gt;&lt;h5&gt;&lt;b&gt;Components &lt;/b&gt;V, S, DF&lt;/h5&gt;&lt;/div&gt;&lt;hr/&gt;&lt;div&gt;&lt;h5&gt;&lt;b&gt;EFFECT&lt;/b&gt;&lt;/h5&gt;&lt;/div&gt;&lt;hr/&gt;&lt;div&gt;&lt;h5&gt;&lt;b&gt;Range &lt;/b&gt;close (25 ft. + 5 ft./2 levels)&lt;/h5&gt;&lt;h5&gt;&lt;b&gt;Effect &lt;/b&gt;feast for one creature/level&lt;/h5&gt;&lt;h5&gt;&lt;b&gt;Duration &lt;/b&gt;1 hour plus 12 hours; see text&lt;/h5&gt;&lt;h5&gt;&lt;b&gt;Saving Throw &lt;/b&gt;none; &lt;b&gt;Spell Resistance &lt;/b&gt;no&lt;/h5&gt;&lt;/div&gt;&lt;hr/&gt;&lt;div&gt;&lt;h5&gt;&lt;b&gt;DESCRIPTION&lt;/b&gt;&lt;/h5&gt;&lt;/div&gt;&lt;hr/&gt;&lt;div&gt;&lt;h4&gt;&lt;p&gt;You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hours.&lt;/p&gt;&lt;p&gt; If the feast is interrupted for any reason, the spell is ruined and all effects of the spell are negated.&lt;/p&gt;&lt;/h4&gt;&lt;/div&gt;</t>
  </si>
  <si>
    <t>Community (6), Resolve (6), Revelry (6)</t>
  </si>
  <si>
    <t>Food for one creature/level cures and grants combat bonuses.</t>
  </si>
  <si>
    <t>Heroism</t>
  </si>
  <si>
    <t>bard 2, sorcerer/wizard 3, alchemist 3, summoner 3, witch 3, inquisitor 3, bloodrager 3, psychic 3, spiritualist 3</t>
  </si>
  <si>
    <t>This spell imbues a single creature with great bravery and morale in battle. The target gains a +2 morale bonus on attack rolls, saves, and skill checks.</t>
  </si>
  <si>
    <t>&lt;p&gt;This spell imbues a single creature with great bravery and morale in battle. The target gains a +2 morale bonus on attack rolls, saves, and skill checks.&lt;/p&gt;</t>
  </si>
  <si>
    <t>&lt;link rel="stylesheet"href="PF.css"&gt;&lt;div class="heading"&gt;&lt;p class="alignleft"&gt;Heroism&lt;/p&gt;&lt;div style="clear: both;"&gt;&lt;/div&gt;&lt;/div&gt;&lt;div&gt;&lt;h5&gt;&lt;b&gt;School &lt;/b&gt;enchantment (compulsion) [mind-affecting]; &lt;b&gt;Level &lt;/b&gt;bard 2, sorcerer/wizard 3, alchemist 3, summoner 3, witch 3, inquisitor 3, bloodrager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(harmless)&lt;/h5&gt;&lt;/div&gt;&lt;hr/&gt;&lt;div&gt;&lt;h5&gt;&lt;b&gt;DESCRIPTION&lt;/b&gt;&lt;/h5&gt;&lt;/div&gt;&lt;hr/&gt;&lt;div&gt;&lt;h4&gt;&lt;p&gt;This spell imbues a single creature with great bravery and morale in battle. The target gains a +2 morale bonus on attack rolls, saves, and skill checks.&lt;/p&gt;&lt;/h4&gt;&lt;h5&gt;&lt;b&gt;Mythic: &lt;/b&gt;The morale bonus increases to +4 and applies on all checks, attack rolls, saves, and weapon damage rolls. Allies adjacent to the target gain a +4 morale bonus on saves against fear effects.&lt;/h5&gt;&lt;h5&gt;&lt;b&gt;Augmented (3rd)&lt;/b&gt;: If you expend two uses of mythic power, the target can attempt one additional attack per round when taking a full attack action (as if using a haste spell). The target can use this additional attack ability a number of times equal to your tier.&lt;/h5&gt;&lt;/div&gt;</t>
  </si>
  <si>
    <t>Charm (4), Heroism (3)</t>
  </si>
  <si>
    <t>Gives +2 on attack rolls, saves, skill checks.</t>
  </si>
  <si>
    <t>Imperious (7), Martyred (7)</t>
  </si>
  <si>
    <t>The morale bonus increases to +4 and applies on all checks, attack rolls, saves, and weapon damage rolls. Allies adjacent to the target gain a +4 morale bonus on saves against fear effects.</t>
  </si>
  <si>
    <t>Augmented (3rd): If you expend two uses of mythic power, the target can attempt one additional attack per round when taking a full attack action (as if using a haste spell). The target can use this additional attack ability a number of times equal to your tier.</t>
  </si>
  <si>
    <t>Heroism, Greater</t>
  </si>
  <si>
    <t>bard 5, sorcerer/wizard 6, summoner 5, witch 6, psychic 6, spiritualist 6</t>
  </si>
  <si>
    <t>This spell functions like heroism, except the creature gains a +4 morale bonus on attack rolls, saves, and skill checks, immunity to fear effects, and temporary hit points equal to your caster level (maximum 20).</t>
  </si>
  <si>
    <t>&lt;p&gt;This spell functions like &lt;i&gt;heroism,&lt;/i&gt; except the creature gains a +4 morale bonus on attack rolls, saves, and skill checks, immunity to fear effects, and temporary hit points equal to your caster level (maximum 20).&lt;/p&gt;</t>
  </si>
  <si>
    <t>&lt;link rel="stylesheet"href="PF.css"&gt;&lt;div class="heading"&gt;&lt;p class="alignleft"&gt;Heroism, Greater&lt;/p&gt;&lt;div style="clear: both;"&gt;&lt;/div&gt;&lt;/div&gt;&lt;div&gt;&lt;h5&gt;&lt;b&gt;School &lt;/b&gt;enchantment (compulsion) [mind-affecting]; &lt;b&gt;Level &lt;/b&gt;bard 5, sorcerer/wizard 6, summoner 5, witch 6, psychic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(harmless)&lt;/h5&gt;&lt;/div&gt;&lt;hr/&gt;&lt;div&gt;&lt;h5&gt;&lt;b&gt;DESCRIPTION&lt;/b&gt;&lt;/h5&gt;&lt;/div&gt;&lt;hr/&gt;&lt;div&gt;&lt;h4&gt;&lt;p&gt;This spell functions like &lt;i&gt;heroism,&lt;/i&gt; except the creature gains a +4 morale bonus on attack rolls, saves, and skill checks, immunity to fear effects, and temporary hit points equal to your caster level (maximum 20).&lt;/p&gt;&lt;/h4&gt;&lt;/div&gt;</t>
  </si>
  <si>
    <t>Heroism (6), Competition (6)</t>
  </si>
  <si>
    <t>Gives +4 bonus on attack rolls, saves, skill checks; immunity to fear; temporary hp.</t>
  </si>
  <si>
    <t>Martyred (13)</t>
  </si>
  <si>
    <t>Ancestors (12)</t>
  </si>
  <si>
    <t>Hide from Animals</t>
  </si>
  <si>
    <t>S, DF</t>
  </si>
  <si>
    <t>one creature touched/level</t>
  </si>
  <si>
    <t>Animals cannot sense the warded creatures. Even extraordinary or supernatural sensory capabilities, such as blindsense, blindsight, scent, and tremorsense, cannot detect or locate warded creatures.  Animals simply act as though the warded creatures are not there.  If a warded character touches an animal or attacks any creature, even with a spell, the spell ends for all recipients.</t>
  </si>
  <si>
    <t>&lt;p&gt;Animals cannot sense the warded creatures. Even extraordinary or supernatural sensory capabilities, such as blindsense, blindsight, scent, and tremorsense, cannot detect or locate warded creatures.&lt;/p&gt;&lt;p&gt;Animals simply act as though the warded creatures are not there.&lt;/p&gt;&lt;p&gt;If a warded character touches an animal or attacks any creature, even with a spell, the spell ends for all recipients.&lt;/p&gt;</t>
  </si>
  <si>
    <t>&lt;link rel="stylesheet"href="PF.css"&gt;&lt;div class="heading"&gt;&lt;p class="alignleft"&gt;Hide from Animals&lt;/p&gt;&lt;div style="clear: both;"&gt;&lt;/div&gt;&lt;/div&gt;&lt;div&gt;&lt;h5&gt;&lt;b&gt;School &lt;/b&gt;abjuration; &lt;b&gt;Level &lt;/b&gt;druid 1, ranger 1, shaman 1&lt;/h5&gt;&lt;/div&gt;&lt;hr/&gt;&lt;div&gt;&lt;h5&gt;&lt;b&gt;CASTING&lt;/b&gt;&lt;/h5&gt;&lt;/div&gt;&lt;hr/&gt;&lt;div&gt;&lt;h5&gt;&lt;b&gt;Casting Time &lt;/b&gt;1 standard action&lt;/h5&gt;&lt;h5&gt;&lt;b&gt;Components &lt;/b&gt;S, DF&lt;/h5&gt;&lt;/div&gt;&lt;hr/&gt;&lt;div&gt;&lt;h5&gt;&lt;b&gt;EFFECT&lt;/b&gt;&lt;/h5&gt;&lt;/div&gt;&lt;hr/&gt;&lt;div&gt;&lt;h5&gt;&lt;b&gt;Range &lt;/b&gt;touch&lt;/h5&gt;&lt;h5&gt;&lt;b&gt;Targets &lt;/b&gt;one creature touched/level&lt;/h5&gt;&lt;h5&gt;&lt;b&gt;Duration &lt;/b&gt;10 min./level (D)&lt;/h5&gt;&lt;h5&gt;&lt;b&gt;Saving Throw &lt;/b&gt;Will negates (harmless); &lt;b&gt;Spell Resistance &lt;/b&gt;yes&lt;/h5&gt;&lt;/div&gt;&lt;hr/&gt;&lt;div&gt;&lt;h5&gt;&lt;b&gt;DESCRIPTION&lt;/b&gt;&lt;/h5&gt;&lt;/div&gt;&lt;hr/&gt;&lt;div&gt;&lt;h4&gt;&lt;p&gt;Animals cannot sense the warded creatures. Even extraordinary or supernatural sensory capabilities, such as blindsense, blindsight, scent, and tremorsense, cannot detect or locate warded creatures.&lt;/p&gt;&lt;p&gt;Animals simply act as though the warded creatures are not there.&lt;/p&gt;&lt;p&gt;If a warded character touches an animal or attacks any creature, even with a spell, the spell ends for all recipients.&lt;/p&gt;&lt;/h4&gt;&lt;/div&gt;</t>
  </si>
  <si>
    <t>Animals can’t perceive one subject/level.</t>
  </si>
  <si>
    <t>Hide from Undead</t>
  </si>
  <si>
    <t>cleric/oracle 1, inquisitor 1</t>
  </si>
  <si>
    <t>one touched creature/level</t>
  </si>
  <si>
    <t>Will negates (harmless); see text</t>
  </si>
  <si>
    <t>Undead cannot see, hear, or smell creatures warded by this spell.  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t>
  </si>
  <si>
    <t>&lt;p&gt;Undead cannot see, hear, or smell creatures warded by this spell.&lt;/p&gt;&lt;p&gt;Even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recipients.&lt;/p&gt;</t>
  </si>
  <si>
    <t>&lt;link rel="stylesheet"href="PF.css"&gt;&lt;div class="heading"&gt;&lt;p class="alignleft"&gt;Hide from Undead&lt;/p&gt;&lt;div style="clear: both;"&gt;&lt;/div&gt;&lt;/div&gt;&lt;div&gt;&lt;h5&gt;&lt;b&gt;School &lt;/b&gt;abjuration; &lt;b&gt;Level &lt;/b&gt;cleric/oracle 1, inquisitor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creature/level&lt;/h5&gt;&lt;h5&gt;&lt;b&gt;Duration &lt;/b&gt;10 min./level (D)&lt;/h5&gt;&lt;h5&gt;&lt;b&gt;Saving Throw &lt;/b&gt;Will negates (harmless); see text; &lt;b&gt;Spell Resistance &lt;/b&gt;yes&lt;/h5&gt;&lt;/div&gt;&lt;hr/&gt;&lt;div&gt;&lt;h5&gt;&lt;b&gt;DESCRIPTION&lt;/b&gt;&lt;/h5&gt;&lt;/div&gt;&lt;hr/&gt;&lt;div&gt;&lt;h4&gt;&lt;p&gt;Undead cannot see, hear, or smell creatures warded by this spell.&lt;/p&gt;&lt;p&gt;Even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recipients.&lt;/p&gt;&lt;/h4&gt;&lt;/div&gt;</t>
  </si>
  <si>
    <t> Undead can't perceive one subject/level.</t>
  </si>
  <si>
    <t>Hideous Laughter</t>
  </si>
  <si>
    <t>bard 1, sorcerer/wizard 2, psychic 2, mesmerist 1</t>
  </si>
  <si>
    <t>V, S, M (tiny fruit tarts and a feather)</t>
  </si>
  <si>
    <t>one creature; see text</t>
  </si>
  <si>
    <t>This spell afflicts the subject with uncontrollable laughter. It collapses into gales of manic laughter, falling prone. The subject can take no actions while laughing, but is not considered helpless.  After the spell ends, it can act normally. On the creature's next turn, it may attempt a new saving throw to end the effect. This is a full round action that does not provoke attacks of opportunity.  If this save is successful, the effect ends. If not, the creature continues laughing for the entire duration.  A creature with an Intelligence score of 2 or lower is not affected.  A creature whose type is different from the caster's receives a +4 bonus on its saving throw, because humor doesn't "translate" well.</t>
  </si>
  <si>
    <t>&lt;p&gt;This spell afflicts the subject with uncontrollable laughter. It collapses into gales of manic laughter, falling prone. The subject can take no actions while laughing, but is not considered helpless.&lt;/p&gt;&lt;p&gt;After the spell ends, it can act normally. On the creature's next turn, it may attempt a new saving throw to end the effect. This is a full round action that does not provoke attacks of opportunity.&lt;/p&gt;&lt;p&gt;If this save is successful, the effect ends. If not, the creature continues laughing for the entire duration.&lt;/p&gt;&lt;p&gt;A creature with an Intelligence score of 2 or lower is not affected.&lt;/p&gt;&lt;p&gt;A creature whose type is different from the caster's receives a +4 bonus on its saving throw, because humor doesn't "translate" well.&lt;/p&gt;</t>
  </si>
  <si>
    <t>&lt;link rel="stylesheet"href="PF.css"&gt;&lt;div class="heading"&gt;&lt;p class="alignleft"&gt;Hideous Laughter&lt;/p&gt;&lt;div style="clear: both;"&gt;&lt;/div&gt;&lt;/div&gt;&lt;div&gt;&lt;h5&gt;&lt;b&gt;School &lt;/b&gt;enchantment (compulsion) [mind-affecting]; &lt;b&gt;Level &lt;/b&gt;bard 1, sorcerer/wizard 2, psychic 2, mesmerist 1&lt;/h5&gt;&lt;/div&gt;&lt;hr/&gt;&lt;div&gt;&lt;h5&gt;&lt;b&gt;CASTING&lt;/b&gt;&lt;/h5&gt;&lt;/div&gt;&lt;hr/&gt;&lt;div&gt;&lt;h5&gt;&lt;b&gt;Casting Time &lt;/b&gt;1 standard action&lt;/h5&gt;&lt;h5&gt;&lt;b&gt;Components &lt;/b&gt;V, S, M (tiny fruit tarts and a feather)&lt;/h5&gt;&lt;/div&gt;&lt;hr/&gt;&lt;div&gt;&lt;h5&gt;&lt;b&gt;EFFECT&lt;/b&gt;&lt;/h5&gt;&lt;/div&gt;&lt;hr/&gt;&lt;div&gt;&lt;h5&gt;&lt;b&gt;Range &lt;/b&gt;close (25 ft. + 5 ft./2 levels)&lt;/h5&gt;&lt;h5&gt;&lt;b&gt;Targets &lt;/b&gt;one creature; see text&lt;/h5&gt;&lt;h5&gt;&lt;b&gt;Duration &lt;/b&gt;1 round/level&lt;/h5&gt;&lt;h5&gt;&lt;b&gt;Saving Throw &lt;/b&gt;Will negates; &lt;b&gt;Spell Resistance &lt;/b&gt;yes&lt;/h5&gt;&lt;/div&gt;&lt;hr/&gt;&lt;div&gt;&lt;h5&gt;&lt;b&gt;DESCRIPTION&lt;/b&gt;&lt;/h5&gt;&lt;/div&gt;&lt;hr/&gt;&lt;div&gt;&lt;h4&gt;&lt;p&gt;This spell afflicts the subject with uncontrollable laughter. It collapses into gales of manic laughter, falling prone. The subject can take no actions while laughing, but is not considered helpless.&lt;/p&gt;&lt;p&gt;After the spell ends, it can act normally. On the creature's next turn, it may attempt a new saving throw to end the effect. This is a full round action that does not provoke attacks of opportunity.&lt;/p&gt;&lt;p&gt;If this save is successful, the effect ends. If not, the creature continues laughing for the entire duration.&lt;/p&gt;&lt;p&gt;A creature with an Intelligence score of 2 or lower is not affected.&lt;/p&gt;&lt;p&gt;A creature whose type is different from the caster's receives a +4 bonus on its saving throw, because humor doesn't "translate" well.&lt;/p&gt;&lt;/h4&gt;&lt;/div&gt;</t>
  </si>
  <si>
    <t>Revelry (2), Whimsy (1)</t>
  </si>
  <si>
    <t>Subject loses actions for 1 round/ level.</t>
  </si>
  <si>
    <t>Fey (5), Maestro (5)</t>
  </si>
  <si>
    <t>Insanity (4)</t>
  </si>
  <si>
    <t>Hold Person</t>
  </si>
  <si>
    <t>bard 2, cleric/oracle 2, sorcerer/wizard 3, witch 2, inquisitor 2, antipaladin 2, bloodrager 3, shaman 2, occultist 3, psychic 2, mesmerist 2</t>
  </si>
  <si>
    <t>V, S, F/DF (a small, straight piece of iron)</t>
  </si>
  <si>
    <t>1 round/level ; see text</t>
  </si>
  <si>
    <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t>
  </si>
  <si>
    <t>&lt;p&gt;The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drown.&lt;/p&gt;</t>
  </si>
  <si>
    <t>&lt;link rel="stylesheet"href="PF.css"&gt;&lt;div class="heading"&gt;&lt;p class="alignleft"&gt;Hold Person&lt;/p&gt;&lt;div style="clear: both;"&gt;&lt;/div&gt;&lt;/div&gt;&lt;div&gt;&lt;h5&gt;&lt;b&gt;School &lt;/b&gt;enchantment (compulsion) [mind-affecting]; &lt;b&gt;Level &lt;/b&gt;bard 2, cleric/oracle 2, sorcerer/wizard 3, witch 2, inquisitor 2, antipaladin 2, bloodrager 3, shaman 2, occultist 3, psychic 2, mesmerist 2&lt;/h5&gt;&lt;/div&gt;&lt;hr/&gt;&lt;div&gt;&lt;h5&gt;&lt;b&gt;CASTING&lt;/b&gt;&lt;/h5&gt;&lt;/div&gt;&lt;hr/&gt;&lt;div&gt;&lt;h5&gt;&lt;b&gt;Casting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humanoid creature&lt;/h5&gt;&lt;h5&gt;&lt;b&gt;Duration &lt;/b&gt;1 round/level ; see text (D)&lt;/h5&gt;&lt;h5&gt;&lt;b&gt;Saving Throw &lt;/b&gt;Will negates; see text; &lt;b&gt;Spell Resistance &lt;/b&gt;yes&lt;/h5&gt;&lt;/div&gt;&lt;hr/&gt;&lt;div&gt;&lt;h5&gt;&lt;b&gt;DESCRIPTION&lt;/b&gt;&lt;/h5&gt;&lt;/div&gt;&lt;hr/&gt;&lt;div&gt;&lt;h4&gt;&lt;p&gt;The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drown.&lt;/p&gt;&lt;/h4&gt;&lt;/div&gt;</t>
  </si>
  <si>
    <t>Paralyzes one humanoid for 1 round/level.</t>
  </si>
  <si>
    <t>Hold Monster</t>
  </si>
  <si>
    <t>bard 4, sorcerer/wizard 5, summoner 4, witch 5, inquisitor 4, summoner 4, witch 5, inquisitor 4, occultist 4, psychic 5, mesmerist 4</t>
  </si>
  <si>
    <t>V, S, M/DF (one hard metal bar or rod, which can be as small as a three-penny nail)</t>
  </si>
  <si>
    <t>This spell functions like hold person, except that it affects any living creature that fails its Will save.</t>
  </si>
  <si>
    <t>&lt;p&gt;This spell functions like &lt;i&gt;hold person,&lt;/i&gt; except that it affects any living creature that fails its Will save.&lt;/p&gt;</t>
  </si>
  <si>
    <t>&lt;link rel="stylesheet"href="PF.css"&gt;&lt;div class="heading"&gt;&lt;p class="alignleft"&gt;Hold Monster&lt;/p&gt;&lt;div style="clear: both;"&gt;&lt;/div&gt;&lt;/div&gt;&lt;div&gt;&lt;h5&gt;&lt;b&gt;School &lt;/b&gt;enchantment (compulsion) [mind-affecting]; &lt;b&gt;Level &lt;/b&gt;bard 4, sorcerer/wizard 5, summoner 4, witch 5, inquisitor 4, summoner 4, witch 5, inquisitor 4, occultist 4, psychic 5, mesmerist 4&lt;/h5&gt;&lt;/div&gt;&lt;hr/&gt;&lt;div&gt;&lt;h5&gt;&lt;b&gt;CASTING&lt;/b&gt;&lt;/h5&gt;&lt;/div&gt;&lt;hr/&gt;&lt;div&gt;&lt;h5&gt;&lt;b&gt;Casting Time &lt;/b&gt;1 standard action&lt;/h5&gt;&lt;h5&gt;&lt;b&gt;Components &lt;/b&gt;V, S, M/DF (one hard metal bar or rod, which can be as small as a three-penny nail)&lt;/h5&gt;&lt;/div&gt;&lt;hr/&gt;&lt;div&gt;&lt;h5&gt;&lt;b&gt;EFFECT&lt;/b&gt;&lt;/h5&gt;&lt;/div&gt;&lt;hr/&gt;&lt;div&gt;&lt;h5&gt;&lt;b&gt;Range &lt;/b&gt;medium (100 ft. + 10 ft./level)&lt;/h5&gt;&lt;h5&gt;&lt;b&gt;Targets &lt;/b&gt;one living creature&lt;/h5&gt;&lt;h5&gt;&lt;b&gt;Duration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any living creature that fails its Will save.&lt;/p&gt;&lt;/h4&gt;&lt;/div&gt;</t>
  </si>
  <si>
    <t>Law (6)</t>
  </si>
  <si>
    <t>As hold person, but any creature.</t>
  </si>
  <si>
    <t>Serpentine (11)</t>
  </si>
  <si>
    <t>Hold Monster, Mass</t>
  </si>
  <si>
    <t>sorcerer/wizard 9, witch 9, psychic 9</t>
  </si>
  <si>
    <t>This spell functions like hold person, except that it affects multiple creatures and holds any living creature that fails its Will save.</t>
  </si>
  <si>
    <t>&lt;p&gt;This spell functions like &lt;i&gt;hold person,&lt;/i&gt; except that it affects multiple creatures and holds any living creature that fails its Will save.&lt;/p&gt;</t>
  </si>
  <si>
    <t>&lt;link rel="stylesheet"href="PF.css"&gt;&lt;div class="heading"&gt;&lt;p class="alignleft"&gt;Hold Monster, Mass&lt;/p&gt;&lt;div style="clear: both;"&gt;&lt;/div&gt;&lt;/div&gt;&lt;div&gt;&lt;h5&gt;&lt;b&gt;School &lt;/b&gt;enchantment (compulsion) [mind-affecting]; &lt;b&gt;Level &lt;/b&gt;sorcerer/wizard 9, witch 9, psychic 9&lt;/h5&gt;&lt;/div&gt;&lt;hr/&gt;&lt;div&gt;&lt;h5&gt;&lt;b&gt;CASTING&lt;/b&gt;&lt;/h5&gt;&lt;/div&gt;&lt;hr/&gt;&lt;div&gt;&lt;h5&gt;&lt;b&gt;Casting Time &lt;/b&gt;1 standard action&lt;/h5&gt;&lt;h5&gt;&lt;b&gt;Components &lt;/b&gt;V, S, M/DF (one hard metal bar or rod, which can be as small as a three-penny nail)&lt;/h5&gt;&lt;/div&gt;&lt;hr/&gt;&lt;div&gt;&lt;h5&gt;&lt;b&gt;EFFECT&lt;/b&gt;&lt;/h5&gt;&lt;/div&gt;&lt;hr/&gt;&lt;div&gt;&lt;h5&gt;&lt;b&gt;Range &lt;/b&gt;medium (100 ft. + 10 ft./level)&lt;/h5&gt;&lt;h5&gt;&lt;b&gt;Targets &lt;/b&gt;one or more creatures, no two of which can be more than 30 ft. apart&lt;/h5&gt;&lt;h5&gt;&lt;b&gt;Duration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multiple creatures and holds any living creature that fails its Will save.&lt;/p&gt;&lt;/h4&gt;&lt;/div&gt;</t>
  </si>
  <si>
    <t>Legislation (9)</t>
  </si>
  <si>
    <t> As hold monster, but all within 30 ft.</t>
  </si>
  <si>
    <t>Hold Person, Mass</t>
  </si>
  <si>
    <t>sorcerer/wizard 7, witch 7, psychic 7, mesmerist 6</t>
  </si>
  <si>
    <t>one or more humanoid creatures, no two of which can be more than 30 ft. apart</t>
  </si>
  <si>
    <t>This spell functions like hold person, except as noted above.</t>
  </si>
  <si>
    <t>&lt;p&gt;This spell functions like &lt;i&gt;hold person,&lt;/i&gt; except as noted above.&lt;/p&gt;</t>
  </si>
  <si>
    <t>&lt;link rel="stylesheet"href="PF.css"&gt;&lt;div class="heading"&gt;&lt;p class="alignleft"&gt;Hold Person, Mass&lt;/p&gt;&lt;div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or more humanoid creatures, no two of which can be more than 30 ft. apart&lt;/h5&gt;&lt;h5&gt;&lt;b&gt;Duration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as noted above.&lt;/p&gt;&lt;/h4&gt;&lt;/div&gt;</t>
  </si>
  <si>
    <t> As hold person, but all within 30 ft.</t>
  </si>
  <si>
    <t>Hold Portal</t>
  </si>
  <si>
    <t>sorcerer/wizard 1, occultist 1, psychic 1</t>
  </si>
  <si>
    <t>one portal, up to 20 sq. ft./level</t>
  </si>
  <si>
    <t>This spell magically holds shut a door, gate, window, or shutter of wood, metal, or stone. The magic affects the portal just as if it were securely closed and normally locked. A knock spell or a successful dispel magic spell can negate a hold portal spell.  Add 5 to the normal DC for forcing open a portal affected by this spell.</t>
  </si>
  <si>
    <t>&lt;p&gt;This spell magically holds shut a door, gate, window, or shutter of wood, metal, or stone. The magic affects the portal just as if it were securely closed and normally locked. A &lt;i&gt;knock&lt;/i&gt; spell or a successful &lt;i&gt;dispel magic&lt;/i&gt; spell can negate a &lt;i&gt;hold portal&lt;/i&gt; spell.&lt;/p&gt;&lt;p&gt;Add 5 to the normal DC for forcing open a portal affected by this spell.&lt;/p&gt;</t>
  </si>
  <si>
    <t>&lt;link rel="stylesheet"href="PF.css"&gt;&lt;div class="heading"&gt;&lt;p class="alignleft"&gt;Hold Portal&lt;/p&gt;&lt;div style="clear: both;"&gt;&lt;/div&gt;&lt;/div&gt;&lt;div&gt;&lt;h5&gt;&lt;b&gt;School &lt;/b&gt;abjuration; &lt;b&gt;Level &lt;/b&gt;sorcerer/wizard 1, occultist 1, psychic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portal, up to 20 sq. ft./level&lt;/h5&gt;&lt;h5&gt;&lt;b&gt;Duration &lt;/b&gt;1 min./level (D)&lt;/h5&gt;&lt;h5&gt;&lt;b&gt;Saving Throw &lt;/b&gt;none; &lt;b&gt;Spell Resistance &lt;/b&gt;no&lt;/h5&gt;&lt;/div&gt;&lt;hr/&gt;&lt;div&gt;&lt;h5&gt;&lt;b&gt;DESCRIPTION&lt;/b&gt;&lt;/h5&gt;&lt;/div&gt;&lt;hr/&gt;&lt;div&gt;&lt;h4&gt;&lt;p&gt;This spell magically holds shut a door, gate, window, or shutter of wood, metal, or stone. The magic affects the portal just as if it were securely closed and normally locked. A &lt;i&gt;knock&lt;/i&gt; spell or a successful &lt;i&gt;dispel magic&lt;/i&gt; spell can negate a &lt;i&gt;hold portal&lt;/i&gt; spell.&lt;/p&gt;&lt;p&gt;Add 5 to the normal DC for forcing open a portal affected by this spell.&lt;/p&gt;&lt;/h4&gt;&lt;h5&gt;&lt;b&gt;Mythic: &lt;/b&gt;The target portal can be as large as 30 square feet per caster level. A creature attempting to force open the portal must first succeed at a Will save against the spell's DC. This is a mind-affecting effect. Failure means the creature can't open the door while the spell is in effect.&lt;/h5&gt;&lt;/div&gt;</t>
  </si>
  <si>
    <t>Fortifications (1)</t>
  </si>
  <si>
    <t> Holds door shut.</t>
  </si>
  <si>
    <t>Dimensions (2)</t>
  </si>
  <si>
    <t>The target portal can be as large as 30 square feet per caster level. A creature attempting to force open the portal must first succeed at a Will save against the spell's DC. This is a mind-affecting effect. Failure means the creature can't open the door while the spell is in effect.</t>
  </si>
  <si>
    <t>Holy Aura</t>
  </si>
  <si>
    <t>A brilliant divine radiance surrounds the subjects, protecting them from attacks, granting them resistance to spells cast by evil creatures, and causing evil creatures to become blinded when they strike the subjects. This abjuration has four effects.  First, each warded creature gains a +4 deflection bonus to AC and a +4 resistance bonus on saves. Unlike protection from evil, this benefit applies against all attacks, not just against attacks by evil creatures.  Second, each warded creature gains spell resistance 25 against evil spells and spells cast by evil creatures.  Third, the abjuration protects the recipient from possession and mental influence, just as protection from evil does.  Finally, if an evil creature succeeds on a melee attack against a creature warded by a holy aura, the offending attacker is blinded (Fortitude save negates, as blindness/deafness, but against holy aura's save DC).</t>
  </si>
  <si>
    <t>&lt;p&gt;A brilliant divine radiance surrounds the subjects, protecting them from attacks, granting them resistance to spells cast by evil creatures, and causing evil creatures to become blinded when they strike the subjects. This abjuration has four effects.&lt;/p&gt;&lt;p&gt;First, each warded creature gains a +4 deflection bonus to AC and a +4 resistance bonus on saves. Unlike &lt;i&gt;protection from evil&lt;/i&gt;, this benefit applies against all attacks, not just against attacks by evil creatures.&lt;/p&gt;&lt;p&gt;Second, each warded creature gains spell resistance 25 against evil spells and spells cast by evil creatures.&lt;/p&gt;&lt;p&gt;Third, the abjuration protects the recipient from possession and mental influence, just as &lt;i&gt;protection from evil&lt;/i&gt; does.&lt;/p&gt;&lt;p&gt;Finally, if an evil creature succeeds on a melee attack against a creature warded by a &lt;i&gt;holy aura&lt;/i&gt;, the offending attacker is blinded (Fortitude save negates, as &lt;i&gt;blindness/deafness,&lt;/i&gt; but against &lt;i&gt;holy aura&lt;/i&gt;'s save DC).&lt;/p&gt;</t>
  </si>
  <si>
    <t>&lt;link rel="stylesheet"href="PF.css"&gt;&lt;div class="heading"&gt;&lt;p class="alignleft"&gt;Holy Aura&lt;/p&gt;&lt;div style="clear: both;"&gt;&lt;/div&gt;&lt;/div&gt;&lt;div&gt;&lt;h5&gt;&lt;b&gt;School &lt;/b&gt;abjuration [good]; &lt;b&gt;Level &lt;/b&gt;cleric/oracle 8&lt;/h5&gt;&lt;/div&gt;&lt;hr/&gt;&lt;div&gt;&lt;h5&gt;&lt;b&gt;CASTING&lt;/b&gt;&lt;/h5&gt;&lt;/div&gt;&lt;hr/&gt;&lt;div&gt;&lt;h5&gt;&lt;b&gt;Casting Time &lt;/b&gt;1 standard action&lt;/h5&gt;&lt;h5&gt;&lt;b&gt;Components &lt;/b&gt;V, S, F (a tiny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brilliant divine radiance surrounds the subjects, protecting them from attacks, granting them resistance to spells cast by evil creatures, and causing evil creatures to become blinded when they strike the subjects. This abjuration has four effects.&lt;/p&gt;&lt;p&gt;First, each warded creature gains a +4 deflection bonus to AC and a +4 resistance bonus on saves. Unlike &lt;i&gt;protection from evil&lt;/i&gt;, this benefit applies against all attacks, not just against attacks by evil creatures.&lt;/p&gt;&lt;p&gt;Second, each warded creature gains spell resistance 25 against evil spells and spells cast by evil creatures.&lt;/p&gt;&lt;p&gt;Third, the abjuration protects the recipient from possession and mental influence, just as &lt;i&gt;protection from evil&lt;/i&gt; does.&lt;/p&gt;&lt;p&gt;Finally, if an evil creature succeeds on a melee attack against a creature warded by a &lt;i&gt;holy aura&lt;/i&gt;, the offending attacker is blinded (Fortitude save negates, as &lt;i&gt;blindness/deafness,&lt;/i&gt; but against &lt;i&gt;holy aura&lt;/i&gt;'s save DC).&lt;/p&gt;&lt;/h4&gt;&lt;/div&gt;</t>
  </si>
  <si>
    <t>Glory (8), Good (8)</t>
  </si>
  <si>
    <t> +4 to AC, +4 resistance, and SR 25 against evil spells.</t>
  </si>
  <si>
    <t>Devotion (16)</t>
  </si>
  <si>
    <t>Holy Smite</t>
  </si>
  <si>
    <t>instantaneous (1 round); see text</t>
  </si>
  <si>
    <t>You draw down holy power to smite your enemies. Only evil and neutral creatures are harmed by the spell; good creatures are unaffected.  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  The spell deals only half damage to creatures who are neither good nor evil, and they are not blinded. Such a creature can reduce that damage by half (down to one-quarter of the roll) with a successful Will save.</t>
  </si>
  <si>
    <t>&lt;p&gt;You draw down holy power to smite your enemies. Only evil and neutral creatures are harmed by the spell; good creatures are unaffected.&lt;/p&gt;&lt;p&gt;The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effect.&lt;/p&gt;&lt;p&gt;The spell deals only half damage to creatures who are neither good nor evil, and they are not blinded. Such a creature can reduce that damage by half (down to one-quarter of the roll) with a successful Will save.&lt;/p&gt;</t>
  </si>
  <si>
    <t>&lt;link rel="stylesheet"href="PF.css"&gt;&lt;div class="heading"&gt;&lt;p class="alignleft"&gt;Holy Smite&lt;/p&gt;&lt;div style="clear: both;"&gt;&lt;/div&gt;&lt;/div&gt;&lt;div&gt;&lt;h5&gt;&lt;b&gt;School &lt;/b&gt;evocation [good];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 round); see text&lt;/h5&gt;&lt;h5&gt;&lt;b&gt;Saving Throw &lt;/b&gt;Will partial; see text; &lt;b&gt;Spell Resistance &lt;/b&gt;yes&lt;/h5&gt;&lt;/div&gt;&lt;hr/&gt;&lt;div&gt;&lt;h5&gt;&lt;b&gt;DESCRIPTION&lt;/b&gt;&lt;/h5&gt;&lt;/div&gt;&lt;hr/&gt;&lt;div&gt;&lt;h4&gt;&lt;p&gt;You draw down holy power to smite your enemies. Only evil and neutral creatures are harmed by the spell; good creatures are unaffected.&lt;/p&gt;&lt;p&gt;The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effect.&lt;/p&gt;&lt;p&gt;The spell deals only half damage to creatures who are neither good nor evil, and they are not blinded. Such a creature can reduce that damage by half (down to one-quarter of the roll) with a successful Will save.&lt;/p&gt;&lt;/h4&gt;&lt;h5&gt;&lt;b&gt;Mythic: &lt;/b&gt;The damage dealt to evil outsiders increases to 1d10 points of damage per caster level (maximum 10d10) and the damage dealt to other evil creatures increases to 1d12 points of damage per 2 caster levels (maximum 5d12). The duration that creatures in the area are blinded increases to 2 rounds. On a successful save, an evil creature is blinded for 1 round.&lt;/h5&gt;&lt;/div&gt;</t>
  </si>
  <si>
    <t>Glory (4), Good (4)</t>
  </si>
  <si>
    <t> Harms and possibly blinds evil creatures (1d8 damage/2 levels).</t>
  </si>
  <si>
    <t>The damage dealt to evil outsiders increases to 1d10 points of damage per caster level (maximum 10d10) and the damage dealt to other evil creatures increases to 1d12 points of damage per 2 caster levels (maximum 5d12). The duration that creatures in the area are blinded increases to 2 rounds. On a successful save, an evil creature is blinded for 1 round.</t>
  </si>
  <si>
    <t>Holy Sword</t>
  </si>
  <si>
    <t>paladin 4</t>
  </si>
  <si>
    <t>melee weapon touched</t>
  </si>
  <si>
    <t>This spell allows you to channel holy power into your sword, or any other melee weapon you choose. The weapon acts as a +5 holy weapon (+5 enhancement bonus on attack and damage rolls, extra 2d6 damage against evil opponents). It also emits a magic circle against evil effect (as the spell). If the magic circle ends, the sword creates a new one on your turn as a free action. The spell is automatically canceled 1 round after the weapon leaves your hand.  You cannot have more than one holy sword at a time.  If this spell is cast on a magic weapon, the powers of the spell supercede any that the weapon normally has, rendering the normal enhancement bonus and powers of the weapon inoperative for the duration of the spell. This spell is not cumulative with bless weapon or any other spell that might modify the weapon in any way. This spell does not work on artifacts. A masterwork weapon's bonus to attack does not stack with an enhancement bonus to attack.</t>
  </si>
  <si>
    <t>&lt;p&gt;This spell allows you to channel holy power into your sword, or any other melee weapon you choose. The weapon acts as a &lt;i&gt;+5 holy weapon&lt;/i&gt; (+5 enhancement bonus on attack and damage rolls, extra 2d6 damage against evil opponents). It also emits a &lt;i&gt;&lt;i&gt;magic circle&lt;/i&gt; against evil&lt;/i&gt; effect (as the spell). If the &lt;i&gt;magic circle&lt;/i&gt; ends, the sword creates a new one on your turn as a free action. The spell is automatically canceled 1 round after the weapon leaves your hand.&lt;/p&gt;&lt;p&gt;You cannot have more than one &lt;i&gt;holy sword&lt;/i&gt; at a time.&lt;/p&gt;&lt;p&gt;If this spell is cast on a magic weapon, the powers of the spell supercede any that the weapon normally has, rendering the normal enhancement bonus and powers of the weapon inoperative for the duration of the spell. This spell is not cumulative with &lt;i&gt;bless weapon&lt;/i&gt; or any other spell that might modify the weapon in any way. This spell does not work on artifacts. A masterwork weapon's bonus to attack does not stack with an enhancement bonus to attack.&lt;/p&gt;</t>
  </si>
  <si>
    <t>&lt;link rel="stylesheet"href="PF.css"&gt;&lt;div class="heading"&gt;&lt;p class="alignleft"&gt;Holy Sword&lt;/p&gt;&lt;div style="clear: both;"&gt;&lt;/div&gt;&lt;/div&gt;&lt;div&gt;&lt;h5&gt;&lt;b&gt;School &lt;/b&gt;evocation [good]; &lt;b&gt;Level &lt;/b&gt;paladin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round/level&lt;/h5&gt;&lt;h5&gt;&lt;b&gt;Saving Throw &lt;/b&gt;none; &lt;b&gt;Spell Resistance &lt;/b&gt;no&lt;/h5&gt;&lt;/div&gt;&lt;hr/&gt;&lt;div&gt;&lt;h5&gt;&lt;b&gt;DESCRIPTION&lt;/b&gt;&lt;/h5&gt;&lt;/div&gt;&lt;hr/&gt;&lt;div&gt;&lt;h4&gt;&lt;p&gt;This spell allows you to channel holy power into your sword, or any other melee weapon you choose. The weapon acts as a &lt;i&gt;+5 holy weapon&lt;/i&gt; (+5 enhancement bonus on attack and damage rolls, extra 2d6 damage against evil opponents). It also emits a &lt;i&gt;&lt;i&gt;magic circle&lt;/i&gt; against evil&lt;/i&gt; effect (as the spell). If the &lt;i&gt;magic circle&lt;/i&gt; ends, the sword creates a new one on your turn as a free action. The spell is automatically canceled 1 round after the weapon leaves your hand.&lt;/p&gt;&lt;p&gt;You cannot have more than one &lt;i&gt;holy sword&lt;/i&gt; at a time.&lt;/p&gt;&lt;p&gt;If this spell is cast on a magic weapon, the powers of the spell supercede any that the weapon normally has, rendering the normal enhancement bonus and powers of the weapon inoperative for the duration of the spell. This spell is not cumulative with &lt;i&gt;bless weapon&lt;/i&gt; or any other spell that might modify the weapon in any way. This spell does not work on artifacts. A masterwork weapon's bonus to attack does not stack with an enhancement bonus to attack.&lt;/p&gt;&lt;/h4&gt;&lt;/div&gt;</t>
  </si>
  <si>
    <t>Glory (7)</t>
  </si>
  <si>
    <t> Weapon becomes +5, deals +2d6 damage against evil.</t>
  </si>
  <si>
    <t>Holy Word</t>
  </si>
  <si>
    <t>good, sonic</t>
  </si>
  <si>
    <t>nongood creatures in a 40-ft.-radius spread centered on you</t>
  </si>
  <si>
    <t>Any nongood creature within the area of a holy word spell suffers the following ill effects. HD Effect Equal to caster level Deafened Up to caster level -1 Blinded, deafened Up to caster level -5 Paralyzed, blinded, deafened Up to caster level -10 Killed, paralyzed, blinded, deafened The effects are cumulative and concurrent. A successful Will save reduces or eliminates these effects. Creatures affected by multiple effects make only one save and apply the result to all the effects. Deafened: The creature is deafened for 1d4 rounds. Save negates. Blinded: The creature is blinded for 2d4 rounds. Save reduces the blinded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holy word or not. The banishment effect allows a Will save (at a -4 penalty) to negate. Creatures whose HD exceed your caster level are unaffected by holy word.</t>
  </si>
  <si>
    <t>&lt;p&gt;Any nongood creature within the area of a &lt;i&gt;holy word&lt;/i&gt; spell suffers the following ill effects.&lt;/p&gt;   &lt;table border ='1'&gt;&lt;tr&gt;&lt;th&gt;&lt;table&gt;&lt;tr&gt;&lt;th&gt;HD&lt;/th&gt;&lt;th&gt;Effect&lt;/th&gt;&lt;/tr&gt;&lt;tr&gt;&lt;td&gt;Equal to caster level&lt;/td&gt;&lt;td&gt;Deafened&lt;/td&gt;&lt;/tr&gt;&lt;tr&gt;&lt;td&gt;Up to caster level -1&lt;/td&gt;&lt;td&gt;Blinded, deafened&lt;/td&gt;&lt;/tr&gt;&lt;tr&gt;&lt;td&gt;Up to caster level -5&lt;/td&gt;&lt;td&gt;Paralyzed, blinded, deafened&lt;/td&gt;&lt;/tr&gt;&lt;tr&gt;&lt;td&gt;Up to caster level -10&lt;/td&gt;&lt;td&gt;Killed, paralyzed, blinded, deafened&lt;/td&gt;&lt;/tr&gt;&lt;/table&gt;&lt;/td&gt;&lt;/tr&gt;&lt;/table&gt;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negates.&lt;/p&gt;&lt;p&gt;&lt;i&gt;Blinded&lt;/i&gt;: The creature is blinded for 2d4 rounds. Save reduces the blinded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&lt;i&gt;holy word&lt;/i&gt; or not. The banishment effect allows a Will save (at a -4 penalty) to negate.&lt;/p&gt;&lt;p&gt;Creatures whose HD exceed your caster level are unaffected by &lt;i&gt;holy word&lt;/i&gt;.&lt;/p&gt;</t>
  </si>
  <si>
    <t>&lt;link rel="stylesheet"href="PF.css"&gt;&lt;div class="heading"&gt;&lt;p class="alignleft"&gt;Holy Word&lt;/p&gt;&lt;div style="clear: both;"&gt;&lt;/div&gt;&lt;/div&gt;&lt;div&gt;&lt;h5&gt;&lt;b&gt;School &lt;/b&gt;evocation [good,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&lt;/b&gt;nongood creatures in a 40-ft.-radius spread centered on you&lt;/h5&gt;&lt;h5&gt;&lt;b&gt;Duration &lt;/b&gt;instantaneous&lt;/h5&gt;&lt;h5&gt;&lt;b&gt;Saving Throw &lt;/b&gt;Will partial; &lt;b&gt;Spell Resistance &lt;/b&gt;yes&lt;/h5&gt;&lt;/div&gt;&lt;hr/&gt;&lt;div&gt;&lt;h5&gt;&lt;b&gt;DESCRIPTION&lt;/b&gt;&lt;/h5&gt;&lt;/div&gt;&lt;hr/&gt;&lt;div&gt;&lt;h4&gt;&lt;p&gt;Any nongood creature within the area of a &lt;i&gt;holy word&lt;/i&gt; spell suffers the following ill effects.&lt;/p&gt;   &lt;table border ='1'&gt;&lt;tr&gt;&lt;th&gt;&lt;table&gt;&lt;tr&gt;&lt;th&gt;HD&lt;/th&gt;&lt;th&gt;Effect&lt;/th&gt;&lt;/tr&gt;&lt;tr&gt;&lt;td&gt;Equal to caster level&lt;/td&gt;&lt;td&gt;Deafened&lt;/td&gt;&lt;/tr&gt;&lt;tr&gt;&lt;td&gt;Up to caster level -1&lt;/td&gt;&lt;td&gt;Blinded, deafened&lt;/td&gt;&lt;/tr&gt;&lt;tr&gt;&lt;td&gt;Up to caster level -5&lt;/td&gt;&lt;td&gt;Paralyzed, blinded, deafened&lt;/td&gt;&lt;/tr&gt;&lt;tr&gt;&lt;td&gt;Up to caster level -10&lt;/td&gt;&lt;td&gt;Killed, paralyzed, blinded, deafened&lt;/td&gt;&lt;/tr&gt;&lt;/table&gt;&lt;/td&gt;&lt;/tr&gt;&lt;/table&gt;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negates.&lt;/p&gt;&lt;p&gt;&lt;i&gt;Blinded&lt;/i&gt;: The creature is blinded for 2d4 rounds. Save reduces the blinded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&lt;i&gt;holy word&lt;/i&gt; or not. The banishment effect allows a Will save (at a -4 penalty) to negate.&lt;/p&gt;&lt;p&gt;Creatures whose HD exceed your caster level are unaffected by &lt;i&gt;holy word&lt;/i&gt;.&lt;/p&gt;&lt;/h4&gt;&lt;h5&gt;&lt;b&gt;Mythic: &lt;/b&gt;When determining the spell's effect on non-mythic creatures, add your tier to your caster level. Nongood creatures that fail their saves also take a -4 penalty on attack rolls and saving throws, and their spell resistance decreases by 5 for as long as the spell's other effects last.&lt;/h5&gt;&lt;/div&gt;</t>
  </si>
  <si>
    <t>Good (7)</t>
  </si>
  <si>
    <t> Kills, paralyzes, blinds, or deafens nongood subjects.</t>
  </si>
  <si>
    <t>When determining the spell's effect on non-mythic creatures, add your tier to your caster level. Nongood creatures that fail their saves also take a -4 penalty on attack rolls and saving throws, and their spell resistance decreases by 5 for as long as the spell's other effects last.</t>
  </si>
  <si>
    <t>Horrid Wilting</t>
  </si>
  <si>
    <t>sorcerer/wizard 8, witch 8, shaman 8</t>
  </si>
  <si>
    <t>V, S, M/DF (a bit of sponge)</t>
  </si>
  <si>
    <t>living creatures, no two of which can be more than 60 ft. apart</t>
  </si>
  <si>
    <t>Fortitude half</t>
  </si>
  <si>
    <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t>
  </si>
  <si>
    <t>&lt;p&gt;This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20d8).&lt;/p&gt;</t>
  </si>
  <si>
    <t>&lt;link rel="stylesheet"href="PF.css"&gt;&lt;div class="heading"&gt;&lt;p class="alignleft"&gt;Horrid Wilting&lt;/p&gt;&lt;div style="clear: both;"&gt;&lt;/div&gt;&lt;/div&gt;&lt;div&gt;&lt;h5&gt;&lt;b&gt;School &lt;/b&gt;necromancy; &lt;b&gt;Level &lt;/b&gt;sorcerer/wizard 8, witch 8, shaman 8&lt;/h5&gt;&lt;/div&gt;&lt;hr/&gt;&lt;div&gt;&lt;h5&gt;&lt;b&gt;CASTING&lt;/b&gt;&lt;/h5&gt;&lt;/div&gt;&lt;hr/&gt;&lt;div&gt;&lt;h5&gt;&lt;b&gt;Casting Time &lt;/b&gt;1 standard action&lt;/h5&gt;&lt;h5&gt;&lt;b&gt;Components &lt;/b&gt;V, S, M/DF (a bit of sponge)&lt;/h5&gt;&lt;/div&gt;&lt;hr/&gt;&lt;div&gt;&lt;h5&gt;&lt;b&gt;EFFECT&lt;/b&gt;&lt;/h5&gt;&lt;/div&gt;&lt;hr/&gt;&lt;div&gt;&lt;h5&gt;&lt;b&gt;Range &lt;/b&gt;long (400 ft. + 40 ft./level)&lt;/h5&gt;&lt;h5&gt;&lt;b&gt;Targets &lt;/b&gt;living creatures, no two of which can be more than 60 ft. apart&lt;/h5&gt;&lt;h5&gt;&lt;b&gt;Duration &lt;/b&gt;instantaneous&lt;/h5&gt;&lt;h5&gt;&lt;b&gt;Saving Throw &lt;/b&gt;Fortitude half; &lt;b&gt;Spell Resistance &lt;/b&gt;yes&lt;/h5&gt;&lt;/div&gt;&lt;hr/&gt;&lt;div&gt;&lt;h5&gt;&lt;b&gt;DESCRIPTION&lt;/b&gt;&lt;/h5&gt;&lt;/div&gt;&lt;hr/&gt;&lt;div&gt;&lt;h4&gt;&lt;p&gt;This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20d8).&lt;/p&gt;&lt;/h4&gt;&lt;/div&gt;</t>
  </si>
  <si>
    <t>Water (8), Radiation (4), Plague (8)</t>
  </si>
  <si>
    <t> Deals 1d6/level damage within 30 ft.</t>
  </si>
  <si>
    <t>Pestilence (17), Undead (17), Daemon (17)</t>
  </si>
  <si>
    <t>Moon (16)</t>
  </si>
  <si>
    <t>Hypnotic Pattern</t>
  </si>
  <si>
    <t>bard 2, sorcerer/wizard 2, psychic 2, mesmerist 2</t>
  </si>
  <si>
    <t>V (bard only), S, M (a stick of incense or a crystal rod); see text</t>
  </si>
  <si>
    <t>colorful lights in a 10-ft.-radius spread</t>
  </si>
  <si>
    <t>Concentration + 2 rounds</t>
  </si>
  <si>
    <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  A wizard or sorcerer need not utter a sound to cast this spell, but a bard must perform as a verbal component.</t>
  </si>
  <si>
    <t>&lt;p&gt;A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affected.&lt;/p&gt;&lt;p&gt;A wizard or sorcerer need not utter a sound to cast this spell, but a bard must perform as a verbal component.&lt;/p&gt;</t>
  </si>
  <si>
    <t>&lt;link rel="stylesheet"href="PF.css"&gt;&lt;div class="heading"&gt;&lt;p class="alignleft"&gt;Hypnotic Pattern&lt;/p&gt;&lt;div style="clear: both;"&gt;&lt;/div&gt;&lt;/div&gt;&lt;div&gt;&lt;h5&gt;&lt;b&gt;School &lt;/b&gt;illusion (pattern) [mind-affecting]; &lt;b&gt;Level &lt;/b&gt;bard 2, sorcerer/wizard 2, psychic 2, mesmerist 2&lt;/h5&gt;&lt;/div&gt;&lt;hr/&gt;&lt;div&gt;&lt;h5&gt;&lt;b&gt;CASTING&lt;/b&gt;&lt;/h5&gt;&lt;/div&gt;&lt;hr/&gt;&lt;div&gt;&lt;h5&gt;&lt;b&gt;Casting Time &lt;/b&gt;1 standard action&lt;/h5&gt;&lt;h5&gt;&lt;b&gt;Components &lt;/b&gt;V (bard only), S, M (a stick of incense or a crystal rod); see text&lt;/h5&gt;&lt;/div&gt;&lt;hr/&gt;&lt;div&gt;&lt;h5&gt;&lt;b&gt;EFFECT&lt;/b&gt;&lt;/h5&gt;&lt;/div&gt;&lt;hr/&gt;&lt;div&gt;&lt;h5&gt;&lt;b&gt;Range &lt;/b&gt;medium (100 ft. + 10 ft./level)&lt;/h5&gt;&lt;h5&gt;&lt;b&gt;Effect &lt;/b&gt;colorful lights in a 10-ft.-radius spread&lt;/h5&gt;&lt;h5&gt;&lt;b&gt;Duration &lt;/b&gt;Concentration + 2 rounds&lt;/h5&gt;&lt;h5&gt;&lt;b&gt;Saving Throw &lt;/b&gt;Will negates; &lt;b&gt;Spell Resistance &lt;/b&gt;yes&lt;/h5&gt;&lt;/div&gt;&lt;hr/&gt;&lt;div&gt;&lt;h5&gt;&lt;b&gt;DESCRIPTION&lt;/b&gt;&lt;/h5&gt;&lt;/div&gt;&lt;hr/&gt;&lt;div&gt;&lt;h4&gt;&lt;p&gt;A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affected.&lt;/p&gt;&lt;p&gt;A wizard or sorcerer need not utter a sound to cast this spell, but a bard must perform as a verbal component.&lt;/p&gt;&lt;/h4&gt;&lt;/div&gt;</t>
  </si>
  <si>
    <t>Fascinates (2d4 + level) HD of creatures.</t>
  </si>
  <si>
    <t>Hypnotism</t>
  </si>
  <si>
    <t>bard 1, sorcerer/wizard 1, witch 1, occultist 1, psychic 1, mesmerist 1</t>
  </si>
  <si>
    <t>several living creatures, no two of which may be more than 30 ft. apart</t>
  </si>
  <si>
    <t>2d4 rounds</t>
  </si>
  <si>
    <t>Your gestures and droning incantation fascinate nearby creatures, causing them to stop and stare blankly at you.  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  If you use this spell in combat, each target gains a +2 bonus on its saving throw. If the spell affects only a single creature not in combat at the time, the saving throw has a penalty of -2.  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  A creature that fails its saving throw does not remember that you enspelled it.</t>
  </si>
  <si>
    <t>&lt;p&gt;Your gestures and droning incantation fascinate nearby creatures, causing them to stop and stare blankly at you.&lt;/p&gt;&lt;p&gt;In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fascinated.&lt;/p&gt;&lt;p&gt;If you use this spell in combat, each target gains a +2 bonus on its saving throw. If the spell affects only a single creature not in combat at the time, the saving throw has a penalty of -2.&lt;/p&gt;&lt;p&gt;While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request.&lt;/p&gt;&lt;p&gt;A creature that fails its saving throw does not remember that you enspelled it.&lt;/p&gt;</t>
  </si>
  <si>
    <t>&lt;link rel="stylesheet"href="PF.css"&gt;&lt;div class="heading"&gt;&lt;p class="alignleft"&gt;Hypnotism&lt;/p&gt;&lt;div style="clear: both;"&gt;&lt;/div&gt;&lt;/div&gt;&lt;div&gt;&lt;h5&gt;&lt;b&gt;School &lt;/b&gt;enchantment (compulsion) [mind-affecting]; &lt;b&gt;Level &lt;/b&gt;bard 1, sorcerer/wizard 1, witch 1, occultist 1, psychic 1, mesmerist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&lt;/b&gt;several living creatures, no two of which may be more than 30 ft. apart&lt;/h5&gt;&lt;h5&gt;&lt;b&gt;Duration &lt;/b&gt;2d4 rounds (D)&lt;/h5&gt;&lt;h5&gt;&lt;b&gt;Saving Throw &lt;/b&gt;Will negates; &lt;b&gt;Spell Resistance &lt;/b&gt;yes&lt;/h5&gt;&lt;/div&gt;&lt;hr/&gt;&lt;div&gt;&lt;h5&gt;&lt;b&gt;DESCRIPTION&lt;/b&gt;&lt;/h5&gt;&lt;/div&gt;&lt;hr/&gt;&lt;div&gt;&lt;h4&gt;&lt;p&gt;Your gestures and droning incantation fascinate nearby creatures, causing them to stop and stare blankly at you.&lt;/p&gt;&lt;p&gt;In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fascinated.&lt;/p&gt;&lt;p&gt;If you use this spell in combat, each target gains a +2 bonus on its saving throw. If the spell affects only a single creature not in combat at the time, the saving throw has a penalty of -2.&lt;/p&gt;&lt;p&gt;While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request.&lt;/p&gt;&lt;p&gt;A creature that fails its saving throw does not remember that you enspelled it.&lt;/p&gt;&lt;/h4&gt;&lt;/div&gt;</t>
  </si>
  <si>
    <t>Fascinates 2d4 HD of creatures.</t>
  </si>
  <si>
    <t>Serpentine (3)</t>
  </si>
  <si>
    <t>Ice Storm</t>
  </si>
  <si>
    <t>druid 4, sorcerer/wizard 4, witch 4, magus 4, bloodrager 4, shaman 4, occultist 4</t>
  </si>
  <si>
    <t>V, S, M/DF (dust and water)</t>
  </si>
  <si>
    <t>cylinder (20-ft. radius, 40 ft. high)</t>
  </si>
  <si>
    <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t>
  </si>
  <si>
    <t>&lt;p&gt;Great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dealt).&lt;/p&gt;</t>
  </si>
  <si>
    <t>&lt;link rel="stylesheet"href="PF.css"&gt;&lt;div class="heading"&gt;&lt;p class="alignleft"&gt;Ice Storm&lt;/p&gt;&lt;div style="clear: both;"&gt;&lt;/div&gt;&lt;/div&gt;&lt;div&gt;&lt;h5&gt;&lt;b&gt;School &lt;/b&gt;evocation [cold]; &lt;b&gt;Level &lt;/b&gt;druid 4, sorcerer/wizard 4, witch 4, magus 4, bloodrager 4, shaman 4, occultist 4&lt;/h5&gt;&lt;/div&gt;&lt;hr/&gt;&lt;div&gt;&lt;h5&gt;&lt;b&gt;CASTING&lt;/b&gt;&lt;/h5&gt;&lt;/div&gt;&lt;hr/&gt;&lt;div&gt;&lt;h5&gt;&lt;b&gt;Casting Time &lt;/b&gt;1 standard action&lt;/h5&gt;&lt;h5&gt;&lt;b&gt;Components &lt;/b&gt;V, S, M/DF (dust and water)&lt;/h5&gt;&lt;/div&gt;&lt;hr/&gt;&lt;div&gt;&lt;h5&gt;&lt;b&gt;EFFECT&lt;/b&gt;&lt;/h5&gt;&lt;/div&gt;&lt;hr/&gt;&lt;div&gt;&lt;h5&gt;&lt;b&gt;Range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dealt).&lt;/p&gt;&lt;/h4&gt;&lt;h5&gt;&lt;b&gt;Mythic: &lt;/b&gt;The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effect.&lt;/h5&gt;&lt;h5&gt;&lt;b&gt;Augmented (6th)&lt;/b&gt;: If you expend two uses of mythic power, one creature in the area is paralyzed (as if by hold person) and gains vulnerability to fire as long as it's paralyzed.&lt;/h5&gt;&lt;/div&gt;</t>
  </si>
  <si>
    <t>Water (5), Weather (5)</t>
  </si>
  <si>
    <t>Hail deals 5d6 damage in cylinder 40 ft. across.</t>
  </si>
  <si>
    <t>Winter (6), Storms (8)</t>
  </si>
  <si>
    <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t>
  </si>
  <si>
    <t>Augmented (6th): If you expend two uses of mythic power, one creature in the area is paralyzed (as if by hold person) and gains vulnerability to fire as long as it's paralyzed.</t>
  </si>
  <si>
    <t>Identify</t>
  </si>
  <si>
    <t>bard 1, sorcerer/wizard 1, alchemist 1, summoner 1, witch 1, alchemist 1, summoner 1, witch 1, occultist 1, psychic 1, spiritualist 1</t>
  </si>
  <si>
    <t>V, S, M (wine stirred with an owl's feather)</t>
  </si>
  <si>
    <t>3 rounds/level</t>
  </si>
  <si>
    <t>This spell functions as detect magic, except that it gives you a +10 enhancement bonus on Spellcraft checks made to identify the properties and command words of magic items in your possession. This spell does not allow you to identify artifacts.</t>
  </si>
  <si>
    <t>&lt;p&gt;This spell functions as &lt;i&gt;detect magic&lt;/i&gt;, except that it gives you a +10 enhancement bonus on Spellcraft checks made to identify the properties and command words of magic items in your possession. This spell does not allow you to identify artifacts.&lt;/p&gt;</t>
  </si>
  <si>
    <t>&lt;link rel="stylesheet"href="PF.css"&gt;&lt;div class="heading"&gt;&lt;p class="alignleft"&gt;Identify&lt;/p&gt;&lt;div style="clear: both;"&gt;&lt;/div&gt;&lt;/div&gt;&lt;div&gt;&lt;h5&gt;&lt;b&gt;School &lt;/b&gt;divination; &lt;b&gt;Level &lt;/b&gt;bard 1, sorcerer/wizard 1, alchemist 1, summoner 1, witch 1, alchemist 1, summoner 1, witch 1, occultist 1, psychic 1, spiritualist 1&lt;/h5&gt;&lt;/div&gt;&lt;hr/&gt;&lt;div&gt;&lt;h5&gt;&lt;b&gt;CASTING&lt;/b&gt;&lt;/h5&gt;&lt;/div&gt;&lt;hr/&gt;&lt;div&gt;&lt;h5&gt;&lt;b&gt;Casting Time &lt;/b&gt;1 standard action&lt;/h5&gt;&lt;h5&gt;&lt;b&gt;Components &lt;/b&gt;V, S, M (wine stirred with an owl's feather)&lt;/h5&gt;&lt;/div&gt;&lt;hr/&gt;&lt;div&gt;&lt;h5&gt;&lt;b&gt;EFFECT&lt;/b&gt;&lt;/h5&gt;&lt;/div&gt;&lt;hr/&gt;&lt;div&gt;&lt;h5&gt;&lt;b&gt;Range &lt;/b&gt;60 ft.&lt;/h5&gt;&lt;h5&gt;&lt;b&gt;Area &lt;/b&gt;cone-shaped emanation&lt;/h5&gt;&lt;h5&gt;&lt;b&gt;Duration &lt;/b&gt;3 rounds/level (D)&lt;/h5&gt;&lt;h5&gt;&lt;b&gt;Saving Throw &lt;/b&gt;none; &lt;b&gt;Spell Resistance &lt;/b&gt;no&lt;/h5&gt;&lt;/div&gt;&lt;hr/&gt;&lt;div&gt;&lt;h5&gt;&lt;b&gt;DESCRIPTION&lt;/b&gt;&lt;/h5&gt;&lt;/div&gt;&lt;hr/&gt;&lt;div&gt;&lt;h4&gt;&lt;p&gt;This spell functions as &lt;i&gt;detect magic&lt;/i&gt;, except that it gives you a +10 enhancement bonus on Spellcraft checks made to identify the properties and command words of magic items in your possession. This spell does not allow you to identify artifacts.&lt;/p&gt;&lt;/h4&gt;&lt;/div&gt;</t>
  </si>
  <si>
    <t>Magic (1)</t>
  </si>
  <si>
    <t>Gives +10 bonus to identify magic items.</t>
  </si>
  <si>
    <t>Arcane (3)</t>
  </si>
  <si>
    <t>Illusory Script</t>
  </si>
  <si>
    <t>bard 3, sorcerer/wizard 3, occultist 3, psychic 3, mesmerist 3</t>
  </si>
  <si>
    <t>1 minute per page</t>
  </si>
  <si>
    <t>V, S, M (lead-based ink worth 50 gp)</t>
  </si>
  <si>
    <t>one day/level</t>
  </si>
  <si>
    <t>You write instructions or other information on parchment, paper, or any suitable writing material. The illusory script appears to be some form of foreign or magical writing. Only the person (or people) designated by you at the time of the casting can read the writing; it's unintelligible to any other character.  Any unauthorized creature attempting to read the script triggers a potent illusory effect and must make a saving throw. A successful saving throw means the creature can look away with only a mild sense of disorientation. Failure means the creature is subject to a suggestion implanted in the script by you at the time the illusory script spell was cast. The suggestion lasts only 30 minutes. Typical suggestions include "Close the book and leave," "Forget the existence of this note," and so forth. If successfully dispelled by dispel magic, the illusory script and its secret message disappear.  The hidden message can be read by a combination of the true seeing spell with the read magic or comprehend languages spell.</t>
  </si>
  <si>
    <t>&lt;p&gt;You write instructions or other information on parchment, paper, or any suitable writing material. The &lt;i&gt;illusory script&lt;/i&gt; appears to be some form of foreign or magical writing. Only the person (or people) designated by you at the time of the casting can read the writing; it's unintelligible to any other character.&lt;/p&gt;&lt;p&gt;Any unauthorized creature attempting to read the script triggers a potent illusory effect and must make a saving throw. A successful saving throw means the creature can look away with only a mild sense of disorientation. Failure means the creature is subject to a &lt;i&gt;suggestion&lt;/i&gt; implanted in the script by you at the time the &lt;i&gt;illusory script&lt;/i&gt; spell was cast. The &lt;i&gt;suggestion&lt;/i&gt; lasts only 30 minutes. Typical &lt;i&gt;suggestion&lt;/i&gt;s include "Close the book and leave," "Forget the existence of this note," and so forth. If successfully dispelled by &lt;i&gt;dispel magic,&lt;/i&gt; the &lt;i&gt;illusory script&lt;/i&gt; and its secret message disappear.&lt;/p&gt;&lt;p&gt;The hidden message can be read by a combination of the &lt;i&gt;true seeing&lt;/i&gt; spell with the &lt;i&gt;read magic&lt;/i&gt; or &lt;i&gt;comprehend languages&lt;/i&gt; spell.&lt;/p&gt;</t>
  </si>
  <si>
    <t>&lt;link rel="stylesheet"href="PF.css"&gt;&lt;div class="heading"&gt;&lt;p class="alignleft"&gt;Illusory Script&lt;/p&gt;&lt;div style="clear: both;"&gt;&lt;/div&gt;&lt;/div&gt;&lt;div&gt;&lt;h5&gt;&lt;b&gt;School &lt;/b&gt;illusion (phantasm) [mind-affecting]; &lt;b&gt;Level &lt;/b&gt;bard 3, sorcerer/wizard 3, occultist 3, psychic 3, mesmerist 3, witch 3, alchemist 2, witch 2, inquisitor 2, witch 8&lt;/h5&gt;&lt;/div&gt;&lt;hr/&gt;&lt;div&gt;&lt;h5&gt;&lt;b&gt;CASTING&lt;/b&gt;&lt;/h5&gt;&lt;/div&gt;&lt;hr/&gt;&lt;div&gt;&lt;h5&gt;&lt;b&gt;Casting Time &lt;/b&gt;1 minute per page&lt;/h5&gt;&lt;h5&gt;&lt;b&gt;Components &lt;/b&gt;V, S, M (lead-based ink worth 50 gp)&lt;/h5&gt;&lt;/div&gt;&lt;hr/&gt;&lt;div&gt;&lt;h5&gt;&lt;b&gt;EFFECT&lt;/b&gt;&lt;/h5&gt;&lt;/div&gt;&lt;hr/&gt;&lt;div&gt;&lt;h5&gt;&lt;b&gt;Range &lt;/b&gt;touch&lt;/h5&gt;&lt;h5&gt;&lt;b&gt;Targets &lt;/b&gt;one touched object weighing no more than 10 lbs.&lt;/h5&gt;&lt;h5&gt;&lt;b&gt;Duration &lt;/b&gt;one day/level (D)&lt;/h5&gt;&lt;h5&gt;&lt;b&gt;Saving Throw &lt;/b&gt;Will negates; see text; &lt;b&gt;Spell Resistance &lt;/b&gt;yes&lt;/h5&gt;&lt;/div&gt;&lt;hr/&gt;&lt;div&gt;&lt;h5&gt;&lt;b&gt;DESCRIPTION&lt;/b&gt;&lt;/h5&gt;&lt;/div&gt;&lt;hr/&gt;&lt;div&gt;&lt;h4&gt;&lt;p&gt;You write instructions or other information on parchment, paper, or any suitable writing material. The &lt;i&gt;illusory script&lt;/i&gt; appears to be some form of foreign or magical writing. Only the person (or people) designated by you at the time of the casting can read the writing; it's unintelligible to any other character.&lt;/p&gt;&lt;p&gt;Any unauthorized creature attempting to read the script triggers a potent illusory effect and must make a saving throw. A successful saving throw means the creature can look away with only a mild sense of disorientation. Failure means the creature is subject to a &lt;i&gt;suggestion&lt;/i&gt; implanted in the script by you at the time the &lt;i&gt;illusory script&lt;/i&gt; spell was cast. The &lt;i&gt;suggestion&lt;/i&gt; lasts only 30 minutes. Typical &lt;i&gt;suggestion&lt;/i&gt;s include "Close the book and leave," "Forget the existence of this note," and so forth. If successfully dispelled by &lt;i&gt;dispel magic,&lt;/i&gt; the &lt;i&gt;illusory script&lt;/i&gt; and its secret message disappear.&lt;/p&gt;&lt;p&gt;The hidden message can be read by a combination of the &lt;i&gt;true seeing&lt;/i&gt; spell with the &lt;i&gt;read magic&lt;/i&gt; or &lt;i&gt;comprehend languages&lt;/i&gt; spell.&lt;/p&gt;&lt;/h4&gt;&lt;/div&gt;</t>
  </si>
  <si>
    <t>Only select creatures can read text.</t>
  </si>
  <si>
    <t>Illusory Wall</t>
  </si>
  <si>
    <t>sorcerer/wizard 4, occultist 4, psychic 4, mesmerist 4</t>
  </si>
  <si>
    <t>image 1 ft. by 10 ft. by 10 ft.</t>
  </si>
  <si>
    <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illusory wall, other creatures cannot, even if they succeed at their will save (but they do learn that it is not real).</t>
  </si>
  <si>
    <t>&lt;p&gt;This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&lt;i&gt;illusory wall&lt;/i&gt;, other creatures cannot, even if they succeed at their will save (but they do learn that it is not real).&lt;/p&gt;</t>
  </si>
  <si>
    <t>&lt;link rel="stylesheet"href="PF.css"&gt;&lt;div class="heading"&gt;&lt;p class="alignleft"&gt;Illusory Wall&lt;/p&gt;&lt;div style="clear: both;"&gt;&lt;/div&gt;&lt;/div&gt;&lt;div&gt;&lt;h5&gt;&lt;b&gt;School &lt;/b&gt;illusion (figment); &lt;b&gt;Level &lt;/b&gt;sorcerer/wizard 4, occultist 4, psychic 4, mesmerist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&lt;/b&gt;image 1 ft. by 10 ft. by 10 ft.&lt;/h5&gt;&lt;h5&gt;&lt;b&gt;Duration &lt;/b&gt;permanent&lt;/h5&gt;&lt;h5&gt;&lt;b&gt;Saving Throw &lt;/b&gt;Will disbelief (if interacted with); &lt;b&gt;Spell Resistance &lt;/b&gt;no&lt;/h5&gt;&lt;/div&gt;&lt;hr/&gt;&lt;div&gt;&lt;h5&gt;&lt;b&gt;DESCRIPTION&lt;/b&gt;&lt;/h5&gt;&lt;/div&gt;&lt;hr/&gt;&lt;div&gt;&lt;h4&gt;&lt;p&gt;This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&lt;i&gt;illusory wall&lt;/i&gt;, other creatures cannot, even if they succeed at their will save (but they do learn that it is not real).&lt;/p&gt;&lt;/h4&gt;&lt;/div&gt;</t>
  </si>
  <si>
    <t>Ambush (5)</t>
  </si>
  <si>
    <t> Wall, floor, or ceiling looks real, but anything can pass through.</t>
  </si>
  <si>
    <t>Imbue with Spell Ability</t>
  </si>
  <si>
    <t>cleric/oracle 4, shaman 4, spiritualist 4</t>
  </si>
  <si>
    <t>creature touched; see text</t>
  </si>
  <si>
    <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imbue with spell ability can't exceed this limit. HD of Recipient Spells Imbued 2 or lower One 1st-level spell 3-4 One or two 1st-level spells 5 or higher One or two 1st-level spells and one 2nd-level spell The transferred spell's variable characteristics (range, duration, area, and the like) function according to your level, not the level of the recipient. Once you cast imbue with spell ability, you cannot prepare a new 4th-level spell to replace it until the recipient uses the imbued spells or is slain, or until you dismiss the imbue with spell ability spell. In the meantime, you remain responsible to your deity or your principles for the use to which the spell is put. If the number of 4th-level spells you can cast decreases, and that number drops below your current number of active imbue with spell ability spells, the more recently cast imbued spells are dispelled. To cast a spell with a verbal component, the subject must be able to speak. To cast a spell with a somatic component, it must be able to move freely. To cast a spell with a material component or focus, it must have the materials or focus.</t>
  </si>
  <si>
    <t>&lt;p&gt;You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&lt;i&gt;imbue with spell ability&lt;/i&gt; can't exceed this limit.&lt;/p&gt;&lt;p&gt; &lt;table&gt;&lt;tr&gt;&lt;th&gt;HD of recipient&lt;/th&gt;&lt;th&gt;Spells imbued&lt;/th&gt;&lt;/tr&gt;&lt;tr&gt;&lt;td&gt;2 or lower&lt;/td&gt;&lt;td&gt;One 1st-level spell&lt;/td&gt;&lt;/tr&gt;&lt;tr&gt;&lt;td&gt;3-4&lt;/td&gt;&lt;td&gt;One or two 1st-level spells&lt;/td&gt;&lt;/tr&gt;&lt;tr&gt;&lt;td&gt;5 or higher&lt;/td&gt;&lt;td&gt;One or two 1st-level spells and one 2nd-level spell&lt;/td&gt;&lt;/tr&gt;&lt;/table&gt;  The transferred spell's variable characteristics (range, duration, area, and the like) function according to your level, not the level of the recipient.&lt;/p&gt;&lt;p&gt;Once you cast &lt;i&gt;imbue with spell ability&lt;/i&gt;, you cannot prepare a new 4th-level spell to replace it until the recipient uses the imbued spells or is slain, or until you dismiss the &lt;i&gt;imbue with spell ability&lt;/i&gt; spell. In the meantime, you remain responsible to your deity or your principles for the use to which the spell is put. If the number of 4th-level spells you can cast decreases, and that number drops below your current number of active &lt;i&gt;imbue with spell ability&lt;/i&gt; spells, the more recently cast imbued spells are dispelled.&lt;/p&gt;&lt;p&gt;To cast a spell with a verbal component, the subject must be able to speak. To cast a spell with a somatic component, it must be able to move freely. To cast a spell with a material component or focus, it must have the materials or focus.&lt;/p&gt;</t>
  </si>
  <si>
    <t>&lt;link rel="stylesheet"href="PF.css"&gt;&lt;div class="heading"&gt;&lt;p class="alignleft"&gt;Imbue with Spell Ability&lt;/p&gt;&lt;div style="clear: both;"&gt;&lt;/div&gt;&lt;/div&gt;&lt;div&gt;&lt;h5&gt;&lt;b&gt;School &lt;/b&gt;evocation; &lt;b&gt;Level &lt;/b&gt;cleric/oracle 4, shaman 4, spiritualist 4&lt;/h5&gt;&lt;/div&gt;&lt;hr/&gt;&lt;div&gt;&lt;h5&gt;&lt;b&gt;CASTING&lt;/b&gt;&lt;/h5&gt;&lt;/div&gt;&lt;hr/&gt;&lt;div&gt;&lt;h5&gt;&lt;b&gt;Casting Time &lt;/b&gt;10 minutes&lt;/h5&gt;&lt;h5&gt;&lt;b&gt;Components &lt;/b&gt;V, S, DF&lt;/h5&gt;&lt;/div&gt;&lt;hr/&gt;&lt;div&gt;&lt;h5&gt;&lt;b&gt;EFFECT&lt;/b&gt;&lt;/h5&gt;&lt;/div&gt;&lt;hr/&gt;&lt;div&gt;&lt;h5&gt;&lt;b&gt;Range &lt;/b&gt;touch&lt;/h5&gt;&lt;h5&gt;&lt;b&gt;Targets &lt;/b&gt;creature touched; see text&lt;/h5&gt;&lt;h5&gt;&lt;b&gt;Duration &lt;/b&gt;permanent until discharged (D)&lt;/h5&gt;&lt;h5&gt;&lt;b&gt;Saving Throw &lt;/b&gt;Will negates (harmless); &lt;b&gt;Spell Resistance &lt;/b&gt;yes (harmless)&lt;/h5&gt;&lt;/div&gt;&lt;hr/&gt;&lt;div&gt;&lt;h5&gt;&lt;b&gt;DESCRIPTION&lt;/b&gt;&lt;/h5&gt;&lt;/div&gt;&lt;hr/&gt;&lt;div&gt;&lt;h4&gt;&lt;p&gt;You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&lt;i&gt;imbue with spell ability&lt;/i&gt; can't exceed this limit.&lt;/p&gt;&lt;p&gt; &lt;table&gt;&lt;tr&gt;&lt;th&gt;HD of recipient&lt;/th&gt;&lt;th&gt;Spells imbued&lt;/th&gt;&lt;/tr&gt;&lt;tr&gt;&lt;td&gt;2 or lower&lt;/td&gt;&lt;td&gt;One 1st-level spell&lt;/td&gt;&lt;/tr&gt;&lt;tr&gt;&lt;td&gt;3-4&lt;/td&gt;&lt;td&gt;One or two 1st-level spells&lt;/td&gt;&lt;/tr&gt;&lt;tr&gt;&lt;td&gt;5 or higher&lt;/td&gt;&lt;td&gt;One or two 1st-level spells and one 2nd-level spell&lt;/td&gt;&lt;/tr&gt;&lt;/table&gt;  The transferred spell's variable characteristics (range, duration, area, and the like) function according to your level, not the level of the recipient.&lt;/p&gt;&lt;p&gt;Once you cast &lt;i&gt;imbue with spell ability&lt;/i&gt;, you cannot prepare a new 4th-level spell to replace it until the recipient uses the imbued spells or is slain, or until you dismiss the &lt;i&gt;imbue with spell ability&lt;/i&gt; spell. In the meantime, you remain responsible to your deity or your principles for the use to which the spell is put. If the number of 4th-level spells you can cast decreases, and that number drops below your current number of active &lt;i&gt;imbue with spell ability&lt;/i&gt; spells, the more recently cast imbued spells are dispelled.&lt;/p&gt;&lt;p&gt;To cast a spell with a verbal component, the subject must be able to speak. To cast a spell with a somatic component, it must be able to move freely. To cast a spell with a material component or focus, it must have the materials or focus.&lt;/p&gt;&lt;/h4&gt;&lt;/div&gt;</t>
  </si>
  <si>
    <t>Community (4), Magic (4)</t>
  </si>
  <si>
    <t> Transfer spells to subject.</t>
  </si>
  <si>
    <t>Implosion</t>
  </si>
  <si>
    <t>cleric/oracle 9, psychic 9</t>
  </si>
  <si>
    <t>one corporeal creature/round</t>
  </si>
  <si>
    <t>concentration (up to 1 round per 2 levels)</t>
  </si>
  <si>
    <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t>
  </si>
  <si>
    <t>&lt;p&gt;This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creatures.&lt;/p&gt;</t>
  </si>
  <si>
    <t>&lt;link rel="stylesheet"href="PF.css"&gt;&lt;div class="heading"&gt;&lt;p class="alignleft"&gt;Implosion&lt;/p&gt;&lt;div style="clear: both;"&gt;&lt;/div&gt;&lt;/div&gt;&lt;div&gt;&lt;h5&gt;&lt;b&gt;School &lt;/b&gt;evocation; &lt;b&gt;Level &lt;/b&gt;cleric/oracle 9, 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corporeal creature/round&lt;/h5&gt;&lt;h5&gt;&lt;b&gt;Duration &lt;/b&gt;concentration (up to 1 round per 2 levels)&lt;/h5&gt;&lt;h5&gt;&lt;b&gt;Saving Throw &lt;/b&gt;Fortitude negates; &lt;b&gt;Spell Resistance &lt;/b&gt;yes&lt;/h5&gt;&lt;/div&gt;&lt;hr/&gt;&lt;div&gt;&lt;h5&gt;&lt;b&gt;DESCRIPTION&lt;/b&gt;&lt;/h5&gt;&lt;/div&gt;&lt;hr/&gt;&lt;div&gt;&lt;h4&gt;&lt;p&gt;This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creatures.&lt;/p&gt;&lt;/h4&gt;&lt;/div&gt;</t>
  </si>
  <si>
    <t>Destruction (9)</t>
  </si>
  <si>
    <t> Inflict 10 damage/level to one creature/round.</t>
  </si>
  <si>
    <t>Imprisonment</t>
  </si>
  <si>
    <t>When you cast imprisonment and touch a creature, it is entombed in a state of suspended animation (see the temporal stasis spell) in a small sphere far beneath the surface of the ground. The subject remains there unless a freedom spell is cast at the locale where the imprisonment took place. Magical search by a crystal ball, a locate object spell, or some other similar divination does not reveal the fact that a creature is imprisoned, but discern location does. A wish or miracle spell will not free the recipient, but will reveal where it is entombed. If you know the target's name and some facts about its life, the target takes a -4 penalty on its save.</t>
  </si>
  <si>
    <t>&lt;p&gt;When you cast &lt;i&gt;imprisonment&lt;/i&gt; and touch a creature, it is entombed in a state of suspended animation (see the &lt;i&gt;temporal stasis&lt;/i&gt; spell) in a small sphere far beneath the surface of the ground. The subject remains there unless a &lt;i&gt;freedom&lt;/i&gt; spell is cast at the locale where the &lt;i&gt;imprisonment&lt;/i&gt; took place. Magical search by a &lt;i&gt;crystal ball, a locate object&lt;/i&gt; spell, or some other similar divination does not reveal the fact that a creature is imprisoned, but &lt;i&gt;discern location&lt;/i&gt; does. A &lt;i&gt;wish&lt;/i&gt; or &lt;i&gt;miracle&lt;/i&gt; spell will not free the recipient, but will reveal where it is entombed. If you know the target's name and some facts about its life, the target takes a -4 penalty on its save.&lt;/p&gt;</t>
  </si>
  <si>
    <t>&lt;link rel="stylesheet"href="PF.css"&gt;&lt;div class="heading"&gt;&lt;p class="alignleft"&gt;Imprisonment&lt;/p&gt;&lt;div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see text; &lt;b&gt;Spell Resistance &lt;/b&gt;yes&lt;/h5&gt;&lt;/div&gt;&lt;hr/&gt;&lt;div&gt;&lt;h5&gt;&lt;b&gt;DESCRIPTION&lt;/b&gt;&lt;/h5&gt;&lt;/div&gt;&lt;hr/&gt;&lt;div&gt;&lt;h4&gt;&lt;p&gt;When you cast &lt;i&gt;imprisonment&lt;/i&gt; and touch a creature, it is entombed in a state of suspended animation (see the &lt;i&gt;temporal stasis&lt;/i&gt; spell) in a small sphere far beneath the surface of the ground. The subject remains there unless a &lt;i&gt;freedom&lt;/i&gt; spell is cast at the locale where the &lt;i&gt;imprisonment&lt;/i&gt; took place. Magical search by a &lt;i&gt;crystal ball, a locate object&lt;/i&gt; spell, or some other similar divination does not reveal the fact that a creature is imprisoned, but &lt;i&gt;discern location&lt;/i&gt; does. A &lt;i&gt;wish&lt;/i&gt; or &lt;i&gt;miracle&lt;/i&gt; spell will not free the recipient, but will reveal where it is entombed. If you know the target's name and some facts about its life, the target takes a -4 penalty on its save.&lt;/p&gt;&lt;/h4&gt;&lt;/div&gt;</t>
  </si>
  <si>
    <t> Entombs subject beneath the earth.</t>
  </si>
  <si>
    <t>Kobold Sorcerer (19)</t>
  </si>
  <si>
    <t>Incendiary Cloud</t>
  </si>
  <si>
    <t>sorcerer/wizard 8, summoner 6</t>
  </si>
  <si>
    <t>An incendiary cloud spell creates a cloud of roiling smoke shot through with white-hot embers. The smoke obscures all sight as a fog cloud does. In addition, the white-hot embers within the cloud deal 6d6 points of fire damage to everything within the cloud on your turn each round. All targets can make Reflex saves each round to take half damage.  As with a cloudkill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  As with fog cloud, wind disperses the smoke, and the spell can't be cast underwater.</t>
  </si>
  <si>
    <t>&lt;p&gt;An &lt;i&gt;incendiary cloud&lt;/i&gt; spell creates a cloud of roiling smoke shot through with white-hot embers. The smoke obscures all sight as a &lt;i&gt;fog cloud&lt;/i&gt; does. In addition, the white-hot embers within the cloud deal 6d6 points of fire damage to everything within the cloud on your turn each round. All targets can make Reflex saves each round to take half damage.&lt;/p&gt;&lt;p&gt;As with a &lt;i&gt;cloudkill&lt;/i&gt;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thereafter.&lt;/p&gt;&lt;p&gt;As with &lt;i&gt;fog cloud&lt;/i&gt;, wind disperses the smoke, and the spell can't be cast underwater.&lt;/p&gt;</t>
  </si>
  <si>
    <t>&lt;link rel="stylesheet"href="PF.css"&gt;&lt;div class="heading"&gt;&lt;p class="alignleft"&gt;Incendiary Cloud&lt;/p&gt;&lt;div style="clear: both;"&gt;&lt;/div&gt;&lt;/div&gt;&lt;div&gt;&lt;h5&gt;&lt;b&gt;School &lt;/b&gt;conjuration (creation) [fire]; &lt;b&gt;Level &lt;/b&gt;sorcerer/wizard 8, summoner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&lt;/b&gt;cloud spreads in 20-ft. radius, 20 ft. high&lt;/h5&gt;&lt;h5&gt;&lt;b&gt;Duration &lt;/b&gt;1 round/level (D)&lt;/h5&gt;&lt;h5&gt;&lt;b&gt;Saving Throw &lt;/b&gt;Reflex half; see text; &lt;b&gt;Spell Resistance &lt;/b&gt;no&lt;/h5&gt;&lt;/div&gt;&lt;hr/&gt;&lt;div&gt;&lt;h5&gt;&lt;b&gt;DESCRIPTION&lt;/b&gt;&lt;/h5&gt;&lt;/div&gt;&lt;hr/&gt;&lt;div&gt;&lt;h4&gt;&lt;p&gt;An &lt;i&gt;incendiary cloud&lt;/i&gt; spell creates a cloud of roiling smoke shot through with white-hot embers. The smoke obscures all sight as a &lt;i&gt;fog cloud&lt;/i&gt; does. In addition, the white-hot embers within the cloud deal 6d6 points of fire damage to everything within the cloud on your turn each round. All targets can make Reflex saves each round to take half damage.&lt;/p&gt;&lt;p&gt;As with a &lt;i&gt;cloudkill&lt;/i&gt;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thereafter.&lt;/p&gt;&lt;p&gt;As with &lt;i&gt;fog cloud&lt;/i&gt;, wind disperses the smoke, and the spell can't be cast underwater.&lt;/p&gt;&lt;/h4&gt;&lt;/div&gt;</t>
  </si>
  <si>
    <t>Fire (8)</t>
  </si>
  <si>
    <t> Cloud deals 6d6 fire damage/round.</t>
  </si>
  <si>
    <t>Vengeance (16)</t>
  </si>
  <si>
    <t>Inflict Light Wounds</t>
  </si>
  <si>
    <t>antipaladin 1, cleric/oracle 1, inquisitor 1, witch 1, shaman 1, occultist 1, spiritualist 1</t>
  </si>
  <si>
    <t>Will half</t>
  </si>
  <si>
    <t>When laying your hand upon a creature, you channel negative energy that deals 1d8 points of damage + 1 point per caster level (maximum +5).  Since undead are powered by negative energy, this spell cures such a creature of a like amount of damage, rather than harming it.</t>
  </si>
  <si>
    <t>&lt;p&gt;When laying your hand upon a creature, you channel negative energy that deals 1d8 points of damage + 1 point per caster level (maximum +5).&lt;/p&gt;&lt;p&gt;Since undead are powered by negative energy, this spell cures such a creature of a like amount of damage, rather than harming it.&lt;/p&gt;</t>
  </si>
  <si>
    <t>&lt;link rel="stylesheet"href="PF.css"&gt;&lt;div class="heading"&gt;&lt;p class="alignleft"&gt;Inflict Light Wounds&lt;/p&gt;&lt;div style="clear: both;"&gt;&lt;/div&gt;&lt;/div&gt;&lt;div&gt;&lt;h5&gt;&lt;b&gt;School &lt;/b&gt;necromancy; &lt;b&gt;Level &lt;/b&gt;antipaladin 1, cleric/oracle 1, inquisitor 1, witch 1, shaman 1, occultist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&lt;/b&gt;yes&lt;/h5&gt;&lt;/div&gt;&lt;hr/&gt;&lt;div&gt;&lt;h5&gt;&lt;b&gt;DESCRIPTION&lt;/b&gt;&lt;/h5&gt;&lt;/div&gt;&lt;hr/&gt;&lt;div&gt;&lt;h4&gt;&lt;p&gt;When laying your hand upon a creature, you channel negative energy that deals 1d8 points of damage + 1 point per caster level (maximum +5).&lt;/p&gt;&lt;p&gt;Since undead are powered by negative energy, this spell cures such a creature of a like amount of damage, rather than harming it.&lt;/p&gt;&lt;/h4&gt;&lt;h5&gt;&lt;b&gt;Mythic: &lt;/b&gt;The damage dealt increases to 2d8 points of damage + 2 points per caster level (maximum +10). A living target is sickened for 1 round per caster level (maximum 5 rounds) if it fails its saving throw.&lt;/h5&gt;&lt;/div&gt;</t>
  </si>
  <si>
    <t>Touch deals 1d8 damage +1/level (max +5).</t>
  </si>
  <si>
    <t>The damage dealt increases to 2d8 points of damage + 2 points per caster level (maximum +10). A living target is sickened for 1 round per caster level (maximum 5 rounds) if it fails its saving throw.</t>
  </si>
  <si>
    <t>Inflict Critical Wounds</t>
  </si>
  <si>
    <t>cleric/oracle 4, witch 5, inquisitor 4, shaman 4, occultist 4, spiritualist 4</t>
  </si>
  <si>
    <t>This spell functions like inflict light wounds, except that you deal 4d8 points of damage + 1 point per caster level (maximum +20).</t>
  </si>
  <si>
    <t>&lt;p&gt;This spell functions like &lt;i&gt;inflict light wounds&lt;/i&gt;, except that you deal 4d8 points of damage + 1 point per caster level (maximum +20).&lt;/p&gt;</t>
  </si>
  <si>
    <t>&lt;link rel="stylesheet"href="PF.css"&gt;&lt;div class="heading"&gt;&lt;p class="alignleft"&gt;Inflict Critical Wounds&lt;/p&gt;&lt;div style="clear: both;"&gt;&lt;/div&gt;&lt;/div&gt;&lt;div&gt;&lt;h5&gt;&lt;b&gt;School &lt;/b&gt;necromancy; &lt;b&gt;Level &lt;/b&gt;cleric/oracle 4, witch 5, inquisitor 4, shaman 4, occultist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&lt;/b&gt;yes&lt;/h5&gt;&lt;/div&gt;&lt;hr/&gt;&lt;div&gt;&lt;h5&gt;&lt;b&gt;DESCRIPTION&lt;/b&gt;&lt;/h5&gt;&lt;/div&gt;&lt;hr/&gt;&lt;div&gt;&lt;h4&gt;&lt;p&gt;This spell functions like &lt;i&gt;inflict light wounds&lt;/i&gt;, except that you deal 4d8 points of damage + 1 point per caster level (maximum +20).&lt;/p&gt;&lt;/h4&gt;&lt;h5&gt;&lt;b&gt;Mythic: &lt;/b&gt;The damage dealt increases to 8d8 points of damage + 2 points per caster level (maximum +40). A living target is sickened for 1 round per caster level (maximum 20 rounds) if it fails its saving throw.&lt;/h5&gt;&lt;/div&gt;</t>
  </si>
  <si>
    <t>Destruction (4)</t>
  </si>
  <si>
    <t> Touch attack, 4d8 damage + 1/level (max +20).</t>
  </si>
  <si>
    <t>The damage dealt increases to 8d8 points of damage + 2 points per caster level (maximum +40). A living target is sickened for 1 round per caster level (maximum 20 rounds) if it fails its saving throw.</t>
  </si>
  <si>
    <t>Inflict Critical Wounds, Mass</t>
  </si>
  <si>
    <t>cleric/oracle 8, witch 9, shaman 8</t>
  </si>
  <si>
    <t>This spell functions like mass inflict light wounds, except that it deals 4d8 points of damage + 1 point per caster level (maximum +40).</t>
  </si>
  <si>
    <t>&lt;p&gt;This spell functions like &lt;i&gt;mass inflict light wounds&lt;/i&gt;, except that it deals 4d8 points of damage + 1 point per caster level (maximum +40).&lt;/p&gt;</t>
  </si>
  <si>
    <t>&lt;link rel="stylesheet"href="PF.css"&gt;&lt;div class="heading"&gt;&lt;p class="alignleft"&gt;Inflict Critical Wounds, Mass&lt;/p&gt;&lt;div style="clear: both;"&gt;&lt;/div&gt;&lt;/div&gt;&lt;div&gt;&lt;h5&gt;&lt;b&gt;School &lt;/b&gt;necromancy; &lt;b&gt;Level &lt;/b&gt;cleric/oracle 8, witch 9, shaman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4d8 points of damage + 1 point per caster level (maximum +40).&lt;/p&gt;&lt;/h4&gt;&lt;/div&gt;</t>
  </si>
  <si>
    <t> Deals 4d8 damage + 1/level, affects 1 subject/level.</t>
  </si>
  <si>
    <t>Inflict Light Wounds, Mass</t>
  </si>
  <si>
    <t>cleric/oracle 5, witch 6, inquisitor 5, shaman 5, occultist 5</t>
  </si>
  <si>
    <t>Negative energy spreads out in all directions from the point of origin, dealing 1d8 points of damage + 1 point per caster level (maximum +25) to nearby living enemies. Like other inflict spells, mass inflict light wounds cures undead in its area rather than damaging them. A cleric capable of spontaneously casting inflict spells can also spontaneously cast mass inflict spells.</t>
  </si>
  <si>
    <t>&lt;p&gt;Negative energy spreads out in all directions from the point of origin, dealing 1d8 points of damage + 1 point per caster level (maximum +25) to nearby living enemies.&lt;/p&gt;&lt;p&gt;Like other &lt;i&gt;inflict&lt;/i&gt; spells, &lt;i&gt;mass inflict light wounds&lt;/i&gt; cures undead in its area rather than damaging them. A cleric capable of spontaneously casting &lt;i&gt;inflict&lt;/i&gt; spells can also spontaneously cast mass &lt;i&gt;inflict&lt;/i&gt; spells.&lt;/p&gt;</t>
  </si>
  <si>
    <t>&lt;link rel="stylesheet"href="PF.css"&gt;&lt;div class="heading"&gt;&lt;p class="alignleft"&gt;Inflict Light Wounds, Mass&lt;/p&gt;&lt;div style="clear: both;"&gt;&lt;/div&gt;&lt;/div&gt;&lt;div&gt;&lt;h5&gt;&lt;b&gt;School &lt;/b&gt;necromancy; &lt;b&gt;Level &lt;/b&gt;cleric/oracle 5, witch 6, inquisitor 5, shaman 5, occultist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&lt;/b&gt;yes&lt;/h5&gt;&lt;/div&gt;&lt;hr/&gt;&lt;div&gt;&lt;h5&gt;&lt;b&gt;DESCRIPTION&lt;/b&gt;&lt;/h5&gt;&lt;/div&gt;&lt;hr/&gt;&lt;div&gt;&lt;h4&gt;&lt;p&gt;Negative energy spreads out in all directions from the point of origin, dealing 1d8 points of damage + 1 point per caster level (maximum +25) to nearby living enemies.&lt;/p&gt;&lt;p&gt;Like other &lt;i&gt;inflict&lt;/i&gt; spells, &lt;i&gt;mass inflict light wounds&lt;/i&gt; cures undead in its area rather than damaging them. A cleric capable of spontaneously casting &lt;i&gt;inflict&lt;/i&gt; spells can also spontaneously cast mass &lt;i&gt;inflict&lt;/i&gt; spells.&lt;/p&gt;&lt;/h4&gt;&lt;/div&gt;</t>
  </si>
  <si>
    <t> Deals 1d8 damage + 1/level, affects 1 subject/level.</t>
  </si>
  <si>
    <t>Inflict Moderate Wounds</t>
  </si>
  <si>
    <t>antipaladin 3, cleric/oracle 2, inquisitor 2, witch 2, shaman 2, occultist 2, spiritualist 2</t>
  </si>
  <si>
    <t>The damage dealt increases to 4d8 points of damage + 2 points per caster level (maximum +20). A living target is sickened for 1 round per caster level (maximum 10 rounds) if it fails its saving throw.</t>
  </si>
  <si>
    <t>&lt;p&gt;The damage dealt increases to 4d8 points of damage + 2 points per caster level (maximum +20). A living target is sickened for 1 round per caster level (maximum 10 rounds) if it fails its saving throw.&lt;/p&gt;</t>
  </si>
  <si>
    <t>&lt;link rel="stylesheet"href="PF.css"&gt;&lt;div class="heading"&gt;&lt;p class="alignleft"&gt;Inflict Moderate Wounds&lt;/p&gt;&lt;div style="clear: both;"&gt;&lt;/div&gt;&lt;/div&gt;&lt;div&gt;&lt;h5&gt;&lt;b&gt;School &lt;/b&gt;necromancy; &lt;b&gt;Level &lt;/b&gt;antipaladin 3, cleric/oracle 2, inquisitor 2, witch 2, shaman 2, occultist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&lt;/b&gt;yes&lt;/h5&gt;&lt;/div&gt;&lt;hr/&gt;&lt;div&gt;&lt;h5&gt;&lt;b&gt;DESCRIPTION&lt;/b&gt;&lt;/h5&gt;&lt;/div&gt;&lt;hr/&gt;&lt;div&gt;&lt;h4&gt;&lt;p&gt;The damage dealt increases to 4d8 points of damage + 2 points per caster level (maximum +20). A living target is sickened for 1 round per caster level (maximum 10 rounds) if it fails its saving throw.&lt;/p&gt;&lt;/h4&gt;&lt;h5&gt;&lt;b&gt;Mythic: &lt;/b&gt;The damage dealt increases to 4d8 points of damage + 2 points per caster level (maximum +20). A living target is sickened for 1 round per caster level (maximum 10 rounds) if it fails its saving throw.&lt;/h5&gt;&lt;/div&gt;</t>
  </si>
  <si>
    <t>Touch attack, 2d8 damage +1/level (max +10).</t>
  </si>
  <si>
    <t>Inflict Moderate Wounds, Mass</t>
  </si>
  <si>
    <t>cleric/oracle 6, witch 7, inquisitor 6, shaman 6, occultist 6</t>
  </si>
  <si>
    <t>This spell functions like mass inflict light wounds, except that it deals 2d8 points of damage + 1 point per caster level (maximum +30).</t>
  </si>
  <si>
    <t>&lt;p&gt;This spell functions like &lt;i&gt;mass inflict light wounds&lt;/i&gt;, except that it deals 2d8 points of damage + 1 point per caster level (maximum +30).&lt;/p&gt;</t>
  </si>
  <si>
    <t>&lt;link rel="stylesheet"href="PF.css"&gt;&lt;div class="heading"&gt;&lt;p class="alignleft"&gt;Inflict Moderate Wounds, Mass&lt;/p&gt;&lt;div style="clear: both;"&gt;&lt;/div&gt;&lt;/div&gt;&lt;div&gt;&lt;h5&gt;&lt;b&gt;School &lt;/b&gt;necromancy; &lt;b&gt;Level &lt;/b&gt;cleric/oracle 6, witch 7, inquisitor 6, shaman 6,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2d8 points of damage + 1 point per caster level (maximum +30).&lt;/p&gt;&lt;/h4&gt;&lt;/div&gt;</t>
  </si>
  <si>
    <t> Deals 2d8 damage + 1/level, affects 1 subject/level.</t>
  </si>
  <si>
    <t>Inflict Serious Wounds</t>
  </si>
  <si>
    <t>cleric/oracle 3, witch 4, inquisitor 3, antipaladin 4, shaman 3, occultist 3, spiritualist 3</t>
  </si>
  <si>
    <t>The damage dealt increases to 6d8 points of damage + 2 points per caster level (maximum +30). A living target is sickened for 1 round per caster level (maximum 15 rounds) if it fails its saving throw.</t>
  </si>
  <si>
    <t>&lt;p&gt;The damage dealt increases to 6d8 points of damage + 2 points per caster level (maximum +30). A living target is sickened for 1 round per caster level (maximum 15 rounds) if it fails its saving throw.&lt;/p&gt;</t>
  </si>
  <si>
    <t>&lt;link rel="stylesheet"href="PF.css"&gt;&lt;div class="heading"&gt;&lt;p class="alignleft"&gt;Inflict Serious Wounds&lt;/p&gt;&lt;div style="clear: both;"&gt;&lt;/div&gt;&lt;/div&gt;&lt;div&gt;&lt;h5&gt;&lt;b&gt;School &lt;/b&gt;necromancy; &lt;b&gt;Level &lt;/b&gt;cleric/oracle 3, witch 4, inquisitor 3, antipaladin 4, shaman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&lt;/b&gt;yes&lt;/h5&gt;&lt;/div&gt;&lt;hr/&gt;&lt;div&gt;&lt;h5&gt;&lt;b&gt;DESCRIPTION&lt;/b&gt;&lt;/h5&gt;&lt;/div&gt;&lt;hr/&gt;&lt;div&gt;&lt;h4&gt;&lt;p&gt;The damage dealt increases to 6d8 points of damage + 2 points per caster level (maximum +30). A living target is sickened for 1 round per caster level (maximum 15 rounds) if it fails its saving throw.&lt;/p&gt;&lt;/h4&gt;&lt;h5&gt;&lt;b&gt;Mythic: &lt;/b&gt;The damage dealt increases to 6d8 points of damage + 2 points per caster level (maximum +30). A living target is sickened for 1 round per caster level (maximum 15 rounds) if it fails its saving throw.&lt;/h5&gt;&lt;/div&gt;</t>
  </si>
  <si>
    <t>Touch attack, 3d8 damage +1/level (max +15).</t>
  </si>
  <si>
    <t>Inflict Serious Wounds, Mass</t>
  </si>
  <si>
    <t>cleric/oracle 7, witch 8, shaman 7</t>
  </si>
  <si>
    <t>This spell functions like mass inflict light wounds, except that it deals 3d8 points of damage + 1 point per caster level (maximum +35).</t>
  </si>
  <si>
    <t>&lt;p&gt;This spell functions like &lt;i&gt;mass inflict light wounds&lt;/i&gt;, except that it deals 3d8 points of damage + 1 point per caster level (maximum +35).&lt;/p&gt;</t>
  </si>
  <si>
    <t>&lt;link rel="stylesheet"href="PF.css"&gt;&lt;div class="heading"&gt;&lt;p class="alignleft"&gt;Inflict Serious Wounds, Mass&lt;/p&gt;&lt;div style="clear: both;"&gt;&lt;/div&gt;&lt;/div&gt;&lt;div&gt;&lt;h5&gt;&lt;b&gt;School &lt;/b&gt;necromancy; &lt;b&gt;Level &lt;/b&gt;cleric/oracle 7, witch 8, shaman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3d8 points of damage + 1 point per caster level (maximum +35).&lt;/p&gt;&lt;/h4&gt;&lt;/div&gt;</t>
  </si>
  <si>
    <t>Blood (7)</t>
  </si>
  <si>
    <t> Deals 3d8 damage + 1/level, affects 1 subject/level.</t>
  </si>
  <si>
    <t>Insanity</t>
  </si>
  <si>
    <t>The affected creature suffers from a continuous confusion effect, as the spell.  Remove curse does not remove insanity. Greater restoration, heal, limited wish, miracle, or wish can restore the creature.</t>
  </si>
  <si>
    <t>&lt;p&gt;The affected creature suffers from a continuous &lt;i&gt;confusion&lt;/i&gt; effect, as the spell.&lt;/p&gt;&lt;p&gt;&lt;i&gt;Remove curse&lt;/i&gt; does not remove &lt;i&gt;insanity. Greater restoration, heal, limited &lt;i&gt;wish&lt;/i&gt;, miracle,&lt;/i&gt; or &lt;i&gt;wish&lt;/i&gt; can restore the creature.&lt;/p&gt;</t>
  </si>
  <si>
    <t>&lt;link rel="stylesheet"href="PF.css"&gt;&lt;div class="heading"&gt;&lt;p class="alignleft"&gt;Insanity&lt;/p&gt;&lt;div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&lt;/b&gt;instantaneous&lt;/h5&gt;&lt;h5&gt;&lt;b&gt;Saving Throw &lt;/b&gt;Will negates; &lt;b&gt;Spell Resistance &lt;/b&gt;yes&lt;/h5&gt;&lt;/div&gt;&lt;hr/&gt;&lt;div&gt;&lt;h5&gt;&lt;b&gt;DESCRIPTION&lt;/b&gt;&lt;/h5&gt;&lt;/div&gt;&lt;hr/&gt;&lt;div&gt;&lt;h4&gt;&lt;p&gt;The affected creature suffers from a continuous &lt;i&gt;confusion&lt;/i&gt; effect, as the spell.&lt;/p&gt;&lt;p&gt;&lt;i&gt;Remove curse&lt;/i&gt; does not remove &lt;i&gt;insanity. Greater restoration, heal, limited &lt;i&gt;wish&lt;/i&gt;, miracle,&lt;/i&gt; or &lt;i&gt;wish&lt;/i&gt; can restore the creature.&lt;/p&gt;&lt;/h4&gt;&lt;/div&gt;</t>
  </si>
  <si>
    <t>Charm (7), Madness (7), Dark Tapestry (7)</t>
  </si>
  <si>
    <t> Subject suffers continuous confusion.</t>
  </si>
  <si>
    <t>Accursed (15), Div (15), Impossible (15)</t>
  </si>
  <si>
    <t>Insanity (14)</t>
  </si>
  <si>
    <t>Interposing Hand</t>
  </si>
  <si>
    <t>sorcerer/wizard 5, magus 5, occultist 5, psychic 5</t>
  </si>
  <si>
    <t>Interposing hand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darkness, invisibility, polymorphing, or any other attempt at hiding or disguise. The hand does not pursue an opponent, however.  An interposing hand is 10 feet long and about that wide with its fingers outstretched. It has as many hit points as you do when you're undamaged, and is AC 20 (-1 size, +11 natural). It takes damage as a normal creature, but most magical effects that don't cause damage do not affect it.  The hand never provokes attacks of opportunity from opponents.  It cannot push through a wall of force or enter an antimagic field, but it suffers the full effect of a prismatic wall or prismatic sphere. The hand makes saving throws as its caster.  Disintegrate or a successful dispel magic destroys it.  Any creature weighing 2,000 pounds or less that tries to push past the hand is slowed to half its normal speed. The hand cannot reduce the speed of a creature weighing more than 2,000 pounds, but it still affects the creature's attacks.  Directing the spell to a new target is a move action.</t>
  </si>
  <si>
    <t>&lt;p&gt;&lt;i&gt;Interposing hand&lt;/i&gt;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&lt;i&gt;darkness,&lt;/i&gt; invisibility, polymorphing, or any other attempt at hiding or disguise. The hand does not pursue an opponent, however.&lt;/p&gt;&lt;p&gt;An &lt;i&gt;interposing hand&lt;/i&gt; is 10 feet long and about that wide with its fingers outstretched. It has as many hit points as you do when you're undamaged, and is AC 20 (-1 size, +11 natural). It takes damage as a normal creature, but most magical effects that don't cause damage do not affect it.&lt;/p&gt;&lt;p&gt;The hand never provokes attacks of opportunity from opponents.&lt;/p&gt;&lt;p&gt;It cannot push through a &lt;i&gt;wall of force or&lt;/i&gt; enter an &lt;i&gt;antimagic field&lt;/i&gt;, but it suffers the full effect of a &lt;i&gt;prismatic wall&lt;/i&gt; or &lt;i&gt;prismatic sphere.&lt;/i&gt; The hand makes saving throws as its caster.&lt;/p&gt;&lt;p&gt;&lt;i&gt;Disintegrate&lt;/i&gt; or a successful &lt;i&gt;dispel magic&lt;/i&gt; destroys it.&lt;/p&gt;&lt;p&gt;Any creature weighing 2,000 pounds or less that tries to push past the hand is slowed to half its normal speed. The hand cannot reduce the speed of a creature weighing more than 2,000 pounds, but it still affects the creature's attacks.&lt;/p&gt;&lt;p&gt;Directing the spell to a new target is a move action.&lt;/p&gt;</t>
  </si>
  <si>
    <t>&lt;link rel="stylesheet"href="PF.css"&gt;&lt;div class="heading"&gt;&lt;p class="alignleft"&gt;Interposing Hand&lt;/p&gt;&lt;div style="clear: both;"&gt;&lt;/div&gt;&lt;/div&gt;&lt;div&gt;&lt;h5&gt;&lt;b&gt;School &lt;/b&gt;evocation [force]; &lt;b&gt;Level &lt;/b&gt;sorcerer/wizard 5, magus 5, occultist 5, psychic 5&lt;/h5&gt;&lt;/div&gt;&lt;hr/&gt;&lt;div&gt;&lt;h5&gt;&lt;b&gt;CASTING&lt;/b&gt;&lt;/h5&gt;&lt;/div&gt;&lt;hr/&gt;&lt;div&gt;&lt;h5&gt;&lt;b&gt;Casting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&lt;/b&gt;yes&lt;/h5&gt;&lt;/div&gt;&lt;hr/&gt;&lt;div&gt;&lt;h5&gt;&lt;b&gt;DESCRIPTION&lt;/b&gt;&lt;/h5&gt;&lt;/div&gt;&lt;hr/&gt;&lt;div&gt;&lt;h4&gt;&lt;p&gt;&lt;i&gt;Interposing hand&lt;/i&gt;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&lt;i&gt;darkness,&lt;/i&gt; invisibility, polymorphing, or any other attempt at hiding or disguise. The hand does not pursue an opponent, however.&lt;/p&gt;&lt;p&gt;An &lt;i&gt;interposing hand&lt;/i&gt; is 10 feet long and about that wide with its fingers outstretched. It has as many hit points as you do when you're undamaged, and is AC 20 (-1 size, +11 natural). It takes damage as a normal creature, but most magical effects that don't cause damage do not affect it.&lt;/p&gt;&lt;p&gt;The hand never provokes attacks of opportunity from opponents.&lt;/p&gt;&lt;p&gt;It cannot push through a &lt;i&gt;wall of force or&lt;/i&gt; enter an &lt;i&gt;antimagic field&lt;/i&gt;, but it suffers the full effect of a &lt;i&gt;prismatic wall&lt;/i&gt; or &lt;i&gt;prismatic sphere.&lt;/i&gt; The hand makes saving throws as its caster.&lt;/p&gt;&lt;p&gt;&lt;i&gt;Disintegrate&lt;/i&gt; or a successful &lt;i&gt;dispel magic&lt;/i&gt; destroys it.&lt;/p&gt;&lt;p&gt;Any creature weighing 2,000 pounds or less that tries to push past the hand is slowed to half its normal speed. The hand cannot reduce the speed of a creature weighing more than 2,000 pounds, but it still affects the creature's attacks.&lt;/p&gt;&lt;p&gt;Directing the spell to a new target is a move action.&lt;/p&gt;&lt;/h4&gt;&lt;/div&gt;</t>
  </si>
  <si>
    <t> Hand provides cover against 1 opponent.</t>
  </si>
  <si>
    <t>Invisibility</t>
  </si>
  <si>
    <t>bard 2, sorcerer/wizard 2, alchemist 2, summoner 2, inquisitor 2, antipaladin 2, magus 2, occultist 2, psychic 2, mesmerist 2, spiritualist 2</t>
  </si>
  <si>
    <t>V, S, M/DF (an eyelash encased in gum arabic)</t>
  </si>
  <si>
    <t>you or a creature or object weighing no more than 100 lbs./level</t>
  </si>
  <si>
    <t>Will negates (harmless) or Will negates (harmless, object)</t>
  </si>
  <si>
    <t>yes (harmless) or yes (harmless, object)</t>
  </si>
  <si>
    <t>The creature or object touched becomes invisible. If the recipient is a creature carrying gear, that vanishes, too. If you cast the spell on someone else, neither you nor your allies can see the subject, unless you can normally see invisible things or you employ magic to do so.  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  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  Spells such as bless that specifically affect allies but not foes are not attacks for this purpose, even when they include foes in their area.  Invisibility can be made permanent (on objects only) with a permanency spell.</t>
  </si>
  <si>
    <t>&lt;p&gt;The creature or object touched becomes invisible. If the recipient is a creature carrying gear, that vanishes, too. If you cast the spell on someone else, neither you nor your allies can see the subject, unless you can normally see invisible things or you employ magic to do so.&lt;/p&gt;&lt;p&gt;Items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visible.&lt;/p&gt;&lt;p&gt;Of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gear.&lt;/p&gt;&lt;p&gt;Spells such as &lt;i&gt;bless&lt;/i&gt; that specifically affect allies but not foes are not attacks for this purpose, even when they include foes in their area.&lt;/p&gt;&lt;p&gt;&lt;i&gt;Invisibility&lt;/i&gt; can be made permanent (on objects only) with a &lt;i&gt;permanency&lt;/i&gt; spell.&lt;/p&gt;</t>
  </si>
  <si>
    <t>&lt;link rel="stylesheet"href="PF.css"&gt;&lt;div class="heading"&gt;&lt;p class="alignleft"&gt;Invisibility&lt;/p&gt;&lt;div style="clear: both;"&gt;&lt;/div&gt;&lt;/div&gt;&lt;div&gt;&lt;h5&gt;&lt;b&gt;School &lt;/b&gt;illusion (glamer); &lt;b&gt;Level &lt;/b&gt;bard 2, sorcerer/wizard 2, alchemist 2, summoner 2, inquisitor 2, antipaladin 2, magus 2, occultist 2, psychic 2, mesmerist 2, spiritualist 2&lt;/h5&gt;&lt;/div&gt;&lt;hr/&gt;&lt;div&gt;&lt;h5&gt;&lt;b&gt;CASTING&lt;/b&gt;&lt;/h5&gt;&lt;/div&gt;&lt;hr/&gt;&lt;div&gt;&lt;h5&gt;&lt;b&gt;Casting Time &lt;/b&gt;1 standard action&lt;/h5&gt;&lt;h5&gt;&lt;b&gt;Components &lt;/b&gt;V, S, M/DF (an eyelash encased in gum arabic)&lt;/h5&gt;&lt;/div&gt;&lt;hr/&gt;&lt;div&gt;&lt;h5&gt;&lt;b&gt;EFFECT&lt;/b&gt;&lt;/h5&gt;&lt;/div&gt;&lt;hr/&gt;&lt;div&gt;&lt;h5&gt;&lt;b&gt;Range &lt;/b&gt;personal or touch&lt;/h5&gt;&lt;h5&gt;&lt;b&gt;Targets &lt;/b&gt;you or a creature or object weighing no more than 100 lbs./level&lt;/h5&gt;&lt;h5&gt;&lt;b&gt;Duration &lt;/b&gt;1 min./level (D)&lt;/h5&gt;&lt;h5&gt;&lt;b&gt;Saving Throw &lt;/b&gt;Will negates (harmless) or Will negates (harmless, object); &lt;b&gt;Spell Resistance &lt;/b&gt;yes (harmless) or yes (harmless, object)&lt;/h5&gt;&lt;/div&gt;&lt;hr/&gt;&lt;div&gt;&lt;h5&gt;&lt;b&gt;DESCRIPTION&lt;/b&gt;&lt;/h5&gt;&lt;/div&gt;&lt;hr/&gt;&lt;div&gt;&lt;h4&gt;&lt;p&gt;The creature or object touched becomes invisible. If the recipient is a creature carrying gear, that vanishes, too. If you cast the spell on someone else, neither you nor your allies can see the subject, unless you can normally see invisible things or you employ magic to do so.&lt;/p&gt;&lt;p&gt;Items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visible.&lt;/p&gt;&lt;p&gt;Of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gear.&lt;/p&gt;&lt;p&gt;Spells such as &lt;i&gt;bless&lt;/i&gt; that specifically affect allies but not foes are not attacks for this purpose, even when they include foes in their area.&lt;/p&gt;&lt;p&gt;&lt;i&gt;Invisibility&lt;/i&gt; can be made permanent (on objects only) with a &lt;i&gt;permanency&lt;/i&gt; spell.&lt;/p&gt;&lt;/h4&gt;&lt;h5&gt;&lt;b&gt;Mythic: &lt;/b&gt;The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presence.&lt;/h5&gt;&lt;h5&gt;&lt;b&gt;Augmented (3rd)&lt;/b&gt;: If you expend two uses of mythic power, the invisible target is undetectable by blindsense, blindsight, scent, and tremorsense.&lt;/h5&gt;&lt;/div&gt;</t>
  </si>
  <si>
    <t>Subject is invisible for 1 min./level or until it attacks.</t>
  </si>
  <si>
    <t>Arcane (5), Djinni (5), Oni (5), Rakshasa (5)</t>
  </si>
  <si>
    <t>Deception (4), Spirits (4)</t>
  </si>
  <si>
    <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t>
  </si>
  <si>
    <t>Augmented (3rd): If you expend two uses of mythic power, the invisible target is undetectable by blindsense, blindsight, scent, and tremorsense.</t>
  </si>
  <si>
    <t>Invisibility, Greater</t>
  </si>
  <si>
    <t>bard 4, sorcerer/wizard 4, alchemist 4, summoner 3, inquisitor 4, antipaladin 4, occultist 4, psychic 4, mesmerist 4, spiritualist 4</t>
  </si>
  <si>
    <t>This spell functions like invisibility, except that it doesn't end if the subject attacks.</t>
  </si>
  <si>
    <t>&lt;p&gt;This spell functions like &lt;i&gt;invisibility,&lt;/i&gt; except that it doesn't end if the subject attacks.&lt;/p&gt;</t>
  </si>
  <si>
    <t>&lt;link rel="stylesheet"href="PF.css"&gt;&lt;div class="heading"&gt;&lt;p class="alignleft"&gt;Invisibility, Greater&lt;/p&gt;&lt;div style="clear: both;"&gt;&lt;/div&gt;&lt;/div&gt;&lt;div&gt;&lt;h5&gt;&lt;b&gt;School &lt;/b&gt;illusion (glamer); &lt;b&gt;Level &lt;/b&gt;bard 4, sorcerer/wizard 4, alchemist 4, summoner 3, inquisitor 4, antipaladin 4, occultist 4, psychic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&lt;/b&gt;personal or touch&lt;/h5&gt;&lt;h5&gt;&lt;b&gt;Targets &lt;/b&gt;you or creature touched&lt;/h5&gt;&lt;h5&gt;&lt;b&gt;Duration &lt;/b&gt;1 round/level (D)&lt;/h5&gt;&lt;h5&gt;&lt;b&gt;Saving Throw &lt;/b&gt;Will negates (harmless); &lt;b&gt;Spell Resistance &lt;/b&gt;yes (harmless)&lt;/h5&gt;&lt;/div&gt;&lt;hr/&gt;&lt;div&gt;&lt;h5&gt;&lt;b&gt;DESCRIPTION&lt;/b&gt;&lt;/h5&gt;&lt;/div&gt;&lt;hr/&gt;&lt;div&gt;&lt;h4&gt;&lt;p&gt;This spell functions like &lt;i&gt;invisibility,&lt;/i&gt; except that it doesn't end if the subject attacks.&lt;/p&gt;&lt;/h4&gt;&lt;/div&gt;</t>
  </si>
  <si>
    <t>As invisibility, but subject can attack and stay invisible.</t>
  </si>
  <si>
    <t>Invisibility, Mass</t>
  </si>
  <si>
    <t>sorcerer/wizard 7, summoner 5, psychic 7, mesmerist 6</t>
  </si>
  <si>
    <t>any number of creatures, no two of which can be more than 180 ft. apart</t>
  </si>
  <si>
    <t>This spell functions like invisibility, except that the effect moves with the group and is broken when anyone in the group attacks.  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t>
  </si>
  <si>
    <t>&lt;p&gt;This spell functions like &lt;i&gt;invisibility,&lt;/i&gt; except that the effect moves with the group and is broken when anyone in the group attacks.&lt;/p&gt;&lt;p&gt;Individuals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feet.&lt;/p&gt;</t>
  </si>
  <si>
    <t>&lt;link rel="stylesheet"href="PF.css"&gt;&lt;div class="heading"&gt;&lt;p class="alignleft"&gt;Invisibility, Mass&lt;/p&gt;&lt;div style="clear: both;"&gt;&lt;/div&gt;&lt;/div&gt;&lt;div&gt;&lt;h5&gt;&lt;b&gt;School &lt;/b&gt;illusion (glamer); &lt;b&gt;Level &lt;/b&gt;sorcerer/wizard 7, summoner 5, psychic 7, mesmerist 6&lt;/h5&gt;&lt;/div&gt;&lt;hr/&gt;&lt;div&gt;&lt;h5&gt;&lt;b&gt;CASTING&lt;/b&gt;&lt;/h5&gt;&lt;/div&gt;&lt;hr/&gt;&lt;div&gt;&lt;h5&gt;&lt;b&gt;Casting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&lt;/b&gt;any number of creatures, no two of which can be more than 180 ft. apart&lt;/h5&gt;&lt;h5&gt;&lt;b&gt;Duration &lt;/b&gt;1 round/level (D)&lt;/h5&gt;&lt;h5&gt;&lt;b&gt;Saving Throw &lt;/b&gt;Will negates (harmless); &lt;b&gt;Spell Resistance &lt;/b&gt;yes (harmless)&lt;/h5&gt;&lt;/div&gt;&lt;hr/&gt;&lt;div&gt;&lt;h5&gt;&lt;b&gt;DESCRIPTION&lt;/b&gt;&lt;/h5&gt;&lt;/div&gt;&lt;hr/&gt;&lt;div&gt;&lt;h4&gt;&lt;p&gt;This spell functions like &lt;i&gt;invisibility,&lt;/i&gt; except that the effect moves with the group and is broken when anyone in the group attacks.&lt;/p&gt;&lt;p&gt;Individuals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feet.&lt;/p&gt;&lt;/h4&gt;&lt;/div&gt;</t>
  </si>
  <si>
    <t> As invisibility, but affects all in range.</t>
  </si>
  <si>
    <t>Deception (14)</t>
  </si>
  <si>
    <t>Invisibility Purge</t>
  </si>
  <si>
    <t>cleric/oracle 3, inquisitor 3, occultist 3, spiritualist 3</t>
  </si>
  <si>
    <t>You surround yourself with a sphere of power with a radius of 5 feet per caster level that negates all forms of invisibility.  Anything invisible becomes visible while in the area.</t>
  </si>
  <si>
    <t>&lt;p&gt;You surround yourself with a sphere of power with a radius of 5 feet per caster level that negates all forms of invisibility.&lt;/p&gt;&lt;p&gt;Anything invisible becomes visible while in the area.&lt;/p&gt;</t>
  </si>
  <si>
    <t>&lt;link rel="stylesheet"href="PF.css"&gt;&lt;div class="heading"&gt;&lt;p class="alignleft"&gt;Invisibility Purge&lt;/p&gt;&lt;div style="clear: both;"&gt;&lt;/div&gt;&lt;/div&gt;&lt;div&gt;&lt;h5&gt;&lt;b&gt;School &lt;/b&gt;evocation; &lt;b&gt;Level &lt;/b&gt;cleric/oracle 3, inquisitor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(D)&lt;/h5&gt;&lt;/div&gt;&lt;hr/&gt;&lt;div&gt;&lt;h5&gt;&lt;b&gt;DESCRIPTION&lt;/b&gt;&lt;/h5&gt;&lt;/div&gt;&lt;hr/&gt;&lt;div&gt;&lt;h4&gt;&lt;p&gt;You surround yourself with a sphere of power with a radius of 5 feet per caster level that negates all forms of invisibility.&lt;/p&gt;&lt;p&gt;Anything invisible becomes visible while in the area.&lt;/p&gt;&lt;/h4&gt;&lt;/div&gt;</t>
  </si>
  <si>
    <t> Dispels invisibility within 5 ft./level.</t>
  </si>
  <si>
    <t>Invisibility Sphere</t>
  </si>
  <si>
    <t>10-ft.-radius emanation around the creature</t>
  </si>
  <si>
    <t>This spell functions like invisibility, except that this spell confers invisibility upon all creatures within 10 feet of the recipient at the time the spell is cast. The center of the effect is mobile with the recipient.  Those affected by this spell can see each other and themselves as if unaffected by the spell. Any affected creature moving out of the area becomes visible, but creatures moving into the area after the spell is cast do not become invisible.  Affected creatures (other than the recipient) who attack negate the invisibility only for themselves. If the spell recipient attacks, the invisibility sphere ends.</t>
  </si>
  <si>
    <t>&lt;p&gt;This spell functions like &lt;i&gt;invisibility&lt;/i&gt;, except that this spell confers &lt;i&gt;invisibility&lt;/i&gt; upon all creatures within 10 feet of the recipient at the time the spell is cast. The center of the effect is mobile with the recipient.&lt;/p&gt;&lt;p&gt;Those affected by this spell can see each other and themselves as if unaffected by the spell. Any affected creature moving out of the area becomes visible, but creatures moving into the area after the spell is cast do not become invisible.&lt;/p&gt;&lt;p&gt;Affected creatures (other than the recipient) who attack negate the &lt;i&gt;invisibility&lt;/i&gt; only for themselves. If the spell recipient attacks, the &lt;i&gt;invisibility&lt;/i&gt; sphere ends.&lt;/p&gt;</t>
  </si>
  <si>
    <t>&lt;link rel="stylesheet"href="PF.css"&gt;&lt;div class="heading"&gt;&lt;p class="alignleft"&gt;Invisibility Sphere&lt;/p&gt;&lt;div style="clear: both;"&gt;&lt;/div&gt;&lt;/div&gt;&lt;div&gt;&lt;h5&gt;&lt;b&gt;School &lt;/b&gt;illusion (glamer); &lt;b&gt;Level &lt;/b&gt;bard 3, sorcerer/wizard 3, occultist 3, psychic 3, mesmerist 3&lt;/h5&gt;&lt;/div&gt;&lt;hr/&gt;&lt;div&gt;&lt;h5&gt;&lt;b&gt;CASTING&lt;/b&gt;&lt;/h5&gt;&lt;/div&gt;&lt;hr/&gt;&lt;div&gt;&lt;h5&gt;&lt;b&gt;Casting Time &lt;/b&gt;1 standard action&lt;/h5&gt;&lt;h5&gt;&lt;b&gt;Components &lt;/b&gt;V, S, M&lt;/h5&gt;&lt;/div&gt;&lt;hr/&gt;&lt;div&gt;&lt;h5&gt;&lt;b&gt;EFFECT&lt;/b&gt;&lt;/h5&gt;&lt;/div&gt;&lt;hr/&gt;&lt;div&gt;&lt;h5&gt;&lt;b&gt;Area &lt;/b&gt;10-ft.-radius emanation around the creature&lt;/h5&gt;&lt;h5&gt;&lt;b&gt;Duration &lt;/b&gt;1 min./level (D)&lt;/h5&gt;&lt;h5&gt;&lt;b&gt;Saving Throw &lt;/b&gt;Will negates (harmless); &lt;b&gt;Spell Resistance &lt;/b&gt;yes (harmless)&lt;/h5&gt;&lt;/div&gt;&lt;hr/&gt;&lt;div&gt;&lt;h5&gt;&lt;b&gt;DESCRIPTION&lt;/b&gt;&lt;/h5&gt;&lt;/div&gt;&lt;hr/&gt;&lt;div&gt;&lt;h4&gt;&lt;p&gt;This spell functions like &lt;i&gt;invisibility&lt;/i&gt;, except that this spell confers &lt;i&gt;invisibility&lt;/i&gt; upon all creatures within 10 feet of the recipient at the time the spell is cast. The center of the effect is mobile with the recipient.&lt;/p&gt;&lt;p&gt;Those affected by this spell can see each other and themselves as if unaffected by the spell. Any affected creature moving out of the area becomes visible, but creatures moving into the area after the spell is cast do not become invisible.&lt;/p&gt;&lt;p&gt;Affected creatures (other than the recipient) who attack negate the &lt;i&gt;invisibility&lt;/i&gt; only for themselves. If the spell recipient attacks, the &lt;i&gt;invisibility&lt;/i&gt; sphere ends.&lt;/p&gt;&lt;/h4&gt;&lt;/div&gt;</t>
  </si>
  <si>
    <t>Makes everyone within 10 feet invisible.</t>
  </si>
  <si>
    <t>Iron Body</t>
  </si>
  <si>
    <t>V, S, M/DF (a piece of iron from an iron golem, a hero's armor, or a war machine)</t>
  </si>
  <si>
    <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  However, you also become vulnerable to all special attacks that affect iron golems (see the Pathfinder RPG Bestiary).  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  Your unarmed attack deals damage equal to a club sized for you (1d4 for Small characters or 1d6 for Medium characters), and you are considered armed when making unarmed attacks.  Your weight increases by a factor of 10, causing you to sink in water like a stone. However, you could survive the lack of air at the bottom of the ocean-at least until the spell duration expires.</t>
  </si>
  <si>
    <t>&lt;p&gt;This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fire.&lt;/p&gt;&lt;p&gt;However, you also become vulnerable to all special attacks that affect iron golems (see the &lt;i&gt;Pathfinder RPG Bestiary&lt;/i&gt;).&lt;/p&gt;&lt;p&gt;You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instruments.&lt;/p&gt;&lt;p&gt;Your unarmed attack deals damage equal to a club sized for you (1d4 for Small characters or 1d6 for Medium characters), and you are considered armed when making unarmed attacks.&lt;/p&gt;&lt;p&gt;Your weight increases by a factor of 10, causing you to sink in water like a stone. However, you could survive the lack of air at the bottom of the ocean-at least until the spell duration expires.&lt;/p&gt;</t>
  </si>
  <si>
    <t>&lt;link rel="stylesheet"href="PF.css"&gt;&lt;div class="heading"&gt;&lt;p class="alignleft"&gt;Iron Body&lt;/p&gt;&lt;div style="clear: both;"&gt;&lt;/div&gt;&lt;/div&gt;&lt;div&gt;&lt;h5&gt;&lt;b&gt;School &lt;/b&gt;transmutation; &lt;b&gt;Level &lt;/b&gt;sorcerer/wizard 8, psychic 8&lt;/h5&gt;&lt;/div&gt;&lt;hr/&gt;&lt;div&gt;&lt;h5&gt;&lt;b&gt;CASTING&lt;/b&gt;&lt;/h5&gt;&lt;/div&gt;&lt;hr/&gt;&lt;div&gt;&lt;h5&gt;&lt;b&gt;Casting Time &lt;/b&gt;1 standard action&lt;/h5&gt;&lt;h5&gt;&lt;b&gt;Components &lt;/b&gt;V, S, M/DF (a piece of iron from an iron golem, a hero's armor, or a war machine)&lt;/h5&gt;&lt;/div&gt;&lt;hr/&gt;&lt;div&gt;&lt;h5&gt;&lt;b&gt;EFFECT&lt;/b&gt;&lt;/h5&gt;&lt;/div&gt;&lt;hr/&gt;&lt;div&gt;&lt;h5&gt;&lt;b&gt;Range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fire.&lt;/p&gt;&lt;p&gt;However, you also become vulnerable to all special attacks that affect iron golems (see the &lt;i&gt;Pathfinder RPG Bestiary&lt;/i&gt;).&lt;/p&gt;&lt;p&gt;You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instruments.&lt;/p&gt;&lt;p&gt;Your unarmed attack deals damage equal to a club sized for you (1d4 for Small characters or 1d6 for Medium characters), and you are considered armed when making unarmed attacks.&lt;/p&gt;&lt;p&gt;Your weight increases by a factor of 10, causing you to sink in water like a stone. However, you could survive the lack of air at the bottom of the ocean-at least until the spell duration expires.&lt;/p&gt;&lt;/h4&gt;&lt;/div&gt;</t>
  </si>
  <si>
    <t>Metal (8)</t>
  </si>
  <si>
    <t> Your body becomes living iron.</t>
  </si>
  <si>
    <t>Orc (17), Shaitan (17), Nanite (17)</t>
  </si>
  <si>
    <t>Endurance (16)</t>
  </si>
  <si>
    <t>Ironwood</t>
  </si>
  <si>
    <t>druid 6, occultist 6</t>
  </si>
  <si>
    <t>1 minute/lb. created</t>
  </si>
  <si>
    <t>V, S, F (wood to be transformed)</t>
  </si>
  <si>
    <t>an ironwood object weighing up to 5 lbs./level</t>
  </si>
  <si>
    <t>Ironwood is a magical substance created by druids from normal wood. While remaining natural wood in almost every way, ironwood is as strong, heavy, and resistant to fire as steel. Spells that affect metal or iron do not function on ironwood. Spells that affect wood do affect ironwood, although ironwood does not burn. Using this spell with wood shape or a wood-related Craft check, you can fashion wooden items that function as steel items. Thus, wooden plate armor and wooden swords can be created that are as durable as their normal steel counterparts. These items are freely usable by druids.  Further, if you make only half as much ironwood as the spell would normally allow, any weapon, shield, or suit of armor so created is treated as a magic item with a +1 enhancement bonus.</t>
  </si>
  <si>
    <t>&lt;p&gt;&lt;i&gt;Ironwood&lt;/i&gt; is a magical substance created by druids from normal wood. While remaining natural wood in almost every way, &lt;i&gt;ironwood&lt;/i&gt; is as strong, heavy, and resistant to fire as steel. Spells that affect metal or iron do not function on &lt;i&gt;ironwood&lt;/i&gt;. Spells that affect wood do affect &lt;i&gt;ironwood&lt;/i&gt;, although &lt;i&gt;ironwood&lt;/i&gt; does not burn. Using this spell with &lt;i&gt;wood shape&lt;/i&gt; or a wood-related Craft check, you can fashion wooden items that function as steel items. Thus, wooden plate armor and wooden swords can be created that are as durable as their normal steel counterparts. These items are freely usable by druids.&lt;/p&gt;&lt;p&gt;Further, if you make only half as much &lt;i&gt;ironwood&lt;/i&gt; as the spell would normally allow, any weapon, shield, or suit of armor so created is treated as a magic item with a +1 enhancement bonus.&lt;/p&gt;</t>
  </si>
  <si>
    <t>&lt;link rel="stylesheet"href="PF.css"&gt;&lt;div class="heading"&gt;&lt;p class="alignleft"&gt;Ironwood&lt;/p&gt;&lt;div style="clear: both;"&gt;&lt;/div&gt;&lt;/div&gt;&lt;div&gt;&lt;h5&gt;&lt;b&gt;School &lt;/b&gt;transmutation; &lt;b&gt;Level &lt;/b&gt;druid 6, occultist 6&lt;/h5&gt;&lt;/div&gt;&lt;hr/&gt;&lt;div&gt;&lt;h5&gt;&lt;b&gt;CASTING&lt;/b&gt;&lt;/h5&gt;&lt;/div&gt;&lt;hr/&gt;&lt;div&gt;&lt;h5&gt;&lt;b&gt;Casting Time &lt;/b&gt;1 minute/lb. created&lt;/h5&gt;&lt;h5&gt;&lt;b&gt;Components &lt;/b&gt;V, S, F (wood to be transformed)&lt;/h5&gt;&lt;/div&gt;&lt;hr/&gt;&lt;div&gt;&lt;h5&gt;&lt;b&gt;EFFECT&lt;/b&gt;&lt;/h5&gt;&lt;/div&gt;&lt;hr/&gt;&lt;div&gt;&lt;h5&gt;&lt;b&gt;Range &lt;/b&gt;0 ft.&lt;/h5&gt;&lt;h5&gt;&lt;b&gt;Effect &lt;/b&gt;an ironwood object weighing up to 5 lbs./level&lt;/h5&gt;&lt;h5&gt;&lt;b&gt;Duration &lt;/b&gt;1 day/level (D)&lt;/h5&gt;&lt;h5&gt;&lt;b&gt;Saving Throw &lt;/b&gt;none; &lt;b&gt;Spell Resistance &lt;/b&gt;no&lt;/h5&gt;&lt;/div&gt;&lt;hr/&gt;&lt;div&gt;&lt;h5&gt;&lt;b&gt;DESCRIPTION&lt;/b&gt;&lt;/h5&gt;&lt;/div&gt;&lt;hr/&gt;&lt;div&gt;&lt;h4&gt;&lt;p&gt;&lt;i&gt;Ironwood&lt;/i&gt; is a magical substance created by druids from normal wood. While remaining natural wood in almost every way, &lt;i&gt;ironwood&lt;/i&gt; is as strong, heavy, and resistant to fire as steel. Spells that affect metal or iron do not function on &lt;i&gt;ironwood&lt;/i&gt;. Spells that affect wood do affect &lt;i&gt;ironwood&lt;/i&gt;, although &lt;i&gt;ironwood&lt;/i&gt; does not burn. Using this spell with &lt;i&gt;wood shape&lt;/i&gt; or a wood-related Craft check, you can fashion wooden items that function as steel items. Thus, wooden plate armor and wooden swords can be created that are as durable as their normal steel counterparts. These items are freely usable by druids.&lt;/p&gt;&lt;p&gt;Further, if you make only half as much &lt;i&gt;ironwood&lt;/i&gt; as the spell would normally allow, any weapon, shield, or suit of armor so created is treated as a magic item with a +1 enhancement bonus.&lt;/p&gt;&lt;/h4&gt;&lt;/div&gt;</t>
  </si>
  <si>
    <t> Magic wood is as strong as steel.</t>
  </si>
  <si>
    <t>Irresistible Dance</t>
  </si>
  <si>
    <t>bard 6, sorcerer/wizard 8, witch 8, shaman 8, psychic 8, mesmerist 6</t>
  </si>
  <si>
    <t>1d4+1 rounds</t>
  </si>
  <si>
    <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t>
  </si>
  <si>
    <t>&lt;p&gt;The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round.&lt;/p&gt;</t>
  </si>
  <si>
    <t>&lt;link rel="stylesheet"href="PF.css"&gt;&lt;div class="heading"&gt;&lt;p class="alignleft"&gt;Irresistible Dance&lt;/p&gt;&lt;div style="clear: both;"&gt;&lt;/div&gt;&lt;/div&gt;&lt;div&gt;&lt;h5&gt;&lt;b&gt;School &lt;/b&gt;enchantment (compulsion) [mind-affecting]; &lt;b&gt;Level &lt;/b&gt;bard 6, sorcerer/wizard 8, witch 8, shaman 8, psychic 8, mesmerist 6&lt;/h5&gt;&lt;/div&gt;&lt;hr/&gt;&lt;div&gt;&lt;h5&gt;&lt;b&gt;CASTING&lt;/b&gt;&lt;/h5&gt;&lt;/div&gt;&lt;hr/&gt;&lt;div&gt;&lt;h5&gt;&lt;b&gt;Casting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&lt;/b&gt;living creature touched&lt;/h5&gt;&lt;h5&gt;&lt;b&gt;Duration &lt;/b&gt;1d4+1 rounds&lt;/h5&gt;&lt;h5&gt;&lt;b&gt;Saving Throw &lt;/b&gt;Will partial; &lt;b&gt;Spell Resistance &lt;/b&gt;yes&lt;/h5&gt;&lt;/div&gt;&lt;hr/&gt;&lt;div&gt;&lt;h5&gt;&lt;b&gt;DESCRIPTION&lt;/b&gt;&lt;/h5&gt;&lt;/div&gt;&lt;hr/&gt;&lt;div&gt;&lt;h4&gt;&lt;p&gt;The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round.&lt;/p&gt;&lt;/h4&gt;&lt;/div&gt;</t>
  </si>
  <si>
    <t>Revelry (8)</t>
  </si>
  <si>
    <t>Forces subject to dance.</t>
  </si>
  <si>
    <t>Fey (17), Serpentine (17)</t>
  </si>
  <si>
    <t>Jump</t>
  </si>
  <si>
    <t>druid 1, ranger 1, sorcerer/wizard 1, alchemist 1, summoner 1, alchemist 1, summoner 1, magus 1, bloodrager 1, psychic 1</t>
  </si>
  <si>
    <t>V, S, M (a grasshopper's hind leg)</t>
  </si>
  <si>
    <t>The subject gets a +10 enhancement bonus on Acrobatics checks made to attempt high jumps or long jumps. The enhancement bonus increases to +20 at caster level 5th, and to +30 (the maximum) at caster level 9th.</t>
  </si>
  <si>
    <t>&lt;p&gt;The subject gets a +10 enhancement bonus on Acrobatics checks made to attempt high jumps or long jumps. The enhancement bonus increases to +20 at caster level 5th, and to +30 (the maximum) at caster level 9th.&lt;/p&gt;</t>
  </si>
  <si>
    <t>&lt;link rel="stylesheet"href="PF.css"&gt;&lt;div class="heading"&gt;&lt;p class="alignleft"&gt;Jump&lt;/p&gt;&lt;div style="clear: both;"&gt;&lt;/div&gt;&lt;/div&gt;&lt;div&gt;&lt;h5&gt;&lt;b&gt;School &lt;/b&gt;transmutation; &lt;b&gt;Level &lt;/b&gt;druid 1, ranger 1, sorcerer/wizard 1, alchemist 1, summoner 1, alchemist 1, summoner 1, magus 1, bloodrager 1, psychic 1&lt;/h5&gt;&lt;/div&gt;&lt;hr/&gt;&lt;div&gt;&lt;h5&gt;&lt;b&gt;CASTING&lt;/b&gt;&lt;/h5&gt;&lt;/div&gt;&lt;hr/&gt;&lt;div&gt;&lt;h5&gt;&lt;b&gt;Casting Time &lt;/b&gt;1 standard action&lt;/h5&gt;&lt;h5&gt;&lt;b&gt;Components &lt;/b&gt;V, S, M (a grasshopper's hind leg)&lt;/h5&gt;&lt;/div&gt;&lt;hr/&gt;&lt;div&gt;&lt;h5&gt;&lt;b&gt;EFFECT&lt;/b&gt;&lt;/h5&gt;&lt;/div&gt;&lt;hr/&gt;&lt;div&gt;&lt;h5&gt;&lt;b&gt;Range &lt;/b&gt;touch&lt;/h5&gt;&lt;h5&gt;&lt;b&gt;Targets &lt;/b&gt;creature touched&lt;/h5&gt;&lt;h5&gt;&lt;b&gt;Duration &lt;/b&gt;1 min./level (D)&lt;/h5&gt;&lt;h5&gt;&lt;b&gt;Saving Throw &lt;/b&gt;Will negates (harmless); &lt;b&gt;Spell Resistance &lt;/b&gt;yes&lt;/h5&gt;&lt;/div&gt;&lt;hr/&gt;&lt;div&gt;&lt;h5&gt;&lt;b&gt;DESCRIPTION&lt;/b&gt;&lt;/h5&gt;&lt;/div&gt;&lt;hr/&gt;&lt;div&gt;&lt;h4&gt;&lt;p&gt;The subject gets a +10 enhancement bonus on Acrobatics checks made to attempt high jumps or long jumps. The enhancement bonus increases to +20 at caster level 5th, and to +30 (the maximum) at caster level 9th.&lt;/p&gt;&lt;/h4&gt;&lt;/div&gt;</t>
  </si>
  <si>
    <t>Competition (1), Vermin (1)</t>
  </si>
  <si>
    <t>Subject gets bonus on Acrobatics checks.</t>
  </si>
  <si>
    <t>Agility (2), Transformation (2)</t>
  </si>
  <si>
    <t>Keen Edge</t>
  </si>
  <si>
    <t>sorcerer/wizard 3, inquisitor 3, magus 3, bloodrager 3, occultist 3</t>
  </si>
  <si>
    <t>one weapon or 50 projectiles, all of which must be together at the time of casting</t>
  </si>
  <si>
    <t>This spell makes a weapon magically keen,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keen edge on a particular projectile ends after one use, whether or not the missile strikes its intended target. Treat shuriken as arrows, rather than as thrown weapons, for the purpose of this spell. Multiple effects that increase a weapon's threat range (such as the keen special weapon property and the Improved Critical feat) don't stack. You can't cast this spell on a natural weapon, such as a claw.</t>
  </si>
  <si>
    <t>&lt;p&gt;This spell makes a weapon magically &lt;i&gt;keen&lt;/i&gt;,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&lt;i&gt;&lt;i&gt;keen&lt;/i&gt; edge&lt;/i&gt; on a particular projectile ends after one use, whether or not the missile strikes its intended target.&lt;/p&gt;&lt;p&gt;Treat shuriken as arrows, rather than as thrown weapons, for the purpose of this spell.&lt;/p&gt;&lt;p&gt;Multiple effects that increase a weapon's threat range (such as the &lt;i&gt;keen&lt;/i&gt; special weapon property and the Improved Critical feat) don't stack. You can't cast this spell on a natural weapon, such as a claw.&lt;/p&gt;</t>
  </si>
  <si>
    <t>&lt;link rel="stylesheet"href="PF.css"&gt;&lt;div class="heading"&gt;&lt;p class="alignleft"&gt;Keen Edge&lt;/p&gt;&lt;div style="clear: both;"&gt;&lt;/div&gt;&lt;/div&gt;&lt;div&gt;&lt;h5&gt;&lt;b&gt;School &lt;/b&gt;transmutation; &lt;b&gt;Level &lt;/b&gt;sorcerer/wizard 3, inquisitor 3, magus 3, bloodrager 3, occultist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or 50 projectiles, all of which must be together at the time of casting&lt;/h5&gt;&lt;h5&gt;&lt;b&gt;Duration &lt;/b&gt;10 min./level&lt;/h5&gt;&lt;h5&gt;&lt;b&gt;Saving Throw &lt;/b&gt;Will negates (harmless, object); &lt;b&gt;Spell Resistance &lt;/b&gt;yes (harmless, object)&lt;/h5&gt;&lt;/div&gt;&lt;hr/&gt;&lt;div&gt;&lt;h5&gt;&lt;b&gt;DESCRIPTION&lt;/b&gt;&lt;/h5&gt;&lt;/div&gt;&lt;hr/&gt;&lt;div&gt;&lt;h4&gt;&lt;p&gt;This spell makes a weapon magically &lt;i&gt;keen&lt;/i&gt;,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&lt;i&gt;&lt;i&gt;keen&lt;/i&gt; edge&lt;/i&gt; on a particular projectile ends after one use, whether or not the missile strikes its intended target.&lt;/p&gt;&lt;p&gt;Treat shuriken as arrows, rather than as thrown weapons, for the purpose of this spell.&lt;/p&gt;&lt;p&gt;Multiple effects that increase a weapon's threat range (such as the &lt;i&gt;keen&lt;/i&gt; special weapon property and the Improved Critical feat) don't stack. You can't cast this spell on a natural weapon, such as a claw.&lt;/p&gt;&lt;/h4&gt;&lt;/div&gt;</t>
  </si>
  <si>
    <t>Murder (3)</t>
  </si>
  <si>
    <t> Doubles normal weapon's threat range.</t>
  </si>
  <si>
    <t>Knock</t>
  </si>
  <si>
    <t>sorcerer/wizard 2, inquisitor 2, occultist 2, psychic 2, mesmerist 2</t>
  </si>
  <si>
    <t>one door, box, or chest with an area of up to 10 sq. ft./level</t>
  </si>
  <si>
    <t>Knock opens stuck, barred, or locked doors, as well as those subject to hold portal or arcane lock. When you complete the casting of this spell, make a caster level check against the DC of the lock with a +10 bonus. If successful, knock opens up to two means of closure. This spell opens secret doors, as well as locked or trick-opening boxes or chests. It also loosens welds, shackles, or chains (provided they serve to hold something shut). If used to open an arcane locked door, the spell does not remove the arcane lock but simply suspends its functioning for 10 minutes.  In all other cases, the door does not relock itself or become stuck again on its own. Knock does not raise barred gates or similar impediments (such as a portcullis), nor does it affect ropes, vines, and the like. The effect is limited by the area. Each casting can undo as many as two means of preventing access.</t>
  </si>
  <si>
    <t>&lt;p&gt;&lt;i&gt;Knock&lt;/i&gt; opens stuck, barred, or locked doors, as well as those subject to &lt;i&gt;hold portal or &lt;i&gt;arcane lock&lt;/i&gt;&lt;/i&gt;. When you complete the casting of this spell, make a caster level check against the DC of the lock with a +10 bonus. If successful, &lt;i&gt;knock&lt;/i&gt; opens up to two means of closure. This spell opens secret doors, as well as locked or trick-opening boxes or chests. It also loosens welds, shackles, or chains (provided they serve to hold something shut). If used to open an &lt;i&gt;&lt;i&gt;arcane lock&lt;/i&gt;ed&lt;/i&gt; door, the spell does not remove the &lt;i&gt;arcane lock&lt;/i&gt; but simply suspends its functioning for 10 minutes.&lt;/p&gt;&lt;p&gt;In all other cases, the door does not relock itself or become stuck again on its own. &lt;i&gt;Knock&lt;/i&gt; does not raise barred gates or similar impediments (such as a portcullis), nor does it affect ropes, vines, and the like. The effect is limited by the area. Each casting can undo as many as two means of preventing access.&lt;/p&gt;</t>
  </si>
  <si>
    <t>&lt;link rel="stylesheet"href="PF.css"&gt;&lt;div class="heading"&gt;&lt;p class="alignleft"&gt;Knock&lt;/p&gt;&lt;div style="clear: both;"&gt;&lt;/div&gt;&lt;/div&gt;&lt;div&gt;&lt;h5&gt;&lt;b&gt;School &lt;/b&gt;transmutation; &lt;b&gt;Level &lt;/b&gt;sorcerer/wizard 2, inquisitor 2, occultist 2, psychic 2, mesmerist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door, box, or chest with an area of up to 10 sq. ft./level&lt;/h5&gt;&lt;h5&gt;&lt;b&gt;Duration &lt;/b&gt;instantaneous; see text&lt;/h5&gt;&lt;h5&gt;&lt;b&gt;Saving Throw &lt;/b&gt;none; &lt;b&gt;Spell Resistance &lt;/b&gt;no&lt;/h5&gt;&lt;/div&gt;&lt;hr/&gt;&lt;div&gt;&lt;h5&gt;&lt;b&gt;DESCRIPTION&lt;/b&gt;&lt;/h5&gt;&lt;/div&gt;&lt;hr/&gt;&lt;div&gt;&lt;h4&gt;&lt;p&gt;&lt;i&gt;Knock&lt;/i&gt; opens stuck, barred, or locked doors, as well as those subject to &lt;i&gt;hold portal or &lt;i&gt;arcane lock&lt;/i&gt;&lt;/i&gt;. When you complete the casting of this spell, make a caster level check against the DC of the lock with a +10 bonus. If successful, &lt;i&gt;knock&lt;/i&gt; opens up to two means of closure. This spell opens secret doors, as well as locked or trick-opening boxes or chests. It also loosens welds, shackles, or chains (provided they serve to hold something shut). If used to open an &lt;i&gt;&lt;i&gt;arcane lock&lt;/i&gt;ed&lt;/i&gt; door, the spell does not remove the &lt;i&gt;arcane lock&lt;/i&gt; but simply suspends its functioning for 10 minutes.&lt;/p&gt;&lt;p&gt;In all other cases, the door does not relock itself or become stuck again on its own. &lt;i&gt;Knock&lt;/i&gt; does not raise barred gates or similar impediments (such as a portcullis), nor does it affect ropes, vines, and the like. The effect is limited by the area. Each casting can undo as many as two means of preventing access.&lt;/p&gt;&lt;/h4&gt;&lt;/div&gt;</t>
  </si>
  <si>
    <t> Opens locked or magically sealed door.</t>
  </si>
  <si>
    <t>Know Direction</t>
  </si>
  <si>
    <t>bard 0, druid 0, shaman 0, occultist 0, psychic 0</t>
  </si>
  <si>
    <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t>
  </si>
  <si>
    <t>&lt;p&gt;When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direction.&lt;/p&gt;</t>
  </si>
  <si>
    <t>&lt;link rel="stylesheet"href="PF.css"&gt;&lt;div class="heading"&gt;&lt;p class="alignleft"&gt;Know Direction&lt;/p&gt;&lt;div style="clear: both;"&gt;&lt;/div&gt;&lt;/div&gt;&lt;div&gt;&lt;h5&gt;&lt;b&gt;School &lt;/b&gt;divination; &lt;b&gt;Level &lt;/b&gt;bard 0, druid 0, shaman 0, occultist 0, psychic 0&lt;/h5&gt;&lt;/div&gt;&lt;hr/&gt;&lt;div&gt;&lt;h5&gt;&lt;b&gt;CASTING&lt;/b&gt;&lt;/h5&gt;&lt;/div&gt;&lt;hr/&gt;&lt;div&gt;&lt;h5&gt;&lt;b&gt;Casting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direction.&lt;/p&gt;&lt;/h4&gt;&lt;/div&gt;</t>
  </si>
  <si>
    <t>You discern north.</t>
  </si>
  <si>
    <t>Legend Lore</t>
  </si>
  <si>
    <t>bard 4, sorcerer/wizard 6, witch 6, inquisitor 6, occultist 6, psychic 6, spiritualist 6</t>
  </si>
  <si>
    <t>V, S, M (incense worth 250 gp), F (four pieces of ivory worth 50 gp each)</t>
  </si>
  <si>
    <t>Legend lore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legend lore result next time). If you know only rumors, the casting time is 2d6 weeks, and the resulting lore is vague and incomplete (though it often directs you to more detailed information, thus allowing a better legend lore result next time).  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t>
  </si>
  <si>
    <t>&lt;p&gt;&lt;i&gt;Legend lore&lt;/i&gt;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&lt;i&gt;legend lore&lt;/i&gt; result next time). If you know only rumors, the casting time is 2d6 weeks, and the resulting lore is vague and incomplete (though it often directs you to more detailed information, thus allowing a better &lt;i&gt;legend lore&lt;/i&gt; result next time).&lt;/p&gt;&lt;p&gt;During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deeds.&lt;/p&gt;</t>
  </si>
  <si>
    <t>&lt;link rel="stylesheet"href="PF.css"&gt;&lt;div class="heading"&gt;&lt;p class="alignleft"&gt;Legend Lore&lt;/p&gt;&lt;div style="clear: both;"&gt;&lt;/div&gt;&lt;/div&gt;&lt;div&gt;&lt;h5&gt;&lt;b&gt;School &lt;/b&gt;divination; &lt;b&gt;Level &lt;/b&gt;bard 4, sorcerer/wizard 6, witch 6, inquisitor 6, occultist 6, psychic 6, spiritualist 6&lt;/h5&gt;&lt;/div&gt;&lt;hr/&gt;&lt;div&gt;&lt;h5&gt;&lt;b&gt;CASTING&lt;/b&gt;&lt;/h5&gt;&lt;/div&gt;&lt;hr/&gt;&lt;div&gt;&lt;h5&gt;&lt;b&gt;Casting Time &lt;/b&gt;see text&lt;/h5&gt;&lt;h5&gt;&lt;b&gt;Components &lt;/b&gt;V, S, M (incense worth 250 gp), F (four pieces of ivory worth 50 gp each)&lt;/h5&gt;&lt;/div&gt;&lt;hr/&gt;&lt;div&gt;&lt;h5&gt;&lt;b&gt;EFFECT&lt;/b&gt;&lt;/h5&gt;&lt;/div&gt;&lt;hr/&gt;&lt;div&gt;&lt;h5&gt;&lt;b&gt;Range &lt;/b&gt;personal&lt;/h5&gt;&lt;h5&gt;&lt;b&gt;Targets &lt;/b&gt;you&lt;/h5&gt;&lt;h5&gt;&lt;b&gt;Duration &lt;/b&gt;see text&lt;/h5&gt;&lt;/div&gt;&lt;hr/&gt;&lt;div&gt;&lt;h5&gt;&lt;b&gt;DESCRIPTION&lt;/b&gt;&lt;/h5&gt;&lt;/div&gt;&lt;hr/&gt;&lt;div&gt;&lt;h4&gt;&lt;p&gt;&lt;i&gt;Legend lore&lt;/i&gt;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&lt;i&gt;legend lore&lt;/i&gt; result next time). If you know only rumors, the casting time is 2d6 weeks, and the resulting lore is vague and incomplete (though it often directs you to more detailed information, thus allowing a better &lt;i&gt;legend lore&lt;/i&gt; result next time).&lt;/p&gt;&lt;p&gt;During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deeds.&lt;/p&gt;&lt;/h4&gt;&lt;/div&gt;</t>
  </si>
  <si>
    <t>Knowledge (7)</t>
  </si>
  <si>
    <t>Lets you learn tales about a person, place, or thing.</t>
  </si>
  <si>
    <t>Harrow (13)</t>
  </si>
  <si>
    <t>Portents (12)</t>
  </si>
  <si>
    <t>Levitate</t>
  </si>
  <si>
    <t>sorcerer/wizard 2, alchemist 2, summoner 2, witch 2, magus 2, shaman 2, occultist 2, psychic 2, mesmerist 2, spiritualist 2</t>
  </si>
  <si>
    <t>V, S, F (a leather loop or golden wire bent into a cup shape)</t>
  </si>
  <si>
    <t>personal or close (25 ft. + 5 ft./2 levels)</t>
  </si>
  <si>
    <t>you or one willing creature or one object (total weight up to 100 lbs./level)</t>
  </si>
  <si>
    <t>Levitate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  You cannot move the recipient horizontally, but the recipient could clamber along the face of a cliff, for example, or push against a ceiling to move laterally (generally at half its base land speed).  A levitating creature that attacks with a melee or ranged weapon finds itself increasingly unstable; the first attack has a -1 penalty on attack rolls, the second -2, and so on, to a maximum penalty of -5. A full round spent stabilizing allows the creature to begin again at -1.</t>
  </si>
  <si>
    <t>&lt;p&gt;&lt;i&gt;Levitate&lt;/i&gt;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action.&lt;/p&gt;&lt;p&gt;You cannot move the recipient horizontally, but the recipient could clamber along the face of a cliff, for example, or push against a ceiling to move laterally (generally at half its base land speed).&lt;/p&gt;&lt;p&gt;A levitating creature that attacks with a melee or ranged weapon finds itself increasingly unstable; the first attack has a -1 penalty on attack rolls, the second -2, and so on, to a maximum penalty of -5. A full round spent stabilizing allows the creature to begin again at -1.&lt;/p&gt;</t>
  </si>
  <si>
    <t>&lt;link rel="stylesheet"href="PF.css"&gt;&lt;div class="heading"&gt;&lt;p class="alignleft"&gt;Levitate&lt;/p&gt;&lt;div style="clear: both;"&gt;&lt;/div&gt;&lt;/div&gt;&lt;div&gt;&lt;h5&gt;&lt;b&gt;School &lt;/b&gt;transmutation; &lt;b&gt;Level &lt;/b&gt;sorcerer/wizard 2, alchemist 2, summoner 2, witch 2, magus 2, shaman 2, occultist 2, psychic 2, mesmerist 2, spiritualist 2&lt;/h5&gt;&lt;/div&gt;&lt;hr/&gt;&lt;div&gt;&lt;h5&gt;&lt;b&gt;CASTING&lt;/b&gt;&lt;/h5&gt;&lt;/div&gt;&lt;hr/&gt;&lt;div&gt;&lt;h5&gt;&lt;b&gt;Casting Time &lt;/b&gt;1 standard action&lt;/h5&gt;&lt;h5&gt;&lt;b&gt;Components &lt;/b&gt;V, S, F (a leather loop or golden wire bent into a cup shape)&lt;/h5&gt;&lt;/div&gt;&lt;hr/&gt;&lt;div&gt;&lt;h5&gt;&lt;b&gt;EFFECT&lt;/b&gt;&lt;/h5&gt;&lt;/div&gt;&lt;hr/&gt;&lt;div&gt;&lt;h5&gt;&lt;b&gt;Range &lt;/b&gt;personal or close (25 ft. + 5 ft./2 levels)&lt;/h5&gt;&lt;h5&gt;&lt;b&gt;Targets &lt;/b&gt;you or one willing creature or one object (total weight up to 100 lbs./level)&lt;/h5&gt;&lt;h5&gt;&lt;b&gt;Duration &lt;/b&gt;1 min./level (D)&lt;/h5&gt;&lt;h5&gt;&lt;b&gt;Saving Throw &lt;/b&gt;none; &lt;b&gt;Spell Resistance &lt;/b&gt;no&lt;/h5&gt;&lt;/div&gt;&lt;hr/&gt;&lt;div&gt;&lt;h5&gt;&lt;b&gt;DESCRIPTION&lt;/b&gt;&lt;/h5&gt;&lt;/div&gt;&lt;hr/&gt;&lt;div&gt;&lt;h4&gt;&lt;p&gt;&lt;i&gt;Levitate&lt;/i&gt;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action.&lt;/p&gt;&lt;p&gt;You cannot move the recipient horizontally, but the recipient could clamber along the face of a cliff, for example, or push against a ceiling to move laterally (generally at half its base land speed).&lt;/p&gt;&lt;p&gt;A levitating creature that attacks with a melee or ranged weapon finds itself increasingly unstable; the first attack has a -1 penalty on attack rolls, the second -2, and so on, to a maximum penalty of -5. A full round spent stabilizing allows the creature to begin again at -1.&lt;/p&gt;&lt;/h4&gt;&lt;/div&gt;</t>
  </si>
  <si>
    <t>Void (2)</t>
  </si>
  <si>
    <t> Subject moves up and down at your direction.</t>
  </si>
  <si>
    <t>Light</t>
  </si>
  <si>
    <t>bard 0, cleric/oracle 0, druid 0, inquisitor 0, magus 0, sorcerer/wizard 0, summoner 0, witch 0, shaman 0, occultist 0, psychic 0, mesmerist 0, spiritualist 0</t>
  </si>
  <si>
    <t>V, M/DF (a firefly)</t>
  </si>
  <si>
    <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  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t>
  </si>
  <si>
    <t>&lt;p&gt;This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object.&lt;/p&gt;&lt;p&gt;You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level.&lt;/p&gt;</t>
  </si>
  <si>
    <t>&lt;link rel="stylesheet"href="PF.css"&gt;&lt;div class="heading"&gt;&lt;p class="alignleft"&gt;Light&lt;/p&gt;&lt;div style="clear: both;"&gt;&lt;/div&gt;&lt;/div&gt;&lt;div&gt;&lt;h5&gt;&lt;b&gt;School &lt;/b&gt;evocation [light]; &lt;b&gt;Level &lt;/b&gt;bard 0, cleric/oracle 0, druid 0, inquisitor 0, magus 0, sorcerer/wizard 0, summoner 0, witch 0, shaman 0, occultist 0, psychic 0, mesmerist 0, spiritualist 0&lt;/h5&gt;&lt;/div&gt;&lt;hr/&gt;&lt;div&gt;&lt;h5&gt;&lt;b&gt;CASTING&lt;/b&gt;&lt;/h5&gt;&lt;/div&gt;&lt;hr/&gt;&lt;div&gt;&lt;h5&gt;&lt;b&gt;Casting Time &lt;/b&gt;1 standard action&lt;/h5&gt;&lt;h5&gt;&lt;b&gt;Components &lt;/b&gt;V, M/DF (a firefly)&lt;/h5&gt;&lt;/div&gt;&lt;hr/&gt;&lt;div&gt;&lt;h5&gt;&lt;b&gt;EFFECT&lt;/b&gt;&lt;/h5&gt;&lt;/div&gt;&lt;hr/&gt;&lt;div&gt;&lt;h5&gt;&lt;b&gt;Range &lt;/b&gt;touch&lt;/h5&gt;&lt;h5&gt;&lt;b&gt;Targets &lt;/b&gt;object touched&lt;/h5&gt;&lt;h5&gt;&lt;b&gt;Duration &lt;/b&gt;10 min./level&lt;/h5&gt;&lt;h5&gt;&lt;b&gt;Saving Throw &lt;/b&gt;none; &lt;b&gt;Spell Resistance &lt;/b&gt;no&lt;/h5&gt;&lt;/div&gt;&lt;hr/&gt;&lt;div&gt;&lt;h5&gt;&lt;b&gt;DESCRIPTION&lt;/b&gt;&lt;/h5&gt;&lt;/div&gt;&lt;hr/&gt;&lt;div&gt;&lt;h4&gt;&lt;p&gt;This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object.&lt;/p&gt;&lt;p&gt;You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level.&lt;/p&gt;&lt;/h4&gt;&lt;/div&gt;</t>
  </si>
  <si>
    <t>Object shines like a torch.</t>
  </si>
  <si>
    <t>Lightning Bolt</t>
  </si>
  <si>
    <t>sorcerer/wizard 3, witch 3, magus 3, bloodrager 3, occultist 3</t>
  </si>
  <si>
    <t>V, S, M (fur and a glass rod)</t>
  </si>
  <si>
    <t>120 ft.</t>
  </si>
  <si>
    <t>120-ft. line</t>
  </si>
  <si>
    <t>You release a powerful stroke of electrical energy that deals 1d6 points of electricity damage per caster level (maximum 10d6) to each creature within its area. The bolt begins at your fingertips.  The lightning bolt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t>
  </si>
  <si>
    <t>&lt;p&gt;You release a powerful stroke of electrical energy that deals 1d6 points of electricity damage per caster level (maximum 10d6) to each creature within its area. The bolt begins at your fingertips.&lt;/p&gt;&lt;p&gt;The &lt;i&gt;lightning bolt&lt;/i&gt;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does.&lt;/p&gt;</t>
  </si>
  <si>
    <t>&lt;link rel="stylesheet"href="PF.css"&gt;&lt;div class="heading"&gt;&lt;p class="alignleft"&gt;Lightning Bolt&lt;/p&gt;&lt;div style="clear: both;"&gt;&lt;/div&gt;&lt;/div&gt;&lt;div&gt;&lt;h5&gt;&lt;b&gt;School &lt;/b&gt;evocation [electricity]; &lt;b&gt;Level &lt;/b&gt;sorcerer/wizard 3, witch 3, magus 3, bloodrager 3, occultist 3&lt;/h5&gt;&lt;/div&gt;&lt;hr/&gt;&lt;div&gt;&lt;h5&gt;&lt;b&gt;CASTING&lt;/b&gt;&lt;/h5&gt;&lt;/div&gt;&lt;hr/&gt;&lt;div&gt;&lt;h5&gt;&lt;b&gt;Casting Time &lt;/b&gt;1 standard action&lt;/h5&gt;&lt;h5&gt;&lt;b&gt;Components &lt;/b&gt;V, S, M (fur and a glass rod)&lt;/h5&gt;&lt;/div&gt;&lt;hr/&gt;&lt;div&gt;&lt;h5&gt;&lt;b&gt;EFFECT&lt;/b&gt;&lt;/h5&gt;&lt;/div&gt;&lt;hr/&gt;&lt;div&gt;&lt;h5&gt;&lt;b&gt;Range &lt;/b&gt;120 ft.&lt;/h5&gt;&lt;h5&gt;&lt;b&gt;Area &lt;/b&gt;120-ft. line&lt;/h5&gt;&lt;h5&gt;&lt;b&gt;Duration &lt;/b&gt;instantaneous&lt;/h5&gt;&lt;h5&gt;&lt;b&gt;Saving Throw &lt;/b&gt;Reflex half; &lt;b&gt;Spell Resistance &lt;/b&gt;yes&lt;/h5&gt;&lt;/div&gt;&lt;hr/&gt;&lt;div&gt;&lt;h5&gt;&lt;b&gt;DESCRIPTION&lt;/b&gt;&lt;/h5&gt;&lt;/div&gt;&lt;hr/&gt;&lt;div&gt;&lt;h4&gt;&lt;p&gt;You release a powerful stroke of electrical energy that deals 1d6 points of electricity damage per caster level (maximum 10d6) to each creature within its area. The bolt begins at your fingertips.&lt;/p&gt;&lt;p&gt;The &lt;i&gt;lightning bolt&lt;/i&gt;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does.&lt;/p&gt;&lt;/h4&gt;&lt;h5&gt;&lt;b&gt;Mythic: &lt;/b&gt;The damage dealt increases to 1d8 points of electricity damage per caster level (maximum 10d8). Any creature that fails its save is staggered for 1 round.&lt;/h5&gt;&lt;h5&gt;&lt;b&gt;Augmented (3rd)&lt;/b&gt;: If you expend two uses of mythic power, you can bend the line of the spell once up to 90 degrees. Any creature that fails its save is stunned for 1 round.&lt;/h5&gt;&lt;/div&gt;</t>
  </si>
  <si>
    <t> Electricity deals 1d6/level damage.</t>
  </si>
  <si>
    <t>Stormborn (7)</t>
  </si>
  <si>
    <t>The damage dealt increases to 1d8 points of electricity damage per caster level (maximum 10d8). Any creature that fails its save is staggered for 1 round.</t>
  </si>
  <si>
    <t>Augmented (3rd): If you expend two uses of mythic power, you can bend the line of the spell once up to 90 degrees. Any creature that fails its save is stunned for 1 round.</t>
  </si>
  <si>
    <t>Limited Wish</t>
  </si>
  <si>
    <t>V, S, M (diamond worth 1,500 gp)</t>
  </si>
  <si>
    <t>Target see text</t>
  </si>
  <si>
    <t>see text Area see text</t>
  </si>
  <si>
    <t>none, see text</t>
  </si>
  <si>
    <t>A limited wish lets you create nearly any type of effect. For example, a limited wish can do any of the following things. • Duplicate any sorcerer/wizard spell of 6th level or lower, provided the spell does not belong to one of your opposition schools. • Duplicate any non-sorcerer/wizard spell of 5th level or lower, provided the spell does not belong to one of your opposition schools. • Duplicate any sorcerer/wizard spell of 5th level or lower, even if it belongs to one of your opposition schools. • Duplicate any non-sorcerer/wizard spell of 4th level or lower, even if it belongs to one of your opposition schools. • Undo the harmful effects of many spells, such as geas/quest or insanity. • Produce any other effect whose power level is in line with the above effects, such as a single creature automatically hitting on its next attack or taking a -7 penalty on its next saving throw. A duplicated spell allows saving throws and spell resistance as normal, but the save DC is for a 7th-level spell. When a limited wish spell duplicates a spell with a material component that costs more than 1,000 gp, you must provide that component (in addition to the 1,500 gp diamond component for this spell).</t>
  </si>
  <si>
    <t>&lt;p&gt;A &lt;i&gt;limited wish&lt;/i&gt; lets you create nearly any type of effect. For example, a &lt;i&gt;limited wish&lt;/i&gt; can do any of the following things.&lt;/p&gt;&lt;p&gt;&lt;ul&gt;&lt;li&gt; Duplicate any sorcerer/wizard spell of 6th level or lower, provided the spell does not belong to one of your opposition schools.&lt;/p&gt;&lt;p&gt;&lt;li&gt; Duplicate any non-sorcerer/wizard spell of 5th level or lower, provided the spell does not belong to one of your opposition schools.&lt;/p&gt;&lt;p&gt;&lt;li&gt; Duplicate any sorcerer/wizard spell of 5th level or lower, even if it belongs to one of your opposition schools.&lt;/p&gt;&lt;p&gt;&lt;li&gt; Duplicate any non-sorcerer/wizard spell of 4th level or lower, even if it belongs to one of your opposition schools.&lt;/p&gt;&lt;p&gt;&lt;li&gt; Undo the harmful effects of many spells, such as &lt;i&gt;geas/quest&lt;/i&gt; or &lt;i&gt;insanity&lt;/i&gt;.&lt;/p&gt;&lt;p&gt;&lt;li&gt; Produce any other effect whose power level is in line with the above effects, such as a single creature automatically hitting on its next attack or taking a -7 penalty on its next saving throw.&lt;/p&gt;&lt;p&gt;A duplicated spell allows saving throws and spell resistance as normal, but the save DC is for a 7th-level spell. When a &lt;i&gt;limited wish&lt;/i&gt; spell duplicates a spell with a material component that costs more than 1,000 gp, you must provide that component (in addition to the 1,500 gp diamond component for this spell).&lt;/ul&gt;&lt;/p&gt;</t>
  </si>
  <si>
    <t>&lt;link rel="stylesheet"href="PF.css"&gt;&lt;div class="heading"&gt;&lt;p class="alignleft"&gt;Limited Wish&lt;/p&gt;&lt;div style="clear: both;"&gt;&lt;/div&gt;&lt;/div&gt;&lt;div&gt;&lt;h5&gt;&lt;b&gt;School &lt;/b&gt;universal; &lt;b&gt;Level &lt;/b&gt;sorcerer/wizard 7, psychic 7&lt;/h5&gt;&lt;/div&gt;&lt;hr/&gt;&lt;div&gt;&lt;h5&gt;&lt;b&gt;CASTING&lt;/b&gt;&lt;/h5&gt;&lt;/div&gt;&lt;hr/&gt;&lt;div&gt;&lt;h5&gt;&lt;b&gt;Casting Time &lt;/b&gt;1 standard action&lt;/h5&gt;&lt;h5&gt;&lt;b&gt;Components &lt;/b&gt;V, S, M (diamond worth 1,500 gp)&lt;/h5&gt;&lt;/div&gt;&lt;hr/&gt;&lt;div&gt;&lt;h5&gt;&lt;b&gt;EFFECT&lt;/b&gt;&lt;/h5&gt;&lt;/div&gt;&lt;hr/&gt;&lt;div&gt;&lt;h5&gt;&lt;b&gt;Range &lt;/b&gt;see text&lt;/h5&gt;&lt;h5&gt;&lt;b&gt;Area &lt;/b&gt;see text&lt;/h5&gt;&lt;h5&gt;&lt;b&gt;Effect &lt;/b&gt;see text&lt;/h5&gt;&lt;h5&gt;&lt;b&gt;Targets &lt;/b&gt;see text&lt;/h5&gt;   &lt;h5&gt;&lt;b&gt;Duration &lt;/b&gt;see text&lt;/h5&gt;&lt;h5&gt;&lt;b&gt;Saving Throw &lt;/b&gt;none, see text; &lt;b&gt;Spell Resistance &lt;/b&gt;yes&lt;/h5&gt;&lt;/div&gt;&lt;hr/&gt;&lt;div&gt;&lt;h5&gt;&lt;b&gt;DESCRIPTION&lt;/b&gt;&lt;/h5&gt;&lt;/div&gt;&lt;hr/&gt;&lt;div&gt;&lt;h4&gt;&lt;p&gt;A &lt;i&gt;limited wish&lt;/i&gt; lets you create nearly any type of effect. For example, a &lt;i&gt;limited wish&lt;/i&gt; can do any of the following things.&lt;/p&gt;&lt;p&gt;&lt;ul&gt;&lt;li&gt; Duplicate any sorcerer/wizard spell of 6th level or lower, provided the spell does not belong to one of your opposition schools.&lt;/p&gt;&lt;p&gt;&lt;li&gt; Duplicate any non-sorcerer/wizard spell of 5th level or lower, provided the spell does not belong to one of your opposition schools.&lt;/p&gt;&lt;p&gt;&lt;li&gt; Duplicate any sorcerer/wizard spell of 5th level or lower, even if it belongs to one of your opposition schools.&lt;/p&gt;&lt;p&gt;&lt;li&gt; Duplicate any non-sorcerer/wizard spell of 4th level or lower, even if it belongs to one of your opposition schools.&lt;/p&gt;&lt;p&gt;&lt;li&gt; Undo the harmful effects of many spells, such as &lt;i&gt;geas/quest&lt;/i&gt; or &lt;i&gt;insanity&lt;/i&gt;.&lt;/p&gt;&lt;p&gt;&lt;li&gt; Produce any other effect whose power level is in line with the above effects, such as a single creature automatically hitting on its next attack or taking a -7 penalty on its next saving throw.&lt;/p&gt;&lt;p&gt;A duplicated spell allows saving throws and spell resistance as normal, but the save DC is for a 7th-level spell. When a &lt;i&gt;limited wish&lt;/i&gt; spell duplicates a spell with a material component that costs more than 1,000 gp, you must provide that component (in addition to the 1,500 gp diamond component for this spell).&lt;/ul&gt;&lt;/p&gt;&lt;/h4&gt;&lt;h5&gt;&lt;b&gt;Mythic: &lt;/b&gt;When using mythic limited wish to duplicate another spell, you can duplicate a mythic spell you know (if you're a spontaneous caster) or have prepared (if you're a caster who prepares spells). If you don't know or haven't prepared the mythic spell, you can expend a second use of mythic power duplicate the mythic version of the desired spell.&lt;/h5&gt;&lt;h5&gt;&lt;b&gt;Augmented&lt;/b&gt;: If you expend two uses of mythic power, you can cast a silent, stilled mythic limited wish, even if you're helpless or couldn't otherwise take actions (but not unconscious).&lt;/h5&gt;&lt;/div&gt;</t>
  </si>
  <si>
    <t>Construct (7)</t>
  </si>
  <si>
    <t> Alters reality (within limits).</t>
  </si>
  <si>
    <t>When using mythic limited wish to duplicate another spell, you can duplicate a mythic spell you know (if you're a spontaneous caster) or have prepared (if you're a caster who prepares spells). If you don't know or haven't prepared the mythic spell, you can expend a second use of mythic power duplicate the mythic version of the desired spell.</t>
  </si>
  <si>
    <t>Augmented: If you expend two uses of mythic power, you can cast a silent, stilled mythic limited wish, even if you're helpless or couldn't otherwise take actions (but not unconscious).</t>
  </si>
  <si>
    <t>Liveoak</t>
  </si>
  <si>
    <t>druid 6, shaman 7</t>
  </si>
  <si>
    <t>tree touched</t>
  </si>
  <si>
    <t>This spell turns an oak tree into a protector or guardian. The spell can only be cast on a single tree at a time; while liveoak is in effect, you can't cast it again on another tree. Liveoak must be cast on a healthy, Huge oak. A triggering phrase of up to one word per caster level is placed on the targeted oak. The liveoak spell triggers the tree into animating as a treant.  If liveoak is dispelled, the tree takes root immediately wherever it happens to be. If released by you, the tree tries to return to its original location before taking root.</t>
  </si>
  <si>
    <t>&lt;p&gt;This spell turns an oak tree into a protector or guardian. The spell can only be cast on a single tree at a time; while &lt;i&gt;liveoak&lt;/i&gt; is in effect, you can't cast it again on another tree. &lt;i&gt;Liveoak&lt;/i&gt; must be cast on a healthy, Huge oak. A triggering phrase of up to one word per caster level is placed on the targeted oak. The &lt;i&gt;liveoak&lt;/i&gt; spell triggers the tree into animating as a treant.&lt;/p&gt;&lt;p&gt;If &lt;i&gt;liveoak&lt;/i&gt; is dispelled, the tree takes root immediately wherever it happens to be. If released by you, the tree tries to return to its original location before taking root.&lt;/p&gt;</t>
  </si>
  <si>
    <t>&lt;link rel="stylesheet"href="PF.css"&gt;&lt;div class="heading"&gt;&lt;p class="alignleft"&gt;Liveoak&lt;/p&gt;&lt;div style="clear: both;"&gt;&lt;/div&gt;&lt;/div&gt;&lt;div&gt;&lt;h5&gt;&lt;b&gt;School &lt;/b&gt;transmutation; &lt;b&gt;Level &lt;/b&gt;druid 6, shaman 7&lt;/h5&gt;&lt;/div&gt;&lt;hr/&gt;&lt;div&gt;&lt;h5&gt;&lt;b&gt;CASTING&lt;/b&gt;&lt;/h5&gt;&lt;/div&gt;&lt;hr/&gt;&lt;div&gt;&lt;h5&gt;&lt;b&gt;Casting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&lt;/b&gt;tree touched&lt;/h5&gt;&lt;h5&gt;&lt;b&gt;Duration &lt;/b&gt;1 day/level (D)&lt;/h5&gt;&lt;h5&gt;&lt;b&gt;Saving Throw &lt;/b&gt;none; &lt;b&gt;Spell Resistance &lt;/b&gt;no&lt;/h5&gt;&lt;/div&gt;&lt;hr/&gt;&lt;div&gt;&lt;h5&gt;&lt;b&gt;DESCRIPTION&lt;/b&gt;&lt;/h5&gt;&lt;/div&gt;&lt;hr/&gt;&lt;div&gt;&lt;h4&gt;&lt;p&gt;This spell turns an oak tree into a protector or guardian. The spell can only be cast on a single tree at a time; while &lt;i&gt;liveoak&lt;/i&gt; is in effect, you can't cast it again on another tree. &lt;i&gt;Liveoak&lt;/i&gt; must be cast on a healthy, Huge oak. A triggering phrase of up to one word per caster level is placed on the targeted oak. The &lt;i&gt;liveoak&lt;/i&gt; spell triggers the tree into animating as a treant.&lt;/p&gt;&lt;p&gt;If &lt;i&gt;liveoak&lt;/i&gt; is dispelled, the tree takes root immediately wherever it happens to be. If released by you, the tree tries to return to its original location before taking root.&lt;/p&gt;&lt;/h4&gt;&lt;/div&gt;</t>
  </si>
  <si>
    <t> Oak becomes treant guardian.</t>
  </si>
  <si>
    <t>Locate Object</t>
  </si>
  <si>
    <t>bard 2, cleric/oracle 3, sorcerer/wizard 2, witch 3, inquisitor 3, occultist 2, psychic 2, mesmerist 2, spiritualist 2</t>
  </si>
  <si>
    <t>V, S, F/DF (a forked twig)</t>
  </si>
  <si>
    <t>circle, centered on you, with a radius of 400 ft. + 40 ft./level</t>
  </si>
  <si>
    <t>You sense the direction of a well-known or clearly visualized object.  You can search for general items, in which case you locate the nearest of its kind if more than one is within range. Attempting to find a certain item requires a specific and accurate mental image; if the image is not close enough to the actual object, the spell fails.  You cannot specify a unique item unless you have observed that particular item firsthand (not through divination).  The spell is blocked by even a thin sheet of lead. Creatures cannot be found by this spell. Polymorph any object and nondetection fool it.</t>
  </si>
  <si>
    <t>&lt;p&gt;You sense the direction of a well-known or clearly visualized object.&lt;/p&gt;&lt;p&gt;You can search for general items, in which case you locate the nearest of its kind if more than one is within range. Attempting to find a certain item requires a specific and accurate mental image; if the image is not close enough to the actual object, the spell fails.&lt;/p&gt;&lt;p&gt;You cannot specify a unique item unless you have observed that particular item firsthand (not through divination).&lt;/p&gt;&lt;p&gt;The spell is blocked by even a thin sheet of lead. Creatures cannot be found by this spell. &lt;i&gt;Polymorph any object&lt;/i&gt; and &lt;i&gt;nondetection&lt;/i&gt; fool it.&lt;/p&gt;</t>
  </si>
  <si>
    <t>&lt;link rel="stylesheet"href="PF.css"&gt;&lt;div class="heading"&gt;&lt;p class="alignleft"&gt;Locate Object&lt;/p&gt;&lt;div style="clear: both;"&gt;&lt;/div&gt;&lt;/div&gt;&lt;div&gt;&lt;h5&gt;&lt;b&gt;School &lt;/b&gt;divination; &lt;b&gt;Level &lt;/b&gt;bard 2, cleric/oracle 3, sorcerer/wizard 2, witch 3, inquisitor 3, occultist 2, psychic 2, mesmerist 2, spiritualist 2&lt;/h5&gt;&lt;/div&gt;&lt;hr/&gt;&lt;div&gt;&lt;h5&gt;&lt;b&gt;CASTING&lt;/b&gt;&lt;/h5&gt;&lt;/div&gt;&lt;hr/&gt;&lt;div&gt;&lt;h5&gt;&lt;b&gt;Casting Time &lt;/b&gt;1 standard action&lt;/h5&gt;&lt;h5&gt;&lt;b&gt;Components &lt;/b&gt;V, S, F/DF (a forked twig)&lt;/h5&gt;&lt;/div&gt;&lt;hr/&gt;&lt;div&gt;&lt;h5&gt;&lt;b&gt;EFFECT&lt;/b&gt;&lt;/h5&gt;&lt;/div&gt;&lt;hr/&gt;&lt;div&gt;&lt;h5&gt;&lt;b&gt;Range &lt;/b&gt;long (400 ft. + 40 ft./level)&lt;/h5&gt;&lt;h5&gt;&lt;b&gt;Area &lt;/b&gt;circle, centered on you, with a radius of 400 ft. + 40 ft./level&lt;/h5&gt;&lt;h5&gt;&lt;b&gt;Duration &lt;/b&gt;1 min./level&lt;/h5&gt;&lt;h5&gt;&lt;b&gt;Saving Throw &lt;/b&gt;none; &lt;b&gt;Spell Resistance &lt;/b&gt;no&lt;/h5&gt;&lt;/div&gt;&lt;hr/&gt;&lt;div&gt;&lt;h5&gt;&lt;b&gt;DESCRIPTION&lt;/b&gt;&lt;/h5&gt;&lt;/div&gt;&lt;hr/&gt;&lt;div&gt;&lt;h4&gt;&lt;p&gt;You sense the direction of a well-known or clearly visualized object.&lt;/p&gt;&lt;p&gt;You can search for general items, in which case you locate the nearest of its kind if more than one is within range. Attempting to find a certain item requires a specific and accurate mental image; if the image is not close enough to the actual object, the spell fails.&lt;/p&gt;&lt;p&gt;You cannot specify a unique item unless you have observed that particular item firsthand (not through divination).&lt;/p&gt;&lt;p&gt;The spell is blocked by even a thin sheet of lead. Creatures cannot be found by this spell. &lt;i&gt;Polymorph any object&lt;/i&gt; and &lt;i&gt;nondetection&lt;/i&gt; fool it.&lt;/p&gt;&lt;/h4&gt;&lt;/div&gt;</t>
  </si>
  <si>
    <t>Thievery (3), Travel (2)</t>
  </si>
  <si>
    <t>Senses direction toward object (specific or type).</t>
  </si>
  <si>
    <t>Portents (4)</t>
  </si>
  <si>
    <t>Locate Creature</t>
  </si>
  <si>
    <t>bard 4, sorcerer/wizard 4, summoner 3, witch 4, occultist 4, psychic 4, mesmerist 4, spiritualist 4</t>
  </si>
  <si>
    <t>V, S, M (fur from a bloodhound)</t>
  </si>
  <si>
    <t>This spell functions like locate object, except this spell locates a known creature. You slowly turn and sense when you are facing in the direction of the creature to be located, provided it is within range. You also know in which direction the creature is moving, if any.  The spell can locate a creature of a specific kind or a specific creature known to you. It cannot find a creature of a certain type. To find a kind of creature, you must have seen such a creature up close (within 30 feet) at least once.  Running water blocks the spell. It cannot detect objects. It can be fooled by mislead, nondetection, and polymorph spells.</t>
  </si>
  <si>
    <t>&lt;p&gt;This spell functions like &lt;i&gt;locate object,&lt;/i&gt; except this spell locates a known creature. You slowly turn and sense when you are facing in the direction of the creature to be located, provided it is within range. You also know in which direction the creature is moving, if any.&lt;/p&gt;&lt;p&gt;The spell can locate a creature of a specific kind or a specific creature known to you. It cannot find a creature of a certain type. To find a kind of creature, you must have seen such a creature up close (within 30 feet) at least once.&lt;/p&gt;&lt;p&gt;Running water blocks the spell. It cannot detect objects. It can be fooled by &lt;i&gt;mislead, nondetection&lt;/i&gt;, and &lt;i&gt;polymorph&lt;/i&gt; spells.&lt;/p&gt;</t>
  </si>
  <si>
    <t>&lt;link rel="stylesheet"href="PF.css"&gt;&lt;div class="heading"&gt;&lt;p class="alignleft"&gt;Locate Creature&lt;/p&gt;&lt;div style="clear: both;"&gt;&lt;/div&gt;&lt;/div&gt;&lt;div&gt;&lt;h5&gt;&lt;b&gt;School &lt;/b&gt;divination; &lt;b&gt;Level &lt;/b&gt;bard 4, sorcerer/wizard 4, summoner 3, witch 4, occultist 4, psychic 4, mesmerist 4, spiritualist 4&lt;/h5&gt;&lt;/div&gt;&lt;hr/&gt;&lt;div&gt;&lt;h5&gt;&lt;b&gt;CASTING&lt;/b&gt;&lt;/h5&gt;&lt;/div&gt;&lt;hr/&gt;&lt;div&gt;&lt;h5&gt;&lt;b&gt;Casting Time &lt;/b&gt;1 standard action&lt;/h5&gt;&lt;h5&gt;&lt;b&gt;Components &lt;/b&gt;V, S, M (fur from a bloodhound)&lt;/h5&gt;&lt;/div&gt;&lt;hr/&gt;&lt;div&gt;&lt;h5&gt;&lt;b&gt;EFFECT&lt;/b&gt;&lt;/h5&gt;&lt;/div&gt;&lt;hr/&gt;&lt;div&gt;&lt;h5&gt;&lt;b&gt;Range &lt;/b&gt;long (400 ft. + 40 ft./level)&lt;/h5&gt;&lt;h5&gt;&lt;b&gt;Area &lt;/b&gt;circle, centered on you, with a radius of 400 ft. + 40 ft./level&lt;/h5&gt;&lt;h5&gt;&lt;b&gt;Duration &lt;/b&gt;10 min./level&lt;/h5&gt;&lt;h5&gt;&lt;b&gt;Saving Throw &lt;/b&gt;none; &lt;b&gt;Spell Resistance &lt;/b&gt;no&lt;/h5&gt;&lt;/div&gt;&lt;hr/&gt;&lt;div&gt;&lt;h5&gt;&lt;b&gt;DESCRIPTION&lt;/b&gt;&lt;/h5&gt;&lt;/div&gt;&lt;hr/&gt;&lt;div&gt;&lt;h4&gt;&lt;p&gt;This spell functions like &lt;i&gt;locate object,&lt;/i&gt; except this spell locates a known creature. You slowly turn and sense when you are facing in the direction of the creature to be located, provided it is within range. You also know in which direction the creature is moving, if any.&lt;/p&gt;&lt;p&gt;The spell can locate a creature of a specific kind or a specific creature known to you. It cannot find a creature of a certain type. To find a kind of creature, you must have seen such a creature up close (within 30 feet) at least once.&lt;/p&gt;&lt;p&gt;Running water blocks the spell. It cannot detect objects. It can be fooled by &lt;i&gt;mislead, nondetection&lt;/i&gt;, and &lt;i&gt;polymorph&lt;/i&gt; spells.&lt;/p&gt;&lt;/h4&gt;&lt;/div&gt;</t>
  </si>
  <si>
    <t>Exploration (4)</t>
  </si>
  <si>
    <t>Indicates direction to known creature.</t>
  </si>
  <si>
    <t>Longstrider</t>
  </si>
  <si>
    <t>druid 1, ranger 1</t>
  </si>
  <si>
    <t>V, S, M (a pinch of dirt)</t>
  </si>
  <si>
    <t>This spell gives you a +10 foot enhancement bonus to your base speed. It has no effect on other modes of movement, such as burrow, climb, fly, or swim.</t>
  </si>
  <si>
    <t>&lt;p&gt;This spell gives you a +10 foot enhancement bonus to your base speed. It has no effect on other modes of movement, such as burrow, climb, fly, or swim.&lt;/p&gt;</t>
  </si>
  <si>
    <t>&lt;link rel="stylesheet"href="PF.css"&gt;&lt;div class="heading"&gt;&lt;p class="alignleft"&gt;Longstrider&lt;/p&gt;&lt;div style="clear: both;"&gt;&lt;/div&gt;&lt;/div&gt;&lt;div&gt;&lt;h5&gt;&lt;b&gt;School &lt;/b&gt;transmutation; &lt;b&gt;Level &lt;/b&gt;druid 1, ranger 1&lt;/h5&gt;&lt;/div&gt;&lt;hr/&gt;&lt;div&gt;&lt;h5&gt;&lt;b&gt;CASTING&lt;/b&gt;&lt;/h5&gt;&lt;/div&gt;&lt;hr/&gt;&lt;div&gt;&lt;h5&gt;&lt;b&gt;Casting Time &lt;/b&gt;1 standard action&lt;/h5&gt;&lt;h5&gt;&lt;b&gt;Components &lt;/b&gt;V, S, M (a pinch of dirt)&lt;/h5&gt;&lt;/div&gt;&lt;hr/&gt;&lt;div&gt;&lt;h5&gt;&lt;b&gt;EFFECT&lt;/b&gt;&lt;/h5&gt;&lt;/div&gt;&lt;hr/&gt;&lt;div&gt;&lt;h5&gt;&lt;b&gt;Range &lt;/b&gt;personal&lt;/h5&gt;&lt;h5&gt;&lt;b&gt;Targets &lt;/b&gt;you&lt;/h5&gt;&lt;h5&gt;&lt;b&gt;Duration &lt;/b&gt;1 hour/level (D)&lt;/h5&gt;&lt;/div&gt;&lt;hr/&gt;&lt;div&gt;&lt;h5&gt;&lt;b&gt;DESCRIPTION&lt;/b&gt;&lt;/h5&gt;&lt;/div&gt;&lt;hr/&gt;&lt;div&gt;&lt;h4&gt;&lt;p&gt;This spell gives you a +10 foot enhancement bonus to your base speed. It has no effect on other modes of movement, such as burrow, climb, fly, or swim.&lt;/p&gt;&lt;/h4&gt;&lt;/div&gt;</t>
  </si>
  <si>
    <t>Travel (1)</t>
  </si>
  <si>
    <t>Your speed increases by 10 ft.</t>
  </si>
  <si>
    <t>Lullaby</t>
  </si>
  <si>
    <t>bard 0, psychic 0, mesmerist 0</t>
  </si>
  <si>
    <t>living creatures within a 10-ft.-radius burst</t>
  </si>
  <si>
    <t>concentration + 1 round/level</t>
  </si>
  <si>
    <t>Any creature within the area that fails a Will save becomes drowsy and inattentive, taking a -5 penalty on Perception checks and a -2 penalty on Will saves against sleep effects while the lullaby is in effect. Lullaby lasts for as long as the caster concentrates, plus up to 1 round per caster level thereafter.</t>
  </si>
  <si>
    <t>&lt;p&gt;Any creature within the area that fails a Will save becomes drowsy and inattentive, taking a -5 penalty on Perception checks and a -2 penalty on Will saves against &lt;i&gt;sleep&lt;/i&gt; effects while the &lt;i&gt;lullaby&lt;/i&gt; is in effect. &lt;i&gt;Lullaby&lt;/i&gt; lasts for as long as the caster concentrates, plus up to 1 round per caster level thereafter.&lt;/p&gt;</t>
  </si>
  <si>
    <t>&lt;link rel="stylesheet"href="PF.css"&gt;&lt;div class="heading"&gt;&lt;p class="alignleft"&gt;Lullaby&lt;/p&gt;&lt;div style="clear: both;"&gt;&lt;/div&gt;&lt;/div&gt;&lt;div&gt;&lt;h5&gt;&lt;b&gt;School &lt;/b&gt;enchantment (compulsion) [mind-affecting]; &lt;b&gt;Level &lt;/b&gt;bard 0, psychic 0, mesmerist 0&lt;/h5&gt;&lt;/div&gt;&lt;hr/&gt;&lt;div&gt;&lt;h5&gt;&lt;b&gt;CASTING&lt;/b&gt;&lt;/h5&gt;&lt;/div&gt;&lt;hr/&gt;&lt;div&gt;&lt;h5&gt;&lt;b&gt;Casting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&lt;/b&gt;living creatures within a 10-ft.-radius burst&lt;/h5&gt;&lt;h5&gt;&lt;b&gt;Duration &lt;/b&gt;concentration + 1 round/level (D)&lt;/h5&gt;&lt;h5&gt;&lt;b&gt;Saving Throw &lt;/b&gt;Will negates; &lt;b&gt;Spell Resistance &lt;/b&gt;yes&lt;/h5&gt;&lt;/div&gt;&lt;hr/&gt;&lt;div&gt;&lt;h5&gt;&lt;b&gt;DESCRIPTION&lt;/b&gt;&lt;/h5&gt;&lt;/div&gt;&lt;hr/&gt;&lt;div&gt;&lt;h4&gt;&lt;p&gt;Any creature within the area that fails a Will save becomes drowsy and inattentive, taking a -5 penalty on Perception checks and a -2 penalty on Will saves against &lt;i&gt;sleep&lt;/i&gt; effects while the &lt;i&gt;lullaby&lt;/i&gt; is in effect. &lt;i&gt;Lullaby&lt;/i&gt; lasts for as long as the caster concentrates, plus up to 1 round per caster level thereafter.&lt;/p&gt;&lt;/h4&gt;&lt;/div&gt;</t>
  </si>
  <si>
    <t> Makes subject drowsy  –5 on Perception checks, –2 on Will saves against sleep.</t>
  </si>
  <si>
    <t>Mage Armor</t>
  </si>
  <si>
    <t>sorcerer/wizard 1, summoner 1, witch 1, bloodrager 1, occultist 1, psychic 1, spiritualist 1</t>
  </si>
  <si>
    <t>V, S, F (a piece of cured leather)</t>
  </si>
  <si>
    <t>An invisible but tangible field of force surrounds the subject of a mage armor spell, providing a +4 armor bonus to AC.  Unlike mundane armor, mage armor entails no armor check penalty, arcane spell failure chance, or speed reduction. Since mage armor is made of force, incorporeal creatures can't bypass it the way they do normal armor.</t>
  </si>
  <si>
    <t>&lt;p&gt;An invisible but tangible field of force surrounds the subject of a &lt;i&gt;mage armor&lt;/i&gt; spell, providing a +4 armor bonus to AC.&lt;/p&gt;&lt;p&gt;Unlike mundane armor, &lt;i&gt;mage armor&lt;/i&gt; entails no armor check penalty, arcane spell failure chance, or speed reduction. Since &lt;i&gt;mage armor&lt;/i&gt; is made of force, incorporeal creatures can't bypass it the way they do normal armor.&lt;/p&gt;</t>
  </si>
  <si>
    <t>&lt;link rel="stylesheet"href="PF.css"&gt;&lt;div class="heading"&gt;&lt;p class="alignleft"&gt;Mage Armor&lt;/p&gt;&lt;div style="clear: both;"&gt;&lt;/div&gt;&lt;/div&gt;&lt;div&gt;&lt;h5&gt;&lt;b&gt;School &lt;/b&gt;conjuration (creation) [force]; &lt;b&gt;Level &lt;/b&gt;sorcerer/wizard 1, summoner 1, witch 1, bloodrager 1, occultist 1, psychic 1, spiritualist 1&lt;/h5&gt;&lt;/div&gt;&lt;hr/&gt;&lt;div&gt;&lt;h5&gt;&lt;b&gt;CASTING&lt;/b&gt;&lt;/h5&gt;&lt;/div&gt;&lt;hr/&gt;&lt;div&gt;&lt;h5&gt;&lt;b&gt;Casting Time &lt;/b&gt;1 standard action&lt;/h5&gt;&lt;h5&gt;&lt;b&gt;Components &lt;/b&gt;V, S, F (a piece of cured leather)&lt;/h5&gt;&lt;/div&gt;&lt;hr/&gt;&lt;div&gt;&lt;h5&gt;&lt;b&gt;EFFECT&lt;/b&gt;&lt;/h5&gt;&lt;/div&gt;&lt;hr/&gt;&lt;div&gt;&lt;h5&gt;&lt;b&gt;Range &lt;/b&gt;touch&lt;/h5&gt;&lt;h5&gt;&lt;b&gt;Targets &lt;/b&gt;creature touched&lt;/h5&gt;&lt;h5&gt;&lt;b&gt;Duration &lt;/b&gt;1 hour/level (D)&lt;/h5&gt;&lt;h5&gt;&lt;b&gt;Saving Throw &lt;/b&gt;Will negates (harmless); &lt;b&gt;Spell Resistance &lt;/b&gt;no&lt;/h5&gt;&lt;/div&gt;&lt;hr/&gt;&lt;div&gt;&lt;h5&gt;&lt;b&gt;DESCRIPTION&lt;/b&gt;&lt;/h5&gt;&lt;/div&gt;&lt;hr/&gt;&lt;div&gt;&lt;h4&gt;&lt;p&gt;An invisible but tangible field of force surrounds the subject of a &lt;i&gt;mage armor&lt;/i&gt; spell, providing a +4 armor bonus to AC.&lt;/p&gt;&lt;p&gt;Unlike mundane armor, &lt;i&gt;mage armor&lt;/i&gt; entails no armor check penalty, arcane spell failure chance, or speed reduction. Since &lt;i&gt;mage armor&lt;/i&gt; is made of force, incorporeal creatures can't bypass it the way they do normal armor.&lt;/p&gt;&lt;/h4&gt;&lt;h5&gt;&lt;b&gt;Mythic: &lt;/b&gt;The armor bonus increases to +6. There is a 50% chance that any critical hit or sneak attack made against the target is negated and treated as a normal hit, as if the target were wearing moderate fortification armor.&lt;/h5&gt;&lt;/div&gt;</t>
  </si>
  <si>
    <t> Gives subject +4 armor bonus.</t>
  </si>
  <si>
    <t>Draconic (3)</t>
  </si>
  <si>
    <t>The armor bonus increases to +6. There is a 50% chance that any critical hit or sneak attack made against the target is negated and treated as a normal hit, as if the target were wearing moderate fortification armor.</t>
  </si>
  <si>
    <t>Mage Hand</t>
  </si>
  <si>
    <t>bard 0, sorcerer/wizard 0, summoner 0, magus 0, occultist 0, psychic 0, mesmerist 0, spiritualist 0</t>
  </si>
  <si>
    <t>one nonmagical, unattended object weighing up to 5 lbs.</t>
  </si>
  <si>
    <t>You point your finger at an object and can lift it and move it at will from a distance. As a move action, you can propel the object as far as 15 feet in any direction, though the spell ends if the distance between you and the object ever exceeds the spell's range.</t>
  </si>
  <si>
    <t>&lt;p&gt;You point your finger at an object and can lift it and move it at will from a distance. As a move action, you can propel the object as far as 15 feet in any direction, though the spell ends if the distance between you and the object ever exceeds the spell's range.&lt;/p&gt;</t>
  </si>
  <si>
    <t>&lt;link rel="stylesheet"href="PF.css"&gt;&lt;div class="heading"&gt;&lt;p class="alignleft"&gt;Mage Hand&lt;/p&gt;&lt;div style="clear: both;"&gt;&lt;/div&gt;&lt;/div&gt;&lt;div&gt;&lt;h5&gt;&lt;b&gt;School &lt;/b&gt;transmutation; &lt;b&gt;Level &lt;/b&gt;bard 0, sorcerer/wizard 0, summoner 0, magus 0, occultist 0, psychic 0, mesmerist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nonmagical, unattended object weighing up to 5 lbs.&lt;/h5&gt;&lt;h5&gt;&lt;b&gt;Duration &lt;/b&gt;concentration&lt;/h5&gt;&lt;h5&gt;&lt;b&gt;Saving Throw &lt;/b&gt;none; &lt;b&gt;Spell Resistance &lt;/b&gt;no&lt;/h5&gt;&lt;/div&gt;&lt;hr/&gt;&lt;div&gt;&lt;h5&gt;&lt;b&gt;DESCRIPTION&lt;/b&gt;&lt;/h5&gt;&lt;/div&gt;&lt;hr/&gt;&lt;div&gt;&lt;h4&gt;&lt;p&gt;You point your finger at an object and can lift it and move it at will from a distance. As a move action, you can propel the object as far as 15 feet in any direction, though the spell ends if the distance between you and the object ever exceeds the spell's range.&lt;/p&gt;&lt;/h4&gt;&lt;/div&gt;</t>
  </si>
  <si>
    <t>5-pound telekinesis.</t>
  </si>
  <si>
    <t>Mage's Disjunction</t>
  </si>
  <si>
    <t>all magical effects and magic items within a 40-ft.-radius burst, or one magic item (see text)</t>
  </si>
  <si>
    <t>1 minute/level</t>
  </si>
  <si>
    <t>All magical effects and magic items within the radius of the spell, except for those that you carry or touch, are disjoined.  That is, spells and spell-like effects are unraveled and destroyed completely (ending the effect as a dispel magic spell does), and each permanent magic item must make a successful Will save or be turned into a normal item for the duration of this spell.  An item in a creature's possession uses its own Will save bonus or its possessor's Will save bonus, whichever is higher. If an item's saving throw results in a natural 1 on the die, the item is destroyed instead of being suppressed.  You also have a 1% chance per caster level of destroying an antimagic field. If the antimagic field survives the disjunction, no items within it are disjoined.  You can also use this spell to target a single item. The item gets a Will save at a -5 penalty to avoid being permanently destroyed. Even artifacts are subject to mage's disjunction,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miracle or wish. Destroying artifacts is a dangerous business, and it is 95% likely to attract the attention of some powerful being who has an interest in or connection with the device.</t>
  </si>
  <si>
    <t>&lt;p&gt;All magical effects and magic items within the radius of the spell, except for those that you carry or touch, are disjoined.&lt;/p&gt;&lt;p&gt;That is, spells and spell-like effects are unraveled and destroyed completely (ending the effect as a &lt;i&gt;dispel magic&lt;/i&gt; spell does), and each permanent magic item must make a successful Will save or be turned into a normal item for the duration of this spell.&lt;/p&gt;&lt;p&gt;An item in a creature's possession uses its own Will save bonus or its possessor's Will save bonus, whichever is higher. If an item's saving throw results in a natural 1 on the die, the item is destroyed instead of being suppressed.&lt;/p&gt;&lt;p&gt;You also have a 1% chance per caster level of destroying an &lt;i&gt;antimagic field&lt;/i&gt;. If the &lt;i&gt;antimagic field&lt;/i&gt; survives the &lt;i&gt;disjunction&lt;/i&gt;, no items within it are disjoined.&lt;/p&gt;&lt;p&gt;You can also use this spell to target a single item. The item gets a Will save at a -5 penalty to avoid being permanently destroyed. Even artifacts are subject to mage's &lt;i&gt;disjunction&lt;/i&gt;,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&lt;i&gt;miracle&lt;/i&gt; or &lt;i&gt;wish&lt;/i&gt;. Destroying artifacts is a dangerous business, and it is 95% likely to attract the attention of some powerful being who has an interest in or connection with the device.&lt;/p&gt;</t>
  </si>
  <si>
    <t>&lt;link rel="stylesheet"href="PF.css"&gt;&lt;div class="heading"&gt;&lt;p class="alignleft"&gt;Mage's Disjunction&lt;/p&gt;&lt;div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&lt;/b&gt;all magical effects and magic items within a 40-ft.-radius burst, or one magic item (see text)&lt;/h5&gt;&lt;h5&gt;&lt;b&gt;Duration &lt;/b&gt;1 minute/level&lt;/h5&gt;&lt;h5&gt;&lt;b&gt;Saving Throw &lt;/b&gt;Will negates (object); &lt;b&gt;Spell Resistance &lt;/b&gt;no&lt;/h5&gt;&lt;/div&gt;&lt;hr/&gt;&lt;div&gt;&lt;h5&gt;&lt;b&gt;DESCRIPTION&lt;/b&gt;&lt;/h5&gt;&lt;/div&gt;&lt;hr/&gt;&lt;div&gt;&lt;h4&gt;&lt;p&gt;All magical effects and magic items within the radius of the spell, except for those that you carry or touch, are disjoined.&lt;/p&gt;&lt;p&gt;That is, spells and spell-like effects are unraveled and destroyed completely (ending the effect as a &lt;i&gt;dispel magic&lt;/i&gt; spell does), and each permanent magic item must make a successful Will save or be turned into a normal item for the duration of this spell.&lt;/p&gt;&lt;p&gt;An item in a creature's possession uses its own Will save bonus or its possessor's Will save bonus, whichever is higher. If an item's saving throw results in a natural 1 on the die, the item is destroyed instead of being suppressed.&lt;/p&gt;&lt;p&gt;You also have a 1% chance per caster level of destroying an &lt;i&gt;antimagic field&lt;/i&gt;. If the &lt;i&gt;antimagic field&lt;/i&gt; survives the &lt;i&gt;disjunction&lt;/i&gt;, no items within it are disjoined.&lt;/p&gt;&lt;p&gt;You can also use this spell to target a single item. The item gets a Will save at a -5 penalty to avoid being permanently destroyed. Even artifacts are subject to mage's &lt;i&gt;disjunction&lt;/i&gt;,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&lt;i&gt;miracle&lt;/i&gt; or &lt;i&gt;wish&lt;/i&gt;. Destroying artifacts is a dangerous business, and it is 95% likely to attract the attention of some powerful being who has an interest in or connection with the device.&lt;/p&gt;&lt;/h4&gt;&lt;h5&gt;&lt;b&gt;Mythic: &lt;/b&gt;The duration increases to 10 minutes per caster level. The chance to destroy an antimagic field increases to 2% per caster level.&lt;/h5&gt;&lt;/div&gt;</t>
  </si>
  <si>
    <t>Magic (9)</t>
  </si>
  <si>
    <t> Dispels magic, disenchants magic items.</t>
  </si>
  <si>
    <t>Wisdom (18)</t>
  </si>
  <si>
    <t>The duration increases to 10 minutes per caster level. The chance to destroy an antimagic field increases to 2% per caster level.</t>
  </si>
  <si>
    <t>Mage's Faithful Hound</t>
  </si>
  <si>
    <t>sorcerer/wizard 5, summoner 4, spiritualist 5</t>
  </si>
  <si>
    <t>V, S, M (a tiny silver whistle, a piece of bone, and a thread)</t>
  </si>
  <si>
    <t>phantom watchdog</t>
  </si>
  <si>
    <t>1 hour/caster level or until discharged, then 1 round/caster level; see text</t>
  </si>
  <si>
    <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  If an intruder approaches to within 5 feet of the hound, the dog stops barking and delivers a vicious bite (+10 attack bonus, 2d6+3 points of piercing damage) once per round. The dog also gets the bonuses appropriate to an invisible creature (see invisibility).  The dog is considered ready to bite intruders, so it delivers its first bite on the intruder's turn. Its bite is the equivalent of a magic weapon for the purpose of damage reduction. The hound cannot be attacked, but it can be dispelled.  The spell lasts for 1 hour per caster level, but once the hound begins barking, it lasts only 1 round per caster level. If you are ever more than 100 feet distant from the hound, the spell ends.</t>
  </si>
  <si>
    <t>&lt;p&gt;You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illusions.&lt;/p&gt;&lt;p&gt;If an intruder approaches to within 5 feet of the hound, the dog stops barking and delivers a vicious bite (+10 attack bonus, 2d6+3 points of piercing damage) once per round. The dog also gets the bonuses appropriate to an invisible creature (see &lt;i&gt;invisibility).&lt;/i&gt;&lt;/p&gt;&lt;p&gt;The dog is considered ready to bite intruders, so it delivers its first bite on the intruder's turn. Its bite is the equivalent of a magic weapon for the purpose of damage reduction. The hound cannot be attacked, but it can be dispelled.&lt;/p&gt;&lt;p&gt;The spell lasts for 1 hour per caster level, but once the hound begins barking, it lasts only 1 round per caster level. If you are ever more than 100 feet distant from the hound, the spell ends.&lt;/p&gt;</t>
  </si>
  <si>
    <t>&lt;link rel="stylesheet"href="PF.css"&gt;&lt;div class="heading"&gt;&lt;p class="alignleft"&gt;Mage's Faithful Hound&lt;/p&gt;&lt;div style="clear: both;"&gt;&lt;/div&gt;&lt;/div&gt;&lt;div&gt;&lt;h5&gt;&lt;b&gt;School &lt;/b&gt;conjuration (creation); &lt;b&gt;Level &lt;/b&gt;sorcerer/wizard 5, summoner 4, spiritualist 5&lt;/h5&gt;&lt;/div&gt;&lt;hr/&gt;&lt;div&gt;&lt;h5&gt;&lt;b&gt;CASTING&lt;/b&gt;&lt;/h5&gt;&lt;/div&gt;&lt;hr/&gt;&lt;div&gt;&lt;h5&gt;&lt;b&gt;Casting Time &lt;/b&gt;1 standard action&lt;/h5&gt;&lt;h5&gt;&lt;b&gt;Components &lt;/b&gt;V, S, M (a tiny silver whistle, a piece of bone, and a thread)&lt;/h5&gt;&lt;/div&gt;&lt;hr/&gt;&lt;div&gt;&lt;h5&gt;&lt;b&gt;EFFECT&lt;/b&gt;&lt;/h5&gt;&lt;/div&gt;&lt;hr/&gt;&lt;div&gt;&lt;h5&gt;&lt;b&gt;Range &lt;/b&gt;close (25 ft. + 5 ft./2 levels)&lt;/h5&gt;&lt;h5&gt;&lt;b&gt;Effect &lt;/b&gt;phantom watchdog&lt;/h5&gt;&lt;h5&gt;&lt;b&gt;Duration &lt;/b&gt;1 hour/caster level or until discharged, then 1 round/caster level; see text&lt;/h5&gt;&lt;h5&gt;&lt;b&gt;Saving Throw &lt;/b&gt;none; &lt;b&gt;Spell Resistance &lt;/b&gt;no&lt;/h5&gt;&lt;/div&gt;&lt;hr/&gt;&lt;div&gt;&lt;h5&gt;&lt;b&gt;DESCRIPTION&lt;/b&gt;&lt;/h5&gt;&lt;/div&gt;&lt;hr/&gt;&lt;div&gt;&lt;h4&gt;&lt;p&gt;You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illusions.&lt;/p&gt;&lt;p&gt;If an intruder approaches to within 5 feet of the hound, the dog stops barking and delivers a vicious bite (+10 attack bonus, 2d6+3 points of piercing damage) once per round. The dog also gets the bonuses appropriate to an invisible creature (see &lt;i&gt;invisibility).&lt;/i&gt;&lt;/p&gt;&lt;p&gt;The dog is considered ready to bite intruders, so it delivers its first bite on the intruder's turn. Its bite is the equivalent of a magic weapon for the purpose of damage reduction. The hound cannot be attacked, but it can be dispelled.&lt;/p&gt;&lt;p&gt;The spell lasts for 1 hour per caster level, but once the hound begins barking, it lasts only 1 round per caster level. If you are ever more than 100 feet distant from the hound, the spell ends.&lt;/p&gt;&lt;/h4&gt;&lt;/div&gt;</t>
  </si>
  <si>
    <t> Phantom dog can guard a location and attack intruders.</t>
  </si>
  <si>
    <t>Mage's Lucubration</t>
  </si>
  <si>
    <t>wizard 6</t>
  </si>
  <si>
    <t>You instantly prepare any one spell of 5th level or lower that you have used during the past 24 hours. The spell must have been actually cast during that period. The chosen spell is stored in your mind as through prepared in the normal fashion.  If the recalled spell requires material components, you must provide them. The recovered spell is not usable until the material components are available.</t>
  </si>
  <si>
    <t>&lt;p&gt;You instantly prepare any one spell of 5th level or lower that you have used during the past 24 hours. The spell must have been actually cast during that period. The chosen spell is stored in your mind as through prepared in the normal fashion.&lt;/p&gt;&lt;p&gt;If the recalled spell requires material components, you must provide them. The recovered spell is not usable until the material components are available.&lt;/p&gt;</t>
  </si>
  <si>
    <t>&lt;link rel="stylesheet"href="PF.css"&gt;&lt;div class="heading"&gt;&lt;p class="alignleft"&gt;Mage's Lucubration&lt;/p&gt;&lt;div style="clear: both;"&gt;&lt;/div&gt;&lt;/div&gt;&lt;div&gt;&lt;h5&gt;&lt;b&gt;School &lt;/b&gt;transmutation; &lt;b&gt;Level &lt;/b&gt;wizard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instantly prepare any one spell of 5th level or lower that you have used during the past 24 hours. The spell must have been actually cast during that period. The chosen spell is stored in your mind as through prepared in the normal fashion.&lt;/p&gt;&lt;p&gt;If the recalled spell requires material components, you must provide them. The recovered spell is not usable until the material components are available.&lt;/p&gt;&lt;/h4&gt;&lt;/div&gt;</t>
  </si>
  <si>
    <t> Wizard only. Recalls spell of 5th level or lower.</t>
  </si>
  <si>
    <t>Mage's Magnificent Mansion</t>
  </si>
  <si>
    <t>V, S, F (a miniature ivory door, a piece of polished marble, and a silver spoon, each worth 5 gp)</t>
  </si>
  <si>
    <t>extradimensional mansion, up to three 10-ft. cubes/level (S)</t>
  </si>
  <si>
    <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  You can create any floor plan you desire to the limit of the spell's effect. The place is furnished and contains sufficient foodstuffs to serve a nine-course banquet to a dozen people per caster level.  A staff of near-transparent servants (as many as two per caster level), liveried and obedient, wait upon all who enter. The servants function as unseen servant spells except that they are visible and can go anywhere in the mansion.  Since the place can be entered only through its special portal, outside conditions do not affect the mansion, nor do conditions inside it pass to the plane beyond.</t>
  </si>
  <si>
    <t>&lt;p&gt;You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warm.&lt;/p&gt;&lt;p&gt;You can create any floor plan you desire to the limit of the spell's effect. The place is furnished and contains sufficient foodstuffs to serve a nine-course banquet to a dozen people per caster level.&lt;/p&gt;&lt;p&gt;A staff of near-transparent servants (as many as two per caster level), liveried and obedient, wait upon all who enter. The servants function as &lt;i&gt;unseen servant&lt;/i&gt; spells except that they are visible and can go anywhere in the mansion.&lt;/p&gt;&lt;p&gt;Since the place can be entered only through its special portal, outside conditions do not affect the mansion, nor do conditions inside it pass to the plane beyond.&lt;/p&gt;</t>
  </si>
  <si>
    <t>&lt;link rel="stylesheet"href="PF.css"&gt;&lt;div class="heading"&gt;&lt;p class="alignleft"&gt;Mage's Magnificent Mansion&lt;/p&gt;&lt;div style="clear: both;"&gt;&lt;/div&gt;&lt;/div&gt;&lt;div&gt;&lt;h5&gt;&lt;b&gt;School &lt;/b&gt;conjuration (creation); &lt;b&gt;Level &lt;/b&gt;sorcerer/wizard 7, psychic 7&lt;/h5&gt;&lt;/div&gt;&lt;hr/&gt;&lt;div&gt;&lt;h5&gt;&lt;b&gt;CASTING&lt;/b&gt;&lt;/h5&gt;&lt;/div&gt;&lt;hr/&gt;&lt;div&gt;&lt;h5&gt;&lt;b&gt;Casting Time &lt;/b&gt;1 standard action&lt;/h5&gt;&lt;h5&gt;&lt;b&gt;Components &lt;/b&gt;V, S, F (a miniature ivory door, a piece of polished marble, and a silver spoon, each worth 5 gp)&lt;/h5&gt;&lt;/div&gt;&lt;hr/&gt;&lt;div&gt;&lt;h5&gt;&lt;b&gt;EFFECT&lt;/b&gt;&lt;/h5&gt;&lt;/div&gt;&lt;hr/&gt;&lt;div&gt;&lt;h5&gt;&lt;b&gt;Range &lt;/b&gt;close (25 ft. + 5 ft./2 levels)&lt;/h5&gt;&lt;h5&gt;&lt;b&gt;Effect &lt;/b&gt;extradimensional mansion, up to three 10-ft. cubes/level (S)&lt;/h5&gt;&lt;h5&gt;&lt;b&gt;Duration &lt;/b&gt;2 hours/level (D)&lt;/h5&gt;&lt;h5&gt;&lt;b&gt;Saving Throw &lt;/b&gt;none; &lt;b&gt;Spell Resistance &lt;/b&gt;no&lt;/h5&gt;&lt;/div&gt;&lt;hr/&gt;&lt;div&gt;&lt;h5&gt;&lt;b&gt;DESCRIPTION&lt;/b&gt;&lt;/h5&gt;&lt;/div&gt;&lt;hr/&gt;&lt;div&gt;&lt;h4&gt;&lt;p&gt;You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warm.&lt;/p&gt;&lt;p&gt;You can create any floor plan you desire to the limit of the spell's effect. The place is furnished and contains sufficient foodstuffs to serve a nine-course banquet to a dozen people per caster level.&lt;/p&gt;&lt;p&gt;A staff of near-transparent servants (as many as two per caster level), liveried and obedient, wait upon all who enter. The servants function as &lt;i&gt;unseen servant&lt;/i&gt; spells except that they are visible and can go anywhere in the mansion.&lt;/p&gt;&lt;p&gt;Since the place can be entered only through its special portal, outside conditions do not affect the mansion, nor do conditions inside it pass to the plane beyond.&lt;/p&gt;&lt;/h4&gt;&lt;/div&gt;</t>
  </si>
  <si>
    <t>Industry (7)</t>
  </si>
  <si>
    <t> Door leads to extradimensional mansion.</t>
  </si>
  <si>
    <t>Mage's Private Sanctum</t>
  </si>
  <si>
    <t>sorcerer/wizard 5, psychic 5, mesmerist 5, spiritualist 5</t>
  </si>
  <si>
    <t>V, S, M (a sheet of lead, a piece of glass, a wad of cotton, and powdered chrysolite)</t>
  </si>
  <si>
    <t>30-ft. cube/level</t>
  </si>
  <si>
    <t>This spell ensures privacy. Anyone looking into the area from outside sees only a dark, foggy mass. Darkvision cannot penetrate it. No sounds, no matter how loud, can escape the area, so nobody can eavesdrop from outside. Those inside can see out normally.  Divination (scrying) spells cannot perceive anything within the area, and those within are immune to detect thoughts. The ward prevents speech between those inside and those outside (because it blocks sound), but it does not prevent other communication, such as a sending or message spell, or telepathic communication, such as that between a wizard and her familiar.  The spell does not prevent creatures or objects from moving into and out of the area.  Mage's private sanctum can be made permanent with a permanency spell.</t>
  </si>
  <si>
    <t>&lt;p&gt;This spell ensures privacy. Anyone looking into the area from outside sees only a dark, foggy mass. Darkvision cannot penetrate it. No sounds, no matter how loud, can escape the area, so nobody can eavesdrop from outside. Those inside can see out normally.&lt;/p&gt;&lt;p&gt;Divination (scrying) spells cannot perceive anything within the area, and those within are immune to &lt;i&gt;detect thoughts&lt;/i&gt;. The ward prevents speech between those inside and those outside (because it blocks sound), but it does not prevent other communication, such as a &lt;i&gt;sending&lt;/i&gt; or &lt;i&gt;message&lt;/i&gt; spell, or telepathic communication, such as that between a wizard and her familiar.&lt;/p&gt;&lt;p&gt;The spell does not prevent creatures or objects from moving into and out of the area.&lt;/p&gt;&lt;p&gt;Mage's private sanctum can be made permanent with a &lt;i&gt;permanency&lt;/i&gt; spell.&lt;/p&gt;</t>
  </si>
  <si>
    <t>&lt;link rel="stylesheet"href="PF.css"&gt;&lt;div class="heading"&gt;&lt;p class="alignleft"&gt;Mage's Private Sanctum&lt;/p&gt;&lt;div style="clear: both;"&gt;&lt;/div&gt;&lt;/div&gt;&lt;div&gt;&lt;h5&gt;&lt;b&gt;School &lt;/b&gt;abjuration; &lt;b&gt;Level &lt;/b&gt;sorcerer/wizard 5, psychic 5, mesmerist 5, spiritualist 5&lt;/h5&gt;&lt;/div&gt;&lt;hr/&gt;&lt;div&gt;&lt;h5&gt;&lt;b&gt;CASTING&lt;/b&gt;&lt;/h5&gt;&lt;/div&gt;&lt;hr/&gt;&lt;div&gt;&lt;h5&gt;&lt;b&gt;Casting Time &lt;/b&gt;10 minutes&lt;/h5&gt;&lt;h5&gt;&lt;b&gt;Components &lt;/b&gt;V, S, M (a sheet of lead, a piece of glass, a wad of cotton, and powdered chrysolite)&lt;/h5&gt;&lt;/div&gt;&lt;hr/&gt;&lt;div&gt;&lt;h5&gt;&lt;b&gt;EFFECT&lt;/b&gt;&lt;/h5&gt;&lt;/div&gt;&lt;hr/&gt;&lt;div&gt;&lt;h5&gt;&lt;b&gt;Range &lt;/b&gt;close (25 ft. + 5 ft./2 levels)&lt;/h5&gt;&lt;h5&gt;&lt;b&gt;Area &lt;/b&gt;30-ft. cube/level  (S)&lt;/h5&gt;&lt;h5&gt;&lt;b&gt;Duration &lt;/b&gt;24 hours (D)&lt;/h5&gt;&lt;h5&gt;&lt;b&gt;Saving Throw &lt;/b&gt;none; &lt;b&gt;Spell Resistance &lt;/b&gt;no&lt;/h5&gt;&lt;/div&gt;&lt;hr/&gt;&lt;div&gt;&lt;h5&gt;&lt;b&gt;DESCRIPTION&lt;/b&gt;&lt;/h5&gt;&lt;/div&gt;&lt;hr/&gt;&lt;div&gt;&lt;h4&gt;&lt;p&gt;This spell ensures privacy. Anyone looking into the area from outside sees only a dark, foggy mass. Darkvision cannot penetrate it. No sounds, no matter how loud, can escape the area, so nobody can eavesdrop from outside. Those inside can see out normally.&lt;/p&gt;&lt;p&gt;Divination (scrying) spells cannot perceive anything within the area, and those within are immune to &lt;i&gt;detect thoughts&lt;/i&gt;. The ward prevents speech between those inside and those outside (because it blocks sound), but it does not prevent other communication, such as a &lt;i&gt;sending&lt;/i&gt; or &lt;i&gt;message&lt;/i&gt; spell, or telepathic communication, such as that between a wizard and her familiar.&lt;/p&gt;&lt;p&gt;The spell does not prevent creatures or objects from moving into and out of the area.&lt;/p&gt;&lt;p&gt;Mage's private sanctum can be made permanent with a &lt;i&gt;permanency&lt;/i&gt; spell.&lt;/p&gt;&lt;/h4&gt;&lt;/div&gt;</t>
  </si>
  <si>
    <t> Prevents anyone from viewing or scrying an area for 24 hours.</t>
  </si>
  <si>
    <t>Mage's Sword</t>
  </si>
  <si>
    <t>V, S, F (a miniature platinum sword worth 250 gp)</t>
  </si>
  <si>
    <t>one sword</t>
  </si>
  <si>
    <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  The sword always strikes from your direction. It does not get a bonus for flanking or help a combatant get one. If the sword goes beyond the spell range from you, goes out of your sight, or you are not directing it, it returns to you and hovers.  Each round after the first, you can use a standard action to switch the sword to a new target. If you do not, the sword continues to attack the previous round's target.  The sword cannot be attacked or harmed by physical attacks, but dispel magic, disintegrate, a sphere of annihilation, or a rod of cancellation affects it. The sword's AC is 13 (10, +0 size bonus for Medium object, +3 deflection bonus).  If an attacked creature has spell resistance, the resistance is checked the first time mage's sword strikes it. If the sword is successfully resisted, the spell is dispelled. If not, the sword has its normal full effect on that creature for the duration of the spell.</t>
  </si>
  <si>
    <t>&lt;p&gt;This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x2.&lt;/p&gt;&lt;p&gt;The sword always strikes from your direction. It does not get a bonus for flanking or help a combatant get one. If the sword goes beyond the spell range from you, goes out of your sight, or you are not directing it, it returns to you and hovers.&lt;/p&gt;&lt;p&gt;Each round after the first, you can use a standard action to switch the sword to a new target. If you do not, the sword continues to attack the previous round's target.&lt;/p&gt;&lt;p&gt;The sword cannot be attacked or harmed by physical attacks, but dispel magic, disintegrate, a sphere of annihilation, or a &lt;i&gt;rod of cancellation&lt;/i&gt; affects it. The sword's AC is 13 (10, +0 size bonus for Medium object, +3 deflection bonus).&lt;/p&gt;&lt;p&gt;If an attacked creature has spell resistance, the resistance is checked the first time mage's sword strikes it. If the sword is successfully resisted, the spell is dispelled. If not, the sword has its normal full effect on that creature for the duration of the spell.&lt;/p&gt;</t>
  </si>
  <si>
    <t>&lt;link rel="stylesheet"href="PF.css"&gt;&lt;div class="heading"&gt;&lt;p class="alignleft"&gt;Mage's Sword&lt;/p&gt;&lt;div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&lt;/b&gt;one sword&lt;/h5&gt;&lt;h5&gt;&lt;b&gt;Duration &lt;/b&gt;1 round/level (D)&lt;/h5&gt;&lt;h5&gt;&lt;b&gt;Saving Throw &lt;/b&gt;none; &lt;b&gt;Spell Resistance &lt;/b&gt;yes&lt;/h5&gt;&lt;/div&gt;&lt;hr/&gt;&lt;div&gt;&lt;h5&gt;&lt;b&gt;DESCRIPTION&lt;/b&gt;&lt;/h5&gt;&lt;/div&gt;&lt;hr/&gt;&lt;div&gt;&lt;h4&gt;&lt;p&gt;This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x2.&lt;/p&gt;&lt;p&gt;The sword always strikes from your direction. It does not get a bonus for flanking or help a combatant get one. If the sword goes beyond the spell range from you, goes out of your sight, or you are not directing it, it returns to you and hovers.&lt;/p&gt;&lt;p&gt;Each round after the first, you can use a standard action to switch the sword to a new target. If you do not, the sword continues to attack the previous round's target.&lt;/p&gt;&lt;p&gt;The sword cannot be attacked or harmed by physical attacks, but dispel magic, disintegrate, a sphere of annihilation, or a &lt;i&gt;rod of cancellation&lt;/i&gt; affects it. The sword's AC is 13 (10, +0 size bonus for Medium object, +3 deflection bonus).&lt;/p&gt;&lt;p&gt;If an attacked creature has spell resistance, the resistance is checked the first time mage's sword strikes it. If the sword is successfully resisted, the spell is dispelled. If not, the sword has its normal full effect on that creature for the duration of the spell.&lt;/p&gt;&lt;/h4&gt;&lt;/div&gt;</t>
  </si>
  <si>
    <t> Floating magic blade strikes opponents.</t>
  </si>
  <si>
    <t>Thorns (16)</t>
  </si>
  <si>
    <t>Magic Aura</t>
  </si>
  <si>
    <t>bard 1, sorcerer/wizard 1, occultist 1, psychic 1, mesmerist 1</t>
  </si>
  <si>
    <t>V, S, F (a small square of silk that must be passed over the object that receives the aura)</t>
  </si>
  <si>
    <t>one touched object weighing up to 5 lbs./level</t>
  </si>
  <si>
    <t>You alter an item's aura so that it registers to detect spells (and spells with similar capabilities) as though it were nonmagical, or a magic item of a kind you specify, or the subject of a spell you specify. If the object bearing magic aura has identify cast on it or is similarly examined, the examiner recognizes that the aura is false and detects the object's actual qualities if he succeeds on a Will save. Otherwise, he believes the aura and no amount of testing reveals what the true magic is.  If the targeted item's own aura is exceptionally powerful (if it is an artifact, for instance), magic aura doesn't work.  Note: A magic weapon, shield, or suit of armor must be a masterwork item, so a sword of average make, for example, looks suspicious if it has a magical aura.</t>
  </si>
  <si>
    <t>&lt;p&gt;You alter an item's aura so that it registers to &lt;i&gt;detect&lt;/i&gt; spells (and spells with similar capabilities) as though it were nonmagical, or a magic item of a kind you specify, or the subject of a spell you specify. If the object bearing &lt;i&gt;magic aura&lt;/i&gt; has &lt;i&gt;identify&lt;/i&gt; cast on it or is similarly examined, the examiner recognizes that the aura is false and &lt;i&gt;detect&lt;/i&gt;s the object's actual qualities if he succeeds on a Will save. Otherwise, he believes the aura and no amount of testing reveals what the true magic is.&lt;/p&gt;&lt;p&gt;If the targeted item's own aura is exceptionally powerful (if it is an artifact, for instance), &lt;i&gt;magic aura&lt;/i&gt; doesn't work.&lt;/p&gt;&lt;p&gt;&lt;i&gt;Note:&lt;/i&gt; A magic weapon, shield, or suit of armor must be a masterwork item, so a sword of average make, for example, looks suspicious if it has a magical aura.&lt;/p&gt;</t>
  </si>
  <si>
    <t>&lt;link rel="stylesheet"href="PF.css"&gt;&lt;div class="heading"&gt;&lt;p class="alignleft"&gt;Magic Aura&lt;/p&gt;&lt;div style="clear: both;"&gt;&lt;/div&gt;&lt;/div&gt;&lt;div&gt;&lt;h5&gt;&lt;b&gt;School &lt;/b&gt;illusion (glamer); &lt;b&gt;Level &lt;/b&gt;bard 1, sorcerer/wizard 1, occultist 1, psychic 1, mesmerist 1&lt;/h5&gt;&lt;/div&gt;&lt;hr/&gt;&lt;div&gt;&lt;h5&gt;&lt;b&gt;CASTING&lt;/b&gt;&lt;/h5&gt;&lt;/div&gt;&lt;hr/&gt;&lt;div&gt;&lt;h5&gt;&lt;b&gt;Casting Time &lt;/b&gt;1 standard action&lt;/h5&gt;&lt;h5&gt;&lt;b&gt;Components &lt;/b&gt;V, S, F (a small square of silk that must be passed over the object that receives the aura)&lt;/h5&gt;&lt;/div&gt;&lt;hr/&gt;&lt;div&gt;&lt;h5&gt;&lt;b&gt;EFFECT&lt;/b&gt;&lt;/h5&gt;&lt;/div&gt;&lt;hr/&gt;&lt;div&gt;&lt;h5&gt;&lt;b&gt;Range &lt;/b&gt;touch&lt;/h5&gt;&lt;h5&gt;&lt;b&gt;Targets &lt;/b&gt;one touched object weighing up to 5 lbs./level&lt;/h5&gt;&lt;h5&gt;&lt;b&gt;Duration &lt;/b&gt;1 day/level (D)&lt;/h5&gt;&lt;h5&gt;&lt;b&gt;Saving Throw &lt;/b&gt;none; see text; &lt;b&gt;Spell Resistance &lt;/b&gt;no&lt;/h5&gt;&lt;/div&gt;&lt;hr/&gt;&lt;div&gt;&lt;h5&gt;&lt;b&gt;DESCRIPTION&lt;/b&gt;&lt;/h5&gt;&lt;/div&gt;&lt;hr/&gt;&lt;div&gt;&lt;h4&gt;&lt;p&gt;You alter an item's aura so that it registers to &lt;i&gt;detect&lt;/i&gt; spells (and spells with similar capabilities) as though it were nonmagical, or a magic item of a kind you specify, or the subject of a spell you specify. If the object bearing &lt;i&gt;magic aura&lt;/i&gt; has &lt;i&gt;identify&lt;/i&gt; cast on it or is similarly examined, the examiner recognizes that the aura is false and &lt;i&gt;detect&lt;/i&gt;s the object's actual qualities if he succeeds on a Will save. Otherwise, he believes the aura and no amount of testing reveals what the true magic is.&lt;/p&gt;&lt;p&gt;If the targeted item's own aura is exceptionally powerful (if it is an artifact, for instance), &lt;i&gt;magic aura&lt;/i&gt; doesn't work.&lt;/p&gt;&lt;p&gt;&lt;i&gt;Note:&lt;/i&gt; A magic weapon, shield, or suit of armor must be a masterwork item, so a sword of average make, for example, looks suspicious if it has a magical aura.&lt;/p&gt;&lt;/h4&gt;&lt;/div&gt;</t>
  </si>
  <si>
    <t>Arcane (1)</t>
  </si>
  <si>
    <t>Alters object’s magic aura.</t>
  </si>
  <si>
    <t>Magic Circle against Evil</t>
  </si>
  <si>
    <t>cleric/oracle 3, paladin 3, sorcerer/wizard 3, summoner 3, inquisitor 3, summoner 3, inquisitor 3, shaman 3, occultist 3, spiritualist 3</t>
  </si>
  <si>
    <t>V, S, M/DF (a 3-ft.-diameter circle of powdered silver)</t>
  </si>
  <si>
    <t>10-ft.-radius emanation from touched creature</t>
  </si>
  <si>
    <t>no; see text</t>
  </si>
  <si>
    <t>All creatures within the area gain the effects of a protection from evil spell, and evil summoned creatures cannot enter the area either. Creatures in the area, or who later enter the area, receive only one attempt to suppress effects that are controlling them.  If successful, such effects are suppressed as long as they remain in the area. Creatures that leave the area and come back are not protected. You must overcome a creature's spell resistance in order to keep it at bay (as in the third function of protection from evil), but the deflection and resistance bonuses and the protection from mental control apply regardless of enemies' spell resistance.  This spell has an alternative version that you may choose when casting it. A magic circle against evil can be focused inward rather than outward. When focused inward, the spell binds a nongood called creature (such as those called by the lesser planar binding, planar binding, and greater planar binding spells) for a maximum of 24 hours per caster level, provided that you cast the spell that calls the creature within 1 round of casting the magic circle. The creature cannot cross the circle's boundaries. If a creature too large to fit into the spell's area is the subject of the spell, the spell acts as a normal protection from evil spell for that creature only.  A magic circle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  A creature capable of any form of dimensional travel (astral projection, blink, dimension door, etherealness, gate, plane shift, shadow walk, teleport, and similar abilities) can simply leave the circle through such means. You can prevent the creature's extradimensional escape by casting a dimensional anchor spell on it, but you must cast the spell before the creature acts. If you are successful, the anchor effect lasts as long as the magic circle does. The creature cannot reach across the magic circle, but its ranged attacks (ranged weapons, spells, magical abilities, and the like) can. The creature can attack any target it can reach with its ranged attacks except for the circle itself.  You can add a special diagram (a two-dimensional bounded figure with no gaps along its circumference, augmented with various magical sigils) to make the magic circle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  This task also takes 10 full minutes. If time is no factor at all, and you devote 3 hours and 20 minutes to the task, you can take 20.  A successful diagram allows you to cast a dimensional anchor spell on the magic circle during the round before casting any summoning spell. The anchor holds any called creatures in the magic circle for 24 hours per caster level. A creature cannot use its spell resistance against a magic circle prepared with a diagram, and none of its abilities or attacks can cross the diagram. If the creature tries a Charisma check to break free of the trap (see the lesser planar binding spell), the DC increases by 5. The creature is immediately released if anything disturbs the diagram-even a straw laid across it. The creature itself cannot disturb the diagram either directly or indirectly, as noted above.  This spell is not cumulative with protection from evil and vice versa.</t>
  </si>
  <si>
    <t>&lt;p&gt;All creatures within the area gain the effects of a &lt;i&gt;protection from evil&lt;/i&gt; spell, and evil summoned creatures cannot enter the area either. Creatures in the area, or who later enter the area, receive only one attempt to suppress effects that are controlling them.&lt;/p&gt;&lt;p&gt;If successful, such effects are suppressed as long as they remain in the area. Creatures that leave the area and come back are not protected. You must overcome a creature's spell resistance in order to keep it at bay (as in the third function of &lt;i&gt;protection from evil&lt;/i&gt;), but the deflection and resistance bonuses and the protection from mental control apply regardless of enemies' spell resistance.&lt;/p&gt;&lt;p&gt;This spell has an alternative version that you may choose when casting it. A &lt;i&gt;&lt;i&gt;magic circle&lt;/i&gt; against evil&lt;/i&gt; can be focused inward rather than outward. When focused inward, the spell binds a nongood called creature (such as those called by the &lt;i&gt;&lt;i&gt;lesser planar binding&lt;/i&gt;, planar binding,&lt;/i&gt; and &lt;i&gt;greater planar binding&lt;/i&gt; spells) for a maximum of 24 hours per caster level, provided that you cast the spell that calls the creature within 1 round of casting the &lt;i&gt;magic circle&lt;/i&gt;. The creature cannot cross the circle's boundaries. If a creature too large to fit into the spell's area is the subject of the spell, the spell acts as a normal &lt;i&gt;protection from evil&lt;/i&gt; spell for that creature only.&lt;/p&gt;&lt;p&gt;A &lt;i&gt;magic circle&lt;/i&gt;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circle.&lt;/p&gt;&lt;p&gt;A creature capable of any form of dimensional travel (astral projection, blink, dimension door, etherealness, gate, plane shift, shadow walk, teleport, and similar abilities) can simply leave the circle through such means. You can prevent the creature's extradimensional escape by casting a &lt;i&gt;dimensional &lt;i&gt;anchor&lt;/i&gt;&lt;/i&gt; spell on it, but you must cast the spell before the creature acts. If you are successful, the &lt;i&gt;anchor&lt;/i&gt; effect lasts as long as the &lt;i&gt;magic circle&lt;/i&gt; does. The creature cannot reach across the &lt;i&gt;magic circle&lt;/i&gt;, but its ranged attacks (ranged weapons, spells, magical abilities, and the like) can. The creature can attack any target it can reach with its ranged attacks except for the circle itself.&lt;/p&gt;&lt;p&gt;You can add a special diagram (a two-dimensional bounded figure with no gaps along its circumference, augmented with various magical sigils) to make the &lt;i&gt;magic circle&lt;/i&gt;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task.&lt;/p&gt;&lt;p&gt;This task also takes 10 full minutes. If time is no factor at all, and you devote 3 hours and 20 minutes to the task, you can take 20.&lt;/p&gt;&lt;p&gt;A successful diagram allows you to cast a &lt;i&gt;dimensional &lt;i&gt;anchor&lt;/i&gt;&lt;/i&gt; spell on the &lt;i&gt;magic circle&lt;/i&gt; during the round before casting any summoning spell. The &lt;i&gt;anchor&lt;/i&gt; holds any called creatures in the &lt;i&gt;magic circle&lt;/i&gt; for 24 hours per caster level. A creature cannot use its spell resistance against a &lt;i&gt;magic circle&lt;/i&gt; prepared with a diagram, and none of its abilities or attacks can cross the diagram. If the creature tries a Charisma check to break free of the trap (see the &lt;i&gt;lesser planar binding&lt;/i&gt; spell), the DC increases by 5. The creature is immediately released if anything disturbs the diagram-even a straw laid across it. The creature itself cannot disturb the diagram either directly or indirectly, as noted above.&lt;/p&gt;&lt;p&gt;This spell is not cumulative with &lt;i&gt;protection from evil&lt;/i&gt; and vice versa.&lt;/p&gt;</t>
  </si>
  <si>
    <t>&lt;link rel="stylesheet"href="PF.css"&gt;&lt;div class="heading"&gt;&lt;p class="alignleft"&gt;Magic Circle against Evil&lt;/p&gt;&lt;div style="clear: both;"&gt;&lt;/div&gt;&lt;/div&gt;&lt;div&gt;&lt;h5&gt;&lt;b&gt;School &lt;/b&gt;abjuration [good]; &lt;b&gt;Level &lt;/b&gt;cleric/oracle 3, paladin 3, sorcerer/wizard 3, summoner 3, inquisitor 3, summoner 3, inquisitor 3, shaman 3, occultist 3, spiritualist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text&lt;/h5&gt;&lt;/div&gt;&lt;hr/&gt;&lt;div&gt;&lt;h5&gt;&lt;b&gt;DESCRIPTION&lt;/b&gt;&lt;/h5&gt;&lt;/div&gt;&lt;hr/&gt;&lt;div&gt;&lt;h4&gt;&lt;p&gt;All creatures within the area gain the effects of a &lt;i&gt;protection from evil&lt;/i&gt; spell, and evil summoned creatures cannot enter the area either. Creatures in the area, or who later enter the area, receive only one attempt to suppress effects that are controlling them.&lt;/p&gt;&lt;p&gt;If successful, such effects are suppressed as long as they remain in the area. Creatures that leave the area and come back are not protected. You must overcome a creature's spell resistance in order to keep it at bay (as in the third function of &lt;i&gt;protection from evil&lt;/i&gt;), but the deflection and resistance bonuses and the protection from mental control apply regardless of enemies' spell resistance.&lt;/p&gt;&lt;p&gt;This spell has an alternative version that you may choose when casting it. A &lt;i&gt;&lt;i&gt;magic circle&lt;/i&gt; against evil&lt;/i&gt; can be focused inward rather than outward. When focused inward, the spell binds a nongood called creature (such as those called by the &lt;i&gt;&lt;i&gt;lesser planar binding&lt;/i&gt;, planar binding,&lt;/i&gt; and &lt;i&gt;greater planar binding&lt;/i&gt; spells) for a maximum of 24 hours per caster level, provided that you cast the spell that calls the creature within 1 round of casting the &lt;i&gt;magic circle&lt;/i&gt;. The creature cannot cross the circle's boundaries. If a creature too large to fit into the spell's area is the subject of the spell, the spell acts as a normal &lt;i&gt;protection from evil&lt;/i&gt; spell for that creature only.&lt;/p&gt;&lt;p&gt;A &lt;i&gt;magic circle&lt;/i&gt;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circle.&lt;/p&gt;&lt;p&gt;A creature capable of any form of dimensional travel (astral projection, blink, dimension door, etherealness, gate, plane shift, shadow walk, teleport, and similar abilities) can simply leave the circle through such means. You can prevent the creature's extradimensional escape by casting a &lt;i&gt;dimensional &lt;i&gt;anchor&lt;/i&gt;&lt;/i&gt; spell on it, but you must cast the spell before the creature acts. If you are successful, the &lt;i&gt;anchor&lt;/i&gt; effect lasts as long as the &lt;i&gt;magic circle&lt;/i&gt; does. The creature cannot reach across the &lt;i&gt;magic circle&lt;/i&gt;, but its ranged attacks (ranged weapons, spells, magical abilities, and the like) can. The creature can attack any target it can reach with its ranged attacks except for the circle itself.&lt;/p&gt;&lt;p&gt;You can add a special diagram (a two-dimensional bounded figure with no gaps along its circumference, augmented with various magical sigils) to make the &lt;i&gt;magic circle&lt;/i&gt;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task.&lt;/p&gt;&lt;p&gt;This task also takes 10 full minutes. If time is no factor at all, and you devote 3 hours and 20 minutes to the task, you can take 20.&lt;/p&gt;&lt;p&gt;A successful diagram allows you to cast a &lt;i&gt;dimensional &lt;i&gt;anchor&lt;/i&gt;&lt;/i&gt; spell on the &lt;i&gt;magic circle&lt;/i&gt; during the round before casting any summoning spell. The &lt;i&gt;anchor&lt;/i&gt; holds any called creatures in the &lt;i&gt;magic circle&lt;/i&gt; for 24 hours per caster level. A creature cannot use its spell resistance against a &lt;i&gt;magic circle&lt;/i&gt; prepared with a diagram, and none of its abilities or attacks can cross the diagram. If the creature tries a Charisma check to break free of the trap (see the &lt;i&gt;lesser planar binding&lt;/i&gt; spell), the DC increases by 5. The creature is immediately released if anything disturbs the diagram-even a straw laid across it. The creature itself cannot disturb the diagram either directly or indirectly, as noted above.&lt;/p&gt;&lt;p&gt;This spell is not cumulative with &lt;i&gt;protection from evil&lt;/i&gt; and vice versa.&lt;/p&gt;&lt;/h4&gt;&lt;/div&gt;</t>
  </si>
  <si>
    <t>Good (3)</t>
  </si>
  <si>
    <t>As protection spells, but 10-ft. radius and 10 min./level.</t>
  </si>
  <si>
    <t>Celestial (7)</t>
  </si>
  <si>
    <t>Boundaries (6)</t>
  </si>
  <si>
    <t>Magic Circle against Chaos</t>
  </si>
  <si>
    <t>This spell functions like magic circle against evil, except that it is similar to protection from chaos instead of protection from evil, and it can imprison a nonlawful called creature.</t>
  </si>
  <si>
    <t>&lt;p&gt;This spell functions like &lt;i&gt;magic circle against evil,&lt;/i&gt; except that it is similar to &lt;i&gt;protection from chaos&lt;/i&gt; instead of &lt;i&gt;protection from evil&lt;/i&gt;, and it can imprison a nonlawful called creature.&lt;/p&gt;</t>
  </si>
  <si>
    <t>&lt;link rel="stylesheet"href="PF.css"&gt;&lt;div class="heading"&gt;&lt;p class="alignleft"&gt;Magic Circle against Chaos&lt;/p&gt;&lt;div style="clear: both;"&gt;&lt;/div&gt;&lt;/div&gt;&lt;div&gt;&lt;h5&gt;&lt;b&gt;School &lt;/b&gt;abjuration [lawful]; &lt;b&gt;Level &lt;/b&gt;cleric/oracle 3, paladin 3, sorcerer/wizard 3, summoner 3, inquisitor 3, summoner 3, inquisitor 3, shaman 3, occultist 3, spiritualist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chaos&lt;/i&gt; instead of &lt;i&gt;protection from evil&lt;/i&gt;, and it can imprison a nonlawful called creature.&lt;/p&gt;&lt;/h4&gt;&lt;/div&gt;</t>
  </si>
  <si>
    <t>Law (3)</t>
  </si>
  <si>
    <t>Magic Circle against Good</t>
  </si>
  <si>
    <t>cleric/oracle 3, sorcerer/wizard 3, summoner 3, inquisitor 3, antipaladin 3, shaman 3, occultist 3, spiritualist 3</t>
  </si>
  <si>
    <t>This spell functions like magic circle against evil, except that it is similar to protection from good instead of protection from evil, and it can imprison a nonevil called creature.</t>
  </si>
  <si>
    <t>&lt;p&gt;This spell functions like &lt;i&gt;magic circle against evil,&lt;/i&gt; except that it is similar to &lt;i&gt;protection from good&lt;/i&gt; instead of &lt;i&gt;protection from evil&lt;/i&gt;, and it can imprison a nonevil called creature.&lt;/p&gt;</t>
  </si>
  <si>
    <t>&lt;link rel="stylesheet"href="PF.css"&gt;&lt;div class="heading"&gt;&lt;p class="alignleft"&gt;Magic Circle against Good&lt;/p&gt;&lt;div style="clear: both;"&gt;&lt;/div&gt;&lt;/div&gt;&lt;div&gt;&lt;h5&gt;&lt;b&gt;School &lt;/b&gt;abjuration [evil]; &lt;b&gt;Level &lt;/b&gt;cleric/oracle 3, sorcerer/wizard 3, summoner 3, inquisitor 3, antipaladin 3, shaman 3, occultist 3, spiritualist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good&lt;/i&gt; instead of &lt;i&gt;protection from evil&lt;/i&gt;, and it can imprison a nonevil called creature.&lt;/p&gt;&lt;/h4&gt;&lt;/div&gt;</t>
  </si>
  <si>
    <t>Evil (3)</t>
  </si>
  <si>
    <t>Magic Circle against Law</t>
  </si>
  <si>
    <t>This spell functions like magic circle against evil, except that it is similar to protection from law instead of protection from evil, and it can imprison a nonchaotic called creature.</t>
  </si>
  <si>
    <t>&lt;p&gt;This spell functions like &lt;i&gt;magic circle against evil,&lt;/i&gt; except that it is similar to &lt;i&gt;protection from law&lt;/i&gt; instead of &lt;i&gt;protection from evil&lt;/i&gt;, and it can imprison a nonchaotic called creature.&lt;/p&gt;</t>
  </si>
  <si>
    <t>&lt;link rel="stylesheet"href="PF.css"&gt;&lt;div class="heading"&gt;&lt;p class="alignleft"&gt;Magic Circle against Law&lt;/p&gt;&lt;div style="clear: both;"&gt;&lt;/div&gt;&lt;/div&gt;&lt;div&gt;&lt;h5&gt;&lt;b&gt;School &lt;/b&gt;abjuration [chaotic]; &lt;b&gt;Level &lt;/b&gt;cleric/oracle 3, sorcerer/wizard 3, summoner 3, inquisitor 3, antipaladin 3, shaman 3, occultist 3, spiritualist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law&lt;/i&gt; instead of &lt;i&gt;protection from evil&lt;/i&gt;, and it can imprison a nonchaotic called creature.&lt;/p&gt;&lt;/h4&gt;&lt;/div&gt;</t>
  </si>
  <si>
    <t>Chaos (3)</t>
  </si>
  <si>
    <t>Magic Fang</t>
  </si>
  <si>
    <t>druid 1, ranger 1, summoner 1, spiritualist 1</t>
  </si>
  <si>
    <t>Magic fang gives one natural weapon or unarmed strike of the subject a +1 enhancement bonus on attack and damage rolls. The spell can affect a slam attack, fist, bite, or other natural weapon.  The spell does not change an unarmed strike's damage from nonlethal damage to lethal damage.  Magic fang can be made permanent with a permanency spell.</t>
  </si>
  <si>
    <t>&lt;p&gt;&lt;i&gt;Magic fang&lt;/i&gt; gives one natural weapon or unarmed strike of the subject a +1 enhancement bonus on attack and damage rolls. The spell can affect a slam attack, fist, bite, or other natural weapon.&lt;/p&gt;&lt;p&gt;The spell does not change an unarmed strike's damage from nonlethal damage to lethal damage.&lt;/p&gt;&lt;p&gt;&lt;i&gt;Magic fang&lt;/i&gt; can be made permanent with a &lt;i&gt;permanency&lt;/i&gt; spell.&lt;/p&gt;</t>
  </si>
  <si>
    <t>&lt;link rel="stylesheet"href="PF.css"&gt;&lt;div class="heading"&gt;&lt;p class="alignleft"&gt;Magic Fang&lt;/p&gt;&lt;div style="clear: both;"&gt;&lt;/div&gt;&lt;/div&gt;&lt;div&gt;&lt;h5&gt;&lt;b&gt;School &lt;/b&gt;transmutation; &lt;b&gt;Level &lt;/b&gt;druid 1, ranger 1, summoner 1, spiritualist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 min./level&lt;/h5&gt;&lt;h5&gt;&lt;b&gt;Saving Throw &lt;/b&gt;Will negates (harmless); &lt;b&gt;Spell Resistance &lt;/b&gt;yes (harmless)&lt;/h5&gt;&lt;/div&gt;&lt;hr/&gt;&lt;div&gt;&lt;h5&gt;&lt;b&gt;DESCRIPTION&lt;/b&gt;&lt;/h5&gt;&lt;/div&gt;&lt;hr/&gt;&lt;div&gt;&lt;h4&gt;&lt;p&gt;&lt;i&gt;Magic fang&lt;/i&gt; gives one natural weapon or unarmed strike of the subject a +1 enhancement bonus on attack and damage rolls. The spell can affect a slam attack, fist, bite, or other natural weapon.&lt;/p&gt;&lt;p&gt;The spell does not change an unarmed strike's damage from nonlethal damage to lethal damage.&lt;/p&gt;&lt;p&gt;&lt;i&gt;Magic fang&lt;/i&gt; can be made permanent with a &lt;i&gt;permanency&lt;/i&gt; spell.&lt;/p&gt;&lt;/h4&gt;&lt;h5&gt;&lt;b&gt;Mythic: &lt;/b&gt;The spell affects an additional number of the target's natural weapons equal to your tier. For example, if you're 3rd tier, it could affect two claws and one bite).&lt;/h5&gt;&lt;/div&gt;</t>
  </si>
  <si>
    <t>Fur (1), Scalykind (1), Cannibalism (1)</t>
  </si>
  <si>
    <t>One natural weapon of subject creature gets +1 on attack and damage rolls.</t>
  </si>
  <si>
    <t>The spell affects an additional number of the target's natural weapons equal to your tier. For example, if you're 3rd tier, it could affect two claws and one bite).</t>
  </si>
  <si>
    <t>Magic Fang, Greater</t>
  </si>
  <si>
    <t>druid 3, ranger 3, summoner 3, spiritualist 3</t>
  </si>
  <si>
    <t>This spell functions like magic fang, except that the enhancement bonus on attack and damage rolls is +1 per four caster levels (maximum +5). This bonus does not allow a natural weapon or unarmed strike to bypass damage reduction aside from magic.  Alternatively, you may imbue all of the creature's natural weapons with a +1 enhancement bonus (regardless of your caster level).  Greater magic fang can be made permanent with a permanency spell.</t>
  </si>
  <si>
    <t>&lt;p&gt;This spell functions like &lt;i&gt;magic fang&lt;/i&gt;, except that the enhancement bonus on attack and damage rolls is +1 per four caster levels (maximum +5). This bonus does not allow a natural weapon or unarmed strike to bypass damage reduction aside from magic.&lt;/p&gt;&lt;p&gt;Alternatively, you may imbue all of the creature's natural weapons with a +1 enhancement bonus (regardless of your caster level).&lt;/p&gt;&lt;p&gt;Greater &lt;i&gt;magic fang&lt;/i&gt; can be made permanent with a &lt;i&gt;permanency&lt;/i&gt; spell.&lt;/p&gt;</t>
  </si>
  <si>
    <t>&lt;link rel="stylesheet"href="PF.css"&gt;&lt;div class="heading"&gt;&lt;p class="alignleft"&gt;Magic Fang, Greater&lt;/p&gt;&lt;div style="clear: both;"&gt;&lt;/div&gt;&lt;/div&gt;&lt;div&gt;&lt;h5&gt;&lt;b&gt;School &lt;/b&gt;transmutation; &lt;b&gt;Level &lt;/b&gt;druid 3, ranger 3, summoner 3, spiritualist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hour/level&lt;/h5&gt;&lt;h5&gt;&lt;b&gt;Saving Throw &lt;/b&gt;Will negates (harmless); &lt;b&gt;Spell Resistance &lt;/b&gt;yes (harmless)&lt;/h5&gt;&lt;/div&gt;&lt;hr/&gt;&lt;div&gt;&lt;h5&gt;&lt;b&gt;DESCRIPTION&lt;/b&gt;&lt;/h5&gt;&lt;/div&gt;&lt;hr/&gt;&lt;div&gt;&lt;h4&gt;&lt;p&gt;This spell functions like &lt;i&gt;magic fang&lt;/i&gt;, except that the enhancement bonus on attack and damage rolls is +1 per four caster levels (maximum +5). This bonus does not allow a natural weapon or unarmed strike to bypass damage reduction aside from magic.&lt;/p&gt;&lt;p&gt;Alternatively, you may imbue all of the creature's natural weapons with a +1 enhancement bonus (regardless of your caster level).&lt;/p&gt;&lt;p&gt;Greater &lt;i&gt;magic fang&lt;/i&gt; can be made permanent with a &lt;i&gt;permanency&lt;/i&gt; spell.&lt;/p&gt;&lt;/h4&gt;&lt;/div&gt;</t>
  </si>
  <si>
    <t>Scalykind (3), Cannibalism (3), Fist (3)</t>
  </si>
  <si>
    <t>One natural weapon gets + 1/four levels (max +5).</t>
  </si>
  <si>
    <t>Magic Jar</t>
  </si>
  <si>
    <t>sorcerer/wizard 5, alchemist 5, summoner 4, witch 5</t>
  </si>
  <si>
    <t>V, S, F (a gem or crystal worth at least 100 gp)</t>
  </si>
  <si>
    <t>1 hour/level or until you return to your body</t>
  </si>
  <si>
    <t>By casting magic jar, you place your soul in a gem or large crystal (known as the magic jar), leaving your body lifeless. Then you can attempt to take control of a nearby body, forcing its soul into the magic jar. You may move back to the jar (thereby returning the trapped soul to its body) and attempt to possess another body.  The spell ends when you send your soul back to your own body, leaving the receptacle empty. To cast the spell, the magic jar must be within spell range and you must know where it is, though you do not need line of sight or line of effect to it. When you transfer your soul upon casting, your body is, as near as anyone can tell, dead.  While in the magic jar, you can sense and attack any life force within 10 feet per caster level (and on the same plane of existence).  You do need line of effect from the jar to the creatures. You cannot determine the exact creature types or positions of these creatures.  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  Attempting to possess a body is a full-round action. It is blocked by protection from evil or a similar ward. You possess the body and force the creature's soul into the magic jar unless the subject succeeds on a Will save. Failure to take over the host leaves your life force in the magic jar, and the target automatically succeeds on further saving throws if you attempt to possess its body again.  If you are successful, your life force occupies the host body, and the host's life force is imprisoned in the magic jar.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  As a standard action, you can shift freely from a host to the magic jar if within range, sending the trapped soul back to its body. The spell ends when you shift from the jar to your own body.  If the host body is slain, you return to the magic jar, if within range, and the life force of the host departs (it is dead). If the host body is slain beyond the range of the spell, both you and the host die. Any life force with nowhere to go is treated as slain.  If the spell ends while you are in the magic jar, you return to your body (or die if your body is out of range or destroyed). If the spell ends while you are in a host, you return to your body (or die, if it is out of range of your current position), and the soul in the magic jar returns to its body (or dies if it is out of range). Destroying the receptacle ends the spell, and the spell can be dispelled at either the magic jar or the host's location.</t>
  </si>
  <si>
    <t>&lt;p&gt;By casting &lt;i&gt;&lt;i&gt;magic jar&lt;/i&gt;,&lt;/i&gt; you place your soul in a gem or large crystal (known as the &lt;i&gt;magic jar&lt;/i&gt;), leaving your body lifeless. Then you can attempt to take control of a nearby body, forcing its soul into the &lt;i&gt;magic jar&lt;/i&gt;. You may move back to the jar (thereby returning the trapped soul to its body) and attempt to possess another body.&lt;/p&gt;&lt;p&gt;The spell ends when you send your soul back to your own body, leaving the receptacle empty. To cast the spell, the &lt;i&gt;magic jar&lt;/i&gt; must be within spell range and you must know where it is, though you do not need line of sight or line of effect to it. When you transfer your soul upon casting, your body is, as near as anyone can tell, dead.&lt;/p&gt;&lt;p&gt;While in the &lt;i&gt;&lt;i&gt;magic jar&lt;/i&gt;,&lt;/i&gt; you can sense and attack any life force within 10 feet per caster level (and on the same plane of existence).&lt;/p&gt;&lt;p&gt;You do need line of effect from the jar to the creatures. You cannot determine the exact creature types or positions of these creatures.&lt;/p&gt;&lt;p&gt;In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randomly.&lt;/p&gt;&lt;p&gt;Attempting to possess a body is a full-round action. It is blocked by &lt;i&gt;protection from evil&lt;/i&gt; or a similar ward. You possess the body and force the creature's soul into the &lt;i&gt;magic jar&lt;/i&gt; unless the subject succeeds on a Will save. Failure to take over the host leaves your life force in the &lt;i&gt;&lt;i&gt;magic jar&lt;/i&gt;,&lt;/i&gt; and the target automatically succeeds on further saving throws if you attempt to possess its body again.&lt;/p&gt;&lt;p&gt;If you are successful, your life force occupies the host body, and the host's life force is imprisoned in the &lt;i&gt;magic jar&lt;/i&gt;.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body.&lt;/p&gt;&lt;p&gt;As a standard action, you can shift freely from a host to the &lt;i&gt;magic jar&lt;/i&gt; if within range, sending the trapped soul back to its body. The spell ends when you shift from the jar to your own body.&lt;/p&gt;&lt;p&gt;If the host body is slain, you return to the &lt;i&gt;&lt;i&gt;magic jar&lt;/i&gt;,&lt;/i&gt; if within range, and the life force of the host departs (it is dead). If the host body is slain beyond the range of the spell, both you and the host die. Any life force with nowhere to go is treated as slain.&lt;/p&gt;&lt;p&gt;If the spell ends while you are in the &lt;i&gt;&lt;i&gt;magic jar&lt;/i&gt;,&lt;/i&gt; you return to your body (or die if your body is out of range or destroyed). If the spell ends while you are in a host, you return to your body (or die, if it is out of range of your current position), and the soul in the &lt;i&gt;magic jar&lt;/i&gt; returns to its body (or dies if it is out of range). Destroying the receptacle ends the spell, and the spell can be dispelled at either the &lt;i&gt;magic jar&lt;/i&gt; or the host's location.&lt;/p&gt;</t>
  </si>
  <si>
    <t>&lt;link rel="stylesheet"href="PF.css"&gt;&lt;div class="heading"&gt;&lt;p class="alignleft"&gt;Magic Jar&lt;/p&gt;&lt;div style="clear: both;"&gt;&lt;/div&gt;&lt;/div&gt;&lt;div&gt;&lt;h5&gt;&lt;b&gt;School &lt;/b&gt;necromancy; &lt;b&gt;Level &lt;/b&gt;sorcerer/wizard 5, alchemist 5, summoner 4, witch 5&lt;/h5&gt;&lt;/div&gt;&lt;hr/&gt;&lt;div&gt;&lt;h5&gt;&lt;b&gt;CASTING&lt;/b&gt;&lt;/h5&gt;&lt;/div&gt;&lt;hr/&gt;&lt;div&gt;&lt;h5&gt;&lt;b&gt;Casting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creature&lt;/h5&gt;&lt;h5&gt;&lt;b&gt;Duration &lt;/b&gt;1 hour/level or until you return to your body&lt;/h5&gt;&lt;h5&gt;&lt;b&gt;Saving Throw &lt;/b&gt;Will negates; see text; &lt;b&gt;Spell Resistance &lt;/b&gt;yes&lt;/h5&gt;&lt;/div&gt;&lt;hr/&gt;&lt;div&gt;&lt;h5&gt;&lt;b&gt;DESCRIPTION&lt;/b&gt;&lt;/h5&gt;&lt;/div&gt;&lt;hr/&gt;&lt;div&gt;&lt;h4&gt;&lt;p&gt;By casting &lt;i&gt;&lt;i&gt;magic jar&lt;/i&gt;,&lt;/i&gt; you place your soul in a gem or large crystal (known as the &lt;i&gt;magic jar&lt;/i&gt;), leaving your body lifeless. Then you can attempt to take control of a nearby body, forcing its soul into the &lt;i&gt;magic jar&lt;/i&gt;. You may move back to the jar (thereby returning the trapped soul to its body) and attempt to possess another body.&lt;/p&gt;&lt;p&gt;The spell ends when you send your soul back to your own body, leaving the receptacle empty. To cast the spell, the &lt;i&gt;magic jar&lt;/i&gt; must be within spell range and you must know where it is, though you do not need line of sight or line of effect to it. When you transfer your soul upon casting, your body is, as near as anyone can tell, dead.&lt;/p&gt;&lt;p&gt;While in the &lt;i&gt;&lt;i&gt;magic jar&lt;/i&gt;,&lt;/i&gt; you can sense and attack any life force within 10 feet per caster level (and on the same plane of existence).&lt;/p&gt;&lt;p&gt;You do need line of effect from the jar to the creatures. You cannot determine the exact creature types or positions of these creatures.&lt;/p&gt;&lt;p&gt;In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randomly.&lt;/p&gt;&lt;p&gt;Attempting to possess a body is a full-round action. It is blocked by &lt;i&gt;protection from evil&lt;/i&gt; or a similar ward. You possess the body and force the creature's soul into the &lt;i&gt;magic jar&lt;/i&gt; unless the subject succeeds on a Will save. Failure to take over the host leaves your life force in the &lt;i&gt;&lt;i&gt;magic jar&lt;/i&gt;,&lt;/i&gt; and the target automatically succeeds on further saving throws if you attempt to possess its body again.&lt;/p&gt;&lt;p&gt;If you are successful, your life force occupies the host body, and the host's life force is imprisoned in the &lt;i&gt;magic jar&lt;/i&gt;.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body.&lt;/p&gt;&lt;p&gt;As a standard action, you can shift freely from a host to the &lt;i&gt;magic jar&lt;/i&gt; if within range, sending the trapped soul back to its body. The spell ends when you shift from the jar to your own body.&lt;/p&gt;&lt;p&gt;If the host body is slain, you return to the &lt;i&gt;&lt;i&gt;magic jar&lt;/i&gt;,&lt;/i&gt; if within range, and the life force of the host departs (it is dead). If the host body is slain beyond the range of the spell, both you and the host die. Any life force with nowhere to go is treated as slain.&lt;/p&gt;&lt;p&gt;If the spell ends while you are in the &lt;i&gt;&lt;i&gt;magic jar&lt;/i&gt;,&lt;/i&gt; you return to your body (or die if your body is out of range or destroyed). If the spell ends while you are in a host, you return to your body (or die, if it is out of range of your current position), and the soul in the &lt;i&gt;magic jar&lt;/i&gt; returns to its body (or dies if it is out of range). Destroying the receptacle ends the spell, and the spell can be dispelled at either the &lt;i&gt;magic jar&lt;/i&gt; or the host's location.&lt;/p&gt;&lt;/h4&gt;&lt;/div&gt;</t>
  </si>
  <si>
    <t> Enables possession of another creature.</t>
  </si>
  <si>
    <t>Magic Missile</t>
  </si>
  <si>
    <t>sorcerer/wizard 1, magus 1, bloodrager 1, psychic 1</t>
  </si>
  <si>
    <t>up to five creatures, no two of which can be more than 15 ft. apart</t>
  </si>
  <si>
    <t>A missile of magical energy darts forth from your fingertip and strikes its target, dealing 1d4+1 points of force damage.  The missile strikes unerringly, even if the target is in melee combat, so long as it has less than total cover or total concealment.  Specific parts of a creature can't be singled out. Objects are not damaged by the spell.  For every two caster levels beyond 1st, you gain an additional missile-two at 3rd level, three at 5th, four at 7th, and the maximum of five missiles at 9th level or higher. If you shoot multiple missiles, you can have them strike a single creature or several creatures.  A single missile can strike only one creature. You must designate targets before you check for spell resistance or roll damage.</t>
  </si>
  <si>
    <t>&lt;p&gt;A missile of magical energy darts forth from your fingertip and strikes its target, dealing 1d4+1 points of force damage.&lt;/p&gt;&lt;p&gt;The missile strikes unerringly, even if the target is in melee combat, so long as it has less than total cover or total concealment.&lt;/p&gt;&lt;p&gt;Specific parts of a creature can't be singled out. Objects are not damaged by the spell.&lt;/p&gt;&lt;p&gt;For every two caster levels beyond 1st, you gain an additional missile-two at 3rd level, three at 5th, four at 7th, and the maximum of five missiles at 9th level or higher. If you shoot multiple missiles, you can have them strike a single creature or several creatures.&lt;/p&gt;&lt;p&gt;A single missile can strike only one creature. You must designate targets before you check for spell resistance or roll damage.&lt;/p&gt;</t>
  </si>
  <si>
    <t>&lt;link rel="stylesheet"href="PF.css"&gt;&lt;div class="heading"&gt;&lt;p class="alignleft"&gt;Magic Missile&lt;/p&gt;&lt;div style="clear: both;"&gt;&lt;/div&gt;&lt;/div&gt;&lt;div&gt;&lt;h5&gt;&lt;b&gt;School &lt;/b&gt;evocation [force]; &lt;b&gt;Level &lt;/b&gt;sorcerer/wizard 1, magus 1, bloodrager 1, psychic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five creatures, no two of which can be more than 15 ft. apart&lt;/h5&gt;&lt;h5&gt;&lt;b&gt;Duration &lt;/b&gt;instantaneous&lt;/h5&gt;&lt;h5&gt;&lt;b&gt;Saving Throw &lt;/b&gt;none; &lt;b&gt;Spell Resistance &lt;/b&gt;yes&lt;/h5&gt;&lt;/div&gt;&lt;hr/&gt;&lt;div&gt;&lt;h5&gt;&lt;b&gt;DESCRIPTION&lt;/b&gt;&lt;/h5&gt;&lt;/div&gt;&lt;hr/&gt;&lt;div&gt;&lt;h4&gt;&lt;p&gt;A missile of magical energy darts forth from your fingertip and strikes its target, dealing 1d4+1 points of force damage.&lt;/p&gt;&lt;p&gt;The missile strikes unerringly, even if the target is in melee combat, so long as it has less than total cover or total concealment.&lt;/p&gt;&lt;p&gt;Specific parts of a creature can't be singled out. Objects are not damaged by the spell.&lt;/p&gt;&lt;p&gt;For every two caster levels beyond 1st, you gain an additional missile-two at 3rd level, three at 5th, four at 7th, and the maximum of five missiles at 9th level or higher. If you shoot multiple missiles, you can have them strike a single creature or several creatures.&lt;/p&gt;&lt;p&gt;A single missile can strike only one creature. You must designate targets before you check for spell resistance or roll damage.&lt;/p&gt;&lt;/h4&gt;&lt;h5&gt;&lt;b&gt;Mythic: &lt;/b&gt;The damage dealt by each missile increases to 2d4+1. The missiles bypass the shield spell and similar effects that block the non-mythic version of this spell.&lt;/h5&gt;&lt;h5&gt;&lt;b&gt;Augmented (4th)&lt;/b&gt;: If you expend two uses of mythic power, the spell creates double the normal number of missiles (affecting up to 10 creatures), its range increases to line of sight, and it bypasses the targets' spell resistance and spell immunity.&lt;/h5&gt;&lt;/div&gt;</t>
  </si>
  <si>
    <t> 1d4+1 damage; +1 missile per two levels above 1st (max 5).</t>
  </si>
  <si>
    <t>The damage dealt by each missile increases to 2d4+1. The missiles bypass the shield spell and similar effects that block the non-mythic version of this spell.</t>
  </si>
  <si>
    <t>Augmented (4th): If you expend two uses of mythic power, the spell creates double the normal number of missiles (affecting up to 10 creatures), its range increases to line of sight, and it bypasses the targets' spell resistance and spell immunity.</t>
  </si>
  <si>
    <t>Magic Mouth</t>
  </si>
  <si>
    <t>bard 1, sorcerer/wizard 2, summoner 1, occultist 2, psychic 2, mesmerist 1</t>
  </si>
  <si>
    <t>V, S, M (a small bit of honeycomb and jade dust worth 10 gp)</t>
  </si>
  <si>
    <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Magic mouth can also be placed upon a tree, rock, or any other object or creature.  The spell functions when specific conditions are fulfilled according to your command as set in the spell. Commands can be as general or as detailed as desired, although only visual and audible triggers can be used. Triggers react to what appears to be the case.  Disguises and illusions can fool them. Normal darkness does not defeat a visual trigger, but magical darkness or invisibility does.  Silent movement or magical silence defeats audible triggers. Audible triggers can be keyed to general types of noises or to a specific noise or spoken word. Actions can serve as triggers if they are visible or audible. A magic mouth cannot distinguish alignment, level, Hit Dice, or class except by external garb.  The range limit of a trigger is 15 feet per caster level, so a 6thlevel caster can command a magic mouth to respond to triggers as far as 90 feet away. Regardless of range, the mouth can respond only to visible or audible triggers and actions in line of sight or within hearing distance.  Magic mouth can be made permanent with a permanency spell.</t>
  </si>
  <si>
    <t>&lt;p&gt;This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&lt;i&gt;Magic mouth&lt;/i&gt; can also be placed upon a tree, rock, or any other object or creature.&lt;/p&gt;&lt;p&gt;The spell functions when specific conditions are fulfilled according to your command as set in the spell. Commands can be as general or as detailed as desired, although only visual and audible triggers can be used. Triggers react to what appears to be the case.&lt;/p&gt;&lt;p&gt;Disguises and illusions can fool them. Normal &lt;i&gt;darkness&lt;/i&gt; does not defeat a visual trigger, but magical &lt;i&gt;darkness&lt;/i&gt; or &lt;i&gt;invisibility&lt;/i&gt; does.&lt;/p&gt;&lt;p&gt;Silent movement or magical &lt;i&gt;silence&lt;/i&gt; defeats audible triggers. Audible triggers can be keyed to general types of noises or to a specific noise or spoken word. Actions can serve as triggers if they are visible or audible. A &lt;i&gt;magic mouth&lt;/i&gt; cannot distinguish alignment, level, Hit Dice, or class except by external garb.&lt;/p&gt;&lt;p&gt;The range limit of a trigger is 15 feet per caster level, so a 6thlevel caster can command a &lt;i&gt;magic mouth&lt;/i&gt; to respond to triggers as far as 90 feet away. Regardless of range, the mouth can respond only to visible or audible triggers and actions in line of sight or within hearing distance.&lt;/p&gt;&lt;p&gt;&lt;i&gt;Magic mouth&lt;/i&gt; can be made permanent with a &lt;i&gt;permanency&lt;/i&gt; spell.&lt;/p&gt;</t>
  </si>
  <si>
    <t>&lt;link rel="stylesheet"href="PF.css"&gt;&lt;div class="heading"&gt;&lt;p class="alignleft"&gt;Magic Mouth&lt;/p&gt;&lt;div style="clear: both;"&gt;&lt;/div&gt;&lt;/div&gt;&lt;div&gt;&lt;h5&gt;&lt;b&gt;School &lt;/b&gt;illusion (glamer); &lt;b&gt;Level &lt;/b&gt;bard 1, sorcerer/wizard 2, summoner 1, occultist 2, psychic 2, mesmerist 1&lt;/h5&gt;&lt;/div&gt;&lt;hr/&gt;&lt;div&gt;&lt;h5&gt;&lt;b&gt;CASTING&lt;/b&gt;&lt;/h5&gt;&lt;/div&gt;&lt;hr/&gt;&lt;div&gt;&lt;h5&gt;&lt;b&gt;Casting Time &lt;/b&gt;1 standard action&lt;/h5&gt;&lt;h5&gt;&lt;b&gt;Components &lt;/b&gt;V, S, M (a small bit of honeycomb and jade dust worth 10 gp)&lt;/h5&gt;&lt;/div&gt;&lt;hr/&gt;&lt;div&gt;&lt;h5&gt;&lt;b&gt;EFFECT&lt;/b&gt;&lt;/h5&gt;&lt;/div&gt;&lt;hr/&gt;&lt;div&gt;&lt;h5&gt;&lt;b&gt;Range &lt;/b&gt;close (25 ft. + 5 ft./2 levels)&lt;/h5&gt;&lt;h5&gt;&lt;b&gt;Targets &lt;/b&gt;one creature or object&lt;/h5&gt;&lt;h5&gt;&lt;b&gt;Duration &lt;/b&gt;permanent until discharged&lt;/h5&gt;&lt;h5&gt;&lt;b&gt;Saving Throw &lt;/b&gt;Will negates (object); &lt;b&gt;Spell Resistance &lt;/b&gt;yes (object)&lt;/h5&gt;&lt;/div&gt;&lt;hr/&gt;&lt;div&gt;&lt;h5&gt;&lt;b&gt;DESCRIPTION&lt;/b&gt;&lt;/h5&gt;&lt;/div&gt;&lt;hr/&gt;&lt;div&gt;&lt;h4&gt;&lt;p&gt;This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&lt;i&gt;Magic mouth&lt;/i&gt; can also be placed upon a tree, rock, or any other object or creature.&lt;/p&gt;&lt;p&gt;The spell functions when specific conditions are fulfilled according to your command as set in the spell. Commands can be as general or as detailed as desired, although only visual and audible triggers can be used. Triggers react to what appears to be the case.&lt;/p&gt;&lt;p&gt;Disguises and illusions can fool them. Normal &lt;i&gt;darkness&lt;/i&gt; does not defeat a visual trigger, but magical &lt;i&gt;darkness&lt;/i&gt; or &lt;i&gt;invisibility&lt;/i&gt; does.&lt;/p&gt;&lt;p&gt;Silent movement or magical &lt;i&gt;silence&lt;/i&gt; defeats audible triggers. Audible triggers can be keyed to general types of noises or to a specific noise or spoken word. Actions can serve as triggers if they are visible or audible. A &lt;i&gt;magic mouth&lt;/i&gt; cannot distinguish alignment, level, Hit Dice, or class except by external garb.&lt;/p&gt;&lt;p&gt;The range limit of a trigger is 15 feet per caster level, so a 6thlevel caster can command a &lt;i&gt;magic mouth&lt;/i&gt; to respond to triggers as far as 90 feet away. Regardless of range, the mouth can respond only to visible or audible triggers and actions in line of sight or within hearing distance.&lt;/p&gt;&lt;p&gt;&lt;i&gt;Magic mouth&lt;/i&gt; can be made permanent with a &lt;i&gt;permanency&lt;/i&gt; spell.&lt;/p&gt;&lt;/h4&gt;&lt;/div&gt;</t>
  </si>
  <si>
    <t>Magic (2)</t>
  </si>
  <si>
    <t>Objects speaks once when triggered.</t>
  </si>
  <si>
    <t>Magic Stone</t>
  </si>
  <si>
    <t>cleric/oracle 1, druid 1, shaman 1</t>
  </si>
  <si>
    <t>up to three pebbles touched</t>
  </si>
  <si>
    <t>30 minutes or until discharged</t>
  </si>
  <si>
    <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t>
  </si>
  <si>
    <t>&lt;p&gt;You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undead.&lt;/p&gt;</t>
  </si>
  <si>
    <t>&lt;link rel="stylesheet"href="PF.css"&gt;&lt;div class="heading"&gt;&lt;p class="alignleft"&gt;Magic Stone&lt;/p&gt;&lt;div style="clear: both;"&gt;&lt;/div&gt;&lt;/div&gt;&lt;div&gt;&lt;h5&gt;&lt;b&gt;School &lt;/b&gt;transmutation; &lt;b&gt;Level &lt;/b&gt;cleric/oracle 1, druid 1, shaman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&lt;/b&gt;up to three pebbles touched&lt;/h5&gt;&lt;h5&gt;&lt;b&gt;Duration &lt;/b&gt;30 minutes or until discharged&lt;/h5&gt;&lt;h5&gt;&lt;b&gt;Saving Throw &lt;/b&gt;Will negates (harmless, object); &lt;b&gt;Spell Resistance &lt;/b&gt;yes (harmless, object)&lt;/h5&gt;&lt;/div&gt;&lt;hr/&gt;&lt;div&gt;&lt;h5&gt;&lt;b&gt;DESCRIPTION&lt;/b&gt;&lt;/h5&gt;&lt;/div&gt;&lt;hr/&gt;&lt;div&gt;&lt;h4&gt;&lt;p&gt;You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undead.&lt;/p&gt;&lt;/h4&gt;&lt;/div&gt;</t>
  </si>
  <si>
    <t>Earth (1), Ruins (1)</t>
  </si>
  <si>
    <t>Three stones gain +1 on attack, deal 1d6 +1 damage.</t>
  </si>
  <si>
    <t>Magic Vestment</t>
  </si>
  <si>
    <t>cleric/oracle 3, inquisitor 3, shaman 3, occultist 3</t>
  </si>
  <si>
    <t>armor or shield touched</t>
  </si>
  <si>
    <t>You imbue a suit of armor or a shield with an enhancement bonus of +1 per four caster levels (maximum +5 at 20th level).  An outfit of regular clothing counts as armor that grants no AC bonus for the purpose of this spell.</t>
  </si>
  <si>
    <t>&lt;p&gt;You imbue a suit of armor or a shield with an enhancement bonus of +1 per four caster levels (maximum +5 at 20th level).&lt;/p&gt;&lt;p&gt;An outfit of regular clothing counts as armor that grants no AC bonus for the purpose of this spell.&lt;/p&gt;</t>
  </si>
  <si>
    <t>&lt;link rel="stylesheet"href="PF.css"&gt;&lt;div class="heading"&gt;&lt;p class="alignleft"&gt;Magic Vestment&lt;/p&gt;&lt;div style="clear: both;"&gt;&lt;/div&gt;&lt;/div&gt;&lt;div&gt;&lt;h5&gt;&lt;b&gt;School &lt;/b&gt;transmutation; &lt;b&gt;Level &lt;/b&gt;cleric/oracle 3, inquisitor 3, shaman 3, occultist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&lt;/b&gt;armor or shield touched&lt;/h5&gt;&lt;h5&gt;&lt;b&gt;Duration &lt;/b&gt;1 hour/level&lt;/h5&gt;&lt;h5&gt;&lt;b&gt;Saving Throw &lt;/b&gt;Will negates (harmless, object); &lt;b&gt;Spell Resistance &lt;/b&gt;yes (harmless, object)&lt;/h5&gt;&lt;/div&gt;&lt;hr/&gt;&lt;div&gt;&lt;h5&gt;&lt;b&gt;DESCRIPTION&lt;/b&gt;&lt;/h5&gt;&lt;/div&gt;&lt;hr/&gt;&lt;div&gt;&lt;h4&gt;&lt;p&gt;You imbue a suit of armor or a shield with an enhancement bonus of +1 per four caster levels (maximum +5 at 20th level).&lt;/p&gt;&lt;p&gt;An outfit of regular clothing counts as armor that grants no AC bonus for the purpose of this spell.&lt;/p&gt;&lt;/h4&gt;&lt;h5&gt;&lt;b&gt;Mythic: &lt;/b&gt;You can add one armor special ability to the target if it's armor or one shield special ability if it's a shield. The special ability must have a base price modifier no greater than a +1 enhancement bonus or 4,000 gp.&lt;/h5&gt;&lt;h5&gt;&lt;b&gt;Augmented (3rd)&lt;/b&gt;: If you expend two uses of mythic power, you can add any number of special abilities with a total base price modifier no greater than a +2 enhancement bonus or 15,000 gp.&lt;/h5&gt;&lt;/div&gt;</t>
  </si>
  <si>
    <t>Nobility (3), Strength (3), War (3)</t>
  </si>
  <si>
    <t> Armor or shield gains +1 enhancement per four levels.</t>
  </si>
  <si>
    <t>Devotion (6), Wisdom (6)</t>
  </si>
  <si>
    <t>You can add one armor special ability to the target if it's armor or one shield special ability if it's a shield. The special ability must have a base price modifier no greater than a +1 enhancement bonus or 4,000 gp.</t>
  </si>
  <si>
    <t>Augmented (3rd): If you expend two uses of mythic power, you can add any number of special abilities with a total base price modifier no greater than a +2 enhancement bonus or 15,000 gp.</t>
  </si>
  <si>
    <t>Magic Weapon</t>
  </si>
  <si>
    <t>cleric/oracle 1, paladin 1, sorcerer/wizard 1, inquisitor 1, antipaladin 1, magus 1, bloodrager 1, shaman 1, occultist 1</t>
  </si>
  <si>
    <t>Magic weapon gives a weapon a +1 enhancement bonus on attack and damage rolls. An enhancement bonus does not stack with a masterwork weapon's +1 bonus on attack rolls.  You can't cast this spell on a natural weapon, such as an unarmed strike (instead, see magic fang). A monk's unarmed strike is considered a weapon, and thus it can be enhanced by this spell.</t>
  </si>
  <si>
    <t>&lt;p&gt;&lt;i&gt;Magic weapon&lt;/i&gt; gives a weapon a +1 enhancement bonus on attack and damage rolls. An enhancement bonus does not stack with a masterwork weapon's +1 bonus on attack rolls.&lt;/p&gt;&lt;p&gt;You can't cast this spell on a natural weapon, such as an unarmed strike (instead, see magic fang). A monk's unarmed strike is considered a weapon, and thus it can be enhanced by this spell.&lt;/p&gt;</t>
  </si>
  <si>
    <t>&lt;link rel="stylesheet"href="PF.css"&gt;&lt;div class="heading"&gt;&lt;p class="alignleft"&gt;Magic Weapon&lt;/p&gt;&lt;div style="clear: both;"&gt;&lt;/div&gt;&lt;/div&gt;&lt;div&gt;&lt;h5&gt;&lt;b&gt;School &lt;/b&gt;transmutation; &lt;b&gt;Level &lt;/b&gt;cleric/oracle 1, paladin 1, sorcerer/wizard 1, inquisitor 1, antipaladin 1, magus 1, bloodrager 1, shaman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min./level&lt;/h5&gt;&lt;h5&gt;&lt;b&gt;Saving Throw &lt;/b&gt;Will negates (harmless, object); &lt;b&gt;Spell Resistance &lt;/b&gt;yes (harmless, object)&lt;/h5&gt;&lt;/div&gt;&lt;hr/&gt;&lt;div&gt;&lt;h5&gt;&lt;b&gt;DESCRIPTION&lt;/b&gt;&lt;/h5&gt;&lt;/div&gt;&lt;hr/&gt;&lt;div&gt;&lt;h4&gt;&lt;p&gt;&lt;i&gt;Magic weapon&lt;/i&gt; gives a weapon a +1 enhancement bonus on attack and damage rolls. An enhancement bonus does not stack with a masterwork weapon's +1 bonus on attack rolls.&lt;/p&gt;&lt;p&gt;You can't cast this spell on a natural weapon, such as an unarmed strike (instead, see magic fang). A monk's unarmed strike is considered a weapon, and thus it can be enhanced by this spell.&lt;/p&gt;&lt;/h4&gt;&lt;/div&gt;</t>
  </si>
  <si>
    <t>War (1)</t>
  </si>
  <si>
    <t>Weapon gains +1 bonus.</t>
  </si>
  <si>
    <t>Magic Weapon, Greater</t>
  </si>
  <si>
    <t>cleric/oracle 4, paladin 3, sorcerer/wizard 3, inquisitor 3, antipaladin 3, magus 3, bloodrager 3, shaman 4, occultist 3</t>
  </si>
  <si>
    <t>V, S, M/DF (powdered lime and carbon)</t>
  </si>
  <si>
    <t>one weapon or 50 projectiles (all of which must be together at the time of casting)</t>
  </si>
  <si>
    <t>This spell functions like magic weapon, except that it gives a weapon an enhancement bonus on attack and damage rolls of +1 per four caster levels (maximum +5). This bonus does not allow a weapon to bypass damage reduction aside from magic.  Alternatively, you can affect as many as 50 arrows, bolts, or bullets.  The projectiles must be of the same kind, and they have to be together (in the same quiver or other container). Projectiles, but not thrown weapons, lose their transmutation after they are used.  Treat shuriken as projectiles, rather than as thrown weapons, for the purpose of this spell.</t>
  </si>
  <si>
    <t>&lt;p&gt;This spell functions like &lt;i&gt;magic weapon&lt;/i&gt;, except that it gives a weapon an enhancement bonus on attack and damage rolls of +1 per four caster levels (maximum +5). This bonus does not allow a weapon to bypass damage reduction aside from magic.&lt;/p&gt;&lt;p&gt;Alternatively, you can affect as many as 50 arrows, bolts, or bullets.&lt;/p&gt;&lt;p&gt;The projectiles must be of the same kind, and they have to be together (in the same quiver or other container). Projectiles, but not thrown weapons, lose their transmutation after they are used.&lt;/p&gt;&lt;p&gt;Treat shuriken as projectiles, rather than as thrown weapons, for the purpose of this spell.&lt;/p&gt;</t>
  </si>
  <si>
    <t>&lt;link rel="stylesheet"href="PF.css"&gt;&lt;div class="heading"&gt;&lt;p class="alignleft"&gt;Magic Weapon, Greater&lt;/p&gt;&lt;div style="clear: both;"&gt;&lt;/div&gt;&lt;/div&gt;&lt;div&gt;&lt;h5&gt;&lt;b&gt;School &lt;/b&gt;transmutation; &lt;b&gt;Level &lt;/b&gt;cleric/oracle 4, paladin 3, sorcerer/wizard 3, inquisitor 3, antipaladin 3, magus 3, bloodrager 3, shaman 4, occultist 3&lt;/h5&gt;&lt;/div&gt;&lt;hr/&gt;&lt;div&gt;&lt;h5&gt;&lt;b&gt;CASTING&lt;/b&gt;&lt;/h5&gt;&lt;/div&gt;&lt;hr/&gt;&lt;div&gt;&lt;h5&gt;&lt;b&gt;Casting Time &lt;/b&gt;1 standard action&lt;/h5&gt;&lt;h5&gt;&lt;b&gt;Components &lt;/b&gt;V, S, M/DF (powdered lime and carbon)&lt;/h5&gt;&lt;/div&gt;&lt;hr/&gt;&lt;div&gt;&lt;h5&gt;&lt;b&gt;EFFECT&lt;/b&gt;&lt;/h5&gt;&lt;/div&gt;&lt;hr/&gt;&lt;div&gt;&lt;h5&gt;&lt;b&gt;Range &lt;/b&gt;close (25 ft. + 5 ft./2 levels)&lt;/h5&gt;&lt;h5&gt;&lt;b&gt;Targets &lt;/b&gt;one weapon or 50 projectiles (all of which must be together at the time of casting)&lt;/h5&gt;&lt;h5&gt;&lt;b&gt;Duration &lt;/b&gt;1 hour/level&lt;/h5&gt;&lt;h5&gt;&lt;b&gt;Saving Throw &lt;/b&gt;Will negates (harmless, object); &lt;b&gt;Spell Resistance &lt;/b&gt;yes (harmless, object)&lt;/h5&gt;&lt;/div&gt;&lt;hr/&gt;&lt;div&gt;&lt;h5&gt;&lt;b&gt;DESCRIPTION&lt;/b&gt;&lt;/h5&gt;&lt;/div&gt;&lt;hr/&gt;&lt;div&gt;&lt;h4&gt;&lt;p&gt;This spell functions like &lt;i&gt;magic weapon&lt;/i&gt;, except that it gives a weapon an enhancement bonus on attack and damage rolls of +1 per four caster levels (maximum +5). This bonus does not allow a weapon to bypass damage reduction aside from magic.&lt;/p&gt;&lt;p&gt;Alternatively, you can affect as many as 50 arrows, bolts, or bullets.&lt;/p&gt;&lt;p&gt;The projectiles must be of the same kind, and they have to be together (in the same quiver or other container). Projectiles, but not thrown weapons, lose their transmutation after they are used.&lt;/p&gt;&lt;p&gt;Treat shuriken as projectiles, rather than as thrown weapons, for the purpose of this spell.&lt;/p&gt;&lt;/h4&gt;&lt;h5&gt;&lt;b&gt;Mythic: &lt;/b&gt;You can add one of the following weapon special abilities to the weapon: flaming, frost, keen, merciful, shock, or thundering.&lt;/h5&gt;&lt;h5&gt;&lt;b&gt;Augmented (5th)&lt;/b&gt;: If you expend two uses of mythic power, you can reduce the granted enhancement bonus by 1 to add two of the above abilities or one of the following abilities: anarchic, axiomatic, flaming burst, holy, icy burst, shocking burst, or unholy.&lt;/h5&gt;&lt;/div&gt;</t>
  </si>
  <si>
    <t>Weapon gains +1 bonus/four levels (max +5).</t>
  </si>
  <si>
    <t>Shaitan (7)</t>
  </si>
  <si>
    <t>Devotion (8), Strength (6)</t>
  </si>
  <si>
    <t>You can add one of the following weapon special abilities to the weapon: flaming, frost, keen, merciful, shock, or thundering.</t>
  </si>
  <si>
    <t>Augmented (5th): If you expend two uses of mythic power, you can reduce the granted enhancement bonus by 1 to add two of the above abilities or one of the following abilities: anarchic, axiomatic, flaming burst, holy, icy burst, shocking burst, or unholy.</t>
  </si>
  <si>
    <t>Minor Creation</t>
  </si>
  <si>
    <t>sorcerer/wizard 4, summoner 3, witch 4, occultist 3, psychic 4, spiritualist 3</t>
  </si>
  <si>
    <t>V, S, M (a tiny piece of matter of the same sort of item you plan to create with minor creation)</t>
  </si>
  <si>
    <t>unattended, nonmagical object of nonliving plant matter, up to 1 cu. ft./level</t>
  </si>
  <si>
    <t>You create a nonmagical, unattended object of nonliving vegetable matter. The volume of the item created cannot exceed 1 cubic foot per caster level. You must succeed on an appropriate Craft skill check to make a complex item.  Attempting to use any created object as a material component causes the spell to fail.</t>
  </si>
  <si>
    <t>&lt;p&gt;You create a nonmagical, unattended object of nonliving vegetable matter. The volume of the item created cannot exceed 1 cubic foot per caster level. You must succeed on an appropriate Craft skill check to make a complex item.&lt;/p&gt;&lt;p&gt;Attempting to use any created object as a material component causes the spell to fail.&lt;/p&gt;</t>
  </si>
  <si>
    <t>&lt;link rel="stylesheet"href="PF.css"&gt;&lt;div class="heading"&gt;&lt;p class="alignleft"&gt;Minor Creation&lt;/p&gt;&lt;div style="clear: both;"&gt;&lt;/div&gt;&lt;/div&gt;&lt;div&gt;&lt;h5&gt;&lt;b&gt;School &lt;/b&gt;conjuration (creation); &lt;b&gt;Level &lt;/b&gt;sorcerer/wizard 4, summoner 3, witch 4, occultist 3, psychic 4, spiritualist 3&lt;/h5&gt;&lt;/div&gt;&lt;hr/&gt;&lt;div&gt;&lt;h5&gt;&lt;b&gt;CASTING&lt;/b&gt;&lt;/h5&gt;&lt;/div&gt;&lt;hr/&gt;&lt;div&gt;&lt;h5&gt;&lt;b&gt;Casting Time &lt;/b&gt;1 minute&lt;/h5&gt;&lt;h5&gt;&lt;b&gt;Components &lt;/b&gt;V, S, M (a tiny piece of matter of the same sort of item you plan to create with minor creation)&lt;/h5&gt;&lt;/div&gt;&lt;hr/&gt;&lt;div&gt;&lt;h5&gt;&lt;b&gt;EFFECT&lt;/b&gt;&lt;/h5&gt;&lt;/div&gt;&lt;hr/&gt;&lt;div&gt;&lt;h5&gt;&lt;b&gt;Range &lt;/b&gt;0 ft.&lt;/h5&gt;&lt;h5&gt;&lt;b&gt;Effect &lt;/b&gt;unattended, nonmagical object of nonliving plant matter, up to 1 cu. ft./level&lt;/h5&gt;&lt;h5&gt;&lt;b&gt;Duration &lt;/b&gt;1 hour/level (D)&lt;/h5&gt;&lt;h5&gt;&lt;b&gt;Saving Throw &lt;/b&gt;none; &lt;b&gt;Spell Resistance &lt;/b&gt;no&lt;/h5&gt;&lt;/div&gt;&lt;hr/&gt;&lt;div&gt;&lt;h5&gt;&lt;b&gt;DESCRIPTION&lt;/b&gt;&lt;/h5&gt;&lt;/div&gt;&lt;hr/&gt;&lt;div&gt;&lt;h4&gt;&lt;p&gt;You create a nonmagical, unattended object of nonliving vegetable matter. The volume of the item created cannot exceed 1 cubic foot per caster level. You must succeed on an appropriate Craft skill check to make a complex item.&lt;/p&gt;&lt;p&gt;Attempting to use any created object as a material component causes the spell to fail.&lt;/p&gt;&lt;/h4&gt;&lt;/div&gt;</t>
  </si>
  <si>
    <t>Artifice (4)</t>
  </si>
  <si>
    <t> Creates one cloth or wood object.</t>
  </si>
  <si>
    <t>Djinni (9)</t>
  </si>
  <si>
    <t>Major Creation</t>
  </si>
  <si>
    <t>sorcerer/wizard 5, summoner 4, witch 5, occultist 4, psychic 5</t>
  </si>
  <si>
    <t>This spell functions like minor creation, except that you can also create an object of mineral nature: stone, crystal, metal, or the like. The duration of the created item varies with its relative hardness and rarity, as indicated on the following table. Hardness and Rarity Examples Duration Vegetable matter 2 hr./level Stone, crystal, base metals 1 hr./level Precious metals 20 min./level Gems 10 min./level Rare metal* 1 round/level * Includes adamantine, alchemical silver, and mithral. You can't use major creation to create a cold iron item.</t>
  </si>
  <si>
    <t>&lt;p&gt;This spell functions like &lt;i&gt;minor creation,&lt;/i&gt; except that you can also create an object of mineral nature: stone, crystal, metal, or the like. The duration of the created item varies with its relative hardness and rarity, as indicated on the following table.&lt;/p&gt;&lt;p&gt; &lt;table&gt;&lt;tr&gt;&lt;th&gt;Hardness and Rarity Examples&lt;/th&gt;&lt;th&gt;Duration&lt;/th&gt;&lt;/tr&gt;&lt;tr&gt;&lt;td&gt;Vegetable matter&lt;/td&gt;&lt;td&gt;2 hr./level&lt;/td&gt;&lt;/tr&gt;&lt;tr&gt;&lt;td&gt;Stone, crystal, base metals&lt;/td&gt;&lt;td&gt;1 hr./level&lt;/td&gt;&lt;/tr&gt;&lt;tr&gt;&lt;td&gt;Precious metals&lt;/td&gt;&lt;td&gt;20 min./level&lt;/td&gt;&lt;/tr&gt;&lt;tr&gt;&lt;td&gt;Gems&lt;/td&gt;&lt;td&gt;10 min./level&lt;/td&gt;&lt;/tr&gt;&lt;tr&gt;&lt;td&gt;Rare metal*&lt;/td&gt;&lt;td&gt;1 round/level&lt;/td&gt;&lt;/tr&gt;&lt;tr&gt;&lt;td colspan="2"&gt;*Includes adamantine, alchemical silver, and mithral. You can't use major creation to create a cold iron item.&lt;/td&gt;&lt;/tr&gt;&lt;/table&gt; &lt;/p&gt;</t>
  </si>
  <si>
    <t>&lt;link rel="stylesheet"href="PF.css"&gt;&lt;div class="heading"&gt;&lt;p class="alignleft"&gt;Major Creation&lt;/p&gt;&lt;div style="clear: both;"&gt;&lt;/div&gt;&lt;/div&gt;&lt;div&gt;&lt;h5&gt;&lt;b&gt;School &lt;/b&gt;conjuration (creation); &lt;b&gt;Level &lt;/b&gt;sorcerer/wizard 5, summoner 4, witch 5, occultist 4, psychic 5&lt;/h5&gt;&lt;/div&gt;&lt;hr/&gt;&lt;div&gt;&lt;h5&gt;&lt;b&gt;CASTING&lt;/b&gt;&lt;/h5&gt;&lt;/div&gt;&lt;hr/&gt;&lt;div&gt;&lt;h5&gt;&lt;b&gt;Casting Time &lt;/b&gt;10 minutes&lt;/h5&gt;&lt;h5&gt;&lt;b&gt;Components &lt;/b&gt;V, S, M (a tiny piece of matter of the same sort of item you plan to create with minor creation)&lt;/h5&gt;&lt;/div&gt;&lt;hr/&gt;&lt;div&gt;&lt;h5&gt;&lt;b&gt;EFFECT&lt;/b&gt;&lt;/h5&gt;&lt;/div&gt;&lt;hr/&gt;&lt;div&gt;&lt;h5&gt;&lt;b&gt;Range &lt;/b&gt;close (25 ft. + 5 ft./2 levels)&lt;/h5&gt;&lt;h5&gt;&lt;b&gt;Effect &lt;/b&gt;unattended, nonmagical object of nonliving plant matter, up to 1 cu. ft./level&lt;/h5&gt;&lt;h5&gt;&lt;b&gt;Duration &lt;/b&gt;see text&lt;/h5&gt;&lt;h5&gt;&lt;b&gt;Saving Throw &lt;/b&gt;none; &lt;b&gt;Spell Resistance &lt;/b&gt;no&lt;/h5&gt;&lt;/div&gt;&lt;hr/&gt;&lt;div&gt;&lt;h5&gt;&lt;b&gt;DESCRIPTION&lt;/b&gt;&lt;/h5&gt;&lt;/div&gt;&lt;hr/&gt;&lt;div&gt;&lt;h4&gt;&lt;p&gt;This spell functions like &lt;i&gt;minor creation,&lt;/i&gt; except that you can also create an object of mineral nature: stone, crystal, metal, or the like. The duration of the created item varies with its relative hardness and rarity, as indicated on the following table.&lt;/p&gt;&lt;p&gt; &lt;table&gt;&lt;tr&gt;&lt;th&gt;Hardness and Rarity Examples&lt;/th&gt;&lt;th&gt;Duration&lt;/th&gt;&lt;/tr&gt;&lt;tr&gt;&lt;td&gt;Vegetable matter&lt;/td&gt;&lt;td&gt;2 hr./level&lt;/td&gt;&lt;/tr&gt;&lt;tr&gt;&lt;td&gt;Stone, crystal, base metals&lt;/td&gt;&lt;td&gt;1 hr./level&lt;/td&gt;&lt;/tr&gt;&lt;tr&gt;&lt;td&gt;Precious metals&lt;/td&gt;&lt;td&gt;20 min./level&lt;/td&gt;&lt;/tr&gt;&lt;tr&gt;&lt;td&gt;Gems&lt;/td&gt;&lt;td&gt;10 min./level&lt;/td&gt;&lt;/tr&gt;&lt;tr&gt;&lt;td&gt;Rare metal*&lt;/td&gt;&lt;td&gt;1 round/level&lt;/td&gt;&lt;/tr&gt;&lt;tr&gt;&lt;td colspan="2"&gt;*Includes adamantine, alchemical silver, and mithral. You can't use major creation to create a cold iron item.&lt;/td&gt;&lt;/tr&gt;&lt;/table&gt; &lt;/p&gt;&lt;/h4&gt;&lt;/div&gt;</t>
  </si>
  <si>
    <t>Artifice (6), Flotsam (5)</t>
  </si>
  <si>
    <t> As minor creation, plus stone and metal.</t>
  </si>
  <si>
    <t>Protean (11)</t>
  </si>
  <si>
    <t>Major Image</t>
  </si>
  <si>
    <t>bard 3, sorcerer/wizard 3, magus 3, occultist 3, psychic 3, mesmerist 3</t>
  </si>
  <si>
    <t>V, S, F (a bit of fleece)</t>
  </si>
  <si>
    <t>visual figment that cannot extend beyond four 10-ft. cubes + one 10-ft. cube/level (S)</t>
  </si>
  <si>
    <t>Concentration + 3 rounds</t>
  </si>
  <si>
    <t>This spell functions like silent image, except that sound, smell, and thermal illusions are included in the spell effect. While concentrating, you can move the image within the range.  The image disappears when struck by an opponent unless you cause the illusion to react appropriately.</t>
  </si>
  <si>
    <t>&lt;p&gt;This spell functions like &lt;i&gt;silent image,&lt;/i&gt; except that sound, smell, and thermal illusions are included in the spell effect. While concentrating, you can move the image within the range.&lt;/p&gt;&lt;p&gt;The image disappears when struck by an opponent unless you cause the illusion to react appropriately.&lt;/p&gt;</t>
  </si>
  <si>
    <t>&lt;link rel="stylesheet"href="PF.css"&gt;&lt;div class="heading"&gt;&lt;p class="alignleft"&gt;Major Image&lt;/p&gt;&lt;div style="clear: both;"&gt;&lt;/div&gt;&lt;/div&gt;&lt;div&gt;&lt;h5&gt;&lt;b&gt;School &lt;/b&gt;illusion (figment); &lt;b&gt;Level &lt;/b&gt;bard 3, sorcerer/wizard 3, magus 3, occultist 3, psychic 3, mesmerist 3, witch 3, alchemist 2, witch 2, inquisitor 2, witch 8&lt;/h5&gt;&lt;/div&gt;&lt;hr/&gt;&lt;div&gt;&lt;h5&gt;&lt;b&gt;CASTING&lt;/b&gt;&lt;/h5&gt;&lt;/div&gt;&lt;hr/&gt;&lt;div&gt;&lt;h5&gt;&lt;b&gt;Casting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 + 3 rounds&lt;/h5&gt;&lt;h5&gt;&lt;b&gt;Saving Throw &lt;/b&gt;Will disbelief (if interacted with); &lt;b&gt;Spell Resistance &lt;/b&gt;no&lt;/h5&gt;&lt;/div&gt;&lt;hr/&gt;&lt;div&gt;&lt;h5&gt;&lt;b&gt;DESCRIPTION&lt;/b&gt;&lt;/h5&gt;&lt;/div&gt;&lt;hr/&gt;&lt;div&gt;&lt;h4&gt;&lt;p&gt;This spell functions like &lt;i&gt;silent image,&lt;/i&gt; except that sound, smell, and thermal illusions are included in the spell effect. While concentrating, you can move the image within the range.&lt;/p&gt;&lt;p&gt;The image disappears when struck by an opponent unless you cause the illusion to react appropriately.&lt;/p&gt;&lt;/h4&gt;&lt;/div&gt;</t>
  </si>
  <si>
    <t>Imagination (3)</t>
  </si>
  <si>
    <t>As silent image, plus sound, smell, and thermal effects.</t>
  </si>
  <si>
    <t>Trickery (6)</t>
  </si>
  <si>
    <t>Make Whole</t>
  </si>
  <si>
    <t>cleric/oracle 2, sorcerer/wizard 2, occultist 2, psychic 2</t>
  </si>
  <si>
    <t>one object of up to 10 cu. ft./level or one construct creature of any size</t>
  </si>
  <si>
    <t>This spell functions as mending, except that it repairs 1d6 points of damage per level when cast on an object or construct creature (maximum 5d6).  Make whole can fix destroyed magic items (at 0 hit points or less), and restores the magic properties of the item if your caster level is at least twice that of the item. Items with charges (such as wands) and single-use items (such as potions and scrolls) cannot be repaired in this way. When make whole is used on a construct creature, the spell bypasses any immunity to magic as if the spell did not allow spell resistance.</t>
  </si>
  <si>
    <t>&lt;p&gt;This spell functions as &lt;i&gt;mending&lt;/i&gt;, except that it repairs 1d6 points of damage per level when cast on an object or construct creature (maximum 5d6).&lt;/p&gt;&lt;p&gt;&lt;i&gt;Make whole&lt;/i&gt; can fix destroyed magic items (at 0 hit points or less), and restores the magic properties of the item if your caster level is at least twice that of the item. Items with charges (such as wands) and single-use items (such as potions and scrolls) cannot be repaired in this way. When &lt;i&gt;make whole&lt;/i&gt; is used on a construct creature, the spell bypasses any immunity to magic as if the spell did not allow spell resistance.&lt;/p&gt;</t>
  </si>
  <si>
    <t>&lt;link rel="stylesheet"href="PF.css"&gt;&lt;div class="heading"&gt;&lt;p class="alignleft"&gt;Make Whole&lt;/p&gt;&lt;div style="clear: both;"&gt;&lt;/div&gt;&lt;/div&gt;&lt;div&gt;&lt;h5&gt;&lt;b&gt;School &lt;/b&gt;transmutation; &lt;b&gt;Level &lt;/b&gt;cleric/oracle 2, sorcerer/wizard 2, occultist 2, psychic 2&lt;/h5&gt;&lt;/div&gt;&lt;hr/&gt;&lt;div&gt;&lt;h5&gt;&lt;b&gt;CASTING&lt;/b&gt;&lt;/h5&gt;&lt;/div&gt;&lt;hr/&gt;&lt;div&gt;&lt;h5&gt;&lt;b&gt;Casting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object of up to 10 cu. ft./level or one construct creature of any size&lt;/h5&gt;&lt;h5&gt;&lt;b&gt;Duration &lt;/b&gt;instantaneous&lt;/h5&gt;&lt;h5&gt;&lt;b&gt;Saving Throw &lt;/b&gt;Will negates (harmless, object); &lt;b&gt;Spell Resistance &lt;/b&gt;yes (harmless, object)&lt;/h5&gt;&lt;/div&gt;&lt;hr/&gt;&lt;div&gt;&lt;h5&gt;&lt;b&gt;DESCRIPTION&lt;/b&gt;&lt;/h5&gt;&lt;/div&gt;&lt;hr/&gt;&lt;div&gt;&lt;h4&gt;&lt;p&gt;This spell functions as &lt;i&gt;mending&lt;/i&gt;, except that it repairs 1d6 points of damage per level when cast on an object or construct creature (maximum 5d6).&lt;/p&gt;&lt;p&gt;&lt;i&gt;Make whole&lt;/i&gt; can fix destroyed magic items (at 0 hit points or less), and restores the magic properties of the item if your caster level is at least twice that of the item. Items with charges (such as wands) and single-use items (such as potions and scrolls) cannot be repaired in this way. When &lt;i&gt;make whole&lt;/i&gt; is used on a construct creature, the spell bypasses any immunity to magic as if the spell did not allow spell resistance.&lt;/p&gt;&lt;/h4&gt;&lt;h5&gt;&lt;b&gt;Mythic: &lt;/b&gt;The damage the spell repairs increases to 2d6 points of damage per 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level.&lt;/h5&gt;&lt;/div&gt;</t>
  </si>
  <si>
    <t>Flotsam (2)</t>
  </si>
  <si>
    <t>Repairs an object.</t>
  </si>
  <si>
    <t>Impossible (5)</t>
  </si>
  <si>
    <t>The damage the spell repairs increases to 2d6 points of damage per 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t>
  </si>
  <si>
    <t>Mark of Justice</t>
  </si>
  <si>
    <t>cleric/oracle 5, paladin 4, witch 5, inquisitor 5</t>
  </si>
  <si>
    <t>permanent; see text</t>
  </si>
  <si>
    <t>You mark a subject and state some behavior on the part of the subject that will activate the mark. When activated, the mark curses the subject. Typically, you designate some sort of undesirable behavior that activates the mark, but you can pick any act you please.  The effect of the mark is identical with the effect of bestow curse.  Since this spell takes 10 minutes to cast and involves writing on the target, you can cast it only on a creature that is willing or restrained.  Like the effect of bestow curse, a mark of justice cannot be dispelled, but it can be removed with a break enchantment, limited wish, miracle, remove curse, or wish spell. Remove curse works only if its caster level is equal to or higher than your mark of justice caster level. These restrictions apply regardless of whether the mark has activated.</t>
  </si>
  <si>
    <t>&lt;p&gt;You mark a subject and state some behavior on the part of the subject that will activate the mark. When activated, the mark curses the subject. Typically, you designate some sort of undesirable behavior that activates the mark, but you can pick any act you please.&lt;/p&gt;&lt;p&gt;The effect of the mark is identical with the effect of &lt;i&gt;bestow curse&lt;/i&gt;.&lt;/p&gt;&lt;p&gt;Since this spell takes 10 minutes to cast and involves writing on the target, you can cast it only on a creature that is willing or restrained.&lt;/p&gt;&lt;p&gt;Like the effect of &lt;i&gt;bestow curse&lt;/i&gt;, a &lt;i&gt;mark of justice&lt;/i&gt; cannot be dispelled, but it can be removed with a break enchantment, limited &lt;i&gt;wish&lt;/i&gt;, miracle, remove curse, or &lt;i&gt;wish&lt;/i&gt; spell. &lt;i&gt;Remove curse&lt;/i&gt; works only if its caster level is equal to or higher than your &lt;i&gt;mark of justice&lt;/i&gt; caster level. These restrictions apply regardless of whether the mark has activated.&lt;/p&gt;</t>
  </si>
  <si>
    <t>&lt;link rel="stylesheet"href="PF.css"&gt;&lt;div class="heading"&gt;&lt;p class="alignleft"&gt;Mark of Justice&lt;/p&gt;&lt;div style="clear: both;"&gt;&lt;/div&gt;&lt;/div&gt;&lt;div&gt;&lt;h5&gt;&lt;b&gt;School &lt;/b&gt;necromancy [curse]; &lt;b&gt;Level &lt;/b&gt;cleric/oracle 5, paladin 4, witch 5, inquisitor 5&lt;/h5&gt;&lt;/div&gt;&lt;hr/&gt;&lt;div&gt;&lt;h5&gt;&lt;b&gt;CASTING&lt;/b&gt;&lt;/h5&gt;&lt;/div&gt;&lt;hr/&gt;&lt;div&gt;&lt;h5&gt;&lt;b&gt;Casting Time &lt;/b&gt;10 minutes&lt;/h5&gt;&lt;h5&gt;&lt;b&gt;Components &lt;/b&gt;V, S, DF&lt;/h5&gt;&lt;/div&gt;&lt;hr/&gt;&lt;div&gt;&lt;h5&gt;&lt;b&gt;EFFECT&lt;/b&gt;&lt;/h5&gt;&lt;/div&gt;&lt;hr/&gt;&lt;div&gt;&lt;h5&gt;&lt;b&gt;Range &lt;/b&gt;touch&lt;/h5&gt;&lt;h5&gt;&lt;b&gt;Targets &lt;/b&gt;creature touched&lt;/h5&gt;&lt;h5&gt;&lt;b&gt;Duration &lt;/b&gt;permanent; see text&lt;/h5&gt;&lt;h5&gt;&lt;b&gt;Saving Throw &lt;/b&gt;none; &lt;b&gt;Spell Resistance &lt;/b&gt;yes&lt;/h5&gt;&lt;/div&gt;&lt;hr/&gt;&lt;div&gt;&lt;h5&gt;&lt;b&gt;DESCRIPTION&lt;/b&gt;&lt;/h5&gt;&lt;/div&gt;&lt;hr/&gt;&lt;div&gt;&lt;h4&gt;&lt;p&gt;You mark a subject and state some behavior on the part of the subject that will activate the mark. When activated, the mark curses the subject. Typically, you designate some sort of undesirable behavior that activates the mark, but you can pick any act you please.&lt;/p&gt;&lt;p&gt;The effect of the mark is identical with the effect of &lt;i&gt;bestow curse&lt;/i&gt;.&lt;/p&gt;&lt;p&gt;Since this spell takes 10 minutes to cast and involves writing on the target, you can cast it only on a creature that is willing or restrained.&lt;/p&gt;&lt;p&gt;Like the effect of &lt;i&gt;bestow curse&lt;/i&gt;, a &lt;i&gt;mark of justice&lt;/i&gt; cannot be dispelled, but it can be removed with a break enchantment, limited &lt;i&gt;wish&lt;/i&gt;, miracle, remove curse, or &lt;i&gt;wish&lt;/i&gt; spell. &lt;i&gt;Remove curse&lt;/i&gt; works only if its caster level is equal to or higher than your &lt;i&gt;mark of justice&lt;/i&gt; caster level. These restrictions apply regardless of whether the mark has activated.&lt;/p&gt;&lt;/h4&gt;&lt;/div&gt;</t>
  </si>
  <si>
    <t>Judgment (5)</t>
  </si>
  <si>
    <t>Designates action that triggers curse on subject.</t>
  </si>
  <si>
    <t>Maze</t>
  </si>
  <si>
    <t>sorcerer/wizard 8, summoner 6, witch 8, psychic 8</t>
  </si>
  <si>
    <t>You banish the subject into an extradimensional labyrinth. Each round on its turn, it may attempt a DC 20 Intelligence check to escape the labyrinth as a full-round action. If the subject doesn't escape, the maze disappears after 10 minutes, freeing the subject.  On escaping or leaving the maze, the subject reappears where it had been when the maze spell was cast. If this location is filled with a solid object, the subject appears in the nearest open space.  Spells and abilities that move a creature within a plane, such as teleport and dimension door, do not help a creature escape a maze spell, although a plane shift spell allows it to exit to whatever plane is designated in that spell. Minotaurs are not affected by this spell.</t>
  </si>
  <si>
    <t>&lt;p&gt;You banish the subject into an extradimensional labyrinth. Each round on its turn, it may attempt a DC 20 Intelligence check to escape the labyrinth as a full-round action. If the subject doesn't escape, the &lt;i&gt;maze&lt;/i&gt; disappears after 10 minutes, freeing the subject.&lt;/p&gt;&lt;p&gt;On escaping or leaving the &lt;i&gt;maze&lt;/i&gt;, the subject reappears where it had been when the &lt;i&gt;maze&lt;/i&gt; spell was cast. If this location is filled with a solid object, the subject appears in the nearest open space.&lt;/p&gt;&lt;p&gt;Spells and abilities that move a creature within a plane, such as &lt;i&gt;teleport&lt;/i&gt; and &lt;i&gt;dimension door&lt;/i&gt;, do not help a creature escape a &lt;i&gt;maze&lt;/i&gt; spell, although a &lt;i&gt;plane shift&lt;/i&gt; spell allows it to exit to whatever plane is designated in that spell. Minotaurs are not affected by this spell.&lt;/p&gt;</t>
  </si>
  <si>
    <t>&lt;link rel="stylesheet"href="PF.css"&gt;&lt;div class="heading"&gt;&lt;p class="alignleft"&gt;Maze&lt;/p&gt;&lt;div style="clear: both;"&gt;&lt;/div&gt;&lt;/div&gt;&lt;div&gt;&lt;h5&gt;&lt;b&gt;School &lt;/b&gt;conjuration (teleportation); &lt;b&gt;Level &lt;/b&gt;sorcerer/wizard 8, summoner 6, witch 8,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&lt;/b&gt;see text&lt;/h5&gt;&lt;h5&gt;&lt;b&gt;Saving Throw &lt;/b&gt;none; &lt;b&gt;Spell Resistance &lt;/b&gt;yes&lt;/h5&gt;&lt;/div&gt;&lt;hr/&gt;&lt;div&gt;&lt;h5&gt;&lt;b&gt;DESCRIPTION&lt;/b&gt;&lt;/h5&gt;&lt;/div&gt;&lt;hr/&gt;&lt;div&gt;&lt;h4&gt;&lt;p&gt;You banish the subject into an extradimensional labyrinth. Each round on its turn, it may attempt a DC 20 Intelligence check to escape the labyrinth as a full-round action. If the subject doesn't escape, the &lt;i&gt;maze&lt;/i&gt; disappears after 10 minutes, freeing the subject.&lt;/p&gt;&lt;p&gt;On escaping or leaving the &lt;i&gt;maze&lt;/i&gt;, the subject reappears where it had been when the &lt;i&gt;maze&lt;/i&gt; spell was cast. If this location is filled with a solid object, the subject appears in the nearest open space.&lt;/p&gt;&lt;p&gt;Spells and abilities that move a creature within a plane, such as &lt;i&gt;teleport&lt;/i&gt; and &lt;i&gt;dimension door&lt;/i&gt;, do not help a creature escape a &lt;i&gt;maze&lt;/i&gt; spell, although a &lt;i&gt;plane shift&lt;/i&gt; spell allows it to exit to whatever plane is designated in that spell. Minotaurs are not affected by this spell.&lt;/p&gt;&lt;/h4&gt;&lt;h5&gt;&lt;b&gt;Mythic: &lt;/b&gt;A spectral minotaur hunts the target trapped in the maze. Every round the creature fails to escape from the maze, it takes 2d8 + your tier points of piercing and slashing damage from this phantom opponent.&lt;/h5&gt;&lt;/div&gt;</t>
  </si>
  <si>
    <t> Traps subject in extradimensional maze.</t>
  </si>
  <si>
    <t>A spectral minotaur hunts the target trapped in the maze. Every round the creature fails to escape from the maze, it takes 2d8 + your tier points of piercing and slashing damage from this phantom opponent.</t>
  </si>
  <si>
    <t>Meld into Stone</t>
  </si>
  <si>
    <t>cleric/oracle 3, druid 3, psychic 3</t>
  </si>
  <si>
    <t>Meld into stone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  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  Any time before the duration expires, you can step out of the stone through the surface that you entered. If the spell's duration expires or the effect is dispelled before you voluntarily exit the stone, you are violently expelled and take 5d6 points of damage.  The following spells harm you if cast upon the stone that you are occupying. Stone to flesh expels you and deals you 5d6 points of damage. Stone shape deals 3d6 points of damage but does not expel you. Transmute rock to mud expels you and then slays you instantly unless you make a DC 18 Fortitude save, in which case you are merely expelled. Finally, passwall expels you without damage.</t>
  </si>
  <si>
    <t>&lt;p&gt;&lt;i&gt;Meld into stone&lt;/i&gt;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wasted.&lt;/p&gt;&lt;p&gt;While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damage.&lt;/p&gt;&lt;p&gt;Any time before the duration expires, you can step out of the stone through the surface that you entered. If the spell's duration expires or the effect is dispelled before you voluntarily exit the stone, you are violently expelled and take 5d6 points of damage.&lt;/p&gt;&lt;p&gt;The following spells harm you if cast upon the stone that you are occupying. &lt;i&gt;Stone to flesh&lt;/i&gt; expels you and deals you 5d6 points of damage. Stone &lt;i&gt;shape&lt;/i&gt; deals 3d6 points of damage but does not expel you. &lt;i&gt;Transmute rock to mud&lt;/i&gt; expels you and then slays you instantly unless you make a DC 18 Fortitude save, in which case you are merely expelled. Finally, &lt;i&gt;passwall&lt;/i&gt; expels you without damage.&lt;/p&gt;</t>
  </si>
  <si>
    <t>&lt;link rel="stylesheet"href="PF.css"&gt;&lt;div class="heading"&gt;&lt;p class="alignleft"&gt;Meld into Stone&lt;/p&gt;&lt;div style="clear: both;"&gt;&lt;/div&gt;&lt;/div&gt;&lt;div&gt;&lt;h5&gt;&lt;b&gt;School &lt;/b&gt;transmutation [earth]; &lt;b&gt;Level &lt;/b&gt;cleric/oracle 3, druid 3, psychic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min./level&lt;/h5&gt;&lt;/div&gt;&lt;hr/&gt;&lt;div&gt;&lt;h5&gt;&lt;b&gt;DESCRIPTION&lt;/b&gt;&lt;/h5&gt;&lt;/div&gt;&lt;hr/&gt;&lt;div&gt;&lt;h4&gt;&lt;p&gt;&lt;i&gt;Meld into stone&lt;/i&gt;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wasted.&lt;/p&gt;&lt;p&gt;While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damage.&lt;/p&gt;&lt;p&gt;Any time before the duration expires, you can step out of the stone through the surface that you entered. If the spell's duration expires or the effect is dispelled before you voluntarily exit the stone, you are violently expelled and take 5d6 points of damage.&lt;/p&gt;&lt;p&gt;The following spells harm you if cast upon the stone that you are occupying. &lt;i&gt;Stone to flesh&lt;/i&gt; expels you and deals you 5d6 points of damage. Stone &lt;i&gt;shape&lt;/i&gt; deals 3d6 points of damage but does not expel you. &lt;i&gt;Transmute rock to mud&lt;/i&gt; expels you and then slays you instantly unless you make a DC 18 Fortitude save, in which case you are merely expelled. Finally, &lt;i&gt;passwall&lt;/i&gt; expels you without damage.&lt;/p&gt;&lt;/h4&gt;&lt;/div&gt;</t>
  </si>
  <si>
    <t>Ruins (3)</t>
  </si>
  <si>
    <t>You and your gear merge with stone.</t>
  </si>
  <si>
    <t>Mending</t>
  </si>
  <si>
    <t>bard 0, cleric/oracle 0, druid 0, sorcerer/wizard 0, summoner 0, witch 0, summoner 0, witch 0, shaman 0, occultist 0, psychic 0, spiritualist 0</t>
  </si>
  <si>
    <t>one object of up to 1 lb./level</t>
  </si>
  <si>
    <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t>
  </si>
  <si>
    <t>&lt;p&gt;This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items.&lt;/p&gt;</t>
  </si>
  <si>
    <t>&lt;link rel="stylesheet"href="PF.css"&gt;&lt;div class="heading"&gt;&lt;p class="alignleft"&gt;Mending&lt;/p&gt;&lt;div style="clear: both;"&gt;&lt;/div&gt;&lt;/div&gt;&lt;div&gt;&lt;h5&gt;&lt;b&gt;School &lt;/b&gt;transmutation; &lt;b&gt;Level &lt;/b&gt;bard 0, cleric/oracle 0, druid 0, sorcerer/wizard 0, summoner 0, witch 0, summoner 0, witch 0, shaman 0, occultist 0, psychic 0, spiritualist 0&lt;/h5&gt;&lt;/div&gt;&lt;hr/&gt;&lt;div&gt;&lt;h5&gt;&lt;b&gt;CASTING&lt;/b&gt;&lt;/h5&gt;&lt;/div&gt;&lt;hr/&gt;&lt;div&gt;&lt;h5&gt;&lt;b&gt;Casting Time &lt;/b&gt;10 minutes&lt;/h5&gt;&lt;h5&gt;&lt;b&gt;Components &lt;/b&gt;V, S&lt;/h5&gt;&lt;/div&gt;&lt;hr/&gt;&lt;div&gt;&lt;h5&gt;&lt;b&gt;EFFECT&lt;/b&gt;&lt;/h5&gt;&lt;/div&gt;&lt;hr/&gt;&lt;div&gt;&lt;h5&gt;&lt;b&gt;Range &lt;/b&gt;10 ft.&lt;/h5&gt;&lt;h5&gt;&lt;b&gt;Targets &lt;/b&gt;one object of up to 1 lb./level&lt;/h5&gt;&lt;h5&gt;&lt;b&gt;Duration &lt;/b&gt;instantaneous&lt;/h5&gt;&lt;h5&gt;&lt;b&gt;Saving Throw &lt;/b&gt;Will negates (harmless, object); &lt;b&gt;Spell Resistance &lt;/b&gt;yes (harmless, object)&lt;/h5&gt;&lt;/div&gt;&lt;hr/&gt;&lt;div&gt;&lt;h5&gt;&lt;b&gt;DESCRIPTION&lt;/b&gt;&lt;/h5&gt;&lt;/div&gt;&lt;hr/&gt;&lt;div&gt;&lt;h4&gt;&lt;p&gt;This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items.&lt;/p&gt;&lt;/h4&gt;&lt;/div&gt;</t>
  </si>
  <si>
    <t>Makes minor repairs on an object.</t>
  </si>
  <si>
    <t>Message</t>
  </si>
  <si>
    <t>language-dependent</t>
  </si>
  <si>
    <t>bard 0, sorcerer/wizard 0, summoner 0, witch 0, occultist 0, psychic 0, mesmerist 0, spiritualist 0</t>
  </si>
  <si>
    <t>V, S, F (a piece of copper wire)</t>
  </si>
  <si>
    <t>one creature/level</t>
  </si>
  <si>
    <t>You can whisper messages and receive whispered replies.  Those nearby can hear these messages with a DC 25 Perception check. You point your finger at each creature you want to receive the message. When you whisper, the whispered message is audible to all targeted creatures within range.  Magical silence, 1 foot of stone, 1 inch of common metal (or a thin sheet of lead), or 3 feet of wood or dirt blocks the spell.  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t>
  </si>
  <si>
    <t>&lt;p&gt;You can whisper messages and receive whispered replies.&lt;/p&gt;&lt;p&gt;Those nearby can hear these messages with a DC 25 Perception check. You point your finger at each creature you want to receive the message. When you whisper, the whispered message is audible to all targeted creatures within range.&lt;/p&gt;&lt;p&gt;Magical &lt;i&gt;silence,&lt;/i&gt; 1 foot of stone, 1 inch of common metal (or a thin sheet of lead), or 3 feet of wood or dirt blocks the spell.&lt;/p&gt;&lt;p&gt;The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whisper.&lt;/p&gt;</t>
  </si>
  <si>
    <t>&lt;link rel="stylesheet"href="PF.css"&gt;&lt;div class="heading"&gt;&lt;p class="alignleft"&gt;Message&lt;/p&gt;&lt;div style="clear: both;"&gt;&lt;/div&gt;&lt;/div&gt;&lt;div&gt;&lt;h5&gt;&lt;b&gt;School &lt;/b&gt;transmutation [language-dependent]; &lt;b&gt;Level &lt;/b&gt;bard 0, sorcerer/wizard 0, summoner 0, witch 0, occultist 0, psychic 0, mesmerist 0, spiritualist 0&lt;/h5&gt;&lt;/div&gt;&lt;hr/&gt;&lt;div&gt;&lt;h5&gt;&lt;b&gt;CASTING&lt;/b&gt;&lt;/h5&gt;&lt;/div&gt;&lt;hr/&gt;&lt;div&gt;&lt;h5&gt;&lt;b&gt;Casting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min./level&lt;/h5&gt;&lt;h5&gt;&lt;b&gt;Saving Throw &lt;/b&gt;none; &lt;b&gt;Spell Resistance &lt;/b&gt;no&lt;/h5&gt;&lt;/div&gt;&lt;hr/&gt;&lt;div&gt;&lt;h5&gt;&lt;b&gt;DESCRIPTION&lt;/b&gt;&lt;/h5&gt;&lt;/div&gt;&lt;hr/&gt;&lt;div&gt;&lt;h4&gt;&lt;p&gt;You can whisper messages and receive whispered replies.&lt;/p&gt;&lt;p&gt;Those nearby can hear these messages with a DC 25 Perception check. You point your finger at each creature you want to receive the message. When you whisper, the whispered message is audible to all targeted creatures within range.&lt;/p&gt;&lt;p&gt;Magical &lt;i&gt;silence,&lt;/i&gt; 1 foot of stone, 1 inch of common metal (or a thin sheet of lead), or 3 feet of wood or dirt blocks the spell.&lt;/p&gt;&lt;p&gt;The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whisper.&lt;/p&gt;&lt;/h4&gt;&lt;/div&gt;</t>
  </si>
  <si>
    <t>Whisper conversation at distance.</t>
  </si>
  <si>
    <t>Meteor Swarm</t>
  </si>
  <si>
    <t>sorcerer/wizard 9</t>
  </si>
  <si>
    <t>four 40-ft.-radius spreads, see text</t>
  </si>
  <si>
    <t>none or Reflex half, see text</t>
  </si>
  <si>
    <t>Meteor swarm is a very powerful and spectacular spell that is similar to fireball in many aspects. When you cast it, four 2-foot-diameter spheres spring from your outstretched hand and streak in straight lines to the spots you select. The meteor spheres leave a fiery trail of sparks.  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  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t>
  </si>
  <si>
    <t>&lt;p&gt;&lt;i&gt;Meteor swarm&lt;/i&gt; is a very powerful and spectacular spell that is similar to &lt;i&gt;fireball&lt;/i&gt; in many aspects. When you cast it, four 2-foot-diameter spheres spring from your outstretched hand and streak in straight lines to the spots you select. The meteor spheres leave a fiery trail of sparks.&lt;/p&gt;&lt;p&gt;If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target.&lt;/p&gt;&lt;p&gt;Once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once.&lt;/p&gt;</t>
  </si>
  <si>
    <t>&lt;link rel="stylesheet"href="PF.css"&gt;&lt;div class="heading"&gt;&lt;p class="alignleft"&gt;Meteor Swarm&lt;/p&gt;&lt;div style="clear: both;"&gt;&lt;/div&gt;&lt;/div&gt;&lt;div&gt;&lt;h5&gt;&lt;b&gt;School &lt;/b&gt;evocation [fire];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&lt;/b&gt;four 40-ft.-radius spreads, see text&lt;/h5&gt;&lt;h5&gt;&lt;b&gt;Duration &lt;/b&gt;instantaneous&lt;/h5&gt;&lt;h5&gt;&lt;b&gt;Saving Throw &lt;/b&gt;none or Reflex half, see text; &lt;b&gt;Spell Resistance &lt;/b&gt;yes&lt;/h5&gt;&lt;/div&gt;&lt;hr/&gt;&lt;div&gt;&lt;h5&gt;&lt;b&gt;DESCRIPTION&lt;/b&gt;&lt;/h5&gt;&lt;/div&gt;&lt;hr/&gt;&lt;div&gt;&lt;h4&gt;&lt;p&gt;&lt;i&gt;Meteor swarm&lt;/i&gt; is a very powerful and spectacular spell that is similar to &lt;i&gt;fireball&lt;/i&gt; in many aspects. When you cast it, four 2-foot-diameter spheres spring from your outstretched hand and streak in straight lines to the spots you select. The meteor spheres leave a fiery trail of sparks.&lt;/p&gt;&lt;p&gt;If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target.&lt;/p&gt;&lt;p&gt;Once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once.&lt;/p&gt;&lt;/h4&gt;&lt;h5&gt;&lt;b&gt;Mythic: &lt;/b&gt;The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rounds.&lt;/h5&gt;&lt;h5&gt;&lt;b&gt;Augmented (10th)&lt;/b&gt;: If you expend two uses of mythic power, creatures in the path of a meteor also take 4d10 points of fire damage and the damage from the exploding meteors increases to 10d10 points of fire damage; this fire damage bypasses fire resistance and fire immunity.&lt;/h5&gt;&lt;/div&gt;</t>
  </si>
  <si>
    <t>Stars (9)</t>
  </si>
  <si>
    <t> Four exploding spheres each deal 6d6 fire damage.</t>
  </si>
  <si>
    <t>Boreal (19), Infernal (19), Orc (19), Starsoul (19)</t>
  </si>
  <si>
    <t>Elements (18), Moon (18)</t>
  </si>
  <si>
    <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t>
  </si>
  <si>
    <t>Augmented (10th): If you expend two uses of mythic power, creatures in the path of a meteor also take 4d10 points of fire damage and the damage from the exploding meteors increases to 10d10 points of fire damage; this fire damage bypasses fire resistance and fire immunity.</t>
  </si>
  <si>
    <t>Mind Blank</t>
  </si>
  <si>
    <t>sorcerer/wizard 8, witch 8, psychic 7</t>
  </si>
  <si>
    <t>The subject is protected from all devices and spells that gather information about the target through divination magic (such as detect evil, locate creature, scry, and see invisible). This spell also grants a +8 resistance bonus on saving throws against all mindaffecting spells and effects. Mind blank even foils limited wish, miracle, and wish spells when they are used in such a way as to gain information about the target. In the case of scrying that scans an area the creature is in, such as arcane eye, the spell works but the creature simply isn't detected. Scrying attempts that are targeted specifically at the subject do not work at all.</t>
  </si>
  <si>
    <t>&lt;p&gt;The subject is protected from all devices and spells that gather information about the target through divination magic (such as &lt;i&gt;detect evil, locate creature, scry,&lt;/i&gt; and &lt;i&gt;see invisible&lt;/i&gt;). This spell also grants a +8 resistance bonus on saving throws against all mindaffecting spells and effects. &lt;i&gt;Mind blank&lt;/i&gt; even foils limited &lt;i&gt;wish&lt;/i&gt;, miracle, and &lt;i&gt;wish&lt;/i&gt; spells when they are used in such a way as to gain information about the target. In the case of scrying that scans an area the creature is in, such as &lt;i&gt;arcane eye,&lt;/i&gt; the spell works but the creature simply isn't detected. Scrying attempts that are targeted specifically at the subject do not work at all.&lt;/p&gt;</t>
  </si>
  <si>
    <t>&lt;link rel="stylesheet"href="PF.css"&gt;&lt;div class="heading"&gt;&lt;p class="alignleft"&gt;Mind Blank&lt;/p&gt;&lt;div style="clear: both;"&gt;&lt;/div&gt;&lt;/div&gt;&lt;div&gt;&lt;h5&gt;&lt;b&gt;School &lt;/b&gt;abjuration; &lt;b&gt;Level &lt;/b&gt;sorcerer/wizard 8, witch 8,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&lt;/b&gt;24 hours&lt;/h5&gt;&lt;h5&gt;&lt;b&gt;Saving Throw &lt;/b&gt;Will negates (harmless); &lt;b&gt;Spell Resistance &lt;/b&gt;yes (harmless)&lt;/h5&gt;&lt;/div&gt;&lt;hr/&gt;&lt;div&gt;&lt;h5&gt;&lt;b&gt;DESCRIPTION&lt;/b&gt;&lt;/h5&gt;&lt;/div&gt;&lt;hr/&gt;&lt;div&gt;&lt;h4&gt;&lt;p&gt;The subject is protected from all devices and spells that gather information about the target through divination magic (such as &lt;i&gt;detect evil, locate creature, scry,&lt;/i&gt; and &lt;i&gt;see invisible&lt;/i&gt;). This spell also grants a +8 resistance bonus on saving throws against all mindaffecting spells and effects. &lt;i&gt;Mind blank&lt;/i&gt; even foils limited &lt;i&gt;wish&lt;/i&gt;, miracle, and &lt;i&gt;wish&lt;/i&gt; spells when they are used in such a way as to gain information about the target. In the case of scrying that scans an area the creature is in, such as &lt;i&gt;arcane eye,&lt;/i&gt; the spell works but the creature simply isn't detected. Scrying attempts that are targeted specifically at the subject do not work at all.&lt;/p&gt;&lt;/h4&gt;&lt;/div&gt;</t>
  </si>
  <si>
    <t>Liberation (8), Protection (8), Thought (8), Espionage (9), Vermin (9), Flowing (8)</t>
  </si>
  <si>
    <t> Subject is protected from mental/emotional magic and scrying.</t>
  </si>
  <si>
    <t>Aberrant (17), Martyred (17), Rakshasa (17)</t>
  </si>
  <si>
    <t>Mind Fog</t>
  </si>
  <si>
    <t>bard 5, sorcerer/wizard 5, witch 5, occultist 5, psychic 5, mesmerist 5, spiritualist 5</t>
  </si>
  <si>
    <t>30 minutes and 2d6 rounds; see text</t>
  </si>
  <si>
    <t>Mind fog produces a bank of thin mist that weakens the mental resistance of those caught in it. Creatures in the mind fog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  A moderate wind (11+ mph) disperses the fog in 4 rounds; a strong wind (21+ mph) disperses the fog in 1 round.  The fog is thin and does not significantly hamper vision.</t>
  </si>
  <si>
    <t>&lt;p&gt;&lt;i&gt;Mind fog&lt;/i&gt; produces a bank of thin mist that weakens the mental resistance of those caught in it. Creatures in the &lt;i&gt;mind fog&lt;/i&gt;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wind).&lt;/p&gt;&lt;p&gt;A moderate wind (11+ mph) disperses the fog in 4 rounds; a strong wind (21+ mph) disperses the fog in 1 round.&lt;/p&gt;&lt;p&gt;The fog is thin and does not significantly hamper vision.&lt;/p&gt;</t>
  </si>
  <si>
    <t>&lt;link rel="stylesheet"href="PF.css"&gt;&lt;div class="heading"&gt;&lt;p class="alignleft"&gt;Mind Fog&lt;/p&gt;&lt;div style="clear: both;"&gt;&lt;/div&gt;&lt;/div&gt;&lt;div&gt;&lt;h5&gt;&lt;b&gt;School &lt;/b&gt;enchantment (compulsion) [mind-affecting]; &lt;b&gt;Level &lt;/b&gt;bard 5, sorcerer/wizard 5, witch 5, occultist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&lt;/b&gt;fog spreads in 20-ft. radius, 20 ft. high&lt;/h5&gt;&lt;h5&gt;&lt;b&gt;Duration &lt;/b&gt;30 minutes and 2d6 rounds; see text&lt;/h5&gt;&lt;h5&gt;&lt;b&gt;Saving Throw &lt;/b&gt;Will negates; &lt;b&gt;Spell Resistance &lt;/b&gt;yes&lt;/h5&gt;&lt;/div&gt;&lt;hr/&gt;&lt;div&gt;&lt;h5&gt;&lt;b&gt;DESCRIPTION&lt;/b&gt;&lt;/h5&gt;&lt;/div&gt;&lt;hr/&gt;&lt;div&gt;&lt;h4&gt;&lt;p&gt;&lt;i&gt;Mind fog&lt;/i&gt; produces a bank of thin mist that weakens the mental resistance of those caught in it. Creatures in the &lt;i&gt;mind fog&lt;/i&gt;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wind).&lt;/p&gt;&lt;p&gt;A moderate wind (11+ mph) disperses the fog in 4 rounds; a strong wind (21+ mph) disperses the fog in 1 round.&lt;/p&gt;&lt;p&gt;The fog is thin and does not significantly hamper vision.&lt;/p&gt;&lt;/h4&gt;&lt;/div&gt;</t>
  </si>
  <si>
    <t>Subjects in fog get –10 to Wis and Will checks.</t>
  </si>
  <si>
    <t>Insanity (10)</t>
  </si>
  <si>
    <t>Minor Image</t>
  </si>
  <si>
    <t>bard 2, sorcerer/wizard 2, magus 2, occultist 2, psychic 2, mesmerist 2</t>
  </si>
  <si>
    <t>concentration + 2 rounds</t>
  </si>
  <si>
    <t>This spell functions like silent image, except that minor image includes some minor sounds but not understandable speech.</t>
  </si>
  <si>
    <t>&lt;p&gt;This spell functions like &lt;i&gt;silent image&lt;/i&gt;, except that &lt;i&gt;minor image&lt;/i&gt; includes some minor sounds but not understandable speech.&lt;/p&gt;</t>
  </si>
  <si>
    <t>&lt;link rel="stylesheet"href="PF.css"&gt;&lt;div class="heading"&gt;&lt;p class="alignleft"&gt;Minor Image&lt;/p&gt;&lt;div style="clear: both;"&gt;&lt;/div&gt;&lt;/div&gt;&lt;div&gt;&lt;h5&gt;&lt;b&gt;School &lt;/b&gt;illusion (figment); &lt;b&gt;Level &lt;/b&gt;bard 2, sorcerer/wizard 2, magus 2, occultist 2, psychic 2, mesmerist 2&lt;/h5&gt;&lt;/div&gt;&lt;hr/&gt;&lt;div&gt;&lt;h5&gt;&lt;b&gt;CASTING&lt;/b&gt;&lt;/h5&gt;&lt;/div&gt;&lt;hr/&gt;&lt;div&gt;&lt;h5&gt;&lt;b&gt;Casting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 + 2 rounds&lt;/h5&gt;&lt;h5&gt;&lt;b&gt;Saving Throw &lt;/b&gt;Will disbelief (if interacted with); &lt;b&gt;Spell Resistance &lt;/b&gt;no&lt;/h5&gt;&lt;/div&gt;&lt;hr/&gt;&lt;div&gt;&lt;h5&gt;&lt;b&gt;DESCRIPTION&lt;/b&gt;&lt;/h5&gt;&lt;/div&gt;&lt;hr/&gt;&lt;div&gt;&lt;h4&gt;&lt;p&gt;This spell functions like &lt;i&gt;silent image&lt;/i&gt;, except that &lt;i&gt;minor image&lt;/i&gt; includes some minor sounds but not understandable speech.&lt;/p&gt;&lt;/h4&gt;&lt;/div&gt;</t>
  </si>
  <si>
    <t>Imagination (2)</t>
  </si>
  <si>
    <t>As silent image, plus some sound.</t>
  </si>
  <si>
    <t>Miracle</t>
  </si>
  <si>
    <t>cleric/oracle 9</t>
  </si>
  <si>
    <t>V, S; see text</t>
  </si>
  <si>
    <t>You don't so much cast a miracle as request one. You state what you would like to have happen and request that your deity (or the power you pray to for spells) intercede. A miracle can do any of the following things. • Duplicate any cleric spell of 8th level or lower. • Duplicate any other spell of 7th level or lower. • Undo the harmful effects of certain spells, such as feeblemind or insanity. • Have any effect whose power level is in line with the above effects. Alternatively, a cleric can make a very powerful request. Casting such a miracle costs the cleric 25,000 gp in powdered diamond because of the powerful divine energies involved. Examples of especially powerful miracles of this sort could include the following: • Swinging the tide of a battle in your favor by raising fallen allies to continue fighting. • Moving you and your allies, with all your and their gear, from one plane to a specific locale through planar barriers with no chance of error. • Protecting a city from an earthquake, volcanic eruption, flood, or other major natural disaster. In any event, a request that is out of line with the deity's (or alignment's) nature is refused. A duplicated spell allows saving throws and spell resistance as normal, but the save DCs are as for a 9th-level spell. When a miracle spell duplicates a spell with a material component that costs more than 100 gp, you must provide that component.</t>
  </si>
  <si>
    <t>&lt;p&gt;You don't so much cast a &lt;i&gt;miracle&lt;/i&gt; as request one. You state what you would like to have happen and request that your deity (or the power you pray to for spells) intercede.&lt;/p&gt;&lt;p&gt;A &lt;i&gt;miracle&lt;/i&gt; can do any of the following things.&lt;/p&gt;&lt;p&gt;&lt;ul&gt;&lt;li&gt; Duplicate any cleric spell of 8th level or lower.&lt;/p&gt;&lt;p&gt;&lt;li&gt; Duplicate any other spell of 7th level or lower.&lt;/p&gt;&lt;p&gt;&lt;li&gt; Undo the harmful effects of certain spells, such as &lt;i&gt;feeblemind&lt;/i&gt; or &lt;i&gt;insanity.&lt;/i&gt;&lt;/p&gt;&lt;p&gt;&lt;li&gt; Have any effect whose power level is in line with the above effects.&lt;/ul&gt;&lt;/p&gt;&lt;p&gt;Alternatively, a cleric can make a very powerful request. Casting such a &lt;i&gt;miracle&lt;/i&gt; costs the cleric 25,000 gp in powdered diamond because of the powerful divine energies involved. Examples of especially powerful &lt;i&gt;miracle&lt;/i&gt;s of this sort could include the following: &lt;ul&gt;&lt;li&gt; Swinging the tide of a battle in your favor by raising fallen allies to continue fighting.&lt;/p&gt;&lt;p&gt;&lt;li&gt; Moving you and your allies, with all your and their gear, from one plane to a specific locale through planar barriers with no chance of error.&lt;/p&gt;&lt;p&gt;&lt;li&gt; Protecting a city from an earthquake, volcanic eruption, flood, or other major natural disaster.&lt;/ul&gt;&lt;/p&gt;&lt;p&gt;In any event, a request that is out of line with the deity's (or alignment's) nature is refused.&lt;/p&gt;&lt;p&gt;A duplicated spell allows saving throws and spell resistance as normal, but the save DCs are as for a 9th-level spell. When a &lt;i&gt;miracle&lt;/i&gt; spell duplicates a spell with a material component that costs more than 100 gp, you must provide that component.&lt;/p&gt;</t>
  </si>
  <si>
    <t>&lt;link rel="stylesheet"href="PF.css"&gt;&lt;div class="heading"&gt;&lt;p class="alignleft"&gt;Miracle&lt;/p&gt;&lt;div style="clear: both;"&gt;&lt;/div&gt;&lt;/div&gt;&lt;div&gt;&lt;h5&gt;&lt;b&gt;School &lt;/b&gt;evocation; &lt;b&gt;Level &lt;/b&gt;cleric/oracle 9&lt;/h5&gt;&lt;/div&gt;&lt;hr/&gt;&lt;div&gt;&lt;h5&gt;&lt;b&gt;CASTING&lt;/b&gt;&lt;/h5&gt;&lt;/div&gt;&lt;hr/&gt;&lt;div&gt;&lt;h5&gt;&lt;b&gt;Casting Time &lt;/b&gt;1 standard action&lt;/h5&gt;&lt;h5&gt;&lt;b&gt;Components &lt;/b&gt;V, S; see text&lt;/h5&gt;&lt;/div&gt;&lt;hr/&gt;&lt;div&gt;&lt;h5&gt;&lt;b&gt;EFFECT&lt;/b&gt;&lt;/h5&gt;&lt;/div&gt;&lt;hr/&gt;&lt;div&gt;&lt;h5&gt;&lt;b&gt;Range &lt;/b&gt;see text&lt;/h5&gt;&lt;h5&gt;&lt;b&gt;Area &lt;/b&gt;see text&lt;/h5&gt;&lt;h5&gt;&lt;b&gt;Duration &lt;/b&gt;see text&lt;/h5&gt;&lt;h5&gt;&lt;b&gt;Saving Throw &lt;/b&gt;see text; &lt;b&gt;Spell Resistance &lt;/b&gt;yes&lt;/h5&gt;&lt;/div&gt;&lt;hr/&gt;&lt;div&gt;&lt;h5&gt;&lt;b&gt;DESCRIPTION&lt;/b&gt;&lt;/h5&gt;&lt;/div&gt;&lt;hr/&gt;&lt;div&gt;&lt;h4&gt;&lt;p&gt;You don't so much cast a &lt;i&gt;miracle&lt;/i&gt; as request one. You state what you would like to have happen and request that your deity (or the power you pray to for spells) intercede.&lt;/p&gt;&lt;p&gt;A &lt;i&gt;miracle&lt;/i&gt; can do any of the following things.&lt;/p&gt;&lt;p&gt;&lt;ul&gt;&lt;li&gt; Duplicate any cleric spell of 8th level or lower.&lt;/p&gt;&lt;p&gt;&lt;li&gt; Duplicate any other spell of 7th level or lower.&lt;/p&gt;&lt;p&gt;&lt;li&gt; Undo the harmful effects of certain spells, such as &lt;i&gt;feeblemind&lt;/i&gt; or &lt;i&gt;insanity.&lt;/i&gt;&lt;/p&gt;&lt;p&gt;&lt;li&gt; Have any effect whose power level is in line with the above effects.&lt;/ul&gt;&lt;/p&gt;&lt;p&gt;Alternatively, a cleric can make a very powerful request. Casting such a &lt;i&gt;miracle&lt;/i&gt; costs the cleric 25,000 gp in powdered diamond because of the powerful divine energies involved. Examples of especially powerful &lt;i&gt;miracle&lt;/i&gt;s of this sort could include the following: &lt;ul&gt;&lt;li&gt; Swinging the tide of a battle in your favor by raising fallen allies to continue fighting.&lt;/p&gt;&lt;p&gt;&lt;li&gt; Moving you and your allies, with all your and their gear, from one plane to a specific locale through planar barriers with no chance of error.&lt;/p&gt;&lt;p&gt;&lt;li&gt; Protecting a city from an earthquake, volcanic eruption, flood, or other major natural disaster.&lt;/ul&gt;&lt;/p&gt;&lt;p&gt;In any event, a request that is out of line with the deity's (or alignment's) nature is refused.&lt;/p&gt;&lt;p&gt;A duplicated spell allows saving throws and spell resistance as normal, but the save DCs are as for a 9th-level spell. When a &lt;i&gt;miracle&lt;/i&gt; spell duplicates a spell with a material component that costs more than 100 gp, you must provide that component.&lt;/p&gt;&lt;/h4&gt;&lt;/div&gt;</t>
  </si>
  <si>
    <t>Community (9), Divine (9), Luck (9)</t>
  </si>
  <si>
    <t> Requests a deity's intercession.</t>
  </si>
  <si>
    <t>Endurance (18)</t>
  </si>
  <si>
    <t>Mirage Arcana</t>
  </si>
  <si>
    <t>bard 5, sorcerer/wizard 5, psychic 5, mesmerist 5</t>
  </si>
  <si>
    <t>one 20-ft. cube/level</t>
  </si>
  <si>
    <t>concentration +1 hour/ level</t>
  </si>
  <si>
    <t>This spell functions like hallucinatory terrain, except that it enables you to make any area appear to be something other than it is. The illusion includes audible, visual, tactile, and olfactory elements.  Unlike hallucinatory terrain, the spell can alter the appearance of structures (or add them where none are present). Still, it can't disguise, conceal, or add creatures (though creatures within the area might hide themselves within the illusion just as they can hide themselves within a real location).</t>
  </si>
  <si>
    <t>&lt;p&gt;This spell functions like &lt;i&gt;hallucinatory terrain&lt;/i&gt;, except that it enables you to make any area appear to be something other than it is. The illusion includes audible, visual, tactile, and olfactory elements.&lt;/p&gt;&lt;p&gt;Unlike &lt;i&gt;hallucinatory terrain&lt;/i&gt;, the spell can alter the appearance of structures (or add them where none are present). Still, it can't disguise, conceal, or add creatures (though creatures within the area might hide themselves within the illusion just as they can hide themselves within a real location).&lt;/p&gt;</t>
  </si>
  <si>
    <t>&lt;link rel="stylesheet"href="PF.css"&gt;&lt;div class="heading"&gt;&lt;p class="alignleft"&gt;Mirage Arcana&lt;/p&gt;&lt;div style="clear: both;"&gt;&lt;/div&gt;&lt;/div&gt;&lt;div&gt;&lt;h5&gt;&lt;b&gt;School &lt;/b&gt;illusion (glamer); &lt;b&gt;Level &lt;/b&gt;bard 5, sorcerer/wizard 5, psychic 5, mesmerist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20-ft. cube/level  (S)&lt;/h5&gt;&lt;h5&gt;&lt;b&gt;Duration &lt;/b&gt;concentration +1 hour/ level (D)&lt;/h5&gt;&lt;h5&gt;&lt;b&gt;Saving Throw &lt;/b&gt;Will disbelief (if interacted with); &lt;b&gt;Spell Resistance &lt;/b&gt;no&lt;/h5&gt;&lt;/div&gt;&lt;hr/&gt;&lt;div&gt;&lt;h5&gt;&lt;b&gt;DESCRIPTION&lt;/b&gt;&lt;/h5&gt;&lt;/div&gt;&lt;hr/&gt;&lt;div&gt;&lt;h4&gt;&lt;p&gt;This spell functions like &lt;i&gt;hallucinatory terrain&lt;/i&gt;, except that it enables you to make any area appear to be something other than it is. The illusion includes audible, visual, tactile, and olfactory elements.&lt;/p&gt;&lt;p&gt;Unlike &lt;i&gt;hallucinatory terrain&lt;/i&gt;, the spell can alter the appearance of structures (or add them where none are present). Still, it can't disguise, conceal, or add creatures (though creatures within the area might hide themselves within the illusion just as they can hide themselves within a real location).&lt;/p&gt;&lt;/h4&gt;&lt;/div&gt;</t>
  </si>
  <si>
    <t>Solitude (5)</t>
  </si>
  <si>
    <t>As hallucinatory terrain, plus structures.</t>
  </si>
  <si>
    <t>Trickery (10)</t>
  </si>
  <si>
    <t>Mirror Image</t>
  </si>
  <si>
    <t>bard 2, sorcerer/wizard 2, magus 2, bloodrager 2, occultist 2, psychic 2, mesmerist 2</t>
  </si>
  <si>
    <t>This spell creates a number of illusory doubles of you that inhabit your square. These doubles make it difficult for enemies to precisely locate and attack you.  When mirror image is cast, 1d4 images plus one image per three caster levels (maximum eight images total) are created.  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  An attacker must be able to see the figments to be fooled. If you are invisible or the attacker is blind, the spell has no effect (although the normal miss chances still apply).</t>
  </si>
  <si>
    <t>&lt;p&gt;This spell creates a number of illusory doubles of you that inhabit your square. These doubles make it difficult for enemies to precisely locate and attack you.&lt;/p&gt;&lt;p&gt;When &lt;i&gt;mirror image&lt;/i&gt; is cast, 1d4 images plus one image per three caster levels (maximum eight images total) are created.&lt;/p&gt;&lt;p&gt;These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figment.&lt;/p&gt;&lt;p&gt;An attacker must be able to see the figments to be fooled. If you are invisible or the attacker is blind, the spell has no effect (although the normal miss chances still apply).&lt;/p&gt;</t>
  </si>
  <si>
    <t>&lt;link rel="stylesheet"href="PF.css"&gt;&lt;div class="heading"&gt;&lt;p class="alignleft"&gt;Mirror Image&lt;/p&gt;&lt;div style="clear: both;"&gt;&lt;/div&gt;&lt;/div&gt;&lt;div&gt;&lt;h5&gt;&lt;b&gt;School &lt;/b&gt;illusion (figment); &lt;b&gt;Level &lt;/b&gt;bard 2, sorcerer/wizard 2, magus 2, bloodrager 2, occultist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min./level&lt;/h5&gt;&lt;/div&gt;&lt;hr/&gt;&lt;div&gt;&lt;h5&gt;&lt;b&gt;DESCRIPTION&lt;/b&gt;&lt;/h5&gt;&lt;/div&gt;&lt;hr/&gt;&lt;div&gt;&lt;h4&gt;&lt;p&gt;This spell creates a number of illusory doubles of you that inhabit your square. These doubles make it difficult for enemies to precisely locate and attack you.&lt;/p&gt;&lt;p&gt;When &lt;i&gt;mirror image&lt;/i&gt; is cast, 1d4 images plus one image per three caster levels (maximum eight images total) are created.&lt;/p&gt;&lt;p&gt;These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figment.&lt;/p&gt;&lt;p&gt;An attacker must be able to see the figments to be fooled. If you are invisible or the attacker is blind, the spell has no effect (although the normal miss chances still apply).&lt;/p&gt;&lt;/h4&gt;&lt;h5&gt;&lt;b&gt;Mythic: &lt;/b&gt;The maximum number of images generated by this spell increases to 12. Destroying an image creates a flash of light. Any creature that destroys an image must succeed at a Will save or be dazzled for 1 round.&lt;/h5&gt;&lt;/div&gt;</t>
  </si>
  <si>
    <t>Deception (2)</t>
  </si>
  <si>
    <t>Creates decoy duplicates of you (1d4 + 1 per three levels, max 8).</t>
  </si>
  <si>
    <t>Trickery (4)</t>
  </si>
  <si>
    <t>The maximum number of images generated by this spell increases to 12. Destroying an image creates a flash of light. Any creature that destroys an image must succeed at a Will save or be dazzled for 1 round.</t>
  </si>
  <si>
    <t>Misdirection</t>
  </si>
  <si>
    <t>bard 2, sorcerer/wizard 2, summoner 2, occultist 2, psychic 2, mesmerist 2, spiritualist 2</t>
  </si>
  <si>
    <t>one creature or object, up to a 10-ft. cube in size</t>
  </si>
  <si>
    <t>By means of this spell, you misdirect the information from divination spells that reveal auras (detect evil, detect magic, discern lies, and the like). On casting the spell, you choose another object within range. For the duration of the spell, the subject of misdirection is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detect thoughts, clairaudience/clairvoyance, and the like).</t>
  </si>
  <si>
    <t>&lt;p&gt;By means of this spell, you misdirect the information from divination spells that reveal auras (detect &lt;i&gt;evil, detect magic, discern lies,&lt;/i&gt; and the like). On casting the spell, you choose another object within range. For the duration of the spell, the subject of &lt;i&gt;misdirection is&lt;/i&gt;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&lt;i&gt;detect thoughts, clairaudience/clairvoyance,&lt;/i&gt; and the like).&lt;/p&gt;</t>
  </si>
  <si>
    <t>&lt;link rel="stylesheet"href="PF.css"&gt;&lt;div class="heading"&gt;&lt;p class="alignleft"&gt;Misdirection&lt;/p&gt;&lt;div style="clear: both;"&gt;&lt;/div&gt;&lt;/div&gt;&lt;div&gt;&lt;h5&gt;&lt;b&gt;School &lt;/b&gt;illusion (glamer); &lt;b&gt;Level &lt;/b&gt;bard 2, sorcerer/wizard 2, summoner 2, occultist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a 10-ft. cube in size&lt;/h5&gt;&lt;h5&gt;&lt;b&gt;Duration &lt;/b&gt;1 hour/level&lt;/h5&gt;&lt;h5&gt;&lt;b&gt;Saving Throw &lt;/b&gt;none or Will negates; see text; &lt;b&gt;Spell Resistance &lt;/b&gt;no&lt;/h5&gt;&lt;/div&gt;&lt;hr/&gt;&lt;div&gt;&lt;h5&gt;&lt;b&gt;DESCRIPTION&lt;/b&gt;&lt;/h5&gt;&lt;/div&gt;&lt;hr/&gt;&lt;div&gt;&lt;h4&gt;&lt;p&gt;By means of this spell, you misdirect the information from divination spells that reveal auras (detect &lt;i&gt;evil, detect magic, discern lies,&lt;/i&gt; and the like). On casting the spell, you choose another object within range. For the duration of the spell, the subject of &lt;i&gt;misdirection is&lt;/i&gt;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&lt;i&gt;detect thoughts, clairaudience/clairvoyance,&lt;/i&gt; and the like).&lt;/p&gt;&lt;/h4&gt;&lt;/div&gt;</t>
  </si>
  <si>
    <t>Misleads divinations for one creature or object.</t>
  </si>
  <si>
    <t>Mislead</t>
  </si>
  <si>
    <t>figment, glamer</t>
  </si>
  <si>
    <t>bard 5, sorcerer/wizard 6, alchemist 6, magus 6, occultist 5, psychic 6, mesmerist 5, spiritualist 6</t>
  </si>
  <si>
    <t>Target/ you/one illusory double</t>
  </si>
  <si>
    <t>1 round/level (D) and concentration + 3 rounds; see text</t>
  </si>
  <si>
    <t>none or Will disbelief (if interacted with); see text</t>
  </si>
  <si>
    <t>You become invisible (as greater invisibility, a glamer), and at the same time, an illusory double of you (as major image,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  The illusory double lasts as long as you concentrate upon it, plus 3 additional rounds. After you cease concentration, the illusory double continues to carry out the same activity until the duration expires. The greater invisibility lasts for 1 round per level, regardless of concentration.</t>
  </si>
  <si>
    <t>&lt;p&gt;You become invisible (as &lt;i&gt;greater invisibility&lt;/i&gt;, a glamer), and at the same time, an illusory double of you (as &lt;i&gt;major image&lt;/i&gt;,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so.&lt;/p&gt;&lt;p&gt;The illusory double lasts as long as you concentrate upon it, plus 3 additional rounds. After you cease concentration, the illusory double continues to carry out the same activity until the duration expires. The &lt;i&gt;greater invisibility&lt;/i&gt; lasts for 1 round per level, regardless of concentration.&lt;/p&gt;</t>
  </si>
  <si>
    <t>&lt;link rel="stylesheet"href="PF.css"&gt;&lt;div class="heading"&gt;&lt;p class="alignleft"&gt;Mislead&lt;/p&gt;&lt;div style="clear: both;"&gt;&lt;/div&gt;&lt;/div&gt;&lt;div&gt;&lt;h5&gt;&lt;b&gt;School &lt;/b&gt;illusion (figment, glamer); &lt;b&gt;Level &lt;/b&gt;bard 5, sorcerer/wizard 6, alchemist 6, magus 6, occultist 5, psychic 6, mesmerist 5, spiritualist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levels)&lt;/h5&gt;&lt;h5&gt;&lt;b&gt;Effect &lt;/b&gt;Target/ you/one illusory double&lt;/h5&gt;&lt;h5&gt;&lt;b&gt;Duration &lt;/b&gt;1 round/level (D) and concentration + 3 rounds; see text&lt;/h5&gt;&lt;h5&gt;&lt;b&gt;Saving Throw &lt;/b&gt;none or Will disbelief (if interacted with); see text; &lt;b&gt;Spell Resistance &lt;/b&gt;no&lt;/h5&gt;&lt;/div&gt;&lt;hr/&gt;&lt;div&gt;&lt;h5&gt;&lt;b&gt;DESCRIPTION&lt;/b&gt;&lt;/h5&gt;&lt;/div&gt;&lt;hr/&gt;&lt;div&gt;&lt;h4&gt;&lt;p&gt;You become invisible (as &lt;i&gt;greater invisibility&lt;/i&gt;, a glamer), and at the same time, an illusory double of you (as &lt;i&gt;major image&lt;/i&gt;,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so.&lt;/p&gt;&lt;p&gt;The illusory double lasts as long as you concentrate upon it, plus 3 additional rounds. After you cease concentration, the illusory double continues to carry out the same activity until the duration expires. The &lt;i&gt;greater invisibility&lt;/i&gt; lasts for 1 round per level, regardless of concentration.&lt;/p&gt;&lt;/h4&gt;&lt;h5&gt;&lt;b&gt;Mythic: &lt;/b&gt;You create one illusory double per 5 caster levels, each of which appears in your square or in an unoccupied square adjacent to yours. When you cast the spell, you can give each of these doubles a simple programmed task as a telepathic command, such a "walk south," "beg for mercy," or "follow that troll." You can change or modify a single illusory double's programmed task by spending a swift, move, or standard action; this requires concentration.&lt;/h5&gt;&lt;h5&gt;&lt;b&gt;Augmented (4th)&lt;/b&gt;: If you expend two uses of mythic power, this spell also grants you the benefits of augmented mythic invisibility instead of greater invisibility.&lt;/h5&gt;&lt;/div&gt;</t>
  </si>
  <si>
    <t>Luck (6), Trickery (6)</t>
  </si>
  <si>
    <t>Turns you invisible and creates illusory double.</t>
  </si>
  <si>
    <t>Destined (13), Fey (13)</t>
  </si>
  <si>
    <t>Trickery (12)</t>
  </si>
  <si>
    <t>You create one illusory double per 5 caster levels, each of which appears in your square or in an unoccupied square adjacent to yours. When you cast the spell, you can give each of these doubles a simple programmed task as a telepathic command, such a "walk south," "beg for mercy," or "follow that troll." You can change or modify a single illusory double's programmed task by spending a swift, move, or standard action; this requires concentration.</t>
  </si>
  <si>
    <t>Augmented (4th): If you expend two uses of mythic power, this spell also grants you the benefits of augmented mythic invisibility instead of greater invisibility.</t>
  </si>
  <si>
    <t>Mnemonic Enhancer</t>
  </si>
  <si>
    <t>wizard 4</t>
  </si>
  <si>
    <t>V, S, M (a piece of string, and ink consisting of squid secretion mixed with black dragon's blood), F (an ivory plaque worth 50 gp)</t>
  </si>
  <si>
    <t>Casting this spell allows you to prepare additional spells or retain spells recently cast. Pick one of these two versions when the spell is cast.  Prepare: You prepare up to three additional levels of spells. A cantrip counts as 1/2 level for this purpose. You prepare and cast these spells normally.  Retain: You retain any spell of 3rd level or lower that you had cast up to 1 round before you started casting the mnemonic enhancer.  This restores the previously cast spell to your mind.  In either event, the spell or spells prepared or retained fade after 24 hours (if not cast).</t>
  </si>
  <si>
    <t>&lt;p&gt;Casting this spell allows you to prepare additional spells or retain spells recently cast. Pick one of these two versions when the spell is cast.&lt;/p&gt;&lt;p&gt;&lt;i&gt;Prepare:&lt;/i&gt; You prepare up to three additional levels of spells. A cantrip counts as 1/2 level for this purpose. You prepare and cast these spells normally.&lt;/p&gt;&lt;p&gt;&lt;i&gt;Retain:&lt;/i&gt; You retain any spell of 3rd level or lower that you had cast up to 1 round before you started casting the &lt;i&gt;mnemonic enhancer&lt;/i&gt;.&lt;/p&gt;&lt;p&gt;This restores the previously cast spell to your mind.&lt;/p&gt;&lt;p&gt;In either event, the spell or spells prepared or retained fade after 24 hours (if not cast).&lt;/p&gt;</t>
  </si>
  <si>
    <t>&lt;link rel="stylesheet"href="PF.css"&gt;&lt;div class="heading"&gt;&lt;p class="alignleft"&gt;Mnemonic Enhancer&lt;/p&gt;&lt;div style="clear: both;"&gt;&lt;/div&gt;&lt;/div&gt;&lt;div&gt;&lt;h5&gt;&lt;b&gt;School &lt;/b&gt;transmutation; &lt;b&gt;Level &lt;/b&gt;wizard 4&lt;/h5&gt;&lt;/div&gt;&lt;hr/&gt;&lt;div&gt;&lt;h5&gt;&lt;b&gt;CASTING&lt;/b&gt;&lt;/h5&gt;&lt;/div&gt;&lt;hr/&gt;&lt;div&gt;&lt;h5&gt;&lt;b&gt;Casting Time &lt;/b&gt;10 minutes&lt;/h5&gt;&lt;h5&gt;&lt;b&gt;Components &lt;/b&gt;V, S, M (a piece of string, and ink consisting of squid secretion mixed with black dragon's blood), F (an ivory plaque worth 50 gp)&lt;/h5&gt;&lt;/div&gt;&lt;hr/&gt;&lt;div&gt;&lt;h5&gt;&lt;b&gt;EFFECT&lt;/b&gt;&lt;/h5&gt;&lt;/div&gt;&lt;hr/&gt;&lt;div&gt;&lt;h5&gt;&lt;b&gt;Range &lt;/b&gt;personal&lt;/h5&gt;&lt;h5&gt;&lt;b&gt;Targets &lt;/b&gt;you&lt;/h5&gt;&lt;h5&gt;&lt;b&gt;Duration &lt;/b&gt;instantaneous&lt;/h5&gt;&lt;/div&gt;&lt;hr/&gt;&lt;div&gt;&lt;h5&gt;&lt;b&gt;DESCRIPTION&lt;/b&gt;&lt;/h5&gt;&lt;/div&gt;&lt;hr/&gt;&lt;div&gt;&lt;h4&gt;&lt;p&gt;Casting this spell allows you to prepare additional spells or retain spells recently cast. Pick one of these two versions when the spell is cast.&lt;/p&gt;&lt;p&gt;&lt;i&gt;Prepare:&lt;/i&gt; You prepare up to three additional levels of spells. A cantrip counts as 1/2 level for this purpose. You prepare and cast these spells normally.&lt;/p&gt;&lt;p&gt;&lt;i&gt;Retain:&lt;/i&gt; You retain any spell of 3rd level or lower that you had cast up to 1 round before you started casting the &lt;i&gt;mnemonic enhancer&lt;/i&gt;.&lt;/p&gt;&lt;p&gt;This restores the previously cast spell to your mind.&lt;/p&gt;&lt;p&gt;In either event, the spell or spells prepared or retained fade after 24 hours (if not cast).&lt;/p&gt;&lt;/h4&gt;&lt;/div&gt;</t>
  </si>
  <si>
    <t> Wizard only. Prepare extra spells or retain one just cast.</t>
  </si>
  <si>
    <t>Modify Memory</t>
  </si>
  <si>
    <t>bard 4, psychic 5, mesmerist 4</t>
  </si>
  <si>
    <t>You reach into the subject's mind and modify as many as 5 minutes of its memories in one of the following ways. • Eliminate all memory of an event the subject actually experienced. This spell cannot negate charm, geas/quest, suggestion, or similar spells. • Allow the subject to recall with perfect clarity an event it actually experienced. • Change the details of an event the subject actually experienced. • Implant a memory of an event the subject never experienced. 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 A modified memory does not necessarily affect the subject's actions, particularly if it contradicts the creature's natural inclinations. An illogical modified memory is dismissed by the creature as a bad dream, too much wine, or another similar excuse.</t>
  </si>
  <si>
    <t>&lt;p&gt;You reach into the subject's mind and modify as many as 5 minutes of its memories in one of the following ways.&lt;/p&gt;&lt;p&gt;&lt;ul&gt;&lt;li&gt; Eliminate all memory of an event the subject actually experienced. This spell cannot negate &lt;i&gt;charm, geas/quest, suggestion,&lt;/i&gt; or similar spells.&lt;/p&gt;&lt;p&gt;&lt;li&gt; Allow the subject to recall with perfect clarity an event it actually experienced.&lt;/p&gt;&lt;p&gt;&lt;li&gt; Change the details of an event the subject actually experienced.&lt;/p&gt;&lt;p&gt;&lt;li&gt; Implant a memory of an event the subject never experienced.&lt;/ul&gt;&lt;/p&gt;&lt;p&gt;Casting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lost.&lt;/p&gt;&lt;p&gt;A modified memory does not necessarily affect the subject's actions, particularly if it contradicts the creature's natural inclinations. An illogical modified memory is dismissed by the creature as a bad dream, too much wine, or another similar excuse.&lt;/p&gt;</t>
  </si>
  <si>
    <t>&lt;link rel="stylesheet"href="PF.css"&gt;&lt;div class="heading"&gt;&lt;p class="alignleft"&gt;Modify Memory&lt;/p&gt;&lt;div style="clear: both;"&gt;&lt;/div&gt;&lt;/div&gt;&lt;div&gt;&lt;h5&gt;&lt;b&gt;School &lt;/b&gt;enchantment (compulsion) [mind-affecting]; &lt;b&gt;Level &lt;/b&gt;bard 4, psychic 5, mesmerist 4&lt;/h5&gt;&lt;/div&gt;&lt;hr/&gt;&lt;div&gt;&lt;h5&gt;&lt;b&gt;CASTING&lt;/b&gt;&lt;/h5&gt;&lt;/div&gt;&lt;hr/&gt;&lt;div&gt;&lt;h5&gt;&lt;b&gt;Casting Time &lt;/b&gt;1 round; see text&lt;/h5&gt;&lt;h5&gt;&lt;b&gt;Components &lt;/b&gt;V, S&lt;/h5&gt;&lt;/div&gt;&lt;hr/&gt;&lt;div&gt;&lt;h5&gt;&lt;b&gt;EFFECT&lt;/b&gt;&lt;/h5&gt;&lt;/div&gt;&lt;hr/&gt;&lt;div&gt;&lt;h5&gt;&lt;b&gt;Range &lt;/b&gt;close (25 ft. + 5 ft./2 levels)&lt;/h5&gt;&lt;h5&gt;&lt;b&gt;Targets &lt;/b&gt;one living creature&lt;/h5&gt;&lt;h5&gt;&lt;b&gt;Duration &lt;/b&gt;permanent&lt;/h5&gt;&lt;h5&gt;&lt;b&gt;Saving Throw &lt;/b&gt;Will negates; &lt;b&gt;Spell Resistance &lt;/b&gt;yes&lt;/h5&gt;&lt;/div&gt;&lt;hr/&gt;&lt;div&gt;&lt;h5&gt;&lt;b&gt;DESCRIPTION&lt;/b&gt;&lt;/h5&gt;&lt;/div&gt;&lt;hr/&gt;&lt;div&gt;&lt;h4&gt;&lt;p&gt;You reach into the subject's mind and modify as many as 5 minutes of its memories in one of the following ways.&lt;/p&gt;&lt;p&gt;&lt;ul&gt;&lt;li&gt; Eliminate all memory of an event the subject actually experienced. This spell cannot negate &lt;i&gt;charm, geas/quest, suggestion,&lt;/i&gt; or similar spells.&lt;/p&gt;&lt;p&gt;&lt;li&gt; Allow the subject to recall with perfect clarity an event it actually experienced.&lt;/p&gt;&lt;p&gt;&lt;li&gt; Change the details of an event the subject actually experienced.&lt;/p&gt;&lt;p&gt;&lt;li&gt; Implant a memory of an event the subject never experienced.&lt;/ul&gt;&lt;/p&gt;&lt;p&gt;Casting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lost.&lt;/p&gt;&lt;p&gt;A modified memory does not necessarily affect the subject's actions, particularly if it contradicts the creature's natural inclinations. An illogical modified memory is dismissed by the creature as a bad dream, too much wine, or another similar excuse.&lt;/p&gt;&lt;/h4&gt;&lt;/div&gt;</t>
  </si>
  <si>
    <t>Loss (6), Memory (6)</t>
  </si>
  <si>
    <t> Changes 5 minutes of subject's memories.</t>
  </si>
  <si>
    <t>Moment of Prescience</t>
  </si>
  <si>
    <t>sorcerer/wizard 8, witch 8, psychic 8</t>
  </si>
  <si>
    <t>1 hour/level or until discharged</t>
  </si>
  <si>
    <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  Activating the effect doesn't take an action; you can even activate it on another character's turn. You must choose to use the moment of prescience before you make the roll it is to modify.  Once used, the spell ends. You can't have more than one moment of prescience active on you at the same time.</t>
  </si>
  <si>
    <t>&lt;p&gt;This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flatfooted).&lt;/p&gt;&lt;p&gt;Activating the effect doesn't take an action; you can even activate it on another character's turn. You must choose to use the &lt;i&gt;moment of prescience&lt;/i&gt; before you make the roll it is to modify.&lt;/p&gt;&lt;p&gt;Once used, the spell ends. You can't have more than one &lt;i&gt;moment of prescience&lt;/i&gt; active on you at the same time.&lt;/p&gt;</t>
  </si>
  <si>
    <t>&lt;link rel="stylesheet"href="PF.css"&gt;&lt;div class="heading"&gt;&lt;p class="alignleft"&gt;Moment of Prescience&lt;/p&gt;&lt;div style="clear: both;"&gt;&lt;/div&gt;&lt;/div&gt;&lt;div&gt;&lt;h5&gt;&lt;b&gt;School &lt;/b&gt;divination; &lt;b&gt;Level &lt;/b&gt;sorcerer/wizard 8, witch 8, psychic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flatfooted).&lt;/p&gt;&lt;p&gt;Activating the effect doesn't take an action; you can even activate it on another character's turn. You must choose to use the &lt;i&gt;moment of prescience&lt;/i&gt; before you make the roll it is to modify.&lt;/p&gt;&lt;p&gt;Once used, the spell ends. You can't have more than one &lt;i&gt;moment of prescience&lt;/i&gt; active on you at the same time.&lt;/p&gt;&lt;/h4&gt;&lt;/div&gt;</t>
  </si>
  <si>
    <t>Luck (8), Memory (8)</t>
  </si>
  <si>
    <t> You gain +1/level insight bonus on single attack roll, check, or save.</t>
  </si>
  <si>
    <t>Destined (17), Dreamspun (17), Harrow (17)</t>
  </si>
  <si>
    <t>Portents (16), Mind (16)</t>
  </si>
  <si>
    <t>Mount</t>
  </si>
  <si>
    <t>sorcerer/wizard 1, summoner 1, witch 1, magus 1, bloodrager 1, occultist 1</t>
  </si>
  <si>
    <t>V, S, M (a bit of horse hair)</t>
  </si>
  <si>
    <t>one mount</t>
  </si>
  <si>
    <t>You summon a light horse or a pony (your choice) to serve you as a mount (see the Pathfinder RPG Bestiary). The steed serves willingly and well. The mount comes with a bit and bridle and a riding saddle.</t>
  </si>
  <si>
    <t>&lt;p&gt;You summon a light horse or a pony (your choice) to serve you as a mount (see the &lt;i&gt;Pathfinder RPG Bestiary&lt;/i&gt;). The steed serves willingly and well. The mount comes with a bit and bridle and a riding saddle.&lt;/p&gt;</t>
  </si>
  <si>
    <t>&lt;link rel="stylesheet"href="PF.css"&gt;&lt;div class="heading"&gt;&lt;p class="alignleft"&gt;Mount&lt;/p&gt;&lt;div style="clear: both;"&gt;&lt;/div&gt;&lt;/div&gt;&lt;div&gt;&lt;h5&gt;&lt;b&gt;School &lt;/b&gt;conjuration (summoning); &lt;b&gt;Level &lt;/b&gt;sorcerer/wizard 1, summoner 1, witch 1, magus 1, bloodrager 1, occultist 1&lt;/h5&gt;&lt;/div&gt;&lt;hr/&gt;&lt;div&gt;&lt;h5&gt;&lt;b&gt;CASTING&lt;/b&gt;&lt;/h5&gt;&lt;/div&gt;&lt;hr/&gt;&lt;div&gt;&lt;h5&gt;&lt;b&gt;Casting Time &lt;/b&gt;1 round&lt;/h5&gt;&lt;h5&gt;&lt;b&gt;Components &lt;/b&gt;V, S, M (a bit of horse hair)&lt;/h5&gt;&lt;/div&gt;&lt;hr/&gt;&lt;div&gt;&lt;h5&gt;&lt;b&gt;EFFECT&lt;/b&gt;&lt;/h5&gt;&lt;/div&gt;&lt;hr/&gt;&lt;div&gt;&lt;h5&gt;&lt;b&gt;Range &lt;/b&gt;close (25 ft. + 5 ft./2 levels)&lt;/h5&gt;&lt;h5&gt;&lt;b&gt;Effect &lt;/b&gt;one mount&lt;/h5&gt;&lt;h5&gt;&lt;b&gt;Duration &lt;/b&gt;2 hours/level (D)&lt;/h5&gt;&lt;h5&gt;&lt;b&gt;Saving Throw &lt;/b&gt;none; &lt;b&gt;Spell Resistance &lt;/b&gt;no&lt;/h5&gt;&lt;/div&gt;&lt;hr/&gt;&lt;div&gt;&lt;h5&gt;&lt;b&gt;DESCRIPTION&lt;/b&gt;&lt;/h5&gt;&lt;/div&gt;&lt;hr/&gt;&lt;div&gt;&lt;h4&gt;&lt;p&gt;You summon a light horse or a pony (your choice) to serve you as a mount (see the &lt;i&gt;Pathfinder RPG Bestiary&lt;/i&gt;). The steed serves willingly and well. The mount comes with a bit and bridle and a riding saddle.&lt;/p&gt;&lt;/h4&gt;&lt;/div&gt;</t>
  </si>
  <si>
    <t> Summons riding horse for 2 hours/level.</t>
  </si>
  <si>
    <t>Move Earth</t>
  </si>
  <si>
    <t>druid 6, sorcerer/wizard 6</t>
  </si>
  <si>
    <t>V, S, M (clay, loam, sand, and an iron blade)</t>
  </si>
  <si>
    <t>dirt in an area up to 750 ft. square and up to 10 ft. deep (S)</t>
  </si>
  <si>
    <t>Move earth moves dirt (clay, loam, sand, and soil), possibly collapsing embankments, moving hillocks, shifting dunes, and so forth.  In no event can rock formations be collapsed or moved. The area to be affected determines the casting time. For every 150- foot square (up to 10 feet deep), casting takes 10 minutes. The maximum area, 750 feet by 750 feet, takes 4 hours and 10 minutes to move.  This spell does not violently break the surface of the ground.  Instead, it creates wavelike crests and troughs, with the earth reacting with glacial fluidity until the desired result is achieved.  Trees, structures, rock formations, and such are mostly unaffected except for changes in elevation and relative topography.  The spell cannot be used for tunneling and is generally too slow to trap or bury creatures. Its primary use is for digging or filling moats or for adjusting terrain contours before a battle.  This spell has no effect on earth creatures.</t>
  </si>
  <si>
    <t>&lt;p&gt;&lt;i&gt;Move earth&lt;/i&gt; moves dirt (clay, loam, sand, and soil), possibly collapsing embankments, moving hillocks, shifting dunes, and so forth.&lt;/p&gt;&lt;p&gt;In no event can rock formations be collapsed or moved. The area to be affected determines the casting time. For every 150- foot square (up to 10 feet deep), casting takes 10 minutes. The maximum area, 750 feet by 750 feet, takes 4 hours and 10 minutes to move.&lt;/p&gt;&lt;p&gt;This spell does not violently break the surface of the ground.&lt;/p&gt;&lt;p&gt;Instead, it creates wavelike crests and troughs, with the earth reacting with glacial fluidity until the desired result is achieved.&lt;/p&gt;&lt;p&gt;Trees, structures, rock formations, and such are mostly unaffected except for changes in elevation and relative topography.&lt;/p&gt;&lt;p&gt;The spell cannot be used for tunneling and is generally too slow to trap or bury creatures. Its primary use is for digging or filling moats or for adjusting terrain contours before a battle.&lt;/p&gt;&lt;p&gt;This spell has no effect on earth creatures.&lt;/p&gt;</t>
  </si>
  <si>
    <t>&lt;link rel="stylesheet"href="PF.css"&gt;&lt;div class="heading"&gt;&lt;p class="alignleft"&gt;Move Earth&lt;/p&gt;&lt;div style="clear: both;"&gt;&lt;/div&gt;&lt;/div&gt;&lt;div&gt;&lt;h5&gt;&lt;b&gt;School &lt;/b&gt;transmutation [earth]; &lt;b&gt;Level &lt;/b&gt;druid 6, sorcerer/wizard 6&lt;/h5&gt;&lt;/div&gt;&lt;hr/&gt;&lt;div&gt;&lt;h5&gt;&lt;b&gt;CASTING&lt;/b&gt;&lt;/h5&gt;&lt;/div&gt;&lt;hr/&gt;&lt;div&gt;&lt;h5&gt;&lt;b&gt;Casting Time &lt;/b&gt;see text&lt;/h5&gt;&lt;h5&gt;&lt;b&gt;Components &lt;/b&gt;V, S, M (clay, loam, sand, and an iron blade)&lt;/h5&gt;&lt;/div&gt;&lt;hr/&gt;&lt;div&gt;&lt;h5&gt;&lt;b&gt;EFFECT&lt;/b&gt;&lt;/h5&gt;&lt;/div&gt;&lt;hr/&gt;&lt;div&gt;&lt;h5&gt;&lt;b&gt;Range &lt;/b&gt;long (400 ft. + 40 ft./level)&lt;/h5&gt;&lt;h5&gt;&lt;b&gt;Area &lt;/b&gt;dirt in an area up to 750 ft. square and up to 10 ft. deep (S)&lt;/h5&gt;&lt;h5&gt;&lt;b&gt;Duration &lt;/b&gt;instantaneous&lt;/h5&gt;&lt;h5&gt;&lt;b&gt;Saving Throw &lt;/b&gt;none; &lt;b&gt;Spell Resistance &lt;/b&gt;no&lt;/h5&gt;&lt;/div&gt;&lt;hr/&gt;&lt;div&gt;&lt;h5&gt;&lt;b&gt;DESCRIPTION&lt;/b&gt;&lt;/h5&gt;&lt;/div&gt;&lt;hr/&gt;&lt;div&gt;&lt;h4&gt;&lt;p&gt;&lt;i&gt;Move earth&lt;/i&gt; moves dirt (clay, loam, sand, and soil), possibly collapsing embankments, moving hillocks, shifting dunes, and so forth.&lt;/p&gt;&lt;p&gt;In no event can rock formations be collapsed or moved. The area to be affected determines the casting time. For every 150- foot square (up to 10 feet deep), casting takes 10 minutes. The maximum area, 750 feet by 750 feet, takes 4 hours and 10 minutes to move.&lt;/p&gt;&lt;p&gt;This spell does not violently break the surface of the ground.&lt;/p&gt;&lt;p&gt;Instead, it creates wavelike crests and troughs, with the earth reacting with glacial fluidity until the desired result is achieved.&lt;/p&gt;&lt;p&gt;Trees, structures, rock formations, and such are mostly unaffected except for changes in elevation and relative topography.&lt;/p&gt;&lt;p&gt;The spell cannot be used for tunneling and is generally too slow to trap or bury creatures. Its primary use is for digging or filling moats or for adjusting terrain contours before a battle.&lt;/p&gt;&lt;p&gt;This spell has no effect on earth creatures.&lt;/p&gt;&lt;/h4&gt;&lt;h5&gt;&lt;b&gt;Mythic: &lt;/b&gt;This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moved.&lt;/h5&gt;&lt;/div&gt;</t>
  </si>
  <si>
    <t>Digs trenches and builds hills.</t>
  </si>
  <si>
    <t>Ghoul (13)</t>
  </si>
  <si>
    <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t>
  </si>
  <si>
    <t>Neutralize Poison</t>
  </si>
  <si>
    <t>bard 4, cleric/oracle 4, druid 3, paladin 4, ranger 3, alchemist 4, witch 4, inquisitor 4, shaman 4, spiritualist 4</t>
  </si>
  <si>
    <t>V, S, M/DF (charcoal)</t>
  </si>
  <si>
    <t>creature or object of up to 1 cu. ft./level touched</t>
  </si>
  <si>
    <t>instantaneous or 10 min./level; see text</t>
  </si>
  <si>
    <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  This spell can instead neutralize the poison in a poisonous creature or object for 10 minutes per level, at the caster's option.  If cast on a creature, the creature receives a Will save to negate the effect.</t>
  </si>
  <si>
    <t>&lt;p&gt;You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own.&lt;/p&gt;&lt;p&gt;This spell can instead neutralize the poison in a poisonous creature or object for 10 minutes per level, at the caster's option.&lt;/p&gt;&lt;p&gt;If cast on a creature, the creature receives a Will save to negate the effect.&lt;/p&gt;</t>
  </si>
  <si>
    <t>&lt;link rel="stylesheet"href="PF.css"&gt;&lt;div class="heading"&gt;&lt;p class="alignleft"&gt;Neutralize Poison&lt;/p&gt;&lt;div style="clear: both;"&gt;&lt;/div&gt;&lt;/div&gt;&lt;div&gt;&lt;h5&gt;&lt;b&gt;School &lt;/b&gt;conjuration (healing); &lt;b&gt;Level &lt;/b&gt;bard 4, cleric/oracle 4, druid 3, paladin 4, ranger 3, alchemist 4, witch 4, inquisitor 4, shaman 4, spiritualist 4, alchemist 4, witch 4, inquisitor 4&lt;/h5&gt;&lt;/div&gt;&lt;hr/&gt;&lt;div&gt;&lt;h5&gt;&lt;b&gt;CASTING&lt;/b&gt;&lt;/h5&gt;&lt;/div&gt;&lt;hr/&gt;&lt;div&gt;&lt;h5&gt;&lt;b&gt;Casting Time &lt;/b&gt;1 standard action&lt;/h5&gt;&lt;h5&gt;&lt;b&gt;Components &lt;/b&gt;V, S, M/DF (charcoal)&lt;/h5&gt;&lt;/div&gt;&lt;hr/&gt;&lt;div&gt;&lt;h5&gt;&lt;b&gt;EFFECT&lt;/b&gt;&lt;/h5&gt;&lt;/div&gt;&lt;hr/&gt;&lt;div&gt;&lt;h5&gt;&lt;b&gt;Range &lt;/b&gt;touch&lt;/h5&gt;&lt;h5&gt;&lt;b&gt;Targets &lt;/b&gt;creature or object of up to 1 cu. ft./level touched&lt;/h5&gt;&lt;h5&gt;&lt;b&gt;Duration &lt;/b&gt;instantaneous or 10 min./level; see text&lt;/h5&gt;&lt;h5&gt;&lt;b&gt;Saving Throw &lt;/b&gt;Will negates (harmless, object); &lt;b&gt;Spell Resistance &lt;/b&gt;yes (harmless, object)&lt;/h5&gt;&lt;/div&gt;&lt;hr/&gt;&lt;div&gt;&lt;h5&gt;&lt;b&gt;DESCRIPTION&lt;/b&gt;&lt;/h5&gt;&lt;/div&gt;&lt;hr/&gt;&lt;div&gt;&lt;h4&gt;&lt;p&gt;You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own.&lt;/p&gt;&lt;p&gt;This spell can instead neutralize the poison in a poisonous creature or object for 10 minutes per level, at the caster's option.&lt;/p&gt;&lt;p&gt;If cast on a creature, the creature receives a Will save to negate the effect.&lt;/p&gt;&lt;/h4&gt;&lt;/div&gt;</t>
  </si>
  <si>
    <t>Restoration (4)</t>
  </si>
  <si>
    <t>Immunizes subject against poison, detoxifies venom in or on subject.</t>
  </si>
  <si>
    <t>Nightmare</t>
  </si>
  <si>
    <t>mind-affecting, evil</t>
  </si>
  <si>
    <t>bard 5, sorcerer/wizard 5, alchemist 5, psychic 5, mesmerist 5, spiritualist 5</t>
  </si>
  <si>
    <t>You send a hideous and unsettling phantasmal vision to a specific creature that you name or otherwise specifically designate. The nightmare prevents restful sleep and causes 1d10 points of damage. The nightmare leaves the subject fatigued and unable to regain arcane spells for the next 24 hours. The difficulty of the save depends on your knowledge the subject and the physical connection (if any) you have to that creature. Knowledge Will Save Modifier None* +10 Secondhand (you have heard of the subject) +5 Firsthand (you have met the subject) +0 Familiar (you know the subject well) -5 *You must have some sort of connection to a creature of which you have no knowledge. Connection Will Save Modifier Likeness or picture -2 Possession or garment -4 Body part, lock of hair, bit of nail, etc. -10 Dispel evil cast on the subject while you are casting the spell dispels the nightmare and causes you to be stunned for 10 minutes per caster level of the dispel evil. 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 If you choose to enter a trance, you are not aware of your surroundings or the activities around you while in the trance. You are defenseless, both physically and mentally, while in the trance. (You always fail Reflex and Will saving throws, for example.) Creatures who don't sleep (such as outsiders) or dream are immune to this spell.</t>
  </si>
  <si>
    <t>&lt;p&gt;You send a hideous and unsettling phantasmal vision to a specific creature that you name or otherwise specifically designate.&lt;/p&gt;&lt;p&gt;The &lt;i&gt;nightmare&lt;/i&gt; prevents restful sleep and causes 1d10 points of damage. The &lt;i&gt;nightmare&lt;/i&gt; leaves the subject fatigued and unable to regain arcane spells for the next 24 hours.&lt;/p&gt;&lt;p&gt;The difficulty of the save depends on your knowledge the subject and the physical connection (if any) you have to that creature.&lt;/p&gt;  &lt;table border ='1'&gt;&lt;tr&gt;&lt;th&gt;&lt;table&gt;&lt;tr&gt;&lt;th&gt;Knowledge&lt;/th&gt;&lt;th&gt;Will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to a creature of which you have no knowledge.&lt;/td&gt;&lt;/tr&gt;&lt;/table&gt;&lt;/td&gt;&lt;/tr&gt;&lt;/table&gt;   &lt;table border ='1'&gt;&lt;tr&gt;&lt;th&gt;&lt;table&gt;&lt;tr&gt;&lt;th&gt;Connection&lt;/th&gt;&lt;th&gt;will Save Modifier&lt;/th&gt;&lt;/tr&gt;&lt;tr&gt;&lt;td&gt;Likeness or picture&lt;/td&gt;&lt;td&gt;-2&lt;/td&gt;&lt;/tr&gt;&lt;tr&gt;&lt;td&gt;Possession or garment&lt;/td&gt;&lt;td&gt;-4&lt;/td&gt;&lt;/tr&gt;&lt;tr&gt;&lt;td&gt;Body part, lock of hair, bit of nail, etc.&lt;/td&gt;&lt;td&gt;-10&lt;/td&gt;&lt;/tr&gt;&lt;/table&gt;&lt;/td&gt;&lt;/tr&gt;&lt;/table&gt;   &lt;i&gt;Dispel evil&lt;/i&gt; cast on the subject while you are casting the spell dispels the &lt;i&gt;nightmare&lt;/i&gt; and causes you to be stunned for 10 minutes per caster level of the &lt;i&gt;dispel evil&lt;/i&gt;.&lt;/p&gt;&lt;p&gt;If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ends.&lt;/p&gt;&lt;p&gt;If you choose to enter a trance, you are not aware of your surroundings or the activities around you while in the trance.&lt;/p&gt;&lt;p&gt;You are defenseless, both physically and mentally, while in the trance. (You always fail Reflex and Will saving throws, for example.) Creatures who don't sleep (such as outsiders) or dream are immune to this spell.&lt;/p&gt;</t>
  </si>
  <si>
    <t>&lt;link rel="stylesheet"href="PF.css"&gt;&lt;div class="heading"&gt;&lt;p class="alignleft"&gt;Nightmare&lt;/p&gt;&lt;div style="clear: both;"&gt;&lt;/div&gt;&lt;/div&gt;&lt;div&gt;&lt;h5&gt;&lt;b&gt;School &lt;/b&gt;illusion (phantasm) [mind-affecting, evil]; &lt;b&gt;Level &lt;/b&gt;bard 5, sorcerer/wizard 5, alchemist 5, psychic 5, mesmerist 5, spiritualist 5&lt;/h5&gt;&lt;/div&gt;&lt;hr/&gt;&lt;div&gt;&lt;h5&gt;&lt;b&gt;CASTING&lt;/b&gt;&lt;/h5&gt;&lt;/div&gt;&lt;hr/&gt;&lt;div&gt;&lt;h5&gt;&lt;b&gt;Casting Time &lt;/b&gt;10 minutes&lt;/h5&gt;&lt;h5&gt;&lt;b&gt;Components &lt;/b&gt;V, S&lt;/h5&gt;&lt;/div&gt;&lt;hr/&gt;&lt;div&gt;&lt;h5&gt;&lt;b&gt;EFFECT&lt;/b&gt;&lt;/h5&gt;&lt;/div&gt;&lt;hr/&gt;&lt;div&gt;&lt;h5&gt;&lt;b&gt;Range &lt;/b&gt;unlimited&lt;/h5&gt;&lt;h5&gt;&lt;b&gt;Targets &lt;/b&gt;one living creature&lt;/h5&gt;&lt;h5&gt;&lt;b&gt;Duration &lt;/b&gt;instantaneous&lt;/h5&gt;&lt;h5&gt;&lt;b&gt;Saving Throw &lt;/b&gt;Will negates; see text; &lt;b&gt;Spell Resistance &lt;/b&gt;yes&lt;/h5&gt;&lt;/div&gt;&lt;hr/&gt;&lt;div&gt;&lt;h5&gt;&lt;b&gt;DESCRIPTION&lt;/b&gt;&lt;/h5&gt;&lt;/div&gt;&lt;hr/&gt;&lt;div&gt;&lt;h4&gt;&lt;p&gt;You send a hideous and unsettling phantasmal vision to a specific creature that you name or otherwise specifically designate.&lt;/p&gt;&lt;p&gt;The &lt;i&gt;nightmare&lt;/i&gt; prevents restful sleep and causes 1d10 points of damage. The &lt;i&gt;nightmare&lt;/i&gt; leaves the subject fatigued and unable to regain arcane spells for the next 24 hours.&lt;/p&gt;&lt;p&gt;The difficulty of the save depends on your knowledge the subject and the physical connection (if any) you have to that creature.&lt;/p&gt;   &lt;table border ='1'&gt;&lt;tr&gt;&lt;th&gt;Knowledge&lt;/th&gt;&lt;th&gt;Will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to a creature of which you have no knowledge.&lt;/td&gt;&lt;/tr&gt;&lt;/table&gt;   &lt;table border ='1'&gt;&lt;tr&gt;&lt;th&gt;Connection&lt;/th&gt;&lt;th&gt;Will Save Modifier&lt;/th&gt;&lt;/tr&gt;&lt;tr&gt;&lt;td&gt;Likeness or picture&lt;/td&gt;&lt;td&gt;-2&lt;/td&gt;&lt;/tr&gt;&lt;tr&gt;&lt;td&gt;Possession or garment&lt;/td&gt;&lt;td&gt;-4&lt;/td&gt;&lt;/tr&gt;&lt;tr&gt;&lt;td&gt;Body part, lock of hair, bit of nail, etc.&lt;/td&gt;&lt;td&gt;-10&lt;/td&gt;&lt;/tr&gt;&lt;/table&gt;    &lt;i&gt;Dispel evil&lt;/i&gt; cast on the subject while you are casting the spell dispels the &lt;i&gt;nightmare&lt;/i&gt; and causes you to be stunned for 10 minutes per caster level of the &lt;i&gt;dispel evil&lt;/i&gt;.&lt;/p&gt;&lt;p&gt;If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ends.&lt;/p&gt;&lt;p&gt;If you choose to enter a trance, you are not aware of your surroundings or the activities around you while in the trance.&lt;/p&gt;&lt;p&gt;You are defenseless, both physically and mentally, while in the trance. (You always fail Reflex and Will saving throws, for example.) Creatures who don't sleep (such as outsiders) or dream are immune to this spell.&lt;/p&gt;&lt;/h4&gt;&lt;h5&gt;&lt;b&gt;Mythic: &lt;/b&gt;The spell's damage increases to 4d6 points of damage, and the target is also shaken for 24 hours.&lt;/h5&gt;&lt;h5&gt;&lt;b&gt;Augmented (6th)&lt;/b&gt;: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area.&lt;/h5&gt;&lt;/div&gt;</t>
  </si>
  <si>
    <t>Madness (5), Night (6)</t>
  </si>
  <si>
    <t>Sends vision dealing 1d10 damage, fatigue.</t>
  </si>
  <si>
    <t>The spell's damage increases to 4d6 points of damage, and the target is also shaken for 24 hours.</t>
  </si>
  <si>
    <t>Augmented (6th):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t>
  </si>
  <si>
    <t>Nondetection</t>
  </si>
  <si>
    <t>ranger 4, sorcerer/wizard 3, alchemist 3, summoner 3, inquisitor 3, antipaladin 3, occultist 3, psychic 3, mesmerist 3, spiritualist 3</t>
  </si>
  <si>
    <t>V, S, M (diamond dust worth 50 gp)</t>
  </si>
  <si>
    <t>creature or object touched</t>
  </si>
  <si>
    <t>The warded creature or object becomes difficult to detect by divination spells such as clairaudience/clairvoyance, locate object, and detect spells. Nondetection also prevents location by such magic items as crystal balls. If a divination is attempted against the warded creature or item, the caster of the divination must succeed on a caster level check (1d20 + caster level) against a DC of 11 + the caster level of the spellcaster who cast nondetection. If you cast nondetection on yourself or on an item currently in your possession, the DC is 15 + your caster level. If cast on a creature, nondetection wards the creature's gear as well as the creature itself.</t>
  </si>
  <si>
    <t>&lt;p&gt;The warded creature or object becomes difficult to &lt;i&gt;detect&lt;/i&gt; by divination spells such as &lt;i&gt;clairaudience/clairvoyance, locate object,&lt;/i&gt; and &lt;i&gt;detect&lt;/i&gt; spells. &lt;i&gt;Nondetection&lt;/i&gt; also prevents location by such magic items as &lt;i&gt;crystal ball&lt;/i&gt;s. If a divination is attempted against the warded creature or item, the caster of the divination must succeed on a caster level check (1d20 + caster level) against a DC of 11 + the caster level of the spellcaster who cast &lt;i&gt;nondetection&lt;/i&gt;. If you cast &lt;i&gt;nondetection&lt;/i&gt; on yourself or on an item currently in your possession, the DC is 15 + your caster level.&lt;/p&gt;&lt;p&gt;If cast on a creature, &lt;i&gt;nondetection&lt;/i&gt; wards the creature's gear as well as the creature itself.&lt;/p&gt;</t>
  </si>
  <si>
    <t>&lt;link rel="stylesheet"href="PF.css"&gt;&lt;div class="heading"&gt;&lt;p class="alignleft"&gt;Nondetection&lt;/p&gt;&lt;div style="clear: both;"&gt;&lt;/div&gt;&lt;/div&gt;&lt;div&gt;&lt;h5&gt;&lt;b&gt;School &lt;/b&gt;abjuration; &lt;b&gt;Level &lt;/b&gt;ranger 4, sorcerer/wizard 3, alchemist 3, summoner 3, inquisitor 3, antipaladin 3, occultist 3, psychic 3, mesmerist 3, spiritualist 3&lt;/h5&gt;&lt;/div&gt;&lt;hr/&gt;&lt;div&gt;&lt;h5&gt;&lt;b&gt;CASTING&lt;/b&gt;&lt;/h5&gt;&lt;/div&gt;&lt;hr/&gt;&lt;div&gt;&lt;h5&gt;&lt;b&gt;Casting Time &lt;/b&gt;1 standard action&lt;/h5&gt;&lt;h5&gt;&lt;b&gt;Components &lt;/b&gt;V, S, M (diamond dust worth 50 gp)&lt;/h5&gt;&lt;/div&gt;&lt;hr/&gt;&lt;div&gt;&lt;h5&gt;&lt;b&gt;EFFECT&lt;/b&gt;&lt;/h5&gt;&lt;/div&gt;&lt;hr/&gt;&lt;div&gt;&lt;h5&gt;&lt;b&gt;Range &lt;/b&gt;touch&lt;/h5&gt;&lt;h5&gt;&lt;b&gt;Targets &lt;/b&gt;creature or object touched&lt;/h5&gt;&lt;h5&gt;&lt;b&gt;Duration &lt;/b&gt;1 hour/level&lt;/h5&gt;&lt;h5&gt;&lt;b&gt;Saving Throw &lt;/b&gt;Will negates (harmless, object); &lt;b&gt;Spell Resistance &lt;/b&gt;yes (harmless, object)&lt;/h5&gt;&lt;/div&gt;&lt;hr/&gt;&lt;div&gt;&lt;h5&gt;&lt;b&gt;DESCRIPTION&lt;/b&gt;&lt;/h5&gt;&lt;/div&gt;&lt;hr/&gt;&lt;div&gt;&lt;h4&gt;&lt;p&gt;The warded creature or object becomes difficult to &lt;i&gt;detect&lt;/i&gt; by divination spells such as &lt;i&gt;clairaudience/clairvoyance, locate object,&lt;/i&gt; and &lt;i&gt;detect&lt;/i&gt; spells. &lt;i&gt;Nondetection&lt;/i&gt; also prevents location by such magic items as &lt;i&gt;crystal ball&lt;/i&gt;s. If a divination is attempted against the warded creature or item, the caster of the divination must succeed on a caster level check (1d20 + caster level) against a DC of 11 + the caster level of the spellcaster who cast &lt;i&gt;nondetection&lt;/i&gt;. If you cast &lt;i&gt;nondetection&lt;/i&gt; on yourself or on an item currently in your possession, the DC is 15 + your caster level.&lt;/p&gt;&lt;p&gt;If cast on a creature, &lt;i&gt;nondetection&lt;/i&gt; wards the creature's gear as well as the creature itself.&lt;/p&gt;&lt;/h4&gt;&lt;/div&gt;</t>
  </si>
  <si>
    <t>Trickery (3)</t>
  </si>
  <si>
    <t>Hides subject from divination, scrying.</t>
  </si>
  <si>
    <t>Obscure Object</t>
  </si>
  <si>
    <t>bard 1, cleric/oracle 3, sorcerer/wizard 2, inquisitor 3, occultist 2, psychic 2, mesmerist 1, spiritualist 3</t>
  </si>
  <si>
    <t>V, S, M/DF (chameleon skin)</t>
  </si>
  <si>
    <t>one object touched of up to 100 lbs./level</t>
  </si>
  <si>
    <t>8 hours</t>
  </si>
  <si>
    <t>This spell hides an object from location by divination (scrying) effects, such as the scrying spell or a crystal ball. Such an attempt automatically fails (if the divination is targeted on the object) or fails to perceive the object (if the divination is targeted on a nearby location, object, or person).</t>
  </si>
  <si>
    <t>&lt;p&gt;This spell hides an object from location by divination (&lt;i&gt;scrying&lt;/i&gt;) effects, such as the &lt;i&gt;scrying&lt;/i&gt; spell or a &lt;i&gt;crystal ball&lt;/i&gt;. Such an attempt automatically fails (if the divination is targeted on the object) or fails to perceive the object (if the divination is targeted on a nearby location, object, or person).&lt;/p&gt;</t>
  </si>
  <si>
    <t>&lt;link rel="stylesheet"href="PF.css"&gt;&lt;div class="heading"&gt;&lt;p class="alignleft"&gt;Obscure Object&lt;/p&gt;&lt;div style="clear: both;"&gt;&lt;/div&gt;&lt;/div&gt;&lt;div&gt;&lt;h5&gt;&lt;b&gt;School &lt;/b&gt;abjuration; &lt;b&gt;Level &lt;/b&gt;bard 1, cleric/oracle 3, sorcerer/wizard 2, inquisitor 3, occultist 2, psychic 2, mesmerist 1, spiritualist 3&lt;/h5&gt;&lt;/div&gt;&lt;hr/&gt;&lt;div&gt;&lt;h5&gt;&lt;b&gt;CASTING&lt;/b&gt;&lt;/h5&gt;&lt;/div&gt;&lt;hr/&gt;&lt;div&gt;&lt;h5&gt;&lt;b&gt;Casting Time &lt;/b&gt;1 standard action&lt;/h5&gt;&lt;h5&gt;&lt;b&gt;Components &lt;/b&gt;V, S, M/DF (chameleon skin)&lt;/h5&gt;&lt;/div&gt;&lt;hr/&gt;&lt;div&gt;&lt;h5&gt;&lt;b&gt;EFFECT&lt;/b&gt;&lt;/h5&gt;&lt;/div&gt;&lt;hr/&gt;&lt;div&gt;&lt;h5&gt;&lt;b&gt;Range &lt;/b&gt;touch&lt;/h5&gt;&lt;h5&gt;&lt;b&gt;Targets &lt;/b&gt;one object touched of up to 100 lbs./level&lt;/h5&gt;&lt;h5&gt;&lt;b&gt;Duration &lt;/b&gt;8 hours (D)&lt;/h5&gt;&lt;h5&gt;&lt;b&gt;Saving Throw &lt;/b&gt;Will negates (object); &lt;b&gt;Spell Resistance &lt;/b&gt;yes (object)&lt;/h5&gt;&lt;/div&gt;&lt;hr/&gt;&lt;div&gt;&lt;h5&gt;&lt;b&gt;DESCRIPTION&lt;/b&gt;&lt;/h5&gt;&lt;/div&gt;&lt;hr/&gt;&lt;div&gt;&lt;h4&gt;&lt;p&gt;This spell hides an object from location by divination (&lt;i&gt;scrying&lt;/i&gt;) effects, such as the &lt;i&gt;scrying&lt;/i&gt; spell or a &lt;i&gt;crystal ball&lt;/i&gt;. Such an attempt automatically fails (if the divination is targeted on the object) or fails to perceive the object (if the divination is targeted on a nearby location, object, or person).&lt;/p&gt;&lt;/h4&gt;&lt;/div&gt;</t>
  </si>
  <si>
    <t>Masks object against scrying.</t>
  </si>
  <si>
    <t>Obscuring Mist</t>
  </si>
  <si>
    <t>cleric/oracle 1, druid 1, sorcerer/wizard 1, witch 1, magus 1, shaman 1, mesmerist 1, spiritualist 1</t>
  </si>
  <si>
    <t>cloud spreads in 20-ft. radius from you, 20 ft. high</t>
  </si>
  <si>
    <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  A moderate wind (11+ mph), such as from a gust of wind spell, disperses the fog in 4 rounds. A strong wind (21+ mph) disperses the fog in 1 round. A fireball, flame strike, or similar spell burns away the fog in the explosive or fiery spell's area. A wall of fire burns away the fog in the area into which it deals damage.  This spell does not function underwater.</t>
  </si>
  <si>
    <t>&lt;p&gt;A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target).&lt;/p&gt;&lt;p&gt;A moderate wind (11+ mph), such as from a &lt;i&gt;gust of wind&lt;/i&gt; spell, disperses the fog in 4 rounds. A strong wind (21+ mph) disperses the fog in 1 round. A &lt;i&gt;fireball, flame strike&lt;/i&gt;, or similar spell burns away the fog in the explosive or fiery spell's area. A &lt;i&gt;wall of fire&lt;/i&gt; burns away the fog in the area into which it deals damage.&lt;/p&gt;&lt;p&gt;This spell does not function underwater.&lt;/p&gt;</t>
  </si>
  <si>
    <t>&lt;link rel="stylesheet"href="PF.css"&gt;&lt;div class="heading"&gt;&lt;p class="alignleft"&gt;Obscuring Mist&lt;/p&gt;&lt;div style="clear: both;"&gt;&lt;/div&gt;&lt;/div&gt;&lt;div&gt;&lt;h5&gt;&lt;b&gt;School &lt;/b&gt;conjuration (creation); &lt;b&gt;Level &lt;/b&gt;cleric/oracle 1, druid 1, sorcerer/wizard 1, witch 1, magus 1, shaman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&lt;/b&gt;20 ft.&lt;/h5&gt;&lt;h5&gt;&lt;b&gt;Effect &lt;/b&gt;cloud spreads in 20-ft. radius from you, 20 ft. high&lt;/h5&gt;&lt;h5&gt;&lt;b&gt;Duration &lt;/b&gt;1 min./level (D)&lt;/h5&gt;&lt;h5&gt;&lt;b&gt;Saving Throw &lt;/b&gt;none; &lt;b&gt;Spell Resistance &lt;/b&gt;no&lt;/h5&gt;&lt;/div&gt;&lt;hr/&gt;&lt;div&gt;&lt;h5&gt;&lt;b&gt;DESCRIPTION&lt;/b&gt;&lt;/h5&gt;&lt;/div&gt;&lt;hr/&gt;&lt;div&gt;&lt;h4&gt;&lt;p&gt;A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target).&lt;/p&gt;&lt;p&gt;A moderate wind (11+ mph), such as from a &lt;i&gt;gust of wind&lt;/i&gt; spell, disperses the fog in 4 rounds. A strong wind (21+ mph) disperses the fog in 1 round. A &lt;i&gt;fireball, flame strike&lt;/i&gt;, or similar spell burns away the fog in the explosive or fiery spell's area. A &lt;i&gt;wall of fire&lt;/i&gt; burns away the fog in the area into which it deals damage.&lt;/p&gt;&lt;p&gt;This spell does not function underwater.&lt;/p&gt;&lt;/h4&gt;&lt;/div&gt;</t>
  </si>
  <si>
    <t>Air (1), Darkness (1), Water (1), Weather (1)</t>
  </si>
  <si>
    <t>Fog surrounds you.</t>
  </si>
  <si>
    <t>Marid (3), Ectoplasm (3)</t>
  </si>
  <si>
    <t>Storms (2)</t>
  </si>
  <si>
    <t>Open/Close</t>
  </si>
  <si>
    <t>V, S, F (a brass key)</t>
  </si>
  <si>
    <t>object weighing up to 30 lbs. or portal that can be opened or closed</t>
  </si>
  <si>
    <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t>
  </si>
  <si>
    <t>&lt;p&gt;You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affect.&lt;/p&gt;</t>
  </si>
  <si>
    <t>&lt;link rel="stylesheet"href="PF.css"&gt;&lt;div class="heading"&gt;&lt;p class="alignleft"&gt;Open/Close&lt;/p&gt;&lt;div style="clear: both;"&gt;&lt;/div&gt;&lt;/div&gt;&lt;div&gt;&lt;h5&gt;&lt;b&gt;School &lt;/b&gt;transmutation; &lt;b&gt;Level &lt;/b&gt;bard 0, sorcerer/wizard 0, summoner 0, magus 0, occultist 0, psychic 0, mesmerist 0, spiritualist 0&lt;/h5&gt;&lt;/div&gt;&lt;hr/&gt;&lt;div&gt;&lt;h5&gt;&lt;b&gt;CASTING&lt;/b&gt;&lt;/h5&gt;&lt;/div&gt;&lt;hr/&gt;&lt;div&gt;&lt;h5&gt;&lt;b&gt;Casting Time &lt;/b&gt;1 standard action&lt;/h5&gt;&lt;h5&gt;&lt;b&gt;Components &lt;/b&gt;V, S, F (a brass key)&lt;/h5&gt;&lt;/div&gt;&lt;hr/&gt;&lt;div&gt;&lt;h5&gt;&lt;b&gt;EFFECT&lt;/b&gt;&lt;/h5&gt;&lt;/div&gt;&lt;hr/&gt;&lt;div&gt;&lt;h5&gt;&lt;b&gt;Range &lt;/b&gt;close (25 ft. + 5 ft./2 levels)&lt;/h5&gt;&lt;h5&gt;&lt;b&gt;Targets &lt;/b&gt;object weighing up to 30 lbs. or portal that can be opened or closed&lt;/h5&gt;&lt;h5&gt;&lt;b&gt;Duration &lt;/b&gt;instantaneous&lt;/h5&gt;&lt;h5&gt;&lt;b&gt;Saving Throw &lt;/b&gt;Will negates (object); &lt;b&gt;Spell Resistance &lt;/b&gt;yes (object)&lt;/h5&gt;&lt;/div&gt;&lt;hr/&gt;&lt;div&gt;&lt;h5&gt;&lt;b&gt;DESCRIPTION&lt;/b&gt;&lt;/h5&gt;&lt;/div&gt;&lt;hr/&gt;&lt;div&gt;&lt;h4&gt;&lt;p&gt;You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affect.&lt;/p&gt;&lt;/h4&gt;&lt;/div&gt;</t>
  </si>
  <si>
    <t>Opens or closes small or light things.</t>
  </si>
  <si>
    <t>Order's Wrath</t>
  </si>
  <si>
    <t>nonlawful creatures within a burst that fills a 30-ft. cube</t>
  </si>
  <si>
    <t>You channel lawful power to smite enemies. The power takes the form of a three-dimensional grid of energy. Only chaotic and neutral (not lawful) creatures are harmed by the spell.  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  The spell deals only half damage to creatures who are neither chaotic nor lawful, and they are not dazed. They can reduce the damage in half again (down to one-quarter of the roll) with a successful Will save.</t>
  </si>
  <si>
    <t>&lt;p&gt;You channel lawful power to smite enemies. The power takes the form of a three-dimensional grid of energy. Only chaotic and neutral (not lawful) creatures are harmed by the spell.&lt;/p&gt;&lt;p&gt;The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effect.&lt;/p&gt;&lt;p&gt;The spell deals only half damage to creatures who are neither chaotic nor lawful, and they are not dazed. They can reduce the damage in half again (down to one-quarter of the roll) with a successful Will save.&lt;/p&gt;</t>
  </si>
  <si>
    <t>&lt;link rel="stylesheet"href="PF.css"&gt;&lt;div class="heading"&gt;&lt;p class="alignleft"&gt;Order's Wrath&lt;/p&gt;&lt;div style="clear: both;"&gt;&lt;/div&gt;&lt;/div&gt;&lt;div&gt;&lt;h5&gt;&lt;b&gt;School &lt;/b&gt;evocation [lawful];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&lt;/b&gt;nonlawful creatures within a burst that fills a 30-ft. cube&lt;/h5&gt;&lt;h5&gt;&lt;b&gt;Duration &lt;/b&gt;instantaneous (1 round); see text&lt;/h5&gt;&lt;h5&gt;&lt;b&gt;Saving Throw &lt;/b&gt;Will partial; see text; &lt;b&gt;Spell Resistance &lt;/b&gt;yes&lt;/h5&gt;&lt;/div&gt;&lt;hr/&gt;&lt;div&gt;&lt;h5&gt;&lt;b&gt;DESCRIPTION&lt;/b&gt;&lt;/h5&gt;&lt;/div&gt;&lt;hr/&gt;&lt;div&gt;&lt;h4&gt;&lt;p&gt;You channel lawful power to smite enemies. The power takes the form of a three-dimensional grid of energy. Only chaotic and neutral (not lawful) creatures are harmed by the spell.&lt;/p&gt;&lt;p&gt;The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effect.&lt;/p&gt;&lt;p&gt;The spell deals only half damage to creatures who are neither chaotic nor lawful, and they are not dazed. They can reduce the damage in half again (down to one-quarter of the roll) with a successful Will save.&lt;/p&gt;&lt;/h4&gt;&lt;h5&gt;&lt;b&gt;Mythic: &lt;/b&gt;The damage dealt to chaotic outsiders increases to 1d10 points of damage per caster level (maximum 10d10) and the damage to other chaotic creatures increases to 1d12 points of damage per 2 caster levels (maximum 5d12). The duration that creatures in the area are dazed increases to 2 rounds. Chaotic creatures that succeed at their saves are dazed for 1 round.&lt;/h5&gt;&lt;/div&gt;</t>
  </si>
  <si>
    <t>Law (4)</t>
  </si>
  <si>
    <t> Harms and dazes chaotic creatures (1d8 damage/2 levels).</t>
  </si>
  <si>
    <t>The damage dealt to chaotic outsiders increases to 1d10 points of damage per caster level (maximum 10d10) and the damage to other chaotic creatures increases to 1d12 points of damage per 2 caster levels (maximum 5d12). The duration that creatures in the area are dazed increases to 2 rounds. Chaotic creatures that succeed at their saves are dazed for 1 round.</t>
  </si>
  <si>
    <t>Overland Flight</t>
  </si>
  <si>
    <t>sorcerer/wizard 5, alchemist 5, summoner 4, witch 5, magus 5, shaman 5, occultist 5, psychic 5, spiritualist 5</t>
  </si>
  <si>
    <t>This spell functions like a fly spell, except you can fly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t>
  </si>
  <si>
    <t>&lt;p&gt;This spell functions like a &lt;i&gt;fly&lt;/i&gt; spell, except you can &lt;i&gt;fly&lt;/i&gt;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feet).&lt;/p&gt;</t>
  </si>
  <si>
    <t>&lt;link rel="stylesheet"href="PF.css"&gt;&lt;div class="heading"&gt;&lt;p class="alignleft"&gt;Overland Flight&lt;/p&gt;&lt;div style="clear: both;"&gt;&lt;/div&gt;&lt;/div&gt;&lt;div&gt;&lt;h5&gt;&lt;b&gt;School &lt;/b&gt;transmutation; &lt;b&gt;Level &lt;/b&gt;sorcerer/wizard 5, alchemist 5, summoner 4, witch 5, magus 5, shaman 5, occultist 5, psychic 5, spiritualist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functions like a &lt;i&gt;fly&lt;/i&gt; spell, except you can &lt;i&gt;fly&lt;/i&gt;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feet).&lt;/p&gt;&lt;/h4&gt;&lt;/div&gt;</t>
  </si>
  <si>
    <t>Trade (5), Void (5)</t>
  </si>
  <si>
    <t> You fly at a speed of 40 ft. and can hustle over long distances.</t>
  </si>
  <si>
    <t>Arcane (11), Djinni (11), Starsoul (11), Stormborn (11)</t>
  </si>
  <si>
    <t>Owl's Wisdom</t>
  </si>
  <si>
    <t>cleric/oracle 2, druid 2, paladin 2, ranger 2, sorcerer/wizard 2, alchemist 2, summoner 2, shaman 2, psychic 2</t>
  </si>
  <si>
    <t>V, S, M/DF (feathers or droppings from an owl)</t>
  </si>
  <si>
    <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t>
  </si>
  <si>
    <t>&lt;p&gt;The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increase.&lt;/p&gt;</t>
  </si>
  <si>
    <t>&lt;link rel="stylesheet"href="PF.css"&gt;&lt;div class="heading"&gt;&lt;p class="alignleft"&gt;Owl's Wisdom&lt;/p&gt;&lt;div style="clear: both;"&gt;&lt;/div&gt;&lt;/div&gt;&lt;div&gt;&lt;h5&gt;&lt;b&gt;School &lt;/b&gt;transmutation; &lt;b&gt;Level &lt;/b&gt;cleric/oracle 2, druid 2, paladin 2, ranger 2, sorcerer/wizard 2, alchemist 2, summoner 2, shaman 2, psychic 2, alchemist 2, summoner 2&lt;/h5&gt;&lt;/div&gt;&lt;hr/&gt;&lt;div&gt;&lt;h5&gt;&lt;b&gt;CASTING&lt;/b&gt;&lt;/h5&gt;&lt;/div&gt;&lt;hr/&gt;&lt;div&gt;&lt;h5&gt;&lt;b&gt;Casting Time &lt;/b&gt;1 standard action&lt;/h5&gt;&lt;h5&gt;&lt;b&gt;Components &lt;/b&gt;V, S, M/DF (feathers or droppings from an owl)&lt;/h5&gt;&lt;/div&gt;&lt;hr/&gt;&lt;div&gt;&lt;h5&gt;&lt;b&gt;EFFECT&lt;/b&gt;&lt;/h5&gt;&lt;/div&gt;&lt;hr/&gt;&lt;div&gt;&lt;h5&gt;&lt;b&gt;Range &lt;/b&gt;touch&lt;/h5&gt;&lt;h5&gt;&lt;b&gt;Targets &lt;/b&gt;creature touched&lt;/h5&gt;&lt;h5&gt;&lt;b&gt;Duration &lt;/b&gt;1 min./level&lt;/h5&gt;&lt;h5&gt;&lt;b&gt;Saving Throw &lt;/b&gt;Will negates (harmless); &lt;b&gt;Spell Resistance &lt;/b&gt;yes&lt;/h5&gt;&lt;/div&gt;&lt;hr/&gt;&lt;div&gt;&lt;h5&gt;&lt;b&gt;DESCRIPTION&lt;/b&gt;&lt;/h5&gt;&lt;/div&gt;&lt;hr/&gt;&lt;div&gt;&lt;h4&gt;&lt;p&gt;The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increase.&lt;/p&gt;&lt;/h4&gt;&lt;/div&gt;</t>
  </si>
  <si>
    <t>Subject gains +4 to Wis for 1 min./level.</t>
  </si>
  <si>
    <t>Moon (6), Wisdom (4)</t>
  </si>
  <si>
    <t>Owl's Wisdom, Mass</t>
  </si>
  <si>
    <t>cleric/oracle 6, druid 6, sorcerer/wizard 6, summoner 4, shaman 6, psychic 6</t>
  </si>
  <si>
    <t>This spell functions like owl's wisdom, except that it affects multiple creatures.</t>
  </si>
  <si>
    <t>&lt;p&gt;This spell functions like &lt;i&gt;owl's wisdom&lt;/i&gt;, except that it affects multiple creatures.&lt;/p&gt;</t>
  </si>
  <si>
    <t>&lt;link rel="stylesheet"href="PF.css"&gt;&lt;div class="heading"&gt;&lt;p class="alignleft"&gt;Owl's Wisdom, Mass&lt;/p&gt;&lt;div style="clear: both;"&gt;&lt;/div&gt;&lt;/div&gt;&lt;div&gt;&lt;h5&gt;&lt;b&gt;School &lt;/b&gt;transmutation; &lt;b&gt;Level &lt;/b&gt;cleric/oracle 6, druid 6, sorcerer/wizard 6, summoner 4, shaman 6, psychic 6&lt;/h5&gt;&lt;/div&gt;&lt;hr/&gt;&lt;div&gt;&lt;h5&gt;&lt;b&gt;CASTING&lt;/b&gt;&lt;/h5&gt;&lt;/div&gt;&lt;hr/&gt;&lt;div&gt;&lt;h5&gt;&lt;b&gt;Casting Time &lt;/b&gt;1 standard action&lt;/h5&gt;&lt;h5&gt;&lt;b&gt;Components &lt;/b&gt;V, S, M/DF (feathers or droppings from an owl)&lt;/h5&gt;&lt;/div&gt;&lt;hr/&gt;&lt;div&gt;&lt;h5&gt;&lt;b&gt;EFFECT&lt;/b&gt;&lt;/h5&gt;&lt;/div&gt;&lt;hr/&gt;&lt;div&gt;&lt;h5&gt;&lt;b&gt;Range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&lt;/b&gt;yes&lt;/h5&gt;&lt;/div&gt;&lt;hr/&gt;&lt;div&gt;&lt;h5&gt;&lt;b&gt;DESCRIPTION&lt;/b&gt;&lt;/h5&gt;&lt;/div&gt;&lt;hr/&gt;&lt;div&gt;&lt;h4&gt;&lt;p&gt;This spell functions like &lt;i&gt;owl's wisdom&lt;/i&gt;, except that it affects multiple creatures.&lt;/p&gt;&lt;/h4&gt;&lt;/div&gt;</t>
  </si>
  <si>
    <t>As owl’s wisdom, affects 1 subject/level.</t>
  </si>
  <si>
    <t>Passwall</t>
  </si>
  <si>
    <t>sorcerer/wizard 5, psychic 5, mesmerist 5</t>
  </si>
  <si>
    <t>V, S, M (sesame seeds)</t>
  </si>
  <si>
    <t>5-ft.-by-8-ft. opening, 10 ft. deep plus 5 ft. deep per three additional levels</t>
  </si>
  <si>
    <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passwall simply makes a niche or short tunnel. Several passwall spells can then form a continuing passage to breach very thick walls. When passwall ends, creatures within the passage are ejected out the nearest exit. If someone dispels the passwall or you dismiss it, creatures in the passage are ejected out the far exit, if there is one, or out the sole exit if there is only one.</t>
  </si>
  <si>
    <t>&lt;p&gt;You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&lt;i&gt;passwall&lt;/i&gt; simply makes a niche or short tunnel. Several &lt;i&gt;passwall&lt;/i&gt; spells can then form a continuing passage to breach very thick walls. When &lt;i&gt;passwall&lt;/i&gt; ends, creatures within the passage are ejected out the nearest exit. If someone dispels the &lt;i&gt;passwall&lt;/i&gt; or you dismiss it, creatures in the passage are ejected out the far exit, if there is one, or out the sole exit if there is only one.&lt;/p&gt;</t>
  </si>
  <si>
    <t>&lt;link rel="stylesheet"href="PF.css"&gt;&lt;div class="heading"&gt;&lt;p class="alignleft"&gt;Passwall&lt;/p&gt;&lt;div style="clear: both;"&gt;&lt;/div&gt;&lt;/div&gt;&lt;div&gt;&lt;h5&gt;&lt;b&gt;School &lt;/b&gt;transmutation; &lt;b&gt;Level &lt;/b&gt;sorcerer/wizard 5, psychic 5, mesmerist 5&lt;/h5&gt;&lt;/div&gt;&lt;hr/&gt;&lt;div&gt;&lt;h5&gt;&lt;b&gt;CASTING&lt;/b&gt;&lt;/h5&gt;&lt;/div&gt;&lt;hr/&gt;&lt;div&gt;&lt;h5&gt;&lt;b&gt;Casting Time &lt;/b&gt;1 standard action&lt;/h5&gt;&lt;h5&gt;&lt;b&gt;Components &lt;/b&gt;V, S, M (sesame seeds)&lt;/h5&gt;&lt;/div&gt;&lt;hr/&gt;&lt;div&gt;&lt;h5&gt;&lt;b&gt;EFFECT&lt;/b&gt;&lt;/h5&gt;&lt;/div&gt;&lt;hr/&gt;&lt;div&gt;&lt;h5&gt;&lt;b&gt;Range &lt;/b&gt;touch&lt;/h5&gt;&lt;h5&gt;&lt;b&gt;Effect &lt;/b&gt;5-ft.-by-8-ft. opening, 10 ft. deep plus 5 ft. deep per three additional levels&lt;/h5&gt;&lt;h5&gt;&lt;b&gt;Duration &lt;/b&gt;1 hour/level (D)&lt;/h5&gt;&lt;h5&gt;&lt;b&gt;Saving Throw &lt;/b&gt;none; &lt;b&gt;Spell Resistance &lt;/b&gt;no&lt;/h5&gt;&lt;/div&gt;&lt;hr/&gt;&lt;div&gt;&lt;h5&gt;&lt;b&gt;DESCRIPTION&lt;/b&gt;&lt;/h5&gt;&lt;/div&gt;&lt;hr/&gt;&lt;div&gt;&lt;h4&gt;&lt;p&gt;You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&lt;i&gt;passwall&lt;/i&gt; simply makes a niche or short tunnel. Several &lt;i&gt;passwall&lt;/i&gt; spells can then form a continuing passage to breach very thick walls. When &lt;i&gt;passwall&lt;/i&gt; ends, creatures within the passage are ejected out the nearest exit. If someone dispels the &lt;i&gt;passwall&lt;/i&gt; or you dismiss it, creatures in the passage are ejected out the far exit, if there is one, or out the sole exit if there is only one.&lt;/p&gt;&lt;/h4&gt;&lt;/div&gt;</t>
  </si>
  <si>
    <t> Creates passage through wood or stone wall.</t>
  </si>
  <si>
    <t>Deception (10)</t>
  </si>
  <si>
    <t>Pass without Trace</t>
  </si>
  <si>
    <t>druid 1, ranger 1, shaman 1, occultist 1</t>
  </si>
  <si>
    <t>one creature/level touched</t>
  </si>
  <si>
    <t>The subject or subjects of this spell do not leave footprints or a scent trail while moving. Tracking the subjects is impossible by nonmagical means.</t>
  </si>
  <si>
    <t>&lt;p&gt;The subject or subjects of this spell do not leave footprints or a scent trail while moving. Tracking the subjects is impossible by nonmagical means.&lt;/p&gt;</t>
  </si>
  <si>
    <t>&lt;link rel="stylesheet"href="PF.css"&gt;&lt;div class="heading"&gt;&lt;p class="alignleft"&gt;Pass without Trace&lt;/p&gt;&lt;div style="clear: both;"&gt;&lt;/div&gt;&lt;/div&gt;&lt;div&gt;&lt;h5&gt;&lt;b&gt;School &lt;/b&gt;transmutation; &lt;b&gt;Level &lt;/b&gt;druid 1, ranger 1, shaman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creature/level touched&lt;/h5&gt;&lt;h5&gt;&lt;b&gt;Duration &lt;/b&gt;1 hour/level (D)&lt;/h5&gt;&lt;h5&gt;&lt;b&gt;Saving Throw &lt;/b&gt;Will negates (harmless); &lt;b&gt;Spell Resistance &lt;/b&gt;yes (harmless)&lt;/h5&gt;&lt;/div&gt;&lt;hr/&gt;&lt;div&gt;&lt;h5&gt;&lt;b&gt;DESCRIPTION&lt;/b&gt;&lt;/h5&gt;&lt;/div&gt;&lt;hr/&gt;&lt;div&gt;&lt;h4&gt;&lt;p&gt;The subject or subjects of this spell do not leave footprints or a scent trail while moving. Tracking the subjects is impossible by nonmagical means.&lt;/p&gt;&lt;/h4&gt;&lt;/div&gt;</t>
  </si>
  <si>
    <t>One subject/level leaves no tracks.</t>
  </si>
  <si>
    <t>Permanency</t>
  </si>
  <si>
    <t>sorcerer/wizard 5, psychic 5</t>
  </si>
  <si>
    <t>2 rounds</t>
  </si>
  <si>
    <t>V, S, M (see tables below)</t>
  </si>
  <si>
    <t>This spell makes the duration of certain other spells permanent. You first cast the desired spell and then follow it with the permanency spell. Depending on the spell, you must be of a minimum caster level and must expend a specific gp value of diamond dust as a material component. You can make the following spells permanent in regard to yourself. Spell M inimum Caster Level GP Cost Arcane sight 11th 7,500 gp Comprehend languages 9th 2,500 gp Darkvision 10th 5,000 gp Detect magic 9th 2,500 gp Read magic 9th 2,500 gp See invisibility 10th 5,000 gp Tongues 11th 7,500 gp You cannot cast these spells on other creatures. This application of permanency can be dispelled only by a caster of higher level than you were when you cast the spell. In addition to personal use, permanency can be used to make the following spells permanent on yourself, another creature, or an object (as appropriate). Spell M inimum Caster Level GP Cost Enlarge person 9th 2,500 gp Magic fang 9th 2,500 gp Magic fang, greater 11th 7,500 gp Reduce person 9th 2,500 gp Resistance 9th 2,500 gp Telepathic bond* 13th 12,500 gp *Only bonds two creatures per casting of permanency. Additionally, the following spells can be cast upon objects or areas only and rendered permanent. Spell M inimum Caster Level GP Cost Alarm 9th 2,500 gp Animate objects 14th 15,000 gp Dancing lights 9th 2,500 gp Ghost sound 9th 2,500 gp Gust of wind 11th 7,500 gp Invisibility 10th 5,000 gp Mage's private sanctum 13th 12,500 gp Magic mouth 10th 5,000 gp Phase door 15th 17,500 gp Prismatic sphere 17th 22,500 gp Prismatic wall 16th 20,000 gp Shrink item 11th 7,500 gp Solid fog 12th 10,000 gp Stinking cloud 11th 7,500 gp Symbol of death 16th 20,000 gp Symbol of fear 14th 15,000 gp Symbol of insanity 16th 20,000 gp Symbol of pain 13th 12,500 gp Symbol of persuasion 14th 15,000 gp Symbol of sleep 16th 20,000 gp Symbol of stunning 15th 17,500 gp Symbol of weakness 15th 17,500 gp Teleportation circle 17th 22,500 gp Wall of fire 12th 10,000 gp Wall of force 13th 12,500 gp Web 10th 5,000 gp Spells cast on other targets are vulnerable to dispel magic as normal. The GM may allow other spells to be made permanent.</t>
  </si>
  <si>
    <t>&lt;p&gt;This spell makes the duration of certain other spells permanent.&lt;/p&gt;&lt;p&gt;You first cast the desired spell and then follow it with the &lt;i&gt;permanency&lt;/i&gt; spell.&lt;/p&gt;&lt;p&gt;Depending on the spell, you must be of a minimum caster level and must expend a specific gp value of diamond dust as a material component.&lt;/p&gt;&lt;p&gt;You can make the following spells permanent in regard to yourself.&lt;/p&gt;&lt;p&gt; &lt;table&gt;&lt;tr&gt;&lt;th&gt;Spell&lt;/th&gt;&lt;th&gt;Minimum Caster Level&lt;/th&gt;&lt;th&gt;GP Cost&lt;/th&gt;&lt;/tr&gt;&lt;tr&gt;&lt;td&gt;&lt;i&gt;Arcane sight&lt;/i&gt;&lt;/td&gt;&lt;td&gt;11th&lt;/td&gt;&lt;td&gt;7,500 gp&lt;/td&gt;&lt;/tr&gt;&lt;tr&gt;&lt;td&gt;&lt;i&gt;Comprehend languages&lt;/i&gt;&lt;/td&gt;&lt;td&gt;9th&lt;/td&gt;&lt;td&gt;2,500 gp&lt;/td&gt;&lt;/tr&gt;&lt;tr&gt;&lt;td&gt;&lt;i&gt;Darkvision&lt;/i&gt;&lt;/td&gt;&lt;td&gt;10th&lt;/td&gt;&lt;td&gt;5,000 gp&lt;/td&gt;&lt;/tr&gt;&lt;tr&gt;&lt;td&gt;&lt;i&gt;Detect magic&lt;/i&gt;&lt;/td&gt;&lt;td&gt;9th&lt;/td&gt;&lt;td&gt;2,500 gp&lt;/td&gt;&lt;/tr&gt;&lt;tr&gt;&lt;td&gt;&lt;i&gt;Read magic&lt;/i&gt;&lt;/td&gt;&lt;td&gt;9th&lt;/td&gt;&lt;td&gt;2,500 gp&lt;/td&gt;&lt;/tr&gt;&lt;tr&gt;&lt;td&gt;&lt;i&gt;See invisibility&lt;/i&gt;&lt;/td&gt;&lt;td&gt;10th&lt;/td&gt;&lt;td&gt;5,000 gp&lt;/td&gt;&lt;/tr&gt;&lt;tr&gt;&lt;td&gt;&lt;i&gt;Tongues&lt;/i&gt;&lt;/td&gt;&lt;td&gt;11th&lt;/td&gt;&lt;td&gt;7,500 gp&lt;/td&gt;&lt;/tr&gt;&lt;/table&gt;  You cannot cast these spells on other creatures. This application of &lt;i&gt;permanency&lt;/i&gt; can be dispelled only by a caster of higher level than you were when you cast the spell.&lt;/p&gt;&lt;p&gt;In addition to personal use, &lt;i&gt;permanency&lt;/i&gt; can be used to make the following spells permanent on yourself, another creature, or an object (as appropriate).&lt;/p&gt;&lt;p&gt; &lt;table&gt;&lt;tr&gt;&lt;th&gt;Spell&lt;/th&gt;&lt;th&gt;Minimum Caster Level&lt;/th&gt;&lt;th&gt;GP Cost&lt;/th&gt;&lt;/tr&gt;&lt;tr&gt;&lt;td&gt;&lt;i&gt;Enlarge person&lt;/i&gt;&lt;/td&gt;&lt;td&gt;9th&lt;/td&gt;&lt;td&gt;2,500 gp&lt;/td&gt;&lt;/tr&gt;&lt;tr&gt;&lt;td&gt;&lt;i&gt;Magic fang&lt;/i&gt;&lt;/td&gt;&lt;td&gt;9th&lt;/td&gt;&lt;td&gt;2,500 gp&lt;/td&gt;&lt;/tr&gt;&lt;tr&gt;&lt;td&gt;&lt;i&gt;Magic fang, greater&lt;/i&gt;&lt;/td&gt;&lt;td&gt;11th&lt;/td&gt;&lt;td&gt;7,500 gp&lt;/td&gt;&lt;/tr&gt;&lt;tr&gt;&lt;td&gt;&lt;i&gt;Reduce person&lt;/i&gt;&lt;/td&gt;&lt;td&gt;9th&lt;/td&gt;&lt;td&gt;2,500 gp&lt;/td&gt;&lt;/tr&gt;&lt;tr&gt;&lt;td&gt;&lt;i&gt;Resistance&lt;/i&gt;&lt;/td&gt;&lt;td&gt;9th&lt;/td&gt;&lt;td&gt;2,500 gp&lt;/td&gt;&lt;/tr&gt;&lt;tr&gt;&lt;td&gt;&lt;i&gt;Telepathic bond&lt;/i&gt;*&lt;/td&gt;&lt;td&gt;13th&lt;/td&gt;&lt;td&gt;12,500 gp&lt;/td&gt;&lt;/tr&gt;&lt;tr&gt;&lt;td colspan="2"&gt;*Only bonds two creatures per casting of &lt;i&gt;permanency&lt;/i&gt;.&lt;/td&gt;&lt;/tr&gt;&lt;/table&gt; &lt;/p&gt;&lt;p&gt;Additionally, the following spells can be cast upon objects or areas only and rendered permanent.&lt;/p&gt;&lt;p&gt; &lt;table&gt;&lt;tr&gt;&lt;th&gt;Spell&lt;/th&gt;&lt;th&gt;Minimum Caster Level&lt;/th&gt;&lt;th&gt;GP Cost&lt;/th&gt;&lt;/tr&gt;&lt;tr&gt;&lt;td&gt;&lt;i&gt;Alarm&lt;/i&gt;&lt;/td&gt;&lt;td&gt;9th&lt;/td&gt;&lt;td&gt;2,500 gp&lt;/td&gt;&lt;/tr&gt;&lt;tr&gt;&lt;td&gt;&lt;i&gt;Animate objects&lt;/i&gt;&lt;/td&gt;&lt;td&gt;14th&lt;/td&gt;&lt;td&gt;15,000 gp&lt;/td&gt;&lt;/tr&gt;&lt;tr&gt;&lt;td&gt;&lt;i&gt;Dancing lights&lt;/i&gt;&lt;/td&gt;&lt;td&gt;9th&lt;/td&gt;&lt;td&gt;2,500 gp&lt;/td&gt;&lt;/tr&gt;&lt;tr&gt;&lt;td&gt;&lt;i&gt;Ghost sound&lt;/i&gt;&lt;/td&gt;&lt;td&gt;9th&lt;/td&gt;&lt;td&gt;2,500 gp&lt;/td&gt;&lt;/tr&gt;&lt;tr&gt;&lt;td&gt;&lt;i&gt;Gust of wind&lt;/i&gt;&lt;/td&gt;&lt;td&gt;11th&lt;/td&gt;&lt;td&gt;7,500 gp&lt;/td&gt;&lt;/tr&gt;&lt;tr&gt;&lt;td&gt;&lt;i&gt;Invisibility&lt;/i&gt;&lt;/td&gt;&lt;td&gt;10th&lt;/td&gt;&lt;td&gt;5,000 gp&lt;/td&gt;&lt;/tr&gt;&lt;tr&gt;&lt;td&gt;&lt;i&gt;Mage's private sanctum&lt;/i&gt;&lt;/td&gt;&lt;td&gt;13th&lt;/td&gt;&lt;td&gt;12,500 gp&lt;/td&gt;&lt;/tr&gt;&lt;tr&gt;&lt;td&gt;&lt;i&gt;Magic mouth&lt;/i&gt;&lt;/td&gt;&lt;td&gt;10th&lt;/td&gt;&lt;td&gt;5,000 gp&lt;/td&gt;&lt;/tr&gt;&lt;tr&gt;&lt;td&gt;&lt;i&gt;Phase door&lt;/i&gt;&lt;/td&gt;&lt;td&gt;15th&lt;/td&gt;&lt;td&gt;17,500 gp&lt;/td&gt;&lt;/tr&gt;&lt;tr&gt;&lt;td&gt;&lt;i&gt;Prismatic sphere&lt;/i&gt;&lt;/td&gt;&lt;td&gt;17th&lt;/td&gt;&lt;td&gt;22,500 gp&lt;/td&gt;&lt;/tr&gt;&lt;tr&gt;&lt;td&gt;&lt;i&gt;Prismatic wall&lt;/i&gt;&lt;/td&gt;&lt;td&gt;16th&lt;/td&gt;&lt;td&gt;20,000 gp&lt;/td&gt;&lt;/tr&gt;&lt;tr&gt;&lt;td&gt;&lt;i&gt;Shrink item&lt;/i&gt;&lt;/td&gt;&lt;td&gt;11th&lt;/td&gt;&lt;td&gt;7,500 gp&lt;/td&gt;&lt;/tr&gt;&lt;tr&gt;&lt;td&gt;&lt;i&gt;Solid fog&lt;/i&gt;&lt;/td&gt;&lt;td&gt;12th&lt;/td&gt;&lt;td&gt;10,000 gp&lt;/td&gt;&lt;/tr&gt;&lt;tr&gt;&lt;td&gt;&lt;i&gt;Stinking cloud&lt;/i&gt;&lt;/td&gt;&lt;td&gt;11th&lt;/td&gt;&lt;td&gt;7,500 gp&lt;/td&gt;&lt;/tr&gt;&lt;tr&gt;&lt;td&gt;&lt;i&gt;Symbol of death&lt;/i&gt;&lt;/td&gt;&lt;td&gt;16th&lt;/td&gt;&lt;td&gt;20,000 gp&lt;/td&gt;&lt;/tr&gt;&lt;tr&gt;&lt;td&gt;&lt;i&gt;Symbol of fear&lt;/i&gt;&lt;/td&gt;&lt;td&gt;14th&lt;/td&gt;&lt;td&gt;15,000 gp&lt;/td&gt;&lt;/tr&gt;&lt;tr&gt;&lt;td&gt;&lt;i&gt;Symbol of insanity&lt;/i&gt;&lt;/td&gt;&lt;td&gt;16th&lt;/td&gt;&lt;td&gt;20,000 gp&lt;/td&gt;&lt;/tr&gt;&lt;tr&gt;&lt;td&gt;&lt;i&gt;Symbol of pain&lt;/i&gt;&lt;/td&gt;&lt;td&gt;13th&lt;/td&gt;&lt;td&gt;12,500 gp&lt;/td&gt;&lt;/tr&gt;&lt;tr&gt;&lt;td&gt;&lt;i&gt;Symbol of persuasion&lt;/i&gt;&lt;/td&gt;&lt;td&gt;14th&lt;/td&gt;&lt;td&gt;15,000 gp&lt;/td&gt;&lt;/tr&gt;&lt;tr&gt;&lt;td&gt;&lt;i&gt;Symbol of sleep&lt;/i&gt;&lt;/td&gt;&lt;td&gt;16th&lt;/td&gt;&lt;td&gt;20,000 gp&lt;/td&gt;&lt;/tr&gt;&lt;tr&gt;&lt;td&gt;&lt;i&gt;Symbol of stunning&lt;/i&gt;&lt;/td&gt;&lt;td&gt;15th&lt;/td&gt;&lt;td&gt;17,500 gp&lt;/td&gt;&lt;/tr&gt;&lt;tr&gt;&lt;td&gt;&lt;i&gt;Symbol of weakness&lt;/i&gt;&lt;/td&gt;&lt;td&gt;15th&lt;/td&gt;&lt;td&gt;17,500 gp&lt;/td&gt;&lt;/tr&gt;&lt;tr&gt;&lt;td&gt;&lt;i&gt;Teleportation circle&lt;/i&gt;&lt;/td&gt;&lt;td&gt;17th&lt;/td&gt;&lt;td&gt;22,500 gp&lt;/td&gt;&lt;/tr&gt;&lt;tr&gt;&lt;td&gt;&lt;i&gt;Wall of fire&lt;/i&gt;&lt;/td&gt;&lt;td&gt;12th&lt;/td&gt;&lt;td&gt;10,000 gp&lt;/td&gt;&lt;/tr&gt;&lt;tr&gt;&lt;td&gt;&lt;i&gt;Wall of force&lt;/i&gt;&lt;/td&gt;&lt;td&gt;13th&lt;/td&gt;&lt;td&gt;12,500 gp&lt;/td&gt;&lt;/tr&gt;&lt;tr&gt;&lt;td&gt;&lt;i&gt;Web&lt;/i&gt;&lt;/td&gt;&lt;td&gt;10th&lt;/td&gt;&lt;td&gt;5,000 gp&lt;/td&gt;&lt;/tr&gt;&lt;/table&gt;  Spells cast on other targets are vulnerable to &lt;i&gt;dispel magic&lt;/i&gt; as normal. The GM may allow other spells to be made permanent.&lt;/p&gt;</t>
  </si>
  <si>
    <t>&lt;link rel="stylesheet"href="PF.css"&gt;&lt;div class="heading"&gt;&lt;p class="alignleft"&gt;Permanency&lt;/p&gt;&lt;div style="clear: both;"&gt;&lt;/div&gt;&lt;/div&gt;&lt;div&gt;&lt;h5&gt;&lt;b&gt;School &lt;/b&gt;universal; &lt;b&gt;Level &lt;/b&gt;sorcerer/wizard 5, psychic 5&lt;/h5&gt;&lt;/div&gt;&lt;hr/&gt;&lt;div&gt;&lt;h5&gt;&lt;b&gt;CASTING&lt;/b&gt;&lt;/h5&gt;&lt;/div&gt;&lt;hr/&gt;&lt;div&gt;&lt;h5&gt;&lt;b&gt;Casting Time &lt;/b&gt;2 rounds&lt;/h5&gt;&lt;h5&gt;&lt;b&gt;Components &lt;/b&gt;V, S, M (see tables below)&lt;/h5&gt;&lt;/div&gt;&lt;hr/&gt;&lt;div&gt;&lt;h5&gt;&lt;b&gt;EFFECT&lt;/b&gt;&lt;/h5&gt;&lt;/div&gt;&lt;hr/&gt;&lt;div&gt;&lt;h5&gt;&lt;b&gt;Range &lt;/b&gt;see text&lt;/h5&gt;&lt;h5&gt;&lt;b&gt;Targets &lt;/b&gt;see text&lt;/h5&gt;&lt;h5&gt;&lt;b&gt;Duration &lt;/b&gt;permanent; see text&lt;/h5&gt;&lt;h5&gt;&lt;b&gt;Saving Throw &lt;/b&gt;none; &lt;b&gt;Spell Resistance &lt;/b&gt;no&lt;/h5&gt;&lt;/div&gt;&lt;hr/&gt;&lt;div&gt;&lt;h5&gt;&lt;b&gt;DESCRIPTION&lt;/b&gt;&lt;/h5&gt;&lt;/div&gt;&lt;hr/&gt;&lt;div&gt;&lt;h4&gt;&lt;p&gt;This spell makes the duration of certain other spells permanent.&lt;/p&gt;&lt;p&gt;You first cast the desired spell and then follow it with the &lt;i&gt;permanency&lt;/i&gt; spell.&lt;/p&gt;&lt;p&gt;Depending on the spell, you must be of a minimum caster level and must expend a specific gp value of diamond dust as a material component.&lt;/p&gt;&lt;p&gt;You can make the following spells permanent in regard to yourself.&lt;/p&gt;&lt;p&gt; &lt;table&gt;&lt;tr&gt;&lt;th&gt;Spell&lt;/th&gt;&lt;th&gt;Minimum Caster Level&lt;/th&gt;&lt;th&gt;GP Cost&lt;/th&gt;&lt;/tr&gt;&lt;tr&gt;&lt;td&gt;&lt;i&gt;Arcane sight&lt;/i&gt;&lt;/td&gt;&lt;td&gt;11th&lt;/td&gt;&lt;td&gt;7,500 gp&lt;/td&gt;&lt;/tr&gt;&lt;tr&gt;&lt;td&gt;&lt;i&gt;Comprehend languages&lt;/i&gt;&lt;/td&gt;&lt;td&gt;9th&lt;/td&gt;&lt;td&gt;2,500 gp&lt;/td&gt;&lt;/tr&gt;&lt;tr&gt;&lt;td&gt;&lt;i&gt;Darkvision&lt;/i&gt;&lt;/td&gt;&lt;td&gt;10th&lt;/td&gt;&lt;td&gt;5,000 gp&lt;/td&gt;&lt;/tr&gt;&lt;tr&gt;&lt;td&gt;&lt;i&gt;Detect magic&lt;/i&gt;&lt;/td&gt;&lt;td&gt;9th&lt;/td&gt;&lt;td&gt;2,500 gp&lt;/td&gt;&lt;/tr&gt;&lt;tr&gt;&lt;td&gt;&lt;i&gt;Read magic&lt;/i&gt;&lt;/td&gt;&lt;td&gt;9th&lt;/td&gt;&lt;td&gt;2,500 gp&lt;/td&gt;&lt;/tr&gt;&lt;tr&gt;&lt;td&gt;&lt;i&gt;See invisibility&lt;/i&gt;&lt;/td&gt;&lt;td&gt;10th&lt;/td&gt;&lt;td&gt;5,000 gp&lt;/td&gt;&lt;/tr&gt;&lt;tr&gt;&lt;td&gt;&lt;i&gt;Tongues&lt;/i&gt;&lt;/td&gt;&lt;td&gt;11th&lt;/td&gt;&lt;td&gt;7,500 gp&lt;/td&gt;&lt;/tr&gt;&lt;/table&gt;  You cannot cast these spells on other creatures. This application of &lt;i&gt;permanency&lt;/i&gt; can be dispelled only by a caster of higher level than you were when you cast the spell.&lt;/p&gt;&lt;p&gt;In addition to personal use, &lt;i&gt;permanency&lt;/i&gt; can be used to make the following spells permanent on yourself, another creature, or an object (as appropriate).&lt;/p&gt;&lt;p&gt; &lt;table&gt;&lt;tr&gt;&lt;th&gt;Spell&lt;/th&gt;&lt;th&gt;Minimum Caster Level&lt;/th&gt;&lt;th&gt;GP Cost&lt;/th&gt;&lt;/tr&gt;&lt;tr&gt;&lt;td&gt;&lt;i&gt;Enlarge person&lt;/i&gt;&lt;/td&gt;&lt;td&gt;9th&lt;/td&gt;&lt;td&gt;2,500 gp&lt;/td&gt;&lt;/tr&gt;&lt;tr&gt;&lt;td&gt;&lt;i&gt;Magic fang&lt;/i&gt;&lt;/td&gt;&lt;td&gt;9th&lt;/td&gt;&lt;td&gt;2,500 gp&lt;/td&gt;&lt;/tr&gt;&lt;tr&gt;&lt;td&gt;&lt;i&gt;Magic fang, greater&lt;/i&gt;&lt;/td&gt;&lt;td&gt;11th&lt;/td&gt;&lt;td&gt;7,500 gp&lt;/td&gt;&lt;/tr&gt;&lt;tr&gt;&lt;td&gt;&lt;i&gt;Reduce person&lt;/i&gt;&lt;/td&gt;&lt;td&gt;9th&lt;/td&gt;&lt;td&gt;2,500 gp&lt;/td&gt;&lt;/tr&gt;&lt;tr&gt;&lt;td&gt;&lt;i&gt;Resistance&lt;/i&gt;&lt;/td&gt;&lt;td&gt;9th&lt;/td&gt;&lt;td&gt;2,500 gp&lt;/td&gt;&lt;/tr&gt;&lt;tr&gt;&lt;td&gt;&lt;i&gt;Telepathic bond&lt;/i&gt;*&lt;/td&gt;&lt;td&gt;13th&lt;/td&gt;&lt;td&gt;12,500 gp&lt;/td&gt;&lt;/tr&gt;&lt;tr&gt;&lt;td colspan="2"&gt;*Only bonds two creatures per casting of &lt;i&gt;permanency&lt;/i&gt;.&lt;/td&gt;&lt;/tr&gt;&lt;/table&gt; &lt;/p&gt;&lt;p&gt;Additionally, the following spells can be cast upon objects or areas only and rendered permanent.&lt;/p&gt;&lt;p&gt; &lt;table&gt;&lt;tr&gt;&lt;th&gt;Spell&lt;/th&gt;&lt;th&gt;Minimum Caster Level&lt;/th&gt;&lt;th&gt;GP Cost&lt;/th&gt;&lt;/tr&gt;&lt;tr&gt;&lt;td&gt;&lt;i&gt;Alarm&lt;/i&gt;&lt;/td&gt;&lt;td&gt;9th&lt;/td&gt;&lt;td&gt;2,500 gp&lt;/td&gt;&lt;/tr&gt;&lt;tr&gt;&lt;td&gt;&lt;i&gt;Animate objects&lt;/i&gt;&lt;/td&gt;&lt;td&gt;14th&lt;/td&gt;&lt;td&gt;15,000 gp&lt;/td&gt;&lt;/tr&gt;&lt;tr&gt;&lt;td&gt;&lt;i&gt;Dancing lights&lt;/i&gt;&lt;/td&gt;&lt;td&gt;9th&lt;/td&gt;&lt;td&gt;2,500 gp&lt;/td&gt;&lt;/tr&gt;&lt;tr&gt;&lt;td&gt;&lt;i&gt;Ghost sound&lt;/i&gt;&lt;/td&gt;&lt;td&gt;9th&lt;/td&gt;&lt;td&gt;2,500 gp&lt;/td&gt;&lt;/tr&gt;&lt;tr&gt;&lt;td&gt;&lt;i&gt;Gust of wind&lt;/i&gt;&lt;/td&gt;&lt;td&gt;11th&lt;/td&gt;&lt;td&gt;7,500 gp&lt;/td&gt;&lt;/tr&gt;&lt;tr&gt;&lt;td&gt;&lt;i&gt;Invisibility&lt;/i&gt;&lt;/td&gt;&lt;td&gt;10th&lt;/td&gt;&lt;td&gt;5,000 gp&lt;/td&gt;&lt;/tr&gt;&lt;tr&gt;&lt;td&gt;&lt;i&gt;Mage's private sanctum&lt;/i&gt;&lt;/td&gt;&lt;td&gt;13th&lt;/td&gt;&lt;td&gt;12,500 gp&lt;/td&gt;&lt;/tr&gt;&lt;tr&gt;&lt;td&gt;&lt;i&gt;Magic mouth&lt;/i&gt;&lt;/td&gt;&lt;td&gt;10th&lt;/td&gt;&lt;td&gt;5,000 gp&lt;/td&gt;&lt;/tr&gt;&lt;tr&gt;&lt;td&gt;&lt;i&gt;Phase door&lt;/i&gt;&lt;/td&gt;&lt;td&gt;15th&lt;/td&gt;&lt;td&gt;17,500 gp&lt;/td&gt;&lt;/tr&gt;&lt;tr&gt;&lt;td&gt;&lt;i&gt;Prismatic sphere&lt;/i&gt;&lt;/td&gt;&lt;td&gt;17th&lt;/td&gt;&lt;td&gt;22,500 gp&lt;/td&gt;&lt;/tr&gt;&lt;tr&gt;&lt;td&gt;&lt;i&gt;Prismatic wall&lt;/i&gt;&lt;/td&gt;&lt;td&gt;16th&lt;/td&gt;&lt;td&gt;20,000 gp&lt;/td&gt;&lt;/tr&gt;&lt;tr&gt;&lt;td&gt;&lt;i&gt;Shrink item&lt;/i&gt;&lt;/td&gt;&lt;td&gt;11th&lt;/td&gt;&lt;td&gt;7,500 gp&lt;/td&gt;&lt;/tr&gt;&lt;tr&gt;&lt;td&gt;&lt;i&gt;Solid fog&lt;/i&gt;&lt;/td&gt;&lt;td&gt;12th&lt;/td&gt;&lt;td&gt;10,000 gp&lt;/td&gt;&lt;/tr&gt;&lt;tr&gt;&lt;td&gt;&lt;i&gt;Stinking cloud&lt;/i&gt;&lt;/td&gt;&lt;td&gt;11th&lt;/td&gt;&lt;td&gt;7,500 gp&lt;/td&gt;&lt;/tr&gt;&lt;tr&gt;&lt;td&gt;&lt;i&gt;Symbol of death&lt;/i&gt;&lt;/td&gt;&lt;td&gt;16th&lt;/td&gt;&lt;td&gt;20,000 gp&lt;/td&gt;&lt;/tr&gt;&lt;tr&gt;&lt;td&gt;&lt;i&gt;Symbol of fear&lt;/i&gt;&lt;/td&gt;&lt;td&gt;14th&lt;/td&gt;&lt;td&gt;15,000 gp&lt;/td&gt;&lt;/tr&gt;&lt;tr&gt;&lt;td&gt;&lt;i&gt;Symbol of insanity&lt;/i&gt;&lt;/td&gt;&lt;td&gt;16th&lt;/td&gt;&lt;td&gt;20,000 gp&lt;/td&gt;&lt;/tr&gt;&lt;tr&gt;&lt;td&gt;&lt;i&gt;Symbol of pain&lt;/i&gt;&lt;/td&gt;&lt;td&gt;13th&lt;/td&gt;&lt;td&gt;12,500 gp&lt;/td&gt;&lt;/tr&gt;&lt;tr&gt;&lt;td&gt;&lt;i&gt;Symbol of persuasion&lt;/i&gt;&lt;/td&gt;&lt;td&gt;14th&lt;/td&gt;&lt;td&gt;15,000 gp&lt;/td&gt;&lt;/tr&gt;&lt;tr&gt;&lt;td&gt;&lt;i&gt;Symbol of sleep&lt;/i&gt;&lt;/td&gt;&lt;td&gt;16th&lt;/td&gt;&lt;td&gt;20,000 gp&lt;/td&gt;&lt;/tr&gt;&lt;tr&gt;&lt;td&gt;&lt;i&gt;Symbol of stunning&lt;/i&gt;&lt;/td&gt;&lt;td&gt;15th&lt;/td&gt;&lt;td&gt;17,500 gp&lt;/td&gt;&lt;/tr&gt;&lt;tr&gt;&lt;td&gt;&lt;i&gt;Symbol of weakness&lt;/i&gt;&lt;/td&gt;&lt;td&gt;15th&lt;/td&gt;&lt;td&gt;17,500 gp&lt;/td&gt;&lt;/tr&gt;&lt;tr&gt;&lt;td&gt;&lt;i&gt;Teleportation circle&lt;/i&gt;&lt;/td&gt;&lt;td&gt;17th&lt;/td&gt;&lt;td&gt;22,500 gp&lt;/td&gt;&lt;/tr&gt;&lt;tr&gt;&lt;td&gt;&lt;i&gt;Wall of fire&lt;/i&gt;&lt;/td&gt;&lt;td&gt;12th&lt;/td&gt;&lt;td&gt;10,000 gp&lt;/td&gt;&lt;/tr&gt;&lt;tr&gt;&lt;td&gt;&lt;i&gt;Wall of force&lt;/i&gt;&lt;/td&gt;&lt;td&gt;13th&lt;/td&gt;&lt;td&gt;12,500 gp&lt;/td&gt;&lt;/tr&gt;&lt;tr&gt;&lt;td&gt;&lt;i&gt;Web&lt;/i&gt;&lt;/td&gt;&lt;td&gt;10th&lt;/td&gt;&lt;td&gt;5,000 gp&lt;/td&gt;&lt;/tr&gt;&lt;/table&gt;  Spells cast on other targets are vulnerable to &lt;i&gt;dispel magic&lt;/i&gt; as normal. The GM may allow other spells to be made permanent.&lt;/p&gt;&lt;/h4&gt;&lt;/div&gt;</t>
  </si>
  <si>
    <t> Makes certain spells permanent.</t>
  </si>
  <si>
    <t>Permanent Image</t>
  </si>
  <si>
    <t>bard 6, sorcerer/wizard 6, occultist 6, psychic 6, mesmerist 6</t>
  </si>
  <si>
    <t>figment that cannot extend beyond a 20-ft. cube + one 10-ft. cube/level (S)</t>
  </si>
  <si>
    <t>This spell functions like silent image, except that the figment includes visual, auditory, olfactory, and thermal elements, and the spell is permanent. By concentrating, you can move the image within the limits of the range, but it is static while you are not concentrating.</t>
  </si>
  <si>
    <t>&lt;p&gt;This spell functions like &lt;i&gt;silent image,&lt;/i&gt; except that the figment includes visual, auditory, olfactory, and thermal elements, and the spell is permanent. By concentrating, you can move the image within the limits of the range, but it is static while you are not concentrating.&lt;/p&gt;</t>
  </si>
  <si>
    <t>&lt;link rel="stylesheet"href="PF.css"&gt;&lt;div class="heading"&gt;&lt;p class="alignleft"&gt;Permanent Image&lt;/p&gt;&lt;div style="clear: both;"&gt;&lt;/div&gt;&lt;/div&gt;&lt;div&gt;&lt;h5&gt;&lt;b&gt;School &lt;/b&gt;illusion (figment); &lt;b&gt;Level &lt;/b&gt;bard 6, sorcerer/wizard 6, occultist 6, psychic 6, mesmerist 6&lt;/h5&gt;&lt;/div&gt;&lt;hr/&gt;&lt;div&gt;&lt;h5&gt;&lt;b&gt;CASTING&lt;/b&gt;&lt;/h5&gt;&lt;/div&gt;&lt;hr/&gt;&lt;div&gt;&lt;h5&gt;&lt;b&gt;Casting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&lt;/b&gt;figment that cannot extend beyond a 20-ft. cube + one 10-ft. cube/level (S)&lt;/h5&gt;&lt;h5&gt;&lt;b&gt;Duration &lt;/b&gt;permanent (D)&lt;/h5&gt;&lt;h5&gt;&lt;b&gt;Saving Throw &lt;/b&gt;Will disbelief (if interacted with); &lt;b&gt;Spell Resistance &lt;/b&gt;no&lt;/h5&gt;&lt;/div&gt;&lt;hr/&gt;&lt;div&gt;&lt;h5&gt;&lt;b&gt;DESCRIPTION&lt;/b&gt;&lt;/h5&gt;&lt;/div&gt;&lt;hr/&gt;&lt;div&gt;&lt;h4&gt;&lt;p&gt;This spell functions like &lt;i&gt;silent image,&lt;/i&gt; except that the figment includes visual, auditory, olfactory, and thermal elements, and the spell is permanent. By concentrating, you can move the image within the limits of the range, but it is static while you are not concentrating.&lt;/p&gt;&lt;/h4&gt;&lt;/div&gt;</t>
  </si>
  <si>
    <t>Permanent illusion, includes sight, sound, smell, and thermal effects.</t>
  </si>
  <si>
    <t>Persistent Image</t>
  </si>
  <si>
    <t>bard 5, sorcerer/wizard 5, occultist 5, psychic 5, mesmerist 5</t>
  </si>
  <si>
    <t>This spell functions like silent image, except that the figment includes visual, auditory, olfactory, and thermal components, and the figment follows a script determined by you. The figment follows that script without your having to concentrate on it. The illusion can include intelligible speech if you wish.</t>
  </si>
  <si>
    <t>&lt;p&gt;This spell functions like &lt;i&gt;silent image,&lt;/i&gt; except that the figment includes visual, auditory, olfactory, and thermal components, and the figment follows a script determined by you. The figment follows that script without your having to concentrate on it. The illusion can include intelligible speech if you wish.&lt;/p&gt;</t>
  </si>
  <si>
    <t>&lt;link rel="stylesheet"href="PF.css"&gt;&lt;div class="heading"&gt;&lt;p class="alignleft"&gt;Persistent Image&lt;/p&gt;&lt;div style="clear: both;"&gt;&lt;/div&gt;&lt;/div&gt;&lt;div&gt;&lt;h5&gt;&lt;b&gt;School &lt;/b&gt;illusion (figment); &lt;b&gt;Level &lt;/b&gt;bard 5, sorcerer/wizard 5, occultist 5, psychic 5, mesmerist 5&lt;/h5&gt;&lt;/div&gt;&lt;hr/&gt;&lt;div&gt;&lt;h5&gt;&lt;b&gt;CASTING&lt;/b&gt;&lt;/h5&gt;&lt;/div&gt;&lt;hr/&gt;&lt;div&gt;&lt;h5&gt;&lt;b&gt;Casting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&lt;/b&gt;1 min./level (D)&lt;/h5&gt;&lt;h5&gt;&lt;b&gt;Saving Throw &lt;/b&gt;Will disbelief (if interacted with); &lt;b&gt;Spell Resistance &lt;/b&gt;no&lt;/h5&gt;&lt;/div&gt;&lt;hr/&gt;&lt;div&gt;&lt;h5&gt;&lt;b&gt;DESCRIPTION&lt;/b&gt;&lt;/h5&gt;&lt;/div&gt;&lt;hr/&gt;&lt;div&gt;&lt;h4&gt;&lt;p&gt;This spell functions like &lt;i&gt;silent image,&lt;/i&gt; except that the figment includes visual, auditory, olfactory, and thermal components, and the figment follows a script determined by you. The figment follows that script without your having to concentrate on it. The illusion can include intelligible speech if you wish.&lt;/p&gt;&lt;/h4&gt;&lt;/div&gt;</t>
  </si>
  <si>
    <t>As major image, but no concentration required.</t>
  </si>
  <si>
    <t>Efreeti (11), Marid (11)</t>
  </si>
  <si>
    <t>Phantasmal Killer</t>
  </si>
  <si>
    <t>sorcerer/wizard 4, witch 4, magus 4, bloodrager 4, psychic 4, mesmerist 4, spiritualist 4</t>
  </si>
  <si>
    <t>Will disbelief, then Fortitude partial; see text</t>
  </si>
  <si>
    <t>You create a phantasmal image of the most fearsome creature imaginable to the subject simply by forming the fears of the subject's subconscious mind into something that its conscious mind can visualize: this most horrible beast. Only the spell's subject can see the phantasmal killer. You see only a vague shape. The target first gets a Will save to recognize the image as unreal. If that save fails, the phantasm touches the subject, and the subject must succeed on a Fortitude save or die from fear.  Even if the Fortitude save is successful, the subject takes 3d6 points of damage.  If the subject of a phantasmal killer attack succeeds in disbelieving and possesses telepathy or is wearing a helm of telepathy, the beast can be turned upon you. You must then disbelieve it or become subject to its deadly fear attack.</t>
  </si>
  <si>
    <t>&lt;p&gt;You create a phantasmal image of the most fearsome creature imaginable to the subject simply by forming the fears of the subject's subconscious mind into something that its conscious mind can visualize: this most horrible beast. Only the spell's subject can see the &lt;i&gt;phantasmal killer&lt;/i&gt;. You see only a vague shape. The target first gets a Will save to recognize the image as unreal. If that save fails, the phantasm touches the subject, and the subject must succeed on a Fortitude save or die from fear.&lt;/p&gt;&lt;p&gt;Even if the Fortitude save is successful, the subject takes 3d6 points of damage.&lt;/p&gt;&lt;p&gt;If the subject of a &lt;i&gt;phantasmal killer&lt;/i&gt; attack succeeds in disbelieving and possesses telepathy or is wearing a &lt;i&gt;helm of telepathy&lt;/i&gt;, the beast can be turned upon you. You must then disbelieve it or become subject to its deadly fear attack.&lt;/p&gt;</t>
  </si>
  <si>
    <t>&lt;link rel="stylesheet"href="PF.css"&gt;&lt;div class="heading"&gt;&lt;p class="alignleft"&gt;Phantasmal Killer&lt;/p&gt;&lt;div style="clear: both;"&gt;&lt;/div&gt;&lt;/div&gt;&lt;div&gt;&lt;h5&gt;&lt;b&gt;School &lt;/b&gt;illusion (phantasm) [fear, mind-affecting]; &lt;b&gt;Level &lt;/b&gt;sorcerer/wizard 4, witch 4, magus 4, bloodrager 4, psychic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&lt;/b&gt;instantaneous&lt;/h5&gt;&lt;h5&gt;&lt;b&gt;Saving Throw &lt;/b&gt;Will disbelief, then Fortitude partial; see text; &lt;b&gt;Spell Resistance &lt;/b&gt;yes&lt;/h5&gt;&lt;/div&gt;&lt;hr/&gt;&lt;div&gt;&lt;h5&gt;&lt;b&gt;DESCRIPTION&lt;/b&gt;&lt;/h5&gt;&lt;/div&gt;&lt;hr/&gt;&lt;div&gt;&lt;h4&gt;&lt;p&gt;You create a phantasmal image of the most fearsome creature imaginable to the subject simply by forming the fears of the subject's subconscious mind into something that its conscious mind can visualize: this most horrible beast. Only the spell's subject can see the &lt;i&gt;phantasmal killer&lt;/i&gt;. You see only a vague shape. The target first gets a Will save to recognize the image as unreal. If that save fails, the phantasm touches the subject, and the subject must succeed on a Fortitude save or die from fear.&lt;/p&gt;&lt;p&gt;Even if the Fortitude save is successful, the subject takes 3d6 points of damage.&lt;/p&gt;&lt;p&gt;If the subject of a &lt;i&gt;phantasmal killer&lt;/i&gt; attack succeeds in disbelieving and possesses telepathy or is wearing a &lt;i&gt;helm of telepathy&lt;/i&gt;, the beast can be turned upon you. You must then disbelieve it or become subject to its deadly fear attack.&lt;/p&gt;&lt;/h4&gt;&lt;h5&gt;&lt;b&gt;Mythic: &lt;/b&gt;If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fear.&lt;/h5&gt;&lt;h5&gt;&lt;b&gt;Augmented (6th)&lt;/b&gt;: If you expend two uses of mythic power, the spell can affect a living target that is immune to fear, illusions, or mind-affecting effects.&lt;/h5&gt;&lt;/div&gt;</t>
  </si>
  <si>
    <t>Madness (6), Nightmare (4)</t>
  </si>
  <si>
    <t> Fearsome illusion kills subject or deals 3d6 damage.</t>
  </si>
  <si>
    <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t>
  </si>
  <si>
    <t>Augmented (6th): If you expend two uses of mythic power, the spell can affect a living target that is immune to fear, illusions, or mind-affecting effects.</t>
  </si>
  <si>
    <t>Phantom Steed</t>
  </si>
  <si>
    <t>bard 3, sorcerer/wizard 3, summoner 2, magus 3, bloodrager 3, occultist 3, spiritualist 2</t>
  </si>
  <si>
    <t>one quasi-real, horselike creature</t>
  </si>
  <si>
    <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 It has what seems to be a saddle, bit, and bridle. It does not fight, but animals shun it and refuse to attack it. 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 These mounts gain certain powers according to caster level. A mount's abilities include those of mounts of lower caster levels. 8th Level: The mount can ride over sandy, muddy, or even swampy ground without difficulty or decrease in speed. 10th Level: The mount can use water walk at will (as the spell, no action required to activate this ability). 12th Level: The mount can use air walk at will (as the spell, no action required to activate this ability) for up to 1 round at a time, after which it falls to the ground. 14th Level: The mount can fly at its speed with a bonus on Fly skill checks equal to your caster level.</t>
  </si>
  <si>
    <t>&lt;p&gt;You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sound.&lt;/p&gt;&lt;p&gt;It has what seems to be a saddle, bit, and bridle. It does not fight, but animals shun it and refuse to attack it.&lt;/p&gt;&lt;p&gt;The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level.&lt;/p&gt;&lt;p&gt;These mounts gain certain powers according to caster level. A mount's abilities include those of mounts of lower caster levels.&lt;/p&gt;&lt;p&gt;&lt;i&gt;8th Level&lt;/i&gt;: The mount can ride over sandy, muddy, or even swampy ground without difficulty or decrease in speed.&lt;/p&gt;&lt;p&gt;&lt;i&gt;10th Level&lt;/i&gt;: The mount can use &lt;i&gt;water walk&lt;/i&gt; at will (as the spell, no action required to activate this ability).&lt;/p&gt;&lt;p&gt;&lt;i&gt;12th Level&lt;/i&gt;: The mount can use &lt;i&gt;air walk&lt;/i&gt; at will (as the spell, no action required to activate this ability) for up to 1 round at a time, after which it falls to the ground.&lt;/p&gt;&lt;p&gt;&lt;i&gt;14th Level&lt;/i&gt;: The mount can fly at its speed with a bonus on Fly skill checks equal to your caster level.&lt;/p&gt;</t>
  </si>
  <si>
    <t>&lt;link rel="stylesheet"href="PF.css"&gt;&lt;div class="heading"&gt;&lt;p class="alignleft"&gt;Phantom Steed&lt;/p&gt;&lt;div style="clear: both;"&gt;&lt;/div&gt;&lt;/div&gt;&lt;div&gt;&lt;h5&gt;&lt;b&gt;School &lt;/b&gt;conjuration (creation); &lt;b&gt;Level &lt;/b&gt;bard 3, sorcerer/wizard 3, summoner 2, magus 3, bloodrager 3, occultist 3, spiritualist 2&lt;/h5&gt;&lt;/div&gt;&lt;hr/&gt;&lt;div&gt;&lt;h5&gt;&lt;b&gt;CASTING&lt;/b&gt;&lt;/h5&gt;&lt;/div&gt;&lt;hr/&gt;&lt;div&gt;&lt;h5&gt;&lt;b&gt;Casting Time &lt;/b&gt;10 minutes&lt;/h5&gt;&lt;h5&gt;&lt;b&gt;Components &lt;/b&gt;V, S&lt;/h5&gt;&lt;/div&gt;&lt;hr/&gt;&lt;div&gt;&lt;h5&gt;&lt;b&gt;EFFECT&lt;/b&gt;&lt;/h5&gt;&lt;/div&gt;&lt;hr/&gt;&lt;div&gt;&lt;h5&gt;&lt;b&gt;Range &lt;/b&gt;0 ft.&lt;/h5&gt;&lt;h5&gt;&lt;b&gt;Effect &lt;/b&gt;one quasi-real, horselike creature&lt;/h5&gt;&lt;h5&gt;&lt;b&gt;Duration &lt;/b&gt;1 hour/level (D)&lt;/h5&gt;&lt;h5&gt;&lt;b&gt;Saving Throw &lt;/b&gt;none; &lt;b&gt;Spell Resistance &lt;/b&gt;no&lt;/h5&gt;&lt;/div&gt;&lt;hr/&gt;&lt;div&gt;&lt;h5&gt;&lt;b&gt;DESCRIPTION&lt;/b&gt;&lt;/h5&gt;&lt;/div&gt;&lt;hr/&gt;&lt;div&gt;&lt;h4&gt;&lt;p&gt;You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sound.&lt;/p&gt;&lt;p&gt;It has what seems to be a saddle, bit, and bridle. It does not fight, but animals shun it and refuse to attack it.&lt;/p&gt;&lt;p&gt;The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level.&lt;/p&gt;&lt;p&gt;These mounts gain certain powers according to caster level. A mount's abilities include those of mounts of lower caster levels.&lt;/p&gt;&lt;p&gt;&lt;i&gt;8th Level&lt;/i&gt;: The mount can ride over sandy, muddy, or even swampy ground without difficulty or decrease in speed.&lt;/p&gt;&lt;p&gt;&lt;i&gt;10th Level&lt;/i&gt;: The mount can use &lt;i&gt;water walk&lt;/i&gt; at will (as the spell, no action required to activate this ability).&lt;/p&gt;&lt;p&gt;&lt;i&gt;12th Level&lt;/i&gt;: The mount can use &lt;i&gt;air walk&lt;/i&gt; at will (as the spell, no action required to activate this ability) for up to 1 round at a time, after which it falls to the ground.&lt;/p&gt;&lt;p&gt;&lt;i&gt;14th Level&lt;/i&gt;: The mount can fly at its speed with a bonus on Fly skill checks equal to your caster level.&lt;/p&gt;&lt;/h4&gt;&lt;h5&gt;&lt;b&gt;Mythic: &lt;/b&gt;The steed's rider automatically succeeds at Ride checks to remain mounted. The mount's hit points increase to 10 plus 2 per caster level, and its speed increases to 30 feet per 2 caster levels (maximum 150 feet).&lt;/h5&gt;&lt;h5&gt;&lt;b&gt;Augmented (3rd)&lt;/b&gt;: If you expend two uses of mythic power, the phantom steed is incorporeal, but its rider can interact with it normally.&lt;/h5&gt;&lt;/div&gt;</t>
  </si>
  <si>
    <t>Magic horse appears for 1 hour/level.</t>
  </si>
  <si>
    <t>The steed's rider automatically succeeds at Ride checks to remain mounted. The mount's hit points increase to 10 plus 2 per caster level, and its speed increases to 30 feet per 2 caster levels (maximum 150 feet).</t>
  </si>
  <si>
    <t>Augmented (3rd): If you expend two uses of mythic power, the phantom steed is incorporeal, but its rider can interact with it normally.</t>
  </si>
  <si>
    <t>Phantom Trap</t>
  </si>
  <si>
    <t>sorcerer/wizard 2, occultist 2, psychic 2, mesmerist 2, spiritualist 2</t>
  </si>
  <si>
    <t>V, S, M (special dust worth 50 gp)</t>
  </si>
  <si>
    <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  Of course, the effect is illusory and nothing happens if the trap is "sprung"; its primary purpose is to frighten away thieves or make them waste precious time.  If another phantom trap is active within 50 feet when the spell is cast, the casting fails.</t>
  </si>
  <si>
    <t>&lt;p&gt;This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exists.&lt;/p&gt;&lt;p&gt;Of course, the effect is illusory and nothing happens if the trap is "sprung"; its primary purpose is to frighten away thieves or make them waste precious time.&lt;/p&gt;&lt;p&gt;If another &lt;i&gt;phantom trap&lt;/i&gt; is active within 50 feet when the spell is cast, the casting fails.&lt;/p&gt;</t>
  </si>
  <si>
    <t>&lt;link rel="stylesheet"href="PF.css"&gt;&lt;div class="heading"&gt;&lt;p class="alignleft"&gt;Phantom Trap&lt;/p&gt;&lt;div style="clear: both;"&gt;&lt;/div&gt;&lt;/div&gt;&lt;div&gt;&lt;h5&gt;&lt;b&gt;School &lt;/b&gt;illusion (glamer); &lt;b&gt;Level &lt;/b&gt;sorcerer/wizard 2, occultist 2, psychic 2, mesmerist 2, spiritualist 2&lt;/h5&gt;&lt;/div&gt;&lt;hr/&gt;&lt;div&gt;&lt;h5&gt;&lt;b&gt;CASTING&lt;/b&gt;&lt;/h5&gt;&lt;/div&gt;&lt;hr/&gt;&lt;div&gt;&lt;h5&gt;&lt;b&gt;Casting Time &lt;/b&gt;1 standard action&lt;/h5&gt;&lt;h5&gt;&lt;b&gt;Components &lt;/b&gt;V, S, M (special dust worth 50 gp)&lt;/h5&gt;&lt;/div&gt;&lt;hr/&gt;&lt;div&gt;&lt;h5&gt;&lt;b&gt;EFFECT&lt;/b&gt;&lt;/h5&gt;&lt;/div&gt;&lt;hr/&gt;&lt;div&gt;&lt;h5&gt;&lt;b&gt;Range &lt;/b&gt;touch&lt;/h5&gt;&lt;h5&gt;&lt;b&gt;Targets &lt;/b&gt;object touched&lt;/h5&gt;&lt;h5&gt;&lt;b&gt;Duration &lt;/b&gt;permanent (D)&lt;/h5&gt;&lt;h5&gt;&lt;b&gt;Saving Throw &lt;/b&gt;none; &lt;b&gt;Spell Resistance &lt;/b&gt;no&lt;/h5&gt;&lt;/div&gt;&lt;hr/&gt;&lt;div&gt;&lt;h5&gt;&lt;b&gt;DESCRIPTION&lt;/b&gt;&lt;/h5&gt;&lt;/div&gt;&lt;hr/&gt;&lt;div&gt;&lt;h4&gt;&lt;p&gt;This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exists.&lt;/p&gt;&lt;p&gt;Of course, the effect is illusory and nothing happens if the trap is "sprung"; its primary purpose is to frighten away thieves or make them waste precious time.&lt;/p&gt;&lt;p&gt;If another &lt;i&gt;phantom trap&lt;/i&gt; is active within 50 feet when the spell is cast, the casting fails.&lt;/p&gt;&lt;/h4&gt;&lt;/div&gt;</t>
  </si>
  <si>
    <t> Makes item seem trapped.</t>
  </si>
  <si>
    <t>Phase Door</t>
  </si>
  <si>
    <t>ethereal 5-ft.-by-8-ft. opening, 10 ft. deep + 5 ft. deep per three levels</t>
  </si>
  <si>
    <t>one usage per two levels</t>
  </si>
  <si>
    <t>This spell creates an ethereal passage through wooden, plaster, or stone walls, but not other materials. The phase door is invisible and inaccessible to all creatures except you, and only you can use the passage. You disappear when you enter the phase door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gem of true seeing or similar magic reveals the presence of a phase door but does not allow its use.  A phase door is subject to dispel magic. If anyone is within the passage when it is dispelled, he is harmlessly ejected just as if he were inside a passwall effect.  You can allow other creatures to use the phase door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  Phase door can be made permanent with a permanency spell.</t>
  </si>
  <si>
    <t>&lt;p&gt;This spell creates an ethereal passage through wooden, plaster, or stone walls, but not other materials. The &lt;i&gt;phase door&lt;/i&gt; is invisible and inaccessible to all creatures except you, and only you can use the passage. You disappear when you enter the &lt;i&gt;phase door&lt;/i&gt;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&lt;i&gt;gem of true seeing&lt;/i&gt; or similar magic reveals the presence of a &lt;i&gt;phase door&lt;/i&gt; but does not allow its use.&lt;/p&gt;&lt;p&gt;A &lt;i&gt;phase door&lt;/i&gt; is subject to &lt;i&gt;dispel magic.&lt;/i&gt; If anyone is within the passage when it is dispelled, he is harmlessly ejected just as if he were inside a &lt;i&gt;passwall&lt;/i&gt; effect.&lt;/p&gt;&lt;p&gt;You can allow other creatures to use the &lt;i&gt;phase door&lt;/i&gt;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qualify.&lt;/p&gt;&lt;p&gt;&lt;i&gt;Phase door&lt;/i&gt; can be made permanent with a &lt;i&gt;permanency&lt;/i&gt; spell.&lt;/p&gt;</t>
  </si>
  <si>
    <t>&lt;link rel="stylesheet"href="PF.css"&gt;&lt;div class="heading"&gt;&lt;p class="alignleft"&gt;Phase Door&lt;/p&gt;&lt;div style="clear: both;"&gt;&lt;/div&gt;&lt;/div&gt;&lt;div&gt;&lt;h5&gt;&lt;b&gt;School &lt;/b&gt;conjuration (creation); &lt;b&gt;Level &lt;/b&gt;sorcerer/wizard 7, witch 7, psychic 7&lt;/h5&gt;&lt;/div&gt;&lt;hr/&gt;&lt;div&gt;&lt;h5&gt;&lt;b&gt;CASTING&lt;/b&gt;&lt;/h5&gt;&lt;/div&gt;&lt;hr/&gt;&lt;div&gt;&lt;h5&gt;&lt;b&gt;Casting Time &lt;/b&gt;1 standard action&lt;/h5&gt;&lt;h5&gt;&lt;b&gt;Components &lt;/b&gt;V&lt;/h5&gt;&lt;/div&gt;&lt;hr/&gt;&lt;div&gt;&lt;h5&gt;&lt;b&gt;EFFECT&lt;/b&gt;&lt;/h5&gt;&lt;/div&gt;&lt;hr/&gt;&lt;div&gt;&lt;h5&gt;&lt;b&gt;Range &lt;/b&gt;touch&lt;/h5&gt;&lt;h5&gt;&lt;b&gt;Effect &lt;/b&gt;ethereal 5-ft.-by-8-ft. opening, 10 ft. deep + 5 ft. deep per three levels&lt;/h5&gt;&lt;h5&gt;&lt;b&gt;Duration &lt;/b&gt;one usage per two levels&lt;/h5&gt;&lt;h5&gt;&lt;b&gt;Saving Throw &lt;/b&gt;none; &lt;b&gt;Spell Resistance &lt;/b&gt;no&lt;/h5&gt;&lt;/div&gt;&lt;hr/&gt;&lt;div&gt;&lt;h5&gt;&lt;b&gt;DESCRIPTION&lt;/b&gt;&lt;/h5&gt;&lt;/div&gt;&lt;hr/&gt;&lt;div&gt;&lt;h4&gt;&lt;p&gt;This spell creates an ethereal passage through wooden, plaster, or stone walls, but not other materials. The &lt;i&gt;phase door&lt;/i&gt; is invisible and inaccessible to all creatures except you, and only you can use the passage. You disappear when you enter the &lt;i&gt;phase door&lt;/i&gt;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&lt;i&gt;gem of true seeing&lt;/i&gt; or similar magic reveals the presence of a &lt;i&gt;phase door&lt;/i&gt; but does not allow its use.&lt;/p&gt;&lt;p&gt;A &lt;i&gt;phase door&lt;/i&gt; is subject to &lt;i&gt;dispel magic.&lt;/i&gt; If anyone is within the passage when it is dispelled, he is harmlessly ejected just as if he were inside a &lt;i&gt;passwall&lt;/i&gt; effect.&lt;/p&gt;&lt;p&gt;You can allow other creatures to use the &lt;i&gt;phase door&lt;/i&gt;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qualify.&lt;/p&gt;&lt;p&gt;&lt;i&gt;Phase door&lt;/i&gt; can be made permanent with a &lt;i&gt;permanency&lt;/i&gt; spell.&lt;/p&gt;&lt;/h4&gt;&lt;/div&gt;</t>
  </si>
  <si>
    <t>Travel (8)</t>
  </si>
  <si>
    <t> Creates an invisible passage through a barrier.</t>
  </si>
  <si>
    <t>Fey (15)</t>
  </si>
  <si>
    <t>Planar Ally, Lesser</t>
  </si>
  <si>
    <t>calling</t>
  </si>
  <si>
    <t>cleric/oracle 4, shaman 4, psychic 4</t>
  </si>
  <si>
    <t>V, S, M (offerings worth 500 gp plus payment, see text), DF</t>
  </si>
  <si>
    <t>one called outsider of 6 HD or less</t>
  </si>
  <si>
    <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  You may ask the creature to perform one task in exchange for a payment from you. Tasks might range from the simple to the complex. You must be able to communicate with the creature called in order to bargain for its services.  The creature called requires a payment for its services. This payment can take a variety of forms, from donating gold or magic items to an allied temple, to a gift given directly to the creature, to some other action on your part that matches the creature's alignment and goals.  Regardless, this payment must be made before the creature agrees to perform any services. The bargaining takes at least 1 round, so any actions by the creature begin in the round after it arrives.  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  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  At the end of its task, or when the duration bargained for expires, the creature returns to its home plane (after reporting back to you, if appropriate and possible).  Note: When you use a calling spell that calls an air, chaotic, earth, evil, fire, good, lawful, or water creature, it is a spell of that type.</t>
  </si>
  <si>
    <t>&lt;p&gt;By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anyway).&lt;/p&gt;&lt;p&gt;You may ask the creature to perform one task in exchange for a payment from you. Tasks might range from the simple to the complex. You must be able to communicate with the creature called in order to bargain for its services.&lt;/p&gt;&lt;p&gt;The creature called requires a payment for its services. This payment can take a variety of forms, from donating gold or magic items to an allied temple, to a gift given directly to the creature, to some other action on your part that matches the creature's alignment and goals.&lt;/p&gt;&lt;p&gt;Regardless, this payment must be made before the creature agrees to perform any services. The bargaining takes at least 1 round, so any actions by the creature begin in the round after it arrives.&lt;/p&gt;&lt;p&gt;A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HD.&lt;/p&gt;&lt;p&gt;A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payment.&lt;/p&gt;&lt;p&gt;At the end of its task, or when the duration bargained for expires, the creature returns to its home plane (after reporting back to you, if appropriate and possible).&lt;/p&gt;&lt;p&gt;&lt;i&gt;Note:&lt;/i&gt; When you use a calling spell that calls an air, chaotic, earth, evil, fire, good, lawful, or water creature, it is a spell of that type.&lt;/p&gt;</t>
  </si>
  <si>
    <t>&lt;link rel="stylesheet"href="PF.css"&gt;&lt;div class="heading"&gt;&lt;p class="alignleft"&gt;Planar Ally, Lesser&lt;/p&gt;&lt;div style="clear: both;"&gt;&lt;/div&gt;&lt;/div&gt;&lt;div&gt;&lt;h5&gt;&lt;b&gt;School &lt;/b&gt;conjuration (calling) [see text]; &lt;b&gt;Level &lt;/b&gt;cleric/oracle 4, shaman 4, psychic 4&lt;/h5&gt;&lt;/div&gt;&lt;hr/&gt;&lt;div&gt;&lt;h5&gt;&lt;b&gt;CASTING&lt;/b&gt;&lt;/h5&gt;&lt;/div&gt;&lt;hr/&gt;&lt;div&gt;&lt;h5&gt;&lt;b&gt;Casting Time &lt;/b&gt;10 minutes&lt;/h5&gt;&lt;h5&gt;&lt;b&gt;Components &lt;/b&gt;V, S, M (offerings worth 500 gp plus payment, see text), DF&lt;/h5&gt;&lt;/div&gt;&lt;hr/&gt;&lt;div&gt;&lt;h5&gt;&lt;b&gt;EFFECT&lt;/b&gt;&lt;/h5&gt;&lt;/div&gt;&lt;hr/&gt;&lt;div&gt;&lt;h5&gt;&lt;b&gt;Range &lt;/b&gt;close (25 ft. + 5 ft./2 levels)&lt;/h5&gt;&lt;h5&gt;&lt;b&gt;Effect &lt;/b&gt;one called outsider of 6 HD or less&lt;/h5&gt;&lt;h5&gt;&lt;b&gt;Duration &lt;/b&gt;instantaneous&lt;/h5&gt;&lt;h5&gt;&lt;b&gt;Saving Throw &lt;/b&gt;none; &lt;b&gt;Spell Resistance &lt;/b&gt;no&lt;/h5&gt;&lt;/div&gt;&lt;hr/&gt;&lt;div&gt;&lt;h5&gt;&lt;b&gt;DESCRIPTION&lt;/b&gt;&lt;/h5&gt;&lt;/div&gt;&lt;hr/&gt;&lt;div&gt;&lt;h4&gt;&lt;p&gt;By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anyway).&lt;/p&gt;&lt;p&gt;You may ask the creature to perform one task in exchange for a payment from you. Tasks might range from the simple to the complex. You must be able to communicate with the creature called in order to bargain for its services.&lt;/p&gt;&lt;p&gt;The creature called requires a payment for its services. This payment can take a variety of forms, from donating gold or magic items to an allied temple, to a gift given directly to the creature, to some other action on your part that matches the creature's alignment and goals.&lt;/p&gt;&lt;p&gt;Regardless, this payment must be made before the creature agrees to perform any services. The bargaining takes at least 1 round, so any actions by the creature begin in the round after it arrives.&lt;/p&gt;&lt;p&gt;A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HD.&lt;/p&gt;&lt;p&gt;A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payment.&lt;/p&gt;&lt;p&gt;At the end of its task, or when the duration bargained for expires, the creature returns to its home plane (after reporting back to you, if appropriate and possible).&lt;/p&gt;&lt;p&gt;&lt;i&gt;Note:&lt;/i&gt; When you use a calling spell that calls an air, chaotic, earth, evil, fire, good, lawful, or water creature, it is a spell of that type.&lt;/p&gt;&lt;/h4&gt;&lt;/div&gt;</t>
  </si>
  <si>
    <t> Exchange services with a 6 HD extraplanar creature.</t>
  </si>
  <si>
    <t>Planar Ally</t>
  </si>
  <si>
    <t>see text for lesser planar ally</t>
  </si>
  <si>
    <t>cleric/oracle 6, shaman 6, psychic 6</t>
  </si>
  <si>
    <t>V, S, M (offerings worth 1,250 gp plus payment), DF</t>
  </si>
  <si>
    <t>one or two called outsiders, totaling no more than 12 HD, which cannot be more than 30 ft. apart when they appear</t>
  </si>
  <si>
    <t>This spell functions like lesser planar ally, except you may call a single creature of 12 HD or less, or two creatures of the same kind whose HD total no more than 12. The creatures agree to help you and request your return payment together.</t>
  </si>
  <si>
    <t>&lt;p&gt;This spell functions like &lt;i&gt;lesser planar ally&lt;/i&gt;, except you may call a single creature of 12 HD or less, or two creatures of the same kind whose HD total no more than 12. The creatures agree to help you and request your return payment together.&lt;/p&gt;</t>
  </si>
  <si>
    <t>&lt;link rel="stylesheet"href="PF.css"&gt;&lt;div class="heading"&gt;&lt;p class="alignleft"&gt;Planar Ally&lt;/p&gt;&lt;div style="clear: both;"&gt;&lt;/div&gt;&lt;/div&gt;&lt;div&gt;&lt;h5&gt;&lt;b&gt;School &lt;/b&gt;conjuration (calling) [see text for lesser planar ally]; &lt;b&gt;Level &lt;/b&gt;cleric/oracle 6, shaman 6, psychic 6&lt;/h5&gt;&lt;/div&gt;&lt;hr/&gt;&lt;div&gt;&lt;h5&gt;&lt;b&gt;CASTING&lt;/b&gt;&lt;/h5&gt;&lt;/div&gt;&lt;hr/&gt;&lt;div&gt;&lt;h5&gt;&lt;b&gt;Casting Time &lt;/b&gt;10 minutes&lt;/h5&gt;&lt;h5&gt;&lt;b&gt;Components &lt;/b&gt;V, S, M (offerings worth 1,250 gp plus payment), DF&lt;/h5&gt;&lt;/div&gt;&lt;hr/&gt;&lt;div&gt;&lt;h5&gt;&lt;b&gt;EFFECT&lt;/b&gt;&lt;/h5&gt;&lt;/div&gt;&lt;hr/&gt;&lt;div&gt;&lt;h5&gt;&lt;b&gt;Range &lt;/b&gt;close (25 ft. + 5 ft./2 levels)&lt;/h5&gt;&lt;h5&gt;&lt;b&gt;Effect &lt;/b&gt;one or two called outsiders, totaling no more than 12 HD, which cannot be more than 30 ft. apart when they appear&lt;/h5&gt;&lt;h5&gt;&lt;b&gt;Duration &lt;/b&gt;instantaneous&lt;/h5&gt;&lt;h5&gt;&lt;b&gt;Saving Throw &lt;/b&gt;none; &lt;b&gt;Spell Resistance &lt;/b&gt;no&lt;/h5&gt;&lt;/div&gt;&lt;hr/&gt;&lt;div&gt;&lt;h5&gt;&lt;b&gt;DESCRIPTION&lt;/b&gt;&lt;/h5&gt;&lt;/div&gt;&lt;hr/&gt;&lt;div&gt;&lt;h4&gt;&lt;p&gt;This spell functions like &lt;i&gt;lesser planar ally&lt;/i&gt;, except you may call a single creature of 12 HD or less, or two creatures of the same kind whose HD total no more than 12. The creatures agree to help you and request your return payment together.&lt;/p&gt;&lt;/h4&gt;&lt;/div&gt;</t>
  </si>
  <si>
    <t>Agathion (6), Archon (6), Azata (6), Psychopomp (6)</t>
  </si>
  <si>
    <t> As lesser planar ally, but up to 12 HD.</t>
  </si>
  <si>
    <t>Spirits (16)</t>
  </si>
  <si>
    <t>Planar Ally, Greater</t>
  </si>
  <si>
    <t>cleric/oracle 8, shaman 8, psychic 8</t>
  </si>
  <si>
    <t>V, S, M (offerings worth 2,500 gp plus payment), DF</t>
  </si>
  <si>
    <t>up to three called outsiders, totaling no more than 18 HD, no two of which can be more than 30 ft. apart when they appear.</t>
  </si>
  <si>
    <t>This spell functions like lesser planar ally, except that you may call a single creature of 18 HD or less, or up to three creatures of the same kind whose Hit Dice total no more than 18. The creatures agree to help you and request your return payment together.</t>
  </si>
  <si>
    <t>&lt;p&gt;This spell functions like &lt;i&gt;lesser planar ally&lt;/i&gt;, except that you may call a single creature of 18 HD or less, or up to three creatures of the same kind whose Hit Dice total no more than 18. The creatures agree to help you and request your return payment together.&lt;/p&gt;</t>
  </si>
  <si>
    <t>&lt;link rel="stylesheet"href="PF.css"&gt;&lt;div class="heading"&gt;&lt;p class="alignleft"&gt;Planar Ally, Greater&lt;/p&gt;&lt;div style="clear: both;"&gt;&lt;/div&gt;&lt;/div&gt;&lt;div&gt;&lt;h5&gt;&lt;b&gt;School &lt;/b&gt;conjuration (calling) [see text for lesser planar ally]; &lt;b&gt;Level &lt;/b&gt;cleric/oracle 8, shaman 8, psychic 8&lt;/h5&gt;&lt;/div&gt;&lt;hr/&gt;&lt;div&gt;&lt;h5&gt;&lt;b&gt;CASTING&lt;/b&gt;&lt;/h5&gt;&lt;/div&gt;&lt;hr/&gt;&lt;div&gt;&lt;h5&gt;&lt;b&gt;Casting Time &lt;/b&gt;10 minutes&lt;/h5&gt;&lt;h5&gt;&lt;b&gt;Components &lt;/b&gt;V, S, M (offerings worth 2,500 gp plus payment), DF&lt;/h5&gt;&lt;/div&gt;&lt;hr/&gt;&lt;div&gt;&lt;h5&gt;&lt;b&gt;EFFECT&lt;/b&gt;&lt;/h5&gt;&lt;/div&gt;&lt;hr/&gt;&lt;div&gt;&lt;h5&gt;&lt;b&gt;Range &lt;/b&gt;close (25 ft. + 5 ft./2 levels)&lt;/h5&gt;&lt;h5&gt;&lt;b&gt;Effect &lt;/b&gt;up to three called outsiders, totaling no more than 18 HD, no two of which can be more than 30 ft. apart when they appear.&lt;/h5&gt;&lt;h5&gt;&lt;b&gt;Duration &lt;/b&gt;instantaneous&lt;/h5&gt;&lt;h5&gt;&lt;b&gt;Saving Throw &lt;/b&gt;none; &lt;b&gt;Spell Resistance &lt;/b&gt;no&lt;/h5&gt;&lt;/div&gt;&lt;hr/&gt;&lt;div&gt;&lt;h5&gt;&lt;b&gt;DESCRIPTION&lt;/b&gt;&lt;/h5&gt;&lt;/div&gt;&lt;hr/&gt;&lt;div&gt;&lt;h4&gt;&lt;p&gt;This spell functions like &lt;i&gt;lesser planar ally&lt;/i&gt;, except that you may call a single creature of 18 HD or less, or up to three creatures of the same kind whose Hit Dice total no more than 18. The creatures agree to help you and request your return payment together.&lt;/p&gt;&lt;/h4&gt;&lt;/div&gt;</t>
  </si>
  <si>
    <t>Tactics (8)</t>
  </si>
  <si>
    <t> As lesser planar ally, but up to 18 HD.</t>
  </si>
  <si>
    <t>Planar Binding, Lesser</t>
  </si>
  <si>
    <t>sorcerer/wizard 5, summoner 4, occultist 5, psychic 5</t>
  </si>
  <si>
    <t>close (25 ft. + 5 ft./2 levels); see text</t>
  </si>
  <si>
    <t>one elemental or outsider with 6 HD or less</t>
  </si>
  <si>
    <t>no and yes; see text</t>
  </si>
  <si>
    <t>Casting this spell attempts a dangerous act: to lure a creature from another plane to a specifically prepared trap, which must lie within the spell's range. The called creature is held in the trap until it agrees to perform one service in return for its freedom.  To create the trap, you must use a magic circle spell, focused inward. The kind of creature to be bound must be known and stated. If you wish to call a specific individual, you must use that individual's proper name in casting the spell.  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dimensional anchor cast on the creature prevents its escape via dimensional travel. You can also employ a calling diagram (see magic circle against evil) to make the trap more secure.  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  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  When you use a calling spell to call an air, chaotic, earth, evil, fire, good, lawful, or water creature, it is a spell of that type.</t>
  </si>
  <si>
    <t>&lt;p&gt;Casting this spell attempts a dangerous act: to lure a creature from another plane to a specifically prepared trap, which must lie within the spell's range. The called creature is held in the trap until it agrees to perform one service in return for its freedom.&lt;/p&gt;&lt;p&gt;To create the trap, you must use a &lt;i&gt;magic circle&lt;/i&gt; spell, focused inward. The kind of creature to be bound must be known and stated. If you wish to call a specific individual, you must use that individual's proper name in casting the spell.&lt;/p&gt;&lt;p&gt;The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&lt;i&gt;dimensional anchor&lt;/i&gt; cast on the creature prevents its escape via dimensional travel. You can also employ a calling diagram (see &lt;i&gt;magic circle&lt;/i&gt; against evil) to make the trap more secure.&lt;/p&gt;&lt;p&gt;If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you.&lt;/p&gt;&lt;p&gt;Once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instructions.&lt;/p&gt;&lt;p&gt;When you use a calling spell to call an air, chaotic, earth, evil, fire, good, lawful, or water creature, it is a spell of that type.&lt;/p&gt;</t>
  </si>
  <si>
    <t>&lt;link rel="stylesheet"href="PF.css"&gt;&lt;div class="heading"&gt;&lt;p class="alignleft"&gt;Planar Binding, Lesser&lt;/p&gt;&lt;div style="clear: both;"&gt;&lt;/div&gt;&lt;/div&gt;&lt;div&gt;&lt;h5&gt;&lt;b&gt;School &lt;/b&gt;conjuration (calling) [see text]; &lt;b&gt;Level &lt;/b&gt;sorcerer/wizard 5, summoner 4, occultist 5, psychic 5&lt;/h5&gt;&lt;/div&gt;&lt;hr/&gt;&lt;div&gt;&lt;h5&gt;&lt;b&gt;CASTING&lt;/b&gt;&lt;/h5&gt;&lt;/div&gt;&lt;hr/&gt;&lt;div&gt;&lt;h5&gt;&lt;b&gt;Casting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&lt;/b&gt;one elemental or outsider with 6 HD or less&lt;/h5&gt;&lt;h5&gt;&lt;b&gt;Duration &lt;/b&gt;instantaneous&lt;/h5&gt;&lt;h5&gt;&lt;b&gt;Saving Throw &lt;/b&gt;Will negates; &lt;b&gt;Spell Resistance &lt;/b&gt;no and yes; see text&lt;/h5&gt;&lt;/div&gt;&lt;hr/&gt;&lt;div&gt;&lt;h5&gt;&lt;b&gt;DESCRIPTION&lt;/b&gt;&lt;/h5&gt;&lt;/div&gt;&lt;hr/&gt;&lt;div&gt;&lt;h4&gt;&lt;p&gt;Casting this spell attempts a dangerous act: to lure a creature from another plane to a specifically prepared trap, which must lie within the spell's range. The called creature is held in the trap until it agrees to perform one service in return for its freedom.&lt;/p&gt;&lt;p&gt;To create the trap, you must use a &lt;i&gt;magic circle&lt;/i&gt; spell, focused inward. The kind of creature to be bound must be known and stated. If you wish to call a specific individual, you must use that individual's proper name in casting the spell.&lt;/p&gt;&lt;p&gt;The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&lt;i&gt;dimensional anchor&lt;/i&gt; cast on the creature prevents its escape via dimensional travel. You can also employ a calling diagram (see &lt;i&gt;magic circle&lt;/i&gt; against evil) to make the trap more secure.&lt;/p&gt;&lt;p&gt;If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you.&lt;/p&gt;&lt;p&gt;Once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instructions.&lt;/p&gt;&lt;p&gt;When you use a calling spell to call an air, chaotic, earth, evil, fire, good, lawful, or water creature, it is a spell of that type.&lt;/p&gt;&lt;/h4&gt;&lt;/div&gt;</t>
  </si>
  <si>
    <t>Rune (5), Void (4)</t>
  </si>
  <si>
    <t> Traps extraplanar creature of 6 HD or less until it performs a task.</t>
  </si>
  <si>
    <t>Dimensions (10)</t>
  </si>
  <si>
    <t>Planar Binding</t>
  </si>
  <si>
    <t>see text for lesser planar binding</t>
  </si>
  <si>
    <t>sorcerer/wizard 6, summoner 5, occultist 6, psychic 6</t>
  </si>
  <si>
    <t>up to three elementals or outsiders, totaling no more than 12 HD, no two of which can be more than 30 ft. apart when they appear</t>
  </si>
  <si>
    <t>This spell functions like lesser planar binding, except that you may call a single creature of 12 HD or less, or up to three creatures of the same kind whose Hit Dice total no more than 12. Each creature gets a saving throw, makes an independent attempt to escape, and must be individually persuaded to aid you.</t>
  </si>
  <si>
    <t>&lt;p&gt;This spell functions like &lt;i&gt;lesser planar binding&lt;/i&gt;, except that you may call a single creature of 12 HD or less, or up to three creatures of the same kind whose Hit Dice total no more than 12. Each creature gets a saving throw, makes an independent attempt to escape, and must be individually persuaded to aid you.&lt;/p&gt;</t>
  </si>
  <si>
    <t>&lt;link rel="stylesheet"href="PF.css"&gt;&lt;div class="heading"&gt;&lt;p class="alignleft"&gt;Planar Binding&lt;/p&gt;&lt;div style="clear: both;"&gt;&lt;/div&gt;&lt;/div&gt;&lt;div&gt;&lt;h5&gt;&lt;b&gt;School &lt;/b&gt;conjuration (calling) [see text for lesser planar binding]; &lt;b&gt;Level &lt;/b&gt;sorcerer/wizard 6, summoner 5, occultist 6, psychic 6&lt;/h5&gt;&lt;/div&gt;&lt;hr/&gt;&lt;div&gt;&lt;h5&gt;&lt;b&gt;CASTING&lt;/b&gt;&lt;/h5&gt;&lt;/div&gt;&lt;hr/&gt;&lt;div&gt;&lt;h5&gt;&lt;b&gt;Casting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&lt;/b&gt;up to three elementals or outsiders, totaling no more than 12 HD, no two of which can be more than 30 ft. apart when they appear&lt;/h5&gt;&lt;h5&gt;&lt;b&gt;Duration &lt;/b&gt;instantaneous&lt;/h5&gt;&lt;h5&gt;&lt;b&gt;Saving Throw &lt;/b&gt;Will negates; &lt;b&gt;Spell Resistance &lt;/b&gt;no and yes; see text&lt;/h5&gt;&lt;/div&gt;&lt;hr/&gt;&lt;div&gt;&lt;h5&gt;&lt;b&gt;DESCRIPTION&lt;/b&gt;&lt;/h5&gt;&lt;/div&gt;&lt;hr/&gt;&lt;div&gt;&lt;h4&gt;&lt;p&gt;This spell functions like &lt;i&gt;lesser planar binding&lt;/i&gt;, except that you may call a single creature of 12 HD or less, or up to three creatures of the same kind whose Hit Dice total no more than 12. Each creature gets a saving throw, makes an independent attempt to escape, and must be individually persuaded to aid you.&lt;/p&gt;&lt;/h4&gt;&lt;/div&gt;</t>
  </si>
  <si>
    <t>Daemon (6), Demon (6), Devil (6), Inevitable (6), Protean (6), Aeon (6), Void (6)</t>
  </si>
  <si>
    <t> As lesser planar binding, but up to 12 HD.</t>
  </si>
  <si>
    <t>Efreeti (13), Infernal (13)</t>
  </si>
  <si>
    <t>Dimensions (12)</t>
  </si>
  <si>
    <t>Planar Binding, Greater</t>
  </si>
  <si>
    <t>up to three elementals or outsiders, totaling no more than 18 HD, no two of which can be more than 30 ft. apart when they appear.</t>
  </si>
  <si>
    <t>This spell functions like lesser planar binding, except that you may call a single creature of 18 HD or less, or up to three creatures of the same kind whose Hit Dice total no more than 18. Each creature gets a saving throw, makes an independent attempt to escape, and must be individually persuaded to aid you.</t>
  </si>
  <si>
    <t>&lt;p&gt;This spell functions like &lt;i&gt;lesser planar binding&lt;/i&gt;, except that you may call a single creature of 18 HD or less, or up to three creatures of the same kind whose Hit Dice total no more than 18. Each creature gets a saving throw, makes an independent attempt to escape, and must be individually persuaded to aid you.&lt;/p&gt;</t>
  </si>
  <si>
    <t>&lt;link rel="stylesheet"href="PF.css"&gt;&lt;div class="heading"&gt;&lt;p class="alignleft"&gt;Planar Binding, Greater&lt;/p&gt;&lt;div style="clear: both;"&gt;&lt;/div&gt;&lt;/div&gt;&lt;div&gt;&lt;h5&gt;&lt;b&gt;School &lt;/b&gt;conjuration (calling) [see text for lesser planar binding]; &lt;b&gt;Level &lt;/b&gt;sorcerer/wizard 8, summoner 6, psychic 8&lt;/h5&gt;&lt;/div&gt;&lt;hr/&gt;&lt;div&gt;&lt;h5&gt;&lt;b&gt;CASTING&lt;/b&gt;&lt;/h5&gt;&lt;/div&gt;&lt;hr/&gt;&lt;div&gt;&lt;h5&gt;&lt;b&gt;Casting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&lt;/b&gt;up to three elementals or outsiders, totaling no more than 18 HD, no two of which can be more than 30 ft. apart when they appear.&lt;/h5&gt;&lt;h5&gt;&lt;b&gt;Duration &lt;/b&gt;instantaneous&lt;/h5&gt;&lt;h5&gt;&lt;b&gt;Saving Throw &lt;/b&gt;Will negates; &lt;b&gt;Spell Resistance &lt;/b&gt;no and yes; see text&lt;/h5&gt;&lt;/div&gt;&lt;hr/&gt;&lt;div&gt;&lt;h5&gt;&lt;b&gt;DESCRIPTION&lt;/b&gt;&lt;/h5&gt;&lt;/div&gt;&lt;hr/&gt;&lt;div&gt;&lt;h4&gt;&lt;p&gt;This spell functions like &lt;i&gt;lesser planar binding&lt;/i&gt;, except that you may call a single creature of 18 HD or less, or up to three creatures of the same kind whose Hit Dice total no more than 18. Each creature gets a saving throw, makes an independent attempt to escape, and must be individually persuaded to aid you.&lt;/p&gt;&lt;/h4&gt;&lt;/div&gt;</t>
  </si>
  <si>
    <t>Void (8)</t>
  </si>
  <si>
    <t> As lesser planar binding, but up to 18 HD.</t>
  </si>
  <si>
    <t>Djinni (17)</t>
  </si>
  <si>
    <t>Dimensions (16)</t>
  </si>
  <si>
    <t>Plane Shift</t>
  </si>
  <si>
    <t>cleric/oracle 5, sorcerer/wizard 7, summoner 5, witch 7, shaman 7, psychic 5, spiritualist 5</t>
  </si>
  <si>
    <t>V, S, F (a forked metal rod attuned to the plane of travel)</t>
  </si>
  <si>
    <t>creature touched, or up to eight willing creatures joining hands</t>
  </si>
  <si>
    <t>You move yourself or some other creature to another plane of existence or alternate dimension. If several willing persons link hands in a circle, as many as eight can be affected by the plane shift at the same time. Precise accuracy as to a particular arrival location on the intended plane is nigh impossible. From the Material Plane, you can reach any other plane, though you appear 5 to 500 miles (5d%) from your intended destination. Plane shift transports creatures instantaneously and then ends. The creatures need to find other means if they are to travel back (including casting plane shift again).</t>
  </si>
  <si>
    <t>&lt;p&gt;You move yourself or some other creature to another plane of existence or alternate dimension. If several willing persons link hands in a circle, as many as eight can be affected by the &lt;i&gt;plane shift&lt;/i&gt; at the same time. Precise accuracy as to a particular arrival location on the intended plane is nigh impossible. From the Material Plane, you can reach any other plane, though you appear 5 to 500 miles (5d%) from your intended destination. &lt;i&gt;Plane shift&lt;/i&gt; transports creatures instantaneously and then ends. The creatures need to find other means if they are to travel back (including casting &lt;i&gt;plane shift&lt;/i&gt; again).&lt;/p&gt;</t>
  </si>
  <si>
    <t>&lt;link rel="stylesheet"href="PF.css"&gt;&lt;div class="heading"&gt;&lt;p class="alignleft"&gt;Plane Shift&lt;/p&gt;&lt;div style="clear: both;"&gt;&lt;/div&gt;&lt;/div&gt;&lt;div&gt;&lt;h5&gt;&lt;b&gt;School &lt;/b&gt;conjuration (teleportation); &lt;b&gt;Level &lt;/b&gt;cleric/oracle 5, sorcerer/wizard 7, summoner 5, witch 7, shaman 7, psychic 5, spiritualist 5&lt;/h5&gt;&lt;/div&gt;&lt;hr/&gt;&lt;div&gt;&lt;h5&gt;&lt;b&gt;CASTING&lt;/b&gt;&lt;/h5&gt;&lt;/div&gt;&lt;hr/&gt;&lt;div&gt;&lt;h5&gt;&lt;b&gt;Casting Time &lt;/b&gt;1 standard action&lt;/h5&gt;&lt;h5&gt;&lt;b&gt;Components &lt;/b&gt;V, S, F (a forked metal rod attuned to the plane of travel)&lt;/h5&gt;&lt;/div&gt;&lt;hr/&gt;&lt;div&gt;&lt;h5&gt;&lt;b&gt;EFFECT&lt;/b&gt;&lt;/h5&gt;&lt;/div&gt;&lt;hr/&gt;&lt;div&gt;&lt;h5&gt;&lt;b&gt;Range &lt;/b&gt;touch&lt;/h5&gt;&lt;h5&gt;&lt;b&gt;Targets &lt;/b&gt;creature touched, or up to eight willing creatures joining hands&lt;/h5&gt;&lt;h5&gt;&lt;b&gt;Duration &lt;/b&gt;instantaneous&lt;/h5&gt;&lt;h5&gt;&lt;b&gt;Saving Throw &lt;/b&gt;Will negates; &lt;b&gt;Spell Resistance &lt;/b&gt;yes&lt;/h5&gt;&lt;/div&gt;&lt;hr/&gt;&lt;div&gt;&lt;h5&gt;&lt;b&gt;DESCRIPTION&lt;/b&gt;&lt;/h5&gt;&lt;/div&gt;&lt;hr/&gt;&lt;div&gt;&lt;h4&gt;&lt;p&gt;You move yourself or some other creature to another plane of existence or alternate dimension. If several willing persons link hands in a circle, as many as eight can be affected by the &lt;i&gt;plane shift&lt;/i&gt; at the same time. Precise accuracy as to a particular arrival location on the intended plane is nigh impossible. From the Material Plane, you can reach any other plane, though you appear 5 to 500 miles (5d%) from your intended destination. &lt;i&gt;Plane shift&lt;/i&gt; transports creatures instantaneously and then ends. The creatures need to find other means if they are to travel back (including casting &lt;i&gt;plane shift&lt;/i&gt; again).&lt;/p&gt;&lt;/h4&gt;&lt;h5&gt;&lt;b&gt;Mythic: &lt;/b&gt;If you've been to the destination plane and are familiar with a location there, you may choose that location and arrive on target at that location with anyone else you transport with the spell.&lt;/h5&gt;&lt;h5&gt;&lt;b&gt;Augmented&lt;/b&gt;: If you expend two uses of mythic power, you grant transported creatures the effects of a planar adaptation spell (Advanced Player's Guide 236) upon arrival, lasting for 1 hour.&lt;/h5&gt;&lt;/div&gt;</t>
  </si>
  <si>
    <t>Freedom (5)</t>
  </si>
  <si>
    <t>As many as 8 subjects travel to another plane.</t>
  </si>
  <si>
    <t>Aberrant (15), Djinni (15), Efreeti (15), Marid (15), Shaitan (15)</t>
  </si>
  <si>
    <t>If you've been to the destination plane and are familiar with a location there, you may choose that location and arrive on target at that location with anyone else you transport with the spell.</t>
  </si>
  <si>
    <t>Augmented: If you expend two uses of mythic power, you grant transported creatures the effects of a planar adaptation spell (Advanced Player's Guide 236) upon arrival, lasting for 1 hour.</t>
  </si>
  <si>
    <t>Plant Growth</t>
  </si>
  <si>
    <t>Plant growth has different effects depending on the version chosen.  Overgrowth: This effect causes normal vegetation (grasses, briars, bushes, creepers, thistles, trees, vines, and so on) within long range (400 feet + 40 feet per caster level) to become thick and overgrown.  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entangle or wall of thorns, any DC involved with these spells is increased by 4.  This bonus is granted for 1 day after the casting of plant growth.  At your option, the area can be a 100-foot-radius circle, a 150-foot-radius semicircle, or a 200-foot-radius quarter circle.  You may designate places within the area that are not affected.  Enrichment: This effect targets plants within a range of a halfmile, raising their potential productivity over the course of the next year to one-third above normal.  Plant growth counters diminish plants.  This spell has no effect on plant creatures.</t>
  </si>
  <si>
    <t>&lt;p&gt;&lt;i&gt;Plant growth&lt;/i&gt; has different effects depending on the version chosen.&lt;/p&gt;&lt;p&gt;&lt;i&gt;Overgrowth:&lt;/i&gt; This effect causes normal vegetation (grasses, briars, bushes, creepers, thistles, trees, vines, and so on) within long range (400 feet + 40 feet per caster level) to become thick and overgrown.&lt;/p&gt;&lt;p&gt;The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&lt;i&gt;entangle&lt;/i&gt; or &lt;i&gt;wall of thorns,&lt;/i&gt; any DC involved with these spells is increased by 4.&lt;/p&gt;&lt;p&gt;This bonus is granted for 1 day after the casting of &lt;i&gt;plant growth.&lt;/i&gt;&lt;/p&gt;&lt;p&gt;At your option, the area can be a 100-foot-radius circle, a 150-foot-radius semicircle, or a 200-foot-radius quarter circle.&lt;/p&gt;&lt;p&gt;You may designate places within the area that are not affected.&lt;/p&gt;&lt;p&gt;&lt;i&gt;Enrichment:&lt;/i&gt; This effect targets plants within a range of a halfmile, raising their potential productivity over the course of the next year to one-third above normal.&lt;/p&gt;&lt;p&gt;&lt;i&gt;Plant growth&lt;/i&gt; counters &lt;i&gt;diminish plants&lt;/i&gt;.&lt;/p&gt;&lt;p&gt;This spell has no effect on plant creatures.&lt;/p&gt;</t>
  </si>
  <si>
    <t>&lt;link rel="stylesheet"href="PF.css"&gt;&lt;div class="heading"&gt;&lt;p class="alignleft"&gt;Plant Growth&lt;/p&gt;&lt;div style="clear: both;"&gt;&lt;/div&gt;&lt;/div&gt;&lt;div&gt;&lt;h5&gt;&lt;b&gt;School &lt;/b&gt;transmutation; &lt;b&gt;Level &lt;/b&gt;druid 3, ranger 3&lt;/h5&gt;&lt;/div&gt;&lt;hr/&gt;&lt;div&gt;&lt;h5&gt;&lt;b&gt;CASTING&lt;/b&gt;&lt;/h5&gt;&lt;/div&gt;&lt;hr/&gt;&lt;div&gt;&lt;h5&gt;&lt;b&gt;Casting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text&lt;/h5&gt;&lt;h5&gt;&lt;b&gt;Area &lt;/b&gt;see text&lt;/h5&gt;&lt;h5&gt;&lt;b&gt;Targets &lt;/b&gt;see text&lt;/h5&gt;&lt;h5&gt;&lt;b&gt;Duration &lt;/b&gt;instantaneous&lt;/h5&gt;&lt;h5&gt;&lt;b&gt;Saving Throw &lt;/b&gt;none; &lt;b&gt;Spell Resistance &lt;/b&gt;no&lt;/h5&gt;&lt;/div&gt;&lt;hr/&gt;&lt;div&gt;&lt;h5&gt;&lt;b&gt;DESCRIPTION&lt;/b&gt;&lt;/h5&gt;&lt;/div&gt;&lt;hr/&gt;&lt;div&gt;&lt;h4&gt;&lt;p&gt;&lt;i&gt;Plant growth&lt;/i&gt; has different effects depending on the version chosen.&lt;/p&gt;&lt;p&gt;&lt;i&gt;Overgrowth:&lt;/i&gt; This effect causes normal vegetation (grasses, briars, bushes, creepers, thistles, trees, vines, and so on) within long range (400 feet + 40 feet per caster level) to become thick and overgrown.&lt;/p&gt;&lt;p&gt;The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&lt;i&gt;entangle&lt;/i&gt; or &lt;i&gt;wall of thorns,&lt;/i&gt; any DC involved with these spells is increased by 4.&lt;/p&gt;&lt;p&gt;This bonus is granted for 1 day after the casting of &lt;i&gt;plant growth.&lt;/i&gt;&lt;/p&gt;&lt;p&gt;At your option, the area can be a 100-foot-radius circle, a 150-foot-radius semicircle, or a 200-foot-radius quarter circle.&lt;/p&gt;&lt;p&gt;You may designate places within the area that are not affected.&lt;/p&gt;&lt;p&gt;&lt;i&gt;Enrichment:&lt;/i&gt; This effect targets plants within a range of a halfmile, raising their potential productivity over the course of the next year to one-third above normal.&lt;/p&gt;&lt;p&gt;&lt;i&gt;Plant growth&lt;/i&gt; counters &lt;i&gt;diminish plants&lt;/i&gt;.&lt;/p&gt;&lt;p&gt;This spell has no effect on plant creatures.&lt;/p&gt;&lt;/h4&gt;&lt;/div&gt;</t>
  </si>
  <si>
    <t>Plant (3)</t>
  </si>
  <si>
    <t>Grows vegetation, improves crops.</t>
  </si>
  <si>
    <t>Plant Shape I</t>
  </si>
  <si>
    <t>sorcerer/wizard 5, alchemist 5</t>
  </si>
  <si>
    <t>When you cast this spell you can assume the form of any Small or Medium creature of the plant type (see the Pathfinder RPG Bestiary).  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  Small plant: If the form you take is that of a Small plant, you gain a +2 size bonus to your Constitution and a +2 natural armor bonus.  Medium plant: If the form you take is that of a Medium plant, you gain a +2 size bonus to your Strength, a +2 enhancement bonus to your Constitution, and a +2 natural armor bonus.</t>
  </si>
  <si>
    <t>&lt;p&gt;When you cast this spell you can assume the form of any Small or Medium creature of the plant type (see the &lt;i&gt;Pathfinder RPG Bestiary&lt;/i&gt;).&lt;/p&gt;&lt;p&gt;If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vulnerability.&lt;/p&gt;&lt;p&gt;&lt;i&gt;Small plant&lt;/i&gt;: If the form you take is that of a &lt;i&gt;Small plant&lt;/i&gt;, you gain a +2 size bonus to your Constitution and a +2 natural armor bonus.&lt;/p&gt;&lt;p&gt;&lt;i&gt;Medium plant&lt;/i&gt;: If the form you take is that of a &lt;i&gt;Medium plant&lt;/i&gt;, you gain a +2 size bonus to your Strength, a +2 enhancement bonus to your Constitution, and a +2 natural armor bonus.&lt;/p&gt;</t>
  </si>
  <si>
    <t>&lt;link rel="stylesheet"href="PF.css"&gt;&lt;div class="heading"&gt;&lt;p class="alignleft"&gt;Plant Shape I&lt;/p&gt;&lt;div style="clear: both;"&gt;&lt;/div&gt;&lt;/div&gt;&lt;div&gt;&lt;h5&gt;&lt;b&gt;School &lt;/b&gt;transmutation (polymorph); &lt;b&gt;Level &lt;/b&gt;sorcerer/wizard 5, alchemist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(D)&lt;/h5&gt;&lt;/div&gt;&lt;hr/&gt;&lt;div&gt;&lt;h5&gt;&lt;b&gt;DESCRIPTION&lt;/b&gt;&lt;/h5&gt;&lt;/div&gt;&lt;hr/&gt;&lt;div&gt;&lt;h4&gt;&lt;p&gt;When you cast this spell you can assume the form of any Small or Medium creature of the plant type (see the &lt;i&gt;Pathfinder RPG Bestiary&lt;/i&gt;).&lt;/p&gt;&lt;p&gt;If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vulnerability.&lt;/p&gt;&lt;p&gt;&lt;i&gt;Small plant&lt;/i&gt;: If the form you take is that of a &lt;i&gt;Small plant&lt;/i&gt;, you gain a +2 size bonus to your Constitution and a +2 natural armor bonus.&lt;/p&gt;&lt;p&gt;&lt;i&gt;Medium plant&lt;/i&gt;: If the form you take is that of a &lt;i&gt;Medium plant&lt;/i&gt;, you gain a +2 size bonus to your Strength, a +2 enhancement bonus to your Constitution, and a +2 natural armor bonus.&lt;/p&gt;&lt;/h4&gt;&lt;/div&gt;</t>
  </si>
  <si>
    <t> Turns you into a Small or Medium plant.</t>
  </si>
  <si>
    <t>Plant Shape II</t>
  </si>
  <si>
    <t>sorcerer/wizard 6, alchemist 6</t>
  </si>
  <si>
    <t>This spell functions as plant shape I except that it also allows you to assume the form of a Large creature of the plant type. If the creature has immunity or resistance to any elements, you gain resistance 20 to those elements. If the creature has vulnerability to an element, you gain that vulnerability.  Large plant: If the form you take is that of a Large plant, you gain a +4 size bonus to your Strength, a +2 size bonus to your Constitution, and a +4 natural armor bonus.</t>
  </si>
  <si>
    <t>&lt;p&gt;This spell functions as &lt;i&gt;plant shape I&lt;/i&gt; except that it also allows you to assume the form of a Large creature of the plant type. If the creature has immunity or resistance to any elements, you gain resistance 20 to those elements. If the creature has vulnerability to an element, you gain that vulnerability.&lt;/p&gt;&lt;p&gt;&lt;i&gt;Large plant&lt;/i&gt;: If the form you take is that of a &lt;i&gt;Large plant&lt;/i&gt;, you gain a +4 size bonus to your Strength, a +2 size bonus to your Constitution, and a +4 natural armor bonus.&lt;/p&gt;</t>
  </si>
  <si>
    <t>&lt;link rel="stylesheet"href="PF.css"&gt;&lt;div class="heading"&gt;&lt;p class="alignleft"&gt;Plant Shape II&lt;/p&gt;&lt;div style="clear: both;"&gt;&lt;/div&gt;&lt;/div&gt;&lt;div&gt;&lt;h5&gt;&lt;b&gt;School &lt;/b&gt;transmutation (polymorph); &lt;b&gt;Level &lt;/b&gt;sorcerer/wizard 6, alchemist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&lt;i&gt;plant shape I&lt;/i&gt; except that it also allows you to assume the form of a Large creature of the plant type. If the creature has immunity or resistance to any elements, you gain resistance 20 to those elements. If the creature has vulnerability to an element, you gain that vulnerability.&lt;/p&gt;&lt;p&gt;&lt;i&gt;Large plant&lt;/i&gt;: If the form you take is that of a &lt;i&gt;Large plant&lt;/i&gt;, you gain a +4 size bonus to your Strength, a +2 size bonus to your Constitution, and a +4 natural armor bonus.&lt;/p&gt;&lt;/h4&gt;&lt;/div&gt;</t>
  </si>
  <si>
    <t> Turns you into a Large plant creature.</t>
  </si>
  <si>
    <t>Plant Shape III</t>
  </si>
  <si>
    <t>This spell functions as plant shape II except that it also allows you to assume the form of a Huge creature of the plant type. If the form you assume has any of the following abilities, you gain the listed ability: DR, regeneration 5, and trample.  Huge plant: If the form you take is that of a Huge plant, you gain a +8 size bonus to your Strength, a -2 penalty to your Dexterity, a +4 size bonus to your Constitution, and a +6 natural armor bonus.</t>
  </si>
  <si>
    <t>&lt;p&gt;This spell functions as &lt;i&gt;plant shape II&lt;/i&gt; except that it also allows you to assume the form of a Huge creature of the plant type. If the form you assume has any of the following abilities, you gain the listed ability: DR, regeneration 5, and trample.&lt;/p&gt;&lt;p&gt;&lt;i&gt;Huge plant&lt;/i&gt;: If the form you take is that of a &lt;i&gt;Huge plant&lt;/i&gt;, you gain a +8 size bonus to your Strength, a -2 penalty to your Dexterity, a +4 size bonus to your Constitution, and a +6 natural armor bonus.&lt;/p&gt;</t>
  </si>
  <si>
    <t>&lt;link rel="stylesheet"href="PF.css"&gt;&lt;div class="heading"&gt;&lt;p class="alignleft"&gt;Plant Shape III&lt;/p&gt;&lt;div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&lt;i&gt;plant shape II&lt;/i&gt; except that it also allows you to assume the form of a Huge creature of the plant type. If the form you assume has any of the following abilities, you gain the listed ability: DR, regeneration 5, and trample.&lt;/p&gt;&lt;p&gt;&lt;i&gt;Huge plant&lt;/i&gt;: If the form you take is that of a &lt;i&gt;Huge plant&lt;/i&gt;, you gain a +8 size bonus to your Strength, a -2 penalty to your Dexterity, a +4 size bonus to your Constitution, and a +6 natural armor bonus.&lt;/p&gt;&lt;/h4&gt;&lt;/div&gt;</t>
  </si>
  <si>
    <t> Turns you into a Huge plant.</t>
  </si>
  <si>
    <t>Verdant (15)</t>
  </si>
  <si>
    <t>Poison</t>
  </si>
  <si>
    <t>cleric/oracle 4, druid 3, witch 4, antipaladin 4, shaman 4, occultist 4, mesmerist 4</t>
  </si>
  <si>
    <t>Fortitude negates; see text</t>
  </si>
  <si>
    <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t>
  </si>
  <si>
    <t>&lt;p&gt;Calling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affliction.&lt;/p&gt;</t>
  </si>
  <si>
    <t>&lt;link rel="stylesheet"href="PF.css"&gt;&lt;div class="heading"&gt;&lt;p class="alignleft"&gt;Poison&lt;/p&gt;&lt;div style="clear: both;"&gt;&lt;/div&gt;&lt;/div&gt;&lt;div&gt;&lt;h5&gt;&lt;b&gt;School &lt;/b&gt;necromancy [poison]; &lt;b&gt;Level &lt;/b&gt;cleric/oracle 4, druid 3, witch 4, antipaladin 4, shaman 4, occultist 4, mesmerist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&lt;/b&gt;instantaneous; see text&lt;/h5&gt;&lt;h5&gt;&lt;b&gt;Saving Throw &lt;/b&gt;Fortitude negates; see text; &lt;b&gt;Spell Resistance &lt;/b&gt;yes&lt;/h5&gt;&lt;/div&gt;&lt;hr/&gt;&lt;div&gt;&lt;h5&gt;&lt;b&gt;DESCRIPTION&lt;/b&gt;&lt;/h5&gt;&lt;/div&gt;&lt;hr/&gt;&lt;div&gt;&lt;h4&gt;&lt;p&gt;Calling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affliction.&lt;/p&gt;&lt;/h4&gt;&lt;/div&gt;</t>
  </si>
  <si>
    <t>Decay (4), Scalykind (4)</t>
  </si>
  <si>
    <t>Touch deals 1d3 Con damage 1/round for 6 rounds.</t>
  </si>
  <si>
    <t>Fey (9), Serpentine (9)</t>
  </si>
  <si>
    <t>Polar Ray</t>
  </si>
  <si>
    <t>V, S, F (a white ceramic cone or prism)</t>
  </si>
  <si>
    <t>A blue-white ray of freezing air and ice springs from your hand.  You must succeed on a ranged touch attack with the ray to deal damage to a target. The ray deals 1d6 points of cold damage per caster level (maximum 25d6) and 1d4 points of Dexterity drain.</t>
  </si>
  <si>
    <t>&lt;p&gt;A blue-white ray of freezing air and ice springs from your hand.&lt;/p&gt;&lt;p&gt;You must succeed on a ranged touch attack with the ray to deal damage to a target. The ray deals 1d6 points of cold damage per caster level (maximum 25d6) and 1d4 points of Dexterity drain.&lt;/p&gt;</t>
  </si>
  <si>
    <t>&lt;link rel="stylesheet"href="PF.css"&gt;&lt;div class="heading"&gt;&lt;p class="alignleft"&gt;Polar Ray&lt;/p&gt;&lt;div style="clear: both;"&gt;&lt;/div&gt;&lt;/div&gt;&lt;div&gt;&lt;h5&gt;&lt;b&gt;School &lt;/b&gt;evocation [cold]; &lt;b&gt;Level &lt;/b&gt;sorcerer/wizard 8&lt;/h5&gt;&lt;/div&gt;&lt;hr/&gt;&lt;div&gt;&lt;h5&gt;&lt;b&gt;CASTING&lt;/b&gt;&lt;/h5&gt;&lt;/div&gt;&lt;hr/&gt;&lt;div&gt;&lt;h5&gt;&lt;b&gt;Casting Time &lt;/b&gt;1 standard action&lt;/h5&gt;&lt;h5&gt;&lt;b&gt;Components &lt;/b&gt;V, S, F (a white ceramic cone or prism)&lt;/h5&gt;&lt;/div&gt;&lt;hr/&gt;&lt;div&gt;&lt;h5&gt;&lt;b&gt;EFFECT&lt;/b&gt;&lt;/h5&gt;&lt;/div&gt;&lt;hr/&gt;&lt;div&gt;&lt;h5&gt;&lt;b&gt;Range &lt;/b&gt;medium (100 ft. + 10 ft./level)&lt;/h5&gt;&lt;h5&gt;&lt;b&gt;Effect &lt;/b&gt;ray&lt;/h5&gt;&lt;h5&gt;&lt;b&gt;Duration &lt;/b&gt;instantaneous&lt;/h5&gt;&lt;h5&gt;&lt;b&gt;Saving Throw &lt;/b&gt;none; &lt;b&gt;Spell Resistance &lt;/b&gt;yes&lt;/h5&gt;&lt;/div&gt;&lt;hr/&gt;&lt;div&gt;&lt;h5&gt;&lt;b&gt;DESCRIPTION&lt;/b&gt;&lt;/h5&gt;&lt;/div&gt;&lt;hr/&gt;&lt;div&gt;&lt;h4&gt;&lt;p&gt;A blue-white ray of freezing air and ice springs from your hand.&lt;/p&gt;&lt;p&gt;You must succeed on a ranged touch attack with the ray to deal damage to a target. The ray deals 1d6 points of cold damage per caster level (maximum 25d6) and 1d4 points of Dexterity drain.&lt;/p&gt;&lt;/h4&gt;&lt;h5&gt;&lt;b&gt;Mythic: &lt;/b&gt;The damage dealt increases to 1d8 points of cold damage per 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 per caster level to the target.&lt;/h5&gt;&lt;/div&gt;</t>
  </si>
  <si>
    <t>Ice (9)</t>
  </si>
  <si>
    <t> Ranged touch attack deals 1d6/level cold damage and 1d4 points of Dexterity drain.</t>
  </si>
  <si>
    <t>Boreal (17), Marid (17)</t>
  </si>
  <si>
    <t>Winter (16)</t>
  </si>
  <si>
    <t>The damage dealt increases to 1d8 points of cold damage per 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 per caster level to the target.</t>
  </si>
  <si>
    <t>Polymorph</t>
  </si>
  <si>
    <t>V, S, M (a piece of the creature whose form you choose)</t>
  </si>
  <si>
    <t>This spell transforms a willing creature into an animal, humanoid or elemental of your choosing; the spell has no effect on unwilling creatures, nor can the creature being targeted by this spell influence the new form assumed (apart from conveying its wishes, if any, to you verbally).  If you use this spell to cause the target to take on the form of an animal or magical beast, the spell functions as beast shape II. If the form is that of an elemental, the spell functions as elemental body I. If the form is that of a humanoid, the spell functions as alter self.  The subject may choose to resume its normal form as a full-round action; doing so ends the spell for that subject.</t>
  </si>
  <si>
    <t>&lt;p&gt;This spell transforms a willing creature into an animal, humanoid or elemental of your choosing; the spell has no effect on unwilling creatures, nor can the creature being targeted by this spell influence the new form assumed (apart from conveying its wishes, if any, to you verbally).&lt;/p&gt;&lt;p&gt;If you use this spell to cause the target to take on the form of an animal or magical beast, the spell functions as &lt;i&gt;beast shape II&lt;/i&gt;. If the form is that of an elemental, the spell functions as &lt;i&gt;elemental body I.&lt;/i&gt; If the form is that of a humanoid, the spell functions as &lt;i&gt;alter self&lt;/i&gt;.&lt;/p&gt;&lt;p&gt;The subject may choose to resume its normal form as a full-round action; doing so ends the spell for that subject.&lt;/p&gt;</t>
  </si>
  <si>
    <t>&lt;link rel="stylesheet"href="PF.css"&gt;&lt;div class="heading"&gt;&lt;p class="alignleft"&gt;Polymorph&lt;/p&gt;&lt;div style="clear: both;"&gt;&lt;/div&gt;&lt;/div&gt;&lt;div&gt;&lt;h5&gt;&lt;b&gt;School &lt;/b&gt;transmutation (polymorph); &lt;b&gt;Level &lt;/b&gt;sorcerer/wizard 5, alchemist 5&lt;/h5&gt;&lt;/div&gt;&lt;hr/&gt;&lt;div&gt;&lt;h5&gt;&lt;b&gt;CASTING&lt;/b&gt;&lt;/h5&gt;&lt;/div&gt;&lt;hr/&gt;&lt;div&gt;&lt;h5&gt;&lt;b&gt;Casting Time &lt;/b&gt;1 standard action&lt;/h5&gt;&lt;h5&gt;&lt;b&gt;Components &lt;/b&gt;V, S, M (a piece of the creature whose form you choose)&lt;/h5&gt;&lt;/div&gt;&lt;hr/&gt;&lt;div&gt;&lt;h5&gt;&lt;b&gt;EFFECT&lt;/b&gt;&lt;/h5&gt;&lt;/div&gt;&lt;hr/&gt;&lt;div&gt;&lt;h5&gt;&lt;b&gt;Range &lt;/b&gt;touch&lt;/h5&gt;&lt;h5&gt;&lt;b&gt;Targets &lt;/b&gt;living creature touched&lt;/h5&gt;&lt;h5&gt;&lt;b&gt;Duration &lt;/b&gt;1 min/level (D)&lt;/h5&gt;&lt;h5&gt;&lt;b&gt;Saving Throw &lt;/b&gt;Will negates (harmless); &lt;b&gt;Spell Resistance &lt;/b&gt;yes (harmless)&lt;/h5&gt;&lt;/div&gt;&lt;hr/&gt;&lt;div&gt;&lt;h5&gt;&lt;b&gt;DESCRIPTION&lt;/b&gt;&lt;/h5&gt;&lt;/div&gt;&lt;hr/&gt;&lt;div&gt;&lt;h4&gt;&lt;p&gt;This spell transforms a willing creature into an animal, humanoid or elemental of your choosing; the spell has no effect on unwilling creatures, nor can the creature being targeted by this spell influence the new form assumed (apart from conveying its wishes, if any, to you verbally).&lt;/p&gt;&lt;p&gt;If you use this spell to cause the target to take on the form of an animal or magical beast, the spell functions as &lt;i&gt;beast shape II&lt;/i&gt;. If the form is that of an elemental, the spell functions as &lt;i&gt;elemental body I.&lt;/i&gt; If the form is that of a humanoid, the spell functions as &lt;i&gt;alter self&lt;/i&gt;.&lt;/p&gt;&lt;p&gt;The subject may choose to resume its normal form as a full-round action; doing so ends the spell for that subject.&lt;/p&gt;&lt;/h4&gt;&lt;/div&gt;</t>
  </si>
  <si>
    <t> Gives one willing subject a new form.</t>
  </si>
  <si>
    <t>Agility (10)</t>
  </si>
  <si>
    <t>Polymorph, Greater</t>
  </si>
  <si>
    <t>This spell functions as polymorph except that it allows the creature to take on the form of a dragon or plant creature. If you use this spell to cause the target to take on the form of an animal or magical beast, it functions as beast shape IV. If the form is that of an elemental, the spell functions as elemental body III. If the form is that of a humanoid, the spell functions as alter self. If the form is that of a plant, the spell functions as plant shape II. If the form is that of a dragon, the spell functions as form of the dragon I. The subject may choose to resume its normal form as a full-round action; doing so ends the spell.</t>
  </si>
  <si>
    <t>&lt;p&gt;This spell functions as &lt;i&gt;polymorph&lt;/i&gt; except that it allows the creature to take on the form of a dragon or plant creature. If you use this spell to cause the target to take on the form of an animal or magical beast, it functions as &lt;i&gt;beast shape IV&lt;/i&gt;. If the form is that of an elemental, the spell functions as &lt;i&gt;elemental body III.&lt;/i&gt; If the form is that of a humanoid, the spell functions as &lt;i&gt;alter self&lt;/i&gt;. If the form is that of a plant, the spell functions as &lt;i&gt;plant shape II.&lt;/i&gt; If the form is that of a dragon, the spell functions as &lt;i&gt;form of the dragon I.&lt;/i&gt; The subject may choose to resume its normal form as a full-round action; doing so ends the spell.&lt;/p&gt;</t>
  </si>
  <si>
    <t>&lt;link rel="stylesheet"href="PF.css"&gt;&lt;div class="heading"&gt;&lt;p class="alignleft"&gt;Polymorph, Greater&lt;/p&gt;&lt;div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choose)&lt;/h5&gt;&lt;/div&gt;&lt;hr/&gt;&lt;div&gt;&lt;h5&gt;&lt;b&gt;EFFECT&lt;/b&gt;&lt;/h5&gt;&lt;/div&gt;&lt;hr/&gt;&lt;div&gt;&lt;h5&gt;&lt;b&gt;Range &lt;/b&gt;touch&lt;/h5&gt;&lt;h5&gt;&lt;b&gt;Targets &lt;/b&gt;living creature touched&lt;/h5&gt;&lt;h5&gt;&lt;b&gt;Duration &lt;/b&gt;1 min/level (D)&lt;/h5&gt;&lt;h5&gt;&lt;b&gt;Saving Throw &lt;/b&gt;Will negates (harmless); &lt;b&gt;Spell Resistance &lt;/b&gt;yes (harmless)&lt;/h5&gt;&lt;/div&gt;&lt;hr/&gt;&lt;div&gt;&lt;h5&gt;&lt;b&gt;DESCRIPTION&lt;/b&gt;&lt;/h5&gt;&lt;/div&gt;&lt;hr/&gt;&lt;div&gt;&lt;h4&gt;&lt;p&gt;This spell functions as &lt;i&gt;polymorph&lt;/i&gt; except that it allows the creature to take on the form of a dragon or plant creature. If you use this spell to cause the target to take on the form of an animal or magical beast, it functions as &lt;i&gt;beast shape IV&lt;/i&gt;. If the form is that of an elemental, the spell functions as &lt;i&gt;elemental body III.&lt;/i&gt; If the form is that of a humanoid, the spell functions as &lt;i&gt;alter self&lt;/i&gt;. If the form is that of a plant, the spell functions as &lt;i&gt;plant shape II.&lt;/i&gt; If the form is that of a dragon, the spell functions as &lt;i&gt;form of the dragon I.&lt;/i&gt; The subject may choose to resume its normal form as a full-round action; doing so ends the spell.&lt;/p&gt;&lt;/h4&gt;&lt;/div&gt;</t>
  </si>
  <si>
    <t> Gives one willing subject a new, more powerful form.</t>
  </si>
  <si>
    <t>Rakshasa (15), Protean (15)</t>
  </si>
  <si>
    <t>Polymorph Any Object</t>
  </si>
  <si>
    <t>V, S, M/DF (mercury, gum arabic, and smoke)</t>
  </si>
  <si>
    <t>one creature, or one nonmagical object of up to 100 cu. ft./level</t>
  </si>
  <si>
    <t>Fortitude negates (object); see text</t>
  </si>
  <si>
    <t>This spell functions like greater polymorph,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 I ncrease to Changed Subject Is… D uration Factor* Same kingdom (animal, vegetable, mineral) +5 Same class (mammals, fungi, metals, etc.) +2 Same size +2 Related (twig is to tree, wolf fur is to wolf, etc.) +2 Same or lower Intelligence +2 *Add all that apply. Look up the total on the next table. Duration Factor D uration Example 0 20 minutes Pebble to human 2 1 hour Marionette to human 4 3 hours Human to marionette 5 12 hours Lizard to manticore 6 2 days Sheep to wool coat 7 1 week Shrew to manticore 9+ Permanent Manticore to shrew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 This spell cannot create material of great intrinsic value, such as copper, silver, gems, silk, gold, platinum, mithral, or adamantine. It also cannot reproduce the special properties of cold iron in order to overcome the damage reduction of certain creatures. This spell can also be used to duplicate the effects of baleful polymorph, greater polymorph, flesh to stone, stone to flesh, transmute mud to rock, transmute metal to wood, or transmute rock to mud.</t>
  </si>
  <si>
    <t>&lt;p&gt;This spell functions like &lt;i&gt;greater polymorph,&lt;/i&gt;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guidelines.&lt;/p&gt;&lt;p&gt; &lt;table&gt;&lt;tr&gt;&lt;th&gt;Changed Subject is...&lt;/th&gt;&lt;th&gt;Increase to duration Factor*&lt;/th&gt;&lt;/tr&gt;&lt;tr&gt;&lt;td&gt;Same kingdom (animal, vegetable, mineral)&lt;/td&gt;&lt;td&gt;+5&lt;/td&gt;&lt;/tr&gt;&lt;tr&gt;&lt;td&gt;Same class (mammals, fungi, metals, etc.)&lt;/td&gt;&lt;td&gt;+2&lt;/td&gt;&lt;/tr&gt;&lt;tr&gt;&lt;td&gt;Same size&lt;/td&gt;&lt;td&gt;+2&lt;/td&gt;&lt;/tr&gt;&lt;tr&gt;&lt;td&gt;Related (twig is to tree, wolf fur is to wolf, etc.)&lt;/td&gt;&lt;td&gt;+2&lt;/td&gt;&lt;/tr&gt;&lt;tr&gt;&lt;td&gt;Same or lower Intelligence&lt;/td&gt;&lt;td&gt;+2&lt;/td&gt;&lt;/tr&gt;&lt;tr&gt;&lt;td colspan="2"&gt;*Add all that apply. Look up the total on the next table.&lt;/td&gt;&lt;/tr&gt;&lt;/table&gt; &lt;/p&gt;&lt;p&gt; &lt;table&gt;&lt;tr&gt;&lt;th&gt;Duration Factor&lt;/th&gt;&lt;th&gt;Duration&lt;/th&gt;&lt;th&gt;Example&lt;/th&gt;&lt;/tr&gt;&lt;tr&gt;&lt;td&gt;0&lt;/td&gt;&lt;td&gt;20 minutes&lt;/td&gt;&lt;td&gt;Pebble to human&lt;/td&gt;&lt;/tr&gt;&lt;tr&gt;&lt;td&gt;2&lt;/td&gt;&lt;td&gt;1 hour&lt;/td&gt;&lt;td&gt;Marionette to human&lt;/td&gt;&lt;/tr&gt;&lt;tr&gt;&lt;td&gt;4&lt;/td&gt;&lt;td&gt;3 hours&lt;/td&gt;&lt;td&gt;Human to marionette&lt;/td&gt;&lt;/tr&gt;&lt;tr&gt;&lt;td&gt;5&lt;/td&gt;&lt;td&gt;12 hours&lt;/td&gt;&lt;td&gt;Lizard to manticore&lt;/td&gt;&lt;/tr&gt;&lt;tr&gt;&lt;td&gt;6&lt;/td&gt;&lt;td&gt;2 days&lt;/td&gt;&lt;td&gt;Sheep to wool coat&lt;/td&gt;&lt;/tr&gt;&lt;tr&gt;&lt;td&gt;7&lt;/td&gt;&lt;td&gt;1 week&lt;/td&gt;&lt;td&gt;Shrew to manticore&lt;/td&gt;&lt;/tr&gt;&lt;tr&gt;&lt;td&gt;9+&lt;/td&gt;&lt;td&gt;Permanent&lt;/td&gt;&lt;td&gt;Manticore to shrew&lt;/td&gt;&lt;/tr&gt;&lt;/table&gt;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spell.&lt;/p&gt;&lt;p&gt;This spell cannot create material of great intrinsic value, such as copper, silver, gems, silk, gold, platinum, mithral, or adamantine. It also cannot reproduce the special properties of cold iron in order to overcome the damage reduction of certain creatures.&lt;/p&gt;&lt;p&gt;This spell can also be used to duplicate the effects of baleful polymorph, &lt;i&gt;greater polymorph,&lt;/i&gt; flesh to stone, stone to flesh, transmute mud to rock, transmute metal to wood, or transmute rock to mud.&lt;/p&gt;</t>
  </si>
  <si>
    <t>&lt;link rel="stylesheet"href="PF.css"&gt;&lt;div class="heading"&gt;&lt;p class="alignleft"&gt;Polymorph Any Object&lt;/p&gt;&lt;div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M/DF (mercury, gum arabic, and smoke)&lt;/h5&gt;&lt;/div&gt;&lt;hr/&gt;&lt;div&gt;&lt;h5&gt;&lt;b&gt;EFFECT&lt;/b&gt;&lt;/h5&gt;&lt;/div&gt;&lt;hr/&gt;&lt;div&gt;&lt;h5&gt;&lt;b&gt;Range &lt;/b&gt;close (25 ft. + 5 ft./2 levels)&lt;/h5&gt;&lt;h5&gt;&lt;b&gt;Targets &lt;/b&gt;one creature, or one nonmagical object of up to 100 cu. ft./level&lt;/h5&gt;&lt;h5&gt;&lt;b&gt;Duration &lt;/b&gt;see text&lt;/h5&gt;&lt;h5&gt;&lt;b&gt;Saving Throw &lt;/b&gt;Fortitude negates (object); see text; &lt;b&gt;Spell Resistance &lt;/b&gt;yes (object)&lt;/h5&gt;&lt;/div&gt;&lt;hr/&gt;&lt;div&gt;&lt;h5&gt;&lt;b&gt;DESCRIPTION&lt;/b&gt;&lt;/h5&gt;&lt;/div&gt;&lt;hr/&gt;&lt;div&gt;&lt;h4&gt;&lt;p&gt;This spell functions like &lt;i&gt;greater polymorph,&lt;/i&gt;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guidelines.&lt;/p&gt;&lt;p&gt; &lt;table&gt;&lt;tr&gt;&lt;th&gt;Changed Subject is...&lt;/th&gt;&lt;th&gt;Increase to duration Factor*&lt;/th&gt;&lt;/tr&gt;&lt;tr&gt;&lt;td&gt;Same kingdom (animal, vegetable, mineral)&lt;/td&gt;&lt;td&gt;+5&lt;/td&gt;&lt;/tr&gt;&lt;tr&gt;&lt;td&gt;Same class (mammals, fungi, metals, etc.)&lt;/td&gt;&lt;td&gt;+2&lt;/td&gt;&lt;/tr&gt;&lt;tr&gt;&lt;td&gt;Same size&lt;/td&gt;&lt;td&gt;+2&lt;/td&gt;&lt;/tr&gt;&lt;tr&gt;&lt;td&gt;Related (twig is to tree, wolf fur is to wolf, etc.)&lt;/td&gt;&lt;td&gt;+2&lt;/td&gt;&lt;/tr&gt;&lt;tr&gt;&lt;td&gt;Same or lower Intelligence&lt;/td&gt;&lt;td&gt;+2&lt;/td&gt;&lt;/tr&gt;&lt;tr&gt;&lt;td colspan="2"&gt;*Add all that apply. Look up the total on the next table.&lt;/td&gt;&lt;/tr&gt;&lt;/table&gt; &lt;/p&gt;&lt;p&gt; &lt;table&gt;&lt;tr&gt;&lt;th&gt;Duration Factor&lt;/th&gt;&lt;th&gt;Duration&lt;/th&gt;&lt;th&gt;Example&lt;/th&gt;&lt;/tr&gt;&lt;tr&gt;&lt;td&gt;0&lt;/td&gt;&lt;td&gt;20 minutes&lt;/td&gt;&lt;td&gt;Pebble to human&lt;/td&gt;&lt;/tr&gt;&lt;tr&gt;&lt;td&gt;2&lt;/td&gt;&lt;td&gt;1 hour&lt;/td&gt;&lt;td&gt;Marionette to human&lt;/td&gt;&lt;/tr&gt;&lt;tr&gt;&lt;td&gt;4&lt;/td&gt;&lt;td&gt;3 hours&lt;/td&gt;&lt;td&gt;Human to marionette&lt;/td&gt;&lt;/tr&gt;&lt;tr&gt;&lt;td&gt;5&lt;/td&gt;&lt;td&gt;12 hours&lt;/td&gt;&lt;td&gt;Lizard to manticore&lt;/td&gt;&lt;/tr&gt;&lt;tr&gt;&lt;td&gt;6&lt;/td&gt;&lt;td&gt;2 days&lt;/td&gt;&lt;td&gt;Sheep to wool coat&lt;/td&gt;&lt;/tr&gt;&lt;tr&gt;&lt;td&gt;7&lt;/td&gt;&lt;td&gt;1 week&lt;/td&gt;&lt;td&gt;Shrew to manticore&lt;/td&gt;&lt;/tr&gt;&lt;tr&gt;&lt;td&gt;9+&lt;/td&gt;&lt;td&gt;Permanent&lt;/td&gt;&lt;td&gt;Manticore to shrew&lt;/td&gt;&lt;/tr&gt;&lt;/table&gt;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spell.&lt;/p&gt;&lt;p&gt;This spell cannot create material of great intrinsic value, such as copper, silver, gems, silk, gold, platinum, mithral, or adamantine. It also cannot reproduce the special properties of cold iron in order to overcome the damage reduction of certain creatures.&lt;/p&gt;&lt;p&gt;This spell can also be used to duplicate the effects of baleful polymorph, &lt;i&gt;greater polymorph,&lt;/i&gt; flesh to stone, stone to flesh, transmute mud to rock, transmute metal to wood, or transmute rock to mud.&lt;/p&gt;&lt;/h4&gt;&lt;/div&gt;</t>
  </si>
  <si>
    <t>Construct (8)</t>
  </si>
  <si>
    <t> Changes a subject into anything else.</t>
  </si>
  <si>
    <t>Impossible (17), Protean (17)</t>
  </si>
  <si>
    <t>Power Word Blind</t>
  </si>
  <si>
    <t>one creature with 200 hp or less</t>
  </si>
  <si>
    <t>You utter a single word of power that causes a creature to become blinded, whether the creature can hear the word or not. The duration of the spell depends on the target's current hit point total. Any creature that currently has 201 or more hit points is unaffected. Hit Points Duration 50 or less Permanent 51-100 1d4+1 minutes 101-200 1d4+1 rounds</t>
  </si>
  <si>
    <t>&lt;p&gt;You utter a single word of power that causes a creature to become blinded, whether the creature can hear the word or not. The duration of the spell depends on the target's current hit point total.&lt;/p&gt;&lt;p&gt;Any creature that currently has 201 or more hit points is unaffected.&lt;/p&gt;&lt;p&gt; &lt;table&gt;&lt;tr&gt;&lt;th&gt;Hit points&lt;/th&gt;&lt;th&gt;Duration&lt;/th&gt;&lt;/tr&gt;&lt;tr&gt;&lt;td&gt;50 or less&lt;/td&gt;&lt;td&gt;Permanent&lt;/td&gt;&lt;/tr&gt;&lt;tr&gt;&lt;td&gt;51-100&lt;/td&gt;&lt;td&gt;1d4+1 minutes&lt;/td&gt;&lt;/tr&gt;&lt;tr&gt;&lt;td&gt;101-200&lt;/td&gt;&lt;td&gt;1d4+1 rounds&lt;/td&gt;&lt;/tr&gt;&lt;/table&gt; &lt;/p&gt;</t>
  </si>
  <si>
    <t>&lt;link rel="stylesheet"href="PF.css"&gt;&lt;div class="heading"&gt;&lt;p class="alignleft"&gt;Power Word Blind&lt;/p&gt;&lt;div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with 200 hp or less&lt;/h5&gt;&lt;h5&gt;&lt;b&gt;Duration &lt;/b&gt;see text&lt;/h5&gt;&lt;h5&gt;&lt;b&gt;Saving Throw &lt;/b&gt;none; &lt;b&gt;Spell Resistance &lt;/b&gt;yes&lt;/h5&gt;&lt;/div&gt;&lt;hr/&gt;&lt;div&gt;&lt;h5&gt;&lt;b&gt;DESCRIPTION&lt;/b&gt;&lt;/h5&gt;&lt;/div&gt;&lt;hr/&gt;&lt;div&gt;&lt;h4&gt;&lt;p&gt;You utter a single word of power that causes a creature to become blinded, whether the creature can hear the word or not. The duration of the spell depends on the target's current hit point total.&lt;/p&gt;&lt;p&gt;Any creature that currently has 201 or more hit points is unaffected.&lt;/p&gt;&lt;p&gt; &lt;table&gt;&lt;tr&gt;&lt;th&gt;Hit points&lt;/th&gt;&lt;th&gt;Duration&lt;/th&gt;&lt;/tr&gt;&lt;tr&gt;&lt;td&gt;50 or less&lt;/td&gt;&lt;td&gt;Permanent&lt;/td&gt;&lt;/tr&gt;&lt;tr&gt;&lt;td&gt;51-100&lt;/td&gt;&lt;td&gt;1d4+1 minutes&lt;/td&gt;&lt;/tr&gt;&lt;tr&gt;&lt;td&gt;101-200&lt;/td&gt;&lt;td&gt;1d4+1 rounds&lt;/td&gt;&lt;/tr&gt;&lt;/table&gt; &lt;/p&gt;&lt;/h4&gt;&lt;/div&gt;</t>
  </si>
  <si>
    <t>Darkness (7), War (7)</t>
  </si>
  <si>
    <t> Blinds creature with 200 hp or less.</t>
  </si>
  <si>
    <t>Maestro (15), Shadow (15)</t>
  </si>
  <si>
    <t>Power Word Kill</t>
  </si>
  <si>
    <t>death, mind-affecting</t>
  </si>
  <si>
    <t>one living creature with 100 hp or less</t>
  </si>
  <si>
    <t>You utter a single word of power that instantly kills one creature of your choice, whether the creature can hear the word or not. Any creature that currently has 101 or more hit points is unaffected by power word kill.</t>
  </si>
  <si>
    <t>&lt;p&gt;You utter a single word of power that instantly kills one creature of your choice, whether the creature can hear the word or not. Any creature that currently has 101 or more hit points is unaffected by &lt;i&gt;power word kill&lt;/i&gt;.&lt;/p&gt;</t>
  </si>
  <si>
    <t>&lt;link rel="stylesheet"href="PF.css"&gt;&lt;div class="heading"&gt;&lt;p class="alignleft"&gt;Power Word Kill&lt;/p&gt;&lt;div style="clear: both;"&gt;&lt;/div&gt;&lt;/div&gt;&lt;div&gt;&lt;h5&gt;&lt;b&gt;School &lt;/b&gt;enchantment (compulsion) [death, mind-affecting]; &lt;b&gt;Level &lt;/b&gt;sorcerer/wizard 9, witch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 with 100 hp or less&lt;/h5&gt;&lt;h5&gt;&lt;b&gt;Duration &lt;/b&gt;instantaneous&lt;/h5&gt;&lt;h5&gt;&lt;b&gt;Saving Throw &lt;/b&gt;none; &lt;b&gt;Spell Resistance &lt;/b&gt;yes&lt;/h5&gt;&lt;/div&gt;&lt;hr/&gt;&lt;div&gt;&lt;h5&gt;&lt;b&gt;DESCRIPTION&lt;/b&gt;&lt;/h5&gt;&lt;/div&gt;&lt;hr/&gt;&lt;div&gt;&lt;h4&gt;&lt;p&gt;You utter a single word of power that instantly kills one creature of your choice, whether the creature can hear the word or not. Any creature that currently has 101 or more hit points is unaffected by &lt;i&gt;power word kill&lt;/i&gt;.&lt;/p&gt;&lt;/h4&gt;&lt;h5&gt;&lt;b&gt;Mythic: &lt;/b&gt;Treat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exhausted.&lt;/h5&gt;&lt;h5&gt;&lt;b&gt;Augmented (6th)&lt;/b&gt;: If you expend four uses of mythic power, the magic of the word lingers around the target. Until the beginning of your next turn, if the target's hit point total drops to the point that this spell would have killed it upon casting, it's instantly slain.&lt;/h5&gt;&lt;/div&gt;</t>
  </si>
  <si>
    <t>War (9)</t>
  </si>
  <si>
    <t> Kills one creature with 100 hp or less.</t>
  </si>
  <si>
    <t>Pestilence (19)</t>
  </si>
  <si>
    <t>Death (18)</t>
  </si>
  <si>
    <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t>
  </si>
  <si>
    <t>Augmented (6th): If you expend four uses of mythic power, the magic of the word lingers around the target. Until the beginning of your next turn, if the target's hit point total drops to the point that this spell would have killed it upon casting, it's instantly slain.</t>
  </si>
  <si>
    <t>Power Word Stun</t>
  </si>
  <si>
    <t>one creature with 150 hp or less</t>
  </si>
  <si>
    <t>See text</t>
  </si>
  <si>
    <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power word stun. Hit Points D uration 50 or less 4d4 rounds 51-100 2d4 rounds 101-150 1d4 rounds</t>
  </si>
  <si>
    <t>&lt;p&gt;You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&lt;i&gt;power word stun&lt;/i&gt;.&lt;/p&gt;&lt;p&gt; &lt;table&gt;&lt;tr&gt;&lt;th&gt;Hit Points&lt;/th&gt;&lt;th&gt;Duration&lt;/th&gt;&lt;/tr&gt;&lt;tr&gt;&lt;td&gt;50 or less&lt;/td&gt;&lt;td&gt;4d4 rounds&lt;/td&gt;&lt;/tr&gt;&lt;tr&gt;&lt;td&gt;51-100&lt;/td&gt;&lt;td&gt;2d4 rounds&lt;/td&gt;&lt;/tr&gt;&lt;tr&gt;&lt;td&gt;101-150&lt;/td&gt;&lt;td&gt;1d4 rounds&lt;/td&gt;&lt;/tr&gt;&lt;/table&gt; &lt;/p&gt;</t>
  </si>
  <si>
    <t>&lt;link rel="stylesheet"href="PF.css"&gt;&lt;div class="heading"&gt;&lt;p class="alignleft"&gt;Power Word Stun&lt;/p&gt;&lt;div style="clear: both;"&gt;&lt;/div&gt;&lt;/div&gt;&lt;div&gt;&lt;h5&gt;&lt;b&gt;School &lt;/b&gt;enchantment (compulsion) [mind-affecting]; &lt;b&gt;Level &lt;/b&gt;sorcerer/wizard 8, witch 8, psychic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with 150 hp or less&lt;/h5&gt;&lt;h5&gt;&lt;b&gt;Duration &lt;/b&gt;See text&lt;/h5&gt;&lt;h5&gt;&lt;b&gt;Saving Throw &lt;/b&gt;none; &lt;b&gt;Spell Resistance &lt;/b&gt;yes&lt;/h5&gt;&lt;/div&gt;&lt;hr/&gt;&lt;div&gt;&lt;h5&gt;&lt;b&gt;DESCRIPTION&lt;/b&gt;&lt;/h5&gt;&lt;/div&gt;&lt;hr/&gt;&lt;div&gt;&lt;h4&gt;&lt;p&gt;You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&lt;i&gt;power word stun&lt;/i&gt;.&lt;/p&gt;&lt;p&gt; &lt;table&gt;&lt;tr&gt;&lt;th&gt;Hit Points&lt;/th&gt;&lt;th&gt;Duration&lt;/th&gt;&lt;/tr&gt;&lt;tr&gt;&lt;td&gt;50 or less&lt;/td&gt;&lt;td&gt;4d4 rounds&lt;/td&gt;&lt;/tr&gt;&lt;tr&gt;&lt;td&gt;51-100&lt;/td&gt;&lt;td&gt;2d4 rounds&lt;/td&gt;&lt;/tr&gt;&lt;tr&gt;&lt;td&gt;101-150&lt;/td&gt;&lt;td&gt;1d4 rounds&lt;/td&gt;&lt;/tr&gt;&lt;/table&gt; &lt;/p&gt;&lt;/h4&gt;&lt;/div&gt;</t>
  </si>
  <si>
    <t>War (8)</t>
  </si>
  <si>
    <t> Stuns creature with 150 hp or less.</t>
  </si>
  <si>
    <t>Arcane (17), Infernal (17)</t>
  </si>
  <si>
    <t>Prayer</t>
  </si>
  <si>
    <t>cleric/oracle 3, paladin 3, inquisitor 3</t>
  </si>
  <si>
    <t>all allies and foes within a 40-ft.-radius burst centered on you</t>
  </si>
  <si>
    <t>You bring special favor upon yourself and your allies while bringing disfavor to your enemies. You and each of your allies gain a +1 luck bonus on attack rolls, weapon damage rolls, saves, and skill checks, while each of your foes takes a -1 penalty on such rolls.</t>
  </si>
  <si>
    <t>&lt;p&gt;You bring special favor upon yourself and your allies while bringing disfavor to your enemies. You and each of your allies gain a +1 luck bonus on attack rolls, weapon damage rolls, saves, and skill checks, while each of your foes takes a -1 penalty on such rolls.&lt;/p&gt;</t>
  </si>
  <si>
    <t>&lt;link rel="stylesheet"href="PF.css"&gt;&lt;div class="heading"&gt;&lt;p class="alignleft"&gt;Prayer&lt;/p&gt;&lt;div style="clear: both;"&gt;&lt;/div&gt;&lt;/div&gt;&lt;div&gt;&lt;h5&gt;&lt;b&gt;School &lt;/b&gt;enchantment (compulsion) [mind-affecting]; &lt;b&gt;Level &lt;/b&gt;cleric/oracle 3, paladin 3, inquisitor 3&lt;/h5&gt;&lt;/div&gt;&lt;hr/&gt;&lt;div&gt;&lt;h5&gt;&lt;b&gt;CASTING&lt;/b&gt;&lt;/h5&gt;&lt;/div&gt;&lt;hr/&gt;&lt;div&gt;&lt;h5&gt;&lt;b&gt;Casting Time &lt;/b&gt;1 standard action&lt;/h5&gt;&lt;h5&gt;&lt;b&gt;Components &lt;/b&gt;V, S, DF&lt;/h5&gt;&lt;/div&gt;&lt;hr/&gt;&lt;div&gt;&lt;h5&gt;&lt;b&gt;EFFECT&lt;/b&gt;&lt;/h5&gt;&lt;/div&gt;&lt;hr/&gt;&lt;div&gt;&lt;h5&gt;&lt;b&gt;Range &lt;/b&gt;40 ft.&lt;/h5&gt;&lt;h5&gt;&lt;b&gt;Area &lt;/b&gt;all allies and foes within a 40-ft.-radius burst centered on you&lt;/h5&gt;&lt;h5&gt;&lt;b&gt;Duration &lt;/b&gt;1 round/level&lt;/h5&gt;&lt;h5&gt;&lt;b&gt;Saving Throw &lt;/b&gt;none; &lt;b&gt;Spell Resistance &lt;/b&gt;yes&lt;/h5&gt;&lt;/div&gt;&lt;hr/&gt;&lt;div&gt;&lt;h5&gt;&lt;b&gt;DESCRIPTION&lt;/b&gt;&lt;/h5&gt;&lt;/div&gt;&lt;hr/&gt;&lt;div&gt;&lt;h4&gt;&lt;p&gt;You bring special favor upon yourself and your allies while bringing disfavor to your enemies. You and each of your allies gain a +1 luck bonus on attack rolls, weapon damage rolls, saves, and skill checks, while each of your foes takes a -1 penalty on such rolls.&lt;/p&gt;&lt;/h4&gt;&lt;h5&gt;&lt;b&gt;Mythic: &lt;/b&gt;The spell's luck bonus increases to +2, and the penalty for enemies changes to -2. When you cast the spell, your affected allies heal an amount of hit point damage equal to double your tier, and affected enemies take an amount of damage equal to double your tier.&lt;/h5&gt;&lt;/div&gt;</t>
  </si>
  <si>
    <t>Archon (3), Community (3), Leadership (3)</t>
  </si>
  <si>
    <t>Allies get +1 bonus on most rolls, enemies –1 penalty.</t>
  </si>
  <si>
    <t>Ancestors (6)</t>
  </si>
  <si>
    <t>The spell's luck bonus increases to +2, and the penalty for enemies changes to -2. When you cast the spell, your affected allies heal an amount of hit point damage equal to double your tier, and affected enemies take an amount of damage equal to double your tier.</t>
  </si>
  <si>
    <t>Prestidigitation</t>
  </si>
  <si>
    <t>bard 0, magus 0, sorcerer/wizard 0, psychic 0, mesmerist 0</t>
  </si>
  <si>
    <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t>
  </si>
  <si>
    <t>&lt;p&gt;Prestidigitations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hour.&lt;/p&gt;</t>
  </si>
  <si>
    <t>&lt;link rel="stylesheet"href="PF.css"&gt;&lt;div class="heading"&gt;&lt;p class="alignleft"&gt;Prestidigitation&lt;/p&gt;&lt;div style="clear: both;"&gt;&lt;/div&gt;&lt;/div&gt;&lt;div&gt;&lt;h5&gt;&lt;b&gt;School &lt;/b&gt;universal; &lt;b&gt;Level &lt;/b&gt;bard 0, magus 0, sorcerer/wizard 0, psychic 0, mesmerist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 Effect, or Area &lt;/b&gt;see text&lt;h5&gt;&lt;b&gt;Duration &lt;/b&gt;1 hour&lt;/h5&gt;&lt;h5&gt;&lt;b&gt;Saving Throw &lt;/b&gt;see text; &lt;b&gt;Spell Resistance &lt;/b&gt;no&lt;/h5&gt;&lt;/div&gt;&lt;hr/&gt;&lt;div&gt;&lt;h5&gt;&lt;b&gt;DESCRIPTION&lt;/b&gt;&lt;/h5&gt;&lt;/div&gt;&lt;hr/&gt;&lt;div&gt;&lt;h4&gt;&lt;p&gt;Prestidigitations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hour.&lt;/p&gt;&lt;/h4&gt;&lt;/div&gt;</t>
  </si>
  <si>
    <t>Performs minor tricks.</t>
  </si>
  <si>
    <t>Prismatic Sphere</t>
  </si>
  <si>
    <t>10-ft.-radius sphere centered on you</t>
  </si>
  <si>
    <t>This spell functions like prismatic wall, except you conjure up an immobile, opaque globe of shimmering, multicolored light that surrounds you and protects you from all forms of attack. The sphere flashes in all colors of the visible spectrum.  The sphere's blindness effect on creatures with less than 8 HD lasts 2d4 x 10 minutes.  You can pass into and out of the prismatic sphere and remain near it without harm. When you're inside it, however, the sphere blocks any attempt to project something through the sphere (including spells). Other creatures that attempt to attack you or pass through suffer the effects of each color, one at a time.  Typically, only the upper hemisphere of the globe exists, since you are at the center of the sphere, so the lower half is usually occluded by the floor surface you are standing on.  The colors of the sphere have the same effects as the colors of a prismatic wall.  Prismatic sphere can be made permanent with a permanency spell.</t>
  </si>
  <si>
    <t>&lt;p&gt;This spell functions like &lt;i&gt;prismatic wall&lt;/i&gt;, except you conjure up an immobile, opaque globe of shimmering, multicolored light that surrounds you and protects you from all forms of attack. The sphere flashes in all colors of the visible spectrum.&lt;/p&gt;&lt;p&gt;The sphere's &lt;i&gt;blindness&lt;/i&gt; effect on creatures with less than 8 HD lasts 2d4 x 10 minutes.&lt;/p&gt;&lt;p&gt;You can pass into and out of the &lt;i&gt;prismatic sphere&lt;/i&gt; and remain near it without harm. When you're inside it, however, the sphere blocks any attempt to project something through the sphere (including spells). Other creatures that attempt to attack you or pass through suffer the effects of each color, one at a time.&lt;/p&gt;&lt;p&gt;Typically, only the upper hemisphere of the globe exists, since you are at the center of the sphere, so the lower half is usually occluded by the floor surface you are standing on.&lt;/p&gt;&lt;p&gt;The colors of the sphere have the same effects as the colors of a &lt;i&gt;prismatic wall&lt;/i&gt;.&lt;/p&gt;&lt;p&gt;&lt;i&gt;Prismatic sphere&lt;/i&gt; can be made permanent with a &lt;i&gt;permanency&lt;/i&gt; spell.&lt;/p&gt;</t>
  </si>
  <si>
    <t>&lt;link rel="stylesheet"href="PF.css"&gt;&lt;div class="heading"&gt;&lt;p class="alignleft"&gt;Prismatic Sphere&lt;/p&gt;&lt;div style="clear: both;"&gt;&lt;/div&gt;&lt;/div&gt;&lt;div&gt;&lt;h5&gt;&lt;b&gt;School &lt;/b&gt;abjuration; &lt;b&gt;Level &lt;/b&gt;sorcerer/wizard 9&lt;/h5&gt;&lt;/div&gt;&lt;hr/&gt;&lt;div&gt;&lt;h5&gt;&lt;b&gt;CASTING&lt;/b&gt;&lt;/h5&gt;&lt;/div&gt;&lt;hr/&gt;&lt;div&gt;&lt;h5&gt;&lt;b&gt;Casting Time &lt;/b&gt;1 standard action&lt;/h5&gt;&lt;h5&gt;&lt;b&gt;Components &lt;/b&gt;V&lt;/h5&gt;&lt;/div&gt;&lt;hr/&gt;&lt;div&gt;&lt;h5&gt;&lt;b&gt;EFFECT&lt;/b&gt;&lt;/h5&gt;&lt;/div&gt;&lt;hr/&gt;&lt;div&gt;&lt;h5&gt;&lt;b&gt;Range &lt;/b&gt;10 ft.&lt;/h5&gt;&lt;h5&gt;&lt;b&gt;Effect &lt;/b&gt;10-ft.-radius sphere centered on you&lt;/h5&gt;&lt;h5&gt;&lt;b&gt;Duration &lt;/b&gt;10 min./level (D)&lt;/h5&gt;&lt;h5&gt;&lt;b&gt;Saving Throw &lt;/b&gt;see text; &lt;b&gt;Spell Resistance &lt;/b&gt;see text&lt;/h5&gt;&lt;/div&gt;&lt;hr/&gt;&lt;div&gt;&lt;h5&gt;&lt;b&gt;DESCRIPTION&lt;/b&gt;&lt;/h5&gt;&lt;/div&gt;&lt;hr/&gt;&lt;div&gt;&lt;h4&gt;&lt;p&gt;This spell functions like &lt;i&gt;prismatic wall&lt;/i&gt;, except you conjure up an immobile, opaque globe of shimmering, multicolored light that surrounds you and protects you from all forms of attack. The sphere flashes in all colors of the visible spectrum.&lt;/p&gt;&lt;p&gt;The sphere's &lt;i&gt;blindness&lt;/i&gt; effect on creatures with less than 8 HD lasts 2d4 x 10 minutes.&lt;/p&gt;&lt;p&gt;You can pass into and out of the &lt;i&gt;prismatic sphere&lt;/i&gt; and remain near it without harm. When you're inside it, however, the sphere blocks any attempt to project something through the sphere (including spells). Other creatures that attempt to attack you or pass through suffer the effects of each color, one at a time.&lt;/p&gt;&lt;p&gt;Typically, only the upper hemisphere of the globe exists, since you are at the center of the sphere, so the lower half is usually occluded by the floor surface you are standing on.&lt;/p&gt;&lt;p&gt;The colors of the sphere have the same effects as the colors of a &lt;i&gt;prismatic wall&lt;/i&gt;.&lt;/p&gt;&lt;p&gt;&lt;i&gt;Prismatic sphere&lt;/i&gt; can be made permanent with a &lt;i&gt;permanency&lt;/i&gt; spell.&lt;/p&gt;&lt;/h4&gt;&lt;h5&gt;&lt;b&gt;Mythic: &lt;/b&gt;When you cast the spell, you simultaneously create a prismatic spray that originates from one point on the sphere and radiates directly away from you. The save DC of this prismatic spray is the same as that of your mythic prismatic sphere.&lt;/h5&gt;&lt;/div&gt;</t>
  </si>
  <si>
    <t>Artifice (9), Protection (9), Sun (9)</t>
  </si>
  <si>
    <t> As prismatic wall, but surrounds on all sides.</t>
  </si>
  <si>
    <t>When you cast the spell, you simultaneously create a prismatic spray that originates from one point on the sphere and radiates directly away from you. The save DC of this prismatic spray is the same as that of your mythic prismatic sphere.</t>
  </si>
  <si>
    <t>Prismatic Spray</t>
  </si>
  <si>
    <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 Color 1d8 of Beam 1 Red 20 points fire damage (Reflex half ) 2 Orange 40 points acid damage (Reflex half ) 3 Yellow 80 points electricity damage (Reflex half) 4 Green Poison (Frequency 1/rd. for 6 rd.; Init. effect death; Sec. effect 1 Con/rd.; Cure 2 consecutive Fort saves)* 5 Blue Flesh to stone (Fortitude negates) 6 Indigo Insane, as insanity spell (Will negates) 7 Violet Sent to another plane (Will negates) 8 Struck by Roll twice more, ignoring any "8" two rays results * See poisons on page 557.</t>
  </si>
  <si>
    <t xml:space="preserve">&lt;p&gt;This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effects.&lt;/p&gt;   &lt;table border ='1'&gt;&lt;tr&gt;&lt;th&gt;&lt;table&gt;&lt;tr&gt;&lt;th&gt;1d8&lt;/th&gt;&lt;th&gt;Color of Beam&lt;/th&gt;&lt;th&gt;Effect&lt;/th&gt;&lt;/tr&gt;&lt;tr&gt;&lt;td&gt;1&lt;/td&gt;&lt;td&gt;Red&lt;/td&gt;&lt;td&gt;20 points fire damage (Reflex half)&lt;/td&gt;&lt;/tr&gt;&lt;tr&gt;&lt;td&gt;2&lt;/td&gt;&lt;td&gt;Orange&lt;/td&gt;&lt;td&gt;40 points acid damage (Reflex half&lt;/td&gt;&lt;/tr&gt;&lt;tr&gt;&lt;td&gt;3&lt;/td&gt;&lt;td&gt;Yellow&lt;/td&gt;&lt;td&gt;80 points electricity damage (Reflex half )&lt;/td&gt;&lt;/tr&gt;&lt;tr&gt;&lt;td&gt;4&lt;/td&gt;&lt;td&gt;Green&lt;/td&gt;&lt;td&gt;Poison (Frequency 1/rd. for 6 rd.; Init. effect death; Sec. effect 1 Con/rd.; Cure 2 consecutive Fort saves)*&lt;/td&gt;&lt;/tr&gt;&lt;tr&gt;&lt;td&gt;5&lt;/td&gt;&lt;td&gt;Blue&lt;/td&gt;&lt;td&gt;&lt;i&gt;Flesh to stone&lt;/i&gt; (Fortitude negates)&lt;/td&gt;&lt;/tr&gt;&lt;tr&gt;&lt;td&gt;6&lt;/td&gt;&lt;td&gt;Indigo&lt;/td&gt;&lt;td&gt;Insane, as &lt;i&gt;insanity&lt;/i&gt; spell (Will negates)&lt;/td&gt;&lt;/tr&gt;&lt;tr&gt;&lt;td&gt;7&lt;/td&gt;&lt;td&gt;Violet&lt;/td&gt;&lt;td&gt;Sent to another plane (Will negates)&lt;/td&gt;&lt;/tr&gt;&lt;tr&gt;&lt;td&gt;8&lt;/td&gt;&lt;td&gt;Struck by two rays&lt;/td&gt;&lt;td&gt;Roll twice more, ignoring any "8"results&lt;/td&gt;&lt;/tr&gt;&lt;tr&gt;&lt;td colspan="3"&gt;* See poisons on page 557.&lt;/td&gt;&lt;/tr&gt;&lt;/table&gt;&lt;/td&gt;&lt;/tr&gt;&lt;/table&gt;   </t>
  </si>
  <si>
    <t>&lt;link rel="stylesheet"href="PF.css"&gt;&lt;div class="heading"&gt;&lt;p class="alignleft"&gt;Prismatic Spray&lt;/p&gt;&lt;div style="clear: both;"&gt;&lt;/div&gt;&lt;/div&gt;&lt;div&gt;&lt;h5&gt;&lt;b&gt;School &lt;/b&gt;evocation;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burst&lt;/h5&gt;&lt;h5&gt;&lt;b&gt;Duration &lt;/b&gt;instantaneous&lt;/h5&gt;&lt;h5&gt;&lt;b&gt;Saving Throw &lt;/b&gt;see text; &lt;b&gt;Spell Resistance &lt;/b&gt;yes&lt;/h5&gt;&lt;/div&gt;&lt;hr/&gt;&lt;div&gt;&lt;h5&gt;&lt;b&gt;DESCRIPTION&lt;/b&gt;&lt;/h5&gt;&lt;/div&gt;&lt;hr/&gt;&lt;div&gt;&lt;h4&gt;&lt;p&gt;This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effects.&lt;/p&gt;   &lt;table border ='1'&gt;&lt;tr&gt;&lt;th&gt;&lt;table&gt;&lt;tr&gt;&lt;th&gt;1d8&lt;/th&gt;&lt;th&gt;Color of Beam&lt;/th&gt;&lt;th&gt;Effect&lt;/th&gt;&lt;/tr&gt;&lt;tr&gt;&lt;td&gt;1&lt;/td&gt;&lt;td&gt;Red&lt;/td&gt;&lt;td&gt;20 points fire damage (Reflex half)&lt;/td&gt;&lt;/tr&gt;&lt;tr&gt;&lt;td&gt;2&lt;/td&gt;&lt;td&gt;Orange&lt;/td&gt;&lt;td&gt;40 points acid damage (Reflex half&lt;/td&gt;&lt;/tr&gt;&lt;tr&gt;&lt;td&gt;3&lt;/td&gt;&lt;td&gt;Yellow&lt;/td&gt;&lt;td&gt;80 points electricity damage (Reflex half )&lt;/td&gt;&lt;/tr&gt;&lt;tr&gt;&lt;td&gt;4&lt;/td&gt;&lt;td&gt;Green&lt;/td&gt;&lt;td&gt;Poison (Frequency 1/rd. for 6 rd.; Init. effect death; Sec. effect 1 Con/rd.; Cure 2 consecutive Fort saves)*&lt;/td&gt;&lt;/tr&gt;&lt;tr&gt;&lt;td&gt;5&lt;/td&gt;&lt;td&gt;Blue&lt;/td&gt;&lt;td&gt;&lt;i&gt;Flesh to stone&lt;/i&gt; (Fortitude negates)&lt;/td&gt;&lt;/tr&gt;&lt;tr&gt;&lt;td&gt;6&lt;/td&gt;&lt;td&gt;Indigo&lt;/td&gt;&lt;td&gt;Insane, as &lt;i&gt;insanity&lt;/i&gt; spell (Will negates)&lt;/td&gt;&lt;/tr&gt;&lt;tr&gt;&lt;td&gt;7&lt;/td&gt;&lt;td&gt;Violet&lt;/td&gt;&lt;td&gt;Sent to another plane (Will negates)&lt;/td&gt;&lt;/tr&gt;&lt;tr&gt;&lt;td&gt;8&lt;/td&gt;&lt;td&gt;Struck by two rays&lt;/td&gt;&lt;td&gt;Roll twice more, ignoring any "8"results&lt;/td&gt;&lt;/tr&gt;&lt;tr&gt;&lt;td colspan="3"&gt;* See poisons on page 557.&lt;/td&gt;&lt;/tr&gt;&lt;/table&gt;&lt;/td&gt;&lt;/tr&gt;&lt;/table&gt;   &lt;/h4&gt;&lt;h5&gt;&lt;b&gt;Mythic: &lt;/b&gt;The spell automatically blinds creatures with up to 12 Hit Dice instead of 8 Hit Dice. Attempt one bull rush combat maneuver and apply its results to each creature in the area. Your CMB for this bull rush is equal to your caster level plus your Intelligence, Wisdom, or Charisma modifier, whichever is highest. This bull rush doesn't provoke an attack of opportunity.&lt;/h5&gt;&lt;h5&gt;&lt;b&gt;Augmented (6th)&lt;/b&gt;: If you expend two uses of mythic power, the area changes from a cone into a line. Creatures in the line are struck by two beams (or three, if the creature rolls an 8 on the table). The spell bypasses energy resistance and immunity.&lt;/h5&gt;&lt;/div&gt;</t>
  </si>
  <si>
    <t> Rays hit subjects with variety of effects.</t>
  </si>
  <si>
    <t>The spell automatically blinds creatures with up to 12 Hit Dice instead of 8 Hit Dice. Attempt one bull rush combat maneuver and apply its results to each creature in the area. Your CMB for this bull rush is equal to your caster level plus your Intelligence, Wisdom, or Charisma modifier, whichever is highest. This bull rush doesn't provoke an attack of opportunity.</t>
  </si>
  <si>
    <t>Augmented (6th): If you expend two uses of mythic power, the area changes from a cone into a line. Creatures in the line are struck by two beams (or three, if the creature rolls an 8 on the table). The spell bypasses energy resistance and immunity.</t>
  </si>
  <si>
    <t>Prismatic Wall</t>
  </si>
  <si>
    <t>wall 4 ft./level wide, 2 ft./level high</t>
  </si>
  <si>
    <t>Prismatic wall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 The wall's maximum proportions are 4 feet wide per caster level and 2 feet high per caster level. A prismatic wall spell cast to materialize in a space occupied by a creature is disrupted, and the spell is wasted. Each color in the wall has a special effect. The accompanying table shows the seven colors of the wall, the order in which they appear, their effects on creatures trying to attack you or pass through the wall, and the magic needed to negate each color. The wall can be destroyed, color by color, in consecutive order, by casting the specified spells on the wall; however, the first color must be brought down before the second can be affected, and so on. A rod of cancellation or a mage's disjunction spell destroys a prismatic wall, but an antimagic field fails to penetrate it. Dispel magic and greater dispel magic can only be used on the wall once all the other colors have been destroyed. Spell resistance is effective against a prismatic wall, but the caster level check must be repeated for each color present. Prismatic wall can be made permanent with a permanency spell. Order C olor Effect of Color N egated by 1st Red Stops nonmagical ranged weapons. Cone of cold Deals 20 points of fire damage (Reflex half ). 2nd Orange Stops magical ranged weapons. Gust of wind Deals 40 points of acid damage (Reflex half ). 3rd Yellow Stops poisons, gases, and petrification. Disintegrate Deals 80 points of electricity damage (Reflex half ). 4th Green Stops breath weapons. Passwall Poison (frequency: 1/rd. for 6 rd.; init. effect: death, sec. effect: 1 Con/rd.; cure 2 consecutive Fort saves). 5th Blue Stops divination and mental attacks. Magic missile Turned to stone (Fortitude negates). 6th Indigo Stops all spells. Daylight Will save or become insane (as insanity spell). 7th Violet Energy field destroys all objects and effects.* Dispel magic or Creatures sent to another plane (Will negates). greater dispel magic * The violet effect makes the special effects of the other six colors redundant, but these six effects are included here because certain magic items can create prismatic effects one color at a time, and spell resistance might render some colors ineffective (see above).</t>
  </si>
  <si>
    <t>&lt;p&gt;&lt;i&gt;Prismatic wall&lt;/i&gt;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wall.&lt;/p&gt;&lt;p&gt;The wall's maximum proportions are 4 feet wide per caster level and 2 feet high per caster level. A &lt;i&gt;prismatic wall&lt;/i&gt; spell cast to materialize in a space occupied by a creature is disrupted, and the spell is wasted.&lt;/p&gt;&lt;p&gt;Each color in the wall has a special effect. The accompanying table shows the seven colors of the wall, the order in which they appear, their effects on creatures trying to attack you or pass through the wall, and the magic needed to negate each color.&lt;/p&gt;&lt;p&gt;The wall can be destroyed, color by color, in consecutive order, by casting the specified spells on the wall; however, the first color must be brought down before the second can be affected, and so on. A &lt;i&gt;rod of cancellation&lt;/i&gt; or a mage's disjunction spell destroys a &lt;i&gt;prismatic wall&lt;/i&gt;, but an &lt;i&gt;antimagic field&lt;/i&gt; fails to penetrate it. &lt;i&gt;Dispel magic&lt;/i&gt; and &lt;i&gt;greater dispel magic&lt;/i&gt; can only be used on the wall once all the other colors have been destroyed. Spell resistance is effective against a &lt;i&gt;prismatic wall&lt;/i&gt;, but the caster level check must be repeated for each color present.&lt;/p&gt;&lt;p&gt;&lt;i&gt;Prismatic wall&lt;/i&gt; can be made permanent with a &lt;i&gt;permanency&lt;/i&gt; spell.&lt;/p&gt;&lt;p&gt; &lt;table&gt;&lt;tr&gt;&lt;th&gt;Order&lt;/th&gt;&lt;th&gt;Color&lt;/th&gt;&lt;th&gt;Effect of Color&lt;/th&gt;&lt;th&gt;Negated by&lt;/th&gt;&lt;/tr&gt;&lt;tr&gt;&lt;td&gt;1st&lt;/td&gt;&lt;td&gt;Red&lt;/td&gt;&lt;td&gt;Stops nonmagical ranged weapons. Deals 20 points of fire damage (Reflex half ).&lt;/td&gt;&lt;td&gt;&lt;i&gt;Cone of cold&lt;/i&gt;&lt;/td&gt;&lt;/tr&gt;&lt;tr&gt;&lt;td&gt;2nd&lt;/td&gt;&lt;td&gt;Orange&lt;/td&gt;&lt;td&gt;Stops magical ranged weapons. Deals 40 points of acid damage (Reflex half).&lt;/td&gt;&lt;td&gt;&lt;i&gt;Gust of wind&lt;/i&gt;&lt;/td&gt;&lt;/tr&gt;&lt;tr&gt;&lt;td&gt;3rd&lt;/td&gt;&lt;td&gt;Yellow&lt;/td&gt;&lt;td&gt;Stops poisons, gases, and petrification. Deals 80 points of electricity damage (Reflex half).&lt;/td&gt;&lt;td&gt;&lt;i&gt;Disintegrate&lt;/i&gt;&lt;/td&gt;&lt;/tr&gt;&lt;tr&gt;&lt;td&gt;4th&lt;/td&gt;&lt;td&gt;Green&lt;/td&gt;&lt;td&gt;Stops breath weapons. Poison (frequency: 1/rd. for 6 rd.; init. effect: death, sec. effect: 1 Con/rd.; cure 2 consecutive Fort saves).&lt;/td&gt;&lt;td&gt;&lt;i&gt;Passwall&lt;/i&gt;&lt;/td&gt;&lt;/tr&gt;&lt;tr&gt;&lt;td&gt;5th&lt;/td&gt;&lt;td&gt;Blue&lt;/td&gt;&lt;td&gt;Stops divination and mental attacks. Turned to stone (Fortitude negates).&lt;/td&gt;&lt;td&gt;&lt;i&gt;Magic missile&lt;/i&gt;&lt;/td&gt;&lt;/tr&gt;&lt;tr&gt;&lt;td&gt;6th&lt;/td&gt;&lt;td&gt;Indigo&lt;/td&gt;&lt;td&gt;Stops all spells. Will save or become insane (as insanity spell).&lt;/td&gt;&lt;td&gt;&lt;i&gt;Daylight&lt;/i&gt;&lt;/td&gt;&lt;/tr&gt;&lt;tr&gt;&lt;td&gt;7th&lt;/td&gt;&lt;td&gt;Violet&lt;/td&gt;&lt;td&gt;Energy field destroys all objects and effects.* Creatures sent to another plane (Will negates).&lt;/td&gt;&lt;td&gt;&lt;i&gt;Dispel magic&lt;/i&gt; or &lt;i&gt;greater dispel magic&lt;/i&gt;&lt;/td&gt;&lt;/tr&gt;&lt;tr&gt;&lt;td colspan="4"&gt;*The violet effect makes the special effects of the other six colors redundant, but these six effects are included here because certain magic items can create prismatic effects one color at a time, and spell resistance might render some colors ineffective (see above).&lt;/td&gt;&lt;/tr&gt;&lt;/table&gt; &lt;/p&gt;</t>
  </si>
  <si>
    <t>&lt;link rel="stylesheet"href="PF.css"&gt;&lt;div class="heading"&gt;&lt;p class="alignleft"&gt;Prismatic Wall&lt;/p&gt;&lt;div style="clear: both;"&gt;&lt;/div&gt;&lt;/div&gt;&lt;div&gt;&lt;h5&gt;&lt;b&gt;School &lt;/b&gt;abjuration; &lt;b&gt;Level &lt;/b&gt;sorcerer/wizard 8,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&lt;/b&gt;wall 4 ft./level wide, 2 ft./level high&lt;/h5&gt;&lt;h5&gt;&lt;b&gt;Duration &lt;/b&gt;10 min./level (D)&lt;/h5&gt;&lt;h5&gt;&lt;b&gt;Saving Throw &lt;/b&gt;see text; &lt;b&gt;Spell Resistance &lt;/b&gt;see text&lt;/h5&gt;&lt;/div&gt;&lt;hr/&gt;&lt;div&gt;&lt;h5&gt;&lt;b&gt;DESCRIPTION&lt;/b&gt;&lt;/h5&gt;&lt;/div&gt;&lt;hr/&gt;&lt;div&gt;&lt;h4&gt;&lt;p&gt;&lt;i&gt;Prismatic wall&lt;/i&gt;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wall.&lt;/p&gt;&lt;p&gt;The wall's maximum proportions are 4 feet wide per caster level and 2 feet high per caster level. A &lt;i&gt;prismatic wall&lt;/i&gt; spell cast to materialize in a space occupied by a creature is disrupted, and the spell is wasted.&lt;/p&gt;&lt;p&gt;Each color in the wall has a special effect. The accompanying table shows the seven colors of the wall, the order in which they appear, their effects on creatures trying to attack you or pass through the wall, and the magic needed to negate each color.&lt;/p&gt;&lt;p&gt;The wall can be destroyed, color by color, in consecutive order, by casting the specified spells on the wall; however, the first color must be brought down before the second can be affected, and so on. A &lt;i&gt;rod of cancellation&lt;/i&gt; or a mage's disjunction spell destroys a &lt;i&gt;prismatic wall&lt;/i&gt;, but an &lt;i&gt;antimagic field&lt;/i&gt; fails to penetrate it. &lt;i&gt;Dispel magic&lt;/i&gt; and &lt;i&gt;greater dispel magic&lt;/i&gt; can only be used on the wall once all the other colors have been destroyed. Spell resistance is effective against a &lt;i&gt;prismatic wall&lt;/i&gt;, but the caster level check must be repeated for each color present.&lt;/p&gt;&lt;p&gt;&lt;i&gt;Prismatic wall&lt;/i&gt; can be made permanent with a &lt;i&gt;permanency&lt;/i&gt; spell.&lt;/p&gt;&lt;p&gt; &lt;table&gt;&lt;tr&gt;&lt;th&gt;Order&lt;/th&gt;&lt;th&gt;Color&lt;/th&gt;&lt;th&gt;Effect of Color&lt;/th&gt;&lt;th&gt;Negated by&lt;/th&gt;&lt;/tr&gt;&lt;tr&gt;&lt;td&gt;1st&lt;/td&gt;&lt;td&gt;Red&lt;/td&gt;&lt;td&gt;Stops nonmagical ranged weapons. Deals 20 points of fire damage (Reflex half ).&lt;/td&gt;&lt;td&gt;&lt;i&gt;Cone of cold&lt;/i&gt;&lt;/td&gt;&lt;/tr&gt;&lt;tr&gt;&lt;td&gt;2nd&lt;/td&gt;&lt;td&gt;Orange&lt;/td&gt;&lt;td&gt;Stops magical ranged weapons. Deals 40 points of acid damage (Reflex half).&lt;/td&gt;&lt;td&gt;&lt;i&gt;Gust of wind&lt;/i&gt;&lt;/td&gt;&lt;/tr&gt;&lt;tr&gt;&lt;td&gt;3rd&lt;/td&gt;&lt;td&gt;Yellow&lt;/td&gt;&lt;td&gt;Stops poisons, gases, and petrification. Deals 80 points of electricity damage (Reflex half).&lt;/td&gt;&lt;td&gt;&lt;i&gt;Disintegrate&lt;/i&gt;&lt;/td&gt;&lt;/tr&gt;&lt;tr&gt;&lt;td&gt;4th&lt;/td&gt;&lt;td&gt;Green&lt;/td&gt;&lt;td&gt;Stops breath weapons. Poison (frequency: 1/rd. for 6 rd.; init. effect: death, sec. effect: 1 Con/rd.; cure 2 consecutive Fort saves).&lt;/td&gt;&lt;td&gt;&lt;i&gt;Passwall&lt;/i&gt;&lt;/td&gt;&lt;/tr&gt;&lt;tr&gt;&lt;td&gt;5th&lt;/td&gt;&lt;td&gt;Blue&lt;/td&gt;&lt;td&gt;Stops divination and mental attacks. Turned to stone (Fortitude negates).&lt;/td&gt;&lt;td&gt;&lt;i&gt;Magic missile&lt;/i&gt;&lt;/td&gt;&lt;/tr&gt;&lt;tr&gt;&lt;td&gt;6th&lt;/td&gt;&lt;td&gt;Indigo&lt;/td&gt;&lt;td&gt;Stops all spells. Will save or become insane (as insanity spell).&lt;/td&gt;&lt;td&gt;&lt;i&gt;Daylight&lt;/i&gt;&lt;/td&gt;&lt;/tr&gt;&lt;tr&gt;&lt;td&gt;7th&lt;/td&gt;&lt;td&gt;Violet&lt;/td&gt;&lt;td&gt;Energy field destroys all objects and effects.* Creatures sent to another plane (Will negates).&lt;/td&gt;&lt;td&gt;&lt;i&gt;Dispel magic&lt;/i&gt; or &lt;i&gt;greater dispel magic&lt;/i&gt;&lt;/td&gt;&lt;/tr&gt;&lt;tr&gt;&lt;td colspan="4"&gt;*The violet effect makes the special effects of the other six colors redundant, but these six effects are included here because certain magic items can create prismatic effects one color at a time, and spell resistance might render some colors ineffective (see above).&lt;/td&gt;&lt;/tr&gt;&lt;/table&gt; &lt;/p&gt;&lt;/h4&gt;&lt;/div&gt;</t>
  </si>
  <si>
    <t>Fortifications (9), Isolation (8)</t>
  </si>
  <si>
    <t> Wall's colors have array of effects.</t>
  </si>
  <si>
    <t>Prying Eyes, Greater</t>
  </si>
  <si>
    <t>V, S, M (a handful of crystal marbles)</t>
  </si>
  <si>
    <t>1 mile</t>
  </si>
  <si>
    <t>10 or more levitating eyes</t>
  </si>
  <si>
    <t>1 hour/level; see text</t>
  </si>
  <si>
    <t>This spell functions like prying eyes, except that the eyes can see all things as they actually are, just as if they had true seeing with a range of 120 feet. Thus, they can navigate darkened areas at normal speed. Also, a greater prying eye's maximum Perception modifier is +25 instead of +15.</t>
  </si>
  <si>
    <t>&lt;p&gt;This spell functions like &lt;i&gt;prying eyes,&lt;/i&gt; except that the eyes can see all things as they actually are, just as if they had &lt;i&gt;true seeing&lt;/i&gt; with a range of 120 feet. Thus, they can navigate darkened areas at normal speed. Also, a &lt;i&gt;greater prying eye&lt;/i&gt;'s maximum Perception modifier is +25 instead of +15.&lt;/p&gt;</t>
  </si>
  <si>
    <t>&lt;link rel="stylesheet"href="PF.css"&gt;&lt;div class="heading"&gt;&lt;p class="alignleft"&gt;Prying Eyes, Greater&lt;/p&gt;&lt;div style="clear: both;"&gt;&lt;/div&gt;&lt;/div&gt;&lt;div&gt;&lt;h5&gt;&lt;b&gt;School &lt;/b&gt;divination; &lt;b&gt;Level &lt;/b&gt;sorcerer/wizard 8, witch 8, psychic 8&lt;/h5&gt;&lt;/div&gt;&lt;hr/&gt;&lt;div&gt;&lt;h5&gt;&lt;b&gt;CASTING&lt;/b&gt;&lt;/h5&gt;&lt;/div&gt;&lt;hr/&gt;&lt;div&gt;&lt;h5&gt;&lt;b&gt;Casting Time &lt;/b&gt;1 minute&lt;/h5&gt;&lt;h5&gt;&lt;b&gt;Components &lt;/b&gt;V, S, M (a handful of crystal marbles)&lt;/h5&gt;&lt;/div&gt;&lt;hr/&gt;&lt;div&gt;&lt;h5&gt;&lt;b&gt;EFFECT&lt;/b&gt;&lt;/h5&gt;&lt;/div&gt;&lt;hr/&gt;&lt;div&gt;&lt;h5&gt;&lt;b&gt;Range &lt;/b&gt;1 mile&lt;/h5&gt;&lt;h5&gt;&lt;b&gt;Effect &lt;/b&gt;10 or more levitating eyes&lt;/h5&gt;&lt;h5&gt;&lt;b&gt;Duration &lt;/b&gt;1 hour/level; see text (D)&lt;/h5&gt;&lt;h5&gt;&lt;b&gt;Saving Throw &lt;/b&gt;none; &lt;b&gt;Spell Resistance &lt;/b&gt;no&lt;/h5&gt;&lt;/div&gt;&lt;hr/&gt;&lt;div&gt;&lt;h5&gt;&lt;b&gt;DESCRIPTION&lt;/b&gt;&lt;/h5&gt;&lt;/div&gt;&lt;hr/&gt;&lt;div&gt;&lt;h4&gt;&lt;p&gt;This spell functions like &lt;i&gt;prying eyes,&lt;/i&gt; except that the eyes can see all things as they actually are, just as if they had &lt;i&gt;true seeing&lt;/i&gt; with a range of 120 feet. Thus, they can navigate darkened areas at normal speed. Also, a &lt;i&gt;greater prying eye&lt;/i&gt;'s maximum Perception modifier is +25 instead of +15.&lt;/p&gt;&lt;/h4&gt;&lt;/div&gt;</t>
  </si>
  <si>
    <t> As prying eyes, but eyes have true seeing.</t>
  </si>
  <si>
    <t>Starsoul (17)</t>
  </si>
  <si>
    <t>Produce Flame</t>
  </si>
  <si>
    <t>flame in your palm</t>
  </si>
  <si>
    <t>Flames as bright as a torch appear in your open hand. The flames harm neither you nor your equipment.  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  This spell does not function underwater.</t>
  </si>
  <si>
    <t>&lt;p&gt;Flames as bright as a torch appear in your open hand. The flames harm neither you nor your equipment.&lt;/p&gt;&lt;p&gt;In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resolves.&lt;/p&gt;&lt;p&gt;This spell does not function underwater.&lt;/p&gt;</t>
  </si>
  <si>
    <t>&lt;link rel="stylesheet"href="PF.css"&gt;&lt;div class="heading"&gt;&lt;p class="alignleft"&gt;Produce Flame&lt;/p&gt;&lt;div style="clear: both;"&gt;&lt;/div&gt;&lt;/div&gt;&lt;div&gt;&lt;h5&gt;&lt;b&gt;School &lt;/b&gt;evocation [fire]; &lt;b&gt;Level &lt;/b&gt;druid 1, shaman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&lt;/b&gt;flame in your palm&lt;/h5&gt;&lt;h5&gt;&lt;b&gt;Duration &lt;/b&gt;1 min./level (D)&lt;/h5&gt;&lt;h5&gt;&lt;b&gt;Saving Throw &lt;/b&gt;none; &lt;b&gt;Spell Resistance &lt;/b&gt;yes&lt;/h5&gt;&lt;/div&gt;&lt;hr/&gt;&lt;div&gt;&lt;h5&gt;&lt;b&gt;DESCRIPTION&lt;/b&gt;&lt;/h5&gt;&lt;/div&gt;&lt;hr/&gt;&lt;div&gt;&lt;h4&gt;&lt;p&gt;Flames as bright as a torch appear in your open hand. The flames harm neither you nor your equipment.&lt;/p&gt;&lt;p&gt;In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resolves.&lt;/p&gt;&lt;p&gt;This spell does not function underwater.&lt;/p&gt;&lt;/h4&gt;&lt;/div&gt;</t>
  </si>
  <si>
    <t>Fire (2)</t>
  </si>
  <si>
    <t> 1d6 damage + 1/level, touch or thrown.</t>
  </si>
  <si>
    <t>Programmed Image</t>
  </si>
  <si>
    <t>bard 6, sorcerer/wizard 6, psychic 6, mesmerist 6</t>
  </si>
  <si>
    <t>V, S, M (fleece and jade dust worth 25 gp)</t>
  </si>
  <si>
    <t>visual figment that cannot extend beyond a 20-ft. cube + one 10-ft. cube/level (S)</t>
  </si>
  <si>
    <t>permanent until triggered, then 1 round/level</t>
  </si>
  <si>
    <t>This spell functions like silent image, except that this spell's figment activates when a specific condition occurs. The figment includes visual, auditory, olfactory, and thermal elements, including intelligible speech.  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magic mouth for more details about such triggers.</t>
  </si>
  <si>
    <t>&lt;p&gt;This spell functions like &lt;i&gt;silent image,&lt;/i&gt; except that this spell's figment activates when a specific condition occurs. The figment includes visual, auditory, olfactory, and thermal elements, including intelligible speech.&lt;/p&gt;&lt;p&gt;You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&lt;i&gt;magic mouth&lt;/i&gt; for more details about such triggers.&lt;/p&gt;</t>
  </si>
  <si>
    <t>&lt;link rel="stylesheet"href="PF.css"&gt;&lt;div class="heading"&gt;&lt;p class="alignleft"&gt;Programmed Image&lt;/p&gt;&lt;div style="clear: both;"&gt;&lt;/div&gt;&lt;/div&gt;&lt;div&gt;&lt;h5&gt;&lt;b&gt;School &lt;/b&gt;illusion (figment); &lt;b&gt;Level &lt;/b&gt;bard 6, sorcerer/wizard 6, psychic 6, mesmerist 6&lt;/h5&gt;&lt;/div&gt;&lt;hr/&gt;&lt;div&gt;&lt;h5&gt;&lt;b&gt;CASTING&lt;/b&gt;&lt;/h5&gt;&lt;/div&gt;&lt;hr/&gt;&lt;div&gt;&lt;h5&gt;&lt;b&gt;Casting Time &lt;/b&gt;1 standard action&lt;/h5&gt;&lt;h5&gt;&lt;b&gt;Components &lt;/b&gt;V, S, M (fleece and jade dust worth 25 gp)&lt;/h5&gt;&lt;/div&gt;&lt;hr/&gt;&lt;div&gt;&lt;h5&gt;&lt;b&gt;EFFECT&lt;/b&gt;&lt;/h5&gt;&lt;/div&gt;&lt;hr/&gt;&lt;div&gt;&lt;h5&gt;&lt;b&gt;Range &lt;/b&gt;long (400 ft. + 40 ft./level)&lt;/h5&gt;&lt;h5&gt;&lt;b&gt;Effect &lt;/b&gt;visual figment that cannot extend beyond a 20-ft. cube + one 10-ft. cube/level (S)&lt;/h5&gt;&lt;h5&gt;&lt;b&gt;Duration &lt;/b&gt;permanent until triggered, then 1 round/level&lt;/h5&gt;&lt;h5&gt;&lt;b&gt;Saving Throw &lt;/b&gt;Will disbelief (if interacted with); &lt;b&gt;Spell Resistance &lt;/b&gt;no&lt;/h5&gt;&lt;/div&gt;&lt;hr/&gt;&lt;div&gt;&lt;h5&gt;&lt;b&gt;DESCRIPTION&lt;/b&gt;&lt;/h5&gt;&lt;/div&gt;&lt;hr/&gt;&lt;div&gt;&lt;h4&gt;&lt;p&gt;This spell functions like &lt;i&gt;silent image,&lt;/i&gt; except that this spell's figment activates when a specific condition occurs. The figment includes visual, auditory, olfactory, and thermal elements, including intelligible speech.&lt;/p&gt;&lt;p&gt;You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&lt;i&gt;magic mouth&lt;/i&gt; for more details about such triggers.&lt;/p&gt;&lt;/h4&gt;&lt;/div&gt;</t>
  </si>
  <si>
    <t>As major image, plus triggered by event.</t>
  </si>
  <si>
    <t>Deception (12)</t>
  </si>
  <si>
    <t>Project Image</t>
  </si>
  <si>
    <t>bard 6, sorcerer/wizard 7, occultist 6, psychic 7, mesmerist 6</t>
  </si>
  <si>
    <t>V, S, M (a small replica of you worth 5 gp)</t>
  </si>
  <si>
    <t>one shadow duplicate</t>
  </si>
  <si>
    <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  You can see through its eyes and hear through its ears as if you were standing where it is, and during your turn you can switch from using its senses to using your own, or back again, as a free action. While you are using its senses, your body is considered blinded and deafened.  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  Objects are affected by the projected image as if they had succeeded on their Will save. You must maintain line of effect to the projected image at all times. If your line of effect is obstructed, the spell ends. If you use dimension door, teleport, plane shift, or a similar spell that breaks your line of effect, even momentarily, the spell ends.</t>
  </si>
  <si>
    <t>&lt;p&gt;You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action).&lt;/p&gt;&lt;p&gt;You can see through its eyes and hear through its ears as if you were standing where it is, and during your turn you can switch from using its senses to using your own, or back again, as a free action. While you are using its senses, your body is considered blinded and deafened.&lt;/p&gt;&lt;p&gt;If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image.&lt;/p&gt;&lt;p&gt;Objects are affected by the projected image as if they had succeeded on their Will save. You must maintain line of effect to the projected image at all times. If your line of effect is obstructed, the spell ends. If you use &lt;i&gt;dimension door, teleport, plane shift,&lt;/i&gt; or a similar spell that breaks your line of effect, even momentarily, the spell ends.&lt;/p&gt;</t>
  </si>
  <si>
    <t>&lt;link rel="stylesheet"href="PF.css"&gt;&lt;div class="heading"&gt;&lt;p class="alignleft"&gt;Project Image&lt;/p&gt;&lt;div style="clear: both;"&gt;&lt;/div&gt;&lt;/div&gt;&lt;div&gt;&lt;h5&gt;&lt;b&gt;School &lt;/b&gt;illusion (shadow) [shadow]; &lt;b&gt;Level &lt;/b&gt;bard 6, sorcerer/wizard 7, occultist 6, psychic 7, mesmerist 6&lt;/h5&gt;&lt;/div&gt;&lt;hr/&gt;&lt;div&gt;&lt;h5&gt;&lt;b&gt;CASTING&lt;/b&gt;&lt;/h5&gt;&lt;/div&gt;&lt;hr/&gt;&lt;div&gt;&lt;h5&gt;&lt;b&gt;Casting Time &lt;/b&gt;1 standard action&lt;/h5&gt;&lt;h5&gt;&lt;b&gt;Components &lt;/b&gt;V, S, M (a small replica of you worth 5 gp)&lt;/h5&gt;&lt;/div&gt;&lt;hr/&gt;&lt;div&gt;&lt;h5&gt;&lt;b&gt;EFFECT&lt;/b&gt;&lt;/h5&gt;&lt;/div&gt;&lt;hr/&gt;&lt;div&gt;&lt;h5&gt;&lt;b&gt;Range &lt;/b&gt;medium (100 ft. + 10 ft./level)&lt;/h5&gt;&lt;h5&gt;&lt;b&gt;Effect &lt;/b&gt;one shadow duplicate&lt;/h5&gt;&lt;h5&gt;&lt;b&gt;Duration &lt;/b&gt;1 round/level (D)&lt;/h5&gt;&lt;h5&gt;&lt;b&gt;Saving Throw &lt;/b&gt;Will disbelief (if interacted with); &lt;b&gt;Spell Resistance &lt;/b&gt;no&lt;/h5&gt;&lt;/div&gt;&lt;hr/&gt;&lt;div&gt;&lt;h5&gt;&lt;b&gt;DESCRIPTION&lt;/b&gt;&lt;/h5&gt;&lt;/div&gt;&lt;hr/&gt;&lt;div&gt;&lt;h4&gt;&lt;p&gt;You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action).&lt;/p&gt;&lt;p&gt;You can see through its eyes and hear through its ears as if you were standing where it is, and during your turn you can switch from using its senses to using your own, or back again, as a free action. While you are using its senses, your body is considered blinded and deafened.&lt;/p&gt;&lt;p&gt;If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image.&lt;/p&gt;&lt;p&gt;Objects are affected by the projected image as if they had succeeded on their Will save. You must maintain line of effect to the projected image at all times. If your line of effect is obstructed, the spell ends. If you use &lt;i&gt;dimension door, teleport, plane shift,&lt;/i&gt; or a similar spell that breaks your line of effect, even momentarily, the spell ends.&lt;/p&gt;&lt;/h4&gt;&lt;/div&gt;</t>
  </si>
  <si>
    <t>Deception (7)</t>
  </si>
  <si>
    <t>Illusory double can talk and cast spells.</t>
  </si>
  <si>
    <t>Protection From Arrows</t>
  </si>
  <si>
    <t>sorcerer/wizard 2, alchemist 2, summoner 2, bloodrager 2, psychic 2, spiritualist 2</t>
  </si>
  <si>
    <t>V, S, F (a piece of tortoiseshell or turtle shell)</t>
  </si>
  <si>
    <t>The warded creature gains resistance to ranged weapons.  The subject gains damage reduction 10/magic against ranged weapons. This spell doesn't grant you the ability to damage creatures with similar damage reduction. Once the spell has prevented a total of 10 points of damage per caster level (maximum 100 points), it is discharged.</t>
  </si>
  <si>
    <t>&lt;p&gt;The warded creature gains resistance to ranged weapons.&lt;/p&gt;&lt;p&gt;The subject gains damage reduction 10/magic against ranged weapons. This spell doesn't grant you the ability to damage creatures with similar damage reduction. Once the spell has prevented a total of 10 points of damage per caster level (maximum 100 points), it is discharged.&lt;/p&gt;</t>
  </si>
  <si>
    <t>&lt;link rel="stylesheet"href="PF.css"&gt;&lt;div class="heading"&gt;&lt;p class="alignleft"&gt;Protection From Arrows&lt;/p&gt;&lt;div style="clear: both;"&gt;&lt;/div&gt;&lt;/div&gt;&lt;div&gt;&lt;h5&gt;&lt;b&gt;School &lt;/b&gt;abjuration; &lt;b&gt;Level &lt;/b&gt;sorcerer/wizard 2, alchemist 2, summoner 2, bloodrager 2, psychic 2, spiritualist 2&lt;/h5&gt;&lt;/div&gt;&lt;hr/&gt;&lt;div&gt;&lt;h5&gt;&lt;b&gt;CASTING&lt;/b&gt;&lt;/h5&gt;&lt;/div&gt;&lt;hr/&gt;&lt;div&gt;&lt;h5&gt;&lt;b&gt;Casting Time &lt;/b&gt;1 standard action&lt;/h5&gt;&lt;h5&gt;&lt;b&gt;Components &lt;/b&gt;V, S, F (a piece of tortoiseshell or turtle shell)&lt;/h5&gt;&lt;/div&gt;&lt;hr/&gt;&lt;div&gt;&lt;h5&gt;&lt;b&gt;EFFECT&lt;/b&gt;&lt;/h5&gt;&lt;/div&gt;&lt;hr/&gt;&lt;div&gt;&lt;h5&gt;&lt;b&gt;Range &lt;/b&gt;touch&lt;/h5&gt;&lt;h5&gt;&lt;b&gt;Targets &lt;/b&gt;creature touched&lt;/h5&gt;&lt;h5&gt;&lt;b&gt;Duration &lt;/b&gt;1 hour/level or until discharged&lt;/h5&gt;&lt;h5&gt;&lt;b&gt;Saving Throw &lt;/b&gt;Will negates (harmless); &lt;b&gt;Spell Resistance &lt;/b&gt;yes (harmless)&lt;/h5&gt;&lt;/div&gt;&lt;hr/&gt;&lt;div&gt;&lt;h5&gt;&lt;b&gt;DESCRIPTION&lt;/b&gt;&lt;/h5&gt;&lt;/div&gt;&lt;hr/&gt;&lt;div&gt;&lt;h4&gt;&lt;p&gt;The warded creature gains resistance to ranged weapons.&lt;/p&gt;&lt;p&gt;The subject gains damage reduction 10/magic against ranged weapons. This spell doesn't grant you the ability to damage creatures with similar damage reduction. Once the spell has prevented a total of 10 points of damage per caster level (maximum 100 points), it is discharged.&lt;/p&gt;&lt;/h4&gt;&lt;h5&gt;&lt;b&gt;Mythic: &lt;/b&gt;The damage reduction increases to 15/magic. The maximum damage prevented by the spell increases to 15 points per 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destroyed.&lt;/h5&gt;&lt;/div&gt;</t>
  </si>
  <si>
    <t> Subject gains DR 10/magic against ranged attacks.</t>
  </si>
  <si>
    <t>The damage reduction increases to 15/magic. The maximum damage prevented by the spell increases to 15 points per 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t>
  </si>
  <si>
    <t>Protection From Chaos</t>
  </si>
  <si>
    <t>cleric/oracle 1, paladin 1, sorcerer/wizard 1, inquisitor 1, summoner 1, bloodrager 1, shaman 1, spiritualist 1</t>
  </si>
  <si>
    <t>V, S, M/DF</t>
  </si>
  <si>
    <t>This spell functions like protection from evil, except that the deflection and resistance bonuses apply to attacks made by chaotic creatures. The target receives a new saving throw against control by chaotic creatures and chaotic summoned creatures cannot touch the target.</t>
  </si>
  <si>
    <t>&lt;p&gt;This spell functions like &lt;i&gt;protection from evil&lt;/i&gt;, except that the deflection and resistance bonuses apply to attacks made by chaotic creatures. The target receives a new saving throw against control by chaotic creatures and chaotic summoned creatures cannot touch the target.&lt;/p&gt;</t>
  </si>
  <si>
    <t>&lt;link rel="stylesheet"href="PF.css"&gt;&lt;div class="heading"&gt;&lt;p class="alignleft"&gt;Protection From Chaos&lt;/p&gt;&lt;div style="clear: both;"&gt;&lt;/div&gt;&lt;/div&gt;&lt;div&gt;&lt;h5&gt;&lt;b&gt;School &lt;/b&gt;abjuration [lawful]; &lt;b&gt;Level &lt;/b&gt;cleric/oracle 1, paladin 1, sorcerer/wizard 1, inquisitor 1, summoner 1, bloodrager 1, shaman 1, spiritualist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chaotic creatures. The target receives a new saving throw against control by chaotic creatures and chaotic summoned creatures cannot touch the target.&lt;/p&gt;&lt;/h4&gt;&lt;h5&gt;&lt;b&gt;Mythic: &lt;/b&gt;The bonuses to AC and on saves increase to +4. Any chaotic creature attempting to possess or exercise mental control over the target must attempt a Will save against this spell. If it fails, the creature takes 1d6 points of damage per 2 caster levels (maximum 5d6) from mental feedback. A chaotic creature that uses spell resistance to bypass the spell's protection against contact must successfully save or take this damage once each round it attacks the protected target.&lt;/h5&gt;&lt;/div&gt;</t>
  </si>
  <si>
    <t>Law (1), Purity (1)</t>
  </si>
  <si>
    <t>+2 to AC and saves, plus additional protection against selected alignment.</t>
  </si>
  <si>
    <t>The bonuses to AC and on saves increase to +4. Any chaotic creature attempting to possess or exercise mental control over the target must attempt a Will save against this spell. If it fails, the creature takes 1d6 points of damage per 2 caster levels (maximum 5d6) from mental feedback. A chaotic creature that uses spell resistance to bypass the spell's protection against contact must successfully save or take this damage once each round it attacks the protected target.</t>
  </si>
  <si>
    <t>Protection From Evil</t>
  </si>
  <si>
    <t>cleric/oracle 1, inquisitor 1, paladin 1, sorcerer/wizard 1, summoner 1, bloodrager 1, shaman 1, spiritualist 1</t>
  </si>
  <si>
    <t>This spell wards a creature from attacks by evil creatures, from mental control, and from summoned creatures. It creates a magical barrier around the subject at a distance of 1 foot. The barrier moves with the subject and has three major effects.  First, the subject gains a +2 deflection bonus to AC and a +2 resistance bonus on saves. Both these bonuses apply against attacks made or effects created by evil creatures.  Second, the subject immediately receives another saving throw (if one was allowed to begin with) against any spells or effects that possess or exercise mental control over the creature (including enchantment [charm] effects and enchantment [compulsion] effects such as charm person, command, and dominate person). This saving throw is made with a +2 morale bonus, using the same DC as the original effect.  If successful, such effects are suppressed for the duration of this spell. The effects resume when the duration of this spell expires.  While under the effects of this spell, the target is immune to any new attempts to possess or exercise mental control over the target.  This spell does not expel a controlling life force (such as a ghost or spellcaster using magic jar), but it does prevent them from controlling the target. This second effect only functions against spells and effects created by evil creatures or objects, subject to GM discretion.  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t>
  </si>
  <si>
    <t>&lt;p&gt;This spell wards a creature from attacks by evil creatures, from mental control, and from summoned creatures. It creates a &lt;i&gt;magic&lt;/i&gt;al barrier around the subject at a distance of 1 foot. The barrier moves with the subject and has three major effects.&lt;/p&gt;&lt;p&gt;First, the subject gains a +2 deflection bonus to AC and a +2 resistance bonus on saves. Both these bonuses apply against attacks made or effects created by evil creatures.&lt;/p&gt;&lt;p&gt;Second, the subject immediately receives another saving throw (if one was allowed to begin with) against any spells or effects that possess or exercise mental control over the creature (including enchantment [charm] effects and enchantment [compulsion] effects such as &lt;i&gt;charm person&lt;/i&gt;, &lt;i&gt;command&lt;/i&gt;, and &lt;i&gt;dominate&lt;/i&gt; person). This saving throw is made with a +2 morale bonus, using the same DC as the original effect.&lt;/p&gt;&lt;p&gt;If successful, such effects are suppressed for the duration of this spell. The effects resume when the duration of this spell expires.&lt;/p&gt;&lt;p&gt;While under the effects of this spell, the target is immune to any new attempts to possess or exercise mental control over the target.&lt;/p&gt;&lt;p&gt;This spell does not expel a controlling life force (such as a ghost or spellcaster using &lt;i&gt;magic&lt;/i&gt; jar), but it does prevent them from controlling the target. This second effect only functions against spells and effects created by evil creatures or objects, subject to GM discretion.&lt;/p&gt;&lt;p&gt;Third,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creature.&lt;/p&gt;</t>
  </si>
  <si>
    <t>&lt;link rel="stylesheet"href="PF.css"&gt;&lt;div class="heading"&gt;&lt;p class="alignleft"&gt;Protection From Evil&lt;/p&gt;&lt;div style="clear: both;"&gt;&lt;/div&gt;&lt;/div&gt;&lt;div&gt;&lt;h5&gt;&lt;b&gt;School &lt;/b&gt;abjuration [good]; &lt;b&gt;Level &lt;/b&gt;cleric/oracle 1, inquisitor 1, paladin 1, sorcerer/wizard 1, summoner 1, bloodrager 1, shaman 1, spiritualist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wards a creature from attacks by evil creatures, from mental control, and from summoned creatures. It creates a &lt;i&gt;magic&lt;/i&gt;al barrier around the subject at a distance of 1 foot. The barrier moves with the subject and has three major effects.&lt;/p&gt;&lt;p&gt;First, the subject gains a +2 deflection bonus to AC and a +2 resistance bonus on saves. Both these bonuses apply against attacks made or effects created by evil creatures.&lt;/p&gt;&lt;p&gt;Second, the subject immediately receives another saving throw (if one was allowed to begin with) against any spells or effects that possess or exercise mental control over the creature (including enchantment [charm] effects and enchantment [compulsion] effects such as &lt;i&gt;charm person&lt;/i&gt;, &lt;i&gt;command&lt;/i&gt;, and &lt;i&gt;dominate&lt;/i&gt; person). This saving throw is made with a +2 morale bonus, using the same DC as the original effect.&lt;/p&gt;&lt;p&gt;If successful, such effects are suppressed for the duration of this spell. The effects resume when the duration of this spell expires.&lt;/p&gt;&lt;p&gt;While under the effects of this spell, the target is immune to any new attempts to possess or exercise mental control over the target.&lt;/p&gt;&lt;p&gt;This spell does not expel a controlling life force (such as a ghost or spellcaster using &lt;i&gt;magic&lt;/i&gt; jar), but it does prevent them from controlling the target. This second effect only functions against spells and effects created by evil creatures or objects, subject to GM discretion.&lt;/p&gt;&lt;p&gt;Third,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creature.&lt;/p&gt;&lt;/h4&gt;&lt;h5&gt;&lt;b&gt;Mythic: &lt;/b&gt;The bonuses to AC and on saves increase to +4. Any evil creature attempting to possess or exercise mental control over the target must attempt a Will save against this spell. If it fails, the creature takes 1d6 points of damage per 2 caster levels (maximum 5d6) from mental feedback. An evil creature that uses spell resistance to bypass the spell's protection against contact must successfully save or take this damage once each round it attacks the protected target.&lt;/h5&gt;&lt;/div&gt;</t>
  </si>
  <si>
    <t>Good (1), Purity (1)</t>
  </si>
  <si>
    <t>Boundaries (2)</t>
  </si>
  <si>
    <t>The bonuses to AC and on saves increase to +4. Any evil creature attempting to possess or exercise mental control over the target must attempt a Will save against this spell. If it fails, the creature takes 1d6 points of damage per 2 caster levels (maximum 5d6) from mental feedback. An evil creature that uses spell resistance to bypass the spell's protection against contact must successfully save or take this damage once each round it attacks the protected target.</t>
  </si>
  <si>
    <t>Protection From Good</t>
  </si>
  <si>
    <t>cleric/oracle 1, sorcerer/wizard 1, inquisitor 1, summoner 1, antipaladin 1, bloodrager 1, shaman 1, spiritualist 1</t>
  </si>
  <si>
    <t>This spell functions like protection from evil, except that the deflection and resistance bonuses apply to attacks made by good creatures. The target receives a new saving throw against control by good creatures and good summoned creatures cannot touch the target.</t>
  </si>
  <si>
    <t>&lt;p&gt;This spell functions like &lt;i&gt;protection from evil&lt;/i&gt;, except that the deflection and resistance bonuses apply to attacks made by good creatures. The target receives a new saving throw against control by good creatures and good summoned creatures cannot touch the target.&lt;/p&gt;</t>
  </si>
  <si>
    <t>&lt;link rel="stylesheet"href="PF.css"&gt;&lt;div class="heading"&gt;&lt;p class="alignleft"&gt;Protection From Good&lt;/p&gt;&lt;div style="clear: both;"&gt;&lt;/div&gt;&lt;/div&gt;&lt;div&gt;&lt;h5&gt;&lt;b&gt;School &lt;/b&gt;abjuration [evil]; &lt;b&gt;Level &lt;/b&gt;cleric/oracle 1, sorcerer/wizard 1, inquisitor 1, summoner 1, antipaladin 1, bloodrager 1, shaman 1, spiritualist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good creatures. The target receives a new saving throw against control by good creatures and good summoned creatures cannot touch the target.&lt;/p&gt;&lt;/h4&gt;&lt;h5&gt;&lt;b&gt;Mythic: &lt;/b&gt;The bonuses to AC and on saves increase to +4. Any good creature attempting to possess or exercise mental control over the target must attempt a Will save against this spell. If it fails, the creature takes 1d6 points of damage per 2 caster levels (maximum 5d6) from mental feedback. A good creature that uses spell resistance to bypass the spell's protection against contact must successfully save or take this damage once each round it attacks the protected target.&lt;/h5&gt;&lt;/div&gt;</t>
  </si>
  <si>
    <t>Evil (1), Purity (1)</t>
  </si>
  <si>
    <t>+2 to AC and saves, plus additional protection against selected alignments.</t>
  </si>
  <si>
    <t>Infernal (3)</t>
  </si>
  <si>
    <t>The bonuses to AC and on saves increase to +4. Any good creature attempting to possess or exercise mental control over the target must attempt a Will save against this spell. If it fails, the creature takes 1d6 points of damage per 2 caster levels (maximum 5d6) from mental feedback. A good creature that uses spell resistance to bypass the spell's protection against contact must successfully save or take this damage once each round it attacks the protected target.</t>
  </si>
  <si>
    <t>Protection From Law</t>
  </si>
  <si>
    <t>This spell functions like protection from evil, except that the deflection and resistance bonuses apply to attacks made by lawful creatures.  The target receives a new saving throw against control by lawful creatures and lawful summoned creatures cannot touch the target.</t>
  </si>
  <si>
    <t>&lt;p&gt;This spell functions like &lt;i&gt;protection from evil&lt;/i&gt;, except that the deflection and resistance bonuses apply to attacks made by lawful creatures.&lt;/p&gt;&lt;p&gt;The target receives a new saving throw against control by lawful creatures and lawful summoned creatures cannot touch the target.&lt;/p&gt;</t>
  </si>
  <si>
    <t>&lt;link rel="stylesheet"href="PF.css"&gt;&lt;div class="heading"&gt;&lt;p class="alignleft"&gt;Protection From Law&lt;/p&gt;&lt;div style="clear: both;"&gt;&lt;/div&gt;&lt;/div&gt;&lt;div&gt;&lt;h5&gt;&lt;b&gt;School &lt;/b&gt;abjuration [chaotic]; &lt;b&gt;Level &lt;/b&gt;cleric/oracle 1, sorcerer/wizard 1, inquisitor 1, summoner 1, antipaladin 1, bloodrager 1, shaman 1, spiritualist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lawful creatures.&lt;/p&gt;&lt;p&gt;The target receives a new saving throw against control by lawful creatures and lawful summoned creatures cannot touch the target.&lt;/p&gt;&lt;/h4&gt;&lt;h5&gt;&lt;b&gt;Mythic: &lt;/b&gt;The bonuses to AC and on saves increase to +4. Any lawful creature attempting to possess or exercise mental control over the target must attempt a Will save against this spell. If it fails, the creature takes 1d6 points of damage per 2 caster levels (maximum 5d6) from mental feedback. A lawful creature that uses spell resistance to bypass the spell's protection against contact must successfully save or take this damage once each round it attacks the protected target.&lt;/h5&gt;&lt;/div&gt;</t>
  </si>
  <si>
    <t>Chaos (1), Purity (1)</t>
  </si>
  <si>
    <t>The bonuses to AC and on saves increase to +4. Any lawful creature attempting to possess or exercise mental control over the target must attempt a Will save against this spell. If it fails, the creature takes 1d6 points of damage per 2 caster levels (maximum 5d6) from mental feedback. A lawful creature that uses spell resistance to bypass the spell's protection against contact must successfully save or take this damage once each round it attacks the protected target.</t>
  </si>
  <si>
    <t>Protection from Spells</t>
  </si>
  <si>
    <t>V, S, M (diamond worth 500 gp), F (One 1,000 gp diamond per target. Each subject must carry the gem for the duration of the spell. If a subject loses the gem, the spell ceases to affect him.)</t>
  </si>
  <si>
    <t>up to one creature touched per four levels</t>
  </si>
  <si>
    <t>The subject gains a +8 resistance bonus on saving throws against spells and spell-like abilities (but not against supernatural and extraordinary abilities).</t>
  </si>
  <si>
    <t>&lt;p&gt;The subject gains a +8 resistance bonus on saving throws against spells and spell-like abilities (but not against supernatural and extraordinary abilities).&lt;/p&gt;</t>
  </si>
  <si>
    <t>&lt;link rel="stylesheet"href="PF.css"&gt;&lt;div class="heading"&gt;&lt;p class="alignleft"&gt;Protection from Spells&lt;/p&gt;&lt;div style="clear: both;"&gt;&lt;/div&gt;&lt;/div&gt;&lt;div&gt;&lt;h5&gt;&lt;b&gt;School &lt;/b&gt;abjuration; &lt;b&gt;Level &lt;/b&gt;sorcerer/wizard 8, summoner 6, psychic 8&lt;/h5&gt;&lt;/div&gt;&lt;hr/&gt;&lt;div&gt;&lt;h5&gt;&lt;b&gt;CASTING&lt;/b&gt;&lt;/h5&gt;&lt;/div&gt;&lt;hr/&gt;&lt;div&gt;&lt;h5&gt;&lt;b&gt;Casting Time &lt;/b&gt;1 standard action&lt;/h5&gt;&lt;h5&gt;&lt;b&gt;Components &lt;/b&gt;V, S, M (diamond worth 500 gp), F (One 1,000 gp diamond per target. Each subject must carry the gem for the duration of the spell. If a subject loses the gem, the spell ceases to affect him.)&lt;/h5&gt;&lt;/div&gt;&lt;hr/&gt;&lt;div&gt;&lt;h5&gt;&lt;b&gt;EFFECT&lt;/b&gt;&lt;/h5&gt;&lt;/div&gt;&lt;hr/&gt;&lt;div&gt;&lt;h5&gt;&lt;b&gt;Range &lt;/b&gt;touch&lt;/h5&gt;&lt;h5&gt;&lt;b&gt;Targets &lt;/b&gt;up to one creature touched per four levels&lt;/h5&gt;&lt;h5&gt;&lt;b&gt;Duration &lt;/b&gt;10 min./level&lt;/h5&gt;&lt;h5&gt;&lt;b&gt;Saving Throw &lt;/b&gt;Will negates (harmless); &lt;b&gt;Spell Resistance &lt;/b&gt;yes (harmless)&lt;/h5&gt;&lt;/div&gt;&lt;hr/&gt;&lt;div&gt;&lt;h5&gt;&lt;b&gt;DESCRIPTION&lt;/b&gt;&lt;/h5&gt;&lt;/div&gt;&lt;hr/&gt;&lt;div&gt;&lt;h4&gt;&lt;p&gt;The subject gains a +8 resistance bonus on saving throws against spells and spell-like abilities (but not against supernatural and extraordinary abilities).&lt;/p&gt;&lt;/h4&gt;&lt;/div&gt;</t>
  </si>
  <si>
    <t>Magic (8)</t>
  </si>
  <si>
    <t> Confers +8 resistance bonus.</t>
  </si>
  <si>
    <t>Wisdom (16)</t>
  </si>
  <si>
    <t>Purify Food and Drink</t>
  </si>
  <si>
    <t>cleric/oracle 0, druid 0, shaman 0, occultist 0</t>
  </si>
  <si>
    <t>1 cu. ft./level of contaminated food and water</t>
  </si>
  <si>
    <t>This spell makes spoiled, rotten, diseased, poisonous, or otherwise contaminated food and water pure and suitable for eating and drinking. This spell does not prevent subsequent natural decay or spoilage. Unholy water and similar food and drink of significance is spoiled by purify food and drink, but the spell has no effect on creatures of any type nor upon magic potions. Water weighs about 8 pounds per gallon. One cubic foot of water contains roughly 8 gallons and weighs about 60 pounds.</t>
  </si>
  <si>
    <t>&lt;p&gt;This spell makes spoiled, rotten, diseased, poisonous, or otherwise contaminated food and water pure and suitable for eating and drinking. This spell does not prevent subsequent natural decay or spoilage. Unholy water and similar food and drink of significance is spoiled by &lt;i&gt;purify food and drink,&lt;/i&gt; but the spell has no effect on creatures of any type nor upon magic potions. Water weighs about 8 pounds per gallon. One cubic foot of water contains roughly 8 gallons and weighs about 60 pounds.&lt;/p&gt;</t>
  </si>
  <si>
    <t>&lt;link rel="stylesheet"href="PF.css"&gt;&lt;div class="heading"&gt;&lt;p class="alignleft"&gt;Purify Food and Drink&lt;/p&gt;&lt;div style="clear: both;"&gt;&lt;/div&gt;&lt;/div&gt;&lt;div&gt;&lt;h5&gt;&lt;b&gt;School &lt;/b&gt;transmutation; &lt;b&gt;Level &lt;/b&gt;cleric/oracle 0, druid 0, shaman 0, occultist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&lt;/b&gt;1 cu. ft./level of contaminated food and water&lt;/h5&gt;&lt;h5&gt;&lt;b&gt;Duration &lt;/b&gt;instantaneous&lt;/h5&gt;&lt;h5&gt;&lt;b&gt;Saving Throw &lt;/b&gt;Will negates (object); &lt;b&gt;Spell Resistance &lt;/b&gt;yes (object)&lt;/h5&gt;&lt;/div&gt;&lt;hr/&gt;&lt;div&gt;&lt;h5&gt;&lt;b&gt;DESCRIPTION&lt;/b&gt;&lt;/h5&gt;&lt;/div&gt;&lt;hr/&gt;&lt;div&gt;&lt;h4&gt;&lt;p&gt;This spell makes spoiled, rotten, diseased, poisonous, or otherwise contaminated food and water pure and suitable for eating and drinking. This spell does not prevent subsequent natural decay or spoilage. Unholy water and similar food and drink of significance is spoiled by &lt;i&gt;purify food and drink,&lt;/i&gt; but the spell has no effect on creatures of any type nor upon magic potions. Water weighs about 8 pounds per gallon. One cubic foot of water contains roughly 8 gallons and weighs about 60 pounds.&lt;/p&gt;&lt;/h4&gt;&lt;/div&gt;</t>
  </si>
  <si>
    <t>Purifies 1 cu. ft./level of food or water.</t>
  </si>
  <si>
    <t>Pyrotechnics</t>
  </si>
  <si>
    <t>bard 2, sorcerer/wizard 2, magus 2, bloodrager 2, psychic 2, mesmerist 2</t>
  </si>
  <si>
    <t>V, S, M (one fire source)</t>
  </si>
  <si>
    <t>one fire source, up to a 20-ft. cube</t>
  </si>
  <si>
    <t>1d4+1 rounds, or 1d4+1 rounds after creatures leave the smoke cloud; see text</t>
  </si>
  <si>
    <t>Will negates or Fortitude negates; see text</t>
  </si>
  <si>
    <t>yes or no; see text</t>
  </si>
  <si>
    <t>Pyrotechnics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  Fireworks: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  Smoke Cloud: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t>
  </si>
  <si>
    <t>&lt;p&gt;&lt;i&gt;Pyrotechnics&lt;/i&gt;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level.&lt;/p&gt;&lt;p&gt;&lt;i&gt;Fireworks:&lt;/i&gt;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blindness.&lt;/p&gt;&lt;p&gt;&lt;i&gt;Smoke Cloud&lt;/i&gt;: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apply.&lt;/p&gt;</t>
  </si>
  <si>
    <t>&lt;link rel="stylesheet"href="PF.css"&gt;&lt;div class="heading"&gt;&lt;p class="alignleft"&gt;Pyrotechnics&lt;/p&gt;&lt;div style="clear: both;"&gt;&lt;/div&gt;&lt;/div&gt;&lt;div&gt;&lt;h5&gt;&lt;b&gt;School &lt;/b&gt;transmutation; &lt;b&gt;Level &lt;/b&gt;bard 2, sorcerer/wizard 2, magus 2, bloodrager 2, psychic 2, mesmerist 2&lt;/h5&gt;&lt;/div&gt;&lt;hr/&gt;&lt;div&gt;&lt;h5&gt;&lt;b&gt;CASTING&lt;/b&gt;&lt;/h5&gt;&lt;/div&gt;&lt;hr/&gt;&lt;div&gt;&lt;h5&gt;&lt;b&gt;Casting Time &lt;/b&gt;1 standard action&lt;/h5&gt;&lt;h5&gt;&lt;b&gt;Components &lt;/b&gt;V, S, M (one fire source)&lt;/h5&gt;&lt;/div&gt;&lt;hr/&gt;&lt;div&gt;&lt;h5&gt;&lt;b&gt;EFFECT&lt;/b&gt;&lt;/h5&gt;&lt;/div&gt;&lt;hr/&gt;&lt;div&gt;&lt;h5&gt;&lt;b&gt;Range &lt;/b&gt;long (400 ft. + 40 ft./level)&lt;/h5&gt;&lt;h5&gt;&lt;b&gt;Targets &lt;/b&gt;one fire source, up to a 20-ft. cube&lt;/h5&gt;&lt;h5&gt;&lt;b&gt;Duration &lt;/b&gt;1d4+1 rounds, or 1d4+1 rounds after creatures leave the smoke cloud; see text&lt;/h5&gt;&lt;h5&gt;&lt;b&gt;Saving Throw &lt;/b&gt;Will negates or Fortitude negates; see text; &lt;b&gt;Spell Resistance &lt;/b&gt;yes or no; see text&lt;/h5&gt;&lt;/div&gt;&lt;hr/&gt;&lt;div&gt;&lt;h5&gt;&lt;b&gt;DESCRIPTION&lt;/b&gt;&lt;/h5&gt;&lt;/div&gt;&lt;hr/&gt;&lt;div&gt;&lt;h4&gt;&lt;p&gt;&lt;i&gt;Pyrotechnics&lt;/i&gt;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level.&lt;/p&gt;&lt;p&gt;&lt;i&gt;Fireworks:&lt;/i&gt;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blindness.&lt;/p&gt;&lt;p&gt;&lt;i&gt;Smoke Cloud&lt;/i&gt;: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apply.&lt;/p&gt;&lt;/h4&gt;&lt;/div&gt;</t>
  </si>
  <si>
    <t>Smoke (2)</t>
  </si>
  <si>
    <t>Turns fire into blinding light or choking smoke.</t>
  </si>
  <si>
    <t>Quench</t>
  </si>
  <si>
    <t>druid 3</t>
  </si>
  <si>
    <t>one 20-ft. cube/level (S)</t>
  </si>
  <si>
    <t>one fire-based magic item</t>
  </si>
  <si>
    <t>none or Will negates (object)</t>
  </si>
  <si>
    <t>no or yes (object)</t>
  </si>
  <si>
    <t>Quench is often used to put out forest fires and other conflagrations. It extinguishes all nonmagical fires in its area.  The spell also dispels any fire spells in its area, though you must succeed on a dispel check (1d20 +1 per caster level, maximum +15) against each spell to dispel it. The DC to dispel such spells is 11 + the caster level of the fire spell.  Each creature with the fire subtype within the area of a quench spell takes 1d6 points of damage per caster level (maximum 10d6, no save allowed).  Alternatively, you can target the spell on a single magic item that creates or controls flame. The item loses all its fire-based magical abilities for 1d4 hours unless it succeeds on a Will save. Artifacts are immune to this effect.</t>
  </si>
  <si>
    <t>&lt;p&gt;&lt;i&gt;Quench&lt;/i&gt; is often used to put out forest fires and other conflagrations. It extinguishes all nonmagical fires in its area.&lt;/p&gt;&lt;p&gt;The spell also dispels any fire spells in its area, though you must succeed on a dispel check (1d20 +1 per caster level, maximum +15) against each spell to dispel it. The DC to dispel such spells is 11 + the caster level of the fire spell.&lt;/p&gt;&lt;p&gt;Each creature with the fire subtype within the area of a &lt;i&gt;quench&lt;/i&gt; spell takes 1d6 points of damage per caster level (maximum 10d6, no save allowed).&lt;/p&gt;&lt;p&gt;Alternatively, you can target the spell on a single magic item that creates or controls flame. The item loses all its fire-based magical abilities for 1d4 hours unless it succeeds on a Will save. Artifacts are immune to this effect.&lt;/p&gt;</t>
  </si>
  <si>
    <t>&lt;link rel="stylesheet"href="PF.css"&gt;&lt;div class="heading"&gt;&lt;p class="alignleft"&gt;Quench&lt;/p&gt;&lt;div style="clear: both;"&gt;&lt;/div&gt;&lt;/div&gt;&lt;div&gt;&lt;h5&gt;&lt;b&gt;School &lt;/b&gt;transmutation; &lt;b&gt;Level &lt;/b&gt;druid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cube/level (S)&lt;/h5&gt;&lt;h5&gt;&lt;b&gt;Targets &lt;/b&gt;one fire-based magic item&lt;/h5&gt;&lt;h5&gt;&lt;b&gt;Duration &lt;/b&gt;instantaneous&lt;/h5&gt;&lt;h5&gt;&lt;b&gt;Saving Throw &lt;/b&gt;none or Will negates (object); &lt;b&gt;Spell Resistance &lt;/b&gt;no or yes (object)&lt;/h5&gt;&lt;/div&gt;&lt;hr/&gt;&lt;div&gt;&lt;h5&gt;&lt;b&gt;DESCRIPTION&lt;/b&gt;&lt;/h5&gt;&lt;/div&gt;&lt;hr/&gt;&lt;div&gt;&lt;h4&gt;&lt;p&gt;&lt;i&gt;Quench&lt;/i&gt; is often used to put out forest fires and other conflagrations. It extinguishes all nonmagical fires in its area.&lt;/p&gt;&lt;p&gt;The spell also dispels any fire spells in its area, though you must succeed on a dispel check (1d20 +1 per caster level, maximum +15) against each spell to dispel it. The DC to dispel such spells is 11 + the caster level of the fire spell.&lt;/p&gt;&lt;p&gt;Each creature with the fire subtype within the area of a &lt;i&gt;quench&lt;/i&gt; spell takes 1d6 points of damage per caster level (maximum 10d6, no save allowed).&lt;/p&gt;&lt;p&gt;Alternatively, you can target the spell on a single magic item that creates or controls flame. The item loses all its fire-based magical abilities for 1d4 hours unless it succeeds on a Will save. Artifacts are immune to this effect.&lt;/p&gt;&lt;/h4&gt;&lt;/div&gt;</t>
  </si>
  <si>
    <t> Extinguishes fires.</t>
  </si>
  <si>
    <t>Rage</t>
  </si>
  <si>
    <t>bard 2, sorcerer/wizard 3, alchemist 3, summoner 3, witch 3, alchemist 3, summoner 3, witch 3, bloodrager 3, psychic 3, mesmerist 2</t>
  </si>
  <si>
    <t>one willing living creature per three levels, no two of which may be more than 30 ft. apart</t>
  </si>
  <si>
    <t>Each affected creature gains a +2 morale bonus to Strength and Constitution, a +1 morale bonus on Will saves, and a -2 penalty to AC. The effect is otherwise identical with a barbarian's rage except that the subjects aren't fatigued at the end of the rage.</t>
  </si>
  <si>
    <t>&lt;p&gt;Each affected creature gains a +2 morale bonus to Strength and Constitution, a +1 morale bonus on Will saves, and a -2 penalty to AC. The effect is otherwise identical with a barbarian's rage except that the subjects aren't fatigued at the end of the rage.&lt;/p&gt;</t>
  </si>
  <si>
    <t>&lt;link rel="stylesheet"href="PF.css"&gt;&lt;div class="heading"&gt;&lt;p class="alignleft"&gt;Rage&lt;/p&gt;&lt;div style="clear: both;"&gt;&lt;/div&gt;&lt;/div&gt;&lt;div&gt;&lt;h5&gt;&lt;b&gt;School &lt;/b&gt;enchantment (compulsion) [mind-affecting, emotion]; &lt;b&gt;Level &lt;/b&gt;bard 2, sorcerer/wizard 3, alchemist 3, summoner 3, witch 3, alchemist 3, summoner 3, witch 3, bloodrager 3, psychic 3, mesmerist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willing living creature per three levels, no two of which may be more than 30 ft. apart&lt;/h5&gt;&lt;h5&gt;&lt;b&gt;Duration &lt;/b&gt;concentration + 1 round/level (D)&lt;/h5&gt;&lt;h5&gt;&lt;b&gt;Saving Throw &lt;/b&gt;none; &lt;b&gt;Spell Resistance &lt;/b&gt;yes&lt;/h5&gt;&lt;/div&gt;&lt;hr/&gt;&lt;div&gt;&lt;h5&gt;&lt;b&gt;DESCRIPTION&lt;/b&gt;&lt;/h5&gt;&lt;/div&gt;&lt;hr/&gt;&lt;div&gt;&lt;h4&gt;&lt;p&gt;Each affected creature gains a +2 morale bonus to Strength and Constitution, a +1 morale bonus on Will saves, and a -2 penalty to AC. The effect is otherwise identical with a barbarian's rage except that the subjects aren't fatigued at the end of the rage.&lt;/p&gt;&lt;/h4&gt;&lt;/div&gt;</t>
  </si>
  <si>
    <t>Demon (3), Destruction (3), Ferocity (3), Madness (3)</t>
  </si>
  <si>
    <t>Gives +2 to Str and Con, +1 on Will saves, –2 to AC.</t>
  </si>
  <si>
    <t>Abyssal (7), Boreal (5), Orc (7)</t>
  </si>
  <si>
    <t>Rainbow Pattern</t>
  </si>
  <si>
    <t>bard 4, sorcerer/wizard 4, psychic 4</t>
  </si>
  <si>
    <t>V (bard only), S, M (a piece of phosphor), F (a crystal prism); see text</t>
  </si>
  <si>
    <t>colorful lights with a 20-ft.-radius spread</t>
  </si>
  <si>
    <t>Concentration +1 round/level</t>
  </si>
  <si>
    <t>A glowing, rainbow-hued pattern of interweaving colors fascinates those within it. Rainbow pattern fascinates a maximum of 24 HD of creatures. Creatures with the fewest HD are affected first. Among creatures with equal HD, those who are closest to the spell's point of origin are affected first. An affected creature that fails its saves is fascinated by the pattern.  With a simple gesture (a free action), you can make the rainbow pattern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  The spell does not affect sightless creatures.</t>
  </si>
  <si>
    <t>&lt;p&gt;A glowing, rainbow-hued pattern of interweaving colors fascinates those within it. &lt;i&gt;Rainbow pattern&lt;/i&gt; fascinates a maximum of 24 HD of creatures. Creatures with the fewest HD are affected first. Among creatures with equal HD, those who are closest to the spell's point of origin are affected first. An affected creature that fails its saves is fascinated by the pattern.&lt;/p&gt;&lt;p&gt;With a simple gesture (a free action), you can make the &lt;i&gt;rainbow pattern&lt;/i&gt;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affected.&lt;/p&gt;&lt;p&gt;The spell does not affect sightless creatures.&lt;/p&gt;</t>
  </si>
  <si>
    <t>&lt;link rel="stylesheet"href="PF.css"&gt;&lt;div class="heading"&gt;&lt;p class="alignleft"&gt;Rainbow Pattern&lt;/p&gt;&lt;div style="clear: both;"&gt;&lt;/div&gt;&lt;/div&gt;&lt;div&gt;&lt;h5&gt;&lt;b&gt;School &lt;/b&gt;illusion (pattern) [mind-affecting]; &lt;b&gt;Level &lt;/b&gt;bard 4, sorcerer/wizard 4, psychic 4&lt;/h5&gt;&lt;/div&gt;&lt;hr/&gt;&lt;div&gt;&lt;h5&gt;&lt;b&gt;CASTING&lt;/b&gt;&lt;/h5&gt;&lt;/div&gt;&lt;hr/&gt;&lt;div&gt;&lt;h5&gt;&lt;b&gt;Casting Time &lt;/b&gt;1 standard action&lt;/h5&gt;&lt;h5&gt;&lt;b&gt;Components &lt;/b&gt;V (bard only), S, M (a piece of phosphor), F (a crystal prism); see text&lt;/h5&gt;&lt;/div&gt;&lt;hr/&gt;&lt;div&gt;&lt;h5&gt;&lt;b&gt;EFFECT&lt;/b&gt;&lt;/h5&gt;&lt;/div&gt;&lt;hr/&gt;&lt;div&gt;&lt;h5&gt;&lt;b&gt;Range &lt;/b&gt;medium (100 ft. + 10 ft./level)&lt;/h5&gt;&lt;h5&gt;&lt;b&gt;Effect &lt;/b&gt;colorful lights with a 20-ft.-radius spread&lt;/h5&gt;&lt;h5&gt;&lt;b&gt;Duration &lt;/b&gt;Concentration +1 round/level (D)&lt;/h5&gt;&lt;h5&gt;&lt;b&gt;Saving Throw &lt;/b&gt;Will negates; &lt;b&gt;Spell Resistance &lt;/b&gt;yes&lt;/h5&gt;&lt;/div&gt;&lt;hr/&gt;&lt;div&gt;&lt;h5&gt;&lt;b&gt;DESCRIPTION&lt;/b&gt;&lt;/h5&gt;&lt;/div&gt;&lt;hr/&gt;&lt;div&gt;&lt;h4&gt;&lt;p&gt;A glowing, rainbow-hued pattern of interweaving colors fascinates those within it. &lt;i&gt;Rainbow pattern&lt;/i&gt; fascinates a maximum of 24 HD of creatures. Creatures with the fewest HD are affected first. Among creatures with equal HD, those who are closest to the spell's point of origin are affected first. An affected creature that fails its saves is fascinated by the pattern.&lt;/p&gt;&lt;p&gt;With a simple gesture (a free action), you can make the &lt;i&gt;rainbow pattern&lt;/i&gt;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affected.&lt;/p&gt;&lt;p&gt;The spell does not affect sightless creatures.&lt;/p&gt;&lt;/h4&gt;&lt;/div&gt;</t>
  </si>
  <si>
    <t>Lights fascinate 24 HD of creatures.</t>
  </si>
  <si>
    <t>Light (8)</t>
  </si>
  <si>
    <t>Raise Dead</t>
  </si>
  <si>
    <t>cleric/oracle 5, witch 6, shaman 6, spiritualist 5</t>
  </si>
  <si>
    <t>V, S, M (diamond worth 5,000 gp), DF</t>
  </si>
  <si>
    <t>dead creature touched</t>
  </si>
  <si>
    <t>You restore life to a deceased creature. You can raise a creature that has been dead for no longer than 1 day per caster level. In addition, the subject's soul must be free and willing to return.  If the subject's soul is not willing to return, the spell does not work; therefore, a subject that wants to return receives no saving throw.  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  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  Otherwise, missing parts are still missing when the creature is brought back to life. None of the dead creature's equipment or possessions are affected in any way by this spell.  A creature who has been turned into an undead creature or killed by a death effect can't be raised by this spell. Constructs, elementals, outsiders, and undead creatures can't be raised. The spell cannot bring back a creature that has died of old age.</t>
  </si>
  <si>
    <t>&lt;p&gt;You restore life to a deceased creature. You can raise a creature that has been dead for no longer than 1 day per caster level. In addition, the subject's soul must be free and willing to return.&lt;/p&gt;&lt;p&gt;If the subject's soul is not willing to return, the spell does not work; therefore, a subject that wants to return receives no saving throw.&lt;/p&gt;&lt;p&gt;Coming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spell.&lt;/p&gt;&lt;p&gt;A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whole.&lt;/p&gt;&lt;p&gt;Otherwise, missing parts are still missing when the creature is brought back to life. None of the dead creature's equipment or possessions are affected in any way by this spell.&lt;/p&gt;&lt;p&gt;A creature who has been turned into an undead creature or killed by a death effect can't be raised by this spell. Constructs, elementals, outsiders, and undead creatures can't be raised. The spell cannot bring back a creature that has died of old age.&lt;/p&gt;</t>
  </si>
  <si>
    <t>&lt;link rel="stylesheet"href="PF.css"&gt;&lt;div class="heading"&gt;&lt;p class="alignleft"&gt;Raise Dead&lt;/p&gt;&lt;div style="clear: both;"&gt;&lt;/div&gt;&lt;/div&gt;&lt;div&gt;&lt;h5&gt;&lt;b&gt;School &lt;/b&gt;conjuration (healing); &lt;b&gt;Level &lt;/b&gt;cleric/oracle 5, witch 6, shaman 6, spiritualist 5&lt;/h5&gt;&lt;/div&gt;&lt;hr/&gt;&lt;div&gt;&lt;h5&gt;&lt;b&gt;CASTING&lt;/b&gt;&lt;/h5&gt;&lt;/div&gt;&lt;hr/&gt;&lt;div&gt;&lt;h5&gt;&lt;b&gt;Casting Time &lt;/b&gt;1 minute&lt;/h5&gt;&lt;h5&gt;&lt;b&gt;Components &lt;/b&gt;V, S, M (diamond worth 5,000 gp), DF&lt;/h5&gt;&lt;/div&gt;&lt;hr/&gt;&lt;div&gt;&lt;h5&gt;&lt;b&gt;EFFECT&lt;/b&gt;&lt;/h5&gt;&lt;/div&gt;&lt;hr/&gt;&lt;div&gt;&lt;h5&gt;&lt;b&gt;Range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(harmless)&lt;/h5&gt;&lt;/div&gt;&lt;hr/&gt;&lt;div&gt;&lt;h5&gt;&lt;b&gt;DESCRIPTION&lt;/b&gt;&lt;/h5&gt;&lt;/div&gt;&lt;hr/&gt;&lt;div&gt;&lt;h4&gt;&lt;p&gt;You restore life to a deceased creature. You can raise a creature that has been dead for no longer than 1 day per caster level. In addition, the subject's soul must be free and willing to return.&lt;/p&gt;&lt;p&gt;If the subject's soul is not willing to return, the spell does not work; therefore, a subject that wants to return receives no saving throw.&lt;/p&gt;&lt;p&gt;Coming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spell.&lt;/p&gt;&lt;p&gt;A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whole.&lt;/p&gt;&lt;p&gt;Otherwise, missing parts are still missing when the creature is brought back to life. None of the dead creature's equipment or possessions are affected in any way by this spell.&lt;/p&gt;&lt;p&gt;A creature who has been turned into an undead creature or killed by a death effect can't be raised by this spell. Constructs, elementals, outsiders, and undead creatures can't be raised. The spell cannot bring back a creature that has died of old age.&lt;/p&gt;&lt;/h4&gt;&lt;/div&gt;</t>
  </si>
  <si>
    <t>Resurrection (5)</t>
  </si>
  <si>
    <t> Restores life to subject who died as long as one day/level ago.</t>
  </si>
  <si>
    <t>Ray Of Enfeeblement</t>
  </si>
  <si>
    <t>sorcerer/wizard 1, witch 1, magus 1, bloodrager 1, mesmerist 1</t>
  </si>
  <si>
    <t>A coruscating ray springs from your hand. You must succeed on a ranged touch attack to strike a target. The subject takes a penalty to Strength equal to 1d6+1 per two caster levels (maximum 1d6+5).  The subject's Strength score cannot drop below 1. A successful Fortitude save reduces this penalty by half. This penalty does not stack with itself. Apply the highest penalty instead.</t>
  </si>
  <si>
    <t>&lt;p&gt;A coruscating ray springs from your hand. You must succeed on a ranged touch attack to strike a target. The subject takes a penalty to Strength equal to 1d6+1 per two caster levels (maximum 1d6+5).&lt;/p&gt;&lt;p&gt;The subject's Strength score cannot drop below 1. A successful Fortitude save reduces this penalty by half. This penalty does not stack with itself. Apply the highest penalty instead.&lt;/p&gt;</t>
  </si>
  <si>
    <t>&lt;link rel="stylesheet"href="PF.css"&gt;&lt;div class="heading"&gt;&lt;p class="alignleft"&gt;Ray Of Enfeeblement&lt;/p&gt;&lt;div style="clear: both;"&gt;&lt;/div&gt;&lt;/div&gt;&lt;div&gt;&lt;h5&gt;&lt;b&gt;School &lt;/b&gt;necromancy; &lt;b&gt;Level &lt;/b&gt;sorcerer/wizard 1, witch 1, magus 1, bloodrager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&lt;/b&gt;ray&lt;/h5&gt;&lt;h5&gt;&lt;b&gt;Duration &lt;/b&gt;1 round/level&lt;/h5&gt;&lt;h5&gt;&lt;b&gt;Saving Throw &lt;/b&gt;Fortitude half; &lt;b&gt;Spell Resistance &lt;/b&gt;yes&lt;/h5&gt;&lt;/div&gt;&lt;hr/&gt;&lt;div&gt;&lt;h5&gt;&lt;b&gt;DESCRIPTION&lt;/b&gt;&lt;/h5&gt;&lt;/div&gt;&lt;hr/&gt;&lt;div&gt;&lt;h4&gt;&lt;p&gt;A coruscating ray springs from your hand. You must succeed on a ranged touch attack to strike a target. The subject takes a penalty to Strength equal to 1d6+1 per two caster levels (maximum 1d6+5).&lt;/p&gt;&lt;p&gt;The subject's Strength score cannot drop below 1. A successful Fortitude save reduces this penalty by half. This penalty does not stack with itself. Apply the highest penalty instead.&lt;/p&gt;&lt;/h4&gt;&lt;h5&gt;&lt;b&gt;Mythic: &lt;/b&gt;The Strength penalty increases to 1d8 + 1 per 2 caster levels (maximum +10). If the target fails its save, it's fatigued.&lt;/h5&gt;&lt;/div&gt;</t>
  </si>
  <si>
    <t> Ray causes 1d6 Str penalty + 1 per 2 levels.</t>
  </si>
  <si>
    <t>Accursed (3), Oni (3), Shadow (3), Daemon (3), Ghoul (3)</t>
  </si>
  <si>
    <t>The Strength penalty increases to 1d8 + 1 per 2 caster levels (maximum +10). If the target fails its save, it's fatigued.</t>
  </si>
  <si>
    <t>Ray of Exhaustion</t>
  </si>
  <si>
    <t>sorcerer/wizard 3, witch 3, magus 3, bloodrager 3, mesmerist 3, spiritualist 3</t>
  </si>
  <si>
    <t>V, S, M (a drop of sweat)</t>
  </si>
  <si>
    <t>A black ray projects from your pointing finger. You must succeed on a ranged touch attack with the ray to strike a target.  The subject is immediately exhausted for the spell's duration. A successful Fortitude save means the creature is only fatigued.  A character that is already fatigued instead becomes exhausted.  This spell has no effect on a creature that is already exhausted.  Unlike normal exhaustion or fatigue, the effect ends as soon as the spell's duration expires.</t>
  </si>
  <si>
    <t>&lt;p&gt;A black ray projects from your pointing finger. You must succeed on a ranged touch attack with the ray to strike a target.&lt;/p&gt;&lt;p&gt;The subject is immediately exhausted for the spell's duration. A successful Fortitude save means the creature is only fatigued.&lt;/p&gt;&lt;p&gt;A character that is already fatigued instead becomes exhausted.&lt;/p&gt;&lt;p&gt;This spell has no effect on a creature that is already exhausted.&lt;/p&gt;&lt;p&gt;Unlike normal exhaustion or fatigue, the effect ends as soon as the spell's duration expires.&lt;/p&gt;</t>
  </si>
  <si>
    <t>&lt;link rel="stylesheet"href="PF.css"&gt;&lt;div class="heading"&gt;&lt;p class="alignleft"&gt;Ray of Exhaustion&lt;/p&gt;&lt;div style="clear: both;"&gt;&lt;/div&gt;&lt;/div&gt;&lt;div&gt;&lt;h5&gt;&lt;b&gt;School &lt;/b&gt;necromancy; &lt;b&gt;Level &lt;/b&gt;sorcerer/wizard 3, witch 3, magus 3, bloodrager 3, mesmerist 3, spiritualist 3&lt;/h5&gt;&lt;/div&gt;&lt;hr/&gt;&lt;div&gt;&lt;h5&gt;&lt;b&gt;CASTING&lt;/b&gt;&lt;/h5&gt;&lt;/div&gt;&lt;hr/&gt;&lt;div&gt;&lt;h5&gt;&lt;b&gt;Casting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min./level&lt;/h5&gt;&lt;h5&gt;&lt;b&gt;Saving Throw &lt;/b&gt;Fortitude partial; see text; &lt;b&gt;Spell Resistance &lt;/b&gt;yes&lt;/h5&gt;&lt;/div&gt;&lt;hr/&gt;&lt;div&gt;&lt;h5&gt;&lt;b&gt;DESCRIPTION&lt;/b&gt;&lt;/h5&gt;&lt;/div&gt;&lt;hr/&gt;&lt;div&gt;&lt;h4&gt;&lt;p&gt;A black ray projects from your pointing finger. You must succeed on a ranged touch attack with the ray to strike a target.&lt;/p&gt;&lt;p&gt;The subject is immediately exhausted for the spell's duration. A successful Fortitude save means the creature is only fatigued.&lt;/p&gt;&lt;p&gt;A character that is already fatigued instead becomes exhausted.&lt;/p&gt;&lt;p&gt;This spell has no effect on a creature that is already exhausted.&lt;/p&gt;&lt;p&gt;Unlike normal exhaustion or fatigue, the effect ends as soon as the spell's duration expires.&lt;/p&gt;&lt;/h4&gt;&lt;/div&gt;</t>
  </si>
  <si>
    <t> Ray makes subject exhausted.</t>
  </si>
  <si>
    <t>Accursed (7)</t>
  </si>
  <si>
    <t>Ray of Frost</t>
  </si>
  <si>
    <t>sorcerer/wizard 0, magus 0</t>
  </si>
  <si>
    <t>A ray of freezing air and ice projects from your pointing finger.  You must succeed on a ranged touch attack with the ray to deal damage to a target. The ray deals 1d3 points of cold damage.</t>
  </si>
  <si>
    <t>&lt;p&gt;A ray of freezing air and ice projects from your pointing finger.&lt;/p&gt;&lt;p&gt;You must succeed on a ranged touch attack with the ray to deal damage to a target. The ray deals 1d3 points of cold damage.&lt;/p&gt;</t>
  </si>
  <si>
    <t>&lt;link rel="stylesheet"href="PF.css"&gt;&lt;div class="heading"&gt;&lt;p class="alignleft"&gt;Ray of Frost&lt;/p&gt;&lt;div style="clear: both;"&gt;&lt;/div&gt;&lt;/div&gt;&lt;div&gt;&lt;h5&gt;&lt;b&gt;School &lt;/b&gt;evocation [cold]; &lt;b&gt;Level &lt;/b&gt;sorcerer/wizard 0, magus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&lt;/b&gt;ray&lt;/h5&gt;&lt;h5&gt;&lt;b&gt;Duration &lt;/b&gt;instantaneous&lt;/h5&gt;&lt;h5&gt;&lt;b&gt;Saving Throw &lt;/b&gt;none; &lt;b&gt;Spell Resistance &lt;/b&gt;yes&lt;/h5&gt;&lt;/div&gt;&lt;hr/&gt;&lt;div&gt;&lt;h5&gt;&lt;b&gt;DESCRIPTION&lt;/b&gt;&lt;/h5&gt;&lt;/div&gt;&lt;hr/&gt;&lt;div&gt;&lt;h4&gt;&lt;p&gt;A ray of freezing air and ice projects from your pointing finger.&lt;/p&gt;&lt;p&gt;You must succeed on a ranged touch attack with the ray to deal damage to a target. The ray deals 1d3 points of cold damage.&lt;/p&gt;&lt;/h4&gt;&lt;/div&gt;</t>
  </si>
  <si>
    <t> Ray deals 1d3 cold damage.</t>
  </si>
  <si>
    <t>Read Magic</t>
  </si>
  <si>
    <t>bard 0, cleric/oracle 0, druid 0, paladin 1, ranger 1, sorcerer/wizard 0, summoner 0, witch 0, inquisitor 0, magus 0, shaman 0, occultist 0, psychic 0, mesmerist 0, spiritualist 0</t>
  </si>
  <si>
    <t>V, S, F (a clear crystal or mineral prism)</t>
  </si>
  <si>
    <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read magic. You can read at the rate of one page (250 words) per minute. The spell allows you to identify a glyph of warding with a DC 13 Spellcraft check, a greater glyph of warding with a DC 16 Spellcraft check, or any symbol spell with a Spellcraft check (DC 10 + spell level).  Read magic can be made permanent with a permanency spell.</t>
  </si>
  <si>
    <t>&lt;p&gt;You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&lt;i&gt;read magic.&lt;/i&gt; You can read at the rate of one page (250 words) per minute. The spell allows you to identify a &lt;i&gt;glyph of warding&lt;/i&gt; with a DC 13 Spellcraft check, a greater &lt;i&gt;glyph of warding&lt;/i&gt; with a DC 16 Spellcraft check, or any &lt;i&gt;symbol&lt;/i&gt; spell with a Spellcraft check (DC 10 + spell level).&lt;/p&gt;&lt;p&gt;&lt;i&gt;Read magic&lt;/i&gt; can be made permanent with a &lt;i&gt;permanency&lt;/i&gt; spell.&lt;/p&gt;</t>
  </si>
  <si>
    <t>&lt;link rel="stylesheet"href="PF.css"&gt;&lt;div class="heading"&gt;&lt;p class="alignleft"&gt;Read Magic&lt;/p&gt;&lt;div style="clear: both;"&gt;&lt;/div&gt;&lt;/div&gt;&lt;div&gt;&lt;h5&gt;&lt;b&gt;School &lt;/b&gt;divination; &lt;b&gt;Level &lt;/b&gt;bard 0, cleric/oracle 0, druid 0, paladin 1, ranger 1, sorcerer/wizard 0, summoner 0, witch 0, inquisitor 0, magus 0, shaman 0, occultist 0, psychic 0, mesmerist 0, spiritualist 0, antipaladin 1&lt;/h5&gt;&lt;/div&gt;&lt;hr/&gt;&lt;div&gt;&lt;h5&gt;&lt;b&gt;CASTING&lt;/b&gt;&lt;/h5&gt;&lt;/div&gt;&lt;hr/&gt;&lt;div&gt;&lt;h5&gt;&lt;b&gt;Casting Time &lt;/b&gt;1 standard action&lt;/h5&gt;&lt;h5&gt;&lt;b&gt;Components &lt;/b&gt;V, S, F (a clear crystal or mineral prism)&lt;/h5&gt;&lt;/div&gt;&lt;hr/&gt;&lt;div&gt;&lt;h5&gt;&lt;b&gt;EFFECT&lt;/b&gt;&lt;/h5&gt;&lt;/div&gt;&lt;hr/&gt;&lt;div&gt;&lt;h5&gt;&lt;b&gt;Range &lt;/b&gt;personal&lt;/h5&gt;&lt;h5&gt;&lt;b&gt;Targets &lt;/b&gt;you&lt;/h5&gt;&lt;h5&gt;&lt;b&gt;Duration &lt;/b&gt;10 min./level&lt;/h5&gt;&lt;/div&gt;&lt;hr/&gt;&lt;div&gt;&lt;h5&gt;&lt;b&gt;DESCRIPTION&lt;/b&gt;&lt;/h5&gt;&lt;/div&gt;&lt;hr/&gt;&lt;div&gt;&lt;h4&gt;&lt;p&gt;You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&lt;i&gt;read magic.&lt;/i&gt; You can read at the rate of one page (250 words) per minute. The spell allows you to identify a &lt;i&gt;glyph of warding&lt;/i&gt; with a DC 13 Spellcraft check, a greater &lt;i&gt;glyph of warding&lt;/i&gt; with a DC 16 Spellcraft check, or any &lt;i&gt;symbol&lt;/i&gt; spell with a Spellcraft check (DC 10 + spell level).&lt;/p&gt;&lt;p&gt;&lt;i&gt;Read magic&lt;/i&gt; can be made permanent with a &lt;i&gt;permanency&lt;/i&gt; spell.&lt;/p&gt;&lt;/h4&gt;&lt;/div&gt;</t>
  </si>
  <si>
    <t>Read scrolls and spellbooks.</t>
  </si>
  <si>
    <t>Reduce Person</t>
  </si>
  <si>
    <t>V, S, M (a pinch of powdered iron)</t>
  </si>
  <si>
    <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reduced size.  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  All equipment worn or carried by a creature is similarly reduced by the spell.  Melee and projectile weapons deal less damage. Other magical properties are not affected by this spell. Any reduced item that leaves the reduced creature's possession (including a projectile or thrown weapon) instantly returns to its normal size. This means that thrown weapons deal their normal damage (projectiles deal damage based on the size of the weapon that fired them).  Multiple magical effects that reduce size do not stack. Reduce person counters and dispels enlarge person.  Reduce person can be made permanent with a permanency spell.</t>
  </si>
  <si>
    <t>&lt;p&gt;This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&lt;i&gt;reduced&lt;/i&gt; size.&lt;/p&gt;&lt;p&gt;A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speed.&lt;/p&gt;&lt;p&gt;All equipment worn or carried by a creature is similarly &lt;i&gt;reduced&lt;/i&gt; by the spell.&lt;/p&gt;&lt;p&gt;Melee and projectile weapons deal less damage. Other magical properties are not affected by this spell. Any &lt;i&gt;reduced&lt;/i&gt; item that leaves the &lt;i&gt;reduced&lt;/i&gt; creature's possession (including a projectile or thrown weapon) instantly returns to its normal size. This means that thrown weapons deal their normal damage (projectiles deal damage based on the size of the weapon that fired them).&lt;/p&gt;&lt;p&gt;Multiple magical effects that reduce size do not stack. &lt;i&gt;Reduce person&lt;/i&gt; counters and dispels &lt;i&gt;enlarge person&lt;/i&gt;.&lt;/p&gt;&lt;p&gt;&lt;i&gt;Reduce person&lt;/i&gt; can be made permanent with a &lt;i&gt;permanency&lt;/i&gt; spell.&lt;/p&gt;</t>
  </si>
  <si>
    <t>&lt;link rel="stylesheet"href="PF.css"&gt;&lt;div class="heading"&gt;&lt;p class="alignleft"&gt;Reduce Person&lt;/p&gt;&lt;div style="clear: both;"&gt;&lt;/div&gt;&lt;/div&gt;&lt;div&gt;&lt;h5&gt;&lt;b&gt;School &lt;/b&gt;transmutation; &lt;b&gt;Level &lt;/b&gt;sorcerer/wizard 1, alchemist 1, summoner 1, witch 1, magus 1, bloodrager 1, occultist 1, psychic 1&lt;/h5&gt;&lt;/div&gt;&lt;hr/&gt;&lt;div&gt;&lt;h5&gt;&lt;b&gt;CASTING&lt;/b&gt;&lt;/h5&gt;&lt;/div&gt;&lt;hr/&gt;&lt;div&gt;&lt;h5&gt;&lt;b&gt;Casting Time &lt;/b&gt;1 round&lt;/h5&gt;&lt;h5&gt;&lt;b&gt;Components &lt;/b&gt;V, S, M (a pinch of powdered iron)&lt;/h5&gt;&lt;/div&gt;&lt;hr/&gt;&lt;div&gt;&lt;h5&gt;&lt;b&gt;EFFECT&lt;/b&gt;&lt;/h5&gt;&lt;/div&gt;&lt;hr/&gt;&lt;div&gt;&lt;h5&gt;&lt;b&gt;Range &lt;/b&gt;close (25 ft. + 5 ft./2 levels)&lt;/h5&gt;&lt;h5&gt;&lt;b&gt;Targets &lt;/b&gt;one humanoid creature&lt;/h5&gt;&lt;h5&gt;&lt;b&gt;Duration &lt;/b&gt;1 min./level (D)&lt;/h5&gt;&lt;h5&gt;&lt;b&gt;Saving Throw &lt;/b&gt;Fortitude negates; &lt;b&gt;Spell Resistance &lt;/b&gt;yes&lt;/h5&gt;&lt;/div&gt;&lt;hr/&gt;&lt;div&gt;&lt;h5&gt;&lt;b&gt;DESCRIPTION&lt;/b&gt;&lt;/h5&gt;&lt;/div&gt;&lt;hr/&gt;&lt;div&gt;&lt;h4&gt;&lt;p&gt;This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&lt;i&gt;reduced&lt;/i&gt; size.&lt;/p&gt;&lt;p&gt;A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speed.&lt;/p&gt;&lt;p&gt;All equipment worn or carried by a creature is similarly &lt;i&gt;reduced&lt;/i&gt; by the spell.&lt;/p&gt;&lt;p&gt;Melee and projectile weapons deal less damage. Other magical properties are not affected by this spell. Any &lt;i&gt;reduced&lt;/i&gt; item that leaves the &lt;i&gt;reduced&lt;/i&gt; creature's possession (including a projectile or thrown weapon) instantly returns to its normal size. This means that thrown weapons deal their normal damage (projectiles deal damage based on the size of the weapon that fired them).&lt;/p&gt;&lt;p&gt;Multiple magical effects that reduce size do not stack. &lt;i&gt;Reduce person&lt;/i&gt; counters and dispels &lt;i&gt;enlarge person&lt;/i&gt;.&lt;/p&gt;&lt;p&gt;&lt;i&gt;Reduce person&lt;/i&gt; can be made permanent with a &lt;i&gt;permanency&lt;/i&gt; spell.&lt;/p&gt;&lt;/h4&gt;&lt;h5&gt;&lt;b&gt;Mythic: &lt;/b&gt;You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person.&lt;/h5&gt;&lt;/div&gt;</t>
  </si>
  <si>
    <t> Humanoid creature halves in size.</t>
  </si>
  <si>
    <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t>
  </si>
  <si>
    <t>Reduce Animal</t>
  </si>
  <si>
    <t>druid 2, ranger 3</t>
  </si>
  <si>
    <t>one willing animal of Small, Medium, Large, or Huge size</t>
  </si>
  <si>
    <t>This spell functions like reduce person, except that it affects a single willing animal. Reduce the damage dealt by the animal's natural attacks as appropriate for its new size (see Chapter 6 how to adjust damage for size).</t>
  </si>
  <si>
    <t>&lt;p&gt;This spell functions like &lt;i&gt;reduce person,&lt;/i&gt; except that it affects a single willing animal. Reduce the damage dealt by the animal's natural attacks as appropriate for its new size (see Chapter 6 how to adjust damage for size).&lt;/p&gt;</t>
  </si>
  <si>
    <t>&lt;link rel="stylesheet"href="PF.css"&gt;&lt;div class="heading"&gt;&lt;p class="alignleft"&gt;Reduce Animal&lt;/p&gt;&lt;div style="clear: both;"&gt;&lt;/div&gt;&lt;/div&gt;&lt;div&gt;&lt;h5&gt;&lt;b&gt;School &lt;/b&gt;transmutation; &lt;b&gt;Level &lt;/b&gt;druid 2, ranger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animal of Small, Medium, Large, or Huge size&lt;/h5&gt;&lt;h5&gt;&lt;b&gt;Duration &lt;/b&gt;1 hour/level (D)&lt;/h5&gt;&lt;h5&gt;&lt;b&gt;Saving Throw &lt;/b&gt;none; &lt;b&gt;Spell Resistance &lt;/b&gt;no&lt;/h5&gt;&lt;/div&gt;&lt;hr/&gt;&lt;div&gt;&lt;h5&gt;&lt;b&gt;DESCRIPTION&lt;/b&gt;&lt;/h5&gt;&lt;/div&gt;&lt;hr/&gt;&lt;div&gt;&lt;h4&gt;&lt;p&gt;This spell functions like &lt;i&gt;reduce person,&lt;/i&gt; except that it affects a single willing animal. Reduce the damage dealt by the animal's natural attacks as appropriate for its new size (see Chapter 6 how to adjust damage for size).&lt;/p&gt;&lt;/h4&gt;&lt;/div&gt;</t>
  </si>
  <si>
    <t>Shrinks one willing animal.</t>
  </si>
  <si>
    <t>Reduce Person, Mass</t>
  </si>
  <si>
    <t>one humanoid creature/level, no two of which can be more than 30 ft. apart</t>
  </si>
  <si>
    <t>This spell functions like reduce person, except that it affects multiple creatures.</t>
  </si>
  <si>
    <t>&lt;p&gt;This spell functions like &lt;i&gt;reduce person&lt;/i&gt;, except that it affects multiple creatures.&lt;/p&gt;</t>
  </si>
  <si>
    <t>&lt;link rel="stylesheet"href="PF.css"&gt;&lt;div class="heading"&gt;&lt;p class="alignleft"&gt;Reduce Person, Mass&lt;/p&gt;&lt;div style="clear: both;"&gt;&lt;/div&gt;&lt;/div&gt;&lt;div&gt;&lt;h5&gt;&lt;b&gt;School &lt;/b&gt;transmutation; &lt;b&gt;Level &lt;/b&gt;sorcerer/wizard 4, summoner 3, bloodrager 4, psychic 4&lt;/h5&gt;&lt;/div&gt;&lt;hr/&gt;&lt;div&gt;&lt;h5&gt;&lt;b&gt;CASTING&lt;/b&gt;&lt;/h5&gt;&lt;/div&gt;&lt;hr/&gt;&lt;div&gt;&lt;h5&gt;&lt;b&gt;Casting Time &lt;/b&gt;1 round&lt;/h5&gt;&lt;h5&gt;&lt;b&gt;Components &lt;/b&gt;V, S, M (a pinch of powdered iron)&lt;/h5&gt;&lt;/div&gt;&lt;hr/&gt;&lt;div&gt;&lt;h5&gt;&lt;b&gt;EFFECT&lt;/b&gt;&lt;/h5&gt;&lt;/div&gt;&lt;hr/&gt;&lt;div&gt;&lt;h5&gt;&lt;b&gt;Range &lt;/b&gt;close (25 ft. + 5 ft./2 levels)&lt;/h5&gt;&lt;h5&gt;&lt;b&gt;Targets &lt;/b&gt;one humanoid creature/level, no two of which can be more than 30 ft. apart&lt;/h5&gt;&lt;h5&gt;&lt;b&gt;Duration &lt;/b&gt;1 min./level (D)&lt;/h5&gt;&lt;h5&gt;&lt;b&gt;Saving Throw &lt;/b&gt;Fortitude negates; &lt;b&gt;Spell Resistance &lt;/b&gt;yes&lt;/h5&gt;&lt;/div&gt;&lt;hr/&gt;&lt;div&gt;&lt;h5&gt;&lt;b&gt;DESCRIPTION&lt;/b&gt;&lt;/h5&gt;&lt;/div&gt;&lt;hr/&gt;&lt;div&gt;&lt;h4&gt;&lt;p&gt;This spell functions like &lt;i&gt;reduce person&lt;/i&gt;, except that it affects multiple creatures.&lt;/p&gt;&lt;/h4&gt;&lt;/div&gt;</t>
  </si>
  <si>
    <t> As reduce person, but affects 1 humanoid creature/level.</t>
  </si>
  <si>
    <t>Refuge</t>
  </si>
  <si>
    <t>cleric/oracle 7, sorcerer/wizard 9, witch 9, psychic 8</t>
  </si>
  <si>
    <t>V, S, M (a prepared object worth 1,500 gp)</t>
  </si>
  <si>
    <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  You can alter the spell when casting it so that it transports you to within 10 feet of the possessor of the item when it is broken and the command word spoken. You will have a general idea of the location and situation of the item possessor at the time the refuge spell is discharged, but once you decide to alter the spell in this fashion, you have no choice whether or not to be transported.</t>
  </si>
  <si>
    <t>&lt;p&gt;When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subject).&lt;/p&gt;&lt;p&gt;You can alter the spell when casting it so that it transports you to within 10 feet of the possessor of the item when it is broken and the command word spoken. You will have a general idea of the location and situation of the item possessor at the time the &lt;i&gt;refuge&lt;/i&gt; spell is discharged, but once you decide to alter the spell in this fashion, you have no choice whether or not to be transported.&lt;/p&gt;</t>
  </si>
  <si>
    <t>&lt;link rel="stylesheet"href="PF.css"&gt;&lt;div class="heading"&gt;&lt;p class="alignleft"&gt;Refuge&lt;/p&gt;&lt;div style="clear: both;"&gt;&lt;/div&gt;&lt;/div&gt;&lt;div&gt;&lt;h5&gt;&lt;b&gt;School &lt;/b&gt;conjuration (teleportation); &lt;b&gt;Level &lt;/b&gt;cleric/oracle 7, sorcerer/wizard 9, witch 9, psychic 8&lt;/h5&gt;&lt;/div&gt;&lt;hr/&gt;&lt;div&gt;&lt;h5&gt;&lt;b&gt;CASTING&lt;/b&gt;&lt;/h5&gt;&lt;/div&gt;&lt;hr/&gt;&lt;div&gt;&lt;h5&gt;&lt;b&gt;Casting Time &lt;/b&gt;1 standard action&lt;/h5&gt;&lt;h5&gt;&lt;b&gt;Components &lt;/b&gt;V, S, M (a prepared object worth 1,500 gp)&lt;/h5&gt;&lt;/div&gt;&lt;hr/&gt;&lt;div&gt;&lt;h5&gt;&lt;b&gt;EFFECT&lt;/b&gt;&lt;/h5&gt;&lt;/div&gt;&lt;hr/&gt;&lt;div&gt;&lt;h5&gt;&lt;b&gt;Range &lt;/b&gt;touch&lt;/h5&gt;&lt;h5&gt;&lt;b&gt;Targets &lt;/b&gt;object touched&lt;/h5&gt;&lt;h5&gt;&lt;b&gt;Duration &lt;/b&gt;permanent until discharged&lt;/h5&gt;&lt;h5&gt;&lt;b&gt;Saving Throw &lt;/b&gt;none; &lt;b&gt;Spell Resistance &lt;/b&gt;no&lt;/h5&gt;&lt;/div&gt;&lt;hr/&gt;&lt;div&gt;&lt;h5&gt;&lt;b&gt;DESCRIPTION&lt;/b&gt;&lt;/h5&gt;&lt;/div&gt;&lt;hr/&gt;&lt;div&gt;&lt;h4&gt;&lt;p&gt;When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subject).&lt;/p&gt;&lt;p&gt;You can alter the spell when casting it so that it transports you to within 10 feet of the possessor of the item when it is broken and the command word spoken. You will have a general idea of the location and situation of the item possessor at the time the &lt;i&gt;refuge&lt;/i&gt; spell is discharged, but once you decide to alter the spell in this fashion, you have no choice whether or not to be transported.&lt;/p&gt;&lt;/h4&gt;&lt;/div&gt;</t>
  </si>
  <si>
    <t>Community (7), Liberation (7)</t>
  </si>
  <si>
    <t>Alters item to transport its possessor to you.</t>
  </si>
  <si>
    <t>Ancestors (14)</t>
  </si>
  <si>
    <t>Regenerate</t>
  </si>
  <si>
    <t>cleric/oracle 7, druid 9, witch 7, shaman 7</t>
  </si>
  <si>
    <t>3 full rounds</t>
  </si>
  <si>
    <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  Regenerate also cures 4d8 points of damage + 1 point per caster level (maximum +35), rids the subject of exhaustion and fatigue, and eliminates all nonlethal damage the subject has taken. It has no effect on nonliving creatures (including undead).</t>
  </si>
  <si>
    <t>&lt;p&gt;The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otherwise.&lt;/p&gt;&lt;p&gt;&lt;i&gt;Regenerate&lt;/i&gt; also cures 4d8 points of damage + 1 point per caster level (maximum +35), rids the subject of exhaustion and fatigue, and eliminates all nonlethal damage the subject has taken. It has no effect on nonliving creatures (including undead).&lt;/p&gt;</t>
  </si>
  <si>
    <t>&lt;link rel="stylesheet"href="PF.css"&gt;&lt;div class="heading"&gt;&lt;p class="alignleft"&gt;Regenerate&lt;/p&gt;&lt;div style="clear: both;"&gt;&lt;/div&gt;&lt;/div&gt;&lt;div&gt;&lt;h5&gt;&lt;b&gt;School &lt;/b&gt;conjuration (healing); &lt;b&gt;Level &lt;/b&gt;cleric/oracle 7, druid 9, witch 7, shaman 7&lt;/h5&gt;&lt;/div&gt;&lt;hr/&gt;&lt;div&gt;&lt;h5&gt;&lt;b&gt;CASTING&lt;/b&gt;&lt;/h5&gt;&lt;/div&gt;&lt;hr/&gt;&lt;div&gt;&lt;h5&gt;&lt;b&gt;Casting Time &lt;/b&gt;3 full rounds&lt;/h5&gt;&lt;h5&gt;&lt;b&gt;Components &lt;/b&gt;V, S, DF&lt;/h5&gt;&lt;/div&gt;&lt;hr/&gt;&lt;div&gt;&lt;h5&gt;&lt;b&gt;EFFECT&lt;/b&gt;&lt;/h5&gt;&lt;/div&gt;&lt;hr/&gt;&lt;div&gt;&lt;h5&gt;&lt;b&gt;Range &lt;/b&gt;touch&lt;/h5&gt;&lt;h5&gt;&lt;b&gt;Targets &lt;/b&gt;living creature touched&lt;/h5&gt;&lt;h5&gt;&lt;b&gt;Duration &lt;/b&gt;instantaneous&lt;/h5&gt;&lt;h5&gt;&lt;b&gt;Saving Throw &lt;/b&gt;Fortitude negates (harmless); &lt;b&gt;Spell Resistance &lt;/b&gt;yes (harmless)&lt;/h5&gt;&lt;/div&gt;&lt;hr/&gt;&lt;div&gt;&lt;h5&gt;&lt;b&gt;DESCRIPTION&lt;/b&gt;&lt;/h5&gt;&lt;/div&gt;&lt;hr/&gt;&lt;div&gt;&lt;h4&gt;&lt;p&gt;The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otherwise.&lt;/p&gt;&lt;p&gt;&lt;i&gt;Regenerate&lt;/i&gt; also cures 4d8 points of damage + 1 point per caster level (maximum +35), rids the subject of exhaustion and fatigue, and eliminates all nonlethal damage the subject has taken. It has no effect on nonliving creatures (including undead).&lt;/p&gt;&lt;/h4&gt;&lt;h5&gt;&lt;b&gt;Mythic: &lt;/b&gt;The casting time changes to 1 standard action and the target changes to 1 living creature or corpse touched. The spell removes the blinded, dazzled, and deafened conditions. The target gains regeneration equal to your tier (overcome by acid and fire) for 1 round per 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score.&lt;/h5&gt;&lt;/div&gt;</t>
  </si>
  <si>
    <t>Healing (7)</t>
  </si>
  <si>
    <t>Subject’s severed limbs grow back, cures 4d8 damage +1/level (max +35).</t>
  </si>
  <si>
    <t>The casting time changes to 1 standard action and the target changes to 1 living creature or corpse touched. The spell removes the blinded, dazzled, and deafened conditions. The target gains regeneration equal to your tier (overcome by acid and fire) for 1 round per 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t>
  </si>
  <si>
    <t>Reincarnate</t>
  </si>
  <si>
    <t>druid 4, witch 5, shaman 4</t>
  </si>
  <si>
    <t>V, S, M, DF (oils worth 1,000 gp)</t>
  </si>
  <si>
    <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 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 The magic of the spell creates an entirely new young adult body for the soul to inhabit from the natural elements at hand. This process takes 1 hour to complete. When the body is ready, the subject is reincarnated. 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 It's possible for the change in the subject's ability scores to make it difficult for it to pursue its previous character class. If this is the case, the subject is advised to become a multiclass character. For a humanoid creature, the new incarnation is determined using the table on the next page. For nonhumanoid creatures, a similar table of creatures of the same type should be created. A creature that has been turned into an undead creature or killed by a death effect can't be returned to life by this spell. Constructs, elementals, outsiders, and undead creatures can't be reincarnated. The spell can bring back a creature that has died of old age. d% I ncarnation Str Dex Con 01 Bugbear +4 +2 +2 02-13 Dwarf +0 +0 +2 14-25 Elf +0 +2 -2 26 Gnoll +4 +0 +2 27-38 Gnome -2 +0 +2 39-42 Goblin -2 +2 +0 43-52 Half-elf +0 +2 +0 53-62 Half-orc +2 +0 +0 63-74 Halfling -2 +2 +0 75-89 Human +0 +0 +2 90-93 Kobold -4 +2 -2 94 Lizardfolk +2 +0 +2 95-98 Orc +4 +0 +0 99 Troglodyte +0 -2 +4 100 Other (GM's choice) ? ? ? The reincarnated creature gains all abilities associated with its new form, including forms of movement and speeds, natural armor, natural attacks, extraordinary abilities, and the like, but it doesn't automatically speak the language of the new form. A wish or a miracle spell can restore a reincarnated character to his or her original form.</t>
  </si>
  <si>
    <t>&lt;p&gt;With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throw.&lt;/p&gt;&lt;p&gt;Since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death.&lt;/p&gt;&lt;p&gt;The magic of the spell creates an entirely new young adult body for the soul to inhabit from the natural elements at hand. This process takes 1 hour to complete. When the body is ready, the subject is reincarnated.&lt;/p&gt;&lt;p&gt;A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spell.&lt;/p&gt;&lt;p&gt;It's possible for the change in the subject's ability scores to make it difficult for it to pursue its previous character class. If this is the case, the subject is advised to become a multiclass character.&lt;/p&gt;&lt;p&gt;For a humanoid creature, the new incarnation is determined using the table on the next page. For nonhumanoid creatures, a similar table of creatures of the same type should be created.&lt;/p&gt;&lt;p&gt;A creature that has been turned into an undead creature or killed by a death effect can't be returned to life by this spell.&lt;/p&gt;&lt;p&gt;Constructs, elementals, outsiders, and undead creatures can't be reincarnated. The spell can bring back a creature that has died of old age.&lt;/p&gt;&lt;p&gt; &lt;table&gt;&lt;tr&gt;&lt;th&gt;d%&lt;/th&gt;&lt;th&gt;Incarnation&lt;/th&gt;&lt;th&gt;Str&lt;/th&gt;&lt;th&gt;Dex&lt;/th&gt;&lt;th&gt;Con&lt;/th&gt;&lt;/tr&gt;&lt;tr&gt;&lt;td&gt;01&lt;/td&gt;&lt;td&gt;Bugbear&lt;/td&gt;&lt;td&gt;+4&lt;/td&gt;&lt;td&gt;+2&lt;/td&gt;&lt;td&gt;+2&lt;/td&gt;&lt;/tr&gt;&lt;tr&gt;&lt;td&gt;02-13&lt;/td&gt;&lt;td&gt;Dwarf&lt;/td&gt;&lt;td&gt;+0&lt;/td&gt;&lt;td&gt;+0&lt;/td&gt;&lt;td&gt;+2&lt;/td&gt;&lt;/tr&gt;&lt;tr&gt;&lt;td&gt;14-25&lt;/td&gt;&lt;td&gt;Elf&lt;/td&gt;&lt;td&gt;+0&lt;/td&gt;&lt;td&gt;+2&lt;/td&gt;&lt;td&gt;-2&lt;/td&gt;&lt;/tr&gt;&lt;tr&gt;&lt;td&gt;26&lt;/td&gt;&lt;td&gt;Gnoll&lt;/td&gt;&lt;td&gt;+4&lt;/td&gt;&lt;td&gt;+0&lt;/td&gt;&lt;td&gt;+2&lt;/td&gt;&lt;/tr&gt;&lt;tr&gt;&lt;td&gt;27-38&lt;/td&gt;&lt;td&gt;Gnome&lt;/td&gt;&lt;td&gt;-2&lt;/td&gt;&lt;td&gt;+0&lt;/td&gt;&lt;td&gt;+2&lt;/td&gt;&lt;/tr&gt;&lt;tr&gt;&lt;td&gt;39-42&lt;/td&gt;&lt;td&gt;Goblin&lt;/td&gt;&lt;td&gt;-2&lt;/td&gt;&lt;td&gt;+2&lt;/td&gt;&lt;td&gt;+0&lt;/td&gt;&lt;/tr&gt;&lt;tr&gt;&lt;td&gt;43-52&lt;/td&gt;&lt;td&gt;Half-elf&lt;/td&gt;&lt;td&gt;+0&lt;/td&gt;&lt;td&gt;+2&lt;/td&gt;&lt;td&gt;+0&lt;/td&gt;&lt;/tr&gt;&lt;tr&gt;&lt;td&gt;53-62&lt;/td&gt;&lt;td&gt;Half-orc&lt;/td&gt;&lt;td&gt;+2&lt;/td&gt;&lt;td&gt;+0&lt;/td&gt;&lt;td&gt;+0&lt;/td&gt;&lt;/tr&gt;&lt;tr&gt;&lt;td&gt;63-74&lt;/td&gt;&lt;td&gt;Halfling&lt;/td&gt;&lt;td&gt;-2&lt;/td&gt;&lt;td&gt;+2&lt;/td&gt;&lt;td&gt;+0&lt;/td&gt;&lt;/tr&gt;&lt;tr&gt;&lt;td&gt;75-89&lt;/td&gt;&lt;td&gt;Human&lt;/td&gt;&lt;td&gt;+0&lt;/td&gt;&lt;td&gt;+0&lt;/td&gt;&lt;td&gt;+2&lt;/td&gt;&lt;/tr&gt;&lt;tr&gt;&lt;td&gt;90-93&lt;/td&gt;&lt;td&gt;Kobold&lt;/td&gt;&lt;td&gt;-4&lt;/td&gt;&lt;td&gt;+2&lt;/td&gt;&lt;td&gt;-2&lt;/td&gt;&lt;/tr&gt;&lt;tr&gt;&lt;td&gt;94&lt;/td&gt;&lt;td&gt;Lizardfolk&lt;/td&gt;&lt;td&gt;+2&lt;/td&gt;&lt;td&gt;+0&lt;/td&gt;&lt;td&gt;+2&lt;/td&gt;&lt;/tr&gt;&lt;tr&gt;&lt;td&gt;95-98&lt;/td&gt;&lt;td&gt;Orc&lt;/td&gt;&lt;td&gt;+4&lt;/td&gt;&lt;td&gt;+0&lt;/td&gt;&lt;td&gt;+0&lt;/td&gt;&lt;/tr&gt;&lt;tr&gt;&lt;td&gt;99&lt;/td&gt;&lt;td&gt;Troglodyte&lt;/td&gt;&lt;td&gt;+0&lt;/td&gt;&lt;td&gt;-2&lt;/td&gt;&lt;td&gt;+4&lt;/td&gt;&lt;/tr&gt;&lt;tr&gt;&lt;td&gt;100&lt;/td&gt;&lt;td&gt;Other (GM's choice)&lt;/td&gt;&lt;td&gt;?&lt;/td&gt;&lt;td&gt;?&lt;/td&gt;&lt;td&gt;?&lt;/td&gt;&lt;/tr&gt;&lt;/table&gt;  The reincarnated creature gains all abilities associated with its new form, including forms of movement and speeds, natural armor, natural attacks, extraordinary abilities, and the like, but it doesn't automatically speak the language of the new form.&lt;/p&gt;&lt;p&gt;A &lt;i&gt;wish&lt;/i&gt; or a &lt;i&gt;miracle&lt;/i&gt; spell can restore a reincarnated character to his or her original form.&lt;/p&gt;</t>
  </si>
  <si>
    <t>&lt;link rel="stylesheet"href="PF.css"&gt;&lt;div class="heading"&gt;&lt;p class="alignleft"&gt;Reincarnate&lt;/p&gt;&lt;div style="clear: both;"&gt;&lt;/div&gt;&lt;/div&gt;&lt;div&gt;&lt;h5&gt;&lt;b&gt;School &lt;/b&gt;transmutation; &lt;b&gt;Level &lt;/b&gt;druid 4, witch 5, shaman 4&lt;/h5&gt;&lt;/div&gt;&lt;hr/&gt;&lt;div&gt;&lt;h5&gt;&lt;b&gt;CASTING&lt;/b&gt;&lt;/h5&gt;&lt;/div&gt;&lt;hr/&gt;&lt;div&gt;&lt;h5&gt;&lt;b&gt;Casting Time &lt;/b&gt;10 minutes&lt;/h5&gt;&lt;h5&gt;&lt;b&gt;Components &lt;/b&gt;V, S, M, DF (oils worth 1,000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throw.&lt;/p&gt;&lt;p&gt;Since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death.&lt;/p&gt;&lt;p&gt;The magic of the spell creates an entirely new young adult body for the soul to inhabit from the natural elements at hand. This process takes 1 hour to complete. When the body is ready, the subject is reincarnated.&lt;/p&gt;&lt;p&gt;A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spell.&lt;/p&gt;&lt;p&gt;It's possible for the change in the subject's ability scores to make it difficult for it to pursue its previous character class. If this is the case, the subject is advised to become a multiclass character.&lt;/p&gt;&lt;p&gt;For a humanoid creature, the new incarnation is determined using the table on the next page. For nonhumanoid creatures, a similar table of creatures of the same type should be created.&lt;/p&gt;&lt;p&gt;A creature that has been turned into an undead creature or killed by a death effect can't be returned to life by this spell.&lt;/p&gt;&lt;p&gt;Constructs, elementals, outsiders, and undead creatures can't be reincarnated. The spell can bring back a creature that has died of old age.&lt;/p&gt;&lt;p&gt; &lt;table&gt;&lt;tr&gt;&lt;th&gt;d%&lt;/th&gt;&lt;th&gt;Incarnation&lt;/th&gt;&lt;th&gt;Str&lt;/th&gt;&lt;th&gt;Dex&lt;/th&gt;&lt;th&gt;Con&lt;/th&gt;&lt;/tr&gt;&lt;tr&gt;&lt;td&gt;01&lt;/td&gt;&lt;td&gt;Bugbear&lt;/td&gt;&lt;td&gt;+4&lt;/td&gt;&lt;td&gt;+2&lt;/td&gt;&lt;td&gt;+2&lt;/td&gt;&lt;/tr&gt;&lt;tr&gt;&lt;td&gt;02-13&lt;/td&gt;&lt;td&gt;Dwarf&lt;/td&gt;&lt;td&gt;+0&lt;/td&gt;&lt;td&gt;+0&lt;/td&gt;&lt;td&gt;+2&lt;/td&gt;&lt;/tr&gt;&lt;tr&gt;&lt;td&gt;14-25&lt;/td&gt;&lt;td&gt;Elf&lt;/td&gt;&lt;td&gt;+0&lt;/td&gt;&lt;td&gt;+2&lt;/td&gt;&lt;td&gt;-2&lt;/td&gt;&lt;/tr&gt;&lt;tr&gt;&lt;td&gt;26&lt;/td&gt;&lt;td&gt;Gnoll&lt;/td&gt;&lt;td&gt;+4&lt;/td&gt;&lt;td&gt;+0&lt;/td&gt;&lt;td&gt;+2&lt;/td&gt;&lt;/tr&gt;&lt;tr&gt;&lt;td&gt;27-38&lt;/td&gt;&lt;td&gt;Gnome&lt;/td&gt;&lt;td&gt;-2&lt;/td&gt;&lt;td&gt;+0&lt;/td&gt;&lt;td&gt;+2&lt;/td&gt;&lt;/tr&gt;&lt;tr&gt;&lt;td&gt;39-42&lt;/td&gt;&lt;td&gt;Goblin&lt;/td&gt;&lt;td&gt;-2&lt;/td&gt;&lt;td&gt;+2&lt;/td&gt;&lt;td&gt;+0&lt;/td&gt;&lt;/tr&gt;&lt;tr&gt;&lt;td&gt;43-52&lt;/td&gt;&lt;td&gt;Half-elf&lt;/td&gt;&lt;td&gt;+0&lt;/td&gt;&lt;td&gt;+2&lt;/td&gt;&lt;td&gt;+0&lt;/td&gt;&lt;/tr&gt;&lt;tr&gt;&lt;td&gt;53-62&lt;/td&gt;&lt;td&gt;Half-orc&lt;/td&gt;&lt;td&gt;+2&lt;/td&gt;&lt;td&gt;+0&lt;/td&gt;&lt;td&gt;+0&lt;/td&gt;&lt;/tr&gt;&lt;tr&gt;&lt;td&gt;63-74&lt;/td&gt;&lt;td&gt;Halfling&lt;/td&gt;&lt;td&gt;-2&lt;/td&gt;&lt;td&gt;+2&lt;/td&gt;&lt;td&gt;+0&lt;/td&gt;&lt;/tr&gt;&lt;tr&gt;&lt;td&gt;75-89&lt;/td&gt;&lt;td&gt;Human&lt;/td&gt;&lt;td&gt;+0&lt;/td&gt;&lt;td&gt;+0&lt;/td&gt;&lt;td&gt;+2&lt;/td&gt;&lt;/tr&gt;&lt;tr&gt;&lt;td&gt;90-93&lt;/td&gt;&lt;td&gt;Kobold&lt;/td&gt;&lt;td&gt;-4&lt;/td&gt;&lt;td&gt;+2&lt;/td&gt;&lt;td&gt;-2&lt;/td&gt;&lt;/tr&gt;&lt;tr&gt;&lt;td&gt;94&lt;/td&gt;&lt;td&gt;Lizardfolk&lt;/td&gt;&lt;td&gt;+2&lt;/td&gt;&lt;td&gt;+0&lt;/td&gt;&lt;td&gt;+2&lt;/td&gt;&lt;/tr&gt;&lt;tr&gt;&lt;td&gt;95-98&lt;/td&gt;&lt;td&gt;Orc&lt;/td&gt;&lt;td&gt;+4&lt;/td&gt;&lt;td&gt;+0&lt;/td&gt;&lt;td&gt;+0&lt;/td&gt;&lt;/tr&gt;&lt;tr&gt;&lt;td&gt;99&lt;/td&gt;&lt;td&gt;Troglodyte&lt;/td&gt;&lt;td&gt;+0&lt;/td&gt;&lt;td&gt;-2&lt;/td&gt;&lt;td&gt;+4&lt;/td&gt;&lt;/tr&gt;&lt;tr&gt;&lt;td&gt;100&lt;/td&gt;&lt;td&gt;Other (GM's choice)&lt;/td&gt;&lt;td&gt;?&lt;/td&gt;&lt;td&gt;?&lt;/td&gt;&lt;td&gt;?&lt;/td&gt;&lt;/tr&gt;&lt;/table&gt;  The reincarnated creature gains all abilities associated with its new form, including forms of movement and speeds, natural armor, natural attacks, extraordinary abilities, and the like, but it doesn't automatically speak the language of the new form.&lt;/p&gt;&lt;p&gt;A &lt;i&gt;wish&lt;/i&gt; or a &lt;i&gt;miracle&lt;/i&gt; spell can restore a reincarnated character to his or her original form.&lt;/p&gt;&lt;/h4&gt;&lt;/div&gt;</t>
  </si>
  <si>
    <t> Brings dead subject back in a random body.</t>
  </si>
  <si>
    <t>Remove Blindness/Deafness</t>
  </si>
  <si>
    <t>cleric/oracle 3, paladin 3, alchemist 3, witch 3, shaman 3, mesmerist 3, spiritualist 3</t>
  </si>
  <si>
    <t>Remove blindness/deafness cures blindness or deafness (your choice), whether the effect is normal or magical in nature. The spell does not restore ears or eyes that have been lost, but it repairs them if they are damaged.  Remove blindness/deafness counters and dispels blindness/deafness.</t>
  </si>
  <si>
    <t>&lt;p&gt;&lt;i&gt;Remove blindness/deafness&lt;/i&gt; cures blindness or deafness (your choice), whether the effect is normal or magical in nature. The spell does not restore ears or eyes that have been lost, but it repairs them if they are damaged.&lt;/p&gt;&lt;p&gt;&lt;i&gt;Remove blindness/deafness&lt;/i&gt; counters and dispels blindness/deafness.&lt;/p&gt;</t>
  </si>
  <si>
    <t>&lt;link rel="stylesheet"href="PF.css"&gt;&lt;div class="heading"&gt;&lt;p class="alignleft"&gt;Remove Blindness/Deafness&lt;/p&gt;&lt;div style="clear: both;"&gt;&lt;/div&gt;&lt;/div&gt;&lt;div&gt;&lt;h5&gt;&lt;b&gt;School &lt;/b&gt;conjuration (healing); &lt;b&gt;Level &lt;/b&gt;cleric/oracle 3, paladin 3, alchemist 3, witch 3, shaman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(harmless)&lt;/h5&gt;&lt;/div&gt;&lt;hr/&gt;&lt;div&gt;&lt;h5&gt;&lt;b&gt;DESCRIPTION&lt;/b&gt;&lt;/h5&gt;&lt;/div&gt;&lt;hr/&gt;&lt;div&gt;&lt;h4&gt;&lt;p&gt;&lt;i&gt;Remove blindness/deafness&lt;/i&gt; cures blindness or deafness (your choice), whether the effect is normal or magical in nature. The spell does not restore ears or eyes that have been lost, but it repairs them if they are damaged.&lt;/p&gt;&lt;p&gt;&lt;i&gt;Remove blindness/deafness&lt;/i&gt; counters and dispels blindness/deafness.&lt;/p&gt;&lt;/h4&gt;&lt;/div&gt;</t>
  </si>
  <si>
    <t>Purity (3)</t>
  </si>
  <si>
    <t>Cures normal or magical blindness or deafness.</t>
  </si>
  <si>
    <t>Remove Curse</t>
  </si>
  <si>
    <t>bard 3, cleric/oracle 3, paladin 3, sorcerer/wizard 4, alchemist 3, witch 3, inquisitor 3, shaman 3, mesmerist 3, spiritualist 3</t>
  </si>
  <si>
    <t>Remove curse can remove all curses on an object or a creature. If the target is a creature, you must make a caster level check (1d20 + caster level) against the DC of each curse affecting the target.  Success means that the curse is removed. Remove curse does not remove the curse from a cursed shield, weapon, or suit of armor, although a successful caster level check enables the creature afflicted with any such cursed item to remove and get rid of it.  Remove curse counters and dispels bestow curse.</t>
  </si>
  <si>
    <t>&lt;p&gt;&lt;i&gt;Remove &lt;i&gt;curse&lt;/i&gt;&lt;/i&gt; can remove all &lt;i&gt;curse&lt;/i&gt;s on an object or a creature. If the target is a creature, you must make a caster level check (1d20 + caster level) against the DC of each &lt;i&gt;curse&lt;/i&gt; affecting the target.&lt;/p&gt;&lt;p&gt;Success means that the &lt;i&gt;curse&lt;/i&gt; is removed. &lt;i&gt;Remove &lt;i&gt;curse&lt;/i&gt;&lt;/i&gt; does not remove the &lt;i&gt;curse&lt;/i&gt; from a &lt;i&gt;curse&lt;/i&gt;d shield, weapon, or suit of armor, although a successful caster level check enables the creature afflicted with any such &lt;i&gt;curse&lt;/i&gt;d item to remove and get rid of it.&lt;/p&gt;&lt;p&gt;&lt;i&gt;Remove &lt;i&gt;curse&lt;/i&gt;&lt;/i&gt; counters and dispels bestow &lt;i&gt;curse&lt;/i&gt;.&lt;/p&gt;</t>
  </si>
  <si>
    <t>&lt;link rel="stylesheet"href="PF.css"&gt;&lt;div class="heading"&gt;&lt;p class="alignleft"&gt;Remove Curse&lt;/p&gt;&lt;div style="clear: both;"&gt;&lt;/div&gt;&lt;/div&gt;&lt;div&gt;&lt;h5&gt;&lt;b&gt;School &lt;/b&gt;abjuration; &lt;b&gt;Level &lt;/b&gt;bard 3, cleric/oracle 3, paladin 3, sorcerer/wizard 4, alchemist 3, witch 3, inquisitor 3, shaman 3, mesmerist 3, spiritualist 3, alchemist 3, witch 3, inquisitor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&lt;/b&gt;Will negates (harmless); &lt;b&gt;Spell Resistance &lt;/b&gt;yes (harmless)&lt;/h5&gt;&lt;/div&gt;&lt;hr/&gt;&lt;div&gt;&lt;h5&gt;&lt;b&gt;DESCRIPTION&lt;/b&gt;&lt;/h5&gt;&lt;/div&gt;&lt;hr/&gt;&lt;div&gt;&lt;h4&gt;&lt;p&gt;&lt;i&gt;Remove &lt;i&gt;curse&lt;/i&gt;&lt;/i&gt; can remove all &lt;i&gt;curse&lt;/i&gt;s on an object or a creature. If the target is a creature, you must make a caster level check (1d20 + caster level) against the DC of each &lt;i&gt;curse&lt;/i&gt; affecting the target.&lt;/p&gt;&lt;p&gt;Success means that the &lt;i&gt;curse&lt;/i&gt; is removed. &lt;i&gt;Remove &lt;i&gt;curse&lt;/i&gt;&lt;/i&gt; does not remove the &lt;i&gt;curse&lt;/i&gt; from a &lt;i&gt;curse&lt;/i&gt;d shield, weapon, or suit of armor, although a successful caster level check enables the creature afflicted with any such &lt;i&gt;curse&lt;/i&gt;d item to remove and get rid of it.&lt;/p&gt;&lt;p&gt;&lt;i&gt;Remove &lt;i&gt;curse&lt;/i&gt;&lt;/i&gt; counters and dispels bestow &lt;i&gt;curse&lt;/i&gt;.&lt;/p&gt;&lt;/h4&gt;&lt;/div&gt;</t>
  </si>
  <si>
    <t>Liberation (3)</t>
  </si>
  <si>
    <t>Frees object or person from curse.</t>
  </si>
  <si>
    <t>Celestial (9)</t>
  </si>
  <si>
    <t>Remove Disease</t>
  </si>
  <si>
    <t>cleric/oracle 3, druid 3, ranger 3, alchemist 3, witch 3, inquisitor 3, alchemist 3, witch 3, inquisitor 3, spiritualist 3</t>
  </si>
  <si>
    <t>Remove disease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  Since the spell's duration is instantaneous, it does not prevent reinfection after a new exposure to the same disease at a later date.</t>
  </si>
  <si>
    <t>&lt;p&gt;&lt;i&gt;Remove disease&lt;/i&gt;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others.&lt;/p&gt;&lt;p&gt;Since the spell's duration is instantaneous, it does not prevent reinfection after a new exposure to the same disease at a later date.&lt;/p&gt;</t>
  </si>
  <si>
    <t>&lt;link rel="stylesheet"href="PF.css"&gt;&lt;div class="heading"&gt;&lt;p class="alignleft"&gt;Remove Disease&lt;/p&gt;&lt;div style="clear: both;"&gt;&lt;/div&gt;&lt;/div&gt;&lt;div&gt;&lt;h5&gt;&lt;b&gt;School &lt;/b&gt;conjuration (healing); &lt;b&gt;Level &lt;/b&gt;cleric/oracle 3, druid 3, ranger 3, alchemist 3, witch 3, inquisitor 3, alchemist 3, witch 3, inquisitor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(harmless)&lt;/h5&gt;&lt;/div&gt;&lt;hr/&gt;&lt;div&gt;&lt;h5&gt;&lt;b&gt;DESCRIPTION&lt;/b&gt;&lt;/h5&gt;&lt;/div&gt;&lt;hr/&gt;&lt;div&gt;&lt;h4&gt;&lt;p&gt;&lt;i&gt;Remove disease&lt;/i&gt;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others.&lt;/p&gt;&lt;p&gt;Since the spell's duration is instantaneous, it does not prevent reinfection after a new exposure to the same disease at a later date.&lt;/p&gt;&lt;/h4&gt;&lt;/div&gt;</t>
  </si>
  <si>
    <t>Restoration (2)</t>
  </si>
  <si>
    <t>Cures all diseases affecting subject.</t>
  </si>
  <si>
    <t>Remove Fear</t>
  </si>
  <si>
    <t>bard 1, cleric/oracle 1, inquisitor 1, shaman 1, psychic 1, mesmerist 1, spiritualist 1</t>
  </si>
  <si>
    <t>one creature plus one additional creature per four levels, no two of which can be more than 30 ft. apart</t>
  </si>
  <si>
    <t>You instill courage in the subject, granting it a +4 morale bonus against fear effects for 10 minutes. If the subject is under the influence of a fear effect when receiving the spell, that effect is suppressed for the duration of the spell.  Remove fear counters and dispels cause fear.</t>
  </si>
  <si>
    <t>&lt;p&gt;You instill courage in the subject, granting it a +4 morale bonus against fear effects for 10 minutes. If the subject is under the influence of a fear effect when receiving the spell, that effect is suppressed for the duration of the spell.&lt;/p&gt;&lt;p&gt;&lt;i&gt;Remove fear&lt;/i&gt; counters and dispels cause fear.&lt;/p&gt;</t>
  </si>
  <si>
    <t>&lt;link rel="stylesheet"href="PF.css"&gt;&lt;div class="heading"&gt;&lt;p class="alignleft"&gt;Remove Fear&lt;/p&gt;&lt;div style="clear: both;"&gt;&lt;/div&gt;&lt;/div&gt;&lt;div&gt;&lt;h5&gt;&lt;b&gt;School &lt;/b&gt;abjuration; &lt;b&gt;Level &lt;/b&gt;bard 1, cleric/oracle 1, inquisitor 1, shaman 1, psychic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four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(harmless)&lt;/h5&gt;&lt;/div&gt;&lt;hr/&gt;&lt;div&gt;&lt;h5&gt;&lt;b&gt;DESCRIPTION&lt;/b&gt;&lt;/h5&gt;&lt;/div&gt;&lt;hr/&gt;&lt;div&gt;&lt;h4&gt;&lt;p&gt;You instill courage in the subject, granting it a +4 morale bonus against fear effects for 10 minutes. If the subject is under the influence of a fear effect when receiving the spell, that effect is suppressed for the duration of the spell.&lt;/p&gt;&lt;p&gt;&lt;i&gt;Remove fear&lt;/i&gt; counters and dispels cause fear.&lt;/p&gt;&lt;/h4&gt;&lt;/div&gt;</t>
  </si>
  <si>
    <t>Liberation (1), Loyalty (1)</t>
  </si>
  <si>
    <t>Suppresses fear or gives +4 on saves against fear for one subject + one per four levels.</t>
  </si>
  <si>
    <t>Remove Paralysis</t>
  </si>
  <si>
    <t>cleric/oracle 2, paladin 2, inquisitor 2, shaman 2, spiritualist 2</t>
  </si>
  <si>
    <t>up to four creatures, no two of which can be more than 30 ft. apart</t>
  </si>
  <si>
    <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  The spell does not restore ability scores reduced by penalties, damage, or drain.</t>
  </si>
  <si>
    <t>&lt;p&gt;You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bonus.&lt;/p&gt;&lt;p&gt;The spell does not restore ability scores reduced by penalties, damage, or drain.&lt;/p&gt;</t>
  </si>
  <si>
    <t>&lt;link rel="stylesheet"href="PF.css"&gt;&lt;div class="heading"&gt;&lt;p class="alignleft"&gt;Remove Paralysis&lt;/p&gt;&lt;div style="clear: both;"&gt;&lt;/div&gt;&lt;/div&gt;&lt;div&gt;&lt;h5&gt;&lt;b&gt;School &lt;/b&gt;conjuration (healing); &lt;b&gt;Level &lt;/b&gt;cleric/oracle 2, paladin 2, inquisitor 2, shaman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four creatures, no two of which can be more than 30 ft. apart&lt;/h5&gt;&lt;h5&gt;&lt;b&gt;Duration &lt;/b&gt;instantaneous&lt;/h5&gt;&lt;h5&gt;&lt;b&gt;Saving Throw &lt;/b&gt;Will negates (harmless); &lt;b&gt;Spell Resistance &lt;/b&gt;yes (harmless)&lt;/h5&gt;&lt;/div&gt;&lt;hr/&gt;&lt;div&gt;&lt;h5&gt;&lt;b&gt;DESCRIPTION&lt;/b&gt;&lt;/h5&gt;&lt;/div&gt;&lt;hr/&gt;&lt;div&gt;&lt;h4&gt;&lt;p&gt;You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bonus.&lt;/p&gt;&lt;p&gt;The spell does not restore ability scores reduced by penalties, damage, or drain.&lt;/p&gt;&lt;/h4&gt;&lt;/div&gt;</t>
  </si>
  <si>
    <t>Liberation (2)</t>
  </si>
  <si>
    <t>Frees creatures from paralysis or slow effect.</t>
  </si>
  <si>
    <t>Repel Metal or Stone</t>
  </si>
  <si>
    <t>60-ft. line from you</t>
  </si>
  <si>
    <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  Objects such as metal armor, swords, and the like are pushed back, dragging their bearers with them. Even magic items with metal components are repelled, although an antimagic field blocks the effects. A creature being dragged by an item it is carrying can let go. A creature being dragged by a shield can loose it as a move action and drop it as a free action.  The waves of energy continue to sweep down the set path for the spell's duration. After you cast the spell, the path is set, and you can then do other things or go elsewhere without affecting the spell's power.</t>
  </si>
  <si>
    <t>&lt;p&gt;This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round.&lt;/p&gt;&lt;p&gt;Objects such as metal armor, swords, and the like are pushed back, dragging their bearers with them. Even magic items with metal components are repelled, although an &lt;i&gt;antimagic field&lt;/i&gt; blocks the effects. A creature being dragged by an item it is carrying can let go. A creature being dragged by a shield can loose it as a move action and drop it as a free action.&lt;/p&gt;&lt;p&gt;The waves of energy continue to sweep down the set path for the spell's duration. After you cast the spell, the path is set, and you can then do other things or go elsewhere without affecting the spell's power.&lt;/p&gt;</t>
  </si>
  <si>
    <t>&lt;link rel="stylesheet"href="PF.css"&gt;&lt;div class="heading"&gt;&lt;p class="alignleft"&gt;Repel Metal or Stone&lt;/p&gt;&lt;div style="clear: both;"&gt;&lt;/div&gt;&lt;/div&gt;&lt;div&gt;&lt;h5&gt;&lt;b&gt;School &lt;/b&gt;abjuration [earth]; &lt;b&gt;Level &lt;/b&gt;druid 8&lt;/h5&gt;&lt;/div&gt;&lt;hr/&gt;&lt;div&gt;&lt;h5&gt;&lt;b&gt;CASTING&lt;/b&gt;&lt;/h5&gt;&lt;/div&gt;&lt;hr/&gt;&lt;div&gt;&lt;h5&gt;&lt;b&gt;Casting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 from you&lt;/h5&gt;&lt;h5&gt;&lt;b&gt;Duration &lt;/b&gt;1 round/level (D)&lt;/h5&gt;&lt;h5&gt;&lt;b&gt;Saving Throw &lt;/b&gt;none; &lt;b&gt;Spell Resistance &lt;/b&gt;no&lt;/h5&gt;&lt;/div&gt;&lt;hr/&gt;&lt;div&gt;&lt;h5&gt;&lt;b&gt;DESCRIPTION&lt;/b&gt;&lt;/h5&gt;&lt;/div&gt;&lt;hr/&gt;&lt;div&gt;&lt;h4&gt;&lt;p&gt;This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round.&lt;/p&gt;&lt;p&gt;Objects such as metal armor, swords, and the like are pushed back, dragging their bearers with them. Even magic items with metal components are repelled, although an &lt;i&gt;antimagic field&lt;/i&gt; blocks the effects. A creature being dragged by an item it is carrying can let go. A creature being dragged by a shield can loose it as a move action and drop it as a free action.&lt;/p&gt;&lt;p&gt;The waves of energy continue to sweep down the set path for the spell's duration. After you cast the spell, the path is set, and you can then do other things or go elsewhere without affecting the spell's power.&lt;/p&gt;&lt;/h4&gt;&lt;/div&gt;</t>
  </si>
  <si>
    <t> Pushes away metal and stone.</t>
  </si>
  <si>
    <t>Deep Earth (15)</t>
  </si>
  <si>
    <t>Mountain (16)</t>
  </si>
  <si>
    <t>Repel Vermin</t>
  </si>
  <si>
    <t>bard 4, cleric/oracle 4, druid 4, ranger 3, shaman 4</t>
  </si>
  <si>
    <t>10-ft.-radius emanation centered on you</t>
  </si>
  <si>
    <t>An invisible barrier holds back vermin. A vermin with HD of less than one-third your level cannot penetrate the barrier.  A vermin with HD of one-third your level or more can penetrate the barrier if it succeeds on a Will save. Even so, crossing the barrier deals the vermin 2d6 points of damage, and pressing against the barrier causes pain, which deters most vermin.</t>
  </si>
  <si>
    <t>&lt;p&gt;An invisible barrier holds back vermin. A vermin with HD of less than one-third your level cannot penetrate the barrier.&lt;/p&gt;&lt;p&gt;A vermin with HD of one-third your level or more can penetrate the barrier if it succeeds on a Will save. Even so, crossing the barrier deals the vermin 2d6 points of damage, and pressing against the barrier causes pain, which deters most vermin.&lt;/p&gt;</t>
  </si>
  <si>
    <t>&lt;link rel="stylesheet"href="PF.css"&gt;&lt;div class="heading"&gt;&lt;p class="alignleft"&gt;Repel Vermin&lt;/p&gt;&lt;div style="clear: both;"&gt;&lt;/div&gt;&lt;/div&gt;&lt;div&gt;&lt;h5&gt;&lt;b&gt;School &lt;/b&gt;abjuration [pain]; &lt;b&gt;Level &lt;/b&gt;bard 4, cleric/oracle 4, druid 4, ranger 3, shaman 4&lt;/h5&gt;&lt;/div&gt;&lt;hr/&gt;&lt;div&gt;&lt;h5&gt;&lt;b&gt;CASTING&lt;/b&gt;&lt;/h5&gt;&lt;/div&gt;&lt;hr/&gt;&lt;div&gt;&lt;h5&gt;&lt;b&gt;Casting Time &lt;/b&gt;1 standard action&lt;/h5&gt;&lt;h5&gt;&lt;b&gt;Components &lt;/b&gt;V, S, DF&lt;/h5&gt;&lt;/div&gt;&lt;hr/&gt;&lt;div&gt;&lt;h5&gt;&lt;b&gt;EFFECT&lt;/b&gt;&lt;/h5&gt;&lt;/div&gt;&lt;hr/&gt;&lt;div&gt;&lt;h5&gt;&lt;b&gt;Range &lt;/b&gt;10 ft.&lt;/h5&gt;&lt;h5&gt;&lt;b&gt;Area &lt;/b&gt;10-ft.-radius emanation centered on you&lt;/h5&gt;&lt;h5&gt;&lt;b&gt;Duration &lt;/b&gt;10 min./level (D)&lt;/h5&gt;&lt;h5&gt;&lt;b&gt;Saving Throw &lt;/b&gt;none or Will negates; see text; &lt;b&gt;Spell Resistance &lt;/b&gt;yes&lt;/h5&gt;&lt;/div&gt;&lt;hr/&gt;&lt;div&gt;&lt;h5&gt;&lt;b&gt;DESCRIPTION&lt;/b&gt;&lt;/h5&gt;&lt;/div&gt;&lt;hr/&gt;&lt;div&gt;&lt;h4&gt;&lt;p&gt;An invisible barrier holds back vermin. A vermin with HD of less than one-third your level cannot penetrate the barrier.&lt;/p&gt;&lt;p&gt;A vermin with HD of one-third your level or more can penetrate the barrier if it succeeds on a Will save. Even so, crossing the barrier deals the vermin 2d6 points of damage, and pressing against the barrier causes pain, which deters most vermin.&lt;/p&gt;&lt;/h4&gt;&lt;/div&gt;</t>
  </si>
  <si>
    <t>Insects, spiders, and other vermin stay 10 ft. away.</t>
  </si>
  <si>
    <t>Pestilence (9)</t>
  </si>
  <si>
    <t>Repel Wood</t>
  </si>
  <si>
    <t>druid 6</t>
  </si>
  <si>
    <t>60-ft. line-shaped emanation from you</t>
  </si>
  <si>
    <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  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  Even magic items with wooden sections are repelled, although an antimagic field blocks the effects.  The waves of energy continue to sweep down the set path for the spell's duration. After you cast the spell, the path is set, and you can then do other things or go elsewhere without affecting the spell's power.</t>
  </si>
  <si>
    <t>&lt;p&gt;Waves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round.&lt;/p&gt;&lt;p&gt;Objects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splinters.&lt;/p&gt;&lt;p&gt;Even magic items with wooden sections are repelled, although an &lt;i&gt;antimagic field&lt;/i&gt; blocks the effects.&lt;/p&gt;&lt;p&gt;The waves of energy continue to sweep down the set path for the spell's duration. After you cast the spell, the path is set, and you can then do other things or go elsewhere without affecting the spell's power.&lt;/p&gt;</t>
  </si>
  <si>
    <t>&lt;link rel="stylesheet"href="PF.css"&gt;&lt;div class="heading"&gt;&lt;p class="alignleft"&gt;Repel Wood&lt;/p&gt;&lt;div style="clear: both;"&gt;&lt;/div&gt;&lt;/div&gt;&lt;div&gt;&lt;h5&gt;&lt;b&gt;School &lt;/b&gt;transmutation; &lt;b&gt;Level &lt;/b&gt;druid 6&lt;/h5&gt;&lt;/div&gt;&lt;hr/&gt;&lt;div&gt;&lt;h5&gt;&lt;b&gt;CASTING&lt;/b&gt;&lt;/h5&gt;&lt;/div&gt;&lt;hr/&gt;&lt;div&gt;&lt;h5&gt;&lt;b&gt;Casting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line-shaped emanation from you&lt;/h5&gt;&lt;h5&gt;&lt;b&gt;Duration &lt;/b&gt;1 min./level (D)&lt;/h5&gt;&lt;h5&gt;&lt;b&gt;Saving Throw &lt;/b&gt;none; &lt;b&gt;Spell Resistance &lt;/b&gt;no&lt;/h5&gt;&lt;/div&gt;&lt;hr/&gt;&lt;div&gt;&lt;h5&gt;&lt;b&gt;DESCRIPTION&lt;/b&gt;&lt;/h5&gt;&lt;/div&gt;&lt;hr/&gt;&lt;div&gt;&lt;h4&gt;&lt;p&gt;Waves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round.&lt;/p&gt;&lt;p&gt;Objects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splinters.&lt;/p&gt;&lt;p&gt;Even magic items with wooden sections are repelled, although an &lt;i&gt;antimagic field&lt;/i&gt; blocks the effects.&lt;/p&gt;&lt;p&gt;The waves of energy continue to sweep down the set path for the spell's duration. After you cast the spell, the path is set, and you can then do other things or go elsewhere without affecting the spell's power.&lt;/p&gt;&lt;/h4&gt;&lt;h5&gt;&lt;b&gt;Mythic: &lt;/b&gt;The casting time changes to 1 immediate action. You may cause one affected wooden object up to 5 inches in diameter to splinter and break.&lt;/h5&gt;&lt;h5&gt;&lt;b&gt;Augmented (3rd)&lt;/b&gt;: If you expend two uses of mythic power, the area changes to a 60-foot, cone-shaped emanation from you.&lt;/h5&gt;&lt;/div&gt;</t>
  </si>
  <si>
    <t>Plant (6)</t>
  </si>
  <si>
    <t> Pushes away wooden objects.</t>
  </si>
  <si>
    <t>Plant (12)</t>
  </si>
  <si>
    <t>The casting time changes to 1 immediate action. You may cause one affected wooden object up to 5 inches in diameter to splinter and break.</t>
  </si>
  <si>
    <t>Augmented (3rd): If you expend two uses of mythic power, the area changes to a 60-foot, cone-shaped emanation from you.</t>
  </si>
  <si>
    <t>Repulsion</t>
  </si>
  <si>
    <t>cleric/oracle 7, sorcerer/wizard 6, summoner 5, inquisitor 6, occultist 6, psychic 7, spiritualist 6</t>
  </si>
  <si>
    <t>V, S, F/DF (a pair of canine statuettes worth 50 gp)</t>
  </si>
  <si>
    <t>up to 10 ft./level</t>
  </si>
  <si>
    <t>up to 10-ft.-radius/level emanation centered on you</t>
  </si>
  <si>
    <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  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t>
  </si>
  <si>
    <t>&lt;p&gt;An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weapons.&lt;/p&gt;&lt;p&gt;If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area.&lt;/p&gt;</t>
  </si>
  <si>
    <t>&lt;link rel="stylesheet"href="PF.css"&gt;&lt;div class="heading"&gt;&lt;p class="alignleft"&gt;Repulsion&lt;/p&gt;&lt;div style="clear: both;"&gt;&lt;/div&gt;&lt;/div&gt;&lt;div&gt;&lt;h5&gt;&lt;b&gt;School &lt;/b&gt;abjuration; &lt;b&gt;Level &lt;/b&gt;cleric/oracle 7, sorcerer/wizard 6, summoner 5, inquisitor 6, occultist 6, psychic 7, spiritualist 6&lt;/h5&gt;&lt;/div&gt;&lt;hr/&gt;&lt;div&gt;&lt;h5&gt;&lt;b&gt;CASTING&lt;/b&gt;&lt;/h5&gt;&lt;/div&gt;&lt;hr/&gt;&lt;div&gt;&lt;h5&gt;&lt;b&gt;Casting Time &lt;/b&gt;1 standard action&lt;/h5&gt;&lt;h5&gt;&lt;b&gt;Components &lt;/b&gt;V, S, F/DF (a pair of canine statuettes worth 50 gp)&lt;/h5&gt;&lt;/div&gt;&lt;hr/&gt;&lt;div&gt;&lt;h5&gt;&lt;b&gt;EFFECT&lt;/b&gt;&lt;/h5&gt;&lt;/div&gt;&lt;hr/&gt;&lt;div&gt;&lt;h5&gt;&lt;b&gt;Range &lt;/b&gt;up to 10 ft./level&lt;/h5&gt;&lt;h5&gt;&lt;b&gt;Area &lt;/b&gt;up to 10-ft.-radius/level emanation centered on you&lt;/h5&gt;&lt;h5&gt;&lt;b&gt;Duration &lt;/b&gt;1 round/level (D)&lt;/h5&gt;&lt;h5&gt;&lt;b&gt;Saving Throw &lt;/b&gt;Will negates; &lt;b&gt;Spell Resistance &lt;/b&gt;yes&lt;/h5&gt;&lt;/div&gt;&lt;hr/&gt;&lt;div&gt;&lt;h5&gt;&lt;b&gt;DESCRIPTION&lt;/b&gt;&lt;/h5&gt;&lt;/div&gt;&lt;hr/&gt;&lt;div&gt;&lt;h4&gt;&lt;p&gt;An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weapons.&lt;/p&gt;&lt;p&gt;If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area.&lt;/p&gt;&lt;/h4&gt;&lt;/div&gt;</t>
  </si>
  <si>
    <t>Nobility (7), Protection (7)</t>
  </si>
  <si>
    <t>Creatures can’t approach you.</t>
  </si>
  <si>
    <t>Imperious (13), Starsoul (13)</t>
  </si>
  <si>
    <t>Thorns (14)</t>
  </si>
  <si>
    <t>Resilient Sphere</t>
  </si>
  <si>
    <t>V, S, F (a crystal sphere)</t>
  </si>
  <si>
    <t>1-ft.-diameter/level sphere, centered around a creature</t>
  </si>
  <si>
    <t>A globe of shimmering force encloses a creature, provided the creature is small enough to fit within the diameter of the sphere.  The sphere contains its subject for the spell's duration. The sphere functions as a wall of force, except that it can be negated by dispel magic. A subject inside the sphere can breathe normally.  The sphere cannot be physically moved either by people outside it or by the struggles of those within.</t>
  </si>
  <si>
    <t>&lt;p&gt;A globe of shimmering force encloses a creature, provided the creature is small enough to fit within the diameter of the sphere.&lt;/p&gt;&lt;p&gt;The sphere contains its subject for the spell's duration. The sphere functions as a &lt;i&gt;wall of force&lt;/i&gt;, except that it can be negated by dispel magic. A subject inside the sphere can breathe normally.&lt;/p&gt;&lt;p&gt;The sphere cannot be physically moved either by people outside it or by the struggles of those within.&lt;/p&gt;</t>
  </si>
  <si>
    <t>&lt;link rel="stylesheet"href="PF.css"&gt;&lt;div class="heading"&gt;&lt;p class="alignleft"&gt;Resilient Sphere&lt;/p&gt;&lt;div style="clear: both;"&gt;&lt;/div&gt;&lt;/div&gt;&lt;div&gt;&lt;h5&gt;&lt;b&gt;School &lt;/b&gt;evocation [force]; &lt;b&gt;Level &lt;/b&gt;sorcerer/wizard 4, occultist 4, psychic 4&lt;/h5&gt;&lt;/div&gt;&lt;hr/&gt;&lt;div&gt;&lt;h5&gt;&lt;b&gt;CASTING&lt;/b&gt;&lt;/h5&gt;&lt;/div&gt;&lt;hr/&gt;&lt;div&gt;&lt;h5&gt;&lt;b&gt;Casting Time &lt;/b&gt;1 standard action&lt;/h5&gt;&lt;h5&gt;&lt;b&gt;Components &lt;/b&gt;V, S, F (a crystal sphere)&lt;/h5&gt;&lt;/div&gt;&lt;hr/&gt;&lt;div&gt;&lt;h5&gt;&lt;b&gt;EFFECT&lt;/b&gt;&lt;/h5&gt;&lt;/div&gt;&lt;hr/&gt;&lt;div&gt;&lt;h5&gt;&lt;b&gt;Range &lt;/b&gt;close (25 ft. + 5 ft./2 levels)&lt;/h5&gt;&lt;h5&gt;&lt;b&gt;Effect &lt;/b&gt;1-ft.-diameter/level sphere, centered around a creature&lt;/h5&gt;&lt;h5&gt;&lt;b&gt;Duration &lt;/b&gt;1 min./level (D)&lt;/h5&gt;&lt;h5&gt;&lt;b&gt;Saving Throw &lt;/b&gt;Reflex negates; &lt;b&gt;Spell Resistance &lt;/b&gt;yes&lt;/h5&gt;&lt;/div&gt;&lt;hr/&gt;&lt;div&gt;&lt;h5&gt;&lt;b&gt;DESCRIPTION&lt;/b&gt;&lt;/h5&gt;&lt;/div&gt;&lt;hr/&gt;&lt;div&gt;&lt;h4&gt;&lt;p&gt;A globe of shimmering force encloses a creature, provided the creature is small enough to fit within the diameter of the sphere.&lt;/p&gt;&lt;p&gt;The sphere contains its subject for the spell's duration. The sphere functions as a &lt;i&gt;wall of force&lt;/i&gt;, except that it can be negated by dispel magic. A subject inside the sphere can breathe normally.&lt;/p&gt;&lt;p&gt;The sphere cannot be physically moved either by people outside it or by the struggles of those within.&lt;/p&gt;&lt;/h4&gt;&lt;/div&gt;</t>
  </si>
  <si>
    <t> Force globe protects but traps one subject.</t>
  </si>
  <si>
    <t>Resistance</t>
  </si>
  <si>
    <t>bard 0, cleric/oracle 0, druid 0, paladin 1, sorcerer/wizard 0, summoner 0, witch 0, inquisitor 0, shaman 0, occultist 0, psychic 0, spiritualist 0</t>
  </si>
  <si>
    <t>V, S, M/DF (a miniature cloak)</t>
  </si>
  <si>
    <t>You imbue the subject with magical energy that protects it from harm, granting it a +1 resistance bonus on saves.  Resistance can be made permanent with a permanency spell.</t>
  </si>
  <si>
    <t>&lt;p&gt;You imbue the subject with magical energy that protects it from harm, granting it a +1 resistance bonus on saves.&lt;/p&gt;&lt;p&gt;&lt;i&gt;Resistance&lt;/i&gt; can be made permanent with a &lt;i&gt;permanency&lt;/i&gt; spell.&lt;/p&gt;</t>
  </si>
  <si>
    <t>&lt;link rel="stylesheet"href="PF.css"&gt;&lt;div class="heading"&gt;&lt;p class="alignleft"&gt;Resistance&lt;/p&gt;&lt;div style="clear: both;"&gt;&lt;/div&gt;&lt;/div&gt;&lt;div&gt;&lt;h5&gt;&lt;b&gt;School &lt;/b&gt;abjuration; &lt;b&gt;Level &lt;/b&gt;bard 0, cleric/oracle 0, druid 0, paladin 1, sorcerer/wizard 0, summoner 0, witch 0, inquisitor 0, shaman 0, occultist 0, psychic 0, spiritualist 0&lt;/h5&gt;&lt;/div&gt;&lt;hr/&gt;&lt;div&gt;&lt;h5&gt;&lt;b&gt;CASTING&lt;/b&gt;&lt;/h5&gt;&lt;/div&gt;&lt;hr/&gt;&lt;div&gt;&lt;h5&gt;&lt;b&gt;Casting Time &lt;/b&gt;1 standard action&lt;/h5&gt;&lt;h5&gt;&lt;b&gt;Components &lt;/b&gt;V, S, M/DF (a miniature cloak)&lt;/h5&gt;&lt;/div&gt;&lt;hr/&gt;&lt;div&gt;&lt;h5&gt;&lt;b&gt;EFFECT&lt;/b&gt;&lt;/h5&gt;&lt;/div&gt;&lt;hr/&gt;&lt;div&gt;&lt;h5&gt;&lt;b&gt;Range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(harmless)&lt;/h5&gt;&lt;/div&gt;&lt;hr/&gt;&lt;div&gt;&lt;h5&gt;&lt;b&gt;DESCRIPTION&lt;/b&gt;&lt;/h5&gt;&lt;/div&gt;&lt;hr/&gt;&lt;div&gt;&lt;h4&gt;&lt;p&gt;You imbue the subject with magical energy that protects it from harm, granting it a +1 resistance bonus on saves.&lt;/p&gt;&lt;p&gt;&lt;i&gt;Resistance&lt;/i&gt; can be made permanent with a &lt;i&gt;permanency&lt;/i&gt; spell.&lt;/p&gt;&lt;/h4&gt;&lt;/div&gt;</t>
  </si>
  <si>
    <t>Subject gains +1 on saving throws.</t>
  </si>
  <si>
    <t>Resist Energy</t>
  </si>
  <si>
    <t>alchemist 2, cleric/oracle 2, druid 2, inquisitor 2, paladin 2, ranger 1, sorcerer/wizard 2, summoner 2, bloodrager 2, shaman 2, occultist 2, psychic 2, spiritualist 2</t>
  </si>
  <si>
    <t>This abjuration grants a creature limited protection from damage of whichever one of five energy types you select: acid, cold, electricity, fire, or sonic. The subject gains resist energy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  Resist energy absorbs only damage. The subject could still suffer unfortunate side effects.  Resist energy overlaps (and does not stack with) protection from energy. If a character is warded by protection from energy and resist energy, the protection spell absorbs damage until its power is exhausted.</t>
  </si>
  <si>
    <t>&lt;p&gt;This abjuration grants a creature limited &lt;i&gt;protection&lt;/i&gt; from damage of whichever one of five energy types you select: acid, cold, electricity, fire, or sonic. The subject gains &lt;i&gt;resist energy&lt;/i&gt;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well.&lt;/p&gt;&lt;p&gt;&lt;i&gt;Resist energy&lt;/i&gt; absorbs only damage. The subject could still suffer unfortunate side effects.&lt;/p&gt;&lt;p&gt;&lt;i&gt;Resist energy&lt;/i&gt; overlaps (and does not stack with) &lt;i&gt;&lt;i&gt;protection&lt;/i&gt; from energy&lt;/i&gt;. If a character is warded by &lt;i&gt;&lt;i&gt;protection&lt;/i&gt; from energy&lt;/i&gt; and &lt;i&gt;resist energy&lt;/i&gt;, the &lt;i&gt;protection&lt;/i&gt; spell absorbs damage until its power is exhausted.&lt;/p&gt;</t>
  </si>
  <si>
    <t>&lt;link rel="stylesheet"href="PF.css"&gt;&lt;div class="heading"&gt;&lt;p class="alignleft"&gt;Resist Energy&lt;/p&gt;&lt;div style="clear: both;"&gt;&lt;/div&gt;&lt;/div&gt;&lt;div&gt;&lt;h5&gt;&lt;b&gt;School &lt;/b&gt;abjuration; &lt;b&gt;Level &lt;/b&gt;alchemist 2, cleric/oracle 2, druid 2, inquisitor 2, paladin 2, ranger 1, sorcerer/wizard 2, summoner 2, bloodrager 2, shaman 2, occultist 2, psychic 2, spiritualist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&lt;/b&gt;Fortitude negates (harmless); &lt;b&gt;Spell Resistance &lt;/b&gt;yes (harmless)&lt;/h5&gt;&lt;/div&gt;&lt;hr/&gt;&lt;div&gt;&lt;h5&gt;&lt;b&gt;DESCRIPTION&lt;/b&gt;&lt;/h5&gt;&lt;/div&gt;&lt;hr/&gt;&lt;div&gt;&lt;h4&gt;&lt;p&gt;This abjuration grants a creature limited &lt;i&gt;protection&lt;/i&gt; from damage of whichever one of five energy types you select: acid, cold, electricity, fire, or sonic. The subject gains &lt;i&gt;resist energy&lt;/i&gt;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well.&lt;/p&gt;&lt;p&gt;&lt;i&gt;Resist energy&lt;/i&gt; absorbs only damage. The subject could still suffer unfortunate side effects.&lt;/p&gt;&lt;p&gt;&lt;i&gt;Resist energy&lt;/i&gt; overlaps (and does not stack with) &lt;i&gt;&lt;i&gt;protection&lt;/i&gt; from energy&lt;/i&gt;. If a character is warded by &lt;i&gt;&lt;i&gt;protection&lt;/i&gt; from energy&lt;/i&gt; and &lt;i&gt;resist energy&lt;/i&gt;, the &lt;i&gt;protection&lt;/i&gt; spell absorbs damage until its power is exhausted.&lt;/p&gt;&lt;/h4&gt;&lt;h5&gt;&lt;b&gt;Mythic: &lt;/b&gt;The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11.&lt;/h5&gt;&lt;/div&gt;</t>
  </si>
  <si>
    <t>Ignores 10 (or more) points of damage/attack from specified energy type.</t>
  </si>
  <si>
    <t>Celestial (5), Draconic (5)</t>
  </si>
  <si>
    <t>Winter (4)</t>
  </si>
  <si>
    <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t>
  </si>
  <si>
    <t>Restoration</t>
  </si>
  <si>
    <t>cleric/oracle 4, paladin 4, shaman 4, mesmerist 4, spiritualist 4</t>
  </si>
  <si>
    <t>V, S, M (diamond dust worth 100 gp or 1,000 gp, see text)</t>
  </si>
  <si>
    <t>This spell functions like lesser restoration,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  Restoration cures all temporary ability damage, and it restores all points permanently drained from a single ability score (your choice if more than one is drained). It also eliminates any fatigue or exhaustion suffered by the target.</t>
  </si>
  <si>
    <t>&lt;p&gt;This spell functions like &lt;i&gt;lesser restoration&lt;/i&gt;,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period.&lt;/p&gt;&lt;p&gt;&lt;i&gt;Restoration&lt;/i&gt; cures all temporary ability damage, and it restores all points permanently drained from a single ability score (your choice if more than one is drained). It also eliminates any fatigue or exhaustion suffered by the target.&lt;/p&gt;</t>
  </si>
  <si>
    <t>&lt;link rel="stylesheet"href="PF.css"&gt;&lt;div class="heading"&gt;&lt;p class="alignleft"&gt;Restoration&lt;/p&gt;&lt;div style="clear: both;"&gt;&lt;/div&gt;&lt;/div&gt;&lt;div&gt;&lt;h5&gt;&lt;b&gt;School &lt;/b&gt;conjuration (healing); &lt;b&gt;Level &lt;/b&gt;cleric/oracle 4, paladin 4, shaman 4, mesmerist 4, spiritualist 4&lt;/h5&gt;&lt;/div&gt;&lt;hr/&gt;&lt;div&gt;&lt;h5&gt;&lt;b&gt;CASTING&lt;/b&gt;&lt;/h5&gt;&lt;/div&gt;&lt;hr/&gt;&lt;div&gt;&lt;h5&gt;&lt;b&gt;Casting Time &lt;/b&gt;3 rounds&lt;/h5&gt;&lt;h5&gt;&lt;b&gt;Components &lt;/b&gt;V, S, M (diamond dust worth 100 gp or 1,000 gp, see text)&lt;/h5&gt;&lt;/div&gt;&lt;hr/&gt;&lt;div&gt;&lt;h5&gt;&lt;b&gt;EFFECT&lt;/b&gt;&lt;/h5&gt;&lt;/div&gt;&lt;hr/&gt;&lt;div&gt;&lt;h5&gt;&lt;b&gt;Range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(harmless)&lt;/h5&gt;&lt;/div&gt;&lt;hr/&gt;&lt;div&gt;&lt;h5&gt;&lt;b&gt;DESCRIPTION&lt;/b&gt;&lt;/h5&gt;&lt;/div&gt;&lt;hr/&gt;&lt;div&gt;&lt;h4&gt;&lt;p&gt;This spell functions like &lt;i&gt;lesser restoration&lt;/i&gt;,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period.&lt;/p&gt;&lt;p&gt;&lt;i&gt;Restoration&lt;/i&gt; cures all temporary ability damage, and it restores all points permanently drained from a single ability score (your choice if more than one is drained). It also eliminates any fatigue or exhaustion suffered by the target.&lt;/p&gt;&lt;/h4&gt;&lt;/div&gt;</t>
  </si>
  <si>
    <t>Restores level and ability score drains.</t>
  </si>
  <si>
    <t>Healing (8)</t>
  </si>
  <si>
    <t>Restoration, Greater</t>
  </si>
  <si>
    <t>cleric/oracle 7, shaman 7</t>
  </si>
  <si>
    <t>V, S, M (diamond dust 5,000 gp)</t>
  </si>
  <si>
    <t>This spell functions like lesser restoration, except that it dispels all permanent and temporary negative levels afflicting the healed creature. Greater restoration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t>
  </si>
  <si>
    <t>&lt;p&gt;This spell functions like &lt;i&gt;lesser restoration,&lt;/i&gt; except that it dispels all permanent and temporary negative levels afflicting the healed creature. &lt;i&gt;Greater restoration&lt;/i&gt;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effects.&lt;/p&gt;</t>
  </si>
  <si>
    <t>&lt;link rel="stylesheet"href="PF.css"&gt;&lt;div class="heading"&gt;&lt;p class="alignleft"&gt;Restoration, Greater&lt;/p&gt;&lt;div style="clear: both;"&gt;&lt;/div&gt;&lt;/div&gt;&lt;div&gt;&lt;h5&gt;&lt;b&gt;School &lt;/b&gt;conjuration (healing); &lt;b&gt;Level &lt;/b&gt;cleric/oracle 7, shaman 7&lt;/h5&gt;&lt;/div&gt;&lt;hr/&gt;&lt;div&gt;&lt;h5&gt;&lt;b&gt;CASTING&lt;/b&gt;&lt;/h5&gt;&lt;/div&gt;&lt;hr/&gt;&lt;div&gt;&lt;h5&gt;&lt;b&gt;Casting Time &lt;/b&gt;1 minute&lt;/h5&gt;&lt;h5&gt;&lt;b&gt;Components &lt;/b&gt;V, S, M (diamond dust 5,000 gp)&lt;/h5&gt;&lt;/div&gt;&lt;hr/&gt;&lt;div&gt;&lt;h5&gt;&lt;b&gt;EFFECT&lt;/b&gt;&lt;/h5&gt;&lt;/div&gt;&lt;hr/&gt;&lt;div&gt;&lt;h5&gt;&lt;b&gt;Range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(harmless)&lt;/h5&gt;&lt;/div&gt;&lt;hr/&gt;&lt;div&gt;&lt;h5&gt;&lt;b&gt;DESCRIPTION&lt;/b&gt;&lt;/h5&gt;&lt;/div&gt;&lt;hr/&gt;&lt;div&gt;&lt;h4&gt;&lt;p&gt;This spell functions like &lt;i&gt;lesser restoration,&lt;/i&gt; except that it dispels all permanent and temporary negative levels afflicting the healed creature. &lt;i&gt;Greater restoration&lt;/i&gt;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effects.&lt;/p&gt;&lt;/h4&gt;&lt;/div&gt;</t>
  </si>
  <si>
    <t> As restoration, plus restores all levels and ability scores.</t>
  </si>
  <si>
    <t>Endurance (14), Healing (14)</t>
  </si>
  <si>
    <t>Restoration, Lesser</t>
  </si>
  <si>
    <t>cleric/oracle 2, druid 2, paladin 1, inquisitor 2, alchemist 2, shaman 2, mesmerist 2, spiritualist 2</t>
  </si>
  <si>
    <t>Lesser restoration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t>
  </si>
  <si>
    <t>&lt;p&gt;&lt;i&gt;Lesser restoration&lt;/i&gt;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drain.&lt;/p&gt;</t>
  </si>
  <si>
    <t>&lt;link rel="stylesheet"href="PF.css"&gt;&lt;div class="heading"&gt;&lt;p class="alignleft"&gt;Restoration, Lesser&lt;/p&gt;&lt;div style="clear: both;"&gt;&lt;/div&gt;&lt;/div&gt;&lt;div&gt;&lt;h5&gt;&lt;b&gt;School &lt;/b&gt;conjuration (healing); &lt;b&gt;Level &lt;/b&gt;cleric/oracle 2, druid 2, paladin 1, inquisitor 2, alchemist 2, shaman 2, mesmerist 2, spiritualist 2&lt;/h5&gt;&lt;/div&gt;&lt;hr/&gt;&lt;div&gt;&lt;h5&gt;&lt;b&gt;CASTING&lt;/b&gt;&lt;/h5&gt;&lt;/div&gt;&lt;hr/&gt;&lt;div&gt;&lt;h5&gt;&lt;b&gt;Casting Time &lt;/b&gt;3 rounds&lt;/h5&gt;&lt;h5&gt;&lt;b&gt;Components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(harmless)&lt;/h5&gt;&lt;/div&gt;&lt;hr/&gt;&lt;div&gt;&lt;h5&gt;&lt;b&gt;DESCRIPTION&lt;/b&gt;&lt;/h5&gt;&lt;/div&gt;&lt;hr/&gt;&lt;div&gt;&lt;h4&gt;&lt;p&gt;&lt;i&gt;Lesser restoration&lt;/i&gt;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drain.&lt;/p&gt;&lt;/h4&gt;&lt;/div&gt;</t>
  </si>
  <si>
    <t>Dispels magical ability penalty or repairs 1d4 ability damage.</t>
  </si>
  <si>
    <t>Resurrection</t>
  </si>
  <si>
    <t>V, S, M (diamond worth 10,000 gp), DF</t>
  </si>
  <si>
    <t>This spell functions like raise dead, except that you are able to restore life and complete strength to any deceased creature.  The condition of the remains is not a factor. So long as some small portion of the creature's body still exists, it can be resurrected, but the portion receiving the spell must have been part of the creature's body at the time of death. (The remains of a creature hit by a disintegrate spell count as a small portion of its body.) The creature can have been dead no longer than 10 years per caster level.  Upon completion of the spell, the creature is immediately restored to full hit points, vigor, and health, with no loss of prepared spells.  The subject of the spell gains one permanent negative level when it is raised, just as if it had been hit by an energy-draining creature. If the subject is 1st level, it takes 2 points of Constitution drain instead (if this would reduce its Con to 0 or less, it can't be resurrected).  You can resurrect someone killed by a death effect or someone who has been turned into an undead creature and then destroyed.  You cannot resurrect someone who has died of old age. Constructs, elementals, outsiders, and undead creatures can't be resurrected.</t>
  </si>
  <si>
    <t>&lt;p&gt;This spell functions like &lt;i&gt;raise dead,&lt;/i&gt; except that you are able to restore life and complete strength to any deceased creature.&lt;/p&gt;&lt;p&gt;The condition of the remains is not a factor. So long as some small portion of the creature's body still exists, it can be resurrected, but the portion receiving the spell must have been part of the creature's body at the time of death. (The remains of a creature hit by a &lt;i&gt;disintegrate&lt;/i&gt; spell count as a small portion of its body.) The creature can have been dead no longer than 10 years per caster level.&lt;/p&gt;&lt;p&gt;Upon completion of the spell, the creature is immediately restored to full hit points, vigor, and health, with no loss of prepared spells.&lt;/p&gt;&lt;p&gt;The subject of the spell gains one permanent negative level when it is raised, just as if it had been hit by an energy-draining creature. If the subject is 1st level, it takes 2 points of Constitution drain instead (if this would reduce its Con to 0 or less, it can't be resurrected).&lt;/p&gt;&lt;p&gt;You can resurrect someone killed by a death effect or someone who has been turned into an undead creature and then destroyed.&lt;/p&gt;&lt;p&gt;You cannot resurrect someone who has died of old age. Constructs, elementals, outsiders, and undead creatures can't be resurrected.&lt;/p&gt;</t>
  </si>
  <si>
    <t>&lt;link rel="stylesheet"href="PF.css"&gt;&lt;div class="heading"&gt;&lt;p class="alignleft"&gt;Resurrection&lt;/p&gt;&lt;div style="clear: both;"&gt;&lt;/div&gt;&lt;/div&gt;&lt;div&gt;&lt;h5&gt;&lt;b&gt;School &lt;/b&gt;conjuration (healing); &lt;b&gt;Level &lt;/b&gt;cleric/oracle 7, witch 8, shaman 8&lt;/h5&gt;&lt;/div&gt;&lt;hr/&gt;&lt;div&gt;&lt;h5&gt;&lt;b&gt;CASTING&lt;/b&gt;&lt;/h5&gt;&lt;/div&gt;&lt;hr/&gt;&lt;div&gt;&lt;h5&gt;&lt;b&gt;Casting Time &lt;/b&gt;1 minute&lt;/h5&gt;&lt;h5&gt;&lt;b&gt;Components &lt;/b&gt;V, S, M (diamond worth 10,000 gp), DF&lt;/h5&gt;&lt;/div&gt;&lt;hr/&gt;&lt;div&gt;&lt;h5&gt;&lt;b&gt;EFFECT&lt;/b&gt;&lt;/h5&gt;&lt;/div&gt;&lt;hr/&gt;&lt;div&gt;&lt;h5&gt;&lt;b&gt;Range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functions like &lt;i&gt;raise dead,&lt;/i&gt; except that you are able to restore life and complete strength to any deceased creature.&lt;/p&gt;&lt;p&gt;The condition of the remains is not a factor. So long as some small portion of the creature's body still exists, it can be resurrected, but the portion receiving the spell must have been part of the creature's body at the time of death. (The remains of a creature hit by a &lt;i&gt;disintegrate&lt;/i&gt; spell count as a small portion of its body.) The creature can have been dead no longer than 10 years per caster level.&lt;/p&gt;&lt;p&gt;Upon completion of the spell, the creature is immediately restored to full hit points, vigor, and health, with no loss of prepared spells.&lt;/p&gt;&lt;p&gt;The subject of the spell gains one permanent negative level when it is raised, just as if it had been hit by an energy-draining creature. If the subject is 1st level, it takes 2 points of Constitution drain instead (if this would reduce its Con to 0 or less, it can't be resurrected).&lt;/p&gt;&lt;p&gt;You can resurrect someone killed by a death effect or someone who has been turned into an undead creature and then destroyed.&lt;/p&gt;&lt;p&gt;You cannot resurrect someone who has died of old age. Constructs, elementals, outsiders, and undead creatures can't be resurrected.&lt;/p&gt;&lt;/h4&gt;&lt;/div&gt;</t>
  </si>
  <si>
    <t>Divine (7), Resurrection (7)</t>
  </si>
  <si>
    <t> Fully restore dead subject.</t>
  </si>
  <si>
    <t>Reverse Gravity</t>
  </si>
  <si>
    <t>V, S, M/DF (lodestone and iron filings)</t>
  </si>
  <si>
    <t>up to one 10-ft. cube/level (S)</t>
  </si>
  <si>
    <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  Provided it has something to hold onto, a creature caught in the area can attempt a Reflex save to secure itself when the spell strikes.  Creatures who can fly or levitate can keep themselves from falling.</t>
  </si>
  <si>
    <t>&lt;p&gt;This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downward.&lt;/p&gt;&lt;p&gt;Provided it has something to hold onto, a creature caught in the area can attempt a Reflex save to secure itself when the spell strikes.&lt;/p&gt;&lt;p&gt;Creatures who can fly or levitate can keep themselves from falling.&lt;/p&gt;</t>
  </si>
  <si>
    <t>&lt;link rel="stylesheet"href="PF.css"&gt;&lt;div class="heading"&gt;&lt;p class="alignleft"&gt;Reverse Gravity&lt;/p&gt;&lt;div style="clear: both;"&gt;&lt;/div&gt;&lt;/div&gt;&lt;div&gt;&lt;h5&gt;&lt;b&gt;School &lt;/b&gt;transmutation; &lt;b&gt;Level &lt;/b&gt;druid 8, sorcerer/wizard 7, psychic 7&lt;/h5&gt;&lt;/div&gt;&lt;hr/&gt;&lt;div&gt;&lt;h5&gt;&lt;b&gt;CASTING&lt;/b&gt;&lt;/h5&gt;&lt;/div&gt;&lt;hr/&gt;&lt;div&gt;&lt;h5&gt;&lt;b&gt;Casting Time &lt;/b&gt;1 standard action&lt;/h5&gt;&lt;h5&gt;&lt;b&gt;Components &lt;/b&gt;V, S, M/DF (lodestone and iron filings)&lt;/h5&gt;&lt;/div&gt;&lt;hr/&gt;&lt;div&gt;&lt;h5&gt;&lt;b&gt;EFFECT&lt;/b&gt;&lt;/h5&gt;&lt;/div&gt;&lt;hr/&gt;&lt;div&gt;&lt;h5&gt;&lt;b&gt;Range &lt;/b&gt;medium (100 ft. + 10 ft./level)&lt;/h5&gt;&lt;h5&gt;&lt;b&gt;Area &lt;/b&gt;up to one 10-ft. cube/level (S)&lt;/h5&gt;&lt;h5&gt;&lt;b&gt;Duration &lt;/b&gt;1 round/level (D)&lt;/h5&gt;&lt;h5&gt;&lt;b&gt;Saving Throw &lt;/b&gt;none; see text; &lt;b&gt;Spell Resistance &lt;/b&gt;no&lt;/h5&gt;&lt;/div&gt;&lt;hr/&gt;&lt;div&gt;&lt;h5&gt;&lt;b&gt;DESCRIPTION&lt;/b&gt;&lt;/h5&gt;&lt;/div&gt;&lt;hr/&gt;&lt;div&gt;&lt;h4&gt;&lt;p&gt;This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downward.&lt;/p&gt;&lt;p&gt;Provided it has something to hold onto, a creature caught in the area can attempt a Reflex save to secure itself when the spell strikes.&lt;/p&gt;&lt;p&gt;Creatures who can fly or levitate can keep themselves from falling.&lt;/p&gt;&lt;/h4&gt;&lt;h5&gt;&lt;b&gt;Mythic: &lt;/b&gt;Creatures in the area or that enter the area must succeed at a Fortitude save or be nauseated.&lt;/h5&gt;&lt;h5&gt;&lt;b&gt;Augmented (8th)&lt;/b&gt;: If you expend three uses of mythic power, once per round as a move action you may select one secured creature (one that succeeded at its Reflex save) or attached object (such as a tree or cottage) and force it to attempt a Fortitude save against the spell. The selected creature or object can weigh no more than 100 pounds per caster level. If it fails the save, it's pulled free and falls upward.&lt;/h5&gt;&lt;/div&gt;</t>
  </si>
  <si>
    <t>Void (7)</t>
  </si>
  <si>
    <t>Objects and creatures fall upward.</t>
  </si>
  <si>
    <t>Starsoul (15)</t>
  </si>
  <si>
    <t>Trickery (14)</t>
  </si>
  <si>
    <t>Creatures in the area or that enter the area must succeed at a Fortitude save or be nauseated.</t>
  </si>
  <si>
    <t>Augmented (8th): If you expend three uses of mythic power, once per round as a move action you may select one secured creature (one that succeeded at its Reflex save) or attached object (such as a tree or cottage) and force it to attempt a Fortitude save against the spell. The selected creature or object can weigh no more than 100 pounds per caster level. If it fails the save, it's pulled free and falls upward.</t>
  </si>
  <si>
    <t>Righteous Might</t>
  </si>
  <si>
    <t>cleric/oracle 5, inquisitor 5</t>
  </si>
  <si>
    <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  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  All equipment you wear or carry is similarly enlarged by the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t>
  </si>
  <si>
    <t>&lt;p&gt;Your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size.&lt;/p&gt;&lt;p&gt;If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size.&lt;/p&gt;&lt;p&gt;All equipment you wear or carry is similarly enlarged by the spell.&lt;/p&gt;&lt;p&gt;Melee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stack.&lt;/p&gt;</t>
  </si>
  <si>
    <t>&lt;link rel="stylesheet"href="PF.css"&gt;&lt;div class="heading"&gt;&lt;p class="alignleft"&gt;Righteous Might&lt;/p&gt;&lt;div style="clear: both;"&gt;&lt;/div&gt;&lt;/div&gt;&lt;div&gt;&lt;h5&gt;&lt;b&gt;School &lt;/b&gt;transmutation; &lt;b&gt;Level &lt;/b&gt;cleric/oracle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size.&lt;/p&gt;&lt;p&gt;If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size.&lt;/p&gt;&lt;p&gt;All equipment you wear or carry is similarly enlarged by the spell.&lt;/p&gt;&lt;p&gt;Melee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stack.&lt;/p&gt;&lt;/h4&gt;&lt;/div&gt;</t>
  </si>
  <si>
    <t>Glory (5), Growth (5), Strength (5)</t>
  </si>
  <si>
    <t> Your size increases, and you gain bonuses in combat.</t>
  </si>
  <si>
    <t>Strength (10)</t>
  </si>
  <si>
    <t>Rope Trick</t>
  </si>
  <si>
    <t>sorcerer/wizard 2, occultist 2, psychic 2</t>
  </si>
  <si>
    <t>V, S, M (powdered corn and a twisted loop of parchment)</t>
  </si>
  <si>
    <t>one touched piece of rope from 5 ft. to 30 ft. long</t>
  </si>
  <si>
    <t>When this spell is cast upon a piece of rope from 5 to 30 feet long, one end of the rope rises into the air until the whole rope hangs perpendicular to the ground, as if affixed at the upper end.  The upper end is, in fact, fastened to an extradimensional space that is outside the usual multiverse of extradimensional spaces.  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  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rope trick spell enables climbers to reach a normal place if they do not climb all the way to the extradimensional space.</t>
  </si>
  <si>
    <t>&lt;p&gt;When this spell is cast upon a piece of rope from 5 to 30 feet long, one end of the rope rises into the air until the whole rope hangs perpendicular to the ground, as if affixed at the upper end.&lt;/p&gt;&lt;p&gt;The upper end is, in fact, fastened to an extradimensional space that is outside the usual multiverse of extradimensional spaces.&lt;/p&gt;&lt;p&gt;Creatures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free.&lt;/p&gt;&lt;p&gt;Spells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&lt;i&gt;rope trick&lt;/i&gt; spell enables climbers to reach a normal place if they do not climb all the way to the extradimensional space.&lt;/p&gt;</t>
  </si>
  <si>
    <t>&lt;link rel="stylesheet"href="PF.css"&gt;&lt;div class="heading"&gt;&lt;p class="alignleft"&gt;Rope Trick&lt;/p&gt;&lt;div style="clear: both;"&gt;&lt;/div&gt;&lt;/div&gt;&lt;div&gt;&lt;h5&gt;&lt;b&gt;School &lt;/b&gt;transmutation; &lt;b&gt;Level &lt;/b&gt;sorcerer/wizard 2, occultist 2, psychic 2&lt;/h5&gt;&lt;/div&gt;&lt;hr/&gt;&lt;div&gt;&lt;h5&gt;&lt;b&gt;CASTING&lt;/b&gt;&lt;/h5&gt;&lt;/div&gt;&lt;hr/&gt;&lt;div&gt;&lt;h5&gt;&lt;b&gt;Casting Time &lt;/b&gt;1 standard action&lt;/h5&gt;&lt;h5&gt;&lt;b&gt;Components &lt;/b&gt;V, S, M (powdered corn and a twisted loop of parchment)&lt;/h5&gt;&lt;/div&gt;&lt;hr/&gt;&lt;div&gt;&lt;h5&gt;&lt;b&gt;EFFECT&lt;/b&gt;&lt;/h5&gt;&lt;/div&gt;&lt;hr/&gt;&lt;div&gt;&lt;h5&gt;&lt;b&gt;Range &lt;/b&gt;touch&lt;/h5&gt;&lt;h5&gt;&lt;b&gt;Targets &lt;/b&gt;one touched piece of rope from 5 ft. to 30 ft. long&lt;/h5&gt;&lt;h5&gt;&lt;b&gt;Duration &lt;/b&gt;1 hour/level (D)&lt;/h5&gt;&lt;h5&gt;&lt;b&gt;Saving Throw &lt;/b&gt;none; &lt;b&gt;Spell Resistance &lt;/b&gt;no&lt;/h5&gt;&lt;/div&gt;&lt;hr/&gt;&lt;div&gt;&lt;h5&gt;&lt;b&gt;DESCRIPTION&lt;/b&gt;&lt;/h5&gt;&lt;/div&gt;&lt;hr/&gt;&lt;div&gt;&lt;h4&gt;&lt;p&gt;When this spell is cast upon a piece of rope from 5 to 30 feet long, one end of the rope rises into the air until the whole rope hangs perpendicular to the ground, as if affixed at the upper end.&lt;/p&gt;&lt;p&gt;The upper end is, in fact, fastened to an extradimensional space that is outside the usual multiverse of extradimensional spaces.&lt;/p&gt;&lt;p&gt;Creatures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free.&lt;/p&gt;&lt;p&gt;Spells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&lt;i&gt;rope trick&lt;/i&gt; spell enables climbers to reach a normal place if they do not climb all the way to the extradimensional space.&lt;/p&gt;&lt;/h4&gt;&lt;/div&gt;</t>
  </si>
  <si>
    <t> As many as eight creatures hide in extradimensional space.</t>
  </si>
  <si>
    <t>Dimensions (4)</t>
  </si>
  <si>
    <t>Rusting Grasp</t>
  </si>
  <si>
    <t>druid 4, occultist 4</t>
  </si>
  <si>
    <t>one nonmagical ferrous object (or the volume of the object within 3 ft. of the touched point) or one ferrous creature</t>
  </si>
  <si>
    <t>Any iron or iron alloy item you touch crumbles into rust. If the item is so large that it cannot fit within a 3-foot radius, a 3-footradius volume of the metal is rusted and destroyed. Magic items made of metal are immune to this spell.  You may employ rusting grasp in combat with a successful melee touch attack. Rusting grasp used in this way instantaneously destroys 1d6 points of AC gained from metal armor (to the maximum amount of protection the armor offers) through corrosion.  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  Against a ferrous creature, rusting grasp instantaneously deals 3d6 points of damage + 1 per caster level (maximum +15) per successful attack. The spell lasts for 1 round per level, and you can make one melee touch attack per round.</t>
  </si>
  <si>
    <t>&lt;p&gt;Any iron or iron alloy item you touch crumbles into rust. If the item is so large that it cannot fit within a 3-foot radius, a 3-footradius volume of the metal is rusted and destroyed. Magic items made of metal are immune to this spell.&lt;/p&gt;&lt;p&gt;You may employ &lt;i&gt;rusting grasp&lt;/i&gt; in combat with a successful melee touch attack. &lt;i&gt;Rusting grasp&lt;/i&gt; used in this way instantaneously destroys 1d6 points of AC gained from metal armor (to the maximum amount of protection the armor offers) through corrosion.&lt;/p&gt;&lt;p&gt;Weapons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around.&lt;/p&gt;&lt;p&gt;Against a ferrous creature, &lt;i&gt;rusting grasp&lt;/i&gt; instantaneously deals 3d6 points of damage + 1 per caster level (maximum +15) per successful attack. The spell lasts for 1 round per level, and you can make one melee touch attack per round.&lt;/p&gt;</t>
  </si>
  <si>
    <t>&lt;link rel="stylesheet"href="PF.css"&gt;&lt;div class="heading"&gt;&lt;p class="alignleft"&gt;Rusting Grasp&lt;/p&gt;&lt;div style="clear: both;"&gt;&lt;/div&gt;&lt;/div&gt;&lt;div&gt;&lt;h5&gt;&lt;b&gt;School &lt;/b&gt;transmutation; &lt;b&gt;Level &lt;/b&gt;druid 4, occultist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nonmagical ferrous object (or the volume of the object within 3 ft. of the touched point) or one ferrous creature&lt;/h5&gt;&lt;h5&gt;&lt;b&gt;Duration &lt;/b&gt;see text&lt;/h5&gt;&lt;h5&gt;&lt;b&gt;Saving Throw &lt;/b&gt;none; &lt;b&gt;Spell Resistance &lt;/b&gt;no&lt;/h5&gt;&lt;/div&gt;&lt;hr/&gt;&lt;div&gt;&lt;h5&gt;&lt;b&gt;DESCRIPTION&lt;/b&gt;&lt;/h5&gt;&lt;/div&gt;&lt;hr/&gt;&lt;div&gt;&lt;h4&gt;&lt;p&gt;Any iron or iron alloy item you touch crumbles into rust. If the item is so large that it cannot fit within a 3-foot radius, a 3-footradius volume of the metal is rusted and destroyed. Magic items made of metal are immune to this spell.&lt;/p&gt;&lt;p&gt;You may employ &lt;i&gt;rusting grasp&lt;/i&gt; in combat with a successful melee touch attack. &lt;i&gt;Rusting grasp&lt;/i&gt; used in this way instantaneously destroys 1d6 points of AC gained from metal armor (to the maximum amount of protection the armor offers) through corrosion.&lt;/p&gt;&lt;p&gt;Weapons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around.&lt;/p&gt;&lt;p&gt;Against a ferrous creature, &lt;i&gt;rusting grasp&lt;/i&gt; instantaneously deals 3d6 points of damage + 1 per caster level (maximum +15) per successful attack. The spell lasts for 1 round per level, and you can make one melee touch attack per round.&lt;/p&gt;&lt;/h4&gt;&lt;/div&gt;</t>
  </si>
  <si>
    <t>Ruins (4)</t>
  </si>
  <si>
    <t> Your touch corrodes iron and alloys.</t>
  </si>
  <si>
    <t>Sanctuary</t>
  </si>
  <si>
    <t>cleric/oracle 1, inquisitor 1, spiritualist 1</t>
  </si>
  <si>
    <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  Those not attempting to attack the subject remain unaffected. This spell does not prevent the warded creature from being attacked or affected by area of effect spells. The subject cannot attack without breaking the spell but may use nonattack spells or otherwise act.</t>
  </si>
  <si>
    <t>&lt;p&gt;Any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spell.&lt;/p&gt;&lt;p&gt;Those not attempting to attack the subject remain unaffected. This spell does not prevent the warded creature from being attacked or affected by area of effect spells. The subject cannot attack without breaking the spell but may use nonattack spells or otherwise act.&lt;/p&gt;</t>
  </si>
  <si>
    <t>&lt;link rel="stylesheet"href="PF.css"&gt;&lt;div class="heading"&gt;&lt;p class="alignleft"&gt;Sanctuary&lt;/p&gt;&lt;div style="clear: both;"&gt;&lt;/div&gt;&lt;/div&gt;&lt;div&gt;&lt;h5&gt;&lt;b&gt;School &lt;/b&gt;abjuration; &lt;b&gt;Level &lt;/b&gt;cleric/oracle 1, inquisitor 1, spiritualist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&lt;b&gt;Spell Resistance &lt;/b&gt;no&lt;/h5&gt;&lt;/div&gt;&lt;hr/&gt;&lt;div&gt;&lt;h5&gt;&lt;b&gt;DESCRIPTION&lt;/b&gt;&lt;/h5&gt;&lt;/div&gt;&lt;hr/&gt;&lt;div&gt;&lt;h4&gt;&lt;p&gt;Any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spell.&lt;/p&gt;&lt;p&gt;Those not attempting to attack the subject remain unaffected. This spell does not prevent the warded creature from being attacked or affected by area of effect spells. The subject cannot attack without breaking the spell but may use nonattack spells or otherwise act.&lt;/p&gt;&lt;/h4&gt;&lt;h5&gt;&lt;b&gt;Mythic: &lt;/b&gt;If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creature.&lt;/h5&gt;&lt;h5&gt;&lt;b&gt;Augmented (2nd)&lt;/b&gt;: If you expend two uses of mythic power, select a number of additional creatures equal to half your tier that are within reach. These creatures gain the benefit of non-mythic sanctuary.&lt;/h5&gt;&lt;/div&gt;</t>
  </si>
  <si>
    <t>Freedom (1), Protection (1), Aeon (1)</t>
  </si>
  <si>
    <t> Opponents can't attack you, and you can't attack.</t>
  </si>
  <si>
    <t>Peace (2)</t>
  </si>
  <si>
    <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t>
  </si>
  <si>
    <t>Augmented (2nd): If you expend two uses of mythic power, select a number of additional creatures equal to half your tier that are within reach. These creatures gain the benefit of non-mythic sanctuary.</t>
  </si>
  <si>
    <t>Scare</t>
  </si>
  <si>
    <t>fear, mind-affecting, emotion</t>
  </si>
  <si>
    <t>bard 2, sorcerer/wizard 2, witch 2, antipaladin 2, shaman 2, occultist 2, psychic 2, mesmerist 2, spiritualist 2</t>
  </si>
  <si>
    <t>V, S, M (a bone from an undead creature)</t>
  </si>
  <si>
    <t>one living creature per three levels, no two of which can be more than 30 ft. apart</t>
  </si>
  <si>
    <t>1 round/level or 1 round; see text for cause fear</t>
  </si>
  <si>
    <t>This spell functions like cause fear, except that it causes all targeted creatures of less than 6 HD to become frightened.</t>
  </si>
  <si>
    <t>&lt;p&gt;This spell functions like &lt;i&gt;cause fear&lt;/i&gt;, except that it causes all targeted creatures of less than 6 HD to become frightened.&lt;/p&gt;</t>
  </si>
  <si>
    <t>&lt;link rel="stylesheet"href="PF.css"&gt;&lt;div class="heading"&gt;&lt;p class="alignleft"&gt;Scare&lt;/p&gt;&lt;div style="clear: both;"&gt;&lt;/div&gt;&lt;/div&gt;&lt;div&gt;&lt;h5&gt;&lt;b&gt;School &lt;/b&gt;necromancy [fear, mind-affecting, emotion]; &lt;b&gt;Level &lt;/b&gt;bard 2, sorcerer/wizard 2, witch 2, antipaladin 2, shaman 2, occultist 2, psychic 2, mesmerist 2, spiritualist 2&lt;/h5&gt;&lt;/div&gt;&lt;hr/&gt;&lt;div&gt;&lt;h5&gt;&lt;b&gt;CASTING&lt;/b&gt;&lt;/h5&gt;&lt;/div&gt;&lt;hr/&gt;&lt;div&gt;&lt;h5&gt;&lt;b&gt;Casting Time &lt;/b&gt;1 standard action&lt;/h5&gt;&lt;h5&gt;&lt;b&gt;Components &lt;/b&gt;V, S, M (a bone from an undead creature)&lt;/h5&gt;&lt;/div&gt;&lt;hr/&gt;&lt;div&gt;&lt;h5&gt;&lt;b&gt;EFFECT&lt;/b&gt;&lt;/h5&gt;&lt;/div&gt;&lt;hr/&gt;&lt;div&gt;&lt;h5&gt;&lt;b&gt;Range &lt;/b&gt;medium (100 ft. + 10 ft./level)&lt;/h5&gt;&lt;h5&gt;&lt;b&gt;Targets &lt;/b&gt;one living creature per three levels, no two of which can be more than 30 ft. apart&lt;/h5&gt;&lt;h5&gt;&lt;b&gt;Duration &lt;/b&gt;1 round/level or 1 round; see text for cause fear&lt;/h5&gt;&lt;h5&gt;&lt;b&gt;Saving Throw &lt;/b&gt;Will partial; &lt;b&gt;Spell Resistance &lt;/b&gt;yes&lt;/h5&gt;&lt;/div&gt;&lt;hr/&gt;&lt;div&gt;&lt;h5&gt;&lt;b&gt;DESCRIPTION&lt;/b&gt;&lt;/h5&gt;&lt;/div&gt;&lt;hr/&gt;&lt;div&gt;&lt;h4&gt;&lt;p&gt;This spell functions like &lt;i&gt;cause fear&lt;/i&gt;, except that it causes all targeted creatures of less than 6 HD to become frightened.&lt;/p&gt;&lt;/h4&gt;&lt;/div&gt;</t>
  </si>
  <si>
    <t>Fear (3)</t>
  </si>
  <si>
    <t>Frightens creature of less than 6 HD.</t>
  </si>
  <si>
    <t>Scintillating Pattern</t>
  </si>
  <si>
    <t>V, S, M (a crystal prism)</t>
  </si>
  <si>
    <t>colorful lights in a 20-ft.-radius spread</t>
  </si>
  <si>
    <t>A twisting pattern of coruscating colors weaves through the air, affecting creatures within. The spell affects a total number of HD of creatures equal to your caster level (maximum 20).  Creatures with the fewest HD are affected first, and among creatures with equal HD, those who are closest to the spell's point of origin are affected first. HD that are not sufficient to affect a creature are wasted. The spell affects each subject according to its HD.  6 or less: Unconscious for 1d4 rounds, then stunned for 1d4 rounds, and then confused for 1d4 rounds. (Treat an unconscious result as stunned for nonliving creatures.) 7 to 12: Stunned for 1d4 rounds, then confused for an additional 1d4 rounds.  13 or more: Confused for 1d4 rounds.  Sightless creatures are not affected by scintillating pattern.</t>
  </si>
  <si>
    <t>&lt;p&gt;A twisting pattern of coruscating colors weaves through the air, affecting creatures within. The spell affects a total number of HD of creatures equal to your caster level (maximum 20).&lt;/p&gt;&lt;p&gt;Creatures with the fewest HD are affected first, and among creatures with equal HD, those who are closest to the spell's point of origin are affected first. HD that are not sufficient to affect a creature are wasted. The spell affects each subject according to its HD.&lt;/p&gt;&lt;p&gt;&lt;i&gt;6 or less&lt;/i&gt;: Unconscious for 1d4 rounds, then stunned for 1d4 rounds, and then &lt;i&gt;confused&lt;/i&gt; for 1d4 rounds. (Treat an unconscious result as stunned for nonliving creatures.) &lt;i&gt;7 to 12&lt;/i&gt;: Stunned for 1d4 rounds, then &lt;i&gt;confused&lt;/i&gt; for an additional 1d4 rounds.&lt;/p&gt;&lt;p&gt;13 or more: Confused for 1d4 rounds.&lt;/p&gt;&lt;p&gt;Sightless creatures are not affected by scintillating pattern.&lt;/p&gt;</t>
  </si>
  <si>
    <t>&lt;link rel="stylesheet"href="PF.css"&gt;&lt;div class="heading"&gt;&lt;p class="alignleft"&gt;Scintillating Pattern&lt;/p&gt;&lt;div style="clear: both;"&gt;&lt;/div&gt;&lt;/div&gt;&lt;div&gt;&lt;h5&gt;&lt;b&gt;School &lt;/b&gt;illusion (pattern) [mind-affecting]; &lt;b&gt;Level &lt;/b&gt;sorcerer/wizard 8, psychic 8&lt;/h5&gt;&lt;/div&gt;&lt;hr/&gt;&lt;div&gt;&lt;h5&gt;&lt;b&gt;CASTING&lt;/b&gt;&lt;/h5&gt;&lt;/div&gt;&lt;hr/&gt;&lt;div&gt;&lt;h5&gt;&lt;b&gt;Casting Time &lt;/b&gt;1 standard action&lt;/h5&gt;&lt;h5&gt;&lt;b&gt;Components &lt;/b&gt;V, S, M (a crystal prism)&lt;/h5&gt;&lt;/div&gt;&lt;hr/&gt;&lt;div&gt;&lt;h5&gt;&lt;b&gt;EFFECT&lt;/b&gt;&lt;/h5&gt;&lt;/div&gt;&lt;hr/&gt;&lt;div&gt;&lt;h5&gt;&lt;b&gt;Range &lt;/b&gt;close (25 ft. + 5 ft./2 levels)&lt;/h5&gt;&lt;h5&gt;&lt;b&gt;Effect &lt;/b&gt;colorful lights in a 20-ft.-radius spread&lt;/h5&gt;&lt;h5&gt;&lt;b&gt;Duration &lt;/b&gt;concentration + 2 rounds&lt;/h5&gt;&lt;h5&gt;&lt;b&gt;Saving Throw &lt;/b&gt;none; &lt;b&gt;Spell Resistance &lt;/b&gt;yes&lt;/h5&gt;&lt;/div&gt;&lt;hr/&gt;&lt;div&gt;&lt;h5&gt;&lt;b&gt;DESCRIPTION&lt;/b&gt;&lt;/h5&gt;&lt;/div&gt;&lt;hr/&gt;&lt;div&gt;&lt;h4&gt;&lt;p&gt;A twisting pattern of coruscating colors weaves through the air, affecting creatures within. The spell affects a total number of HD of creatures equal to your caster level (maximum 20).&lt;/p&gt;&lt;p&gt;Creatures with the fewest HD are affected first, and among creatures with equal HD, those who are closest to the spell's point of origin are affected first. HD that are not sufficient to affect a creature are wasted. The spell affects each subject according to its HD.&lt;/p&gt;&lt;p&gt;&lt;i&gt;6 or less&lt;/i&gt;: Unconscious for 1d4 rounds, then stunned for 1d4 rounds, and then &lt;i&gt;confused&lt;/i&gt; for 1d4 rounds. (Treat an unconscious result as stunned for nonliving creatures.) &lt;i&gt;7 to 12&lt;/i&gt;: Stunned for 1d4 rounds, then &lt;i&gt;confused&lt;/i&gt; for an additional 1d4 rounds.&lt;/p&gt;&lt;p&gt;13 or more: Confused for 1d4 rounds.&lt;/p&gt;&lt;p&gt;Sightless creatures are not affected by scintillating pattern.&lt;/p&gt;&lt;/h4&gt;&lt;/div&gt;</t>
  </si>
  <si>
    <t>Madness (8)</t>
  </si>
  <si>
    <t> Twisting colors confuse, stun, or render unconscious.</t>
  </si>
  <si>
    <t>Deception (16)</t>
  </si>
  <si>
    <t>Scorching Ray</t>
  </si>
  <si>
    <t>one or more rays</t>
  </si>
  <si>
    <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t>
  </si>
  <si>
    <t>&lt;p&gt;You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simultaneously.&lt;/p&gt;</t>
  </si>
  <si>
    <t>&lt;link rel="stylesheet"href="PF.css"&gt;&lt;div class="heading"&gt;&lt;p class="alignleft"&gt;Scorching Ray&lt;/p&gt;&lt;div style="clear: both;"&gt;&lt;/div&gt;&lt;/div&gt;&lt;div&gt;&lt;h5&gt;&lt;b&gt;School &lt;/b&gt;evocation [fire]; &lt;b&gt;Level &lt;/b&gt;sorcerer/wizard 2, magus 2, bloodrager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or more rays&lt;/h5&gt;&lt;h5&gt;&lt;b&gt;Duration &lt;/b&gt;instantaneous&lt;/h5&gt;&lt;h5&gt;&lt;b&gt;Saving Throw &lt;/b&gt;none; &lt;b&gt;Spell Resistance &lt;/b&gt;yes&lt;/h5&gt;&lt;/div&gt;&lt;hr/&gt;&lt;div&gt;&lt;h5&gt;&lt;b&gt;DESCRIPTION&lt;/b&gt;&lt;/h5&gt;&lt;/div&gt;&lt;hr/&gt;&lt;div&gt;&lt;h4&gt;&lt;p&gt;You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simultaneously.&lt;/p&gt;&lt;/h4&gt;&lt;h5&gt;&lt;b&gt;Mythic: &lt;/b&gt;Each ray's damage increases to 6d6 points of fire damage. The first ray bypasses fire resistance and immunity.&lt;/h5&gt;&lt;/div&gt;</t>
  </si>
  <si>
    <t> Ranged touch attack deals 4d6 fire damage, + 1 ray/four levels (max 3).</t>
  </si>
  <si>
    <t>Efreeti (5), Elemental (5), Infernal (5)</t>
  </si>
  <si>
    <t>Each ray's damage increases to 6d6 points of fire damage. The first ray bypasses fire resistance and immunity.</t>
  </si>
  <si>
    <t>Screen</t>
  </si>
  <si>
    <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t>
  </si>
  <si>
    <t>&lt;p&gt;This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illusion.&lt;/p&gt;</t>
  </si>
  <si>
    <t>&lt;link rel="stylesheet"href="PF.css"&gt;&lt;div class="heading"&gt;&lt;p class="alignleft"&gt;Screen&lt;/p&gt;&lt;div style="clear: both;"&gt;&lt;/div&gt;&lt;/div&gt;&lt;div&gt;&lt;h5&gt;&lt;b&gt;School &lt;/b&gt;illusion (glamer); &lt;b&gt;Level &lt;/b&gt;sorcerer/wizard 8, psychic 8&lt;/h5&gt;&lt;/div&gt;&lt;hr/&gt;&lt;div&gt;&lt;h5&gt;&lt;b&gt;CASTING&lt;/b&gt;&lt;/h5&gt;&lt;/div&gt;&lt;hr/&gt;&lt;div&gt;&lt;h5&gt;&lt;b&gt;Casting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levels)&lt;/h5&gt;&lt;h5&gt;&lt;b&gt;Area &lt;/b&gt;30-ft. cube/level  (S)&lt;/h5&gt;&lt;h5&gt;&lt;b&gt;Duration &lt;/b&gt;24 hours&lt;/h5&gt;&lt;h5&gt;&lt;b&gt;Saving Throw &lt;/b&gt;none or Will disbelief (if interacted with); see text; &lt;b&gt;Spell Resistance &lt;/b&gt;no&lt;/h5&gt;&lt;/div&gt;&lt;hr/&gt;&lt;div&gt;&lt;h5&gt;&lt;b&gt;DESCRIPTION&lt;/b&gt;&lt;/h5&gt;&lt;/div&gt;&lt;hr/&gt;&lt;div&gt;&lt;h4&gt;&lt;p&gt;This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illusion.&lt;/p&gt;&lt;/h4&gt;&lt;/div&gt;</t>
  </si>
  <si>
    <t>Trickery (7)</t>
  </si>
  <si>
    <t> Illusion hides area from vision and scrying.</t>
  </si>
  <si>
    <t>Trickery (16)</t>
  </si>
  <si>
    <t>Scrying</t>
  </si>
  <si>
    <t>bard 3, cleric/oracle 5, druid 4, sorcerer/wizard 4, witch 4, shaman 4, occultist 4, psychic 4, mesmerist 3, spiritualist 5</t>
  </si>
  <si>
    <t>V, S, M/DF (a pool of water), F (a silver mirror worth 1,000 gp)</t>
  </si>
  <si>
    <t>You can observe a creature at any distance. If the subject succeeds on a Will save, the spell fails. The difficulty of the save depends on how well your knowledge of the subject and what sort of physical connection (if any) you have to that creature. Furthermore, if the subject is on another plane, it gets a +5 bonus on its Will save. Will Save Knowledge M odifier None* +10 Secondhand (you have heard of the subject) +5 Firsthand (you have met the subject) +0 Familiar (you know the subject well) -5 *You must have some sort of connection (see below) to a creature of which you have no knowledge. Will Save Connection M odifier Likeness or picture -2 Possession or garment -4 Body part, lock of hair, bit of nail, etc. -10 If the save fails, you can see and hear the subject and its surroundings (approximately 10 feet in all directions of the subject). If the subject moves, the sensor follows at a speed of up to 150 feet. As with all divination (scrying) spells, the sensor has your full visual acuity, including any magical effects. In addition, the following spells have a 5% chance per caster level of operating through the sensor: detect chaos, detect evil, detect good, detect law, detect magic, and message. If the save succeeds, you can't attempt to scry on that subject again for at least 24 hours.</t>
  </si>
  <si>
    <t>&lt;p&gt;You can observe a creature at any distance. If the subject succeeds on a Will save, the spell fails. The difficulty of the save depends on how well your knowledge of the subject and what sort of physical connection (if any) you have to that creature.&lt;/p&gt;&lt;p&gt;Furthermore, if the subject is on another plane, it gets a +5 bonus on its Will save.&lt;/p&gt;&lt;p&gt; &lt;table&gt;&lt;tr&gt;&lt;th&gt;Knowledge&lt;/th&gt;&lt;th&gt;Will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(see below) to a creature of which you have no knowledge.&lt;/td&gt;&lt;/tr&gt;&lt;/table&gt; &lt;/p&gt;&lt;p&gt; &lt;table&gt;&lt;tr&gt;&lt;th&gt;Connection&lt;/th&gt;&lt;th&gt;Will Save Modifier&lt;/th&gt;&lt;/tr&gt;&lt;tr&gt;&lt;td&gt;Likeness or picture&lt;/td&gt;&lt;td&gt;-2&lt;/td&gt;&lt;/tr&gt;&lt;tr&gt;&lt;td&gt;Possession or garment&lt;/td&gt;&lt;td&gt;-4&lt;/td&gt;&lt;/tr&gt;&lt;tr&gt;&lt;td&gt;Body part, lock of hair, bit of nail, etc.&lt;/td&gt;&lt;td&gt;-10&lt;/td&gt;&lt;/tr&gt;&lt;/table&gt;  If the save fails, you can see and hear the subject and its surroundings (approximately 10 feet in all directions of the subject).&lt;/p&gt;&lt;p&gt;If the subject moves, the sensor follows at a speed of up to 150 feet.&lt;/p&gt;&lt;p&gt;As with all divination (scrying) spells, the sensor has your full visual acuity, including any magical effects. In addition, the following spells have a 5% chance per caster level of operating through the sensor: &lt;i&gt;detect chaos&lt;/i&gt;, &lt;i&gt;detect evil&lt;/i&gt;, &lt;i&gt;detect good&lt;/i&gt;, &lt;i&gt;detect law&lt;/i&gt;, &lt;i&gt;detect magic&lt;/i&gt;, and &lt;i&gt;message.&lt;/i&gt;&lt;/p&gt;&lt;p&gt;If the save succeeds, you can't attempt to scry on that subject again for at least 24 hours.&lt;/p&gt;</t>
  </si>
  <si>
    <t>&lt;link rel="stylesheet"href="PF.css"&gt;&lt;div class="heading"&gt;&lt;p class="alignleft"&gt;Scrying&lt;/p&gt;&lt;div style="clear: both;"&gt;&lt;/div&gt;&lt;/div&gt;&lt;div&gt;&lt;h5&gt;&lt;b&gt;School &lt;/b&gt;divination (scrying); &lt;b&gt;Level &lt;/b&gt;bard 3, cleric/oracle 5, druid 4, sorcerer/wizard 4, witch 4, shaman 4, occultist 4, psychic 4, mesmerist 3, spiritualist 5&lt;/h5&gt;&lt;/div&gt;&lt;hr/&gt;&lt;div&gt;&lt;h5&gt;&lt;b&gt;CASTING&lt;/b&gt;&lt;/h5&gt;&lt;/div&gt;&lt;hr/&gt;&lt;div&gt;&lt;h5&gt;&lt;b&gt;Casting Time &lt;/b&gt;1 hour&lt;/h5&gt;&lt;h5&gt;&lt;b&gt;Components &lt;/b&gt;V, S, M/DF (a pool of water), F (a silver mirror worth 1,000 gp)&lt;/h5&gt;&lt;/div&gt;&lt;hr/&gt;&lt;div&gt;&lt;h5&gt;&lt;b&gt;EFFECT&lt;/b&gt;&lt;/h5&gt;&lt;/div&gt;&lt;hr/&gt;&lt;div&gt;&lt;h5&gt;&lt;b&gt;Range &lt;/b&gt;see text&lt;/h5&gt;&lt;h5&gt;&lt;b&gt;Effect &lt;/b&gt;magical sensor&lt;/h5&gt;&lt;h5&gt;&lt;b&gt;Duration &lt;/b&gt;1 min./level&lt;/h5&gt;&lt;h5&gt;&lt;b&gt;Saving Throw &lt;/b&gt;Will negates; &lt;b&gt;Spell Resistance &lt;/b&gt;yes&lt;/h5&gt;&lt;/div&gt;&lt;hr/&gt;&lt;div&gt;&lt;h5&gt;&lt;b&gt;DESCRIPTION&lt;/b&gt;&lt;/h5&gt;&lt;/div&gt;&lt;hr/&gt;&lt;div&gt;&lt;h4&gt;&lt;p&gt;You can observe a creature at any distance. If the subject succeeds on a Will save, the spell fails. The difficulty of the save depends on how well your knowledge of the subject and what sort of physical connection (if any) you have to that creature.&lt;/p&gt;&lt;p&gt;Furthermore, if the subject is on another plane, it gets a +5 bonus on its Will save.&lt;/p&gt;&lt;p&gt; &lt;table&gt;&lt;tr&gt;&lt;th&gt;Knowledge&lt;/th&gt;&lt;th&gt;Will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(see below) to a creature of which you have no knowledge.&lt;/td&gt;&lt;/tr&gt;&lt;/table&gt; &lt;/p&gt;&lt;p&gt; &lt;table&gt;&lt;tr&gt;&lt;th&gt;Connection&lt;/th&gt;&lt;th&gt;Will Save Modifier&lt;/th&gt;&lt;/tr&gt;&lt;tr&gt;&lt;td&gt;Likeness or picture&lt;/td&gt;&lt;td&gt;-2&lt;/td&gt;&lt;/tr&gt;&lt;tr&gt;&lt;td&gt;Possession or garment&lt;/td&gt;&lt;td&gt;-4&lt;/td&gt;&lt;/tr&gt;&lt;tr&gt;&lt;td&gt;Body part, lock of hair, bit of nail, etc.&lt;/td&gt;&lt;td&gt;-10&lt;/td&gt;&lt;/tr&gt;&lt;/table&gt;  If the save fails, you can see and hear the subject and its surroundings (approximately 10 feet in all directions of the subject).&lt;/p&gt;&lt;p&gt;If the subject moves, the sensor follows at a speed of up to 150 feet.&lt;/p&gt;&lt;p&gt;As with all divination (scrying) spells, the sensor has your full visual acuity, including any magical effects. In addition, the following spells have a 5% chance per caster level of operating through the sensor: &lt;i&gt;detect chaos&lt;/i&gt;, &lt;i&gt;detect evil&lt;/i&gt;, &lt;i&gt;detect good&lt;/i&gt;, &lt;i&gt;detect law&lt;/i&gt;, &lt;i&gt;detect magic&lt;/i&gt;, and &lt;i&gt;message.&lt;/i&gt;&lt;/p&gt;&lt;p&gt;If the save succeeds, you can't attempt to scry on that subject again for at least 24 hours.&lt;/p&gt;&lt;/h4&gt;&lt;/div&gt;</t>
  </si>
  <si>
    <t>Spies on subject from a distance.</t>
  </si>
  <si>
    <t>Scrying, Greater</t>
  </si>
  <si>
    <t>bard 6, cleric/oracle 7, druid 7, sorcerer/wizard 7, witch 7, shaman 7, occultist 6, psychic 7, mesmerist 6</t>
  </si>
  <si>
    <t>This spell functions like scrying, except as noted above. Additionally, all of the following spells function reliably through the sensor: detect chaos, detect evil, detect good, detect law, detect magic, message, read magic, and tongues.</t>
  </si>
  <si>
    <t>&lt;p&gt;This spell functions like &lt;i&gt;scrying,&lt;/i&gt; except as noted above.&lt;/p&gt;&lt;p&gt;Additionally, all of the following spells function reliably through the sensor: &lt;i&gt;detect chaos&lt;/i&gt;, &lt;i&gt;detect evil&lt;/i&gt;, &lt;i&gt;detect good&lt;/i&gt;, &lt;i&gt;detect law&lt;/i&gt;, &lt;i&gt;detect magic&lt;/i&gt;, &lt;i&gt;message&lt;/i&gt;, &lt;i&gt;read magic,&lt;/i&gt; and &lt;i&gt;tongues&lt;/i&gt;.&lt;/p&gt;</t>
  </si>
  <si>
    <t>&lt;link rel="stylesheet"href="PF.css"&gt;&lt;div class="heading"&gt;&lt;p class="alignleft"&gt;Scrying, Greater&lt;/p&gt;&lt;div style="clear: both;"&gt;&lt;/div&gt;&lt;/div&gt;&lt;div&gt;&lt;h5&gt;&lt;b&gt;School &lt;/b&gt;divination (scrying); &lt;b&gt;Level &lt;/b&gt;bard 6, cleric/oracle 7, druid 7, sorcerer/wizard 7, witch 7, shaman 7, occultist 6, psychic 7, mesmerist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&lt;/b&gt;magical sensor&lt;/h5&gt;&lt;h5&gt;&lt;b&gt;Duration &lt;/b&gt;1 hour/level&lt;/h5&gt;&lt;h5&gt;&lt;b&gt;Saving Throw &lt;/b&gt;Will negates; &lt;b&gt;Spell Resistance &lt;/b&gt;yes&lt;/h5&gt;&lt;/div&gt;&lt;hr/&gt;&lt;div&gt;&lt;h5&gt;&lt;b&gt;DESCRIPTION&lt;/b&gt;&lt;/h5&gt;&lt;/div&gt;&lt;hr/&gt;&lt;div&gt;&lt;h4&gt;&lt;p&gt;This spell functions like &lt;i&gt;scrying,&lt;/i&gt; except as noted above.&lt;/p&gt;&lt;p&gt;Additionally, all of the following spells function reliably through the sensor: &lt;i&gt;detect chaos&lt;/i&gt;, &lt;i&gt;detect evil&lt;/i&gt;, &lt;i&gt;detect good&lt;/i&gt;, &lt;i&gt;detect law&lt;/i&gt;, &lt;i&gt;detect magic&lt;/i&gt;, &lt;i&gt;message&lt;/i&gt;, &lt;i&gt;read magic,&lt;/i&gt; and &lt;i&gt;tongues&lt;/i&gt;.&lt;/p&gt;&lt;/h4&gt;&lt;/div&gt;</t>
  </si>
  <si>
    <t>As scrying, but faster and longer.</t>
  </si>
  <si>
    <t>Sculpt Sound</t>
  </si>
  <si>
    <t>one creature or object/level, no two of which can be more than 30 ft. apart</t>
  </si>
  <si>
    <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  A spellcaster whose voice is changed dramatically is unable to cast spells with verbal components.</t>
  </si>
  <si>
    <t>&lt;p&gt;You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yourself.&lt;/p&gt;&lt;p&gt;A spellcaster whose voice is changed dramatically is unable to cast spells with verbal components.&lt;/p&gt;</t>
  </si>
  <si>
    <t>&lt;link rel="stylesheet"href="PF.css"&gt;&lt;div class="heading"&gt;&lt;p class="alignleft"&gt;Sculpt Sound&lt;/p&gt;&lt;div style="clear: both;"&gt;&lt;/div&gt;&lt;/div&gt;&lt;div&gt;&lt;h5&gt;&lt;b&gt;School &lt;/b&gt;transmutation;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object/level, no two of which can be more than 30 ft. apart&lt;/h5&gt;&lt;h5&gt;&lt;b&gt;Duration &lt;/b&gt;1 hour/level (D)&lt;/h5&gt;&lt;h5&gt;&lt;b&gt;Saving Throw &lt;/b&gt;Will negates (object); &lt;b&gt;Spell Resistance &lt;/b&gt;yes (object)&lt;/h5&gt;&lt;/div&gt;&lt;hr/&gt;&lt;div&gt;&lt;h5&gt;&lt;b&gt;DESCRIPTION&lt;/b&gt;&lt;/h5&gt;&lt;/div&gt;&lt;hr/&gt;&lt;div&gt;&lt;h4&gt;&lt;p&gt;You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yourself.&lt;/p&gt;&lt;p&gt;A spellcaster whose voice is changed dramatically is unable to cast spells with verbal components.&lt;/p&gt;&lt;/h4&gt;&lt;/div&gt;</t>
  </si>
  <si>
    <t> Creates new sounds or changes existing ones into new sounds.</t>
  </si>
  <si>
    <t>Searing Light</t>
  </si>
  <si>
    <t>cleric/oracle 3, inquisitor 3</t>
  </si>
  <si>
    <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t>
  </si>
  <si>
    <t>&lt;p&gt;Focusing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5d6).&lt;/p&gt;</t>
  </si>
  <si>
    <t>&lt;link rel="stylesheet"href="PF.css"&gt;&lt;div class="heading"&gt;&lt;p class="alignleft"&gt;Searing Light&lt;/p&gt;&lt;div style="clear: both;"&gt;&lt;/div&gt;&lt;/div&gt;&lt;div&gt;&lt;h5&gt;&lt;b&gt;School &lt;/b&gt;evocation; &lt;b&gt;Level &lt;/b&gt;cleric/oracle 3, inquisitor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&lt;/b&gt;ray&lt;/h5&gt;&lt;h5&gt;&lt;b&gt;Duration &lt;/b&gt;instantaneous&lt;/h5&gt;&lt;h5&gt;&lt;b&gt;Saving Throw &lt;/b&gt;none; &lt;b&gt;Spell Resistance &lt;/b&gt;yes&lt;/h5&gt;&lt;/div&gt;&lt;hr/&gt;&lt;div&gt;&lt;h5&gt;&lt;b&gt;DESCRIPTION&lt;/b&gt;&lt;/h5&gt;&lt;/div&gt;&lt;hr/&gt;&lt;div&gt;&lt;h4&gt;&lt;p&gt;Focusing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5d6).&lt;/p&gt;&lt;/h4&gt;&lt;h5&gt;&lt;b&gt;Mythic: &lt;/b&gt;The spell's damage increases to 1d6 per caster level (maximum 10d6). The damage dealt to an undead creature increases to 1d8 points of damage per caster level (maximum 10d8), or 2d6 per caster level (maximum 20d6) if the undead is vulnerable to bright light. The damage dealt to constructs increases to 1d8 points of damage per 2 caster levels (maximum 5d8). If a creature struck has light sensitivity or light blindness, it takes the penalty from that weakness for 1 round after being struck by the light.&lt;/h5&gt;&lt;/div&gt;</t>
  </si>
  <si>
    <t>Glory (3), Sun (3)</t>
  </si>
  <si>
    <t> Ray deals 1d8/two levels damage (more against undead).</t>
  </si>
  <si>
    <t>The spell's damage increases to 1d6 per caster level (maximum 10d6). The damage dealt to an undead creature increases to 1d8 points of damage per caster level (maximum 10d8), or 2d6 per caster level (maximum 20d6) if the undead is vulnerable to bright light. The damage dealt to constructs increases to 1d8 points of damage per 2 caster levels (maximum 5d8). If a creature struck has light sensitivity or light blindness, it takes the penalty from that weakness for 1 round after being struck by the light.</t>
  </si>
  <si>
    <t>Secret Chest</t>
  </si>
  <si>
    <t>sorcerer/wizard 5, witch 5, occultist 5, psychic 5, mesmerist 5, spiritualist 5</t>
  </si>
  <si>
    <t>V, S, F (the chest and its replica)</t>
  </si>
  <si>
    <t>one chest and up to 1 cu. ft. of goods/caster level</t>
  </si>
  <si>
    <t>60 days or until discharged</t>
  </si>
  <si>
    <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  Once the chest is hidden, you can retrieve it by concentrating (a standard action), and it appears next to you.  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  To hide the chest, you cast the spell while touching both the chest and the replica. The chest vanishes into the Ethereal Plane.  You need the replica to recall the chest. After 60 days, there is a cumulative chance of 5% per day that the chest is irretrievably lost.  If the miniature of the chest is lost or destroyed, there is no way, even with a wish spell, that the large chest can be summoned back, although an extraplanar expedition might be mounted to find it.  Living things in the chest eat, sleep, and age normally, and they die if they run out of food, air, water, or whatever they need to survive.</t>
  </si>
  <si>
    <t>&lt;p&gt;You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fails.&lt;/p&gt;&lt;p&gt;Once the chest is hidden, you can retrieve it by concentrating (a standard action), and it appears next to you.&lt;/p&gt;&lt;p&gt;The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be.&lt;/p&gt;&lt;p&gt;To hide the chest, you cast the spell while touching both the chest and the replica. The chest vanishes into the Ethereal Plane.&lt;/p&gt;&lt;p&gt;You need the replica to recall the chest. After 60 days, there is a cumulative chance of 5% per day that the chest is irretrievably lost.&lt;/p&gt;&lt;p&gt;If the miniature of the chest is lost or destroyed, there is no way, even with a &lt;i&gt;wish&lt;/i&gt; spell, that the large chest can be summoned back, although an extraplanar expedition might be mounted to find it.&lt;/p&gt;&lt;p&gt;Living things in the chest eat, sleep, and age normally, and they die if they run out of food, air, water, or whatever they need to survive.&lt;/p&gt;</t>
  </si>
  <si>
    <t>&lt;link rel="stylesheet"href="PF.css"&gt;&lt;div class="heading"&gt;&lt;p class="alignleft"&gt;Secret Chest&lt;/p&gt;&lt;div style="clear: both;"&gt;&lt;/div&gt;&lt;/div&gt;&lt;div&gt;&lt;h5&gt;&lt;b&gt;School &lt;/b&gt;conjuration (summoning); &lt;b&gt;Level &lt;/b&gt;sorcerer/wizard 5, witch 5, occultist 5, psychic 5, mesmerist 5, spiritualist 5&lt;/h5&gt;&lt;/div&gt;&lt;hr/&gt;&lt;div&gt;&lt;h5&gt;&lt;b&gt;CASTING&lt;/b&gt;&lt;/h5&gt;&lt;/div&gt;&lt;hr/&gt;&lt;div&gt;&lt;h5&gt;&lt;b&gt;Casting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chest and up to 1 cu. ft. of goods/caster level&lt;/h5&gt;&lt;h5&gt;&lt;b&gt;Duration &lt;/b&gt;60 days or until discharged&lt;/h5&gt;&lt;h5&gt;&lt;b&gt;Saving Throw &lt;/b&gt;none; &lt;b&gt;Spell Resistance &lt;/b&gt;no&lt;/h5&gt;&lt;/div&gt;&lt;hr/&gt;&lt;div&gt;&lt;h5&gt;&lt;b&gt;DESCRIPTION&lt;/b&gt;&lt;/h5&gt;&lt;/div&gt;&lt;hr/&gt;&lt;div&gt;&lt;h4&gt;&lt;p&gt;You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fails.&lt;/p&gt;&lt;p&gt;Once the chest is hidden, you can retrieve it by concentrating (a standard action), and it appears next to you.&lt;/p&gt;&lt;p&gt;The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be.&lt;/p&gt;&lt;p&gt;To hide the chest, you cast the spell while touching both the chest and the replica. The chest vanishes into the Ethereal Plane.&lt;/p&gt;&lt;p&gt;You need the replica to recall the chest. After 60 days, there is a cumulative chance of 5% per day that the chest is irretrievably lost.&lt;/p&gt;&lt;p&gt;If the miniature of the chest is lost or destroyed, there is no way, even with a &lt;i&gt;wish&lt;/i&gt; spell, that the large chest can be summoned back, although an extraplanar expedition might be mounted to find it.&lt;/p&gt;&lt;p&gt;Living things in the chest eat, sleep, and age normally, and they die if they run out of food, air, water, or whatever they need to survive.&lt;/p&gt;&lt;/h4&gt;&lt;/div&gt;</t>
  </si>
  <si>
    <t> Hides expensive chest on Ethereal Plane; you retrieve it at will.</t>
  </si>
  <si>
    <t>Secret Page</t>
  </si>
  <si>
    <t>bard 3, sorcerer/wizard 3, occultist 3, mesmerist 3</t>
  </si>
  <si>
    <t>V, S, M (powdered herring scales and a vial of will-o'-wisp essence)</t>
  </si>
  <si>
    <t>page touched, up to 3 sq. ft. in size</t>
  </si>
  <si>
    <t>Secret page alters the contents of a page so that it appears to be something entirely different. The text of a spell can be changed to show another spell of equal or lower level known by the caster. This spell cannot be used to change a spell contained on a scroll, but it can be used to hide a scroll. Explosive runes or sepia snake sigil can be cast upon the secret page. A comprehend languages spell alone cannot reveal a secret page's contents. You are able to reveal the original contents by speaking a special word. You can then peruse the actual page and return it to its secret page form at will. You can also remove the spell by double repetition of the special word. A detect magic spell reveals dim magic on the page in question but does not reveal its true contents. True seeing reveals the presence of the hidden material but does not reveal the contents unless cast in combination with comprehend languages. A secret page spell can be dispelled, and the hidden writings can be destroyed by means of an erase spell.</t>
  </si>
  <si>
    <t>&lt;p&gt;&lt;i&gt;Secret page&lt;/i&gt; alters the contents of a &lt;i&gt;page&lt;/i&gt; so that it appears to be something entirely different. The text of a spell can be changed to show another spell of equal or lower level known by the caster.&lt;/p&gt;&lt;p&gt;This spell cannot be used to change a spell contained on a scroll, but it can be used to hide a scroll. &lt;i&gt;Explosive runes&lt;/i&gt; or &lt;i&gt;sepia snake sigil&lt;/i&gt; can be cast upon the &lt;i&gt;secret page&lt;/i&gt;.&lt;/p&gt;&lt;p&gt;A comprehend languages spell alone cannot reveal a &lt;i&gt;secret page&lt;/i&gt;'s contents. You are able to reveal the original contents by speaking a special word. You can then peruse the actual &lt;i&gt;page&lt;/i&gt; and return it to its &lt;i&gt;secret page&lt;/i&gt; form at will. You can also remove the spell by double repetition of the special word. A &lt;i&gt;detect magic&lt;/i&gt; spell reveals dim magic on the &lt;i&gt;page&lt;/i&gt; in question but does not reveal its true contents. &lt;i&gt;True seeing&lt;/i&gt; reveals the presence of the hidden material but does not reveal the contents unless cast in combination with &lt;i&gt;comprehend languages&lt;/i&gt;. A &lt;i&gt;secret page&lt;/i&gt; spell can be dispelled, and the hidden writings can be destroyed by means of an &lt;i&gt;erase&lt;/i&gt; spell.&lt;/p&gt;</t>
  </si>
  <si>
    <t>&lt;link rel="stylesheet"href="PF.css"&gt;&lt;div class="heading"&gt;&lt;p class="alignleft"&gt;Secret Page&lt;/p&gt;&lt;div style="clear: both;"&gt;&lt;/div&gt;&lt;/div&gt;&lt;div&gt;&lt;h5&gt;&lt;b&gt;School &lt;/b&gt;transmutation; &lt;b&gt;Level &lt;/b&gt;bard 3, sorcerer/wizard 3, occultist 3, mesmerist 3, witch 3, alchemist 2, witch 2, inquisitor 2, witch 8&lt;/h5&gt;&lt;/div&gt;&lt;hr/&gt;&lt;div&gt;&lt;h5&gt;&lt;b&gt;CASTING&lt;/b&gt;&lt;/h5&gt;&lt;/div&gt;&lt;hr/&gt;&lt;div&gt;&lt;h5&gt;&lt;b&gt;Casting Time &lt;/b&gt;10 minutes&lt;/h5&gt;&lt;h5&gt;&lt;b&gt;Components &lt;/b&gt;V, S, M (powdered herring scales and a vial of will-o'-wisp essence)&lt;/h5&gt;&lt;/div&gt;&lt;hr/&gt;&lt;div&gt;&lt;h5&gt;&lt;b&gt;EFFECT&lt;/b&gt;&lt;/h5&gt;&lt;/div&gt;&lt;hr/&gt;&lt;div&gt;&lt;h5&gt;&lt;b&gt;Range &lt;/b&gt;touch&lt;/h5&gt;&lt;h5&gt;&lt;b&gt;Targets &lt;/b&gt;page touched, up to 3 sq. ft. in size&lt;/h5&gt;&lt;h5&gt;&lt;b&gt;Duration &lt;/b&gt;permanent&lt;/h5&gt;&lt;h5&gt;&lt;b&gt;Saving Throw &lt;/b&gt;none; &lt;b&gt;Spell Resistance &lt;/b&gt;no&lt;/h5&gt;&lt;/div&gt;&lt;hr/&gt;&lt;div&gt;&lt;h5&gt;&lt;b&gt;DESCRIPTION&lt;/b&gt;&lt;/h5&gt;&lt;/div&gt;&lt;hr/&gt;&lt;div&gt;&lt;h4&gt;&lt;p&gt;&lt;i&gt;Secret page&lt;/i&gt; alters the contents of a &lt;i&gt;page&lt;/i&gt; so that it appears to be something entirely different. The text of a spell can be changed to show another spell of equal or lower level known by the caster.&lt;/p&gt;&lt;p&gt;This spell cannot be used to change a spell contained on a scroll, but it can be used to hide a scroll. &lt;i&gt;Explosive runes&lt;/i&gt; or &lt;i&gt;sepia snake sigil&lt;/i&gt; can be cast upon the &lt;i&gt;secret page&lt;/i&gt;.&lt;/p&gt;&lt;p&gt;A comprehend languages spell alone cannot reveal a &lt;i&gt;secret page&lt;/i&gt;'s contents. You are able to reveal the original contents by speaking a special word. You can then peruse the actual &lt;i&gt;page&lt;/i&gt; and return it to its &lt;i&gt;secret page&lt;/i&gt; form at will. You can also remove the spell by double repetition of the special word. A &lt;i&gt;detect magic&lt;/i&gt; spell reveals dim magic on the &lt;i&gt;page&lt;/i&gt; in question but does not reveal its true contents. &lt;i&gt;True seeing&lt;/i&gt; reveals the presence of the hidden material but does not reveal the contents unless cast in combination with &lt;i&gt;comprehend languages&lt;/i&gt;. A &lt;i&gt;secret page&lt;/i&gt; spell can be dispelled, and the hidden writings can be destroyed by means of an &lt;i&gt;erase&lt;/i&gt; spell.&lt;/p&gt;&lt;/h4&gt;&lt;/div&gt;</t>
  </si>
  <si>
    <t>Rune (2)</t>
  </si>
  <si>
    <t>Changes one page to hide its real content.</t>
  </si>
  <si>
    <t>Secure Shelter</t>
  </si>
  <si>
    <t>bard 4, sorcerer/wizard 4, witch 4</t>
  </si>
  <si>
    <t>V, S, M (a chip of stone, sand, a drop of water, and a wood splinter)</t>
  </si>
  <si>
    <t>20-ft.-square structure</t>
  </si>
  <si>
    <t>You conjure a sturdy cottage or lodge made of material that is common in the area where the spell is cast. The floor is level, clean, and dry. The lodging resembles a normal cottage, with a sturdy door, two shuttered windows, and a small fireplace.  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  The door, shutters, and even chimney are secure against intrusion, the former two being secured with arcane lock and the latter by an iron grate at the top and a narrow flue. In addition, these three areas are protected by an alarm spell. Finally, an unseen servant is conjured to provide service to you for the duration of the shelter.  The secure shelter contains crude furnishings-eight bunks, a trestle table, eight stools, and a writing desk.</t>
  </si>
  <si>
    <t>&lt;p&gt;You conjure a sturdy cottage or lodge made of material that is common in the area where the spell is cast. The floor is level, clean, and dry. The lodging resembles a normal cottage, with a sturdy door, two shuttered windows, and a small fireplace.&lt;/p&gt;&lt;p&gt;The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giants).&lt;/p&gt;&lt;p&gt;The door, shutters, and even chimney are secure against intrusion, the former two being secured with &lt;i&gt;arcane lock&lt;/i&gt; and the latter by an iron grate at the top and a narrow flue. In addition, these three areas are protected by an &lt;i&gt;alarm&lt;/i&gt; spell. Finally, an &lt;i&gt;unseen servant&lt;/i&gt; is conjured to provide service to you for the duration of the shelter.&lt;/p&gt;&lt;p&gt;The &lt;i&gt;secure shelter&lt;/i&gt; contains crude furnishings-eight bunks, a trestle table, eight stools, and a writing desk.&lt;/p&gt;</t>
  </si>
  <si>
    <t>&lt;link rel="stylesheet"href="PF.css"&gt;&lt;div class="heading"&gt;&lt;p class="alignleft"&gt;Secure Shelter&lt;/p&gt;&lt;div style="clear: both;"&gt;&lt;/div&gt;&lt;/div&gt;&lt;div&gt;&lt;h5&gt;&lt;b&gt;School &lt;/b&gt;conjuration (creation); &lt;b&gt;Level &lt;/b&gt;bard 4, sorcerer/wizard 4, witch 4&lt;/h5&gt;&lt;/div&gt;&lt;hr/&gt;&lt;div&gt;&lt;h5&gt;&lt;b&gt;CASTING&lt;/b&gt;&lt;/h5&gt;&lt;/div&gt;&lt;hr/&gt;&lt;div&gt;&lt;h5&gt;&lt;b&gt;Casting Time &lt;/b&gt;10 minutes&lt;/h5&gt;&lt;h5&gt;&lt;b&gt;Components &lt;/b&gt;V, S, M (a chip of stone, sand, a drop of water, and a wood splinter)&lt;/h5&gt;&lt;/div&gt;&lt;hr/&gt;&lt;div&gt;&lt;h5&gt;&lt;b&gt;EFFECT&lt;/b&gt;&lt;/h5&gt;&lt;/div&gt;&lt;hr/&gt;&lt;div&gt;&lt;h5&gt;&lt;b&gt;Range &lt;/b&gt;close (25 ft. + 5 ft./2 levels)&lt;/h5&gt;&lt;h5&gt;&lt;b&gt;Effect &lt;/b&gt;20-ft.-square structure&lt;/h5&gt;&lt;h5&gt;&lt;b&gt;Duration &lt;/b&gt;2 hours/level (D)&lt;/h5&gt;&lt;h5&gt;&lt;b&gt;Saving Throw &lt;/b&gt;none; &lt;b&gt;Spell Resistance &lt;/b&gt;no&lt;/h5&gt;&lt;/div&gt;&lt;hr/&gt;&lt;div&gt;&lt;h5&gt;&lt;b&gt;DESCRIPTION&lt;/b&gt;&lt;/h5&gt;&lt;/div&gt;&lt;hr/&gt;&lt;div&gt;&lt;h4&gt;&lt;p&gt;You conjure a sturdy cottage or lodge made of material that is common in the area where the spell is cast. The floor is level, clean, and dry. The lodging resembles a normal cottage, with a sturdy door, two shuttered windows, and a small fireplace.&lt;/p&gt;&lt;p&gt;The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giants).&lt;/p&gt;&lt;p&gt;The door, shutters, and even chimney are secure against intrusion, the former two being secured with &lt;i&gt;arcane lock&lt;/i&gt; and the latter by an iron grate at the top and a narrow flue. In addition, these three areas are protected by an &lt;i&gt;alarm&lt;/i&gt; spell. Finally, an &lt;i&gt;unseen servant&lt;/i&gt; is conjured to provide service to you for the duration of the shelter.&lt;/p&gt;&lt;p&gt;The &lt;i&gt;secure shelter&lt;/i&gt; contains crude furnishings-eight bunks, a trestle table, eight stools, and a writing desk.&lt;/p&gt;&lt;/h4&gt;&lt;/div&gt;</t>
  </si>
  <si>
    <t>Creates sturdy cottage.</t>
  </si>
  <si>
    <t>See Invisibility</t>
  </si>
  <si>
    <t>bard 3, sorcerer/wizard 2, alchemist 2, summoner 2, witch 2, inquisitor 2, bloodrager 2, occultist 2, psychic 2, mesmerist 3, spiritualist 2</t>
  </si>
  <si>
    <t>V, S, M (talc and powdered silver)</t>
  </si>
  <si>
    <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  The spell does not reveal the method used to obtain invisibility.  It does not reveal illusions or enable you to see through opaque objects. It does not reveal creatures who are simply hiding, concealed, or otherwise hard to see.  See invisibility can be made permanent with a permanency spell.</t>
  </si>
  <si>
    <t>&lt;p&gt;You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creatures.&lt;/p&gt;&lt;p&gt;The spell does not reveal the method used to obtain &lt;i&gt;invisibility&lt;/i&gt;.&lt;/p&gt;&lt;p&gt;It does not reveal illusions or enable you to see through opaque objects. It does not reveal creatures who are simply hiding, concealed, or otherwise hard to see.&lt;/p&gt;&lt;p&gt;See &lt;i&gt;invisibility&lt;/i&gt; can be made permanent with a &lt;i&gt;permanency&lt;/i&gt; spell.&lt;/p&gt;</t>
  </si>
  <si>
    <t>&lt;link rel="stylesheet"href="PF.css"&gt;&lt;div class="heading"&gt;&lt;p class="alignleft"&gt;See Invisibility&lt;/p&gt;&lt;div style="clear: both;"&gt;&lt;/div&gt;&lt;/div&gt;&lt;div&gt;&lt;h5&gt;&lt;b&gt;School &lt;/b&gt;divination; &lt;b&gt;Level &lt;/b&gt;bard 3, sorcerer/wizard 2, alchemist 2, summoner 2, witch 2, inquisitor 2, bloodrager 2, occultist 2, psychic 2, mesmerist 3, spiritualist 2&lt;/h5&gt;&lt;/div&gt;&lt;hr/&gt;&lt;div&gt;&lt;h5&gt;&lt;b&gt;CASTING&lt;/b&gt;&lt;/h5&gt;&lt;/div&gt;&lt;hr/&gt;&lt;div&gt;&lt;h5&gt;&lt;b&gt;Casting Time &lt;/b&gt;1 standard action&lt;/h5&gt;&lt;h5&gt;&lt;b&gt;Components &lt;/b&gt;V, S, M (talc and powdered silver)&lt;/h5&gt;&lt;/div&gt;&lt;hr/&gt;&lt;div&gt;&lt;h5&gt;&lt;b&gt;EFFECT&lt;/b&gt;&lt;/h5&gt;&lt;/div&gt;&lt;hr/&gt;&lt;div&gt;&lt;h5&gt;&lt;b&gt;Range &lt;/b&gt;personal&lt;/h5&gt;&lt;h5&gt;&lt;b&gt;Targets &lt;/b&gt;you&lt;/h5&gt;&lt;h5&gt;&lt;b&gt;Duration &lt;/b&gt;10 min./level (D)&lt;/h5&gt;&lt;/div&gt;&lt;hr/&gt;&lt;div&gt;&lt;h5&gt;&lt;b&gt;DESCRIPTION&lt;/b&gt;&lt;/h5&gt;&lt;/div&gt;&lt;hr/&gt;&lt;div&gt;&lt;h4&gt;&lt;p&gt;You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creatures.&lt;/p&gt;&lt;p&gt;The spell does not reveal the method used to obtain &lt;i&gt;invisibility&lt;/i&gt;.&lt;/p&gt;&lt;p&gt;It does not reveal illusions or enable you to see through opaque objects. It does not reveal creatures who are simply hiding, concealed, or otherwise hard to see.&lt;/p&gt;&lt;p&gt;See &lt;i&gt;invisibility&lt;/i&gt; can be made permanent with a &lt;i&gt;permanency&lt;/i&gt; spell.&lt;/p&gt;&lt;/h4&gt;&lt;/div&gt;</t>
  </si>
  <si>
    <t>Revelation (2)</t>
  </si>
  <si>
    <t>Reveals invisible creatures or objects.</t>
  </si>
  <si>
    <t>Aberrant (5), Marid (5)</t>
  </si>
  <si>
    <t>Boundaries (4), Ethereal (4)</t>
  </si>
  <si>
    <t>Seeming</t>
  </si>
  <si>
    <t>one creature per two levels, no two of which can be more than 30 ft. apart</t>
  </si>
  <si>
    <t>12 hours</t>
  </si>
  <si>
    <t>Will negates or Will disbelief (if interacted with)</t>
  </si>
  <si>
    <t>This spell functions like disguise self, except that you can change the appearance of other people as well. Affected creatures resume their normal appearances if slain. Unwilling targets can negate the spell's effect on them by making Will saves or with spell resistance.</t>
  </si>
  <si>
    <t>&lt;p&gt;This spell functions like &lt;i&gt;disguise self,&lt;/i&gt; except that you can change the appearance of other people as well. Affected creatures resume their normal appearances if slain. Unwilling targets can negate the spell's effect on them by making Will saves or with spell resistance.&lt;/p&gt;</t>
  </si>
  <si>
    <t>&lt;link rel="stylesheet"href="PF.css"&gt;&lt;div class="heading"&gt;&lt;p class="alignleft"&gt;Seeming&lt;/p&gt;&lt;div style="clear: both;"&gt;&lt;/div&gt;&lt;/div&gt;&lt;div&gt;&lt;h5&gt;&lt;b&gt;School &lt;/b&gt;illusion (glamer); &lt;b&gt;Level &lt;/b&gt;bard 5, sorcerer/wizard 5, occultist 5, psychic 5, mesmerist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per two levels, no two of which can be more than 30 ft. apart&lt;/h5&gt;&lt;h5&gt;&lt;b&gt;Duration &lt;/b&gt;12 hours (D)&lt;/h5&gt;&lt;h5&gt;&lt;b&gt;Saving Throw &lt;/b&gt;Will negates or Will disbelief (if interacted with); &lt;b&gt;Spell Resistance &lt;/b&gt;yes or no; see text&lt;/h5&gt;&lt;/div&gt;&lt;hr/&gt;&lt;div&gt;&lt;h5&gt;&lt;b&gt;DESCRIPTION&lt;/b&gt;&lt;/h5&gt;&lt;/div&gt;&lt;hr/&gt;&lt;div&gt;&lt;h4&gt;&lt;p&gt;This spell functions like &lt;i&gt;disguise self,&lt;/i&gt; except that you can change the appearance of other people as well. Affected creatures resume their normal appearances if slain. Unwilling targets can negate the spell's effect on them by making Will saves or with spell resistance.&lt;/p&gt;&lt;/h4&gt;&lt;/div&gt;</t>
  </si>
  <si>
    <t>Changes appearance of one person per two levels.</t>
  </si>
  <si>
    <t>Sending</t>
  </si>
  <si>
    <t>cleric/oracle 4, sorcerer/wizard 5, alchemist 5, summoner 4, inquisitor 4, shaman 4, occultist 4, psychic 4, mesmerist 3, spiritualist 5</t>
  </si>
  <si>
    <t>You contact a particular creature with which you are familiar and send a short message of 25 words or less to the subject. The subject recognizes you if it knows you. It can answer in like manner immediately. A creature with an Intelligence score as low as 1 can understand the sending, though the subject's ability to react is limited as normal by its Intelligence. Even if the sending is received, the subject is not obligated to act upon it in any manner.  If the creature in question is not on the same plane of existence as you are, there is a 5% chance that the sending does not arrive. (Local conditions on other planes may worsen this chance considerably.)</t>
  </si>
  <si>
    <t>&lt;p&gt;You contact a particular creature with which you are familiar and send a short message of 25 words or less to the subject. The subject recognizes you if it knows you. It can answer in like manner immediately. A creature with an Intelligence score as low as 1 can understand the &lt;i&gt;&lt;i&gt;sending&lt;/i&gt;,&lt;/i&gt; though the subject's ability to react is limited as normal by its Intelligence. Even if the &lt;i&gt;sending&lt;/i&gt; is received, the subject is not obligated to act upon it in any manner.&lt;/p&gt;&lt;p&gt;If the creature in question is not on the same plane of existence as you are, there is a 5% chance that the &lt;i&gt;sending&lt;/i&gt; does not arrive. (Local conditions on other planes may worsen this chance considerably.)&lt;/p&gt;</t>
  </si>
  <si>
    <t>&lt;link rel="stylesheet"href="PF.css"&gt;&lt;div class="heading"&gt;&lt;p class="alignleft"&gt;Sending&lt;/p&gt;&lt;div style="clear: both;"&gt;&lt;/div&gt;&lt;/div&gt;&lt;div&gt;&lt;h5&gt;&lt;b&gt;School &lt;/b&gt;evocation; &lt;b&gt;Level &lt;/b&gt;cleric/oracle 4, sorcerer/wizard 5, alchemist 5, summoner 4, inquisitor 4, shaman 4, occultist 4, psychic 4, mesmerist 3, spiritualist 5, alchemist 5, summoner 4, inquisitor 4&lt;/h5&gt;&lt;/div&gt;&lt;hr/&gt;&lt;div&gt;&lt;h5&gt;&lt;b&gt;CASTING&lt;/b&gt;&lt;/h5&gt;&lt;/div&gt;&lt;hr/&gt;&lt;div&gt;&lt;h5&gt;&lt;b&gt;Casting Time &lt;/b&gt;10 minutes&lt;/h5&gt;&lt;h5&gt;&lt;b&gt;Components &lt;/b&gt;V, S, M/DF (fine copper wire)&lt;/h5&gt;&lt;/div&gt;&lt;hr/&gt;&lt;div&gt;&lt;h5&gt;&lt;b&gt;EFFECT&lt;/b&gt;&lt;/h5&gt;&lt;/div&gt;&lt;hr/&gt;&lt;div&gt;&lt;h5&gt;&lt;b&gt;Range &lt;/b&gt;see text&lt;/h5&gt;&lt;h5&gt;&lt;b&gt;Targets &lt;/b&gt;one creature&lt;/h5&gt;&lt;h5&gt;&lt;b&gt;Duration &lt;/b&gt;1 round; see text&lt;/h5&gt;&lt;h5&gt;&lt;b&gt;Saving Throw &lt;/b&gt;none; &lt;b&gt;Spell Resistance &lt;/b&gt;no&lt;/h5&gt;&lt;/div&gt;&lt;hr/&gt;&lt;div&gt;&lt;h5&gt;&lt;b&gt;DESCRIPTION&lt;/b&gt;&lt;/h5&gt;&lt;/div&gt;&lt;hr/&gt;&lt;div&gt;&lt;h4&gt;&lt;p&gt;You contact a particular creature with which you are familiar and send a short message of 25 words or less to the subject. The subject recognizes you if it knows you. It can answer in like manner immediately. A creature with an Intelligence score as low as 1 can understand the &lt;i&gt;&lt;i&gt;sending&lt;/i&gt;,&lt;/i&gt; though the subject's ability to react is limited as normal by its Intelligence. Even if the &lt;i&gt;sending&lt;/i&gt; is received, the subject is not obligated to act upon it in any manner.&lt;/p&gt;&lt;p&gt;If the creature in question is not on the same plane of existence as you are, there is a 5% chance that the &lt;i&gt;sending&lt;/i&gt; does not arrive. (Local conditions on other planes may worsen this chance considerably.)&lt;/p&gt;&lt;/h4&gt;&lt;/div&gt;</t>
  </si>
  <si>
    <t>Delivers short message anywhere, instantly.</t>
  </si>
  <si>
    <t>Sepia Snake Sigil</t>
  </si>
  <si>
    <t>bard 3, sorcerer/wizard 3, witch 3, occultist 3</t>
  </si>
  <si>
    <t>V, S, M (powdered amber worth 500 gp and a snake scale)</t>
  </si>
  <si>
    <t>one touched book or written work</t>
  </si>
  <si>
    <t>permanent or until discharged; until released or 1d4 days + 1 day/level; see text</t>
  </si>
  <si>
    <t>You cause a small symbol to appear in the text of a written work.  The text containing the symbol must be at least 25 words long.  When anyone reads the text containing the symbol, the sepia snake sigil springs into being, transforming into a large sepia serpent that strikes at the reader, provided there is line of between the symbol and the reader.  Simply seeing the enspelled text is not sufficient to trigger the spell; the subject must deliberately read it. The target is entitled to a save to evade the snake's strike. If it succeeds, the sepia snake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  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  The hidden sigil cannot be detected by normal observation, and detect magic reveals only that the entire text is magical.  A dispel magic can remove the sigil. An erase spell destroys the entire page of text.  Sepia snake sigil can be cast in combination with other spells that hide or garble text, such as secret page.</t>
  </si>
  <si>
    <t>&lt;p&gt;You cause a small symbol to appear in the text of a written work.&lt;/p&gt;&lt;p&gt;The text containing the symbol must be at least 25 words long.&lt;/p&gt;&lt;p&gt;When anyone reads the text containing the symbol, the &lt;i&gt;&lt;i&gt;sepia snake&lt;/i&gt; sigil&lt;/i&gt; springs into being, transforming into a large sepia serpent that strikes at the reader, provided there is line of between the symbol and the reader.&lt;/p&gt;&lt;p&gt;Simply seeing the enspelled text is not sufficient to trigger the spell; the subject must deliberately read it. The target is entitled to a save to evade the snake's strike. If it succeeds, the &lt;i&gt;sepia snake&lt;/i&gt;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elapsed.&lt;/p&gt;&lt;p&gt;While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ends.&lt;/p&gt;&lt;p&gt;The hidden sigil cannot be detected by normal observation, and &lt;i&gt;detect magic&lt;/i&gt; reveals only that the entire text is magical.&lt;/p&gt;&lt;p&gt;A &lt;i&gt;dispel magic&lt;/i&gt; can remove the sigil. An &lt;i&gt;erase&lt;/i&gt; spell destroys the entire page of text.&lt;/p&gt;&lt;p&gt;&lt;i&gt;Sepia snake sigil&lt;/i&gt; can be cast in combination with other spells that hide or garble text, such as secret page.&lt;/p&gt;</t>
  </si>
  <si>
    <t>&lt;link rel="stylesheet"href="PF.css"&gt;&lt;div class="heading"&gt;&lt;p class="alignleft"&gt;Sepia Snake Sigil&lt;/p&gt;&lt;div style="clear: both;"&gt;&lt;/div&gt;&lt;/div&gt;&lt;div&gt;&lt;h5&gt;&lt;b&gt;School &lt;/b&gt;conjuration (creation) [force]; &lt;b&gt;Level &lt;/b&gt;bard 3, sorcerer/wizard 3, witch 3, occultist 3, witch 3, alchemist 2, witch 2, inquisitor 2, witch 8&lt;/h5&gt;&lt;/div&gt;&lt;hr/&gt;&lt;div&gt;&lt;h5&gt;&lt;b&gt;CASTING&lt;/b&gt;&lt;/h5&gt;&lt;/div&gt;&lt;hr/&gt;&lt;div&gt;&lt;h5&gt;&lt;b&gt;Casting Time &lt;/b&gt;10 minutes&lt;/h5&gt;&lt;h5&gt;&lt;b&gt;Components &lt;/b&gt;V, S, M (powdered amber worth 500 gp and a snake scale)&lt;/h5&gt;&lt;/div&gt;&lt;hr/&gt;&lt;div&gt;&lt;h5&gt;&lt;b&gt;EFFECT&lt;/b&gt;&lt;/h5&gt;&lt;/div&gt;&lt;hr/&gt;&lt;div&gt;&lt;h5&gt;&lt;b&gt;Range &lt;/b&gt;touch&lt;/h5&gt;&lt;h5&gt;&lt;b&gt;Targets &lt;/b&gt;one touched book or written work&lt;/h5&gt;&lt;h5&gt;&lt;b&gt;Duration &lt;/b&gt;permanent or until discharged; until released or 1d4 days + 1 day/level; see text&lt;/h5&gt;&lt;h5&gt;&lt;b&gt;Saving Throw &lt;/b&gt;Reflex negates; &lt;b&gt;Spell Resistance &lt;/b&gt;no&lt;/h5&gt;&lt;/div&gt;&lt;hr/&gt;&lt;div&gt;&lt;h5&gt;&lt;b&gt;DESCRIPTION&lt;/b&gt;&lt;/h5&gt;&lt;/div&gt;&lt;hr/&gt;&lt;div&gt;&lt;h4&gt;&lt;p&gt;You cause a small symbol to appear in the text of a written work.&lt;/p&gt;&lt;p&gt;The text containing the symbol must be at least 25 words long.&lt;/p&gt;&lt;p&gt;When anyone reads the text containing the symbol, the &lt;i&gt;&lt;i&gt;sepia snake&lt;/i&gt; sigil&lt;/i&gt; springs into being, transforming into a large sepia serpent that strikes at the reader, provided there is line of between the symbol and the reader.&lt;/p&gt;&lt;p&gt;Simply seeing the enspelled text is not sufficient to trigger the spell; the subject must deliberately read it. The target is entitled to a save to evade the snake's strike. If it succeeds, the &lt;i&gt;sepia snake&lt;/i&gt;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elapsed.&lt;/p&gt;&lt;p&gt;While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ends.&lt;/p&gt;&lt;p&gt;The hidden sigil cannot be detected by normal observation, and &lt;i&gt;detect magic&lt;/i&gt; reveals only that the entire text is magical.&lt;/p&gt;&lt;p&gt;A &lt;i&gt;dispel magic&lt;/i&gt; can remove the sigil. An &lt;i&gt;erase&lt;/i&gt; spell destroys the entire page of text.&lt;/p&gt;&lt;p&gt;&lt;i&gt;Sepia snake sigil&lt;/i&gt; can be cast in combination with other spells that hide or garble text, such as secret page.&lt;/p&gt;&lt;/h4&gt;&lt;/div&gt;</t>
  </si>
  <si>
    <t>Creates a snake-shaped text symbol that immobilizes reader.</t>
  </si>
  <si>
    <t>Sequester</t>
  </si>
  <si>
    <t>sorcerer/wizard 7, summoner 5, psychic 7</t>
  </si>
  <si>
    <t>V, S, M (a basilisk eyelash and gum arabic)</t>
  </si>
  <si>
    <t>one willing creature or object (up to a 2-ft. cube/level) touched</t>
  </si>
  <si>
    <t>When cast, this spell prevents divination spells from detecting or locating the target and also renders the affected target invisible (as the invisibility spell). The spell does not prevent the subject from being discovered through tactile means or through the use of devices. Creatures affected by sequester become comatose and are effectively in a state of suspended animation until the spell ends.  Note: The Will save prevents an attended or magical object from being sequestered. There is no save to see the sequestered creature or object or to detect it with a divination spell.</t>
  </si>
  <si>
    <t>&lt;p&gt;When cast, this spell prevents divination spells from detecting or locating the target and also renders the affected target invisible (as the &lt;i&gt;invisibility&lt;/i&gt; spell). The spell does not prevent the subject from being discovered through tactile means or through the use of devices. Creatures affected by &lt;i&gt;sequester&lt;/i&gt; become comatose and are effectively in a state of suspended animation until the spell ends.&lt;/p&gt;&lt;p&gt;&lt;i&gt;Note:&lt;/i&gt; The Will save prevents an attended or magical object from being &lt;i&gt;sequester&lt;/i&gt;ed. There is no save to see the &lt;i&gt;sequester&lt;/i&gt;ed creature or object or to detect it with a divination spell.&lt;/p&gt;</t>
  </si>
  <si>
    <t>&lt;link rel="stylesheet"href="PF.css"&gt;&lt;div class="heading"&gt;&lt;p class="alignleft"&gt;Sequester&lt;/p&gt;&lt;div style="clear: both;"&gt;&lt;/div&gt;&lt;/div&gt;&lt;div&gt;&lt;h5&gt;&lt;b&gt;School &lt;/b&gt;abjuration; &lt;b&gt;Level &lt;/b&gt;sorcerer/wizard 7, summoner 5, psychic 7&lt;/h5&gt;&lt;/div&gt;&lt;hr/&gt;&lt;div&gt;&lt;h5&gt;&lt;b&gt;CASTING&lt;/b&gt;&lt;/h5&gt;&lt;/div&gt;&lt;hr/&gt;&lt;div&gt;&lt;h5&gt;&lt;b&gt;Casting Time &lt;/b&gt;1 standard action&lt;/h5&gt;&lt;h5&gt;&lt;b&gt;Components &lt;/b&gt;V, S, M (a basilisk eyelash and gum arabic)&lt;/h5&gt;&lt;/div&gt;&lt;hr/&gt;&lt;div&gt;&lt;h5&gt;&lt;b&gt;EFFECT&lt;/b&gt;&lt;/h5&gt;&lt;/div&gt;&lt;hr/&gt;&lt;div&gt;&lt;h5&gt;&lt;b&gt;Range &lt;/b&gt;touch&lt;/h5&gt;&lt;h5&gt;&lt;b&gt;Targets &lt;/b&gt;one willing creature or object (up to a 2-ft. cube/level) touched&lt;/h5&gt;&lt;h5&gt;&lt;b&gt;Duration &lt;/b&gt;1 day/level (D)&lt;/h5&gt;&lt;h5&gt;&lt;b&gt;Saving Throw &lt;/b&gt;none or Will negates (object); &lt;b&gt;Spell Resistance &lt;/b&gt;no or yes (object)&lt;/h5&gt;&lt;/div&gt;&lt;hr/&gt;&lt;div&gt;&lt;h5&gt;&lt;b&gt;DESCRIPTION&lt;/b&gt;&lt;/h5&gt;&lt;/div&gt;&lt;hr/&gt;&lt;div&gt;&lt;h4&gt;&lt;p&gt;When cast, this spell prevents divination spells from detecting or locating the target and also renders the affected target invisible (as the &lt;i&gt;invisibility&lt;/i&gt; spell). The spell does not prevent the subject from being discovered through tactile means or through the use of devices. Creatures affected by &lt;i&gt;sequester&lt;/i&gt; become comatose and are effectively in a state of suspended animation until the spell ends.&lt;/p&gt;&lt;p&gt;&lt;i&gt;Note:&lt;/i&gt; The Will save prevents an attended or magical object from being &lt;i&gt;sequester&lt;/i&gt;ed. There is no save to see the &lt;i&gt;sequester&lt;/i&gt;ed creature or object or to detect it with a divination spell.&lt;/p&gt;&lt;/h4&gt;&lt;/div&gt;</t>
  </si>
  <si>
    <t> Subject is invisible to sight and scrying; renders creature comatose.</t>
  </si>
  <si>
    <t>Shadow Conjuration</t>
  </si>
  <si>
    <t>bard 4, sorcerer/wizard 4, mesmerist 4, spiritualist 4</t>
  </si>
  <si>
    <t>Will disbelief (if interacted with); varies; see text</t>
  </si>
  <si>
    <t>yes; see text</t>
  </si>
  <si>
    <t>You use material from the Plane of Shadow to shape quasi-real illusions of one or more creatures, objects, or forces. Shadow conjuration can mimic any sorcerer or wizard conjuration (summoning) or conjuration (creation) spell of 3rd level or lower.  Shadow conjurations are only one-fifth (20%) as strong as the real things, though creatures who believe the shadow conjurations to be real are affected by them at full strength. Any creature that interacts with the spell can make a Will save to recognize its true nature.  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shadow conjuration's level (4th) rather than the spell's normal level. In addition, any effect created by shadow conjuration allows spell resistance, even if the spell it is simulating does not. Shadow objects or substances have normal effects except against those who disbelieve them. Against disbelievers, they are 20% likely to work.  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  A creature that succeeds on its save sees the shadow conjurations as transparent images superimposed on vague, shadowy forms.  Objects automatically succeed on their Will saves against this spell.</t>
  </si>
  <si>
    <t>&lt;p&gt;You use material from the Plane of Shadow to shape quasi-real illusions of one or more creatures, objects, or forces. &lt;i&gt;Shadow conjuration&lt;/i&gt; can mimic any sorcerer or wizard conjuration (summoning) or conjuration (creation) spell of 3rd level or lower.&lt;/p&gt;&lt;p&gt;&lt;i&gt;Shadow conjuration&lt;/i&gt;s are only one-fifth (20%) as strong as the real things, though creatures who believe the &lt;i&gt;&lt;i&gt;shadow conjuration&lt;/i&gt;s&lt;/i&gt; to be real are affected by them at full strength. Any creature that interacts with the spell can make a Will save to recognize its true nature.&lt;/p&gt;&lt;p&gt;Spells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&lt;i&gt;shadow conjuration&lt;/i&gt;'s level (4th) rather than the spell's normal level. In addition, any effect created by &lt;i&gt;shadow conjuration&lt;/i&gt; allows spell resistance, even if the spell it is simulating does not. Shadow objects or substances have normal effects except against those who disbelieve them. Against disbelievers, they are 20% likely to work.&lt;/p&gt;&lt;p&gt;A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large.&lt;/p&gt;&lt;p&gt;A creature that succeeds on its save sees the &lt;i&gt;&lt;i&gt;shadow conjuration&lt;/i&gt;s&lt;/i&gt; as transparent images superimposed on vague, shadowy forms.&lt;/p&gt;&lt;p&gt;Objects automatically succeed on their Will saves against this spell.&lt;/p&gt;</t>
  </si>
  <si>
    <t>&lt;link rel="stylesheet"href="PF.css"&gt;&lt;div class="heading"&gt;&lt;p class="alignleft"&gt;Shadow Conjuration&lt;/p&gt;&lt;div style="clear: both;"&gt;&lt;/div&gt;&lt;/div&gt;&lt;div&gt;&lt;h5&gt;&lt;b&gt;School &lt;/b&gt;illusion (shadow) [shadow]; &lt;b&gt;Level &lt;/b&gt;bard 4, sorcerer/wizard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text&lt;/h5&gt;&lt;/div&gt;&lt;hr/&gt;&lt;div&gt;&lt;h5&gt;&lt;b&gt;DESCRIPTION&lt;/b&gt;&lt;/h5&gt;&lt;/div&gt;&lt;hr/&gt;&lt;div&gt;&lt;h4&gt;&lt;p&gt;You use material from the Plane of Shadow to shape quasi-real illusions of one or more creatures, objects, or forces. &lt;i&gt;Shadow conjuration&lt;/i&gt; can mimic any sorcerer or wizard conjuration (summoning) or conjuration (creation) spell of 3rd level or lower.&lt;/p&gt;&lt;p&gt;&lt;i&gt;Shadow conjuration&lt;/i&gt;s are only one-fifth (20%) as strong as the real things, though creatures who believe the &lt;i&gt;&lt;i&gt;shadow conjuration&lt;/i&gt;s&lt;/i&gt; to be real are affected by them at full strength. Any creature that interacts with the spell can make a Will save to recognize its true nature.&lt;/p&gt;&lt;p&gt;Spells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&lt;i&gt;shadow conjuration&lt;/i&gt;'s level (4th) rather than the spell's normal level. In addition, any effect created by &lt;i&gt;shadow conjuration&lt;/i&gt; allows spell resistance, even if the spell it is simulating does not. Shadow objects or substances have normal effects except against those who disbelieve them. Against disbelievers, they are 20% likely to work.&lt;/p&gt;&lt;p&gt;A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large.&lt;/p&gt;&lt;p&gt;A creature that succeeds on its save sees the &lt;i&gt;&lt;i&gt;shadow conjuration&lt;/i&gt;s&lt;/i&gt; as transparent images superimposed on vague, shadowy forms.&lt;/p&gt;&lt;p&gt;Objects automatically succeed on their Will saves against this spell.&lt;/p&gt;&lt;/h4&gt;&lt;/div&gt;</t>
  </si>
  <si>
    <t>Darkness (4)</t>
  </si>
  <si>
    <t>Mimics conjuration below 4th level, but only 20% real.</t>
  </si>
  <si>
    <t>Shadow (9), Harrow (9)</t>
  </si>
  <si>
    <t>Shadow (8)</t>
  </si>
  <si>
    <t>Shades</t>
  </si>
  <si>
    <t>This spell functions like shadow conjuration, except that it mimics conjuration spells of 8th level or lower. The illusory conjurations created deal four-fifths (80%) damage to nonbelievers, and nondamaging effects are 80% likely to work against nonbelievers.</t>
  </si>
  <si>
    <t>&lt;p&gt;This spell functions like &lt;i&gt;shadow conjuration,&lt;/i&gt; except that it mimics conjuration spells of 8th level or lower. The illusory conjurations created deal four-fifths (80%) damage to nonbelievers, and nondamaging effects are 80% likely to work against nonbelievers.&lt;/p&gt;</t>
  </si>
  <si>
    <t>&lt;link rel="stylesheet"href="PF.css"&gt;&lt;div class="heading"&gt;&lt;p class="alignleft"&gt;Shades&lt;/p&gt;&lt;div style="clear: both;"&gt;&lt;/div&gt;&lt;/div&gt;&lt;div&gt;&lt;h5&gt;&lt;b&gt;School &lt;/b&gt;illusion (shadow) [shadow];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conjuration,&lt;/i&gt; except that it mimics conjuration spells of 8th level or lower. The illusory conjurations created deal four-fifths (80%) damage to nonbelievers, and nondamaging effects are 80% likely to work against nonbelievers.&lt;/p&gt;&lt;/h4&gt;&lt;/div&gt;</t>
  </si>
  <si>
    <t>Darkness (9)</t>
  </si>
  <si>
    <t> As shadow conjuration, but up to 8th level and 80% real.</t>
  </si>
  <si>
    <t>Shadow (19)</t>
  </si>
  <si>
    <t>Shadow (18)</t>
  </si>
  <si>
    <t>Shadow Conjuration, Greater</t>
  </si>
  <si>
    <t>This spell functions like shadow conjuration, except that it duplicates any sorcerer or wizard conjuration (summoning) or conjuration (creation) spell of 6th level or lower. The illusory conjurations created deal three-fifths (60%) damage to nonbelievers, and nondamaging effects are 60% likely to work against nonbelievers.</t>
  </si>
  <si>
    <t>&lt;p&gt;This spell functions like &lt;i&gt;shadow conjuration,&lt;/i&gt; except that it duplicates any sorcerer or wizard conjuration (summoning) or conjuration (creation) spell of 6th level or lower. The illusory conjurations created deal three-fifths (60%) damage to nonbelievers, and nondamaging effects are 60% likely to work against nonbelievers.&lt;/p&gt;</t>
  </si>
  <si>
    <t>&lt;link rel="stylesheet"href="PF.css"&gt;&lt;div class="heading"&gt;&lt;p class="alignleft"&gt;Shadow Conjuration, Greater&lt;/p&gt;&lt;div style="clear: both;"&gt;&lt;/div&gt;&lt;/div&gt;&lt;div&gt;&lt;h5&gt;&lt;b&gt;School &lt;/b&gt;illusion (shadow) [shadow];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conjuration,&lt;/i&gt; except that it duplicates any sorcerer or wizard conjuration (summoning) or conjuration (creation) spell of 6th level or lower. The illusory conjurations created deal three-fifths (60%) damage to nonbelievers, and nondamaging effects are 60% likely to work against nonbelievers.&lt;/p&gt;&lt;/h4&gt;&lt;/div&gt;</t>
  </si>
  <si>
    <t> As shadow conjuration, but up to 6th level and 60% real.</t>
  </si>
  <si>
    <t>Shadow (14)</t>
  </si>
  <si>
    <t>Shadow Evocation</t>
  </si>
  <si>
    <t>bard 5, sorcerer/wizard 5, mesmerist 5, spiritualist 5</t>
  </si>
  <si>
    <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shadow evocation, a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  Nondamaging effects have normal effects except against those who disbelieve them. Against disbelievers, they have no effect.  Objects automatically succeed on their Will saves against this spell.</t>
  </si>
  <si>
    <t>&lt;p&gt;You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&lt;i&gt;shadow evocation, a&lt;/i&gt;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level.&lt;/p&gt;&lt;p&gt;Nondamaging effects have normal effects except against those who disbelieve them. Against disbelievers, they have no effect.&lt;/p&gt;&lt;p&gt;Objects automatically succeed on their Will saves against this spell.&lt;/p&gt;</t>
  </si>
  <si>
    <t>&lt;link rel="stylesheet"href="PF.css"&gt;&lt;div class="heading"&gt;&lt;p class="alignleft"&gt;Shadow Evocation&lt;/p&gt;&lt;div style="clear: both;"&gt;&lt;/div&gt;&lt;/div&gt;&lt;div&gt;&lt;h5&gt;&lt;b&gt;School &lt;/b&gt;illusion (shadow) [shadow]; &lt;b&gt;Level &lt;/b&gt;bard 5, sorcerer/wizard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&lt;b&gt;Spell Resistance &lt;/b&gt;yes&lt;/h5&gt;&lt;/div&gt;&lt;hr/&gt;&lt;div&gt;&lt;h5&gt;&lt;b&gt;DESCRIPTION&lt;/b&gt;&lt;/h5&gt;&lt;/div&gt;&lt;hr/&gt;&lt;div&gt;&lt;h4&gt;&lt;p&gt;You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&lt;i&gt;shadow evocation, a&lt;/i&gt;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level.&lt;/p&gt;&lt;p&gt;Nondamaging effects have normal effects except against those who disbelieve them. Against disbelievers, they have no effect.&lt;/p&gt;&lt;p&gt;Objects automatically succeed on their Will saves against this spell.&lt;/p&gt;&lt;/h4&gt;&lt;/div&gt;</t>
  </si>
  <si>
    <t>Mimics evocation of lower than 5th level, but only 20% real.</t>
  </si>
  <si>
    <t>Shadow (11)</t>
  </si>
  <si>
    <t>Shadow (10)</t>
  </si>
  <si>
    <t>Shadow Evocation, Greater</t>
  </si>
  <si>
    <t>This spell functions like shadow evocation, except that it enables you to create partially real, illusory versions of sorcerer or wizard evocation spells of 7th level or lower. If recognized as a greater shadow evocation, a damaging spell deals only three-fifths (60%) damage.</t>
  </si>
  <si>
    <t>&lt;p&gt;This spell functions like &lt;i&gt;sh&lt;i&gt;a&lt;/i&gt;dow evoc&lt;i&gt;a&lt;/i&gt;tion,&lt;/i&gt; except th&lt;i&gt;a&lt;/i&gt;t it en&lt;i&gt;a&lt;/i&gt;bles you to cre&lt;i&gt;a&lt;/i&gt;te p&lt;i&gt;a&lt;/i&gt;rti&lt;i&gt;a&lt;/i&gt;lly re&lt;i&gt;a&lt;/i&gt;l, illusory versions of sorcerer or wiz&lt;i&gt;a&lt;/i&gt;rd evoc&lt;i&gt;a&lt;/i&gt;tion spells of 7th level or lower. If recognized &lt;i&gt;a&lt;/i&gt;s &lt;i&gt;a&lt;/i&gt; gre&lt;i&gt;a&lt;/i&gt;ter &lt;i&gt;sh&lt;i&gt;a&lt;/i&gt;dow evoc&lt;i&gt;a&lt;/i&gt;tion,&lt;/i&gt; &lt;i&gt;a&lt;/i&gt; d&lt;i&gt;a&lt;/i&gt;m&lt;i&gt;a&lt;/i&gt;ging spell de&lt;i&gt;a&lt;/i&gt;ls only three-fifths (60%) d&lt;i&gt;a&lt;/i&gt;m&lt;i&gt;a&lt;/i&gt;ge.&lt;/p&gt;</t>
  </si>
  <si>
    <t>&lt;link rel="stylesheet"href="PF.css"&gt;&lt;div class="heading"&gt;&lt;p class="alignleft"&gt;Shadow Evocation, Greater&lt;/p&gt;&lt;div style="clear: both;"&gt;&lt;/div&gt;&lt;/div&gt;&lt;div&gt;&lt;h5&gt;&lt;b&gt;School &lt;/b&gt;illusion (shadow) [shadow]; &lt;b&gt;Level &lt;/b&gt;sorcerer/wizard 8&lt;/h5&gt;&lt;/div&gt;&lt;hr/&gt;&lt;div&gt;&lt;h5&gt;&lt;b&gt;CASTING&lt;/b&gt;&lt;/h5&gt;&lt;/div&gt;&lt;hr/&gt;&lt;div&gt;&lt;h5&gt;&lt;b&gt;Casting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&lt;b&gt;Spell Resistance &lt;/b&gt;yes&lt;/h5&gt;&lt;/div&gt;&lt;hr/&gt;&lt;div&gt;&lt;h5&gt;&lt;b&gt;DESCRIPTION&lt;/b&gt;&lt;/h5&gt;&lt;/div&gt;&lt;hr/&gt;&lt;div&gt;&lt;h4&gt;&lt;p&gt;This spell functions like &lt;i&gt;sh&lt;i&gt;a&lt;/i&gt;dow evoc&lt;i&gt;a&lt;/i&gt;tion,&lt;/i&gt; except th&lt;i&gt;a&lt;/i&gt;t it en&lt;i&gt;a&lt;/i&gt;bles you to cre&lt;i&gt;a&lt;/i&gt;te p&lt;i&gt;a&lt;/i&gt;rti&lt;i&gt;a&lt;/i&gt;lly re&lt;i&gt;a&lt;/i&gt;l, illusory versions of sorcerer or wiz&lt;i&gt;a&lt;/i&gt;rd evoc&lt;i&gt;a&lt;/i&gt;tion spells of 7th level or lower. If recognized &lt;i&gt;a&lt;/i&gt;s &lt;i&gt;a&lt;/i&gt; gre&lt;i&gt;a&lt;/i&gt;ter &lt;i&gt;sh&lt;i&gt;a&lt;/i&gt;dow evoc&lt;i&gt;a&lt;/i&gt;tion,&lt;/i&gt; &lt;i&gt;a&lt;/i&gt; d&lt;i&gt;a&lt;/i&gt;m&lt;i&gt;a&lt;/i&gt;ging spell de&lt;i&gt;a&lt;/i&gt;ls only three-fifths (60%) d&lt;i&gt;a&lt;/i&gt;m&lt;i&gt;a&lt;/i&gt;ge.&lt;/p&gt;&lt;/h4&gt;&lt;/div&gt;</t>
  </si>
  <si>
    <t>Darkness (8)</t>
  </si>
  <si>
    <t> As shadow evocation, but up to 7th level and 60% real.</t>
  </si>
  <si>
    <t>Shadow (17)</t>
  </si>
  <si>
    <t>Shadow (16)</t>
  </si>
  <si>
    <t>Shadow Walk</t>
  </si>
  <si>
    <t>bard 5, sorcerer/wizard 6, alchemist 6, mesmerist 5, spiritualist 6</t>
  </si>
  <si>
    <t>up to one touched creature/level</t>
  </si>
  <si>
    <t>To use the shadow walk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  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  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  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  Shadow walk can also be used to travel to other planes that border on the Plane of Shadow, but this usage requires the transit of the Plane of Shadow to arrive at a border with another plane of reality. The transit of the Plane of Shadow requires 1d4 hours.  Any creatures touched by you when shadow walk is cast also make the transition to the borders of the Plane of Shadow.  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t>
  </si>
  <si>
    <t>&lt;p&gt;To use the &lt;i&gt;shadow walk&lt;/i&gt;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other.&lt;/p&gt;&lt;p&gt;In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Plane.&lt;/p&gt;&lt;p&gt;Because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spying.&lt;/p&gt;&lt;p&gt;Furthermore,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save).&lt;/p&gt;&lt;p&gt;&lt;i&gt;Shadow walk&lt;/i&gt; can also be used to travel to other planes that border on the Plane of Shadow, but this usage requires the transit of the Plane of Shadow to arrive at a border with another plane of reality. The transit of the Plane of Shadow requires 1d4 hours.&lt;/p&gt;&lt;p&gt;Any creatures touched by you when &lt;i&gt;shadow walk&lt;/i&gt; is cast also make the transition to the borders of the Plane of Shadow.&lt;/p&gt;&lt;p&gt;They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successful.&lt;/p&gt;</t>
  </si>
  <si>
    <t>&lt;link rel="stylesheet"href="PF.css"&gt;&lt;div class="heading"&gt;&lt;p class="alignleft"&gt;Shadow Walk&lt;/p&gt;&lt;div style="clear: both;"&gt;&lt;/div&gt;&lt;/div&gt;&lt;div&gt;&lt;h5&gt;&lt;b&gt;School &lt;/b&gt;illusion (shadow) [shadow]; &lt;b&gt;Level &lt;/b&gt;bard 5, sorcerer/wizard 6, alchemist 6, mesmerist 5,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one touched creature/level&lt;/h5&gt;&lt;h5&gt;&lt;b&gt;Duration &lt;/b&gt;1 hour/level (D)&lt;/h5&gt;&lt;h5&gt;&lt;b&gt;Saving Throw &lt;/b&gt;Will negates; &lt;b&gt;Spell Resistance &lt;/b&gt;yes&lt;/h5&gt;&lt;/div&gt;&lt;hr/&gt;&lt;div&gt;&lt;h5&gt;&lt;b&gt;DESCRIPTION&lt;/b&gt;&lt;/h5&gt;&lt;/div&gt;&lt;hr/&gt;&lt;div&gt;&lt;h4&gt;&lt;p&gt;To use the &lt;i&gt;shadow walk&lt;/i&gt;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other.&lt;/p&gt;&lt;p&gt;In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Plane.&lt;/p&gt;&lt;p&gt;Because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spying.&lt;/p&gt;&lt;p&gt;Furthermore,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save).&lt;/p&gt;&lt;p&gt;&lt;i&gt;Shadow walk&lt;/i&gt; can also be used to travel to other planes that border on the Plane of Shadow, but this usage requires the transit of the Plane of Shadow to arrive at a border with another plane of reality. The transit of the Plane of Shadow requires 1d4 hours.&lt;/p&gt;&lt;p&gt;Any creatures touched by you when &lt;i&gt;shadow walk&lt;/i&gt; is cast also make the transition to the borders of the Plane of Shadow.&lt;/p&gt;&lt;p&gt;They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successful.&lt;/p&gt;&lt;/h4&gt;&lt;/div&gt;</t>
  </si>
  <si>
    <t>Darkness (6)</t>
  </si>
  <si>
    <t>Step into shadow to travel rapidly.</t>
  </si>
  <si>
    <t>Dreamspun (13), Shadow (13)</t>
  </si>
  <si>
    <t>Shadow (12), Spirits (12)</t>
  </si>
  <si>
    <t>Shambler</t>
  </si>
  <si>
    <t>druid 9, shaman 9</t>
  </si>
  <si>
    <t>three or more shambling mounds, no two of which can be more than 30 ft. apart; see text</t>
  </si>
  <si>
    <t>7 days or 7 months ; see text</t>
  </si>
  <si>
    <t>The shambler spell creates 1d4+2 shambling mounds with the advanced template (see the Pathfinder RPG Bestiary). The creatures willingly aid you in combat or battle, perform a specific mission, or serve as bodyguards. The creatures remain with you for 7 days unless you dismiss them. If the shamblers are created only for guard duty, however, the duration of the spell is 7 months. In this case, the shamblers can only be ordered to guard a specific site or location. Shamblers summoned to guard duty cannot move outside the spell's range, which is measured from the point where each first appeared. You can only have one shambler spell in at one time. If you cast this spell while another casting is still in effect, the previous casting is dispelled. The shamblers have resistance to fire as normal shambling mounds do only if the terrain where they are summoned is rainy, marshy, or damp.</t>
  </si>
  <si>
    <t>&lt;p&gt;The &lt;i&gt;shambler&lt;/i&gt; spell creates 1d4+2 shambling mounds with the advanced template (see the &lt;i&gt;Pathfinder RPG Bestiary&lt;/i&gt;). The creatures willingly aid you in combat or battle, perform a specific mission, or serve as bodyguards. The creatures remain with you for 7 days unless you dismiss them. If the &lt;i&gt;shambler&lt;/i&gt;s are created only for guard duty, however, the duration of the spell is 7 months. In this case, the &lt;i&gt;shambler&lt;/i&gt;s can only be ordered to guard a specific site or location. Shamblers summoned to guard duty cannot move outside the spell's range, which is measured from the point where each first appeared. You can only have one &lt;i&gt;shambler&lt;/i&gt; spell in at one time. If you cast this spell while another casting is still in effect, the previous casting is dispelled. The &lt;i&gt;shambler&lt;/i&gt;s have resistance to fire as normal shambling mounds do only if the terrain where they are summoned is rainy, marshy, or damp.&lt;/p&gt;</t>
  </si>
  <si>
    <t>&lt;link rel="stylesheet"href="PF.css"&gt;&lt;div class="heading"&gt;&lt;p class="alignleft"&gt;Shambler&lt;/p&gt;&lt;div style="clear: both;"&gt;&lt;/div&gt;&lt;/div&gt;&lt;div&gt;&lt;h5&gt;&lt;b&gt;School &lt;/b&gt;conjuration (creation); &lt;b&gt;Level &lt;/b&gt;druid 9, shaman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shambling mounds, no two of which can be more than 30 ft. apart; see text&lt;/h5&gt;&lt;h5&gt;&lt;b&gt;Duration &lt;/b&gt;7 days or 7 months ; see text (D)&lt;/h5&gt;&lt;h5&gt;&lt;b&gt;Saving Throw &lt;/b&gt;none; &lt;b&gt;Spell Resistance &lt;/b&gt;no&lt;/h5&gt;&lt;/div&gt;&lt;hr/&gt;&lt;div&gt;&lt;h5&gt;&lt;b&gt;DESCRIPTION&lt;/b&gt;&lt;/h5&gt;&lt;/div&gt;&lt;hr/&gt;&lt;div&gt;&lt;h4&gt;&lt;p&gt;The &lt;i&gt;shambler&lt;/i&gt; spell creates 1d4+2 shambling mounds with the advanced template (see the &lt;i&gt;Pathfinder RPG Bestiary&lt;/i&gt;). The creatures willingly aid you in combat or battle, perform a specific mission, or serve as bodyguards. The creatures remain with you for 7 days unless you dismiss them. If the &lt;i&gt;shambler&lt;/i&gt;s are created only for guard duty, however, the duration of the spell is 7 months. In this case, the &lt;i&gt;shambler&lt;/i&gt;s can only be ordered to guard a specific site or location. Shamblers summoned to guard duty cannot move outside the spell's range, which is measured from the point where each first appeared. You can only have one &lt;i&gt;shambler&lt;/i&gt; spell in at one time. If you cast this spell while another casting is still in effect, the previous casting is dispelled. The &lt;i&gt;shambler&lt;/i&gt;s have resistance to fire as normal shambling mounds do only if the terrain where they are summoned is rainy, marshy, or damp.&lt;/p&gt;&lt;/h4&gt;&lt;/div&gt;</t>
  </si>
  <si>
    <t>Plant (9)</t>
  </si>
  <si>
    <t> Creates 1d4+2 shambling mounds to fight for you.</t>
  </si>
  <si>
    <t>Verdant (19)</t>
  </si>
  <si>
    <t>Plant (18)</t>
  </si>
  <si>
    <t>Shapechange</t>
  </si>
  <si>
    <t>druid 9, sorcerer/wizard 9, shaman 9</t>
  </si>
  <si>
    <t>V, S, F (jade circlet worth 1,500 gp)</t>
  </si>
  <si>
    <t>This spell allows you to take the form of a wide variety of creatures. This spell can function as alter self, beast form IV, elemental body IV, form of the dragon III, giant form II, and plant shape III depending on what form you take. You can change form once each round as a free action. The change takes place either immediately before your regular action or immediately after it, but not during the action.</t>
  </si>
  <si>
    <t>&lt;p&gt;This spell allows you to take the form of a wide variety of creatures. This spell can function as &lt;i&gt;alter self, beast form IV, elemental body IV&lt;/i&gt;, &lt;i&gt;form of the dragon III, giant form II,&lt;/i&gt; and &lt;i&gt;plant shape III&lt;/i&gt; depending on what form you take. You can change form once each round as a free action. The change takes place either immediately before your regular action or immediately after it, but not during the action.&lt;/p&gt;</t>
  </si>
  <si>
    <t>&lt;link rel="stylesheet"href="PF.css"&gt;&lt;div class="heading"&gt;&lt;p class="alignleft"&gt;Shapechange&lt;/p&gt;&lt;div style="clear: both;"&gt;&lt;/div&gt;&lt;/div&gt;&lt;div&gt;&lt;h5&gt;&lt;b&gt;School &lt;/b&gt;transmutation (polymorph); &lt;b&gt;Level &lt;/b&gt;druid 9, sorcerer/wizard 9, shaman 9&lt;/h5&gt;&lt;/div&gt;&lt;hr/&gt;&lt;div&gt;&lt;h5&gt;&lt;b&gt;CASTING&lt;/b&gt;&lt;/h5&gt;&lt;/div&gt;&lt;hr/&gt;&lt;div&gt;&lt;h5&gt;&lt;b&gt;Casting Time &lt;/b&gt;1 standard action&lt;/h5&gt;&lt;h5&gt;&lt;b&gt;Components &lt;/b&gt;V, S, F (jade circlet worth 1,500 gp)&lt;/h5&gt;&lt;/div&gt;&lt;hr/&gt;&lt;div&gt;&lt;h5&gt;&lt;b&gt;EFFECT&lt;/b&gt;&lt;/h5&gt;&lt;/div&gt;&lt;hr/&gt;&lt;div&gt;&lt;h5&gt;&lt;b&gt;Range &lt;/b&gt;personal&lt;/h5&gt;&lt;h5&gt;&lt;b&gt;Targets &lt;/b&gt;you&lt;/h5&gt;&lt;h5&gt;&lt;b&gt;Duration &lt;/b&gt;10 min./level (D)&lt;/h5&gt;&lt;/div&gt;&lt;hr/&gt;&lt;div&gt;&lt;h5&gt;&lt;b&gt;DESCRIPTION&lt;/b&gt;&lt;/h5&gt;&lt;/div&gt;&lt;hr/&gt;&lt;div&gt;&lt;h4&gt;&lt;p&gt;This spell allows you to take the form of a wide variety of creatures. This spell can function as &lt;i&gt;alter self, beast form IV, elemental body IV&lt;/i&gt;, &lt;i&gt;form of the dragon III, giant form II,&lt;/i&gt; and &lt;i&gt;plant shape III&lt;/i&gt; depending on what form you take. You can change form once each round as a free action. The change takes place either immediately before your regular action or immediately after it, but not during the action.&lt;/p&gt;&lt;/h4&gt;&lt;/div&gt;</t>
  </si>
  <si>
    <t>Animal (9), Scalykind (9)</t>
  </si>
  <si>
    <t>Transforms you into certain creatures, and you can change forms once per round.</t>
  </si>
  <si>
    <t>Aberrant (19), Fey (19), Nanite (19), Protean (19)</t>
  </si>
  <si>
    <t>Agility (18), Strength (18), Transformation (18)</t>
  </si>
  <si>
    <t>Shatter</t>
  </si>
  <si>
    <t>bard 2, cleric/oracle 2, sorcerer/wizard 2, magus 2, bloodrager 2, occultist 2, psychic 2</t>
  </si>
  <si>
    <t>V, S, M/DF (a chip of mica)</t>
  </si>
  <si>
    <t>5-ft.-radius spread; or one solid object or one crystalline creature</t>
  </si>
  <si>
    <t>Will negates (object); Will negates (object) or Fortitude half; see text</t>
  </si>
  <si>
    <t>Shatter creates a loud, ringing noise that breaks brittle, nonmagical objects; sunders a single solid, nonmagical object; or damages a crystalline creature.  Used as an area attack, shatter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shattered.  Alternatively, you can target shatter against a single solid nonmagical object, regardless of composition, weighing up to 10 pounds per caster level. Targeted against a crystalline creature (of any weight), shatter deals 1d6 points of sonic damage per caster level (maximum 10d6), with a Fortitude save for half damage.</t>
  </si>
  <si>
    <t>&lt;p&gt;&lt;i&gt;Shatter&lt;/i&gt; creates a loud, ringing noise that breaks brittle, nonmagical objects; sunders a single solid, nonmagical object; or damages a crystalline creature.&lt;/p&gt;&lt;p&gt;Used as an area attack, &lt;i&gt;shatter&lt;/i&gt;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&lt;i&gt;shatter&lt;/i&gt;ed.&lt;/p&gt;&lt;p&gt;Alternatively, you can target &lt;i&gt;shatter&lt;/i&gt; against a single solid nonmagical object, regardless of composition, weighing up to 10 pounds per caster level. Targeted against a crystalline creature (of any weight), &lt;i&gt;shatter&lt;/i&gt; deals 1d6 points of sonic damage per caster level (maximum 10d6), with a Fortitude save for half damage.&lt;/p&gt;</t>
  </si>
  <si>
    <t>&lt;link rel="stylesheet"href="PF.css"&gt;&lt;div class="heading"&gt;&lt;p class="alignleft"&gt;Shatter&lt;/p&gt;&lt;div style="clear: both;"&gt;&lt;/div&gt;&lt;/div&gt;&lt;div&gt;&lt;h5&gt;&lt;b&gt;School &lt;/b&gt;evocation [sonic]; &lt;b&gt;Level &lt;/b&gt;bard 2, cleric/oracle 2, sorcerer/wizard 2, magus 2, bloodrager 2, occultist 2, psychic 2&lt;/h5&gt;&lt;/div&gt;&lt;hr/&gt;&lt;div&gt;&lt;h5&gt;&lt;b&gt;CASTING&lt;/b&gt;&lt;/h5&gt;&lt;/div&gt;&lt;hr/&gt;&lt;div&gt;&lt;h5&gt;&lt;b&gt;Casting Time &lt;/b&gt;1 standard action&lt;/h5&gt;&lt;h5&gt;&lt;b&gt;Components &lt;/b&gt;V, S, M/DF (a chip of mica)&lt;/h5&gt;&lt;/div&gt;&lt;hr/&gt;&lt;div&gt;&lt;h5&gt;&lt;b&gt;EFFECT&lt;/b&gt;&lt;/h5&gt;&lt;/div&gt;&lt;hr/&gt;&lt;div&gt;&lt;h5&gt;&lt;b&gt;Range &lt;/b&gt;close (25 ft. + 5 ft./2 levels)&lt;/h5&gt;&lt;h5&gt;&lt;b&gt;Target or Area &lt;/b&gt;5-ft.-radius spread; or one solid object or one crystalline creature&lt;h5&gt;&lt;b&gt;Duration &lt;/b&gt;instantaneous&lt;/h5&gt;&lt;h5&gt;&lt;b&gt;Saving Throw &lt;/b&gt;Will negates (object); Will negates (object) or Fortitude half; see text; &lt;b&gt;Spell Resistance &lt;/b&gt;yes&lt;/h5&gt;&lt;/div&gt;&lt;hr/&gt;&lt;div&gt;&lt;h5&gt;&lt;b&gt;DESCRIPTION&lt;/b&gt;&lt;/h5&gt;&lt;/div&gt;&lt;hr/&gt;&lt;div&gt;&lt;h4&gt;&lt;p&gt;&lt;i&gt;Shatter&lt;/i&gt; creates a loud, ringing noise that breaks brittle, nonmagical objects; sunders a single solid, nonmagical object; or damages a crystalline creature.&lt;/p&gt;&lt;p&gt;Used as an area attack, &lt;i&gt;shatter&lt;/i&gt;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&lt;i&gt;shatter&lt;/i&gt;ed.&lt;/p&gt;&lt;p&gt;Alternatively, you can target &lt;i&gt;shatter&lt;/i&gt; against a single solid nonmagical object, regardless of composition, weighing up to 10 pounds per caster level. Targeted against a crystalline creature (of any weight), &lt;i&gt;shatter&lt;/i&gt; deals 1d6 points of sonic damage per caster level (maximum 10d6), with a Fortitude save for half damage.&lt;/p&gt;&lt;/h4&gt;&lt;h5&gt;&lt;b&gt;Mythic: &lt;/b&gt;Add your tier to your caster level when determining the maximum object weight you can affect. When targeting a crystalline creature, the spell's damage increases to 1d8 points of sonic damage per caster level (maximum 10d8). You may damage a single magical object as if it were a crystalline creature. If the spell destroys an object or damages a crystalline creature, broken shards litter the spell area or creature's space and act as caltrops.&lt;/h5&gt;&lt;/div&gt;</t>
  </si>
  <si>
    <t>Destruction (2)</t>
  </si>
  <si>
    <t>Sonic vibration damages objects or crystalline creatures.</t>
  </si>
  <si>
    <t>Add your tier to your caster level when determining the maximum object weight you can affect. When targeting a crystalline creature, the spell's damage increases to 1d8 points of sonic damage per caster level (maximum 10d8). You may damage a single magical object as if it were a crystalline creature. If the spell destroys an object or damages a crystalline creature, broken shards litter the spell area or creature's space and act as caltrops.</t>
  </si>
  <si>
    <t>Shield</t>
  </si>
  <si>
    <t>sorcerer/wizard 1, alchemist 1, summoner 1, magus 1, bloodrager 1, occultist 1, psychic 1, spiritualist 1</t>
  </si>
  <si>
    <t>Shield creates an invisible shield of force that hovers in front of you. It negates magic missile attacks directed at you. The disk also provides a +4 shield bonus to AC. This bonus applies against incorporeal touch attacks, since it is a force effect. The shield has no armor check penalty or arcane spell failure chance.</t>
  </si>
  <si>
    <t>&lt;p&gt;&lt;i&gt;Shield&lt;/i&gt; creates an invisible &lt;i&gt;shield&lt;/i&gt; of force that hovers in front of you. It negates &lt;i&gt;magic missile&lt;/i&gt; attacks directed at you. The disk also provides a +4 &lt;i&gt;shield&lt;/i&gt; bonus to AC. This bonus applies against incorporeal touch attacks, since it is a force effect. The &lt;i&gt;shield&lt;/i&gt; has no armor check penalty or arcane spell failure chance.&lt;/p&gt;</t>
  </si>
  <si>
    <t>&lt;link rel="stylesheet"href="PF.css"&gt;&lt;div class="heading"&gt;&lt;p class="alignleft"&gt;Shield&lt;/p&gt;&lt;div style="clear: both;"&gt;&lt;/div&gt;&lt;/div&gt;&lt;div&gt;&lt;h5&gt;&lt;b&gt;School &lt;/b&gt;abjuration [force]; &lt;b&gt;Level &lt;/b&gt;sorcerer/wizard 1, alchemist 1, summoner 1, magus 1, bloodrager 1, occultist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(D)&lt;/h5&gt;&lt;/div&gt;&lt;hr/&gt;&lt;div&gt;&lt;h5&gt;&lt;b&gt;DESCRIPTION&lt;/b&gt;&lt;/h5&gt;&lt;/div&gt;&lt;hr/&gt;&lt;div&gt;&lt;h4&gt;&lt;p&gt;&lt;i&gt;Shield&lt;/i&gt; creates an invisible &lt;i&gt;shield&lt;/i&gt; of force that hovers in front of you. It negates &lt;i&gt;magic missile&lt;/i&gt; attacks directed at you. The disk also provides a +4 &lt;i&gt;shield&lt;/i&gt; bonus to AC. This bonus applies against incorporeal touch attacks, since it is a force effect. The &lt;i&gt;shield&lt;/i&gt; has no armor check penalty or arcane spell failure chance.&lt;/p&gt;&lt;/h4&gt;&lt;/div&gt;</t>
  </si>
  <si>
    <t>Defense (1)</t>
  </si>
  <si>
    <t> Invisible disc gives +4 to AC, blocks magic missiles.</t>
  </si>
  <si>
    <t>Shield Of Faith</t>
  </si>
  <si>
    <t>V, S, M (parchment with a holy text written on it)</t>
  </si>
  <si>
    <t>This spell creates a shimmering, magical field around the target that averts and deflects attacks. The spell grants the subject a +2 deflection bonus to AC, with an additional +1 to the bonus for every six levels you have (maximum +5 deflection bonus at 18th level).</t>
  </si>
  <si>
    <t>&lt;p&gt;This spell creates a shimmering, magical field around the target that averts and deflects attacks. The spell grants the subject a +2 deflection bonus to AC, with an additional +1 to the bonus for every six levels you have (maximum +5 deflection bonus at 18th level).&lt;/p&gt;</t>
  </si>
  <si>
    <t>&lt;link rel="stylesheet"href="PF.css"&gt;&lt;div class="heading"&gt;&lt;p class="alignleft"&gt;Shield Of Faith&lt;/p&gt;&lt;div style="clear: both;"&gt;&lt;/div&gt;&lt;/div&gt;&lt;div&gt;&lt;h5&gt;&lt;b&gt;School &lt;/b&gt;abjuration; &lt;b&gt;Level &lt;/b&gt;cleric/oracle 1, inquisitor 1&lt;/h5&gt;&lt;/div&gt;&lt;hr/&gt;&lt;div&gt;&lt;h5&gt;&lt;b&gt;CASTING&lt;/b&gt;&lt;/h5&gt;&lt;/div&gt;&lt;hr/&gt;&lt;div&gt;&lt;h5&gt;&lt;b&gt;Casting Time &lt;/b&gt;1 standard action&lt;/h5&gt;&lt;h5&gt;&lt;b&gt;Components &lt;/b&gt;V, S, M (parchment with a holy text written on it)&lt;/h5&gt;&lt;/div&gt;&lt;hr/&gt;&lt;div&gt;&lt;h5&gt;&lt;b&gt;EFFECT&lt;/b&gt;&lt;/h5&gt;&lt;/div&gt;&lt;hr/&gt;&lt;div&gt;&lt;h5&gt;&lt;b&gt;Range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(harmless)&lt;/h5&gt;&lt;/div&gt;&lt;hr/&gt;&lt;div&gt;&lt;h5&gt;&lt;b&gt;DESCRIPTION&lt;/b&gt;&lt;/h5&gt;&lt;/div&gt;&lt;hr/&gt;&lt;div&gt;&lt;h4&gt;&lt;p&gt;This spell creates a shimmering, magical field around the target that averts and deflects attacks. The spell grants the subject a +2 deflection bonus to AC, with an additional +1 to the bonus for every six levels you have (maximum +5 deflection bonus at 18th level).&lt;/p&gt;&lt;/h4&gt;&lt;h5&gt;&lt;b&gt;Mythic: &lt;/b&gt;Add half your tier to the spell's deflection bonus.&lt;/h5&gt;&lt;/div&gt;</t>
  </si>
  <si>
    <t>Agathion (1), Glory (1)</t>
  </si>
  <si>
    <t> Aura grants +2 or higher deflection bonus.</t>
  </si>
  <si>
    <t>Wisdom (2)</t>
  </si>
  <si>
    <t>Add half your tier to the spell's deflection bonus.</t>
  </si>
  <si>
    <t>Shield of Law</t>
  </si>
  <si>
    <t>V, S, F (a reliquary worth 500 gp)</t>
  </si>
  <si>
    <t>A dim, blue glow surrounds the subjects, protecting them from attacks, granting them resistance to spells cast by chaotic creatures, and slowing chaotic creatures when they strike the subjects. This abjuration has four effects.  First, each warded creature gains a +4 deflection bonus to AC and a +4 resistance bonus on saves. Unlike protection from chaos, this benefit applies against all attacks, not just against attacks by chaotic creatures.  Second, a warded creature gains spell resistance 25 against chaotic spells and spells cast by chaotic creatures.  Third, the abjuration protects you from possession and mental influence, just as protection from chaos does.  Finally, if a chaotic creature succeeds on a melee attack against a warded creature, the attacker is slowed (Will save negates, as the slow spell, but against shield of law's save DC).</t>
  </si>
  <si>
    <t>&lt;p&gt;A dim, blue glow surrounds the subjects, protecting them from attacks, granting them resistance to spells cast by chaotic creatures, and &lt;i&gt;&lt;i&gt;slow&lt;/i&gt;ing&lt;/i&gt; chaotic creatures when they strike the subjects. This abjuration has four effects.&lt;/p&gt;&lt;p&gt;First, each warded creature gains a +4 deflection bonus to AC and a +4 resistance bonus on saves. Unlike &lt;i&gt;protection from chaos&lt;/i&gt;, this benefit applies against all attacks, not just against attacks by chaotic creatures.&lt;/p&gt;&lt;p&gt;Second, a warded creature gains spell resistance 25 against chaotic spells and spells cast by chaotic creatures.&lt;/p&gt;&lt;p&gt;Third, the abjuration protects you from possession and mental influence, just as &lt;i&gt;protection from chaos&lt;/i&gt; does.&lt;/p&gt;&lt;p&gt;Finally, if a chaotic creature succeeds on a melee attack against a warded creature, the attacker is &lt;i&gt;&lt;i&gt;slow&lt;/i&gt;ed&lt;/i&gt; (Will save negates, as the &lt;i&gt;slow&lt;/i&gt; spell, but against &lt;i&gt;shield of law&lt;/i&gt;'s save DC).&lt;/p&gt;</t>
  </si>
  <si>
    <t>&lt;link rel="stylesheet"href="PF.css"&gt;&lt;div class="heading"&gt;&lt;p class="alignleft"&gt;Shield of Law&lt;/p&gt;&lt;div style="clear: both;"&gt;&lt;/div&gt;&lt;/div&gt;&lt;div&gt;&lt;h5&gt;&lt;b&gt;School &lt;/b&gt;abjuration [lawful]; &lt;b&gt;Level &lt;/b&gt;cleric/oracle 8&lt;/h5&gt;&lt;/div&gt;&lt;hr/&gt;&lt;div&gt;&lt;h5&gt;&lt;b&gt;CASTING&lt;/b&gt;&lt;/h5&gt;&lt;/div&gt;&lt;hr/&gt;&lt;div&gt;&lt;h5&gt;&lt;b&gt;Casting Time &lt;/b&gt;1 standard action&lt;/h5&gt;&lt;h5&gt;&lt;b&gt;Components &lt;/b&gt;V, S, F (a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dim, blue glow surrounds the subjects, protecting them from attacks, granting them resistance to spells cast by chaotic creatures, and &lt;i&gt;&lt;i&gt;slow&lt;/i&gt;ing&lt;/i&gt; chaotic creatures when they strike the subjects. This abjuration has four effects.&lt;/p&gt;&lt;p&gt;First, each warded creature gains a +4 deflection bonus to AC and a +4 resistance bonus on saves. Unlike &lt;i&gt;protection from chaos&lt;/i&gt;, this benefit applies against all attacks, not just against attacks by chaotic creatures.&lt;/p&gt;&lt;p&gt;Second, a warded creature gains spell resistance 25 against chaotic spells and spells cast by chaotic creatures.&lt;/p&gt;&lt;p&gt;Third, the abjuration protects you from possession and mental influence, just as &lt;i&gt;protection from chaos&lt;/i&gt; does.&lt;/p&gt;&lt;p&gt;Finally, if a chaotic creature succeeds on a melee attack against a warded creature, the attacker is &lt;i&gt;&lt;i&gt;slow&lt;/i&gt;ed&lt;/i&gt; (Will save negates, as the &lt;i&gt;slow&lt;/i&gt; spell, but against &lt;i&gt;shield of law&lt;/i&gt;'s save DC).&lt;/p&gt;&lt;/h4&gt;&lt;/div&gt;</t>
  </si>
  <si>
    <t>Law (8)</t>
  </si>
  <si>
    <t> +4 to AC, +4 resistance, and SR 25 against chaotic spells.</t>
  </si>
  <si>
    <t>Shield Other</t>
  </si>
  <si>
    <t>cleric/oracle 2, paladin 2, inquisitor 2, psychic 2</t>
  </si>
  <si>
    <t>V, S, F (a pair of platinum rings worth 50 gp worn by both you and the target)</t>
  </si>
  <si>
    <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charm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  If you and the subject of the spell move out of range of each other, the spell ends.</t>
  </si>
  <si>
    <t>&lt;p&gt;This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&lt;i&gt;charm&lt;/i&gt;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subject.&lt;/p&gt;&lt;p&gt;If you and the subject of the spell move out of range of each other, the spell ends.&lt;/p&gt;</t>
  </si>
  <si>
    <t>&lt;link rel="stylesheet"href="PF.css"&gt;&lt;div class="heading"&gt;&lt;p class="alignleft"&gt;Shield Other&lt;/p&gt;&lt;div style="clear: both;"&gt;&lt;/div&gt;&lt;/div&gt;&lt;div&gt;&lt;h5&gt;&lt;b&gt;School &lt;/b&gt;abjuration; &lt;b&gt;Level &lt;/b&gt;cleric/oracle 2, paladin 2, inquisitor 2, psychic 2&lt;/h5&gt;&lt;/div&gt;&lt;hr/&gt;&lt;div&gt;&lt;h5&gt;&lt;b&gt;CASTING&lt;/b&gt;&lt;/h5&gt;&lt;/div&gt;&lt;hr/&gt;&lt;div&gt;&lt;h5&gt;&lt;b&gt;Casting Time &lt;/b&gt;1 standard action&lt;/h5&gt;&lt;h5&gt;&lt;b&gt;Components &lt;/b&gt;V, S, F (a pair of platinum rings worth 50 gp worn by both you and the target)&lt;/h5&gt;&lt;/div&gt;&lt;hr/&gt;&lt;div&gt;&lt;h5&gt;&lt;b&gt;EFFECT&lt;/b&gt;&lt;/h5&gt;&lt;/div&gt;&lt;hr/&gt;&lt;div&gt;&lt;h5&gt;&lt;b&gt;Range &lt;/b&gt;close (25 ft. + 5 ft./2 levels)&lt;/h5&gt;&lt;h5&gt;&lt;b&gt;Targets &lt;/b&gt;one creature&lt;/h5&gt;&lt;h5&gt;&lt;b&gt;Duration &lt;/b&gt;1 hour/level (D)&lt;/h5&gt;&lt;h5&gt;&lt;b&gt;Saving Throw &lt;/b&gt;Will negates (harmless); &lt;b&gt;Spell Resistance &lt;/b&gt;yes (harmless)&lt;/h5&gt;&lt;/div&gt;&lt;hr/&gt;&lt;div&gt;&lt;h5&gt;&lt;b&gt;DESCRIPTION&lt;/b&gt;&lt;/h5&gt;&lt;/div&gt;&lt;hr/&gt;&lt;div&gt;&lt;h4&gt;&lt;p&gt;This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&lt;i&gt;charm&lt;/i&gt;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subject.&lt;/p&gt;&lt;p&gt;If you and the subject of the spell move out of range of each other, the spell ends.&lt;/p&gt;&lt;/h4&gt;&lt;h5&gt;&lt;b&gt;Mythic: &lt;/b&gt;Increase the range to long (400 feet + 40 feet per 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higher.&lt;/h5&gt;&lt;/div&gt;</t>
  </si>
  <si>
    <t>Community (2), Martyr (2), Protection (2), Friendship (2)</t>
  </si>
  <si>
    <t>You take half of subject’s damage.</t>
  </si>
  <si>
    <t>Increase the range to long (400 feet + 40 feet per 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t>
  </si>
  <si>
    <t>Shillelagh</t>
  </si>
  <si>
    <t>druid 1</t>
  </si>
  <si>
    <t>one touched nonmagical oak club or quarterstaff</t>
  </si>
  <si>
    <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t>
  </si>
  <si>
    <t>&lt;p&gt;Your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spell.&lt;/p&gt;</t>
  </si>
  <si>
    <t>&lt;link rel="stylesheet"href="PF.css"&gt;&lt;div class="heading"&gt;&lt;p class="alignleft"&gt;Shillelagh&lt;/p&gt;&lt;div style="clear: both;"&gt;&lt;/div&gt;&lt;/div&gt;&lt;div&gt;&lt;h5&gt;&lt;b&gt;School &lt;/b&gt;transmutation;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nonmagical oak club or quarterstaff&lt;/h5&gt;&lt;h5&gt;&lt;b&gt;Duration &lt;/b&gt;1 min./level&lt;/h5&gt;&lt;h5&gt;&lt;b&gt;Saving Throw &lt;/b&gt;Will negates (object); &lt;b&gt;Spell Resistance &lt;/b&gt;yes (object)&lt;/h5&gt;&lt;/div&gt;&lt;hr/&gt;&lt;div&gt;&lt;h5&gt;&lt;b&gt;DESCRIPTION&lt;/b&gt;&lt;/h5&gt;&lt;/div&gt;&lt;hr/&gt;&lt;div&gt;&lt;h4&gt;&lt;p&gt;Your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spell.&lt;/p&gt;&lt;/h4&gt;&lt;/div&gt;</t>
  </si>
  <si>
    <t> Cudgel or quarterstaff becomes +1 weapon (2d6 damage) for 1 min./level.</t>
  </si>
  <si>
    <t>Shrink Item</t>
  </si>
  <si>
    <t>sorcerer/wizard 3, occultist 3, psychic 3</t>
  </si>
  <si>
    <t>one touched object of up to 2 cu. ft./level</t>
  </si>
  <si>
    <t>1 day/level; see text</t>
  </si>
  <si>
    <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  Objects changed by a shrink item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  Shrink item can be made permanent with a permanency spell, in which case the affected object can be shrunk and expanded an indefinite number of times, but only by the original caster.</t>
  </si>
  <si>
    <t>&lt;p&gt;You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one.&lt;/p&gt;&lt;p&gt;Objects changed by a &lt;i&gt;shrink item&lt;/i&gt;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spell.&lt;/p&gt;&lt;p&gt;&lt;i&gt;Shrink item&lt;/i&gt; can be made permanent with a &lt;i&gt;permanency&lt;/i&gt; spell, in which case the affected object can be shrunk and expanded an indefinite number of times, but only by the original caster.&lt;/p&gt;</t>
  </si>
  <si>
    <t>&lt;link rel="stylesheet"href="PF.css"&gt;&lt;div class="heading"&gt;&lt;p class="alignleft"&gt;Shrink Item&lt;/p&gt;&lt;div style="clear: both;"&gt;&lt;/div&gt;&lt;/div&gt;&lt;div&gt;&lt;h5&gt;&lt;b&gt;School &lt;/b&gt;transmutation; &lt;b&gt;Level &lt;/b&gt;sorcerer/wizard 3, occultist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of up to 2 cu. ft./level&lt;/h5&gt;&lt;h5&gt;&lt;b&gt;Duration &lt;/b&gt;1 day/level; see text&lt;/h5&gt;&lt;h5&gt;&lt;b&gt;Saving Throw &lt;/b&gt;Will negates (object); &lt;b&gt;Spell Resistance &lt;/b&gt;yes (object)&lt;/h5&gt;&lt;/div&gt;&lt;hr/&gt;&lt;div&gt;&lt;h5&gt;&lt;b&gt;DESCRIPTION&lt;/b&gt;&lt;/h5&gt;&lt;/div&gt;&lt;hr/&gt;&lt;div&gt;&lt;h4&gt;&lt;p&gt;You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one.&lt;/p&gt;&lt;p&gt;Objects changed by a &lt;i&gt;shrink item&lt;/i&gt;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spell.&lt;/p&gt;&lt;p&gt;&lt;i&gt;Shrink item&lt;/i&gt; can be made permanent with a &lt;i&gt;permanency&lt;/i&gt; spell, in which case the affected object can be shrunk and expanded an indefinite number of times, but only by the original caster.&lt;/p&gt;&lt;/h4&gt;&lt;/div&gt;</t>
  </si>
  <si>
    <t> Object shrinks to one-sixteenth size.</t>
  </si>
  <si>
    <t>Impossible (7)</t>
  </si>
  <si>
    <t>Shocking Grasp</t>
  </si>
  <si>
    <t>sorcerer/wizard 1, magus 1, bloodrager 1, occultist 1</t>
  </si>
  <si>
    <t>Your successful melee touch attack deals 1d6 points of electricity damage per caster level (maximum 5d6). When delivering the jolt, you gain a +3 bonus on attack rolls if the opponent is wearing metal armor (or is carrying a metal weapon or is made of metal).</t>
  </si>
  <si>
    <t>&lt;p&gt;Your successful melee touch attack deals 1d6 points of electricity damage per caster level (maximum 5d6). When delivering the jolt, you gain a +3 bonus on attack rolls if the opponent is wearing metal armor (or is carrying a metal weapon or is made of metal).&lt;/p&gt;</t>
  </si>
  <si>
    <t>&lt;link rel="stylesheet"href="PF.css"&gt;&lt;div class="heading"&gt;&lt;p class="alignleft"&gt;Shocking Grasp&lt;/p&gt;&lt;div style="clear: both;"&gt;&lt;/div&gt;&lt;/div&gt;&lt;div&gt;&lt;h5&gt;&lt;b&gt;School &lt;/b&gt;evocation [electricity]; &lt;b&gt;Level &lt;/b&gt;sorcerer/wizard 1, magus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&lt;/b&gt;none; &lt;b&gt;Spell Resistance &lt;/b&gt;yes&lt;/h5&gt;&lt;/div&gt;&lt;hr/&gt;&lt;div&gt;&lt;h5&gt;&lt;b&gt;DESCRIPTION&lt;/b&gt;&lt;/h5&gt;&lt;/div&gt;&lt;hr/&gt;&lt;div&gt;&lt;h4&gt;&lt;p&gt;Your successful melee touch attack deals 1d6 points of electricity damage per caster level (maximum 5d6). When delivering the jolt, you gain a +3 bonus on attack rolls if the opponent is wearing metal armor (or is carrying a metal weapon or is made of metal).&lt;/p&gt;&lt;/h4&gt;&lt;h5&gt;&lt;b&gt;Mythic: &lt;/b&gt;The spell's damage increases to 1d8 points of electricity damage per 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opportunity.&lt;/h5&gt;&lt;h5&gt;&lt;b&gt;Augmented&lt;/b&gt;: If you expend two uses of mythic power and the free grapple or disarm combat maneuver is successful, the target is staggered until your next turn. This is an electricity effect.&lt;/h5&gt;&lt;/div&gt;</t>
  </si>
  <si>
    <t> Touch delivers 1d6/level electricity damage (max 5d6).</t>
  </si>
  <si>
    <t>Djinni (3), Stormborn (3)</t>
  </si>
  <si>
    <t>Elements (2)</t>
  </si>
  <si>
    <t>The spell's damage increases to 1d8 points of electricity damage per 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t>
  </si>
  <si>
    <t>Augmented: If you expend two uses of mythic power and the free grapple or disarm combat maneuver is successful, the target is staggered until your next turn. This is an electricity effect.</t>
  </si>
  <si>
    <t>Shout</t>
  </si>
  <si>
    <t>bard 4, sorcerer/wizard 4, magus 4, bloodrager 4, occultist 4, psychic 4</t>
  </si>
  <si>
    <t>Fortitude partial or Reflex negates (object); see text</t>
  </si>
  <si>
    <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shout spell cannot penetrate a silence spell.</t>
  </si>
  <si>
    <t>&lt;p&gt;You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&lt;i&gt;shout&lt;/i&gt; spell cannot penetrate a &lt;i&gt;silence&lt;/i&gt; spell.&lt;/p&gt;</t>
  </si>
  <si>
    <t>&lt;link rel="stylesheet"href="PF.css"&gt;&lt;div class="heading"&gt;&lt;p class="alignleft"&gt;Shout&lt;/p&gt;&lt;div style="clear: both;"&gt;&lt;/div&gt;&lt;/div&gt;&lt;div&gt;&lt;h5&gt;&lt;b&gt;School &lt;/b&gt;evocation [sonic]; &lt;b&gt;Level &lt;/b&gt;bard 4, sorcerer/wizard 4, magus 4, bloodrager 4, occultist 4, psychic 4&lt;/h5&gt;&lt;/div&gt;&lt;hr/&gt;&lt;div&gt;&lt;h5&gt;&lt;b&gt;CASTING&lt;/b&gt;&lt;/h5&gt;&lt;/div&gt;&lt;hr/&gt;&lt;div&gt;&lt;h5&gt;&lt;b&gt;Casting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&lt;/b&gt;cone-shaped burst&lt;/h5&gt;&lt;h5&gt;&lt;b&gt;Duration &lt;/b&gt;instantaneous&lt;/h5&gt;&lt;h5&gt;&lt;b&gt;Saving Throw &lt;/b&gt;Fortitude partial or Reflex negates (object); see text; &lt;b&gt;Spell Resistance &lt;/b&gt;yes (object)&lt;/h5&gt;&lt;/div&gt;&lt;hr/&gt;&lt;div&gt;&lt;h5&gt;&lt;b&gt;DESCRIPTION&lt;/b&gt;&lt;/h5&gt;&lt;/div&gt;&lt;hr/&gt;&lt;div&gt;&lt;h4&gt;&lt;p&gt;You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&lt;i&gt;shout&lt;/i&gt; spell cannot penetrate a &lt;i&gt;silence&lt;/i&gt; spell.&lt;/p&gt;&lt;/h4&gt;&lt;h5&gt;&lt;b&gt;Mythic: &lt;/b&gt;The duration that creatures in the area are deafened increases to 4d6 rounds, and the damage dealt increases to 5d8 points of sonic damage. The damage dealt to crystalline creatures and exposed brittle or crystalline objects increases to 1d8 points of sonic damage per caster level (maximum 15d8). Crystalline creatures reverberate with sonic energy, taking 4 points of sonic damage on your turn for a number of rounds equal to your tier.&lt;/h5&gt;&lt;/div&gt;</t>
  </si>
  <si>
    <t>Destruction (5)</t>
  </si>
  <si>
    <t>Deafens all within cone and deals 5d6 sonic damage.</t>
  </si>
  <si>
    <t>Maestro (9), Stormborn (9)</t>
  </si>
  <si>
    <t>Vengeance (8)</t>
  </si>
  <si>
    <t>The duration that creatures in the area are deafened increases to 4d6 rounds, and the damage dealt increases to 5d8 points of sonic damage. The damage dealt to crystalline creatures and exposed brittle or crystalline objects increases to 1d8 points of sonic damage per caster level (maximum 15d8). Crystalline creatures reverberate with sonic energy, taking 4 points of sonic damage on your turn for a number of rounds equal to your tier.</t>
  </si>
  <si>
    <t>Shout, Greater</t>
  </si>
  <si>
    <t>bard 6, sorcerer/wizard 8, psychic 8</t>
  </si>
  <si>
    <t>V, S, F (a metal or ivory horn)</t>
  </si>
  <si>
    <t>This spell functions like shout,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t>
  </si>
  <si>
    <t>&lt;p&gt;This spell functions like &lt;i&gt;shout,&lt;/i&gt;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objects.&lt;/p&gt;</t>
  </si>
  <si>
    <t>&lt;link rel="stylesheet"href="PF.css"&gt;&lt;div class="heading"&gt;&lt;p class="alignleft"&gt;Shout, Greater&lt;/p&gt;&lt;div style="clear: both;"&gt;&lt;/div&gt;&lt;/div&gt;&lt;div&gt;&lt;h5&gt;&lt;b&gt;School &lt;/b&gt;evocation [sonic]; &lt;b&gt;Level &lt;/b&gt;bard 6, sorcerer/wizard 8, psychic 8&lt;/h5&gt;&lt;/div&gt;&lt;hr/&gt;&lt;div&gt;&lt;h5&gt;&lt;b&gt;CASTING&lt;/b&gt;&lt;/h5&gt;&lt;/div&gt;&lt;hr/&gt;&lt;div&gt;&lt;h5&gt;&lt;b&gt;Casting Time &lt;/b&gt;1 standard action&lt;/h5&gt;&lt;h5&gt;&lt;b&gt;Components &lt;/b&gt;V, S, F (a metal or ivory horn)&lt;/h5&gt;&lt;/div&gt;&lt;hr/&gt;&lt;div&gt;&lt;h5&gt;&lt;b&gt;EFFECT&lt;/b&gt;&lt;/h5&gt;&lt;/div&gt;&lt;hr/&gt;&lt;div&gt;&lt;h5&gt;&lt;b&gt;Range &lt;/b&gt;60 ft.&lt;/h5&gt;&lt;h5&gt;&lt;b&gt;Area &lt;/b&gt;cone-shaped burst&lt;/h5&gt;&lt;h5&gt;&lt;b&gt;Duration &lt;/b&gt;instantaneous&lt;/h5&gt;&lt;h5&gt;&lt;b&gt;Saving Throw &lt;/b&gt;Fortitude partial or Reflex negates (object); see text; &lt;b&gt;Spell Resistance &lt;/b&gt;yes (object)&lt;/h5&gt;&lt;/div&gt;&lt;hr/&gt;&lt;div&gt;&lt;h5&gt;&lt;b&gt;DESCRIPTION&lt;/b&gt;&lt;/h5&gt;&lt;/div&gt;&lt;hr/&gt;&lt;div&gt;&lt;h4&gt;&lt;p&gt;This spell functions like &lt;i&gt;shout,&lt;/i&gt;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objects.&lt;/p&gt;&lt;/h4&gt;&lt;/div&gt;</t>
  </si>
  <si>
    <t>Devastating yell deals 10d6 sonic damage; stuns creatures.</t>
  </si>
  <si>
    <t>Maestro (17)</t>
  </si>
  <si>
    <t>Silence</t>
  </si>
  <si>
    <t>bard 2, cleric/oracle 2, inquisitor 2, antipaladin 2, psychic 2, mesmerist 2</t>
  </si>
  <si>
    <t>20-ft.-radius emanation centered on a creature, object, or point in space</t>
  </si>
  <si>
    <t>Will negates; see text or none (object)</t>
  </si>
  <si>
    <t>yes; see text or no (object)</t>
  </si>
  <si>
    <t>Upon the casting of this spell, complete silence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silence spell are immune to sonic or language-based attacks, spells, and effects.</t>
  </si>
  <si>
    <t>&lt;p&gt;Upon the casting of this spell, complete &lt;i&gt;silence&lt;/i&gt;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&lt;i&gt;silence&lt;/i&gt; spell are immune to sonic or language-based attacks, spells, and effects.&lt;/p&gt;</t>
  </si>
  <si>
    <t>&lt;link rel="stylesheet"href="PF.css"&gt;&lt;div class="heading"&gt;&lt;p class="alignleft"&gt;Silence&lt;/p&gt;&lt;div style="clear: both;"&gt;&lt;/div&gt;&lt;/div&gt;&lt;div&gt;&lt;h5&gt;&lt;b&gt;School &lt;/b&gt;illusion (glamer); &lt;b&gt;Level &lt;/b&gt;bard 2, cleric/oracle 2, inquisitor 2, antipaladin 2, psychic 2, mesmerist 2&lt;/h5&gt;&lt;/div&gt;&lt;hr/&gt;&lt;div&gt;&lt;h5&gt;&lt;b&gt;CASTING&lt;/b&gt;&lt;/h5&gt;&lt;/div&gt;&lt;hr/&gt;&lt;div&gt;&lt;h5&gt;&lt;b&gt;Casting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ft./level)&lt;/h5&gt;&lt;h5&gt;&lt;b&gt;Area &lt;/b&gt;20-ft.-radius emanation centered on a creature, object, or point in space&lt;/h5&gt;&lt;h5&gt;&lt;b&gt;Duration &lt;/b&gt;1 round/level (D)&lt;/h5&gt;&lt;h5&gt;&lt;b&gt;Saving Throw &lt;/b&gt;Will negates; see text or none (object); &lt;b&gt;Spell Resistance &lt;/b&gt;yes; see text or no (object)&lt;/h5&gt;&lt;/div&gt;&lt;hr/&gt;&lt;div&gt;&lt;h5&gt;&lt;b&gt;DESCRIPTION&lt;/b&gt;&lt;/h5&gt;&lt;/div&gt;&lt;hr/&gt;&lt;div&gt;&lt;h4&gt;&lt;p&gt;Upon the casting of this spell, complete &lt;i&gt;silence&lt;/i&gt;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&lt;i&gt;silence&lt;/i&gt; spell are immune to sonic or language-based attacks, spells, and effects.&lt;/p&gt;&lt;/h4&gt;&lt;h5&gt;&lt;b&gt;Mythic: &lt;/b&gt;This spell also applies to telepathy, cutting off any mental communication within the area. At the time of casting, you can choose to be immune to your own mythic silence effect and can designate up to one creature per tier to also gain this immunity. Creatures immune to the mythic silence are subject to sonic effects as normal.&lt;/h5&gt;&lt;/div&gt;</t>
  </si>
  <si>
    <t>Solitude (2)</t>
  </si>
  <si>
    <t>Negates sound in 20-ft. radius.</t>
  </si>
  <si>
    <t>Time (4)</t>
  </si>
  <si>
    <t>This spell also applies to telepathy, cutting off any mental communication within the area. At the time of casting, you can choose to be immune to your own mythic silence effect and can designate up to one creature per tier to also gain this immunity. Creatures immune to the mythic silence are subject to sonic effects as normal.</t>
  </si>
  <si>
    <t>Silent Image</t>
  </si>
  <si>
    <t>bard 1, sorcerer/wizard 1, magus 1, occultist 1, psychic 1, mesmerist 1</t>
  </si>
  <si>
    <t>visual figment that cannot extend beyond four 10-ft. Cubes + one 10-ft. cube/level (S)</t>
  </si>
  <si>
    <t>This spell creates the visual illusion of an object, creature, or force, as visualized by you. The illusion does not create sound, smell, texture, or temperature. You can move the image within the limits of the size of the effect.</t>
  </si>
  <si>
    <t>&lt;p&gt;This spell creates the visual illusion of an object, creature, or force, as visualized by you. The illusion does not create sound, smell, texture, or temperature. You can move the image within the limits of the size of the effect.&lt;/p&gt;</t>
  </si>
  <si>
    <t>&lt;link rel="stylesheet"href="PF.css"&gt;&lt;div class="heading"&gt;&lt;p class="alignleft"&gt;Silent Image&lt;/p&gt;&lt;div style="clear: both;"&gt;&lt;/div&gt;&lt;/div&gt;&lt;div&gt;&lt;h5&gt;&lt;b&gt;School &lt;/b&gt;illusion (figment); &lt;b&gt;Level &lt;/b&gt;bard 1, sorcerer/wizard 1, magus 1, occultist 1, psychic 1, mesmerist 1&lt;/h5&gt;&lt;/div&gt;&lt;hr/&gt;&lt;div&gt;&lt;h5&gt;&lt;b&gt;CASTING&lt;/b&gt;&lt;/h5&gt;&lt;/div&gt;&lt;hr/&gt;&lt;div&gt;&lt;h5&gt;&lt;b&gt;Casting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&lt;/b&gt;concentration&lt;/h5&gt;&lt;h5&gt;&lt;b&gt;Saving Throw &lt;/b&gt;Will disbelief (if interacted with); &lt;b&gt;Spell Resistance &lt;/b&gt;no&lt;/h5&gt;&lt;/div&gt;&lt;hr/&gt;&lt;div&gt;&lt;h5&gt;&lt;b&gt;DESCRIPTION&lt;/b&gt;&lt;/h5&gt;&lt;/div&gt;&lt;hr/&gt;&lt;div&gt;&lt;h4&gt;&lt;p&gt;This spell creates the visual illusion of an object, creature, or force, as visualized by you. The illusion does not create sound, smell, texture, or temperature. You can move the image within the limits of the size of the effect.&lt;/p&gt;&lt;/h4&gt;&lt;h5&gt;&lt;b&gt;Mythic: &lt;/b&gt;The duration increases to concentration + 1 round per caster level, and the effect increases to a visual figment that can't extend beyond eight 10-foot cubes + 1 10-foot cube per caster level.&lt;/h5&gt;&lt;h5&gt;&lt;b&gt;Augmented (6th)&lt;/b&gt;: If you expend two uses of mythic power, the duration changes to concentration + 1 minute per caster level and the effect changes to a visual figment no larger than a 50-foot emanation. An augmented mythic silent image can't move.&lt;/h5&gt;&lt;/div&gt;</t>
  </si>
  <si>
    <t>Imagination (1)</t>
  </si>
  <si>
    <t>Creates minor illusion of your design.</t>
  </si>
  <si>
    <t>Shadow (2)</t>
  </si>
  <si>
    <t>The duration increases to concentration + 1 round per caster level, and the effect increases to a visual figment that can't extend beyond eight 10-foot cubes + 1 10-foot cube per caster level.</t>
  </si>
  <si>
    <t>Augmented (6th): If you expend two uses of mythic power, the duration changes to concentration + 1 minute per caster level and the effect changes to a visual figment no larger than a 50-foot emanation. An augmented mythic silent image can't move.</t>
  </si>
  <si>
    <t>Simulacrum</t>
  </si>
  <si>
    <t>V, S, M (ice sculpture of the target plus powdered rubies worth 500 gp per HD of the simulacrum)</t>
  </si>
  <si>
    <t>one duplicate creature</t>
  </si>
  <si>
    <t>Simulacrum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  You can't create a simulacrum of a creature whose HD or levels exceed twice your caster level. You must make a Disguise check when you cast the spell to determine how good the likeness is.  A creature familiar with the original might detect the ruse with a successful Perception check (opposed by the caster's Disguise check) or a DC 20 Sense Motive check.  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t>
  </si>
  <si>
    <t>&lt;p&gt;&lt;i&gt;Simulacrum&lt;/i&gt;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HD).&lt;/p&gt;&lt;p&gt;You can't create a simulacrum of a creature whose HD or levels exceed twice your caster level. You must make a Disguise check when you cast the spell to determine how good the likeness is.&lt;/p&gt;&lt;p&gt;A creature familiar with the original might detect the ruse with a successful Perception check (opposed by the caster's Disguise check) or a DC 20 Sense Motive check.&lt;/p&gt;&lt;p&gt;At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simulacrum.&lt;/p&gt;</t>
  </si>
  <si>
    <t>&lt;link rel="stylesheet"href="PF.css"&gt;&lt;div class="heading"&gt;&lt;p class="alignleft"&gt;Simulacrum&lt;/p&gt;&lt;div style="clear: both;"&gt;&lt;/div&gt;&lt;/div&gt;&lt;div&gt;&lt;h5&gt;&lt;b&gt;School &lt;/b&gt;illusion (shadow); &lt;b&gt;Level &lt;/b&gt;sorcerer/wizard 7, summoner 5, psychic 7&lt;/h5&gt;&lt;/div&gt;&lt;hr/&gt;&lt;div&gt;&lt;h5&gt;&lt;b&gt;CASTING&lt;/b&gt;&lt;/h5&gt;&lt;/div&gt;&lt;hr/&gt;&lt;div&gt;&lt;h5&gt;&lt;b&gt;Casting Time &lt;/b&gt;12 hours&lt;/h5&gt;&lt;h5&gt;&lt;b&gt;Components &lt;/b&gt;V, S, M (ice sculpture of the target plus powdered rubies worth 500 gp per HD of the simulacrum)&lt;/h5&gt;&lt;/div&gt;&lt;hr/&gt;&lt;div&gt;&lt;h5&gt;&lt;b&gt;EFFECT&lt;/b&gt;&lt;/h5&gt;&lt;/div&gt;&lt;hr/&gt;&lt;div&gt;&lt;h5&gt;&lt;b&gt;Range &lt;/b&gt;0 ft.&lt;/h5&gt;&lt;h5&gt;&lt;b&gt;Effect &lt;/b&gt;one duplicate creature&lt;/h5&gt;&lt;h5&gt;&lt;b&gt;Duration &lt;/b&gt;instantaneous&lt;/h5&gt;&lt;h5&gt;&lt;b&gt;Saving Throw &lt;/b&gt;none; &lt;b&gt;Spell Resistance &lt;/b&gt;no&lt;/h5&gt;&lt;/div&gt;&lt;hr/&gt;&lt;div&gt;&lt;h5&gt;&lt;b&gt;DESCRIPTION&lt;/b&gt;&lt;/h5&gt;&lt;/div&gt;&lt;hr/&gt;&lt;div&gt;&lt;h4&gt;&lt;p&gt;&lt;i&gt;Simulacrum&lt;/i&gt;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HD).&lt;/p&gt;&lt;p&gt;You can't create a simulacrum of a creature whose HD or levels exceed twice your caster level. You must make a Disguise check when you cast the spell to determine how good the likeness is.&lt;/p&gt;&lt;p&gt;A creature familiar with the original might detect the ruse with a successful Perception check (opposed by the caster's Disguise check) or a DC 20 Sense Motive check.&lt;/p&gt;&lt;p&gt;At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simulacrum.&lt;/p&gt;&lt;/h4&gt;&lt;/div&gt;</t>
  </si>
  <si>
    <t> Creates partially real double of a creature.</t>
  </si>
  <si>
    <t>Slay Living</t>
  </si>
  <si>
    <t>cleric/oracle 5, witch 6, antipaladin 4, shaman 6, spiritualist 5</t>
  </si>
  <si>
    <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t>
  </si>
  <si>
    <t>&lt;p&gt;You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throw.&lt;/p&gt;</t>
  </si>
  <si>
    <t>&lt;link rel="stylesheet"href="PF.css"&gt;&lt;div class="heading"&gt;&lt;p class="alignleft"&gt;Slay Living&lt;/p&gt;&lt;div style="clear: both;"&gt;&lt;/div&gt;&lt;/div&gt;&lt;div&gt;&lt;h5&gt;&lt;b&gt;School &lt;/b&gt;necromancy [death]; &lt;b&gt;Level &lt;/b&gt;cleric/oracle 5, witch 6, antipaladin 4, shaman 6,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partial; &lt;b&gt;Spell Resistance &lt;/b&gt;yes&lt;/h5&gt;&lt;/div&gt;&lt;hr/&gt;&lt;div&gt;&lt;h5&gt;&lt;b&gt;DESCRIPTION&lt;/b&gt;&lt;/h5&gt;&lt;/div&gt;&lt;hr/&gt;&lt;div&gt;&lt;h4&gt;&lt;p&gt;You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throw.&lt;/p&gt;&lt;/h4&gt;&lt;/div&gt;</t>
  </si>
  <si>
    <t>Death (5), Repose (5)</t>
  </si>
  <si>
    <t>Touch attack deals 12d6 +1 per level.</t>
  </si>
  <si>
    <t>Sleep</t>
  </si>
  <si>
    <t>A sleep spell causes a magical slumber to come upon 4 HD of creatures. Creatures with the fewest HD are affected first. Among creatures with equal HD, those who are closest to the spell's point of origin are affected first. HD that are not sufficient to affect a creature are wasted. Sleeping creatures are helpless. Slapping or wounding awakens an affected creature, but normal noise does not. Awakening a creature is a standard action (an application of the aid another action). Sleep does not target unconscious creatures, constructs, or undead creatures.</t>
  </si>
  <si>
    <t>&lt;p&gt;A &lt;i&gt;sleep&lt;/i&gt; spell causes a magical slumber to come upon 4 HD of creatures. Creatures with the fewest HD are affected first. Among creatures with equal HD, those who are closest to the spell's point of origin are affected first. HD that are not sufficient to affect a creature are wasted. &lt;i&gt;Sleep&lt;/i&gt;ing creatures are helpless. Slapping or wounding awakens an affected creature, but normal noise does not. Awakening a creature is a standard action (an application of the aid another action). &lt;i&gt;Sleep&lt;/i&gt; does not target unconscious creatures, constructs, or undead creatures.&lt;/p&gt;</t>
  </si>
  <si>
    <t>&lt;link rel="stylesheet"href="PF.css"&gt;&lt;div class="heading"&gt;&lt;p class="alignleft"&gt;Sleep&lt;/p&gt;&lt;div style="clear: both;"&gt;&lt;/div&gt;&lt;/div&gt;&lt;div&gt;&lt;h5&gt;&lt;b&gt;School &lt;/b&gt;enchantment (compulsion) [mind-affecting]; &lt;b&gt;Level &lt;/b&gt;bard 1, sorcerer/wizard 1, witch 1, shaman 1, occultist 1, psychic 1, mesmerist 1&lt;/h5&gt;&lt;/div&gt;&lt;hr/&gt;&lt;div&gt;&lt;h5&gt;&lt;b&gt;CASTING&lt;/b&gt;&lt;/h5&gt;&lt;/div&gt;&lt;hr/&gt;&lt;div&gt;&lt;h5&gt;&lt;b&gt;Casting Time &lt;/b&gt;1 round&lt;/h5&gt;&lt;h5&gt;&lt;b&gt;Components &lt;/b&gt;V, S, M (fine sand, rose petals, or a live cricket)&lt;/h5&gt;&lt;/div&gt;&lt;hr/&gt;&lt;div&gt;&lt;h5&gt;&lt;b&gt;EFFECT&lt;/b&gt;&lt;/h5&gt;&lt;/div&gt;&lt;hr/&gt;&lt;div&gt;&lt;h5&gt;&lt;b&gt;Range &lt;/b&gt;medium (100 ft. + 10 ft./level)&lt;/h5&gt;&lt;h5&gt;&lt;b&gt;Area &lt;/b&gt;one or more living creatures within a 10-ft.-radius burst&lt;/h5&gt;&lt;h5&gt;&lt;b&gt;Duration &lt;/b&gt;1 min./level&lt;/h5&gt;&lt;h5&gt;&lt;b&gt;Saving Throw &lt;/b&gt;Will negates; &lt;b&gt;Spell Resistance &lt;/b&gt;yes&lt;/h5&gt;&lt;/div&gt;&lt;hr/&gt;&lt;div&gt;&lt;h5&gt;&lt;b&gt;DESCRIPTION&lt;/b&gt;&lt;/h5&gt;&lt;/div&gt;&lt;hr/&gt;&lt;div&gt;&lt;h4&gt;&lt;p&gt;A &lt;i&gt;sleep&lt;/i&gt; spell causes a magical slumber to come upon 4 HD of creatures. Creatures with the fewest HD are affected first. Among creatures with equal HD, those who are closest to the spell's point of origin are affected first. HD that are not sufficient to affect a creature are wasted. &lt;i&gt;Sleep&lt;/i&gt;ing creatures are helpless. Slapping or wounding awakens an affected creature, but normal noise does not. Awakening a creature is a standard action (an application of the aid another action). &lt;i&gt;Sleep&lt;/i&gt; does not target unconscious creatures, constructs, or undead creatures.&lt;/p&gt;&lt;/h4&gt;&lt;h5&gt;&lt;b&gt;Mythic: &lt;/b&gt;The spell affects up to 8 Hit Dice of creatures, and you can choose the order in which creatures are affected by the spell. Any effect that would automatically awaken a sleeping creature instead allows it to attempt a new Will saving throw to awaken.&lt;/h5&gt;&lt;h5&gt;&lt;b&gt;Augmented (8th)&lt;/b&gt;: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spell.&lt;/h5&gt;&lt;/div&gt;</t>
  </si>
  <si>
    <t>Night (1)</t>
  </si>
  <si>
    <t>Puts 4 HD of creatures into magical slumber.</t>
  </si>
  <si>
    <t>Dreamspun (3)</t>
  </si>
  <si>
    <t>The spell affects up to 8 Hit Dice of creatures, and you can choose the order in which creatures are affected by the spell. Any effect that would automatically awaken a sleeping creature instead allows it to attempt a new Will saving throw to awaken.</t>
  </si>
  <si>
    <t>Augmented (8th):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t>
  </si>
  <si>
    <t>Sleet Storm</t>
  </si>
  <si>
    <t>druid 3, sorcerer/wizard 3, witch 3, magus 3, bloodrager 3, shaman 3</t>
  </si>
  <si>
    <t>cylinder (40-ft. radius, 20 ft. high)</t>
  </si>
  <si>
    <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  The sleet extinguishes torches and small fires.</t>
  </si>
  <si>
    <t>&lt;p&gt;Driving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details).&lt;/p&gt;&lt;p&gt;The sleet extinguishes torches and small fires.&lt;/p&gt;</t>
  </si>
  <si>
    <t>&lt;link rel="stylesheet"href="PF.css"&gt;&lt;div class="heading"&gt;&lt;p class="alignleft"&gt;Sleet Storm&lt;/p&gt;&lt;div style="clear: both;"&gt;&lt;/div&gt;&lt;/div&gt;&lt;div&gt;&lt;h5&gt;&lt;b&gt;School &lt;/b&gt;conjuration (creation) [cold]; &lt;b&gt;Level &lt;/b&gt;druid 3, sorcerer/wizard 3, witch 3, magus 3, bloodrager 3, shaman 3&lt;/h5&gt;&lt;/div&gt;&lt;hr/&gt;&lt;div&gt;&lt;h5&gt;&lt;b&gt;CASTING&lt;/b&gt;&lt;/h5&gt;&lt;/div&gt;&lt;hr/&gt;&lt;div&gt;&lt;h5&gt;&lt;b&gt;Casting Time &lt;/b&gt;1 standard action&lt;/h5&gt;&lt;h5&gt;&lt;b&gt;Components &lt;/b&gt;V, S, M/DF (dust and water)&lt;/h5&gt;&lt;/div&gt;&lt;hr/&gt;&lt;div&gt;&lt;h5&gt;&lt;b&gt;EFFECT&lt;/b&gt;&lt;/h5&gt;&lt;/div&gt;&lt;hr/&gt;&lt;div&gt;&lt;h5&gt;&lt;b&gt;Range &lt;/b&gt;long (400 ft. + 40 ft./level)&lt;/h5&gt;&lt;h5&gt;&lt;b&gt;Area &lt;/b&gt;cylinder (40-ft. radius, 20 ft. high)&lt;/h5&gt;&lt;h5&gt;&lt;b&gt;Duration &lt;/b&gt;1 round/level&lt;/h5&gt;&lt;h5&gt;&lt;b&gt;Saving Throw &lt;/b&gt;none; &lt;b&gt;Spell Resistance &lt;/b&gt;no&lt;/h5&gt;&lt;/div&gt;&lt;hr/&gt;&lt;div&gt;&lt;h5&gt;&lt;b&gt;DESCRIPTION&lt;/b&gt;&lt;/h5&gt;&lt;/div&gt;&lt;hr/&gt;&lt;div&gt;&lt;h4&gt;&lt;p&gt;Driving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details).&lt;/p&gt;&lt;p&gt;The sleet extinguishes torches and small fires.&lt;/p&gt;&lt;/h4&gt;&lt;/div&gt;</t>
  </si>
  <si>
    <t>Weather (4)</t>
  </si>
  <si>
    <t>Hampers vision and movement.</t>
  </si>
  <si>
    <t>Slow</t>
  </si>
  <si>
    <t>bard 3, sorcerer/wizard 3, summoner 2, magus 3, bloodrager 3, occultist 3, psychic 3, spiritualist 3</t>
  </si>
  <si>
    <t>V, S, M (a drop of molasses)</t>
  </si>
  <si>
    <t>An affected creature moves and attacks at a drastically slowed rate. Creatures affected by this spell are staggered and can take only a single move action or standard action each turn, but not both (nor may it take full-round actions). Additionally, it takes a -1 penalty on attack rolls, AC, and Reflex saves. A slowed creature moves at half its normal speed (round down to the next 5-foot increment), which affects the creature's jumping distance as normal for decreased speed.  Multiple slow effects don't stack. Slow counters and dispels haste.</t>
  </si>
  <si>
    <t>&lt;p&gt;An affected creature moves and attacks at a drastically &lt;i&gt;&lt;i&gt;slow&lt;/i&gt;ed&lt;/i&gt; rate. Creatures affected by this spell are staggered and can take only a single move action or standard action each turn, but not both (nor may it take full-round actions). Additionally, it takes a -1 penalty on attack rolls, AC, and Reflex saves. A &lt;i&gt;&lt;i&gt;slow&lt;/i&gt;ed&lt;/i&gt; creature moves at half its normal speed (round down to the next 5-foot increment), which affects the creature's jumping distance as normal for decreased speed.&lt;/p&gt;&lt;p&gt;Multiple &lt;i&gt;slow&lt;/i&gt; effects don't stack. &lt;i&gt;Slow&lt;/i&gt; counters and dispels &lt;i&gt;haste&lt;/i&gt;.&lt;/p&gt;</t>
  </si>
  <si>
    <t>&lt;link rel="stylesheet"href="PF.css"&gt;&lt;div class="heading"&gt;&lt;p class="alignleft"&gt;Slow&lt;/p&gt;&lt;div style="clear: both;"&gt;&lt;/div&gt;&lt;/div&gt;&lt;div&gt;&lt;h5&gt;&lt;b&gt;School &lt;/b&gt;transmutation; &lt;b&gt;Level &lt;/b&gt;bard 3, sorcerer/wizard 3, summoner 2, magus 3, bloodrager 3, occultist 3, psychic 3, spiritualist 3&lt;/h5&gt;&lt;/div&gt;&lt;hr/&gt;&lt;div&gt;&lt;h5&gt;&lt;b&gt;CASTING&lt;/b&gt;&lt;/h5&gt;&lt;/div&gt;&lt;hr/&gt;&lt;div&gt;&lt;h5&gt;&lt;b&gt;Casting Time &lt;/b&gt;1 standard action&lt;/h5&gt;&lt;h5&gt;&lt;b&gt;Components &lt;/b&gt;V, S, M (a drop of molasses)&lt;/h5&gt;&lt;/div&gt;&lt;hr/&gt;&lt;div&gt;&lt;h5&gt;&lt;b&gt;EFFECT&lt;/b&gt;&lt;/h5&gt;&lt;/div&gt;&lt;hr/&gt;&lt;div&gt;&lt;h5&gt;&lt;b&gt;Range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&lt;/b&gt;yes&lt;/h5&gt;&lt;/div&gt;&lt;hr/&gt;&lt;div&gt;&lt;h5&gt;&lt;b&gt;DESCRIPTION&lt;/b&gt;&lt;/h5&gt;&lt;/div&gt;&lt;hr/&gt;&lt;div&gt;&lt;h4&gt;&lt;p&gt;An affected creature moves and attacks at a drastically &lt;i&gt;&lt;i&gt;slow&lt;/i&gt;ed&lt;/i&gt; rate. Creatures affected by this spell are staggered and can take only a single move action or standard action each turn, but not both (nor may it take full-round actions). Additionally, it takes a -1 penalty on attack rolls, AC, and Reflex saves. A &lt;i&gt;&lt;i&gt;slow&lt;/i&gt;ed&lt;/i&gt; creature moves at half its normal speed (round down to the next 5-foot increment), which affects the creature's jumping distance as normal for decreased speed.&lt;/p&gt;&lt;p&gt;Multiple &lt;i&gt;slow&lt;/i&gt; effects don't stack. &lt;i&gt;Slow&lt;/i&gt; counters and dispels &lt;i&gt;haste&lt;/i&gt;.&lt;/p&gt;&lt;/h4&gt;&lt;h5&gt;&lt;b&gt;Mythic: &lt;/b&gt;The penalty on attack rolls, on Reflex saves, and to AC increases to -2, and affected creatures move at one-fourth speed. Select one affected creature; this creature is denied its Dexterity bonus to AC.&lt;/h5&gt;&lt;/div&gt;</t>
  </si>
  <si>
    <t>One subject/level takes only one action/round, –1 to AC, Reflex saves, and attack rolls.</t>
  </si>
  <si>
    <t>The penalty on attack rolls, on Reflex saves, and to AC increases to -2, and affected creatures move at one-fourth speed. Select one affected creature; this creature is denied its Dexterity bonus to AC.</t>
  </si>
  <si>
    <t>Snare</t>
  </si>
  <si>
    <t>druid 3, ranger 2</t>
  </si>
  <si>
    <t>touched nonmagical circle of vine, rope, or thong with a 2 ft. diameter + 2 ft./level</t>
  </si>
  <si>
    <t>Until triggered or broken</t>
  </si>
  <si>
    <t>This spell enables you to make a snare that functions as a magic trap. The snare can be made from any supple vine, a thong, or a rope. When you cast snare upon it, the cordlike object blends with its surroundings (DC 23 Perception check for a character with the trapfinding ability to locate). One end of the snare is tied in a loop that contracts around one or more of the limbs of any creature stepping inside the circle.  If a strong and supple tree is nearby, the snare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  The snare is magical. To escape, a trapped creature must make a DC 23 Escape Artist check or a DC 23 Strength check that is a full-round action. The snare has AC 7 and 5 hit points. A successful escape from the snare breaks the loop and ends the spell.</t>
  </si>
  <si>
    <t>&lt;p&gt;This spell enables you to make a &lt;i&gt;snare&lt;/i&gt; that functions as a magic trap. The &lt;i&gt;snare&lt;/i&gt; can be made from any supple vine, a thong, or a rope. When you cast &lt;i&gt;snare&lt;/i&gt; upon it, the cordlike object blends with its surroundings (DC 23 Perception check for a character with the trapfinding ability to locate). One end of the &lt;i&gt;snare&lt;/i&gt; is tied in a loop that contracts around one or more of the limbs of any creature stepping inside the circle.&lt;/p&gt;&lt;p&gt;If a strong and supple tree is nearby, the &lt;i&gt;snare&lt;/i&gt;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entangled.&lt;/p&gt;&lt;p&gt;The &lt;i&gt;snare&lt;/i&gt; is magical. To escape, a trapped creature must make a DC 23 Escape Artist check or a DC 23 Strength check that is a full-round action. The &lt;i&gt;snare&lt;/i&gt; has AC 7 and 5 hit points. A successful escape from the &lt;i&gt;snare&lt;/i&gt; breaks the loop and ends the spell.&lt;/p&gt;</t>
  </si>
  <si>
    <t>&lt;link rel="stylesheet"href="PF.css"&gt;&lt;div class="heading"&gt;&lt;p class="alignleft"&gt;Snare&lt;/p&gt;&lt;div style="clear: both;"&gt;&lt;/div&gt;&lt;/div&gt;&lt;div&gt;&lt;h5&gt;&lt;b&gt;School &lt;/b&gt;transmutation; &lt;b&gt;Level &lt;/b&gt;druid 3, ranger 2&lt;/h5&gt;&lt;/div&gt;&lt;hr/&gt;&lt;div&gt;&lt;h5&gt;&lt;b&gt;CASTING&lt;/b&gt;&lt;/h5&gt;&lt;/div&gt;&lt;hr/&gt;&lt;div&gt;&lt;h5&gt;&lt;b&gt;Casting Time &lt;/b&gt;3 rounds&lt;/h5&gt;&lt;h5&gt;&lt;b&gt;Components &lt;/b&gt;V, S, DF&lt;/h5&gt;&lt;/div&gt;&lt;hr/&gt;&lt;div&gt;&lt;h5&gt;&lt;b&gt;EFFECT&lt;/b&gt;&lt;/h5&gt;&lt;/div&gt;&lt;hr/&gt;&lt;div&gt;&lt;h5&gt;&lt;b&gt;Range &lt;/b&gt;touch&lt;/h5&gt;&lt;h5&gt;&lt;b&gt;Targets &lt;/b&gt;touched nonmagical circle of vine, rope, or thong with a 2 ft. diameter + 2 ft./level&lt;/h5&gt;&lt;h5&gt;&lt;b&gt;Duration &lt;/b&gt;Until triggered or broken&lt;/h5&gt;&lt;h5&gt;&lt;b&gt;Saving Throw &lt;/b&gt;none; &lt;b&gt;Spell Resistance &lt;/b&gt;no&lt;/h5&gt;&lt;/div&gt;&lt;hr/&gt;&lt;div&gt;&lt;h5&gt;&lt;b&gt;DESCRIPTION&lt;/b&gt;&lt;/h5&gt;&lt;/div&gt;&lt;hr/&gt;&lt;div&gt;&lt;h4&gt;&lt;p&gt;This spell enables you to make a &lt;i&gt;snare&lt;/i&gt; that functions as a magic trap. The &lt;i&gt;snare&lt;/i&gt; can be made from any supple vine, a thong, or a rope. When you cast &lt;i&gt;snare&lt;/i&gt; upon it, the cordlike object blends with its surroundings (DC 23 Perception check for a character with the trapfinding ability to locate). One end of the &lt;i&gt;snare&lt;/i&gt; is tied in a loop that contracts around one or more of the limbs of any creature stepping inside the circle.&lt;/p&gt;&lt;p&gt;If a strong and supple tree is nearby, the &lt;i&gt;snare&lt;/i&gt;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entangled.&lt;/p&gt;&lt;p&gt;The &lt;i&gt;snare&lt;/i&gt; is magical. To escape, a trapped creature must make a DC 23 Escape Artist check or a DC 23 Strength check that is a full-round action. The &lt;i&gt;snare&lt;/i&gt; has AC 7 and 5 hit points. A successful escape from the &lt;i&gt;snare&lt;/i&gt; breaks the loop and ends the spell.&lt;/p&gt;&lt;/h4&gt;&lt;/div&gt;</t>
  </si>
  <si>
    <t>Trap (2)</t>
  </si>
  <si>
    <t>Creates a magic booby trap.</t>
  </si>
  <si>
    <t>Soften Earth and Stone</t>
  </si>
  <si>
    <t>druid 2</t>
  </si>
  <si>
    <t>10-ft. square/level; see text</t>
  </si>
  <si>
    <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  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  While this spell does not affect dressed or worked stone, cavern ceilings or vertical surfaces such as cliff faces can be affected.  Usually, this causes a moderate collapse or landslide as the loosened material peels away from the face of the wall or roof and falls (treat as a cave-in with no bury zone, see Chapter 13).  A moderate amount of structural damage can be dealt to a manufactured structure by softening the ground beneath it, causing it to settle. However, most well-built structures will only be damaged by this spell, not destroyed.</t>
  </si>
  <si>
    <t>&lt;p&gt;When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affected.&lt;/p&gt;&lt;p&gt;A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before.&lt;/p&gt;&lt;p&gt;While this spell does not affect dressed or worked stone, cavern ceilings or vertical surfaces such as cliff faces can be affected.&lt;/p&gt;&lt;p&gt;Usually, this causes a moderate collapse or landslide as the loosened material peels away from the face of the wall or roof and falls (treat as a cave-in with no bury zone, see Chapter 13).&lt;/p&gt;&lt;p&gt;A moderate amount of structural damage can be dealt to a manufactured structure by softening the ground beneath it, causing it to settle. However, most well-built structures will only be damaged by this spell, not destroyed.&lt;/p&gt;</t>
  </si>
  <si>
    <t>&lt;link rel="stylesheet"href="PF.css"&gt;&lt;div class="heading"&gt;&lt;p class="alignleft"&gt;Soften Earth and Stone&lt;/p&gt;&lt;div style="clear: both;"&gt;&lt;/div&gt;&lt;/div&gt;&lt;div&gt;&lt;h5&gt;&lt;b&gt;School &lt;/b&gt;transmutation [earth]; &lt;b&gt;Level &lt;/b&gt;druid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&lt;/b&gt;10-ft. square/level; see text&lt;/h5&gt;&lt;h5&gt;&lt;b&gt;Duration &lt;/b&gt;instantaneous&lt;/h5&gt;&lt;h5&gt;&lt;b&gt;Saving Throw &lt;/b&gt;none; &lt;b&gt;Spell Resistance &lt;/b&gt;no&lt;/h5&gt;&lt;/div&gt;&lt;hr/&gt;&lt;div&gt;&lt;h5&gt;&lt;b&gt;DESCRIPTION&lt;/b&gt;&lt;/h5&gt;&lt;/div&gt;&lt;hr/&gt;&lt;div&gt;&lt;h4&gt;&lt;p&gt;When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affected.&lt;/p&gt;&lt;p&gt;A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before.&lt;/p&gt;&lt;p&gt;While this spell does not affect dressed or worked stone, cavern ceilings or vertical surfaces such as cliff faces can be affected.&lt;/p&gt;&lt;p&gt;Usually, this causes a moderate collapse or landslide as the loosened material peels away from the face of the wall or roof and falls (treat as a cave-in with no bury zone, see Chapter 13).&lt;/p&gt;&lt;p&gt;A moderate amount of structural damage can be dealt to a manufactured structure by softening the ground beneath it, causing it to settle. However, most well-built structures will only be damaged by this spell, not destroyed.&lt;/p&gt;&lt;/h4&gt;&lt;/div&gt;</t>
  </si>
  <si>
    <t>Earth (2)</t>
  </si>
  <si>
    <t> Turns stone to clay, or dirt to sand or mud.</t>
  </si>
  <si>
    <t>Solid Fog</t>
  </si>
  <si>
    <t>sorcerer/wizard 4, witch 4, magus 4, shaman 4, mesmerist 4, spiritualist 4</t>
  </si>
  <si>
    <t>This spell functions like fog cloud, but in addition to obscuring sight, the solid fog is so thick that it impedes movement.  Creatures moving through a solid fog move at half their normal speed and take a -2 penalty on all melee attack and melee damage rolls. The vapors prevent effective ranged weapon attacks (except for magic rays and the like). A creature or object that falls into solid fog is slowed so that each 10 feet of vapor that it passes through reduces the falling damage by 1d6. A creature cannot take a 5-foot-step while in solid fog. Solid fog, and effects that work like solid fog, do not stack with each other in terms of slowed movement and attack penalties.  Unlike normal fog, only a severe wind (31+ mph) disperses these vapors, and it does so in 1 round.  Solid fog can be made permanent with a permanency spell. A permanent solid fog dispersed by wind reforms in 10 minutes.</t>
  </si>
  <si>
    <t>&lt;p&gt;This spell functions like &lt;i&gt;fog cloud&lt;/i&gt;, but in addition to obscuring sight, the &lt;i&gt;solid fog&lt;/i&gt; is so thick that it impedes movement.&lt;/p&gt;&lt;p&gt;Creatures moving through a &lt;i&gt;solid fog&lt;/i&gt; move at half their normal speed and take a -2 penalty on all melee attack and melee damage rolls. The vapors prevent effective ranged weapon attacks (except for magic rays and the like). A creature or object that falls into &lt;i&gt;solid fog&lt;/i&gt; is slowed so that each 10 feet of vapor that it passes through reduces the falling damage by 1d6. A creature cannot take a 5-foot-step while in &lt;i&gt;solid fog&lt;/i&gt;. &lt;i&gt;Solid fog&lt;/i&gt;, and effects that work like &lt;i&gt;solid fog&lt;/i&gt;, do not stack with each other in terms of slowed movement and attack penalties.&lt;/p&gt;&lt;p&gt;Unlike normal fog, only a severe wind (31+ mph) disperses these vapors, and it does so in 1 round.&lt;/p&gt;&lt;p&gt;&lt;i&gt;Solid fog&lt;/i&gt; can be made permanent with a &lt;i&gt;permanency&lt;/i&gt; spell. A permanent &lt;i&gt;solid fog&lt;/i&gt; dispersed by wind reforms in 10 minutes.&lt;/p&gt;</t>
  </si>
  <si>
    <t>&lt;link rel="stylesheet"href="PF.css"&gt;&lt;div class="heading"&gt;&lt;p class="alignleft"&gt;Solid Fog&lt;/p&gt;&lt;div style="clear: both;"&gt;&lt;/div&gt;&lt;/div&gt;&lt;div&gt;&lt;h5&gt;&lt;b&gt;School &lt;/b&gt;conjuration (creation); &lt;b&gt;Level &lt;/b&gt;sorcerer/wizard 4, witch 4, magus 4, shaman 4, mesmerist 4, spiritualist 4&lt;/h5&gt;&lt;/div&gt;&lt;hr/&gt;&lt;div&gt;&lt;h5&gt;&lt;b&gt;CASTING&lt;/b&gt;&lt;/h5&gt;&lt;/div&gt;&lt;hr/&gt;&lt;div&gt;&lt;h5&gt;&lt;b&gt;Casting Time &lt;/b&gt;1 standard action&lt;/h5&gt;&lt;h5&gt;&lt;b&gt;Components &lt;/b&gt;V, S, M (powdered peas and an animal hoof)&lt;/h5&gt;&lt;/div&gt;&lt;hr/&gt;&lt;div&gt;&lt;h5&gt;&lt;b&gt;EFFECT&lt;/b&gt;&lt;/h5&gt;&lt;/div&gt;&lt;hr/&gt;&lt;div&gt;&lt;h5&gt;&lt;b&gt;Range &lt;/b&gt;medium (100 ft. + 10 ft. level)&lt;/h5&gt;&lt;h5&gt;&lt;b&gt;Effect &lt;/b&gt;fog spreads in 20-ft. radius&lt;/h5&gt;&lt;h5&gt;&lt;b&gt;Duration &lt;/b&gt;1 min./level&lt;/h5&gt;&lt;h5&gt;&lt;b&gt;Saving Throw &lt;/b&gt;none; &lt;b&gt;Spell Resistance &lt;/b&gt;no&lt;/h5&gt;&lt;/div&gt;&lt;hr/&gt;&lt;div&gt;&lt;h5&gt;&lt;b&gt;DESCRIPTION&lt;/b&gt;&lt;/h5&gt;&lt;/div&gt;&lt;hr/&gt;&lt;div&gt;&lt;h4&gt;&lt;p&gt;This spell functions like &lt;i&gt;fog cloud&lt;/i&gt;, but in addition to obscuring sight, the &lt;i&gt;solid fog&lt;/i&gt; is so thick that it impedes movement.&lt;/p&gt;&lt;p&gt;Creatures moving through a &lt;i&gt;solid fog&lt;/i&gt; move at half their normal speed and take a -2 penalty on all melee attack and melee damage rolls. The vapors prevent effective ranged weapon attacks (except for magic rays and the like). A creature or object that falls into &lt;i&gt;solid fog&lt;/i&gt; is slowed so that each 10 feet of vapor that it passes through reduces the falling damage by 1d6. A creature cannot take a 5-foot-step while in &lt;i&gt;solid fog&lt;/i&gt;. &lt;i&gt;Solid fog&lt;/i&gt;, and effects that work like &lt;i&gt;solid fog&lt;/i&gt;, do not stack with each other in terms of slowed movement and attack penalties.&lt;/p&gt;&lt;p&gt;Unlike normal fog, only a severe wind (31+ mph) disperses these vapors, and it does so in 1 round.&lt;/p&gt;&lt;p&gt;&lt;i&gt;Solid fog&lt;/i&gt; can be made permanent with a &lt;i&gt;permanency&lt;/i&gt; spell. A permanent &lt;i&gt;solid fog&lt;/i&gt; dispersed by wind reforms in 10 minutes.&lt;/p&gt;&lt;/h4&gt;&lt;h5&gt;&lt;b&gt;Mythic: &lt;/b&gt;The penalty on melee attack and damage rolls increases to -4. The cloud's radius and height both increase to 50 feet.&lt;/h5&gt;&lt;h5&gt;&lt;b&gt;Augmented&lt;/b&gt;: The augmented version of mythic solid fog has the same additional benefits as the augmented version of mythic fog cloud.&lt;/h5&gt;&lt;/div&gt;</t>
  </si>
  <si>
    <t>Cloud (4)</t>
  </si>
  <si>
    <t> Blocks vision and slows movement.</t>
  </si>
  <si>
    <t>The penalty on melee attack and damage rolls increases to -4. The cloud's radius and height both increase to 50 feet.</t>
  </si>
  <si>
    <t>Augmented: The augmented version of mythic solid fog has the same additional benefits as the augmented version of mythic fog cloud.</t>
  </si>
  <si>
    <t>Song of Discord</t>
  </si>
  <si>
    <t>bard 5, psychic 5</t>
  </si>
  <si>
    <t>creatures within a 20-ft.-radius spread</t>
  </si>
  <si>
    <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song of discord to attack their fellows employ all methods at their disposal, choosing their deadliest spells and most advantageous combat tactics. They do not, however, harm targets that have fallen unconscious.</t>
  </si>
  <si>
    <t>&lt;p&gt;This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&lt;i&gt;song of discord&lt;/i&gt; to attack their fellows employ all methods at their disposal, choosing their deadliest spells and most advantageous combat tactics. They do not, however, harm targets that have fallen unconscious.&lt;/p&gt;</t>
  </si>
  <si>
    <t>&lt;link rel="stylesheet"href="PF.css"&gt;&lt;div class="heading"&gt;&lt;p class="alignleft"&gt;Song of Discord&lt;/p&gt;&lt;div style="clear: both;"&gt;&lt;/div&gt;&lt;/div&gt;&lt;div&gt;&lt;h5&gt;&lt;b&gt;School &lt;/b&gt;enchantment (compulsion) [mind-affecting, sonic]; &lt;b&gt;Level &lt;/b&gt;bard 5, psychic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&lt;/b&gt;creatures within a 20-ft.-radius spread&lt;/h5&gt;&lt;h5&gt;&lt;b&gt;Duration &lt;/b&gt;1 round/level&lt;/h5&gt;&lt;h5&gt;&lt;b&gt;Saving Throw &lt;/b&gt;Will negates; &lt;b&gt;Spell Resistance &lt;/b&gt;yes&lt;/h5&gt;&lt;/div&gt;&lt;hr/&gt;&lt;div&gt;&lt;h5&gt;&lt;b&gt;DESCRIPTION&lt;/b&gt;&lt;/h5&gt;&lt;/div&gt;&lt;hr/&gt;&lt;div&gt;&lt;h4&gt;&lt;p&gt;This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&lt;i&gt;song of discord&lt;/i&gt; to attack their fellows employ all methods at their disposal, choosing their deadliest spells and most advantageous combat tactics. They do not, however, harm targets that have fallen unconscious.&lt;/p&gt;&lt;/h4&gt;&lt;/div&gt;</t>
  </si>
  <si>
    <t>Riot (7)</t>
  </si>
  <si>
    <t> Forces targets to attack each other.</t>
  </si>
  <si>
    <t>Soul Bind</t>
  </si>
  <si>
    <t>cleric/oracle 9, sorcerer/wizard 9, witch 9, shaman 9, psychic 9</t>
  </si>
  <si>
    <t>corpse</t>
  </si>
  <si>
    <t>You draw the soul from a newly dead body and imprison it in a black sapphire gem. The subject must have been dead no more than 1 round per caster level. The soul, once trapped in the gem, cannot be returned through clone, raise dead, reincarnation, resurrection, true resurrection, or even a miracle or a wish. Only by destroying the gem or dispelling the spell on the gem can one free the soul (which is then still dead). 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t>
  </si>
  <si>
    <t>&lt;p&gt;You draw the soul from a newly dead body and imprison it in a black sapphire gem. The subject must have been dead no more than 1 round per caster level. The soul, once trapped in the gem, cannot be returned through &lt;i&gt;clone, raise dead, reincarnation, resurrection, true resurrection,&lt;/i&gt; or even a &lt;i&gt;miracle&lt;/i&gt; or a &lt;i&gt;wish.&lt;/i&gt; Only by destroying the gem or dispelling the spell on the gem can one free the soul (which is then still dead).&lt;/p&gt;&lt;p&gt;The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researched.)&lt;/p&gt;</t>
  </si>
  <si>
    <t>&lt;link rel="stylesheet"href="PF.css"&gt;&lt;div class="heading"&gt;&lt;p class="alignleft"&gt;Soul Bind&lt;/p&gt;&lt;div style="clear: both;"&gt;&lt;/div&gt;&lt;/div&gt;&lt;div&gt;&lt;h5&gt;&lt;b&gt;School &lt;/b&gt;necromancy; &lt;b&gt;Level &lt;/b&gt;cleric/oracle 9, sorcerer/wizard 9, witch 9, shaman 9, psychic 9&lt;/h5&gt;&lt;/div&gt;&lt;hr/&gt;&lt;div&gt;&lt;h5&gt;&lt;b&gt;CASTING&lt;/b&gt;&lt;/h5&gt;&lt;/div&gt;&lt;hr/&gt;&lt;div&gt;&lt;h5&gt;&lt;b&gt;Casting Time &lt;/b&gt;1 standard action&lt;/h5&gt;&lt;h5&gt;&lt;b&gt;Components &lt;/b&gt;V, S, F (see text)&lt;/h5&gt;&lt;/div&gt;&lt;hr/&gt;&lt;div&gt;&lt;h5&gt;&lt;b&gt;EFFECT&lt;/b&gt;&lt;/h5&gt;&lt;/div&gt;&lt;hr/&gt;&lt;div&gt;&lt;h5&gt;&lt;b&gt;Range &lt;/b&gt;close (25 ft. + 5 ft./2 levels)&lt;/h5&gt;&lt;h5&gt;&lt;b&gt;Targets &lt;/b&gt;corpse&lt;/h5&gt;&lt;h5&gt;&lt;b&gt;Duration &lt;/b&gt;permanent&lt;/h5&gt;&lt;h5&gt;&lt;b&gt;Saving Throw &lt;/b&gt;Will negates; &lt;b&gt;Spell Resistance &lt;/b&gt;no&lt;/h5&gt;&lt;/div&gt;&lt;hr/&gt;&lt;div&gt;&lt;h5&gt;&lt;b&gt;DESCRIPTION&lt;/b&gt;&lt;/h5&gt;&lt;/div&gt;&lt;hr/&gt;&lt;div&gt;&lt;h4&gt;&lt;p&gt;You draw the soul from a newly dead body and imprison it in a black sapphire gem. The subject must have been dead no more than 1 round per caster level. The soul, once trapped in the gem, cannot be returned through &lt;i&gt;clone, raise dead, reincarnation, resurrection, true resurrection,&lt;/i&gt; or even a &lt;i&gt;miracle&lt;/i&gt; or a &lt;i&gt;wish.&lt;/i&gt; Only by destroying the gem or dispelling the spell on the gem can one free the soul (which is then still dead).&lt;/p&gt;&lt;p&gt;The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researched.)&lt;/p&gt;&lt;/h4&gt;&lt;/div&gt;</t>
  </si>
  <si>
    <t>Traps newly dead soul to prevent resurrection.</t>
  </si>
  <si>
    <t>Daemon (19)</t>
  </si>
  <si>
    <t>Sound Burst</t>
  </si>
  <si>
    <t>bard 2, cleric/oracle 2, occultist 2</t>
  </si>
  <si>
    <t>V, S, F/DF (a musical instrument)</t>
  </si>
  <si>
    <t>10-ft.-radius spread</t>
  </si>
  <si>
    <t>You blast an area with a tremendous cacophony. Every creature in the area takes 1d8 points of sonic damage and must succeed on a Fortitude save to avoid being stunned for 1 round. Creatures that cannot hear are not stunned but are still damaged.</t>
  </si>
  <si>
    <t>&lt;p&gt;You blast an area with a tremendous cacophony. Every creature in the area takes 1d8 points of sonic damage and must succeed on a Fortitude save to avoid being stunned for 1 round. Creatures that cannot hear are not stunned but are still damaged.&lt;/p&gt;</t>
  </si>
  <si>
    <t>&lt;link rel="stylesheet"href="PF.css"&gt;&lt;div class="heading"&gt;&lt;p class="alignleft"&gt;Sound Burst&lt;/p&gt;&lt;div style="clear: both;"&gt;&lt;/div&gt;&lt;/div&gt;&lt;div&gt;&lt;h5&gt;&lt;b&gt;School &lt;/b&gt;evocation [sonic]; &lt;b&gt;Level &lt;/b&gt;bard 2, cleric/oracle 2, occultist 2&lt;/h5&gt;&lt;/div&gt;&lt;hr/&gt;&lt;div&gt;&lt;h5&gt;&lt;b&gt;CASTING&lt;/b&gt;&lt;/h5&gt;&lt;/div&gt;&lt;hr/&gt;&lt;div&gt;&lt;h5&gt;&lt;b&gt;Casting Time &lt;/b&gt;1 standard action&lt;/h5&gt;&lt;h5&gt;&lt;b&gt;Components &lt;/b&gt;V, S, F/DF (a musical instrument)&lt;/h5&gt;&lt;/div&gt;&lt;hr/&gt;&lt;div&gt;&lt;h5&gt;&lt;b&gt;EFFECT&lt;/b&gt;&lt;/h5&gt;&lt;/div&gt;&lt;hr/&gt;&lt;div&gt;&lt;h5&gt;&lt;b&gt;Range &lt;/b&gt;close (25 ft. + 5 ft./2 levels)&lt;/h5&gt;&lt;h5&gt;&lt;b&gt;Area &lt;/b&gt;10-ft.-radius spread&lt;/h5&gt;&lt;h5&gt;&lt;b&gt;Duration &lt;/b&gt;instantaneous&lt;/h5&gt;&lt;h5&gt;&lt;b&gt;Saving Throw &lt;/b&gt;Fortitude partial; &lt;b&gt;Spell Resistance &lt;/b&gt;yes&lt;/h5&gt;&lt;/div&gt;&lt;hr/&gt;&lt;div&gt;&lt;h5&gt;&lt;b&gt;DESCRIPTION&lt;/b&gt;&lt;/h5&gt;&lt;/div&gt;&lt;hr/&gt;&lt;div&gt;&lt;h4&gt;&lt;p&gt;You blast an area with a tremendous cacophony. Every creature in the area takes 1d8 points of sonic damage and must succeed on a Fortitude save to avoid being stunned for 1 round. Creatures that cannot hear are not stunned but are still damaged.&lt;/p&gt;&lt;/h4&gt;&lt;/div&gt;</t>
  </si>
  <si>
    <t>Deals 1d8 sonic damage and may stun subjects.</t>
  </si>
  <si>
    <t>Speak with Animals</t>
  </si>
  <si>
    <t>bard 3, druid 1, ranger 1, psychic 2</t>
  </si>
  <si>
    <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t>
  </si>
  <si>
    <t>&lt;p&gt;You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you.&lt;/p&gt;</t>
  </si>
  <si>
    <t>&lt;link rel="stylesheet"href="PF.css"&gt;&lt;div class="heading"&gt;&lt;p class="alignleft"&gt;Speak with Animals&lt;/p&gt;&lt;div style="clear: both;"&gt;&lt;/div&gt;&lt;/div&gt;&lt;div&gt;&lt;h5&gt;&lt;b&gt;School &lt;/b&gt;divination; &lt;b&gt;Level &lt;/b&gt;bard 3, druid 1, ranger 1,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you.&lt;/p&gt;&lt;/h4&gt;&lt;/div&gt;</t>
  </si>
  <si>
    <t>You can communicate with animals.</t>
  </si>
  <si>
    <t>Animals (4)</t>
  </si>
  <si>
    <t>Speak with Dead</t>
  </si>
  <si>
    <t>cleric/oracle 3, witch 3, inquisitor 3, shaman 3, psychic 3, spiritualist 3</t>
  </si>
  <si>
    <t>one dead creature</t>
  </si>
  <si>
    <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  If the dead creature's alignment was different from yours, the corpse gets a Will save to resist the spell as if it were alive.  If successful, the corpse can refuse to answer your questions or attempt to deceive you, using Bluff. The soul can only speak about what it knew in life. It cannot answer any questions that pertain to events that occurred after its death.  If the corpse has been subject to speak with dead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t>
  </si>
  <si>
    <t>&lt;p&gt;You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life.&lt;/p&gt;&lt;p&gt;If the dead creature's alignment was different from yours, the corpse gets a Will save to resist the spell as if it were alive.&lt;/p&gt;&lt;p&gt;If successful, the corpse can refuse to answer your questions or attempt to deceive you, using Bluff. The soul can only speak about what it knew in life. It cannot answer any questions that pertain to events that occurred after its death.&lt;/p&gt;&lt;p&gt;If the corpse has been subject to &lt;i&gt;speak with dead&lt;/i&gt;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creature.&lt;/p&gt;</t>
  </si>
  <si>
    <t>&lt;link rel="stylesheet"href="PF.css"&gt;&lt;div class="heading"&gt;&lt;p class="alignleft"&gt;Speak with Dead&lt;/p&gt;&lt;div style="clear: both;"&gt;&lt;/div&gt;&lt;/div&gt;&lt;div&gt;&lt;h5&gt;&lt;b&gt;School &lt;/b&gt;necromancy [language-dependent]; &lt;b&gt;Level &lt;/b&gt;cleric/oracle 3, witch 3, inquisitor 3, shaman 3, psychic 3, spiritualist 3&lt;/h5&gt;&lt;/div&gt;&lt;hr/&gt;&lt;div&gt;&lt;h5&gt;&lt;b&gt;CASTING&lt;/b&gt;&lt;/h5&gt;&lt;/div&gt;&lt;hr/&gt;&lt;div&gt;&lt;h5&gt;&lt;b&gt;Casting Time &lt;/b&gt;10 minutes&lt;/h5&gt;&lt;h5&gt;&lt;b&gt;Components &lt;/b&gt;V, S, DF&lt;/h5&gt;&lt;/div&gt;&lt;hr/&gt;&lt;div&gt;&lt;h5&gt;&lt;b&gt;EFFECT&lt;/b&gt;&lt;/h5&gt;&lt;/div&gt;&lt;hr/&gt;&lt;div&gt;&lt;h5&gt;&lt;b&gt;Range &lt;/b&gt;10 ft.&lt;/h5&gt;&lt;h5&gt;&lt;b&gt;Targets &lt;/b&gt;one dead creature&lt;/h5&gt;&lt;h5&gt;&lt;b&gt;Duration &lt;/b&gt;1 min./level&lt;/h5&gt;&lt;h5&gt;&lt;b&gt;Saving Throw &lt;/b&gt;Will negates; see text; &lt;b&gt;Spell Resistance &lt;/b&gt;no&lt;/h5&gt;&lt;/div&gt;&lt;hr/&gt;&lt;div&gt;&lt;h5&gt;&lt;b&gt;DESCRIPTION&lt;/b&gt;&lt;/h5&gt;&lt;/div&gt;&lt;hr/&gt;&lt;div&gt;&lt;h4&gt;&lt;p&gt;You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life.&lt;/p&gt;&lt;p&gt;If the dead creature's alignment was different from yours, the corpse gets a Will save to resist the spell as if it were alive.&lt;/p&gt;&lt;p&gt;If successful, the corpse can refuse to answer your questions or attempt to deceive you, using Bluff. The soul can only speak about what it knew in life. It cannot answer any questions that pertain to events that occurred after its death.&lt;/p&gt;&lt;p&gt;If the corpse has been subject to &lt;i&gt;speak with dead&lt;/i&gt;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creature.&lt;/p&gt;&lt;/h4&gt;&lt;/div&gt;</t>
  </si>
  <si>
    <t>Knowledge (3), Repose (3)</t>
  </si>
  <si>
    <t> Corpse answers one question/two levels.</t>
  </si>
  <si>
    <t>Death (6), Spirits (6)</t>
  </si>
  <si>
    <t>Speak with Plants</t>
  </si>
  <si>
    <t>bard 4, druid 3, ranger 2</t>
  </si>
  <si>
    <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t>
  </si>
  <si>
    <t>&lt;p&gt;You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you.&lt;/p&gt;</t>
  </si>
  <si>
    <t>&lt;link rel="stylesheet"href="PF.css"&gt;&lt;div class="heading"&gt;&lt;p class="alignleft"&gt;Speak with Plants&lt;/p&gt;&lt;div style="clear: both;"&gt;&lt;/div&gt;&lt;/div&gt;&lt;div&gt;&lt;h5&gt;&lt;b&gt;School &lt;/b&gt;divination; &lt;b&gt;Level &lt;/b&gt;bard 4, druid 3, ranger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you.&lt;/p&gt;&lt;/h4&gt;&lt;/div&gt;</t>
  </si>
  <si>
    <t>You can talk to plants and plant creatures.</t>
  </si>
  <si>
    <t>Verdant (7)</t>
  </si>
  <si>
    <t>Spectral Hand</t>
  </si>
  <si>
    <t>sorcerer/wizard 2, witch 2, occultist 2, psychic 2, spiritualist 2</t>
  </si>
  <si>
    <t>one spectral hand</t>
  </si>
  <si>
    <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spectral hand.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  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t>
  </si>
  <si>
    <t>&lt;p&gt;A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&lt;i&gt;spectral hand&lt;/i&gt;.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hovers.&lt;/p&gt;&lt;p&gt;The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it.&lt;/p&gt;</t>
  </si>
  <si>
    <t>&lt;link rel="stylesheet"href="PF.css"&gt;&lt;div class="heading"&gt;&lt;p class="alignleft"&gt;Spectral Hand&lt;/p&gt;&lt;div style="clear: both;"&gt;&lt;/div&gt;&lt;/div&gt;&lt;div&gt;&lt;h5&gt;&lt;b&gt;School &lt;/b&gt;necromancy; &lt;b&gt;Level &lt;/b&gt;sorcerer/wizard 2, witch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spectral hand&lt;/h5&gt;&lt;h5&gt;&lt;b&gt;Duration &lt;/b&gt;1 min./level (D)&lt;/h5&gt;&lt;h5&gt;&lt;b&gt;Saving Throw &lt;/b&gt;none; &lt;b&gt;Spell Resistance &lt;/b&gt;no&lt;/h5&gt;&lt;/div&gt;&lt;hr/&gt;&lt;div&gt;&lt;h5&gt;&lt;b&gt;DESCRIPTION&lt;/b&gt;&lt;/h5&gt;&lt;/div&gt;&lt;hr/&gt;&lt;div&gt;&lt;h4&gt;&lt;p&gt;A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&lt;i&gt;spectral hand&lt;/i&gt;.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hovers.&lt;/p&gt;&lt;p&gt;The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it.&lt;/p&gt;&lt;/h4&gt;&lt;/div&gt;</t>
  </si>
  <si>
    <t> Creates disembodied glowing hand to deliver touch attacks.</t>
  </si>
  <si>
    <t>Spell Immunity</t>
  </si>
  <si>
    <t>cleric/oracle 4, alchemist 4, inquisitor 4, occultist 4, psychic 4, spiritualist 4</t>
  </si>
  <si>
    <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Spell immunity protects against spells, spell-like effects of magic items, and innate spell-like abilities of creatures. It does not protect against supernatural or extraordinary abilities, such as breath weapons or gaze attacks.  Only a particular spell can be protected against, not a certain domain or school of spells or a group of spells that are similar in effect. A creature can have only one spell immunity or greater spell immunity spell in effect on it at a time.</t>
  </si>
  <si>
    <t>&lt;p&gt;The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&lt;i&gt;Spell immunity&lt;/i&gt; protects against spells, spell-like effects of magic items, and innate spell-like abilities of creatures. It does not protect against supernatural or extraordinary abilities, such as breath weapons or gaze attacks.&lt;/p&gt;&lt;p&gt;Only a particular spell can be protected against, not a certain domain or school of spells or a group of spells that are similar in effect. A creature can have only one &lt;i&gt;spell immunity&lt;/i&gt; or greater &lt;i&gt;spell immunity&lt;/i&gt; spell in effect on it at a time.&lt;/p&gt;</t>
  </si>
  <si>
    <t>&lt;link rel="stylesheet"href="PF.css"&gt;&lt;div class="heading"&gt;&lt;p class="alignleft"&gt;Spell Immunity&lt;/p&gt;&lt;div style="clear: both;"&gt;&lt;/div&gt;&lt;/div&gt;&lt;div&gt;&lt;h5&gt;&lt;b&gt;School &lt;/b&gt;abjuration; &lt;b&gt;Level &lt;/b&gt;cleric/oracle 4, alchemist 4, inquisitor 4, occultist 4, psychic 4, spiritualist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&lt;i&gt;Spell immunity&lt;/i&gt; protects against spells, spell-like effects of magic items, and innate spell-like abilities of creatures. It does not protect against supernatural or extraordinary abilities, such as breath weapons or gaze attacks.&lt;/p&gt;&lt;p&gt;Only a particular spell can be protected against, not a certain domain or school of spells or a group of spells that are similar in effect. A creature can have only one &lt;i&gt;spell immunity&lt;/i&gt; or greater &lt;i&gt;spell immunity&lt;/i&gt; spell in effect on it at a time.&lt;/p&gt;&lt;/h4&gt;&lt;/div&gt;</t>
  </si>
  <si>
    <t>Protection (4), Strength (4)</t>
  </si>
  <si>
    <t> Subject is immune to one spell per 4 levels.</t>
  </si>
  <si>
    <t>Endurance (8)</t>
  </si>
  <si>
    <t>Spell Immunity, Greater</t>
  </si>
  <si>
    <t>cleric/oracle 8, psychic 8</t>
  </si>
  <si>
    <t>This spell functions like spell immunity, except the immunity applies to spells of 8th level or lower. A creature can have only one spell immunity or greater spell immunity spell in effect on it at a time.</t>
  </si>
  <si>
    <t>&lt;p&gt;This spell functions like &lt;i&gt;spell immunity&lt;/i&gt;, except the immunity applies to spells of 8th level or lower. A creature can have only one &lt;i&gt;spell immunity&lt;/i&gt; or &lt;i&gt;greater spell immunity&lt;/i&gt; spell in effect on it at a time.&lt;/p&gt;</t>
  </si>
  <si>
    <t>&lt;link rel="stylesheet"href="PF.css"&gt;&lt;div class="heading"&gt;&lt;p class="alignleft"&gt;Spell Immunity, Greater&lt;/p&gt;&lt;div style="clear: both;"&gt;&lt;/div&gt;&lt;/div&gt;&lt;div&gt;&lt;h5&gt;&lt;b&gt;School &lt;/b&gt;abjuration; &lt;b&gt;Level &lt;/b&gt;cleric/oracle 8, psychic 8&lt;/h5&gt;&lt;/div&gt;&lt;hr/&gt;&lt;div&gt;&lt;h5&gt;&lt;b&gt;CASTING&lt;/b&gt;&lt;/h5&gt;&lt;/div&gt;&lt;hr/&gt;&lt;div&gt;&lt;h5&gt;&lt;b&gt;Casting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(harmless)&lt;/h5&gt;&lt;/div&gt;&lt;hr/&gt;&lt;div&gt;&lt;h5&gt;&lt;b&gt;DESCRIPTION&lt;/b&gt;&lt;/h5&gt;&lt;/div&gt;&lt;hr/&gt;&lt;div&gt;&lt;h4&gt;&lt;p&gt;This spell functions like &lt;i&gt;spell immunity&lt;/i&gt;, except the immunity applies to spells of 8th level or lower. A creature can have only one &lt;i&gt;spell immunity&lt;/i&gt; or &lt;i&gt;greater spell immunity&lt;/i&gt; spell in effect on it at a time.&lt;/p&gt;&lt;/h4&gt;&lt;/div&gt;</t>
  </si>
  <si>
    <t> As spell immunity, but up to 8th-level spells.</t>
  </si>
  <si>
    <t>Spell Resistance</t>
  </si>
  <si>
    <t>cleric/oracle 5, alchemist 5, inquisitor 5, occultist 5, psychic 5, spiritualist 5</t>
  </si>
  <si>
    <t>The target gains spell resistance equal to 12 + your caster level.</t>
  </si>
  <si>
    <t>&lt;p&gt;The target gains spell resistance equal to 12 + your caster level.&lt;/p&gt;</t>
  </si>
  <si>
    <t>&lt;link rel="stylesheet"href="PF.css"&gt;&lt;div class="heading"&gt;&lt;p class="alignleft"&gt;Spell Resistance&lt;/p&gt;&lt;div style="clear: both;"&gt;&lt;/div&gt;&lt;/div&gt;&lt;div&gt;&lt;h5&gt;&lt;b&gt;School &lt;/b&gt;abjuration; &lt;b&gt;Level &lt;/b&gt;cleric/oracle 5, alchemist 5, inquisitor 5, occultist 5, psychic 5, spiritualist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(harmless)&lt;/h5&gt;&lt;/div&gt;&lt;hr/&gt;&lt;div&gt;&lt;h5&gt;&lt;b&gt;DESCRIPTION&lt;/b&gt;&lt;/h5&gt;&lt;/div&gt;&lt;hr/&gt;&lt;div&gt;&lt;h4&gt;&lt;p&gt;The target gains spell resistance equal to 12 + your caster level.&lt;/p&gt;&lt;/h4&gt;&lt;/div&gt;</t>
  </si>
  <si>
    <t>Magic (5), Protection (5)</t>
  </si>
  <si>
    <t> Subject gains SR 12 + level.</t>
  </si>
  <si>
    <t>Draconic (11)</t>
  </si>
  <si>
    <t>Endurance (10)</t>
  </si>
  <si>
    <t>Spellstaff</t>
  </si>
  <si>
    <t>V, S, F (the staff that stores the spell)</t>
  </si>
  <si>
    <t>wooden quarterstaff touched</t>
  </si>
  <si>
    <t>You store one spell that you can normally cast in a wooden quarterstaff. Only one such spell can be stored in a staff at a given time, and you cannot have more than one spellstaff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spellstaff.</t>
  </si>
  <si>
    <t>&lt;p&gt;You store one spell that you can normally cast in a wooden quarterstaff. Only one such spell can be stored in a staff at a given time, and you cannot have more than one &lt;i&gt;spellstaff&lt;/i&gt;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&lt;i&gt;spellstaff&lt;/i&gt;.&lt;/p&gt;</t>
  </si>
  <si>
    <t>&lt;link rel="stylesheet"href="PF.css"&gt;&lt;div class="heading"&gt;&lt;p class="alignleft"&gt;Spellstaff&lt;/p&gt;&lt;div style="clear: both;"&gt;&lt;/div&gt;&lt;/div&gt;&lt;div&gt;&lt;h5&gt;&lt;b&gt;School &lt;/b&gt;transmutation; &lt;b&gt;Level &lt;/b&gt;druid 6&lt;/h5&gt;&lt;/div&gt;&lt;hr/&gt;&lt;div&gt;&lt;h5&gt;&lt;b&gt;CASTING&lt;/b&gt;&lt;/h5&gt;&lt;/div&gt;&lt;hr/&gt;&lt;div&gt;&lt;h5&gt;&lt;b&gt;Casting Time &lt;/b&gt;10 minutes&lt;/h5&gt;&lt;h5&gt;&lt;b&gt;Components &lt;/b&gt;V, S, F (the staff that stores the spell)&lt;/h5&gt;&lt;/div&gt;&lt;hr/&gt;&lt;div&gt;&lt;h5&gt;&lt;b&gt;EFFECT&lt;/b&gt;&lt;/h5&gt;&lt;/div&gt;&lt;hr/&gt;&lt;div&gt;&lt;h5&gt;&lt;b&gt;Range &lt;/b&gt;touch&lt;/h5&gt;&lt;h5&gt;&lt;b&gt;Targets &lt;/b&gt;wooden quarterstaff touched&lt;/h5&gt;&lt;h5&gt;&lt;b&gt;Duration &lt;/b&gt;permanent until discharged (D)&lt;/h5&gt;&lt;h5&gt;&lt;b&gt;Saving Throw &lt;/b&gt;Will negates (object); &lt;b&gt;Spell Resistance &lt;/b&gt;yes (object)&lt;/h5&gt;&lt;/div&gt;&lt;hr/&gt;&lt;div&gt;&lt;h5&gt;&lt;b&gt;DESCRIPTION&lt;/b&gt;&lt;/h5&gt;&lt;/div&gt;&lt;hr/&gt;&lt;div&gt;&lt;h4&gt;&lt;p&gt;You store one spell that you can normally cast in a wooden quarterstaff. Only one such spell can be stored in a staff at a given time, and you cannot have more than one &lt;i&gt;spellstaff&lt;/i&gt;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&lt;i&gt;spellstaff&lt;/i&gt;.&lt;/p&gt;&lt;/h4&gt;&lt;/div&gt;</t>
  </si>
  <si>
    <t> Stores one spell in wooden quarterstaff.</t>
  </si>
  <si>
    <t>Spell Turning</t>
  </si>
  <si>
    <t>V, S, M/DF (a small silver mirror)</t>
  </si>
  <si>
    <t>until expended or 10 min./level</t>
  </si>
  <si>
    <t>Spells and spell-like effects targeted on you are turned back upon the original caster. The abjuration turns only spells that have you as a target. Effect and area spells are not affected. Spell turning also fails to stop touch range spells. From seven to ten (1d4+6) spell levels are affected by the turning. The exact number is rolled secretly. When you are targeted by a spell of higher level than the amount of spell turning you have left, that spell is partially turned. Subtract the amount of spell turning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spell turning effects in operation, a resonating field is created. Roll randomly to determine the result. d% Effect 01-70 Spell drains away without effect. 71-80 Spell affects both of you equally at full effect. 81-97 Both turning effects are rendered nonfunctional for 1d4 minutes. 98-100 Both of you go through a rift into another plane.</t>
  </si>
  <si>
    <t>&lt;p&gt;Spells and spell-like effects targeted on you are turned back upon the original caster. The abjuration turns only spells that have you as a target. Effect and area spells are not affected. &lt;i&gt;Spell turning&lt;/i&gt; also fails to stop touch range spells. From seven to ten (1d4+6) spell levels are affected by the turning. The exact number is rolled secretly.&lt;/p&gt;&lt;p&gt;When you are targeted by a spell of higher level than the amount of &lt;i&gt;spell turning&lt;/i&gt; you have left, that spell is partially turned. Subtract the amount of &lt;i&gt;spell turning&lt;/i&gt;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&lt;i&gt;spell turning&lt;/i&gt; effects in operation, a resonating field is created. Roll randomly to determine the result.&lt;/p&gt;&lt;p&gt; &lt;table&gt;&lt;tr&gt;&lt;th&gt;d%&lt;/th&gt;&lt;th&gt;Effect&lt;/th&gt;&lt;/tr&gt;&lt;tr&gt;&lt;td&gt;01-70&lt;/td&gt;&lt;td&gt;Spell drains away without effect.&lt;/td&gt;&lt;/tr&gt;&lt;tr&gt;&lt;td&gt;71-80&lt;/td&gt;&lt;td&gt;Spell affects both of you equally at full effect.&lt;/td&gt;&lt;/tr&gt;&lt;tr&gt;&lt;td&gt;81-97&lt;/td&gt;&lt;td&gt;Both turning effects are rendered nonfunctional for 1d4 minutes.&lt;/td&gt;&lt;/tr&gt;&lt;tr&gt;&lt;td&gt;98-100&lt;/td&gt;&lt;td&gt;Both of you go through a rift into another plane.&lt;/td&gt;&lt;/tr&gt;&lt;/table&gt; &lt;/p&gt;</t>
  </si>
  <si>
    <t>&lt;link rel="stylesheet"href="PF.css"&gt;&lt;div class="heading"&gt;&lt;p class="alignleft"&gt;Spell Turning&lt;/p&gt;&lt;div style="clear: both;"&gt;&lt;/div&gt;&lt;/div&gt;&lt;div&gt;&lt;h5&gt;&lt;b&gt;School &lt;/b&gt;abjuration; &lt;b&gt;Level &lt;/b&gt;sorcerer/wizard 7, summoner 5, psychic 7&lt;/h5&gt;&lt;/div&gt;&lt;hr/&gt;&lt;div&gt;&lt;h5&gt;&lt;b&gt;CASTING&lt;/b&gt;&lt;/h5&gt;&lt;/div&gt;&lt;hr/&gt;&lt;div&gt;&lt;h5&gt;&lt;b&gt;Casting Time &lt;/b&gt;1 standard action&lt;/h5&gt;&lt;h5&gt;&lt;b&gt;Components &lt;/b&gt;V, S, M/DF (a small silver mirror)&lt;/h5&gt;&lt;/div&gt;&lt;hr/&gt;&lt;div&gt;&lt;h5&gt;&lt;b&gt;EFFECT&lt;/b&gt;&lt;/h5&gt;&lt;/div&gt;&lt;hr/&gt;&lt;div&gt;&lt;h5&gt;&lt;b&gt;Range &lt;/b&gt;personal&lt;/h5&gt;&lt;h5&gt;&lt;b&gt;Targets &lt;/b&gt;you&lt;/h5&gt;&lt;h5&gt;&lt;b&gt;Duration &lt;/b&gt;until expended or 10 min./level&lt;/h5&gt;&lt;/div&gt;&lt;hr/&gt;&lt;div&gt;&lt;h5&gt;&lt;b&gt;DESCRIPTION&lt;/b&gt;&lt;/h5&gt;&lt;/div&gt;&lt;hr/&gt;&lt;div&gt;&lt;h4&gt;&lt;p&gt;Spells and spell-like effects targeted on you are turned back upon the original caster. The abjuration turns only spells that have you as a target. Effect and area spells are not affected. &lt;i&gt;Spell turning&lt;/i&gt; also fails to stop touch range spells. From seven to ten (1d4+6) spell levels are affected by the turning. The exact number is rolled secretly.&lt;/p&gt;&lt;p&gt;When you are targeted by a spell of higher level than the amount of &lt;i&gt;spell turning&lt;/i&gt; you have left, that spell is partially turned. Subtract the amount of &lt;i&gt;spell turning&lt;/i&gt;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&lt;i&gt;spell turning&lt;/i&gt; effects in operation, a resonating field is created. Roll randomly to determine the result.&lt;/p&gt;&lt;p&gt; &lt;table&gt;&lt;tr&gt;&lt;th&gt;d%&lt;/th&gt;&lt;th&gt;Effect&lt;/th&gt;&lt;/tr&gt;&lt;tr&gt;&lt;td&gt;01-70&lt;/td&gt;&lt;td&gt;Spell drains away without effect.&lt;/td&gt;&lt;/tr&gt;&lt;tr&gt;&lt;td&gt;71-80&lt;/td&gt;&lt;td&gt;Spell affects both of you equally at full effect.&lt;/td&gt;&lt;/tr&gt;&lt;tr&gt;&lt;td&gt;81-97&lt;/td&gt;&lt;td&gt;Both turning effects are rendered nonfunctional for 1d4 minutes.&lt;/td&gt;&lt;/tr&gt;&lt;tr&gt;&lt;td&gt;98-100&lt;/td&gt;&lt;td&gt;Both of you go through a rift into another plane.&lt;/td&gt;&lt;/tr&gt;&lt;/table&gt; &lt;/p&gt;&lt;/h4&gt;&lt;/div&gt;</t>
  </si>
  <si>
    <t>Luck (7), Magic (7)</t>
  </si>
  <si>
    <t> Reflect 1d4+6 spell levels back at caster.</t>
  </si>
  <si>
    <t>Destined (15)</t>
  </si>
  <si>
    <t>Wisdom (14)</t>
  </si>
  <si>
    <t>Spider Climb</t>
  </si>
  <si>
    <t>druid 2, sorcerer/wizard 2, alchemist 2, summoner 2, magus 2, bloodrager 2, occultist 2, psychic 2</t>
  </si>
  <si>
    <t>V, S, M (a live spider)</t>
  </si>
  <si>
    <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spider climbing creature retains its Dexterity bonus to Armor Class (if any) while climbing, and opponents get no special bonus to their attacks against it. It cannot, however, use the run action while climbing.</t>
  </si>
  <si>
    <t>&lt;p&gt;The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&lt;i&gt;spider climbing&lt;/i&gt; creature retains its Dexterity bonus to Armor Class (if any) while climbing, and opponents get no special bonus to their attacks against it. It cannot, however, use the run action while climbing.&lt;/p&gt;</t>
  </si>
  <si>
    <t>&lt;link rel="stylesheet"href="PF.css"&gt;&lt;div class="heading"&gt;&lt;p class="alignleft"&gt;Spider Climb&lt;/p&gt;&lt;div style="clear: both;"&gt;&lt;/div&gt;&lt;/div&gt;&lt;div&gt;&lt;h5&gt;&lt;b&gt;School &lt;/b&gt;transmutation; &lt;b&gt;Level &lt;/b&gt;druid 2, sorcerer/wizard 2, alchemist 2, summoner 2, magus 2, bloodrager 2, occultist 2, psychic 2&lt;/h5&gt;&lt;/div&gt;&lt;hr/&gt;&lt;div&gt;&lt;h5&gt;&lt;b&gt;CASTING&lt;/b&gt;&lt;/h5&gt;&lt;/div&gt;&lt;hr/&gt;&lt;div&gt;&lt;h5&gt;&lt;b&gt;Casting Time &lt;/b&gt;1 standard action&lt;/h5&gt;&lt;h5&gt;&lt;b&gt;Components &lt;/b&gt;V, S, M (a live spider)&lt;/h5&gt;&lt;/div&gt;&lt;hr/&gt;&lt;div&gt;&lt;h5&gt;&lt;b&gt;EFFECT&lt;/b&gt;&lt;/h5&gt;&lt;/div&gt;&lt;hr/&gt;&lt;div&gt;&lt;h5&gt;&lt;b&gt;Range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&lt;i&gt;spider climbing&lt;/i&gt; creature retains its Dexterity bonus to Armor Class (if any) while climbing, and opponents get no special bonus to their attacks against it. It cannot, however, use the run action while climbing.&lt;/p&gt;&lt;/h4&gt;&lt;h5&gt;&lt;b&gt;Mythic: &lt;/b&gt;The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movement.&lt;/h5&gt;&lt;/div&gt;</t>
  </si>
  <si>
    <t>Grants ability to walk on walls and ceilings.</t>
  </si>
  <si>
    <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t>
  </si>
  <si>
    <t>Spike Growth</t>
  </si>
  <si>
    <t>one 20-ft. square/level</t>
  </si>
  <si>
    <t>Reflex partial</t>
  </si>
  <si>
    <t>Any ground-covering vegetation in the spell's area becomes very hard and sharply pointed without changing its appearance.  In areas of bare earth, roots and rootlets act in the same way.  Typically, spike growth can be cast in any outdoor setting except open water, ice, heavy snow, sandy desert, or bare stone. Any creature moving on foot into or through the spell's area takes 1d4 points of piercing damage for each 5 feet of movement through the spiked area.  Any creature that takes damage from this spell must also succeed on a Reflex save or suffer injuries to its feet and legs that slow its land speed by half. This speed penalty lasts for 24 hours or until the injured creature receives a cure spell (which also restores lost hit points). Another character can remove the penalty by taking 10 minutes to dress the injuries and succeeding on a Heal check against the spell's save DC.  Magic traps are hard to detect. A rogue (only) can use the Perception skill to find a spike growth. The DC is 25 + spell level, or DC 28 for spike growth (or DC 27 for spike growth cast by a ranger).  Spike growth can't be disabled with the Disable Device skill.</t>
  </si>
  <si>
    <t>&lt;p&gt;Any ground-covering vegetation in the spell's area becomes very hard and sharply pointed without changing its appearance.&lt;/p&gt;&lt;p&gt;In areas of bare earth, roots and rootlets act in the same way.&lt;/p&gt;&lt;p&gt;Typically, &lt;i&gt;spike growth&lt;/i&gt; can be cast in any outdoor setting except open water, ice, heavy snow, sandy desert, or bare stone. Any creature moving on foot into or through the spell's area takes 1d4 points of piercing damage for each 5 feet of movement through the spiked area.&lt;/p&gt;&lt;p&gt;Any creature that takes damage from this spell must also succeed on a Reflex save or suffer injuries to its feet and legs that slow its land speed by half. This speed penalty lasts for 24 hours or until the injured creature receives a &lt;i&gt;cure&lt;/i&gt; spell (which also restores lost hit points). Another character can remove the penalty by taking 10 minutes to dress the injuries and succeeding on a Heal check against the spell's save DC.&lt;/p&gt;&lt;p&gt;Magic traps are hard to detect. A rogue (only) can use the Perception skill to find a &lt;i&gt;spike growth&lt;/i&gt;. The DC is 25 + spell level, or DC 28 for &lt;i&gt;spike growth&lt;/i&gt; (or DC 27 for &lt;i&gt;spike growth&lt;/i&gt; cast by a ranger).&lt;/p&gt;&lt;p&gt;&lt;i&gt;Spike growth&lt;/i&gt; can't be disabled with the Disable Device skill.&lt;/p&gt;</t>
  </si>
  <si>
    <t>&lt;link rel="stylesheet"href="PF.css"&gt;&lt;div class="heading"&gt;&lt;p class="alignleft"&gt;Spike Growth&lt;/p&gt;&lt;div style="clear: both;"&gt;&lt;/div&gt;&lt;/div&gt;&lt;div&gt;&lt;h5&gt;&lt;b&gt;School &lt;/b&gt;transmutation; &lt;b&gt;Level &lt;/b&gt;druid 3, ranger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square/level&lt;/h5&gt;&lt;h5&gt;&lt;b&gt;Duration &lt;/b&gt;1 hour/level (D)&lt;/h5&gt;&lt;h5&gt;&lt;b&gt;Saving Throw &lt;/b&gt;Reflex partial; &lt;b&gt;Spell Resistance &lt;/b&gt;yes&lt;/h5&gt;&lt;/div&gt;&lt;hr/&gt;&lt;div&gt;&lt;h5&gt;&lt;b&gt;DESCRIPTION&lt;/b&gt;&lt;/h5&gt;&lt;/div&gt;&lt;hr/&gt;&lt;div&gt;&lt;h4&gt;&lt;p&gt;Any ground-covering vegetation in the spell's area becomes very hard and sharply pointed without changing its appearance.&lt;/p&gt;&lt;p&gt;In areas of bare earth, roots and rootlets act in the same way.&lt;/p&gt;&lt;p&gt;Typically, &lt;i&gt;spike growth&lt;/i&gt; can be cast in any outdoor setting except open water, ice, heavy snow, sandy desert, or bare stone. Any creature moving on foot into or through the spell's area takes 1d4 points of piercing damage for each 5 feet of movement through the spiked area.&lt;/p&gt;&lt;p&gt;Any creature that takes damage from this spell must also succeed on a Reflex save or suffer injuries to its feet and legs that slow its land speed by half. This speed penalty lasts for 24 hours or until the injured creature receives a &lt;i&gt;cure&lt;/i&gt; spell (which also restores lost hit points). Another character can remove the penalty by taking 10 minutes to dress the injuries and succeeding on a Heal check against the spell's save DC.&lt;/p&gt;&lt;p&gt;Magic traps are hard to detect. A rogue (only) can use the Perception skill to find a &lt;i&gt;spike growth&lt;/i&gt;. The DC is 25 + spell level, or DC 28 for &lt;i&gt;spike growth&lt;/i&gt; (or DC 27 for &lt;i&gt;spike growth&lt;/i&gt; cast by a ranger).&lt;/p&gt;&lt;p&gt;&lt;i&gt;Spike growth&lt;/i&gt; can't be disabled with the Disable Device skill.&lt;/p&gt;&lt;/h4&gt;&lt;/div&gt;</t>
  </si>
  <si>
    <t>Creatures in area take 1d4 damage, may be slowed.</t>
  </si>
  <si>
    <t>Spike Stones</t>
  </si>
  <si>
    <t>druid 4, shaman 4</t>
  </si>
  <si>
    <t>Rocky ground, stone floors, and similar surfaces shape themselves into long, sharp points that blend into the background.  Spike stones impede progress through an area and deal damage.  Any creature moving on foot into or through the spell's area moves at half speed. In addition, each creature moving through the area takes 1d8 points of piercing damage for each 5 feet of movement through the spiked area.  Any creature that takes damage from this spell must also succeed on a Reflex save to avoid injuries to its feet and legs. A failed save causes the creature's speed to be reduced to half normal for 24 hours or until the injured creature receives a cure spell (which also restores lost hit points). Another character can remove the penalty by taking 10 minutes to dress the injuries and succeeding on a Heal check against the spell's save DC.  Magic traps such as spike stones are hard to detect. A character with trapfinding can use the Perception skill to find spike stones.  The DC is 25 + spell level, or DC 29 for spike stones. Spike stones is a magic trap that can't be disabled with the Disable Device skill.</t>
  </si>
  <si>
    <t>&lt;p&gt;Rocky ground, stone floors, and similar surfaces shape themselves into long, sharp points that blend into the background.&lt;/p&gt;&lt;p&gt;&lt;i&gt;Spike stones&lt;/i&gt; impede progress through an area and deal damage.&lt;/p&gt;&lt;p&gt;Any creature moving on foot into or through the spell's area moves at half speed. In addition, each creature moving through the area takes 1d8 points of piercing damage for each 5 feet of movement through the spiked area.&lt;/p&gt;&lt;p&gt;Any creature that takes damage from this spell must also succeed on a Reflex save to avoid injuries to its feet and legs. A failed save causes the creature's speed to be reduced to half normal for 24 hours or until the injured creature receives a &lt;i&gt;cure&lt;/i&gt; spell (which also restores lost hit points). Another character can remove the penalty by taking 10 minutes to dress the injuries and succeeding on a Heal check against the spell's save DC.&lt;/p&gt;&lt;p&gt;Magic traps such as &lt;i&gt;spike stones&lt;/i&gt; are hard to detect. A character with trapfinding can use the Perception skill to find &lt;i&gt;spike stones&lt;/i&gt;.&lt;/p&gt;&lt;p&gt;The DC is 25 + spell level, or DC 29 for &lt;i&gt;spike stones&lt;/i&gt;. &lt;i&gt;Spike stones&lt;/i&gt; is a magic trap that can't be disabled with the Disable Device skill.&lt;/p&gt;</t>
  </si>
  <si>
    <t>&lt;link rel="stylesheet"href="PF.css"&gt;&lt;div class="heading"&gt;&lt;p class="alignleft"&gt;Spike Stones&lt;/p&gt;&lt;div style="clear: both;"&gt;&lt;/div&gt;&lt;/div&gt;&lt;div&gt;&lt;h5&gt;&lt;b&gt;School &lt;/b&gt;transmutation [earth]; &lt;b&gt;Level &lt;/b&gt;druid 4, shaman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square/level&lt;/h5&gt;&lt;h5&gt;&lt;b&gt;Duration &lt;/b&gt;1 hour/level (D)&lt;/h5&gt;&lt;h5&gt;&lt;b&gt;Saving Throw &lt;/b&gt;Reflex partial; &lt;b&gt;Spell Resistance &lt;/b&gt;yes&lt;/h5&gt;&lt;/div&gt;&lt;hr/&gt;&lt;div&gt;&lt;h5&gt;&lt;b&gt;DESCRIPTION&lt;/b&gt;&lt;/h5&gt;&lt;/div&gt;&lt;hr/&gt;&lt;div&gt;&lt;h4&gt;&lt;p&gt;Rocky ground, stone floors, and similar surfaces shape themselves into long, sharp points that blend into the background.&lt;/p&gt;&lt;p&gt;&lt;i&gt;Spike stones&lt;/i&gt; impede progress through an area and deal damage.&lt;/p&gt;&lt;p&gt;Any creature moving on foot into or through the spell's area moves at half speed. In addition, each creature moving through the area takes 1d8 points of piercing damage for each 5 feet of movement through the spiked area.&lt;/p&gt;&lt;p&gt;Any creature that takes damage from this spell must also succeed on a Reflex save to avoid injuries to its feet and legs. A failed save causes the creature's speed to be reduced to half normal for 24 hours or until the injured creature receives a &lt;i&gt;cure&lt;/i&gt; spell (which also restores lost hit points). Another character can remove the penalty by taking 10 minutes to dress the injuries and succeeding on a Heal check against the spell's save DC.&lt;/p&gt;&lt;p&gt;Magic traps such as &lt;i&gt;spike stones&lt;/i&gt; are hard to detect. A character with trapfinding can use the Perception skill to find &lt;i&gt;spike stones&lt;/i&gt;.&lt;/p&gt;&lt;p&gt;The DC is 25 + spell level, or DC 29 for &lt;i&gt;spike stones&lt;/i&gt;. &lt;i&gt;Spike stones&lt;/i&gt; is a magic trap that can't be disabled with the Disable Device skill.&lt;/p&gt;&lt;/h4&gt;&lt;h5&gt;&lt;b&gt;Mythic: &lt;/b&gt;The damage dealt increases to 2d6 points of piercing damage plus 1 point of bleed damage. Add your tier to the DC to detect the magical trap.&lt;/h5&gt;&lt;/div&gt;</t>
  </si>
  <si>
    <t>Earth (4)</t>
  </si>
  <si>
    <t> Creatures in area take 1d8 damage, may also be slowed.</t>
  </si>
  <si>
    <t>Deep Earth (11)</t>
  </si>
  <si>
    <t>Mountain (8)</t>
  </si>
  <si>
    <t>The damage dealt increases to 2d6 points of piercing damage plus 1 point of bleed damage. Add your tier to the DC to detect the magical trap.</t>
  </si>
  <si>
    <t>Spiritual Weapon</t>
  </si>
  <si>
    <t>cleric/oracle 2, inquisitor 2, shaman 2, spiritualist 2</t>
  </si>
  <si>
    <t>magic weapon of force</t>
  </si>
  <si>
    <t>A weapon made of force appears and attacks foes at a distance, as you direct it, dealing 1d8 force damage per hit, + 1 point per three caster levels (maximum +5 at 15th level). The weapon takes the shape of a weapon favored by your deity or a weapon with some spiritual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  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spiritual weapon is a ranged weapon, use the spell's range, not the weapon's normal range increment, and switching targets still is a move action.  A spiritual weapon cannot be attacked or harmed by physical attacks, but dispel magic, disintegrate, a sphere of annihilation, or a rod of cancellation affects it. A spiritual weapon's AC against touch attacks is 12 (10 + size bonus for Tiny object).  If an attacked creature has spell resistance, you make a caster level check (1d20 + caster level) against that spell resistance the first time the spiritual weapon strikes it. If the weapon is successfully resisted, the spell is dispelled. If not, the weapon has its normal full effect on that creature for the duration of the spell.  The weapon that you get is often a force replica of your deity's own personal weapon. A cleric without a deity gets a weapon based on his alignment. A neutral cleric without a deity can create a spiritual weapon of any alignment, provided he is acting at least generally in accord with that alignment at the time. The weapons associated with each alignment are as follows: chaos (battleaxe), evil (light flail), good (warhammer), law (longsword).</t>
  </si>
  <si>
    <t>&lt;p&gt;A weapon made of force appears and attacks foes at a distance, as you direct it, dealing 1d8 force damage per hit, + 1 point per three caster levels (maximum +5 at 15th level). The weapon takes the shape of a weapon favored by your deity or a weapon with some &lt;i&gt;spiritual&lt;/i&gt;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hovers.&lt;/p&gt;&lt;p&gt;Each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&lt;i&gt;&lt;i&gt;spiritual&lt;/i&gt; weapon&lt;/i&gt; is a ranged weapon, use the spell's range, not the weapon's normal range increment, and switching targets still is a move action.&lt;/p&gt;&lt;p&gt;A &lt;i&gt;&lt;i&gt;spiritual&lt;/i&gt; weapon&lt;/i&gt; cannot be attacked or harmed by physical attacks, but &lt;i&gt;dispel magic&lt;/i&gt;, &lt;i&gt;disintegrate&lt;/i&gt;, a &lt;i&gt;sphere of annihilation&lt;/i&gt;, or a &lt;i&gt;rod of cancellation&lt;/i&gt; affects it. A &lt;i&gt;&lt;i&gt;spiritual&lt;/i&gt; weapon&lt;/i&gt;'s AC against touch attacks is 12 (10 + size bonus for Tiny object).&lt;/p&gt;&lt;p&gt;If an attacked creature has spell resistance, you make a caster level check (1d20 + caster level) against that spell resistance the first time the &lt;i&gt;&lt;i&gt;spiritual&lt;/i&gt; weapon&lt;/i&gt; strikes it. If the weapon is successfully resisted, the spell is dispelled. If not, the weapon has its normal full effect on that creature for the duration of the spell.&lt;/p&gt;&lt;p&gt;The weapon that you get is often a force replica of your deity's own personal weapon. A cleric without a deity gets a weapon based on his alignment. A neutral cleric without a deity can create a &lt;i&gt;&lt;i&gt;spiritual&lt;/i&gt; weapon&lt;/i&gt; of any alignment, provided he is acting at least generally in accord with that alignment at the time. The weapons associated with each alignment are as follows: chaos (battleaxe), evil (light flail), good (warhammer), law (longsword).&lt;/p&gt;</t>
  </si>
  <si>
    <t>&lt;link rel="stylesheet"href="PF.css"&gt;&lt;div class="heading"&gt;&lt;p class="alignleft"&gt;Spiritual Weapon&lt;/p&gt;&lt;div style="clear: both;"&gt;&lt;/div&gt;&lt;/div&gt;&lt;div&gt;&lt;h5&gt;&lt;b&gt;School &lt;/b&gt;evocation [force]; &lt;b&gt;Level &lt;/b&gt;cleric/oracle 2, inquisitor 2, shaman 2, spiritualist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&lt;/b&gt;magic weapon of force&lt;/h5&gt;&lt;h5&gt;&lt;b&gt;Duration &lt;/b&gt;1 round/level (D)&lt;/h5&gt;&lt;h5&gt;&lt;b&gt;Saving Throw &lt;/b&gt;none; &lt;b&gt;Spell Resistance &lt;/b&gt;yes&lt;/h5&gt;&lt;/div&gt;&lt;hr/&gt;&lt;div&gt;&lt;h5&gt;&lt;b&gt;DESCRIPTION&lt;/b&gt;&lt;/h5&gt;&lt;/div&gt;&lt;hr/&gt;&lt;div&gt;&lt;h4&gt;&lt;p&gt;A weapon made of force appears and attacks foes at a distance, as you direct it, dealing 1d8 force damage per hit, + 1 point per three caster levels (maximum +5 at 15th level). The weapon takes the shape of a weapon favored by your deity or a weapon with some &lt;i&gt;spiritual&lt;/i&gt;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hovers.&lt;/p&gt;&lt;p&gt;Each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&lt;i&gt;&lt;i&gt;spiritual&lt;/i&gt; weapon&lt;/i&gt; is a ranged weapon, use the spell's range, not the weapon's normal range increment, and switching targets still is a move action.&lt;/p&gt;&lt;p&gt;A &lt;i&gt;&lt;i&gt;spiritual&lt;/i&gt; weapon&lt;/i&gt; cannot be attacked or harmed by physical attacks, but &lt;i&gt;dispel magic&lt;/i&gt;, &lt;i&gt;disintegrate&lt;/i&gt;, a &lt;i&gt;sphere of annihilation&lt;/i&gt;, or a &lt;i&gt;rod of cancellation&lt;/i&gt; affects it. A &lt;i&gt;&lt;i&gt;spiritual&lt;/i&gt; weapon&lt;/i&gt;'s AC against touch attacks is 12 (10 + size bonus for Tiny object).&lt;/p&gt;&lt;p&gt;If an attacked creature has spell resistance, you make a caster level check (1d20 + caster level) against that spell resistance the first time the &lt;i&gt;&lt;i&gt;spiritual&lt;/i&gt; weapon&lt;/i&gt; strikes it. If the weapon is successfully resisted, the spell is dispelled. If not, the weapon has its normal full effect on that creature for the duration of the spell.&lt;/p&gt;&lt;p&gt;The weapon that you get is often a force replica of your deity's own personal weapon. A cleric without a deity gets a weapon based on his alignment. A neutral cleric without a deity can create a &lt;i&gt;&lt;i&gt;spiritual&lt;/i&gt; weapon&lt;/i&gt; of any alignment, provided he is acting at least generally in accord with that alignment at the time. The weapons associated with each alignment are as follows: chaos (battleaxe), evil (light flail), good (warhammer), law (longsword).&lt;/p&gt;&lt;/h4&gt;&lt;h5&gt;&lt;b&gt;Mythic: &lt;/b&gt;The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action.&lt;/h5&gt;&lt;/div&gt;</t>
  </si>
  <si>
    <t>War (2)</t>
  </si>
  <si>
    <t> Magic weapon attacks on its own.</t>
  </si>
  <si>
    <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t>
  </si>
  <si>
    <t>Stabilize</t>
  </si>
  <si>
    <t>cleric/oracle 0, druid 0, witch 0, inquisitor 0, shaman 0, occultist 0, psychic 0, spiritualist 0</t>
  </si>
  <si>
    <t>Upon casting this spell, you target a living creature that has -1 or fewer hit points. That creature is automatically stabilized and does not lose any further hit points. If the creature later takes damage, it continues dying normally.</t>
  </si>
  <si>
    <t>&lt;p&gt;Upon casting this spell, you target a living creature that has -1 or fewer hit points. That creature is automatically stabilized and does not lose any further hit points. If the creature later takes damage, it continues dying normally.&lt;/p&gt;</t>
  </si>
  <si>
    <t>&lt;link rel="stylesheet"href="PF.css"&gt;&lt;div class="heading"&gt;&lt;p class="alignleft"&gt;Stabilize&lt;/p&gt;&lt;div style="clear: both;"&gt;&lt;/div&gt;&lt;/div&gt;&lt;div&gt;&lt;h5&gt;&lt;b&gt;School &lt;/b&gt;conjuration (healing); &lt;b&gt;Level &lt;/b&gt;cleric/oracle 0, druid 0, witch 0, inquisitor 0, shaman 0, 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(harmless)&lt;/h5&gt;&lt;/div&gt;&lt;hr/&gt;&lt;div&gt;&lt;h5&gt;&lt;b&gt;DESCRIPTION&lt;/b&gt;&lt;/h5&gt;&lt;/div&gt;&lt;hr/&gt;&lt;div&gt;&lt;h4&gt;&lt;p&gt;Upon casting this spell, you target a living creature that has -1 or fewer hit points. That creature is automatically stabilized and does not lose any further hit points. If the creature later takes damage, it continues dying normally.&lt;/p&gt;&lt;/h4&gt;&lt;/div&gt;</t>
  </si>
  <si>
    <t>Cause a dying creature to stabilize.</t>
  </si>
  <si>
    <t>Statue</t>
  </si>
  <si>
    <t>sorcerer/wizard 7, alchemist 6, occultist 6</t>
  </si>
  <si>
    <t>V, S, M (lime, sand, and a drop of water stirred by an iron spike)</t>
  </si>
  <si>
    <t>A statue spell turns the subject to solid stone, along with any garments and equipment worn or carried. In statue form, the subject gains hardness 8. The subject retains its own hit points.  The subject can see, hear, and smell normally, but it does not need to eat or breathe. Feeling is limited to those sensations that can affect the granite-hard substance of the individual's body.  Chipping is equal to a mere scratch, but breaking off one of the statue's arms constitutes serious damage. The subject of a statue spell can return to its normal state, act, and then return instantly to the statue state (a free action) if it so desires as long as the spell duration is in effect.</t>
  </si>
  <si>
    <t>&lt;p&gt;A &lt;i&gt;statue&lt;/i&gt; spell turns the subject to solid stone, along with any garments and equipment worn or carried. In &lt;i&gt;statue&lt;/i&gt; form, the subject gains hardness 8. The subject retains its own hit points.&lt;/p&gt;&lt;p&gt;The subject can see, hear, and smell normally, but it does not need to eat or breathe. Feeling is limited to those sensations that can affect the granite-hard substance of the individual's body.&lt;/p&gt;&lt;p&gt;Chipping is equal to a mere scratch, but breaking off one of the &lt;i&gt;statue&lt;/i&gt;'s arms constitutes serious damage. The subject of a &lt;i&gt;statue&lt;/i&gt; spell can return to its normal state, act, and then return instantly to the &lt;i&gt;statue&lt;/i&gt; state (a free action) if it so desires as long as the spell duration is in effect.&lt;/p&gt;</t>
  </si>
  <si>
    <t>&lt;link rel="stylesheet"href="PF.css"&gt;&lt;div class="heading"&gt;&lt;p class="alignleft"&gt;Statue&lt;/p&gt;&lt;div style="clear: both;"&gt;&lt;/div&gt;&lt;/div&gt;&lt;div&gt;&lt;h5&gt;&lt;b&gt;School &lt;/b&gt;transmutation; &lt;b&gt;Level &lt;/b&gt;sorcerer/wizard 7, alchemist 6, occultist 6&lt;/h5&gt;&lt;/div&gt;&lt;hr/&gt;&lt;div&gt;&lt;h5&gt;&lt;b&gt;CASTING&lt;/b&gt;&lt;/h5&gt;&lt;/div&gt;&lt;hr/&gt;&lt;div&gt;&lt;h5&gt;&lt;b&gt;Casting Time &lt;/b&gt;1 round&lt;/h5&gt;&lt;h5&gt;&lt;b&gt;Components &lt;/b&gt;V, S, M (lime, sand, and a drop of water stirred by an iron spike)&lt;/h5&gt;&lt;/div&gt;&lt;hr/&gt;&lt;div&gt;&lt;h5&gt;&lt;b&gt;EFFECT&lt;/b&gt;&lt;/h5&gt;&lt;/div&gt;&lt;hr/&gt;&lt;div&gt;&lt;h5&gt;&lt;b&gt;Range &lt;/b&gt;touch&lt;/h5&gt;&lt;h5&gt;&lt;b&gt;Targets &lt;/b&gt;creature touched&lt;/h5&gt;&lt;h5&gt;&lt;b&gt;Duration &lt;/b&gt;1 hour/level (D)&lt;/h5&gt;&lt;h5&gt;&lt;b&gt;Saving Throw &lt;/b&gt;Will negates (harmless); &lt;b&gt;Spell Resistance &lt;/b&gt;yes (harmless)&lt;/h5&gt;&lt;/div&gt;&lt;hr/&gt;&lt;div&gt;&lt;h5&gt;&lt;b&gt;DESCRIPTION&lt;/b&gt;&lt;/h5&gt;&lt;/div&gt;&lt;hr/&gt;&lt;div&gt;&lt;h4&gt;&lt;p&gt;A &lt;i&gt;statue&lt;/i&gt; spell turns the subject to solid stone, along with any garments and equipment worn or carried. In &lt;i&gt;statue&lt;/i&gt; form, the subject gains hardness 8. The subject retains its own hit points.&lt;/p&gt;&lt;p&gt;The subject can see, hear, and smell normally, but it does not need to eat or breathe. Feeling is limited to those sensations that can affect the granite-hard substance of the individual's body.&lt;/p&gt;&lt;p&gt;Chipping is equal to a mere scratch, but breaking off one of the &lt;i&gt;statue&lt;/i&gt;'s arms constitutes serious damage. The subject of a &lt;i&gt;statue&lt;/i&gt; spell can return to its normal state, act, and then return instantly to the &lt;i&gt;statue&lt;/i&gt; state (a free action) if it so desires as long as the spell duration is in effect.&lt;/p&gt;&lt;/h4&gt;&lt;/div&gt;</t>
  </si>
  <si>
    <t>Artifice (8), Ruins (2)</t>
  </si>
  <si>
    <t> Subject can become a statue at will.</t>
  </si>
  <si>
    <t>Status</t>
  </si>
  <si>
    <t>cleric/oracle 2, witch 2, occultist 2, psychic 2, spiritualist 2</t>
  </si>
  <si>
    <t>one living creature touched per three levels</t>
  </si>
  <si>
    <t>When you need to keep track of comrades who may get separated, status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t>
  </si>
  <si>
    <t>&lt;p&gt;When you need to keep track of comrades who may get separated, &lt;i&gt;status&lt;/i&gt;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it.&lt;/p&gt;</t>
  </si>
  <si>
    <t>&lt;link rel="stylesheet"href="PF.css"&gt;&lt;div class="heading"&gt;&lt;p class="alignleft"&gt;Status&lt;/p&gt;&lt;div style="clear: both;"&gt;&lt;/div&gt;&lt;/div&gt;&lt;div&gt;&lt;h5&gt;&lt;b&gt;School &lt;/b&gt;divination; &lt;b&gt;Level &lt;/b&gt;cleric/oracle 2, witch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 touched per three levels&lt;/h5&gt;&lt;h5&gt;&lt;b&gt;Duration &lt;/b&gt;1 hour/level&lt;/h5&gt;&lt;h5&gt;&lt;b&gt;Saving Throw &lt;/b&gt;Will negates (harmless); &lt;b&gt;Spell Resistance &lt;/b&gt;yes (harmless)&lt;/h5&gt;&lt;/div&gt;&lt;hr/&gt;&lt;div&gt;&lt;h5&gt;&lt;b&gt;DESCRIPTION&lt;/b&gt;&lt;/h5&gt;&lt;/div&gt;&lt;hr/&gt;&lt;div&gt;&lt;h4&gt;&lt;p&gt;When you need to keep track of comrades who may get separated, &lt;i&gt;status&lt;/i&gt;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it.&lt;/p&gt;&lt;/h4&gt;&lt;/div&gt;</t>
  </si>
  <si>
    <t> Monitors condition, position of allies.</t>
  </si>
  <si>
    <t>Stinking Cloud</t>
  </si>
  <si>
    <t>magus 3, sorcerer/wizard 3, witch 3, bloodrager 3, shaman 3</t>
  </si>
  <si>
    <t>V, S, M (a rotten egg or cabbage leaves)</t>
  </si>
  <si>
    <t>Stinking cloud creates a bank of fog like that created by fog cloud, except that the vapors are nauseating. Living creatures in the cloud become nauseated. This condition lasts as long as the creature is in the cloud and for 1d4+1 rounds after it leaves.  (Roll separately for each nauseated character.) Any creature that succeeds on its save but remains in the cloud must continue to save each round on your turn. This is a poison effect.  Stinking cloud can be made permanent with a permanency spell. A permanent stinking cloud dispersed by wind reforms in 10 minutes.</t>
  </si>
  <si>
    <t>&lt;p&gt;&lt;i&gt;Stinking cloud&lt;/i&gt; creates a bank of fog like that created by &lt;i&gt;fog cloud&lt;/i&gt;, except that the vapors are nauseating. Living creatures in the cloud become nauseated. This condition lasts as long as the creature is in the cloud and for 1d4+1 rounds after it leaves.&lt;/p&gt;&lt;p&gt;(Roll separately for each nauseated character.) Any creature that succeeds on its save but remains in the cloud must continue to save each round on your turn. This is a poison effect.&lt;/p&gt;&lt;p&gt;&lt;i&gt;Stinking cloud&lt;/i&gt; can be made permanent with a &lt;i&gt;permanency&lt;/i&gt; spell. A permanent &lt;i&gt;stinking cloud&lt;/i&gt; dispersed by wind reforms in 10 minutes.&lt;/p&gt;</t>
  </si>
  <si>
    <t>&lt;link rel="stylesheet"href="PF.css"&gt;&lt;div class="heading"&gt;&lt;p class="alignleft"&gt;Stinking Cloud&lt;/p&gt;&lt;div style="clear: both;"&gt;&lt;/div&gt;&lt;/div&gt;&lt;div&gt;&lt;h5&gt;&lt;b&gt;School &lt;/b&gt;conjuration (creation); &lt;b&gt;Level &lt;/b&gt;magus 3, sorcerer/wizard 3, witch 3, bloodrager 3, shaman 3&lt;/h5&gt;&lt;/div&gt;&lt;hr/&gt;&lt;div&gt;&lt;h5&gt;&lt;b&gt;CASTING&lt;/b&gt;&lt;/h5&gt;&lt;/div&gt;&lt;hr/&gt;&lt;div&gt;&lt;h5&gt;&lt;b&gt;Casting Time &lt;/b&gt;1 standard action&lt;/h5&gt;&lt;h5&gt;&lt;b&gt;Components &lt;/b&gt;V, S, M (a rotten egg or cabbage leaves)&lt;/h5&gt;&lt;/div&gt;&lt;hr/&gt;&lt;div&gt;&lt;h5&gt;&lt;b&gt;EFFECT&lt;/b&gt;&lt;/h5&gt;&lt;/div&gt;&lt;hr/&gt;&lt;div&gt;&lt;h5&gt;&lt;b&gt;Range &lt;/b&gt;medium (100 ft. + 10 ft./level)&lt;/h5&gt;&lt;h5&gt;&lt;b&gt;Effect &lt;/b&gt;cloud spreads in 20-ft. radius, 20 ft. high&lt;/h5&gt;&lt;h5&gt;&lt;b&gt;Duration &lt;/b&gt;1 round/level&lt;/h5&gt;&lt;h5&gt;&lt;b&gt;Saving Throw &lt;/b&gt;Fortitude negates; see text; &lt;b&gt;Spell Resistance &lt;/b&gt;no&lt;/h5&gt;&lt;/div&gt;&lt;hr/&gt;&lt;div&gt;&lt;h5&gt;&lt;b&gt;DESCRIPTION&lt;/b&gt;&lt;/h5&gt;&lt;/div&gt;&lt;hr/&gt;&lt;div&gt;&lt;h4&gt;&lt;p&gt;&lt;i&gt;Stinking cloud&lt;/i&gt; creates a bank of fog like that created by &lt;i&gt;fog cloud&lt;/i&gt;, except that the vapors are nauseating. Living creatures in the cloud become nauseated. This condition lasts as long as the creature is in the cloud and for 1d4+1 rounds after it leaves.&lt;/p&gt;&lt;p&gt;(Roll separately for each nauseated character.) Any creature that succeeds on its save but remains in the cloud must continue to save each round on your turn. This is a poison effect.&lt;/p&gt;&lt;p&gt;&lt;i&gt;Stinking cloud&lt;/i&gt; can be made permanent with a &lt;i&gt;permanency&lt;/i&gt; spell. A permanent &lt;i&gt;stinking cloud&lt;/i&gt; dispersed by wind reforms in 10 minutes.&lt;/p&gt;&lt;/h4&gt;&lt;h5&gt;&lt;b&gt;Mythic: &lt;/b&gt;Creatures that succeed at their saves are sickened while they remain in the cloud and for 1d4+1 rounds after they leave. Creatures that fail their saves continue to be sickened for 1 hour after leaving the cloud.&lt;/h5&gt;&lt;/div&gt;</t>
  </si>
  <si>
    <t>Smoke (3)</t>
  </si>
  <si>
    <t> Nauseating vapors, 1 round/level.</t>
  </si>
  <si>
    <t>Creatures that succeed at their saves are sickened while they remain in the cloud and for 1d4+1 rounds after they leave. Creatures that fail their saves continue to be sickened for 1 hour after leaving the cloud.</t>
  </si>
  <si>
    <t>Stone Shape</t>
  </si>
  <si>
    <t>cleric/oracle 3, druid 3, sorcerer/wizard 4, shaman 3, occultist 3</t>
  </si>
  <si>
    <t>V, S, M/DF (soft clay)</t>
  </si>
  <si>
    <t>stone or stone object touched, up to 10 cu. ft. + 1 cu. ft./level</t>
  </si>
  <si>
    <t>You can form an existing piece of stone into any shape that suits your purpose. While it's possible to make crude coffers, doors, and so forth with stone shape, fine detail isn't possible. There is a 30% chance that any shape including moving parts simply doesn't work.</t>
  </si>
  <si>
    <t>&lt;p&gt;You can form an existing piece of stone into any shape that suits your purpose. While it's possible to make crude coffers, doors, and so forth with &lt;i&gt;stone shape&lt;/i&gt;, fine detail isn't possible. There is a 30% chance that any shape including moving parts simply doesn't work.&lt;/p&gt;</t>
  </si>
  <si>
    <t>&lt;link rel="stylesheet"href="PF.css"&gt;&lt;div class="heading"&gt;&lt;p class="alignleft"&gt;Stone Shape&lt;/p&gt;&lt;div style="clear: both;"&gt;&lt;/div&gt;&lt;/div&gt;&lt;div&gt;&lt;h5&gt;&lt;b&gt;School &lt;/b&gt;transmutation [earth]; &lt;b&gt;Level &lt;/b&gt;cleric/oracle 3, druid 3, sorcerer/wizard 4, shaman 3, occultist 3&lt;/h5&gt;&lt;/div&gt;&lt;hr/&gt;&lt;div&gt;&lt;h5&gt;&lt;b&gt;CASTING&lt;/b&gt;&lt;/h5&gt;&lt;/div&gt;&lt;hr/&gt;&lt;div&gt;&lt;h5&gt;&lt;b&gt;Casting Time &lt;/b&gt;1 standard action&lt;/h5&gt;&lt;h5&gt;&lt;b&gt;Components &lt;/b&gt;V, S, M/DF (soft clay)&lt;/h5&gt;&lt;/div&gt;&lt;hr/&gt;&lt;div&gt;&lt;h5&gt;&lt;b&gt;EFFECT&lt;/b&gt;&lt;/h5&gt;&lt;/div&gt;&lt;hr/&gt;&lt;div&gt;&lt;h5&gt;&lt;b&gt;Range &lt;/b&gt;touch&lt;/h5&gt;&lt;h5&gt;&lt;b&gt;Targets &lt;/b&gt;stone or stone object touched, up to 10 cu. ft. + 1 cu. ft./level&lt;/h5&gt;&lt;h5&gt;&lt;b&gt;Duration &lt;/b&gt;instantaneous&lt;/h5&gt;&lt;h5&gt;&lt;b&gt;Saving Throw &lt;/b&gt;none; &lt;b&gt;Spell Resistance &lt;/b&gt;no&lt;/h5&gt;&lt;/div&gt;&lt;hr/&gt;&lt;div&gt;&lt;h5&gt;&lt;b&gt;DESCRIPTION&lt;/b&gt;&lt;/h5&gt;&lt;/div&gt;&lt;hr/&gt;&lt;div&gt;&lt;h4&gt;&lt;p&gt;You can form an existing piece of stone into any shape that suits your purpose. While it's possible to make crude coffers, doors, and so forth with &lt;i&gt;stone shape&lt;/i&gt;, fine detail isn't possible. There is a 30% chance that any shape including moving parts simply doesn't work.&lt;/p&gt;&lt;/h4&gt;&lt;h5&gt;&lt;b&gt;Mythic: &lt;/b&gt;The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ends).&lt;/h5&gt;&lt;/div&gt;</t>
  </si>
  <si>
    <t>Artifice (3), Earth (3)</t>
  </si>
  <si>
    <t>Sculpts stone into any shape.</t>
  </si>
  <si>
    <t>Mountain (6)</t>
  </si>
  <si>
    <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t>
  </si>
  <si>
    <t>Stoneskin</t>
  </si>
  <si>
    <t>druid 5, sorcerer/wizard 4, alchemist 4, summoner 3, inquisitor 4, magus 4, bloodrager 4, shaman 5, occultist 4, psychic 4</t>
  </si>
  <si>
    <t>V, S, M (granite and diamond dust worth 250 gp)</t>
  </si>
  <si>
    <t>10 min./level or until discharged</t>
  </si>
  <si>
    <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t>
  </si>
  <si>
    <t>&lt;p&gt;The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discharged.&lt;/p&gt;</t>
  </si>
  <si>
    <t>&lt;link rel="stylesheet"href="PF.css"&gt;&lt;div class="heading"&gt;&lt;p class="alignleft"&gt;Stoneskin&lt;/p&gt;&lt;div style="clear: both;"&gt;&lt;/div&gt;&lt;/div&gt;&lt;div&gt;&lt;h5&gt;&lt;b&gt;School &lt;/b&gt;abjuration; &lt;b&gt;Level &lt;/b&gt;druid 5, sorcerer/wizard 4, alchemist 4, summoner 3, inquisitor 4, magus 4, bloodrager 4, shaman 5, occultist 4, psychic 4&lt;/h5&gt;&lt;/div&gt;&lt;hr/&gt;&lt;div&gt;&lt;h5&gt;&lt;b&gt;CASTING&lt;/b&gt;&lt;/h5&gt;&lt;/div&gt;&lt;hr/&gt;&lt;div&gt;&lt;h5&gt;&lt;b&gt;Casting Time &lt;/b&gt;1 standard action&lt;/h5&gt;&lt;h5&gt;&lt;b&gt;Components &lt;/b&gt;V, S, M (granite and diamond dust worth 250 gp)&lt;/h5&gt;&lt;/div&gt;&lt;hr/&gt;&lt;div&gt;&lt;h5&gt;&lt;b&gt;EFFECT&lt;/b&gt;&lt;/h5&gt;&lt;/div&gt;&lt;hr/&gt;&lt;div&gt;&lt;h5&gt;&lt;b&gt;Range &lt;/b&gt;touch&lt;/h5&gt;&lt;h5&gt;&lt;b&gt;Targets &lt;/b&gt;creature touched&lt;/h5&gt;&lt;h5&gt;&lt;b&gt;Duration &lt;/b&gt;10 min./level or until discharged&lt;/h5&gt;&lt;h5&gt;&lt;b&gt;Saving Throw &lt;/b&gt;Will negates (harmless); &lt;b&gt;Spell Resistance &lt;/b&gt;yes (harmless)&lt;/h5&gt;&lt;/div&gt;&lt;hr/&gt;&lt;div&gt;&lt;h5&gt;&lt;b&gt;DESCRIPTION&lt;/b&gt;&lt;/h5&gt;&lt;/div&gt;&lt;hr/&gt;&lt;div&gt;&lt;h4&gt;&lt;p&gt;The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discharged.&lt;/p&gt;&lt;/h4&gt;&lt;h5&gt;&lt;b&gt;Mythic: &lt;/b&gt;The target gains a +4 bonus on saving throws against disease, poison, and stun effects. There is a 50% chance any critical hit or sneak attack against the target is treated as a normal hit, as if the target were wearing medium fortification armor.&lt;/h5&gt;&lt;/div&gt;</t>
  </si>
  <si>
    <t>Earth (6), Strength (6)</t>
  </si>
  <si>
    <t>Grants DR 10/adamantine.</t>
  </si>
  <si>
    <t>Abyssal (9), Deep Earth (9), Shaitan (9)</t>
  </si>
  <si>
    <t>The target gains a +4 bonus on saving throws against disease, poison, and stun effects. There is a 50% chance any critical hit or sneak attack against the target is treated as a normal hit, as if the target were wearing medium fortification armor.</t>
  </si>
  <si>
    <t>Stone Tell</t>
  </si>
  <si>
    <t>druid 6, shaman 7, psychic 6</t>
  </si>
  <si>
    <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t>
  </si>
  <si>
    <t>&lt;p&gt;You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stone.&lt;/p&gt;</t>
  </si>
  <si>
    <t>&lt;link rel="stylesheet"href="PF.css"&gt;&lt;div class="heading"&gt;&lt;p class="alignleft"&gt;Stone Tell&lt;/p&gt;&lt;div style="clear: both;"&gt;&lt;/div&gt;&lt;/div&gt;&lt;div&gt;&lt;h5&gt;&lt;b&gt;School &lt;/b&gt;divination; &lt;b&gt;Level &lt;/b&gt;druid 6, shaman 7, psychic 6&lt;/h5&gt;&lt;/div&gt;&lt;hr/&gt;&lt;div&gt;&lt;h5&gt;&lt;b&gt;CASTING&lt;/b&gt;&lt;/h5&gt;&lt;/div&gt;&lt;hr/&gt;&lt;div&gt;&lt;h5&gt;&lt;b&gt;Casting Time &lt;/b&gt;10 minutes&lt;/h5&gt;&lt;h5&gt;&lt;b&gt;Components &lt;/b&gt;V, S, DF&lt;/h5&gt;&lt;/div&gt;&lt;hr/&gt;&lt;div&gt;&lt;h5&gt;&lt;b&gt;EFFECT&lt;/b&gt;&lt;/h5&gt;&lt;/div&gt;&lt;hr/&gt;&lt;div&gt;&lt;h5&gt;&lt;b&gt;Range &lt;/b&gt;personal&lt;/h5&gt;&lt;h5&gt;&lt;b&gt;Targets &lt;/b&gt;you&lt;/h5&gt;&lt;h5&gt;&lt;b&gt;Duration &lt;/b&gt;1 min./level&lt;/h5&gt;&lt;/div&gt;&lt;hr/&gt;&lt;div&gt;&lt;h5&gt;&lt;b&gt;DESCRIPTION&lt;/b&gt;&lt;/h5&gt;&lt;/div&gt;&lt;hr/&gt;&lt;div&gt;&lt;h4&gt;&lt;p&gt;You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stone.&lt;/p&gt;&lt;/h4&gt;&lt;/div&gt;</t>
  </si>
  <si>
    <t>Ruins (6)</t>
  </si>
  <si>
    <t> Talk to natural or worked stone.</t>
  </si>
  <si>
    <t>Deep Earth (13)</t>
  </si>
  <si>
    <t>Mountain (14)</t>
  </si>
  <si>
    <t>Stone to Flesh</t>
  </si>
  <si>
    <t>V, S, M (a drop of blood mixed with earth)</t>
  </si>
  <si>
    <t>one petrified creature or a cylinder of stone from 1 ft. to 3 ft. in diameter and up to 10 ft. long</t>
  </si>
  <si>
    <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t>
  </si>
  <si>
    <t>&lt;p&gt;This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stone.&lt;/p&gt;</t>
  </si>
  <si>
    <t>&lt;link rel="stylesheet"href="PF.css"&gt;&lt;div class="heading"&gt;&lt;p class="alignleft"&gt;Stone to Flesh&lt;/p&gt;&lt;div style="clear: both;"&gt;&lt;/div&gt;&lt;/div&gt;&lt;div&gt;&lt;h5&gt;&lt;b&gt;School &lt;/b&gt;transmutation; &lt;b&gt;Level &lt;/b&gt;sorcerer/wizard 6, witch 6, magus 6, shaman 6&lt;/h5&gt;&lt;/div&gt;&lt;hr/&gt;&lt;div&gt;&lt;h5&gt;&lt;b&gt;CASTING&lt;/b&gt;&lt;/h5&gt;&lt;/div&gt;&lt;hr/&gt;&lt;div&gt;&lt;h5&gt;&lt;b&gt;Casting Time &lt;/b&gt;1 standard action&lt;/h5&gt;&lt;h5&gt;&lt;b&gt;Components &lt;/b&gt;V, S, M (a drop of blood mixed with earth)&lt;/h5&gt;&lt;/div&gt;&lt;hr/&gt;&lt;div&gt;&lt;h5&gt;&lt;b&gt;EFFECT&lt;/b&gt;&lt;/h5&gt;&lt;/div&gt;&lt;hr/&gt;&lt;div&gt;&lt;h5&gt;&lt;b&gt;Range &lt;/b&gt;medium (100 ft. + 10 ft./level)&lt;/h5&gt;&lt;h5&gt;&lt;b&gt;Targets &lt;/b&gt;one petrified creature or a cylinder of stone from 1 ft. to 3 ft. in diameter and up to 10 ft. long&lt;/h5&gt;&lt;h5&gt;&lt;b&gt;Duration &lt;/b&gt;instantaneous&lt;/h5&gt;&lt;h5&gt;&lt;b&gt;Saving Throw &lt;/b&gt;Fortitude negates (object); see text; &lt;b&gt;Spell Resistance &lt;/b&gt;yes&lt;/h5&gt;&lt;/div&gt;&lt;hr/&gt;&lt;div&gt;&lt;h5&gt;&lt;b&gt;DESCRIPTION&lt;/b&gt;&lt;/h5&gt;&lt;/div&gt;&lt;hr/&gt;&lt;div&gt;&lt;h4&gt;&lt;p&gt;This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stone.&lt;/p&gt;&lt;/h4&gt;&lt;/div&gt;</t>
  </si>
  <si>
    <t> Restores petrified creature.</t>
  </si>
  <si>
    <t>Storm Of Vengeance</t>
  </si>
  <si>
    <t>cleric/oracle 9, druid 9, witch 9, shaman 9</t>
  </si>
  <si>
    <t>360-ft.-radius storm cloud</t>
  </si>
  <si>
    <t>concentration (maximum 10 rounds) (D)</t>
  </si>
  <si>
    <t>You create a huge black storm cloud in the air. Each creature under the cloud must succeed on a Fortitude save or be deafened for 1d4 x 10 minutes. Each round you continue to concentrate, the spell generates additional effects as noted below. Each effect occurs on your turn. 2nd Round: Acid rains down in the area, dealing 1d6 points of acid damage (no save). 3rd Round: You call six bolts of lightning down from the cloud. You decide where the bolts strike. No two bolts may be directed at the same target. Each bolt deals 10d6 points of electricity damage. A creature struck can attempt a Reflex save for half damage. 4th Round: Hailstones rain down in the area, dealing 5d6 points of bludgeoning damage (no save). 5th through 10th Rounds: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 Ranged attacks within the area of the storm are impossible. Spells cast within the area are disrupted unless the caster succeeds on a Concentration check against a DC equal to the storm of vengeance's save DC + the level of the spell the caster is trying to cast.</t>
  </si>
  <si>
    <t>&lt;p&gt;You create a huge black storm cloud in the air. Each creature under the cloud must succeed on a Fortitude save or be deafened for 1d4 x 10 minutes. Each round you continue to concentrate, the spell generates additional effects as noted below. Each effect occurs on your turn.&lt;/p&gt;&lt;p&gt;&lt;i&gt;2nd Round&lt;/i&gt;: Acid rains down in the area, dealing 1d6 points of acid damage (no save).&lt;/p&gt;&lt;p&gt;&lt;i&gt;3rd Round&lt;/i&gt;: You call six bolts of lightning down from the cloud.&lt;/p&gt;&lt;p&gt;You decide where the bolts strike. No two bolts may be directed at the same target. Each bolt deals 10d6 points of electricity damage. A creature struck can attempt a Reflex save for half damage.&lt;/p&gt;&lt;p&gt;&lt;i&gt;4th Round&lt;/i&gt;: Hailstones rain down in the area, dealing 5d6 points of bludgeoning damage (no save).&lt;/p&gt;&lt;p&gt;&lt;i&gt;5th through 10th Rounds&lt;/i&gt;: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three-quarters.&lt;/p&gt;&lt;p&gt;Ranged attacks within the area of the storm are impossible. Spells cast within the area are disrupted unless the caster succeeds on a Concentration check against a DC equal to the &lt;i&gt;storm of&lt;/i&gt; vengeance's save DC + the level of the spell the caster is trying to cast.&lt;/p&gt;</t>
  </si>
  <si>
    <t>&lt;link rel="stylesheet"href="PF.css"&gt;&lt;div class="heading"&gt;&lt;p class="alignleft"&gt;Storm Of Vengeance&lt;/p&gt;&lt;div style="clear: both;"&gt;&lt;/div&gt;&lt;/div&gt;&lt;div&gt;&lt;h5&gt;&lt;b&gt;School &lt;/b&gt;conjuration (summoning); &lt;b&gt;Level &lt;/b&gt;cleric/oracle 9, druid 9, witch 9, shaman 9&lt;/h5&gt;&lt;/div&gt;&lt;hr/&gt;&lt;div&gt;&lt;h5&gt;&lt;b&gt;CASTING&lt;/b&gt;&lt;/h5&gt;&lt;/div&gt;&lt;hr/&gt;&lt;div&gt;&lt;h5&gt;&lt;b&gt;Casting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ft./level)&lt;/h5&gt;&lt;h5&gt;&lt;b&gt;Effect &lt;/b&gt;360-ft.-radius storm cloud&lt;/h5&gt;&lt;h5&gt;&lt;b&gt;Duration &lt;/b&gt;concentration (maximum 10 rounds) (D)&lt;/h5&gt;&lt;h5&gt;&lt;b&gt;Saving Throw &lt;/b&gt;see text; &lt;b&gt;Spell Resistance &lt;/b&gt;yes&lt;/h5&gt;&lt;/div&gt;&lt;hr/&gt;&lt;div&gt;&lt;h5&gt;&lt;b&gt;DESCRIPTION&lt;/b&gt;&lt;/h5&gt;&lt;/div&gt;&lt;hr/&gt;&lt;div&gt;&lt;h4&gt;&lt;p&gt;You create a huge black storm cloud in the air. Each creature under the cloud must succeed on a Fortitude save or be deafened for 1d4 x 10 minutes. Each round you continue to concentrate, the spell generates additional effects as noted below. Each effect occurs on your turn.&lt;/p&gt;&lt;p&gt;&lt;i&gt;2nd Round&lt;/i&gt;: Acid rains down in the area, dealing 1d6 points of acid damage (no save).&lt;/p&gt;&lt;p&gt;&lt;i&gt;3rd Round&lt;/i&gt;: You call six bolts of lightning down from the cloud.&lt;/p&gt;&lt;p&gt;You decide where the bolts strike. No two bolts may be directed at the same target. Each bolt deals 10d6 points of electricity damage. A creature struck can attempt a Reflex save for half damage.&lt;/p&gt;&lt;p&gt;&lt;i&gt;4th Round&lt;/i&gt;: Hailstones rain down in the area, dealing 5d6 points of bludgeoning damage (no save).&lt;/p&gt;&lt;p&gt;&lt;i&gt;5th through 10th Rounds&lt;/i&gt;: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three-quarters.&lt;/p&gt;&lt;p&gt;Ranged attacks within the area of the storm are impossible. Spells cast within the area are disrupted unless the caster succeeds on a Concentration check against a DC equal to the &lt;i&gt;storm of&lt;/i&gt; vengeance's save DC + the level of the spell the caster is trying to cast.&lt;/p&gt;&lt;/h4&gt;&lt;h5&gt;&lt;b&gt;Mythic: &lt;/b&gt;The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 per round.&lt;/h5&gt;&lt;h5&gt;&lt;b&gt;Augmented (7th)&lt;/b&gt;: If you expend three uses of mythic power, the storm cloud's radius increases to 1,000 feet. Structures in the storm take 1d10 points of damage per round (this damage bypasses hardness). You can call down one additional bolt in the 2nd and 4th rounds, and three additional bolts in the 3rd round.&lt;/h5&gt;&lt;/div&gt;</t>
  </si>
  <si>
    <t>Cloud (9), Nobility (9), Weather (9)</t>
  </si>
  <si>
    <t>Storm rains acid, lightning, and hail.</t>
  </si>
  <si>
    <t>Stormborn (19)</t>
  </si>
  <si>
    <t>Storms (18)</t>
  </si>
  <si>
    <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 per round.</t>
  </si>
  <si>
    <t>Augmented (7th): If you expend three uses of mythic power, the storm cloud's radius increases to 1,000 feet. Structures in the storm take 1d10 points of damage per round (this damage bypasses hardness). You can call down one additional bolt in the 2nd and 4th rounds, and three additional bolts in the 3rd round.</t>
  </si>
  <si>
    <t>Suggestion</t>
  </si>
  <si>
    <t>bard 2, sorcerer/wizard 3, witch 3, occultist 3, psychic 2, mesmerist 2</t>
  </si>
  <si>
    <t>V, M (a snake's tongue and a honeycomb)</t>
  </si>
  <si>
    <t>1 hour/level or until completed</t>
  </si>
  <si>
    <t>You influence the actions of the target creature by suggesting a course of activity (limited to a sentence or two). The suggestion must be worded in such a manner as to make the activity sound reasonable. Asking the creature to do some obviously harmful act automatically negates the effect of the spell.  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  A very reasonable suggestion causes the save to be made with a penalty (such as -1 or -2).</t>
  </si>
  <si>
    <t>&lt;p&gt;You influence the actions of the target creature by suggesting a course of activity (limited to a sentence or two). The &lt;i&gt;suggestion&lt;/i&gt; must be worded in such a manner as to make the activity sound reasonable. Asking the creature to do some obviously harmful act automatically negates the effect of the spell.&lt;/p&gt;&lt;p&gt;The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performed.&lt;/p&gt;&lt;p&gt;A very reasonable &lt;i&gt;suggestion&lt;/i&gt; causes the save to be made with a penalty (such as -1 or -2).&lt;/p&gt;</t>
  </si>
  <si>
    <t>&lt;link rel="stylesheet"href="PF.css"&gt;&lt;div class="heading"&gt;&lt;p class="alignleft"&gt;Suggestion&lt;/p&gt;&lt;div style="clear: both;"&gt;&lt;/div&gt;&lt;/div&gt;&lt;div&gt;&lt;h5&gt;&lt;b&gt;School &lt;/b&gt;enchantment (compulsion) [language-dependent, mind-affecting]; &lt;b&gt;Level &lt;/b&gt;bard 2, sorcerer/wizard 3, witch 3, occultist 3, psychic 2, mesmerist 2&lt;/h5&gt;&lt;/div&gt;&lt;hr/&gt;&lt;div&gt;&lt;h5&gt;&lt;b&gt;CASTING&lt;/b&gt;&lt;/h5&gt;&lt;/div&gt;&lt;hr/&gt;&lt;div&gt;&lt;h5&gt;&lt;b&gt;Casting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&lt;/b&gt;close (25 ft. + 5 ft./2 levels)&lt;/h5&gt;&lt;h5&gt;&lt;b&gt;Targets &lt;/b&gt;one living creature&lt;/h5&gt;&lt;h5&gt;&lt;b&gt;Duration &lt;/b&gt;1 hour/level or until completed&lt;/h5&gt;&lt;h5&gt;&lt;b&gt;Saving Throw &lt;/b&gt;Will negates; &lt;b&gt;Spell Resistance &lt;/b&gt;yes&lt;/h5&gt;&lt;/div&gt;&lt;hr/&gt;&lt;div&gt;&lt;h5&gt;&lt;b&gt;DESCRIPTION&lt;/b&gt;&lt;/h5&gt;&lt;/div&gt;&lt;hr/&gt;&lt;div&gt;&lt;h4&gt;&lt;p&gt;You influence the actions of the target creature by suggesting a course of activity (limited to a sentence or two). The &lt;i&gt;suggestion&lt;/i&gt; must be worded in such a manner as to make the activity sound reasonable. Asking the creature to do some obviously harmful act automatically negates the effect of the spell.&lt;/p&gt;&lt;p&gt;The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performed.&lt;/p&gt;&lt;p&gt;A very reasonable &lt;i&gt;suggestion&lt;/i&gt; causes the save to be made with a penalty (such as -1 or -2).&lt;/p&gt;&lt;/h4&gt;&lt;h5&gt;&lt;b&gt;Mythic: &lt;/b&gt;Mythic suggestion loses the language-dependent descriptor, and can target one or more living creatures in a 10-foot-radius burst.&lt;/h5&gt;&lt;/div&gt;</t>
  </si>
  <si>
    <t>Charm (3), Devil (3), Corruption (2), Innuendo (3)</t>
  </si>
  <si>
    <t>Compels subject to follow stated course of action.</t>
  </si>
  <si>
    <t>Infernal (7), Maestro (7), Rakshasa (7)</t>
  </si>
  <si>
    <t>Mythic suggestion loses the language-dependent descriptor, and can target one or more living creatures in a 10-foot-radius burst.</t>
  </si>
  <si>
    <t>Suggestion, Mass</t>
  </si>
  <si>
    <t>bard 5, sorcerer/wizard 6, witch 6, occultist 5, psychic 5, mesmerist 5</t>
  </si>
  <si>
    <t>This spell functions like suggestion, except that it can affect more creatures. The same suggestion applies to all these creatures.</t>
  </si>
  <si>
    <t>&lt;p&gt;This spell functions like &lt;i&gt;&lt;i&gt;suggestion&lt;/i&gt;,&lt;/i&gt; except that it can affect more creatures. The same &lt;i&gt;suggestion&lt;/i&gt; applies to all these creatures.&lt;/p&gt;</t>
  </si>
  <si>
    <t>&lt;link rel="stylesheet"href="PF.css"&gt;&lt;div class="heading"&gt;&lt;p class="alignleft"&gt;Suggestion, Mass&lt;/p&gt;&lt;div style="clear: both;"&gt;&lt;/div&gt;&lt;/div&gt;&lt;div&gt;&lt;h5&gt;&lt;b&gt;School &lt;/b&gt;enchantment (compulsion) [language-dependent, mind-affecting]; &lt;b&gt;Level &lt;/b&gt;bard 5, sorcerer/wizard 6, witch 6, occultist 5, psychic 5, mesmerist 5&lt;/h5&gt;&lt;/div&gt;&lt;hr/&gt;&lt;div&gt;&lt;h5&gt;&lt;b&gt;CASTING&lt;/b&gt;&lt;/h5&gt;&lt;/div&gt;&lt;hr/&gt;&lt;div&gt;&lt;h5&gt;&lt;b&gt;Casting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&lt;/b&gt;medium (100 ft. + 10 ft./level)&lt;/h5&gt;&lt;h5&gt;&lt;b&gt;Targets &lt;/b&gt;one creature/level, no two of which can be more than 30 ft. apart&lt;/h5&gt;&lt;h5&gt;&lt;b&gt;Duration &lt;/b&gt;1 hour/level or until completed&lt;/h5&gt;&lt;h5&gt;&lt;b&gt;Saving Throw &lt;/b&gt;Will negates; &lt;b&gt;Spell Resistance &lt;/b&gt;yes&lt;/h5&gt;&lt;/div&gt;&lt;hr/&gt;&lt;div&gt;&lt;h5&gt;&lt;b&gt;DESCRIPTION&lt;/b&gt;&lt;/h5&gt;&lt;/div&gt;&lt;hr/&gt;&lt;div&gt;&lt;h4&gt;&lt;p&gt;This spell functions like &lt;i&gt;&lt;i&gt;suggestion&lt;/i&gt;,&lt;/i&gt; except that it can affect more creatures. The same &lt;i&gt;suggestion&lt;/i&gt; applies to all these creatures.&lt;/p&gt;&lt;/h4&gt;&lt;/div&gt;</t>
  </si>
  <si>
    <t>Innuendo (6)</t>
  </si>
  <si>
    <t>As suggestion, affects subject/level.</t>
  </si>
  <si>
    <t>Maestro (13), Rakshasa (13), Serpentine (13)</t>
  </si>
  <si>
    <t>Summon Instrument</t>
  </si>
  <si>
    <t>bard 0</t>
  </si>
  <si>
    <t>one summoned handheld musical instrument</t>
  </si>
  <si>
    <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  The summoned instrument disappears at the end of this spell.</t>
  </si>
  <si>
    <t>&lt;p&gt;This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hands.&lt;/p&gt;&lt;p&gt;The summoned instrument disappears at the end of this spell.&lt;/p&gt;</t>
  </si>
  <si>
    <t>&lt;link rel="stylesheet"href="PF.css"&gt;&lt;div class="heading"&gt;&lt;p class="alignleft"&gt;Summon Instrument&lt;/p&gt;&lt;div style="clear: both;"&gt;&lt;/div&gt;&lt;/div&gt;&lt;div&gt;&lt;h5&gt;&lt;b&gt;School &lt;/b&gt;conjuration (summoning); &lt;b&gt;Level &lt;/b&gt;bard 0&lt;/h5&gt;&lt;/div&gt;&lt;hr/&gt;&lt;div&gt;&lt;h5&gt;&lt;b&gt;CASTING&lt;/b&gt;&lt;/h5&gt;&lt;/div&gt;&lt;hr/&gt;&lt;div&gt;&lt;h5&gt;&lt;b&gt;Casting Time &lt;/b&gt;1 round&lt;/h5&gt;&lt;h5&gt;&lt;b&gt;Components &lt;/b&gt;V, S&lt;/h5&gt;&lt;/div&gt;&lt;hr/&gt;&lt;div&gt;&lt;h5&gt;&lt;b&gt;EFFECT&lt;/b&gt;&lt;/h5&gt;&lt;/div&gt;&lt;hr/&gt;&lt;div&gt;&lt;h5&gt;&lt;b&gt;Range &lt;/b&gt;0 ft.&lt;/h5&gt;&lt;h5&gt;&lt;b&gt;Effect &lt;/b&gt;one summoned handheld musical instrument&lt;/h5&gt;&lt;h5&gt;&lt;b&gt;Duration &lt;/b&gt;1 min./level (D)&lt;/h5&gt;&lt;h5&gt;&lt;b&gt;Saving Throw &lt;/b&gt;none; &lt;b&gt;Spell Resistance &lt;/b&gt;no&lt;/h5&gt;&lt;/div&gt;&lt;hr/&gt;&lt;div&gt;&lt;h5&gt;&lt;b&gt;DESCRIPTION&lt;/b&gt;&lt;/h5&gt;&lt;/div&gt;&lt;hr/&gt;&lt;div&gt;&lt;h4&gt;&lt;p&gt;This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hands.&lt;/p&gt;&lt;p&gt;The summoned instrument disappears at the end of this spell.&lt;/p&gt;&lt;/h4&gt;&lt;/div&gt;</t>
  </si>
  <si>
    <t> Summons one musical instrument.</t>
  </si>
  <si>
    <t>Summon Monster I</t>
  </si>
  <si>
    <t>bard 1, cleric/oracle 1, sorcerer/wizard 1, summoner 1, witch 1, antipaladin 1, psychic 1, spiritualist 1</t>
  </si>
  <si>
    <t>V, S, F/DF (a tiny bag and a small candle)</t>
  </si>
  <si>
    <t>one summoned creature</t>
  </si>
  <si>
    <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Level list on Table 10-1. You choose which kind of creature to summon, and you can choose a different one each time you cast the spell.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wish).  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  Summoning these creatures makes the summoning spell's type match your alignment.</t>
  </si>
  <si>
    <t>&lt;p&gt;This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&lt;b&gt;Level&lt;/b&gt; list on Table 10-1. You choose which kind of creature to summon, and you can choose a different one each time you cast the spell.&lt;/p&gt;&lt;p&gt;A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&lt;i&gt;wish).&lt;/i&gt;&lt;/p&gt;&lt;p&gt;When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alignment.&lt;/p&gt;&lt;p&gt;Summoning these creatures makes the summoning spell's type match your alignment.&lt;/p&gt;</t>
  </si>
  <si>
    <t>&lt;link rel="stylesheet"href="PF.css"&gt;&lt;div class="heading"&gt;&lt;p class="alignleft"&gt;Summon Monster I&lt;/p&gt;&lt;div style="clear: both;"&gt;&lt;/div&gt;&lt;/div&gt;&lt;div&gt;&lt;h5&gt;&lt;b&gt;School &lt;/b&gt;conjuration (summoning) [see text]; &lt;b&gt;Level &lt;/b&gt;bard 1, cleric/oracle 1, sorcerer/wizard 1, summoner 1, witch 1, antipaladin 1, psychic 1, spiritualist 1&lt;/h5&gt;&lt;/div&gt;&lt;hr/&gt;&lt;div&gt;&lt;h5&gt;&lt;b&gt;CASTING&lt;/b&gt;&lt;/h5&gt;&lt;/div&gt;&lt;hr/&gt;&lt;div&gt;&lt;h5&gt;&lt;b&gt;Casting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&lt;b&gt;Level&lt;/b&gt; list on Table 10-1. You choose which kind of creature to summon, and you can choose a different one each time you cast the spell.&lt;/p&gt;&lt;p&gt;A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&lt;i&gt;wish).&lt;/i&gt;&lt;/p&gt;&lt;p&gt;When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alignment.&lt;/p&gt;&lt;p&gt;Summoning these creatures makes the summoning spell's type match your alignment.&lt;/p&gt;&lt;/h4&gt;&lt;/div&gt;</t>
  </si>
  <si>
    <t>(Evil creatures only.) Summons extraplanar creature to fight for you.</t>
  </si>
  <si>
    <t>Summon Monster II</t>
  </si>
  <si>
    <t>bard 2, cleric/oracle 2, sorcerer/wizard 2, summoner 2, witch 2, antipaladin 2, psychic 2, spiritualist 2</t>
  </si>
  <si>
    <t>This spell functions like summon monster I, except that you can summon one creature from the 2nd-level list or 1d3 creatures of the same kind from the 1st-level list.</t>
  </si>
  <si>
    <t>&lt;p&gt;This spell functions like &lt;i&gt;summon monster I,&lt;/i&gt; except that you can summon one creature from the 2nd-level list or 1d3 creatures of the same kind from the 1st-level list.&lt;/p&gt;</t>
  </si>
  <si>
    <t>&lt;link rel="stylesheet"href="PF.css"&gt;&lt;div class="heading"&gt;&lt;p class="alignleft"&gt;Summon Monster II&lt;/p&gt;&lt;div style="clear: both;"&gt;&lt;/div&gt;&lt;/div&gt;&lt;div&gt;&lt;h5&gt;&lt;b&gt;School &lt;/b&gt;conjuration (summoning); &lt;b&gt;Level &lt;/b&gt;bard 2, cleric/oracle 2, sorcerer/wizard 2, summoner 2, witch 2, antipaladin 2, psychic 2, spiritualist 2&lt;/h5&gt;&lt;/div&gt;&lt;hr/&gt;&lt;div&gt;&lt;h5&gt;&lt;b&gt;CASTING&lt;/b&gt;&lt;/h5&gt;&lt;/div&gt;&lt;hr/&gt;&lt;div&gt;&lt;h5&gt;&lt;b&gt;Casting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2nd-level list or 1d3 creatures of the same kind from the 1st-level list.&lt;/p&gt;&lt;/h4&gt;&lt;/div&gt;</t>
  </si>
  <si>
    <t>Dark Tapestry (2)</t>
  </si>
  <si>
    <t>Summon Monster III</t>
  </si>
  <si>
    <t>bard 3, cleric/oracle 3, sorcerer/wizard 3, witch 3, antipaladin 3, psychic 3, spiritualist 3</t>
  </si>
  <si>
    <t>This spell functions like summon monster I, except that you can summon one creature from the 3rd-level list, 1d3 creatures of the same kind from the 2nd-level list, or 1d4+1 creatures of the same kind from the 1st-level list.</t>
  </si>
  <si>
    <t>&lt;p&gt;This spell functions like &lt;i&gt;summon monster I,&lt;/i&gt; except that you can summon one creature from the 3rd-level list, 1d3 creatures of the same kind from the 2nd-level list, or 1d4+1 creatures of the same kind from the 1st-level list.&lt;/p&gt;</t>
  </si>
  <si>
    <t>&lt;link rel="stylesheet"href="PF.css"&gt;&lt;div class="heading"&gt;&lt;p class="alignleft"&gt;Summon Monster III&lt;/p&gt;&lt;div style="clear: both;"&gt;&lt;/div&gt;&lt;/div&gt;&lt;div&gt;&lt;h5&gt;&lt;b&gt;School &lt;/b&gt;conjuration (summoning); &lt;b&gt;Level &lt;/b&gt;bard 3, cleric/oracle 3, sorcerer/wizard 3, witch 3, antipaladin 3, psychic 3, spiritualist 3&lt;/h5&gt;&lt;/div&gt;&lt;hr/&gt;&lt;div&gt;&lt;h5&gt;&lt;b&gt;CASTING&lt;/b&gt;&lt;/h5&gt;&lt;/div&gt;&lt;hr/&gt;&lt;div&gt;&lt;h5&gt;&lt;b&gt;Casting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3rd-level list, 1d3 creatures of the same kind from the 2nd-level list, or 1d4+1 creatures of the same kind from the 1st-level list.&lt;/p&gt;&lt;/h4&gt;&lt;/div&gt;</t>
  </si>
  <si>
    <t>Serpentine (7)</t>
  </si>
  <si>
    <t>Summon Monster IV</t>
  </si>
  <si>
    <t>bard 4, cleric/oracle 4, sorcerer/wizard 4, summoner 3, witch 4, antipaladin 4, psychic 4, spiritualist 4</t>
  </si>
  <si>
    <t>This spell functions like summon monster I, except that you can summon one creature from the 4th-level list, 1d3 creatures of the same kind from the 3rd-level list, or 1d4+1 creatures of the same kind from a lower-level list.</t>
  </si>
  <si>
    <t>&lt;p&gt;This spell functions like &lt;i&gt;summon monster I,&lt;/i&gt; except that you can summon one creature from the 4th-level list, 1d3 creatures of the same kind from the 3rd-level list, or 1d4+1 creatures of the same kind from a lower-level list.&lt;/p&gt;</t>
  </si>
  <si>
    <t>&lt;link rel="stylesheet"href="PF.css"&gt;&lt;div class="heading"&gt;&lt;p class="alignleft"&gt;Summon Monster IV&lt;/p&gt;&lt;div style="clear: both;"&gt;&lt;/div&gt;&lt;/div&gt;&lt;div&gt;&lt;h5&gt;&lt;b&gt;School &lt;/b&gt;conjuration (summoning); &lt;b&gt;Level &lt;/b&gt;bard 4, cleric/oracle 4, sorcerer/wizard 4, summoner 3, witch 4, antipaladin 4, psychic 4, spiritualist 4&lt;/h5&gt;&lt;/div&gt;&lt;hr/&gt;&lt;div&gt;&lt;h5&gt;&lt;b&gt;CASTING&lt;/b&gt;&lt;/h5&gt;&lt;/div&gt;&lt;hr/&gt;&lt;div&gt;&lt;h5&gt;&lt;b&gt;Casting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4th-level list, 1d3 creatures of the same kind from the 3rd-level list, or 1d4+1 creatures of the same kind from a lower-level list.&lt;/p&gt;&lt;/h4&gt;&lt;/div&gt;</t>
  </si>
  <si>
    <t>Dark Tapestry (5)</t>
  </si>
  <si>
    <t>Summon Monster V</t>
  </si>
  <si>
    <t>bard 5, cleric/oracle 5, sorcerer/wizard 5, summoner 4, witch 5, psychic 5, spiritualist 5</t>
  </si>
  <si>
    <t>This spell functions like summon monster I, except that you can summon one creature from the 5th-level list, 1d3 creatures of the same kind from the 4th-level list, or 1d4+1 creatures of the same kind from a lower-level list.</t>
  </si>
  <si>
    <t>&lt;p&gt;This spell functions like &lt;i&gt;summon monster I,&lt;/i&gt; except that you can summon one creature from the 5th-level list, 1d3 creatures of the same kind from the 4th-level list, or 1d4+1 creatures of the same kind from a lower-level list.&lt;/p&gt;</t>
  </si>
  <si>
    <t>&lt;link rel="stylesheet"href="PF.css"&gt;&lt;div class="heading"&gt;&lt;p class="alignleft"&gt;Summon Monster V&lt;/p&gt;&lt;div style="clear: both;"&gt;&lt;/div&gt;&lt;/div&gt;&lt;div&gt;&lt;h5&gt;&lt;b&gt;School &lt;/b&gt;conjuration (summoning); &lt;b&gt;Level &lt;/b&gt;bard 5, cleric/oracle 5, sorcerer/wizard 5, summoner 4, witch 5, psychic 5, spiritualist 5&lt;/h5&gt;&lt;/div&gt;&lt;hr/&gt;&lt;div&gt;&lt;h5&gt;&lt;b&gt;CASTING&lt;/b&gt;&lt;/h5&gt;&lt;/div&gt;&lt;hr/&gt;&lt;div&gt;&lt;h5&gt;&lt;b&gt;Casting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5th-level list, 1d3 creatures of the same kind from the 4th-level list, or 1d4+1 creatures of the same kind from a lower-level list.&lt;/p&gt;&lt;/h4&gt;&lt;/div&gt;</t>
  </si>
  <si>
    <t>Darkness (5)</t>
  </si>
  <si>
    <t>Summons extraplanar creature to fight for you.</t>
  </si>
  <si>
    <t>Summon Monster VI</t>
  </si>
  <si>
    <t>bard 6, cleric/oracle 6, sorcerer/wizard 6, witch 6, psychic 6, spiritualist 6</t>
  </si>
  <si>
    <t>This spell functions like summon monster I, except you can summon one creature from the 6th-level list, 1d3 creatures of the same kind from the 5th-level list, or 1d4+1 creatures of the same kind from a lower-level list.</t>
  </si>
  <si>
    <t>&lt;p&gt;This spell functions like &lt;i&gt;summon monster I,&lt;/i&gt; except you can summon one creature from the 6th-level list, 1d3 creatures of the same kind from the 5th-level list, or 1d4+1 creatures of the same kind from a lower-level list.&lt;/p&gt;</t>
  </si>
  <si>
    <t>&lt;link rel="stylesheet"href="PF.css"&gt;&lt;div class="heading"&gt;&lt;p class="alignleft"&gt;Summon Monster VI&lt;/p&gt;&lt;div style="clear: both;"&gt;&lt;/div&gt;&lt;/div&gt;&lt;div&gt;&lt;h5&gt;&lt;b&gt;School &lt;/b&gt;conjuration (summoning); &lt;b&gt;Level &lt;/b&gt;bard 6, cleric/oracle 6, sorcerer/wizard 6, witch 6, psychic 6, spiritualist 6&lt;/h5&gt;&lt;/div&gt;&lt;hr/&gt;&lt;div&gt;&lt;h5&gt;&lt;b&gt;CASTING&lt;/b&gt;&lt;/h5&gt;&lt;/div&gt;&lt;hr/&gt;&lt;div&gt;&lt;h5&gt;&lt;b&gt;Casting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you can summon one creature from the 6th-level list, 1d3 creatures of the same kind from the 5th-level list, or 1d4+1 creatures of the same kind from a lower-level list.&lt;/p&gt;&lt;/h4&gt;&lt;/div&gt;</t>
  </si>
  <si>
    <t>Summon Monster VIII</t>
  </si>
  <si>
    <t>cleric/oracle 8, sorcerer/wizard 8, witch 8, summoner 6, psychic 8</t>
  </si>
  <si>
    <t>This spell functions like summon monster I, except that you can summon one creature from the 8th-level list, 1d3 creatures of the same kind from the 7th-level list, or 1d4+1 creatures of the same kind from a lower-level list.</t>
  </si>
  <si>
    <t>&lt;p&gt;This spell functions like &lt;i&gt;summon monster I,&lt;/i&gt; except that you can summon one creature from the 8th-level list, 1d3 creatures of the same kind from the 7th-level list, or 1d4+1 creatures of the same kind from a lower-level list.&lt;/p&gt;</t>
  </si>
  <si>
    <t>&lt;link rel="stylesheet"href="PF.css"&gt;&lt;div class="heading"&gt;&lt;p class="alignleft"&gt;Summon Monster VIII&lt;/p&gt;&lt;div style="clear: both;"&gt;&lt;/div&gt;&lt;/div&gt;&lt;div&gt;&lt;h5&gt;&lt;b&gt;School &lt;/b&gt;conjuration (summoning); &lt;b&gt;Level &lt;/b&gt;cleric/oracle 8, sorcerer/wizard 8, witch 8, summoner 6, psychic 8&lt;/h5&gt;&lt;/div&gt;&lt;hr/&gt;&lt;div&gt;&lt;h5&gt;&lt;b&gt;CASTING&lt;/b&gt;&lt;/h5&gt;&lt;/div&gt;&lt;hr/&gt;&lt;div&gt;&lt;h5&gt;&lt;b&gt;Casting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8th-level list, 1d3 creatures of the same kind from the 7th-level list, or 1d4+1 creatures of the same kind from a lower-level list.&lt;/p&gt;&lt;/h4&gt;&lt;/div&gt;</t>
  </si>
  <si>
    <t>Elemental (17)</t>
  </si>
  <si>
    <t>Summon Monster VII</t>
  </si>
  <si>
    <t>cleric/oracle 7, sorcerer/wizard 7, summoner 5, witch 7, psychic 7</t>
  </si>
  <si>
    <t>This spell functions like summon monster I, except that you can summon one creature from the 7th-level list, 1d3 creatures of the same kind from the 6th-level list, or 1d4+1 creatures of the same kind from a lower-level list.</t>
  </si>
  <si>
    <t>&lt;p&gt;This spell functions like &lt;i&gt;summon monster I,&lt;/i&gt; except that you can summon one creature from the 7th-level list, 1d3 creatures of the same kind from the 6th-level list, or 1d4+1 creatures of the same kind from a lower-level list.&lt;/p&gt;</t>
  </si>
  <si>
    <t>&lt;link rel="stylesheet"href="PF.css"&gt;&lt;div class="heading"&gt;&lt;p class="alignleft"&gt;Summon Monster VII&lt;/p&gt;&lt;div style="clear: both;"&gt;&lt;/div&gt;&lt;/div&gt;&lt;div&gt;&lt;h5&gt;&lt;b&gt;School &lt;/b&gt;conjuration (summoning); &lt;b&gt;Level &lt;/b&gt;cleric/oracle 7, sorcerer/wizard 7, summoner 5, witch 7, psychic 7&lt;/h5&gt;&lt;/div&gt;&lt;hr/&gt;&lt;div&gt;&lt;h5&gt;&lt;b&gt;CASTING&lt;/b&gt;&lt;/h5&gt;&lt;/div&gt;&lt;hr/&gt;&lt;div&gt;&lt;h5&gt;&lt;b&gt;Casting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7th-level list, 1d3 creatures of the same kind from the 6th-level list, or 1d4+1 creatures of the same kind from a lower-level list.&lt;/p&gt;&lt;/h4&gt;&lt;/div&gt;</t>
  </si>
  <si>
    <t>Aquatic (15), Serpentine (15)</t>
  </si>
  <si>
    <t>Summon Monster IX</t>
  </si>
  <si>
    <t>This spell functions like summon monster I, except that you can summon one creature from the 9th-level list, 1d3 creatures of the same kind from the 8th-level list, or 1d4+1 creatures of the same kind from a lower-level list.</t>
  </si>
  <si>
    <t>&lt;p&gt;This spell functions like &lt;i&gt;summon monster I,&lt;/i&gt; except that you can summon one creature from the 9th-level list, 1d3 creatures of the same kind from the 8th-level list, or 1d4+1 creatures of the same kind from a lower-level list.&lt;/p&gt;</t>
  </si>
  <si>
    <t>&lt;link rel="stylesheet"href="PF.css"&gt;&lt;div class="heading"&gt;&lt;p class="alignleft"&gt;Summon Monster IX&lt;/p&gt;&lt;div style="clear: both;"&gt;&lt;/div&gt;&lt;/div&gt;&lt;div&gt;&lt;h5&gt;&lt;b&gt;School &lt;/b&gt;conjuration (summoning); &lt;b&gt;Level &lt;/b&gt;cleric/oracle 9, sorcerer/wizard 9, witch 9, psychic 9&lt;/h5&gt;&lt;/div&gt;&lt;hr/&gt;&lt;div&gt;&lt;h5&gt;&lt;b&gt;CASTING&lt;/b&gt;&lt;/h5&gt;&lt;/div&gt;&lt;hr/&gt;&lt;div&gt;&lt;h5&gt;&lt;b&gt;Casting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9th-level list, 1d3 creatures of the same kind from the 8th-level list, or 1d4+1 creatures of the same kind from a lower-level list.&lt;/p&gt;&lt;/h4&gt;&lt;/div&gt;</t>
  </si>
  <si>
    <t>Chaos (9), Evil (9), Good (9), Law (9)</t>
  </si>
  <si>
    <t>Abyssal (19)</t>
  </si>
  <si>
    <t>Summon Nature's Ally I</t>
  </si>
  <si>
    <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wish). The spell conjures one of the creatures from the 1st Level list on Table 10-2. You choose which kind of creature to summon, and you can change that choice each time you cast the spell. All the creatures on the table are neutral unless otherwise noted. 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t>
  </si>
  <si>
    <t>&lt;p&gt;This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&lt;i&gt;wish&lt;/i&gt;).&lt;/p&gt;&lt;p&gt;The spell conjures one of the creatures from the 1st Level list on Table 10-2. You choose which kind of creature to summon, and you can change that choice each time you cast the spell. All the creatures on the table are neutral unless otherwise noted.&lt;/p&gt;&lt;p&gt;When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alignment.&lt;/p&gt;</t>
  </si>
  <si>
    <t>&lt;link rel="stylesheet"href="PF.css"&gt;&lt;div class="heading"&gt;&lt;p class="alignleft"&gt;Summon Nature's Ally I&lt;/p&gt;&lt;div style="clear: both;"&gt;&lt;/div&gt;&lt;/div&gt;&lt;div&gt;&lt;h5&gt;&lt;b&gt;School &lt;/b&gt;conjuration (summoning); &lt;b&gt;Level &lt;/b&gt;druid 1, ranger 1&lt;/h5&gt;&lt;/div&gt;&lt;hr/&gt;&lt;div&gt;&lt;h5&gt;&lt;b&gt;CASTING&lt;/b&gt;&lt;/h5&gt;&lt;/div&gt;&lt;hr/&gt;&lt;div&gt;&lt;h5&gt;&lt;b&gt;Casting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&lt;i&gt;wish&lt;/i&gt;).&lt;/p&gt;&lt;p&gt;The spell conjures one of the creatures from the 1st Level list on Table 10-2. You choose which kind of creature to summon, and you can change that choice each time you cast the spell. All the creatures on the table are neutral unless otherwise noted.&lt;/p&gt;&lt;p&gt;When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alignment.&lt;/p&gt;&lt;/h4&gt;&lt;/div&gt;</t>
  </si>
  <si>
    <t>Summons creature to fight.</t>
  </si>
  <si>
    <t>Summon Nature's Ally II</t>
  </si>
  <si>
    <t>druid 2, ranger 2</t>
  </si>
  <si>
    <t>This spell functions as summon nature's ally I, except that you summon one 2nd-level creature or 1d3 1st-level creatures of the same kind.</t>
  </si>
  <si>
    <t>&lt;p&gt;This spell functions as summon &lt;i&gt;nature's ally I&lt;/i&gt;, except that you summon one 2nd-level creature or 1d3 1st-level creatures of the same kind.&lt;/p&gt;</t>
  </si>
  <si>
    <t>&lt;link rel="stylesheet"href="PF.css"&gt;&lt;div class="heading"&gt;&lt;p class="alignleft"&gt;Summon Nature's Ally II&lt;/p&gt;&lt;div style="clear: both;"&gt;&lt;/div&gt;&lt;/div&gt;&lt;div&gt;&lt;h5&gt;&lt;b&gt;School &lt;/b&gt;conjuration (summoning); &lt;b&gt;Level &lt;/b&gt;druid 2, ranger 2&lt;/h5&gt;&lt;/div&gt;&lt;hr/&gt;&lt;div&gt;&lt;h5&gt;&lt;b&gt;CASTING&lt;/b&gt;&lt;/h5&gt;&lt;/div&gt;&lt;hr/&gt;&lt;div&gt;&lt;h5&gt;&lt;b&gt;Casting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&lt;i&gt;nature's ally I&lt;/i&gt;, except that you summon one 2nd-level creature or 1d3 1st-level creatures of the same kind.&lt;/p&gt;&lt;/h4&gt;&lt;/div&gt;</t>
  </si>
  <si>
    <t>Summon Nature's Ally III</t>
  </si>
  <si>
    <t>This spell functions like summon nature's ally I, except that you can summon one 3rd-level creature, 1d3 2nd-level creatures of the same kind, or 1d4+1 1st-level creatures of the same kind.</t>
  </si>
  <si>
    <t>&lt;p&gt;This spell functions like &lt;i&gt;summon nature's ally I&lt;/i&gt;, except that you can summon one 3rd-level creature, 1d3 2nd-level creatures of the same kind, or 1d4+1 1st-level creatures of the same kind.&lt;/p&gt;</t>
  </si>
  <si>
    <t>&lt;link rel="stylesheet"href="PF.css"&gt;&lt;div class="heading"&gt;&lt;p class="alignleft"&gt;Summon Nature's Ally III&lt;/p&gt;&lt;div style="clear: both;"&gt;&lt;/div&gt;&lt;/div&gt;&lt;div&gt;&lt;h5&gt;&lt;b&gt;School &lt;/b&gt;conjuration (summoning) [see text]; &lt;b&gt;Level &lt;/b&gt;druid 3, ranger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3rd-level creature, 1d3 2nd-level creatures of the same kind, or 1d4+1 1st-level creatures of the same kind.&lt;/p&gt;&lt;/h4&gt;&lt;/div&gt;</t>
  </si>
  <si>
    <t>Summon Nature's Ally IV</t>
  </si>
  <si>
    <t>druid 4, ranger 4</t>
  </si>
  <si>
    <t>This spell functions like summon nature's ally I, except that you can summon one 4th-level creature, 1d3 3rd-level creatures of the same kind, or 1d4+1 lower-level creatures of the same kind.</t>
  </si>
  <si>
    <t>&lt;p&gt;This spell functions like &lt;i&gt;summon nature's ally I&lt;/i&gt;, except that you can summon one 4th-level creature, 1d3 3rd-level creatures of the same kind, or 1d4+1 lower-level creatures of the same kind.&lt;/p&gt;</t>
  </si>
  <si>
    <t>&lt;link rel="stylesheet"href="PF.css"&gt;&lt;div class="heading"&gt;&lt;p class="alignleft"&gt;Summon Nature's Ally IV&lt;/p&gt;&lt;div style="clear: both;"&gt;&lt;/div&gt;&lt;/div&gt;&lt;div&gt;&lt;h5&gt;&lt;b&gt;School &lt;/b&gt;conjuration (summoning) [see text]; &lt;b&gt;Level &lt;/b&gt;druid 4, ranger 4&lt;/h5&gt;&lt;/div&gt;&lt;hr/&gt;&lt;div&gt;&lt;h5&gt;&lt;b&gt;CASTING&lt;/b&gt;&lt;/h5&gt;&lt;/div&gt;&lt;hr/&gt;&lt;div&gt;&lt;h5&gt;&lt;b&gt;Casting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4th-level creature, 1d3 3rd-level creatures of the same kind, or 1d4+1 lower-level creatures of the same kind.&lt;/p&gt;&lt;/h4&gt;&lt;/div&gt;</t>
  </si>
  <si>
    <t>Animal (4), Saurian (4)</t>
  </si>
  <si>
    <t>Animals (8)</t>
  </si>
  <si>
    <t>Summon Nature's Ally V</t>
  </si>
  <si>
    <t>druid 5</t>
  </si>
  <si>
    <t>This spell functions like summon nature's ally I, except that you can summon one 5th-level creature, 1d3 4th-level creatures of the same kind, or 1d4+1 lower-level creatures of the same kind.</t>
  </si>
  <si>
    <t>&lt;p&gt;This spell functions like &lt;i&gt;summon nature's ally I&lt;/i&gt;, except that you can summon one 5th-level creature, 1d3 4th-level creatures of the same kind, or 1d4+1 lower-level creatures of the same kind.&lt;/p&gt;</t>
  </si>
  <si>
    <t>&lt;link rel="stylesheet"href="PF.css"&gt;&lt;div class="heading"&gt;&lt;p class="alignleft"&gt;Summon Nature's Ally V&lt;/p&gt;&lt;div style="clear: both;"&gt;&lt;/div&gt;&lt;/div&gt;&lt;div&gt;&lt;h5&gt;&lt;b&gt;School &lt;/b&gt;conjuration (summoning) [see text]; &lt;b&gt;Level &lt;/b&gt;druid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5th-level creature, 1d3 4th-level creatures of the same kind, or 1d4+1 lower-level creatures of the same kind.&lt;/p&gt;&lt;/h4&gt;&lt;/div&gt;</t>
  </si>
  <si>
    <t> Summons creature to fight.</t>
  </si>
  <si>
    <t>Summon Nature's Ally VI</t>
  </si>
  <si>
    <t>This spell functions like summon nature's ally I, except that you can summon one 6th-level creature, 1d3 5th-level creatures of the same kind, or 1d4+1 lower-level creatures of the same kind.</t>
  </si>
  <si>
    <t>&lt;p&gt;This spell functions like &lt;i&gt;summon nature's ally I&lt;/i&gt;, except that you can summon one 6th-level creature, 1d3 5th-level creatures of the same kind, or 1d4+1 lower-level creatures of the same kind.&lt;/p&gt;</t>
  </si>
  <si>
    <t>&lt;link rel="stylesheet"href="PF.css"&gt;&lt;div class="heading"&gt;&lt;p class="alignleft"&gt;Summon Nature's Ally VI&lt;/p&gt;&lt;div style="clear: both;"&gt;&lt;/div&gt;&lt;/div&gt;&lt;div&gt;&lt;h5&gt;&lt;b&gt;School &lt;/b&gt;conjuration (summoning) [see text]; &lt;b&gt;Level &lt;/b&gt;druid 6&lt;/h5&gt;&lt;/div&gt;&lt;hr/&gt;&lt;div&gt;&lt;h5&gt;&lt;b&gt;CASTING&lt;/b&gt;&lt;/h5&gt;&lt;/div&gt;&lt;hr/&gt;&lt;div&gt;&lt;h5&gt;&lt;b&gt;Casting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6th-level creature, 1d3 5th-level creatures of the same kind, or 1d4+1 lower-level creatures of the same kind.&lt;/p&gt;&lt;/h4&gt;&lt;/div&gt;</t>
  </si>
  <si>
    <t>Summon Nature's Ally VII</t>
  </si>
  <si>
    <t>This spell functions like summon nature's ally I, except that you can summon one 7th-level creature, 1d3 6th-level creatures of the same kind, or 1d4+1 lower-level creatures of the same kind.</t>
  </si>
  <si>
    <t>&lt;p&gt;This spell functions like &lt;i&gt;summon nature's ally I&lt;/i&gt;, except that you can summon one 7th-level creature, 1d3 6th-level creatures of the same kind, or 1d4+1 lower-level creatures of the same kind.&lt;/p&gt;</t>
  </si>
  <si>
    <t>&lt;link rel="stylesheet"href="PF.css"&gt;&lt;div class="heading"&gt;&lt;p class="alignleft"&gt;Summon Nature's Ally VII&lt;/p&gt;&lt;div style="clear: both;"&gt;&lt;/div&gt;&lt;/div&gt;&lt;div&gt;&lt;h5&gt;&lt;b&gt;School &lt;/b&gt;conjuration (summoning) [see text]; &lt;b&gt;Level &lt;/b&gt;druid 7&lt;/h5&gt;&lt;/div&gt;&lt;hr/&gt;&lt;div&gt;&lt;h5&gt;&lt;b&gt;CASTING&lt;/b&gt;&lt;/h5&gt;&lt;/div&gt;&lt;hr/&gt;&lt;div&gt;&lt;h5&gt;&lt;b&gt;Casting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7th-level creature, 1d3 6th-level creatures of the same kind, or 1d4+1 lower-level creatures of the same kind.&lt;/p&gt;&lt;/h4&gt;&lt;/div&gt;</t>
  </si>
  <si>
    <t>Saurian (7)</t>
  </si>
  <si>
    <t>Summon Nature's Ally VIII</t>
  </si>
  <si>
    <t>This spell functions like summon nature's ally I, except that you can summon one 8th-level creature, 1d3 7th-level creatures of the same kind, or 1d4+1 lower-level creatures of the same kind.</t>
  </si>
  <si>
    <t>&lt;p&gt;This spell functions like &lt;i&gt;summon nature's ally I&lt;/i&gt;, except that you can summon one 8th-level creature, 1d3 7th-level creatures of the same kind, or 1d4+1 lower-level creatures of the same kind.&lt;/p&gt;</t>
  </si>
  <si>
    <t>&lt;link rel="stylesheet"href="PF.css"&gt;&lt;div class="heading"&gt;&lt;p class="alignleft"&gt;Summon Nature's Ally VIII&lt;/p&gt;&lt;div style="clear: both;"&gt;&lt;/div&gt;&lt;/div&gt;&lt;div&gt;&lt;h5&gt;&lt;b&gt;School &lt;/b&gt;conjuration (summoning) [see text]; &lt;b&gt;Level &lt;/b&gt;druid 8&lt;/h5&gt;&lt;/div&gt;&lt;hr/&gt;&lt;div&gt;&lt;h5&gt;&lt;b&gt;CASTING&lt;/b&gt;&lt;/h5&gt;&lt;/div&gt;&lt;hr/&gt;&lt;div&gt;&lt;h5&gt;&lt;b&gt;Casting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8th-level creature, 1d3 7th-level creatures of the same kind, or 1d4+1 lower-level creatures of the same kind.&lt;/p&gt;&lt;/h4&gt;&lt;/div&gt;</t>
  </si>
  <si>
    <t>Animal (8)</t>
  </si>
  <si>
    <t>Summon Nature's Ally IX</t>
  </si>
  <si>
    <t>druid 9</t>
  </si>
  <si>
    <t>This spell functions like summon nature's ally I, except that you can summon one 9th-level creature, 1d3 8th-level creatures of the same kind, or 1d4+1 lower-level creatures of the same kind.</t>
  </si>
  <si>
    <t>&lt;p&gt;This spell functions like &lt;i&gt;summon nature's ally I&lt;/i&gt;, except that you can summon one 9th-level creature, 1d3 8th-level creatures of the same kind, or 1d4+1 lower-level creatures of the same kind.&lt;/p&gt;</t>
  </si>
  <si>
    <t>&lt;link rel="stylesheet"href="PF.css"&gt;&lt;div class="heading"&gt;&lt;p class="alignleft"&gt;Summon Nature's Ally IX&lt;/p&gt;&lt;div style="clear: both;"&gt;&lt;/div&gt;&lt;/div&gt;&lt;div&gt;&lt;h5&gt;&lt;b&gt;School &lt;/b&gt;conjuration (summoning) [see text]; &lt;b&gt;Level &lt;/b&gt;druid 9&lt;/h5&gt;&lt;/div&gt;&lt;hr/&gt;&lt;div&gt;&lt;h5&gt;&lt;b&gt;CASTING&lt;/b&gt;&lt;/h5&gt;&lt;/div&gt;&lt;hr/&gt;&lt;div&gt;&lt;h5&gt;&lt;b&gt;Casting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9th-level creature, 1d3 8th-level creatures of the same kind, or 1d4+1 lower-level creatures of the same kind.&lt;/p&gt;&lt;/h4&gt;&lt;/div&gt;</t>
  </si>
  <si>
    <t>Animals (18)</t>
  </si>
  <si>
    <t>Summon Swarm</t>
  </si>
  <si>
    <t>bard 2, druid 2, sorcerer/wizard 2, summoner 2, witch 2, shaman 2</t>
  </si>
  <si>
    <t>V, S, M/DF (a square of red cloth)</t>
  </si>
  <si>
    <t>one swarm of bats, rats, or spiders</t>
  </si>
  <si>
    <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t>
  </si>
  <si>
    <t>&lt;p&gt;You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travel.&lt;/p&gt;</t>
  </si>
  <si>
    <t>&lt;link rel="stylesheet"href="PF.css"&gt;&lt;div class="heading"&gt;&lt;p class="alignleft"&gt;Summon Swarm&lt;/p&gt;&lt;div style="clear: both;"&gt;&lt;/div&gt;&lt;/div&gt;&lt;div&gt;&lt;h5&gt;&lt;b&gt;School &lt;/b&gt;conjuration (summoning); &lt;b&gt;Level &lt;/b&gt;bard 2, druid 2, sorcerer/wizard 2, summoner 2, witch 2, shaman 2&lt;/h5&gt;&lt;/div&gt;&lt;hr/&gt;&lt;div&gt;&lt;h5&gt;&lt;b&gt;CASTING&lt;/b&gt;&lt;/h5&gt;&lt;/div&gt;&lt;hr/&gt;&lt;div&gt;&lt;h5&gt;&lt;b&gt;Casting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bats, rats, or spiders&lt;/h5&gt;&lt;h5&gt;&lt;b&gt;Duration &lt;/b&gt;concentration + 2 rounds&lt;/h5&gt;&lt;h5&gt;&lt;b&gt;Saving Throw &lt;/b&gt;none; &lt;b&gt;Spell Resistance &lt;/b&gt;no&lt;/h5&gt;&lt;/div&gt;&lt;hr/&gt;&lt;div&gt;&lt;h5&gt;&lt;b&gt;DESCRIPTION&lt;/b&gt;&lt;/h5&gt;&lt;/div&gt;&lt;hr/&gt;&lt;div&gt;&lt;h4&gt;&lt;p&gt;You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travel.&lt;/p&gt;&lt;/h4&gt;&lt;h5&gt;&lt;b&gt;Mythic: &lt;/b&gt;The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effect.&lt;/h5&gt;&lt;/div&gt;</t>
  </si>
  <si>
    <t>Summons swarm of bats, rats, or spiders.</t>
  </si>
  <si>
    <t>Pestilence (5)</t>
  </si>
  <si>
    <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t>
  </si>
  <si>
    <t>Sunbeam</t>
  </si>
  <si>
    <t>line from your hand</t>
  </si>
  <si>
    <t>1 round/level or until all beams are exhausted</t>
  </si>
  <si>
    <t>Reflex negates and Reflex half; see text</t>
  </si>
  <si>
    <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  Each creature in the beam is blinded and takes 4d6 points of damage. Any creatures to which sunlight is harmful or unnatural take double damage. A successful Reflex save negates the blindness and reduces the damage by half.  An undead creature caught within the beam takes 1d6 points of damage per caster level (maximum 20d6), or half damage if a Reflex save is successful. In addition, the beam results in the destruction of any undead creature specifically harmed by bright light if it fails its save.  The ultraviolet light generated by the spell deals damage to fungi, mold, oozes, and slimes just as if they were undead creatures.</t>
  </si>
  <si>
    <t>&lt;p&gt;For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exhausted.&lt;/p&gt;&lt;p&gt;Each creature in the beam is blinded and takes 4d6 points of damage. Any creatures to which sunlight is harmful or unnatural take double damage. A successful Reflex save negates the blindness and reduces the damage by half.&lt;/p&gt;&lt;p&gt;An undead creature caught within the beam takes 1d6 points of damage per caster level (maximum 20d6), or half damage if a Reflex save is successful. In addition, the beam results in the destruction of any undead creature specifically harmed by bright light if it fails its save.&lt;/p&gt;&lt;p&gt;The ultraviolet light generated by the spell deals damage to fungi, mold, oozes, and slimes just as if they were undead creatures.&lt;/p&gt;</t>
  </si>
  <si>
    <t>&lt;link rel="stylesheet"href="PF.css"&gt;&lt;div class="heading"&gt;&lt;p class="alignleft"&gt;Sunbeam&lt;/p&gt;&lt;div style="clear: both;"&gt;&lt;/div&gt;&lt;/div&gt;&lt;div&gt;&lt;h5&gt;&lt;b&gt;School &lt;/b&gt;evocation [light]; &lt;b&gt;Level &lt;/b&gt;druid 7, shaman 7&lt;/h5&gt;&lt;/div&gt;&lt;hr/&gt;&lt;div&gt;&lt;h5&gt;&lt;b&gt;CASTING&lt;/b&gt;&lt;/h5&gt;&lt;/div&gt;&lt;hr/&gt;&lt;div&gt;&lt;h5&gt;&lt;b&gt;Casting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&lt;/b&gt;line from your hand&lt;/h5&gt;&lt;h5&gt;&lt;b&gt;Duration &lt;/b&gt;1 round/level or until all beams are exhausted&lt;/h5&gt;&lt;h5&gt;&lt;b&gt;Saving Throw &lt;/b&gt;Reflex negates and Reflex half; see text; &lt;b&gt;Spell Resistance &lt;/b&gt;yes&lt;/h5&gt;&lt;/div&gt;&lt;hr/&gt;&lt;div&gt;&lt;h5&gt;&lt;b&gt;DESCRIPTION&lt;/b&gt;&lt;/h5&gt;&lt;/div&gt;&lt;hr/&gt;&lt;div&gt;&lt;h4&gt;&lt;p&gt;For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exhausted.&lt;/p&gt;&lt;p&gt;Each creature in the beam is blinded and takes 4d6 points of damage. Any creatures to which sunlight is harmful or unnatural take double damage. A successful Reflex save negates the blindness and reduces the damage by half.&lt;/p&gt;&lt;p&gt;An undead creature caught within the beam takes 1d6 points of damage per caster level (maximum 20d6), or half damage if a Reflex save is successful. In addition, the beam results in the destruction of any undead creature specifically harmed by bright light if it fails its save.&lt;/p&gt;&lt;p&gt;The ultraviolet light generated by the spell deals damage to fungi, mold, oozes, and slimes just as if they were undead creatures.&lt;/p&gt;&lt;/h4&gt;&lt;h5&gt;&lt;b&gt;Mythic: &lt;/b&gt;You call forth one beam per 2 caster levels instead of per 3. The damage dealt increases to 4d8 points of damage. The damage dealt to undead creatures, fungi, mold, oozes, and slimes increases to 1d8 points of damage per caster level (maximum 20d8). Any creature that successfully saves against a beam is dazzled for 1 minute.&lt;/h5&gt;&lt;h5&gt;&lt;b&gt;Augmented (9th)&lt;/b&gt;: If you expend three uses of mythic power, the first beam you create has a duration of 1 round per 2 caster levels, and deals maximum damage on the round you cast it. Creatures in the beam can attempt saving throws to avoid blindness, but not the spell's damage.&lt;/h5&gt;&lt;/div&gt;</t>
  </si>
  <si>
    <t>Sun (7), Stars (7)</t>
  </si>
  <si>
    <t> Beam blinds and deals 4d6 damage.</t>
  </si>
  <si>
    <t>Light (14), Summer (14)</t>
  </si>
  <si>
    <t>You call forth one beam per 2 caster levels instead of per 3. The damage dealt increases to 4d8 points of damage. The damage dealt to undead creatures, fungi, mold, oozes, and slimes increases to 1d8 points of damage per caster level (maximum 20d8). Any creature that successfully saves against a beam is dazzled for 1 minute.</t>
  </si>
  <si>
    <t>Augmented (9th): If you expend three uses of mythic power, the first beam you create has a duration of 1 round per 2 caster levels, and deals maximum damage on the round you cast it. Creatures in the beam can attempt saving throws to avoid blindness, but not the spell's damage.</t>
  </si>
  <si>
    <t>Sunburst</t>
  </si>
  <si>
    <t>druid 8, sorcerer/wizard 8, shaman 8</t>
  </si>
  <si>
    <t>V, S, M/DF (sunstone and fire source)</t>
  </si>
  <si>
    <t>80-ft.-radius burst</t>
  </si>
  <si>
    <t>Sunburst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  An undead creature caught within the globe takes 1d6 points of damage per caster level (maximum 25d6), or half damage if a Reflex save is successful. In addition, the burst results in the destruction of any undead creature specifically harmed by bright light if it fails its save.  The ultraviolet light generated by the spell deals damage to fungi, mold, oozes, and slimes just as if they were undead creatures.  Sunburst dispels any darkness spells of lower than 9th level within its area.</t>
  </si>
  <si>
    <t>&lt;p&gt;&lt;i&gt;Sunburst&lt;/i&gt;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half.&lt;/p&gt;&lt;p&gt;An undead creature caught within the globe takes 1d6 points of damage per caster level (maximum 25d6), or half damage if a Reflex save is successful. In addition, the burst results in the destruction of any undead creature specifically harmed by bright light if it fails its save.&lt;/p&gt;&lt;p&gt;The ultraviolet light generated by the spell deals damage to fungi, mold, oozes, and slimes just as if they were undead creatures.&lt;/p&gt;&lt;p&gt;&lt;i&gt;Sunburst&lt;/i&gt; dispels any darkness spells of lower than 9th level within its area.&lt;/p&gt;</t>
  </si>
  <si>
    <t>&lt;link rel="stylesheet"href="PF.css"&gt;&lt;div class="heading"&gt;&lt;p class="alignleft"&gt;Sunburst&lt;/p&gt;&lt;div style="clear: both;"&gt;&lt;/div&gt;&lt;/div&gt;&lt;div&gt;&lt;h5&gt;&lt;b&gt;School &lt;/b&gt;evocation [light]; &lt;b&gt;Level &lt;/b&gt;druid 8, sorcerer/wizard 8, shaman 8&lt;/h5&gt;&lt;/div&gt;&lt;hr/&gt;&lt;div&gt;&lt;h5&gt;&lt;b&gt;CASTING&lt;/b&gt;&lt;/h5&gt;&lt;/div&gt;&lt;hr/&gt;&lt;div&gt;&lt;h5&gt;&lt;b&gt;Casting Time &lt;/b&gt;1 standard action&lt;/h5&gt;&lt;h5&gt;&lt;b&gt;Components &lt;/b&gt;V, S, M/DF (sunstone and fire source)&lt;/h5&gt;&lt;/div&gt;&lt;hr/&gt;&lt;div&gt;&lt;h5&gt;&lt;b&gt;EFFECT&lt;/b&gt;&lt;/h5&gt;&lt;/div&gt;&lt;hr/&gt;&lt;div&gt;&lt;h5&gt;&lt;b&gt;Range &lt;/b&gt;long (400 ft. + 40 ft./level)&lt;/h5&gt;&lt;h5&gt;&lt;b&gt;Area &lt;/b&gt;80-ft.-radius burst&lt;/h5&gt;&lt;h5&gt;&lt;b&gt;Duration &lt;/b&gt;instantaneous&lt;/h5&gt;&lt;h5&gt;&lt;b&gt;Saving Throw &lt;/b&gt;Reflex partial; see text; &lt;b&gt;Spell Resistance &lt;/b&gt;yes&lt;/h5&gt;&lt;/div&gt;&lt;hr/&gt;&lt;div&gt;&lt;h5&gt;&lt;b&gt;DESCRIPTION&lt;/b&gt;&lt;/h5&gt;&lt;/div&gt;&lt;hr/&gt;&lt;div&gt;&lt;h4&gt;&lt;p&gt;&lt;i&gt;Sunburst&lt;/i&gt;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half.&lt;/p&gt;&lt;p&gt;An undead creature caught within the globe takes 1d6 points of damage per caster level (maximum 25d6), or half damage if a Reflex save is successful. In addition, the burst results in the destruction of any undead creature specifically harmed by bright light if it fails its save.&lt;/p&gt;&lt;p&gt;The ultraviolet light generated by the spell deals damage to fungi, mold, oozes, and slimes just as if they were undead creatures.&lt;/p&gt;&lt;p&gt;&lt;i&gt;Sunburst&lt;/i&gt; dispels any darkness spells of lower than 9th level within its area.&lt;/p&gt;&lt;/h4&gt;&lt;/div&gt;</t>
  </si>
  <si>
    <t>Seasons (8), Sun (8)</t>
  </si>
  <si>
    <t>Blinds all within 10 ft., deals 6d6 damage.</t>
  </si>
  <si>
    <t>Celestial (17)</t>
  </si>
  <si>
    <t>Light (16), Summer (16)</t>
  </si>
  <si>
    <t>Symbol of Death</t>
  </si>
  <si>
    <t>cleric/oracle 8, sorcerer/wizard 8, witch 8, occultist 6</t>
  </si>
  <si>
    <t>V, S, M (mercury and phosphorus, plus powdered diamond and opal worth 5,000 gp each)</t>
  </si>
  <si>
    <t>0 ft.; see text</t>
  </si>
  <si>
    <t>one symbol</t>
  </si>
  <si>
    <t>This spell allows you to scribe a potent rune of power upon a surface.  When triggered, a symbol of death kills one or more creatures within 60 feet of the symbol (treat as a burst) whose combined total current hit points do not exceed 150. The symbol of death affects the closest creatures first, skipping creatures with too many hit points to affect.  Once triggered, the symbol becomes active and glows, lasting for 10 minutes per caster level or until it has affected 150 hit points' worth of creatures, whichever comes first. A creature that enters the area while the symbol of death is active is subject to its effect, whether or not that creature was in the area when it was triggered. A creature need save against the symbol only once as long as it remains within the area, though if it leaves the area and returns while the symbol is still active, it must save again.  Until it is triggered, the symbol of death is inactive (though visible and legible at a distance of 60 feet). To be effective, a symbol of death must always be placed in plain sight and in a prominent location. Covering or hiding the rune renders the symbol of death ineffective, unless a creature removes the covering, in which case the symbol of death works normally.  As a default, a symbol of death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symbol of death can't trigger it (even if it meets one or more of the triggering conditions, such as reading the rune). Once the spell is cast, a symbol of death's triggering conditions cannot be changed.  In this case, "reading" the rune means any attempt to study it, identify it, or fathom its meaning. Throwing a cover over a symbol of death to render it inoperative triggers it if the symbol reacts to touch. You can't use a symbol of death offensively; for instance, a touch-triggered symbol of death remains untriggered if an item bearing the symbol of death is used to touch a creature. Likewise, a symbol of death cannot be placed on a weapon and set to activate when the weapon strikes a foe.  You can also set special triggering limitations of your own. These can be as simple or elaborate as you desire. Special conditions for triggering a symbol of death can be based on a creature's name, identity, or alignment, but otherwise must be based on observable actions or qualities. Intangibles such as level, class, HD, and hit points don't qualify.  When scribing a symbol of death, you can specify a password or phrase that prevents a creature using it from triggering the symbol's effect. Anyone using the password remains immune to that particular rune's effects so long as the creature remains within 60 feet of the rune. If the creature leaves the radius and returns later, it must use the password again.  You also can attune any number of creatures to the symbol of death,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symbol of death cannot trigger it and is immune to its effects, even if within its radius when it is triggered. You are automatically considered attuned to your own symbols of death, and thus always ignore the effects and cannot inadvertently trigger them.  Read magic allows you to identify a symbol with a Spellcraft check (DC 10 + the symbol's spell level). Of course, if the symbol is set to be triggered by reading it, this will trigger the symbol.  A symbol of death can be removed by a successful dispel magic targeted solely on the rune. An erase spell has no effect on a symbol of death. Destruction of the surface where a symbol of death is inscribed destroys the symbol but also triggers it.  Symbol of death can be made permanent with a permanency spell.  A permanent symbol of death that is disabled or has affected its maximum number of hit points becomes inactive for 10 minutes, but then can be triggered again as normal.  Note: Magic traps such as symbol of death are hard to detect and disable. A rogue (only) can use the Perception skill to find a symbol of death and Disable Device to thwart it. The DC in each case is 25 + spell level, or 33 for symbol of death.</t>
  </si>
  <si>
    <t>&lt;p&gt;This spell allows you to scribe a potent rune of power upon a surface.&lt;/p&gt;&lt;p&gt;When triggered, a &lt;i&gt;&lt;i&gt;symbol&lt;/i&gt; of &lt;i&gt;death&lt;/i&gt;&lt;/i&gt; kills one or more creatures within 60 feet of the &lt;i&gt;symbol&lt;/i&gt; (treat as a burst) whose combined total current hit points do not exceed 150. The &lt;i&gt;&lt;i&gt;symbol&lt;/i&gt; of &lt;i&gt;death&lt;/i&gt;&lt;/i&gt; affects the closest creatures first, skipping creatures with too many hit points to affect.&lt;/p&gt;&lt;p&gt;Once triggered, the &lt;i&gt;symbol&lt;/i&gt; becomes active and glows, lasting for 10 minutes per caster level or until it has affected 150 hit points' worth of creatures, whichever comes first. A creature that enters the area while the &lt;i&gt;&lt;i&gt;symbol&lt;/i&gt; of &lt;i&gt;death&lt;/i&gt;&lt;/i&gt; is active is subject to its effect, whether or not that creature was in the area when it was triggered. A creature need save against the &lt;i&gt;symbol&lt;/i&gt; only once as long as it remains within the area, though if it leaves the area and returns while the &lt;i&gt;symbol&lt;/i&gt; is still active, it must save again.&lt;/p&gt;&lt;p&gt;Until it is triggered, the &lt;i&gt;&lt;i&gt;symbol&lt;/i&gt; of &lt;i&gt;death&lt;/i&gt;&lt;/i&gt; is inactive (though visible and legible at a distance of 60 feet). To be effective, a &lt;i&gt;&lt;i&gt;symbol&lt;/i&gt; of &lt;i&gt;death&lt;/i&gt;&lt;/i&gt; must always be placed in plain sight and in a prominent location. Covering or hiding the rune renders the &lt;i&gt;&lt;i&gt;symbol&lt;/i&gt; of &lt;i&gt;death&lt;/i&gt;&lt;/i&gt; ineffective, unless a creature removes the covering, in which case the &lt;i&gt;&lt;i&gt;symbol&lt;/i&gt; of &lt;i&gt;death&lt;/i&gt;&lt;/i&gt; works normally.&lt;/p&gt;&lt;p&gt;As a default, a &lt;i&gt;&lt;i&gt;symbol&lt;/i&gt; of &lt;i&gt;death&lt;/i&gt;&lt;/i&gt;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&lt;i&gt;&lt;i&gt;symbol&lt;/i&gt; of &lt;i&gt;death&lt;/i&gt;&lt;/i&gt; can't trigger it (even if it meets one or more of the triggering conditions, such as reading the rune). Once the spell is cast, a &lt;i&gt;&lt;i&gt;symbol&lt;/i&gt; of &lt;i&gt;death&lt;/i&gt;&lt;/i&gt;'s triggering conditions cannot be changed.&lt;/p&gt;&lt;p&gt;In this case, "reading" the rune means any attempt to study it, identify it, or fathom its meaning. Throwing a cover over a &lt;i&gt;&lt;i&gt;symbol&lt;/i&gt; of &lt;i&gt;death&lt;/i&gt;&lt;/i&gt; to render it inoperative triggers it if the &lt;i&gt;symbol&lt;/i&gt; reacts to touch. You can't use a &lt;i&gt;&lt;i&gt;symbol&lt;/i&gt; of &lt;i&gt;death&lt;/i&gt;&lt;/i&gt; offensively; for instance, a touch-triggered &lt;i&gt;&lt;i&gt;symbol&lt;/i&gt; of &lt;i&gt;death&lt;/i&gt;&lt;/i&gt; remains untriggered if an item bearing the &lt;i&gt;&lt;i&gt;symbol&lt;/i&gt; of &lt;i&gt;death&lt;/i&gt;&lt;/i&gt; is used to touch a creature. Likewise, a &lt;i&gt;&lt;i&gt;symbol&lt;/i&gt; of &lt;i&gt;death&lt;/i&gt;&lt;/i&gt; cannot be placed on a weapon and set to activate when the weapon strikes a foe.&lt;/p&gt;&lt;p&gt;You can also set special triggering limitations of your own. These can be as simple or elaborate as you desire. Special conditions for triggering a &lt;i&gt;&lt;i&gt;symbol&lt;/i&gt; of &lt;i&gt;death&lt;/i&gt;&lt;/i&gt; can be based on a creature's name, identity, or alignment, but otherwise must be based on observable actions or qualities. Intangibles such as level, class, HD, and hit points don't qualify.&lt;/p&gt;&lt;p&gt;When scribing a &lt;i&gt;&lt;i&gt;symbol&lt;/i&gt; of &lt;i&gt;death&lt;/i&gt;&lt;/i&gt;, you can specify a password or phrase that prevents a creature using it from triggering the &lt;i&gt;symbol&lt;/i&gt;'s effect. Anyone using the password remains immune to that particular rune's effects so long as the creature remains within 60 feet of the rune. If the creature leaves the radius and returns later, it must use the password again.&lt;/p&gt;&lt;p&gt;You also can attune any number of creatures to the &lt;i&gt;&lt;i&gt;symbol&lt;/i&gt; of &lt;i&gt;death&lt;/i&gt;&lt;/i&gt;,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&lt;i&gt;&lt;i&gt;symbol&lt;/i&gt; of &lt;i&gt;death&lt;/i&gt;&lt;/i&gt; cannot trigger it and is immune to its effects, even if within its radius when it is triggered. You are automatically considered attuned to your own &lt;i&gt;symbol&lt;/i&gt;s of &lt;i&gt;&lt;i&gt;death&lt;/i&gt;,&lt;/i&gt; and thus always ignore the effects and cannot inadvertently trigger them.&lt;/p&gt;&lt;p&gt;&lt;i&gt;Read magic&lt;/i&gt; allows you to identify a &lt;i&gt;symbol&lt;/i&gt; with a Spellcraft check (DC 10 + the &lt;i&gt;symbol&lt;/i&gt;'s spell level). Of course, if the &lt;i&gt;symbol&lt;/i&gt; is set to be triggered by reading it, this will trigger the &lt;i&gt;symbol&lt;/i&gt;.&lt;/p&gt;&lt;p&gt;A &lt;i&gt;&lt;i&gt;symbol&lt;/i&gt; of &lt;i&gt;death&lt;/i&gt;&lt;/i&gt; can be removed by a successful &lt;i&gt;dispel magic&lt;/i&gt; targeted solely on the rune. An &lt;i&gt;erase&lt;/i&gt; spell has no effect on a &lt;i&gt;&lt;i&gt;symbol&lt;/i&gt; of &lt;i&gt;death&lt;/i&gt;&lt;/i&gt;. Destruction of the surface where a &lt;i&gt;&lt;i&gt;symbol&lt;/i&gt; of &lt;i&gt;death&lt;/i&gt;&lt;/i&gt; is inscribed destroys the &lt;i&gt;symbol&lt;/i&gt; but also triggers it.&lt;/p&gt;&lt;p&gt;&lt;i&gt;Symbol of &lt;i&gt;death&lt;/i&gt;&lt;/i&gt; can be made permanent with a &lt;i&gt;permanency&lt;/i&gt; spell.&lt;/p&gt;&lt;p&gt;A permanent &lt;i&gt;&lt;i&gt;symbol&lt;/i&gt; of &lt;i&gt;death&lt;/i&gt;&lt;/i&gt; that is disabled or has affected its maximum number of hit points becomes inactive for 10 minutes, but then can be triggered again as normal.&lt;/p&gt;&lt;p&gt;&lt;i&gt;Note:&lt;/i&gt; Magic traps such as &lt;i&gt;&lt;i&gt;symbol&lt;/i&gt; of &lt;i&gt;death&lt;/i&gt;&lt;/i&gt; are hard to detect and disable. A rogue (only) can use the Perception skill to find a &lt;i&gt;&lt;i&gt;symbol&lt;/i&gt; of &lt;i&gt;death&lt;/i&gt;&lt;/i&gt; and Disable Device to thwart it. The DC in each case is 25 + spell level, or 33 for &lt;i&gt;&lt;i&gt;symbol&lt;/i&gt; of &lt;i&gt;death&lt;/i&gt;&lt;/i&gt;.&lt;/p&gt;</t>
  </si>
  <si>
    <t>&lt;link rel="stylesheet"href="PF.css"&gt;&lt;div class="heading"&gt;&lt;p class="alignleft"&gt;Symbol of Death&lt;/p&gt;&lt;div style="clear: both;"&gt;&lt;/div&gt;&lt;/div&gt;&lt;div&gt;&lt;h5&gt;&lt;b&gt;School &lt;/b&gt;necromancy [death]; &lt;b&gt;Level &lt;/b&gt;cleric/oracle 8, sorcerer/wizard 8, witch 8, occultist 6&lt;/h5&gt;&lt;/div&gt;&lt;hr/&gt;&lt;div&gt;&lt;h5&gt;&lt;b&gt;CASTING&lt;/b&gt;&lt;/h5&gt;&lt;/div&gt;&lt;hr/&gt;&lt;div&gt;&lt;h5&gt;&lt;b&gt;Casting Time &lt;/b&gt;10 minutes&lt;/h5&gt;&lt;h5&gt;&lt;b&gt;Components &lt;/b&gt;V, S, M (mercury and phosphorus, plus powdered diamond and opal worth 5,000 gp each)&lt;/h5&gt;&lt;/div&gt;&lt;hr/&gt;&lt;div&gt;&lt;h5&gt;&lt;b&gt;EFFECT&lt;/b&gt;&lt;/h5&gt;&lt;/div&gt;&lt;hr/&gt;&lt;div&gt;&lt;h5&gt;&lt;b&gt;Range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allows you to scribe a potent rune of power upon a surface.&lt;/p&gt;&lt;p&gt;When triggered, a &lt;i&gt;&lt;i&gt;symbol&lt;/i&gt; of &lt;i&gt;death&lt;/i&gt;&lt;/i&gt; kills one or more creatures within 60 feet of the &lt;i&gt;symbol&lt;/i&gt; (treat as a burst) whose combined total current hit points do not exceed 150. The &lt;i&gt;&lt;i&gt;symbol&lt;/i&gt; of &lt;i&gt;death&lt;/i&gt;&lt;/i&gt; affects the closest creatures first, skipping creatures with too many hit points to affect.&lt;/p&gt;&lt;p&gt;Once triggered, the &lt;i&gt;symbol&lt;/i&gt; becomes active and glows, lasting for 10 minutes per caster level or until it has affected 150 hit points' worth of creatures, whichever comes first. A creature that enters the area while the &lt;i&gt;&lt;i&gt;symbol&lt;/i&gt; of &lt;i&gt;death&lt;/i&gt;&lt;/i&gt; is active is subject to its effect, whether or not that creature was in the area when it was triggered. A creature need save against the &lt;i&gt;symbol&lt;/i&gt; only once as long as it remains within the area, though if it leaves the area and returns while the &lt;i&gt;symbol&lt;/i&gt; is still active, it must save again.&lt;/p&gt;&lt;p&gt;Until it is triggered, the &lt;i&gt;&lt;i&gt;symbol&lt;/i&gt; of &lt;i&gt;death&lt;/i&gt;&lt;/i&gt; is inactive (though visible and legible at a distance of 60 feet). To be effective, a &lt;i&gt;&lt;i&gt;symbol&lt;/i&gt; of &lt;i&gt;death&lt;/i&gt;&lt;/i&gt; must always be placed in plain sight and in a prominent location. Covering or hiding the rune renders the &lt;i&gt;&lt;i&gt;symbol&lt;/i&gt; of &lt;i&gt;death&lt;/i&gt;&lt;/i&gt; ineffective, unless a creature removes the covering, in which case the &lt;i&gt;&lt;i&gt;symbol&lt;/i&gt; of &lt;i&gt;death&lt;/i&gt;&lt;/i&gt; works normally.&lt;/p&gt;&lt;p&gt;As a default, a &lt;i&gt;&lt;i&gt;symbol&lt;/i&gt; of &lt;i&gt;death&lt;/i&gt;&lt;/i&gt;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&lt;i&gt;&lt;i&gt;symbol&lt;/i&gt; of &lt;i&gt;death&lt;/i&gt;&lt;/i&gt; can't trigger it (even if it meets one or more of the triggering conditions, such as reading the rune). Once the spell is cast, a &lt;i&gt;&lt;i&gt;symbol&lt;/i&gt; of &lt;i&gt;death&lt;/i&gt;&lt;/i&gt;'s triggering conditions cannot be changed.&lt;/p&gt;&lt;p&gt;In this case, "reading" the rune means any attempt to study it, identify it, or fathom its meaning. Throwing a cover over a &lt;i&gt;&lt;i&gt;symbol&lt;/i&gt; of &lt;i&gt;death&lt;/i&gt;&lt;/i&gt; to render it inoperative triggers it if the &lt;i&gt;symbol&lt;/i&gt; reacts to touch. You can't use a &lt;i&gt;&lt;i&gt;symbol&lt;/i&gt; of &lt;i&gt;death&lt;/i&gt;&lt;/i&gt; offensively; for instance, a touch-triggered &lt;i&gt;&lt;i&gt;symbol&lt;/i&gt; of &lt;i&gt;death&lt;/i&gt;&lt;/i&gt; remains untriggered if an item bearing the &lt;i&gt;&lt;i&gt;symbol&lt;/i&gt; of &lt;i&gt;death&lt;/i&gt;&lt;/i&gt; is used to touch a creature. Likewise, a &lt;i&gt;&lt;i&gt;symbol&lt;/i&gt; of &lt;i&gt;death&lt;/i&gt;&lt;/i&gt; cannot be placed on a weapon and set to activate when the weapon strikes a foe.&lt;/p&gt;&lt;p&gt;You can also set special triggering limitations of your own. These can be as simple or elaborate as you desire. Special conditions for triggering a &lt;i&gt;&lt;i&gt;symbol&lt;/i&gt; of &lt;i&gt;death&lt;/i&gt;&lt;/i&gt; can be based on a creature's name, identity, or alignment, but otherwise must be based on observable actions or qualities. Intangibles such as level, class, HD, and hit points don't qualify.&lt;/p&gt;&lt;p&gt;When scribing a &lt;i&gt;&lt;i&gt;symbol&lt;/i&gt; of &lt;i&gt;death&lt;/i&gt;&lt;/i&gt;, you can specify a password or phrase that prevents a creature using it from triggering the &lt;i&gt;symbol&lt;/i&gt;'s effect. Anyone using the password remains immune to that particular rune's effects so long as the creature remains within 60 feet of the rune. If the creature leaves the radius and returns later, it must use the password again.&lt;/p&gt;&lt;p&gt;You also can attune any number of creatures to the &lt;i&gt;&lt;i&gt;symbol&lt;/i&gt; of &lt;i&gt;death&lt;/i&gt;&lt;/i&gt;,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&lt;i&gt;&lt;i&gt;symbol&lt;/i&gt; of &lt;i&gt;death&lt;/i&gt;&lt;/i&gt; cannot trigger it and is immune to its effects, even if within its radius when it is triggered. You are automatically considered attuned to your own &lt;i&gt;symbol&lt;/i&gt;s of &lt;i&gt;&lt;i&gt;death&lt;/i&gt;,&lt;/i&gt; and thus always ignore the effects and cannot inadvertently trigger them.&lt;/p&gt;&lt;p&gt;&lt;i&gt;Read magic&lt;/i&gt; allows you to identify a &lt;i&gt;symbol&lt;/i&gt; with a Spellcraft check (DC 10 + the &lt;i&gt;symbol&lt;/i&gt;'s spell level). Of course, if the &lt;i&gt;symbol&lt;/i&gt; is set to be triggered by reading it, this will trigger the &lt;i&gt;symbol&lt;/i&gt;.&lt;/p&gt;&lt;p&gt;A &lt;i&gt;&lt;i&gt;symbol&lt;/i&gt; of &lt;i&gt;death&lt;/i&gt;&lt;/i&gt; can be removed by a successful &lt;i&gt;dispel magic&lt;/i&gt; targeted solely on the rune. An &lt;i&gt;erase&lt;/i&gt; spell has no effect on a &lt;i&gt;&lt;i&gt;symbol&lt;/i&gt; of &lt;i&gt;death&lt;/i&gt;&lt;/i&gt;. Destruction of the surface where a &lt;i&gt;&lt;i&gt;symbol&lt;/i&gt; of &lt;i&gt;death&lt;/i&gt;&lt;/i&gt; is inscribed destroys the &lt;i&gt;symbol&lt;/i&gt; but also triggers it.&lt;/p&gt;&lt;p&gt;&lt;i&gt;Symbol of &lt;i&gt;death&lt;/i&gt;&lt;/i&gt; can be made permanent with a &lt;i&gt;permanency&lt;/i&gt; spell.&lt;/p&gt;&lt;p&gt;A permanent &lt;i&gt;&lt;i&gt;symbol&lt;/i&gt; of &lt;i&gt;death&lt;/i&gt;&lt;/i&gt; that is disabled or has affected its maximum number of hit points becomes inactive for 10 minutes, but then can be triggered again as normal.&lt;/p&gt;&lt;p&gt;&lt;i&gt;Note:&lt;/i&gt; Magic traps such as &lt;i&gt;&lt;i&gt;symbol&lt;/i&gt; of &lt;i&gt;death&lt;/i&gt;&lt;/i&gt; are hard to detect and disable. A rogue (only) can use the Perception skill to find a &lt;i&gt;&lt;i&gt;symbol&lt;/i&gt; of &lt;i&gt;death&lt;/i&gt;&lt;/i&gt; and Disable Device to thwart it. The DC in each case is 25 + spell level, or 33 for &lt;i&gt;&lt;i&gt;symbol&lt;/i&gt; of &lt;i&gt;death&lt;/i&gt;&lt;/i&gt;.&lt;/p&gt;&lt;/h4&gt;&lt;/div&gt;</t>
  </si>
  <si>
    <t>Rune (8)</t>
  </si>
  <si>
    <t>Triggered rune kills nearby creatures.</t>
  </si>
  <si>
    <t>Death (16)</t>
  </si>
  <si>
    <t>Symbol of Fear</t>
  </si>
  <si>
    <t>cleric/oracle 6, sorcerer/wizard 6, witch 6, occultist 4</t>
  </si>
  <si>
    <t>V, S, M (mercury and phosphorus, plus powdered diamond and opal worth a total of 1,000 gp)</t>
  </si>
  <si>
    <t>This spell functions like symbol of death, except that all creatures within 60 feet of the symbol of fear instead become panicked for 1 round per caster level.  Note: Magic traps such as symbol of fear are hard to detect and disable. A rogue (only) can use the Perception skill to find a symbol of fear and Disable Device to thwart it. The DC in each case is 25 + spell level, or 31 for symbol of fear.</t>
  </si>
  <si>
    <t>&lt;p&gt;This spell functions like &lt;i&gt;&lt;i&gt;symbol of&lt;/i&gt; death&lt;/i&gt;, except that all creatures within 60 feet of the &lt;i&gt;&lt;i&gt;symbol of&lt;/i&gt; &lt;i&gt;fear&lt;/i&gt;&lt;/i&gt; instead become panicked for 1 round per caster level.&lt;/p&gt;&lt;p&gt;&lt;i&gt;Note:&lt;/i&gt; Magic traps such as &lt;i&gt;&lt;i&gt;symbol of&lt;/i&gt; &lt;i&gt;fear&lt;/i&gt;&lt;/i&gt; are hard to detect and disable. A rogue (only) can use the Perception skill to find a &lt;i&gt;&lt;i&gt;symbol of&lt;/i&gt; &lt;i&gt;fear&lt;/i&gt;&lt;/i&gt; and Disable Device to thwart it. The DC in each case is 25 + spell level, or 31 for &lt;i&gt;&lt;i&gt;symbol of&lt;/i&gt; &lt;i&gt;fear&lt;/i&gt;&lt;/i&gt;.&lt;/p&gt;</t>
  </si>
  <si>
    <t>&lt;link rel="stylesheet"href="PF.css"&gt;&lt;div class="heading"&gt;&lt;p class="alignleft"&gt;Symbol of Fear&lt;/p&gt;&lt;div style="clear: both;"&gt;&lt;/div&gt;&lt;/div&gt;&lt;div&gt;&lt;h5&gt;&lt;b&gt;School &lt;/b&gt;necromancy [fear, mind-affecting, emotion]; &lt;b&gt;Level &lt;/b&gt;cleric/oracle 6, sorcerer/wizard 6, witch 6, occultist 4&lt;/h5&gt;&lt;/div&gt;&lt;hr/&gt;&lt;div&gt;&lt;h5&gt;&lt;b&gt;CASTING&lt;/b&gt;&lt;/h5&gt;&lt;/div&gt;&lt;hr/&gt;&lt;div&gt;&lt;h5&gt;&lt;b&gt;Casting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60 feet of the &lt;i&gt;&lt;i&gt;symbol of&lt;/i&gt; &lt;i&gt;fear&lt;/i&gt;&lt;/i&gt; instead become panicked for 1 round per caster level.&lt;/p&gt;&lt;p&gt;&lt;i&gt;Note:&lt;/i&gt; Magic traps such as &lt;i&gt;&lt;i&gt;symbol of&lt;/i&gt; &lt;i&gt;fear&lt;/i&gt;&lt;/i&gt; are hard to detect and disable. A rogue (only) can use the Perception skill to find a &lt;i&gt;&lt;i&gt;symbol of&lt;/i&gt; &lt;i&gt;fear&lt;/i&gt;&lt;/i&gt; and Disable Device to thwart it. The DC in each case is 25 + spell level, or 31 for &lt;i&gt;&lt;i&gt;symbol of&lt;/i&gt; &lt;i&gt;fear&lt;/i&gt;&lt;/i&gt;.&lt;/p&gt;&lt;/h4&gt;&lt;/div&gt;</t>
  </si>
  <si>
    <t>Triggered rune panics nearby creatures.</t>
  </si>
  <si>
    <t>Symbol of Insanity</t>
  </si>
  <si>
    <t>V, S, M (mercury and phosphorus, plus powdered diamond and opal worth a total of 5,000 gp)</t>
  </si>
  <si>
    <t>This spell functions like symbol of death, except that all creatures within the radius of the symbol of insanity instead become permanently insane (as the insanity spell).  Unlike symbol of death, symbol of insanity has no hit point limit; once triggered, a symbol of insanity simply remains active for 10 minutes per caster level.  Note: Magic traps such as symbol of insanity are hard to detect and disable. A rogue (only) can use the Perception skill to find a symbol of insanity and Disable Device to thwart it. The DC in each case is 25 + spell level, or 33 for symbol of insanity.</t>
  </si>
  <si>
    <t>&lt;p&gt;This spell functions like &lt;i&gt;&lt;i&gt;symbol of&lt;/i&gt; death&lt;/i&gt;, except that all creatures within the radius of the &lt;i&gt;&lt;i&gt;symbol of&lt;/i&gt; &lt;i&gt;insanity&lt;/i&gt;&lt;/i&gt; instead become permanently insane (as the &lt;i&gt;insanity&lt;/i&gt; spell).&lt;/p&gt;&lt;p&gt;Unlike &lt;i&gt;&lt;i&gt;symbol of&lt;/i&gt; death&lt;/i&gt;, &lt;i&gt;&lt;i&gt;symbol of&lt;/i&gt; &lt;i&gt;insanity&lt;/i&gt;&lt;/i&gt; has no hit point limit; once triggered, a &lt;i&gt;&lt;i&gt;symbol of&lt;/i&gt; &lt;i&gt;insanity&lt;/i&gt;&lt;/i&gt; simply remains active for 10 minutes per caster level.&lt;/p&gt;&lt;p&gt;&lt;i&gt;Note:&lt;/i&gt; Magic traps such as &lt;i&gt;&lt;i&gt;symbol of&lt;/i&gt; &lt;i&gt;insanity&lt;/i&gt;&lt;/i&gt; are hard to detect and disable. A rogue (only) can use the Perception skill to find a &lt;i&gt;&lt;i&gt;symbol of&lt;/i&gt; &lt;i&gt;insanity&lt;/i&gt;&lt;/i&gt; and Disable Device to thwart it. The DC in each case is 25 + spell level, or 33 for &lt;i&gt;&lt;i&gt;symbol of&lt;/i&gt; &lt;i&gt;insanity&lt;/i&gt;&lt;/i&gt;.&lt;/p&gt;</t>
  </si>
  <si>
    <t>&lt;link rel="stylesheet"href="PF.css"&gt;&lt;div class="heading"&gt;&lt;p class="alignleft"&gt;Symbol of Insanity&lt;/p&gt;&lt;div style="clear: both;"&gt;&lt;/div&gt;&lt;/div&gt;&lt;div&gt;&lt;h5&gt;&lt;b&gt;School &lt;/b&gt;enchantment (compulsion) [mind-affecting]; &lt;b&gt;Level &lt;/b&gt;cleric/oracle 8, sorcerer/wizard 8, witch 8, occultist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the radius of the &lt;i&gt;&lt;i&gt;symbol of&lt;/i&gt; &lt;i&gt;insanity&lt;/i&gt;&lt;/i&gt; instead become permanently insane (as the &lt;i&gt;insanity&lt;/i&gt; spell).&lt;/p&gt;&lt;p&gt;Unlike &lt;i&gt;&lt;i&gt;symbol of&lt;/i&gt; death&lt;/i&gt;, &lt;i&gt;&lt;i&gt;symbol of&lt;/i&gt; &lt;i&gt;insanity&lt;/i&gt;&lt;/i&gt; has no hit point limit; once triggered, a &lt;i&gt;&lt;i&gt;symbol of&lt;/i&gt; &lt;i&gt;insanity&lt;/i&gt;&lt;/i&gt; simply remains active for 10 minutes per caster level.&lt;/p&gt;&lt;p&gt;&lt;i&gt;Note:&lt;/i&gt; Magic traps such as &lt;i&gt;&lt;i&gt;symbol of&lt;/i&gt; &lt;i&gt;insanity&lt;/i&gt;&lt;/i&gt; are hard to detect and disable. A rogue (only) can use the Perception skill to find a &lt;i&gt;&lt;i&gt;symbol of&lt;/i&gt; &lt;i&gt;insanity&lt;/i&gt;&lt;/i&gt; and Disable Device to thwart it. The DC in each case is 25 + spell level, or 33 for &lt;i&gt;&lt;i&gt;symbol of&lt;/i&gt; &lt;i&gt;insanity&lt;/i&gt;&lt;/i&gt;.&lt;/p&gt;&lt;/h4&gt;&lt;/div&gt;</t>
  </si>
  <si>
    <t>Triggered rune renders nearby creatures insane.</t>
  </si>
  <si>
    <t>Insanity (16)</t>
  </si>
  <si>
    <t>Symbol of Pain</t>
  </si>
  <si>
    <t>evil, pain</t>
  </si>
  <si>
    <t>cleric/oracle 5, sorcerer/wizard 5, witch 5, occultist 4, mesmerist 5</t>
  </si>
  <si>
    <t>This spell functions like symbol of death, except that each creature within the radius of a symbol of pain instead suffers wracking pains that impose a -4 penalty on attack rolls, skill checks, and ability checks. These effects last for 1 hour after the creature moves farther than 60 feet from the symbol.  Unlike symbol of death, symbol of pain has no hit point limit; once triggered, a symbol of pain simply remains active for 10 minutes per caster level.  Note: Magic traps such as symbol of pain are hard to detect and disable. A rogue (only) can use the Perception skill to find a symbol of pain and Disable Device to thwart it. The DC in each case is 25 + spell level, or 30 for symbol of pain.</t>
  </si>
  <si>
    <t>&lt;p&gt;This spell functions like &lt;i&gt;&lt;i&gt;symbol of&lt;/i&gt; death&lt;/i&gt;, except that each creature within the radius of a &lt;i&gt;&lt;i&gt;symbol of&lt;/i&gt; &lt;i&gt;pain&lt;/i&gt;&lt;/i&gt; instead suffers wracking &lt;i&gt;pain&lt;/i&gt;s that impose a -4 penalty on attack rolls, skill checks, and ability checks. These effects last for 1 hour after the creature moves farther than 60 feet from the symbol.&lt;/p&gt;&lt;p&gt;Unlike &lt;i&gt;&lt;i&gt;symbol of&lt;/i&gt; death&lt;/i&gt;, &lt;i&gt;&lt;i&gt;symbol of&lt;/i&gt; &lt;i&gt;pain&lt;/i&gt;&lt;/i&gt; has no hit point limit; once triggered, a &lt;i&gt;&lt;i&gt;symbol of&lt;/i&gt; &lt;i&gt;pain&lt;/i&gt;&lt;/i&gt; simply remains active for 10 minutes per caster level.&lt;/p&gt;&lt;p&gt;&lt;i&gt;Note:&lt;/i&gt; Magic traps such as &lt;i&gt;&lt;i&gt;symbol of&lt;/i&gt; &lt;i&gt;pain&lt;/i&gt;&lt;/i&gt; are hard to detect and disable. A rogue (only) can use the Perception skill to find a &lt;i&gt;&lt;i&gt;symbol of&lt;/i&gt; &lt;i&gt;pain&lt;/i&gt;&lt;/i&gt; and Disable Device to thwart it. The DC in each case is 25 + spell level, or 30 for &lt;i&gt;&lt;i&gt;symbol of&lt;/i&gt; &lt;i&gt;pain&lt;/i&gt;&lt;/i&gt;.&lt;/p&gt;</t>
  </si>
  <si>
    <t>&lt;link rel="stylesheet"href="PF.css"&gt;&lt;div class="heading"&gt;&lt;p class="alignleft"&gt;Symbol of Pain&lt;/p&gt;&lt;div style="clear: both;"&gt;&lt;/div&gt;&lt;/div&gt;&lt;div&gt;&lt;h5&gt;&lt;b&gt;School &lt;/b&gt;necromancy [evil, pain]; &lt;b&gt;Level &lt;/b&gt;cleric/oracle 5, sorcerer/wizard 5, witch 5, occultist 4, mesmerist 5&lt;/h5&gt;&lt;/div&gt;&lt;hr/&gt;&lt;div&gt;&lt;h5&gt;&lt;b&gt;CASTING&lt;/b&gt;&lt;/h5&gt;&lt;/div&gt;&lt;hr/&gt;&lt;div&gt;&lt;h5&gt;&lt;b&gt;Casting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functions like &lt;i&gt;&lt;i&gt;symbol of&lt;/i&gt; death&lt;/i&gt;, except that each creature within the radius of a &lt;i&gt;&lt;i&gt;symbol of&lt;/i&gt; &lt;i&gt;pain&lt;/i&gt;&lt;/i&gt; instead suffers wracking &lt;i&gt;pain&lt;/i&gt;s that impose a -4 penalty on attack rolls, skill checks, and ability checks. These effects last for 1 hour after the creature moves farther than 60 feet from the symbol.&lt;/p&gt;&lt;p&gt;Unlike &lt;i&gt;&lt;i&gt;symbol of&lt;/i&gt; death&lt;/i&gt;, &lt;i&gt;&lt;i&gt;symbol of&lt;/i&gt; &lt;i&gt;pain&lt;/i&gt;&lt;/i&gt; has no hit point limit; once triggered, a &lt;i&gt;&lt;i&gt;symbol of&lt;/i&gt; &lt;i&gt;pain&lt;/i&gt;&lt;/i&gt; simply remains active for 10 minutes per caster level.&lt;/p&gt;&lt;p&gt;&lt;i&gt;Note:&lt;/i&gt; Magic traps such as &lt;i&gt;&lt;i&gt;symbol of&lt;/i&gt; &lt;i&gt;pain&lt;/i&gt;&lt;/i&gt; are hard to detect and disable. A rogue (only) can use the Perception skill to find a &lt;i&gt;&lt;i&gt;symbol of&lt;/i&gt; &lt;i&gt;pain&lt;/i&gt;&lt;/i&gt; and Disable Device to thwart it. The DC in each case is 25 + spell level, or 30 for &lt;i&gt;&lt;i&gt;symbol of&lt;/i&gt; &lt;i&gt;pain&lt;/i&gt;&lt;/i&gt;.&lt;/p&gt;&lt;/h4&gt;&lt;/div&gt;</t>
  </si>
  <si>
    <t>Torture (5), Kyton (5)</t>
  </si>
  <si>
    <t>Triggered rune wracks nearby creatures with pain.</t>
  </si>
  <si>
    <t>Vengeance (10)</t>
  </si>
  <si>
    <t>Symbol of Persuasion</t>
  </si>
  <si>
    <t>cleric/oracle 6, sorcerer/wizard 6, witch 6, occultist 4, mesmerist 6</t>
  </si>
  <si>
    <t>This spell functions like symbol of death, except that all creatures within the radius of a symbol of persuasion instead become charmed by the caster (as the charm monster spell) for 1 hour per caster level.  Unlike symbol of death, symbol of persuasion has no hit point limit; once triggered, a symbol of persuasion simply remains active for 10 minutes per caster level.  Note: Magic traps such as symbol of persuasion are hard to detect and disable. A rogue (only) can use the Perception skill to find a symbol of persuasion and Disable Device to thwart it. The DC in each case is 25 + spell level, or 31 for symbol of persuasion.</t>
  </si>
  <si>
    <t>&lt;p&gt;This spell functions like &lt;i&gt;&lt;i&gt;symbol of&lt;/i&gt; death&lt;/i&gt;, except that all creatures within the radius of a &lt;i&gt;&lt;i&gt;symbol of&lt;/i&gt; &lt;i&gt;persuasion&lt;/i&gt;&lt;/i&gt; instead become charmed by the caster (as the &lt;i&gt;charm monster&lt;/i&gt; spell) for 1 hour per caster level.&lt;/p&gt;&lt;p&gt;Unlike &lt;i&gt;&lt;i&gt;symbol of&lt;/i&gt; death&lt;/i&gt;, &lt;i&gt;&lt;i&gt;symbol of&lt;/i&gt; &lt;i&gt;persuasion&lt;/i&gt;&lt;/i&gt; has no hit point limit; once triggered, a &lt;i&gt;&lt;i&gt;symbol of&lt;/i&gt; &lt;i&gt;persuasion&lt;/i&gt;&lt;/i&gt; simply remains active for 10 minutes per caster level.&lt;/p&gt;&lt;p&gt;&lt;i&gt;Note:&lt;/i&gt; Magic traps such as &lt;i&gt;&lt;i&gt;symbol of&lt;/i&gt; &lt;i&gt;persuasion&lt;/i&gt;&lt;/i&gt; are hard to detect and disable. A rogue (only) can use the Perception skill to find a &lt;i&gt;&lt;i&gt;symbol of&lt;/i&gt; &lt;i&gt;persuasion&lt;/i&gt;&lt;/i&gt; and Disable Device to thwart it. The DC in each case is 25 + spell level, or 31 for &lt;i&gt;&lt;i&gt;symbol of&lt;/i&gt; &lt;i&gt;persuasion&lt;/i&gt;&lt;/i&gt;.&lt;/p&gt;</t>
  </si>
  <si>
    <t>&lt;link rel="stylesheet"href="PF.css"&gt;&lt;div class="heading"&gt;&lt;p class="alignleft"&gt;Symbol of Persuasion&lt;/p&gt;&lt;div style="clear: both;"&gt;&lt;/div&gt;&lt;/div&gt;&lt;div&gt;&lt;h5&gt;&lt;b&gt;School &lt;/b&gt;enchantment (charm) [mind-affecting]; &lt;b&gt;Level &lt;/b&gt;cleric/oracle 6, sorcerer/wizard 6, witch 6, occultist 4, mesmerist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the radius of a &lt;i&gt;&lt;i&gt;symbol of&lt;/i&gt; &lt;i&gt;persuasion&lt;/i&gt;&lt;/i&gt; instead become charmed by the caster (as the &lt;i&gt;charm monster&lt;/i&gt; spell) for 1 hour per caster level.&lt;/p&gt;&lt;p&gt;Unlike &lt;i&gt;&lt;i&gt;symbol of&lt;/i&gt; death&lt;/i&gt;, &lt;i&gt;&lt;i&gt;symbol of&lt;/i&gt; &lt;i&gt;persuasion&lt;/i&gt;&lt;/i&gt; has no hit point limit; once triggered, a &lt;i&gt;&lt;i&gt;symbol of&lt;/i&gt; &lt;i&gt;persuasion&lt;/i&gt;&lt;/i&gt; simply remains active for 10 minutes per caster level.&lt;/p&gt;&lt;p&gt;&lt;i&gt;Note:&lt;/i&gt; Magic traps such as &lt;i&gt;&lt;i&gt;symbol of&lt;/i&gt; &lt;i&gt;persuasion&lt;/i&gt;&lt;/i&gt; are hard to detect and disable. A rogue (only) can use the Perception skill to find a &lt;i&gt;&lt;i&gt;symbol of&lt;/i&gt; &lt;i&gt;persuasion&lt;/i&gt;&lt;/i&gt; and Disable Device to thwart it. The DC in each case is 25 + spell level, or 31 for &lt;i&gt;&lt;i&gt;symbol of&lt;/i&gt; &lt;i&gt;persuasion&lt;/i&gt;&lt;/i&gt;.&lt;/p&gt;&lt;/h4&gt;&lt;/div&gt;</t>
  </si>
  <si>
    <t>Revolution (6), Tyranny (7)</t>
  </si>
  <si>
    <t>Triggered rune charms nearby creatures.</t>
  </si>
  <si>
    <t>Symbol of Sleep</t>
  </si>
  <si>
    <t>This spell functions like symbol of death, except that all creatures of 10 HD or less within 60 feet of the symbol of sleep instead fall into a catatonic slumber for 3d6 x 10 minutes. Unlike with the sleep spell, sleeping creatures cannot be awakened by nonmagical means before this time expires.  Unlike symbol of death, symbol of sleep has no hit point limit; once triggered, a symbol of sleep simply remains active for 10 minutes per caster level.  Note: Magic traps such as symbol of sleep are hard to detect and disable. A rogue (only) can use the Perception skill to find a symbol of sleep and Disable Device to thwart it. The DC in each case is 25 + spell level, or 30 for symbol of sleep.</t>
  </si>
  <si>
    <t>&lt;p&gt;This spell functions like &lt;i&gt;&lt;i&gt;symbol of&lt;/i&gt; death&lt;/i&gt;, except that all creatures of 10 HD or less within 60 feet of the &lt;i&gt;&lt;i&gt;symbol of&lt;/i&gt; &lt;i&gt;sleep&lt;/i&gt;&lt;/i&gt; instead fall into a catatonic slumber for 3d6 x 10 minutes. Unlike with the &lt;i&gt;sleep&lt;/i&gt; spell, &lt;i&gt;sleep&lt;/i&gt;ing creatures cannot be awakened by nonmagical means before this time expires.&lt;/p&gt;&lt;p&gt;Unlike &lt;i&gt;&lt;i&gt;symbol of&lt;/i&gt; death&lt;/i&gt;, &lt;i&gt;&lt;i&gt;symbol of&lt;/i&gt; &lt;i&gt;sleep&lt;/i&gt;&lt;/i&gt; has no hit point limit; once triggered, a &lt;i&gt;&lt;i&gt;symbol of&lt;/i&gt; &lt;i&gt;sleep&lt;/i&gt;&lt;/i&gt; simply remains active for 10 minutes per caster level.&lt;/p&gt;&lt;p&gt;&lt;i&gt;Note:&lt;/i&gt; Magic traps such as &lt;i&gt;&lt;i&gt;symbol of&lt;/i&gt; &lt;i&gt;sleep&lt;/i&gt;&lt;/i&gt; are hard to detect and disable. A rogue (only) can use the Perception skill to find a &lt;i&gt;&lt;i&gt;symbol of&lt;/i&gt; &lt;i&gt;sleep&lt;/i&gt;&lt;/i&gt; and Disable Device to thwart it. The DC in each case is 25 + spell level, or 30 for &lt;i&gt;&lt;i&gt;symbol of&lt;/i&gt; &lt;i&gt;sleep&lt;/i&gt;&lt;/i&gt;.&lt;/p&gt;</t>
  </si>
  <si>
    <t>&lt;link rel="stylesheet"href="PF.css"&gt;&lt;div class="heading"&gt;&lt;p class="alignleft"&gt;Symbol of Sleep&lt;/p&gt;&lt;div style="clear: both;"&gt;&lt;/div&gt;&lt;/div&gt;&lt;div&gt;&lt;h5&gt;&lt;b&gt;School &lt;/b&gt;enchantment (compulsion) [mind-affecting]; &lt;b&gt;Level &lt;/b&gt;cleric/oracle 5, sorcerer/wizard 5, witch 5, occultist 4, mesmerist 5&lt;/h5&gt;&lt;/div&gt;&lt;hr/&gt;&lt;div&gt;&lt;h5&gt;&lt;b&gt;CASTING&lt;/b&gt;&lt;/h5&gt;&lt;/div&gt;&lt;hr/&gt;&lt;div&gt;&lt;h5&gt;&lt;b&gt;Casting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of 10 HD or less within 60 feet of the &lt;i&gt;&lt;i&gt;symbol of&lt;/i&gt; &lt;i&gt;sleep&lt;/i&gt;&lt;/i&gt; instead fall into a catatonic slumber for 3d6 x 10 minutes. Unlike with the &lt;i&gt;sleep&lt;/i&gt; spell, &lt;i&gt;sleep&lt;/i&gt;ing creatures cannot be awakened by nonmagical means before this time expires.&lt;/p&gt;&lt;p&gt;Unlike &lt;i&gt;&lt;i&gt;symbol of&lt;/i&gt; death&lt;/i&gt;, &lt;i&gt;&lt;i&gt;symbol of&lt;/i&gt; &lt;i&gt;sleep&lt;/i&gt;&lt;/i&gt; has no hit point limit; once triggered, a &lt;i&gt;&lt;i&gt;symbol of&lt;/i&gt; &lt;i&gt;sleep&lt;/i&gt;&lt;/i&gt; simply remains active for 10 minutes per caster level.&lt;/p&gt;&lt;p&gt;&lt;i&gt;Note:&lt;/i&gt; Magic traps such as &lt;i&gt;&lt;i&gt;symbol of&lt;/i&gt; &lt;i&gt;sleep&lt;/i&gt;&lt;/i&gt; are hard to detect and disable. A rogue (only) can use the Perception skill to find a &lt;i&gt;&lt;i&gt;symbol of&lt;/i&gt; &lt;i&gt;sleep&lt;/i&gt;&lt;/i&gt; and Disable Device to thwart it. The DC in each case is 25 + spell level, or 30 for &lt;i&gt;&lt;i&gt;symbol of&lt;/i&gt; &lt;i&gt;sleep&lt;/i&gt;&lt;/i&gt;.&lt;/p&gt;&lt;/h4&gt;&lt;/div&gt;</t>
  </si>
  <si>
    <t>Triggered rune puts nearby creatures into catatonic slumber.</t>
  </si>
  <si>
    <t>Symbol of Stunning</t>
  </si>
  <si>
    <t>cleric/oracle 7, sorcerer/wizard 7, witch 7, occultist 5</t>
  </si>
  <si>
    <t>This spell functions like symbol of death, except that all creatures within 60 feet of a symbol of stunning instead become stunned for 1d6 rounds.  Note: Magic traps such as symbol of stunning are hard to detect and disable. A rogue (only) can use the Perception skill to find a symbol of stunning and Disable Device to thwart it. The DC in each case is 25 + spell level, or 32 for symbol of stunning.</t>
  </si>
  <si>
    <t>&lt;p&gt;This spell functions like &lt;i&gt;&lt;i&gt;symbol of&lt;/i&gt; death&lt;/i&gt;, except that all creatures within 60 feet of a &lt;i&gt;&lt;i&gt;symbol of&lt;/i&gt; &lt;i&gt;stunning&lt;/i&gt;&lt;/i&gt; instead become stunned for 1d6 rounds.&lt;/p&gt;&lt;p&gt;&lt;i&gt;Note:&lt;/i&gt; Magic traps such as &lt;i&gt;&lt;i&gt;symbol of&lt;/i&gt; &lt;i&gt;stunning&lt;/i&gt;&lt;/i&gt; are hard to detect and disable. A rogue (only) can use the Perception skill to find a &lt;i&gt;&lt;i&gt;symbol of&lt;/i&gt; &lt;i&gt;stunning&lt;/i&gt;&lt;/i&gt; and Disable Device to thwart it. The DC in each case is 25 + spell level, or 32 for &lt;i&gt;&lt;i&gt;symbol of&lt;/i&gt; &lt;i&gt;stunning&lt;/i&gt;&lt;/i&gt;.&lt;/p&gt;</t>
  </si>
  <si>
    <t>&lt;link rel="stylesheet"href="PF.css"&gt;&lt;div class="heading"&gt;&lt;p class="alignleft"&gt;Symbol of Stunning&lt;/p&gt;&lt;div style="clear: both;"&gt;&lt;/div&gt;&lt;/div&gt;&lt;div&gt;&lt;h5&gt;&lt;b&gt;School &lt;/b&gt;enchantment (compulsion) [mind-affecting]; &lt;b&gt;Level &lt;/b&gt;cleric/oracle 7, sorcerer/wizard 7, witch 7, occultist 5&lt;/h5&gt;&lt;/div&gt;&lt;hr/&gt;&lt;div&gt;&lt;h5&gt;&lt;b&gt;CASTING&lt;/b&gt;&lt;/h5&gt;&lt;/div&gt;&lt;hr/&gt;&lt;div&gt;&lt;h5&gt;&lt;b&gt;Casting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60 feet of a &lt;i&gt;&lt;i&gt;symbol of&lt;/i&gt; &lt;i&gt;stunning&lt;/i&gt;&lt;/i&gt; instead become stunned for 1d6 rounds.&lt;/p&gt;&lt;p&gt;&lt;i&gt;Note:&lt;/i&gt; Magic traps such as &lt;i&gt;&lt;i&gt;symbol of&lt;/i&gt; &lt;i&gt;stunning&lt;/i&gt;&lt;/i&gt; are hard to detect and disable. A rogue (only) can use the Perception skill to find a &lt;i&gt;&lt;i&gt;symbol of&lt;/i&gt; &lt;i&gt;stunning&lt;/i&gt;&lt;/i&gt; and Disable Device to thwart it. The DC in each case is 25 + spell level, or 32 for &lt;i&gt;&lt;i&gt;symbol of&lt;/i&gt; &lt;i&gt;stunning&lt;/i&gt;&lt;/i&gt;.&lt;/p&gt;&lt;/h4&gt;&lt;/div&gt;</t>
  </si>
  <si>
    <t>Triggered rune stuns nearby creatures.</t>
  </si>
  <si>
    <t>Symbol Of Weakness</t>
  </si>
  <si>
    <t>This spell functions like symbol of death, except that every creature within 60 feet of a symbol of weakness instead suffers crippling weakness that deals 3d6 points of Strength damage.  Unlike symbol of death, symbol of weakness has no hit point limit; once triggered, a symbol of weakness simply remains active for 10 minutes per caster level. A creature can only be affected by this symbol once.  Note: Magic traps such as symbol of weakness are hard to detect and disable. While any character can use Perception to find a symbol, only a character with the trapfinding class feature can use Disable Device to disarm it. The DC in each case is 25 + spell level, or 32 for symbol of weakness.</t>
  </si>
  <si>
    <t>&lt;p&gt;This spell functions like &lt;i&gt;symbol of death&lt;/i&gt;, except that every creature within 60 feet of a &lt;i&gt;symbol of weakness&lt;/i&gt; instead suffers crippling weakness that deals 3d6 points of Strength damage.&lt;/p&gt;&lt;p&gt;Unlike &lt;i&gt;symbol of death&lt;/i&gt;, &lt;i&gt;symbol of weakness&lt;/i&gt; has no hit point limit; once triggered, a &lt;i&gt;symbol of weakness&lt;/i&gt; simply remains active for 10 minutes per caster level. A creature can only be affected by this symbol once.&lt;/p&gt;&lt;p&gt;&lt;i&gt;Note&lt;/i&gt;: Magic traps such as &lt;i&gt;symbol of weakness&lt;/i&gt; are hard to detect and disable. While any character can use Perception to find a symbol, only a character with the trapfinding class feature can use Disable Device to disarm it. The DC in each case is 25 + spell level, or 32 for &lt;i&gt;symbol of weakness&lt;/i&gt;.&lt;/p&gt;</t>
  </si>
  <si>
    <t>&lt;link rel="stylesheet"href="PF.css"&gt;&lt;div class="heading"&gt;&lt;p class="alignleft"&gt;Symbol Of Weakness&lt;/p&gt;&lt;div style="clear: both;"&gt;&lt;/div&gt;&lt;/div&gt;&lt;div&gt;&lt;h5&gt;&lt;b&gt;School &lt;/b&gt;necromancy; &lt;b&gt;Level &lt;/b&gt;cleric/oracle 7, sorcerer/wizard 7, witch 7, occultist 5&lt;/h5&gt;&lt;/div&gt;&lt;hr/&gt;&lt;div&gt;&lt;h5&gt;&lt;b&gt;CASTING&lt;/b&gt;&lt;/h5&gt;&lt;/div&gt;&lt;hr/&gt;&lt;div&gt;&lt;h5&gt;&lt;b&gt;Casting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functions like &lt;i&gt;symbol of death&lt;/i&gt;, except that every creature within 60 feet of a &lt;i&gt;symbol of weakness&lt;/i&gt; instead suffers crippling weakness that deals 3d6 points of Strength damage.&lt;/p&gt;&lt;p&gt;Unlike &lt;i&gt;symbol of death&lt;/i&gt;, &lt;i&gt;symbol of weakness&lt;/i&gt; has no hit point limit; once triggered, a &lt;i&gt;symbol of weakness&lt;/i&gt; simply remains active for 10 minutes per caster level. A creature can only be affected by this symbol once.&lt;/p&gt;&lt;p&gt;&lt;i&gt;Note&lt;/i&gt;: Magic traps such as &lt;i&gt;symbol of weakness&lt;/i&gt; are hard to detect and disable. While any character can use Perception to find a symbol, only a character with the trapfinding class feature can use Disable Device to disarm it. The DC in each case is 25 + spell level, or 32 for &lt;i&gt;symbol of weakness&lt;/i&gt;.&lt;/p&gt;&lt;/h4&gt;&lt;/div&gt;</t>
  </si>
  <si>
    <t>Triggered rune weakens nearby creatures.</t>
  </si>
  <si>
    <t>Sympathetic Vibration</t>
  </si>
  <si>
    <t>bard 6</t>
  </si>
  <si>
    <t>V, S, F (a tuning fork)</t>
  </si>
  <si>
    <t>one freestanding structure</t>
  </si>
  <si>
    <t>up to 1 round/level</t>
  </si>
  <si>
    <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  Sympathetic vibration cannot affect creatures (including constructs). Since a structure is an unattended object, it gets no saving throw to resist the effect.</t>
  </si>
  <si>
    <t>&lt;p&gt;By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occurs.&lt;/p&gt;&lt;p&gt;&lt;i&gt;Sympathetic vibration&lt;/i&gt; cannot affect creatures (including constructs). Since a structure is an unattended object, it gets no saving throw to resist the effect.&lt;/p&gt;</t>
  </si>
  <si>
    <t>&lt;link rel="stylesheet"href="PF.css"&gt;&lt;div class="heading"&gt;&lt;p class="alignleft"&gt;Sympathetic Vibration&lt;/p&gt;&lt;div style="clear: both;"&gt;&lt;/div&gt;&lt;/div&gt;&lt;div&gt;&lt;h5&gt;&lt;b&gt;School &lt;/b&gt;evocation [sonic]; &lt;b&gt;Level &lt;/b&gt;bard 6&lt;/h5&gt;&lt;/div&gt;&lt;hr/&gt;&lt;div&gt;&lt;h5&gt;&lt;b&gt;CASTING&lt;/b&gt;&lt;/h5&gt;&lt;/div&gt;&lt;hr/&gt;&lt;div&gt;&lt;h5&gt;&lt;b&gt;Casting Time &lt;/b&gt;10 minutes&lt;/h5&gt;&lt;h5&gt;&lt;b&gt;Components &lt;/b&gt;V, S, F (a tuning fork)&lt;/h5&gt;&lt;/div&gt;&lt;hr/&gt;&lt;div&gt;&lt;h5&gt;&lt;b&gt;EFFECT&lt;/b&gt;&lt;/h5&gt;&lt;/div&gt;&lt;hr/&gt;&lt;div&gt;&lt;h5&gt;&lt;b&gt;Range &lt;/b&gt;touch&lt;/h5&gt;&lt;h5&gt;&lt;b&gt;Targets &lt;/b&gt;one freestanding structure&lt;/h5&gt;&lt;h5&gt;&lt;b&gt;Duration &lt;/b&gt;up to 1 round/level&lt;/h5&gt;&lt;h5&gt;&lt;b&gt;Saving Throw &lt;/b&gt;none; see text; &lt;b&gt;Spell Resistance &lt;/b&gt;yes&lt;/h5&gt;&lt;/div&gt;&lt;hr/&gt;&lt;div&gt;&lt;h5&gt;&lt;b&gt;DESCRIPTION&lt;/b&gt;&lt;/h5&gt;&lt;/div&gt;&lt;hr/&gt;&lt;div&gt;&lt;h4&gt;&lt;p&gt;By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occurs.&lt;/p&gt;&lt;p&gt;&lt;i&gt;Sympathetic vibration&lt;/i&gt; cannot affect creatures (including constructs). Since a structure is an unattended object, it gets no saving throw to resist the effect.&lt;/p&gt;&lt;/h4&gt;&lt;/div&gt;</t>
  </si>
  <si>
    <t> Deals 2d10 damage/round to freestanding structure.</t>
  </si>
  <si>
    <t>Sympathy</t>
  </si>
  <si>
    <t>druid 9, sorcerer/wizard 8, summoner 6, witch 8, occultist 6, psychic 8</t>
  </si>
  <si>
    <t>V, S, M (a drop of honey and crushed pearls worth 1,500 gp)</t>
  </si>
  <si>
    <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 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 Sympathy counters and dispels antipathy.</t>
  </si>
  <si>
    <t>&lt;p&gt;You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named.&lt;/p&gt;&lt;p&gt;Creatures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object.&lt;/p&gt;&lt;p&gt;&lt;i&gt;Sympathy&lt;/i&gt; counters and dispels &lt;i&gt;antipathy&lt;/i&gt;.&lt;/p&gt;</t>
  </si>
  <si>
    <t>&lt;link rel="stylesheet"href="PF.css"&gt;&lt;div class="heading"&gt;&lt;p class="alignleft"&gt;Sympathy&lt;/p&gt;&lt;div style="clear: both;"&gt;&lt;/div&gt;&lt;/div&gt;&lt;div&gt;&lt;h5&gt;&lt;b&gt;School &lt;/b&gt;enchantment (compulsion) [mind-affecting, emotion]; &lt;b&gt;Level &lt;/b&gt;druid 9, sorcerer/wizard 8, summoner 6, witch 8, occultist 6, psychic 8&lt;/h5&gt;&lt;/div&gt;&lt;hr/&gt;&lt;div&gt;&lt;h5&gt;&lt;b&gt;CASTING&lt;/b&gt;&lt;/h5&gt;&lt;/div&gt;&lt;hr/&gt;&lt;div&gt;&lt;h5&gt;&lt;b&gt;Casting Time &lt;/b&gt;1 hour&lt;/h5&gt;&lt;h5&gt;&lt;b&gt;Components &lt;/b&gt;V, S, M (a drop of honey and crushed pearls worth 1,500 gp)&lt;/h5&gt;&lt;/div&gt;&lt;hr/&gt;&lt;div&gt;&lt;h5&gt;&lt;b&gt;EFFECT&lt;/b&gt;&lt;/h5&gt;&lt;/div&gt;&lt;hr/&gt;&lt;div&gt;&lt;h5&gt;&lt;b&gt;Range &lt;/b&gt;close (25 ft. + 5 ft./2 levels)&lt;/h5&gt;&lt;h5&gt;&lt;b&gt;Targets &lt;/b&gt;one location (up to a 10-ft. cube/level) or one object&lt;/h5&gt;&lt;h5&gt;&lt;b&gt;Duration &lt;/b&gt;2 hours/level (D)&lt;/h5&gt;&lt;h5&gt;&lt;b&gt;Saving Throw &lt;/b&gt;Will negates; see text; &lt;b&gt;Spell Resistance &lt;/b&gt;yes&lt;/h5&gt;&lt;/div&gt;&lt;hr/&gt;&lt;div&gt;&lt;h5&gt;&lt;b&gt;DESCRIPTION&lt;/b&gt;&lt;/h5&gt;&lt;/div&gt;&lt;hr/&gt;&lt;div&gt;&lt;h4&gt;&lt;p&gt;You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named.&lt;/p&gt;&lt;p&gt;Creatures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object.&lt;/p&gt;&lt;p&gt;&lt;i&gt;Sympathy&lt;/i&gt; counters and dispels &lt;i&gt;antipathy&lt;/i&gt;.&lt;/p&gt;&lt;/h4&gt;&lt;/div&gt;</t>
  </si>
  <si>
    <t>Object or location attracts certain creatures.</t>
  </si>
  <si>
    <t>Telekinesis</t>
  </si>
  <si>
    <t>sorcerer/wizard 5, magus 5, occultist 5, psychic 4, spiritualist 5</t>
  </si>
  <si>
    <t>or  see text</t>
  </si>
  <si>
    <t>concentration (up to 1 round/level) or instantaneous; see text</t>
  </si>
  <si>
    <t>Will negates (object) or none; see text</t>
  </si>
  <si>
    <t>yes (object); see text</t>
  </si>
  <si>
    <t>You move objects or creatures by concentrating on them.  Depending on the version selected, the spell can provide a gentle, sustained force, perform a variety of combat maneuvers, or exert a single short, violent thrust.  Sustained Force: A sustained force moves an object weighing no more than 25 pounds per caster level (maximum 375 pounds at 15th level) up to 20 feet per round. A creature can negate the effect on an object it possesses with a successful Will save or with spell resistance.  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  An object can be telekinetically manipulated as if with one hand.  For example, a lever or rope can be pulled, a key can be turned, an object rotated, and so on, if the force required is within the weight limitation. You might even be able to untie simple knots, though delicate activities such as these require DC 15 Intelligence checks.  Combat Maneuver: Alternatively, once per round, you can use telekinesis to perform a bull rush, disarm, grapple (including pin), or trip. Resolve these attempts as normal, except that they don't provoke attacks of opportunity, you use your caster level in place of your Combat Maneuver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  Violent Thrust: Alternatively, the spell energy can be spent in a single round. You can hurl one object or creature per caster level (maximum 15) that are within range and all within 10 feet of each other toward any target within 10 feet per level of all the objects.  You can hurl up to a total weight of 25 pounds per caster level (maximum 375 pounds at 15th level).  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who fall within the weight capacity of the spell can be hurled, but they are allowed Will saves (and spell resistance) to negate the effect, as are those whose held possessions are targeted by the spell.  If a telekinesed creature is hurled against a solid surface, it takes damage as if it had fallen 10 feet (1d6 points).</t>
  </si>
  <si>
    <t>&lt;p&gt;You move objects or creatures by concentrating on them.&lt;/p&gt;&lt;p&gt;Depending on the version selected, the spell can provide a gentle, sustained force, perform a variety of combat maneuvers, or exert a single short, violent thrust.&lt;/p&gt;&lt;p&gt;&lt;i&gt;Sustained Force&lt;/i&gt;: A sustained force moves an object weighing no more than 25 pounds per caster level (maximum 375 pounds at 15th level) up to 20 feet per round. A creature can negate the effect on an object it possesses with a successful Will save or with spell resistance.&lt;/p&gt;&lt;p&gt;This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stops.&lt;/p&gt;&lt;p&gt;An object can be telekinetically manipulated as if with one hand.&lt;/p&gt;&lt;p&gt;For example, a lever or rope can be pulled, a key can be turned, an object rotated, and so on, if the force required is within the weight limitation. You might even be able to untie simple knots, though delicate activities such as these require DC 15 Intelligence checks.&lt;/p&gt;&lt;p&gt;&lt;i&gt;Combat Maneuver&lt;/i&gt;: Alternatively, once per round, you can use &lt;i&gt;telekinesis&lt;/i&gt; to perform a bull rush, disarm, grapple (including pin), or trip. Resolve these attempts as normal, except that they don't provoke attacks of opportunity, you use your caster level in place of your &lt;i&gt;Combat Maneuver&lt;/i&gt;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concentration.&lt;/p&gt;&lt;p&gt;&lt;i&gt;Violent Thrust&lt;/i&gt;: Alternatively, the spell energy can be spent in a single round. You can hurl one object or creature per caster level (maximum 15) that are within range and all within 10 feet of each other toward any target within 10 feet per level of all the objects.&lt;/p&gt;&lt;p&gt;You can hurl up to a total weight of 25 pounds per caster level (maximum 375 pounds at 15th level).&lt;/p&gt;&lt;p&gt;You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objects).&lt;/p&gt;&lt;p&gt;Objects and creatures that miss their target land in a square adjacent to the target.&lt;/p&gt;&lt;p&gt;Creatures who fall within the weight capacity of the spell can be hurled, but they are allowed Will saves (and spell resistance) to negate the effect, as are those whose held possessions are targeted by the spell.&lt;/p&gt;&lt;p&gt;If a telekinesed creature is hurled against a solid surface, it takes damage as if it had fallen 10 feet (1d6 points).&lt;/p&gt;</t>
  </si>
  <si>
    <t>&lt;link rel="stylesheet"href="PF.css"&gt;&lt;div class="heading"&gt;&lt;p class="alignleft"&gt;Telekinesis&lt;/p&gt;&lt;div style="clear: both;"&gt;&lt;/div&gt;&lt;/div&gt;&lt;div&gt;&lt;h5&gt;&lt;b&gt;School &lt;/b&gt;transmutation; &lt;b&gt;Level &lt;/b&gt;sorcerer/wizard 5, magus 5, occultist 5, psychic 4, spiritualist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&lt;/b&gt;or  see text&lt;/h5&gt;&lt;h5&gt;&lt;b&gt;Duration &lt;/b&gt;concentration (up to 1 round/level) or instantaneous; see text&lt;/h5&gt;&lt;h5&gt;&lt;b&gt;Saving Throw &lt;/b&gt;Will negates (object) or none; see text; &lt;b&gt;Spell Resistance &lt;/b&gt;yes (object); see text&lt;/h5&gt;&lt;/div&gt;&lt;hr/&gt;&lt;div&gt;&lt;h5&gt;&lt;b&gt;DESCRIPTION&lt;/b&gt;&lt;/h5&gt;&lt;/div&gt;&lt;hr/&gt;&lt;div&gt;&lt;h4&gt;&lt;p&gt;You move objects or creatures by concentrating on them.&lt;/p&gt;&lt;p&gt;Depending on the version selected, the spell can provide a gentle, sustained force, perform a variety of combat maneuvers, or exert a single short, violent thrust.&lt;/p&gt;&lt;p&gt;&lt;i&gt;Sustained Force&lt;/i&gt;: A sustained force moves an object weighing no more than 25 pounds per caster level (maximum 375 pounds at 15th level) up to 20 feet per round. A creature can negate the effect on an object it possesses with a successful Will save or with spell resistance.&lt;/p&gt;&lt;p&gt;This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stops.&lt;/p&gt;&lt;p&gt;An object can be telekinetically manipulated as if with one hand.&lt;/p&gt;&lt;p&gt;For example, a lever or rope can be pulled, a key can be turned, an object rotated, and so on, if the force required is within the weight limitation. You might even be able to untie simple knots, though delicate activities such as these require DC 15 Intelligence checks.&lt;/p&gt;&lt;p&gt;&lt;i&gt;Combat Maneuver&lt;/i&gt;: Alternatively, once per round, you can use &lt;i&gt;telekinesis&lt;/i&gt; to perform a bull rush, disarm, grapple (including pin), or trip. Resolve these attempts as normal, except that they don't provoke attacks of opportunity, you use your caster level in place of your &lt;i&gt;Combat Maneuver&lt;/i&gt;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concentration.&lt;/p&gt;&lt;p&gt;&lt;i&gt;Violent Thrust&lt;/i&gt;: Alternatively, the spell energy can be spent in a single round. You can hurl one object or creature per caster level (maximum 15) that are within range and all within 10 feet of each other toward any target within 10 feet per level of all the objects.&lt;/p&gt;&lt;p&gt;You can hurl up to a total weight of 25 pounds per caster level (maximum 375 pounds at 15th level).&lt;/p&gt;&lt;p&gt;You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objects).&lt;/p&gt;&lt;p&gt;Objects and creatures that miss their target land in a square adjacent to the target.&lt;/p&gt;&lt;p&gt;Creatures who fall within the weight capacity of the spell can be hurled, but they are allowed Will saves (and spell resistance) to negate the effect, as are those whose held possessions are targeted by the spell.&lt;/p&gt;&lt;p&gt;If a telekinesed creature is hurled against a solid surface, it takes damage as if it had fallen 10 feet (1d6 points).&lt;/p&gt;&lt;/h4&gt;&lt;h5&gt;&lt;b&gt;Mythic: &lt;/b&gt;The duration of this spell changes to 1 round per 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 per caster level (maximum 750 pounds).&lt;/h5&gt;&lt;/div&gt;</t>
  </si>
  <si>
    <t> Moves object, attacks creature, or hurls object or creature.</t>
  </si>
  <si>
    <t>The duration of this spell changes to 1 round per 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 per caster level (maximum 750 pounds).</t>
  </si>
  <si>
    <t>Telekinetic Sphere</t>
  </si>
  <si>
    <t>sorcerer/wizard 8, psychic 7</t>
  </si>
  <si>
    <t>V, S, M (a crystal sphere and a pair of small magnets)</t>
  </si>
  <si>
    <t>1-ft.-diameter/level sphere, centered around creatures or objects</t>
  </si>
  <si>
    <t>Reflex negates (object)</t>
  </si>
  <si>
    <t>This spell functions like resilient sphere, but the creatures or objects caught inside the globe created by the spell are made nearly weightless. Anything contained within a telekinetic sphere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  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  The sphere falls at a rate of only 60 feet per round, which is not fast enough to cause damage to the contents of the sphere.  You can move the sphere telekinetically even if you are in it.</t>
  </si>
  <si>
    <t>&lt;p&gt;This spell functions like &lt;i&gt;resilient sphere,&lt;/i&gt; but the creatures or objects caught inside the globe created by the spell are made nearly weightless. Anything contained within a &lt;i&gt;telekinetic sphere&lt;/i&gt;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contents.&lt;/p&gt;&lt;p&gt;You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duration.&lt;/p&gt;&lt;p&gt;The sphere falls at a rate of only 60 feet per round, which is not fast enough to cause damage to the contents of the sphere.&lt;/p&gt;&lt;p&gt;You can move the sphere telekinetically even if you are in it.&lt;/p&gt;</t>
  </si>
  <si>
    <t>&lt;link rel="stylesheet"href="PF.css"&gt;&lt;div class="heading"&gt;&lt;p class="alignleft"&gt;Telekinetic Sphere&lt;/p&gt;&lt;div style="clear: both;"&gt;&lt;/div&gt;&lt;/div&gt;&lt;div&gt;&lt;h5&gt;&lt;b&gt;School &lt;/b&gt;evocation [force]; &lt;b&gt;Level &lt;/b&gt;sorcerer/wizard 8, psychic 7&lt;/h5&gt;&lt;/div&gt;&lt;hr/&gt;&lt;div&gt;&lt;h5&gt;&lt;b&gt;CASTING&lt;/b&gt;&lt;/h5&gt;&lt;/div&gt;&lt;hr/&gt;&lt;div&gt;&lt;h5&gt;&lt;b&gt;Casting Time &lt;/b&gt;1 standard action&lt;/h5&gt;&lt;h5&gt;&lt;b&gt;Components &lt;/b&gt;V, S, M (a crystal sphere and a pair of small magnets)&lt;/h5&gt;&lt;/div&gt;&lt;hr/&gt;&lt;div&gt;&lt;h5&gt;&lt;b&gt;EFFECT&lt;/b&gt;&lt;/h5&gt;&lt;/div&gt;&lt;hr/&gt;&lt;div&gt;&lt;h5&gt;&lt;b&gt;Range &lt;/b&gt;close (25 ft. + 5 ft./2 levels)&lt;/h5&gt;&lt;h5&gt;&lt;b&gt;Effect &lt;/b&gt;1-ft.-diameter/level sphere, centered around creatures or objects&lt;/h5&gt;&lt;h5&gt;&lt;b&gt;Duration &lt;/b&gt;1 min./level (D)&lt;/h5&gt;&lt;h5&gt;&lt;b&gt;Saving Throw &lt;/b&gt;Reflex negates (object); &lt;b&gt;Spell Resistance &lt;/b&gt;yes (object)&lt;/h5&gt;&lt;/div&gt;&lt;hr/&gt;&lt;div&gt;&lt;h5&gt;&lt;b&gt;DESCRIPTION&lt;/b&gt;&lt;/h5&gt;&lt;/div&gt;&lt;hr/&gt;&lt;div&gt;&lt;h4&gt;&lt;p&gt;This spell functions like &lt;i&gt;resilient sphere,&lt;/i&gt; but the creatures or objects caught inside the globe created by the spell are made nearly weightless. Anything contained within a &lt;i&gt;telekinetic sphere&lt;/i&gt;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contents.&lt;/p&gt;&lt;p&gt;You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duration.&lt;/p&gt;&lt;p&gt;The sphere falls at a rate of only 60 feet per round, which is not fast enough to cause damage to the contents of the sphere.&lt;/p&gt;&lt;p&gt;You can move the sphere telekinetically even if you are in it.&lt;/p&gt;&lt;/h4&gt;&lt;/div&gt;</t>
  </si>
  <si>
    <t> As resilient sphere, but you move the sphere telekinetically.</t>
  </si>
  <si>
    <t>Telepathic Bond</t>
  </si>
  <si>
    <t>sorcerer/wizard 5, witch 5, inquisitor 5, psychic 4, mesmerist 4, spiritualist 5</t>
  </si>
  <si>
    <t>V, S, M (two eggshells from two different creatures)</t>
  </si>
  <si>
    <t>you plus one willing creature per three levels, no two of which can be more than 30 ft. apart</t>
  </si>
  <si>
    <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  If desired, you may leave yourself out of the telepathic bond forged. This decision must be made at the time of casting.  Telepathic bond can be made permanent with a permanency spell, though it only bonds two creatures per casting of permanency.</t>
  </si>
  <si>
    <t>&lt;p&gt;You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another).&lt;/p&gt;&lt;p&gt;If desired, you may leave yourself out of the telepathic bond forged. This decision must be made at the time of casting.&lt;/p&gt;&lt;p&gt;&lt;i&gt;Telepathic bond&lt;/i&gt; can be made permanent with a &lt;i&gt;permanency&lt;/i&gt; spell, though it only bonds two creatures per casting of &lt;i&gt;permanency&lt;/i&gt;.&lt;/p&gt;</t>
  </si>
  <si>
    <t>&lt;link rel="stylesheet"href="PF.css"&gt;&lt;div class="heading"&gt;&lt;p class="alignleft"&gt;Telepathic Bond&lt;/p&gt;&lt;div style="clear: both;"&gt;&lt;/div&gt;&lt;/div&gt;&lt;div&gt;&lt;h5&gt;&lt;b&gt;School &lt;/b&gt;divination; &lt;b&gt;Level &lt;/b&gt;sorcerer/wizard 5, witch 5, inquisitor 5, psychic 4, mesmerist 4, spiritualist 5&lt;/h5&gt;&lt;/div&gt;&lt;hr/&gt;&lt;div&gt;&lt;h5&gt;&lt;b&gt;CASTING&lt;/b&gt;&lt;/h5&gt;&lt;/div&gt;&lt;hr/&gt;&lt;div&gt;&lt;h5&gt;&lt;b&gt;Casting Time &lt;/b&gt;1 standard action&lt;/h5&gt;&lt;h5&gt;&lt;b&gt;Components &lt;/b&gt;V, S, M (two eggshells from two different creatures)&lt;/h5&gt;&lt;/div&gt;&lt;hr/&gt;&lt;div&gt;&lt;h5&gt;&lt;b&gt;EFFECT&lt;/b&gt;&lt;/h5&gt;&lt;/div&gt;&lt;hr/&gt;&lt;div&gt;&lt;h5&gt;&lt;b&gt;Range &lt;/b&gt;close (25 ft. + 5 ft./2 levels)&lt;/h5&gt;&lt;h5&gt;&lt;b&gt;Targets &lt;/b&gt;you plus one willing creature per three levels, no two of which can be more than 30 ft. apart&lt;/h5&gt;&lt;h5&gt;&lt;b&gt;Duration &lt;/b&gt;10 min./level (D)&lt;/h5&gt;&lt;h5&gt;&lt;b&gt;Saving Throw &lt;/b&gt;none; &lt;b&gt;Spell Resistance &lt;/b&gt;no&lt;/h5&gt;&lt;/div&gt;&lt;hr/&gt;&lt;div&gt;&lt;h5&gt;&lt;b&gt;DESCRIPTION&lt;/b&gt;&lt;/h5&gt;&lt;/div&gt;&lt;hr/&gt;&lt;div&gt;&lt;h4&gt;&lt;p&gt;You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another).&lt;/p&gt;&lt;p&gt;If desired, you may leave yourself out of the telepathic bond forged. This decision must be made at the time of casting.&lt;/p&gt;&lt;p&gt;&lt;i&gt;Telepathic bond&lt;/i&gt; can be made permanent with a &lt;i&gt;permanency&lt;/i&gt; spell, though it only bonds two creatures per casting of &lt;i&gt;permanency&lt;/i&gt;.&lt;/p&gt;&lt;/h4&gt;&lt;/div&gt;</t>
  </si>
  <si>
    <t>Community (5), Language (5), Thought (5), Friendship (5), Aeon (5)</t>
  </si>
  <si>
    <t> Link lets allies communicate.</t>
  </si>
  <si>
    <t>Teleport</t>
  </si>
  <si>
    <t>sorcerer/wizard 5, summoner 4, witch 5, magus 5, occultist 5, psychic 5, spiritualist 5</t>
  </si>
  <si>
    <t>personal and touch</t>
  </si>
  <si>
    <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 You must have some clear idea of the location and layout of the destination. The clearer your mental image, the more likely the teleportation works. Areas of strong physical or magical energy may make teleportation more hazardous or even impossible. To see how well the teleportation works, roll d% and consult the table at the end of this spell. Refer to the following information for definitions of the terms on the table. Familiarity: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scrying. "False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 On Target: You appear where you want to be. Off Target: You appear safely a random distance away from the destination in a random direction. Distance off target is d% of the distance that was to be traveled. The direction off target is determined randomly. Similar Area: You wind up in an area that's visually or thematically similar to the target area. Generally, you appear in the closest similar place within range. If no such area exists within the spell's range, the spell simply fails instead. Mishap: You and anyone else teleporting with you have gotten "scrambled." You each take 1d10 points of damage, and you reroll on the chart to see where you wind up. For these rerolls, roll 1d20+80. Each time "Mishap" comes up, the characters take more damage and must reroll. O n O ff Similar Familiarity Target Target Area M ishap Very familiar 01-97 98-99 100 - Studied carefully 01-94 95-97 98-99 100 Seen casually 01-88 89-94 95-98 99-100 Viewed once 01-76 77-88 89-96 97-100 False destination - - 81-92 93-100</t>
  </si>
  <si>
    <t>&lt;p&gt;This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resistance.&lt;/p&gt;&lt;p&gt;You must have some clear idea of the location and layout of the destination. The clearer your mental image, the more likely the teleportation works. Areas of strong physical or magical energy may make teleportation more hazardous or even impossible.&lt;/p&gt;&lt;p&gt;To see how well the teleportation works, roll d% and consult the table at the end of this spell. Refer to the following information for definitions of the terms on the table.&lt;/p&gt;&lt;p&gt;&lt;i&gt;Familiarity:&lt;/i&gt;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&lt;i&gt;scrying.&lt;/i&gt;&lt;/p&gt;&lt;p&gt;"False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from.&lt;/p&gt;&lt;p&gt;&lt;i&gt;On Target&lt;/i&gt;: You appear where you want to be.&lt;/p&gt;&lt;p&gt;&lt;i&gt;Off Target&lt;/i&gt;: You appear safely a random distance away from the destination in a random direction. Distance off target is d% of the distance that was to be traveled. The direction off target is determined randomly.&lt;/p&gt;&lt;p&gt;&lt;i&gt;Similar Area&lt;/i&gt;: You wind up in an area that's visually or thematically similar to the target area. Generally, you appear in the closest similar place within range. If no such area exists within the spell's range, the spell simply fails instead.&lt;/p&gt;&lt;p&gt;&lt;i&gt;Mishap:&lt;/i&gt; You and anyone else teleporting with you have gotten "scrambled." You each take 1d10 points of damage, and you reroll on the chart to see where you wind up. For these rerolls, roll 1d20+80.&lt;/p&gt;&lt;p&gt;Each time "Mishap" comes up, the characters take more damage and must reroll.&lt;/p&gt;&lt;p&gt; &lt;table&gt;&lt;tr&gt;&lt;th&gt;Familiarity&lt;/th&gt;&lt;th&gt;On Target&lt;/th&gt;&lt;th&gt;Off Target&lt;/th&gt;&lt;th&gt;Similar Area&lt;/th&gt;&lt;th&gt;mishap&lt;/th&gt;&lt;/tr&gt;&lt;tr&gt;&lt;td&gt;Very familiar&lt;/td&gt;&lt;td&gt;01-97&lt;/td&gt;&lt;td&gt;98-99&lt;/td&gt;&lt;td&gt;100&lt;/td&gt;&lt;td&gt;-&lt;/td&gt;&lt;/tr&gt;&lt;tr&gt;&lt;td&gt;Studied carefully&lt;/td&gt;&lt;td&gt;01-94&lt;/td&gt;&lt;td&gt;95-97&lt;/td&gt;&lt;td&gt;98-99&lt;/td&gt;&lt;td&gt;100&lt;/td&gt;&lt;/tr&gt;&lt;tr&gt;&lt;td&gt;Seen casually&lt;/td&gt;&lt;td&gt;01-88&lt;/td&gt;&lt;td&gt;89-94&lt;/td&gt;&lt;td&gt;95-98&lt;/td&gt;&lt;td&gt;99-100&lt;/td&gt;&lt;/tr&gt;&lt;tr&gt;&lt;td&gt;Viewed once&lt;/td&gt;&lt;td&gt;01-76&lt;/td&gt;&lt;td&gt;77-88&lt;/td&gt;&lt;td&gt;89-96&lt;/td&gt;&lt;td&gt;97-100&lt;/td&gt;&lt;/tr&gt;&lt;tr&gt;&lt;td&gt;False destination&lt;/td&gt;&lt;td&gt;-&lt;/td&gt;&lt;td&gt;-&lt;/td&gt;&lt;td&gt;81-92&lt;/td&gt;&lt;td&gt;93-100&lt;/td&gt;&lt;/tr&gt;&lt;/table&gt; &lt;/p&gt;</t>
  </si>
  <si>
    <t>&lt;link rel="stylesheet"href="PF.css"&gt;&lt;div class="heading"&gt;&lt;p class="alignleft"&gt;Teleport&lt;/p&gt;&lt;div style="clear: both;"&gt;&lt;/div&gt;&lt;/div&gt;&lt;div&gt;&lt;h5&gt;&lt;b&gt;School &lt;/b&gt;conjuration (teleportation); &lt;b&gt;Level &lt;/b&gt;sorcerer/wizard 5, summoner 4, witch 5, magus 5, occultist 5, psychic 5, spiritualist 5&lt;/h5&gt;&lt;/div&gt;&lt;hr/&gt;&lt;div&gt;&lt;h5&gt;&lt;b&gt;CASTING&lt;/b&gt;&lt;/h5&gt;&lt;/div&gt;&lt;hr/&gt;&lt;div&gt;&lt;h5&gt;&lt;b&gt;Casting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resistance.&lt;/p&gt;&lt;p&gt;You must have some clear idea of the location and layout of the destination. The clearer your mental image, the more likely the teleportation works. Areas of strong physical or magical energy may make teleportation more hazardous or even impossible.&lt;/p&gt;&lt;p&gt;To see how well the teleportation works, roll d% and consult the table at the end of this spell. Refer to the following information for definitions of the terms on the table.&lt;/p&gt;&lt;p&gt;&lt;i&gt;Familiarity:&lt;/i&gt;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&lt;i&gt;scrying.&lt;/i&gt;&lt;/p&gt;&lt;p&gt;"False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from.&lt;/p&gt;&lt;p&gt;&lt;i&gt;On Target&lt;/i&gt;: You appear where you want to be.&lt;/p&gt;&lt;p&gt;&lt;i&gt;Off Target&lt;/i&gt;: You appear safely a random distance away from the destination in a random direction. Distance off target is d% of the distance that was to be traveled. The direction off target is determined randomly.&lt;/p&gt;&lt;p&gt;&lt;i&gt;Similar Area&lt;/i&gt;: You wind up in an area that's visually or thematically similar to the target area. Generally, you appear in the closest similar place within range. If no such area exists within the spell's range, the spell simply fails instead.&lt;/p&gt;&lt;p&gt;&lt;i&gt;Mishap:&lt;/i&gt; You and anyone else teleporting with you have gotten "scrambled." You each take 1d10 points of damage, and you reroll on the chart to see where you wind up. For these rerolls, roll 1d20+80.&lt;/p&gt;&lt;p&gt;Each time "Mishap" comes up, the characters take more damage and must reroll.&lt;/p&gt;&lt;p&gt; &lt;table&gt;&lt;tr&gt;&lt;th&gt;Familiarity&lt;/th&gt;&lt;th&gt;On Target&lt;/th&gt;&lt;th&gt;Off Target&lt;/th&gt;&lt;th&gt;Similar Area&lt;/th&gt;&lt;th&gt;mishap&lt;/th&gt;&lt;/tr&gt;&lt;tr&gt;&lt;td&gt;Very familiar&lt;/td&gt;&lt;td&gt;01-97&lt;/td&gt;&lt;td&gt;98-99&lt;/td&gt;&lt;td&gt;100&lt;/td&gt;&lt;td&gt;-&lt;/td&gt;&lt;/tr&gt;&lt;tr&gt;&lt;td&gt;Studied carefully&lt;/td&gt;&lt;td&gt;01-94&lt;/td&gt;&lt;td&gt;95-97&lt;/td&gt;&lt;td&gt;98-99&lt;/td&gt;&lt;td&gt;100&lt;/td&gt;&lt;/tr&gt;&lt;tr&gt;&lt;td&gt;Seen casually&lt;/td&gt;&lt;td&gt;01-88&lt;/td&gt;&lt;td&gt;89-94&lt;/td&gt;&lt;td&gt;95-98&lt;/td&gt;&lt;td&gt;99-100&lt;/td&gt;&lt;/tr&gt;&lt;tr&gt;&lt;td&gt;Viewed once&lt;/td&gt;&lt;td&gt;01-76&lt;/td&gt;&lt;td&gt;77-88&lt;/td&gt;&lt;td&gt;89-96&lt;/td&gt;&lt;td&gt;97-100&lt;/td&gt;&lt;/tr&gt;&lt;tr&gt;&lt;td&gt;False destination&lt;/td&gt;&lt;td&gt;-&lt;/td&gt;&lt;td&gt;-&lt;/td&gt;&lt;td&gt;81-92&lt;/td&gt;&lt;td&gt;93-100&lt;/td&gt;&lt;/tr&gt;&lt;/table&gt; &lt;/p&gt;&lt;/h4&gt;&lt;/div&gt;</t>
  </si>
  <si>
    <t>Travel (5)</t>
  </si>
  <si>
    <t> Instantly transports you as far as 100 miles per level.</t>
  </si>
  <si>
    <t>Time (10)</t>
  </si>
  <si>
    <t>Teleport, Greater</t>
  </si>
  <si>
    <t>sorcerer/wizard 7, summoner 5, witch 7, psychic 7</t>
  </si>
  <si>
    <t>This spell functions like teleport,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t>
  </si>
  <si>
    <t>&lt;p&gt;This spell functions like &lt;i&gt;teleport,&lt;/i&gt;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possible.&lt;/p&gt;</t>
  </si>
  <si>
    <t>&lt;link rel="stylesheet"href="PF.css"&gt;&lt;div class="heading"&gt;&lt;p class="alignleft"&gt;Teleport, Greater&lt;/p&gt;&lt;div style="clear: both;"&gt;&lt;/div&gt;&lt;/div&gt;&lt;div&gt;&lt;h5&gt;&lt;b&gt;School &lt;/b&gt;conjuration (teleportation); &lt;b&gt;Level &lt;/b&gt;sorcerer/wizard 7, summoner 5, witch 7, psychic 7&lt;/h5&gt;&lt;/div&gt;&lt;hr/&gt;&lt;div&gt;&lt;h5&gt;&lt;b&gt;CASTING&lt;/b&gt;&lt;/h5&gt;&lt;/div&gt;&lt;hr/&gt;&lt;div&gt;&lt;h5&gt;&lt;b&gt;Casting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like &lt;i&gt;teleport,&lt;/i&gt;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possible.&lt;/p&gt;&lt;/h4&gt;&lt;/div&gt;</t>
  </si>
  <si>
    <t>Travel (7)</t>
  </si>
  <si>
    <t> As teleport, but no range limit and no off-target arrival.</t>
  </si>
  <si>
    <t>Abyssal (15), Arcane (15), Infernal (15)</t>
  </si>
  <si>
    <t>Teleport Object</t>
  </si>
  <si>
    <t>one touched object of up to 50 lbs./level and 3 cu. ft./level</t>
  </si>
  <si>
    <t>This spell functions like teleport, except that it teleports an object, not you. Creatures and magical forces cannot be teleported.  If desired, the target object can be sent to a distant location on the Ethereal Plane. In this case, the point from which the object was teleported remains faintly magical until the item is retrieved. A successful targeted dispel magic spell cast on that point brings the vanished item back from the Ethereal Plane.</t>
  </si>
  <si>
    <t>&lt;p&gt;This spell functions like &lt;i&gt;teleport,&lt;/i&gt; except that it teleports an object, not you. Creatures and magical forces cannot be teleported.&lt;/p&gt;&lt;p&gt;If desired, the target object can be sent to a distant location on the Ethereal Plane. In this case, the point from which the object was teleported remains faintly magical until the item is retrieved. A successful targeted &lt;i&gt;dispel magic&lt;/i&gt; spell cast on that point brings the vanished item back from the Ethereal Plane.&lt;/p&gt;</t>
  </si>
  <si>
    <t>&lt;link rel="stylesheet"href="PF.css"&gt;&lt;div class="heading"&gt;&lt;p class="alignleft"&gt;Teleport Object&lt;/p&gt;&lt;div style="clear: both;"&gt;&lt;/div&gt;&lt;/div&gt;&lt;div&gt;&lt;h5&gt;&lt;b&gt;School &lt;/b&gt;conjuration (teleportation); &lt;b&gt;Level &lt;/b&gt;sorcerer/wizard 7, witch 7, psychic 7&lt;/h5&gt;&lt;/div&gt;&lt;hr/&gt;&lt;div&gt;&lt;h5&gt;&lt;b&gt;CASTING&lt;/b&gt;&lt;/h5&gt;&lt;/div&gt;&lt;hr/&gt;&lt;div&gt;&lt;h5&gt;&lt;b&gt;Casting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of up to 50 lbs./level and 3 cu. ft./level&lt;/h5&gt;&lt;h5&gt;&lt;b&gt;Duration &lt;/b&gt;instantaneous&lt;/h5&gt;&lt;h5&gt;&lt;b&gt;Saving Throw &lt;/b&gt;Will negates (object); &lt;b&gt;Spell Resistance &lt;/b&gt;yes (object)&lt;/h5&gt;&lt;/div&gt;&lt;hr/&gt;&lt;div&gt;&lt;h5&gt;&lt;b&gt;DESCRIPTION&lt;/b&gt;&lt;/h5&gt;&lt;/div&gt;&lt;hr/&gt;&lt;div&gt;&lt;h4&gt;&lt;p&gt;This spell functions like &lt;i&gt;teleport,&lt;/i&gt; except that it teleports an object, not you. Creatures and magical forces cannot be teleported.&lt;/p&gt;&lt;p&gt;If desired, the target object can be sent to a distant location on the Ethereal Plane. In this case, the point from which the object was teleported remains faintly magical until the item is retrieved. A successful targeted &lt;i&gt;dispel magic&lt;/i&gt; spell cast on that point brings the vanished item back from the Ethereal Plane.&lt;/p&gt;&lt;/h4&gt;&lt;/div&gt;</t>
  </si>
  <si>
    <t> As teleport, but affects a touched object.</t>
  </si>
  <si>
    <t>Teleportation Circle</t>
  </si>
  <si>
    <t>V, M (amber dust to cover circle worth 1,000 gp)</t>
  </si>
  <si>
    <t>5-ft.-radius circle that teleports those who activate it</t>
  </si>
  <si>
    <t>You create a circle on the floor or other horizontal surface that teleports, as greater teleport,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  The circle itself is subtle and nearly impossible to notice. If you intend to keep creatures from activating it accidentally, you need to mark the circle in some way.  Teleportation circle can be made permanent with a permanency spell. A permanent teleportation circle that is disabled becomes inactive for 10 minutes, then can be triggered again as normal.  Magic traps such as teleportation circle are hard to detect and disable. A character with the trapfinding class feature can use the Disable Device to disarm magic traps. The DC in each case is 25 + spell level, or 34 in the case of teleportation circle.</t>
  </si>
  <si>
    <t>&lt;p&gt;You create a circle on the floor or other horizontal surface that teleports, as &lt;i&gt;greater teleport,&lt;/i&gt;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plane.&lt;/p&gt;&lt;p&gt;The circle itself is subtle and nearly impossible to notice. If you intend to keep creatures from activating it accidentally, you need to mark the circle in some way.&lt;/p&gt;&lt;p&gt;&lt;i&gt;Teleportation circle&lt;/i&gt; can be made permanent with a &lt;i&gt;permanency&lt;/i&gt; spell. A permanent &lt;i&gt;teleportation circle&lt;/i&gt; that is disabled becomes inactive for 10 minutes, then can be triggered again as normal.&lt;/p&gt;&lt;p&gt;Magic traps such as &lt;i&gt;teleportation circle&lt;/i&gt; are hard to detect and disable. A character with the trapfinding class feature can use the Disable Device to disarm magic traps. The DC in each case is 25 + spell level, or 34 in the case of &lt;i&gt;teleportation circle&lt;/i&gt;.&lt;/p&gt;</t>
  </si>
  <si>
    <t>&lt;link rel="stylesheet"href="PF.css"&gt;&lt;div class="heading"&gt;&lt;p class="alignleft"&gt;Teleportation Circle&lt;/p&gt;&lt;div style="clear: both;"&gt;&lt;/div&gt;&lt;/div&gt;&lt;div&gt;&lt;h5&gt;&lt;b&gt;School &lt;/b&gt;conjuration (teleportation); &lt;b&gt;Level &lt;/b&gt;sorcerer/wizard 9, summoner 6, witch 9, psychic 9&lt;/h5&gt;&lt;/div&gt;&lt;hr/&gt;&lt;div&gt;&lt;h5&gt;&lt;b&gt;CASTING&lt;/b&gt;&lt;/h5&gt;&lt;/div&gt;&lt;hr/&gt;&lt;div&gt;&lt;h5&gt;&lt;b&gt;Casting Time &lt;/b&gt;10 minutes&lt;/h5&gt;&lt;h5&gt;&lt;b&gt;Components &lt;/b&gt;V, M (amber dust to cover circle worth 1,000 gp)&lt;/h5&gt;&lt;/div&gt;&lt;hr/&gt;&lt;div&gt;&lt;h5&gt;&lt;b&gt;EFFECT&lt;/b&gt;&lt;/h5&gt;&lt;/div&gt;&lt;hr/&gt;&lt;div&gt;&lt;h5&gt;&lt;b&gt;Range &lt;/b&gt;0 ft.&lt;/h5&gt;&lt;h5&gt;&lt;b&gt;Effect &lt;/b&gt;5-ft.-radius circle that teleports those who activate it&lt;/h5&gt;&lt;h5&gt;&lt;b&gt;Duration &lt;/b&gt;10 min./level (D)&lt;/h5&gt;&lt;h5&gt;&lt;b&gt;Saving Throw &lt;/b&gt;none; &lt;b&gt;Spell Resistance &lt;/b&gt;yes&lt;/h5&gt;&lt;/div&gt;&lt;hr/&gt;&lt;div&gt;&lt;h5&gt;&lt;b&gt;DESCRIPTION&lt;/b&gt;&lt;/h5&gt;&lt;/div&gt;&lt;hr/&gt;&lt;div&gt;&lt;h4&gt;&lt;p&gt;You create a circle on the floor or other horizontal surface that teleports, as &lt;i&gt;greater teleport,&lt;/i&gt;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plane.&lt;/p&gt;&lt;p&gt;The circle itself is subtle and nearly impossible to notice. If you intend to keep creatures from activating it accidentally, you need to mark the circle in some way.&lt;/p&gt;&lt;p&gt;&lt;i&gt;Teleportation circle&lt;/i&gt; can be made permanent with a &lt;i&gt;permanency&lt;/i&gt; spell. A permanent &lt;i&gt;teleportation circle&lt;/i&gt; that is disabled becomes inactive for 10 minutes, then can be triggered again as normal.&lt;/p&gt;&lt;p&gt;Magic traps such as &lt;i&gt;teleportation circle&lt;/i&gt; are hard to detect and disable. A character with the trapfinding class feature can use the Disable Device to disarm magic traps. The DC in each case is 25 + spell level, or 34 in the case of &lt;i&gt;teleportation circle&lt;/i&gt;.&lt;/p&gt;&lt;/h4&gt;&lt;/div&gt;</t>
  </si>
  <si>
    <t>Rune (9)</t>
  </si>
  <si>
    <t> Teleports creatures inside circle.</t>
  </si>
  <si>
    <t>Temporal Stasis</t>
  </si>
  <si>
    <t>V, S, M (powdered diamond, emerald, ruby, and sapphire dust worth 5,000 gp)</t>
  </si>
  <si>
    <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dispel magic spell or a freedom spell).</t>
  </si>
  <si>
    <t>&lt;p&gt;You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&lt;i&gt;dispel magic&lt;/i&gt; spell or a &lt;i&gt;freedom&lt;/i&gt; spell).&lt;/p&gt;</t>
  </si>
  <si>
    <t>&lt;link rel="stylesheet"href="PF.css"&gt;&lt;div class="heading"&gt;&lt;p class="alignleft"&gt;Temporal Stasis&lt;/p&gt;&lt;div style="clear: both;"&gt;&lt;/div&gt;&lt;/div&gt;&lt;div&gt;&lt;h5&gt;&lt;b&gt;School &lt;/b&gt;transmutation; &lt;b&gt;Level &lt;/b&gt;sorcerer/wizard 8, psychic 8&lt;/h5&gt;&lt;/div&gt;&lt;hr/&gt;&lt;div&gt;&lt;h5&gt;&lt;b&gt;CASTING&lt;/b&gt;&lt;/h5&gt;&lt;/div&gt;&lt;hr/&gt;&lt;div&gt;&lt;h5&gt;&lt;b&gt;Casting Time &lt;/b&gt;1 standard action&lt;/h5&gt;&lt;h5&gt;&lt;b&gt;Components &lt;/b&gt;V, S, M (powdered diamond, emerald, ruby, and sapphire dust worth 5,000 gp)&lt;/h5&gt;&lt;/div&gt;&lt;hr/&gt;&lt;div&gt;&lt;h5&gt;&lt;b&gt;EFFECT&lt;/b&gt;&lt;/h5&gt;&lt;/div&gt;&lt;hr/&gt;&lt;div&gt;&lt;h5&gt;&lt;b&gt;Range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&lt;i&gt;dispel magic&lt;/i&gt; spell or a &lt;i&gt;freedom&lt;/i&gt; spell).&lt;/p&gt;&lt;/h4&gt;&lt;/div&gt;</t>
  </si>
  <si>
    <t> Puts subject into suspended animation.</t>
  </si>
  <si>
    <t>Time (16)</t>
  </si>
  <si>
    <t>Time Stop</t>
  </si>
  <si>
    <t>1d4+1 rounds (apparent time); see text</t>
  </si>
  <si>
    <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time stop is in effect, other creatures are invulnerable to your attacks and spells; you cannot target such creatures with any attack or spell. A spell that affects an area and has a duration longer than the remaining duration of the time stop have their normal effects on other creatures once the time stop ends. Most spellcasters use the additional time to improve their defenses, summon allies, or flee from combat.  You cannot move or harm items held, carried, or worn by a creature stuck in normal time, but you can affect any item that is not in another creature's possession.  You are undetectable while time stop lasts. You cannot enter an area protected by an antimagic field while under the effect of time stop.</t>
  </si>
  <si>
    <t>&lt;p&gt;This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&lt;i&gt;time stop&lt;/i&gt; is in effect, other creatures are invulnerable to your attacks and spells; you cannot target such creatures with any attack or spell. A spell that affects an area and has a duration longer than the remaining duration of the &lt;i&gt;time stop&lt;/i&gt; have their normal effects on other creatures once the &lt;i&gt;time stop&lt;/i&gt; ends. Most spellcasters use the additional time to improve their defenses, summon allies, or flee from combat.&lt;/p&gt;&lt;p&gt;You cannot move or harm items held, carried, or worn by a creature stuck in normal time, but you can affect any item that is not in another creature's possession.&lt;/p&gt;&lt;p&gt;You are undetectable while &lt;i&gt;time stop&lt;/i&gt; lasts. You cannot enter an area protected by an &lt;i&gt;antimagic field&lt;/i&gt; while under the effect of &lt;i&gt;time stop&lt;/i&gt;.&lt;/p&gt;</t>
  </si>
  <si>
    <t>&lt;link rel="stylesheet"href="PF.css"&gt;&lt;div class="heading"&gt;&lt;p class="alignleft"&gt;Time Stop&lt;/p&gt;&lt;div style="clear: both;"&gt;&lt;/div&gt;&lt;/div&gt;&lt;div&gt;&lt;h5&gt;&lt;b&gt;School &lt;/b&gt;transmutation; &lt;b&gt;Level &lt;/b&gt;sorcerer/wizard 9, psychic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&lt;/b&gt;1d4+1 rounds (apparent time); see text&lt;/h5&gt;&lt;/div&gt;&lt;hr/&gt;&lt;div&gt;&lt;h5&gt;&lt;b&gt;DESCRIPTION&lt;/b&gt;&lt;/h5&gt;&lt;/div&gt;&lt;hr/&gt;&lt;div&gt;&lt;h4&gt;&lt;p&gt;This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&lt;i&gt;time stop&lt;/i&gt; is in effect, other creatures are invulnerable to your attacks and spells; you cannot target such creatures with any attack or spell. A spell that affects an area and has a duration longer than the remaining duration of the &lt;i&gt;time stop&lt;/i&gt; have their normal effects on other creatures once the &lt;i&gt;time stop&lt;/i&gt; ends. Most spellcasters use the additional time to improve their defenses, summon allies, or flee from combat.&lt;/p&gt;&lt;p&gt;You cannot move or harm items held, carried, or worn by a creature stuck in normal time, but you can affect any item that is not in another creature's possession.&lt;/p&gt;&lt;p&gt;You are undetectable while &lt;i&gt;time stop&lt;/i&gt; lasts. You cannot enter an area protected by an &lt;i&gt;antimagic field&lt;/i&gt; while under the effect of &lt;i&gt;time stop&lt;/i&gt;.&lt;/p&gt;&lt;/h4&gt;&lt;h5&gt;&lt;b&gt;Mythic: &lt;/b&gt;Select a number of creatures equal to half your tier or fewer within close range (25 feet + 5 feet per 2 caster levels). Mythic time stop has the same effect on these creatures as it does on you, allowing them to act for the same number of rounds of apparent time that you can. You and these creatures can all interact with one another normally while time appears to be stopped.&lt;/h5&gt;&lt;h5&gt;&lt;b&gt;Augmented (10th)&lt;/b&gt;: If you expend three uses of mythic power, the duration increases to 1 hour per level of apparent time. You and other affected creatures gain no benefit from rest or sleep while the spell is active.&lt;/h5&gt;&lt;/div&gt;</t>
  </si>
  <si>
    <t>Trickery (9)</t>
  </si>
  <si>
    <t> You act freely for 1d4+1 rounds.</t>
  </si>
  <si>
    <t>Deception (18), Time (18), Trickery (18)</t>
  </si>
  <si>
    <t>Select a number of creatures equal to half your tier or fewer within close range (25 feet + 5 feet per 2 caster levels). Mythic time stop has the same effect on these creatures as it does on you, allowing them to act for the same number of rounds of apparent time that you can. You and these creatures can all interact with one another normally while time appears to be stopped.</t>
  </si>
  <si>
    <t>Augmented (10th): If you expend three uses of mythic power, the duration increases to 1 hour per level of apparent time. You and other affected creatures gain no benefit from rest or sleep while the spell is active.</t>
  </si>
  <si>
    <t>Tiny Hut</t>
  </si>
  <si>
    <t>bard 3, sorcerer/wizard 3, occultist 3</t>
  </si>
  <si>
    <t>V, S, M (a small crystal bead)</t>
  </si>
  <si>
    <t>20-ft.-radius sphere centered on your location</t>
  </si>
  <si>
    <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  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  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t>
  </si>
  <si>
    <t>&lt;p&gt;You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ends.&lt;/p&gt;&lt;p&gt;The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it.&lt;/p&gt;&lt;p&gt;The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concealment).&lt;/p&gt;</t>
  </si>
  <si>
    <t>&lt;link rel="stylesheet"href="PF.css"&gt;&lt;div class="heading"&gt;&lt;p class="alignleft"&gt;Tiny Hut&lt;/p&gt;&lt;div style="clear: both;"&gt;&lt;/div&gt;&lt;/div&gt;&lt;div&gt;&lt;h5&gt;&lt;b&gt;School &lt;/b&gt;evocation [force]; &lt;b&gt;Level &lt;/b&gt;bard 3, sorcerer/wizard 3, occultist 3, witch 3, alchemist 2, witch 2, inquisitor 2, witch 8&lt;/h5&gt;&lt;/div&gt;&lt;hr/&gt;&lt;div&gt;&lt;h5&gt;&lt;b&gt;CASTING&lt;/b&gt;&lt;/h5&gt;&lt;/div&gt;&lt;hr/&gt;&lt;div&gt;&lt;h5&gt;&lt;b&gt;Casting Time &lt;/b&gt;1 standard action&lt;/h5&gt;&lt;h5&gt;&lt;b&gt;Components &lt;/b&gt;V, S, M (a small crystal bead)&lt;/h5&gt;&lt;/div&gt;&lt;hr/&gt;&lt;div&gt;&lt;h5&gt;&lt;b&gt;EFFECT&lt;/b&gt;&lt;/h5&gt;&lt;/div&gt;&lt;hr/&gt;&lt;div&gt;&lt;h5&gt;&lt;b&gt;Range &lt;/b&gt;20 ft.&lt;/h5&gt;&lt;h5&gt;&lt;b&gt;Effect &lt;/b&gt;20-ft.-radius sphere centered on your location&lt;/h5&gt;&lt;h5&gt;&lt;b&gt;Duration &lt;/b&gt;2 hours/level (D)&lt;/h5&gt;&lt;h5&gt;&lt;b&gt;Saving Throw &lt;/b&gt;none; &lt;b&gt;Spell Resistance &lt;/b&gt;no&lt;/h5&gt;&lt;/div&gt;&lt;hr/&gt;&lt;div&gt;&lt;h5&gt;&lt;b&gt;DESCRIPTION&lt;/b&gt;&lt;/h5&gt;&lt;/div&gt;&lt;hr/&gt;&lt;div&gt;&lt;h4&gt;&lt;p&gt;You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ends.&lt;/p&gt;&lt;p&gt;The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it.&lt;/p&gt;&lt;p&gt;The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concealment).&lt;/p&gt;&lt;/h4&gt;&lt;/div&gt;</t>
  </si>
  <si>
    <t>Creates shelter for 10 creatures.</t>
  </si>
  <si>
    <t>Tongues</t>
  </si>
  <si>
    <t>bard 2, cleric/oracle 4, sorcerer/wizard 3, alchemist 3, summoner 3, witch 3, inquisitor 2, shaman 4, psychic 3, mesmerist 2, spiritualist 3</t>
  </si>
  <si>
    <t>V, M/DF (a clay model of a ziggurat)</t>
  </si>
  <si>
    <t>This spell grants the creature touched the ability to speak and understand the language of any intelligent creature, whether it is a racial tongue or a regional dialect. The subject can speak only one language at a time, although it may be able to understand several languages. Tongues does not enable the subject to speak with creatures who don't speak. The subject can make itself understood as far as its voice carries. This spell does not predispose any creature addressed toward the subject in any way.  Tongues can be made permanent with a permanency spell.</t>
  </si>
  <si>
    <t>&lt;p&gt;This spell grants the creature touched the ability to speak and understand the language of any intelligent creature, whether it is a racial tongue or a regional dialect. The subject can speak only one language at a time, although it may be able to understand several languages. &lt;i&gt;Tongues&lt;/i&gt; does not enable the subject to speak with creatures who don't speak. The subject can make itself understood as far as its voice carries. This spell does not predispose any creature addressed toward the subject in any way.&lt;/p&gt;&lt;p&gt;&lt;i&gt;Tongues&lt;/i&gt; can be made permanent with a &lt;i&gt;permanency&lt;/i&gt; spell.&lt;/p&gt;</t>
  </si>
  <si>
    <t>&lt;link rel="stylesheet"href="PF.css"&gt;&lt;div class="heading"&gt;&lt;p class="alignleft"&gt;Tongues&lt;/p&gt;&lt;div style="clear: both;"&gt;&lt;/div&gt;&lt;/div&gt;&lt;div&gt;&lt;h5&gt;&lt;b&gt;School &lt;/b&gt;divination; &lt;b&gt;Level &lt;/b&gt;bard 2, cleric/oracle 4, sorcerer/wizard 3, alchemist 3, summoner 3, witch 3, inquisitor 2, shaman 4, psychic 3, mesmerist 2, spiritualist 3, alchemist 3, summoner 3, witch 3, inquisitor 2&lt;/h5&gt;&lt;/div&gt;&lt;hr/&gt;&lt;div&gt;&lt;h5&gt;&lt;b&gt;CASTING&lt;/b&gt;&lt;/h5&gt;&lt;/div&gt;&lt;hr/&gt;&lt;div&gt;&lt;h5&gt;&lt;b&gt;Casting Time &lt;/b&gt;1 standard action&lt;/h5&gt;&lt;h5&gt;&lt;b&gt;Components &lt;/b&gt;V, M/DF (a clay model of a ziggurat)&lt;/h5&gt;&lt;/div&gt;&lt;hr/&gt;&lt;div&gt;&lt;h5&gt;&lt;b&gt;EFFECT&lt;/b&gt;&lt;/h5&gt;&lt;/div&gt;&lt;hr/&gt;&lt;div&gt;&lt;h5&gt;&lt;b&gt;Range &lt;/b&gt;touch&lt;/h5&gt;&lt;h5&gt;&lt;b&gt;Targets &lt;/b&gt;creature touched&lt;/h5&gt;&lt;h5&gt;&lt;b&gt;Duration &lt;/b&gt;10 min./level&lt;/h5&gt;&lt;h5&gt;&lt;b&gt;Saving Throw &lt;/b&gt;Will negates (harmless); &lt;b&gt;Spell Resistance &lt;/b&gt;no&lt;/h5&gt;&lt;/div&gt;&lt;hr/&gt;&lt;div&gt;&lt;h5&gt;&lt;b&gt;DESCRIPTION&lt;/b&gt;&lt;/h5&gt;&lt;/div&gt;&lt;hr/&gt;&lt;div&gt;&lt;h4&gt;&lt;p&gt;This spell grants the creature touched the ability to speak and understand the language of any intelligent creature, whether it is a racial tongue or a regional dialect. The subject can speak only one language at a time, although it may be able to understand several languages. &lt;i&gt;Tongues&lt;/i&gt; does not enable the subject to speak with creatures who don't speak. The subject can make itself understood as far as its voice carries. This spell does not predispose any creature addressed toward the subject in any way.&lt;/p&gt;&lt;p&gt;&lt;i&gt;Tongues&lt;/i&gt; can be made permanent with a &lt;i&gt;permanency&lt;/i&gt; spell.&lt;/p&gt;&lt;/h4&gt;&lt;/div&gt;</t>
  </si>
  <si>
    <t>Agathion (3), Language (3)</t>
  </si>
  <si>
    <t>Speak and understand any language.</t>
  </si>
  <si>
    <t>Aberrant (7)</t>
  </si>
  <si>
    <t>Touch of Fatigue</t>
  </si>
  <si>
    <t>sorcerer/wizard 0, witch 0, shaman 0, occultist 0, mesmerist 0</t>
  </si>
  <si>
    <t>You channel negative energy through your touch, fatiguing the target. You must succeed on a touch attack to strike a target. The subject is immediately fatigued for the spell's duration.  This spell has no effect on a creature that is already fatigued.  Unlike with normal fatigue, the effect ends as soon as the spell's duration expires.</t>
  </si>
  <si>
    <t>&lt;p&gt;You channel negative energy through your touch, fatiguing the target. You must succeed on a touch attack to strike a target. The subject is immediately fatigued for the spell's duration.&lt;/p&gt;&lt;p&gt;This spell has no effect on a creature that is already fatigued.&lt;/p&gt;&lt;p&gt;Unlike with normal fatigue, the effect ends as soon as the spell's duration expires.&lt;/p&gt;</t>
  </si>
  <si>
    <t>&lt;link rel="stylesheet"href="PF.css"&gt;&lt;div class="heading"&gt;&lt;p class="alignleft"&gt;Touch of Fatigue&lt;/p&gt;&lt;div style="clear: both;"&gt;&lt;/div&gt;&lt;/div&gt;&lt;div&gt;&lt;h5&gt;&lt;b&gt;School &lt;/b&gt;necromancy; &lt;b&gt;Level &lt;/b&gt;sorcerer/wizard 0, witch 0, shaman 0, occultist 0, mesmerist 0&lt;/h5&gt;&lt;/div&gt;&lt;hr/&gt;&lt;div&gt;&lt;h5&gt;&lt;b&gt;CASTING&lt;/b&gt;&lt;/h5&gt;&lt;/div&gt;&lt;hr/&gt;&lt;div&gt;&lt;h5&gt;&lt;b&gt;Casting Time &lt;/b&gt;1 standard action&lt;/h5&gt;&lt;h5&gt;&lt;b&gt;Components &lt;/b&gt;V, S, M (a drop of sweat)&lt;/h5&gt;&lt;/div&gt;&lt;hr/&gt;&lt;div&gt;&lt;h5&gt;&lt;b&gt;EFFECT&lt;/b&gt;&lt;/h5&gt;&lt;/div&gt;&lt;hr/&gt;&lt;div&gt;&lt;h5&gt;&lt;b&gt;Range &lt;/b&gt;touch&lt;/h5&gt;&lt;h5&gt;&lt;b&gt;Targets &lt;/b&gt;creature touched&lt;/h5&gt;&lt;h5&gt;&lt;b&gt;Duration &lt;/b&gt;1 round/level&lt;/h5&gt;&lt;h5&gt;&lt;b&gt;Saving Throw &lt;/b&gt;Fortitude negates; &lt;b&gt;Spell Resistance &lt;/b&gt;yes&lt;/h5&gt;&lt;/div&gt;&lt;hr/&gt;&lt;div&gt;&lt;h5&gt;&lt;b&gt;DESCRIPTION&lt;/b&gt;&lt;/h5&gt;&lt;/div&gt;&lt;hr/&gt;&lt;div&gt;&lt;h4&gt;&lt;p&gt;You channel negative energy through your touch, fatiguing the target. You must succeed on a touch attack to strike a target. The subject is immediately fatigued for the spell's duration.&lt;/p&gt;&lt;p&gt;This spell has no effect on a creature that is already fatigued.&lt;/p&gt;&lt;p&gt;Unlike with normal fatigue, the effect ends as soon as the spell's duration expires.&lt;/p&gt;&lt;/h4&gt;&lt;/div&gt;</t>
  </si>
  <si>
    <t> Touch attack fatigues target.</t>
  </si>
  <si>
    <t>Touch of Idiocy</t>
  </si>
  <si>
    <t>sorcerer/wizard 2, witch 2, bloodrager 2, psychic 2, mesmerist 2, spiritualist 2</t>
  </si>
  <si>
    <t>With a touch, you reduce the target's mental faculties. Your successful melee touch attack applies a 1d6 penalty to the target's Intelligence, Wisdom, and Charisma scores. This penalty can't reduce any of these scores below 1.  This spell's effect may make it impossible for the target to cast some or all of its spells, if the requisite ability score drops below the minimum required to cast spells of that level.</t>
  </si>
  <si>
    <t>&lt;p&gt;With a touch, you reduce the target's mental faculties. Your successful melee touch attack applies a 1d6 penalty to the target's Intelligence, Wisdom, and Charisma scores. This penalty can't reduce any of these scores below 1.&lt;/p&gt;&lt;p&gt;This spell's effect may make it impossible for the target to cast some or all of its spells, if the requisite ability score drops below the minimum required to cast spells of that level.&lt;/p&gt;</t>
  </si>
  <si>
    <t>&lt;link rel="stylesheet"href="PF.css"&gt;&lt;div class="heading"&gt;&lt;p class="alignleft"&gt;Touch of Idiocy&lt;/p&gt;&lt;div style="clear: both;"&gt;&lt;/div&gt;&lt;/div&gt;&lt;div&gt;&lt;h5&gt;&lt;b&gt;School &lt;/b&gt;enchantment (compulsion) [mind-affecting]; &lt;b&gt;Level &lt;/b&gt;sorcerer/wizard 2, witch 2, bloodrager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&lt;/b&gt;10 min./level&lt;/h5&gt;&lt;h5&gt;&lt;b&gt;Saving Throw &lt;/b&gt;none; &lt;b&gt;Spell Resistance &lt;/b&gt;yes&lt;/h5&gt;&lt;/div&gt;&lt;hr/&gt;&lt;div&gt;&lt;h5&gt;&lt;b&gt;DESCRIPTION&lt;/b&gt;&lt;/h5&gt;&lt;/div&gt;&lt;hr/&gt;&lt;div&gt;&lt;h4&gt;&lt;p&gt;With a touch, you reduce the target's mental faculties. Your successful melee touch attack applies a 1d6 penalty to the target's Intelligence, Wisdom, and Charisma scores. This penalty can't reduce any of these scores below 1.&lt;/p&gt;&lt;p&gt;This spell's effect may make it impossible for the target to cast some or all of its spells, if the requisite ability score drops below the minimum required to cast spells of that level.&lt;/p&gt;&lt;/h4&gt;&lt;/div&gt;</t>
  </si>
  <si>
    <t>Lust (2), Madness (2)</t>
  </si>
  <si>
    <t> Subject takes 1d6 penalty to Int, Wis, and Cha.</t>
  </si>
  <si>
    <t>Accursed (5), Daemon (5), Div (5)</t>
  </si>
  <si>
    <t>Transformation</t>
  </si>
  <si>
    <t>sorcerer/wizard 6, alchemist 6, witch 6, magus 6, occultist 6, psychic 6, spiritualist 6</t>
  </si>
  <si>
    <t>V, S, M (a potion of bull's strength, which you drink and whose effects are subsumed by the spell effects)</t>
  </si>
  <si>
    <t>You become a fighting machine- stronger, tougher, faster, and more skilled in combat. Your mindset changes so that you relish combat and you can't cast spells, even from magic items.  You gain a +4 enhancement bonus to Strength, Dexterity, and Constitution, a +4 natural armor bonus to AC, a +5 competence bonus on Fortitude saves, and proficiency with all simple and martial weapons. Your base attack bonus equals your character level (which may give you multiple attacks).  You lose your spellcasting ability, including your ability to use spell activation or spell completion magic items, just as if the spells were no longer on your class list.</t>
  </si>
  <si>
    <t>&lt;p&gt;You become a fighting machine- stronger, tougher, faster, and more skilled in combat. Your mindset changes so that you relish combat and you can't cast spells, even from magic items.&lt;/p&gt;&lt;p&gt;You gain a +4 enhancement bonus to Strength, Dexterity, and Constitution, a +4 natural armor bonus to AC, a +5 competence bonus on Fortitude saves, and proficiency with all simple and martial weapons. Your base attack bonus equals your character level (which may give you multiple attacks).&lt;/p&gt;&lt;p&gt;You lose your spellcasting ability, including your ability to use spell activation or spell completion magic items, just as if the spells were no longer on your class list.&lt;/p&gt;</t>
  </si>
  <si>
    <t>&lt;link rel="stylesheet"href="PF.css"&gt;&lt;div class="heading"&gt;&lt;p class="alignleft"&gt;Transformation&lt;/p&gt;&lt;div style="clear: both;"&gt;&lt;/div&gt;&lt;/div&gt;&lt;div&gt;&lt;h5&gt;&lt;b&gt;School &lt;/b&gt;transmutation; &lt;b&gt;Level &lt;/b&gt;sorcerer/wizard 6, alchemist 6, witch 6, magus 6, occultist 6, psychic 6, spiritualist 6&lt;/h5&gt;&lt;/div&gt;&lt;hr/&gt;&lt;div&gt;&lt;h5&gt;&lt;b&gt;CASTING&lt;/b&gt;&lt;/h5&gt;&lt;/div&gt;&lt;hr/&gt;&lt;div&gt;&lt;h5&gt;&lt;b&gt;Casting Time &lt;/b&gt;1 standard action&lt;/h5&gt;&lt;h5&gt;&lt;b&gt;Components &lt;/b&gt;V, S, M (a potion of bull's strength, which you drink and whose effects are subsumed by the spell effects)&lt;/h5&gt;&lt;/div&gt;&lt;hr/&gt;&lt;div&gt;&lt;h5&gt;&lt;b&gt;EFFECT&lt;/b&gt;&lt;/h5&gt;&lt;/div&gt;&lt;hr/&gt;&lt;div&gt;&lt;h5&gt;&lt;b&gt;Range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a fighting machine- stronger, tougher, faster, and more skilled in combat. Your mindset changes so that you relish combat and you can't cast spells, even from magic items.&lt;/p&gt;&lt;p&gt;You gain a +4 enhancement bonus to Strength, Dexterity, and Constitution, a +4 natural armor bonus to AC, a +5 competence bonus on Fortitude saves, and proficiency with all simple and martial weapons. Your base attack bonus equals your character level (which may give you multiple attacks).&lt;/p&gt;&lt;p&gt;You lose your spellcasting ability, including your ability to use spell activation or spell completion magic items, just as if the spells were no longer on your class list.&lt;/p&gt;&lt;/h4&gt;&lt;h5&gt;&lt;b&gt;Mythic: &lt;/b&gt;You can still cast spells and use spell completion and spell trigger items, but the level of the spell you're casting or using must be equal to or less than your tier. You gain a number of temporary hit points equal to your caster level.&lt;/h5&gt;&lt;/div&gt;</t>
  </si>
  <si>
    <t> You gain combat bonuses.</t>
  </si>
  <si>
    <t>Abyssal (13), Boreal (13), Orc (13)</t>
  </si>
  <si>
    <t>You can still cast spells and use spell completion and spell trigger items, but the level of the spell you're casting or using must be equal to or less than your tier. You gain a number of temporary hit points equal to your caster level.</t>
  </si>
  <si>
    <t>Transmute Metal to Wood</t>
  </si>
  <si>
    <t>all metal objects within a 40-ft.-radius burst</t>
  </si>
  <si>
    <t>yes (object; see text)</t>
  </si>
  <si>
    <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  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  Only limited wish, miracle, wish, or similar magic can restore a transmuted object to its metallic state.</t>
  </si>
  <si>
    <t>&lt;p&gt;This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rolls.&lt;/p&gt;&lt;p&gt;The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20.&lt;/p&gt;&lt;p&gt;Only &lt;i&gt;limited wish, miracle, wish,&lt;/i&gt; or similar magic can restore a transmuted object to its metallic state.&lt;/p&gt;</t>
  </si>
  <si>
    <t>&lt;link rel="stylesheet"href="PF.css"&gt;&lt;div class="heading"&gt;&lt;p class="alignleft"&gt;Transmute Metal to Wood&lt;/p&gt;&lt;div style="clear: both;"&gt;&lt;/div&gt;&lt;/div&gt;&lt;div&gt;&lt;h5&gt;&lt;b&gt;School &lt;/b&gt;transmutation; &lt;b&gt;Level &lt;/b&gt;druid 7&lt;/h5&gt;&lt;/div&gt;&lt;hr/&gt;&lt;div&gt;&lt;h5&gt;&lt;b&gt;CASTING&lt;/b&gt;&lt;/h5&gt;&lt;/div&gt;&lt;hr/&gt;&lt;div&gt;&lt;h5&gt;&lt;b&gt;Casting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&lt;/b&gt;all metal objects within a 40-ft.-radius burst&lt;/h5&gt;&lt;h5&gt;&lt;b&gt;Duration &lt;/b&gt;instantaneous&lt;/h5&gt;&lt;h5&gt;&lt;b&gt;Saving Throw &lt;/b&gt;none; &lt;b&gt;Spell Resistance &lt;/b&gt;yes (object; see text)&lt;/h5&gt;&lt;/div&gt;&lt;hr/&gt;&lt;div&gt;&lt;h5&gt;&lt;b&gt;DESCRIPTION&lt;/b&gt;&lt;/h5&gt;&lt;/div&gt;&lt;hr/&gt;&lt;div&gt;&lt;h4&gt;&lt;p&gt;This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rolls.&lt;/p&gt;&lt;p&gt;The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20.&lt;/p&gt;&lt;p&gt;Only &lt;i&gt;limited wish, miracle, wish,&lt;/i&gt; or similar magic can restore a transmuted object to its metallic state.&lt;/p&gt;&lt;/h4&gt;&lt;/div&gt;</t>
  </si>
  <si>
    <t> Metal within 40 ft. becomes wood.</t>
  </si>
  <si>
    <t>Transmute Mud to Rock</t>
  </si>
  <si>
    <t>druid 5, sorcerer/wizard 5, occultist 5</t>
  </si>
  <si>
    <t>V, S, M/DF (sand, lime, and water)</t>
  </si>
  <si>
    <t>up to two 10-ft. cubes/level</t>
  </si>
  <si>
    <t>This spell permanently transforms normal mud or quicksand of any depth into soft stone (sandstone or a similar mineral).  Any creature in the mud is allowed a Reflex save to escape before the area is hardened to stone.  Transmute mud to rock counters and dispels transmute rock to mud.</t>
  </si>
  <si>
    <t>&lt;p&gt;This spell permanently transforms normal mud or quicksand of any depth into soft stone (sandstone or a similar mineral).&lt;/p&gt;&lt;p&gt;Any creature in the mud is allowed a Reflex save to escape before the area is hardened to stone.&lt;/p&gt;&lt;p&gt;&lt;i&gt;Transmute mud to rock&lt;/i&gt; counters and dispels &lt;i&gt;transmute rock to mud&lt;/i&gt;.&lt;/p&gt;</t>
  </si>
  <si>
    <t>&lt;link rel="stylesheet"href="PF.css"&gt;&lt;div class="heading"&gt;&lt;p class="alignleft"&gt;Transmute Mud to Rock&lt;/p&gt;&lt;div style="clear: both;"&gt;&lt;/div&gt;&lt;/div&gt;&lt;div&gt;&lt;h5&gt;&lt;b&gt;School &lt;/b&gt;transmutation [earth]; &lt;b&gt;Level &lt;/b&gt;druid 5, sorcerer/wizard 5, occultist 5&lt;/h5&gt;&lt;/div&gt;&lt;hr/&gt;&lt;div&gt;&lt;h5&gt;&lt;b&gt;CASTING&lt;/b&gt;&lt;/h5&gt;&lt;/div&gt;&lt;hr/&gt;&lt;div&gt;&lt;h5&gt;&lt;b&gt;Casting Time &lt;/b&gt;1 standard action&lt;/h5&gt;&lt;h5&gt;&lt;b&gt;Components &lt;/b&gt;V, S, M/DF (sand, lime, and water)&lt;/h5&gt;&lt;/div&gt;&lt;hr/&gt;&lt;div&gt;&lt;h5&gt;&lt;b&gt;EFFECT&lt;/b&gt;&lt;/h5&gt;&lt;/div&gt;&lt;hr/&gt;&lt;div&gt;&lt;h5&gt;&lt;b&gt;Range &lt;/b&gt;medium (100 ft. + 10 ft./level)&lt;/h5&gt;&lt;h5&gt;&lt;b&gt;Area &lt;/b&gt;up to two 10-ft. cubes/level  (S)&lt;/h5&gt;&lt;h5&gt;&lt;b&gt;Duration &lt;/b&gt;permanent&lt;/h5&gt;&lt;h5&gt;&lt;b&gt;Saving Throw &lt;/b&gt;see text; &lt;b&gt;Spell Resistance &lt;/b&gt;no&lt;/h5&gt;&lt;/div&gt;&lt;hr/&gt;&lt;div&gt;&lt;h5&gt;&lt;b&gt;DESCRIPTION&lt;/b&gt;&lt;/h5&gt;&lt;/div&gt;&lt;hr/&gt;&lt;div&gt;&lt;h4&gt;&lt;p&gt;This spell permanently transforms normal mud or quicksand of any depth into soft stone (sandstone or a similar mineral).&lt;/p&gt;&lt;p&gt;Any creature in the mud is allowed a Reflex save to escape before the area is hardened to stone.&lt;/p&gt;&lt;p&gt;&lt;i&gt;Transmute mud to rock&lt;/i&gt; counters and dispels &lt;i&gt;transmute rock to mud&lt;/i&gt;.&lt;/p&gt;&lt;/h4&gt;&lt;/div&gt;</t>
  </si>
  <si>
    <t>Transforms two 10-ft. cubes per level.</t>
  </si>
  <si>
    <t>Transmute Rock to Mud</t>
  </si>
  <si>
    <t>V, S, M/DF (clay and water)</t>
  </si>
  <si>
    <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  If transmute rock to mud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  Castles and large stone buildings are generally immune to the effect of the spell, since transmute rock to mud can't affect worked stone and doesn't reach deep enough to undermine such buildings' foundations. However, small buildings or structures often rest upon foundations shallow enough to be damaged or even partially toppled by this spell.  The mud remains until a successful dispel magic or transmute mud to rock spell restores its substance-but not necessarily its form. Evaporation turns the mud to normal dirt over a period of days. The exact time depends on exposure to the sun, wind, and normal drainage.  Transmute rock to mud counters and dispels transmute mud to rock.</t>
  </si>
  <si>
    <t>&lt;p&gt;This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feet.&lt;/p&gt;&lt;p&gt;If &lt;i&gt;transmute rock to mud&lt;/i&gt;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saves.&lt;/p&gt;&lt;p&gt;Castles and large stone buildings are generally immune to the effect of the spell, since &lt;i&gt;transmute rock to mud&lt;/i&gt; can't affect worked stone and doesn't reach deep enough to undermine such buildings' foundations. However, small buildings or structures often rest upon foundations shallow enough to be damaged or even partially toppled by this spell.&lt;/p&gt;&lt;p&gt;The mud remains until a successful &lt;i&gt;dispel magic&lt;/i&gt; or &lt;i&gt;transmute mud to rock&lt;/i&gt; spell restores its substance-but not necessarily its form. Evaporation turns the mud to normal dirt over a period of days. The exact time depends on exposure to the sun, wind, and normal drainage.&lt;/p&gt;&lt;p&gt;&lt;i&gt;Transmute rock to mud&lt;/i&gt; counters and dispels &lt;i&gt;transmute mud to rock&lt;/i&gt;.&lt;/p&gt;</t>
  </si>
  <si>
    <t>&lt;link rel="stylesheet"href="PF.css"&gt;&lt;div class="heading"&gt;&lt;p class="alignleft"&gt;Transmute Rock to Mud&lt;/p&gt;&lt;div style="clear: both;"&gt;&lt;/div&gt;&lt;/div&gt;&lt;div&gt;&lt;h5&gt;&lt;b&gt;School &lt;/b&gt;transmutation [earth]; &lt;b&gt;Level &lt;/b&gt;druid 5, sorcerer/wizard 5, occultist 5&lt;/h5&gt;&lt;/div&gt;&lt;hr/&gt;&lt;div&gt;&lt;h5&gt;&lt;b&gt;CASTING&lt;/b&gt;&lt;/h5&gt;&lt;/div&gt;&lt;hr/&gt;&lt;div&gt;&lt;h5&gt;&lt;b&gt;Casting Time &lt;/b&gt;1 standard action&lt;/h5&gt;&lt;h5&gt;&lt;b&gt;Components &lt;/b&gt;V, S, M/DF (clay and water)&lt;/h5&gt;&lt;/div&gt;&lt;hr/&gt;&lt;div&gt;&lt;h5&gt;&lt;b&gt;EFFECT&lt;/b&gt;&lt;/h5&gt;&lt;/div&gt;&lt;hr/&gt;&lt;div&gt;&lt;h5&gt;&lt;b&gt;Range &lt;/b&gt;medium (100 ft. + 10 ft./level)&lt;/h5&gt;&lt;h5&gt;&lt;b&gt;Area &lt;/b&gt;up to two 10-ft. cubes/level  (S)&lt;/h5&gt;&lt;h5&gt;&lt;b&gt;Duration &lt;/b&gt;permanent; see text&lt;/h5&gt;&lt;h5&gt;&lt;b&gt;Saving Throw &lt;/b&gt;see text; &lt;b&gt;Spell Resistance &lt;/b&gt;no&lt;/h5&gt;&lt;/div&gt;&lt;hr/&gt;&lt;div&gt;&lt;h5&gt;&lt;b&gt;DESCRIPTION&lt;/b&gt;&lt;/h5&gt;&lt;/div&gt;&lt;hr/&gt;&lt;div&gt;&lt;h4&gt;&lt;p&gt;This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feet.&lt;/p&gt;&lt;p&gt;If &lt;i&gt;transmute rock to mud&lt;/i&gt;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saves.&lt;/p&gt;&lt;p&gt;Castles and large stone buildings are generally immune to the effect of the spell, since &lt;i&gt;transmute rock to mud&lt;/i&gt; can't affect worked stone and doesn't reach deep enough to undermine such buildings' foundations. However, small buildings or structures often rest upon foundations shallow enough to be damaged or even partially toppled by this spell.&lt;/p&gt;&lt;p&gt;The mud remains until a successful &lt;i&gt;dispel magic&lt;/i&gt; or &lt;i&gt;transmute mud to rock&lt;/i&gt; spell restores its substance-but not necessarily its form. Evaporation turns the mud to normal dirt over a period of days. The exact time depends on exposure to the sun, wind, and normal drainage.&lt;/p&gt;&lt;p&gt;&lt;i&gt;Transmute rock to mud&lt;/i&gt; counters and dispels &lt;i&gt;transmute mud to rock&lt;/i&gt;.&lt;/p&gt;&lt;/h4&gt;&lt;/div&gt;</t>
  </si>
  <si>
    <t>Kobold Sorcerer (11), Kobold (11)</t>
  </si>
  <si>
    <t>Transport via Plants</t>
  </si>
  <si>
    <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transport via plants spell moves you as close as possible to the desired location. If a particular destination plant is desired but the plant is not living, the spell fails and you are ejected from the entry plant.  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  You can't use this spell to travel through plant creatures.  The destruction of an occupied plant slays you and any creatures you have brought along, and ejects the bodies and all carried objects from it.</t>
  </si>
  <si>
    <t>&lt;p&gt;You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&lt;i&gt;transport via plants&lt;/i&gt; spell moves you as close as possible to the desired location. If a particular destination plant is desired but the plant is not living, the spell fails and you are ejected from the entry plant.&lt;/p&gt;&lt;p&gt;You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you.&lt;/p&gt;&lt;p&gt;You can't use this spell to travel through plant creatures.&lt;/p&gt;&lt;p&gt;The destruction of an occupied plant slays you and any creatures you have brought along, and ejects the bodies and all carried objects from it.&lt;/p&gt;</t>
  </si>
  <si>
    <t>&lt;link rel="stylesheet"href="PF.css"&gt;&lt;div class="heading"&gt;&lt;p class="alignleft"&gt;Transport via Plants&lt;/p&gt;&lt;div style="clear: both;"&gt;&lt;/div&gt;&lt;/div&gt;&lt;div&gt;&lt;h5&gt;&lt;b&gt;School &lt;/b&gt;conjuration (teleportation); &lt;b&gt;Level &lt;/b&gt;druid 6, shaman 7&lt;/h5&gt;&lt;/div&gt;&lt;hr/&gt;&lt;div&gt;&lt;h5&gt;&lt;b&gt;CASTING&lt;/b&gt;&lt;/h5&gt;&lt;/div&gt;&lt;hr/&gt;&lt;div&gt;&lt;h5&gt;&lt;b&gt;Casting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&lt;/b&gt;you and touched objects or other touched willing creatures&lt;/h5&gt;&lt;h5&gt;&lt;b&gt;Duration &lt;/b&gt;1 round&lt;/h5&gt;&lt;h5&gt;&lt;b&gt;Saving Throw &lt;/b&gt;none; &lt;b&gt;Spell Resistance &lt;/b&gt;no&lt;/h5&gt;&lt;/div&gt;&lt;hr/&gt;&lt;div&gt;&lt;h5&gt;&lt;b&gt;DESCRIPTION&lt;/b&gt;&lt;/h5&gt;&lt;/div&gt;&lt;hr/&gt;&lt;div&gt;&lt;h4&gt;&lt;p&gt;You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&lt;i&gt;transport via plants&lt;/i&gt; spell moves you as close as possible to the desired location. If a particular destination plant is desired but the plant is not living, the spell fails and you are ejected from the entry plant.&lt;/p&gt;&lt;p&gt;You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you.&lt;/p&gt;&lt;p&gt;You can't use this spell to travel through plant creatures.&lt;/p&gt;&lt;p&gt;The destruction of an occupied plant slays you and any creatures you have brought along, and ejects the bodies and all carried objects from it.&lt;/p&gt;&lt;/h4&gt;&lt;/div&gt;</t>
  </si>
  <si>
    <t> Move instantly from one plant to another of the same kind.</t>
  </si>
  <si>
    <t>Verdant (13)</t>
  </si>
  <si>
    <t>Trap the Soul</t>
  </si>
  <si>
    <t>1 standard action or see text</t>
  </si>
  <si>
    <t>V, S, M (gem worth 1,000 gp per HD of the trapped creature)</t>
  </si>
  <si>
    <t>Trap the soul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  Depending on the version selected, the spell can be triggered in one of two ways.  Spell Completion: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  Trigger Object: The second method is far more insidious, for it tricks the subject into accepting a trigger object inscribed with the final spell word, automatically placing the creature's soul in the trap.  To use this method, both the creature's name and the trigger word must be inscribed on the trigger object when the gem is enspelled.  A sympathy spell can also be placed on the trigger object. As soon as the subject picks up or accepts the trigger object, its life force is automatically transferred to the gem without the benefit of spell resistance or a save.</t>
  </si>
  <si>
    <t>&lt;p&gt;&lt;i&gt;Trap the soul&lt;/i&gt;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broken.&lt;/p&gt;&lt;p&gt;Depending on the version selected, the spell can be triggered in one of two ways.&lt;/p&gt;&lt;p&gt;&lt;i&gt;Spell Completion&lt;/i&gt;: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shatters.&lt;/p&gt;&lt;p&gt;&lt;i&gt;Trigger Object&lt;/i&gt;: The second method is far more insidious, for it tricks the subject into accepting a trigger object inscribed with the final spell word, automatically placing the creature's soul in the trap.&lt;/p&gt;&lt;p&gt;To use this method, both the creature's name and the trigger word must be inscribed on the trigger object when the gem is enspelled.&lt;/p&gt;&lt;p&gt;A &lt;i&gt;sympathy&lt;/i&gt; spell can also be placed on the trigger object. As soon as the subject picks up or accepts the trigger object, its life force is automatically transferred to the gem without the benefit of spell resistance or a save.&lt;/p&gt;</t>
  </si>
  <si>
    <t>&lt;link rel="stylesheet"href="PF.css"&gt;&lt;div class="heading"&gt;&lt;p class="alignleft"&gt;Trap the Soul&lt;/p&gt;&lt;div style="clear: both;"&gt;&lt;/div&gt;&lt;/div&gt;&lt;div&gt;&lt;h5&gt;&lt;b&gt;School &lt;/b&gt;conjuration (summoning); &lt;b&gt;Level &lt;/b&gt;sorcerer/wizard 8, witch 8, psychic 8&lt;/h5&gt;&lt;/div&gt;&lt;hr/&gt;&lt;div&gt;&lt;h5&gt;&lt;b&gt;CASTING&lt;/b&gt;&lt;/h5&gt;&lt;/div&gt;&lt;hr/&gt;&lt;div&gt;&lt;h5&gt;&lt;b&gt;Casting Time &lt;/b&gt;1 standard action or see text&lt;/h5&gt;&lt;h5&gt;&lt;b&gt;Components &lt;/b&gt;V, S, M (gem worth 1,000 gp per HD of the trapped creature)&lt;/h5&gt;&lt;/div&gt;&lt;hr/&gt;&lt;div&gt;&lt;h5&gt;&lt;b&gt;EFFECT&lt;/b&gt;&lt;/h5&gt;&lt;/div&gt;&lt;hr/&gt;&lt;div&gt;&lt;h5&gt;&lt;b&gt;Range &lt;/b&gt;close (25 ft. + 5 ft./2 levels)&lt;/h5&gt;&lt;h5&gt;&lt;b&gt;Targets &lt;/b&gt;one creature&lt;/h5&gt;&lt;h5&gt;&lt;b&gt;Duration &lt;/b&gt;permanent; see text&lt;/h5&gt;&lt;h5&gt;&lt;b&gt;Saving Throw &lt;/b&gt;see text; &lt;b&gt;Spell Resistance &lt;/b&gt;yes; see text&lt;/h5&gt;&lt;/div&gt;&lt;hr/&gt;&lt;div&gt;&lt;h5&gt;&lt;b&gt;DESCRIPTION&lt;/b&gt;&lt;/h5&gt;&lt;/div&gt;&lt;hr/&gt;&lt;div&gt;&lt;h4&gt;&lt;p&gt;&lt;i&gt;Trap the soul&lt;/i&gt;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broken.&lt;/p&gt;&lt;p&gt;Depending on the version selected, the spell can be triggered in one of two ways.&lt;/p&gt;&lt;p&gt;&lt;i&gt;Spell Completion&lt;/i&gt;: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shatters.&lt;/p&gt;&lt;p&gt;&lt;i&gt;Trigger Object&lt;/i&gt;: The second method is far more insidious, for it tricks the subject into accepting a trigger object inscribed with the final spell word, automatically placing the creature's soul in the trap.&lt;/p&gt;&lt;p&gt;To use this method, both the creature's name and the trigger word must be inscribed on the trigger object when the gem is enspelled.&lt;/p&gt;&lt;p&gt;A &lt;i&gt;sympathy&lt;/i&gt; spell can also be placed on the trigger object. As soon as the subject picks up or accepts the trigger object, its life force is automatically transferred to the gem without the benefit of spell resistance or a save.&lt;/p&gt;&lt;/h4&gt;&lt;/div&gt;</t>
  </si>
  <si>
    <t>Souls (9), Psychopomp (8)</t>
  </si>
  <si>
    <t> Imprisons subject within gem.</t>
  </si>
  <si>
    <t>Oni (17)</t>
  </si>
  <si>
    <t>Occult (16)</t>
  </si>
  <si>
    <t>Tree Shape</t>
  </si>
  <si>
    <t>druid 2, ranger 3, shaman 2</t>
  </si>
  <si>
    <t>This spell allows you to assume the form of a Large living tree or shrub or a Large dead tree trunk with a small number of limbs. The exact type of tree, as well as its appearance, is completely under your control.  Even the closest inspection cannot reveal that the tree in question is actually a magically concealed creature. To all normal tests you are, in fact, a tree or shrub, although a detect magic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tree shape as a free action (instead of as a standard action).</t>
  </si>
  <si>
    <t>&lt;p&gt;This spell allows you to assume the form of a Large living tree or shrub or a Large dead tree trunk with a small number of limbs. The exact type of tree, as well as its appearance, is completely under your control.&lt;/p&gt;&lt;p&gt;Even the closest inspection cannot reveal that the tree in question is actually a magically concealed creature. To all normal tests you are, in fact, a tree or shrub, although a &lt;i&gt;detect magic&lt;/i&gt;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&lt;i&gt;tree shape&lt;/i&gt; as a free action (instead of as a standard action).&lt;/p&gt;</t>
  </si>
  <si>
    <t>&lt;link rel="stylesheet"href="PF.css"&gt;&lt;div class="heading"&gt;&lt;p class="alignleft"&gt;Tree Shape&lt;/p&gt;&lt;div style="clear: both;"&gt;&lt;/div&gt;&lt;/div&gt;&lt;div&gt;&lt;h5&gt;&lt;b&gt;School &lt;/b&gt;transmutation; &lt;b&gt;Level &lt;/b&gt;druid 2, ranger 3, shaman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(D)&lt;/h5&gt;&lt;/div&gt;&lt;hr/&gt;&lt;div&gt;&lt;h5&gt;&lt;b&gt;DESCRIPTION&lt;/b&gt;&lt;/h5&gt;&lt;/div&gt;&lt;hr/&gt;&lt;div&gt;&lt;h4&gt;&lt;p&gt;This spell allows you to assume the form of a Large living tree or shrub or a Large dead tree trunk with a small number of limbs. The exact type of tree, as well as its appearance, is completely under your control.&lt;/p&gt;&lt;p&gt;Even the closest inspection cannot reveal that the tree in question is actually a magically concealed creature. To all normal tests you are, in fact, a tree or shrub, although a &lt;i&gt;detect magic&lt;/i&gt;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&lt;i&gt;tree shape&lt;/i&gt; as a free action (instead of as a standard action).&lt;/p&gt;&lt;/h4&gt;&lt;/div&gt;</t>
  </si>
  <si>
    <t>You look exactly like a tree for 1 hour/level.</t>
  </si>
  <si>
    <t>Tree Stride</t>
  </si>
  <si>
    <t>druid 5, ranger 4</t>
  </si>
  <si>
    <t>1 hour/level or until expended; see text</t>
  </si>
  <si>
    <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 Type of Tree Transport Range Oak, ash, yew 3,000 feet Elm, linden 2,000 feet Other deciduous 1,500 feet Any coniferous 1,000 feet You may move into a tree up to one time per caster level (passing from one tree to another counts only as moving into one tree). The spell lasts until the duration expires or you exit a tree. Each transport is a full-round action. You can, at your option, remain within a tree without transporting yourself, but you are forced out when the spell ends. If the tree in which you are concealed is chopped down or burned, you are slain if you do not exit before the process is complete.</t>
  </si>
  <si>
    <t>&lt;p&gt;When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table.&lt;/p&gt;&lt;p&gt; &lt;table&gt;&lt;tr&gt;&lt;th&gt;Type of Tree&lt;/th&gt;&lt;th&gt;Transport range&lt;/th&gt;&lt;/tr&gt;&lt;tr&gt;&lt;td&gt;Oak, ash, yew&lt;/td&gt;&lt;td&gt;3,000 feet&lt;/td&gt;&lt;/tr&gt;&lt;tr&gt;&lt;td&gt;Elm, linden&lt;/td&gt;&lt;td&gt;2,000 feet&lt;/td&gt;&lt;/tr&gt;&lt;tr&gt;&lt;td&gt;Other deciduous&lt;/td&gt;&lt;td&gt;1,500 feet&lt;/td&gt;&lt;/tr&gt;&lt;tr&gt;&lt;td&gt;Any coniferous&lt;/td&gt;&lt;td&gt;1,000 feet&lt;/td&gt;&lt;/tr&gt;&lt;/table&gt;  You may move into a tree up to one time per caster level (passing from one tree to another counts only as moving into one tree). The spell lasts until the duration expires or you exit a tree. Each transport is a full-round action.&lt;/p&gt;&lt;p&gt;You can, at your option, remain within a tree without transporting yourself, but you are forced out when the spell ends. If the tree in which you are concealed is chopped down or burned, you are slain if you do not exit before the process is complete.&lt;/p&gt;</t>
  </si>
  <si>
    <t>&lt;link rel="stylesheet"href="PF.css"&gt;&lt;div class="heading"&gt;&lt;p class="alignleft"&gt;Tree Stride&lt;/p&gt;&lt;div style="clear: both;"&gt;&lt;/div&gt;&lt;/div&gt;&lt;div&gt;&lt;h5&gt;&lt;b&gt;School &lt;/b&gt;conjuration (teleportation);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or until expended; see text&lt;/h5&gt;&lt;/div&gt;&lt;hr/&gt;&lt;div&gt;&lt;h5&gt;&lt;b&gt;DESCRIPTION&lt;/b&gt;&lt;/h5&gt;&lt;/div&gt;&lt;hr/&gt;&lt;div&gt;&lt;h4&gt;&lt;p&gt;When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table.&lt;/p&gt;&lt;p&gt; &lt;table&gt;&lt;tr&gt;&lt;th&gt;Type of Tree&lt;/th&gt;&lt;th&gt;Transport range&lt;/th&gt;&lt;/tr&gt;&lt;tr&gt;&lt;td&gt;Oak, ash, yew&lt;/td&gt;&lt;td&gt;3,000 feet&lt;/td&gt;&lt;/tr&gt;&lt;tr&gt;&lt;td&gt;Elm, linden&lt;/td&gt;&lt;td&gt;2,000 feet&lt;/td&gt;&lt;/tr&gt;&lt;tr&gt;&lt;td&gt;Other deciduous&lt;/td&gt;&lt;td&gt;1,500 feet&lt;/td&gt;&lt;/tr&gt;&lt;tr&gt;&lt;td&gt;Any coniferous&lt;/td&gt;&lt;td&gt;1,000 feet&lt;/td&gt;&lt;/tr&gt;&lt;/table&gt;  You may move into a tree up to one time per caster level (passing from one tree to another counts only as moving into one tree). The spell lasts until the duration expires or you exit a tree. Each transport is a full-round action.&lt;/p&gt;&lt;p&gt;You can, at your option, remain within a tree without transporting yourself, but you are forced out when the spell ends. If the tree in which you are concealed is chopped down or burned, you are slain if you do not exit before the process is complete.&lt;/p&gt;&lt;/h4&gt;&lt;/div&gt;</t>
  </si>
  <si>
    <t>Step from one tree to another far away.</t>
  </si>
  <si>
    <t>Fey (11)</t>
  </si>
  <si>
    <t>Plant (10)</t>
  </si>
  <si>
    <t>True Resurrection</t>
  </si>
  <si>
    <t>V, S, M, DF (diamond worth 25,000 gp)</t>
  </si>
  <si>
    <t>This spell functions like raise dead, except that you can resurrect a creature that has been dead for as long as 10 years per caster level.  This spell can even bring back creatures whose bodies have been destroyed, provided that you unambiguously identify the deceased in some fashion (reciting the deceased's time and place of birth or death is the most common method).  Upon completion of the spell, the creature is immediately restored to full hit points, vigor, and health, with no negative levels (or Constitution points) and all of the prepared spells possessed by the creature when it died.  You can revive someone killed by a death effect or someone who has been turned into an undead creature and then destroyed.  This spell can also resurrect elementals or outsiders, but it can't resurrect constructs or undead creatures.  Even true resurrection can't restore to life a creature who has died of old age.</t>
  </si>
  <si>
    <t>&lt;p&gt;This spell functions like &lt;i&gt;raise dead,&lt;/i&gt; except that you can resurrect a creature that has been dead for as long as 10 years per caster level.&lt;/p&gt;&lt;p&gt;This spell can even bring back creatures whose bodies have been destroyed, provided that you unambiguously identify the deceased in some fashion (reciting the deceased's time and place of birth or death is the most common method).&lt;/p&gt;&lt;p&gt;Upon completion of the spell, the creature is immediately restored to full hit points, vigor, and health, with no negative levels (or Constitution points) and all of the prepared spells possessed by the creature when it died.&lt;/p&gt;&lt;p&gt;You can revive someone killed by a death effect or someone who has been turned into an undead creature and then destroyed.&lt;/p&gt;&lt;p&gt;This spell can also resurrect elementals or outsiders, but it can't resurrect constructs or undead creatures.&lt;/p&gt;&lt;p&gt;Even &lt;i&gt;true resurrection&lt;/i&gt; can't restore to life a creature who has died of old age.&lt;/p&gt;</t>
  </si>
  <si>
    <t>&lt;link rel="stylesheet"href="PF.css"&gt;&lt;div class="heading"&gt;&lt;p class="alignleft"&gt;True Resurrection&lt;/p&gt;&lt;div style="clear: both;"&gt;&lt;/div&gt;&lt;/div&gt;&lt;div&gt;&lt;h5&gt;&lt;b&gt;School &lt;/b&gt;conjuration (healing); &lt;b&gt;Level &lt;/b&gt;cleric/oracle 9&lt;/h5&gt;&lt;/div&gt;&lt;hr/&gt;&lt;div&gt;&lt;h5&gt;&lt;b&gt;CASTING&lt;/b&gt;&lt;/h5&gt;&lt;/div&gt;&lt;hr/&gt;&lt;div&gt;&lt;h5&gt;&lt;b&gt;Casting Time &lt;/b&gt;10 minutes&lt;/h5&gt;&lt;h5&gt;&lt;b&gt;Components &lt;/b&gt;V, S, M, DF (diamond worth 25,000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functions like &lt;i&gt;raise dead,&lt;/i&gt; except that you can resurrect a creature that has been dead for as long as 10 years per caster level.&lt;/p&gt;&lt;p&gt;This spell can even bring back creatures whose bodies have been destroyed, provided that you unambiguously identify the deceased in some fashion (reciting the deceased's time and place of birth or death is the most common method).&lt;/p&gt;&lt;p&gt;Upon completion of the spell, the creature is immediately restored to full hit points, vigor, and health, with no negative levels (or Constitution points) and all of the prepared spells possessed by the creature when it died.&lt;/p&gt;&lt;p&gt;You can revive someone killed by a death effect or someone who has been turned into an undead creature and then destroyed.&lt;/p&gt;&lt;p&gt;This spell can also resurrect elementals or outsiders, but it can't resurrect constructs or undead creatures.&lt;/p&gt;&lt;p&gt;Even &lt;i&gt;true resurrection&lt;/i&gt; can't restore to life a creature who has died of old age.&lt;/p&gt;&lt;/h4&gt;&lt;/div&gt;</t>
  </si>
  <si>
    <t>Resurrection (9)</t>
  </si>
  <si>
    <t> As resurrection, plus remains aren't needed.</t>
  </si>
  <si>
    <t>Healing (18)</t>
  </si>
  <si>
    <t>True Seeing</t>
  </si>
  <si>
    <t>cleric/oracle 5, druid 7, sorcerer/wizard 6, alchemist 6, summoner 5, witch 6, inquisitor 5, magus 6, shaman 5, occultist 5, psychic 5, mesmerist 6, spiritualist 6</t>
  </si>
  <si>
    <t>V, S, M (an eye ointment that costs 250 gp)</t>
  </si>
  <si>
    <t>You confer on the subject the ability to see all things as they actually are. The subject sees through normal and magical darkness, notices secret doors hidden by magic, sees the exact locations of creatures or objects under blur or displacement effects, sees invisible creatures or objects normally, sees through illusions, and sees the true form of polymorphed, changed, or transmuted things. Further, the subject can focus its vision to see into the Ethereal Plane (but not into extradimensional spaces). The range of true seeing conferred is 120 feet.  True seeing, however, does not penetrate solid objects. It in no way confers X-ray vision or its equivalent. It does not negate concealment, including that caused by fog and the like. True seeing does not help the viewer see through mundane disguises, spot creatures who are simply hiding, or notice secret doors hidden by mundane means. In addition, the spell effects cannot be further enhanced with known magic, so one cannot use true seeing through a crystal ball or in conjunction with clairaudience/clairvoyance.</t>
  </si>
  <si>
    <t>&lt;p&gt;You confer on the subject the ability to see all things as they actually are. The subject sees through normal and magical darkness, notices secret doors hidden by magic, sees the exact locations of creatures or objects under &lt;i&gt;blur&lt;/i&gt; or &lt;i&gt;displacement&lt;/i&gt; effects, sees invisible creatures or objects normally, sees through illusions, and sees the true form of polymorphed, changed, or transmuted things. Further, the subject can focus its vision to see into the Ethereal Plane (but not into extradimensional spaces). The range of &lt;i&gt;true seeing&lt;/i&gt; conferred is 120 feet.&lt;/p&gt;&lt;p&gt;&lt;i&gt;True seeing&lt;/i&gt;, however, does not penetrate solid objects. It in no way confers X-ray vision or its equivalent. It does not negate concealment, including that caused by fog and the like. &lt;i&gt;True seeing&lt;/i&gt; does not help the viewer see through mundane disguises, spot creatures who are simply hiding, or notice secret doors hidden by mundane means. In addition, the spell effects cannot be further enhanced with known magic, so one cannot use &lt;i&gt;true seeing&lt;/i&gt; through a &lt;i&gt;crystal ball&lt;/i&gt; or in conjunction with clairaudience/clairvoyance.&lt;/p&gt;</t>
  </si>
  <si>
    <t>&lt;link rel="stylesheet"href="PF.css"&gt;&lt;div class="heading"&gt;&lt;p class="alignleft"&gt;True Seeing&lt;/p&gt;&lt;div style="clear: both;"&gt;&lt;/div&gt;&lt;/div&gt;&lt;div&gt;&lt;h5&gt;&lt;b&gt;School &lt;/b&gt;divination; &lt;b&gt;Level &lt;/b&gt;cleric/oracle 5, druid 7, sorcerer/wizard 6, alchemist 6, summoner 5, witch 6, inquisitor 5, magus 6, shaman 5, occultist 5, psychic 5, mesmerist 6, spiritualist 6, alchemist 6, summoner 5, witch 6, inquisitor 5&lt;/h5&gt;&lt;/div&gt;&lt;hr/&gt;&lt;div&gt;&lt;h5&gt;&lt;b&gt;CASTING&lt;/b&gt;&lt;/h5&gt;&lt;/div&gt;&lt;hr/&gt;&lt;div&gt;&lt;h5&gt;&lt;b&gt;Casting Time &lt;/b&gt;1 standard action&lt;/h5&gt;&lt;h5&gt;&lt;b&gt;Components &lt;/b&gt;V, S, M (an eye ointment that costs 250 gp)&lt;/h5&gt;&lt;/div&gt;&lt;hr/&gt;&lt;div&gt;&lt;h5&gt;&lt;b&gt;EFFECT&lt;/b&gt;&lt;/h5&gt;&lt;/div&gt;&lt;hr/&gt;&lt;div&gt;&lt;h5&gt;&lt;b&gt;Range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(harmless)&lt;/h5&gt;&lt;/div&gt;&lt;hr/&gt;&lt;div&gt;&lt;h5&gt;&lt;b&gt;DESCRIPTION&lt;/b&gt;&lt;/h5&gt;&lt;/div&gt;&lt;hr/&gt;&lt;div&gt;&lt;h4&gt;&lt;p&gt;You confer on the subject the ability to see all things as they actually are. The subject sees through normal and magical darkness, notices secret doors hidden by magic, sees the exact locations of creatures or objects under &lt;i&gt;blur&lt;/i&gt; or &lt;i&gt;displacement&lt;/i&gt; effects, sees invisible creatures or objects normally, sees through illusions, and sees the true form of polymorphed, changed, or transmuted things. Further, the subject can focus its vision to see into the Ethereal Plane (but not into extradimensional spaces). The range of &lt;i&gt;true seeing&lt;/i&gt; conferred is 120 feet.&lt;/p&gt;&lt;p&gt;&lt;i&gt;True seeing&lt;/i&gt;, however, does not penetrate solid objects. It in no way confers X-ray vision or its equivalent. It does not negate concealment, including that caused by fog and the like. &lt;i&gt;True seeing&lt;/i&gt; does not help the viewer see through mundane disguises, spot creatures who are simply hiding, or notice secret doors hidden by mundane means. In addition, the spell effects cannot be further enhanced with known magic, so one cannot use &lt;i&gt;true seeing&lt;/i&gt; through a &lt;i&gt;crystal ball&lt;/i&gt; or in conjunction with clairaudience/clairvoyance.&lt;/p&gt;&lt;/h4&gt;&lt;/div&gt;</t>
  </si>
  <si>
    <t>Knowledge (5), Revelation (5)</t>
  </si>
  <si>
    <t>Lets you see all things as they really are.</t>
  </si>
  <si>
    <t>Arcane (13)</t>
  </si>
  <si>
    <t>True Strike</t>
  </si>
  <si>
    <t>sorcerer/wizard 1, alchemist 1, inquisitor 1, magus 1, bloodrager 1, psychic 1</t>
  </si>
  <si>
    <t>V, F (small wooden replica of an archery target)</t>
  </si>
  <si>
    <t>You gain temporary, intuitive insight into the immediate future during your next attack. Your next single attack roll (if it is made before the end of the next round) gains a +20 insight bonus.  Additionally, you are not affected by the miss chance that applies to attackers trying to strike a concealed target.</t>
  </si>
  <si>
    <t>&lt;p&gt;You gain temporary, intuitive insight into the immediate future during your next attack. Your next single attack roll (if it is made before the end of the next round) gains a +20 insight bonus.&lt;/p&gt;&lt;p&gt;Additionally, you are not affected by the miss chance that applies to attackers trying to strike a concealed target.&lt;/p&gt;</t>
  </si>
  <si>
    <t>&lt;link rel="stylesheet"href="PF.css"&gt;&lt;div class="heading"&gt;&lt;p class="alignleft"&gt;True Strike&lt;/p&gt;&lt;div style="clear: both;"&gt;&lt;/div&gt;&lt;/div&gt;&lt;div&gt;&lt;h5&gt;&lt;b&gt;School &lt;/b&gt;divination; &lt;b&gt;Level &lt;/b&gt;sorcerer/wizard 1, alchemist 1, inquisitor 1, magus 1, bloodrager 1, psychic 1&lt;/h5&gt;&lt;/div&gt;&lt;hr/&gt;&lt;div&gt;&lt;h5&gt;&lt;b&gt;CASTING&lt;/b&gt;&lt;/h5&gt;&lt;/div&gt;&lt;hr/&gt;&lt;div&gt;&lt;h5&gt;&lt;b&gt;Casting Time &lt;/b&gt;1 standard action&lt;/h5&gt;&lt;h5&gt;&lt;b&gt;Components &lt;/b&gt;V, F (small wooden replica of an archery target)&lt;/h5&gt;&lt;/div&gt;&lt;hr/&gt;&lt;div&gt;&lt;h5&gt;&lt;b&gt;EFFECT&lt;/b&gt;&lt;/h5&gt;&lt;/div&gt;&lt;hr/&gt;&lt;div&gt;&lt;h5&gt;&lt;b&gt;Range &lt;/b&gt;personal&lt;/h5&gt;&lt;h5&gt;&lt;b&gt;Targets &lt;/b&gt;you&lt;/h5&gt;&lt;h5&gt;&lt;b&gt;Duration &lt;/b&gt;see text&lt;/h5&gt;&lt;/div&gt;&lt;hr/&gt;&lt;div&gt;&lt;h5&gt;&lt;b&gt;DESCRIPTION&lt;/b&gt;&lt;/h5&gt;&lt;/div&gt;&lt;hr/&gt;&lt;div&gt;&lt;h4&gt;&lt;p&gt;You gain temporary, intuitive insight into the immediate future during your next attack. Your next single attack roll (if it is made before the end of the next round) gains a +20 insight bonus.&lt;/p&gt;&lt;p&gt;Additionally, you are not affected by the miss chance that applies to attackers trying to strike a concealed target.&lt;/p&gt;&lt;/h4&gt;&lt;h5&gt;&lt;b&gt;Mythic: &lt;/b&gt;The affected attack bypasses all damage reduction.&lt;/h5&gt;&lt;h5&gt;&lt;b&gt;Augmented (2nd)&lt;/b&gt;: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opportunity).&lt;/h5&gt;&lt;/div&gt;</t>
  </si>
  <si>
    <t>Destruction (1), Luck (1), Fist (1)</t>
  </si>
  <si>
    <t> +20 on your next attack roll.</t>
  </si>
  <si>
    <t>Shaitan (3)</t>
  </si>
  <si>
    <t>The affected attack bypasses all damage reduction.</t>
  </si>
  <si>
    <t>Augmented (2nd):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t>
  </si>
  <si>
    <t>Undeath to Death</t>
  </si>
  <si>
    <t>cleric/oracle 6, sorcerer/wizard 6, inquisitor 6, spiritualist 6</t>
  </si>
  <si>
    <t>V, S, M/DF (diamond powder worth 500 gp)</t>
  </si>
  <si>
    <t>several undead creatures within a 40-ft.-radius burst</t>
  </si>
  <si>
    <t>This spell functions like circle of death, except that it destroys undead creatures as noted above.</t>
  </si>
  <si>
    <t>&lt;p&gt;This spell functions like &lt;i&gt;circle of&lt;/i&gt; &lt;i&gt;death,&lt;/i&gt; except that it destroys undead creatures as noted above.&lt;/p&gt;</t>
  </si>
  <si>
    <t>&lt;link rel="stylesheet"href="PF.css"&gt;&lt;div class="heading"&gt;&lt;p class="alignleft"&gt;Undeath to Death&lt;/p&gt;&lt;div style="clear: both;"&gt;&lt;/div&gt;&lt;/div&gt;&lt;div&gt;&lt;h5&gt;&lt;b&gt;School &lt;/b&gt;necromancy; &lt;b&gt;Level &lt;/b&gt;cleric/oracle 6, sorcerer/wizard 6, inquisitor 6, spiritualist 6&lt;/h5&gt;&lt;/div&gt;&lt;hr/&gt;&lt;div&gt;&lt;h5&gt;&lt;b&gt;CASTING&lt;/b&gt;&lt;/h5&gt;&lt;/div&gt;&lt;hr/&gt;&lt;div&gt;&lt;h5&gt;&lt;b&gt;Casting Time &lt;/b&gt;1 standard action&lt;/h5&gt;&lt;h5&gt;&lt;b&gt;Components &lt;/b&gt;V, S, M/DF (diamond powder worth 500 gp)&lt;/h5&gt;&lt;/div&gt;&lt;hr/&gt;&lt;div&gt;&lt;h5&gt;&lt;b&gt;EFFECT&lt;/b&gt;&lt;/h5&gt;&lt;/div&gt;&lt;hr/&gt;&lt;div&gt;&lt;h5&gt;&lt;b&gt;Range &lt;/b&gt;medium (100 ft. + 10 ft./level)&lt;/h5&gt;&lt;h5&gt;&lt;b&gt;Area &lt;/b&gt;several undead creatures within a 40-ft.-radius burst&lt;/h5&gt;&lt;h5&gt;&lt;b&gt;Duration &lt;/b&gt;instantaneous&lt;/h5&gt;&lt;h5&gt;&lt;b&gt;Saving Throw &lt;/b&gt;Will negates; &lt;b&gt;Spell Resistance &lt;/b&gt;yes&lt;/h5&gt;&lt;/div&gt;&lt;hr/&gt;&lt;div&gt;&lt;h5&gt;&lt;b&gt;DESCRIPTION&lt;/b&gt;&lt;/h5&gt;&lt;/div&gt;&lt;hr/&gt;&lt;div&gt;&lt;h4&gt;&lt;p&gt;This spell functions like &lt;i&gt;circle of&lt;/i&gt; &lt;i&gt;death,&lt;/i&gt; except that it destroys undead creatures as noted above.&lt;/p&gt;&lt;/h4&gt;&lt;/div&gt;</t>
  </si>
  <si>
    <t>Glory (6), Repose (6)</t>
  </si>
  <si>
    <t>Destroys 1d4 HD/level undead (max. 20d4).</t>
  </si>
  <si>
    <t>Undead (13)</t>
  </si>
  <si>
    <t>Undetectable Alignment</t>
  </si>
  <si>
    <t>bard 1, cleric/oracle 2, paladin 2, alchemist 2, inquisitor 2, antipaladin 2, psychic 2, mesmerist 1</t>
  </si>
  <si>
    <t>An undetectable alignment spell conceals the alignment of an object or a creature from all forms of divination.</t>
  </si>
  <si>
    <t>&lt;p&gt;An &lt;i&gt;undetectable alignment&lt;/i&gt; spell conceals the alignment of an object or a creature from all forms of divination.&lt;/p&gt;</t>
  </si>
  <si>
    <t>&lt;link rel="stylesheet"href="PF.css"&gt;&lt;div class="heading"&gt;&lt;p class="alignleft"&gt;Undetectable Alignment&lt;/p&gt;&lt;div style="clear: both;"&gt;&lt;/div&gt;&lt;/div&gt;&lt;div&gt;&lt;h5&gt;&lt;b&gt;School &lt;/b&gt;abjuration; &lt;b&gt;Level &lt;/b&gt;bard 1, cleric/oracle 2, paladin 2, alchemist 2, inquisitor 2, antipaladin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&lt;/b&gt;24 hours&lt;/h5&gt;&lt;h5&gt;&lt;b&gt;Saving Throw &lt;/b&gt;Will negates (object); &lt;b&gt;Spell Resistance &lt;/b&gt;yes (object)&lt;/h5&gt;&lt;/div&gt;&lt;hr/&gt;&lt;div&gt;&lt;h5&gt;&lt;b&gt;DESCRIPTION&lt;/b&gt;&lt;/h5&gt;&lt;/div&gt;&lt;hr/&gt;&lt;div&gt;&lt;h4&gt;&lt;p&gt;An &lt;i&gt;undetectable alignment&lt;/i&gt; spell conceals the alignment of an object or a creature from all forms of divination.&lt;/p&gt;&lt;/h4&gt;&lt;/div&gt;</t>
  </si>
  <si>
    <t>Conceals alignment for 24 hours.</t>
  </si>
  <si>
    <t>Unhallow</t>
  </si>
  <si>
    <t>V, S, M (herbs, oils, and incense worth at least 1,000 gp, plus 1,000 gp per level of the spell to be tied to the unhallowed area)</t>
  </si>
  <si>
    <t>Unhallow makes a particular site, building, or structure an unholy site. This has three major effects.  First, the site or structure is guarded by a magic circle against good effect.  Second, the DC to resist negative channeled energy within the spell's area of effect gains a +4 sacred bonus and the DC to resist positive energy is reduced by 4. Spell resistance does not apply to this effect. This provision does not apply to the druid version of the spell.  Finally, you may choose to fix a single spell effect to the unhallowed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unhallow again.  Spell effects that may be tied to an unhallowed site include aid, bane, bless, cause fear, darkness, daylight, death ward, deeper darkness, detect magic, detect good,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unhallow spell (and its associated spell effect) at a time.  Unhallow counters but does not dispel hallow.</t>
  </si>
  <si>
    <t>&lt;p&gt;&lt;i&gt;Unhallow&lt;/i&gt; makes a particular site, building, or structure an unholy site. This has three major effects.&lt;/p&gt;&lt;p&gt;First, the site or structure is guarded by a &lt;i&gt;magic circle against good&lt;/i&gt; effect.&lt;/p&gt;&lt;p&gt;Second, the DC to resist negative channeled energy within the spell's area of effect gains a +4 sacred bonus and the DC to resist positive energy is reduced by 4. Spell resistance does not apply to this effect. This provision does not apply to the druid version of the spell.&lt;/p&gt;&lt;p&gt;Finally, you may choose to fix a single spell effect to the &lt;i&gt;&lt;i&gt;unhallow&lt;/i&gt;ed&lt;/i&gt;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&lt;i&gt;unhallow&lt;/i&gt; again.&lt;/p&gt;&lt;p&gt;Spell effects that may be tied to an &lt;i&gt;&lt;i&gt;unhallow&lt;/i&gt;ed&lt;/i&gt; site include &lt;i&gt;aid, bane, bless, cause fear, darkness, daylight, death ward, deeper darkness, detect magic, detect good, dimensional anchor, discern lies, dispel magic, endure elements, freedom of movement, invisibility purge, protection from energy, remove fear, resist energy, silence, tongues,&lt;/i&gt; and &lt;i&gt;zone of truth&lt;/i&gt;.&lt;/p&gt;&lt;p&gt;Saving throws and spell resistance might apply to these spells' effects. (See the individual spell descriptions for details.) An area can receive only one &lt;i&gt;unhallow&lt;/i&gt; spell (and its associated spell effect) at a time.&lt;/p&gt;&lt;p&gt;&lt;i&gt;Unhallow&lt;/i&gt; counters but does not dispel hallow.&lt;/p&gt;</t>
  </si>
  <si>
    <t>&lt;link rel="stylesheet"href="PF.css"&gt;&lt;div class="heading"&gt;&lt;p class="alignleft"&gt;Unhallow&lt;/p&gt;&lt;div style="clear: both;"&gt;&lt;/div&gt;&lt;/div&gt;&lt;div&gt;&lt;h5&gt;&lt;b&gt;School &lt;/b&gt;evocation [evil]; &lt;b&gt;Level &lt;/b&gt;cleric/oracle 5, druid 5, inquisitor 5&lt;/h5&gt;&lt;/div&gt;&lt;hr/&gt;&lt;div&gt;&lt;h5&gt;&lt;b&gt;CASTING&lt;/b&gt;&lt;/h5&gt;&lt;/div&gt;&lt;hr/&gt;&lt;div&gt;&lt;h5&gt;&lt;b&gt;Casting Time &lt;/b&gt;24 hours&lt;/h5&gt;&lt;h5&gt;&lt;b&gt;Components &lt;/b&gt;V, S, M (herbs, oils, and incense worth at least 1,000 gp, plus 1,000 gp per level of the spell to be tied to the unhallowed area)&lt;/h5&gt;&lt;/div&gt;&lt;hr/&gt;&lt;div&gt;&lt;h5&gt;&lt;b&gt;EFFECT&lt;/b&gt;&lt;/h5&gt;&lt;/div&gt;&lt;hr/&gt;&lt;div&gt;&lt;h5&gt;&lt;b&gt;Range &lt;/b&gt;touch&lt;/h5&gt;&lt;h5&gt;&lt;b&gt;Area &lt;/b&gt;40-ft. radius emanating from the touched point&lt;/h5&gt;&lt;h5&gt;&lt;b&gt;Duration &lt;/b&gt;instantaneous&lt;/h5&gt;&lt;h5&gt;&lt;b&gt;Saving Throw &lt;/b&gt;see text; &lt;b&gt;Spell Resistance &lt;/b&gt;see text&lt;/h5&gt;&lt;/div&gt;&lt;hr/&gt;&lt;div&gt;&lt;h5&gt;&lt;b&gt;DESCRIPTION&lt;/b&gt;&lt;/h5&gt;&lt;/div&gt;&lt;hr/&gt;&lt;div&gt;&lt;h4&gt;&lt;p&gt;&lt;i&gt;Unhallow&lt;/i&gt; makes a particular site, building, or structure an unholy site. This has three major effects.&lt;/p&gt;&lt;p&gt;First, the site or structure is guarded by a &lt;i&gt;magic circle against good&lt;/i&gt; effect.&lt;/p&gt;&lt;p&gt;Second, the DC to resist negative channeled energy within the spell's area of effect gains a +4 sacred bonus and the DC to resist positive energy is reduced by 4. Spell resistance does not apply to this effect. This provision does not apply to the druid version of the spell.&lt;/p&gt;&lt;p&gt;Finally, you may choose to fix a single spell effect to the &lt;i&gt;&lt;i&gt;unhallow&lt;/i&gt;ed&lt;/i&gt;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&lt;i&gt;unhallow&lt;/i&gt; again.&lt;/p&gt;&lt;p&gt;Spell effects that may be tied to an &lt;i&gt;&lt;i&gt;unhallow&lt;/i&gt;ed&lt;/i&gt; site include &lt;i&gt;aid, bane, bless, cause fear, darkness, daylight, death ward, deeper darkness, detect magic, detect good, dimensional anchor, discern lies, dispel magic, endure elements, freedom of movement, invisibility purge, protection from energy, remove fear, resist energy, silence, tongues,&lt;/i&gt; and &lt;i&gt;zone of truth&lt;/i&gt;.&lt;/p&gt;&lt;p&gt;Saving throws and spell resistance might apply to these spells' effects. (See the individual spell descriptions for details.) An area can receive only one &lt;i&gt;unhallow&lt;/i&gt; spell (and its associated spell effect) at a time.&lt;/p&gt;&lt;p&gt;&lt;i&gt;Unhallow&lt;/i&gt; counters but does not dispel hallow.&lt;/p&gt;&lt;/h4&gt;&lt;/div&gt;</t>
  </si>
  <si>
    <t>Designates location as unholy.</t>
  </si>
  <si>
    <t>Unholy Aura</t>
  </si>
  <si>
    <t>A malevolent darkness surrounds the subjects, protecting them from attacks, granting them resistance to spells cast by good creatures, and weakening good creatures when they strike the subjects. This abjuration has four effects.  First, each warded creature gains a +4 deflection bonus to AC and a +4 resistance bonus on saves. Unlike the effect of protection from good, this benefit applies against all attacks, not just against attacks by good creatures.  Second, a warded creature gains SR 25 against good spells and spells cast by good creatures.  Third, the abjuration protects the subjects from possession and mental influence, just as protection from good does.  Finally, if a good creature succeeds on a melee attack against a warded creature, the offending attacker takes 1d6 points of Strength damage (Fortitude negates).</t>
  </si>
  <si>
    <t>&lt;p&gt;A malevolent darkness surrounds the subjects, protecting them from attacks, granting them resistance to spells cast by good creatures, and weakening good creatures when they strike the subjects. This abjuration has four effects.&lt;/p&gt;&lt;p&gt;First, each warded creature gains a +4 deflection bonus to AC and a +4 resistance bonus on saves. Unlike the effect of &lt;i&gt;protection from good&lt;/i&gt;, this benefit applies against all attacks, not just against attacks by good creatures.&lt;/p&gt;&lt;p&gt;Second, a warded creature gains SR 25 against good spells and spells cast by good creatures.&lt;/p&gt;&lt;p&gt;Third, the abjuration protects the subjects from possession and mental influence, just as &lt;i&gt;protection from good&lt;/i&gt; does.&lt;/p&gt;&lt;p&gt;Finally, if a good creature succeeds on a melee attack against a warded creature, the offending attacker takes 1d6 points of Strength damage (Fortitude negates).&lt;/p&gt;</t>
  </si>
  <si>
    <t>&lt;link rel="stylesheet"href="PF.css"&gt;&lt;div class="heading"&gt;&lt;p class="alignleft"&gt;Unholy Aura&lt;/p&gt;&lt;div style="clear: both;"&gt;&lt;/div&gt;&lt;/div&gt;&lt;div&gt;&lt;h5&gt;&lt;b&gt;School &lt;/b&gt;abjuration [evil]; &lt;b&gt;Level &lt;/b&gt;cleric/oracle 8&lt;/h5&gt;&lt;/div&gt;&lt;hr/&gt;&lt;div&gt;&lt;h5&gt;&lt;b&gt;CASTING&lt;/b&gt;&lt;/h5&gt;&lt;/div&gt;&lt;hr/&gt;&lt;div&gt;&lt;h5&gt;&lt;b&gt;Casting Time &lt;/b&gt;1 standard action&lt;/h5&gt;&lt;h5&gt;&lt;b&gt;Components &lt;/b&gt;V, S, F (a tiny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malevolent darkness surrounds the subjects, protecting them from attacks, granting them resistance to spells cast by good creatures, and weakening good creatures when they strike the subjects. This abjuration has four effects.&lt;/p&gt;&lt;p&gt;First, each warded creature gains a +4 deflection bonus to AC and a +4 resistance bonus on saves. Unlike the effect of &lt;i&gt;protection from good&lt;/i&gt;, this benefit applies against all attacks, not just against attacks by good creatures.&lt;/p&gt;&lt;p&gt;Second, a warded creature gains SR 25 against good spells and spells cast by good creatures.&lt;/p&gt;&lt;p&gt;Third, the abjuration protects the subjects from possession and mental influence, just as &lt;i&gt;protection from good&lt;/i&gt; does.&lt;/p&gt;&lt;p&gt;Finally, if a good creature succeeds on a melee attack against a warded creature, the offending attacker takes 1d6 points of Strength damage (Fortitude negates).&lt;/p&gt;&lt;/h4&gt;&lt;/div&gt;</t>
  </si>
  <si>
    <t>Evil (8)</t>
  </si>
  <si>
    <t> +4 to AC, +4 resistance, and SR 25 against good spells.</t>
  </si>
  <si>
    <t>Abyssal (17), Ghoul (17)</t>
  </si>
  <si>
    <t>Unholy Blight</t>
  </si>
  <si>
    <t>instantaneous (1d4 rounds); see text</t>
  </si>
  <si>
    <t>You call up unholy power to smite your enemies. The power takes the form of a cold, cloying miasma of greasy darkness. Only good and neutral (not evil) creatures are harmed by the spell.  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remove disease or heal, but remove curse is effective.  The spell deals only half damage to creatures who are neither evil nor good, and they are not sickened. Such a creature can reduce the damage by half again (down to one-quarter) with a successful Will save.</t>
  </si>
  <si>
    <t>&lt;p&gt;You call up unholy power to smite your enemies. The power takes the form of a cold, cloying miasma of greasy darkness. Only good and neutral (not evil) creatures are harmed by the spell.&lt;/p&gt;&lt;p&gt;The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&lt;i&gt;remove disease&lt;/i&gt; or &lt;i&gt;heal&lt;/i&gt;, but &lt;i&gt;remove curse&lt;/i&gt; is effective.&lt;/p&gt;&lt;p&gt;The spell deals only half damage to creatures who are neither evil nor good, and they are not sickened. Such a creature can reduce the damage by half again (down to one-quarter) with a successful Will save.&lt;/p&gt;</t>
  </si>
  <si>
    <t>&lt;link rel="stylesheet"href="PF.css"&gt;&lt;div class="heading"&gt;&lt;p class="alignleft"&gt;Unholy Blight&lt;/p&gt;&lt;div style="clear: both;"&gt;&lt;/div&gt;&lt;/div&gt;&lt;div&gt;&lt;h5&gt;&lt;b&gt;School &lt;/b&gt;evocation [evil];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spread&lt;/h5&gt;&lt;h5&gt;&lt;b&gt;Duration &lt;/b&gt;instantaneous (1d4 rounds); see text&lt;/h5&gt;&lt;h5&gt;&lt;b&gt;Saving Throw &lt;/b&gt;Will partial; &lt;b&gt;Spell Resistance &lt;/b&gt;yes&lt;/h5&gt;&lt;/div&gt;&lt;hr/&gt;&lt;div&gt;&lt;h5&gt;&lt;b&gt;DESCRIPTION&lt;/b&gt;&lt;/h5&gt;&lt;/div&gt;&lt;hr/&gt;&lt;div&gt;&lt;h4&gt;&lt;p&gt;You call up unholy power to smite your enemies. The power takes the form of a cold, cloying miasma of greasy darkness. Only good and neutral (not evil) creatures are harmed by the spell.&lt;/p&gt;&lt;p&gt;The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&lt;i&gt;remove disease&lt;/i&gt; or &lt;i&gt;heal&lt;/i&gt;, but &lt;i&gt;remove curse&lt;/i&gt; is effective.&lt;/p&gt;&lt;p&gt;The spell deals only half damage to creatures who are neither evil nor good, and they are not sickened. Such a creature can reduce the damage by half again (down to one-quarter) with a successful Will save.&lt;/p&gt;&lt;/h4&gt;&lt;h5&gt;&lt;b&gt;Mythic: &lt;/b&gt;The damage dealt to good outsiders increases to 1d10 points of damage per caster level (maximum 10d10) and the damage dealt to other good creatures increases to 1d12 points of damage per 2 caster levels (maximum 5d12). The duration that creatures within the area are sickened increases to 2d4 rounds. On a successful save, a good creature is slowed for 1 round.&lt;/h5&gt;&lt;/div&gt;</t>
  </si>
  <si>
    <t>Evil (4)</t>
  </si>
  <si>
    <t> Harms and sickens good creatures (1d8 damage/2 levels).</t>
  </si>
  <si>
    <t>The damage dealt to good outsiders increases to 1d10 points of damage per caster level (maximum 10d10) and the damage dealt to other good creatures increases to 1d12 points of damage per 2 caster levels (maximum 5d12). The duration that creatures within the area are sickened increases to 2d4 rounds. On a successful save, a good creature is slowed for 1 round.</t>
  </si>
  <si>
    <t>Unseen Servant</t>
  </si>
  <si>
    <t>bard 1, sorcerer/wizard 1, summoner 1, witch 1, magus 1, occultist 1, psychic 1, mesmerist 1, spiritualist 1</t>
  </si>
  <si>
    <t>V, S, M (a piece of string and a bit of wood)</t>
  </si>
  <si>
    <t>one invisible, mindless, shapeless servant</t>
  </si>
  <si>
    <t>An unseen servant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  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t>
  </si>
  <si>
    <t>&lt;p&gt;An &lt;i&gt;unseen servant&lt;/i&gt;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feet.&lt;/p&gt;&lt;p&gt;The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exist.&lt;/p&gt;</t>
  </si>
  <si>
    <t>&lt;link rel="stylesheet"href="PF.css"&gt;&lt;div class="heading"&gt;&lt;p class="alignleft"&gt;Unseen Servant&lt;/p&gt;&lt;div style="clear: both;"&gt;&lt;/div&gt;&lt;/div&gt;&lt;div&gt;&lt;h5&gt;&lt;b&gt;School &lt;/b&gt;conjuration (creation); &lt;b&gt;Level &lt;/b&gt;bard 1, sorcerer/wizard 1, summoner 1, witch 1, magus 1, occultist 1, psychic 1, mesmerist 1, spiritualist 1&lt;/h5&gt;&lt;/div&gt;&lt;hr/&gt;&lt;div&gt;&lt;h5&gt;&lt;b&gt;CASTING&lt;/b&gt;&lt;/h5&gt;&lt;/div&gt;&lt;hr/&gt;&lt;div&gt;&lt;h5&gt;&lt;b&gt;Casting Time &lt;/b&gt;1 standard action&lt;/h5&gt;&lt;h5&gt;&lt;b&gt;Components &lt;/b&gt;V, S, M (a piece of string and a bit of wood)&lt;/h5&gt;&lt;/div&gt;&lt;hr/&gt;&lt;div&gt;&lt;h5&gt;&lt;b&gt;EFFECT&lt;/b&gt;&lt;/h5&gt;&lt;/div&gt;&lt;hr/&gt;&lt;div&gt;&lt;h5&gt;&lt;b&gt;Range &lt;/b&gt;close (25 ft. + 5 ft./2 levels)&lt;/h5&gt;&lt;h5&gt;&lt;b&gt;Effect &lt;/b&gt;one invisible, mindless, shapeless servant&lt;/h5&gt;&lt;h5&gt;&lt;b&gt;Duration &lt;/b&gt;1 hour/level&lt;/h5&gt;&lt;h5&gt;&lt;b&gt;Saving Throw &lt;/b&gt;none; &lt;b&gt;Spell Resistance &lt;/b&gt;no&lt;/h5&gt;&lt;/div&gt;&lt;hr/&gt;&lt;div&gt;&lt;h5&gt;&lt;b&gt;DESCRIPTION&lt;/b&gt;&lt;/h5&gt;&lt;/div&gt;&lt;hr/&gt;&lt;div&gt;&lt;h4&gt;&lt;p&gt;An &lt;i&gt;unseen servant&lt;/i&gt;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feet.&lt;/p&gt;&lt;p&gt;The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exist.&lt;/p&gt;&lt;/h4&gt;&lt;/div&gt;</t>
  </si>
  <si>
    <t>Invisible force obeys your commands.</t>
  </si>
  <si>
    <t>Starsoul (3)</t>
  </si>
  <si>
    <t>Vampiric Touch</t>
  </si>
  <si>
    <t>sorcerer/wizard 3, witch 3, antipaladin 3, magus 3, bloodrager 3, psychic 3, mesmerist 3, spiritualist 3</t>
  </si>
  <si>
    <t>instantaneous/1 hour; see text</t>
  </si>
  <si>
    <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t>
  </si>
  <si>
    <t>&lt;p&gt;You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later.&lt;/p&gt;</t>
  </si>
  <si>
    <t>&lt;link rel="stylesheet"href="PF.css"&gt;&lt;div class="heading"&gt;&lt;p class="alignleft"&gt;Vampiric Touch&lt;/p&gt;&lt;div style="clear: both;"&gt;&lt;/div&gt;&lt;/div&gt;&lt;div&gt;&lt;h5&gt;&lt;b&gt;School &lt;/b&gt;necromancy; &lt;b&gt;Level &lt;/b&gt;sorcerer/wizard 3, witch 3, antipaladin 3, magus 3, bloodrager 3, psychic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&lt;/b&gt;instantaneous/1 hour; see text&lt;/h5&gt;&lt;h5&gt;&lt;b&gt;Saving Throw &lt;/b&gt;none; &lt;b&gt;Spell Resistance &lt;/b&gt;yes&lt;/h5&gt;&lt;/div&gt;&lt;hr/&gt;&lt;div&gt;&lt;h5&gt;&lt;b&gt;DESCRIPTION&lt;/b&gt;&lt;/h5&gt;&lt;/div&gt;&lt;hr/&gt;&lt;div&gt;&lt;h4&gt;&lt;p&gt;You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later.&lt;/p&gt;&lt;/h4&gt;&lt;h5&gt;&lt;b&gt;Mythic: &lt;/b&gt;The spell's damage increases to 1d8 points of damage per 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target.&lt;/h5&gt;&lt;/div&gt;</t>
  </si>
  <si>
    <t>Blood (3), Daemon (3)</t>
  </si>
  <si>
    <t>Touch deals 1d6 damage/2 levels; caster gains damage as temporary hp.</t>
  </si>
  <si>
    <t>Undead (7), Daemon (7), Ghoul (7)</t>
  </si>
  <si>
    <t>The spell's damage increases to 1d8 points of damage per 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t>
  </si>
  <si>
    <t>Veil</t>
  </si>
  <si>
    <t>concentration + 1 hour/level</t>
  </si>
  <si>
    <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  Unwilling targets can negate the spell's effect on them by making Will saves or with spell resistance. Those who interact with the subjects can attempt Will disbelief saves to see through the glamer, but spell resistance doesn't help.</t>
  </si>
  <si>
    <t>&lt;p&gt;You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check.&lt;/p&gt;&lt;p&gt;Unwilling targets can negate the spell's effect on them by making Will saves or with spell resistance. Those who interact with the subjects can attempt Will disbelief saves to see through the glamer, but spell resistance doesn't help.&lt;/p&gt;</t>
  </si>
  <si>
    <t>&lt;link rel="stylesheet"href="PF.css"&gt;&lt;div class="heading"&gt;&lt;p class="alignleft"&gt;Veil&lt;/p&gt;&lt;div style="clear: both;"&gt;&lt;/div&gt;&lt;/div&gt;&lt;div&gt;&lt;h5&gt;&lt;b&gt;School &lt;/b&gt;illusion (glamer); &lt;b&gt;Level &lt;/b&gt;bard 6, sorcerer/wizard 6, psychic 6, mesmerist 6&lt;/h5&gt;&lt;/div&gt;&lt;hr/&gt;&lt;div&gt;&lt;h5&gt;&lt;b&gt;CASTING&lt;/b&gt;&lt;/h5&gt;&lt;/div&gt;&lt;hr/&gt;&lt;div&gt;&lt;h5&gt;&lt;b&gt;Casting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or more creatures, no two of which can be more than 30 ft. apart&lt;/h5&gt;&lt;h5&gt;&lt;b&gt;Duration &lt;/b&gt;concentration + 1 hour/level (D)&lt;/h5&gt;&lt;h5&gt;&lt;b&gt;Saving Throw &lt;/b&gt;Will negates; see text; &lt;b&gt;Spell Resistance &lt;/b&gt;yes; see text&lt;/h5&gt;&lt;/div&gt;&lt;hr/&gt;&lt;div&gt;&lt;h5&gt;&lt;b&gt;DESCRIPTION&lt;/b&gt;&lt;/h5&gt;&lt;/div&gt;&lt;hr/&gt;&lt;div&gt;&lt;h4&gt;&lt;p&gt;You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check.&lt;/p&gt;&lt;p&gt;Unwilling targets can negate the spell's effect on them by making Will saves or with spell resistance. Those who interact with the subjects can attempt Will disbelief saves to see through the glamer, but spell resistance doesn't help.&lt;/p&gt;&lt;/h4&gt;&lt;/div&gt;</t>
  </si>
  <si>
    <t>Ambush (6)</t>
  </si>
  <si>
    <t>Changes appearance of group of creatures.</t>
  </si>
  <si>
    <t>Aberrant (13)</t>
  </si>
  <si>
    <t>Ventriloquism</t>
  </si>
  <si>
    <t>bard 1, sorcerer/wizard 1, summoner 1, psychic 1, mesmerist 1, spiritualist 1</t>
  </si>
  <si>
    <t>V, F (parchment rolled into cone)</t>
  </si>
  <si>
    <t>intelligible sound, usually speech</t>
  </si>
  <si>
    <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t>
  </si>
  <si>
    <t>&lt;p&gt;You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it).&lt;/p&gt;</t>
  </si>
  <si>
    <t>&lt;link rel="stylesheet"href="PF.css"&gt;&lt;div class="heading"&gt;&lt;p class="alignleft"&gt;Ventriloquism&lt;/p&gt;&lt;div style="clear: both;"&gt;&lt;/div&gt;&lt;/div&gt;&lt;div&gt;&lt;h5&gt;&lt;b&gt;School &lt;/b&gt;illusion (figment); &lt;b&gt;Level &lt;/b&gt;bard 1, sorcerer/wizard 1, summoner 1, psychic 1, mesmerist 1, spiritualist 1&lt;/h5&gt;&lt;/div&gt;&lt;hr/&gt;&lt;div&gt;&lt;h5&gt;&lt;b&gt;CASTING&lt;/b&gt;&lt;/h5&gt;&lt;/div&gt;&lt;hr/&gt;&lt;div&gt;&lt;h5&gt;&lt;b&gt;Casting Time &lt;/b&gt;1 standard action&lt;/h5&gt;&lt;h5&gt;&lt;b&gt;Components &lt;/b&gt;V, F (parchment rolled into cone)&lt;/h5&gt;&lt;/div&gt;&lt;hr/&gt;&lt;div&gt;&lt;h5&gt;&lt;b&gt;EFFECT&lt;/b&gt;&lt;/h5&gt;&lt;/div&gt;&lt;hr/&gt;&lt;div&gt;&lt;h5&gt;&lt;b&gt;Range &lt;/b&gt;close (25 ft. + 5 ft./2 levels)&lt;/h5&gt;&lt;h5&gt;&lt;b&gt;Effect &lt;/b&gt;intelligible sound, usually speech&lt;/h5&gt;&lt;h5&gt;&lt;b&gt;Duration &lt;/b&gt;1 min./level (D)&lt;/h5&gt;&lt;h5&gt;&lt;b&gt;Saving Throw &lt;/b&gt;Will disbelief (if interacted with); &lt;b&gt;Spell Resistance &lt;/b&gt;no&lt;/h5&gt;&lt;/div&gt;&lt;hr/&gt;&lt;div&gt;&lt;h5&gt;&lt;b&gt;DESCRIPTION&lt;/b&gt;&lt;/h5&gt;&lt;/div&gt;&lt;hr/&gt;&lt;div&gt;&lt;h4&gt;&lt;p&gt;You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it).&lt;/p&gt;&lt;/h4&gt;&lt;/div&gt;</t>
  </si>
  <si>
    <t>Throws voice for 1 min./level.</t>
  </si>
  <si>
    <t>Maestro (3)</t>
  </si>
  <si>
    <t>Deception (2), Time (2)</t>
  </si>
  <si>
    <t>Virtue</t>
  </si>
  <si>
    <t>cleric/oracle 0, druid 0, paladin 1, inquisitor 0, shaman 0, psychic 0, spiritualist 0</t>
  </si>
  <si>
    <t>1 min.</t>
  </si>
  <si>
    <t>With a touch, you infuse a creature with a tiny surge of life, granting the subject 1 temporary hit point.</t>
  </si>
  <si>
    <t>&lt;p&gt;With a touch, you infuse a creature with a tiny surge of life, granting the subject 1 temporary hit point.&lt;/p&gt;</t>
  </si>
  <si>
    <t>&lt;link rel="stylesheet"href="PF.css"&gt;&lt;div class="heading"&gt;&lt;p class="alignleft"&gt;Virtue&lt;/p&gt;&lt;div style="clear: both;"&gt;&lt;/div&gt;&lt;/div&gt;&lt;div&gt;&lt;h5&gt;&lt;b&gt;School &lt;/b&gt;transmutation; &lt;b&gt;Level &lt;/b&gt;cleric/oracle 0, druid 0, paladin 1, inquisitor 0, shaman 0, psychic 0, spiritualist 0&lt;/h5&gt;&lt;/div&gt;&lt;hr/&gt;&lt;div&gt;&lt;h5&gt;&lt;b&gt;CASTING&lt;/b&gt;&lt;/h5&gt;&lt;/div&gt;&lt;hr/&gt;&lt;div&gt;&lt;h5&gt;&lt;b&gt;Casting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min.&lt;/h5&gt;&lt;h5&gt;&lt;b&gt;Saving Throw &lt;/b&gt;none; &lt;b&gt;Spell Resistance &lt;/b&gt;yes (harmless)&lt;/h5&gt;&lt;/div&gt;&lt;hr/&gt;&lt;div&gt;&lt;h5&gt;&lt;b&gt;DESCRIPTION&lt;/b&gt;&lt;/h5&gt;&lt;/div&gt;&lt;hr/&gt;&lt;div&gt;&lt;h4&gt;&lt;p&gt;With a touch, you infuse a creature with a tiny surge of life, granting the subject 1 temporary hit point.&lt;/p&gt;&lt;/h4&gt;&lt;/div&gt;</t>
  </si>
  <si>
    <t>Subject gains 1 temporary hp.</t>
  </si>
  <si>
    <t>Vision</t>
  </si>
  <si>
    <t>sorcerer/wizard 7, witch 7, shaman 7, psychic 7</t>
  </si>
  <si>
    <t>This spell functions like legend lore,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t>
  </si>
  <si>
    <t>&lt;p&gt;This spell functions like &lt;i&gt;legend lore,&lt;/i&gt;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fatigued.&lt;/p&gt;</t>
  </si>
  <si>
    <t>&lt;link rel="stylesheet"href="PF.css"&gt;&lt;div class="heading"&gt;&lt;p class="alignleft"&gt;Vision&lt;/p&gt;&lt;div style="clear: both;"&gt;&lt;/div&gt;&lt;/div&gt;&lt;div&gt;&lt;h5&gt;&lt;b&gt;School &lt;/b&gt;divination; &lt;b&gt;Level &lt;/b&gt;sorcerer/wizard 7, witch 7, shaman 7, psychic 7&lt;/h5&gt;&lt;/div&gt;&lt;hr/&gt;&lt;div&gt;&lt;h5&gt;&lt;b&gt;CASTING&lt;/b&gt;&lt;/h5&gt;&lt;/div&gt;&lt;hr/&gt;&lt;div&gt;&lt;h5&gt;&lt;b&gt;Casting Time &lt;/b&gt;1 standard action&lt;/h5&gt;&lt;h5&gt;&lt;b&gt;Components &lt;/b&gt;V, S, M (incense worth 250 gp), F (four pieces of ivory worth 50 gp each)&lt;/h5&gt;&lt;/div&gt;&lt;hr/&gt;&lt;div&gt;&lt;h5&gt;&lt;b&gt;EFFECT&lt;/b&gt;&lt;/h5&gt;&lt;/div&gt;&lt;hr/&gt;&lt;div&gt;&lt;h5&gt;&lt;b&gt;Range &lt;/b&gt;personal&lt;/h5&gt;&lt;h5&gt;&lt;b&gt;Targets &lt;/b&gt;you&lt;/h5&gt;&lt;h5&gt;&lt;b&gt;Duration &lt;/b&gt;see text&lt;/h5&gt;&lt;/div&gt;&lt;hr/&gt;&lt;div&gt;&lt;h5&gt;&lt;b&gt;DESCRIPTION&lt;/b&gt;&lt;/h5&gt;&lt;/div&gt;&lt;hr/&gt;&lt;div&gt;&lt;h4&gt;&lt;p&gt;This spell functions like &lt;i&gt;legend lore,&lt;/i&gt;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fatigued.&lt;/p&gt;&lt;/h4&gt;&lt;/div&gt;</t>
  </si>
  <si>
    <t> As legend lore, but quicker.</t>
  </si>
  <si>
    <t>Dreamspun (15)</t>
  </si>
  <si>
    <t>Portents (14)</t>
  </si>
  <si>
    <t>Wail of the Banshee</t>
  </si>
  <si>
    <t>death, sonic</t>
  </si>
  <si>
    <t>sorcerer/wizard 9, witch 9, shaman 9, psychic 9</t>
  </si>
  <si>
    <t>one living creature/level within a 40-ft.-radius spread</t>
  </si>
  <si>
    <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t>
  </si>
  <si>
    <t>&lt;p&gt;When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first.&lt;/p&gt;</t>
  </si>
  <si>
    <t>&lt;link rel="stylesheet"href="PF.css"&gt;&lt;div class="heading"&gt;&lt;p class="alignleft"&gt;Wail of the Banshee&lt;/p&gt;&lt;div style="clear: both;"&gt;&lt;/div&gt;&lt;/div&gt;&lt;div&gt;&lt;h5&gt;&lt;b&gt;School &lt;/b&gt;necromancy [death, sonic]; &lt;b&gt;Level &lt;/b&gt;sorcerer/wizard 9, witch 9, shaman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creature/level within a 40-ft.-radius spread&lt;/h5&gt;&lt;h5&gt;&lt;b&gt;Duration &lt;/b&gt;instantaneous&lt;/h5&gt;&lt;h5&gt;&lt;b&gt;Saving Throw &lt;/b&gt;Fortitude negates; &lt;b&gt;Spell Resistance &lt;/b&gt;yes&lt;/h5&gt;&lt;/div&gt;&lt;hr/&gt;&lt;div&gt;&lt;h5&gt;&lt;b&gt;DESCRIPTION&lt;/b&gt;&lt;/h5&gt;&lt;/div&gt;&lt;hr/&gt;&lt;div&gt;&lt;h4&gt;&lt;p&gt;When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first.&lt;/p&gt;&lt;/h4&gt;&lt;/div&gt;</t>
  </si>
  <si>
    <t>Death (9), Repose (9)</t>
  </si>
  <si>
    <t> Deals 10 damage/level to 1 creature/level.</t>
  </si>
  <si>
    <t>Maestro (19), Ghoul (19)</t>
  </si>
  <si>
    <t>Wall Of Fire</t>
  </si>
  <si>
    <t>druid 5, sorcerer/wizard 4, summoner 3, magus 4, bloodrager 4, shaman 5, occultist 4</t>
  </si>
  <si>
    <t>V, S, M/DF (a piece of phosphor)</t>
  </si>
  <si>
    <t>opaque sheet of flame up to 20 ft. long/level or a ring of fire with a radius of up to 5 ft./two levels; either form 20 ft. high</t>
  </si>
  <si>
    <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  If you evoke the wall so that it appears where creatures are, each creature takes damage as if passing through the wall. If any 5-foot length of wall takes 20 points or more of cold damage in 1 round, that length goes away. (Do not divide cold damage by 2, as normal for objects.) Wall of fire can be made permanent with a permanency spell. A permanent wall of fire that is extinguished by cold damage becomes inactive for 10 minutes, then reforms at normal strength.</t>
  </si>
  <si>
    <t>&lt;p&gt;An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creatures.&lt;/p&gt;&lt;p&gt;If you evoke the wall so that it appears where creatures are, each creature takes damage as if passing through the wall. If any 5-foot length of wall takes 20 points or more of cold damage in 1 round, that length goes away. (Do not divide cold damage by 2, as normal for objects.) &lt;i&gt;Wall of fire&lt;/i&gt; can be made permanent with a &lt;i&gt;permanency&lt;/i&gt; spell. A permanent &lt;i&gt;wall of fire&lt;/i&gt; that is extinguished by cold damage becomes inactive for 10 minutes, then reforms at normal strength.&lt;/p&gt;</t>
  </si>
  <si>
    <t>&lt;link rel="stylesheet"href="PF.css"&gt;&lt;div class="heading"&gt;&lt;p class="alignleft"&gt;Wall Of Fire&lt;/p&gt;&lt;div style="clear: both;"&gt;&lt;/div&gt;&lt;/div&gt;&lt;div&gt;&lt;h5&gt;&lt;b&gt;School &lt;/b&gt;evocation [fire]; &lt;b&gt;Level &lt;/b&gt;druid 5, sorcerer/wizard 4, summoner 3, magus 4, bloodrager 4, shaman 5, occultist 4&lt;/h5&gt;&lt;/div&gt;&lt;hr/&gt;&lt;div&gt;&lt;h5&gt;&lt;b&gt;CASTING&lt;/b&gt;&lt;/h5&gt;&lt;/div&gt;&lt;hr/&gt;&lt;div&gt;&lt;h5&gt;&lt;b&gt;Casting Time &lt;/b&gt;1 standard action&lt;/h5&gt;&lt;h5&gt;&lt;b&gt;Components &lt;/b&gt;V, S, M/DF (a piece of phosphor)&lt;/h5&gt;&lt;/div&gt;&lt;hr/&gt;&lt;div&gt;&lt;h5&gt;&lt;b&gt;EFFECT&lt;/b&gt;&lt;/h5&gt;&lt;/div&gt;&lt;hr/&gt;&lt;div&gt;&lt;h5&gt;&lt;b&gt;Range &lt;/b&gt;medium (100 ft. + 10 ft./level)&lt;/h5&gt;&lt;h5&gt;&lt;b&gt;Effect &lt;/b&gt;opaque sheet of flame up to 20 ft. long/level or a ring of fire with a radius of up to 5 ft./two levels; either form 20 ft. high&lt;/h5&gt;&lt;h5&gt;&lt;b&gt;Duration &lt;/b&gt;concentration + 1 round/level&lt;/h5&gt;&lt;h5&gt;&lt;b&gt;Saving Throw &lt;/b&gt;none; &lt;b&gt;Spell Resistance &lt;/b&gt;yes&lt;/h5&gt;&lt;/div&gt;&lt;hr/&gt;&lt;div&gt;&lt;h5&gt;&lt;b&gt;DESCRIPTION&lt;/b&gt;&lt;/h5&gt;&lt;/div&gt;&lt;hr/&gt;&lt;div&gt;&lt;h4&gt;&lt;p&gt;An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creatures.&lt;/p&gt;&lt;p&gt;If you evoke the wall so that it appears where creatures are, each creature takes damage as if passing through the wall. If any 5-foot length of wall takes 20 points or more of cold damage in 1 round, that length goes away. (Do not divide cold damage by 2, as normal for objects.) &lt;i&gt;Wall of fire&lt;/i&gt; can be made permanent with a &lt;i&gt;permanency&lt;/i&gt; spell. A permanent &lt;i&gt;wall of fire&lt;/i&gt; that is extinguished by cold damage becomes inactive for 10 minutes, then reforms at normal strength.&lt;/p&gt;&lt;/h4&gt;&lt;h5&gt;&lt;b&gt;Mythic: &lt;/b&gt;The wall's damage increases to 2d6 points of fire damage to creatures within 10 feet, 1d6 points of fire damage to those past 10 feet but within 20 feet, and 2d8 points of fire damage + 1 point of fire damage per caster level (maximum +20) to any creature passing through it. Any creature that passes through the wall or is within 5 feet of the wall when it's created must succeed at a Reflex save or catch fire. Attempts to extinguish this fire use the spell's save DC.&lt;/h5&gt;&lt;h5&gt;&lt;b&gt;Augmented (5th)&lt;/b&gt;: If you expend two uses of mythic power, you may move the wall 5 feet in any direction as a move action on your turn. Moving the wall into a fireproof barrier (such as a stone wall) destroys the part of the wall that overlaps the barrier.&lt;/h5&gt;&lt;/div&gt;</t>
  </si>
  <si>
    <t>Fire (4)</t>
  </si>
  <si>
    <t>Deals 2d4 fire damage out to 10 ft. and 1d4 out to 20 ft. Passing through wall deals 2d6 damage +1/level.</t>
  </si>
  <si>
    <t>Efreeti (9), Orc (9)</t>
  </si>
  <si>
    <t>Summer (10)</t>
  </si>
  <si>
    <t>The wall's damage increases to 2d6 points of fire damage to creatures within 10 feet, 1d6 points of fire damage to those past 10 feet but within 20 feet, and 2d8 points of fire damage + 1 point of fire damage per caster level (maximum +20) to any creature passing through it. Any creature that passes through the wall or is within 5 feet of the wall when it's created must succeed at a Reflex save or catch fire. Attempts to extinguish this fire use the spell's save DC.</t>
  </si>
  <si>
    <t>Augmented (5th): If you expend two uses of mythic power, you may move the wall 5 feet in any direction as a move action on your turn. Moving the wall into a fireproof barrier (such as a stone wall) destroys the part of the wall that overlaps the barrier.</t>
  </si>
  <si>
    <t>Wall Of Force</t>
  </si>
  <si>
    <t>V, S, M (powdered quartz)</t>
  </si>
  <si>
    <t>wall whose area is up to one 10-ft. square/level</t>
  </si>
  <si>
    <t>1 round /level (D)</t>
  </si>
  <si>
    <t>A wall of force creates an invisible wall of pure force. The wall cannot move and is not easily destroyed. A wall of force is immune to dispel magic, although a mage's disjunction can still dispel it.  A wall of force can be damaged by spells as normal, except for disintegrate, which automatically destroys it. It can be damaged by weapons and supernatural abilities, but a wall of force has hardness 30 and a number of hit points equal to 20 per caster level. Contact with a sphere of annihilation or rod of cancellation instantly destroys a wall of force.  Breath weapons and spells cannot pass through a wall of force in either direction, although dimension door, teleport, and similar effects can bypass the barrier. It blocks ethereal creatures as well as material ones (though ethereal creatures can usually circumvent the wall by going around it, through material floors and ceilings). Gaze attacks can operate through a wall of force.  The caster can form the wall into a flat, vertical plane whose area is up to one 10-foot square per level. The wall must be continuous and unbroken when formed. If its surface is broken by any object or creature, the spell fails.  Wall of force can be made permanent with a permanency spell.</t>
  </si>
  <si>
    <t>&lt;p&gt;A &lt;i&gt;wall of force&lt;/i&gt; creates an invisible wall of pure force. The wall cannot move and is not easily destroyed. A &lt;i&gt;wall of force&lt;/i&gt; is immune to &lt;i&gt;dispel magic&lt;/i&gt;, although a mage's disjunction can still dispel it.&lt;/p&gt;&lt;p&gt;A &lt;i&gt;wall of force&lt;/i&gt; can be damaged by spells as normal, except for &lt;i&gt;disintegrate&lt;/i&gt;, which automatically destroys it. It can be damaged by weapons and supernatural abilities, but a &lt;i&gt;wall of force&lt;/i&gt; has hardness 30 and a number of hit points equal to 20 per caster level. Contact with a &lt;i&gt;sphere of annihilation&lt;/i&gt; or &lt;i&gt;rod of cancellation&lt;/i&gt; instantly destroys a &lt;i&gt;wall of force&lt;/i&gt;.&lt;/p&gt;&lt;p&gt;Breath weapons and spells cannot pass through a &lt;i&gt;wall of force&lt;/i&gt; in either direction, although &lt;i&gt;dimension door&lt;/i&gt;, &lt;i&gt;teleport&lt;/i&gt;, and similar effects can bypass the barrier. It blocks ethereal creatures as well as material ones (though ethereal creatures can usually circumvent the wall by going around it, through material floors and ceilings). Gaze attacks can operate through a &lt;i&gt;wall of force&lt;/i&gt;.&lt;/p&gt;&lt;p&gt;The caster can form the wall into a flat, vertical plane whose area is up to one 10-foot square per level. The wall must be continuous and unbroken when formed. If its surface is broken by any object or creature, the spell fails.&lt;/p&gt;&lt;p&gt;&lt;i&gt;Wall of force&lt;/i&gt; can be made permanent with a &lt;i&gt;permanency&lt;/i&gt; spell.&lt;/p&gt;</t>
  </si>
  <si>
    <t>&lt;link rel="stylesheet"href="PF.css"&gt;&lt;div class="heading"&gt;&lt;p class="alignleft"&gt;Wall Of Force&lt;/p&gt;&lt;div style="clear: both;"&gt;&lt;/div&gt;&lt;/div&gt;&lt;div&gt;&lt;h5&gt;&lt;b&gt;School &lt;/b&gt;evocation [force]; &lt;b&gt;Level &lt;/b&gt;sorcerer/wizard 5, magus 5, occultist 5, psychic 5&lt;/h5&gt;&lt;/div&gt;&lt;hr/&gt;&lt;div&gt;&lt;h5&gt;&lt;b&gt;CASTING&lt;/b&gt;&lt;/h5&gt;&lt;/div&gt;&lt;hr/&gt;&lt;div&gt;&lt;h5&gt;&lt;b&gt;Casting Time &lt;/b&gt;1 standard action&lt;/h5&gt;&lt;h5&gt;&lt;b&gt;Components &lt;/b&gt;V, S, M (powdered quartz)&lt;/h5&gt;&lt;/div&gt;&lt;hr/&gt;&lt;div&gt;&lt;h5&gt;&lt;b&gt;EFFECT&lt;/b&gt;&lt;/h5&gt;&lt;/div&gt;&lt;hr/&gt;&lt;div&gt;&lt;h5&gt;&lt;b&gt;Range &lt;/b&gt;close (25 ft. + 5 ft./2 levels)&lt;/h5&gt;&lt;h5&gt;&lt;b&gt;Effect &lt;/b&gt;wall whose area is up to one 10-ft. square/level&lt;/h5&gt;&lt;h5&gt;&lt;b&gt;Duration &lt;/b&gt;1 round /level (D)&lt;/h5&gt;&lt;h5&gt;&lt;b&gt;Saving Throw &lt;/b&gt;none; &lt;b&gt;Spell Resistance &lt;/b&gt;no&lt;/h5&gt;&lt;/div&gt;&lt;hr/&gt;&lt;div&gt;&lt;h5&gt;&lt;b&gt;DESCRIPTION&lt;/b&gt;&lt;/h5&gt;&lt;/div&gt;&lt;hr/&gt;&lt;div&gt;&lt;h4&gt;&lt;p&gt;A &lt;i&gt;wall of force&lt;/i&gt; creates an invisible wall of pure force. The wall cannot move and is not easily destroyed. A &lt;i&gt;wall of force&lt;/i&gt; is immune to &lt;i&gt;dispel magic&lt;/i&gt;, although a mage's disjunction can still dispel it.&lt;/p&gt;&lt;p&gt;A &lt;i&gt;wall of force&lt;/i&gt; can be damaged by spells as normal, except for &lt;i&gt;disintegrate&lt;/i&gt;, which automatically destroys it. It can be damaged by weapons and supernatural abilities, but a &lt;i&gt;wall of force&lt;/i&gt; has hardness 30 and a number of hit points equal to 20 per caster level. Contact with a &lt;i&gt;sphere of annihilation&lt;/i&gt; or &lt;i&gt;rod of cancellation&lt;/i&gt; instantly destroys a &lt;i&gt;wall of force&lt;/i&gt;.&lt;/p&gt;&lt;p&gt;Breath weapons and spells cannot pass through a &lt;i&gt;wall of force&lt;/i&gt; in either direction, although &lt;i&gt;dimension door&lt;/i&gt;, &lt;i&gt;teleport&lt;/i&gt;, and similar effects can bypass the barrier. It blocks ethereal creatures as well as material ones (though ethereal creatures can usually circumvent the wall by going around it, through material floors and ceilings). Gaze attacks can operate through a &lt;i&gt;wall of force&lt;/i&gt;.&lt;/p&gt;&lt;p&gt;The caster can form the wall into a flat, vertical plane whose area is up to one 10-foot square per level. The wall must be continuous and unbroken when formed. If its surface is broken by any object or creature, the spell fails.&lt;/p&gt;&lt;p&gt;&lt;i&gt;Wall of force&lt;/i&gt; can be made permanent with a &lt;i&gt;permanency&lt;/i&gt; spell.&lt;/p&gt;&lt;/h4&gt;&lt;h5&gt;&lt;b&gt;Mythic: &lt;/b&gt;The wall's hardness increases to 40, and its hit points increase to 30 per 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throw).&lt;/h5&gt;&lt;/div&gt;</t>
  </si>
  <si>
    <t>Isolation (6)</t>
  </si>
  <si>
    <t> Wall is immune to damage.</t>
  </si>
  <si>
    <t>The wall's hardness increases to 40, and its hit points increase to 30 per 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t>
  </si>
  <si>
    <t>Wall Of Ice</t>
  </si>
  <si>
    <t>sorcerer/wizard 4, summoner 3, magus 4, bloodrager 4, occultist 4</t>
  </si>
  <si>
    <t>V, S, M (a piece of quartz or rock crystal)</t>
  </si>
  <si>
    <t>anchored plane of ice, up to one 10-ft. square/level, or hemisphere of ice with a radius of up to 3 ft. + 1 ft./level</t>
  </si>
  <si>
    <t>Reflex negates; see text</t>
  </si>
  <si>
    <t>This spell creates an anchored plane of ice or a hemisphere of ice, depending on the version selected. A wall of ice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  Fire can melt a wall of ice, and it deals full damage to the wall (instead of the normal half damage taken by objects). Suddenly melting a wall of ice creates a great cloud of steamy fog that lasts for 10 minutes.  Ice Plane: A sheet of strong, hard ice appears. The wall is 1 inch thick per caster level. It covers up to a 10-foot-square area per caster level (so a 10th-level wizard can create a wall of ice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  Each 10-foot square of wall has 3 hit points per inch of thickness.  Creatures can hit the wall automatically. A section of wall whose hit points drop to 0 is breached. If a creature tries to break through the wall with a single attack, the DC for the Strength check is 15 + caster level.  Even when the ice has been broken through, a sheet of frigid air remains. Any creature stepping through it (including the one who broke through the wall) takes 1d6 points of cold damage + 1 point per caster level (no save).  Hemisphere: The wall takes the form of a hemisphere whose maximum radius is 3 feet + 1 foot per caster level. The hemisphere is as hard to break through as the ice plane form, but it does not deal damage to those who go through a breach.</t>
  </si>
  <si>
    <t>&lt;p&gt;This spell creates an anchored plane of ice or a &lt;i&gt;hemisphere&lt;/i&gt; of ice, depending on the version selected. A &lt;i&gt;wall of ice&lt;/i&gt;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fails.&lt;/p&gt;&lt;p&gt;Fire can melt a &lt;i&gt;wall of ice&lt;/i&gt;, and it deals full damage to the wall (instead of the normal half damage taken by objects). Suddenly melting a &lt;i&gt;wall of ice&lt;/i&gt; creates a great cloud of steamy fog that lasts for 10 minutes.&lt;/p&gt;&lt;p&gt;&lt;i&gt;Ice Plane&lt;/i&gt;: A sheet of strong, hard ice appears. The wall is 1 inch thick per caster level. It covers up to a 10-foot-square area per caster level (so a 10th-level wizard can create a &lt;i&gt;wall of ice&lt;/i&gt;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sides.&lt;/p&gt;&lt;p&gt;Each 10-foot square of wall has 3 hit points per inch of thickness.&lt;/p&gt;&lt;p&gt;Creatures can hit the wall automatically. A section of wall whose hit points drop to 0 is breached. If a creature tries to break through the wall with a single attack, the DC for the Strength check is 15 + caster level.&lt;/p&gt;&lt;p&gt;Even when the ice has been broken through, a sheet of frigid air remains. Any creature stepping through it (including the one who broke through the wall) takes 1d6 points of cold damage + 1 point per caster level (no save).&lt;/p&gt;&lt;p&gt;&lt;i&gt;Hemisphere&lt;/i&gt;: The wall takes the form of a &lt;i&gt;hemisphere&lt;/i&gt; whose maximum radius is 3 feet + 1 foot per caster level. The &lt;i&gt;hemisphere&lt;/i&gt; is as hard to break through as the &lt;i&gt;ice plane&lt;/i&gt; form, but it does not deal damage to those who go through a breach.&lt;/p&gt;</t>
  </si>
  <si>
    <t>&lt;link rel="stylesheet"href="PF.css"&gt;&lt;div class="heading"&gt;&lt;p class="alignleft"&gt;Wall Of Ice&lt;/p&gt;&lt;div style="clear: both;"&gt;&lt;/div&gt;&lt;/div&gt;&lt;div&gt;&lt;h5&gt;&lt;b&gt;School &lt;/b&gt;evocation [cold]; &lt;b&gt;Level &lt;/b&gt;sorcerer/wizard 4, summoner 3, magus 4, bloodrager 4, occultist 4&lt;/h5&gt;&lt;/div&gt;&lt;hr/&gt;&lt;div&gt;&lt;h5&gt;&lt;b&gt;CASTING&lt;/b&gt;&lt;/h5&gt;&lt;/div&gt;&lt;hr/&gt;&lt;div&gt;&lt;h5&gt;&lt;b&gt;Casting Time &lt;/b&gt;1 standard action&lt;/h5&gt;&lt;h5&gt;&lt;b&gt;Components &lt;/b&gt;V, S, M (a piece of quartz or rock crystal)&lt;/h5&gt;&lt;/div&gt;&lt;hr/&gt;&lt;div&gt;&lt;h5&gt;&lt;b&gt;EFFECT&lt;/b&gt;&lt;/h5&gt;&lt;/div&gt;&lt;hr/&gt;&lt;div&gt;&lt;h5&gt;&lt;b&gt;Range &lt;/b&gt;medium (100 ft. + 10 ft./level)&lt;/h5&gt;&lt;h5&gt;&lt;b&gt;Effect &lt;/b&gt;anchored plane of ice, up to one 10-ft. square/level, or hemisphere of ice with a radius of up to 3 ft. + 1 ft./level&lt;/h5&gt;&lt;h5&gt;&lt;b&gt;Duration &lt;/b&gt;1 min./level&lt;/h5&gt;&lt;h5&gt;&lt;b&gt;Saving Throw &lt;/b&gt;Reflex negates; see text; &lt;b&gt;Spell Resistance &lt;/b&gt;yes&lt;/h5&gt;&lt;/div&gt;&lt;hr/&gt;&lt;div&gt;&lt;h5&gt;&lt;b&gt;DESCRIPTION&lt;/b&gt;&lt;/h5&gt;&lt;/div&gt;&lt;hr/&gt;&lt;div&gt;&lt;h4&gt;&lt;p&gt;This spell creates an anchored plane of ice or a &lt;i&gt;hemisphere&lt;/i&gt; of ice, depending on the version selected. A &lt;i&gt;wall of ice&lt;/i&gt;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fails.&lt;/p&gt;&lt;p&gt;Fire can melt a &lt;i&gt;wall of ice&lt;/i&gt;, and it deals full damage to the wall (instead of the normal half damage taken by objects). Suddenly melting a &lt;i&gt;wall of ice&lt;/i&gt; creates a great cloud of steamy fog that lasts for 10 minutes.&lt;/p&gt;&lt;p&gt;&lt;i&gt;Ice Plane&lt;/i&gt;: A sheet of strong, hard ice appears. The wall is 1 inch thick per caster level. It covers up to a 10-foot-square area per caster level (so a 10th-level wizard can create a &lt;i&gt;wall of ice&lt;/i&gt;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sides.&lt;/p&gt;&lt;p&gt;Each 10-foot square of wall has 3 hit points per inch of thickness.&lt;/p&gt;&lt;p&gt;Creatures can hit the wall automatically. A section of wall whose hit points drop to 0 is breached. If a creature tries to break through the wall with a single attack, the DC for the Strength check is 15 + caster level.&lt;/p&gt;&lt;p&gt;Even when the ice has been broken through, a sheet of frigid air remains. Any creature stepping through it (including the one who broke through the wall) takes 1d6 points of cold damage + 1 point per caster level (no save).&lt;/p&gt;&lt;p&gt;&lt;i&gt;Hemisphere&lt;/i&gt;: The wall takes the form of a &lt;i&gt;hemisphere&lt;/i&gt; whose maximum radius is 3 feet + 1 foot per caster level. The &lt;i&gt;hemisphere&lt;/i&gt; is as hard to break through as the &lt;i&gt;ice plane&lt;/i&gt; form, but it does not deal damage to those who go through a breach.&lt;/p&gt;&lt;/h4&gt;&lt;h5&gt;&lt;b&gt;Mythic: &lt;/b&gt;The wall's hit points increase to 5 hit points per inch of thickness. Add your tier to the Strength check DC to break through the wall. The damage dealt to those that step through the wall increases to 1d8 points of cold damage + 1 point per caster level. Any creature that passes through the wall must succeed at a Fortitude save or be staggered for 1d4 rounds; this is a cold effect.&lt;/h5&gt;&lt;h5&gt;&lt;b&gt;Augmented (5th)&lt;/b&gt;: If you expend two uses of mythic power, you cover the wall in sharp, protruding icicles. Any creature that touches, strikes, or breaks through the wall takes 1d6 points of cold damage, 1d6 points of piercing damage, and 1 point of bleed damage.&lt;/h5&gt;&lt;/div&gt;</t>
  </si>
  <si>
    <t> Ice plane creates wall or hemisphere creates dome.</t>
  </si>
  <si>
    <t>Boreal (9), Marid (9)</t>
  </si>
  <si>
    <t>Elements (8), Winter (8)</t>
  </si>
  <si>
    <t>The wall's hit points increase to 5 hit points per inch of thickness. Add your tier to the Strength check DC to break through the wall. The damage dealt to those that step through the wall increases to 1d8 points of cold damage + 1 point per caster level. Any creature that passes through the wall must succeed at a Fortitude save or be staggered for 1d4 rounds; this is a cold effect.</t>
  </si>
  <si>
    <t>Augmented (5th): If you expend two uses of mythic power, you cover the wall in sharp, protruding icicles. Any creature that touches, strikes, or breaks through the wall takes 1d6 points of cold damage, 1d6 points of piercing damage, and 1 point of bleed damage.</t>
  </si>
  <si>
    <t>Wall of Iron</t>
  </si>
  <si>
    <t>sorcerer/wizard 6, summoner 5, magus 6, occultist 6</t>
  </si>
  <si>
    <t>V, S, M (a small iron sheet plus gold dust worth 50 gp)</t>
  </si>
  <si>
    <t>iron wall whose area is up to one 5-ft. square/level; see text</t>
  </si>
  <si>
    <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  A wall of iron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  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  Like any iron wall, this wall is subject to rust, perforation, and other natural phenomena. Iron created by this spell is not suitable for use in the creation of other objects and cannot be sold.</t>
  </si>
  <si>
    <t>&lt;p&gt;You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space.&lt;/p&gt;&lt;p&gt;A &lt;i&gt;wall of iron&lt;/i&gt;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thickness.&lt;/p&gt;&lt;p&gt;If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creatures.&lt;/p&gt;&lt;p&gt;Like any iron wall, this wall is subject to rust, perforation, and other natural phenomena. Iron created by this spell is not suitable for use in the creation of other objects and cannot be sold.&lt;/p&gt;</t>
  </si>
  <si>
    <t>&lt;link rel="stylesheet"href="PF.css"&gt;&lt;div class="heading"&gt;&lt;p class="alignleft"&gt;Wall of Iron&lt;/p&gt;&lt;div style="clear: both;"&gt;&lt;/div&gt;&lt;/div&gt;&lt;div&gt;&lt;h5&gt;&lt;b&gt;School &lt;/b&gt;conjuration (creation); &lt;b&gt;Level &lt;/b&gt;sorcerer/wizard 6, summoner 5, magus 6, occultist 6&lt;/h5&gt;&lt;/div&gt;&lt;hr/&gt;&lt;div&gt;&lt;h5&gt;&lt;b&gt;CASTING&lt;/b&gt;&lt;/h5&gt;&lt;/div&gt;&lt;hr/&gt;&lt;div&gt;&lt;h5&gt;&lt;b&gt;Casting Time &lt;/b&gt;1 standard action&lt;/h5&gt;&lt;h5&gt;&lt;b&gt;Components &lt;/b&gt;V, S, M (a small iron sheet plus gold dust worth 50 gp)&lt;/h5&gt;&lt;/div&gt;&lt;hr/&gt;&lt;div&gt;&lt;h5&gt;&lt;b&gt;EFFECT&lt;/b&gt;&lt;/h5&gt;&lt;/div&gt;&lt;hr/&gt;&lt;div&gt;&lt;h5&gt;&lt;b&gt;Range &lt;/b&gt;medium (100 ft. + 10 ft./level)&lt;/h5&gt;&lt;h5&gt;&lt;b&gt;Effect &lt;/b&gt;iron wall whose area is up to one 5-ft. square/level; see text&lt;/h5&gt;&lt;h5&gt;&lt;b&gt;Duration &lt;/b&gt;instantaneous&lt;/h5&gt;&lt;h5&gt;&lt;b&gt;Saving Throw &lt;/b&gt;see text; &lt;b&gt;Spell Resistance &lt;/b&gt;no&lt;/h5&gt;&lt;/div&gt;&lt;hr/&gt;&lt;div&gt;&lt;h5&gt;&lt;b&gt;DESCRIPTION&lt;/b&gt;&lt;/h5&gt;&lt;/div&gt;&lt;hr/&gt;&lt;div&gt;&lt;h4&gt;&lt;p&gt;You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space.&lt;/p&gt;&lt;p&gt;A &lt;i&gt;wall of iron&lt;/i&gt;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thickness.&lt;/p&gt;&lt;p&gt;If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creatures.&lt;/p&gt;&lt;p&gt;Like any iron wall, this wall is subject to rust, perforation, and other natural phenomena. Iron created by this spell is not suitable for use in the creation of other objects and cannot be sold.&lt;/p&gt;&lt;/h4&gt;&lt;/div&gt;</t>
  </si>
  <si>
    <t>Artifice (7), Metal (6)</t>
  </si>
  <si>
    <t> 30 hp/four levels; can topple onto foes.</t>
  </si>
  <si>
    <t>Shaitan (13)</t>
  </si>
  <si>
    <t>Wall Of Thorns</t>
  </si>
  <si>
    <t>druid 5, shaman 5</t>
  </si>
  <si>
    <t>wall of thorny brush, up to one 10-ft. cube/level (S)</t>
  </si>
  <si>
    <t>A wall of thorns spell creates a barrier of very tough, pliable, tangled brush bearing needle-sharp thorns as long as a human's finger. Any creature forced into or attempting to move through a wall of thorns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  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  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wall of thorns at normal speed without taking damage.  A wall of thorns can be breached by slow work with edged weapons. Chopping away at the wall creates a safe passage 1 foot deep for every 10 minutes of work. Normal fire cannot harm the barrier, but magical fire burns it away in 10 minutes.</t>
  </si>
  <si>
    <t>&lt;p&gt;A &lt;i&gt;wall of thorns&lt;/i&gt; spell creates a barrier of very tough, pliable, tangled brush bearing needle-sharp thorns as long as a human's finger. Any creature forced into or attempting to move through a &lt;i&gt;wall of thorns&lt;/i&gt;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barrier.&lt;/p&gt;&lt;p&gt;Creatures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damage.&lt;/p&gt;&lt;p&gt;Any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&lt;i&gt;wall of thorns&lt;/i&gt; at normal speed without taking damage.&lt;/p&gt;&lt;p&gt;A &lt;i&gt;wall of thorns&lt;/i&gt; can be breached by slow work with edged weapons. Chopping away at the wall creates a safe passage 1 foot deep for every 10 minutes of work. Normal fire cannot harm the barrier, but magical fire burns it away in 10 minutes.&lt;/p&gt;</t>
  </si>
  <si>
    <t>&lt;link rel="stylesheet"href="PF.css"&gt;&lt;div class="heading"&gt;&lt;p class="alignleft"&gt;Wall Of Thorns&lt;/p&gt;&lt;div style="clear: both;"&gt;&lt;/div&gt;&lt;/div&gt;&lt;div&gt;&lt;h5&gt;&lt;b&gt;School &lt;/b&gt;conjuration (creation); &lt;b&gt;Level &lt;/b&gt;druid 5, shaman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thorny brush, up to one 10-ft. cube/level (S)&lt;/h5&gt;&lt;h5&gt;&lt;b&gt;Duration &lt;/b&gt;10 min./level (D)&lt;/h5&gt;&lt;h5&gt;&lt;b&gt;Saving Throw &lt;/b&gt;none; &lt;b&gt;Spell Resistance &lt;/b&gt;no&lt;/h5&gt;&lt;/div&gt;&lt;hr/&gt;&lt;div&gt;&lt;h5&gt;&lt;b&gt;DESCRIPTION&lt;/b&gt;&lt;/h5&gt;&lt;/div&gt;&lt;hr/&gt;&lt;div&gt;&lt;h4&gt;&lt;p&gt;A &lt;i&gt;wall of thorns&lt;/i&gt; spell creates a barrier of very tough, pliable, tangled brush bearing needle-sharp thorns as long as a human's finger. Any creature forced into or attempting to move through a &lt;i&gt;wall of thorns&lt;/i&gt;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barrier.&lt;/p&gt;&lt;p&gt;Creatures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damage.&lt;/p&gt;&lt;p&gt;Any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&lt;i&gt;wall of thorns&lt;/i&gt; at normal speed without taking damage.&lt;/p&gt;&lt;p&gt;A &lt;i&gt;wall of thorns&lt;/i&gt; can be breached by slow work with edged weapons. Chopping away at the wall creates a safe passage 1 foot deep for every 10 minutes of work. Normal fire cannot harm the barrier, but magical fire burns it away in 10 minutes.&lt;/p&gt;&lt;/h4&gt;&lt;h5&gt;&lt;b&gt;Mythic: &lt;/b&gt;The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tier.&lt;/h5&gt;&lt;h5&gt;&lt;b&gt;Augmented (6th)&lt;/b&gt;: If you expend two uses of mythic power, the wall automatically grapples creatures other than you within 10 feet. Any creature grappled by the wall takes 2d6 points of bleed damage. If a creature doesn't escape the wall's grapple, on its next turn the wall automatically pins it.&lt;/h5&gt;&lt;/div&gt;</t>
  </si>
  <si>
    <t>Blood (5), Plant (5)</t>
  </si>
  <si>
    <t> Thorns damage anyone who tries to pass.</t>
  </si>
  <si>
    <t>Verdant (11)</t>
  </si>
  <si>
    <t>Thorns (10)</t>
  </si>
  <si>
    <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t>
  </si>
  <si>
    <t>Augmented (6th): If you expend two uses of mythic power, the wall automatically grapples creatures other than you within 10 feet. Any creature grappled by the wall takes 2d6 points of bleed damage. If a creature doesn't escape the wall's grapple, on its next turn the wall automatically pins it.</t>
  </si>
  <si>
    <t>Warp Wood</t>
  </si>
  <si>
    <t>druid 2, shaman 2, occultist 2</t>
  </si>
  <si>
    <t>1 Small wooden object/level, all within a 20-ft. radius</t>
  </si>
  <si>
    <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  You may warp one Small or smaller object or its equivalent per caster level. A Medium object counts as two Small objects, a Large object as four, a Huge object as eight, a Gargantuan object as 16, and a Colossal object as 32.  Alternatively, you can unwarp wood (effectively warping it back to normal) with this spell. Make whole, on the other hand, does no good in repairing a warped item.  You can combine multiple consecutive warp wood spells to warp (or unwarp) an object that is too large for you to warp with a single spell. Until the object is completely warped, it suffers no ill effects.</t>
  </si>
  <si>
    <t>&lt;p&gt;You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rolls.&lt;/p&gt;&lt;p&gt;You may warp one Small or smaller object or its equivalent per caster level. A Medium object counts as two Small objects, a Large object as four, a Huge object as eight, a Gargantuan object as 16, and a Colossal object as 32.&lt;/p&gt;&lt;p&gt;Alternatively, you can un&lt;i&gt;warp wood&lt;/i&gt; (effectively warping it back to normal) with this spell. &lt;i&gt;Make whole&lt;/i&gt;, on the other hand, does no good in repairing a warped item.&lt;/p&gt;&lt;p&gt;You can combine multiple consecutive &lt;i&gt;warp wood&lt;/i&gt; spells to warp (or unwarp) an object that is too large for you to warp with a single spell. Until the object is completely warped, it suffers no ill effects.&lt;/p&gt;</t>
  </si>
  <si>
    <t>&lt;link rel="stylesheet"href="PF.css"&gt;&lt;div class="heading"&gt;&lt;p class="alignleft"&gt;Warp Wood&lt;/p&gt;&lt;div style="clear: both;"&gt;&lt;/div&gt;&lt;/div&gt;&lt;div&gt;&lt;h5&gt;&lt;b&gt;School &lt;/b&gt;transmutation; &lt;b&gt;Level &lt;/b&gt;druid 2, shaman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Small wooden object/level, all within a 20-ft. radius&lt;/h5&gt;&lt;h5&gt;&lt;b&gt;Duration &lt;/b&gt;instantaneous&lt;/h5&gt;&lt;h5&gt;&lt;b&gt;Saving Throw &lt;/b&gt;Will negates (object); &lt;b&gt;Spell Resistance &lt;/b&gt;yes (object)&lt;/h5&gt;&lt;/div&gt;&lt;hr/&gt;&lt;div&gt;&lt;h5&gt;&lt;b&gt;DESCRIPTION&lt;/b&gt;&lt;/h5&gt;&lt;/div&gt;&lt;hr/&gt;&lt;div&gt;&lt;h4&gt;&lt;p&gt;You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rolls.&lt;/p&gt;&lt;p&gt;You may warp one Small or smaller object or its equivalent per caster level. A Medium object counts as two Small objects, a Large object as four, a Huge object as eight, a Gargantuan object as 16, and a Colossal object as 32.&lt;/p&gt;&lt;p&gt;Alternatively, you can un&lt;i&gt;warp wood&lt;/i&gt; (effectively warping it back to normal) with this spell. &lt;i&gt;Make whole&lt;/i&gt;, on the other hand, does no good in repairing a warped item.&lt;/p&gt;&lt;p&gt;You can combine multiple consecutive &lt;i&gt;warp wood&lt;/i&gt; spells to warp (or unwarp) an object that is too large for you to warp with a single spell. Until the object is completely warped, it suffers no ill effects.&lt;/p&gt;&lt;/h4&gt;&lt;/div&gt;</t>
  </si>
  <si>
    <t> Bends wood.</t>
  </si>
  <si>
    <t>Water Breathing</t>
  </si>
  <si>
    <t>cleric/oracle 3, druid 3, sorcerer/wizard 3, alchemist 3, summoner 3, alchemist 3, summoner 3, magus 3, bloodrager 3, shaman 3, psychic 3</t>
  </si>
  <si>
    <t>V, S, M/DF (short reed or piece of straw)</t>
  </si>
  <si>
    <t>living creatures touched</t>
  </si>
  <si>
    <t>2 hours/level; see text</t>
  </si>
  <si>
    <t>The transmuted creatures can breathe water freely. Divide the duration evenly among all the creatures you touch. The spell does not make creatures unable to breathe air.</t>
  </si>
  <si>
    <t>&lt;p&gt;The transmuted creatures can breathe water freely. Divide the duration evenly among all the creatures you touch. The spell does not make creatures unable to breathe air.&lt;/p&gt;</t>
  </si>
  <si>
    <t>&lt;link rel="stylesheet"href="PF.css"&gt;&lt;div class="heading"&gt;&lt;p class="alignleft"&gt;Water Breathing&lt;/p&gt;&lt;div style="clear: both;"&gt;&lt;/div&gt;&lt;/div&gt;&lt;div&gt;&lt;h5&gt;&lt;b&gt;School &lt;/b&gt;transmutation; &lt;b&gt;Level &lt;/b&gt;cleric/oracle 3, druid 3, sorcerer/wizard 3, alchemist 3, summoner 3, alchemist 3, summoner 3, magus 3, bloodrager 3, shaman 3, psychic 3&lt;/h5&gt;&lt;/div&gt;&lt;hr/&gt;&lt;div&gt;&lt;h5&gt;&lt;b&gt;CASTING&lt;/b&gt;&lt;/h5&gt;&lt;/div&gt;&lt;hr/&gt;&lt;div&gt;&lt;h5&gt;&lt;b&gt;Casting Time &lt;/b&gt;1 standard action&lt;/h5&gt;&lt;h5&gt;&lt;b&gt;Components &lt;/b&gt;V, S, M/DF (short reed or piece of straw)&lt;/h5&gt;&lt;/div&gt;&lt;hr/&gt;&lt;div&gt;&lt;h5&gt;&lt;b&gt;EFFECT&lt;/b&gt;&lt;/h5&gt;&lt;/div&gt;&lt;hr/&gt;&lt;div&gt;&lt;h5&gt;&lt;b&gt;Range &lt;/b&gt;touch&lt;/h5&gt;&lt;h5&gt;&lt;b&gt;Targets &lt;/b&gt;living creatures touched&lt;/h5&gt;&lt;h5&gt;&lt;b&gt;Duration &lt;/b&gt;2 hours/level; see text&lt;/h5&gt;&lt;h5&gt;&lt;b&gt;Saving Throw &lt;/b&gt;Will negates (harmless); &lt;b&gt;Spell Resistance &lt;/b&gt;yes (harmless)&lt;/h5&gt;&lt;/div&gt;&lt;hr/&gt;&lt;div&gt;&lt;h5&gt;&lt;b&gt;DESCRIPTION&lt;/b&gt;&lt;/h5&gt;&lt;/div&gt;&lt;hr/&gt;&lt;div&gt;&lt;h4&gt;&lt;p&gt;The transmuted creatures can breathe water freely. Divide the duration evenly among all the creatures you touch. The spell does not make creatures unable to breathe air.&lt;/p&gt;&lt;/h4&gt;&lt;/div&gt;</t>
  </si>
  <si>
    <t>Water (3)</t>
  </si>
  <si>
    <t>Subjects can breathe underwater.</t>
  </si>
  <si>
    <t>Water Walk</t>
  </si>
  <si>
    <t>cleric/oracle 3, ranger 3, witch 3, shaman 3, psychic 3</t>
  </si>
  <si>
    <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  If the spell is cast underwater (or while the subjects are partially or wholly submerged in whatever liquid they are in), the subjects are borne toward the surface at 60 feet per round until they can stand on it.</t>
  </si>
  <si>
    <t>&lt;p&gt;The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ground.&lt;/p&gt;&lt;p&gt;If the spell is cast underwater (or while the subjects are partially or wholly submerged in whatever liquid they are in), the subjects are borne toward the surface at 60 feet per round until they can stand on it.&lt;/p&gt;</t>
  </si>
  <si>
    <t>&lt;link rel="stylesheet"href="PF.css"&gt;&lt;div class="heading"&gt;&lt;p class="alignleft"&gt;Water Walk&lt;/p&gt;&lt;div style="clear: both;"&gt;&lt;/div&gt;&lt;/div&gt;&lt;div&gt;&lt;h5&gt;&lt;b&gt;School &lt;/b&gt;transmutation [water]; &lt;b&gt;Level &lt;/b&gt;cleric/oracle 3, ranger 3, witch 3, shaman 3, psychic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creature/level&lt;/h5&gt;&lt;h5&gt;&lt;b&gt;Duration &lt;/b&gt;10 min./level (D)&lt;/h5&gt;&lt;h5&gt;&lt;b&gt;Saving Throw &lt;/b&gt;Will negates (harmless); &lt;b&gt;Spell Resistance &lt;/b&gt;yes (harmless)&lt;/h5&gt;&lt;/div&gt;&lt;hr/&gt;&lt;div&gt;&lt;h5&gt;&lt;b&gt;DESCRIPTION&lt;/b&gt;&lt;/h5&gt;&lt;/div&gt;&lt;hr/&gt;&lt;div&gt;&lt;h4&gt;&lt;p&gt;The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ground.&lt;/p&gt;&lt;p&gt;If the spell is cast underwater (or while the subjects are partially or wholly submerged in whatever liquid they are in), the subjects are borne toward the surface at 60 feet per round until they can stand on it.&lt;/p&gt;&lt;/h4&gt;&lt;/div&gt;</t>
  </si>
  <si>
    <t>Oceans (3)</t>
  </si>
  <si>
    <t>Subject treads on water as if solid.</t>
  </si>
  <si>
    <t>Waves of Exhaustion</t>
  </si>
  <si>
    <t>Waves of negative energy cause all living creatures in the spell's area to become exhausted. This spell has no effect on a creature that is already exhausted.</t>
  </si>
  <si>
    <t>&lt;p&gt;Waves of negative energy cause all living creatures in the spell's area to become exhausted. This spell has no effect on a creature that is already exhausted.&lt;/p&gt;</t>
  </si>
  <si>
    <t>&lt;link rel="stylesheet"href="PF.css"&gt;&lt;div class="heading"&gt;&lt;p class="alignleft"&gt;Waves of Exhaustion&lt;/p&gt;&lt;div style="clear: both;"&gt;&lt;/div&gt;&lt;/div&gt;&lt;div&gt;&lt;h5&gt;&lt;b&gt;School &lt;/b&gt;necromancy; &lt;b&gt;Level &lt;/b&gt;sorcerer/wizard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burst&lt;/h5&gt;&lt;h5&gt;&lt;b&gt;Duration &lt;/b&gt;instantaneous&lt;/h5&gt;&lt;h5&gt;&lt;b&gt;Saving Throw &lt;/b&gt;none; &lt;b&gt;Spell Resistance &lt;/b&gt;yes&lt;/h5&gt;&lt;/div&gt;&lt;hr/&gt;&lt;div&gt;&lt;h5&gt;&lt;b&gt;DESCRIPTION&lt;/b&gt;&lt;/h5&gt;&lt;/div&gt;&lt;hr/&gt;&lt;div&gt;&lt;h4&gt;&lt;p&gt;Waves of negative energy cause all living creatures in the spell's area to become exhausted. This spell has no effect on a creature that is already exhausted.&lt;/p&gt;&lt;/h4&gt;&lt;/div&gt;</t>
  </si>
  <si>
    <t>Repose (8), Toil (7)</t>
  </si>
  <si>
    <t> Several targets become exhausted.</t>
  </si>
  <si>
    <t>Oni (15), Daemon (15)</t>
  </si>
  <si>
    <t>Occult (14)</t>
  </si>
  <si>
    <t>Waves of Fatigue</t>
  </si>
  <si>
    <t>Waves of negative energy render all living creatures in the spell's area fatigued. This spell has no effect on a creature that is already fatigued.</t>
  </si>
  <si>
    <t>&lt;p&gt;Waves of negative energy render all living creatures in the spell's area fatigued. This spell has no effect on a creature that is already fatigued.&lt;/p&gt;</t>
  </si>
  <si>
    <t>&lt;link rel="stylesheet"href="PF.css"&gt;&lt;div class="heading"&gt;&lt;p class="alignleft"&gt;Waves of Fatigue&lt;/p&gt;&lt;div style="clear: both;"&gt;&lt;/div&gt;&lt;/div&gt;&lt;div&gt;&lt;h5&gt;&lt;b&gt;School &lt;/b&gt;necromancy; &lt;b&gt;Level &lt;/b&gt;sorcerer/wizard 5, witch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&lt;/b&gt;none; &lt;b&gt;Spell Resistance &lt;/b&gt;yes&lt;/h5&gt;&lt;/div&gt;&lt;hr/&gt;&lt;div&gt;&lt;h5&gt;&lt;b&gt;DESCRIPTION&lt;/b&gt;&lt;/h5&gt;&lt;/div&gt;&lt;hr/&gt;&lt;div&gt;&lt;h4&gt;&lt;p&gt;Waves of negative energy render all living creatures in the spell's area fatigued. This spell has no effect on a creature that is already fatigued.&lt;/p&gt;&lt;/h4&gt;&lt;/div&gt;</t>
  </si>
  <si>
    <t>Toil (5)</t>
  </si>
  <si>
    <t> Several targets become fatigued.</t>
  </si>
  <si>
    <t>Undead (11)</t>
  </si>
  <si>
    <t>Web</t>
  </si>
  <si>
    <t>sorcerer/wizard 2, witch 2, magus 2</t>
  </si>
  <si>
    <t>V, S, M (spider web)</t>
  </si>
  <si>
    <t>webs in a 20-ft.-radius spread</t>
  </si>
  <si>
    <t>Web creates a many-layered mass of strong, sticky strands. These strands trap those caught in them. The strands are similar to spiderwebs but far larger and tougher. These masses must be anchored to two or more solid and diametrically opposed points or else the web collapses upon itself and disappears. Creatures caught within a web become grappled by the sticky fibers. Attacking a creature in a web doesn't cause you to become grappled.  Anyone in the effect's area when the spell is cast must make a Reflex save. If this save succeeds, the creature is inside the web but is otherwise unaffected. If the save fails, the creature gains the grappled condition, but can break free by making a combat maneuver check or Escape Artist check as a standard action against the DC of this spell. The entire area of the web is considered difficult terrain. Anyone moving through the webs must make a combat maneuver check or Escape Artist check as part of their move action, with a DC equal to the spell's DC. Creatures that fail lose their movement and become grappled in the first square of webbing that they enter.  If you have at least 5 feet of web between you and an opponent, it provides cover. If you have at least 20 feet of web between you, it provides total cover.  The strands of a web spell are flammable. A flaming weapon can slash them away as easily as a hand brushes away cobwebs. Any fire can set the webs alight and burn away one 5-foot square in 1 round. All creatures within flaming webs take 2d4 points of fire damage from the flames.  Web can be made permanent with a permanency spell. A permanent web that is damaged (but not destroyed) regrows in 10 minutes.</t>
  </si>
  <si>
    <t>&lt;p&gt;&lt;i&gt;Web&lt;/i&gt; creates a many-layered mass of strong, sticky strands. These strands trap those caught in them. The strands are similar to spider&lt;i&gt;web&lt;/i&gt;s but far larger and tougher. These masses must be anchored to two or more solid and diametrically opposed points or else the &lt;i&gt;web&lt;/i&gt; collapses upon itself and disappears. Creatures caught within a &lt;i&gt;web&lt;/i&gt; become grappled by the sticky fibers. Attacking a creature in a &lt;i&gt;web&lt;/i&gt; doesn't cause you to become grappled.&lt;/p&gt;&lt;p&gt;Anyone in the effect's area when the spell is cast must make a Reflex save. If this save succeeds, the creature is inside the &lt;i&gt;web&lt;/i&gt; but is otherwise unaffected. If the save fails, the creature gains the grappled condition, but can break free by making a combat maneuver check or Escape Artist check as a standard action against the DC of this spell. The entire area of the &lt;i&gt;web&lt;/i&gt; is considered difficult terrain. Anyone moving through the &lt;i&gt;web&lt;/i&gt;s must make a combat maneuver check or Escape Artist check as part of their move action, with a DC equal to the spell's DC. Creatures that fail lose their movement and become grappled in the first square of &lt;i&gt;web&lt;/i&gt;bing that they enter.&lt;/p&gt;&lt;p&gt;If you have at least 5 feet of &lt;i&gt;web&lt;/i&gt; between you and an opponent, it provides cover. If you have at least 20 feet of &lt;i&gt;web&lt;/i&gt; between you, it provides total cover.&lt;/p&gt;&lt;p&gt;The strands of a &lt;i&gt;web&lt;/i&gt; spell are flammable. A &lt;i&gt;flaming weapon&lt;/i&gt; can slash them away as easily as a hand brushes away cob&lt;i&gt;web&lt;/i&gt;s. Any fire can set the &lt;i&gt;web&lt;/i&gt;s alight and burn away one 5-foot square in 1 round. All creatures within flaming &lt;i&gt;web&lt;/i&gt;s take 2d4 points of fire damage from the flames.&lt;/p&gt;&lt;p&gt;&lt;i&gt;Web&lt;/i&gt; can be made permanent with a &lt;i&gt;permanency&lt;/i&gt; spell. A permanent &lt;i&gt;web&lt;/i&gt; that is damaged (but not destroyed) regrows in 10 minutes.&lt;/p&gt;</t>
  </si>
  <si>
    <t>&lt;link rel="stylesheet"href="PF.css"&gt;&lt;div class="heading"&gt;&lt;p class="alignleft"&gt;Web&lt;/p&gt;&lt;div style="clear: both;"&gt;&lt;/div&gt;&lt;/div&gt;&lt;div&gt;&lt;h5&gt;&lt;b&gt;School &lt;/b&gt;conjuration (creation); &lt;b&gt;Level &lt;/b&gt;sorcerer/wizard 2, witch 2, magus 2&lt;/h5&gt;&lt;/div&gt;&lt;hr/&gt;&lt;div&gt;&lt;h5&gt;&lt;b&gt;CASTING&lt;/b&gt;&lt;/h5&gt;&lt;/div&gt;&lt;hr/&gt;&lt;div&gt;&lt;h5&gt;&lt;b&gt;Casting Time &lt;/b&gt;1 standard action&lt;/h5&gt;&lt;h5&gt;&lt;b&gt;Components &lt;/b&gt;V, S, M (spider web)&lt;/h5&gt;&lt;/div&gt;&lt;hr/&gt;&lt;div&gt;&lt;h5&gt;&lt;b&gt;EFFECT&lt;/b&gt;&lt;/h5&gt;&lt;/div&gt;&lt;hr/&gt;&lt;div&gt;&lt;h5&gt;&lt;b&gt;Range &lt;/b&gt;medium (100 ft. + 10 ft./level)&lt;/h5&gt;&lt;h5&gt;&lt;b&gt;Effect &lt;/b&gt;webs in a 20-ft.-radius spread&lt;/h5&gt;&lt;h5&gt;&lt;b&gt;Duration &lt;/b&gt;10 min./level (D)&lt;/h5&gt;&lt;h5&gt;&lt;b&gt;Saving Throw &lt;/b&gt;Reflex negates; see text; &lt;b&gt;Spell Resistance &lt;/b&gt;no&lt;/h5&gt;&lt;/div&gt;&lt;hr/&gt;&lt;div&gt;&lt;h5&gt;&lt;b&gt;DESCRIPTION&lt;/b&gt;&lt;/h5&gt;&lt;/div&gt;&lt;hr/&gt;&lt;div&gt;&lt;h4&gt;&lt;p&gt;&lt;i&gt;Web&lt;/i&gt; creates a many-layered mass of strong, sticky strands. These strands trap those caught in them. The strands are similar to spider&lt;i&gt;web&lt;/i&gt;s but far larger and tougher. These masses must be anchored to two or more solid and diametrically opposed points or else the &lt;i&gt;web&lt;/i&gt; collapses upon itself and disappears. Creatures caught within a &lt;i&gt;web&lt;/i&gt; become grappled by the sticky fibers. Attacking a creature in a &lt;i&gt;web&lt;/i&gt; doesn't cause you to become grappled.&lt;/p&gt;&lt;p&gt;Anyone in the effect's area when the spell is cast must make a Reflex save. If this save succeeds, the creature is inside the &lt;i&gt;web&lt;/i&gt; but is otherwise unaffected. If the save fails, the creature gains the grappled condition, but can break free by making a combat maneuver check or Escape Artist check as a standard action against the DC of this spell. The entire area of the &lt;i&gt;web&lt;/i&gt; is considered difficult terrain. Anyone moving through the &lt;i&gt;web&lt;/i&gt;s must make a combat maneuver check or Escape Artist check as part of their move action, with a DC equal to the spell's DC. Creatures that fail lose their movement and become grappled in the first square of webbing that they enter.&lt;/p&gt;&lt;p&gt;If you have at least 5 feet of &lt;i&gt;web&lt;/i&gt; between you and an opponent, it provides cover. If you have at least 20 feet of &lt;i&gt;web&lt;/i&gt; between you, it provides total cover.&lt;/p&gt;&lt;p&gt;The strands of a &lt;i&gt;web&lt;/i&gt; spell are flammable. A &lt;i&gt;flaming weapon&lt;/i&gt; can slash them away as easily as a hand brushes away cob&lt;i&gt;web&lt;/i&gt;s. Any fire can set the &lt;i&gt;web&lt;/i&gt;s alight and burn away one 5-foot square in 1 round. All creatures within flaming &lt;i&gt;web&lt;/i&gt;s take 2d4 points of fire damage from the flames.&lt;/p&gt;&lt;p&gt;&lt;i&gt;Web&lt;/i&gt; can be made permanent with a &lt;i&gt;permanency&lt;/i&gt; spell. A permanent &lt;i&gt;web&lt;/i&gt; that is damaged (but not destroyed) regrows in 10 minutes.&lt;/p&gt;&lt;/h4&gt;&lt;h5&gt;&lt;b&gt;Mythic: &lt;/b&gt;The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swarms.&lt;/h5&gt;&lt;h5&gt;&lt;b&gt;Augmented (5th)&lt;/b&gt;: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web.&lt;/h5&gt;&lt;/div&gt;</t>
  </si>
  <si>
    <t> Fills 20-ft.-radius spread with sticky spiderwebs that can grapple foes and impair movement.</t>
  </si>
  <si>
    <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t>
  </si>
  <si>
    <t>Augmented (5th):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t>
  </si>
  <si>
    <t>Weird</t>
  </si>
  <si>
    <t>any number of creatures, no two of which can be more than 30 ft. apart</t>
  </si>
  <si>
    <t>This spell functions like phantasmal killer, except it can affect more than one creature. Only the affected creatures see the phantasmal creatures attacking them, though you see the attackers as shadowy shapes.  If a subject's Fortitude save succeeds, it still takes 3d6 points of damage and is stunned for 1 round. The subject also takes 1d4 points of Strength damage.</t>
  </si>
  <si>
    <t>&lt;p&gt;This spell functions like &lt;i&gt;phantasmal killer&lt;/i&gt;, except it can affect more than one creature. Only the affected creatures see the phantasmal creatures attacking them, though you see the attackers as shadowy shapes.&lt;/p&gt;&lt;p&gt;If a subject's Fortitude save succeeds, it still takes 3d6 points of damage and is stunned for 1 round. The subject also takes 1d4 points of Strength damage.&lt;/p&gt;</t>
  </si>
  <si>
    <t>&lt;link rel="stylesheet"href="PF.css"&gt;&lt;div class="heading"&gt;&lt;p class="alignleft"&gt;Weird&lt;/p&gt;&lt;div style="clear: both;"&gt;&lt;/div&gt;&lt;/div&gt;&lt;div&gt;&lt;h5&gt;&lt;b&gt;School &lt;/b&gt;illusion (phantasm) [fear, mind-affecting, emotion];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&lt;/b&gt;any number of creatures, no two of which can be more than 30 ft. apart&lt;/h5&gt;&lt;h5&gt;&lt;b&gt;Duration &lt;/b&gt;instantaneous&lt;/h5&gt;&lt;h5&gt;&lt;b&gt;Saving Throw &lt;/b&gt;Will disbelief, then Fortitude partial; see text; &lt;b&gt;Spell Resistance &lt;/b&gt;yes&lt;/h5&gt;&lt;/div&gt;&lt;hr/&gt;&lt;div&gt;&lt;h5&gt;&lt;b&gt;DESCRIPTION&lt;/b&gt;&lt;/h5&gt;&lt;/div&gt;&lt;hr/&gt;&lt;div&gt;&lt;h4&gt;&lt;p&gt;This spell functions like &lt;i&gt;phantasmal killer&lt;/i&gt;, except it can affect more than one creature. Only the affected creatures see the phantasmal creatures attacking them, though you see the attackers as shadowy shapes.&lt;/p&gt;&lt;p&gt;If a subject's Fortitude save succeeds, it still takes 3d6 points of damage and is stunned for 1 round. The subject also takes 1d4 points of Strength damage.&lt;/p&gt;&lt;/h4&gt;&lt;/div&gt;</t>
  </si>
  <si>
    <t>Madness (9), Nightmare (9)</t>
  </si>
  <si>
    <t> As phantasmal killer, but affects all within 30 ft.</t>
  </si>
  <si>
    <t>Harrow (19)</t>
  </si>
  <si>
    <t>Ancestors (18)</t>
  </si>
  <si>
    <t>Whirlwind</t>
  </si>
  <si>
    <t>cyclone 10 ft. wide at base, 30 ft. wide at top, and 30 ft. tall</t>
  </si>
  <si>
    <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t>
  </si>
  <si>
    <t>&lt;p&gt;This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released.&lt;/p&gt;</t>
  </si>
  <si>
    <t>&lt;link rel="stylesheet"href="PF.css"&gt;&lt;div class="heading"&gt;&lt;p class="alignleft"&gt;Whirlwind&lt;/p&gt;&lt;div style="clear: both;"&gt;&lt;/div&gt;&lt;/div&gt;&lt;div&gt;&lt;h5&gt;&lt;b&gt;School &lt;/b&gt;evocation [air]; &lt;b&gt;Level &lt;/b&gt;druid 8, shaman 8&lt;/h5&gt;&lt;/div&gt;&lt;hr/&gt;&lt;div&gt;&lt;h5&gt;&lt;b&gt;CASTING&lt;/b&gt;&lt;/h5&gt;&lt;/div&gt;&lt;hr/&gt;&lt;div&gt;&lt;h5&gt;&lt;b&gt;Casting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ft./level)&lt;/h5&gt;&lt;h5&gt;&lt;b&gt;Effect &lt;/b&gt;cyclone 10 ft. wide at base, 30 ft. wide at top, and 30 ft. tall&lt;/h5&gt;&lt;h5&gt;&lt;b&gt;Duration &lt;/b&gt;1 round/level (D)&lt;/h5&gt;&lt;h5&gt;&lt;b&gt;Saving Throw &lt;/b&gt;Reflex negates; see text; &lt;b&gt;Spell Resistance &lt;/b&gt;yes&lt;/h5&gt;&lt;/div&gt;&lt;hr/&gt;&lt;div&gt;&lt;h5&gt;&lt;b&gt;DESCRIPTION&lt;/b&gt;&lt;/h5&gt;&lt;/div&gt;&lt;hr/&gt;&lt;div&gt;&lt;h4&gt;&lt;p&gt;This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released.&lt;/p&gt;&lt;/h4&gt;&lt;/div&gt;</t>
  </si>
  <si>
    <t>Air (8), Weather (8)</t>
  </si>
  <si>
    <t> Cyclone deals damage and can pick up creatures.</t>
  </si>
  <si>
    <t>Stormborn (17)</t>
  </si>
  <si>
    <t>Storms (16)</t>
  </si>
  <si>
    <t>Whispering Wind</t>
  </si>
  <si>
    <t>bard 2, sorcerer/wizard 2, inquisitor 2, psychic 2, mesmerist 2</t>
  </si>
  <si>
    <t>1 mile/level</t>
  </si>
  <si>
    <t>no more than 1 hour/level or until discharged (destination is reached)</t>
  </si>
  <si>
    <t>You send a message or sound on the wind to a designated spot. The whispering wind travels to a specific location within range that is familiar to you, provided that it can find a way to the location. A whispering wind is as gentle and unnoticed as a zephyr until it reaches the location. It then delivers its whisper-quiet message or other sound. Note that the message is delivered regardless of whether anyone is present to hear it. The wind then dissipates.  You can prepare the spell to bear a message of no more than 25 words, cause the spell to deliver other sounds for 1 round, or merely have the whispering wind seem to be a faint stirring of the air. You can likewise cause the whispering wind to move as slowly as 1 mile per hour or as quickly as 1 mile per 10 minutes.  When the spell reaches its objective, it swirls and remains in place until the message is delivered. As with magic mouth, whispering wind cannot speak verbal components, use command words, or activate magical effects.</t>
  </si>
  <si>
    <t>&lt;p&gt;You send a message or sound on the wind to a designated spot. The &lt;i&gt;whispering wind&lt;/i&gt; travels to a specific location within range that is familiar to you, provided that it can find a way to the location. A &lt;i&gt;whispering wind&lt;/i&gt; is as gentle and unnoticed as a zephyr until it reaches the location. It then delivers its whisper-quiet message or other sound. Note that the message is delivered regardless of whether anyone is present to hear it. The wind then dissipates.&lt;/p&gt;&lt;p&gt;You can prepare the spell to bear a message of no more than 25 words, cause the spell to deliver other sounds for 1 round, or merely have the &lt;i&gt;whispering wind&lt;/i&gt; seem to be a faint stirring of the air. You can likewise cause the &lt;i&gt;whispering wind&lt;/i&gt; to move as slowly as 1 mile per hour or as quickly as 1 mile per 10 minutes.&lt;/p&gt;&lt;p&gt;When the spell reaches its objective, it swirls and remains in place until the message is delivered. As with magic mouth, &lt;i&gt;whispering wind&lt;/i&gt; cannot speak verbal components, use command words, or activate magical effects.&lt;/p&gt;</t>
  </si>
  <si>
    <t>&lt;link rel="stylesheet"href="PF.css"&gt;&lt;div class="heading"&gt;&lt;p class="alignleft"&gt;Whispering Wind&lt;/p&gt;&lt;div style="clear: both;"&gt;&lt;/div&gt;&lt;/div&gt;&lt;div&gt;&lt;h5&gt;&lt;b&gt;School &lt;/b&gt;transmutation [air]; &lt;b&gt;Level &lt;/b&gt;bard 2, sorcerer/wizard 2, inquisitor 2, psychic 2, mesmerist 2&lt;/h5&gt;&lt;/div&gt;&lt;hr/&gt;&lt;div&gt;&lt;h5&gt;&lt;b&gt;CASTING&lt;/b&gt;&lt;/h5&gt;&lt;/div&gt;&lt;hr/&gt;&lt;div&gt;&lt;h5&gt;&lt;b&gt;Casting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&lt;/b&gt;10-ft.-radius spread&lt;/h5&gt;&lt;h5&gt;&lt;b&gt;Duration &lt;/b&gt;no more than 1 hour/level or until discharged (destination is reached)&lt;/h5&gt;&lt;h5&gt;&lt;b&gt;Saving Throw &lt;/b&gt;none; &lt;b&gt;Spell Resistance &lt;/b&gt;no&lt;/h5&gt;&lt;/div&gt;&lt;hr/&gt;&lt;div&gt;&lt;h5&gt;&lt;b&gt;DESCRIPTION&lt;/b&gt;&lt;/h5&gt;&lt;/div&gt;&lt;hr/&gt;&lt;div&gt;&lt;h4&gt;&lt;p&gt;You send a message or sound on the wind to a designated spot. The &lt;i&gt;whispering wind&lt;/i&gt; travels to a specific location within range that is familiar to you, provided that it can find a way to the location. A &lt;i&gt;whispering wind&lt;/i&gt; is as gentle and unnoticed as a zephyr until it reaches the location. It then delivers its whisper-quiet message or other sound. Note that the message is delivered regardless of whether anyone is present to hear it. The wind then dissipates.&lt;/p&gt;&lt;p&gt;You can prepare the spell to bear a message of no more than 25 words, cause the spell to deliver other sounds for 1 round, or merely have the &lt;i&gt;whispering wind&lt;/i&gt; seem to be a faint stirring of the air. You can likewise cause the &lt;i&gt;whispering wind&lt;/i&gt; to move as slowly as 1 mile per hour or as quickly as 1 mile per 10 minutes.&lt;/p&gt;&lt;p&gt;When the spell reaches its objective, it swirls and remains in place until the message is delivered. As with magic mouth, &lt;i&gt;whispering wind&lt;/i&gt; cannot speak verbal components, use command words, or activate magical effects.&lt;/p&gt;&lt;/h4&gt;&lt;/div&gt;</t>
  </si>
  <si>
    <t>Wind (1)</t>
  </si>
  <si>
    <t>Sends a short message 1 mile/level.</t>
  </si>
  <si>
    <t>Wind Walk</t>
  </si>
  <si>
    <t>cleric/oracle 6, druid 7, alchemist 6, shaman 7</t>
  </si>
  <si>
    <t>you and one touched creature per three levels</t>
  </si>
  <si>
    <t>1 hour/level ; see text</t>
  </si>
  <si>
    <t>none and Will negates (harmless)</t>
  </si>
  <si>
    <t>no and yes (harmless)</t>
  </si>
  <si>
    <t>You alter the substance of your body to a cloudlike vapor (as the gaseous form spell) and move through the air, possibly at great speed. You can take other creatures with you, each of which acts independently.  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  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  For the last minute of the spell's duration, a wind walker in cloud form automatically descends 60 feet per round (for a total of 600 feet), though it may descend faster if it wishes. This descent serves as a warning that the spell is about to end.</t>
  </si>
  <si>
    <t>&lt;p&gt;You alter the substance of your body to a cloudlike vapor (as the &lt;i&gt;gaseous form&lt;/i&gt; spell) and move through the air, possibly at great speed. You can take other creatures with you, each of which acts independently.&lt;/p&gt;&lt;p&gt;Normally,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like.&lt;/p&gt;&lt;p&gt;A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others.&lt;/p&gt;&lt;p&gt;For the last minute of the spell's duration, a wind walker in cloud form automatically descends 60 feet per round (for a total of 600 feet), though it may descend faster if it wishes. This descent serves as a warning that the spell is about to end.&lt;/p&gt;</t>
  </si>
  <si>
    <t>&lt;link rel="stylesheet"href="PF.css"&gt;&lt;div class="heading"&gt;&lt;p class="alignleft"&gt;Wind Walk&lt;/p&gt;&lt;div style="clear: both;"&gt;&lt;/div&gt;&lt;/div&gt;&lt;div&gt;&lt;h5&gt;&lt;b&gt;School &lt;/b&gt;transmutation [air]; &lt;b&gt;Level &lt;/b&gt;cleric/oracle 6, druid 7, alchemist 6, shaman 7&lt;/h5&gt;&lt;/div&gt;&lt;hr/&gt;&lt;div&gt;&lt;h5&gt;&lt;b&gt;CASTING&lt;/b&gt;&lt;/h5&gt;&lt;/div&gt;&lt;hr/&gt;&lt;div&gt;&lt;h5&gt;&lt;b&gt;Casting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 and one touched creature per three levels&lt;/h5&gt;&lt;h5&gt;&lt;b&gt;Duration &lt;/b&gt;1 hour/level ; see text (D)&lt;/h5&gt;&lt;h5&gt;&lt;b&gt;Saving Throw &lt;/b&gt;none and Will negates (harmless); &lt;b&gt;Spell Resistance &lt;/b&gt;no and yes (harmless)&lt;/h5&gt;&lt;/div&gt;&lt;hr/&gt;&lt;div&gt;&lt;h5&gt;&lt;b&gt;DESCRIPTION&lt;/b&gt;&lt;/h5&gt;&lt;/div&gt;&lt;hr/&gt;&lt;div&gt;&lt;h4&gt;&lt;p&gt;You alter the substance of your body to a cloudlike vapor (as the &lt;i&gt;gaseous form&lt;/i&gt; spell) and move through the air, possibly at great speed. You can take other creatures with you, each of which acts independently.&lt;/p&gt;&lt;p&gt;Normally,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like.&lt;/p&gt;&lt;p&gt;A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others.&lt;/p&gt;&lt;p&gt;For the last minute of the spell's duration, a wind walker in cloud form automatically descends 60 feet per round (for a total of 600 feet), though it may descend faster if it wishes. This descent serves as a warning that the spell is about to end.&lt;/p&gt;&lt;/h4&gt;&lt;/div&gt;</t>
  </si>
  <si>
    <t>Wind (6)</t>
  </si>
  <si>
    <t>You and your allies turn vaporous and travel fast.</t>
  </si>
  <si>
    <t>Storms (12)</t>
  </si>
  <si>
    <t>Wind Wall</t>
  </si>
  <si>
    <t>cleric/oracle 3, druid 3, ranger 2, sorcerer/wizard 3, summoner 2, magus 3, bloodrager 3, shaman 3, occultist 3, spiritualist 3</t>
  </si>
  <si>
    <t>V, S, M/DF (a tiny fan and an exotic feather)</t>
  </si>
  <si>
    <t>wall up to 10 ft./level long and 5 ft./level high (S)</t>
  </si>
  <si>
    <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wind wall.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  While the wall must be vertical, you can shape it in any continuous path along the ground that you like. It is possible to create cylindrical or square wind walls to enclose specific points.</t>
  </si>
  <si>
    <t>&lt;p&gt;An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&lt;i&gt;wind wall.&lt;/i&gt;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creatures).&lt;/p&gt;&lt;p&gt;While the wall must be vertical, you can shape it in any continuous path along the ground that you like. It is possible to create cylindrical or square &lt;i&gt;wind walls&lt;/i&gt; to enclose specific points.&lt;/p&gt;</t>
  </si>
  <si>
    <t>&lt;link rel="stylesheet"href="PF.css"&gt;&lt;div class="heading"&gt;&lt;p class="alignleft"&gt;Wind Wall&lt;/p&gt;&lt;div style="clear: both;"&gt;&lt;/div&gt;&lt;/div&gt;&lt;div&gt;&lt;h5&gt;&lt;b&gt;School &lt;/b&gt;evocation [air]; &lt;b&gt;Level &lt;/b&gt;cleric/oracle 3, druid 3, ranger 2, sorcerer/wizard 3, summoner 2, magus 3, bloodrager 3, shaman 3, occultist 3, spiritualist 3&lt;/h5&gt;&lt;/div&gt;&lt;hr/&gt;&lt;div&gt;&lt;h5&gt;&lt;b&gt;CASTING&lt;/b&gt;&lt;/h5&gt;&lt;/div&gt;&lt;hr/&gt;&lt;div&gt;&lt;h5&gt;&lt;b&gt;Casting Time &lt;/b&gt;1 standard action&lt;/h5&gt;&lt;h5&gt;&lt;b&gt;Components &lt;/b&gt;V, S, M/DF (a tiny fan and an exotic feather)&lt;/h5&gt;&lt;/div&gt;&lt;hr/&gt;&lt;div&gt;&lt;h5&gt;&lt;b&gt;EFFECT&lt;/b&gt;&lt;/h5&gt;&lt;/div&gt;&lt;hr/&gt;&lt;div&gt;&lt;h5&gt;&lt;b&gt;Range &lt;/b&gt;medium (100 ft. + 10 ft./level)&lt;/h5&gt;&lt;h5&gt;&lt;b&gt;Effect &lt;/b&gt;wall up to 10 ft./level long and 5 ft./level high (S)&lt;/h5&gt;&lt;h5&gt;&lt;b&gt;Duration &lt;/b&gt;1 round/level&lt;/h5&gt;&lt;h5&gt;&lt;b&gt;Saving Throw &lt;/b&gt;none; see text; &lt;b&gt;Spell Resistance &lt;/b&gt;yes&lt;/h5&gt;&lt;/div&gt;&lt;hr/&gt;&lt;div&gt;&lt;h5&gt;&lt;b&gt;DESCRIPTION&lt;/b&gt;&lt;/h5&gt;&lt;/div&gt;&lt;hr/&gt;&lt;div&gt;&lt;h4&gt;&lt;p&gt;An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&lt;i&gt;wind wall.&lt;/i&gt;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creatures).&lt;/p&gt;&lt;p&gt;While the wall must be vertical, you can shape it in any continuous path along the ground that you like. It is possible to create cylindrical or square &lt;i&gt;wind walls&lt;/i&gt; to enclose specific points.&lt;/p&gt;&lt;/h4&gt;&lt;/div&gt;</t>
  </si>
  <si>
    <t>Air (2)</t>
  </si>
  <si>
    <t>Deflects arrows, smaller creatures, and gases.</t>
  </si>
  <si>
    <t>Peace (6)</t>
  </si>
  <si>
    <t>Wish</t>
  </si>
  <si>
    <t>V, S, M (diamond worth 25,000 gp)</t>
  </si>
  <si>
    <t>Wish is the mightiest spell a wizard or sorcerer can cast. By simply speaking aloud, you can alter reality to better suit you. Even wish, however, has its limits. A wish can produce any one of the following effects. • Duplicate any sorcerer/wizard spell of 8th level or lower, provided the spell does not belong to one of your opposition schools. • Duplicate any non-sorcerer/wizard spell of 7th level or lower, provided the spell does not belong to one of your opposition schools. • Duplicate any sorcerer/wizard spell of 7th level or lower, even if it belongs to one of your opposition schools. • Duplicate any non-sorcerer/wizard spell of 6th level or lower, even if it belongs to one of your opposition schools. • Undo the harmful effects of many other spells, such as geas/ quest or insanity. • Grant a creature a +1 inherent bonus to an ability score. Two to five wish spells cast in immediate succession can grant a creature a +2 to +5 inherent bonus to an ability score (two wishes for a +2 inherent bonus, three wishes for a +3 inherent bonus, and so on). Inherent bonuses are instantaneous, so they cannot be dispelled. Note: An inherent bonus may not exceed +5 for a single ability score, and inherent bonuses to a particular ability score do not stack, so only the best one applies. • Remove injuries and afflictions. A single wish can aid one creature per caster level, and all subjects are cured of the same kind of affliction. For example, you could heal all the damage you and your companions have taken, or remove all poison effects from everyone in the party, but not do both with the same wish. • Revive the dead. A wish can bring a dead creature back to life by duplicating a resurrection spell. A wish can revive a dead creature whose body has been destroyed, but the task takes two wishes: one to recreate the body and another to infuse the body with life again. A wish cannot prevent a character who was brought back to life from gaining a permanent negative level. • Transport travelers. A wish can lift one creature per caster level from anywhere on any plane and place those creatures anywhere else on any plane regardless of local conditions. An unwilling target gets a Will save to negate the effect, and spell resistance (if any) applies. • Undo misfortune. A wish can undo a single recent event. The wish forces a reroll of any roll made within the last round (including your last turn). Reality reshapes itself to accommodate the new result. For example, a wish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 You may try to use a wish to produce greater effects than these, but doing so is dangerous. (The wish may pervert your intent into a literal but undesirable fulfillment or only a partial fulfillment, at the GM's discretion.) Duplicated spells allow saves and spell resistance as normal (but save DCs are for 9th-level spells). When a wish duplicates a spell with a material component that costs more than 10,000 gp, you must provide that component (in addition to the 25,000 gp diamond component for this spell).</t>
  </si>
  <si>
    <t>&lt;p&gt;&lt;i&gt;Wish is&lt;/i&gt; the mightiest spell a wizard or sorcerer can cast. By simply speaking aloud, you can alter reality to better suit you. Even &lt;i&gt;&lt;i&gt;wish&lt;/i&gt;,&lt;/i&gt; however, has its limits. A &lt;i&gt;wish&lt;/i&gt; can produce any one of the following effects.&lt;/p&gt;&lt;p&gt;&lt;ul&gt;&lt;li&gt; Duplicate any sorcerer/wizard spell of 8th level or lower, provided the spell does not belong to one of your opposition schools.&lt;/p&gt;&lt;p&gt;&lt;li&gt; Duplicate any non-sorcerer/wizard spell of 7th level or lower, provided the spell does not belong to one of your opposition schools.&lt;/p&gt;&lt;p&gt;&lt;li&gt; Duplicate any sorcerer/wizard spell of 7th level or lower, even if it belongs to one of your opposition schools.&lt;/p&gt;&lt;p&gt;&lt;li&gt; Duplicate any non-sorcerer/wizard spell of 6th level or lower, even if it belongs to one of your opposition schools.&lt;/p&gt;&lt;p&gt;&lt;li&gt; Undo the harmful effects of many other spells, such as &lt;i&gt;geas/ quest&lt;/i&gt; or &lt;i&gt;insanity.&lt;/i&gt;&lt;/p&gt;&lt;p&gt;&lt;li&gt; Grant a creature a +1 inherent bonus to an ability score. Two to five &lt;i&gt;wish&lt;/i&gt; spells cast in immediate succession can grant a creature a +2 to +5 inherent bonus to an ability score (two &lt;i&gt;wish&lt;/i&gt;es for a +2 inherent bonus, three &lt;i&gt;wish&lt;/i&gt;es for a +3 inherent bonus, and so on).&lt;/p&gt;&lt;p&gt;Inherent bonuses are instantaneous, so they cannot be dispelled.&lt;/p&gt;&lt;p&gt;&lt;i&gt;Note:&lt;/i&gt; An inherent bonus may not exceed +5 for a single ability score, and inherent bonuses to a particular ability score do not stack, so only the best one applies.&lt;/p&gt;&lt;p&gt;&lt;li&gt; Remove injuries and afflictions. A single &lt;i&gt;wish&lt;/i&gt; can aid one creature per caster level, and all subjects are cured of the same kind of affliction. For example, you could heal all the damage you and your companions have taken, or remove all poison effects from everyone in the party, but not do both with the same &lt;i&gt;wish&lt;/i&gt;.&lt;/p&gt;&lt;p&gt;&lt;li&gt; Revive the dead. A &lt;i&gt;wish&lt;/i&gt; can bring a dead creature back to life by duplicating a &lt;i&gt;resurrection&lt;/i&gt; spell. A &lt;i&gt;wish&lt;/i&gt; can revive a dead creature whose body has been destroyed, but the task takes two &lt;i&gt;wish&lt;/i&gt;es: one to recreate the body and another to infuse the body with life again. A &lt;i&gt;wish&lt;/i&gt; cannot prevent a character who was brought back to life from gaining a permanent negative level.&lt;/p&gt;&lt;p&gt;&lt;li&gt; Transport travelers. A &lt;i&gt;wish&lt;/i&gt; can lift one creature per caster level from anywhere on any plane and place those creatures anywhere else on any plane regardless of local conditions. An unwilling target gets a Will save to negate the effect, and spell resistance (if any) applies.&lt;/p&gt;&lt;p&gt;&lt;li&gt; Undo misfortune. A &lt;i&gt;wish&lt;/i&gt; can undo a single recent event.&lt;/p&gt;&lt;p&gt;The &lt;i&gt;wish&lt;/i&gt; forces a reroll of any roll made within the last round (including your last turn). Reality reshapes itself to accommodate the new result. For example, a &lt;i&gt;wish&lt;/i&gt;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applies.&lt;/ul&gt;&lt;/p&gt;&lt;p&gt;You may try to use a &lt;i&gt;wish&lt;/i&gt; to produce greater effects than these, but doing so is dangerous. (The &lt;i&gt;wish&lt;/i&gt; may pervert your intent into a literal but undesirable fulfillment or only a partial fulfillment, at the GM's discretion.) Duplicated spells allow saves and spell resistance as normal (but save DCs are for 9th-level spells).&lt;/p&gt;&lt;p&gt;When a &lt;i&gt;wish&lt;/i&gt; duplicates a spell with a material component that costs more than 10,000 gp, you must provide that component (in addition to the 25,000 gp diamond component for this spell).&lt;/p&gt;</t>
  </si>
  <si>
    <t>&lt;link rel="stylesheet"href="PF.css"&gt;&lt;div class="heading"&gt;&lt;p class="alignleft"&gt;Wish&lt;/p&gt;&lt;div style="clear: both;"&gt;&lt;/div&gt;&lt;/div&gt;&lt;div&gt;&lt;h5&gt;&lt;b&gt;School &lt;/b&gt;universal; &lt;b&gt;Level &lt;/b&gt;sorcerer/wizard 9, psychic 9&lt;/h5&gt;&lt;/div&gt;&lt;hr/&gt;&lt;div&gt;&lt;h5&gt;&lt;b&gt;CASTING&lt;/b&gt;&lt;/h5&gt;&lt;/div&gt;&lt;hr/&gt;&lt;div&gt;&lt;h5&gt;&lt;b&gt;Casting Time &lt;/b&gt;1 standard action&lt;/h5&gt;&lt;h5&gt;&lt;b&gt;Components &lt;/b&gt;V, S, M (diamond worth 25,000 gp)&lt;/h5&gt;&lt;/div&gt;&lt;hr/&gt;&lt;div&gt;&lt;h5&gt;&lt;b&gt;EFFECT&lt;/b&gt;&lt;/h5&gt;&lt;/div&gt;&lt;hr/&gt;&lt;div&gt;&lt;h5&gt;&lt;b&gt;Range &lt;/b&gt;see text&lt;/h5&gt;&lt;h5&gt;&lt;b&gt;Area &lt;/b&gt;see text&lt;/h5&gt;&lt;h5&gt;&lt;b&gt;Targets &lt;/b&gt;see text&lt;/h5&gt;&lt;h5&gt;&lt;b&gt;Effect &lt;/b&gt;see text&lt;/h5&gt;&lt;h5&gt;&lt;b&gt;Duration &lt;/b&gt;see text&lt;/h5&gt;&lt;h5&gt;&lt;b&gt;Saving Throw &lt;/b&gt;none; see text; &lt;b&gt;Spell Resistance &lt;/b&gt;yes&lt;/h5&gt;&lt;/div&gt;&lt;hr/&gt;&lt;div&gt;&lt;h5&gt;&lt;b&gt;DESCRIPTION&lt;/b&gt;&lt;/h5&gt;&lt;/div&gt;&lt;hr/&gt;&lt;div&gt;&lt;h4&gt;&lt;p&gt;&lt;i&gt;Wish is&lt;/i&gt; the mightiest spell a wizard or sorcerer can cast. By simply speaking aloud, you can alter reality to better suit you. Even &lt;i&gt;&lt;i&gt;wish&lt;/i&gt;,&lt;/i&gt; however, has its limits. A &lt;i&gt;wish&lt;/i&gt; can produce any one of the following effects.&lt;/p&gt;&lt;p&gt;&lt;ul&gt;&lt;li&gt; Duplicate any sorcerer/wizard spell of 8th level or lower, provided the spell does not belong to one of your opposition schools.&lt;/p&gt;&lt;p&gt;&lt;li&gt; Duplicate any non-sorcerer/wizard spell of 7th level or lower, provided the spell does not belong to one of your opposition schools.&lt;/p&gt;&lt;p&gt;&lt;li&gt; Duplicate any sorcerer/wizard spell of 7th level or lower, even if it belongs to one of your opposition schools.&lt;/p&gt;&lt;p&gt;&lt;li&gt; Duplicate any non-sorcerer/wizard spell of 6th level or lower, even if it belongs to one of your opposition schools.&lt;/p&gt;&lt;p&gt;&lt;li&gt; Undo the harmful effects of many other spells, such as &lt;i&gt;geas/ quest&lt;/i&gt; or &lt;i&gt;insanity.&lt;/i&gt;&lt;/p&gt;&lt;p&gt;&lt;li&gt; Grant a creature a +1 inherent bonus to an ability score. Two to five &lt;i&gt;wish&lt;/i&gt; spells cast in immediate succession can grant a creature a +2 to +5 inherent bonus to an ability score (two &lt;i&gt;wish&lt;/i&gt;es for a +2 inherent bonus, three &lt;i&gt;wish&lt;/i&gt;es for a +3 inherent bonus, and so on).&lt;/p&gt;&lt;p&gt;Inherent bonuses are instantaneous, so they cannot be dispelled.&lt;/p&gt;&lt;p&gt;&lt;i&gt;Note:&lt;/i&gt; An inherent bonus may not exceed +5 for a single ability score, and inherent bonuses to a particular ability score do not stack, so only the best one applies.&lt;/p&gt;&lt;p&gt;&lt;li&gt; Remove injuries and afflictions. A single &lt;i&gt;wish&lt;/i&gt; can aid one creature per caster level, and all subjects are cured of the same kind of affliction. For example, you could heal all the damage you and your companions have taken, or remove all poison effects from everyone in the party, but not do both with the same &lt;i&gt;wish&lt;/i&gt;.&lt;/p&gt;&lt;p&gt;&lt;li&gt; Revive the dead. A &lt;i&gt;wish&lt;/i&gt; can bring a dead creature back to life by duplicating a &lt;i&gt;resurrection&lt;/i&gt; spell. A &lt;i&gt;wish&lt;/i&gt; can revive a dead creature whose body has been destroyed, but the task takes two &lt;i&gt;wish&lt;/i&gt;es: one to recreate the body and another to infuse the body with life again. A &lt;i&gt;wish&lt;/i&gt; cannot prevent a character who was brought back to life from gaining a permanent negative level.&lt;/p&gt;&lt;p&gt;&lt;li&gt; Transport travelers. A &lt;i&gt;wish&lt;/i&gt; can lift one creature per caster level from anywhere on any plane and place those creatures anywhere else on any plane regardless of local conditions. An unwilling target gets a Will save to negate the effect, and spell resistance (if any) applies.&lt;/p&gt;&lt;p&gt;&lt;li&gt; Undo misfortune. A &lt;i&gt;wish&lt;/i&gt; can undo a single recent event.&lt;/p&gt;&lt;p&gt;The &lt;i&gt;wish&lt;/i&gt; forces a reroll of any roll made within the last round (including your last turn). Reality reshapes itself to accommodate the new result. For example, a &lt;i&gt;wish&lt;/i&gt;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applies.&lt;/ul&gt;&lt;/p&gt;&lt;p&gt;You may try to use a &lt;i&gt;wish&lt;/i&gt; to produce greater effects than these, but doing so is dangerous. (The &lt;i&gt;wish&lt;/i&gt; may pervert your intent into a literal but undesirable fulfillment or only a partial fulfillment, at the GM's discretion.) Duplicated spells allow saves and spell resistance as normal (but save DCs are for 9th-level spells).&lt;/p&gt;&lt;p&gt;When a &lt;i&gt;wish&lt;/i&gt; duplicates a spell with a material component that costs more than 10,000 gp, you must provide that component (in addition to the 25,000 gp diamond component for this spell).&lt;/p&gt;&lt;/h4&gt;&lt;/div&gt;</t>
  </si>
  <si>
    <t> As limited wish, but with fewer limits.</t>
  </si>
  <si>
    <t>Arcane (19), Djinni (19), Draconic (19), Efreeti (19), Marid (19), Shaitan (19), Div (19), Impossible (19)</t>
  </si>
  <si>
    <t>Wood Shape</t>
  </si>
  <si>
    <t>one touched piece of wood no larger than 10 cu. ft. + 1 cu. ft./level</t>
  </si>
  <si>
    <t>Wood shape enables you to form one existing piece of wood into any shape that suits your purpose. While it is possible to make crude coffers, doors, and so forth, fine detail isn't possible. There is a 30% chance that any shape that includes moving parts simply doesn't work.</t>
  </si>
  <si>
    <t>&lt;p&gt;Wood &lt;i&gt;shape&lt;/i&gt; enables you to form one existing piece of wood into any &lt;i&gt;shape&lt;/i&gt; that suits your purpose. While it is possible to make crude coffers, doors, and so forth, fine detail isn't possible. There is a 30% chance that any &lt;i&gt;shape&lt;/i&gt; that includes moving parts simply doesn't work.&lt;/p&gt;</t>
  </si>
  <si>
    <t>&lt;link rel="stylesheet"href="PF.css"&gt;&lt;div class="heading"&gt;&lt;p class="alignleft"&gt;Wood Shape&lt;/p&gt;&lt;div style="clear: both;"&gt;&lt;/div&gt;&lt;/div&gt;&lt;div&gt;&lt;h5&gt;&lt;b&gt;School &lt;/b&gt;transmutation; &lt;b&gt;Level &lt;/b&gt;druid 2, shaman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piece of wood no larger than 10 cu. ft. + 1 cu. ft./level&lt;/h5&gt;&lt;h5&gt;&lt;b&gt;Duration &lt;/b&gt;instantaneous&lt;/h5&gt;&lt;h5&gt;&lt;b&gt;Saving Throw &lt;/b&gt;Will negates (object); &lt;b&gt;Spell Resistance &lt;/b&gt;yes (object)&lt;/h5&gt;&lt;/div&gt;&lt;hr/&gt;&lt;div&gt;&lt;h5&gt;&lt;b&gt;DESCRIPTION&lt;/b&gt;&lt;/h5&gt;&lt;/div&gt;&lt;hr/&gt;&lt;div&gt;&lt;h4&gt;&lt;p&gt;Wood &lt;i&gt;shape&lt;/i&gt; enables you to form one existing piece of wood into any &lt;i&gt;shape&lt;/i&gt; that suits your purpose. While it is possible to make crude coffers, doors, and so forth, fine detail isn't possible. There is a 30% chance that any &lt;i&gt;shape&lt;/i&gt; that includes moving parts simply doesn't work.&lt;/p&gt;&lt;/h4&gt;&lt;/div&gt;</t>
  </si>
  <si>
    <t>Artifice (2)</t>
  </si>
  <si>
    <t> Reshapes wooden objects to suit you.</t>
  </si>
  <si>
    <t>Word of Recall</t>
  </si>
  <si>
    <t>cleric/oracle 6, druid 8, psychic 7</t>
  </si>
  <si>
    <t>you and touched objects or other willing creatures</t>
  </si>
  <si>
    <t>none or Will negates (harmless, object)</t>
  </si>
  <si>
    <t>no or yes (harmless, object)</t>
  </si>
  <si>
    <t>Word of recall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  An unwilling creature can't be teleported by word of recall.  Likewise, a creature's Will save (or spell resistance) prevents items in its possession from being teleported. Unattended, nonmagical objects receive no saving throw.</t>
  </si>
  <si>
    <t>&lt;p&gt;&lt;i&gt;Word of recall&lt;/i&gt;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fail.&lt;/p&gt;&lt;p&gt;An unwilling creature can't be teleported by &lt;i&gt;word of recall.&lt;/i&gt;&lt;/p&gt;&lt;p&gt;Likewise, a creature's Will save (or spell resistance) prevents items in its possession from being teleported. Unattended, nonmagical objects receive no saving throw.&lt;/p&gt;</t>
  </si>
  <si>
    <t>&lt;link rel="stylesheet"href="PF.css"&gt;&lt;div class="heading"&gt;&lt;p class="alignleft"&gt;Word of Recall&lt;/p&gt;&lt;div style="clear: both;"&gt;&lt;/div&gt;&lt;/div&gt;&lt;div&gt;&lt;h5&gt;&lt;b&gt;School &lt;/b&gt;conjuration (teleportation); &lt;b&gt;Level &lt;/b&gt;cleric/oracle 6, druid 8, psychic 7&lt;/h5&gt;&lt;/div&gt;&lt;hr/&gt;&lt;div&gt;&lt;h5&gt;&lt;b&gt;CASTING&lt;/b&gt;&lt;/h5&gt;&lt;/div&gt;&lt;hr/&gt;&lt;div&gt;&lt;h5&gt;&lt;b&gt;Casting Time &lt;/b&gt;1 standard action&lt;/h5&gt;&lt;h5&gt;&lt;b&gt;Components &lt;/b&gt;V&lt;/h5&gt;&lt;/div&gt;&lt;hr/&gt;&lt;div&gt;&lt;h5&gt;&lt;b&gt;EFFECT&lt;/b&gt;&lt;/h5&gt;&lt;/div&gt;&lt;hr/&gt;&lt;div&gt;&lt;h5&gt;&lt;b&gt;Range &lt;/b&gt;unlimited&lt;/h5&gt;&lt;h5&gt;&lt;b&gt;Targets &lt;/b&gt;you and touched objects or other willing creatures&lt;/h5&gt;&lt;h5&gt;&lt;b&gt;Duration &lt;/b&gt;instantaneous&lt;/h5&gt;&lt;h5&gt;&lt;b&gt;Saving Throw &lt;/b&gt;none or Will negates (harmless, object); &lt;b&gt;Spell Resistance &lt;/b&gt;no or yes (harmless, object)&lt;/h5&gt;&lt;/div&gt;&lt;hr/&gt;&lt;div&gt;&lt;h5&gt;&lt;b&gt;DESCRIPTION&lt;/b&gt;&lt;/h5&gt;&lt;/div&gt;&lt;hr/&gt;&lt;div&gt;&lt;h4&gt;&lt;p&gt;&lt;i&gt;Word of recall&lt;/i&gt;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fail.&lt;/p&gt;&lt;p&gt;An unwilling creature can't be teleported by &lt;i&gt;word of recall.&lt;/i&gt;&lt;/p&gt;&lt;p&gt;Likewise, a creature's Will save (or spell resistance) prevents items in its possession from being teleported. Unattended, nonmagical objects receive no saving throw.&lt;/p&gt;&lt;/h4&gt;&lt;/div&gt;</t>
  </si>
  <si>
    <t>Teleports you back to designated place.</t>
  </si>
  <si>
    <t>Peace (12)</t>
  </si>
  <si>
    <t>Word Of Chaos</t>
  </si>
  <si>
    <t>chaotic, sonic</t>
  </si>
  <si>
    <t>nonchaotic creatures in a 40-ft.-radius spread centered on you</t>
  </si>
  <si>
    <t>Any nonchaotic creature within the area of a word of chaos spell suffers the following ill effects, depending on their HD. HD Effect Equal to caster level Deafened Up to caster level -1 Stunned, deafened Up to caster level -5 Confused, stunned, deafened Up to caster level -10 Killed, confused, stunned, deafened The effects are cumulative and concurrent. A successful Will save reduces or eliminates these effects. Creatures affected by multiple effects make only one save and apply the result to all the effects. Deafened: The creature is deafened for 1d4 rounds. Save negates. Stunned: The creature is stunned for 1 round. Save negates. Confused: The creature is confused for 1d10 minutes. This is a mind-affecting enchantment effect. Save reduces the confused effect to 1 round. Killed: Living creatures die. Undead creatures are destroyed. Save negates. If the save is successful, the creature instead takes 3d6 points of damage + 1 point per caster level (maximum +25). 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word of chaos or not. The banishment effect allows a Will save (at a -4 penalty) to negate. Creatures whose HD exceed your caster level are unaffected by word of chaos.</t>
  </si>
  <si>
    <t>&lt;p&gt;Any nonchaotic creature within the area of a &lt;i&gt;word of chaos&lt;/i&gt; spell suffers the following ill effects, depending on their &lt;table&gt;&lt;tr&gt;&lt;th&gt;HD&lt;/th&gt;&lt;th&gt;Effect&lt;/th&gt;&lt;/tr&gt;&lt;tr&gt;&lt;td&gt;Equal to caster level&lt;/td&gt;&lt;td&gt;Deafened&lt;/td&gt;&lt;/tr&gt;&lt;tr&gt;&lt;td&gt;Up to caster level -1&lt;/td&gt;&lt;td&gt;Stunned, deafened&lt;/td&gt;&lt;/tr&gt;&lt;tr&gt;&lt;td&gt;Up to caster level -5&lt;/td&gt;&lt;td&gt;Confused, stunned, deafened&lt;/td&gt;&lt;/tr&gt;&lt;tr&gt;&lt;td&gt;Up to caster level -10&lt;/td&gt;&lt;td&gt;Killed, confused, stunned, deafened&lt;/td&gt;&lt;/tr&gt;&lt;/table&gt;&lt;/td&gt;&lt;/tr&gt;&lt;/table&gt;   The effects are cumulative and concurrent. A successful Will save reduces or eliminates these effects. Creatures affected by multiple effects make only one save and apply the result to all the effects.&lt;/p&gt;&lt;p&gt;&lt;i&gt;&lt;b&gt;Deafened&lt;/b&gt;&lt;/i&gt;: The creature is deafened for 1d4 rounds. Save negates.&lt;/p&gt;&lt;p&gt;&lt;i&gt;Stunned&lt;/i&gt;: The creature is stunned for 1 round. Save negates.&lt;/p&gt;&lt;p&gt;&lt;i&gt;Confused&lt;/i&gt;: The creature is confused for 1d10 minutes. This is a mind-affecting enchantment effect. Save reduces the confused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&lt;i&gt;word of chaos&lt;/i&gt; or not. The banishment effect allows a Will save (at a -4 penalty) to negate.&lt;/p&gt;&lt;p&gt;Creatures whose HD exceed your caster level are unaffected by &lt;i&gt;word of chaos&lt;/i&gt;.&lt;/p&gt;</t>
  </si>
  <si>
    <t>&lt;link rel="stylesheet"href="PF.css"&gt;&lt;div class="heading"&gt;&lt;p class="alignleft"&gt;Word Of Chaos&lt;/p&gt;&lt;div style="clear: both;"&gt;&lt;/div&gt;&lt;/div&gt;&lt;div&gt;&lt;h5&gt;&lt;b&gt;School &lt;/b&gt;evocation [chaotic,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&lt;/b&gt;nonchaotic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nonchaotic creature within the area of a &lt;i&gt;word of chaos&lt;/i&gt; spell suffers the following ill effects, depending on their &lt;table&gt;&lt;tr&gt;&lt;th&gt;HD&lt;/th&gt;&lt;th&gt;Effect&lt;/th&gt;&lt;/tr&gt;&lt;tr&gt;&lt;td&gt;Equal to caster level&lt;/td&gt;&lt;td&gt;Deafened&lt;/td&gt;&lt;/tr&gt;&lt;tr&gt;&lt;td&gt;Up to caster level -1&lt;/td&gt;&lt;td&gt;Stunned, deafened&lt;/td&gt;&lt;/tr&gt;&lt;tr&gt;&lt;td&gt;Up to caster level -5&lt;/td&gt;&lt;td&gt;Confused, stunned, deafened&lt;/td&gt;&lt;/tr&gt;&lt;tr&gt;&lt;td&gt;Up to caster level -10&lt;/td&gt;&lt;td&gt;Killed, confused, stunned, deafened&lt;/td&gt;&lt;/tr&gt;&lt;/table&gt;&lt;/td&gt;&lt;/tr&gt;&lt;/table&gt;   The effects are cumulative and concurrent. A successful Will save reduces or eliminates these effects. Creatures affected by multiple effects make only one save and apply the result to all the effects.&lt;/p&gt;&lt;p&gt;&lt;i&gt;&lt;b&gt;Deafened&lt;/b&gt;&lt;/i&gt;: The creature is deafened for 1d4 rounds. Save negates.&lt;/p&gt;&lt;p&gt;&lt;i&gt;Stunned&lt;/i&gt;: The creature is stunned for 1 round. Save negates.&lt;/p&gt;&lt;p&gt;&lt;i&gt;Confused&lt;/i&gt;: The creature is confused for 1d10 minutes. This is a mind-affecting enchantment effect. Save reduces the confused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&lt;i&gt;word of chaos&lt;/i&gt; or not. The banishment effect allows a Will save (at a -4 penalty) to negate.&lt;/p&gt;&lt;p&gt;Creatures whose HD exceed your caster level are unaffected by &lt;i&gt;word of chaos&lt;/i&gt;.&lt;/p&gt;&lt;/h4&gt;&lt;h5&gt;&lt;b&gt;Mythic: &lt;/b&gt;When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last.&lt;/h5&gt;&lt;/div&gt;</t>
  </si>
  <si>
    <t>Chaos (7)</t>
  </si>
  <si>
    <t> Kills, confuses, stuns, or deafens nonchaotic subjects.</t>
  </si>
  <si>
    <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t>
  </si>
  <si>
    <t>Zone of Silence</t>
  </si>
  <si>
    <t>bard 4, mesmerist 4</t>
  </si>
  <si>
    <t>5-ft.-radius emanation centered on you</t>
  </si>
  <si>
    <t>By casting zone of silence,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  Anyone who enters the zone immediately becomes subject to its effects, but those who leave are no longer affected. Note, however, that a successful DC 20 Linguistics check to read lips can still reveal what's said inside a zone of silence.</t>
  </si>
  <si>
    <t>&lt;p&gt;By casting &lt;i&gt;zone of silence&lt;/i&gt;,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you.&lt;/p&gt;&lt;p&gt;Anyone who enters the zone immediately becomes subject to its effects, but those who leave are no longer affected. Note, however, that a successful DC 20 Linguistics check to read lips can still reveal what's said inside a &lt;i&gt;zone of silence&lt;/i&gt;.&lt;/p&gt;</t>
  </si>
  <si>
    <t>&lt;link rel="stylesheet"href="PF.css"&gt;&lt;div class="heading"&gt;&lt;p class="alignleft"&gt;Zone of Silence&lt;/p&gt;&lt;div style="clear: both;"&gt;&lt;/div&gt;&lt;/div&gt;&lt;div&gt;&lt;h5&gt;&lt;b&gt;School &lt;/b&gt;illusion (glamer); &lt;b&gt;Level &lt;/b&gt;bard 4, mesmerist 4&lt;/h5&gt;&lt;/div&gt;&lt;hr/&gt;&lt;div&gt;&lt;h5&gt;&lt;b&gt;CASTING&lt;/b&gt;&lt;/h5&gt;&lt;/div&gt;&lt;hr/&gt;&lt;div&gt;&lt;h5&gt;&lt;b&gt;Casting Time &lt;/b&gt;1 round&lt;/h5&gt;&lt;h5&gt;&lt;b&gt;Components &lt;/b&gt;V, S&lt;/h5&gt;&lt;/div&gt;&lt;hr/&gt;&lt;div&gt;&lt;h5&gt;&lt;b&gt;EFFECT&lt;/b&gt;&lt;/h5&gt;&lt;/div&gt;&lt;hr/&gt;&lt;div&gt;&lt;h5&gt;&lt;b&gt;Range &lt;/b&gt;personal&lt;/h5&gt;&lt;h5&gt;&lt;b&gt;Area &lt;/b&gt;5-ft.-radius emanation centered on you&lt;/h5&gt;&lt;h5&gt;&lt;b&gt;Duration &lt;/b&gt;1 hour/level (D)&lt;/h5&gt;&lt;/div&gt;&lt;hr/&gt;&lt;div&gt;&lt;h5&gt;&lt;b&gt;DESCRIPTION&lt;/b&gt;&lt;/h5&gt;&lt;/div&gt;&lt;hr/&gt;&lt;div&gt;&lt;h4&gt;&lt;p&gt;By casting &lt;i&gt;zone of silence&lt;/i&gt;,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you.&lt;/p&gt;&lt;p&gt;Anyone who enters the zone immediately becomes subject to its effects, but those who leave are no longer affected. Note, however, that a successful DC 20 Linguistics check to read lips can still reveal what's said inside a &lt;i&gt;zone of silence&lt;/i&gt;.&lt;/p&gt;&lt;/h4&gt;&lt;/div&gt;</t>
  </si>
  <si>
    <t>Espionage (4)</t>
  </si>
  <si>
    <t> Keeps eavesdroppers from overhearing you.</t>
  </si>
  <si>
    <t>Zone of Truth</t>
  </si>
  <si>
    <t>cleric/oracle 2, paladin 2, witch 2, inquisitor 2, psychic 2</t>
  </si>
  <si>
    <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t>
  </si>
  <si>
    <t>&lt;p&gt;Creatures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choose.&lt;/p&gt;</t>
  </si>
  <si>
    <t>&lt;link rel="stylesheet"href="PF.css"&gt;&lt;div class="heading"&gt;&lt;p class="alignleft"&gt;Zone of Truth&lt;/p&gt;&lt;div style="clear: both;"&gt;&lt;/div&gt;&lt;/div&gt;&lt;div&gt;&lt;h5&gt;&lt;b&gt;School &lt;/b&gt;enchantment (compulsion) [mind-affecting]; &lt;b&gt;Level &lt;/b&gt;cleric/oracle 2, paladin 2, witch 2, inquisitor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&lt;/b&gt;20-ft.-radius emanation&lt;/h5&gt;&lt;h5&gt;&lt;b&gt;Duration &lt;/b&gt;1 min./level&lt;/h5&gt;&lt;h5&gt;&lt;b&gt;Saving Throw &lt;/b&gt;Will negates; &lt;b&gt;Spell Resistance &lt;/b&gt;yes&lt;/h5&gt;&lt;/div&gt;&lt;hr/&gt;&lt;div&gt;&lt;h5&gt;&lt;b&gt;DESCRIPTION&lt;/b&gt;&lt;/h5&gt;&lt;/div&gt;&lt;hr/&gt;&lt;div&gt;&lt;h4&gt;&lt;p&gt;Creatures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choose.&lt;/p&gt;&lt;/h4&gt;&lt;/div&gt;</t>
  </si>
  <si>
    <t>Honor (2)</t>
  </si>
  <si>
    <t>Subjects within range cannot lie.</t>
  </si>
  <si>
    <t>Wall Of Stone</t>
  </si>
  <si>
    <t>cleric/oracle 5, druid 6, sorcerer/wizard 5, summoner 4, magus 5, shaman 6, occultist 5</t>
  </si>
  <si>
    <t>V, S, M/DF (a small block of granite)</t>
  </si>
  <si>
    <t>stone wall whose area is up to one 5-ft. square/level (S)</t>
  </si>
  <si>
    <t>This spell creates a wall of rock that merges into adjoining rock surfaces. A wall of stone is 1 inch thick per four caster levels and composed of up to one 5-foot square per level. You can double the wall's area by halving its thickness. The wall cannot be conjured so that it occupies the same space as a creature or another object.  Unlike a wall of iron, you can create a wall of stone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  Like any other stone wall, this one can be destroyed by a disintegrate spell or by normal means such as breaking and chipping.  Each 5-foot square of the wall has hardness 8 and 15 hit points per inch of thickness. A section of wall whose hit points drop to 0 is breached. If a creature tries to break through the wall with a single attack, the DC for the Strength check is 20 + 2 per inch of thickness.  It is possible, but difficult, to trap mobile opponents within or under a wall of stone, provided the wall is shaped so it can hold the creatures. Creatures can avoid entrapment with successful Reflex saves.</t>
  </si>
  <si>
    <t>&lt;p&gt;This spell creates a wall of rock that merges into adjoining rock surfaces. A &lt;i&gt;wall of stone&lt;/i&gt; is 1 inch thick per four caster levels and composed of up to one 5-foot square per level. You can double the wall's area by halving its thickness. The wall cannot be conjured so that it occupies the same space as a creature or another object.&lt;/p&gt;&lt;p&gt;Unlike a &lt;i&gt;wall of iron&lt;/i&gt;, you can create a &lt;i&gt;wall of stone&lt;/i&gt;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area.&lt;/p&gt;&lt;p&gt;Like any other stone wall, this one can be destroyed by a &lt;i&gt;disintegrate&lt;/i&gt; spell or by normal means such as breaking and chipping.&lt;/p&gt;&lt;p&gt;Each 5-foot square of the wall has hardness 8 and 15 hit points per inch of thickness. A section of wall whose hit points drop to 0 is breached. If a creature tries to break through the wall with a single attack, the DC for the Strength check is 20 + 2 per inch of thickness.&lt;/p&gt;&lt;p&gt;It is possible, but difficult, to trap mobile opponents within or under a &lt;i&gt;wall of stone&lt;/i&gt;, provided the wall is shaped so it can hold the creatures. Creatures can avoid entrapment with successful Reflex saves.&lt;/p&gt;</t>
  </si>
  <si>
    <t>&lt;link rel="stylesheet"href="PF.css"&gt;&lt;div class="heading"&gt;&lt;p class="alignleft"&gt;Wall Of Stone&lt;/p&gt;&lt;div style="clear: both;"&gt;&lt;/div&gt;&lt;/div&gt;&lt;div&gt;&lt;h5&gt;&lt;b&gt;School &lt;/b&gt;conjuration (creation) [earth]; &lt;b&gt;Level &lt;/b&gt;cleric/oracle 5, druid 6, sorcerer/wizard 5, summoner 4, magus 5, shaman 6, occultist 5&lt;/h5&gt;&lt;/div&gt;&lt;hr/&gt;&lt;div&gt;&lt;h5&gt;&lt;b&gt;CASTING&lt;/b&gt;&lt;/h5&gt;&lt;/div&gt;&lt;hr/&gt;&lt;div&gt;&lt;h5&gt;&lt;b&gt;Casting Time &lt;/b&gt;1 standard action&lt;/h5&gt;&lt;h5&gt;&lt;b&gt;Components &lt;/b&gt;V, S, M/DF (a small block of granite)&lt;/h5&gt;&lt;/div&gt;&lt;hr/&gt;&lt;div&gt;&lt;h5&gt;&lt;b&gt;EFFECT&lt;/b&gt;&lt;/h5&gt;&lt;/div&gt;&lt;hr/&gt;&lt;div&gt;&lt;h5&gt;&lt;b&gt;Range &lt;/b&gt;medium (100 ft. + 10 ft./level)&lt;/h5&gt;&lt;h5&gt;&lt;b&gt;Effect &lt;/b&gt;stone wall whose area is up to one 5-ft. square/level (S)&lt;/h5&gt;&lt;h5&gt;&lt;b&gt;Duration &lt;/b&gt;instantaneous&lt;/h5&gt;&lt;h5&gt;&lt;b&gt;Saving Throw &lt;/b&gt;see text; &lt;b&gt;Spell Resistance &lt;/b&gt;no&lt;/h5&gt;&lt;/div&gt;&lt;hr/&gt;&lt;div&gt;&lt;h5&gt;&lt;b&gt;DESCRIPTION&lt;/b&gt;&lt;/h5&gt;&lt;/div&gt;&lt;hr/&gt;&lt;div&gt;&lt;h4&gt;&lt;p&gt;This spell creates a wall of rock that merges into adjoining rock surfaces. A &lt;i&gt;wall of stone&lt;/i&gt; is 1 inch thick per four caster levels and composed of up to one 5-foot square per level. You can double the wall's area by halving its thickness. The wall cannot be conjured so that it occupies the same space as a creature or another object.&lt;/p&gt;&lt;p&gt;Unlike a &lt;i&gt;wall of iron&lt;/i&gt;, you can create a &lt;i&gt;wall of stone&lt;/i&gt;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area.&lt;/p&gt;&lt;p&gt;Like any other stone wall, this one can be destroyed by a &lt;i&gt;disintegrate&lt;/i&gt; spell or by normal means such as breaking and chipping.&lt;/p&gt;&lt;p&gt;Each 5-foot square of the wall has hardness 8 and 15 hit points per inch of thickness. A section of wall whose hit points drop to 0 is breached. If a creature tries to break through the wall with a single attack, the DC for the Strength check is 20 + 2 per inch of thickness.&lt;/p&gt;&lt;p&gt;It is possible, but difficult, to trap mobile opponents within or under a &lt;i&gt;wall of stone&lt;/i&gt;, provided the wall is shaped so it can hold the creatures. Creatures can avoid entrapment with successful Reflex saves.&lt;/p&gt;&lt;/h4&gt;&lt;h5&gt;&lt;b&gt;Mythic: &lt;/b&gt;The wall is 1 inch thick per 2 caster levels. The wall's hardness increases to 12.&lt;/h5&gt;&lt;h5&gt;&lt;b&gt;Augmented (7th)&lt;/b&gt;: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mud).&lt;/h5&gt;&lt;/div&gt;</t>
  </si>
  <si>
    <t>Earth (5), Fortifications (5)</t>
  </si>
  <si>
    <t>Creates a stone wall that can be shaped.</t>
  </si>
  <si>
    <t>Shaitan (11)</t>
  </si>
  <si>
    <t>Mountain (10)</t>
  </si>
  <si>
    <t>The wall is 1 inch thick per 2 caster levels. The wall's hardness increases to 12.</t>
  </si>
  <si>
    <t>Augmented (7th):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t>
  </si>
  <si>
    <t>Agonize</t>
  </si>
  <si>
    <t>cleric/oracle 3, sorcerer/wizard 4, occultist 3, psychic 4</t>
  </si>
  <si>
    <t>one conjured outsider or elemental (see text)</t>
  </si>
  <si>
    <t>1 full round</t>
  </si>
  <si>
    <t>You afflict a creature you have conjured via planar ally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t>
  </si>
  <si>
    <t>&lt;p&gt;You afflict a creature you have conjured via &lt;i&gt;planar ally&lt;/i&gt;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damage.&lt;/p&gt;</t>
  </si>
  <si>
    <t>Book of the Damned V1</t>
  </si>
  <si>
    <t>&lt;link rel="stylesheet"href="PF.css"&gt;&lt;div class="heading"&gt;&lt;p class="alignleft"&gt;Agonize&lt;/p&gt;&lt;div style="clear: both;"&gt;&lt;/div&gt;&lt;/div&gt;&lt;div&gt;&lt;h5&gt;&lt;b&gt;School &lt;/b&gt;evocation [evil]; &lt;b&gt;Level &lt;/b&gt;cleric/oracle 3, sorcerer/wizard 4, occultist 3, psychic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conjured outsider or elemental (see text)&lt;/h5&gt;&lt;h5&gt;&lt;b&gt;Duration &lt;/b&gt;1 full round&lt;/h5&gt;&lt;h5&gt;&lt;b&gt;Saving Throw &lt;/b&gt;Fortitude negates; &lt;b&gt;Spell Resistance &lt;/b&gt;yes&lt;/h5&gt;&lt;/div&gt;&lt;hr/&gt;&lt;div&gt;&lt;h5&gt;&lt;b&gt;DESCRIPTION&lt;/b&gt;&lt;/h5&gt;&lt;/div&gt;&lt;hr/&gt;&lt;div&gt;&lt;h4&gt;&lt;p&gt;You afflict a creature you have conjured via &lt;i&gt;planar ally&lt;/i&gt;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damage.&lt;/p&gt;&lt;/h4&gt;&lt;/div&gt;</t>
  </si>
  <si>
    <t>Kyton (3)</t>
  </si>
  <si>
    <t>Pain encourages an outsider to obey you.</t>
  </si>
  <si>
    <t>Hellfire Ray</t>
  </si>
  <si>
    <t>cleric/oracle 6, sorcerer/wizard 6</t>
  </si>
  <si>
    <t>V, S, DF/F (any unholy symbol or heretical tome)</t>
  </si>
  <si>
    <t>no (see text)</t>
  </si>
  <si>
    <t>A blast of hellfire blazes from your hands. You must succeed on a ranged touch attack with the ray to deal damage to the target.  The ray deals 1d6 points of damage per caster level (maximum 15d6). Half the damage is fire damage, but the other half results directly from unholy power and is therefore not subject to being reduced by resistance to fire-based attacks.  Any creature killed by this spell must make a Will saving throw; failure means the creature's soul is damned to Hell as a burst of brimstone appears around its corpse. A non-evil spellcaster attempting to bring the character back from the dead must make a caster level check (DC equal to 10 plus the slain creature's level) to succeed; failure means the spellcaster cannot try again for 1 day. Evil spellcasters can raise the slain character normally, without a check.</t>
  </si>
  <si>
    <t>&lt;p&gt;A blast of hellfire blazes from your hands. You must succeed on a ranged touch attack with the ray to deal damage to the target.&lt;/p&gt;&lt;p&gt;The ray deals 1d6 points of damage per caster level (maximum 15d6). Half the damage is fire damage, but the other half results directly from unholy power and is therefore not subject to being reduced by resistance to fire-based attacks.&lt;/p&gt;&lt;p&gt;Any creature killed by this spell must make a Will saving throw; failure means the creature's soul is damned to Hell as a burst of brimstone appears around its corpse. A non-evil spellcaster attempting to bring the character back from the dead must make a caster level check (DC equal to 10 plus the slain creature's level) to succeed; failure means the spellcaster cannot try again for 1 day. Evil spellcasters can raise the slain character normally, without a check.&lt;/p&gt;</t>
  </si>
  <si>
    <t>&lt;link rel="stylesheet"href="PF.css"&gt;&lt;div class="heading"&gt;&lt;p class="alignleft"&gt;Hellfire Ray&lt;/p&gt;&lt;div style="clear: both;"&gt;&lt;/div&gt;&lt;/div&gt;&lt;div&gt;&lt;h5&gt;&lt;b&gt;School &lt;/b&gt;evocation [evil]; &lt;b&gt;Level &lt;/b&gt;cleric/oracle 6, sorcerer/wizard 6&lt;/h5&gt;&lt;/div&gt;&lt;hr/&gt;&lt;div&gt;&lt;h5&gt;&lt;b&gt;CASTING&lt;/b&gt;&lt;/h5&gt;&lt;/div&gt;&lt;hr/&gt;&lt;div&gt;&lt;h5&gt;&lt;b&gt;Casting Time &lt;/b&gt;1 standard action&lt;/h5&gt;&lt;h5&gt;&lt;b&gt;Components &lt;/b&gt;V, S, DF/F (any unholy symbol or heretical tome)&lt;/h5&gt;&lt;/div&gt;&lt;hr/&gt;&lt;div&gt;&lt;h5&gt;&lt;b&gt;EFFECT&lt;/b&gt;&lt;/h5&gt;&lt;/div&gt;&lt;hr/&gt;&lt;div&gt;&lt;h5&gt;&lt;b&gt;Range &lt;/b&gt;close (25 ft. + 5 ft./2 levels)&lt;/h5&gt;&lt;h5&gt;&lt;b&gt;Effect &lt;/b&gt;ray&lt;/h5&gt;&lt;h5&gt;&lt;b&gt;Duration &lt;/b&gt;instantaneous&lt;/h5&gt;&lt;h5&gt;&lt;b&gt;Saving Throw &lt;/b&gt;no (see text); &lt;b&gt;Spell Resistance &lt;/b&gt;yes&lt;/h5&gt;&lt;/div&gt;&lt;hr/&gt;&lt;div&gt;&lt;h5&gt;&lt;b&gt;DESCRIPTION&lt;/b&gt;&lt;/h5&gt;&lt;/div&gt;&lt;hr/&gt;&lt;div&gt;&lt;h4&gt;&lt;p&gt;A blast of hellfire blazes from your hands. You must succeed on a ranged touch attack with the ray to deal damage to the target.&lt;/p&gt;&lt;p&gt;The ray deals 1d6 points of damage per caster level (maximum 15d6). Half the damage is fire damage, but the other half results directly from unholy power and is therefore not subject to being reduced by resistance to fire-based attacks.&lt;/p&gt;&lt;p&gt;Any creature killed by this spell must make a Will saving throw; failure means the creature's soul is damned to Hell as a burst of brimstone appears around its corpse. A non-evil spellcaster attempting to bring the character back from the dead must make a caster level check (DC equal to 10 plus the slain creature's level) to succeed; failure means the spellcaster cannot try again for 1 day. Evil spellcasters can raise the slain character normally, without a check.&lt;/p&gt;&lt;/h4&gt;&lt;/div&gt;</t>
  </si>
  <si>
    <t>Sacrifice</t>
  </si>
  <si>
    <t>cleric/oracle 4, sorcerer/wizard 4</t>
  </si>
  <si>
    <t>one summoned outsider or elemental (see text)</t>
  </si>
  <si>
    <t>instantaneous, 1 hour, or 1 day (see text)</t>
  </si>
  <si>
    <t>You make a sacrifice to aid in conjuring and commanding a creature called with planar ally, planar binding, or a similar spell. A sacrifice can be used in a variety of ways: Bargain: Making a sacrifice directly to the conjured being grants you a bonus on opposed Charisma checks made to compel the creature into service for the next hour.  Enticement: Making a sacrifice the round before conjuring increases the DC of the Will save an outsider must make to resist being summoned.  Payment: Making a sacrifice directly to the conjured being allows you to pay for one service from the creature in commodities other than gold.  Reinforcement: Making a sacrifice the round before magic circle and preparing a summoning diagram increases the power of its warding magic, increasing the DC of all Charisma checks the creature might make to escape. This lasts 1 day.  Multiple sacrifices can be made to affect a single conjuring, but the bonuses provided by this spell do not stack. Therefore, while you can make sacrifices to aid in summoning and bargaining with a creature, you cannot make multiple sacrifices (even of varying types) to enhance the same effect of a particular conjuration.  A sacrifice may consist of any kind of commodity the target creature favors, including treasures, living creatures, or more ephemeral offerings. While this spell is not fundamentally evil, good-aligned creatures prove more selective in what offerings they accept, typically scoffing at blood sacrifices.  Many sacrifices are fundamentally evil acts, such as murdering a pious innocent to summon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Sacrifice Effects table on the previous page lists a number of likely offerings, along with the bonus such gifts effect and the offering's equivalent value in gold pieces for the purposes of planar ally. Several of these sacrifices involve the loss of ability scores, levels, lives, or even changes in alignment.  Any change wrought by such sacrifices (loss of ability score or level, or change in alignment) cannot be recovered, cured, or undone by any spell or effect short of miracle or wish. The same is true of creatures killed as a sacrifice; such creatures cannot be resurrected by any magic less powerful than these spells.  Any object sacrificed with this spell is effectively destroyed or removed to an extraplanar holding of the summoned creature's choice. The bonuses and values noted on the sacrifices table are guidelines for offerings; certain types of treasures or lives might prove especially valuable to specific creatures, with extraordinary sacrifices (like a potent artifact or the life of a high-level paladin) garnering increased bonuses.  You cannot make greater sacrifices than those noted on the table to gain increased bonuses or gold values. For example, you could not gain two permanent negative levels to gain a +16 bonus nor gain increased benefit from slaying 20 HD worth of creatures to pay for a 10 HD creature's service.</t>
  </si>
  <si>
    <t>&lt;p&gt;You make a sacrifice to aid in conjuring and commanding a creature called with &lt;i&gt;planar ally&lt;/i&gt;, &lt;i&gt;planar binding&lt;/i&gt;, or a similar spell. A sacrifice can be used in a variety of ways: &lt;i&gt;Bargain:&lt;/i&gt; Making a sacrifice directly to the conjured being grants you a bonus on opposed Charisma checks made to compel the creature into service for the next hour.&lt;/p&gt;&lt;p&gt;&lt;i&gt;Enticement:&lt;/i&gt; Making a sacrifice the round before conjuring increases the DC of the Will save an outsider must make to resist being summoned.&lt;/p&gt;&lt;p&gt;&lt;i&gt;Payment:&lt;/i&gt; Making a sacrifice directly to the conjured being allows you to pay for one service from the creature in commodities other than gold.&lt;/p&gt;&lt;p&gt;&lt;i&gt;Reinforcement:&lt;/i&gt; Making a sacrifice the round before &lt;i&gt;magic circle&lt;/i&gt; and preparing a summoning diagram increases the power of its warding magic, increasing the DC of all Charisma checks the creature might make to escape. This lasts 1 day.&lt;/p&gt;&lt;p&gt;Multiple sacrifices can be made to affect a single conjuring, but the bonuses provided by this spell do not stack. Therefore, while you can make sacrifices to aid in summoning and bargaining with a creature, you cannot make multiple sacrifices (even of varying types) to enhance the same effect of a particular conjuration.&lt;/p&gt;&lt;p&gt;A sacrifice may consist of any kind of commodity the target creature favors, including treasures, living creatures, or more ephemeral offerings. While this spell is not fundamentally evil, good-aligned creatures prove more selective in what offerings they accept, typically scoffing at blood sacrifices.&lt;/p&gt;&lt;p&gt;Many sacrifices are fundamentally evil acts, such as murdering a pious innocent to summon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appealing.&lt;/p&gt;&lt;p&gt;The Sacrifice Effects table on the previous page lists a number of likely offerings, along with the bonus such gifts effect and the offering's equivalent value in gold pieces for the purposes of &lt;i&gt;planar ally&lt;/i&gt;. Several of these sacrifices involve the loss of ability scores, levels, lives, or even changes in alignment.&lt;/p&gt;&lt;p&gt;Any change wrought by such sacrifices (loss of ability score or level, or change in alignment) cannot be recovered, cured, or undone by any spell or effect short of &lt;i&gt;miracle&lt;/i&gt; or &lt;i&gt;wish.&lt;/i&gt; The same is true of creatures killed as a sacrifice; such creatures cannot be resurrected by any magic less powerful than these spells.&lt;/p&gt;&lt;p&gt;Any object sacrificed with this spell is effectively destroyed or removed to an extraplanar holding of the summoned creature's choice. The bonuses and values noted on the sacrifices table are guidelines for offerings; certain types of treasures or lives might prove especially valuable to specific creatures, with extraordinary sacrifices (like a potent artifact or the life of a high-level paladin) garnering increased bonuses.&lt;/p&gt;&lt;p&gt;You cannot make greater sacrifices than those noted on the table to gain increased bonuses or gold values. For example, you could not gain two permanent negative levels to gain a +16 bonus nor gain increased benefit from slaying 20 HD worth of creatures to pay for a 10 HD creature's service.&lt;/p&gt;</t>
  </si>
  <si>
    <t>&lt;link rel="stylesheet"href="PF.css"&gt;&lt;div class="heading"&gt;&lt;p class="alignleft"&gt;Sacrifice&lt;/p&gt;&lt;div style="clear: both;"&gt;&lt;/div&gt;&lt;/div&gt;&lt;div&gt;&lt;h5&gt;&lt;b&gt;School &lt;/b&gt;enchantment (charm) [mind-affecting]; &lt;b&gt;Level &lt;/b&gt;cleric/oracle 4, sorcerer/wizard 4&lt;/h5&gt;&lt;/div&gt;&lt;hr/&gt;&lt;div&gt;&lt;h5&gt;&lt;b&gt;CASTING&lt;/b&gt;&lt;/h5&gt;&lt;/div&gt;&lt;hr/&gt;&lt;div&gt;&lt;h5&gt;&lt;b&gt;Casting Time &lt;/b&gt;1 minute&lt;/h5&gt;&lt;h5&gt;&lt;b&gt;Components &lt;/b&gt;V, S, M (see text)&lt;/h5&gt;&lt;/div&gt;&lt;hr/&gt;&lt;div&gt;&lt;h5&gt;&lt;b&gt;EFFECT&lt;/b&gt;&lt;/h5&gt;&lt;/div&gt;&lt;hr/&gt;&lt;div&gt;&lt;h5&gt;&lt;b&gt;Range &lt;/b&gt;close (25 ft. + 5 ft./2 levels)&lt;/h5&gt;&lt;h5&gt;&lt;b&gt;Targets &lt;/b&gt;one summoned outsider or elemental (see text)&lt;/h5&gt;&lt;h5&gt;&lt;b&gt;Duration &lt;/b&gt;instantaneous, 1 hour, or 1 day (see text)&lt;/h5&gt;&lt;h5&gt;&lt;b&gt;Saving Throw &lt;/b&gt;none; &lt;b&gt;Spell Resistance &lt;/b&gt;no&lt;/h5&gt;&lt;/div&gt;&lt;hr/&gt;&lt;div&gt;&lt;h5&gt;&lt;b&gt;DESCRIPTION&lt;/b&gt;&lt;/h5&gt;&lt;/div&gt;&lt;hr/&gt;&lt;div&gt;&lt;h4&gt;&lt;p&gt;You make a sacrifice to aid in conjuring and commanding a creature called with &lt;i&gt;planar ally&lt;/i&gt;, &lt;i&gt;planar binding&lt;/i&gt;, or a similar spell. A sacrifice can be used in a variety of ways: &lt;i&gt;Bargain:&lt;/i&gt; Making a sacrifice directly to the conjured being grants you a bonus on opposed Charisma checks made to compel the creature into service for the next hour.&lt;/p&gt;&lt;p&gt;&lt;i&gt;Enticement:&lt;/i&gt; Making a sacrifice the round before conjuring increases the DC of the Will save an outsider must make to resist being summoned.&lt;/p&gt;&lt;p&gt;&lt;i&gt;Payment:&lt;/i&gt; Making a sacrifice directly to the conjured being allows you to pay for one service from the creature in commodities other than gold.&lt;/p&gt;&lt;p&gt;&lt;i&gt;Reinforcement:&lt;/i&gt; Making a sacrifice the round before &lt;i&gt;magic circle&lt;/i&gt; and preparing a summoning diagram increases the power of its warding magic, increasing the DC of all Charisma checks the creature might make to escape. This lasts 1 day.&lt;/p&gt;&lt;p&gt;Multiple sacrifices can be made to affect a single conjuring, but the bonuses provided by this spell do not stack. Therefore, while you can make sacrifices to aid in summoning and bargaining with a creature, you cannot make multiple sacrifices (even of varying types) to enhance the same effect of a particular conjuration.&lt;/p&gt;&lt;p&gt;A sacrifice may consist of any kind of commodity the target creature favors, including treasures, living creatures, or more ephemeral offerings. While this spell is not fundamentally evil, good-aligned creatures prove more selective in what offerings they accept, typically scoffing at blood sacrifices.&lt;/p&gt;&lt;p&gt;Many sacrifices are fundamentally evil acts, such as murdering a pious innocent to summon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appealing.&lt;/p&gt;&lt;p&gt;The Sacrifice Effects table on the previous page lists a number of likely offerings, along with the bonus such gifts effect and the offering's equivalent value in gold pieces for the purposes of &lt;i&gt;planar ally&lt;/i&gt;. Several of these sacrifices involve the loss of ability scores, levels, lives, or even changes in alignment.&lt;/p&gt;&lt;p&gt;Any change wrought by such sacrifices (loss of ability score or level, or change in alignment) cannot be recovered, cured, or undone by any spell or effect short of &lt;i&gt;miracle&lt;/i&gt; or &lt;i&gt;wish.&lt;/i&gt; The same is true of creatures killed as a sacrifice; such creatures cannot be resurrected by any magic less powerful than these spells.&lt;/p&gt;&lt;p&gt;Any object sacrificed with this spell is effectively destroyed or removed to an extraplanar holding of the summoned creature's choice. The bonuses and values noted on the sacrifices table are guidelines for offerings; certain types of treasures or lives might prove especially valuable to specific creatures, with extraordinary sacrifices (like a potent artifact or the life of a high-level paladin) garnering increased bonuses.&lt;/p&gt;&lt;p&gt;You cannot make greater sacrifices than those noted on the table to gain increased bonuses or gold values. For example, you could not gain two permanent negative levels to gain a +16 bonus nor gain increased benefit from slaying 20 HD worth of creatures to pay for a 10 HD creature's service.&lt;/p&gt;&lt;/h4&gt;&lt;/div&gt;</t>
  </si>
  <si>
    <t>Burning Disarm</t>
  </si>
  <si>
    <t>cleric/oracle 1, druid 1, sorcerer/wizard 1</t>
  </si>
  <si>
    <t>Short (25 ft. + 5 ft./2 levels)</t>
  </si>
  <si>
    <t>Held metal item of one creature or 15 lbs. of unattended metal</t>
  </si>
  <si>
    <t>Instantaneous</t>
  </si>
  <si>
    <t>Reflex negates (object, see text)</t>
  </si>
  <si>
    <t>Yes (object)</t>
  </si>
  <si>
    <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t>
  </si>
  <si>
    <t>&lt;p&gt;This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water.&lt;/p&gt;</t>
  </si>
  <si>
    <t>Cheliax Empire Of Devils</t>
  </si>
  <si>
    <t>&lt;link rel="stylesheet"href="PF.css"&gt;&lt;div class="heading"&gt;&lt;p class="alignleft"&gt;Burning Disarm&lt;/p&gt;&lt;div style="clear: both;"&gt;&lt;/div&gt;&lt;/div&gt;&lt;div&gt;&lt;h5&gt;&lt;b&gt;School &lt;/b&gt;transmutation [fire]; &lt;b&gt;Level &lt;/b&gt;cleric/oracle 1, druid 1, sorcerer/wizard 1&lt;/h5&gt;&lt;/div&gt;&lt;hr/&gt;&lt;div&gt;&lt;h5&gt;&lt;b&gt;CASTING&lt;/b&gt;&lt;/h5&gt;&lt;/div&gt;&lt;hr/&gt;&lt;div&gt;&lt;h5&gt;&lt;b&gt;Casting Time &lt;/b&gt;1 standard action&lt;/h5&gt;&lt;h5&gt;&lt;b&gt;Components &lt;/b&gt;V, S&lt;/h5&gt;&lt;/div&gt;&lt;hr/&gt;&lt;div&gt;&lt;h5&gt;&lt;b&gt;EFFECT&lt;/b&gt;&lt;/h5&gt;&lt;/div&gt;&lt;hr/&gt;&lt;div&gt;&lt;h5&gt;&lt;b&gt;Range &lt;/b&gt;Short (25 ft. + 5 ft./2 levels)&lt;/h5&gt;&lt;h5&gt;&lt;b&gt;Targets &lt;/b&gt;Held metal item of one creature or 15 lbs. of unattended metal&lt;/h5&gt;&lt;h5&gt;&lt;b&gt;Duration &lt;/b&gt;Instantaneous&lt;/h5&gt;&lt;h5&gt;&lt;b&gt;Saving Throw &lt;/b&gt;Reflex negates (object, see text); &lt;b&gt;Spell Resistance &lt;/b&gt;Yes (object)&lt;/h5&gt;&lt;/div&gt;&lt;hr/&gt;&lt;div&gt;&lt;h5&gt;&lt;b&gt;DESCRIPTION&lt;/b&gt;&lt;/h5&gt;&lt;/div&gt;&lt;hr/&gt;&lt;div&gt;&lt;h4&gt;&lt;p&gt;This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water.&lt;/p&gt;&lt;/h4&gt;&lt;/div&gt;</t>
  </si>
  <si>
    <t>Dweomer Retaliation</t>
  </si>
  <si>
    <t>sorcerer/wizard 3</t>
  </si>
  <si>
    <t>Long (400 ft. + 40 ft./level)</t>
  </si>
  <si>
    <t>one creature you counterspelled since your last turn</t>
  </si>
  <si>
    <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  If the countered spell was at least 4th level, you and your opponent make opposed concentration checks. If you beat your opponent by 10 or more, you retain this spell (or its spell slot, if you are a sorcerer) as if you had not cast it.</t>
  </si>
  <si>
    <t>&lt;p&gt;You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amount.&lt;/p&gt;&lt;p&gt;If the countered spell was at least 4th level, you and your opponent make opposed concentration checks. If you beat your opponent by 10 or more, you retain this spell (or its spell slot, if you are a sorcerer) as if you had not cast it.&lt;/p&gt;</t>
  </si>
  <si>
    <t>&lt;link rel="stylesheet"href="PF.css"&gt;&lt;div class="heading"&gt;&lt;p class="alignleft"&gt;Dweomer Retaliation&lt;/p&gt;&lt;div style="clear: both;"&gt;&lt;/div&gt;&lt;/div&gt;&lt;div&gt;&lt;h5&gt;&lt;b&gt;School &lt;/b&gt;abjuration; &lt;b&gt;Level &lt;/b&gt;sorcerer/wizard 3&lt;/h5&gt;&lt;/div&gt;&lt;hr/&gt;&lt;div&gt;&lt;h5&gt;&lt;b&gt;CASTING&lt;/b&gt;&lt;/h5&gt;&lt;/div&gt;&lt;hr/&gt;&lt;div&gt;&lt;h5&gt;&lt;b&gt;Casting Time &lt;/b&gt;1 immediate action&lt;/h5&gt;&lt;h5&gt;&lt;b&gt;Components &lt;/b&gt;V&lt;/h5&gt;&lt;/div&gt;&lt;hr/&gt;&lt;div&gt;&lt;h5&gt;&lt;b&gt;EFFECT&lt;/b&gt;&lt;/h5&gt;&lt;/div&gt;&lt;hr/&gt;&lt;div&gt;&lt;h5&gt;&lt;b&gt;Range &lt;/b&gt;Long (400 ft. + 40 ft./level)&lt;/h5&gt;&lt;h5&gt;&lt;b&gt;Targets &lt;/b&gt;one creature you counterspelled since your last turn&lt;/h5&gt;&lt;h5&gt;&lt;b&gt;Duration &lt;/b&gt;instantaneous&lt;/h5&gt;&lt;h5&gt;&lt;b&gt;Saving Throw &lt;/b&gt;none; &lt;b&gt;Spell Resistance &lt;/b&gt;yes&lt;/h5&gt;&lt;/div&gt;&lt;hr/&gt;&lt;div&gt;&lt;h5&gt;&lt;b&gt;DESCRIPTION&lt;/b&gt;&lt;/h5&gt;&lt;/div&gt;&lt;hr/&gt;&lt;div&gt;&lt;h4&gt;&lt;p&gt;You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amount.&lt;/p&gt;&lt;p&gt;If the countered spell was at least 4th level, you and your opponent make opposed concentration checks. If you beat your opponent by 10 or more, you retain this spell (or its spell slot, if you are a sorcerer) as if you had not cast it.&lt;/p&gt;&lt;/h4&gt;&lt;/div&gt;</t>
  </si>
  <si>
    <t>Emergency Force Sphere</t>
  </si>
  <si>
    <t>sorcerer/wizard 4</t>
  </si>
  <si>
    <t>5 ft.</t>
  </si>
  <si>
    <t>5-ft.-radius hemisphere of force centered on you</t>
  </si>
  <si>
    <t>None</t>
  </si>
  <si>
    <t>No</t>
  </si>
  <si>
    <t>As wall of force,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  Normally this spell is used to buy time for dealing with avalanches, floods, and rockslides, though it is also handy in dealing with ambushes.</t>
  </si>
  <si>
    <t>&lt;p&gt;As &lt;i&gt;wall of force&lt;/i&gt;,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collapses.&lt;/p&gt;&lt;p&gt;Normally this spell is used to buy time for dealing with avalanches, floods, and rockslides, though it is also handy in dealing with ambushes.&lt;/p&gt;</t>
  </si>
  <si>
    <t>&lt;link rel="stylesheet"href="PF.css"&gt;&lt;div class="heading"&gt;&lt;p class="alignleft"&gt;Emergency Force Sphere&lt;/p&gt;&lt;div style="clear: both;"&gt;&lt;/div&gt;&lt;/div&gt;&lt;div&gt;&lt;h5&gt;&lt;b&gt;School &lt;/b&gt;evocation [force]; &lt;b&gt;Level &lt;/b&gt;sorcerer/wizard 4&lt;/h5&gt;&lt;/div&gt;&lt;hr/&gt;&lt;div&gt;&lt;h5&gt;&lt;b&gt;CASTING&lt;/b&gt;&lt;/h5&gt;&lt;/div&gt;&lt;hr/&gt;&lt;div&gt;&lt;h5&gt;&lt;b&gt;Casting Time &lt;/b&gt;1 immediate action&lt;/h5&gt;&lt;h5&gt;&lt;b&gt;Components &lt;/b&gt;V&lt;/h5&gt;&lt;/div&gt;&lt;hr/&gt;&lt;div&gt;&lt;h5&gt;&lt;b&gt;EFFECT&lt;/b&gt;&lt;/h5&gt;&lt;/div&gt;&lt;hr/&gt;&lt;div&gt;&lt;h5&gt;&lt;b&gt;Range &lt;/b&gt;5 ft.&lt;/h5&gt;&lt;h5&gt;&lt;b&gt;Effect &lt;/b&gt;5-ft.-radius hemisphere of force centered on you&lt;/h5&gt;&lt;h5&gt;&lt;b&gt;Duration &lt;/b&gt;1 round/level (D)&lt;/h5&gt;&lt;h5&gt;&lt;b&gt;Saving Throw &lt;/b&gt;None; &lt;b&gt;Spell Resistance &lt;/b&gt;No&lt;/h5&gt;&lt;/div&gt;&lt;hr/&gt;&lt;div&gt;&lt;h5&gt;&lt;b&gt;DESCRIPTION&lt;/b&gt;&lt;/h5&gt;&lt;/div&gt;&lt;hr/&gt;&lt;div&gt;&lt;h4&gt;&lt;p&gt;As &lt;i&gt;wall of force&lt;/i&gt;,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collapses.&lt;/p&gt;&lt;p&gt;Normally this spell is used to buy time for dealing with avalanches, floods, and rockslides, though it is also handy in dealing with ambushes.&lt;/p&gt;&lt;/h4&gt;&lt;/div&gt;</t>
  </si>
  <si>
    <t>Signifer's Rally</t>
  </si>
  <si>
    <t>cleric/oracle 7, sorcerer/wizard 7</t>
  </si>
  <si>
    <t>V, S, M (100 gp worth of bloodstone for every ally teleported)</t>
  </si>
  <si>
    <t>one willing ally/5 levels</t>
  </si>
  <si>
    <t>You teleport up to one ally per five caster levels to your location.  You determine which allies you want to teleport at the time of casting; these allies have 1 round to decide to allow or refuse your spell, and they teleport immediately upon accepting. Allies are teleported as if you had cast teleport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magic circle against evil effect).</t>
  </si>
  <si>
    <t>&lt;p&gt;You &lt;i&gt;teleport&lt;/i&gt; up to one ally per five caster levels to your location.&lt;/p&gt;&lt;p&gt;You determine which allies you want to &lt;i&gt;teleport&lt;/i&gt; at the time of casting; these allies have 1 round to decide to allow or refuse your spell, and they &lt;i&gt;teleport&lt;/i&gt; immediately upon accepting. Allies are &lt;i&gt;teleport&lt;/i&gt;ed as if you had cast &lt;i&gt;teleport&lt;/i&gt;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&lt;i&gt;magic circle against evil&lt;/i&gt; effect).&lt;/p&gt;</t>
  </si>
  <si>
    <t>&lt;link rel="stylesheet"href="PF.css"&gt;&lt;div class="heading"&gt;&lt;p class="alignleft"&gt;Signifer's Rally&lt;/p&gt;&lt;div style="clear: both;"&gt;&lt;/div&gt;&lt;/div&gt;&lt;div&gt;&lt;h5&gt;&lt;b&gt;School &lt;/b&gt;conjuration (teleportation) [evil]; &lt;b&gt;Level &lt;/b&gt;cleric/oracle 7, sorcerer/wizard 7&lt;/h5&gt;&lt;/div&gt;&lt;hr/&gt;&lt;div&gt;&lt;h5&gt;&lt;b&gt;CASTING&lt;/b&gt;&lt;/h5&gt;&lt;/div&gt;&lt;hr/&gt;&lt;div&gt;&lt;h5&gt;&lt;b&gt;Casting Time &lt;/b&gt;1 standard action&lt;/h5&gt;&lt;h5&gt;&lt;b&gt;Components &lt;/b&gt;V, S, M (100 gp worth of bloodstone for every ally teleported)&lt;/h5&gt;&lt;/div&gt;&lt;hr/&gt;&lt;div&gt;&lt;h5&gt;&lt;b&gt;EFFECT&lt;/b&gt;&lt;/h5&gt;&lt;/div&gt;&lt;hr/&gt;&lt;div&gt;&lt;h5&gt;&lt;b&gt;Range &lt;/b&gt;medium (100 ft. + 10 ft./level)&lt;/h5&gt;&lt;h5&gt;&lt;b&gt;Targets &lt;/b&gt;one willing ally/5 levels&lt;/h5&gt;&lt;h5&gt;&lt;b&gt;Duration &lt;/b&gt;instantaneous&lt;/h5&gt;&lt;h5&gt;&lt;b&gt;Saving Throw &lt;/b&gt;Will negates (harmless); &lt;b&gt;Spell Resistance &lt;/b&gt;yes (harmless)&lt;/h5&gt;&lt;/div&gt;&lt;hr/&gt;&lt;div&gt;&lt;h5&gt;&lt;b&gt;DESCRIPTION&lt;/b&gt;&lt;/h5&gt;&lt;/div&gt;&lt;hr/&gt;&lt;div&gt;&lt;h4&gt;&lt;p&gt;You &lt;i&gt;teleport&lt;/i&gt; up to one ally per five caster levels to your location.&lt;/p&gt;&lt;p&gt;You determine which allies you want to &lt;i&gt;teleport&lt;/i&gt; at the time of casting; these allies have 1 round to decide to allow or refuse your spell, and they &lt;i&gt;teleport&lt;/i&gt; immediately upon accepting. Allies are &lt;i&gt;teleport&lt;/i&gt;ed as if you had cast &lt;i&gt;teleport&lt;/i&gt;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&lt;i&gt;magic circle against evil&lt;/i&gt; effect).&lt;/p&gt;&lt;/h4&gt;&lt;/div&gt;</t>
  </si>
  <si>
    <t>Twine Double</t>
  </si>
  <si>
    <t>V, S, M (cloth and twine)</t>
  </si>
  <si>
    <t>One duplicate creature</t>
  </si>
  <si>
    <t>As simulacrum,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  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t>
  </si>
  <si>
    <t>&lt;p&gt;As &lt;i&gt;simulacrum,&lt;/i&gt;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you.&lt;/p&gt;&lt;p&gt;The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object.&lt;/p&gt;</t>
  </si>
  <si>
    <t>&lt;link rel="stylesheet"href="PF.css"&gt;&lt;div class="heading"&gt;&lt;p class="alignleft"&gt;Twine Double&lt;/p&gt;&lt;div style="clear: both;"&gt;&lt;/div&gt;&lt;/div&gt;&lt;div&gt;&lt;h5&gt;&lt;b&gt;School &lt;/b&gt;illusion (shadow); &lt;b&gt;Level &lt;/b&gt;sorcerer/wizard 3&lt;/h5&gt;&lt;/div&gt;&lt;hr/&gt;&lt;div&gt;&lt;h5&gt;&lt;b&gt;CASTING&lt;/b&gt;&lt;/h5&gt;&lt;/div&gt;&lt;hr/&gt;&lt;div&gt;&lt;h5&gt;&lt;b&gt;Casting Time &lt;/b&gt;10 minutes&lt;/h5&gt;&lt;h5&gt;&lt;b&gt;Components &lt;/b&gt;V, S, M (cloth and twine)&lt;/h5&gt;&lt;/div&gt;&lt;hr/&gt;&lt;div&gt;&lt;h5&gt;&lt;b&gt;EFFECT&lt;/b&gt;&lt;/h5&gt;&lt;/div&gt;&lt;hr/&gt;&lt;div&gt;&lt;h5&gt;&lt;b&gt;Range &lt;/b&gt;0 ft.&lt;/h5&gt;&lt;h5&gt;&lt;b&gt;Effect &lt;/b&gt;One duplicate creature&lt;/h5&gt;&lt;h5&gt;&lt;b&gt;Duration &lt;/b&gt;1 minute/level (D)&lt;/h5&gt;&lt;h5&gt;&lt;b&gt;Saving Throw &lt;/b&gt;None; &lt;b&gt;Spell Resistance &lt;/b&gt;No&lt;/h5&gt;&lt;/div&gt;&lt;hr/&gt;&lt;div&gt;&lt;h5&gt;&lt;b&gt;DESCRIPTION&lt;/b&gt;&lt;/h5&gt;&lt;/div&gt;&lt;hr/&gt;&lt;div&gt;&lt;h4&gt;&lt;p&gt;As &lt;i&gt;simulacrum,&lt;/i&gt;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you.&lt;/p&gt;&lt;p&gt;The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object.&lt;/p&gt;&lt;/h4&gt;&lt;/div&gt;</t>
  </si>
  <si>
    <t>Fear</t>
  </si>
  <si>
    <t>bard 3, sorcerer/wizard 4, witch 4, inquisitor 4, antipaladin 4, bloodrager 4, shaman 4, occultist 4, psychic 4, mesmerist 3, spiritualist 4</t>
  </si>
  <si>
    <t>V, S, M (the heart of a hen or a white feather)</t>
  </si>
  <si>
    <t>1 round/level or 1 round; see text</t>
  </si>
  <si>
    <t>An invisible cone of terror causes each living creature in the area to become panicked unless it succeeds on a Will save. If cornered, a panicked creature begins cowering. If the Will save succeeds, the creature is shaken for 1 round.</t>
  </si>
  <si>
    <t>&lt;p&gt;An invisible cone of terror causes each living creature in the area to become panicked unless it succeeds on a Will save. If cornered, a panicked creature begins cowering. If the Will save succeeds, the creature is shaken for 1 round.&lt;/p&gt;</t>
  </si>
  <si>
    <t>&lt;link rel="stylesheet"href="PF.css"&gt;&lt;div class="heading"&gt;&lt;p class="alignleft"&gt;Fear&lt;/p&gt;&lt;div style="clear: both;"&gt;&lt;/div&gt;&lt;/div&gt;&lt;div&gt;&lt;h5&gt;&lt;b&gt;School &lt;/b&gt;necromancy [fear, mind-affecting, emotion]; &lt;b&gt;Level &lt;/b&gt;bard 3, sorcerer/wizard 4, witch 4, inquisitor 4, antipaladin 4, bloodrager 4, shaman 4, occultist 4, psychic 4, mesmerist 3, spiritualist 4&lt;/h5&gt;&lt;/div&gt;&lt;hr/&gt;&lt;div&gt;&lt;h5&gt;&lt;b&gt;CASTING&lt;/b&gt;&lt;/h5&gt;&lt;/div&gt;&lt;hr/&gt;&lt;div&gt;&lt;h5&gt;&lt;b&gt;Casting Time &lt;/b&gt;1 standard action&lt;/h5&gt;&lt;h5&gt;&lt;b&gt;Components &lt;/b&gt;V, S, M (the heart of a hen or a white feather)&lt;/h5&gt;&lt;/div&gt;&lt;hr/&gt;&lt;div&gt;&lt;h5&gt;&lt;b&gt;EFFECT&lt;/b&gt;&lt;/h5&gt;&lt;/div&gt;&lt;hr/&gt;&lt;div&gt;&lt;h5&gt;&lt;b&gt;Range &lt;/b&gt;30 ft.&lt;/h5&gt;&lt;h5&gt;&lt;b&gt;Area &lt;/b&gt;cone-shaped burst&lt;/h5&gt;&lt;h5&gt;&lt;b&gt;Duration &lt;/b&gt;1 round/level or 1 round; see text&lt;/h5&gt;&lt;h5&gt;&lt;b&gt;Saving Throw &lt;/b&gt;Will partial; &lt;b&gt;Spell Resistance &lt;/b&gt;yes&lt;/h5&gt;&lt;/div&gt;&lt;hr/&gt;&lt;div&gt;&lt;h5&gt;&lt;b&gt;DESCRIPTION&lt;/b&gt;&lt;/h5&gt;&lt;/div&gt;&lt;hr/&gt;&lt;div&gt;&lt;h4&gt;&lt;p&gt;An invisible cone of terror causes each living creature in the area to become panicked unless it succeeds on a Will save. If cornered, a panicked creature begins cowering. If the Will save succeeds, the creature is shaken for 1 round.&lt;/p&gt;&lt;/h4&gt;&lt;/div&gt;</t>
  </si>
  <si>
    <t>Fear (4)</t>
  </si>
  <si>
    <t>Subjects within cone flee for 1 round/level.</t>
  </si>
  <si>
    <t>Draconic (9), Ghoul (9)</t>
  </si>
  <si>
    <t>Hold Animal</t>
  </si>
  <si>
    <t>druid 2, ranger 2, psychic 2, mesmerist 2</t>
  </si>
  <si>
    <t>This spell functions like hold person, except that it affects an animal instead of a humanoid.</t>
  </si>
  <si>
    <t>&lt;p&gt;This spell functions like &lt;i&gt;hold person,&lt;/i&gt; except that it affects an animal instead of a humanoid.&lt;/p&gt;</t>
  </si>
  <si>
    <t>&lt;link rel="stylesheet"href="PF.css"&gt;&lt;div class="heading"&gt;&lt;p class="alignleft"&gt;Hold Animal&lt;/p&gt;&lt;div style="clear: both;"&gt;&lt;/div&gt;&lt;/div&gt;&lt;div&gt;&lt;h5&gt;&lt;b&gt;School &lt;/b&gt;enchantment (compulsion) [mind-affecting]; &lt;b&gt;Level &lt;/b&gt;druid 2, ranger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animal&lt;/h5&gt;&lt;h5&gt;&lt;b&gt;Duration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an animal instead of a humanoid.&lt;/p&gt;&lt;/h4&gt;&lt;/div&gt;</t>
  </si>
  <si>
    <t>Animal (2)</t>
  </si>
  <si>
    <t>Paralyzes one animal for 1 round/level.</t>
  </si>
  <si>
    <t>Insect Plague</t>
  </si>
  <si>
    <t>cleric/oracle 5, druid 5, summoner 4, shaman 5</t>
  </si>
  <si>
    <t>one swarm of wasps per three levels, each of which must be adjacent to at least one other swarm</t>
  </si>
  <si>
    <t>You summon a number of swarms of wasps (one per three levels, to a maximum of six swarms at 18th level, see the Pathfinder RPG Bestiary).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t>
  </si>
  <si>
    <t>&lt;p&gt;You summon a number of swarms of wasps (one per three levels, to a maximum of six swarms at 18th level, see the &lt;i&gt;Pathfinder RPG Bestiary&lt;/i&gt;).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flee.&lt;/p&gt;</t>
  </si>
  <si>
    <t>&lt;link rel="stylesheet"href="PF.css"&gt;&lt;div class="heading"&gt;&lt;p class="alignleft"&gt;Insect Plague&lt;/p&gt;&lt;div style="clear: both;"&gt;&lt;/div&gt;&lt;/div&gt;&lt;div&gt;&lt;h5&gt;&lt;b&gt;School &lt;/b&gt;conjuration (summoning); &lt;b&gt;Level &lt;/b&gt;cleric/oracle 5, druid 5, summoner 4, shaman 5&lt;/h5&gt;&lt;/div&gt;&lt;hr/&gt;&lt;div&gt;&lt;h5&gt;&lt;b&gt;CASTING&lt;/b&gt;&lt;/h5&gt;&lt;/div&gt;&lt;hr/&gt;&lt;div&gt;&lt;h5&gt;&lt;b&gt;Casting Time &lt;/b&gt;1 round&lt;/h5&gt;&lt;h5&gt;&lt;b&gt;Components &lt;/b&gt;V, S, DF&lt;/h5&gt;&lt;/div&gt;&lt;hr/&gt;&lt;div&gt;&lt;h5&gt;&lt;b&gt;EFFECT&lt;/b&gt;&lt;/h5&gt;&lt;/div&gt;&lt;hr/&gt;&lt;div&gt;&lt;h5&gt;&lt;b&gt;Range &lt;/b&gt;long (400 ft. + 40 ft./level)&lt;/h5&gt;&lt;h5&gt;&lt;b&gt;Effect &lt;/b&gt;one swarm of wasps per three levels, each of which must be adjacent to at least one other swarm&lt;/h5&gt;&lt;h5&gt;&lt;b&gt;Duration &lt;/b&gt;1 min./level&lt;/h5&gt;&lt;h5&gt;&lt;b&gt;Saving Throw &lt;/b&gt;none; &lt;b&gt;Spell Resistance &lt;/b&gt;no&lt;/h5&gt;&lt;/div&gt;&lt;hr/&gt;&lt;div&gt;&lt;h5&gt;&lt;b&gt;DESCRIPTION&lt;/b&gt;&lt;/h5&gt;&lt;/div&gt;&lt;hr/&gt;&lt;div&gt;&lt;h4&gt;&lt;p&gt;You summon a number of swarms of wasps (one per three levels, to a maximum of six swarms at 18th level, see the &lt;i&gt;Pathfinder RPG Bestiary&lt;/i&gt;).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flee.&lt;/p&gt;&lt;/h4&gt;&lt;/div&gt;</t>
  </si>
  <si>
    <t>Vermin (4)</t>
  </si>
  <si>
    <t>Wasp swarms attack creatures.</t>
  </si>
  <si>
    <t>Pestilence (11), Div (15)</t>
  </si>
  <si>
    <t>Baleful Polymorph</t>
  </si>
  <si>
    <t>druid 5, sorcerer/wizard 5, summoner 4, witch 5, magus 5, shaman 5</t>
  </si>
  <si>
    <t>Fortitude negates, Will partial, see text</t>
  </si>
  <si>
    <t>As beast shape III, except that you change the subject into a Small or smaller animal of no more than 1 HD. If the new form would prove fatal to the creature, such as an aquatic creature not in water, the subject gets a +4 bonus on the save.  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  Any polymorph effects on the target are automatically dispelled when a target fails to resist the effects of baleful polymorph, and as long as baleful polymorph remains in effect, the target cannot use other polymorph spells or effects to assume a new form. Incorporeal or gaseous creatures are immune to baleful polymorph, and a creature with the shapechanger subtype can revert to its natural form as a standard action.</t>
  </si>
  <si>
    <t>&lt;p&gt;As &lt;i&gt;beast shape III&lt;/i&gt;, except that you change the subject into a Small or smaller animal of no more than 1 HD. If the new form would prove fatal to the creature, such as an aquatic creature not in water, the subject gets a +4 bonus on the save.&lt;/p&gt;&lt;p&gt;If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abilities.&lt;/p&gt;&lt;p&gt;Any polymorph effects on the target are automatically dispelled when a target fails to resist the effects of &lt;i&gt;baleful polymorph&lt;/i&gt;, and as long as &lt;i&gt;baleful polymorph&lt;/i&gt; remains in effect, the target cannot use other polymorph spells or effects to assume a new form. Incorporeal or gaseous creatures are immune to &lt;i&gt;baleful polymorph&lt;/i&gt;, and a creature with the shapechanger subtype can revert to its natural form as a standard action.&lt;/p&gt;</t>
  </si>
  <si>
    <t>&lt;link rel="stylesheet"href="PF.css"&gt;&lt;div class="heading"&gt;&lt;p class="alignleft"&gt;Baleful Polymorph&lt;/p&gt;&lt;div style="clear: both;"&gt;&lt;/div&gt;&lt;/div&gt;&lt;div&gt;&lt;h5&gt;&lt;b&gt;School &lt;/b&gt;transmutation (polymorph); &lt;b&gt;Level &lt;/b&gt;druid 5, sorcerer/wizard 5, summoner 4, witch 5, magus 5, shaman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&lt;/b&gt;Fortitude negates, Will partial, see text; &lt;b&gt;Spell Resistance &lt;/b&gt;yes&lt;/h5&gt;&lt;/div&gt;&lt;hr/&gt;&lt;div&gt;&lt;h5&gt;&lt;b&gt;DESCRIPTION&lt;/b&gt;&lt;/h5&gt;&lt;/div&gt;&lt;hr/&gt;&lt;div&gt;&lt;h4&gt;&lt;p&gt;As &lt;i&gt;beast shape III&lt;/i&gt;, except that you change the subject into a Small or smaller animal of no more than 1 HD. If the new form would prove fatal to the creature, such as an aquatic creature not in water, the subject gets a +4 bonus on the save.&lt;/p&gt;&lt;p&gt;If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abilities.&lt;/p&gt;&lt;p&gt;Any polymorph effects on the target are automatically dispelled when a target fails to resist the effects of &lt;i&gt;baleful polymorph&lt;/i&gt;, and as long as &lt;i&gt;baleful polymorph&lt;/i&gt; remains in effect, the target cannot use other polymorph spells or effects to assume a new form. Incorporeal or gaseous creatures are immune to &lt;i&gt;baleful polymorph&lt;/i&gt;, and a creature with the shapechanger subtype can revert to its natural form as a standard action.&lt;/p&gt;&lt;/h4&gt;&lt;h5&gt;&lt;b&gt;Mythic: &lt;/b&gt;The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 per level, it takes on cosmetic features appropriate to that animal and becomes one size category closer to the animal's size.&lt;/h5&gt;&lt;h5&gt;&lt;b&gt;Augmented (9th)&lt;/b&gt;: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affected.&lt;/h5&gt;&lt;/div&gt;</t>
  </si>
  <si>
    <t>Transforms subject into harmless animal.</t>
  </si>
  <si>
    <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 per level, it takes on cosmetic features appropriate to that animal and becomes one size category closer to the animal's size.</t>
  </si>
  <si>
    <t>Augmented (9th):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t>
  </si>
  <si>
    <t>Prying Eyes</t>
  </si>
  <si>
    <t>You create a number of semitangible, visible magical orbs (called "eyes") equal to 1d4 + your caster level. These eyes move out, scout around, and return as you direct them when casting the spell. Each eye can see 120 feet (normal vision only) in all directions.  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  When you create the eyes, you specify instructions you want them to follow in a command of no more than 25 words. Any knowledge you possess is known by the eyes as well.  In order to report their findings, the eyes must return to your hand. Each replays in your mind all it has seen during its existence.  It takes an eye 1 round to replay 1 hour of recorded images. After relaying its findings, an eye disappears.  If an eye ever gets more than 1 mile away from you, it instantly ceases to exist. However, your link with the eye is such that you won't know if the eye was destroyed because it wandered out of range or because of some other event.  The eyes exist for up to 1 hour per caster level or until they return to you. Dispel magic can destroy eyes. Roll separately for each eye caught in an area dispel. Of course, if an eye is sent into darkness, it could hit a wall or similar obstacle and destroy itself.</t>
  </si>
  <si>
    <t>&lt;p&gt;You create a number of semitangible, visible magical orbs (called "eyes") equal to 1d4 + your caster level. These eyes move out, scout around, and return as you direct them when casting the spell. Each eye can see 120 feet (normal vision only) in all directions.&lt;/p&gt;&lt;p&gt;While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touch.&lt;/p&gt;&lt;p&gt;When you create the eyes, you specify instructions you want them to follow in a command of no more than 25 words. Any knowledge you possess is known by the eyes as well.&lt;/p&gt;&lt;p&gt;In order to report their findings, the eyes must return to your hand. Each replays in your mind all it has seen during its existence.&lt;/p&gt;&lt;p&gt;It takes an eye 1 round to replay 1 hour of recorded images. After relaying its findings, an eye disappears.&lt;/p&gt;&lt;p&gt;If an eye ever gets more than 1 mile away from you, it instantly ceases to exist. However, your link with the eye is such that you won't know if the eye was destroyed because it wandered out of range or because of some other event.&lt;/p&gt;&lt;p&gt;The eyes exist for up to 1 hour per caster level or until they return to you. &lt;i&gt;Dispel magic&lt;/i&gt; can destroy eyes. Roll separately for each eye caught in an area dispel. Of course, if an eye is sent into darkness, it could hit a wall or similar obstacle and destroy itself.&lt;/p&gt;</t>
  </si>
  <si>
    <t>&lt;link rel="stylesheet"href="PF.css"&gt;&lt;div class="heading"&gt;&lt;p class="alignleft"&gt;Prying Eyes&lt;/p&gt;&lt;div style="clear: both;"&gt;&lt;/div&gt;&lt;/div&gt;&lt;div&gt;&lt;h5&gt;&lt;b&gt;School &lt;/b&gt;divination; &lt;b&gt;Level &lt;/b&gt;sorcerer/wizard 5, witch 5, occultist 5, psychic 5, mesmerist 5, spiritualist 5&lt;/h5&gt;&lt;/div&gt;&lt;hr/&gt;&lt;div&gt;&lt;h5&gt;&lt;b&gt;CASTING&lt;/b&gt;&lt;/h5&gt;&lt;/div&gt;&lt;hr/&gt;&lt;div&gt;&lt;h5&gt;&lt;b&gt;Casting Time &lt;/b&gt;1 minute&lt;/h5&gt;&lt;h5&gt;&lt;b&gt;Components &lt;/b&gt;V, S, M (a handful of crystal marbles)&lt;/h5&gt;&lt;/div&gt;&lt;hr/&gt;&lt;div&gt;&lt;h5&gt;&lt;b&gt;EFFECT&lt;/b&gt;&lt;/h5&gt;&lt;/div&gt;&lt;hr/&gt;&lt;div&gt;&lt;h5&gt;&lt;b&gt;Range &lt;/b&gt;1 mile&lt;/h5&gt;&lt;h5&gt;&lt;b&gt;Effect &lt;/b&gt;10 or more levitating eyes&lt;/h5&gt;&lt;h5&gt;&lt;b&gt;Duration &lt;/b&gt;1 hour/level; see text (D)&lt;/h5&gt;&lt;h5&gt;&lt;b&gt;Saving Throw &lt;/b&gt;none; &lt;b&gt;Spell Resistance &lt;/b&gt;no&lt;/h5&gt;&lt;/div&gt;&lt;hr/&gt;&lt;div&gt;&lt;h5&gt;&lt;b&gt;DESCRIPTION&lt;/b&gt;&lt;/h5&gt;&lt;/div&gt;&lt;hr/&gt;&lt;div&gt;&lt;h4&gt;&lt;p&gt;You create a number of semitangible, visible magical orbs (called "eyes") equal to 1d4 + your caster level. These eyes move out, scout around, and return as you direct them when casting the spell. Each eye can see 120 feet (normal vision only) in all directions.&lt;/p&gt;&lt;p&gt;While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touch.&lt;/p&gt;&lt;p&gt;When you create the eyes, you specify instructions you want them to follow in a command of no more than 25 words. Any knowledge you possess is known by the eyes as well.&lt;/p&gt;&lt;p&gt;In order to report their findings, the eyes must return to your hand. Each replays in your mind all it has seen during its existence.&lt;/p&gt;&lt;p&gt;It takes an eye 1 round to replay 1 hour of recorded images. After relaying its findings, an eye disappears.&lt;/p&gt;&lt;p&gt;If an eye ever gets more than 1 mile away from you, it instantly ceases to exist. However, your link with the eye is such that you won't know if the eye was destroyed because it wandered out of range or because of some other event.&lt;/p&gt;&lt;p&gt;The eyes exist for up to 1 hour per caster level or until they return to you. &lt;i&gt;Dispel magic&lt;/i&gt; can destroy eyes. Roll separately for each eye caught in an area dispel. Of course, if an eye is sent into darkness, it could hit a wall or similar obstacle and destroy itself.&lt;/p&gt;&lt;/h4&gt;&lt;/div&gt;</t>
  </si>
  <si>
    <t> 1d4 + 1/level floating eyes scout for you.</t>
  </si>
  <si>
    <t>Rakshasa (11)</t>
  </si>
  <si>
    <t>Instant Summons</t>
  </si>
  <si>
    <t>V, S, M (sapphire worth 1,000 gp)</t>
  </si>
  <si>
    <t>one object weighing 10 lbs. or less whose longest dimension is 6 ft. or less</t>
  </si>
  <si>
    <t>You call some nonliving item directly to your hand from virtually any location.  First, you must place your arcane mark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  If the item is in the possession of another creature, the spell does not work, but you know who the possessor is and roughly where that creature is located when the summons occurs.  The inscription on the gem is invisible. It is also unreadable, except by means of a read magic spell, to anyone but you.  The item can be summoned from another plane, but only if no other creature has claimed ownership of it.</t>
  </si>
  <si>
    <t>&lt;p&gt;You call some nonliving item directly to your hand from virtually any location.&lt;/p&gt;&lt;p&gt;First, you must place your &lt;i&gt;arcane mark&lt;/i&gt;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way.&lt;/p&gt;&lt;p&gt;If the item is in the possession of another creature, the spell does not work, but you know who the possessor is and roughly where that creature is located when the summons occurs.&lt;/p&gt;&lt;p&gt;The inscription on the gem is invisible. It is also unreadable, except by means of a &lt;i&gt;read magic&lt;/i&gt; spell, to anyone but you.&lt;/p&gt;&lt;p&gt;The item can be summoned from another plane, but only if no other creature has claimed ownership of it.&lt;/p&gt;</t>
  </si>
  <si>
    <t>&lt;link rel="stylesheet"href="PF.css"&gt;&lt;div class="heading"&gt;&lt;p class="alignleft"&gt;Instant Summons&lt;/p&gt;&lt;div style="clear: both;"&gt;&lt;/div&gt;&lt;/div&gt;&lt;div&gt;&lt;h5&gt;&lt;b&gt;School &lt;/b&gt;conjuration (summoning); &lt;b&gt;Level &lt;/b&gt;sorcerer/wizard 7, witch 7, psychic 7&lt;/h5&gt;&lt;/div&gt;&lt;hr/&gt;&lt;div&gt;&lt;h5&gt;&lt;b&gt;CASTING&lt;/b&gt;&lt;/h5&gt;&lt;/div&gt;&lt;hr/&gt;&lt;div&gt;&lt;h5&gt;&lt;b&gt;Casting Time &lt;/b&gt;1 standard action&lt;/h5&gt;&lt;h5&gt;&lt;b&gt;Components &lt;/b&gt;V, S, M (sapphire worth 1,000 gp)&lt;/h5&gt;&lt;/div&gt;&lt;hr/&gt;&lt;div&gt;&lt;h5&gt;&lt;b&gt;EFFECT&lt;/b&gt;&lt;/h5&gt;&lt;/div&gt;&lt;hr/&gt;&lt;div&gt;&lt;h5&gt;&lt;b&gt;Range &lt;/b&gt;see text&lt;/h5&gt;&lt;h5&gt;&lt;b&gt;Targets &lt;/b&gt;one object weighing 10 lbs. or less whose longest dimension is 6 ft. or less&lt;/h5&gt;&lt;h5&gt;&lt;b&gt;Duration &lt;/b&gt;permanent until discharged&lt;/h5&gt;&lt;h5&gt;&lt;b&gt;Saving Throw &lt;/b&gt;none; &lt;b&gt;Spell Resistance &lt;/b&gt;no&lt;/h5&gt;&lt;/div&gt;&lt;hr/&gt;&lt;div&gt;&lt;h5&gt;&lt;b&gt;DESCRIPTION&lt;/b&gt;&lt;/h5&gt;&lt;/div&gt;&lt;hr/&gt;&lt;div&gt;&lt;h4&gt;&lt;p&gt;You call some nonliving item directly to your hand from virtually any location.&lt;/p&gt;&lt;p&gt;First, you must place your &lt;i&gt;arcane mark&lt;/i&gt;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way.&lt;/p&gt;&lt;p&gt;If the item is in the possession of another creature, the spell does not work, but you know who the possessor is and roughly where that creature is located when the summons occurs.&lt;/p&gt;&lt;p&gt;The inscription on the gem is invisible. It is also unreadable, except by means of a &lt;i&gt;read magic&lt;/i&gt; spell, to anyone but you.&lt;/p&gt;&lt;p&gt;The item can be summoned from another plane, but only if no other creature has claimed ownership of it.&lt;/p&gt;&lt;/h4&gt;&lt;/div&gt;</t>
  </si>
  <si>
    <t>Rune (7)</t>
  </si>
  <si>
    <t> Prepared object appears in your hand.</t>
  </si>
  <si>
    <t>Spellcasting Contract, Lesser</t>
  </si>
  <si>
    <t>cleric/oracle 5</t>
  </si>
  <si>
    <t>V, S, F (a written contract)</t>
  </si>
  <si>
    <t>willing creature touched</t>
  </si>
  <si>
    <t>permanent until contractually terminated</t>
  </si>
  <si>
    <t>This spell functions exactly like imbue with spell ability, except that you can imbue the target with any spell you have prepared (instead of just abjuration, divination, or conjuration [healing] spells) and the target may have more than one use of the imbued spells, depending upon the arrangements made when it is cast.  Casting this spell requires a contract between you and the target, explaining what spells are to be imbued and the circumstances that cause the contract to expire. The contract may be as simple as allowing the target one casting of each of the imbued spells (as per imbue with spell ability),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  Once you cast this spell, you cannot prepare a new 5th-level spell to replace it until the contract expires. If the number of 5th-level spells you can cast decreases, and that number drops below your current number of active lesser spellcasting contract spells, the more recently cast imbued spells are dispelled.  Unlike imbue with spell ability, how the target uses the spell has no reflection on your alignment or relationship with Asmodeus; the Prince of Darkness accepts that allowing another access to his magic for good may benefit his plans in the long run. Note that unlike imbue with spell ability, you cannot dismiss this spell; you must abide by the contract's termination clause (though the contract may include a proviso for at-will nullification by either or both parties). This spell cannot be combined with imbue with spell ability or similar spells to give a target more spells than the limit.  Example: You cast this spell on your 5 HD fighter cohort after negotiating an appropriate contract, imbuing him with the ability to cast cure moderate wounds, magic weapon, and shield of faith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t>
  </si>
  <si>
    <t>&lt;p&gt;This spell functions exactly like &lt;i&gt;imbue with spell ability&lt;/i&gt;, except that you can imbue the target with any spell you have prepared (instead of just abjuration, divination, or conjuration [healing] spells) and the target may have more than one use of the imbued spells, depending upon the arrangements made when it is cast.&lt;/p&gt;&lt;p&gt;Casting this spell requires a contract between you and the target, explaining what spells are to be imbued and the circumstances that cause the contract to expire. The contract may be as simple as allowing the target one casting of each of the imbued spells (as per &lt;i&gt;imbue with spell ability&lt;/i&gt;),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imbued.&lt;/p&gt;&lt;p&gt;Once you cast this spell, you cannot prepare a new 5th-level spell to replace it until the contract expires. If the number of 5th-level spells you can cast decreases, and that number drops below your current number of active &lt;i&gt;lesser spellcasting contract&lt;/i&gt; spells, the more recently cast imbued spells are dispelled.&lt;/p&gt;&lt;p&gt;Unlike &lt;i&gt;imbue with spell ability&lt;/i&gt;, how the target uses the spell has no reflection on your alignment or relationship with Asmodeus; the Prince of Darkness accepts that allowing another access to his magic for good may benefit his plans in the long run. Note that unlike &lt;i&gt;imbue with spell ability&lt;/i&gt;, you cannot dismiss this spell; you must abide by the contract's termination clause (though the contract may include a proviso for at-will nullification by either or both parties). This spell cannot be combined with &lt;i&gt;imbue with spell ability&lt;/i&gt; or similar spells to give a target more spells than the limit.&lt;/p&gt;&lt;p&gt;&lt;i&gt;Example:&lt;/i&gt; You cast this spell on your 5 HD fighter cohort after negotiating an appropriate contract, imbuing him with the ability to cast cure moderate wounds, magic weapon, and &lt;i&gt;shield of faith&lt;/i&gt;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effect.&lt;/p&gt;</t>
  </si>
  <si>
    <t>AP 29</t>
  </si>
  <si>
    <t>&lt;link rel="stylesheet"href="PF.css"&gt;&lt;div class="heading"&gt;&lt;p class="alignleft"&gt;Spellcasting Contract, Lesser&lt;/p&gt;&lt;div style="clear: both;"&gt;&lt;/div&gt;&lt;/div&gt;&lt;div&gt;&lt;h5&gt;&lt;b&gt;School &lt;/b&gt;evocation; &lt;b&gt;Level &lt;/b&gt;cleric/oracle 5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exactly like &lt;i&gt;imbue with spell ability&lt;/i&gt;, except that you can imbue the target with any spell you have prepared (instead of just abjuration, divination, or conjuration [healing] spells) and the target may have more than one use of the imbued spells, depending upon the arrangements made when it is cast.&lt;/p&gt;&lt;p&gt;Casting this spell requires a contract between you and the target, explaining what spells are to be imbued and the circumstances that cause the contract to expire. The contract may be as simple as allowing the target one casting of each of the imbued spells (as per &lt;i&gt;imbue with spell ability&lt;/i&gt;),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imbued.&lt;/p&gt;&lt;p&gt;Once you cast this spell, you cannot prepare a new 5th-level spell to replace it until the contract expires. If the number of 5th-level spells you can cast decreases, and that number drops below your current number of active &lt;i&gt;lesser spellcasting contract&lt;/i&gt; spells, the more recently cast imbued spells are dispelled.&lt;/p&gt;&lt;p&gt;Unlike &lt;i&gt;imbue with spell ability&lt;/i&gt;, how the target uses the spell has no reflection on your alignment or relationship with Asmodeus; the Prince of Darkness accepts that allowing another access to his magic for good may benefit his plans in the long run. Note that unlike &lt;i&gt;imbue with spell ability&lt;/i&gt;, you cannot dismiss this spell; you must abide by the contract's termination clause (though the contract may include a proviso for at-will nullification by either or both parties). This spell cannot be combined with &lt;i&gt;imbue with spell ability&lt;/i&gt; or similar spells to give a target more spells than the limit.&lt;/p&gt;&lt;p&gt;&lt;i&gt;Example:&lt;/i&gt; You cast this spell on your 5 HD fighter cohort after negotiating an appropriate contract, imbuing him with the ability to cast cure moderate wounds, magic weapon, and &lt;i&gt;shield of faith&lt;/i&gt;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effect.&lt;/p&gt;&lt;/h4&gt;&lt;/div&gt;</t>
  </si>
  <si>
    <t>Asmodeus</t>
  </si>
  <si>
    <t>Spellcasting Contract</t>
  </si>
  <si>
    <t>cleric/oracle 7</t>
  </si>
  <si>
    <t>This spell functions like lesser spellcasting contract, except if the target has 9 HD or more, you can imbue him with one or two 2ndlevel spells and one 3rd-level spell.</t>
  </si>
  <si>
    <t>&lt;p&gt;This spell functions like &lt;i&gt;lesser spellcasting contract&lt;/i&gt;, except if the target has 9 HD or more, you can imbue him with one or two 2ndlevel spells and one 3rd-level spell.&lt;/p&gt;</t>
  </si>
  <si>
    <t>&lt;link rel="stylesheet"href="PF.css"&gt;&lt;div class="heading"&gt;&lt;p class="alignleft"&gt;Spellcasting Contract&lt;/p&gt;&lt;div style="clear: both;"&gt;&lt;/div&gt;&lt;/div&gt;&lt;div&gt;&lt;h5&gt;&lt;b&gt;School &lt;/b&gt;evocation; &lt;b&gt;Level &lt;/b&gt;cleric/oracle 7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like &lt;i&gt;lesser spellcasting contract&lt;/i&gt;, except if the target has 9 HD or more, you can imbue him with one or two 2ndlevel spells and one 3rd-level spell.&lt;/p&gt;&lt;/h4&gt;&lt;/div&gt;</t>
  </si>
  <si>
    <t>Spellcasting Contract, Greater</t>
  </si>
  <si>
    <t>This spell functions like lesser spellcasting contract, except if the target has 13 HD or more you can imbue him with one or two 4thlevel spells and one 5th-level spell.</t>
  </si>
  <si>
    <t>&lt;p&gt;This spell functions like &lt;i&gt;lesser spellcasting contract&lt;/i&gt;, except if the target has 13 HD or more you can imbue him with one or two 4thlevel spells and one 5th-level spell.&lt;/p&gt;</t>
  </si>
  <si>
    <t>&lt;link rel="stylesheet"href="PF.css"&gt;&lt;div class="heading"&gt;&lt;p class="alignleft"&gt;Spellcasting Contract, Greater&lt;/p&gt;&lt;div style="clear: both;"&gt;&lt;/div&gt;&lt;/div&gt;&lt;div&gt;&lt;h5&gt;&lt;b&gt;School &lt;/b&gt;evocation; &lt;b&gt;Level &lt;/b&gt;cleric/oracle 9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like &lt;i&gt;lesser spellcasting contract&lt;/i&gt;, except if the target has 13 HD or more you can imbue him with one or two 4thlevel spells and one 5th-level spell.&lt;/p&gt;&lt;/h4&gt;&lt;/div&gt;</t>
  </si>
  <si>
    <t>Ancestral Communion</t>
  </si>
  <si>
    <t>bard 2, cleric/oracle 2</t>
  </si>
  <si>
    <t>V, S, F/DF (stone or metal image of your ancestor)</t>
  </si>
  <si>
    <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t>
  </si>
  <si>
    <t>&lt;p&gt;You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you.&lt;/p&gt;</t>
  </si>
  <si>
    <t>Dwarves of Golarion</t>
  </si>
  <si>
    <t>&lt;link rel="stylesheet"href="PF.css"&gt;&lt;div class="heading"&gt;&lt;p class="alignleft"&gt;Ancestral Communion&lt;/p&gt;&lt;div style="clear: both;"&gt;&lt;/div&gt;&lt;/div&gt;&lt;div&gt;&lt;h5&gt;&lt;b&gt;School &lt;/b&gt;divination; &lt;b&gt;Level &lt;/b&gt;bard 2, cleric/oracle 2&lt;/h5&gt;&lt;/div&gt;&lt;hr/&gt;&lt;div&gt;&lt;h5&gt;&lt;b&gt;CASTING&lt;/b&gt;&lt;/h5&gt;&lt;/div&gt;&lt;hr/&gt;&lt;div&gt;&lt;h5&gt;&lt;b&gt;Casting Time &lt;/b&gt;1 minute&lt;/h5&gt;&lt;h5&gt;&lt;b&gt;Components &lt;/b&gt;V, S, F/DF (stone or metal image of your ancestor)&lt;/h5&gt;&lt;/div&gt;&lt;hr/&gt;&lt;div&gt;&lt;h5&gt;&lt;b&gt;EFFECT&lt;/b&gt;&lt;/h5&gt;&lt;/div&gt;&lt;hr/&gt;&lt;div&gt;&lt;h5&gt;&lt;b&gt;Range &lt;/b&gt;personal&lt;/h5&gt;&lt;h5&gt;&lt;b&gt;Targets &lt;/b&gt;you&lt;/h5&gt;&lt;h5&gt;&lt;b&gt;Duration &lt;/b&gt;1 minute/level&lt;/h5&gt;&lt;/div&gt;&lt;hr/&gt;&lt;div&gt;&lt;h5&gt;&lt;b&gt;DESCRIPTION&lt;/b&gt;&lt;/h5&gt;&lt;/div&gt;&lt;hr/&gt;&lt;div&gt;&lt;h4&gt;&lt;p&gt;You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you.&lt;/p&gt;&lt;/h4&gt;&lt;/div&gt;</t>
  </si>
  <si>
    <t>Ancestral Gift</t>
  </si>
  <si>
    <t>bard 4, cleric/oracle 4</t>
  </si>
  <si>
    <t>magical weapon</t>
  </si>
  <si>
    <t>10 minutes/level</t>
  </si>
  <si>
    <t>A ghostly manifestation of one of your ancestors appears before you bearing a weapon of your choice in its hands. The weapon may be any simple, martial, or dwarven weapon. It has a +1 enhancement bonus and one weapon special ability (your choice) from the Pathfinder RPG Core Rulebook with a price equivalent to a +1 bonus (if the weapon is a double weapon, the ability and the enhancement bonus only apply to one end, or the weapon can have a +1 enhancement bonus on both ends but no other magical abilities).  You may use the weapon as if you were proficient in it. The weapon may not be wielded by anyone else, and if removed from your grasp, it vanishes and the spell ends immediately.  If you conjure a weapon with the flaming, frost, shock, or thundering property, this spell has the fire, cold, electricity, or sonic descriptor (respectively).</t>
  </si>
  <si>
    <t>&lt;p&gt;A ghostly manifestation of one of your ancestors appears before you bearing a weapon of your choice in its hands. The weapon may be any simple, martial, or dwarven weapon. It has a +1 enhancement bonus and one weapon special ability (your choice) from the &lt;i&gt;Pathfinder RPG Core Rulebook&lt;/i&gt; with a price equivalent to a +1 bonus (if the weapon is a double weapon, the ability and the enhancement bonus only apply to one end, or the weapon can have a +1 enhancement bonus on both ends but no other magical abilities).&lt;/p&gt;&lt;p&gt;You may use the weapon as if you were proficient in it. The weapon may not be wielded by anyone else, and if removed from your grasp, it vanishes and the spell ends immediately.&lt;/p&gt;&lt;p&gt;If you conjure a weapon with the flaming, frost, shock, or &lt;i&gt;thundering&lt;/i&gt; property, this spell has the fire, cold, electricity, or sonic descriptor (respectively).&lt;/p&gt;</t>
  </si>
  <si>
    <t>&lt;link rel="stylesheet"href="PF.css"&gt;&lt;div class="heading"&gt;&lt;p class="alignleft"&gt;Ancestral Gift&lt;/p&gt;&lt;div style="clear: both;"&gt;&lt;/div&gt;&lt;/div&gt;&lt;div&gt;&lt;h5&gt;&lt;b&gt;School &lt;/b&gt;conjuration (summoning); &lt;b&gt;Level &lt;/b&gt;bard 4, cleric/oracle 4&lt;/h5&gt;&lt;/div&gt;&lt;hr/&gt;&lt;div&gt;&lt;h5&gt;&lt;b&gt;CASTING&lt;/b&gt;&lt;/h5&gt;&lt;/div&gt;&lt;hr/&gt;&lt;div&gt;&lt;h5&gt;&lt;b&gt;Casting Time &lt;/b&gt;1 standard action&lt;/h5&gt;&lt;h5&gt;&lt;b&gt;Components &lt;/b&gt;V, S, F/DF (stone or metal image of your ancestor)&lt;/h5&gt;&lt;/div&gt;&lt;hr/&gt;&lt;div&gt;&lt;h5&gt;&lt;b&gt;EFFECT&lt;/b&gt;&lt;/h5&gt;&lt;/div&gt;&lt;hr/&gt;&lt;div&gt;&lt;h5&gt;&lt;b&gt;Range &lt;/b&gt;personal&lt;/h5&gt;&lt;h5&gt;&lt;b&gt;Effect &lt;/b&gt;magical weapon&lt;/h5&gt;&lt;h5&gt;&lt;b&gt;Duration &lt;/b&gt;10 minutes/level&lt;/h5&gt;&lt;/div&gt;&lt;hr/&gt;&lt;div&gt;&lt;h5&gt;&lt;b&gt;DESCRIPTION&lt;/b&gt;&lt;/h5&gt;&lt;/div&gt;&lt;hr/&gt;&lt;div&gt;&lt;h4&gt;&lt;p&gt;A ghostly manifestation of one of your ancestors appears before you bearing a weapon of your choice in its hands. The weapon may be any simple, martial, or dwarven weapon. It has a +1 enhancement bonus and one weapon special ability (your choice) from the &lt;i&gt;Pathfinder RPG Core Rulebook&lt;/i&gt; with a price equivalent to a +1 bonus (if the weapon is a double weapon, the ability and the enhancement bonus only apply to one end, or the weapon can have a +1 enhancement bonus on both ends but no other magical abilities).&lt;/p&gt;&lt;p&gt;You may use the weapon as if you were proficient in it. The weapon may not be wielded by anyone else, and if removed from your grasp, it vanishes and the spell ends immediately.&lt;/p&gt;&lt;p&gt;If you conjure a weapon with the flaming, frost, shock, or &lt;i&gt;thundering&lt;/i&gt; property, this spell has the fire, cold, electricity, or sonic descriptor (respectively).&lt;/p&gt;&lt;/h4&gt;&lt;/div&gt;</t>
  </si>
  <si>
    <t>Summon Ancestral Guardian</t>
  </si>
  <si>
    <t>bard 3, cleric/oracle 3</t>
  </si>
  <si>
    <t>two summoned ancestor spirits</t>
  </si>
  <si>
    <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spiritual weapon, except they can attack different targets and deal physical damage (bludgeoning, piercing, or slashing, according to the weapon the spirit wields) instead of force damage. Like creatures conjured with a summon monster spell, your ancestors are not harmed if these manifestations are destroyed.</t>
  </si>
  <si>
    <t>&lt;p&gt;You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&lt;i&gt;spiritual weapon&lt;/i&gt;, except they can attack different targets and deal physical damage (bludgeoning, piercing, or slashing, according to the weapon the spirit wields) instead of force damage. Like creatures conjured with a &lt;i&gt;summon monster&lt;/i&gt; spell, your ancestors are not harmed if these manifestations are destroyed.&lt;/p&gt;</t>
  </si>
  <si>
    <t>&lt;link rel="stylesheet"href="PF.css"&gt;&lt;div class="heading"&gt;&lt;p class="alignleft"&gt;Summon Ancestral Guardian&lt;/p&gt;&lt;div style="clear: both;"&gt;&lt;/div&gt;&lt;/div&gt;&lt;div&gt;&lt;h5&gt;&lt;b&gt;School &lt;/b&gt;conjuration (summoning); &lt;b&gt;Level &lt;/b&gt;bard 3, cleric/oracle 3&lt;/h5&gt;&lt;/div&gt;&lt;hr/&gt;&lt;div&gt;&lt;h5&gt;&lt;b&gt;CASTING&lt;/b&gt;&lt;/h5&gt;&lt;/div&gt;&lt;hr/&gt;&lt;div&gt;&lt;h5&gt;&lt;b&gt;Casting Time &lt;/b&gt;1 standard action&lt;/h5&gt;&lt;h5&gt;&lt;b&gt;Components &lt;/b&gt;V, S, F/DF (stone or metal image of your ancestor)&lt;/h5&gt;&lt;/div&gt;&lt;hr/&gt;&lt;div&gt;&lt;h5&gt;&lt;b&gt;EFFECT&lt;/b&gt;&lt;/h5&gt;&lt;/div&gt;&lt;hr/&gt;&lt;div&gt;&lt;h5&gt;&lt;b&gt;Range &lt;/b&gt;medium (100 ft. + 10 ft./level)&lt;/h5&gt;&lt;h5&gt;&lt;b&gt;Effect &lt;/b&gt;two summoned ancestor spirits&lt;/h5&gt;&lt;h5&gt;&lt;b&gt;Duration &lt;/b&gt;1 round/level (D)&lt;/h5&gt;&lt;h5&gt;&lt;b&gt;Saving Throw &lt;/b&gt;none; &lt;b&gt;Spell Resistance &lt;/b&gt;yes&lt;/h5&gt;&lt;/div&gt;&lt;hr/&gt;&lt;div&gt;&lt;h5&gt;&lt;b&gt;DESCRIPTION&lt;/b&gt;&lt;/h5&gt;&lt;/div&gt;&lt;hr/&gt;&lt;div&gt;&lt;h4&gt;&lt;p&gt;You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&lt;i&gt;spiritual weapon&lt;/i&gt;, except they can attack different targets and deal physical damage (bludgeoning, piercing, or slashing, according to the weapon the spirit wields) instead of force damage. Like creatures conjured with a &lt;i&gt;summon monster&lt;/i&gt; spell, your ancestors are not harmed if these manifestations are destroyed.&lt;/p&gt;&lt;/h4&gt;&lt;/div&gt;</t>
  </si>
  <si>
    <t>See Through Stone</t>
  </si>
  <si>
    <t>druid 4, ranger 3</t>
  </si>
  <si>
    <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  The spell does not negate concealment for those creatures hiding behind stone objects (the stone is still an obstacle to your attacks).</t>
  </si>
  <si>
    <t>&lt;p&gt;You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vision.&lt;/p&gt;&lt;p&gt;The spell does not negate concealment for those creatures hiding behind stone objects (the stone is still an obstacle to your attacks).&lt;/p&gt;</t>
  </si>
  <si>
    <t>&lt;link rel="stylesheet"href="PF.css"&gt;&lt;div class="heading"&gt;&lt;p class="alignleft"&gt;See Through Stone&lt;/p&gt;&lt;div style="clear: both;"&gt;&lt;/div&gt;&lt;/div&gt;&lt;div&gt;&lt;h5&gt;&lt;b&gt;School &lt;/b&gt;divination;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&lt;/b&gt;concentration, up to 1 round/level (D)&lt;/h5&gt;&lt;h5&gt;&lt;b&gt;Saving Throw &lt;/b&gt;Will negates (harmless); &lt;b&gt;Spell Resistance &lt;/b&gt;yes (harmless)&lt;/h5&gt;&lt;/div&gt;&lt;hr/&gt;&lt;div&gt;&lt;h5&gt;&lt;b&gt;DESCRIPTION&lt;/b&gt;&lt;/h5&gt;&lt;/div&gt;&lt;hr/&gt;&lt;div&gt;&lt;h4&gt;&lt;p&gt;You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vision.&lt;/p&gt;&lt;p&gt;The spell does not negate concealment for those creatures hiding behind stone objects (the stone is still an obstacle to your attacks).&lt;/p&gt;&lt;/h4&gt;&lt;/div&gt;</t>
  </si>
  <si>
    <t>Rune of Durability</t>
  </si>
  <si>
    <t>V, S, M (iron filings)</t>
  </si>
  <si>
    <t>You inscribe an angular rune upon the surface of a weapon, increasing its hit points. A weapon that bears this rune multiplies its hit points by 2, as if it were one size category larger than it actually is. Placing more than one rune of this type on a weapon has no effect.</t>
  </si>
  <si>
    <t>&lt;p&gt;You inscribe an angular rune upon the surface of a weapon, increasing its hit points. A weapon that bears this rune multiplies its hit points by 2, as if it were one size category larger than it actually is. Placing more than one rune of this type on a weapon has no effect.&lt;/p&gt;</t>
  </si>
  <si>
    <t>&lt;link rel="stylesheet"href="PF.css"&gt;&lt;div class="heading"&gt;&lt;p class="alignleft"&gt;Rune of Durability&lt;/p&gt;&lt;div style="clear: both;"&gt;&lt;/div&gt;&lt;/div&gt;&lt;div&gt;&lt;h5&gt;&lt;b&gt;School &lt;/b&gt;transmutation; &lt;b&gt;Level &lt;/b&gt;sorcerer/wizard 3&lt;/h5&gt;&lt;/div&gt;&lt;hr/&gt;&lt;div&gt;&lt;h5&gt;&lt;b&gt;CASTING&lt;/b&gt;&lt;/h5&gt;&lt;/div&gt;&lt;hr/&gt;&lt;div&gt;&lt;h5&gt;&lt;b&gt;Casting Time &lt;/b&gt;1 minute&lt;/h5&gt;&lt;h5&gt;&lt;b&gt;Components &lt;/b&gt;V, S, M (iron filings)&lt;/h5&gt;&lt;/div&gt;&lt;hr/&gt;&lt;div&gt;&lt;h5&gt;&lt;b&gt;EFFECT&lt;/b&gt;&lt;/h5&gt;&lt;/div&gt;&lt;hr/&gt;&lt;div&gt;&lt;h5&gt;&lt;b&gt;Range &lt;/b&gt;touch&lt;/h5&gt;&lt;h5&gt;&lt;b&gt;Targets &lt;/b&gt;weapon touched&lt;/h5&gt;&lt;h5&gt;&lt;b&gt;Duration &lt;/b&gt;permanent&lt;/h5&gt;&lt;h5&gt;&lt;b&gt;Saving Throw &lt;/b&gt;none; &lt;b&gt;Spell Resistance &lt;/b&gt;no&lt;/h5&gt;&lt;/div&gt;&lt;hr/&gt;&lt;div&gt;&lt;h5&gt;&lt;b&gt;DESCRIPTION&lt;/b&gt;&lt;/h5&gt;&lt;/div&gt;&lt;hr/&gt;&lt;div&gt;&lt;h4&gt;&lt;p&gt;You inscribe an angular rune upon the surface of a weapon, increasing its hit points. A weapon that bears this rune multiplies its hit points by 2, as if it were one size category larger than it actually is. Placing more than one rune of this type on a weapon has no effect.&lt;/p&gt;&lt;/h4&gt;&lt;/div&gt;</t>
  </si>
  <si>
    <t>Rune of Warding</t>
  </si>
  <si>
    <t>V, S, M (powdered adamantine, diamond, or mithral worth 200 gp)</t>
  </si>
  <si>
    <t>doorway or portal touched</t>
  </si>
  <si>
    <t>no (object) and yes (see text)</t>
  </si>
  <si>
    <t>You inscribe a series of runes upon the surface of a door or around the border of an entryway. They function as a glyph of warding (blast glyph), though unlike a glyph of warding, these runes are always visible. The runes count as a glyph of warding for the purpose of what spells can defeat it, placing multiple glyphs in the same area, and so on.</t>
  </si>
  <si>
    <t>&lt;p&gt;You inscribe a series of runes upon the surface of a door or around the border of an entryway. They function as a &lt;i&gt;glyph of warding&lt;/i&gt; (blast glyph), though unlike a &lt;i&gt;glyph of warding&lt;/i&gt;, these runes are always visible. The runes count as a &lt;i&gt;glyph of warding&lt;/i&gt; for the purpose of what spells can defeat it, placing multiple glyphs in the same area, and so on.&lt;/p&gt;</t>
  </si>
  <si>
    <t>&lt;link rel="stylesheet"href="PF.css"&gt;&lt;div class="heading"&gt;&lt;p class="alignleft"&gt;Rune of Warding&lt;/p&gt;&lt;div style="clear: both;"&gt;&lt;/div&gt;&lt;/div&gt;&lt;div&gt;&lt;h5&gt;&lt;b&gt;School &lt;/b&gt;abjuration; &lt;b&gt;Level &lt;/b&gt;sorcerer/wizard 3&lt;/h5&gt;&lt;/div&gt;&lt;hr/&gt;&lt;div&gt;&lt;h5&gt;&lt;b&gt;CASTING&lt;/b&gt;&lt;/h5&gt;&lt;/div&gt;&lt;hr/&gt;&lt;div&gt;&lt;h5&gt;&lt;b&gt;Casting Time &lt;/b&gt;1 hour&lt;/h5&gt;&lt;h5&gt;&lt;b&gt;Components &lt;/b&gt;V, S, M (powdered adamantine, diamond, or mithral worth 200 gp)&lt;/h5&gt;&lt;/div&gt;&lt;hr/&gt;&lt;div&gt;&lt;h5&gt;&lt;b&gt;EFFECT&lt;/b&gt;&lt;/h5&gt;&lt;/div&gt;&lt;hr/&gt;&lt;div&gt;&lt;h5&gt;&lt;b&gt;Range &lt;/b&gt;touch&lt;/h5&gt;&lt;h5&gt;&lt;b&gt;Targets &lt;/b&gt;doorway or portal touched&lt;/h5&gt;&lt;h5&gt;&lt;b&gt;Duration &lt;/b&gt;permanent until discharged (D)&lt;/h5&gt;&lt;h5&gt;&lt;b&gt;Saving Throw &lt;/b&gt;Reflex half; &lt;b&gt;Spell Resistance &lt;/b&gt;no (object) and yes (see text)&lt;/h5&gt;&lt;/div&gt;&lt;hr/&gt;&lt;div&gt;&lt;h5&gt;&lt;b&gt;DESCRIPTION&lt;/b&gt;&lt;/h5&gt;&lt;/div&gt;&lt;hr/&gt;&lt;div&gt;&lt;h4&gt;&lt;p&gt;You inscribe a series of runes upon the surface of a door or around the border of an entryway. They function as a &lt;i&gt;glyph of warding&lt;/i&gt; (blast glyph), though unlike a &lt;i&gt;glyph of warding&lt;/i&gt;, these runes are always visible. The runes count as a &lt;i&gt;glyph of warding&lt;/i&gt; for the purpose of what spells can defeat it, placing multiple glyphs in the same area, and so on.&lt;/p&gt;&lt;/h4&gt;&lt;/div&gt;</t>
  </si>
  <si>
    <t>Liberating Comand</t>
  </si>
  <si>
    <t>bard 1, cleric/oracle 1, druid 1, paladin 1, ranger 1, sorcerer/wizard 1</t>
  </si>
  <si>
    <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hold person spell or paralyzed by Strength damage).</t>
  </si>
  <si>
    <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&lt;i&gt;a hold person&lt;/i&gt; spell or paralyzed by Strength damage).&lt;/p&gt;</t>
  </si>
  <si>
    <t>Andoran</t>
  </si>
  <si>
    <t>&lt;link rel="stylesheet"href="PF.css"&gt;&lt;div class="heading"&gt;&lt;p class="alignleft"&gt;Liberating Comand&lt;/p&gt;&lt;div style="clear: both;"&gt;&lt;/div&gt;&lt;/div&gt;&lt;div&gt;&lt;h5&gt;&lt;b&gt;School &lt;/b&gt;transmutation; &lt;b&gt;Level &lt;/b&gt;bard 1, cleric/oracle 1, druid 1, paladin 1, ranger 1, sorcerer/wizard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&lt;i&gt;a hold person&lt;/i&gt; spell or paralyzed by Strength damage).&lt;/p&gt;&lt;/h4&gt;&lt;/div&gt;</t>
  </si>
  <si>
    <t>Suppres Charms and Compulsions</t>
  </si>
  <si>
    <t>bard 2, cleric/oracle 2, paladin 2, sorcerer/wizard 2</t>
  </si>
  <si>
    <t>one creature plus one additional creature per 4 levels, no two of which can be more than 30 ft. apart</t>
  </si>
  <si>
    <t>As remove fear, except the targets gain a +4 morale bonus on saves against charm and compulsion effects, and charms and compulsions in effect on the targets are suppressed for the duration of the spell.</t>
  </si>
  <si>
    <t>&lt;p&gt;As &lt;i&gt;remove fear&lt;/i&gt;, except the targets gain a +4 morale bonus on saves against charm and compulsion effects, and charms and compulsions in effect on the targets are suppressed for the duration of the spell.&lt;/p&gt;</t>
  </si>
  <si>
    <t>&lt;link rel="stylesheet"href="PF.css"&gt;&lt;div class="heading"&gt;&lt;p class="alignleft"&gt;Suppres Charms and Compulsions&lt;/p&gt;&lt;div style="clear: both;"&gt;&lt;/div&gt;&lt;/div&gt;&lt;div&gt;&lt;h5&gt;&lt;b&gt;School &lt;/b&gt;abjuration; &lt;b&gt;Level &lt;/b&gt;bard 2, cleric/oracle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4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(harmless)&lt;/h5&gt;&lt;/div&gt;&lt;hr/&gt;&lt;div&gt;&lt;h5&gt;&lt;b&gt;DESCRIPTION&lt;/b&gt;&lt;/h5&gt;&lt;/div&gt;&lt;hr/&gt;&lt;div&gt;&lt;h4&gt;&lt;p&gt;As &lt;i&gt;remove fear&lt;/i&gt;, except the targets gain a +4 morale bonus on saves against charm and compulsion effects, and charms and compulsions in effect on the targets are suppressed for the duration of the spell.&lt;/p&gt;&lt;/h4&gt;&lt;/div&gt;</t>
  </si>
  <si>
    <t>Genius Avaricious</t>
  </si>
  <si>
    <t>V, S, M (valuable offerings; see text), F (one gold coin)</t>
  </si>
  <si>
    <t>a vestige of the archdevil Mammon imbues a coin with a negotiable degree of power</t>
  </si>
  <si>
    <t>instantaneous (see text)</t>
  </si>
  <si>
    <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   In addition to the effects of any of these offerings, should the focus coin be swallowed, any being sired or conceived by the creature while the magic is in effect is born as a tie?ing (bearing an indirect relation to Mammon himself).</t>
  </si>
  <si>
    <t>&lt;p&gt;Casting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effects.&lt;/p&gt;&lt;p&gt;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chooses.&lt;/p&gt;&lt;p&gt;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level.&lt;/p&gt;&lt;p&gt;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points.&lt;/p&gt;&lt;p&gt; In addition to the effects of any of these offerings, should the focus coin be swallowed, any being sired or conceived by the creature while the magic is in effect is born as a tie?ing (bearing an indirect relation to Mammon himself).&lt;/p&gt;</t>
  </si>
  <si>
    <t>AP 30</t>
  </si>
  <si>
    <t>&lt;link rel="stylesheet"href="PF.css"&gt;&lt;div class="heading"&gt;&lt;p class="alignleft"&gt;Genius Avaricious&lt;/p&gt;&lt;div style="clear: both;"&gt;&lt;/div&gt;&lt;/div&gt;&lt;div&gt;&lt;h5&gt;&lt;b&gt;School &lt;/b&gt;conjuration (creation) [evil]; &lt;b&gt;Level &lt;/b&gt;cleric/oracle 6, sorcerer/wizard 6&lt;/h5&gt;&lt;/div&gt;&lt;hr/&gt;&lt;div&gt;&lt;h5&gt;&lt;b&gt;CASTING&lt;/b&gt;&lt;/h5&gt;&lt;/div&gt;&lt;hr/&gt;&lt;div&gt;&lt;h5&gt;&lt;b&gt;Casting Time &lt;/b&gt;10 minutes&lt;/h5&gt;&lt;h5&gt;&lt;b&gt;Components &lt;/b&gt;V, S, M (valuable offerings; see text), F (one gold coin)&lt;/h5&gt;&lt;/div&gt;&lt;hr/&gt;&lt;div&gt;&lt;h5&gt;&lt;b&gt;EFFECT&lt;/b&gt;&lt;/h5&gt;&lt;/div&gt;&lt;hr/&gt;&lt;div&gt;&lt;h5&gt;&lt;b&gt;Range &lt;/b&gt;touch&lt;/h5&gt;&lt;h5&gt;&lt;b&gt;Effect &lt;/b&gt;a vestige of the archdevil Mammon imbues a coin with a negotiable degree of power&lt;/h5&gt;&lt;h5&gt;&lt;b&gt;Duration &lt;/b&gt;instantaneous (see text)&lt;/h5&gt;&lt;h5&gt;&lt;b&gt;Saving Throw &lt;/b&gt;none; &lt;b&gt;Spell Resistance &lt;/b&gt;no&lt;/h5&gt;&lt;/div&gt;&lt;hr/&gt;&lt;div&gt;&lt;h5&gt;&lt;b&gt;DESCRIPTION&lt;/b&gt;&lt;/h5&gt;&lt;/div&gt;&lt;hr/&gt;&lt;div&gt;&lt;h4&gt;&lt;p&gt;Casting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effects.&lt;/p&gt;&lt;p&gt;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chooses.&lt;/p&gt;&lt;p&gt;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level.&lt;/p&gt;&lt;p&gt;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points.&lt;/p&gt;&lt;p&gt; In addition to the effects of any of these offerings, should the focus coin be swallowed, any being sired or conceived by the creature while the magic is in effect is born as a tie?ing (bearing an indirect relation to Mammon himself).&lt;/p&gt;&lt;/h4&gt;&lt;/div&gt;</t>
  </si>
  <si>
    <t>Protection from Energy</t>
  </si>
  <si>
    <t>cleric/oracle 3, druid 3, ranger 2, sorcerer/wizard 3, alchemist 3, summoner 3, inquisitor 3, bloodrager 3, shaman 3, occultist 3, psychic 3, spiritualist 3</t>
  </si>
  <si>
    <t>Protection from energy grants temporary immunity to the type of energy you specify when you cast it (acid, cold, electricity, fire, or sonic). When the spell absorbs 12 points per caster level of energy damage (to a maximum of 120 points at 10th level), it is discharged.  Protection from energy overlaps (and does not stack with) resist energy. If a character is warded by protection from energy and resist energy, the protection spell absorbs damage until its power is exhausted.</t>
  </si>
  <si>
    <t>&lt;p&gt;&lt;i&gt;Protection from energy&lt;/i&gt; grants temporary immunity to the type of energy you specify when you cast it (acid, cold, electricity, fire, or sonic). When the spell absorbs 12 points per caster level of energy damage (to a maximum of 120 points at 10th level), it is discharged.&lt;/p&gt;&lt;p&gt;&lt;i&gt;Protection from energy&lt;/i&gt; overlaps (and does not stack with) &lt;i&gt;&lt;i&gt;resist energy&lt;/i&gt;.&lt;/i&gt; If a character is warded by &lt;i&gt;&lt;i&gt;protection&lt;/i&gt; from energy&lt;/i&gt; and &lt;i&gt;resist energy&lt;/i&gt;, the &lt;i&gt;protection&lt;/i&gt; spell absorbs damage until its power is exhausted.&lt;/p&gt;</t>
  </si>
  <si>
    <t>&lt;link rel="stylesheet"href="PF.css"&gt;&lt;div class="heading"&gt;&lt;p class="alignleft"&gt;Protection from Energy&lt;/p&gt;&lt;div style="clear: both;"&gt;&lt;/div&gt;&lt;/div&gt;&lt;div&gt;&lt;h5&gt;&lt;b&gt;School &lt;/b&gt;abjuration; &lt;b&gt;Level &lt;/b&gt;cleric/oracle 3, druid 3, ranger 2, sorcerer/wizard 3, alchemist 3, summoner 3, inquisitor 3, bloodrager 3, shaman 3, occultist 3, psychic 3, spiritualist 3, alchemist 3, summoner 3, 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 or until discharged&lt;/h5&gt;&lt;h5&gt;&lt;b&gt;Saving Throw &lt;/b&gt;Fortitude negates (harmless); &lt;b&gt;Spell Resistance &lt;/b&gt;yes (harmless)&lt;/h5&gt;&lt;/div&gt;&lt;hr/&gt;&lt;div&gt;&lt;h5&gt;&lt;b&gt;DESCRIPTION&lt;/b&gt;&lt;/h5&gt;&lt;/div&gt;&lt;hr/&gt;&lt;div&gt;&lt;h4&gt;&lt;p&gt;&lt;i&gt;Protection from energy&lt;/i&gt; grants temporary immunity to the type of energy you specify when you cast it (acid, cold, electricity, fire, or sonic). When the spell absorbs 12 points per caster level of energy damage (to a maximum of 120 points at 10th level), it is discharged.&lt;/p&gt;&lt;p&gt;&lt;i&gt;Protection from energy&lt;/i&gt; overlaps (and does not stack with) &lt;i&gt;&lt;i&gt;resist energy&lt;/i&gt;.&lt;/i&gt; If a character is warded by &lt;i&gt;&lt;i&gt;protection&lt;/i&gt; from energy&lt;/i&gt; and &lt;i&gt;resist energy&lt;/i&gt;, the &lt;i&gt;protection&lt;/i&gt; spell absorbs damage until its power is exhausted.&lt;/p&gt;&lt;/h4&gt;&lt;/div&gt;</t>
  </si>
  <si>
    <t>Luck (3), Protection (3)</t>
  </si>
  <si>
    <t>Absorb 12 points/level of damage from one kind of energy.</t>
  </si>
  <si>
    <t>Destined (7), Elemental (7)</t>
  </si>
  <si>
    <t>Endurance (6)</t>
  </si>
  <si>
    <t>Retrieve Item</t>
  </si>
  <si>
    <t>bard 2, sorcerer/wizard 2</t>
  </si>
  <si>
    <t>an unattended object weighing 1 lb. or less whose longest dimension is 6 inches or less</t>
  </si>
  <si>
    <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  If the item is in the possession of another creature, the spell fails.</t>
  </si>
  <si>
    <t>&lt;p&gt;You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hand.&lt;/p&gt;&lt;p&gt;If the item is in the possession of another creature, the spell fails.&lt;/p&gt;</t>
  </si>
  <si>
    <t>Classic Treasures</t>
  </si>
  <si>
    <t>&lt;link rel="stylesheet"href="PF.css"&gt;&lt;div class="heading"&gt;&lt;p class="alignleft"&gt;Retrieve Item&lt;/p&gt;&lt;div style="clear: both;"&gt;&lt;/div&gt;&lt;/div&gt;&lt;div&gt;&lt;h5&gt;&lt;b&gt;School &lt;/b&gt;conjuration (calling); &lt;b&gt;Level &lt;/b&gt;bard 2, sorcerer/wizard 2&lt;/h5&gt;&lt;/div&gt;&lt;hr/&gt;&lt;div&gt;&lt;h5&gt;&lt;b&gt;CASTING&lt;/b&gt;&lt;/h5&gt;&lt;/div&gt;&lt;hr/&gt;&lt;div&gt;&lt;h5&gt;&lt;b&gt;Casting Time &lt;/b&gt;1 full round&lt;/h5&gt;&lt;h5&gt;&lt;b&gt;Components &lt;/b&gt;V, S&lt;/h5&gt;&lt;/div&gt;&lt;hr/&gt;&lt;div&gt;&lt;h5&gt;&lt;b&gt;EFFECT&lt;/b&gt;&lt;/h5&gt;&lt;/div&gt;&lt;hr/&gt;&lt;div&gt;&lt;h5&gt;&lt;b&gt;Range &lt;/b&gt;long (400 ft. + 40 ft./level)&lt;/h5&gt;&lt;h5&gt;&lt;b&gt;Targets &lt;/b&gt;an unattended object weighing 1 lb. or less whose longest dimension is 6 inches or less&lt;/h5&gt;&lt;h5&gt;&lt;b&gt;Duration &lt;/b&gt;permanent until discharged&lt;/h5&gt;&lt;h5&gt;&lt;b&gt;Saving Throw &lt;/b&gt;none; &lt;b&gt;Spell Resistance &lt;/b&gt;no&lt;/h5&gt;&lt;/div&gt;&lt;hr/&gt;&lt;div&gt;&lt;h5&gt;&lt;b&gt;DESCRIPTION&lt;/b&gt;&lt;/h5&gt;&lt;/div&gt;&lt;hr/&gt;&lt;div&gt;&lt;h4&gt;&lt;p&gt;You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hand.&lt;/p&gt;&lt;p&gt;If the item is in the possession of another creature, the spell fails.&lt;/p&gt;&lt;/h4&gt;&lt;/div&gt;</t>
  </si>
  <si>
    <t>Spherescry</t>
  </si>
  <si>
    <t>V, S, AF (onyx sphere worth at least 50 gp)</t>
  </si>
  <si>
    <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scrying spell, no other spells operate through the associated sphere, but spherescry produces no indication of its activity on the target and cannot be discovered by normal methods of magical detection.</t>
  </si>
  <si>
    <t>&lt;p&gt;This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&lt;i&gt;scrying&lt;/i&gt; spell, no other spells operate through the associated sphere, but &lt;i&gt;spherescry&lt;/i&gt; produces no indication of its activity on the target and cannot be discovered by normal methods of magical detection.&lt;/p&gt;</t>
  </si>
  <si>
    <t>&lt;link rel="stylesheet"href="PF.css"&gt;&lt;div class="heading"&gt;&lt;p class="alignleft"&gt;Spherescry&lt;/p&gt;&lt;div style="clear: both;"&gt;&lt;/div&gt;&lt;/div&gt;&lt;div&gt;&lt;h5&gt;&lt;b&gt;School &lt;/b&gt;divination (scrying); &lt;b&gt;Level &lt;/b&gt;sorcerer/wizard 3&lt;/h5&gt;&lt;/div&gt;&lt;hr/&gt;&lt;div&gt;&lt;h5&gt;&lt;b&gt;CASTING&lt;/b&gt;&lt;/h5&gt;&lt;/div&gt;&lt;hr/&gt;&lt;div&gt;&lt;h5&gt;&lt;b&gt;Casting Time &lt;/b&gt;1 hour&lt;/h5&gt;&lt;h5&gt;&lt;b&gt;Components &lt;/b&gt;V, S, AF (onyx sphere worth at least 50 gp)&lt;/h5&gt;&lt;/div&gt;&lt;hr/&gt;&lt;div&gt;&lt;h5&gt;&lt;b&gt;EFFECT&lt;/b&gt;&lt;/h5&gt;&lt;/div&gt;&lt;hr/&gt;&lt;div&gt;&lt;h5&gt;&lt;b&gt;Range &lt;/b&gt;see text&lt;/h5&gt;&lt;h5&gt;&lt;b&gt;Duration &lt;/b&gt;1 minute/level&lt;/h5&gt;&lt;h5&gt;&lt;b&gt;Saving Throw &lt;/b&gt;none; &lt;b&gt;Spell Resistance &lt;/b&gt;no&lt;/h5&gt;&lt;/div&gt;&lt;hr/&gt;&lt;div&gt;&lt;h5&gt;&lt;b&gt;DESCRIPTION&lt;/b&gt;&lt;/h5&gt;&lt;/div&gt;&lt;hr/&gt;&lt;div&gt;&lt;h4&gt;&lt;p&gt;This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&lt;i&gt;scrying&lt;/i&gt; spell, no other spells operate through the associated sphere, but &lt;i&gt;spherescry&lt;/i&gt; produces no indication of its activity on the target and cannot be discovered by normal methods of magical detection.&lt;/p&gt;&lt;/h4&gt;&lt;/div&gt;</t>
  </si>
  <si>
    <t>Illusory Poison</t>
  </si>
  <si>
    <t>1 minute/level or until discharged (see text)</t>
  </si>
  <si>
    <t>Will disbelief, then Fortitude (see text)</t>
  </si>
  <si>
    <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 Delay poison allows the target to ignore the effects of the phantasmal poison until the delay poison spell ends, at which time it may make a Will save to realize the poison is illusory and recover all illusory poison damage. Neutralize poison, lesser restoration, or restoration immediately recovers all damage from the spell. A successful dispel magic spell ends the effect of the illusion, as do spells that penetrate illusions (such as true seeing). The target automatically recovers all illusory poison damage after 1 hour.</t>
  </si>
  <si>
    <t>&lt;p&gt;You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damage.&lt;/p&gt;&lt;p&gt;&lt;i&gt;Delay poison&lt;/i&gt; allows the target to ignore the effects of the phantasmal poison until the &lt;i&gt;delay poison&lt;/i&gt; spell ends, at which time it may make a Will save to realize the poison is illusory and recover all illusory poison damage. &lt;i&gt;Neutralize poison&lt;/i&gt;, &lt;i&gt;lesser restoration&lt;/i&gt;, &lt;i&gt;or restoration&lt;/i&gt; immediately recovers all damage from the spell. A successful &lt;i&gt;dispel magic&lt;/i&gt; spell ends the effect of the illusion, as do spells that penetrate illusions (such as &lt;i&gt;true&lt;/i&gt; seeing).&lt;/p&gt;&lt;p&gt;The target automatically recovers all illusory poison damage after 1 hour.&lt;/p&gt;</t>
  </si>
  <si>
    <t>Gnomes Of Golarion</t>
  </si>
  <si>
    <t>&lt;link rel="stylesheet"href="PF.css"&gt;&lt;div class="heading"&gt;&lt;p class="alignleft"&gt;Illusory Poison&lt;/p&gt;&lt;div style="clear: both;"&gt;&lt;/div&gt;&lt;/div&gt;&lt;div&gt;&lt;h5&gt;&lt;b&gt;School &lt;/b&gt;illusion (phantasm) [mind-affecting]; &lt;b&gt;Level &lt;/b&gt;sorcerer/wizard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&lt;/b&gt;weapon touched&lt;/h5&gt;&lt;h5&gt;&lt;b&gt;Duration &lt;/b&gt;1 minute/level or until discharged (see text)&lt;/h5&gt;&lt;h5&gt;&lt;b&gt;Saving Throw &lt;/b&gt;Will disbelief, then Fortitude (see text); &lt;b&gt;Spell Resistance &lt;/b&gt;yes&lt;/h5&gt;&lt;/div&gt;&lt;hr/&gt;&lt;div&gt;&lt;h5&gt;&lt;b&gt;DESCRIPTION&lt;/b&gt;&lt;/h5&gt;&lt;/div&gt;&lt;hr/&gt;&lt;div&gt;&lt;h4&gt;&lt;p&gt;You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damage.&lt;/p&gt;&lt;p&gt;&lt;i&gt;Delay poison&lt;/i&gt; allows the target to ignore the effects of the phantasmal poison until the &lt;i&gt;delay poison&lt;/i&gt; spell ends, at which time it may make a Will save to realize the poison is illusory and recover all illusory poison damage. &lt;i&gt;Neutralize poison&lt;/i&gt;, &lt;i&gt;lesser restoration&lt;/i&gt;, &lt;i&gt;or restoration&lt;/i&gt; immediately recovers all damage from the spell. A successful &lt;i&gt;dispel magic&lt;/i&gt; spell ends the effect of the illusion, as do spells that penetrate illusions (such as &lt;i&gt;true&lt;/i&gt; seeing).&lt;/p&gt;&lt;p&gt;The target automatically recovers all illusory poison damage after 1 hour.&lt;/p&gt;&lt;/h4&gt;&lt;/div&gt;</t>
  </si>
  <si>
    <t>Arcane Reinforcement</t>
  </si>
  <si>
    <t>concentration (up to 8 hours)</t>
  </si>
  <si>
    <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  This spell originated among wizards of the Arcanamirium, though the Pathfinder Society also uses it.</t>
  </si>
  <si>
    <t>&lt;p&gt;You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benefit.&lt;/p&gt;&lt;p&gt;This spell originated among wizards of the Arcanamirium, though the Pathfinder Society also uses it.&lt;/p&gt;</t>
  </si>
  <si>
    <t>Faction Guide</t>
  </si>
  <si>
    <t>&lt;link rel="stylesheet"href="PF.css"&gt;&lt;div class="heading"&gt;&lt;p class="alignleft"&gt;Arcane Reinforcement&lt;/p&gt;&lt;div style="clear: both;"&gt;&lt;/div&gt;&lt;/div&gt;&lt;div&gt;&lt;h5&gt;&lt;b&gt;School &lt;/b&gt;transmutation; &lt;b&gt;Level &lt;/b&gt;sorcerer/wizard 3&lt;/h5&gt;&lt;/div&gt;&lt;hr/&gt;&lt;div&gt;&lt;h5&gt;&lt;b&gt;CASTING&lt;/b&gt;&lt;/h5&gt;&lt;/div&gt;&lt;hr/&gt;&lt;div&gt;&lt;h5&gt;&lt;b&gt;Casting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&lt;/b&gt;concentration (up to 8 hours)&lt;/h5&gt;&lt;/div&gt;&lt;hr/&gt;&lt;div&gt;&lt;h5&gt;&lt;b&gt;DESCRIPTION&lt;/b&gt;&lt;/h5&gt;&lt;/div&gt;&lt;hr/&gt;&lt;div&gt;&lt;h4&gt;&lt;p&gt;You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benefit.&lt;/p&gt;&lt;p&gt;This spell originated among wizards of the Arcanamirium, though the Pathfinder Society also uses it.&lt;/p&gt;&lt;/h4&gt;&lt;/div&gt;</t>
  </si>
  <si>
    <t>Canopic Conversion</t>
  </si>
  <si>
    <t>cleric/oracle 9, sorcerer/wizard 9</t>
  </si>
  <si>
    <t>V, S, F (four alabaster canopic jars worth 100 gp each), M (black onyx worth 100 gp per hit die of the target)</t>
  </si>
  <si>
    <t>one living humanoid</t>
  </si>
  <si>
    <t>instantaneous and see text</t>
  </si>
  <si>
    <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  The mummy is not under your control, but the canopic jars give the bearer certain powers over it. Anyone holding one of the jars can communicate with the mummy as if the two shared a common language. The bearer gains the benefits of protection from evil and sanctuary, but only against that mummy. Unsealing or breaking a jar is a standard action, which dissipates its power (and protection) but lets the bearer issue a short command to the mummy, similar to a suggestion spell (Will DC 23 negates). You (and only you) may unseal all 4 jars in a 10-minute ritual to control the mummy with an similar to geas (Will DC 23 negates); most casters typically include a restriction that the mummy will not harm them, as unsealing the jars leaves them vulnerable.  The pharaohs of ancient Osirion sometimes used this spell to punish their enemies. The Risen Guard does not use the spell (though they have access to it), preferring trustworthy living guardians for the Ruby Prince. The Whispering Way may have copies of the spell.</t>
  </si>
  <si>
    <t>&lt;p&gt;This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more).&lt;/p&gt;&lt;p&gt;The mummy is not under your control, but the canopic jars give the bearer certain powers over it. Anyone holding one of the jars can communicate with the mummy as if the two shared a common language. The bearer gains the benefits of &lt;i&gt;protection from evil&lt;/i&gt; and &lt;i&gt;sanctuary&lt;/i&gt;, but only against that mummy. Unsealing or breaking a jar is a standard action, which dissipates its power (and protection) but lets the bearer issue a short command to the mummy, similar to a &lt;i&gt;suggestion&lt;/i&gt; spell (Will DC 23 negates). You (and only you) may unseal all 4 jars in a 10-minute ritual to control the mummy with an similar to &lt;i&gt;geas&lt;/i&gt; (Will DC 23 negates); most casters typically include a restriction that the mummy will not harm them, as unsealing the jars leaves them vulnerable.&lt;/p&gt;&lt;p&gt;The pharaohs of ancient Osirion sometimes used this spell to punish their enemies. The Risen Guard does not use the spell (though they have access to it), preferring trustworthy living guardians for the Ruby Prince. The Whispering Way may have copies of the spell.&lt;/p&gt;</t>
  </si>
  <si>
    <t>&lt;link rel="stylesheet"href="PF.css"&gt;&lt;div class="heading"&gt;&lt;p class="alignleft"&gt;Canopic Conversion&lt;/p&gt;&lt;div style="clear: both;"&gt;&lt;/div&gt;&lt;/div&gt;&lt;div&gt;&lt;h5&gt;&lt;b&gt;School &lt;/b&gt;necromancy [death, evil]; &lt;b&gt;Level &lt;/b&gt;cleric/oracle 9, sorcerer/wizard 9&lt;/h5&gt;&lt;/div&gt;&lt;hr/&gt;&lt;div&gt;&lt;h5&gt;&lt;b&gt;CASTING&lt;/b&gt;&lt;/h5&gt;&lt;/div&gt;&lt;hr/&gt;&lt;div&gt;&lt;h5&gt;&lt;b&gt;Casting Time &lt;/b&gt;1 round&lt;/h5&gt;&lt;h5&gt;&lt;b&gt;Components &lt;/b&gt;V, S, F (four alabaster canopic jars worth 100 gp each), M (black onyx worth 100 gp per hit die of the target)&lt;/h5&gt;&lt;/div&gt;&lt;hr/&gt;&lt;div&gt;&lt;h5&gt;&lt;b&gt;EFFECT&lt;/b&gt;&lt;/h5&gt;&lt;/div&gt;&lt;hr/&gt;&lt;div&gt;&lt;h5&gt;&lt;b&gt;Range &lt;/b&gt;close (25 ft. + 5 ft./2 levels)&lt;/h5&gt;&lt;h5&gt;&lt;b&gt;Targets &lt;/b&gt;one living humanoid&lt;/h5&gt;&lt;h5&gt;&lt;b&gt;Duration &lt;/b&gt;instantaneous and see text&lt;/h5&gt;&lt;h5&gt;&lt;b&gt;Saving Throw &lt;/b&gt;Fortitude half; &lt;b&gt;Spell Resistance &lt;/b&gt;yes&lt;/h5&gt;&lt;/div&gt;&lt;hr/&gt;&lt;div&gt;&lt;h5&gt;&lt;b&gt;DESCRIPTION&lt;/b&gt;&lt;/h5&gt;&lt;/div&gt;&lt;hr/&gt;&lt;div&gt;&lt;h4&gt;&lt;p&gt;This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more).&lt;/p&gt;&lt;p&gt;The mummy is not under your control, but the canopic jars give the bearer certain powers over it. Anyone holding one of the jars can communicate with the mummy as if the two shared a common language. The bearer gains the benefits of &lt;i&gt;protection from evil&lt;/i&gt; and &lt;i&gt;sanctuary&lt;/i&gt;, but only against that mummy. Unsealing or breaking a jar is a standard action, which dissipates its power (and protection) but lets the bearer issue a short command to the mummy, similar to a &lt;i&gt;suggestion&lt;/i&gt; spell (Will DC 23 negates). You (and only you) may unseal all 4 jars in a 10-minute ritual to control the mummy with an similar to &lt;i&gt;geas&lt;/i&gt; (Will DC 23 negates); most casters typically include a restriction that the mummy will not harm them, as unsealing the jars leaves them vulnerable.&lt;/p&gt;&lt;p&gt;The pharaohs of ancient Osirion sometimes used this spell to punish their enemies. The Risen Guard does not use the spell (though they have access to it), preferring trustworthy living guardians for the Ruby Prince. The Whispering Way may have copies of the spell.&lt;/p&gt;&lt;/h4&gt;&lt;/div&gt;</t>
  </si>
  <si>
    <t>Chastise</t>
  </si>
  <si>
    <t>bard 1, sorcerer/wizard 1</t>
  </si>
  <si>
    <t>You gain a +5 bonus on Bluff, Diplomacy, and Intimidate checks to convince a listener that they will get in trouble with their superiors or with the law if they don't do what you ask.  This spell is primarily used by the Eagle Knights, though they did not create it; Hellknights also use it extensively to gather information and foster cooperation.</t>
  </si>
  <si>
    <t>&lt;p&gt;You gain a +5 bonus on Bluff, Diplomacy, and Intimidate checks to convince a listener that they will get in trouble with their superiors or with the law if they don't do what you ask.&lt;/p&gt;&lt;p&gt;This spell is primarily used by the Eagle Knights, though they did not create it; Hellknights also use it extensively to gather information and foster cooperation.&lt;/p&gt;</t>
  </si>
  <si>
    <t>&lt;link rel="stylesheet"href="PF.css"&gt;&lt;div class="heading"&gt;&lt;p class="alignleft"&gt;Chastise&lt;/p&gt;&lt;div style="clear: both;"&gt;&lt;/div&gt;&lt;/div&gt;&lt;div&gt;&lt;h5&gt;&lt;b&gt;School &lt;/b&gt;transmutation; &lt;b&gt;Level &lt;/b&gt;bard 1, sorcerer/wizard 1&lt;/h5&gt;&lt;/div&gt;&lt;hr/&gt;&lt;div&gt;&lt;h5&gt;&lt;b&gt;CASTING&lt;/b&gt;&lt;/h5&gt;&lt;/div&gt;&lt;hr/&gt;&lt;div&gt;&lt;h5&gt;&lt;b&gt;Casting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+5 bonus on Bluff, Diplomacy, and Intimidate checks to convince a listener that they will get in trouble with their superiors or with the law if they don't do what you ask.&lt;/p&gt;&lt;p&gt;This spell is primarily used by the Eagle Knights, though they did not create it; Hellknights also use it extensively to gather information and foster cooperation.&lt;/p&gt;&lt;/h4&gt;&lt;/div&gt;</t>
  </si>
  <si>
    <t>Summon Elemental Steed</t>
  </si>
  <si>
    <t>close (25 ft. + 5 ft./level)</t>
  </si>
  <si>
    <t>one chariot</t>
  </si>
  <si>
    <t>You summon a greater elemental (air, earth, fire, or water) bound in the form of a mighty chariot that moves at your command and can carry up to nine Medium creatures.  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  The elemental keeps all of its statistics and abilities, except it loses its slam attacks and gains a trample attack (Pathfinder RPG Bestiary 305).  When you use a summoning spell to summon an air, earth, fire, or water creature, it is a spell of that type.  This spell is almost exclusively used by the Green Faith.</t>
  </si>
  <si>
    <t>&lt;p&gt;You summon a greater elemental (air, earth, fire, or water) bound in the form of a mighty chariot that moves at your command and can carry up to nine Medium creatures.&lt;/p&gt;&lt;p&gt;Passengers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chariot.&lt;/p&gt;&lt;p&gt;The elemental keeps all of its statistics and abilities, except it loses its slam attacks and gains a trample attack (&lt;i&gt;Pathfinder&lt;/i&gt; &lt;i&gt;RPG Bestiary&lt;/i&gt; 305).&lt;/p&gt;&lt;p&gt;When you use a summoning spell to summon an air, earth, fire, or water creature, it is a spell of that type.&lt;/p&gt;&lt;p&gt;This spell is almost exclusively used by the Green Faith.&lt;/p&gt;</t>
  </si>
  <si>
    <t>&lt;link rel="stylesheet"href="PF.css"&gt;&lt;div class="heading"&gt;&lt;p class="alignleft"&gt;Summon Elemental Steed&lt;/p&gt;&lt;div style="clear: both;"&gt;&lt;/div&gt;&lt;/div&gt;&lt;div&gt;&lt;h5&gt;&lt;b&gt;School &lt;/b&gt;conjuration (summoning) [see text]; &lt;b&gt;Level &lt;/b&gt;druid 9&lt;/h5&gt;&lt;/div&gt;&lt;hr/&gt;&lt;div&gt;&lt;h5&gt;&lt;b&gt;CASTING&lt;/b&gt;&lt;/h5&gt;&lt;/div&gt;&lt;hr/&gt;&lt;div&gt;&lt;h5&gt;&lt;b&gt;Casting Time &lt;/b&gt;10 minutes&lt;/h5&gt;&lt;h5&gt;&lt;b&gt;Components &lt;/b&gt;V, S, DF&lt;/h5&gt;&lt;/div&gt;&lt;hr/&gt;&lt;div&gt;&lt;h5&gt;&lt;b&gt;EFFECT&lt;/b&gt;&lt;/h5&gt;&lt;/div&gt;&lt;hr/&gt;&lt;div&gt;&lt;h5&gt;&lt;b&gt;Range &lt;/b&gt;close (25 ft. + 5 ft./level)&lt;/h5&gt;&lt;h5&gt;&lt;b&gt;Effect &lt;/b&gt;one chariot&lt;/h5&gt;&lt;h5&gt;&lt;b&gt;Duration &lt;/b&gt;10 minutes/level (D)&lt;/h5&gt;&lt;h5&gt;&lt;b&gt;Saving Throw &lt;/b&gt;none; &lt;b&gt;Spell Resistance &lt;/b&gt;no&lt;/h5&gt;&lt;/div&gt;&lt;hr/&gt;&lt;div&gt;&lt;h5&gt;&lt;b&gt;DESCRIPTION&lt;/b&gt;&lt;/h5&gt;&lt;/div&gt;&lt;hr/&gt;&lt;div&gt;&lt;h4&gt;&lt;p&gt;You summon a greater elemental (air, earth, fire, or water) bound in the form of a mighty chariot that moves at your command and can carry up to nine Medium creatures.&lt;/p&gt;&lt;p&gt;Passengers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chariot.&lt;/p&gt;&lt;p&gt;The elemental keeps all of its statistics and abilities, except it loses its slam attacks and gains a trample attack (&lt;i&gt;Pathfinder&lt;/i&gt; &lt;i&gt;RPG Bestiary&lt;/i&gt; 305).&lt;/p&gt;&lt;p&gt;When you use a summoning spell to summon an air, earth, fire, or water creature, it is a spell of that type.&lt;/p&gt;&lt;p&gt;This spell is almost exclusively used by the Green Faith.&lt;/p&gt;&lt;/h4&gt;&lt;/div&gt;</t>
  </si>
  <si>
    <t>Hibernate</t>
  </si>
  <si>
    <t>You place a willing subject into a cataleptic state. It remains aware of its surroundings but is paralyzed, appearing dead unless observers make a DC 20 Heal check. Hibernate delays the effects of poison, disease, and bleed effects for the spell's duration, and half of any hit point damage suffered by the subject is converted to nonlethal damage.  This spell originated with the Green Faith, but has spread to all other druidic religions.</t>
  </si>
  <si>
    <t>&lt;p&gt;You place a willing subject into a cataleptic state. It remains aware of its surroundings but is paralyzed, appearing dead unless observers make a DC 20 Heal check. &lt;i&gt;Hibernate&lt;/i&gt; delays the effects of poison, disease, and bleed effects for the spell's duration, and half of any hit point damage suffered by the subject is converted to nonlethal damage.&lt;/p&gt;&lt;p&gt;This spell originated with the Green Faith, but has spread to all other druidic religions.&lt;/p&gt;</t>
  </si>
  <si>
    <t>&lt;link rel="stylesheet"href="PF.css"&gt;&lt;div class="heading"&gt;&lt;p class="alignleft"&gt;Hibernate&lt;/p&gt;&lt;div style="clear: both;"&gt;&lt;/div&gt;&lt;/div&gt;&lt;div&gt;&lt;h5&gt;&lt;b&gt;School &lt;/b&gt;necromancy;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 (D)&lt;/h5&gt;&lt;h5&gt;&lt;b&gt;Saving Throw &lt;/b&gt;none; &lt;b&gt;Spell Resistance &lt;/b&gt;no&lt;/h5&gt;&lt;/div&gt;&lt;hr/&gt;&lt;div&gt;&lt;h5&gt;&lt;b&gt;DESCRIPTION&lt;/b&gt;&lt;/h5&gt;&lt;/div&gt;&lt;hr/&gt;&lt;div&gt;&lt;h4&gt;&lt;p&gt;You place a willing subject into a cataleptic state. It remains aware of its surroundings but is paralyzed, appearing dead unless observers make a DC 20 Heal check. &lt;i&gt;Hibernate&lt;/i&gt; delays the effects of poison, disease, and bleed effects for the spell's duration, and half of any hit point damage suffered by the subject is converted to nonlethal damage.&lt;/p&gt;&lt;p&gt;This spell originated with the Green Faith, but has spread to all other druidic religions.&lt;/p&gt;&lt;/h4&gt;&lt;/div&gt;</t>
  </si>
  <si>
    <t>Sotto Voce</t>
  </si>
  <si>
    <t>fear, mind-affecting, sonic</t>
  </si>
  <si>
    <t>bard 1, cleric/oracle 0, sorcerer/wizard 0</t>
  </si>
  <si>
    <t>Your dry, rasping whisper fills a living creature of 4 or fewer Hit Dice with unnatural dread. The affected creature must make a Will save or be shaken for 1 round.  This spell originated among the followers of the Whispering Way, but necromancers and other intimidating folk outside that group are known to use it.</t>
  </si>
  <si>
    <t>&lt;p&gt;Your dry, rasping whisper fills a living creature of 4 or fewer Hit Dice with unnatural dread. The affected creature must make a Will save or be shaken for 1 round.&lt;/p&gt;&lt;p&gt;This spell originated among the followers of the Whispering Way, but necromancers and other intimidating folk outside that group are known to use it.&lt;/p&gt;</t>
  </si>
  <si>
    <t>&lt;link rel="stylesheet"href="PF.css"&gt;&lt;div class="heading"&gt;&lt;p class="alignleft"&gt;Sotto Voce&lt;/p&gt;&lt;div style="clear: both;"&gt;&lt;/div&gt;&lt;/div&gt;&lt;div&gt;&lt;h5&gt;&lt;b&gt;School &lt;/b&gt;necromancy [fear, mind-affecting, sonic]; &lt;b&gt;Level &lt;/b&gt;bard 1, cleric/oracle 0, sorcerer/wizard 0&lt;/h5&gt;&lt;/div&gt;&lt;hr/&gt;&lt;div&gt;&lt;h5&gt;&lt;b&gt;CASTING&lt;/b&gt;&lt;/h5&gt;&lt;/div&gt;&lt;hr/&gt;&lt;div&gt;&lt;h5&gt;&lt;b&gt;Casting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humanoid creature of 4 HD or less&lt;/h5&gt;&lt;h5&gt;&lt;b&gt;Duration &lt;/b&gt;1 round&lt;/h5&gt;&lt;h5&gt;&lt;b&gt;Saving Throw &lt;/b&gt;Will negates; &lt;b&gt;Spell Resistance &lt;/b&gt;yes&lt;/h5&gt;&lt;/div&gt;&lt;hr/&gt;&lt;div&gt;&lt;h5&gt;&lt;b&gt;DESCRIPTION&lt;/b&gt;&lt;/h5&gt;&lt;/div&gt;&lt;hr/&gt;&lt;div&gt;&lt;h4&gt;&lt;p&gt;Your dry, rasping whisper fills a living creature of 4 or fewer Hit Dice with unnatural dread. The affected creature must make a Will save or be shaken for 1 round.&lt;/p&gt;&lt;p&gt;This spell originated among the followers of the Whispering Way, but necromancers and other intimidating folk outside that group are known to use it.&lt;/p&gt;&lt;/h4&gt;&lt;/div&gt;</t>
  </si>
  <si>
    <t>Tomb Legion</t>
  </si>
  <si>
    <t>cleric/oracle 8, sorcerer/wizard 8</t>
  </si>
  <si>
    <t>Three or more advanced mummies, no two of which can be more than 30 ft. apart; see text</t>
  </si>
  <si>
    <t>This spell functions like shambler, except that it calls into existence 1d4+2 advanced mummies rather than shambling mounds.  Though the spell has fallen out of favor among the Risen Guard because the Ruby Prince frowns on the use of undead, this spell is popular among followers of the Whispering Way.</t>
  </si>
  <si>
    <t>&lt;p&gt;This spell functions like &lt;i&gt;shambler&lt;/i&gt;, except that it calls into existence 1d4+2 advanced mummies rather than shambling mounds.&lt;/p&gt;&lt;p&gt;Though the spell has fallen out of favor among the Risen Guard because the Ruby Prince frowns on the use of undead, this spell is popular among followers of the Whispering Way.&lt;/p&gt;</t>
  </si>
  <si>
    <t>&lt;link rel="stylesheet"href="PF.css"&gt;&lt;div class="heading"&gt;&lt;p class="alignleft"&gt;Tomb Legion&lt;/p&gt;&lt;div style="clear: both;"&gt;&lt;/div&gt;&lt;/div&gt;&lt;div&gt;&lt;h5&gt;&lt;b&gt;School &lt;/b&gt;necromancy [evil]; &lt;b&gt;Level &lt;/b&gt;cleric/oracle 8, sorcerer/wizard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advanced mummies, no two of which can be more than 30 ft. apart; see text&lt;/h5&gt;&lt;h5&gt;&lt;b&gt;Duration &lt;/b&gt;7 days or 7 months ; see text (D)&lt;/h5&gt;&lt;h5&gt;&lt;b&gt;Saving Throw &lt;/b&gt;none; &lt;b&gt;Spell Resistance &lt;/b&gt;no&lt;/h5&gt;&lt;/div&gt;&lt;hr/&gt;&lt;div&gt;&lt;h5&gt;&lt;b&gt;DESCRIPTION&lt;/b&gt;&lt;/h5&gt;&lt;/div&gt;&lt;hr/&gt;&lt;div&gt;&lt;h4&gt;&lt;p&gt;This spell functions like &lt;i&gt;shambler&lt;/i&gt;, except that it calls into existence 1d4+2 advanced mummies rather than shambling mounds.&lt;/p&gt;&lt;p&gt;Though the spell has fallen out of favor among the Risen Guard because the Ruby Prince frowns on the use of undead, this spell is popular among followers of the Whispering Way.&lt;/p&gt;&lt;/h4&gt;&lt;/div&gt;</t>
  </si>
  <si>
    <t>Tripvine</t>
  </si>
  <si>
    <t>bard 1, druid 1, sorcerer/wizard 1</t>
  </si>
  <si>
    <t>10-foot-long rope or vine</t>
  </si>
  <si>
    <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  The Green Faith created this spell, but it is now common.</t>
  </si>
  <si>
    <t>&lt;p&gt;You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it.&lt;/p&gt;&lt;p&gt;The Green Faith created this spell, but it is now common.&lt;/p&gt;</t>
  </si>
  <si>
    <t>&lt;link rel="stylesheet"href="PF.css"&gt;&lt;div class="heading"&gt;&lt;p class="alignleft"&gt;Tripvine&lt;/p&gt;&lt;div style="clear: both;"&gt;&lt;/div&gt;&lt;/div&gt;&lt;div&gt;&lt;h5&gt;&lt;b&gt;School &lt;/b&gt;transmutation; &lt;b&gt;Level &lt;/b&gt;bard 1, druid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&lt;/b&gt;10-foot-long rope or vine&lt;/h5&gt;&lt;h5&gt;&lt;b&gt;Duration &lt;/b&gt;10 minutes/level&lt;/h5&gt;&lt;h5&gt;&lt;b&gt;Saving Throw &lt;/b&gt;Reflex negates; &lt;b&gt;Spell Resistance &lt;/b&gt;no&lt;/h5&gt;&lt;/div&gt;&lt;hr/&gt;&lt;div&gt;&lt;h5&gt;&lt;b&gt;DESCRIPTION&lt;/b&gt;&lt;/h5&gt;&lt;/div&gt;&lt;hr/&gt;&lt;div&gt;&lt;h4&gt;&lt;p&gt;You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it.&lt;/p&gt;&lt;p&gt;The Green Faith created this spell, but it is now common.&lt;/p&gt;&lt;/h4&gt;&lt;/div&gt;</t>
  </si>
  <si>
    <t>Ape Walk</t>
  </si>
  <si>
    <t>druid 3, ranger 2, sorcerer/wizard 3</t>
  </si>
  <si>
    <t>V, S, M (an ape or monkey paw)</t>
  </si>
  <si>
    <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t>
  </si>
  <si>
    <t>&lt;p&gt;(harmless)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distances).&lt;/p&gt;</t>
  </si>
  <si>
    <t>Sargava</t>
  </si>
  <si>
    <t>&lt;link rel="stylesheet"href="PF.css"&gt;&lt;div class="heading"&gt;&lt;p class="alignleft"&gt;Ape Walk&lt;/p&gt;&lt;div style="clear: both;"&gt;&lt;/div&gt;&lt;/div&gt;&lt;div&gt;&lt;h5&gt;&lt;b&gt;School &lt;/b&gt;transmutation; &lt;b&gt;Level &lt;/b&gt;druid 3, ranger 2, sorcerer/wizard 3&lt;/h5&gt;&lt;/div&gt;&lt;hr/&gt;&lt;div&gt;&lt;h5&gt;&lt;b&gt;CASTING&lt;/b&gt;&lt;/h5&gt;&lt;/div&gt;&lt;hr/&gt;&lt;div&gt;&lt;h5&gt;&lt;b&gt;Casting Time &lt;/b&gt;1 standard action&lt;/h5&gt;&lt;h5&gt;&lt;b&gt;Components &lt;/b&gt;V, S, M (an ape or monkey paw)&lt;/h5&gt;&lt;/div&gt;&lt;hr/&gt;&lt;div&gt;&lt;h5&gt;&lt;b&gt;EFFECT&lt;/b&gt;&lt;/h5&gt;&lt;/div&gt;&lt;hr/&gt;&lt;div&gt;&lt;h5&gt;&lt;b&gt;Range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distances).&lt;/p&gt;&lt;/h4&gt;&lt;/div&gt;</t>
  </si>
  <si>
    <t>Defoliate</t>
  </si>
  <si>
    <t>druid 2, ranger 1, sorcerer/wizard 2</t>
  </si>
  <si>
    <t>V, S, M (a locust)</t>
  </si>
  <si>
    <t>You hurl a tiny ball of negative energy, destroying plant life either in a line 60 feet long or a 10-foot-radius spread. This effect removes the cover and concealment provided by trees and undergrowth, eliminates the movement penalties associated with undergrowth, and so forth.  You may also target a single plant creature with this spell.  You must succeed on a ranged touch attack to hit your target.  An affected plant creature takes 2d8 points of damage.</t>
  </si>
  <si>
    <t>&lt;p&gt;You hurl a tiny ball of negative energy, destroying plant life either in a line 60 feet long or a 10-foot-radius spread. This effect removes the cover and concealment provided by trees and undergrowth, eliminates the movement penalties associated with undergrowth, and so forth.&lt;/p&gt;&lt;p&gt;You may also target a single plant creature with this spell.&lt;/p&gt;&lt;p&gt;You must succeed on a ranged touch attack to hit your target.&lt;/p&gt;&lt;p&gt;An affected plant creature takes 2d8 points of damage.&lt;/p&gt;</t>
  </si>
  <si>
    <t>&lt;link rel="stylesheet"href="PF.css"&gt;&lt;div class="heading"&gt;&lt;p class="alignleft"&gt;Defoliate&lt;/p&gt;&lt;div style="clear: both;"&gt;&lt;/div&gt;&lt;/div&gt;&lt;div&gt;&lt;h5&gt;&lt;b&gt;School &lt;/b&gt;necromancy; &lt;b&gt;Level &lt;/b&gt;druid 2, ranger 1, sorcerer/wizard 2&lt;/h5&gt;&lt;/div&gt;&lt;hr/&gt;&lt;div&gt;&lt;h5&gt;&lt;b&gt;CASTING&lt;/b&gt;&lt;/h5&gt;&lt;/div&gt;&lt;hr/&gt;&lt;div&gt;&lt;h5&gt;&lt;b&gt;Casting Time &lt;/b&gt;1 standard action&lt;/h5&gt;&lt;h5&gt;&lt;b&gt;Components &lt;/b&gt;V, S, M (a locust)&lt;/h5&gt;&lt;/div&gt;&lt;hr/&gt;&lt;div&gt;&lt;h5&gt;&lt;b&gt;EFFECT&lt;/b&gt;&lt;/h5&gt;&lt;/div&gt;&lt;hr/&gt;&lt;div&gt;&lt;h5&gt;&lt;b&gt;Range &lt;/b&gt;close (25 ft. + 5 ft./2 levels)&lt;/h5&gt;&lt;h5&gt;&lt;b&gt;Area &lt;/b&gt;see text&lt;/h5&gt;&lt;h5&gt;&lt;b&gt;Targets &lt;/b&gt;see text&lt;/h5&gt;&lt;h5&gt;&lt;b&gt;Duration &lt;/b&gt;instantaneous&lt;/h5&gt;&lt;h5&gt;&lt;b&gt;Saving Throw &lt;/b&gt;none; &lt;b&gt;Spell Resistance &lt;/b&gt;yes&lt;/h5&gt;&lt;/div&gt;&lt;hr/&gt;&lt;div&gt;&lt;h5&gt;&lt;b&gt;DESCRIPTION&lt;/b&gt;&lt;/h5&gt;&lt;/div&gt;&lt;hr/&gt;&lt;div&gt;&lt;h4&gt;&lt;p&gt;You hurl a tiny ball of negative energy, destroying plant life either in a line 60 feet long or a 10-foot-radius spread. This effect removes the cover and concealment provided by trees and undergrowth, eliminates the movement penalties associated with undergrowth, and so forth.&lt;/p&gt;&lt;p&gt;You may also target a single plant creature with this spell.&lt;/p&gt;&lt;p&gt;You must succeed on a ranged touch attack to hit your target.&lt;/p&gt;&lt;p&gt;An affected plant creature takes 2d8 points of damage.&lt;/p&gt;&lt;/h4&gt;&lt;/div&gt;</t>
  </si>
  <si>
    <t>Radiation (8)</t>
  </si>
  <si>
    <t>Heatstroke</t>
  </si>
  <si>
    <t>druid 3, sorcerer/wizard 3</t>
  </si>
  <si>
    <t>Fortitude partial, see text</t>
  </si>
  <si>
    <t>A wavering red ray projects from your finger. You must succeed on a ranged touch attack with the ray to hit your target.  The ray inflicts 1d4 points of nonlethal damage, causing the target to suffer from heatstroke as its body temperature dramatically increases. Except as noted above, this spell otherwise functions as ray of exhaustion.  Characters wearing heavy clothing or armor of any sort take a -4 penalty on their saves.</t>
  </si>
  <si>
    <t>&lt;p&gt;A wavering red ray projects from your finger. You must succeed on a ranged touch attack with the ray to hit your target.&lt;/p&gt;&lt;p&gt;The ray inflicts 1d4 points of nonlethal damage, causing the target to suffer from heatstroke as its body temperature dramatically increases. Except as noted above, this spell otherwise functions as &lt;i&gt;ray of exhaustion&lt;/i&gt;.&lt;/p&gt;&lt;p&gt;Characters wearing heavy clothing or armor of any sort take a -4 penalty on their saves.&lt;/p&gt;</t>
  </si>
  <si>
    <t>&lt;link rel="stylesheet"href="PF.css"&gt;&lt;div class="heading"&gt;&lt;p class="alignleft"&gt;Heatstroke&lt;/p&gt;&lt;div style="clear: both;"&gt;&lt;/div&gt;&lt;/div&gt;&lt;div&gt;&lt;h5&gt;&lt;b&gt;School &lt;/b&gt;evocation [fire]; &lt;b&gt;Level &lt;/b&gt;druid 3, sorcerer/wizard 3&lt;/h5&gt;&lt;/div&gt;&lt;hr/&gt;&lt;div&gt;&lt;h5&gt;&lt;b&gt;CASTING&lt;/b&gt;&lt;/h5&gt;&lt;/div&gt;&lt;hr/&gt;&lt;div&gt;&lt;h5&gt;&lt;b&gt;Casting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minute/level&lt;/h5&gt;&lt;h5&gt;&lt;b&gt;Saving Throw &lt;/b&gt;Fortitude partial, see text; &lt;b&gt;Spell Resistance &lt;/b&gt;yes&lt;/h5&gt;&lt;/div&gt;&lt;hr/&gt;&lt;div&gt;&lt;h5&gt;&lt;b&gt;DESCRIPTION&lt;/b&gt;&lt;/h5&gt;&lt;/div&gt;&lt;hr/&gt;&lt;div&gt;&lt;h4&gt;&lt;p&gt;A wavering red ray projects from your finger. You must succeed on a ranged touch attack with the ray to hit your target.&lt;/p&gt;&lt;p&gt;The ray inflicts 1d4 points of nonlethal damage, causing the target to suffer from heatstroke as its body temperature dramatically increases. Except as noted above, this spell otherwise functions as &lt;i&gt;ray of exhaustion&lt;/i&gt;.&lt;/p&gt;&lt;p&gt;Characters wearing heavy clothing or armor of any sort take a -4 penalty on their saves.&lt;/p&gt;&lt;/h4&gt;&lt;/div&gt;</t>
  </si>
  <si>
    <t>Swallow Your Fear</t>
  </si>
  <si>
    <t>bard 1, cleric/oracle 1</t>
  </si>
  <si>
    <t>You make the affected subjects ready for battle despite their fear. If a target is suffering from a fear effect of any kind, he gains a +2 morale bonus to Strength and Constitution, a +1 morale bonus on Will saves, and a -2 penalty to AC.  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t>
  </si>
  <si>
    <t>&lt;p&gt;You make the affected subjects ready for battle despite their fear. If a target is suffering from a fear effect of any kind, he gains a +2 morale bonus to Strength and Constitution, a +1 morale bonus on Will saves, and a -2 penalty to AC.&lt;/p&gt;&lt;p&gt;If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effect.&lt;/p&gt;</t>
  </si>
  <si>
    <t>AP 35</t>
  </si>
  <si>
    <t>&lt;link rel="stylesheet"href="PF.css"&gt;&lt;div class="heading"&gt;&lt;p class="alignleft"&gt;Swallow Your Fear&lt;/p&gt;&lt;div style="clear: both;"&gt;&lt;/div&gt;&lt;/div&gt;&lt;div&gt;&lt;h5&gt;&lt;b&gt;School &lt;/b&gt;enchantment; &lt;b&gt;Level &lt;/b&gt;bard 1, cleric/oracle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four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(harmless)&lt;/h5&gt;&lt;/div&gt;&lt;hr/&gt;&lt;div&gt;&lt;h5&gt;&lt;b&gt;DESCRIPTION&lt;/b&gt;&lt;/h5&gt;&lt;/div&gt;&lt;hr/&gt;&lt;div&gt;&lt;h4&gt;&lt;p&gt;You make the affected subjects ready for battle despite their fear. If a target is suffering from a fear effect of any kind, he gains a +2 morale bonus to Strength and Constitution, a +1 morale bonus on Will saves, and a -2 penalty to AC.&lt;/p&gt;&lt;p&gt;If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effect.&lt;/p&gt;&lt;/h4&gt;&lt;/div&gt;</t>
  </si>
  <si>
    <t>Blood Rage</t>
  </si>
  <si>
    <t>adept 3, bard 2, cleric/oracle 3, sorcerer/wizard 3</t>
  </si>
  <si>
    <t>V, S, M (a drop of blood from each creature to be affected)</t>
  </si>
  <si>
    <t>one willing living creature per 2 levels, no two of which may be more than 30 ft. apart</t>
  </si>
  <si>
    <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t>
  </si>
  <si>
    <t>&lt;p&gt;The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unconscious.&lt;/p&gt;</t>
  </si>
  <si>
    <t>Orcs of Golarion</t>
  </si>
  <si>
    <t>&lt;link rel="stylesheet"href="PF.css"&gt;&lt;div class="heading"&gt;&lt;p class="alignleft"&gt;Blood Rage&lt;/p&gt;&lt;div style="clear: both;"&gt;&lt;/div&gt;&lt;/div&gt;&lt;div&gt;&lt;h5&gt;&lt;b&gt;School &lt;/b&gt;enchantment (compulsion) [mind-affecting]; &lt;b&gt;Level &lt;/b&gt;adept 3, bard 2, cleric/oracle 3, sorcerer/wizard 3&lt;/h5&gt;&lt;/div&gt;&lt;hr/&gt;&lt;div&gt;&lt;h5&gt;&lt;b&gt;CASTING&lt;/b&gt;&lt;/h5&gt;&lt;/div&gt;&lt;hr/&gt;&lt;div&gt;&lt;h5&gt;&lt;b&gt;Casting Time &lt;/b&gt;1 standard action&lt;/h5&gt;&lt;h5&gt;&lt;b&gt;Components &lt;/b&gt;V, S, M (a drop of blood from each creature to be affected)&lt;/h5&gt;&lt;/div&gt;&lt;hr/&gt;&lt;div&gt;&lt;h5&gt;&lt;b&gt;EFFECT&lt;/b&gt;&lt;/h5&gt;&lt;/div&gt;&lt;hr/&gt;&lt;div&gt;&lt;h5&gt;&lt;b&gt;Range &lt;/b&gt;close (25 ft. + 5 ft./level)&lt;/h5&gt;&lt;h5&gt;&lt;b&gt;Targets &lt;/b&gt;one willing living creature per 2 levels, no two of which may be more than 30 ft. apart&lt;/h5&gt;&lt;h5&gt;&lt;b&gt;Duration &lt;/b&gt;1 round/level&lt;/h5&gt;&lt;h5&gt;&lt;b&gt;Saving Throw &lt;/b&gt;Will negates (harmless); &lt;b&gt;Spell Resistance &lt;/b&gt;yes (harmless)&lt;/h5&gt;&lt;/div&gt;&lt;hr/&gt;&lt;div&gt;&lt;h5&gt;&lt;b&gt;DESCRIPTION&lt;/b&gt;&lt;/h5&gt;&lt;/div&gt;&lt;hr/&gt;&lt;div&gt;&lt;h4&gt;&lt;p&gt;The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unconscious.&lt;/p&gt;&lt;/h4&gt;&lt;/div&gt;</t>
  </si>
  <si>
    <t>Shield the Banner</t>
  </si>
  <si>
    <t>adept 1, cleric/oracle 1</t>
  </si>
  <si>
    <t>standard touched</t>
  </si>
  <si>
    <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t>
  </si>
  <si>
    <t>&lt;p&gt;This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spell.&lt;/p&gt;</t>
  </si>
  <si>
    <t>&lt;link rel="stylesheet"href="PF.css"&gt;&lt;div class="heading"&gt;&lt;p class="alignleft"&gt;Shield the Banner&lt;/p&gt;&lt;div style="clear: both;"&gt;&lt;/div&gt;&lt;/div&gt;&lt;div&gt;&lt;h5&gt;&lt;b&gt;School &lt;/b&gt;abjuration; &lt;b&gt;Level &lt;/b&gt;adept 1, cleric/oracle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&lt;/b&gt;standard touched&lt;/h5&gt;&lt;h5&gt;&lt;b&gt;Duration &lt;/b&gt;1 minute/level&lt;/h5&gt;&lt;h5&gt;&lt;b&gt;Saving Throw &lt;/b&gt;Will negates; &lt;b&gt;Spell Resistance &lt;/b&gt;no&lt;/h5&gt;&lt;/div&gt;&lt;hr/&gt;&lt;div&gt;&lt;h5&gt;&lt;b&gt;DESCRIPTION&lt;/b&gt;&lt;/h5&gt;&lt;/div&gt;&lt;hr/&gt;&lt;div&gt;&lt;h4&gt;&lt;p&gt;This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spell.&lt;/p&gt;&lt;/h4&gt;&lt;/div&gt;</t>
  </si>
  <si>
    <t>Vigor</t>
  </si>
  <si>
    <t>adept 0, cleric/oracle 0</t>
  </si>
  <si>
    <t>This spell infuses the subject with a small surge of strength. The creature gets a +1 competence bonus on a single melee damage roll. It must choose to use the bonus before making the roll to which it applies. Ranged or spell attacks are unaffected by this spell.</t>
  </si>
  <si>
    <t>&lt;p&gt;This spell infuses the subject with a small surge of strength.&lt;/p&gt;&lt;p&gt;The creature gets a +1 competence bonus on a single melee damage roll. It must choose to use the bonus before making the roll to which it applies. &lt;b&gt;Range&lt;/b&gt;d or spell attacks are unaffected by this spell.&lt;/p&gt;</t>
  </si>
  <si>
    <t>&lt;link rel="stylesheet"href="PF.css"&gt;&lt;div class="heading"&gt;&lt;p class="alignleft"&gt;Vigor&lt;/p&gt;&lt;div style="clear: both;"&gt;&lt;/div&gt;&lt;/div&gt;&lt;div&gt;&lt;h5&gt;&lt;b&gt;School &lt;/b&gt;transmutation; &lt;b&gt;Level &lt;/b&gt;adept 0, cleric/oracle 0&lt;/h5&gt;&lt;/div&gt;&lt;hr/&gt;&lt;div&gt;&lt;h5&gt;&lt;b&gt;CASTING&lt;/b&gt;&lt;/h5&gt;&lt;/div&gt;&lt;hr/&gt;&lt;div&gt;&lt;h5&gt;&lt;b&gt;Casting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 or until discharged&lt;/h5&gt;&lt;h5&gt;&lt;b&gt;Saving Throw &lt;/b&gt;Will negates (harmless); &lt;b&gt;Spell Resistance &lt;/b&gt;yes&lt;/h5&gt;&lt;/div&gt;&lt;hr/&gt;&lt;div&gt;&lt;h5&gt;&lt;b&gt;DESCRIPTION&lt;/b&gt;&lt;/h5&gt;&lt;/div&gt;&lt;hr/&gt;&lt;div&gt;&lt;h4&gt;&lt;p&gt;This spell infuses the subject with a small surge of strength.&lt;/p&gt;&lt;p&gt;The creature gets a +1 competence bonus on a single melee damage roll. It must choose to use the bonus before making the roll to which it applies. Ranged or spell attacks are unaffected by this spell.&lt;/p&gt;&lt;/h4&gt;&lt;/div&gt;</t>
  </si>
  <si>
    <t>Absorbing Touch</t>
  </si>
  <si>
    <t>alchemist 3</t>
  </si>
  <si>
    <t>1 day/level (D)</t>
  </si>
  <si>
    <t>Fortitude negates (object)</t>
  </si>
  <si>
    <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  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t>
  </si>
  <si>
    <t>&lt;p&gt;You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absorbed.&lt;/p&gt;&lt;p&gt;An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hand.&lt;/p&gt;</t>
  </si>
  <si>
    <t>APG</t>
  </si>
  <si>
    <t>&lt;link rel="stylesheet"href="PF.css"&gt;&lt;div class="heading"&gt;&lt;p class="alignleft"&gt;Absorbing Touch&lt;/p&gt;&lt;div style="clear: both;"&gt;&lt;/div&gt;&lt;/div&gt;&lt;div&gt;&lt;h5&gt;&lt;b&gt;School &lt;/b&gt;transmutation; &lt;b&gt;Level &lt;/b&gt;alchemist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&lt;/b&gt;object touched&lt;/h5&gt;&lt;h5&gt;&lt;b&gt;Duration &lt;/b&gt;1 day/level (D)&lt;/h5&gt;&lt;h5&gt;&lt;b&gt;Saving Throw &lt;/b&gt;Fortitude negates (object); &lt;b&gt;Spell Resistance &lt;/b&gt;no&lt;/h5&gt;&lt;/div&gt;&lt;hr/&gt;&lt;div&gt;&lt;h5&gt;&lt;b&gt;DESCRIPTION&lt;/b&gt;&lt;/h5&gt;&lt;/div&gt;&lt;hr/&gt;&lt;div&gt;&lt;h4&gt;&lt;p&gt;You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absorbed.&lt;/p&gt;&lt;p&gt;An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hand.&lt;/p&gt;&lt;/h4&gt;&lt;/div&gt;</t>
  </si>
  <si>
    <t>Caster absorbs an item for 1 day/level.</t>
  </si>
  <si>
    <t>Accelerate Poison</t>
  </si>
  <si>
    <t>druid 2, ranger 2, sorcerer/wizard 2, occultist 2</t>
  </si>
  <si>
    <t>V, S, M (a thorn)</t>
  </si>
  <si>
    <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t>
  </si>
  <si>
    <t>&lt;p&gt;You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affected.&lt;/p&gt;</t>
  </si>
  <si>
    <t>&lt;link rel="stylesheet"href="PF.css"&gt;&lt;div class="heading"&gt;&lt;p class="alignleft"&gt;Accelerate Poison&lt;/p&gt;&lt;div style="clear: both;"&gt;&lt;/div&gt;&lt;/div&gt;&lt;div&gt;&lt;h5&gt;&lt;b&gt;School &lt;/b&gt;transmutation [poison]; &lt;b&gt;Level &lt;/b&gt;druid 2, ranger 2, sorcerer/wizard 2, occultist 2&lt;/h5&gt;&lt;/div&gt;&lt;hr/&gt;&lt;div&gt;&lt;h5&gt;&lt;b&gt;CASTING&lt;/b&gt;&lt;/h5&gt;&lt;/div&gt;&lt;hr/&gt;&lt;div&gt;&lt;h5&gt;&lt;b&gt;Casting Time &lt;/b&gt;1 standard action&lt;/h5&gt;&lt;h5&gt;&lt;b&gt;Components &lt;/b&gt;V, S, M (a thorn)&lt;/h5&gt;&lt;/div&gt;&lt;hr/&gt;&lt;div&gt;&lt;h5&gt;&lt;b&gt;EFFECT&lt;/b&gt;&lt;/h5&gt;&lt;/div&gt;&lt;hr/&gt;&lt;div&gt;&lt;h5&gt;&lt;b&gt;Range &lt;/b&gt;touch&lt;/h5&gt;&lt;h5&gt;&lt;b&gt;Targets &lt;/b&gt;creature touched&lt;/h5&gt;&lt;h5&gt;&lt;b&gt;Duration &lt;/b&gt;instantaneous&lt;/h5&gt;&lt;h5&gt;&lt;b&gt;Saving Throw &lt;/b&gt;Fortitude negates; &lt;b&gt;Spell Resistance &lt;/b&gt;yes&lt;/h5&gt;&lt;/div&gt;&lt;hr/&gt;&lt;div&gt;&lt;h5&gt;&lt;b&gt;DESCRIPTION&lt;/b&gt;&lt;/h5&gt;&lt;/div&gt;&lt;hr/&gt;&lt;div&gt;&lt;h4&gt;&lt;p&gt;You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affected.&lt;/p&gt;&lt;/h4&gt;&lt;/div&gt;</t>
  </si>
  <si>
    <t>Hastens targeted poison’s onset.</t>
  </si>
  <si>
    <t>Acid Pit</t>
  </si>
  <si>
    <t>sorcerer/wizard 4, summoner 4</t>
  </si>
  <si>
    <t>V, S, M (drop of acid), F (Fine shovel worth 10 gp)</t>
  </si>
  <si>
    <t>10-ft.-by-10-ft. hole, 10 ft. deep/2 levels</t>
  </si>
  <si>
    <t>1 round + 1 round/level</t>
  </si>
  <si>
    <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t>
  </si>
  <si>
    <t>&lt;p&gt;This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30.&lt;/p&gt;</t>
  </si>
  <si>
    <t>&lt;link rel="stylesheet"href="PF.css"&gt;&lt;div class="heading"&gt;&lt;p class="alignleft"&gt;Acid Pit&lt;/p&gt;&lt;div style="clear: both;"&gt;&lt;/div&gt;&lt;/div&gt;&lt;div&gt;&lt;h5&gt;&lt;b&gt;School &lt;/b&gt;conjuration (creation) [acid]; &lt;b&gt;Level &lt;/b&gt;sorcerer/wizard 4, summoner 4&lt;/h5&gt;&lt;/div&gt;&lt;hr/&gt;&lt;div&gt;&lt;h5&gt;&lt;b&gt;CASTING&lt;/b&gt;&lt;/h5&gt;&lt;/div&gt;&lt;hr/&gt;&lt;div&gt;&lt;h5&gt;&lt;b&gt;Casting Time &lt;/b&gt;1 standard action&lt;/h5&gt;&lt;h5&gt;&lt;b&gt;Components &lt;/b&gt;V, S, M (drop of acid), F (Fine shovel worth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see text; &lt;b&gt;Spell Resistance &lt;/b&gt;no&lt;/h5&gt;&lt;/div&gt;&lt;hr/&gt;&lt;div&gt;&lt;h5&gt;&lt;b&gt;DESCRIPTION&lt;/b&gt;&lt;/h5&gt;&lt;/div&gt;&lt;hr/&gt;&lt;div&gt;&lt;h4&gt;&lt;p&gt;This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30.&lt;/p&gt;&lt;/h4&gt;&lt;/div&gt;</t>
  </si>
  <si>
    <t>Creates a pit with a layer of acid on the bottom.</t>
  </si>
  <si>
    <t>Alchemical Allocation</t>
  </si>
  <si>
    <t>alchemist 2</t>
  </si>
  <si>
    <t>This extract causes a pale aura to emanate from your mouth.  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t>
  </si>
  <si>
    <t>&lt;p&gt;This extract causes a pale aura to emanate from your mouth.&lt;/p&gt;&lt;p&gt;If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extract.&lt;/p&gt;</t>
  </si>
  <si>
    <t>&lt;link rel="stylesheet"href="PF.css"&gt;&lt;div class="heading"&gt;&lt;p class="alignleft"&gt;Alchemical Allocation&lt;/p&gt;&lt;div style="clear: both;"&gt;&lt;/div&gt;&lt;/div&gt;&lt;div&gt;&lt;h5&gt;&lt;b&gt;School &lt;/b&gt;transmutation; &lt;b&gt;Level &lt;/b&gt;alchemist 2&lt;/h5&gt;&lt;/div&gt;&lt;hr/&gt;&lt;div&gt;&lt;h5&gt;&lt;b&gt;CASTING&lt;/b&gt;&lt;/h5&gt;&lt;/div&gt;&lt;hr/&gt;&lt;div&gt;&lt;h5&gt;&lt;b&gt;Casting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round&lt;/h5&gt;&lt;/div&gt;&lt;hr/&gt;&lt;div&gt;&lt;h5&gt;&lt;b&gt;DESCRIPTION&lt;/b&gt;&lt;/h5&gt;&lt;/div&gt;&lt;hr/&gt;&lt;div&gt;&lt;h4&gt;&lt;p&gt;This extract causes a pale aura to emanate from your mouth.&lt;/p&gt;&lt;p&gt;If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extract.&lt;/p&gt;&lt;/h4&gt;&lt;/div&gt;</t>
  </si>
  <si>
    <t>Gain potion’s benefits without consuming it.</t>
  </si>
  <si>
    <t>Allfood</t>
  </si>
  <si>
    <t>ranger 2</t>
  </si>
  <si>
    <t>V, S, M (a pinch of salt and pepper)</t>
  </si>
  <si>
    <t>object touched, weighing up to 5 lbs./level</t>
  </si>
  <si>
    <t>You can transform one object, weighing up to 5 lbs. per caster level, into an edible substance that any living creature can chew, swallow, and safely digest. This allfood always has a bland taste and slightly gooey consistency when chewed regardless of its original nature.  One pound of allfood provides enough sustenance to support a Medium creature for an entire day.  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t>
  </si>
  <si>
    <t>&lt;p&gt;You can transform one object, weighing up to 5 lbs. per caster level, into an edible substance that any living creature can chew, swallow, and safely digest. This allfood always has a bland taste and slightly gooey consistency when chewed regardless of its original nature.&lt;/p&gt;&lt;p&gt;One pound of allfood provides enough sustenance to support a Medium creature for an entire day.&lt;/p&gt;&lt;p&gt;Objects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accordingly.&lt;/p&gt;</t>
  </si>
  <si>
    <t>&lt;link rel="stylesheet"href="PF.css"&gt;&lt;div class="heading"&gt;&lt;p class="alignleft"&gt;Allfood&lt;/p&gt;&lt;div style="clear: both;"&gt;&lt;/div&gt;&lt;/div&gt;&lt;div&gt;&lt;h5&gt;&lt;b&gt;School &lt;/b&gt;transmutation; &lt;b&gt;Level &lt;/b&gt;ranger 2&lt;/h5&gt;&lt;/div&gt;&lt;hr/&gt;&lt;div&gt;&lt;h5&gt;&lt;b&gt;CASTING&lt;/b&gt;&lt;/h5&gt;&lt;/div&gt;&lt;hr/&gt;&lt;div&gt;&lt;h5&gt;&lt;b&gt;Casting Time &lt;/b&gt;1 standard action&lt;/h5&gt;&lt;h5&gt;&lt;b&gt;Components &lt;/b&gt;V, S, M (a pinch of salt and pepper)&lt;/h5&gt;&lt;/div&gt;&lt;hr/&gt;&lt;div&gt;&lt;h5&gt;&lt;b&gt;EFFECT&lt;/b&gt;&lt;/h5&gt;&lt;/div&gt;&lt;hr/&gt;&lt;div&gt;&lt;h5&gt;&lt;b&gt;Range &lt;/b&gt;touch&lt;/h5&gt;&lt;h5&gt;&lt;b&gt;Targets &lt;/b&gt;object touched, weighing up to 5 lbs./level&lt;/h5&gt;&lt;h5&gt;&lt;b&gt;Duration &lt;/b&gt;instantaneous&lt;/h5&gt;&lt;h5&gt;&lt;b&gt;Saving Throw &lt;/b&gt;Will negates (object); &lt;b&gt;Spell Resistance &lt;/b&gt;yes (object)&lt;/h5&gt;&lt;/div&gt;&lt;hr/&gt;&lt;div&gt;&lt;h5&gt;&lt;b&gt;DESCRIPTION&lt;/b&gt;&lt;/h5&gt;&lt;/div&gt;&lt;hr/&gt;&lt;div&gt;&lt;h4&gt;&lt;p&gt;You can transform one object, weighing up to 5 lbs. per caster level, into an edible substance that any living creature can chew, swallow, and safely digest. This allfood always has a bland taste and slightly gooey consistency when chewed regardless of its original nature.&lt;/p&gt;&lt;p&gt;One pound of allfood provides enough sustenance to support a Medium creature for an entire day.&lt;/p&gt;&lt;p&gt;Objects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accordingly.&lt;/p&gt;&lt;/h4&gt;&lt;/div&gt;</t>
  </si>
  <si>
    <t>Turns item up to 5 lbs./level into food.</t>
  </si>
  <si>
    <t>Alter Winds</t>
  </si>
  <si>
    <t>druid 1, sorcerer/wizard 1, occultist 1, spiritualist 1</t>
  </si>
  <si>
    <t>immobile 10-ft.-radius emanation</t>
  </si>
  <si>
    <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 Caster Level Wind Force 1st-3rd Light 4th-9th Moderate 10th-15th Strong 16th or higher Severe</t>
  </si>
  <si>
    <t>&lt;p&gt;You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effects.&lt;/p&gt;&lt;p&gt;&lt;table&gt;&lt;tr&gt;&lt;th&gt;Caster Level&lt;/th&gt;&lt;th&gt;Wind Force&lt;/th&gt;&lt;/tr&gt;&lt;tr&gt;&lt;td&gt;1st-3rd&lt;/td&gt;&lt;td&gt;Light&lt;/td&gt;&lt;/tr&gt;&lt;tr&gt;&lt;td&gt;4th-9th&lt;/td&gt;&lt;td&gt;Moderate&lt;/td&gt;&lt;/tr&gt;&lt;tr&gt;&lt;td&gt;10th-15th&lt;/td&gt;&lt;td&gt;Strong&lt;/td&gt;&lt;/tr&gt;&lt;tr&gt;&lt;td&gt;16th or higher&lt;/td&gt;&lt;td&gt;Severe&lt;/td&gt;&lt;/tr&gt;&lt;/table&gt;&lt;/p&gt;</t>
  </si>
  <si>
    <t>&lt;link rel="stylesheet"href="PF.css"&gt;&lt;div class="heading"&gt;&lt;p class="alignleft"&gt;Alter Winds&lt;/p&gt;&lt;div style="clear: both;"&gt;&lt;/div&gt;&lt;/div&gt;&lt;div&gt;&lt;h5&gt;&lt;b&gt;School &lt;/b&gt;transmutation [air]; &lt;b&gt;Level &lt;/b&gt;druid 1, sorcerer/wizard 1, occultist 1, spiritualist 1&lt;/h5&gt;&lt;/div&gt;&lt;hr/&gt;&lt;div&gt;&lt;h5&gt;&lt;b&gt;CASTING&lt;/b&gt;&lt;/h5&gt;&lt;/div&gt;&lt;hr/&gt;&lt;div&gt;&lt;h5&gt;&lt;b&gt;Casting Time &lt;/b&gt;1 minute&lt;/h5&gt;&lt;h5&gt;&lt;b&gt;Components &lt;/b&gt;V, S&lt;/h5&gt;&lt;/div&gt;&lt;hr/&gt;&lt;div&gt;&lt;h5&gt;&lt;b&gt;EFFECT&lt;/b&gt;&lt;/h5&gt;&lt;/div&gt;&lt;hr/&gt;&lt;div&gt;&lt;h5&gt;&lt;b&gt;Range &lt;/b&gt;touch&lt;/h5&gt;&lt;h5&gt;&lt;b&gt;Area &lt;/b&gt;immobile 10-ft.-radius emanation&lt;/h5&gt;&lt;h5&gt;&lt;b&gt;Duration &lt;/b&gt;1 hour/level&lt;/h5&gt;&lt;h5&gt;&lt;b&gt;Saving Throw &lt;/b&gt;Will negates; &lt;b&gt;Spell Resistance &lt;/b&gt;yes&lt;/h5&gt;&lt;/div&gt;&lt;hr/&gt;&lt;div&gt;&lt;h5&gt;&lt;b&gt;DESCRIPTION&lt;/b&gt;&lt;/h5&gt;&lt;/div&gt;&lt;hr/&gt;&lt;div&gt;&lt;h4&gt;&lt;p&gt;You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effects.&lt;/p&gt;&lt;p&gt; &lt;table&gt;&lt;tr&gt;&lt;th&gt;Caster Level&lt;/th&gt;&lt;th&gt;Wind Force&lt;/th&gt;&lt;/tr&gt;&lt;tr&gt;&lt;td&gt;1st-3rd&lt;/td&gt;&lt;td&gt;Light&lt;/td&gt;&lt;/tr&gt;&lt;tr&gt;&lt;td&gt;4th-9th&lt;/td&gt;&lt;td&gt;Moderate&lt;/td&gt;&lt;/tr&gt;&lt;tr&gt;&lt;td&gt;10th-15th&lt;/td&gt;&lt;td&gt;Strong&lt;/td&gt;&lt;/tr&gt;&lt;tr&gt;&lt;td&gt;16th or higher&lt;/td&gt;&lt;td&gt;Severe&lt;/td&gt;&lt;/tr&gt;&lt;/table&gt; &lt;/p&gt;&lt;/h4&gt;&lt;/div&gt;</t>
  </si>
  <si>
    <t>Increase/decrease strength of natural winds.</t>
  </si>
  <si>
    <t>Amplify Elixir</t>
  </si>
  <si>
    <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t>
  </si>
  <si>
    <t>&lt;p&gt;This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equipment.&lt;/p&gt;</t>
  </si>
  <si>
    <t>&lt;link rel="stylesheet"href="PF.css"&gt;&lt;div class="heading"&gt;&lt;p class="alignleft"&gt;Amplify Elixir&lt;/p&gt;&lt;div style="clear: both;"&gt;&lt;/div&gt;&lt;/div&gt;&lt;div&gt;&lt;h5&gt;&lt;b&gt;School &lt;/b&gt;transmutation; &lt;b&gt;Level &lt;/b&gt;alchemist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round/level&lt;/h5&gt;&lt;/div&gt;&lt;hr/&gt;&lt;div&gt;&lt;h5&gt;&lt;b&gt;DESCRIPTION&lt;/b&gt;&lt;/h5&gt;&lt;/div&gt;&lt;hr/&gt;&lt;div&gt;&lt;h4&gt;&lt;p&gt;This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equipment.&lt;/p&gt;&lt;/h4&gt;&lt;/div&gt;</t>
  </si>
  <si>
    <t>Empowers or extends the effects of any potion or elixir.</t>
  </si>
  <si>
    <t>Ant Haul</t>
  </si>
  <si>
    <t>alchemist 1, cleric/oracle 1, druid 1, ranger 1, sorcerer/wizard 1, summoner 1, occultist 1, psychic 1</t>
  </si>
  <si>
    <t>V, S, M/DF (a small pulley)</t>
  </si>
  <si>
    <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t>
  </si>
  <si>
    <t>&lt;p&gt;The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carry.&lt;/p&gt;</t>
  </si>
  <si>
    <t>&lt;link rel="stylesheet"href="PF.css"&gt;&lt;div class="heading"&gt;&lt;p class="alignleft"&gt;Ant Haul&lt;/p&gt;&lt;div style="clear: both;"&gt;&lt;/div&gt;&lt;/div&gt;&lt;div&gt;&lt;h5&gt;&lt;b&gt;School &lt;/b&gt;transmutation; &lt;b&gt;Level &lt;/b&gt;alchemist 1, cleric/oracle 1, druid 1, ranger 1, sorcerer/wizard 1, summoner 1, occultist 1, psychic 1&lt;/h5&gt;&lt;/div&gt;&lt;hr/&gt;&lt;div&gt;&lt;h5&gt;&lt;b&gt;CASTING&lt;/b&gt;&lt;/h5&gt;&lt;/div&gt;&lt;hr/&gt;&lt;div&gt;&lt;h5&gt;&lt;b&gt;Casting Time &lt;/b&gt;1 standard action&lt;/h5&gt;&lt;h5&gt;&lt;b&gt;Components &lt;/b&gt;V, S, M/DF (a small pulley)&lt;/h5&gt;&lt;/div&gt;&lt;hr/&gt;&lt;div&gt;&lt;h5&gt;&lt;b&gt;EFFECT&lt;/b&gt;&lt;/h5&gt;&lt;/div&gt;&lt;hr/&gt;&lt;div&gt;&lt;h5&gt;&lt;b&gt;Range &lt;/b&gt;touch&lt;/h5&gt;&lt;h5&gt;&lt;b&gt;Targets &lt;/b&gt;creature touched&lt;/h5&gt;&lt;h5&gt;&lt;b&gt;Duration &lt;/b&gt;2 hours/level&lt;/h5&gt;&lt;h5&gt;&lt;b&gt;Saving Throw &lt;/b&gt;Fortitude negates (harmless); &lt;b&gt;Spell Resistance &lt;/b&gt;yes (harmless)&lt;/h5&gt;&lt;/div&gt;&lt;hr/&gt;&lt;div&gt;&lt;h5&gt;&lt;b&gt;DESCRIPTION&lt;/b&gt;&lt;/h5&gt;&lt;/div&gt;&lt;hr/&gt;&lt;div&gt;&lt;h4&gt;&lt;p&gt;The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carry.&lt;/p&gt;&lt;/h4&gt;&lt;/div&gt;</t>
  </si>
  <si>
    <t>Triples carrying capacity of a creature.</t>
  </si>
  <si>
    <t>Aqueous Orb</t>
  </si>
  <si>
    <t>druid 3, sorcerer/wizard 3, summoner 3, magus 3, bloodrager 3</t>
  </si>
  <si>
    <t>V, S, M (a drop of water and a glass bead)</t>
  </si>
  <si>
    <t>10-ft.-diameter sphere</t>
  </si>
  <si>
    <t>You create a rolling sphere of churning water that can engulf those it strikes. The aqueous orb can move up to 30 feet per round, rolling over barriers less than 10 feet tall. It automatically quenches any nonmagical fires and functions as dispel magic against magical fires as long as those fires are size Large or less.  Any creature in the path of the aqueous orb takes 2d6 points of nonlethal damage. A successful Reflex save negates this damage, but a Large or smaller creature that fails its save must make a second save or be engulfed by the aqueous orb and carried along with it. Engulfed creatures are immersed in water and must hold their breath unless capable of breathing water. They gain cover against attacks from outside the aqueous orb but are considered entangled by its churning currents, takes 2d6 points of nonlethal damage at the beginning of their turn each round they remain trapped. Creatures within the orb may attempt a new Reflex save each round to escape into a random square adjacent to the aqueous orb. The orb may hold one Large creature, 4 Medium, or 16 Small or smaller creatures within it.  The sphere moves as long as you actively direct it (a move action for you); otherwise, it merely stays at rest and churns in place. An aqueous orb stops if it moves outside the spell's range.</t>
  </si>
  <si>
    <t>&lt;p&gt;You create a rolling sphere of churning water that can engulf those it strikes. The &lt;i&gt;&lt;i&gt;aqueous&lt;/i&gt; orb&lt;/i&gt; can move up to 30 feet per round, rolling over barriers less than 10 feet tall. It automatically quenches any nonmagical fires and functions as &lt;i&gt;dispel magic&lt;/i&gt; against magical fires as long as those fires are size Large or less.&lt;/p&gt;&lt;p&gt;Any creature in the path of the &lt;i&gt;&lt;i&gt;aqueous&lt;/i&gt; orb&lt;/i&gt; takes 2d6 points of nonlethal damage. A successful Reflex save negates this damage, but a Large or smaller creature that fails its save must make a second save or be engulfed by the &lt;i&gt;&lt;i&gt;aqueous&lt;/i&gt; orb&lt;/i&gt; and carried along with it. Engulfed creatures are immersed in water and must hold their breath unless capable of breathing water. They gain cover against attacks from outside the &lt;i&gt;&lt;i&gt;aqueous&lt;/i&gt; orb&lt;/i&gt; but are considered entangled by its churning currents, takes 2d6 points of nonlethal damage at the beginning of their turn each round they remain trapped. Creatures within the orb may attempt a new Reflex save each round to escape into a random square adjacent to the &lt;i&gt;&lt;i&gt;aqueous&lt;/i&gt; orb&lt;/i&gt;. The orb may hold one Large creature, 4 Medium, or 16 Small or smaller creatures within it.&lt;/p&gt;&lt;p&gt;The sphere moves as long as you actively direct it (a move action for you); otherwise, it merely stays at rest and churns in place. An &lt;i&gt;&lt;i&gt;aqueous&lt;/i&gt; orb&lt;/i&gt; stops if it moves outside the spell's range.&lt;/p&gt;</t>
  </si>
  <si>
    <t>&lt;link rel="stylesheet"href="PF.css"&gt;&lt;div class="heading"&gt;&lt;p class="alignleft"&gt;Aqueous Orb&lt;/p&gt;&lt;div style="clear: both;"&gt;&lt;/div&gt;&lt;/div&gt;&lt;div&gt;&lt;h5&gt;&lt;b&gt;School &lt;/b&gt;conjuration (creation) [water]; &lt;b&gt;Level &lt;/b&gt;druid 3, sorcerer/wizard 3, summoner 3, magus 3, bloodrager 3&lt;/h5&gt;&lt;/div&gt;&lt;hr/&gt;&lt;div&gt;&lt;h5&gt;&lt;b&gt;CASTING&lt;/b&gt;&lt;/h5&gt;&lt;/div&gt;&lt;hr/&gt;&lt;div&gt;&lt;h5&gt;&lt;b&gt;Casting Time &lt;/b&gt;1 standard action&lt;/h5&gt;&lt;h5&gt;&lt;b&gt;Components &lt;/b&gt;V, S, M (a drop of water and a glass bead)&lt;/h5&gt;&lt;/div&gt;&lt;hr/&gt;&lt;div&gt;&lt;h5&gt;&lt;b&gt;EFFECT&lt;/b&gt;&lt;/h5&gt;&lt;/div&gt;&lt;hr/&gt;&lt;div&gt;&lt;h5&gt;&lt;b&gt;Range &lt;/b&gt;medium (100 ft. + 10 ft./level)&lt;/h5&gt;&lt;h5&gt;&lt;b&gt;Effect &lt;/b&gt;10-ft.-diameter sphere&lt;/h5&gt;&lt;h5&gt;&lt;b&gt;Duration &lt;/b&gt;1 round/level&lt;/h5&gt;&lt;h5&gt;&lt;b&gt;Saving Throw &lt;/b&gt;Reflex negates; &lt;b&gt;Spell Resistance &lt;/b&gt;no&lt;/h5&gt;&lt;/div&gt;&lt;hr/&gt;&lt;div&gt;&lt;h5&gt;&lt;b&gt;DESCRIPTION&lt;/b&gt;&lt;/h5&gt;&lt;/div&gt;&lt;hr/&gt;&lt;div&gt;&lt;h4&gt;&lt;p&gt;You create a rolling sphere of churning water that can engulf those it strikes. The &lt;i&gt;&lt;i&gt;aqueous&lt;/i&gt; orb&lt;/i&gt; can move up to 30 feet per round, rolling over barriers less than 10 feet tall. It automatically quenches any nonmagical fires and functions as &lt;i&gt;dispel magic&lt;/i&gt; against magical fires as long as those fires are size Large or less.&lt;/p&gt;&lt;p&gt;Any creature in the path of the &lt;i&gt;&lt;i&gt;aqueous&lt;/i&gt; orb&lt;/i&gt; takes 2d6 points of nonlethal damage. A successful Reflex save negates this damage, but a Large or smaller creature that fails its save must make a second save or be engulfed by the &lt;i&gt;&lt;i&gt;aqueous&lt;/i&gt; orb&lt;/i&gt; and carried along with it. Engulfed creatures are immersed in water and must hold their breath unless capable of breathing water. They gain cover against attacks from outside the &lt;i&gt;&lt;i&gt;aqueous&lt;/i&gt; orb&lt;/i&gt; but are considered entangled by its churning currents, takes 2d6 points of nonlethal damage at the beginning of their turn each round they remain trapped. Creatures within the orb may attempt a new Reflex save each round to escape into a random square adjacent to the &lt;i&gt;&lt;i&gt;aqueous&lt;/i&gt; orb&lt;/i&gt;. The orb may hold one Large creature, 4 Medium, or 16 Small or smaller creatures within it.&lt;/p&gt;&lt;p&gt;The sphere moves as long as you actively direct it (a move action for you); otherwise, it merely stays at rest and churns in place. An &lt;i&gt;&lt;i&gt;aqueous&lt;/i&gt; orb&lt;/i&gt; stops if it moves outside the spell's range.&lt;/p&gt;&lt;/h4&gt;&lt;/div&gt;</t>
  </si>
  <si>
    <t>Creates rolling sphere of water.</t>
  </si>
  <si>
    <t>Aquatic (7)</t>
  </si>
  <si>
    <t>Arcane Concordance</t>
  </si>
  <si>
    <t>V, S, M (a spent wand)</t>
  </si>
  <si>
    <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arcane concordance).</t>
  </si>
  <si>
    <t>&lt;p&gt;A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&lt;i&gt;arcane concordance&lt;/i&gt;).&lt;/p&gt;</t>
  </si>
  <si>
    <t>&lt;link rel="stylesheet"href="PF.css"&gt;&lt;div class="heading"&gt;&lt;p class="alignleft"&gt;Arcane Concordance&lt;/p&gt;&lt;div style="clear: both;"&gt;&lt;/div&gt;&lt;/div&gt;&lt;div&gt;&lt;h5&gt;&lt;b&gt;School &lt;/b&gt;evocation; &lt;b&gt;Level &lt;/b&gt;bard 3&lt;/h5&gt;&lt;/div&gt;&lt;hr/&gt;&lt;div&gt;&lt;h5&gt;&lt;b&gt;CASTING&lt;/b&gt;&lt;/h5&gt;&lt;/div&gt;&lt;hr/&gt;&lt;div&gt;&lt;h5&gt;&lt;b&gt;Casting Time &lt;/b&gt;1 standard action&lt;/h5&gt;&lt;h5&gt;&lt;b&gt;Components &lt;/b&gt;V, S, M (a spent wand)&lt;/h5&gt;&lt;/div&gt;&lt;hr/&gt;&lt;div&gt;&lt;h5&gt;&lt;b&gt;EFFECT&lt;/b&gt;&lt;/h5&gt;&lt;/div&gt;&lt;hr/&gt;&lt;div&gt;&lt;h5&gt;&lt;b&gt;Range &lt;/b&gt;personal&lt;/h5&gt;&lt;h5&gt;&lt;b&gt;Area &lt;/b&gt;10-ft.-radius emanation centered on you&lt;/h5&gt;&lt;h5&gt;&lt;b&gt;Targets &lt;/b&gt;you&lt;/h5&gt;&lt;h5&gt;&lt;b&gt;Duration &lt;/b&gt;1 round/level&lt;/h5&gt;&lt;h5&gt;&lt;b&gt;Saving Throw &lt;/b&gt;none; &lt;b&gt;Spell Resistance &lt;/b&gt;no&lt;/h5&gt;&lt;/div&gt;&lt;hr/&gt;&lt;div&gt;&lt;h5&gt;&lt;b&gt;DESCRIPTION&lt;/b&gt;&lt;/h5&gt;&lt;/div&gt;&lt;hr/&gt;&lt;div&gt;&lt;h4&gt;&lt;p&gt;A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&lt;i&gt;arcane concordance&lt;/i&gt;).&lt;/p&gt;&lt;/h4&gt;&lt;/div&gt;</t>
  </si>
  <si>
    <t>Grants metamagic to arcane spells.</t>
  </si>
  <si>
    <t>Arrow Eruption</t>
  </si>
  <si>
    <t>ranger 2, sorcerer/wizard 2</t>
  </si>
  <si>
    <t>V, S, M (arrow or crossbow bolt)</t>
  </si>
  <si>
    <t>30-ft.-radius burst</t>
  </si>
  <si>
    <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true strike spell, as well as any area spell you might have placed on the arrow by means of the arcane archer's imbue arrow class feature.</t>
  </si>
  <si>
    <t>&lt;p&gt;You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&lt;i&gt;true strike&lt;/i&gt; spell, as well as any area spell you might have placed on the arrow by means of the arcane archer's imbue arrow class feature.&lt;/p&gt;</t>
  </si>
  <si>
    <t>&lt;link rel="stylesheet"href="PF.css"&gt;&lt;div class="heading"&gt;&lt;p class="alignleft"&gt;Arrow Eruption&lt;/p&gt;&lt;div style="clear: both;"&gt;&lt;/div&gt;&lt;/div&gt;&lt;div&gt;&lt;h5&gt;&lt;b&gt;School &lt;/b&gt;conjuration (creation); &lt;b&gt;Level &lt;/b&gt;ranger 2, sorcerer/wizard 2&lt;/h5&gt;&lt;/div&gt;&lt;hr/&gt;&lt;div&gt;&lt;h5&gt;&lt;b&gt;CASTING&lt;/b&gt;&lt;/h5&gt;&lt;/div&gt;&lt;hr/&gt;&lt;div&gt;&lt;h5&gt;&lt;b&gt;Casting Time &lt;/b&gt;1 standard action&lt;/h5&gt;&lt;h5&gt;&lt;b&gt;Components &lt;/b&gt;V, S, M (arrow or crossbow bolt)&lt;/h5&gt;&lt;/div&gt;&lt;hr/&gt;&lt;div&gt;&lt;h5&gt;&lt;b&gt;EFFECT&lt;/b&gt;&lt;/h5&gt;&lt;/div&gt;&lt;hr/&gt;&lt;div&gt;&lt;h5&gt;&lt;b&gt;Range &lt;/b&gt;long (400 ft. + 40 ft./level)&lt;/h5&gt;&lt;h5&gt;&lt;b&gt;Area &lt;/b&gt;30-ft.-radius burst&lt;/h5&gt;&lt;h5&gt;&lt;b&gt;Duration &lt;/b&gt;instantaneous&lt;/h5&gt;&lt;h5&gt;&lt;b&gt;Saving Throw &lt;/b&gt;none; &lt;b&gt;Spell Resistance &lt;/b&gt;yes&lt;/h5&gt;&lt;/div&gt;&lt;hr/&gt;&lt;div&gt;&lt;h5&gt;&lt;b&gt;DESCRIPTION&lt;/b&gt;&lt;/h5&gt;&lt;/div&gt;&lt;hr/&gt;&lt;div&gt;&lt;h4&gt;&lt;p&gt;You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&lt;i&gt;true strike&lt;/i&gt; spell, as well as any area spell you might have placed on the arrow by means of the arcane archer's imbue arrow class feature.&lt;/p&gt;&lt;/h4&gt;&lt;/div&gt;</t>
  </si>
  <si>
    <t>Creates duplicates of an arrow used to kill a creature in the previous round.</t>
  </si>
  <si>
    <t>Aspect of the Bear</t>
  </si>
  <si>
    <t>You take on an aspect of a bear. You gain a +2 enhancement bonus to natural armor and a +2 enhancement bonus on CMB rolls. You can also perform bull rush, grapple, and overrun combat maneuvers without provoking attacks of opportunity.</t>
  </si>
  <si>
    <t>&lt;p&gt;You take on an aspect of a bear. You gain a +2 enhancement bonus to natural armor and a +2 enhancement bonus on CMB rolls. You can also perform bull rush, grapple, and overrun combat maneuvers without provoking attacks of opportunity.&lt;/p&gt;</t>
  </si>
  <si>
    <t>&lt;link rel="stylesheet"href="PF.css"&gt;&lt;div class="heading"&gt;&lt;p class="alignleft"&gt;Aspect of the Bear&lt;/p&gt;&lt;div style="clear: both;"&gt;&lt;/div&gt;&lt;/div&gt;&lt;div&gt;&lt;h5&gt;&lt;b&gt;School &lt;/b&gt;transmutation (polymorph); &lt;b&gt;Level &lt;/b&gt;druid 2, 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bear. You gain a +2 enhancement bonus to natural armor and a +2 enhancement bonus on CMB rolls. You can also perform bull rush, grapple, and overrun combat maneuvers without provoking attacks of opportunity.&lt;/p&gt;&lt;/h4&gt;&lt;/div&gt;</t>
  </si>
  <si>
    <t>+2 AC and combat maneuver rolls.</t>
  </si>
  <si>
    <t>Aspect of the Falcon</t>
  </si>
  <si>
    <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  This effect does not stack with any other effect that expands the threat range of a weapon, such as the Improved Critical feat or a keen weapon.</t>
  </si>
  <si>
    <t>&lt;p&gt;You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19-20/x3.&lt;/p&gt;&lt;p&gt;This effect does not stack with any other effect that expands the threat range of a weapon, such as the Improved Critical feat or a &lt;i&gt;keen&lt;/i&gt; weapon.&lt;/p&gt;</t>
  </si>
  <si>
    <t>&lt;link rel="stylesheet"href="PF.css"&gt;&lt;div class="heading"&gt;&lt;p class="alignleft"&gt;Aspect of the Falcon&lt;/p&gt;&lt;div style="clear: both;"&gt;&lt;/div&gt;&lt;/div&gt;&lt;div&gt;&lt;h5&gt;&lt;b&gt;School &lt;/b&gt;transmutation (polymorph); &lt;b&gt;Level &lt;/b&gt;druid 1, ranger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19-20/x3.&lt;/p&gt;&lt;p&gt;This effect does not stack with any other effect that expands the threat range of a weapon, such as the Improved Critical feat or a &lt;i&gt;keen&lt;/i&gt; weapon.&lt;/p&gt;&lt;/h4&gt;&lt;/div&gt;</t>
  </si>
  <si>
    <t>Gives bonuses on Perception and ranged attacks.</t>
  </si>
  <si>
    <t>Aspect of the Stag</t>
  </si>
  <si>
    <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  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t>
  </si>
  <si>
    <t>&lt;p&gt;When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terrain.&lt;/p&gt;&lt;p&gt;Furthermore,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19-20/x2.&lt;/p&gt;</t>
  </si>
  <si>
    <t>&lt;link rel="stylesheet"href="PF.css"&gt;&lt;div class="heading"&gt;&lt;p class="alignleft"&gt;Aspect of the Stag&lt;/p&gt;&lt;div style="clear: both;"&gt;&lt;/div&gt;&lt;/div&gt;&lt;div&gt;&lt;h5&gt;&lt;b&gt;School &lt;/b&gt;transmutation (polymorph);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terrain.&lt;/p&gt;&lt;p&gt;Furthermore,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19-20/x2.&lt;/p&gt;&lt;/h4&gt;&lt;/div&gt;</t>
  </si>
  <si>
    <t>+2 AC against attacks of opportunity</t>
  </si>
  <si>
    <t>Aspect of the Wolf</t>
  </si>
  <si>
    <t>When you cast this spell, you take on an aspect of a wolf, including some of its physical characteristics. You become more rugged, your ears become elongated, and you sprout sharp fangs and fur.  You gain a +4 enhancement bonus to Strength and Dexterity, the scent ability, a +2 enhancement bonus on trip attacks, and can make a trip combat maneuver as a swift action. This trip attack does not provoke attacks of opportunity.</t>
  </si>
  <si>
    <t>&lt;p&gt;When you cast this spell, you take on an aspect of a wolf, including some of its physical characteristics. You become more rugged, your ears become elongated, and you sprout sharp fangs and fur.&lt;/p&gt;&lt;p&gt;You gain a +4 enhancement bonus to Strength and Dexterity, the scent ability, a +2 enhancement bonus on trip attacks, and can make a trip combat maneuver as a swift action. This trip attack does not provoke attacks of opportunity.&lt;/p&gt;</t>
  </si>
  <si>
    <t>&lt;link rel="stylesheet"href="PF.css"&gt;&lt;div class="heading"&gt;&lt;p class="alignleft"&gt;Aspect of the Wolf&lt;/p&gt;&lt;div style="clear: both;"&gt;&lt;/div&gt;&lt;/div&gt;&lt;div&gt;&lt;h5&gt;&lt;b&gt;School &lt;/b&gt;transmutation (polymorph);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take on an aspect of a wolf, including some of its physical characteristics. You become more rugged, your ears become elongated, and you sprout sharp fangs and fur.&lt;/p&gt;&lt;p&gt;You gain a +4 enhancement bonus to Strength and Dexterity, the scent ability, a +2 enhancement bonus on trip attacks, and can make a trip combat maneuver as a swift action. This trip attack does not provoke attacks of opportunity.&lt;/p&gt;&lt;/h4&gt;&lt;/div&gt;</t>
  </si>
  <si>
    <t>Subject gains +4 Str and Dex, and +2 bonus on trip attacks.</t>
  </si>
  <si>
    <t>Moon (10)</t>
  </si>
  <si>
    <t>Aura of Greater Courage</t>
  </si>
  <si>
    <t>paladin 2</t>
  </si>
  <si>
    <t>10/minutes per level</t>
  </si>
  <si>
    <t>When you cast this spell you strengthen your paladin's aura of courage. Until the end of its duration, all allies within that aura are immune to fear (magical or otherwise). If you do not have the aura of courage class feature, aura of greater courage has no effect.</t>
  </si>
  <si>
    <t>&lt;p&gt;When you cast this spell you strengthen your paladin's aura of courage. Until the end of its duration, all allies within that aura are immune to fear (magical or otherwise). If you do not have the aura of courage class feature, &lt;i&gt;aura of greater courage&lt;/i&gt; has no effect.&lt;/p&gt;</t>
  </si>
  <si>
    <t>&lt;link rel="stylesheet"href="PF.css"&gt;&lt;div class="heading"&gt;&lt;p class="alignleft"&gt;Aura of Greater Courage&lt;/p&gt;&lt;div style="clear: both;"&gt;&lt;/div&gt;&lt;/div&gt;&lt;div&gt;&lt;h5&gt;&lt;b&gt;School &lt;/b&gt;abjuration [emotion];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&lt;/b&gt;personal&lt;/h5&gt;&lt;h5&gt;&lt;b&gt;Area &lt;/b&gt;10-ft.-radius emanation centered on you&lt;/h5&gt;&lt;h5&gt;&lt;b&gt;Duration &lt;/b&gt;10/minutes per level&lt;/h5&gt;&lt;h5&gt;&lt;b&gt;Saving Throw &lt;/b&gt;Will negates (harmless); &lt;b&gt;Spell Resistance &lt;/b&gt;yes (harmless)&lt;/h5&gt;&lt;/div&gt;&lt;hr/&gt;&lt;div&gt;&lt;h5&gt;&lt;b&gt;DESCRIPTION&lt;/b&gt;&lt;/h5&gt;&lt;/div&gt;&lt;hr/&gt;&lt;div&gt;&lt;h4&gt;&lt;p&gt;When you cast this spell you strengthen your paladin's aura of courage. Until the end of its duration, all allies within that aura are immune to fear (magical or otherwise). If you do not have the aura of courage class feature, &lt;i&gt;aura of greater courage&lt;/i&gt; has no effect.&lt;/p&gt;&lt;/h4&gt;&lt;/div&gt;</t>
  </si>
  <si>
    <t>Increases strength of a paladin’s aura of courage.</t>
  </si>
  <si>
    <t>Ball Lightning</t>
  </si>
  <si>
    <t>air, electricity</t>
  </si>
  <si>
    <t>druid 4, sorcerer/wizard 4, magus 4, bloodrager 4, shaman 4, occultist 4</t>
  </si>
  <si>
    <t>V, S, M/DF (a small iron ring)</t>
  </si>
  <si>
    <t>two or more 5-ft.-diameter spheres</t>
  </si>
  <si>
    <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  If a globe enters a space with a creature, it stops moving for the round and deals 3d6 points of electricity damage to that creature, though a successful Reflex save negates the damage. Creatures wearing metal armor take a -4 penalty on this saving throw.  Each globe moves as long as you actively direct it (it's a move action for you to direct all the spheres created by a single casting of this spell); otherwise they stay at rest. These globes have no mass and cannot push aside unwilling creatures or move solid objects. A ball lightning globe winks out if it exceeds the spell's range.</t>
  </si>
  <si>
    <t>&lt;p&gt;You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course.&lt;/p&gt;&lt;p&gt;If a globe enters a space with a creature, it stops moving for the round and deals 3d6 points of electricity damage to that creature, though a successful Reflex save negates the damage. Creatures wearing metal armor take a -4 penalty on this saving throw.&lt;/p&gt;&lt;p&gt;Each globe moves as long as you actively direct it (it's a move action for you to direct all the spheres created by a single casting of this spell); otherwise they stay at rest. These globes have no mass and cannot push aside unwilling creatures or move solid objects. A &lt;i&gt;ball lightning&lt;/i&gt; globe winks out if it exceeds the spell's range.&lt;/p&gt;</t>
  </si>
  <si>
    <t>&lt;link rel="stylesheet"href="PF.css"&gt;&lt;div class="heading"&gt;&lt;p class="alignleft"&gt;Ball Lightning&lt;/p&gt;&lt;div style="clear: both;"&gt;&lt;/div&gt;&lt;/div&gt;&lt;div&gt;&lt;h5&gt;&lt;b&gt;School &lt;/b&gt;evocation [air, electricity]; &lt;b&gt;Level &lt;/b&gt;druid 4, sorcerer/wizard 4, magus 4, bloodrager 4, shaman 4, occultist 4&lt;/h5&gt;&lt;/div&gt;&lt;hr/&gt;&lt;div&gt;&lt;h5&gt;&lt;b&gt;CASTING&lt;/b&gt;&lt;/h5&gt;&lt;/div&gt;&lt;hr/&gt;&lt;div&gt;&lt;h5&gt;&lt;b&gt;Casting Time &lt;/b&gt;1 standard action&lt;/h5&gt;&lt;h5&gt;&lt;b&gt;Components &lt;/b&gt;V, S, M/DF (a small iron ring)&lt;/h5&gt;&lt;/div&gt;&lt;hr/&gt;&lt;div&gt;&lt;h5&gt;&lt;b&gt;EFFECT&lt;/b&gt;&lt;/h5&gt;&lt;/div&gt;&lt;hr/&gt;&lt;div&gt;&lt;h5&gt;&lt;b&gt;Range &lt;/b&gt;medium (100 ft. + 10 ft./level)&lt;/h5&gt;&lt;h5&gt;&lt;b&gt;Effect &lt;/b&gt;two or more 5-ft.-diameter spheres&lt;/h5&gt;&lt;h5&gt;&lt;b&gt;Duration &lt;/b&gt;1 round/level&lt;/h5&gt;&lt;h5&gt;&lt;b&gt;Saving Throw &lt;/b&gt;Reflex negates; &lt;b&gt;Spell Resistance &lt;/b&gt;yes&lt;/h5&gt;&lt;/div&gt;&lt;hr/&gt;&lt;div&gt;&lt;h5&gt;&lt;b&gt;DESCRIPTION&lt;/b&gt;&lt;/h5&gt;&lt;/div&gt;&lt;hr/&gt;&lt;div&gt;&lt;h4&gt;&lt;p&gt;You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course.&lt;/p&gt;&lt;p&gt;If a globe enters a space with a creature, it stops moving for the round and deals 3d6 points of electricity damage to that creature, though a successful Reflex save negates the damage. Creatures wearing metal armor take a -4 penalty on this saving throw.&lt;/p&gt;&lt;p&gt;Each globe moves as long as you actively direct it (it's a move action for you to direct all the spheres created by a single casting of this spell); otherwise they stay at rest. These globes have no mass and cannot push aside unwilling creatures or move solid objects. A &lt;i&gt;ball lightning&lt;/i&gt; globe winks out if it exceeds the spell's range.&lt;/p&gt;&lt;/h4&gt;&lt;/div&gt;</t>
  </si>
  <si>
    <t>Flying lightning spheres deal 3d6</t>
  </si>
  <si>
    <t>Banish Seeming</t>
  </si>
  <si>
    <t>inquisitor 3, witch 5, psychic 5</t>
  </si>
  <si>
    <t>V, S, M (a cold iron nail)</t>
  </si>
  <si>
    <t>instantaneous and 1 round/level; see text</t>
  </si>
  <si>
    <t>With a melee touch attack you can dispel an illusion or return a creature to its natural form. This functions as dispel magic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  The caster level for supernatural abilities such as change shape is equal to the target creature's Hit Dice. A creature returned to its natural form by banish seeming is prevented from changing its form again for a number of rounds equal to your caster level.  Banish seeming has no effect on nonmagical means of changing appearance, such as that provided by a disguise or extraordinary ability.</t>
  </si>
  <si>
    <t>&lt;p&gt;With a melee touch attack you can dispel an illusion or return a creature to its natural form. This functions as &lt;i&gt;dispel magic&lt;/i&gt;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levels.&lt;/p&gt;&lt;p&gt;The caster level for supernatural abilities such as change shape is equal to the target creature's Hit Dice. A creature returned to its natural form by &lt;i&gt;banish seeming&lt;/i&gt; is prevented from changing its form again for a number of rounds equal to your caster level.&lt;/p&gt;&lt;p&gt;&lt;i&gt;Banish seeming&lt;/i&gt; has no effect on nonmagical means of changing appearance, such as that provided by a disguise or extraordinary ability.&lt;/p&gt;</t>
  </si>
  <si>
    <t>&lt;link rel="stylesheet"href="PF.css"&gt;&lt;div class="heading"&gt;&lt;p class="alignleft"&gt;Banish Seeming&lt;/p&gt;&lt;div style="clear: both;"&gt;&lt;/div&gt;&lt;/div&gt;&lt;div&gt;&lt;h5&gt;&lt;b&gt;School &lt;/b&gt;abjuration; &lt;b&gt;Level &lt;/b&gt;inquisitor 3, witch 5, psychic 5&lt;/h5&gt;&lt;/div&gt;&lt;hr/&gt;&lt;div&gt;&lt;h5&gt;&lt;b&gt;CASTING&lt;/b&gt;&lt;/h5&gt;&lt;/div&gt;&lt;hr/&gt;&lt;div&gt;&lt;h5&gt;&lt;b&gt;Casting Time &lt;/b&gt;1 standard action&lt;/h5&gt;&lt;h5&gt;&lt;b&gt;Components &lt;/b&gt;V, S, M (a cold iron nail)&lt;/h5&gt;&lt;/div&gt;&lt;hr/&gt;&lt;div&gt;&lt;h5&gt;&lt;b&gt;EFFECT&lt;/b&gt;&lt;/h5&gt;&lt;/div&gt;&lt;hr/&gt;&lt;div&gt;&lt;h5&gt;&lt;b&gt;Range &lt;/b&gt;touch&lt;/h5&gt;&lt;h5&gt;&lt;b&gt;Targets &lt;/b&gt;one creature or object&lt;/h5&gt;&lt;h5&gt;&lt;b&gt;Duration &lt;/b&gt;instantaneous and 1 round/level; see text&lt;/h5&gt;&lt;h5&gt;&lt;b&gt;Saving Throw &lt;/b&gt;none; &lt;b&gt;Spell Resistance &lt;/b&gt;no&lt;/h5&gt;&lt;/div&gt;&lt;hr/&gt;&lt;div&gt;&lt;h5&gt;&lt;b&gt;DESCRIPTION&lt;/b&gt;&lt;/h5&gt;&lt;/div&gt;&lt;hr/&gt;&lt;div&gt;&lt;h4&gt;&lt;p&gt;With a melee touch attack you can dispel an illusion or return a creature to its natural form. This functions as &lt;i&gt;dispel magic&lt;/i&gt;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levels.&lt;/p&gt;&lt;p&gt;The caster level for supernatural abilities such as change shape is equal to the target creature's Hit Dice. A creature returned to its natural form by &lt;i&gt;banish seeming&lt;/i&gt; is prevented from changing its form again for a number of rounds equal to your caster level.&lt;/p&gt;&lt;p&gt;&lt;i&gt;Banish seeming&lt;/i&gt; has no effect on nonmagical means of changing appearance, such as that provided by a disguise or extraordinary ability.&lt;/p&gt;&lt;/h4&gt;&lt;/div&gt;</t>
  </si>
  <si>
    <t>Revelation (3)</t>
  </si>
  <si>
    <t>Dispels touched illusion or a creature’s change in form.</t>
  </si>
  <si>
    <t>Bard's Escape</t>
  </si>
  <si>
    <t>bard 5</t>
  </si>
  <si>
    <t>V, S, M (pieces of a smashed fiddle)</t>
  </si>
  <si>
    <t>you and up to 1 willing creature/2 caster levels, no two of which can be more than 30 ft. apart</t>
  </si>
  <si>
    <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dimension door.</t>
  </si>
  <si>
    <t>&lt;p&gt;You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&lt;i&gt;dimension door&lt;/i&gt;.&lt;/p&gt;</t>
  </si>
  <si>
    <t>&lt;link rel="stylesheet"href="PF.css"&gt;&lt;div class="heading"&gt;&lt;p class="alignleft"&gt;Bard's Escape&lt;/p&gt;&lt;div style="clear: both;"&gt;&lt;/div&gt;&lt;/div&gt;&lt;div&gt;&lt;h5&gt;&lt;b&gt;School &lt;/b&gt;conjuration (teleportation); &lt;b&gt;Level &lt;/b&gt;bard 5&lt;/h5&gt;&lt;/div&gt;&lt;hr/&gt;&lt;div&gt;&lt;h5&gt;&lt;b&gt;CASTING&lt;/b&gt;&lt;/h5&gt;&lt;/div&gt;&lt;hr/&gt;&lt;div&gt;&lt;h5&gt;&lt;b&gt;Casting Time &lt;/b&gt;1 standard action&lt;/h5&gt;&lt;h5&gt;&lt;b&gt;Components &lt;/b&gt;V, S, M (pieces of a smashed fiddle)&lt;/h5&gt;&lt;/div&gt;&lt;hr/&gt;&lt;div&gt;&lt;h5&gt;&lt;b&gt;EFFECT&lt;/b&gt;&lt;/h5&gt;&lt;/div&gt;&lt;hr/&gt;&lt;div&gt;&lt;h5&gt;&lt;b&gt;Range &lt;/b&gt;medium (100 ft. + 10 ft./level)&lt;/h5&gt;&lt;h5&gt;&lt;b&gt;Targets &lt;/b&gt;you and up to 1 willing creature/2 caster levels, no two of which can be more than 30 ft. apart&lt;/h5&gt;&lt;h5&gt;&lt;b&gt;Duration &lt;/b&gt;instantaneous&lt;/h5&gt;&lt;h5&gt;&lt;b&gt;Saving Throw &lt;/b&gt;none; &lt;b&gt;Spell Resistance &lt;/b&gt;no&lt;/h5&gt;&lt;/div&gt;&lt;hr/&gt;&lt;div&gt;&lt;h5&gt;&lt;b&gt;DESCRIPTION&lt;/b&gt;&lt;/h5&gt;&lt;/div&gt;&lt;hr/&gt;&lt;div&gt;&lt;h4&gt;&lt;p&gt;You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&lt;i&gt;dimension door&lt;/i&gt;.&lt;/p&gt;&lt;/h4&gt;&lt;/div&gt;</t>
  </si>
  <si>
    <t>You and allies escape an emergency by teleporting to safety.</t>
  </si>
  <si>
    <t>Beguiling Gift</t>
  </si>
  <si>
    <t>bard 1, witch 1, psychic 1, mesmerist 1</t>
  </si>
  <si>
    <t>V, S, F (the object to be offered)</t>
  </si>
  <si>
    <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t>
  </si>
  <si>
    <t>&lt;p&gt;You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of.&lt;/p&gt;</t>
  </si>
  <si>
    <t>&lt;link rel="stylesheet"href="PF.css"&gt;&lt;div class="heading"&gt;&lt;p class="alignleft"&gt;Beguiling Gift&lt;/p&gt;&lt;div style="clear: both;"&gt;&lt;/div&gt;&lt;/div&gt;&lt;div&gt;&lt;h5&gt;&lt;b&gt;School &lt;/b&gt;enchantment (compulsion) [mind-affecting]; &lt;b&gt;Level &lt;/b&gt;bard 1, witch 1, psychic 1, mesmerist 1&lt;/h5&gt;&lt;/div&gt;&lt;hr/&gt;&lt;div&gt;&lt;h5&gt;&lt;b&gt;CASTING&lt;/b&gt;&lt;/h5&gt;&lt;/div&gt;&lt;hr/&gt;&lt;div&gt;&lt;h5&gt;&lt;b&gt;Casting Time &lt;/b&gt;1 standard action&lt;/h5&gt;&lt;h5&gt;&lt;b&gt;Components &lt;/b&gt;V, S, F (the object to be offered)&lt;/h5&gt;&lt;/div&gt;&lt;hr/&gt;&lt;div&gt;&lt;h5&gt;&lt;b&gt;EFFECT&lt;/b&gt;&lt;/h5&gt;&lt;/div&gt;&lt;hr/&gt;&lt;div&gt;&lt;h5&gt;&lt;b&gt;Range &lt;/b&gt;5 ft.&lt;/h5&gt;&lt;h5&gt;&lt;b&gt;Targets &lt;/b&gt;one creature&lt;/h5&gt;&lt;h5&gt;&lt;b&gt;Duration &lt;/b&gt;1 round&lt;/h5&gt;&lt;h5&gt;&lt;b&gt;Saving Throw &lt;/b&gt;Will negates; &lt;b&gt;Spell Resistance &lt;/b&gt;yes&lt;/h5&gt;&lt;/div&gt;&lt;hr/&gt;&lt;div&gt;&lt;h5&gt;&lt;b&gt;DESCRIPTION&lt;/b&gt;&lt;/h5&gt;&lt;/div&gt;&lt;hr/&gt;&lt;div&gt;&lt;h4&gt;&lt;p&gt;You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of.&lt;/p&gt;&lt;/h4&gt;&lt;/div&gt;</t>
  </si>
  <si>
    <t>Subject immediately accepts an offered</t>
  </si>
  <si>
    <t>Bestow Grace</t>
  </si>
  <si>
    <t>one good creature touched</t>
  </si>
  <si>
    <t>Will (harmless)</t>
  </si>
  <si>
    <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t>
  </si>
  <si>
    <t>&lt;p&gt;With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throws.&lt;/p&gt;</t>
  </si>
  <si>
    <t>&lt;link rel="stylesheet"href="PF.css"&gt;&lt;div class="heading"&gt;&lt;p class="alignleft"&gt;Bestow Grace&lt;/p&gt;&lt;div style="clear: both;"&gt;&lt;/div&gt;&lt;/div&gt;&lt;div&gt;&lt;h5&gt;&lt;b&gt;School &lt;/b&gt;abjuration;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good creature touched&lt;/h5&gt;&lt;h5&gt;&lt;b&gt;Duration &lt;/b&gt;1 minute/level&lt;/h5&gt;&lt;h5&gt;&lt;b&gt;Saving Throw &lt;/b&gt;Will (harmless); &lt;b&gt;Spell Resistance &lt;/b&gt;yes (harmless)&lt;/h5&gt;&lt;/div&gt;&lt;hr/&gt;&lt;div&gt;&lt;h5&gt;&lt;b&gt;DESCRIPTION&lt;/b&gt;&lt;/h5&gt;&lt;/div&gt;&lt;hr/&gt;&lt;div&gt;&lt;h4&gt;&lt;p&gt;With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throws.&lt;/p&gt;&lt;/h4&gt;&lt;/div&gt;</t>
  </si>
  <si>
    <t>Subject gains bonus on saving throws equal to Cha modifier.</t>
  </si>
  <si>
    <t>Blaze of Glory</t>
  </si>
  <si>
    <t>good, mind-affecting</t>
  </si>
  <si>
    <t>1 standard action or immediate action; see text</t>
  </si>
  <si>
    <t>30-ft.-radius burst centered on you</t>
  </si>
  <si>
    <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  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prayer spell for 1 round per caster level.</t>
  </si>
  <si>
    <t>&lt;p&gt;You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spell.&lt;/p&gt;&lt;p&gt;When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&lt;i&gt;prayer&lt;/i&gt; spell for 1 round per caster level.&lt;/p&gt;</t>
  </si>
  <si>
    <t>&lt;link rel="stylesheet"href="PF.css"&gt;&lt;div class="heading"&gt;&lt;p class="alignleft"&gt;Blaze of Glory&lt;/p&gt;&lt;div style="clear: both;"&gt;&lt;/div&gt;&lt;/div&gt;&lt;div&gt;&lt;h5&gt;&lt;b&gt;School &lt;/b&gt;conjuration (healing) [good, mind-affecting]; &lt;b&gt;Level &lt;/b&gt;paladin 4&lt;/h5&gt;&lt;/div&gt;&lt;hr/&gt;&lt;div&gt;&lt;h5&gt;&lt;b&gt;CASTING&lt;/b&gt;&lt;/h5&gt;&lt;/div&gt;&lt;hr/&gt;&lt;div&gt;&lt;h5&gt;&lt;b&gt;Casting Time &lt;/b&gt;1 standard action or immediate action; see text&lt;/h5&gt;&lt;h5&gt;&lt;b&gt;Components &lt;/b&gt;V&lt;/h5&gt;&lt;/div&gt;&lt;hr/&gt;&lt;div&gt;&lt;h5&gt;&lt;b&gt;EFFECT&lt;/b&gt;&lt;/h5&gt;&lt;/div&gt;&lt;hr/&gt;&lt;div&gt;&lt;h5&gt;&lt;b&gt;Area &lt;/b&gt;30-ft.-radius burst centered on you&lt;/h5&gt;&lt;h5&gt;&lt;b&gt;Duration &lt;/b&gt;instantaneous and 1 round/level; see text&lt;/h5&gt;&lt;h5&gt;&lt;b&gt;Saving Throw &lt;/b&gt;Will partial; &lt;b&gt;Spell Resistance &lt;/b&gt;yes&lt;/h5&gt;&lt;/div&gt;&lt;hr/&gt;&lt;div&gt;&lt;h5&gt;&lt;b&gt;DESCRIPTION&lt;/b&gt;&lt;/h5&gt;&lt;/div&gt;&lt;hr/&gt;&lt;div&gt;&lt;h4&gt;&lt;p&gt;You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spell.&lt;/p&gt;&lt;p&gt;When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&lt;i&gt;prayer&lt;/i&gt; spell for 1 round per caster level.&lt;/p&gt;&lt;/h4&gt;&lt;/div&gt;</t>
  </si>
  <si>
    <t>Last stand cures good creatures, hurts evil.</t>
  </si>
  <si>
    <t>Blessing Of Fervor</t>
  </si>
  <si>
    <t>cleric/oracle 4</t>
  </si>
  <si>
    <t>With this blessing, you call your allies to move forth and empower them to conquer and become victorious. Each round for the duration of this spell, each of your allies can choose one of the following bonuses for that round at the beginning of its turn (their choice). • Increase its speed by 30 feet. • Stand up as a swift action without provoking an attack of opportunity. • Make one extra attack as part of a full attack action, using its highest base attack bonus. • Gain a +2 bonus on attack rolls and a +2 dodge bonus to AC and Reflex saves. •Cast a single spell of 2nd level or lower as if it were an enlarged, extended, silent, or still spell. These effects are not cumulative with similar effects, such as those provided by haste or a speed weapon, nor do they actually grant an extra action, so you can't use it to cast a second spell or otherwise take an extra action in the round. Blessing of fervor does not stack with haste.</t>
  </si>
  <si>
    <t>&lt;p&gt;With this blessing, you call your allies to move forth and empower them to conquer and become victorious. Each round for the duration of this spell, each of your allies can choose one of the following bonuses for that round at the beginning of its turn (their choice).&lt;/p&gt;&lt;p&gt;&lt;ul&gt;&lt;li&gt; Increase its &lt;i&gt;speed&lt;/i&gt; by 30 feet.&lt;/p&gt;&lt;p&gt;&lt;li&gt; Stand up as a swift action without provoking an attack of opportunity.&lt;/p&gt;&lt;p&gt;&lt;li&gt; Make one extra attack as part of a full attack action, using its highest base attack bonus.&lt;/p&gt;&lt;p&gt;&lt;li&gt; Gain a +2 bonus on attack rolls and a +2 dodge bonus to AC and Reflex saves.&lt;/p&gt;&lt;p&gt;&lt;li&gt;Cast a single spell of 2nd level or lower as if it were an enlarged, extended, silent, or still spell.&lt;/p&gt;&lt;p&gt;These effects are not cumulative with similar effects, such as those provided by &lt;i&gt;haste&lt;/i&gt; or a &lt;i&gt;speed&lt;/i&gt; weapon, nor do they actually grant an extra action, so you can't use it to cast a second spell or otherwise take an extra action in the round. &lt;i&gt;Blessing of fervor&lt;/i&gt; does not stack with &lt;i&gt;haste&lt;/i&gt;.&lt;/ul&gt;&lt;/p&gt;</t>
  </si>
  <si>
    <t>&lt;link rel="stylesheet"href="PF.css"&gt;&lt;div class="heading"&gt;&lt;p class="alignleft"&gt;Blessing Of Fervor&lt;/p&gt;&lt;div style="clear: both;"&gt;&lt;/div&gt;&lt;/div&gt;&lt;div&gt;&lt;h5&gt;&lt;b&gt;School &lt;/b&gt;transmutation; &lt;b&gt;Level &lt;/b&gt;cleric/oracle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(harmless)&lt;/h5&gt;&lt;/div&gt;&lt;hr/&gt;&lt;div&gt;&lt;h5&gt;&lt;b&gt;DESCRIPTION&lt;/b&gt;&lt;/h5&gt;&lt;/div&gt;&lt;hr/&gt;&lt;div&gt;&lt;h4&gt;&lt;p&gt;With this blessing, you call your allies to move forth and empower them to conquer and become victorious. Each round for the duration of this spell, each of your allies can choose one of the following bonuses for that round at the beginning of its turn (their choice).&lt;/p&gt;&lt;p&gt;&lt;ul&gt;&lt;li&gt; Increase its &lt;i&gt;speed&lt;/i&gt; by 30 feet.&lt;/p&gt;&lt;p&gt;&lt;li&gt; Stand up as a swift action without provoking an attack of opportunity.&lt;/p&gt;&lt;p&gt;&lt;li&gt; Make one extra attack as part of a full attack action, using its highest base attack bonus.&lt;/p&gt;&lt;p&gt;&lt;li&gt; Gain a +2 bonus on attack rolls and a +2 dodge bonus to AC and Reflex saves.&lt;/p&gt;&lt;p&gt;&lt;li&gt;Cast a single spell of 2nd level or lower as if it were an enlarged, extended, silent, or still spell.&lt;/ul&gt;&lt;/p&gt;&lt;p&gt;These effects are not cumulative with similar effects, such as those provided by &lt;i&gt;haste&lt;/i&gt; or a &lt;i&gt;speed&lt;/i&gt; weapon, nor do they actually grant an extra action, so you can't use it to cast a second spell or otherwise take an extra action in the round. &lt;i&gt;Blessing of fervor&lt;/i&gt; does not stack with &lt;i&gt;haste&lt;/i&gt;.&lt;/p&gt;&lt;/h4&gt;&lt;h5&gt;&lt;b&gt;Mythic: &lt;/b&gt;Affected creatures can choose two of the spell's bonuses each round rather than one.&lt;/h5&gt;&lt;/div&gt;</t>
  </si>
  <si>
    <t>Gives allies a choice of benefits.</t>
  </si>
  <si>
    <t>Martyred (9)</t>
  </si>
  <si>
    <t>Ancestors (8)</t>
  </si>
  <si>
    <t>Affected creatures can choose two of the spell's bonuses each round rather than one.</t>
  </si>
  <si>
    <t>Blessing of the Salamander</t>
  </si>
  <si>
    <t>When you cast this on a creature, its skin turns slick and clammy and it is able to regenerate damage each round. While under the effects of the spell, the creature gains fast healing 5, fire resistance 20 and a +2 competence bonus to its Combat Maneuver Defense.</t>
  </si>
  <si>
    <t>&lt;p&gt;When you cast this on a creature, its skin turns slick and clammy and it is able to regenerate damage each round. While under the effects of the spell, the creature gains fast healing 5, fire resistance 20 and a +2 competence bonus to its Combat Maneuver Defense.&lt;/p&gt;</t>
  </si>
  <si>
    <t>&lt;link rel="stylesheet"href="PF.css"&gt;&lt;div class="heading"&gt;&lt;p class="alignleft"&gt;Blessing of the Salamander&lt;/p&gt;&lt;div style="clear: both;"&gt;&lt;/div&gt;&lt;/div&gt;&lt;div&gt;&lt;h5&gt;&lt;b&gt;School &lt;/b&gt;transmutation (polymorph);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(harmless)&lt;/h5&gt;&lt;/div&gt;&lt;hr/&gt;&lt;div&gt;&lt;h5&gt;&lt;b&gt;DESCRIPTION&lt;/b&gt;&lt;/h5&gt;&lt;/div&gt;&lt;hr/&gt;&lt;div&gt;&lt;h4&gt;&lt;p&gt;When you cast this on a creature, its skin turns slick and clammy and it is able to regenerate damage each round. While under the effects of the spell, the creature gains fast healing 5, fire resistance 20 and a +2 competence bonus to its Combat Maneuver Defense.&lt;/p&gt;&lt;/h4&gt;&lt;/div&gt;</t>
  </si>
  <si>
    <t>Subject gets fast healing 2, fire resistance 10, and +2 to its CMD.</t>
  </si>
  <si>
    <t>Blood Biography</t>
  </si>
  <si>
    <t>bard 2, cleric/oracle 3, inquisitor 3, sorcerer/wizard 3, bloodrager 3, occultist 2, psychic 3</t>
  </si>
  <si>
    <t>V, S, M/DF (a scrap of parchment)</t>
  </si>
  <si>
    <t>one creature's blood or one bloodstain</t>
  </si>
  <si>
    <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 • Who are you? (The name by which the creature is most commonly known) • What are you? (Gender, race, profession/role) • How was your blood shed? (Brief outline of the events that caused its wound, to the best of the victim's knowledge) • When was your blood shed? These answers always appear in a language you can read even if the creature cannot speak that or any language.</t>
  </si>
  <si>
    <t>&lt;p&gt;You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on).&lt;/p&gt;&lt;p&gt;&lt;ul&gt;&lt;li&gt; Who are you? (The name by which the creature is most commonly known) &lt;li&gt; What are you? (Gender, race, profession/role) &lt;li&gt; How was your blood shed? (Brief outline of the events that caused its wound, to the best of the victim's knowledge) &lt;li&gt; When was your blood shed?&lt;/ul&gt; These answers always appear in a language you can read even if the creature cannot speak that or any language.&lt;/p&gt;</t>
  </si>
  <si>
    <t>&lt;link rel="stylesheet"href="PF.css"&gt;&lt;div class="heading"&gt;&lt;p class="alignleft"&gt;Blood Biography&lt;/p&gt;&lt;div style="clear: both;"&gt;&lt;/div&gt;&lt;/div&gt;&lt;div&gt;&lt;h5&gt;&lt;b&gt;School &lt;/b&gt;divination; &lt;b&gt;Level &lt;/b&gt;bard 2, cleric/oracle 3, inquisitor 3, sorcerer/wizard 3, bloodrager 3, occultist 2, psychic 3&lt;/h5&gt;&lt;/div&gt;&lt;hr/&gt;&lt;div&gt;&lt;h5&gt;&lt;b&gt;CASTING&lt;/b&gt;&lt;/h5&gt;&lt;/div&gt;&lt;hr/&gt;&lt;div&gt;&lt;h5&gt;&lt;b&gt;Casting Time &lt;/b&gt;1 minute&lt;/h5&gt;&lt;h5&gt;&lt;b&gt;Components &lt;/b&gt;V, S, M/DF (a scrap of parchment)&lt;/h5&gt;&lt;/div&gt;&lt;hr/&gt;&lt;div&gt;&lt;h5&gt;&lt;b&gt;EFFECT&lt;/b&gt;&lt;/h5&gt;&lt;/div&gt;&lt;hr/&gt;&lt;div&gt;&lt;h5&gt;&lt;b&gt;Range &lt;/b&gt;touch&lt;/h5&gt;&lt;h5&gt;&lt;b&gt;Targets &lt;/b&gt;one creature's blood or one bloodstain&lt;/h5&gt;&lt;h5&gt;&lt;b&gt;Duration &lt;/b&gt;instantaneous&lt;/h5&gt;&lt;h5&gt;&lt;b&gt;Saving Throw &lt;/b&gt;Will negates (see text); &lt;b&gt;Spell Resistance &lt;/b&gt;no&lt;/h5&gt;&lt;/div&gt;&lt;hr/&gt;&lt;div&gt;&lt;h5&gt;&lt;b&gt;DESCRIPTION&lt;/b&gt;&lt;/h5&gt;&lt;/div&gt;&lt;hr/&gt;&lt;div&gt;&lt;h4&gt;&lt;p&gt;You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on).&lt;/p&gt;&lt;p&gt;&lt;ul&gt;&lt;li&gt; Who are you? (The name by which the creature is most commonly known) &lt;li&gt; What are you? (Gender, race, profession/role) &lt;li&gt; How was your blood shed? (Brief outline of the events that caused its wound, to the best of the victim's knowledge) &lt;li&gt; When was your blood shed?&lt;/ul&gt; These answers always appear in a language you can read even if the creature cannot speak that or any language.&lt;/p&gt;&lt;/h4&gt;&lt;/div&gt;</t>
  </si>
  <si>
    <t>Learn about a creature with its blood.</t>
  </si>
  <si>
    <t>Portents (6)</t>
  </si>
  <si>
    <t>Bloodhound</t>
  </si>
  <si>
    <t>alchemist 3, inquisitor 2, ranger 2, occultist 3</t>
  </si>
  <si>
    <t>V, S, M (a drop of blood and a pinch of cinnamon)</t>
  </si>
  <si>
    <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stinking cloud. A creature under the effects of bloodhound can detect poison by scent with a DC 20 Perception check.</t>
  </si>
  <si>
    <t>&lt;p&gt;You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&lt;i&gt;stinking cloud&lt;/i&gt;. A creature under the effects of &lt;i&gt;bloodhound&lt;/i&gt; can detect poison by scent with a DC 20 Perception check.&lt;/p&gt;</t>
  </si>
  <si>
    <t>&lt;link rel="stylesheet"href="PF.css"&gt;&lt;div class="heading"&gt;&lt;p class="alignleft"&gt;Bloodhound&lt;/p&gt;&lt;div style="clear: both;"&gt;&lt;/div&gt;&lt;/div&gt;&lt;div&gt;&lt;h5&gt;&lt;b&gt;School &lt;/b&gt;transmutation; &lt;b&gt;Level &lt;/b&gt;alchemist 3, inquisitor 2, ranger 2, occultist 3&lt;/h5&gt;&lt;/div&gt;&lt;hr/&gt;&lt;div&gt;&lt;h5&gt;&lt;b&gt;CASTING&lt;/b&gt;&lt;/h5&gt;&lt;/div&gt;&lt;hr/&gt;&lt;div&gt;&lt;h5&gt;&lt;b&gt;Casting Time &lt;/b&gt;1 standard action&lt;/h5&gt;&lt;h5&gt;&lt;b&gt;Components &lt;/b&gt;V, S, M (a drop of blood and a pinch of cinnamon)&lt;/h5&gt;&lt;/div&gt;&lt;hr/&gt;&lt;div&gt;&lt;h5&gt;&lt;b&gt;EFFECT&lt;/b&gt;&lt;/h5&gt;&lt;/div&gt;&lt;hr/&gt;&lt;div&gt;&lt;h5&gt;&lt;b&gt;Range &lt;/b&gt;personal&lt;/h5&gt;&lt;h5&gt;&lt;b&gt;Targets &lt;/b&gt;you&lt;/h5&gt;&lt;h5&gt;&lt;b&gt;Duration &lt;/b&gt;1 hour/level&lt;/h5&gt;&lt;/div&gt;&lt;hr/&gt;&lt;div&gt;&lt;h5&gt;&lt;b&gt;DESCRIPTION&lt;/b&gt;&lt;/h5&gt;&lt;/div&gt;&lt;hr/&gt;&lt;div&gt;&lt;h4&gt;&lt;p&gt;You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&lt;i&gt;stinking cloud&lt;/i&gt;. A creature under the effects of &lt;i&gt;bloodhound&lt;/i&gt; can detect poison by scent with a DC 20 Perception check.&lt;/p&gt;&lt;/h4&gt;&lt;/div&gt;</t>
  </si>
  <si>
    <t>Gives caster the scent special ability.</t>
  </si>
  <si>
    <t>Bloody Claws</t>
  </si>
  <si>
    <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t>
  </si>
  <si>
    <t>&lt;p&gt;You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effect.&lt;/p&gt;</t>
  </si>
  <si>
    <t>&lt;link rel="stylesheet"href="PF.css"&gt;&lt;div class="heading"&gt;&lt;p class="alignleft"&gt;Bloody Claws&lt;/p&gt;&lt;div style="clear: both;"&gt;&lt;/div&gt;&lt;/div&gt;&lt;div&gt;&lt;h5&gt;&lt;b&gt;School &lt;/b&gt;necromancy;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 minute/level&lt;/h5&gt;&lt;h5&gt;&lt;b&gt;Saving Throw &lt;/b&gt;Fortitude negates (harmless); &lt;b&gt;Spell Resistance &lt;/b&gt;yes (harmless)&lt;/h5&gt;&lt;/div&gt;&lt;hr/&gt;&lt;div&gt;&lt;h5&gt;&lt;b&gt;DESCRIPTION&lt;/b&gt;&lt;/h5&gt;&lt;/div&gt;&lt;hr/&gt;&lt;div&gt;&lt;h4&gt;&lt;p&gt;You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effect.&lt;/p&gt;&lt;/h4&gt;&lt;/div&gt;</t>
  </si>
  <si>
    <t>Causes bleed damage with natural attacks.</t>
  </si>
  <si>
    <t>Bomber's Eye</t>
  </si>
  <si>
    <t>alchemist 1</t>
  </si>
  <si>
    <t>This extract allows you to throw weapons farther and more accurately. While this extract is in effect, increase the range of any thrown weapon by 10 feet. In addition, you receive a +1 insight bonus on attack rolls made with thrown weapons.</t>
  </si>
  <si>
    <t>&lt;p&gt;This extract allows you to throw weapons farther and more accurately. While this extract is in effect, increase the range of any thrown weapon by 10 feet. In addition, you receive a +1 insight bonus on attack rolls made with thrown weapons.&lt;/p&gt;</t>
  </si>
  <si>
    <t>&lt;link rel="stylesheet"href="PF.css"&gt;&lt;div class="heading"&gt;&lt;p class="alignleft"&gt;Bomber's Eye&lt;/p&gt;&lt;div style="clear: both;"&gt;&lt;/div&gt;&lt;/div&gt;&lt;div&gt;&lt;h5&gt;&lt;b&gt;School &lt;/b&gt;transmutation; &lt;b&gt;Level &lt;/b&gt;alchemist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round/level&lt;/h5&gt;&lt;/div&gt;&lt;hr/&gt;&lt;div&gt;&lt;h5&gt;&lt;b&gt;DESCRIPTION&lt;/b&gt;&lt;/h5&gt;&lt;/div&gt;&lt;hr/&gt;&lt;div&gt;&lt;h4&gt;&lt;p&gt;This extract allows you to throw weapons farther and more accurately. While this extract is in effect, increase the range of any thrown weapon by 10 feet. In addition, you receive a +1 insight bonus on attack rolls made with thrown weapons.&lt;/p&gt;&lt;/h4&gt;&lt;/div&gt;</t>
  </si>
  <si>
    <t>Increases thrown weapon range; +1 attack.</t>
  </si>
  <si>
    <t>Borrow Fortune</t>
  </si>
  <si>
    <t>oracle 3, psychic 3</t>
  </si>
  <si>
    <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t>
  </si>
  <si>
    <t>&lt;p&gt;When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result.&lt;/p&gt;</t>
  </si>
  <si>
    <t>&lt;link rel="stylesheet"href="PF.css"&gt;&lt;div class="heading"&gt;&lt;p class="alignleft"&gt;Borrow Fortune&lt;/p&gt;&lt;div style="clear: both;"&gt;&lt;/div&gt;&lt;/div&gt;&lt;div&gt;&lt;h5&gt;&lt;b&gt;School &lt;/b&gt;evocation; &lt;b&gt;Level &lt;/b&gt;oracle 3, 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&lt;/b&gt;instantaneous; see text&lt;/h5&gt;&lt;/div&gt;&lt;hr/&gt;&lt;div&gt;&lt;h5&gt;&lt;b&gt;DESCRIPTION&lt;/b&gt;&lt;/h5&gt;&lt;/div&gt;&lt;hr/&gt;&lt;div&gt;&lt;h4&gt;&lt;p&gt;When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result.&lt;/p&gt;&lt;/h4&gt;&lt;/div&gt;</t>
  </si>
  <si>
    <t>Fate (3)</t>
  </si>
  <si>
    <t>(Oracle only.) Retry attack or check, but do worse on next two.</t>
  </si>
  <si>
    <t>Borrow Skill</t>
  </si>
  <si>
    <t>bard 1, psychic 1</t>
  </si>
  <si>
    <t>up to 1 round/level (see description)</t>
  </si>
  <si>
    <t>You borrow one of the target's known skills. After touching the subject, you can make a single check with the chosen skill using the subject's skill ranks, but modified by your own key ability.  If you take longer than the spell's duration to make the check or the check requires more time, then it fails and you must use your own skill ranks (if any). If the borrowed skill is a class skill for you, you gain the +3 bonus on checks using that skill.</t>
  </si>
  <si>
    <t>&lt;p&gt;You borrow one of the target's known skills. After touching the subject, you can make a single check with the chosen skill using the subject's skill ranks, but modified by your own key ability.&lt;/p&gt;&lt;p&gt;If you take longer than the spell's duration to make the check or the check requires more time, then it fails and you must use your own skill ranks (if any). If the borrowed skill is a class skill for you, you gain the +3 bonus on checks using that skill.&lt;/p&gt;</t>
  </si>
  <si>
    <t>&lt;link rel="stylesheet"href="PF.css"&gt;&lt;div class="heading"&gt;&lt;p class="alignleft"&gt;Borrow Skill&lt;/p&gt;&lt;div style="clear: both;"&gt;&lt;/div&gt;&lt;/div&gt;&lt;div&gt;&lt;h5&gt;&lt;b&gt;School &lt;/b&gt;transmutation; &lt;b&gt;Level &lt;/b&gt;bard 1, psychic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touched&lt;/h5&gt;&lt;h5&gt;&lt;b&gt;Duration &lt;/b&gt;up to 1 round/level (see description)&lt;/h5&gt;&lt;h5&gt;&lt;b&gt;Saving Throw &lt;/b&gt;Will negates (harmless); &lt;b&gt;Spell Resistance &lt;/b&gt;yes (harmless)&lt;/h5&gt;&lt;/div&gt;&lt;hr/&gt;&lt;div&gt;&lt;h5&gt;&lt;b&gt;DESCRIPTION&lt;/b&gt;&lt;/h5&gt;&lt;/div&gt;&lt;hr/&gt;&lt;div&gt;&lt;h4&gt;&lt;p&gt;You borrow one of the target's known skills. After touching the subject, you can make a single check with the chosen skill using the subject's skill ranks, but modified by your own key ability.&lt;/p&gt;&lt;p&gt;If you take longer than the spell's duration to make the check or the check requires more time, then it fails and you must use your own skill ranks (if any). If the borrowed skill is a class skill for you, you gain the +3 bonus on checks using that skill.&lt;/p&gt;&lt;/h4&gt;&lt;/div&gt;</t>
  </si>
  <si>
    <t>Cooperation (1)</t>
  </si>
  <si>
    <t>Make a skill check using another’s ranks.</t>
  </si>
  <si>
    <t>Bow Spirit</t>
  </si>
  <si>
    <t>ranger 4</t>
  </si>
  <si>
    <t>A bow spirit is a shapeless force that hovers about you, taking ammunition from your quiver and firing it. For as long as the bow spirit lasts, you can spend a swift action to direct the bow spirit to fire an arrow or a bolt at a target of your choice, as if the bow spirit were firing the necessary ranged weapon. The bow spirit uses your base attack bonus plus your Dexterity modifier, as well as any bonuses and effects from feats you have that affect ranged attacks, or bonuses from the ammunition it uses.  A bow spirit's attacks do not provoke attacks of opportunity.  There must be ammunition available for the bow spirit to use, and it expends ammunition as if used by you.  A bow spirit occupies your space, and moves with you.  It cannot be attacked or harmed by physical attacks, but dispel magic, disintegrate, a sphere of annihilation, or a rod of cancellation affects it. A bow spirit's AC against touch attacks is 10 + your Dexterity modifier.</t>
  </si>
  <si>
    <t>&lt;p&gt;A &lt;i&gt;bow spirit&lt;/i&gt; is a shapeless force that hovers about you, taking ammunition from your quiver and firing it. For as long as the &lt;i&gt;bow spirit&lt;/i&gt; lasts, you can spend a swift action to direct the &lt;i&gt;bow spirit&lt;/i&gt; to fire an arrow or a bolt at a target of your choice, as if the &lt;i&gt;bow spirit&lt;/i&gt; were firing the necessary ranged weapon. The &lt;i&gt;bow spirit&lt;/i&gt; uses your base attack bonus plus your Dexterity modifier, as well as any bonuses and effects from feats you have that affect ranged attacks, or bonuses from the ammunition it uses.&lt;/p&gt;&lt;p&gt;A &lt;i&gt;bow spirit&lt;/i&gt;'s attacks do not provoke attacks of opportunity.&lt;/p&gt;&lt;p&gt;There must be ammunition available for the &lt;i&gt;bow spirit&lt;/i&gt; to use, and it expends ammunition as if used by you.&lt;/p&gt;&lt;p&gt;A &lt;i&gt;bow spirit&lt;/i&gt; occupies your space, and moves with you.&lt;/p&gt;&lt;p&gt;It cannot be attacked or harmed by physical attacks, but &lt;i&gt;dispel magic&lt;/i&gt;, &lt;i&gt;disintegrate&lt;/i&gt;, &lt;i&gt;a sphere of annihilation&lt;/i&gt;, or a &lt;i&gt;rod of cancellation&lt;/i&gt; affects it. A &lt;i&gt;bow spirit&lt;/i&gt;'s AC against touch attacks is 10 + your Dexterity modifier.&lt;/p&gt;</t>
  </si>
  <si>
    <t>&lt;link rel="stylesheet"href="PF.css"&gt;&lt;div class="heading"&gt;&lt;p class="alignleft"&gt;Bow Spirit&lt;/p&gt;&lt;div style="clear: both;"&gt;&lt;/div&gt;&lt;/div&gt;&lt;div&gt;&lt;h5&gt;&lt;b&gt;School &lt;/b&gt;conjuration (creation); &lt;b&gt;Level &lt;/b&gt;ranger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round/level&lt;/h5&gt;&lt;/div&gt;&lt;hr/&gt;&lt;div&gt;&lt;h5&gt;&lt;b&gt;DESCRIPTION&lt;/b&gt;&lt;/h5&gt;&lt;/div&gt;&lt;hr/&gt;&lt;div&gt;&lt;h4&gt;&lt;p&gt;A &lt;i&gt;bow spirit&lt;/i&gt; is a shapeless force that hovers about you, taking ammunition from your quiver and firing it. For as long as the &lt;i&gt;bow spirit&lt;/i&gt; lasts, you can spend a swift action to direct the &lt;i&gt;bow spirit&lt;/i&gt; to fire an arrow or a bolt at a target of your choice, as if the &lt;i&gt;bow spirit&lt;/i&gt; were firing the necessary ranged weapon. The &lt;i&gt;bow spirit&lt;/i&gt; uses your base attack bonus plus your Dexterity modifier, as well as any bonuses and effects from feats you have that affect ranged attacks, or bonuses from the ammunition it uses.&lt;/p&gt;&lt;p&gt;A &lt;i&gt;bow spirit&lt;/i&gt;'s attacks do not provoke attacks of opportunity.&lt;/p&gt;&lt;p&gt;There must be ammunition available for the &lt;i&gt;bow spirit&lt;/i&gt; to use, and it expends ammunition as if used by you.&lt;/p&gt;&lt;p&gt;A &lt;i&gt;bow spirit&lt;/i&gt; occupies your space, and moves with you.&lt;/p&gt;&lt;p&gt;It cannot be attacked or harmed by physical attacks, but &lt;i&gt;dispel magic&lt;/i&gt;, &lt;i&gt;disintegrate&lt;/i&gt;, &lt;i&gt;a sphere of annihilation&lt;/i&gt;, or a &lt;i&gt;rod of cancellation&lt;/i&gt; affects it. A &lt;i&gt;bow spirit&lt;/i&gt;'s AC against touch attacks is 10 + your Dexterity modifier.&lt;/p&gt;&lt;/h4&gt;&lt;/div&gt;</t>
  </si>
  <si>
    <t>Summons an invisible spirit that fires your arrows for you as a swift action.</t>
  </si>
  <si>
    <t>Brand</t>
  </si>
  <si>
    <t>inquisitor 0</t>
  </si>
  <si>
    <t>Brand etches an indelible rune or mark of no more than 6 characters onto a creature, inflicting 1 point of damage. The mark may be placed on any exposed portion of the creature, typically the head or forearm. A brand can be hidden by clothing or removed by scraping it away (causing 1d6 points of damage), though the brand returns if the damage is healed.</t>
  </si>
  <si>
    <t>&lt;p&gt;&lt;i&gt;Brand&lt;/i&gt; etches an indelible rune or mark of no more than 6 characters onto a creature, inflicting 1 point of damage. The mark may be placed on any exposed portion of the creature, typically the head or forearm. A &lt;i&gt;brand&lt;/i&gt; can be hidden by clothing or removed by scraping it away (causing 1d6 points of damage), though the &lt;i&gt;brand&lt;/i&gt; returns if the damage is healed.&lt;/p&gt;</t>
  </si>
  <si>
    <t>&lt;link rel="stylesheet"href="PF.css"&gt;&lt;div class="heading"&gt;&lt;p class="alignleft"&gt;Brand&lt;/p&gt;&lt;div style="clear: both;"&gt;&lt;/div&gt;&lt;/div&gt;&lt;div&gt;&lt;h5&gt;&lt;b&gt;School &lt;/b&gt;transmutation [curse]; &lt;b&gt;Level &lt;/b&gt;inquisitor 0&lt;/h5&gt;&lt;/div&gt;&lt;hr/&gt;&lt;div&gt;&lt;h5&gt;&lt;b&gt;CASTING&lt;/b&gt;&lt;/h5&gt;&lt;/div&gt;&lt;hr/&gt;&lt;div&gt;&lt;h5&gt;&lt;b&gt;Casting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&lt;/b&gt;yes&lt;/h5&gt;&lt;/div&gt;&lt;hr/&gt;&lt;div&gt;&lt;h5&gt;&lt;b&gt;DESCRIPTION&lt;/b&gt;&lt;/h5&gt;&lt;/div&gt;&lt;hr/&gt;&lt;div&gt;&lt;h4&gt;&lt;p&gt;&lt;i&gt;Brand&lt;/i&gt; etches an indelible rune or mark of no more than 6 characters onto a creature, inflicting 1 point of damage. The mark may be placed on any exposed portion of the creature, typically the head or forearm. A &lt;i&gt;brand&lt;/i&gt; can be hidden by clothing or removed by scraping it away (causing 1d6 points of damage), though the &lt;i&gt;brand&lt;/i&gt; returns if the damage is healed.&lt;/p&gt;&lt;/h4&gt;&lt;/div&gt;</t>
  </si>
  <si>
    <t>Creates permanent brand on target creature.</t>
  </si>
  <si>
    <t>Brand, Greater</t>
  </si>
  <si>
    <t>inquisitor 4</t>
  </si>
  <si>
    <t>This spell functions like brand, except that it inflicts 1d6 points of damage when applied and cannot be removed, even temporarily. In addition, a greater brand blazes as bright as a torch when brought within 30 feet of a visible symbol of your faith. While the symbol is blazing, the recipient is sickened.  Like the effects of bestow curse, a greater brand cannot be dispelled, but it can be removed by any means that removes a mark of justice.</t>
  </si>
  <si>
    <t>&lt;p&gt;This spell functions like &lt;i&gt;brand&lt;/i&gt;, except that it inflicts 1d6 points of damage when applied and cannot be removed, even temporarily. In addition, a greater &lt;i&gt;brand&lt;/i&gt; blazes as bright as a torch when brought within 30 feet of a visible symbol of your faith. While the symbol is blazing, the recipient is sickened.&lt;/p&gt;&lt;p&gt;Like the effects of &lt;i&gt;bestow curse&lt;/i&gt;, a greater &lt;i&gt;brand&lt;/i&gt; cannot be dispelled, but it can be removed by any means that removes a &lt;i&gt;mark of justice&lt;/i&gt;.&lt;/p&gt;</t>
  </si>
  <si>
    <t>&lt;link rel="stylesheet"href="PF.css"&gt;&lt;div class="heading"&gt;&lt;p class="alignleft"&gt;Brand, Greater&lt;/p&gt;&lt;div style="clear: both;"&gt;&lt;/div&gt;&lt;/div&gt;&lt;div&gt;&lt;h5&gt;&lt;b&gt;School &lt;/b&gt;transmutation [curse]; &lt;b&gt;Level &lt;/b&gt;inquisitor 4&lt;/h5&gt;&lt;/div&gt;&lt;hr/&gt;&lt;div&gt;&lt;h5&gt;&lt;b&gt;CASTING&lt;/b&gt;&lt;/h5&gt;&lt;/div&gt;&lt;hr/&gt;&lt;div&gt;&lt;h5&gt;&lt;b&gt;Casting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&lt;/b&gt;yes&lt;/h5&gt;&lt;/div&gt;&lt;hr/&gt;&lt;div&gt;&lt;h5&gt;&lt;b&gt;DESCRIPTION&lt;/b&gt;&lt;/h5&gt;&lt;/div&gt;&lt;hr/&gt;&lt;div&gt;&lt;h4&gt;&lt;p&gt;This spell functions like &lt;i&gt;brand&lt;/i&gt;, except that it inflicts 1d6 points of damage when applied and cannot be removed, even temporarily. In addition, a greater &lt;i&gt;brand&lt;/i&gt; blazes as bright as a torch when brought within 30 feet of a visible symbol of your faith. While the symbol is blazing, the recipient is sickened.&lt;/p&gt;&lt;p&gt;Like the effects of &lt;i&gt;bestow curse&lt;/i&gt;, a greater &lt;i&gt;brand&lt;/i&gt; cannot be dispelled, but it can be removed by any means that removes a &lt;i&gt;mark of justice&lt;/i&gt;.&lt;/p&gt;&lt;/h4&gt;&lt;/div&gt;</t>
  </si>
  <si>
    <t>As brand, but brand glows when near your holy symbol.</t>
  </si>
  <si>
    <t>Break</t>
  </si>
  <si>
    <t>sorcerer/wizard 1, bloodrager 1, occultist 1, psychic 1</t>
  </si>
  <si>
    <t>V, S, M (a twig)</t>
  </si>
  <si>
    <t>one Medium or smaller object</t>
  </si>
  <si>
    <t>You can attempt to break or at least damage any one Medium or smaller object within range. If the target fails its Fortitude saving throw, it gains the broken condition. If cast on a broken item, that item is destroyed on a failed save.</t>
  </si>
  <si>
    <t>&lt;p&gt;You can attempt to break or at least damage any one Medium or smaller object within range. If the target fails its Fortitude saving throw, it gains the broken condition. If cast on a broken item, that item is destroyed on a failed save.&lt;/p&gt;</t>
  </si>
  <si>
    <t>&lt;link rel="stylesheet"href="PF.css"&gt;&lt;div class="heading"&gt;&lt;p class="alignleft"&gt;Break&lt;/p&gt;&lt;div style="clear: both;"&gt;&lt;/div&gt;&lt;/div&gt;&lt;div&gt;&lt;h5&gt;&lt;b&gt;School &lt;/b&gt;transmutation; &lt;b&gt;Level &lt;/b&gt;sorcerer/wizard 1, bloodrager 1, occultist 1, psychic 1&lt;/h5&gt;&lt;/div&gt;&lt;hr/&gt;&lt;div&gt;&lt;h5&gt;&lt;b&gt;CASTING&lt;/b&gt;&lt;/h5&gt;&lt;/div&gt;&lt;hr/&gt;&lt;div&gt;&lt;h5&gt;&lt;b&gt;Casting Time &lt;/b&gt;1 standard action&lt;/h5&gt;&lt;h5&gt;&lt;b&gt;Components &lt;/b&gt;V, S, M (a twig)&lt;/h5&gt;&lt;/div&gt;&lt;hr/&gt;&lt;div&gt;&lt;h5&gt;&lt;b&gt;EFFECT&lt;/b&gt;&lt;/h5&gt;&lt;/div&gt;&lt;hr/&gt;&lt;div&gt;&lt;h5&gt;&lt;b&gt;Range &lt;/b&gt;close (25 ft. + 5 ft./2 levels)&lt;/h5&gt;&lt;h5&gt;&lt;b&gt;Targets &lt;/b&gt;one Medium or smaller object&lt;/h5&gt;&lt;h5&gt;&lt;b&gt;Duration &lt;/b&gt;instantaneous&lt;/h5&gt;&lt;h5&gt;&lt;b&gt;Saving Throw &lt;/b&gt;Fortitude negates (object); &lt;b&gt;Spell Resistance &lt;/b&gt;yes (object)&lt;/h5&gt;&lt;/div&gt;&lt;hr/&gt;&lt;div&gt;&lt;h5&gt;&lt;b&gt;DESCRIPTION&lt;/b&gt;&lt;/h5&gt;&lt;/div&gt;&lt;hr/&gt;&lt;div&gt;&lt;h4&gt;&lt;p&gt;You can attempt to break or at least damage any one Medium or smaller object within range. If the target fails its Fortitude saving throw, it gains the broken condition. If cast on a broken item, that item is destroyed on a failed save.&lt;/p&gt;&lt;/h4&gt;&lt;h5&gt;&lt;b&gt;Mythic: &lt;/b&gt;You can target up to 1 Medium or smaller object per caster level.&lt;/h5&gt;&lt;h5&gt;&lt;b&gt;Augmented (3rd)&lt;/b&gt;: If you expend two uses of mythic power, target objects gain the broken condition on a successful save and are destroyed on a failed save. This doesn't affect mythic objects or objects held or carried by mythic creatures.&lt;/h5&gt;&lt;/div&gt;</t>
  </si>
  <si>
    <t>Gives an object the broken condition.</t>
  </si>
  <si>
    <t>You can target up to 1 Medium or smaller object per caster level.</t>
  </si>
  <si>
    <t>Augmented (3rd): If you expend two uses of mythic power, target objects gain the broken condition on a successful save and are destroyed on a failed save. This doesn't affect mythic objects or objects held or carried by mythic creatures.</t>
  </si>
  <si>
    <t>Brilliant Inspiration</t>
  </si>
  <si>
    <t>bard 6, psychic 8</t>
  </si>
  <si>
    <t>1 round/level and special (see below)</t>
  </si>
  <si>
    <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t>
  </si>
  <si>
    <t>&lt;p&gt;You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spent.&lt;/p&gt;</t>
  </si>
  <si>
    <t>&lt;link rel="stylesheet"href="PF.css"&gt;&lt;div class="heading"&gt;&lt;p class="alignleft"&gt;Brilliant Inspiration&lt;/p&gt;&lt;div style="clear: both;"&gt;&lt;/div&gt;&lt;/div&gt;&lt;div&gt;&lt;h5&gt;&lt;b&gt;School &lt;/b&gt;evocation [language-dependent]; &lt;b&gt;Level &lt;/b&gt;bard 6, psychic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round/level and special (see below)&lt;/h5&gt;&lt;h5&gt;&lt;b&gt;Saving Throw &lt;/b&gt;Will negates (harmless); &lt;b&gt;Spell Resistance &lt;/b&gt;yes (harmless)&lt;/h5&gt;&lt;/div&gt;&lt;hr/&gt;&lt;div&gt;&lt;h5&gt;&lt;b&gt;DESCRIPTION&lt;/b&gt;&lt;/h5&gt;&lt;/div&gt;&lt;hr/&gt;&lt;div&gt;&lt;h4&gt;&lt;p&gt;You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spent.&lt;/p&gt;&lt;/h4&gt;&lt;/div&gt;</t>
  </si>
  <si>
    <t>Leadership (6)</t>
  </si>
  <si>
    <t>Take best of two d20 rolls.</t>
  </si>
  <si>
    <t>Bristle</t>
  </si>
  <si>
    <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  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t>
  </si>
  <si>
    <t>&lt;p&gt;You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spell.&lt;/p&gt;&lt;p&gt;All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lose.&lt;/p&gt;</t>
  </si>
  <si>
    <t>&lt;link rel="stylesheet"href="PF.css"&gt;&lt;div class="heading"&gt;&lt;p class="alignleft"&gt;Bristle&lt;/p&gt;&lt;div style="clear: both;"&gt;&lt;/div&gt;&lt;/div&gt;&lt;div&gt;&lt;h5&gt;&lt;b&gt;School &lt;/b&gt;transmutation;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creature&lt;/h5&gt;&lt;h5&gt;&lt;b&gt;Duration &lt;/b&gt;1 minute/level&lt;/h5&gt;&lt;h5&gt;&lt;b&gt;Saving Throw &lt;/b&gt;Fortitude negates (harmless); &lt;b&gt;Spell Resistance &lt;/b&gt;yes&lt;/h5&gt;&lt;/div&gt;&lt;hr/&gt;&lt;div&gt;&lt;h5&gt;&lt;b&gt;DESCRIPTION&lt;/b&gt;&lt;/h5&gt;&lt;/div&gt;&lt;hr/&gt;&lt;div&gt;&lt;h4&gt;&lt;p&gt;You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spell.&lt;/p&gt;&lt;p&gt;All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lose.&lt;/p&gt;&lt;/h4&gt;&lt;/div&gt;</t>
  </si>
  <si>
    <t>Trade natural armor bonus for a bonus on attacks with natural weapons.</t>
  </si>
  <si>
    <t>Burning Gaze</t>
  </si>
  <si>
    <t>druid 2, sorcerer/wizard 2, witch 2, magus 2, bloodrager 2, shaman 2, occultist 2, mesmerist 2</t>
  </si>
  <si>
    <t>V, S, M/DF (eye of a mundane salamander)</t>
  </si>
  <si>
    <t>Fortitude negates (see text)</t>
  </si>
  <si>
    <t>Your eyes burn like hot coals, allowing you to set objects or foes alight with a glance. As a standard action as long as this spell's effects persist, you may direct your burning gaze against a single creature or object within 30 feet of your location. Targeted creatures must succeed at a Fortitude save or take 1d6 points of fire damage. Unattended objects do not get a save. Creatures damaged by the spell must make a Reflex save or catch fire. 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burning gaze. Note that this spell does not grant an actual gaze attack- foes and allies are not in danger of catching on fire simply by meeting your gaze.</t>
  </si>
  <si>
    <t>&lt;p&gt;Your eyes burn like hot coals, allowing you to set objects or foes alight with a glance.&lt;/p&gt;&lt;p&gt;As a standard action as long as this spell's effects persist, you may direct your &lt;i&gt;burning gaze&lt;/i&gt; against a single creature or object within 30 feet of your location. Targeted creatures must succeed at a Fortitude save or take 1d6 points of fire damage. Unattended objects do not get a save. Creatures damaged by the spell must make a Reflex save or catch fire.&lt;/p&gt;&lt;p&gt;Each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&lt;i&gt;burning gaze&lt;/i&gt;.&lt;/p&gt;&lt;p&gt;Note that this spell does not grant an actual gaze attack- foes and allies are not in danger of catching on fire simply by meeting your gaze.&lt;/p&gt;</t>
  </si>
  <si>
    <t>&lt;link rel="stylesheet"href="PF.css"&gt;&lt;div class="heading"&gt;&lt;p class="alignleft"&gt;Burning Gaze&lt;/p&gt;&lt;div style="clear: both;"&gt;&lt;/div&gt;&lt;/div&gt;&lt;div&gt;&lt;h5&gt;&lt;b&gt;School &lt;/b&gt;evocation [fire]; &lt;b&gt;Level &lt;/b&gt;druid 2, sorcerer/wizard 2, witch 2, magus 2, bloodrager 2, shaman 2, occultist 2, mesmerist 2&lt;/h5&gt;&lt;/div&gt;&lt;hr/&gt;&lt;div&gt;&lt;h5&gt;&lt;b&gt;CASTING&lt;/b&gt;&lt;/h5&gt;&lt;/div&gt;&lt;hr/&gt;&lt;div&gt;&lt;h5&gt;&lt;b&gt;Casting Time &lt;/b&gt;1 standard action&lt;/h5&gt;&lt;h5&gt;&lt;b&gt;Components &lt;/b&gt;V, S, M/DF (eye of a mundane salamander)&lt;/h5&gt;&lt;/div&gt;&lt;hr/&gt;&lt;div&gt;&lt;h5&gt;&lt;b&gt;EFFECT&lt;/b&gt;&lt;/h5&gt;&lt;/div&gt;&lt;hr/&gt;&lt;div&gt;&lt;h5&gt;&lt;b&gt;Range &lt;/b&gt;personal&lt;/h5&gt;&lt;h5&gt;&lt;b&gt;Targets &lt;/b&gt;you&lt;/h5&gt;&lt;h5&gt;&lt;b&gt;Duration &lt;/b&gt;1 round/level&lt;/h5&gt;&lt;h5&gt;&lt;b&gt;Saving Throw &lt;/b&gt;Fortitude negates (see text); &lt;b&gt;Spell Resistance &lt;/b&gt;yes&lt;/h5&gt;&lt;/div&gt;&lt;hr/&gt;&lt;div&gt;&lt;h5&gt;&lt;b&gt;DESCRIPTION&lt;/b&gt;&lt;/h5&gt;&lt;/div&gt;&lt;hr/&gt;&lt;div&gt;&lt;h4&gt;&lt;p&gt;Your eyes burn like hot coals, allowing you to set objects or foes alight with a glance.&lt;/p&gt;&lt;p&gt;As a standard action as long as this spell's effects persist, you may direct your &lt;i&gt;burning gaze&lt;/i&gt; against a single creature or object within 30 feet of your location. Targeted creatures must succeed at a Fortitude save or take 1d6 points of fire damage. Unattended objects do not get a save. Creatures damaged by the spell must make a Reflex save or catch fire.&lt;/p&gt;&lt;p&gt;Each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&lt;i&gt;burning gaze&lt;/i&gt;.&lt;/p&gt;&lt;p&gt;Note that this spell does not grant an actual gaze attack- foes and allies are not in danger of catching on fire simply by meeting your gaze.&lt;/p&gt;&lt;/h4&gt;&lt;h5&gt;&lt;b&gt;Mythic: &lt;/b&gt;You may focus your burning gaze on a creature or object as a move action instead of as a standard action. The target takes 1d8 points of fire damage for failing its save and for each round it's on fire.&lt;/h5&gt;&lt;h5&gt;&lt;b&gt;Augmented&lt;/b&gt;: If you expend two uses of mythic power, once during the spell's duration you can, as a full-round action, direct your burning gaze at up to one creature per caster level.&lt;/h5&gt;&lt;/div&gt;</t>
  </si>
  <si>
    <t>Inflict 1d6 fire damage to creature.</t>
  </si>
  <si>
    <t>Vengeance (4)</t>
  </si>
  <si>
    <t>You may focus your burning gaze on a creature or object as a move action instead of as a standard action. The target takes 1d8 points of fire damage for failing its save and for each round it's on fire.</t>
  </si>
  <si>
    <t>Augmented: If you expend two uses of mythic power, once during the spell's duration you can, as a full-round action, direct your burning gaze at up to one creature per caster level.</t>
  </si>
  <si>
    <t>Burst Bonds</t>
  </si>
  <si>
    <t>inquisitor 1</t>
  </si>
  <si>
    <t>one object or creature restraining you</t>
  </si>
  <si>
    <t>Fortitude half (object)</t>
  </si>
  <si>
    <t>You blast your restraints with divine wrath, dealing 1d6 points of damage per caster level to the target object (maximum 5d6), ignoring hardness of 10 or less. A Fortitude save halves the damage, although only magical restraints receive a saving throw.  You can also target a creature that is grappling or otherwise restraining you (such as by adhesive or the swallow whole ability) with the spell. You don't need to make a touch attack to use burst bonds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burst bonds allows a new saving throw with a +1 luck bonus per two caster levels (maximum +5).</t>
  </si>
  <si>
    <t>&lt;p&gt;You blast your restraints with divine wrath, dealing 1d6 points of damage per caster level to the target object (maximum 5d6), ignoring hardness of 10 or less. A Fortitude save halves the damage, although only magical restraints receive a saving throw.&lt;/p&gt;&lt;p&gt;You can also target a creature that is grappling or otherwise restraining you (such as by adhesive or the swallow whole ability) with the spell. You don't need to make a touch attack to use &lt;i&gt;burst bonds&lt;/i&gt;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&lt;i&gt;burst bonds&lt;/i&gt; allows a new saving throw with a +1 luck bonus per two caster levels (maximum +5).&lt;/p&gt;</t>
  </si>
  <si>
    <t>&lt;link rel="stylesheet"href="PF.css"&gt;&lt;div class="heading"&gt;&lt;p class="alignleft"&gt;Burst Bonds&lt;/p&gt;&lt;div style="clear: both;"&gt;&lt;/div&gt;&lt;/div&gt;&lt;div&gt;&lt;h5&gt;&lt;b&gt;School &lt;/b&gt;evocation; &lt;b&gt;Level &lt;/b&gt;inquisitor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object or creature restraining you&lt;/h5&gt;&lt;h5&gt;&lt;b&gt;Duration &lt;/b&gt;instantaneous&lt;/h5&gt;&lt;h5&gt;&lt;b&gt;Saving Throw &lt;/b&gt;Fortitude half (object); &lt;b&gt;Spell Resistance &lt;/b&gt;yes&lt;/h5&gt;&lt;/div&gt;&lt;hr/&gt;&lt;div&gt;&lt;h5&gt;&lt;b&gt;DESCRIPTION&lt;/b&gt;&lt;/h5&gt;&lt;/div&gt;&lt;hr/&gt;&lt;div&gt;&lt;h4&gt;&lt;p&gt;You blast your restraints with divine wrath, dealing 1d6 points of damage per caster level to the target object (maximum 5d6), ignoring hardness of 10 or less. A Fortitude save halves the damage, although only magical restraints receive a saving throw.&lt;/p&gt;&lt;p&gt;You can also target a creature that is grappling or otherwise restraining you (such as by adhesive or the swallow whole ability) with the spell. You don't need to make a touch attack to use &lt;i&gt;burst bonds&lt;/i&gt;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&lt;i&gt;burst bonds&lt;/i&gt; allows a new saving throw with a +1 luck bonus per two caster levels (maximum +5).&lt;/p&gt;&lt;/h4&gt;&lt;/div&gt;</t>
  </si>
  <si>
    <t>1d6 damage/level (max 5d6) to restraints.</t>
  </si>
  <si>
    <t>Cacophonous Call</t>
  </si>
  <si>
    <t>bard 2</t>
  </si>
  <si>
    <t>V, S, M (a scrap of sheet music)</t>
  </si>
  <si>
    <t>You fill your target's mind with a blaring cacophony of discordant sounds, making it hard for the target to act and concentrate.  The creature gains the nauseated condition for the duration of the spell if it fails its Will save.</t>
  </si>
  <si>
    <t>&lt;p&gt;You fill your target's mind with a blaring cacophony of discordant sounds, making it hard for the target to act and concentrate.&lt;/p&gt;&lt;p&gt;The creature gains the nauseated condition for the duration of the spell if it fails its Will save.&lt;/p&gt;</t>
  </si>
  <si>
    <t>&lt;link rel="stylesheet"href="PF.css"&gt;&lt;div class="heading"&gt;&lt;p class="alignleft"&gt;Cacophonous Call&lt;/p&gt;&lt;div style="clear: both;"&gt;&lt;/div&gt;&lt;/div&gt;&lt;div&gt;&lt;h5&gt;&lt;b&gt;School &lt;/b&gt;enchantment (compulsion) [mind-affecting]; &lt;b&gt;Level &lt;/b&gt;bard 2&lt;/h5&gt;&lt;/div&gt;&lt;hr/&gt;&lt;div&gt;&lt;h5&gt;&lt;b&gt;CASTING&lt;/b&gt;&lt;/h5&gt;&lt;/div&gt;&lt;hr/&gt;&lt;div&gt;&lt;h5&gt;&lt;b&gt;Casting Time &lt;/b&gt;1 standard action&lt;/h5&gt;&lt;h5&gt;&lt;b&gt;Components &lt;/b&gt;V, S, M (a scrap of sheet music)&lt;/h5&gt;&lt;/div&gt;&lt;hr/&gt;&lt;div&gt;&lt;h5&gt;&lt;b&gt;EFFECT&lt;/b&gt;&lt;/h5&gt;&lt;/div&gt;&lt;hr/&gt;&lt;div&gt;&lt;h5&gt;&lt;b&gt;Range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fill your target's mind with a blaring cacophony of discordant sounds, making it hard for the target to act and concentrate.&lt;/p&gt;&lt;p&gt;The creature gains the nauseated condition for the duration of the spell if it fails its Will save.&lt;/p&gt;&lt;/h4&gt;&lt;/div&gt;</t>
  </si>
  <si>
    <t>Nauseates target.</t>
  </si>
  <si>
    <t>Cacophonous Call, Mass</t>
  </si>
  <si>
    <t>one creature/level (all of which must be within 30 feet)</t>
  </si>
  <si>
    <t>This spell functions as cacophonous call, except that it affects multiple creatures.</t>
  </si>
  <si>
    <t>&lt;p&gt;This spell functions as &lt;i&gt;cacophonous call&lt;/i&gt;, except that it affects multiple creatures.&lt;/p&gt;</t>
  </si>
  <si>
    <t>&lt;link rel="stylesheet"href="PF.css"&gt;&lt;div class="heading"&gt;&lt;p class="alignleft"&gt;Cacophonous Call, Mass&lt;/p&gt;&lt;div style="clear: both;"&gt;&lt;/div&gt;&lt;/div&gt;&lt;div&gt;&lt;h5&gt;&lt;b&gt;School &lt;/b&gt;enchantment (compulsion) [mind-affecting]; &lt;b&gt;Level &lt;/b&gt;bard 5&lt;/h5&gt;&lt;/div&gt;&lt;hr/&gt;&lt;div&gt;&lt;h5&gt;&lt;b&gt;CASTING&lt;/b&gt;&lt;/h5&gt;&lt;/div&gt;&lt;hr/&gt;&lt;div&gt;&lt;h5&gt;&lt;b&gt;Casting Time &lt;/b&gt;1 standard action&lt;/h5&gt;&lt;h5&gt;&lt;b&gt;Components &lt;/b&gt;V, S, M (a scrap of sheet music)&lt;/h5&gt;&lt;/div&gt;&lt;hr/&gt;&lt;div&gt;&lt;h5&gt;&lt;b&gt;EFFECT&lt;/b&gt;&lt;/h5&gt;&lt;/div&gt;&lt;hr/&gt;&lt;div&gt;&lt;h5&gt;&lt;b&gt;Range &lt;/b&gt;close (25 ft. + 5 ft./2 levels)&lt;/h5&gt;&lt;h5&gt;&lt;b&gt;Targets &lt;/b&gt;one creature/level (all of which must be within 30 feet)&lt;/h5&gt;&lt;h5&gt;&lt;b&gt;Duration &lt;/b&gt;1 round/level&lt;/h5&gt;&lt;h5&gt;&lt;b&gt;Saving Throw &lt;/b&gt;Will negates; &lt;b&gt;Spell Resistance &lt;/b&gt;yes&lt;/h5&gt;&lt;/div&gt;&lt;hr/&gt;&lt;div&gt;&lt;h5&gt;&lt;b&gt;DESCRIPTION&lt;/b&gt;&lt;/h5&gt;&lt;/div&gt;&lt;hr/&gt;&lt;div&gt;&lt;h4&gt;&lt;p&gt;This spell functions as &lt;i&gt;cacophonous call&lt;/i&gt;, except that it affects multiple creatures.&lt;/p&gt;&lt;/h4&gt;&lt;/div&gt;</t>
  </si>
  <si>
    <t>Nauseates multiple targets.</t>
  </si>
  <si>
    <t>Calcific Touch</t>
  </si>
  <si>
    <t>sorcerer/wizard 4, bloodrager 4, psychic 4</t>
  </si>
  <si>
    <t>creature or creatures touched (up to one per level)</t>
  </si>
  <si>
    <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Break enchantment, restoration, or stone to flesh can reverse the effects of calcific touch.</t>
  </si>
  <si>
    <t>&lt;p&gt;Your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&lt;i&gt;Break enchantment&lt;/i&gt;, &lt;i&gt;restoration&lt;/i&gt;, &lt;i&gt;or stone to flesh&lt;/i&gt; can reverse the effects of &lt;i&gt;calcific touch&lt;/i&gt;.&lt;/p&gt;</t>
  </si>
  <si>
    <t>&lt;link rel="stylesheet"href="PF.css"&gt;&lt;div class="heading"&gt;&lt;p class="alignleft"&gt;Calcific Touch&lt;/p&gt;&lt;div style="clear: both;"&gt;&lt;/div&gt;&lt;/div&gt;&lt;div&gt;&lt;h5&gt;&lt;b&gt;School &lt;/b&gt;transmutation [earth]; &lt;b&gt;Level &lt;/b&gt;sorcerer/wizard 4, bloodrager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creatures touched (up to one per level)&lt;/h5&gt;&lt;h5&gt;&lt;b&gt;Duration &lt;/b&gt;1 round/level&lt;/h5&gt;&lt;h5&gt;&lt;b&gt;Saving Throw &lt;/b&gt;Fortitude partial; &lt;b&gt;Spell Resistance &lt;/b&gt;yes&lt;/h5&gt;&lt;/div&gt;&lt;hr/&gt;&lt;div&gt;&lt;h5&gt;&lt;b&gt;DESCRIPTION&lt;/b&gt;&lt;/h5&gt;&lt;/div&gt;&lt;hr/&gt;&lt;div&gt;&lt;h4&gt;&lt;p&gt;Your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&lt;i&gt;Break enchantment&lt;/i&gt;, &lt;i&gt;restoration&lt;/i&gt;, &lt;i&gt;or stone to flesh&lt;/i&gt; can reverse the effects of &lt;i&gt;calcific touch&lt;/i&gt;.&lt;/p&gt;&lt;/h4&gt;&lt;/div&gt;</t>
  </si>
  <si>
    <t>Touch attack slows target, 1d4 Dex damage.</t>
  </si>
  <si>
    <t>Call Animal</t>
  </si>
  <si>
    <t>druid 1, ranger 1, mesmerist 1</t>
  </si>
  <si>
    <t>see description</t>
  </si>
  <si>
    <t>one animal whose CR is equal or less than your caster level</t>
  </si>
  <si>
    <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  When the called animal arrives, it approaches to within 5 feet of you and remains nearby for the duration of the spell.  Its starting attitude is indifferent, modified by circumstances and interaction. Other than starting attitude, this spell gives you no special influence or ability to communicate with the called animal, although you may use other spells or abilities to do so.  Once the spell's duration expires, the animal acts in accordance with its attitude. Most animals will likely wander off, but a hostile predatory animal may attack, especially if it is hungry or provoked.  Domesticated animals or animals trained by someone else, including such creatures as familiars or animal companions, are unaffected by call animals.</t>
  </si>
  <si>
    <t>&lt;p&gt;This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area.&lt;/p&gt;&lt;p&gt;When the called animal arrives, it approaches to within 5 feet of you and remains nearby for the duration of the spell.&lt;/p&gt;&lt;p&gt;Its starting attitude is indifferent, modified by circumstances and interaction. Other than starting attitude, this spell gives you no special influence or ability to communicate with the called animal, although you may use other spells or abilities to do so.&lt;/p&gt;&lt;p&gt;Once the spell's duration expires, the animal acts in accordance with its attitude. Most animals will likely wander off, but a hostile predatory animal may attack, especially if it is hungry or provoked.&lt;/p&gt;&lt;p&gt;Domesticated animals or animals trained by someone else, including such creatures as familiars or animal companions, are unaffected by &lt;i&gt;call animals&lt;/i&gt;.&lt;/p&gt;</t>
  </si>
  <si>
    <t>&lt;link rel="stylesheet"href="PF.css"&gt;&lt;div class="heading"&gt;&lt;p class="alignleft"&gt;Call Animal&lt;/p&gt;&lt;div style="clear: both;"&gt;&lt;/div&gt;&lt;/div&gt;&lt;div&gt;&lt;h5&gt;&lt;b&gt;School &lt;/b&gt;enchantment (compulsion) [mind-affecting]; &lt;b&gt;Level &lt;/b&gt;druid 1, ranger 1, mesmerist 1&lt;/h5&gt;&lt;/div&gt;&lt;hr/&gt;&lt;div&gt;&lt;h5&gt;&lt;b&gt;CASTING&lt;/b&gt;&lt;/h5&gt;&lt;/div&gt;&lt;hr/&gt;&lt;div&gt;&lt;h5&gt;&lt;b&gt;Casting Time &lt;/b&gt;1 standard action&lt;/h5&gt;&lt;h5&gt;&lt;b&gt;Components &lt;/b&gt;V, S, DF&lt;/h5&gt;&lt;/div&gt;&lt;hr/&gt;&lt;div&gt;&lt;h5&gt;&lt;b&gt;EFFECT&lt;/b&gt;&lt;/h5&gt;&lt;/div&gt;&lt;hr/&gt;&lt;div&gt;&lt;h5&gt;&lt;b&gt;Range &lt;/b&gt;see description&lt;/h5&gt;&lt;h5&gt;&lt;b&gt;Effect &lt;/b&gt;one animal whose CR is equal or less than your caster level&lt;/h5&gt;&lt;h5&gt;&lt;b&gt;Duration &lt;/b&gt;1 hour/level (D)&lt;/h5&gt;&lt;h5&gt;&lt;b&gt;Saving Throw &lt;/b&gt;none; &lt;b&gt;Spell Resistance &lt;/b&gt;none&lt;/h5&gt;&lt;/div&gt;&lt;hr/&gt;&lt;div&gt;&lt;h5&gt;&lt;b&gt;DESCRIPTION&lt;/b&gt;&lt;/h5&gt;&lt;/div&gt;&lt;hr/&gt;&lt;div&gt;&lt;h4&gt;&lt;p&gt;This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area.&lt;/p&gt;&lt;p&gt;When the called animal arrives, it approaches to within 5 feet of you and remains nearby for the duration of the spell.&lt;/p&gt;&lt;p&gt;Its starting attitude is indifferent, modified by circumstances and interaction. Other than starting attitude, this spell gives you no special influence or ability to communicate with the called animal, although you may use other spells or abilities to do so.&lt;/p&gt;&lt;p&gt;Once the spell's duration expires, the animal acts in accordance with its attitude. Most animals will likely wander off, but a hostile predatory animal may attack, especially if it is hungry or provoked.&lt;/p&gt;&lt;p&gt;Domesticated animals or animals trained by someone else, including such creatures as familiars or animal companions, are unaffected by &lt;i&gt;call animals&lt;/i&gt;.&lt;/p&gt;&lt;/h4&gt;&lt;h5&gt;&lt;b&gt;Mythic: &lt;/b&gt;You can call up to one animal per 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spell.&lt;/h5&gt;&lt;/div&gt;</t>
  </si>
  <si>
    <t>Makes an animal come to you.</t>
  </si>
  <si>
    <t>You can call up to one animal per 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t>
  </si>
  <si>
    <t>Campfire Wall</t>
  </si>
  <si>
    <t>fire, light</t>
  </si>
  <si>
    <t>bard 3, druid 2, ranger 2, sorcerer/wizard 3, occultist 2</t>
  </si>
  <si>
    <t>V, S, M/DF (ash made from burnt thorns)</t>
  </si>
  <si>
    <t>20-ft.-radius sphere centered on fire source</t>
  </si>
  <si>
    <t>2 hours/level; see below (D)</t>
  </si>
  <si>
    <t>You can create a barrier around a fire of at least campfire size that shelters everyone inside so long as the fire continues to burn. The barrier appears as a crackling sphere of light and fire that is clearly visible, providing as much illumination as a torch.  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  Creatures inside the barrier can leave without penalty, but if they try to return they suffer the same consequences as anyone else. If the fire source at the barrier's center is extinguished or moved, the spell ends.</t>
  </si>
  <si>
    <t>&lt;p&gt;You can create a barrier around a fire of at least campfire size that shelters everyone inside so long as the fire continues to burn. The barrier appears as a crackling sphere of light and fire that is clearly visible, providing as much illumination as a torch.&lt;/p&gt;&lt;p&gt;The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light.&lt;/p&gt;&lt;p&gt;Creatures inside the barrier can leave without penalty, but if they try to return they suffer the same consequences as anyone else. If the fire source at the barrier's center is extinguished or moved, the spell ends.&lt;/p&gt;</t>
  </si>
  <si>
    <t>&lt;link rel="stylesheet"href="PF.css"&gt;&lt;div class="heading"&gt;&lt;p class="alignleft"&gt;Campfire Wall&lt;/p&gt;&lt;div style="clear: both;"&gt;&lt;/div&gt;&lt;/div&gt;&lt;div&gt;&lt;h5&gt;&lt;b&gt;School &lt;/b&gt;evocation [fire, light]; &lt;b&gt;Level &lt;/b&gt;bard 3, druid 2, ranger 2, sorcerer/wizard 3, occultist 2&lt;/h5&gt;&lt;/div&gt;&lt;hr/&gt;&lt;div&gt;&lt;h5&gt;&lt;b&gt;CASTING&lt;/b&gt;&lt;/h5&gt;&lt;/div&gt;&lt;hr/&gt;&lt;div&gt;&lt;h5&gt;&lt;b&gt;Casting Time &lt;/b&gt;1 standard action&lt;/h5&gt;&lt;h5&gt;&lt;b&gt;Components &lt;/b&gt;V, S, M/DF (ash made from burnt thorns)&lt;/h5&gt;&lt;/div&gt;&lt;hr/&gt;&lt;div&gt;&lt;h5&gt;&lt;b&gt;EFFECT&lt;/b&gt;&lt;/h5&gt;&lt;/div&gt;&lt;hr/&gt;&lt;div&gt;&lt;h5&gt;&lt;b&gt;Range &lt;/b&gt;close (25 ft. + 5 ft./2 levels)&lt;/h5&gt;&lt;h5&gt;&lt;b&gt;Effect &lt;/b&gt;20-ft.-radius sphere centered on fire source&lt;/h5&gt;&lt;h5&gt;&lt;b&gt;Duration &lt;/b&gt;2 hours/level; see below (D)&lt;/h5&gt;&lt;h5&gt;&lt;b&gt;Saving Throw &lt;/b&gt;none; &lt;b&gt;Spell Resistance &lt;/b&gt;yes&lt;/h5&gt;&lt;/div&gt;&lt;hr/&gt;&lt;div&gt;&lt;h5&gt;&lt;b&gt;DESCRIPTION&lt;/b&gt;&lt;/h5&gt;&lt;/div&gt;&lt;hr/&gt;&lt;div&gt;&lt;h4&gt;&lt;p&gt;You can create a barrier around a fire of at least campfire size that shelters everyone inside so long as the fire continues to burn. The barrier appears as a crackling sphere of light and fire that is clearly visible, providing as much illumination as a torch.&lt;/p&gt;&lt;p&gt;The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light.&lt;/p&gt;&lt;p&gt;Creatures inside the barrier can leave without penalty, but if they try to return they suffer the same consequences as anyone else. If the fire source at the barrier's center is extinguished or moved, the spell ends.&lt;/p&gt;&lt;/h4&gt;&lt;/div&gt;</t>
  </si>
  <si>
    <t>Creates a shelter around a campfire.</t>
  </si>
  <si>
    <t>Cast Out</t>
  </si>
  <si>
    <t>inquisitor 3, psychic 4</t>
  </si>
  <si>
    <t>With a melee touch attack you blast a single creature and disrupt any magic controlling it. The target takes 2d8 points of damage + 1 point per caster level (maximum +15). In addition, you make a dispel check against any magic jar effect (including a ghost's malevolence ability) or enchantment (compulsion) spells on the target creature, starting with the highest level spells and proceeding to lower level spells. Treat this as a targeted dispel magic spell, except cast out can dispel one such spell for every four caster levels you possess. A successful Will save halves the damage and limits the dispelling to a single spell or effect.</t>
  </si>
  <si>
    <t>&lt;p&gt;With a melee touch attack you blast a single creature and disrupt any magic controlling it. The target takes 2d8 points of damage + 1 point per caster level (maximum +15). In addition, you make a dispel check against any &lt;i&gt;magic jar&lt;/i&gt; effect (including a ghost's malevolence ability) or enchantment (compulsion) spells on the target creature, starting with the highest level spells and proceeding to lower level spells. Treat this as a targeted &lt;i&gt;dispel magic&lt;/i&gt; spell, except &lt;i&gt;cast out&lt;/i&gt; can dispel one such spell for every four caster levels you possess. A successful Will save halves the damage and limits the dispelling to a single spell or effect.&lt;/p&gt;</t>
  </si>
  <si>
    <t>&lt;link rel="stylesheet"href="PF.css"&gt;&lt;div class="heading"&gt;&lt;p class="alignleft"&gt;Cast Out&lt;/p&gt;&lt;div style="clear: both;"&gt;&lt;/div&gt;&lt;/div&gt;&lt;div&gt;&lt;h5&gt;&lt;b&gt;School &lt;/b&gt;abjuration; &lt;b&gt;Level &lt;/b&gt;inquisitor 3,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&lt;/b&gt;Will partial; &lt;b&gt;Spell Resistance &lt;/b&gt;yes&lt;/h5&gt;&lt;/div&gt;&lt;hr/&gt;&lt;div&gt;&lt;h5&gt;&lt;b&gt;DESCRIPTION&lt;/b&gt;&lt;/h5&gt;&lt;/div&gt;&lt;hr/&gt;&lt;div&gt;&lt;h4&gt;&lt;p&gt;With a melee touch attack you blast a single creature and disrupt any magic controlling it. The target takes 2d8 points of damage + 1 point per caster level (maximum +15). In addition, you make a dispel check against any &lt;i&gt;magic jar&lt;/i&gt; effect (including a ghost's malevolence ability) or enchantment (compulsion) spells on the target creature, starting with the highest level spells and proceeding to lower level spells. Treat this as a targeted &lt;i&gt;dispel magic&lt;/i&gt; spell, except &lt;i&gt;cast out&lt;/i&gt; can dispel one such spell for every four caster levels you possess. A successful Will save halves the damage and limits the dispelling to a single spell or effect.&lt;/p&gt;&lt;/h4&gt;&lt;/div&gt;</t>
  </si>
  <si>
    <t>Does 2d8 damage +1/level (max +15) to creature and dispels an effect.</t>
  </si>
  <si>
    <t>Castigate</t>
  </si>
  <si>
    <t>fear, language-dependent, mind-affecting, emotion</t>
  </si>
  <si>
    <t>inquisitor 2, mesmerist 2</t>
  </si>
  <si>
    <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t>
  </si>
  <si>
    <t>&lt;p&gt;You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throw.&lt;/p&gt;</t>
  </si>
  <si>
    <t>&lt;link rel="stylesheet"href="PF.css"&gt;&lt;div class="heading"&gt;&lt;p class="alignleft"&gt;Castigate&lt;/p&gt;&lt;div style="clear: both;"&gt;&lt;/div&gt;&lt;/div&gt;&lt;div&gt;&lt;h5&gt;&lt;b&gt;School &lt;/b&gt;enchantment (compulsion) [fear, language-dependent, mind-affecting, emotion]; &lt;b&gt;Level &lt;/b&gt;inquisitor 2, mesmerist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round/level or 1 round; see text&lt;/h5&gt;&lt;h5&gt;&lt;b&gt;Saving Throw &lt;/b&gt;Will partial; &lt;b&gt;Spell Resistance &lt;/b&gt;yes&lt;/h5&gt;&lt;/div&gt;&lt;hr/&gt;&lt;div&gt;&lt;h5&gt;&lt;b&gt;DESCRIPTION&lt;/b&gt;&lt;/h5&gt;&lt;/div&gt;&lt;hr/&gt;&lt;div&gt;&lt;h4&gt;&lt;p&gt;You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throw.&lt;/p&gt;&lt;/h4&gt;&lt;/div&gt;</t>
  </si>
  <si>
    <t>Judgment (2)</t>
  </si>
  <si>
    <t>Causes target to be shaken and cower.</t>
  </si>
  <si>
    <t>Castigate, Mass</t>
  </si>
  <si>
    <t>inquisitor 5, mesmerist 5</t>
  </si>
  <si>
    <t>This spell functions as castigate, except it affects many creatures.</t>
  </si>
  <si>
    <t>&lt;p&gt;This spell functions as &lt;i&gt;castigate&lt;/i&gt;, except it affects many creatures.&lt;/p&gt;</t>
  </si>
  <si>
    <t>&lt;link rel="stylesheet"href="PF.css"&gt;&lt;div class="heading"&gt;&lt;p class="alignleft"&gt;Castigate, Mass&lt;/p&gt;&lt;div style="clear: both;"&gt;&lt;/div&gt;&lt;/div&gt;&lt;div&gt;&lt;h5&gt;&lt;b&gt;School &lt;/b&gt;enchantment (compulsion) [fear, language-dependent, mind-affecting, emotion]; &lt;b&gt;Level &lt;/b&gt;inquisitor 5, mesmerist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creature/level, no two of which can be more than 30 ft. apart&lt;/h5&gt;&lt;h5&gt;&lt;b&gt;Duration &lt;/b&gt;1 round/level or 1 round; see text&lt;/h5&gt;&lt;h5&gt;&lt;b&gt;Saving Throw &lt;/b&gt;Will partial; &lt;b&gt;Spell Resistance &lt;/b&gt;yes&lt;/h5&gt;&lt;/div&gt;&lt;hr/&gt;&lt;div&gt;&lt;h5&gt;&lt;b&gt;DESCRIPTION&lt;/b&gt;&lt;/h5&gt;&lt;/div&gt;&lt;hr/&gt;&lt;div&gt;&lt;h4&gt;&lt;p&gt;This spell functions as &lt;i&gt;castigate&lt;/i&gt;, except it affects many creatures.&lt;/p&gt;&lt;/h4&gt;&lt;/div&gt;</t>
  </si>
  <si>
    <t>As castigate, but affects multiple creatures.</t>
  </si>
  <si>
    <t>Challenge Evil</t>
  </si>
  <si>
    <t>V, DF</t>
  </si>
  <si>
    <t>one evil creature</t>
  </si>
  <si>
    <t>1 minute/level (D)</t>
  </si>
  <si>
    <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t>
  </si>
  <si>
    <t>&lt;p&gt;You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ends.&lt;/p&gt;</t>
  </si>
  <si>
    <t>&lt;link rel="stylesheet"href="PF.css"&gt;&lt;div class="heading"&gt;&lt;p class="alignleft"&gt;Challenge Evil&lt;/p&gt;&lt;div style="clear: both;"&gt;&lt;/div&gt;&lt;/div&gt;&lt;div&gt;&lt;h5&gt;&lt;b&gt;School &lt;/b&gt;enchantment (compulsion) [mind-affecting]; &lt;b&gt;Level &lt;/b&gt;paladin 1&lt;/h5&gt;&lt;/div&gt;&lt;hr/&gt;&lt;div&gt;&lt;h5&gt;&lt;b&gt;CASTING&lt;/b&gt;&lt;/h5&gt;&lt;/div&gt;&lt;hr/&gt;&lt;div&gt;&lt;h5&gt;&lt;b&gt;Casting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evil creature&lt;/h5&gt;&lt;h5&gt;&lt;b&gt;Duration &lt;/b&gt;1 minute/level (D)&lt;/h5&gt;&lt;h5&gt;&lt;b&gt;Saving Throw &lt;/b&gt;Will negates; &lt;b&gt;Spell Resistance &lt;/b&gt;yes&lt;/h5&gt;&lt;/div&gt;&lt;hr/&gt;&lt;div&gt;&lt;h5&gt;&lt;b&gt;DESCRIPTION&lt;/b&gt;&lt;/h5&gt;&lt;/div&gt;&lt;hr/&gt;&lt;div&gt;&lt;h4&gt;&lt;p&gt;You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ends.&lt;/p&gt;&lt;/h4&gt;&lt;/div&gt;</t>
  </si>
  <si>
    <t>Sickens creature if it refuses to fight you.</t>
  </si>
  <si>
    <t>Chameleon Stride</t>
  </si>
  <si>
    <t>You fade into the background, and while you are not truly invisible, you are hard to pinpoint due to your translucent state.  While under the effects of this spell, you gain a +4 bonus on Stealth checks and have concealment from creatures more than 5 feet away (attacks have a 20% miss chance).</t>
  </si>
  <si>
    <t>&lt;p&gt;You fade into the background, and while you are not truly invisible, you are hard to pinpoint due to your translucent state.&lt;/p&gt;&lt;p&gt;While under the effects of this spell, you gain a +4 bonus on Stealth checks and have concealment from creatures more than 5 feet away (attacks have a 20% miss chance).&lt;/p&gt;</t>
  </si>
  <si>
    <t>&lt;link rel="stylesheet"href="PF.css"&gt;&lt;div class="heading"&gt;&lt;p class="alignleft"&gt;Chameleon Stride&lt;/p&gt;&lt;div style="clear: both;"&gt;&lt;/div&gt;&lt;/div&gt;&lt;div&gt;&lt;h5&gt;&lt;b&gt;School &lt;/b&gt;illusion (glamer);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fade into the background, and while you are not truly invisible, you are hard to pinpoint due to your translucent state.&lt;/p&gt;&lt;p&gt;While under the effects of this spell, you gain a +4 bonus on Stealth checks and have concealment from creatures more than 5 feet away (attacks have a 20% miss chance).&lt;/p&gt;&lt;/h4&gt;&lt;/div&gt;</t>
  </si>
  <si>
    <t>Gives a +4 bonus on Stealth checks and concealment.</t>
  </si>
  <si>
    <t>Clashing Rocks</t>
  </si>
  <si>
    <t>druid 9, sorcerer/wizard 9</t>
  </si>
  <si>
    <t>Reflex partial, see text</t>
  </si>
  <si>
    <t>You create two Colossal-sized masses of rock, dirt, and stone and slam them together against a single creature between them. The clashing rocks appear up to 30 feet away from the target on opposite sides and rush toward it with a mighty grinding crash. You must make a ranged touch attack to hit the target with the rocks. The clashing rocks ignore concealment and cover, and if there is a solid barrier between the target and either of the clashing rocks, the spell has a +28 bonus on the Strength check to burst through the barrier and continue unimpeded to the target. A creature struck by the clashing rocks takes 20d6 points of bludgeoning damage and is knocked prone. If the target fails a Reflex saving throw, it is also buried under the resulting rubble as if by a cave-in (see Pathfinder RPG Core Rulebook 415).  If the clashing rocks miss the target, the target still takes 10d6 points of bludgeoning damage from falling rocks and is knocked prone. A successful Reflex save reduces this damage to half and the target remains standing. Creatures other than the target that occupy the spaces where the clashing rocks appear or within their path (30 feet wide, 30 feet high, and up to 60 feet long) must also make Reflex saves or take 10d6 points of bludgeoning damage and be knocked prone (save for half and remain standing). A creature can only take damage once from the clashing rocks, no matter how many times the clashing rocks pass over a target creature.</t>
  </si>
  <si>
    <t>&lt;p&gt;You create two Colossal-sized masses of rock, dirt, and stone and slam them together against a single creature between them. The &lt;i&gt;clashing rocks&lt;/i&gt; appear up to 30 feet away from the target on opposite sides and rush toward it with a mighty grinding crash. You must make a ranged touch attack to hit the target with the rocks. The &lt;i&gt;clashing rocks&lt;/i&gt; ignore concealment and cover, and if there is a solid barrier between the target and either of the &lt;i&gt;clashing rocks&lt;/i&gt;, the spell has a +28 bonus on the Strength check to burst through the barrier and continue unimpeded to the target. A creature struck by the &lt;i&gt;clashing rocks&lt;/i&gt; takes 20d6 points of bludgeoning damage and is knocked prone. If the target fails a Reflex saving throw, it is also buried under the resulting rubble as if by a cave-in (see &lt;i&gt;Pathfinder RPG Core Rulebook&lt;/i&gt; 415).&lt;/p&gt;&lt;p&gt;If the &lt;i&gt;clashing rocks&lt;/i&gt; miss the target, the target still takes 10d6 points of bludgeoning damage from falling rocks and is knocked prone. A successful Reflex save reduces this damage to half and the target remains standing. Creatures other than the target that occupy the spaces where the &lt;i&gt;clashing rocks&lt;/i&gt; appear or within their path (30 feet wide, 30 feet high, and up to 60 feet long) must also make Reflex saves or take 10d6 points of bludgeoning damage and be knocked prone (save for half and remain standing). A creature can only take damage once from the &lt;i&gt;clashing rocks&lt;/i&gt;, no matter how many times the &lt;i&gt;clashing rocks&lt;/i&gt; pass over a target creature.&lt;/p&gt;</t>
  </si>
  <si>
    <t>&lt;link rel="stylesheet"href="PF.css"&gt;&lt;div class="heading"&gt;&lt;p class="alignleft"&gt;Clashing Rocks&lt;/p&gt;&lt;div style="clear: both;"&gt;&lt;/div&gt;&lt;/div&gt;&lt;div&gt;&lt;h5&gt;&lt;b&gt;School &lt;/b&gt;conjuration (creation) [earth]; &lt;b&gt;Level &lt;/b&gt;druid 9, sorcerer/wizard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&lt;/b&gt;see text&lt;/h5&gt;&lt;h5&gt;&lt;b&gt;Duration &lt;/b&gt;instantaneous&lt;/h5&gt;&lt;h5&gt;&lt;b&gt;Saving Throw &lt;/b&gt;Reflex partial, see text; &lt;b&gt;Spell Resistance &lt;/b&gt;no&lt;/h5&gt;&lt;/div&gt;&lt;hr/&gt;&lt;div&gt;&lt;h5&gt;&lt;b&gt;DESCRIPTION&lt;/b&gt;&lt;/h5&gt;&lt;/div&gt;&lt;hr/&gt;&lt;div&gt;&lt;h4&gt;&lt;p&gt;You create two Colossal-sized masses of rock, dirt, and stone and slam them together against a single creature between them. The &lt;i&gt;clashing rocks&lt;/i&gt; appear up to 30 feet away from the target on opposite sides and rush toward it with a mighty grinding crash. You must make a ranged touch attack to hit the target with the rocks. The &lt;i&gt;clashing rocks&lt;/i&gt; ignore concealment and cover, and if there is a solid barrier between the target and either of the &lt;i&gt;clashing rocks&lt;/i&gt;, the spell has a +28 bonus on the Strength check to burst through the barrier and continue unimpeded to the target. A creature struck by the &lt;i&gt;clashing rocks&lt;/i&gt; takes 20d6 points of bludgeoning damage and is knocked prone. If the target fails a Reflex saving throw, it is also buried under the resulting rubble as if by a cave-in (see &lt;i&gt;Pathfinder RPG Core Rulebook&lt;/i&gt; 415).&lt;/p&gt;&lt;p&gt;If the &lt;i&gt;clashing rocks&lt;/i&gt; miss the target, the target still takes 10d6 points of bludgeoning damage from falling rocks and is knocked prone. A successful Reflex save reduces this damage to half and the target remains standing. Creatures other than the target that occupy the spaces where the &lt;i&gt;clashing rocks&lt;/i&gt; appear or within their path (30 feet wide, 30 feet high, and up to 60 feet long) must also make Reflex saves or take 10d6 points of bludgeoning damage and be knocked prone (save for half and remain standing). A creature can only take damage once from the &lt;i&gt;clashing rocks&lt;/i&gt;, no matter how many times the &lt;i&gt;clashing rocks&lt;/i&gt; pass over a target creature.&lt;/p&gt;&lt;/h4&gt;&lt;/div&gt;</t>
  </si>
  <si>
    <t>Ruins (9)</t>
  </si>
  <si>
    <t>20d6 damage to target creature.</t>
  </si>
  <si>
    <t>Deep Earth (19)</t>
  </si>
  <si>
    <t>Mountain (18)</t>
  </si>
  <si>
    <t>Cleanse</t>
  </si>
  <si>
    <t>cleric/oracle 5, inquisitor 6</t>
  </si>
  <si>
    <t>Positive energy infuses and cleanses your body. This spell cures 4d8 points of damage + 1 point per caster level (maximum +25) and ends any and all of the following adverse conditions affecting you: ability damage, blinded, confused, dazzled, deafened, diseased, exhausted, fatigued, nauseated, poisoned, and sickened. In addition, cleanse functions as break enchantment upon a single additional effect of your choice that is affecting you and that can be legally affected by this effect.  If used by undead or other creatures healed by negative energy, the spell cleanses with negative energy rather than positive.</t>
  </si>
  <si>
    <t>&lt;p&gt;Positive energy infuses and &lt;i&gt;cleanse&lt;/i&gt;s your body. This spell cures 4d8 points of damage + 1 point per caster level (maximum +25) and ends any and all of the following adverse conditions affecting you: ability damage, blinded, confused, dazzled, deafened, diseased, exhausted, fatigued, nauseated, poisoned, and sickened. In addition, &lt;i&gt;cleanse&lt;/i&gt; functions as &lt;i&gt;break enchantment&lt;/i&gt; upon a single additional effect of your choice that is affecting you and that can be legally affected by this effect.&lt;/p&gt;&lt;p&gt;If used by undead or other creatures healed by negative energy, the spell &lt;i&gt;cleanse&lt;/i&gt;s with negative energy rather than positive.&lt;/p&gt;</t>
  </si>
  <si>
    <t>&lt;link rel="stylesheet"href="PF.css"&gt;&lt;div class="heading"&gt;&lt;p class="alignleft"&gt;Cleanse&lt;/p&gt;&lt;div style="clear: both;"&gt;&lt;/div&gt;&lt;/div&gt;&lt;div&gt;&lt;h5&gt;&lt;b&gt;School &lt;/b&gt;evocation; &lt;b&gt;Level &lt;/b&gt;cleric/oracle 5, inquisitor 6&lt;/h5&gt;&lt;/div&gt;&lt;hr/&gt;&lt;div&gt;&lt;h5&gt;&lt;b&gt;CASTING&lt;/b&gt;&lt;/h5&gt;&lt;/div&gt;&lt;hr/&gt;&lt;div&gt;&lt;h5&gt;&lt;b&gt;Casting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&lt;/b&gt;instantaneous&lt;/h5&gt;&lt;/div&gt;&lt;hr/&gt;&lt;div&gt;&lt;h5&gt;&lt;b&gt;DESCRIPTION&lt;/b&gt;&lt;/h5&gt;&lt;/div&gt;&lt;hr/&gt;&lt;div&gt;&lt;h4&gt;&lt;p&gt;Positive energy infuses and &lt;i&gt;cleanse&lt;/i&gt;s your body. This spell cures 4d8 points of damage + 1 point per caster level (maximum +25) and ends any and all of the following adverse conditions affecting you: ability damage, blinded, confused, dazzled, deafened, diseased, exhausted, fatigued, nauseated, poisoned, and sickened. In addition, &lt;i&gt;cleanse&lt;/i&gt; functions as &lt;i&gt;break enchantment&lt;/i&gt; upon a single additional effect of your choice that is affecting you and that can be legally affected by this effect.&lt;/p&gt;&lt;p&gt;If used by undead or other creatures healed by negative energy, the spell &lt;i&gt;cleanse&lt;/i&gt;s with negative energy rather than positive.&lt;/p&gt;&lt;/h4&gt;&lt;/div&gt;</t>
  </si>
  <si>
    <t>Divine (5)</t>
  </si>
  <si>
    <t>As heal, but only cures 4d8 damage +1/level (max +25).</t>
  </si>
  <si>
    <t>Healing (10)</t>
  </si>
  <si>
    <t>Cloak of Dreams</t>
  </si>
  <si>
    <t>bard 5, sorcerer/wizard 6, witch 6, shaman 7, occultist 6, psychic 6, mesmerist 5</t>
  </si>
  <si>
    <t>V, S, M (a rose petal and a drop of perfume)</t>
  </si>
  <si>
    <t>You are surrounded by a soporific aroma that causes living creatures that begin their turn or end their movement within 5 feet of you to fall asleep for 1 minute. Creatures must save each time they begin their turn or end their movement within the cloak of dreams, even if they have previously saved against the effect. Sleeping creatures are helpless but can be awakened with a standard action or after being wounded.  Creatures with the scent special quality have a -4 penalty on their saves.</t>
  </si>
  <si>
    <t>&lt;p&gt;You are surrounded by a soporific aroma that causes living creatures that begin their turn or end their movement within 5 feet of you to fall asleep for 1 minute. Creatures must save each time they begin their turn or end their movement within the &lt;i&gt;cloak of dreams&lt;/i&gt;, even if they have previously saved against the effect. Sleeping creatures are helpless but can be awakened with a standard action or after being wounded.&lt;/p&gt;&lt;p&gt;Creatures with the scent special quality have a -4 penalty on their saves.&lt;/p&gt;</t>
  </si>
  <si>
    <t>&lt;link rel="stylesheet"href="PF.css"&gt;&lt;div class="heading"&gt;&lt;p class="alignleft"&gt;Cloak of Dreams&lt;/p&gt;&lt;div style="clear: both;"&gt;&lt;/div&gt;&lt;/div&gt;&lt;div&gt;&lt;h5&gt;&lt;b&gt;School &lt;/b&gt;enchantment (compulsion) [mind-affecting]; &lt;b&gt;Level &lt;/b&gt;bard 5, sorcerer/wizard 6, witch 6, shaman 7, occultist 6, psychic 6, mesmerist 5&lt;/h5&gt;&lt;/div&gt;&lt;hr/&gt;&lt;div&gt;&lt;h5&gt;&lt;b&gt;CASTING&lt;/b&gt;&lt;/h5&gt;&lt;/div&gt;&lt;hr/&gt;&lt;div&gt;&lt;h5&gt;&lt;b&gt;Casting Time &lt;/b&gt;1 round&lt;/h5&gt;&lt;h5&gt;&lt;b&gt;Components &lt;/b&gt;V, S, M (a rose petal and a drop of perfume)&lt;/h5&gt;&lt;/div&gt;&lt;hr/&gt;&lt;div&gt;&lt;h5&gt;&lt;b&gt;EFFECT&lt;/b&gt;&lt;/h5&gt;&lt;/div&gt;&lt;hr/&gt;&lt;div&gt;&lt;h5&gt;&lt;b&gt;Range &lt;/b&gt;5 ft.&lt;/h5&gt;&lt;h5&gt;&lt;b&gt;Area &lt;/b&gt;5-ft.-radius emanation centered on you&lt;/h5&gt;&lt;h5&gt;&lt;b&gt;Duration &lt;/b&gt;1 round/level (D)&lt;/h5&gt;&lt;h5&gt;&lt;b&gt;Saving Throw &lt;/b&gt;Will negates; &lt;b&gt;Spell Resistance &lt;/b&gt;yes&lt;/h5&gt;&lt;/div&gt;&lt;hr/&gt;&lt;div&gt;&lt;h5&gt;&lt;b&gt;DESCRIPTION&lt;/b&gt;&lt;/h5&gt;&lt;/div&gt;&lt;hr/&gt;&lt;div&gt;&lt;h4&gt;&lt;p&gt;You are surrounded by a soporific aroma that causes living creatures that begin their turn or end their movement within 5 feet of you to fall asleep for 1 minute. Creatures must save each time they begin their turn or end their movement within the &lt;i&gt;cloak of dreams&lt;/i&gt;, even if they have previously saved against the effect. Sleeping creatures are helpless but can be awakened with a standard action or after being wounded.&lt;/p&gt;&lt;p&gt;Creatures with the scent special quality have a -4 penalty on their saves.&lt;/p&gt;&lt;/h4&gt;&lt;/div&gt;</t>
  </si>
  <si>
    <t>Nightmare (6), Whimsy (6)</t>
  </si>
  <si>
    <t>Living creatures within 5 ft. fall asleep.</t>
  </si>
  <si>
    <t>Stars (12)</t>
  </si>
  <si>
    <t>Cloak of Shade</t>
  </si>
  <si>
    <t>V, S, M (a leaf from a shade tree)</t>
  </si>
  <si>
    <t>one creature per level</t>
  </si>
  <si>
    <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Core Rulebook for heat dangers). The cloak of shade also reduces any penalties from sunlight by 1. The spell does not, however, eliminate the effects of direct sunlight on creatures vulnerable to sunlight. Cloak of shade has no effect on environmental heat from sources other than the sun.</t>
  </si>
  <si>
    <t>&lt;p&gt;(harmless)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&lt;i&gt;Core Rulebook&lt;/i&gt; for heat dangers). The &lt;i&gt;cloak of shade&lt;/i&gt; also reduces any penalties from sunlight by 1. The spell does not, however, eliminate the effects of direct sunlight on creatures vulnerable to sunlight. &lt;i&gt;Cloak of shade&lt;/i&gt; has no effect on environmental heat from sources other than the sun.&lt;/p&gt;</t>
  </si>
  <si>
    <t>&lt;link rel="stylesheet"href="PF.css"&gt;&lt;div class="heading"&gt;&lt;p class="alignleft"&gt;Cloak of Shade&lt;/p&gt;&lt;div style="clear: both;"&gt;&lt;/div&gt;&lt;/div&gt;&lt;div&gt;&lt;h5&gt;&lt;b&gt;School &lt;/b&gt;abjuration; &lt;b&gt;Level &lt;/b&gt;druid 1, ranger 1&lt;/h5&gt;&lt;/div&gt;&lt;hr/&gt;&lt;div&gt;&lt;h5&gt;&lt;b&gt;CASTING&lt;/b&gt;&lt;/h5&gt;&lt;/div&gt;&lt;hr/&gt;&lt;div&gt;&lt;h5&gt;&lt;b&gt;Casting Time &lt;/b&gt;1 standard action&lt;/h5&gt;&lt;h5&gt;&lt;b&gt;Components &lt;/b&gt;V, S, M (a leaf from a shade tree)&lt;/h5&gt;&lt;/div&gt;&lt;hr/&gt;&lt;div&gt;&lt;h5&gt;&lt;b&gt;EFFECT&lt;/b&gt;&lt;/h5&gt;&lt;/div&gt;&lt;hr/&gt;&lt;div&gt;&lt;h5&gt;&lt;b&gt;Range &lt;/b&gt;touch&lt;/h5&gt;&lt;h5&gt;&lt;b&gt;Targets &lt;/b&gt;one creature per level&lt;/h5&gt;&lt;h5&gt;&lt;b&gt;Duration &lt;/b&gt;1 hour/level (D)&lt;/h5&gt;&lt;h5&gt;&lt;b&gt;Saving Throw &lt;/b&gt;Will negates (harmless); &lt;b&gt;Spell Resistance &lt;/b&gt;yes&lt;/h5&gt;&lt;/div&gt;&lt;hr/&gt;&lt;div&gt;&lt;h5&gt;&lt;b&gt;DESCRIPTION&lt;/b&gt;&lt;/h5&gt;&lt;/div&gt;&lt;hr/&gt;&lt;div&gt;&lt;h4&gt;&lt;p&gt;(harmless)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&lt;i&gt;Core Rulebook&lt;/i&gt; for heat dangers). The &lt;i&gt;cloak of shade&lt;/i&gt; also reduces any penalties from sunlight by 1. The spell does not, however, eliminate the effects of direct sunlight on creatures vulnerable to sunlight. &lt;i&gt;Cloak of shade&lt;/i&gt; has no effect on environmental heat from sources other than the sun.&lt;/p&gt;&lt;/h4&gt;&lt;/div&gt;</t>
  </si>
  <si>
    <t>Reduces effects of sun exposure and heat.</t>
  </si>
  <si>
    <t>Cloak of Winds</t>
  </si>
  <si>
    <t>druid 3, ranger 3, sorcerer/wizard 3, magus 3, bloodrager 3, occultist 3, spiritualist 3</t>
  </si>
  <si>
    <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t>
  </si>
  <si>
    <t>&lt;p&gt;You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movement.&lt;/p&gt;</t>
  </si>
  <si>
    <t>&lt;link rel="stylesheet"href="PF.css"&gt;&lt;div class="heading"&gt;&lt;p class="alignleft"&gt;Cloak of Winds&lt;/p&gt;&lt;div style="clear: both;"&gt;&lt;/div&gt;&lt;/div&gt;&lt;div&gt;&lt;h5&gt;&lt;b&gt;School &lt;/b&gt;abjuration [air]; &lt;b&gt;Level &lt;/b&gt;druid 3, ranger 3, sorcerer/wizard 3, magus 3, bloodrager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minute/level&lt;/h5&gt;&lt;h5&gt;&lt;b&gt;Saving Throw &lt;/b&gt;Fortitude negates (harmless); &lt;b&gt;Spell Resistance &lt;/b&gt;yes (harmless)&lt;/h5&gt;&lt;/div&gt;&lt;hr/&gt;&lt;div&gt;&lt;h5&gt;&lt;b&gt;DESCRIPTION&lt;/b&gt;&lt;/h5&gt;&lt;/div&gt;&lt;hr/&gt;&lt;div&gt;&lt;h4&gt;&lt;p&gt;You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movement.&lt;/p&gt;&lt;/h4&gt;&lt;/div&gt;</t>
  </si>
  <si>
    <t>Creates screen of strong wind around you.</t>
  </si>
  <si>
    <t>Confess</t>
  </si>
  <si>
    <t>inquisitor 2, psychic 2, mesmerist 2</t>
  </si>
  <si>
    <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t>
  </si>
  <si>
    <t>&lt;p&gt;You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damage.&lt;/p&gt;</t>
  </si>
  <si>
    <t>&lt;link rel="stylesheet"href="PF.css"&gt;&lt;div class="heading"&gt;&lt;p class="alignleft"&gt;Confess&lt;/p&gt;&lt;div style="clear: both;"&gt;&lt;/div&gt;&lt;/div&gt;&lt;div&gt;&lt;h5&gt;&lt;b&gt;School &lt;/b&gt;enchantment (compulsion) [language-dependent, mind-affecting]; &lt;b&gt;Level &lt;/b&gt;inquisitor 2, psychic 2, mesmerist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partial; see text; &lt;b&gt;Spell Resistance &lt;/b&gt;yes&lt;/h5&gt;&lt;/div&gt;&lt;hr/&gt;&lt;div&gt;&lt;h5&gt;&lt;b&gt;DESCRIPTION&lt;/b&gt;&lt;/h5&gt;&lt;/div&gt;&lt;hr/&gt;&lt;div&gt;&lt;h4&gt;&lt;p&gt;You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damage.&lt;/p&gt;&lt;/h4&gt;&lt;/div&gt;</t>
  </si>
  <si>
    <t>Creature answers question truthfully or takes 1d6 damage/two levels (max 5d6).</t>
  </si>
  <si>
    <t>Contagious Flame</t>
  </si>
  <si>
    <t>three or more rays</t>
  </si>
  <si>
    <t>You blast several enemies with beams of fire. You may fire three rays, plus one additional ray for every four levels beyond 11th (to a maximum of five rays at 19th level). Each ray requires a ranged touch attack to hit and deals 4d6 points of fire damage.  The rays may be fired at the same or different targets, but all rays must be aimed at targets within 30 feet of each other and fired simultaneously.  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t>
  </si>
  <si>
    <t>&lt;p&gt;You blast several enemies with beams of fire. You may fire three rays, plus one additional ray for every four levels beyond 11th (to a maximum of five rays at 19th level). Each ray requires a ranged touch attack to hit and deals 4d6 points of fire damage.&lt;/p&gt;&lt;p&gt;The rays may be fired at the same or different targets, but all rays must be aimed at targets within 30 feet of each other and fired simultaneously.&lt;/p&gt;&lt;p&gt;Every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itself.&lt;/p&gt;</t>
  </si>
  <si>
    <t>&lt;link rel="stylesheet"href="PF.css"&gt;&lt;div class="heading"&gt;&lt;p class="alignleft"&gt;Contagious Flame&lt;/p&gt;&lt;div style="clear: both;"&gt;&lt;/div&gt;&lt;/div&gt;&lt;div&gt;&lt;h5&gt;&lt;b&gt;School &lt;/b&gt;evocation [fire]; &lt;b&gt;Level &lt;/b&gt;sorcerer/wizard 6, magus 6,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&lt;/b&gt;three or more rays&lt;/h5&gt;&lt;h5&gt;&lt;b&gt;Duration &lt;/b&gt;3 rounds&lt;/h5&gt;&lt;h5&gt;&lt;b&gt;Saving Throw &lt;/b&gt;none; &lt;b&gt;Spell Resistance &lt;/b&gt;yes&lt;/h5&gt;&lt;/div&gt;&lt;hr/&gt;&lt;div&gt;&lt;h5&gt;&lt;b&gt;DESCRIPTION&lt;/b&gt;&lt;/h5&gt;&lt;/div&gt;&lt;hr/&gt;&lt;div&gt;&lt;h4&gt;&lt;p&gt;You blast several enemies with beams of fire. You may fire three rays, plus one additional ray for every four levels beyond 11th (to a maximum of five rays at 19th level). Each ray requires a ranged touch attack to hit and deals 4d6 points of fire damage.&lt;/p&gt;&lt;p&gt;The rays may be fired at the same or different targets, but all rays must be aimed at targets within 30 feet of each other and fired simultaneously.&lt;/p&gt;&lt;p&gt;Every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itself.&lt;/p&gt;&lt;/h4&gt;&lt;/div&gt;</t>
  </si>
  <si>
    <t>Scorching rays cause 4d6 fire damage, then move on to new targets.</t>
  </si>
  <si>
    <t>Coordinated Effort</t>
  </si>
  <si>
    <t>bard 3, inquisitor 3, psychic 4</t>
  </si>
  <si>
    <t>you plus one willing creature per 3 levels, no two of which can be more than 30 ft. part</t>
  </si>
  <si>
    <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t>
  </si>
  <si>
    <t>&lt;p&gt;Choose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bonus.&lt;/p&gt;</t>
  </si>
  <si>
    <t>&lt;link rel="stylesheet"href="PF.css"&gt;&lt;div class="heading"&gt;&lt;p class="alignleft"&gt;Coordinated Effort&lt;/p&gt;&lt;div style="clear: both;"&gt;&lt;/div&gt;&lt;/div&gt;&lt;div&gt;&lt;h5&gt;&lt;b&gt;School &lt;/b&gt;divination; &lt;b&gt;Level &lt;/b&gt;bard 3, inquisitor 3, psychic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plus one willing creature per 3 levels, no two of which can be more than 30 ft. part&lt;/h5&gt;&lt;h5&gt;&lt;b&gt;Duration &lt;/b&gt;1 minute/level&lt;/h5&gt;&lt;h5&gt;&lt;b&gt;Saving Throw &lt;/b&gt;none; &lt;b&gt;Spell Resistance &lt;/b&gt;no&lt;/h5&gt;&lt;/div&gt;&lt;hr/&gt;&lt;div&gt;&lt;h5&gt;&lt;b&gt;DESCRIPTION&lt;/b&gt;&lt;/h5&gt;&lt;/div&gt;&lt;hr/&gt;&lt;div&gt;&lt;h4&gt;&lt;p&gt;Choose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bonus.&lt;/p&gt;&lt;/h4&gt;&lt;/div&gt;</t>
  </si>
  <si>
    <t>Cooperation (3)</t>
  </si>
  <si>
    <t>Grants a teamwork feat you have.</t>
  </si>
  <si>
    <t>Corruption Resistance</t>
  </si>
  <si>
    <t>chaotic, evil, good, or lawful</t>
  </si>
  <si>
    <t>antipaladin 2, inquisitor 2, paladin 2</t>
  </si>
  <si>
    <t>You grant the touched creature limited protection from magical effects that inflict damage based on the target creature's alignment, such as holy smite, order's wrath, a paladin's smite evil attack, or an unholy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  Corruption resistance protects against spells, spell-like abilities, and special abilities, not physical attacks. Corruption resistance only protects against damage. The subject can still suffer side effects from such attacks. When you use this spell to protect an alignment, it gains the descriptor of that alignment.</t>
  </si>
  <si>
    <t>&lt;p&gt;You grant the touched creature limited protection from magical effects that inflict damage based on the target creature's alignment, such as &lt;i&gt;holy smite&lt;/i&gt;, order's wrath, a paladin's smite evil attack, or an &lt;i&gt;unholy&lt;/i&gt;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well.&lt;/p&gt;&lt;p&gt;&lt;i&gt;Corruption resistance&lt;/i&gt; protects against spells, spell-like abilities, and special abilities, not physical attacks. &lt;i&gt;Corruption resistance&lt;/i&gt; only protects against damage. The subject can still suffer side effects from such attacks. When you use this spell to protect an alignment, it gains the descriptor of that alignment.&lt;/p&gt;</t>
  </si>
  <si>
    <t>&lt;link rel="stylesheet"href="PF.css"&gt;&lt;div class="heading"&gt;&lt;p class="alignleft"&gt;Corruption Resistance&lt;/p&gt;&lt;div style="clear: both;"&gt;&lt;/div&gt;&lt;/div&gt;&lt;div&gt;&lt;h5&gt;&lt;b&gt;School &lt;/b&gt;abjuration [chaotic, evil, good, or lawful]; &lt;b&gt;Level &lt;/b&gt;antipaladin 2, 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(harmless)&lt;/h5&gt;&lt;/div&gt;&lt;hr/&gt;&lt;div&gt;&lt;h5&gt;&lt;b&gt;DESCRIPTION&lt;/b&gt;&lt;/h5&gt;&lt;/div&gt;&lt;hr/&gt;&lt;div&gt;&lt;h4&gt;&lt;p&gt;You grant the touched creature limited protection from magical effects that inflict damage based on the target creature's alignment, such as &lt;i&gt;holy smite&lt;/i&gt;, order's wrath, a paladin's smite evil attack, or an &lt;i&gt;unholy&lt;/i&gt;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well.&lt;/p&gt;&lt;p&gt;&lt;i&gt;Corruption resistance&lt;/i&gt; protects against spells, spell-like abilities, and special abilities, not physical attacks. &lt;i&gt;Corruption resistance&lt;/i&gt; only protects against damage. The subject can still suffer side effects from such attacks. When you use this spell to protect an alignment, it gains the descriptor of that alignment.&lt;/p&gt;&lt;/h4&gt;&lt;/div&gt;</t>
  </si>
  <si>
    <t>Protects creature against damage from alignment-based attacks.</t>
  </si>
  <si>
    <t>Coward's Lament</t>
  </si>
  <si>
    <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t>
  </si>
  <si>
    <t>&lt;p&gt;You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ends.&lt;/p&gt;</t>
  </si>
  <si>
    <t>&lt;link rel="stylesheet"href="PF.css"&gt;&lt;div class="heading"&gt;&lt;p class="alignleft"&gt;Coward's Lament&lt;/p&gt;&lt;div style="clear: both;"&gt;&lt;/div&gt;&lt;/div&gt;&lt;div&gt;&lt;h5&gt;&lt;b&gt;School &lt;/b&gt;enchantment (compulsion) [mind-affecting]; &lt;b&gt;Level &lt;/b&gt;inquisitor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round/level (D)&lt;/h5&gt;&lt;h5&gt;&lt;b&gt;Saving Throw &lt;/b&gt;Will partial; &lt;b&gt;Spell Resistance &lt;/b&gt;yes&lt;/h5&gt;&lt;/div&gt;&lt;hr/&gt;&lt;div&gt;&lt;h5&gt;&lt;b&gt;DESCRIPTION&lt;/b&gt;&lt;/h5&gt;&lt;/div&gt;&lt;hr/&gt;&lt;div&gt;&lt;h4&gt;&lt;p&gt;You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ends.&lt;/p&gt;&lt;/h4&gt;&lt;/div&gt;</t>
  </si>
  <si>
    <t>If subject doesn’t attack you it receives a penalty.</t>
  </si>
  <si>
    <t>Crafter's Curse</t>
  </si>
  <si>
    <t>sorcerer/wizard 1, occultist 1</t>
  </si>
  <si>
    <t>V, S, M (a broken tool)</t>
  </si>
  <si>
    <t>The target of crafter's curse takes a -5 penalty on all Craft skill checks while the spell lasts.</t>
  </si>
  <si>
    <t>&lt;p&gt;The target of crafter's curse takes a -5 penalty on all Craft skill checks while the spell lasts.&lt;/p&gt;</t>
  </si>
  <si>
    <t>&lt;link rel="stylesheet"href="PF.css"&gt;&lt;div class="heading"&gt;&lt;p class="alignleft"&gt;Crafter's Curse&lt;/p&gt;&lt;div style="clear: both;"&gt;&lt;/div&gt;&lt;/div&gt;&lt;div&gt;&lt;h5&gt;&lt;b&gt;School &lt;/b&gt;transmutation [curse]; &lt;b&gt;Level &lt;/b&gt;sorcerer/wizard 1, occultist 1&lt;/h5&gt;&lt;/div&gt;&lt;hr/&gt;&lt;div&gt;&lt;h5&gt;&lt;b&gt;CASTING&lt;/b&gt;&lt;/h5&gt;&lt;/div&gt;&lt;hr/&gt;&lt;div&gt;&lt;h5&gt;&lt;b&gt;Casting Time &lt;/b&gt;1 standard action&lt;/h5&gt;&lt;h5&gt;&lt;b&gt;Components &lt;/b&gt;V, S, M (a broken tool)&lt;/h5&gt;&lt;/div&gt;&lt;hr/&gt;&lt;div&gt;&lt;h5&gt;&lt;b&gt;EFFECT&lt;/b&gt;&lt;/h5&gt;&lt;/div&gt;&lt;hr/&gt;&lt;div&gt;&lt;h5&gt;&lt;b&gt;Range &lt;/b&gt;close (25 ft. + 5 ft./2 levels)&lt;/h5&gt;&lt;h5&gt;&lt;b&gt;Targets &lt;/b&gt;one creature&lt;/h5&gt;&lt;h5&gt;&lt;b&gt;Duration &lt;/b&gt;1 day/level (D)&lt;/h5&gt;&lt;h5&gt;&lt;b&gt;Saving Throw &lt;/b&gt;Will negates; &lt;b&gt;Spell Resistance &lt;/b&gt;yes&lt;/h5&gt;&lt;/div&gt;&lt;hr/&gt;&lt;div&gt;&lt;h5&gt;&lt;b&gt;DESCRIPTION&lt;/b&gt;&lt;/h5&gt;&lt;/div&gt;&lt;hr/&gt;&lt;div&gt;&lt;h4&gt;&lt;p&gt;The target of crafter's curse takes a -5 penalty on all Craft skill checks while the spell lasts.&lt;/p&gt;&lt;/h4&gt;&lt;/div&gt;</t>
  </si>
  <si>
    <t>Subject takes –5 on Craft skill checks.</t>
  </si>
  <si>
    <t>Crafter's Fortune</t>
  </si>
  <si>
    <t>alchemist 1, sorcerer/wizard 1, occultist 1</t>
  </si>
  <si>
    <t>V, S, F (a tool)</t>
  </si>
  <si>
    <t>1 day/level or until discharged (D)</t>
  </si>
  <si>
    <t>The target is struck by inspiration and gains a +5 luck bonus on its next Craft skill check.</t>
  </si>
  <si>
    <t>&lt;p&gt;The target is struck by inspiration and gains a +5 luck bonus on its next Craft skill check.&lt;/p&gt;</t>
  </si>
  <si>
    <t>&lt;link rel="stylesheet"href="PF.css"&gt;&lt;div class="heading"&gt;&lt;p class="alignleft"&gt;Crafter's Fortune&lt;/p&gt;&lt;div style="clear: both;"&gt;&lt;/div&gt;&lt;/div&gt;&lt;div&gt;&lt;h5&gt;&lt;b&gt;School &lt;/b&gt;transmutation; &lt;b&gt;Level &lt;/b&gt;alchemist 1, sorcerer/wizard 1, occultist 1&lt;/h5&gt;&lt;/div&gt;&lt;hr/&gt;&lt;div&gt;&lt;h5&gt;&lt;b&gt;CASTING&lt;/b&gt;&lt;/h5&gt;&lt;/div&gt;&lt;hr/&gt;&lt;div&gt;&lt;h5&gt;&lt;b&gt;Casting Time &lt;/b&gt;1 standard action&lt;/h5&gt;&lt;h5&gt;&lt;b&gt;Components &lt;/b&gt;V, S, F (a tool)&lt;/h5&gt;&lt;/div&gt;&lt;hr/&gt;&lt;div&gt;&lt;h5&gt;&lt;b&gt;EFFECT&lt;/b&gt;&lt;/h5&gt;&lt;/div&gt;&lt;hr/&gt;&lt;div&gt;&lt;h5&gt;&lt;b&gt;Range &lt;/b&gt;close (25 ft. + 5 ft./2 levels)&lt;/h5&gt;&lt;h5&gt;&lt;b&gt;Targets &lt;/b&gt;one creature&lt;/h5&gt;&lt;h5&gt;&lt;b&gt;Duration &lt;/b&gt;1 day/level or until discharged (D)&lt;/h5&gt;&lt;h5&gt;&lt;b&gt;Saving Throw &lt;/b&gt;Will negates (harmless); &lt;b&gt;Spell Resistance &lt;/b&gt;yes (harmless)&lt;/h5&gt;&lt;/div&gt;&lt;hr/&gt;&lt;div&gt;&lt;h5&gt;&lt;b&gt;DESCRIPTION&lt;/b&gt;&lt;/h5&gt;&lt;/div&gt;&lt;hr/&gt;&lt;div&gt;&lt;h4&gt;&lt;p&gt;The target is struck by inspiration and gains a +5 luck bonus on its next Craft skill check.&lt;/p&gt;&lt;/h4&gt;&lt;/div&gt;</t>
  </si>
  <si>
    <t>Industry (1)</t>
  </si>
  <si>
    <t>Subject gains +5 on next Craft check.</t>
  </si>
  <si>
    <t>Create Pit</t>
  </si>
  <si>
    <t>sorcerer/wizard 2, summoner 2</t>
  </si>
  <si>
    <t>V, S, F (miniature shovel costing 10 gp)</t>
  </si>
  <si>
    <t>You create a 10-foot-by-10-foot extradimensional hole with a depth of 10 feet per two caster levels (maximum 30 feet).  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  Any creature standing in the area where you first conjured the pit must make a Reflex saving throw to avoid falling into it.  In addition, the edges of the pit are sloped, and any creature ending its turn on a square adjacent to the pit must make a Reflex saving throw with a +2 bonus to avoid falling into it.  Creatures subjected to an effect intended to push them into the pit (such as bull rush) do not get a saving throw to avoid falling in if they are affected by the pushing effect.  Creatures who fall into the pit take falling damage as normal.  The pit's coarse stone walls have a Climb DC of 25. When the duration of the spell ends, creatures within the hole rise up with the bottom of the pit until they are standing on the surface over the course of a single round.</t>
  </si>
  <si>
    <t>&lt;p&gt;You create a 10-foot-by-10-foot extradimensional hole with a depth of 10 feet per two caster levels (maximum 30 feet).&lt;/p&gt;&lt;p&gt;You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forest.&lt;/p&gt;&lt;p&gt;Any creature standing in the area where you first conjured the pit must make a Reflex saving throw to avoid falling into it.&lt;/p&gt;&lt;p&gt;In addition, the edges of the pit are sloped, and any creature ending its turn on a square adjacent to the pit must make a Reflex saving throw with a +2 bonus to avoid falling into it.&lt;/p&gt;&lt;p&gt;Creatures subjected to an effect intended to push them into the pit (such as bull rush) do not get a saving throw to avoid falling in if they are affected by the pushing effect.&lt;/p&gt;&lt;p&gt;Creatures who fall into the pit take falling damage as normal.&lt;/p&gt;&lt;p&gt;The pit's coarse stone walls have a Climb DC of 25. When the duration of the spell ends, creatures within the hole rise up with the bottom of the pit until they are standing on the surface over the course of a single round.&lt;/p&gt;</t>
  </si>
  <si>
    <t>&lt;link rel="stylesheet"href="PF.css"&gt;&lt;div class="heading"&gt;&lt;p class="alignleft"&gt;Create Pit&lt;/p&gt;&lt;div style="clear: both;"&gt;&lt;/div&gt;&lt;/div&gt;&lt;div&gt;&lt;h5&gt;&lt;b&gt;School &lt;/b&gt;conjuration (creation); &lt;b&gt;Level &lt;/b&gt;sorcerer/wizard 2, summoner 2&lt;/h5&gt;&lt;/div&gt;&lt;hr/&gt;&lt;div&gt;&lt;h5&gt;&lt;b&gt;CASTING&lt;/b&gt;&lt;/h5&gt;&lt;/div&gt;&lt;hr/&gt;&lt;div&gt;&lt;h5&gt;&lt;b&gt;Casting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&lt;b&gt;Spell Resistance &lt;/b&gt;no&lt;/h5&gt;&lt;/div&gt;&lt;hr/&gt;&lt;div&gt;&lt;h5&gt;&lt;b&gt;DESCRIPTION&lt;/b&gt;&lt;/h5&gt;&lt;/div&gt;&lt;hr/&gt;&lt;div&gt;&lt;h4&gt;&lt;p&gt;You create a 10-foot-by-10-foot extradimensional hole with a depth of 10 feet per two caster levels (maximum 30 feet).&lt;/p&gt;&lt;p&gt;You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forest.&lt;/p&gt;&lt;p&gt;Any creature standing in the area where you first conjured the pit must make a Reflex saving throw to avoid falling into it.&lt;/p&gt;&lt;p&gt;In addition, the edges of the pit are sloped, and any creature ending its turn on a square adjacent to the pit must make a Reflex saving throw with a +2 bonus to avoid falling into it.&lt;/p&gt;&lt;p&gt;Creatures subjected to an effect intended to push them into the pit (such as bull rush) do not get a saving throw to avoid falling in if they are affected by the pushing effect.&lt;/p&gt;&lt;p&gt;Creatures who fall into the pit take falling damage as normal.&lt;/p&gt;&lt;p&gt;The pit's coarse stone walls have a Climb DC of 25. When the duration of the spell ends, creatures within the hole rise up with the bottom of the pit until they are standing on the surface over the course of a single round.&lt;/p&gt;&lt;/h4&gt;&lt;/div&gt;</t>
  </si>
  <si>
    <t>Caves (2)</t>
  </si>
  <si>
    <t>Creates an extradimensional pit.</t>
  </si>
  <si>
    <t>Kobold Sorcerer (5), Kobold (5)</t>
  </si>
  <si>
    <t>Create Treasure Map</t>
  </si>
  <si>
    <t>bard 2, druid 3, ranger 2, sorcerer/wizard 2, occultist 2, psychic 2</t>
  </si>
  <si>
    <t>V, S, M (powdered metal and rare inks worth 100 gp)</t>
  </si>
  <si>
    <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  Any inaccuracies or faulty information held by the creature are represented on the map as well. Similarly, the map cannot account for any changes that occur after the creature's death.  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t>
  </si>
  <si>
    <t>&lt;p&gt;You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possess.&lt;/p&gt;&lt;p&gt;Any inaccuracies or faulty information held by the creature are represented on the map as well. Similarly, the map cannot account for any changes that occur after the creature's death.&lt;/p&gt;&lt;p&gt;You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vault.&lt;/p&gt;</t>
  </si>
  <si>
    <t>&lt;link rel="stylesheet"href="PF.css"&gt;&lt;div class="heading"&gt;&lt;p class="alignleft"&gt;Create Treasure Map&lt;/p&gt;&lt;div style="clear: both;"&gt;&lt;/div&gt;&lt;/div&gt;&lt;div&gt;&lt;h5&gt;&lt;b&gt;School &lt;/b&gt;divination; &lt;b&gt;Level &lt;/b&gt;bard 2, druid 3, ranger 2, sorcerer/wizard 2, occultist 2, psychic 2&lt;/h5&gt;&lt;/div&gt;&lt;hr/&gt;&lt;div&gt;&lt;h5&gt;&lt;b&gt;CASTING&lt;/b&gt;&lt;/h5&gt;&lt;/div&gt;&lt;hr/&gt;&lt;div&gt;&lt;h5&gt;&lt;b&gt;Casting Time &lt;/b&gt;1 hour&lt;/h5&gt;&lt;h5&gt;&lt;b&gt;Components &lt;/b&gt;V, S, M (powdered metal and rare inks worth 100 gp)&lt;/h5&gt;&lt;/div&gt;&lt;hr/&gt;&lt;div&gt;&lt;h5&gt;&lt;b&gt;EFFECT&lt;/b&gt;&lt;/h5&gt;&lt;/div&gt;&lt;hr/&gt;&lt;div&gt;&lt;h5&gt;&lt;b&gt;Range &lt;/b&gt;touch&lt;/h5&gt;&lt;h5&gt;&lt;b&gt;Targets &lt;/b&gt;one dead creature&lt;/h5&gt;&lt;h5&gt;&lt;b&gt;Duration &lt;/b&gt;instantaneous&lt;/h5&gt;&lt;h5&gt;&lt;b&gt;Saving Throw &lt;/b&gt;none; &lt;b&gt;Spell Resistance &lt;/b&gt;no&lt;/h5&gt;&lt;/div&gt;&lt;hr/&gt;&lt;div&gt;&lt;h5&gt;&lt;b&gt;DESCRIPTION&lt;/b&gt;&lt;/h5&gt;&lt;/div&gt;&lt;hr/&gt;&lt;div&gt;&lt;h4&gt;&lt;p&gt;You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possess.&lt;/p&gt;&lt;p&gt;Any inaccuracies or faulty information held by the creature are represented on the map as well. Similarly, the map cannot account for any changes that occur after the creature's death.&lt;/p&gt;&lt;p&gt;You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vault.&lt;/p&gt;&lt;/h4&gt;&lt;/div&gt;</t>
  </si>
  <si>
    <t>Creates treasure map out of a creature’s corpse.</t>
  </si>
  <si>
    <t>Cup Of Dust</t>
  </si>
  <si>
    <t>druid 3, witch 3, occultist 3, psychic 3, mesmerist 3</t>
  </si>
  <si>
    <t>V, S, M (a pinch of dust)</t>
  </si>
  <si>
    <t>You curse the target with a thirst no drink can quench. On a failed saving throw, the target begins to dehydrate (see page 444 of the Core Rulebook for starvation and thirst). The effects of this spell cannot inflict more nonlethal damage than the target has hit points. No amount of drinking can counter this effect, although the target still experiences the other normal effects of any liquid imbibed (such as poisons or potions). Cup of dust can be removed with a break enchantment, limited wish, miracle, remove curse, or wish spell, but effects suffered as a result of dehydration must be healed by normal means.</t>
  </si>
  <si>
    <t>&lt;p&gt;You curse the target with a thirst no drink can quench. On a failed saving throw, the target begins to dehydrate (see page 444 of the &lt;i&gt;Core Rulebook&lt;/i&gt; for starvation and thirst). The effects of this spell cannot inflict more nonlethal damage than the target has hit points. No amount of drinking can counter this effect, although the target still experiences the other normal effects of any liquid imbibed (such as poisons or potions). &lt;i&gt;Cup of dust&lt;/i&gt; can be removed with a &lt;i&gt;break enchantment&lt;/i&gt;, &lt;i&gt;limited &lt;i&gt;wish&lt;/i&gt;&lt;/i&gt;, &lt;i&gt;miracle&lt;/i&gt;, &lt;i&gt;remove curse&lt;/i&gt;, or &lt;i&gt;wish&lt;/i&gt; spell, but effects suffered as a result of dehydration must be healed by normal means.&lt;/p&gt;</t>
  </si>
  <si>
    <t>&lt;link rel="stylesheet"href="PF.css"&gt;&lt;div class="heading"&gt;&lt;p class="alignleft"&gt;Cup Of Dust&lt;/p&gt;&lt;div style="clear: both;"&gt;&lt;/div&gt;&lt;/div&gt;&lt;div&gt;&lt;h5&gt;&lt;b&gt;School &lt;/b&gt;transmutation; &lt;b&gt;Level &lt;/b&gt;druid 3, witch 3, occultist 3, psychic 3, mesmerist 3&lt;/h5&gt;&lt;/div&gt;&lt;hr/&gt;&lt;div&gt;&lt;h5&gt;&lt;b&gt;CASTING&lt;/b&gt;&lt;/h5&gt;&lt;/div&gt;&lt;hr/&gt;&lt;div&gt;&lt;h5&gt;&lt;b&gt;Casting Time &lt;/b&gt;1 standard action&lt;/h5&gt;&lt;h5&gt;&lt;b&gt;Components &lt;/b&gt;V, S, M (a pinch of dust)&lt;/h5&gt;&lt;/div&gt;&lt;hr/&gt;&lt;div&gt;&lt;h5&gt;&lt;b&gt;EFFECT&lt;/b&gt;&lt;/h5&gt;&lt;/div&gt;&lt;hr/&gt;&lt;div&gt;&lt;h5&gt;&lt;b&gt;Range &lt;/b&gt;close (25 ft. + 5 ft./2 levels)&lt;/h5&gt;&lt;h5&gt;&lt;b&gt;Targets &lt;/b&gt;one creature&lt;/h5&gt;&lt;h5&gt;&lt;b&gt;Duration &lt;/b&gt;1 day/level (D)&lt;/h5&gt;&lt;h5&gt;&lt;b&gt;Saving Throw &lt;/b&gt;Fortitude negates; &lt;b&gt;Spell Resistance &lt;/b&gt;yes&lt;/h5&gt;&lt;/div&gt;&lt;hr/&gt;&lt;div&gt;&lt;h5&gt;&lt;b&gt;DESCRIPTION&lt;/b&gt;&lt;/h5&gt;&lt;/div&gt;&lt;hr/&gt;&lt;div&gt;&lt;h4&gt;&lt;p&gt;You curse the target with a thirst no drink can quench. On a failed saving throw, the target begins to dehydrate (see page 444 of the &lt;i&gt;Core Rulebook&lt;/i&gt; for starvation and thirst). The effects of this spell cannot inflict more nonlethal damage than the target has hit points. No amount of drinking can counter this effect, although the target still experiences the other normal effects of any liquid imbibed (such as poisons or potions). &lt;i&gt;Cup of dust&lt;/i&gt; can be removed with a &lt;i&gt;break enchantment&lt;/i&gt;, &lt;i&gt;limited &lt;i&gt;wish&lt;/i&gt;&lt;/i&gt;, &lt;i&gt;miracle&lt;/i&gt;, &lt;i&gt;remove curse&lt;/i&gt;, or &lt;i&gt;wish&lt;/i&gt; spell, but effects suffered as a result of dehydration must be healed by normal means.&lt;/p&gt;&lt;/h4&gt;&lt;h5&gt;&lt;b&gt;Mythic: &lt;/b&gt;On a failed save, the target immediately takes 1d6 points of nonlethal damage per 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them).&lt;/h5&gt;&lt;/div&gt;</t>
  </si>
  <si>
    <t>Causes a creature to become dehydrated.</t>
  </si>
  <si>
    <t>On a failed save, the target immediately takes 1d6 points of nonlethal damage per 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t>
  </si>
  <si>
    <t>Dancing Lantern</t>
  </si>
  <si>
    <t>bard 1, cleric/oracle 1, ranger 1, sorcerer/wizard 1, witch 1, shaman 1</t>
  </si>
  <si>
    <t>V, S, F (a lantern)</t>
  </si>
  <si>
    <t>animates one lantern</t>
  </si>
  <si>
    <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dancing lantern can be made permanent with a permanency spell (CL 9th, 2,500 gp).</t>
  </si>
  <si>
    <t>&lt;p&gt;You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&lt;i&gt;dancing lantern&lt;/i&gt; can be made permanent with a &lt;i&gt;permanency&lt;/i&gt; spell (CL 9th, 2,500 gp).&lt;/p&gt;</t>
  </si>
  <si>
    <t>&lt;link rel="stylesheet"href="PF.css"&gt;&lt;div class="heading"&gt;&lt;p class="alignleft"&gt;Dancing Lantern&lt;/p&gt;&lt;div style="clear: both;"&gt;&lt;/div&gt;&lt;/div&gt;&lt;div&gt;&lt;h5&gt;&lt;b&gt;School &lt;/b&gt;transmutation [fire, light]; &lt;b&gt;Level &lt;/b&gt;bard 1, cleric/oracle 1, ranger 1, sorcerer/wizard 1, witch 1, shaman 1&lt;/h5&gt;&lt;/div&gt;&lt;hr/&gt;&lt;div&gt;&lt;h5&gt;&lt;b&gt;CASTING&lt;/b&gt;&lt;/h5&gt;&lt;/div&gt;&lt;hr/&gt;&lt;div&gt;&lt;h5&gt;&lt;b&gt;Casting Time &lt;/b&gt;1 standard action&lt;/h5&gt;&lt;h5&gt;&lt;b&gt;Components &lt;/b&gt;V, S, F (a lantern)&lt;/h5&gt;&lt;/div&gt;&lt;hr/&gt;&lt;div&gt;&lt;h5&gt;&lt;b&gt;EFFECT&lt;/b&gt;&lt;/h5&gt;&lt;/div&gt;&lt;hr/&gt;&lt;div&gt;&lt;h5&gt;&lt;b&gt;Range &lt;/b&gt;touch&lt;/h5&gt;&lt;h5&gt;&lt;b&gt;Effect &lt;/b&gt;animates one lantern&lt;/h5&gt;&lt;h5&gt;&lt;b&gt;Duration &lt;/b&gt;1 hour/level (D)&lt;/h5&gt;&lt;h5&gt;&lt;b&gt;Saving Throw &lt;/b&gt;none; &lt;b&gt;Spell Resistance &lt;/b&gt;no&lt;/h5&gt;&lt;/div&gt;&lt;hr/&gt;&lt;div&gt;&lt;h5&gt;&lt;b&gt;DESCRIPTION&lt;/b&gt;&lt;/h5&gt;&lt;/div&gt;&lt;hr/&gt;&lt;div&gt;&lt;h4&gt;&lt;p&gt;You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&lt;i&gt;dancing lantern&lt;/i&gt; can be made permanent with a &lt;i&gt;permanency&lt;/i&gt; spell (CL 9th, 2,500 gp).&lt;/p&gt;&lt;/h4&gt;&lt;/div&gt;</t>
  </si>
  <si>
    <t>Animates a lantern that follows you.</t>
  </si>
  <si>
    <t>Light (2)</t>
  </si>
  <si>
    <t>Deadly Finale</t>
  </si>
  <si>
    <t>1 creature/3 levels no two of which can be more than 30 ft. apart</t>
  </si>
  <si>
    <t>You must have a bardic performance in effect to cast this spell.  With a flourish, you immediately end your performance, dealing 2d8 points of sonic damage to each target. In addition, each target takes 3d6 points of bleed damage for 1d6 rounds. A save negates the bleed damage but not the sonic damage.</t>
  </si>
  <si>
    <t>&lt;p&gt;You must have a bardic performance in effect to cast this spell.&lt;/p&gt;&lt;p&gt;With a flourish, you immediately end your performance, dealing 2d8 points of sonic damage to each target. In addition, each target takes 3d6 points of bleed damage for 1d6 rounds. A save negates the bleed damage but not the sonic damage.&lt;/p&gt;</t>
  </si>
  <si>
    <t>&lt;link rel="stylesheet"href="PF.css"&gt;&lt;div class="heading"&gt;&lt;p class="alignleft"&gt;Deadly Finale&lt;/p&gt;&lt;div style="clear: both;"&gt;&lt;/div&gt;&lt;/div&gt;&lt;div&gt;&lt;h5&gt;&lt;b&gt;School &lt;/b&gt;evocation [sonic]; &lt;b&gt;Level &lt;/b&gt;bard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creature/3 levels no two of which can be more than 30 ft. apart&lt;/h5&gt;&lt;h5&gt;&lt;b&gt;Duration &lt;/b&gt;instantaneous&lt;/h5&gt;&lt;h5&gt;&lt;b&gt;Saving Throw &lt;/b&gt;Fortitude partial; &lt;b&gt;Spell Resistance &lt;/b&gt;yes&lt;/h5&gt;&lt;/div&gt;&lt;hr/&gt;&lt;div&gt;&lt;h5&gt;&lt;b&gt;DESCRIPTION&lt;/b&gt;&lt;/h5&gt;&lt;/div&gt;&lt;hr/&gt;&lt;div&gt;&lt;h4&gt;&lt;p&gt;You must have a bardic performance in effect to cast this spell.&lt;/p&gt;&lt;p&gt;With a flourish, you immediately end your performance, dealing 2d8 points of sonic damage to each target. In addition, each target takes 3d6 points of bleed damage for 1d6 rounds. A save negates the bleed damage but not the sonic damage.&lt;/p&gt;&lt;/h4&gt;&lt;/div&gt;</t>
  </si>
  <si>
    <t>Deals 2d8 damage to multiple targets.</t>
  </si>
  <si>
    <t>Deafening Song Bolt</t>
  </si>
  <si>
    <t>up to 3 creatures, no two of which can be more than 30 ft. apart</t>
  </si>
  <si>
    <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t>
  </si>
  <si>
    <t>&lt;p&gt;Three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simultaneously.&lt;/p&gt;</t>
  </si>
  <si>
    <t>&lt;link rel="stylesheet"href="PF.css"&gt;&lt;div class="heading"&gt;&lt;p class="alignleft"&gt;Deafening Song Bolt&lt;/p&gt;&lt;div style="clear: both;"&gt;&lt;/div&gt;&lt;/div&gt;&lt;div&gt;&lt;h5&gt;&lt;b&gt;School &lt;/b&gt;evocation [sonic]; &lt;b&gt;Level &lt;/b&gt;bard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&lt;/b&gt;instantaneous&lt;/h5&gt;&lt;h5&gt;&lt;b&gt;Saving Throw &lt;/b&gt;none; &lt;b&gt;Spell Resistance &lt;/b&gt;no&lt;/h5&gt;&lt;/div&gt;&lt;hr/&gt;&lt;div&gt;&lt;h5&gt;&lt;b&gt;DESCRIPTION&lt;/b&gt;&lt;/h5&gt;&lt;/div&gt;&lt;hr/&gt;&lt;div&gt;&lt;h4&gt;&lt;p&gt;Three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simultaneously.&lt;/p&gt;&lt;/h4&gt;&lt;/div&gt;</t>
  </si>
  <si>
    <t>Blast of song deals 3d10 damage and deafens targets.</t>
  </si>
  <si>
    <t>Defile Armor</t>
  </si>
  <si>
    <t>inquisitor 4, antipaladin 3</t>
  </si>
  <si>
    <t>armor touched</t>
  </si>
  <si>
    <t>As sanctify armor, except you gain DR 5/good when using your judgment or smite ability.</t>
  </si>
  <si>
    <t>&lt;p&gt;As &lt;i&gt;sanctify armor&lt;/i&gt;, except you gain DR 5/good when using your judgment or smite ability.&lt;/p&gt;</t>
  </si>
  <si>
    <t>&lt;link rel="stylesheet"href="PF.css"&gt;&lt;div class="heading"&gt;&lt;p class="alignleft"&gt;Defile Armor&lt;/p&gt;&lt;div style="clear: both;"&gt;&lt;/div&gt;&lt;/div&gt;&lt;div&gt;&lt;h5&gt;&lt;b&gt;School &lt;/b&gt;abjuration [evil]; &lt;b&gt;Level &lt;/b&gt;inquisitor 4, antipaladin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touched&lt;/h5&gt;&lt;h5&gt;&lt;b&gt;Duration &lt;/b&gt;1 minute/level&lt;/h5&gt;&lt;h5&gt;&lt;b&gt;Saving Throw &lt;/b&gt;Will negates (harmless, object); &lt;b&gt;Spell Resistance &lt;/b&gt;yes (harmless, object)&lt;/h5&gt;&lt;/div&gt;&lt;hr/&gt;&lt;div&gt;&lt;h5&gt;&lt;b&gt;DESCRIPTION&lt;/b&gt;&lt;/h5&gt;&lt;/div&gt;&lt;hr/&gt;&lt;div&gt;&lt;h4&gt;&lt;p&gt;As &lt;i&gt;sanctify armor&lt;/i&gt;, except you gain DR 5/good when using your judgment or smite ability.&lt;/p&gt;&lt;/h4&gt;&lt;h5&gt;&lt;b&gt;Mythic: &lt;/b&gt;You gain DR 5/good while wearing the target armor. While using your judgment or smite ability, this improves to DR 10/good.&lt;/h5&gt;&lt;h5&gt;&lt;b&gt;Augmented (3rd)&lt;/b&gt;: If you expend two uses of mythic power, while you use your judgment or smite, add half your tier to your AC as a profane bonus.&lt;/h5&gt;&lt;/div&gt;</t>
  </si>
  <si>
    <t>As sanctify armor, but gain DR 5/good when using judgment or smite.</t>
  </si>
  <si>
    <t>You gain DR 5/good while wearing the target armor. While using your judgment or smite ability, this improves to DR 10/good.</t>
  </si>
  <si>
    <t>Augmented (3rd): If you expend two uses of mythic power, while you use your judgment or smite, add half your tier to your AC as a profane bonus.</t>
  </si>
  <si>
    <t>Deflection</t>
  </si>
  <si>
    <t>V, S, M (a piece of rubber dipped in glue)</t>
  </si>
  <si>
    <t>You surround yourself in a whirling barrier of force that sends any attack that misses you hurling back toward its source.  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t>
  </si>
  <si>
    <t>&lt;p&gt;You surround yourself in a whirling barrier of force that sends any attack that misses you hurling back toward its source.&lt;/p&gt;&lt;p&gt;This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harm.&lt;/p&gt;</t>
  </si>
  <si>
    <t>&lt;link rel="stylesheet"href="PF.css"&gt;&lt;div class="heading"&gt;&lt;p class="alignleft"&gt;Deflection&lt;/p&gt;&lt;div style="clear: both;"&gt;&lt;/div&gt;&lt;/div&gt;&lt;div&gt;&lt;h5&gt;&lt;b&gt;School &lt;/b&gt;abjuration [force]; &lt;b&gt;Level &lt;/b&gt;sorcerer/wizard 7, psychic 7&lt;/h5&gt;&lt;/div&gt;&lt;hr/&gt;&lt;div&gt;&lt;h5&gt;&lt;b&gt;CASTING&lt;/b&gt;&lt;/h5&gt;&lt;/div&gt;&lt;hr/&gt;&lt;div&gt;&lt;h5&gt;&lt;b&gt;Casting Time &lt;/b&gt;1 standard action&lt;/h5&gt;&lt;h5&gt;&lt;b&gt;Components &lt;/b&gt;V, S, M (a piece of rubber dipped in glue)&lt;/h5&gt;&lt;/div&gt;&lt;hr/&gt;&lt;div&gt;&lt;h5&gt;&lt;b&gt;EFFECT&lt;/b&gt;&lt;/h5&gt;&lt;/div&gt;&lt;hr/&gt;&lt;div&gt;&lt;h5&gt;&lt;b&gt;Range &lt;/b&gt;personal&lt;/h5&gt;&lt;h5&gt;&lt;b&gt;Targets &lt;/b&gt;you&lt;/h5&gt;&lt;h5&gt;&lt;b&gt;Duration &lt;/b&gt;1 round/level&lt;/h5&gt;&lt;/div&gt;&lt;hr/&gt;&lt;div&gt;&lt;h5&gt;&lt;b&gt;DESCRIPTION&lt;/b&gt;&lt;/h5&gt;&lt;/div&gt;&lt;hr/&gt;&lt;div&gt;&lt;h4&gt;&lt;p&gt;You surround yourself in a whirling barrier of force that sends any attack that misses you hurling back toward its source.&lt;/p&gt;&lt;p&gt;This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harm.&lt;/p&gt;&lt;/h4&gt;&lt;/div&gt;</t>
  </si>
  <si>
    <t>Defense (7)</t>
  </si>
  <si>
    <t>Attacks that miss are redirected back to the source of the attack.</t>
  </si>
  <si>
    <t>Delayed Consumption</t>
  </si>
  <si>
    <t>alchemist 5</t>
  </si>
  <si>
    <t>When you consume this extract, you quickly consume another extract of your choice-this second extract's effects do not come into effect until a later point. You must consume this second, companion extract on the round following delayed consumption or waste the extract. The companion extract can be no higher than 4th level, and you must pay any costs associated with the companion extract when you consume it.  At any point during the duration of this extract, you can cause the companion extract to take effect as an immediate action. You can only have one delayed consumption in effect at one time. If a second is consumed, the first is dispelled without any effect.</t>
  </si>
  <si>
    <t>&lt;p&gt;When you consume this extract, you quickly consume another extract of your choice-this second extract's effects do not come into effect until a later point. You must consume this second, companion extract on the round following &lt;i&gt;delayed consumption&lt;/i&gt; or waste the extract. The companion extract can be no higher than 4th level, and you must pay any costs associated with the companion extract when you consume it.&lt;/p&gt;&lt;p&gt;At any point during the duration of this extract, you can cause the companion extract to take effect as an immediate action. You can only have one &lt;i&gt;delayed consumption&lt;/i&gt; in effect at one time. If a second is consumed, the first is dispelled without any effect.&lt;/p&gt;</t>
  </si>
  <si>
    <t>&lt;link rel="stylesheet"href="PF.css"&gt;&lt;div class="heading"&gt;&lt;p class="alignleft"&gt;Delayed Consumption&lt;/p&gt;&lt;div style="clear: both;"&gt;&lt;/div&gt;&lt;/div&gt;&lt;div&gt;&lt;h5&gt;&lt;b&gt;School &lt;/b&gt;transmutation; &lt;b&gt;Level &lt;/b&gt;alchemist 5&lt;/h5&gt;&lt;/div&gt;&lt;hr/&gt;&lt;div&gt;&lt;h5&gt;&lt;b&gt;CASTING&lt;/b&gt;&lt;/h5&gt;&lt;/div&gt;&lt;hr/&gt;&lt;div&gt;&lt;h5&gt;&lt;b&gt;Casting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day/level (D) or until discharged&lt;/h5&gt;&lt;/div&gt;&lt;hr/&gt;&lt;div&gt;&lt;h5&gt;&lt;b&gt;DESCRIPTION&lt;/b&gt;&lt;/h5&gt;&lt;/div&gt;&lt;hr/&gt;&lt;div&gt;&lt;h4&gt;&lt;p&gt;When you consume this extract, you quickly consume another extract of your choice-this second extract's effects do not come into effect until a later point. You must consume this second, companion extract on the round following &lt;i&gt;delayed consumption&lt;/i&gt; or waste the extract. The companion extract can be no higher than 4th level, and you must pay any costs associated with the companion extract when you consume it.&lt;/p&gt;&lt;p&gt;At any point during the duration of this extract, you can cause the companion extract to take effect as an immediate action. You can only have one &lt;i&gt;delayed consumption&lt;/i&gt; in effect at one time. If a second is consumed, the first is dispelled without any effect.&lt;/p&gt;&lt;/h4&gt;&lt;/div&gt;</t>
  </si>
  <si>
    <t>Extract doesn’t come into effect until you want it to.</t>
  </si>
  <si>
    <t>Denounce</t>
  </si>
  <si>
    <t>bard 4, inquisitor 4, psychic 5, mesmerist 4</t>
  </si>
  <si>
    <t>You speak out against a single creature within line of sight and turn possible allies against it by drawing upon the power of your voice and conviction. Creatures in the area who can see the denounced creature must make a Will saving throw or have their starting attitude toward the denounced creature worsened by two levels (see page 94 of the Core Rulebook). For example, creatures previously indifferent to the subject turn unfriendly.  Diplomacy checks made to reverse the effects of denounce are made at a -10 penalty.</t>
  </si>
  <si>
    <t>&lt;p&gt;You speak out against a single creature within line of sight and turn possible allies against it by drawing upon the power of your voice and conviction. Creatures in the area who can see the &lt;i&gt;denounce&lt;/i&gt;d creature must make a Will saving throw or have their starting attitude toward the &lt;i&gt;denounce&lt;/i&gt;d creature worsened by two levels (see page 94 of the &lt;i&gt;Core Rulebook&lt;/i&gt;). For example, creatures previously indifferent to the subject turn unfriendly.&lt;/p&gt;&lt;p&gt;Diplomacy checks made to reverse the effects of &lt;i&gt;denounce&lt;/i&gt; are made at a -10 penalty.&lt;/p&gt;</t>
  </si>
  <si>
    <t>&lt;link rel="stylesheet"href="PF.css"&gt;&lt;div class="heading"&gt;&lt;p class="alignleft"&gt;Denounce&lt;/p&gt;&lt;div style="clear: both;"&gt;&lt;/div&gt;&lt;/div&gt;&lt;div&gt;&lt;h5&gt;&lt;b&gt;School &lt;/b&gt;enchantment (compulsion) [language-dependent, mind-affecting]; &lt;b&gt;Level &lt;/b&gt;bard 4, inquisitor 4, psychic 5, mesmerist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&lt;/b&gt;30-ft.-radius burst&lt;/h5&gt;&lt;h5&gt;&lt;b&gt;Duration &lt;/b&gt;1 hour/level&lt;/h5&gt;&lt;h5&gt;&lt;b&gt;Saving Throw &lt;/b&gt;Will negates; &lt;b&gt;Spell Resistance &lt;/b&gt;yes&lt;/h5&gt;&lt;/div&gt;&lt;hr/&gt;&lt;div&gt;&lt;h5&gt;&lt;b&gt;DESCRIPTION&lt;/b&gt;&lt;/h5&gt;&lt;/div&gt;&lt;hr/&gt;&lt;div&gt;&lt;h4&gt;&lt;p&gt;You speak out against a single creature within line of sight and turn possible allies against it by drawing upon the power of your voice and conviction. Creatures in the area who can see the &lt;i&gt;denounce&lt;/i&gt;d creature must make a Will saving throw or have their starting attitude toward the &lt;i&gt;denounce&lt;/i&gt;d creature worsened by two levels (see page 94 of the &lt;i&gt;Core Rulebook&lt;/i&gt;). For example, creatures previously indifferent to the subject turn unfriendly.&lt;/p&gt;&lt;p&gt;Diplomacy checks made to reverse the effects of &lt;i&gt;denounce&lt;/i&gt; are made at a -10 penalty.&lt;/p&gt;&lt;/h4&gt;&lt;/div&gt;</t>
  </si>
  <si>
    <t>Worsens attitudes toward target creature.</t>
  </si>
  <si>
    <t>Detect Aberration</t>
  </si>
  <si>
    <t>druid 1, ranger 1, psychic 1</t>
  </si>
  <si>
    <t>concentration, up to 10 minutes/level (D)</t>
  </si>
  <si>
    <t>This spell functions like detect animals or plants, except it detects creatures of the aberration type.</t>
  </si>
  <si>
    <t>&lt;p&gt;This spell functions like &lt;i&gt;detect animals or plants&lt;/i&gt;, except it detects creatures of the aberration type.&lt;/p&gt;</t>
  </si>
  <si>
    <t>&lt;link rel="stylesheet"href="PF.css"&gt;&lt;div class="heading"&gt;&lt;p class="alignleft"&gt;Detect Aberration&lt;/p&gt;&lt;div style="clear: both;"&gt;&lt;/div&gt;&lt;/div&gt;&lt;div&gt;&lt;h5&gt;&lt;b&gt;School &lt;/b&gt;divination; &lt;b&gt;Level &lt;/b&gt;druid 1, ranger 1, psychic 1&lt;/h5&gt;&lt;/div&gt;&lt;hr/&gt;&lt;div&gt;&lt;h5&gt;&lt;b&gt;CASTING&lt;/b&gt;&lt;/h5&gt;&lt;/div&gt;&lt;hr/&gt;&lt;div&gt;&lt;h5&gt;&lt;b&gt;Casting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&lt;/b&gt;cone-shaped emanation&lt;/h5&gt;&lt;h5&gt;&lt;b&gt;Duration &lt;/b&gt;concentration, up to 10 minutes/level (D)&lt;/h5&gt;&lt;h5&gt;&lt;b&gt;Saving Throw &lt;/b&gt;none; &lt;b&gt;Spell Resistance &lt;/b&gt;no&lt;/h5&gt;&lt;/div&gt;&lt;hr/&gt;&lt;div&gt;&lt;h5&gt;&lt;b&gt;DESCRIPTION&lt;/b&gt;&lt;/h5&gt;&lt;/div&gt;&lt;hr/&gt;&lt;div&gt;&lt;h4&gt;&lt;p&gt;This spell functions like &lt;i&gt;detect animals or plants&lt;/i&gt;, except it detects creatures of the aberration type.&lt;/p&gt;&lt;/h4&gt;&lt;/div&gt;</t>
  </si>
  <si>
    <t>Reveals presence of aberrations.</t>
  </si>
  <si>
    <t>Detonate</t>
  </si>
  <si>
    <t>acid, cold, electricity, or fire</t>
  </si>
  <si>
    <t>alchemist 4, sorcerer/wizard 4, magus 4, bloodrager 4</t>
  </si>
  <si>
    <t>V, S, M (two vials; one containing acid and one containing an alkaline solution worth a total of 50 gp)</t>
  </si>
  <si>
    <t>30-ft.-radius spread centered on you</t>
  </si>
  <si>
    <t>1 round, then instantaneous</t>
  </si>
  <si>
    <t>You flood yourself with a potent surge of elemental energy.  One round after completing the casting of the spell, the energy explodes from your body.  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t>
  </si>
  <si>
    <t>&lt;p&gt;You flood yourself with a potent surge of elemental energy.&lt;/p&gt;&lt;p&gt;One round after completing the casting of the spell, the energy explodes from your body.&lt;/p&gt;&lt;p&gt;When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explosion.&lt;/p&gt;</t>
  </si>
  <si>
    <t>&lt;link rel="stylesheet"href="PF.css"&gt;&lt;div class="heading"&gt;&lt;p class="alignleft"&gt;Detonate&lt;/p&gt;&lt;div style="clear: both;"&gt;&lt;/div&gt;&lt;/div&gt;&lt;div&gt;&lt;h5&gt;&lt;b&gt;School &lt;/b&gt;evocation [acid, cold, electricity, or fire]; &lt;b&gt;Level &lt;/b&gt;alchemist 4, sorcerer/wizard 4, magus 4, bloodrager 4&lt;/h5&gt;&lt;/div&gt;&lt;hr/&gt;&lt;div&gt;&lt;h5&gt;&lt;b&gt;CASTING&lt;/b&gt;&lt;/h5&gt;&lt;/div&gt;&lt;hr/&gt;&lt;div&gt;&lt;h5&gt;&lt;b&gt;Casting Time &lt;/b&gt;1 standard action&lt;/h5&gt;&lt;h5&gt;&lt;b&gt;Components &lt;/b&gt;V, S, M (two vials; one containing acid and one containing an alkaline solution worth a total of 50 gp)&lt;/h5&gt;&lt;/div&gt;&lt;hr/&gt;&lt;div&gt;&lt;h5&gt;&lt;b&gt;EFFECT&lt;/b&gt;&lt;/h5&gt;&lt;/div&gt;&lt;hr/&gt;&lt;div&gt;&lt;h5&gt;&lt;b&gt;Range &lt;/b&gt;30 ft.&lt;/h5&gt;&lt;h5&gt;&lt;b&gt;Area &lt;/b&gt;30-ft.-radius spread centered on you&lt;/h5&gt;&lt;h5&gt;&lt;b&gt;Duration &lt;/b&gt;1 round, then instantaneous&lt;/h5&gt;&lt;h5&gt;&lt;b&gt;Saving Throw &lt;/b&gt;Reflex half; &lt;b&gt;Spell Resistance &lt;/b&gt;yes&lt;/h5&gt;&lt;/div&gt;&lt;hr/&gt;&lt;div&gt;&lt;h5&gt;&lt;b&gt;DESCRIPTION&lt;/b&gt;&lt;/h5&gt;&lt;/div&gt;&lt;hr/&gt;&lt;div&gt;&lt;h4&gt;&lt;p&gt;You flood yourself with a potent surge of elemental energy.&lt;/p&gt;&lt;p&gt;One round after completing the casting of the spell, the energy explodes from your body.&lt;/p&gt;&lt;p&gt;When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explosion.&lt;/p&gt;&lt;/h4&gt;&lt;/div&gt;</t>
  </si>
  <si>
    <t>Inflicts 1d8/level energy damage to all creatures within 15 ft.</t>
  </si>
  <si>
    <t>Devolution</t>
  </si>
  <si>
    <t>sorcerer/wizard 3, summoner 3, psychic 3</t>
  </si>
  <si>
    <t>V, S, M (a chameleon scale)</t>
  </si>
  <si>
    <t>one eidolon</t>
  </si>
  <si>
    <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t>
  </si>
  <si>
    <t>&lt;p&gt;This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persists.&lt;/p&gt;</t>
  </si>
  <si>
    <t>&lt;link rel="stylesheet"href="PF.css"&gt;&lt;div class="heading"&gt;&lt;p class="alignleft"&gt;Devolution&lt;/p&gt;&lt;div style="clear: both;"&gt;&lt;/div&gt;&lt;/div&gt;&lt;div&gt;&lt;h5&gt;&lt;b&gt;School &lt;/b&gt;transmutation; &lt;b&gt;Level &lt;/b&gt;sorcerer/wizard 3, summoner 3, psychic 3&lt;/h5&gt;&lt;/div&gt;&lt;hr/&gt;&lt;div&gt;&lt;h5&gt;&lt;b&gt;CASTING&lt;/b&gt;&lt;/h5&gt;&lt;/div&gt;&lt;hr/&gt;&lt;div&gt;&lt;h5&gt;&lt;b&gt;Casting Time &lt;/b&gt;1 standard action&lt;/h5&gt;&lt;h5&gt;&lt;b&gt;Components &lt;/b&gt;V, S, M (a chameleon scale)&lt;/h5&gt;&lt;/div&gt;&lt;hr/&gt;&lt;div&gt;&lt;h5&gt;&lt;b&gt;EFFECT&lt;/b&gt;&lt;/h5&gt;&lt;/div&gt;&lt;hr/&gt;&lt;div&gt;&lt;h5&gt;&lt;b&gt;Range &lt;/b&gt;close (25 ft. + 5 ft./2 levels)&lt;/h5&gt;&lt;h5&gt;&lt;b&gt;Targets &lt;/b&gt;one eidolon&lt;/h5&gt;&lt;h5&gt;&lt;b&gt;Duration &lt;/b&gt;1 round/level&lt;/h5&gt;&lt;h5&gt;&lt;b&gt;Saving Throw &lt;/b&gt;Will negates; &lt;b&gt;Spell Resistance &lt;/b&gt;yes&lt;/h5&gt;&lt;/div&gt;&lt;hr/&gt;&lt;div&gt;&lt;h5&gt;&lt;b&gt;DESCRIPTION&lt;/b&gt;&lt;/h5&gt;&lt;/div&gt;&lt;hr/&gt;&lt;div&gt;&lt;h4&gt;&lt;p&gt;This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persists.&lt;/p&gt;&lt;/h4&gt;&lt;h5&gt;&lt;b&gt;Mythic: &lt;/b&gt;The saving throw changes to Will (partial). If it succeeds at its save, the eidolon loses one evolution, chosen at random.&lt;/h5&gt;&lt;/div&gt;</t>
  </si>
  <si>
    <t>Target eidolon temporarily loses 1 evolution +1/five levels.</t>
  </si>
  <si>
    <t>The saving throw changes to Will (partial). If it succeeds at its save, the eidolon loses one evolution, chosen at random.</t>
  </si>
  <si>
    <t>Discordant Blast</t>
  </si>
  <si>
    <t>bard 4</t>
  </si>
  <si>
    <t>10 ft. or 30 ft.</t>
  </si>
  <si>
    <t>You create a wave of thunder and force, either in a 10-foot-radius burst centered on you or in 30-foot cone-shaped burst.  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discordant blast cannot penetrate a silence spell (or any similar magical silence effect).</t>
  </si>
  <si>
    <t>&lt;p&gt;You create a wave of thunder and force, either in a 10-foot-radius burst centered on you or in 30-foot cone-shaped burst.&lt;/p&gt;&lt;p&gt;Creatures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&lt;i&gt;discordant blast&lt;/i&gt; cannot penetrate a &lt;i&gt;silence&lt;/i&gt; spell (or any similar magical &lt;i&gt;silence&lt;/i&gt; effect).&lt;/p&gt;</t>
  </si>
  <si>
    <t>&lt;link rel="stylesheet"href="PF.css"&gt;&lt;div class="heading"&gt;&lt;p class="alignleft"&gt;Discordant Blast&lt;/p&gt;&lt;div style="clear: both;"&gt;&lt;/div&gt;&lt;/div&gt;&lt;div&gt;&lt;h5&gt;&lt;b&gt;School &lt;/b&gt;evocation [sonic]; &lt;b&gt;Level &lt;/b&gt;bard 4&lt;/h5&gt;&lt;/div&gt;&lt;hr/&gt;&lt;div&gt;&lt;h5&gt;&lt;b&gt;CASTING&lt;/b&gt;&lt;/h5&gt;&lt;/div&gt;&lt;hr/&gt;&lt;div&gt;&lt;h5&gt;&lt;b&gt;Casting Time &lt;/b&gt;1 standard action&lt;/h5&gt;&lt;h5&gt;&lt;b&gt;Components &lt;/b&gt;V, S&lt;/h5&gt;&lt;/div&gt;&lt;hr/&gt;&lt;div&gt;&lt;h5&gt;&lt;b&gt;EFFECT&lt;/b&gt;&lt;/h5&gt;&lt;/div&gt;&lt;hr/&gt;&lt;div&gt;&lt;h5&gt;&lt;b&gt;Range &lt;/b&gt;10 ft. or 30 ft.&lt;/h5&gt;&lt;h5&gt;&lt;b&gt;Area &lt;/b&gt;see text&lt;/h5&gt;&lt;h5&gt;&lt;b&gt;Duration &lt;/b&gt;instantaneous&lt;/h5&gt;&lt;h5&gt;&lt;b&gt;Saving Throw &lt;/b&gt;none; &lt;b&gt;Spell Resistance &lt;/b&gt;yes&lt;/h5&gt;&lt;/div&gt;&lt;hr/&gt;&lt;div&gt;&lt;h5&gt;&lt;b&gt;DESCRIPTION&lt;/b&gt;&lt;/h5&gt;&lt;/div&gt;&lt;hr/&gt;&lt;div&gt;&lt;h4&gt;&lt;p&gt;You create a wave of thunder and force, either in a 10-foot-radius burst centered on you or in 30-foot cone-shaped burst.&lt;/p&gt;&lt;p&gt;Creatures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&lt;i&gt;discordant blast&lt;/i&gt; cannot penetrate a &lt;i&gt;silence&lt;/i&gt; spell (or any similar magical &lt;i&gt;silence&lt;/i&gt; effect).&lt;/p&gt;&lt;/h4&gt;&lt;h5&gt;&lt;b&gt;Mythic: &lt;/b&gt;The damage dealt increases to 5d6 points of sonic damage, and you gain a +2 bonus on combat maneuver checks to the bull rush opponents. The spell can penetrate non-mythic magical silence and dispels any non-mythic silence effect of 4th level or lower.&lt;/h5&gt;&lt;/div&gt;</t>
  </si>
  <si>
    <t>3d6 sonic damage in 10-ft. burst or 30-ft.</t>
  </si>
  <si>
    <t>The damage dealt increases to 5d6 points of sonic damage, and you gain a +2 bonus on combat maneuver checks to the bull rush opponents. The spell can penetrate non-mythic magical silence and dispels any non-mythic silence effect of 4th level or lower.</t>
  </si>
  <si>
    <t>Divine Transfer</t>
  </si>
  <si>
    <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t>
  </si>
  <si>
    <t>&lt;p&gt;With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spell.&lt;/p&gt;</t>
  </si>
  <si>
    <t>&lt;link rel="stylesheet"href="PF.css"&gt;&lt;div class="heading"&gt;&lt;p class="alignleft"&gt;Divine Transfer&lt;/p&gt;&lt;div style="clear: both;"&gt;&lt;/div&gt;&lt;/div&gt;&lt;div&gt;&lt;h5&gt;&lt;b&gt;School &lt;/b&gt;necromancy;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&lt;/b&gt;Fortitude negates (harmless); &lt;b&gt;Spell Resistance &lt;/b&gt;yes (harmless)&lt;/h5&gt;&lt;/div&gt;&lt;hr/&gt;&lt;div&gt;&lt;h5&gt;&lt;b&gt;DESCRIPTION&lt;/b&gt;&lt;/h5&gt;&lt;/div&gt;&lt;hr/&gt;&lt;div&gt;&lt;h4&gt;&lt;p&gt;With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spell.&lt;/p&gt;&lt;/h4&gt;&lt;/div&gt;</t>
  </si>
  <si>
    <t>Transfer hit points and give DR/evil to target creature.</t>
  </si>
  <si>
    <t>Divine Vessel</t>
  </si>
  <si>
    <t>oracle 8</t>
  </si>
  <si>
    <t>You accept otherworldly energies into your body and transform.  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  This spell doesn't change your base speed. Determine space and reach as appropriate for your new size.  If insufficient room is available for the desired growth, you attain the maximum possible size and may make a Strength check (using your increased Strength) to burst any enclosures in the process (see page 175 of the Core Rulebook for rules on breaking objects). If you fail, you are constrained without harm by the materials enclosing you-the spell cannot crush you by increasing your size.  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  You gain additional abilities as noted below.  Anarchic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  Axiomatic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  Celestial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  Fiendish aspect: You gain the following abilities: an additional +2 bonus to Strength, DR 10/good, resist acid 10, cold 10, and fire 10, a +4 bonus on saves against poison, see in darkness, and a fly speed of 60 feet (good maneuverability).  You gain 2 claw attacks dealing 1d6 points of damage each. Your natural weapons and any weapons you wield are considered evil-aligned for the purpose of overcoming damage resistance.  When used to assume an anarchic, axiomatic, celestial, or fiendish aspect, this spell is a chaotic, lawful, good, or evil spell respectively.</t>
  </si>
  <si>
    <t>&lt;p&gt;You accept otherworldly energies into your body and transform.&lt;/p&gt;&lt;p&gt;Your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category.&lt;/p&gt;&lt;p&gt;This spell doesn't change your base speed. Determine space and reach as appropriate for your new size.&lt;/p&gt;&lt;p&gt;If insufficient room is available for the desired growth, you attain the maximum possible size and may make a Strength check (using your increased Strength) to burst any enclosures in the process (see page 175 of the &lt;i&gt;Core Rulebook&lt;/i&gt; for rules on breaking objects). If you fail, you are constrained without harm by the materials enclosing you-the spell cannot crush you by increasing your size.&lt;/p&gt;&lt;p&gt;All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damage.&lt;/p&gt;&lt;p&gt;Magical effects that increase size do not stack.&lt;/p&gt;&lt;p&gt;You gain additional abilities as noted below.&lt;/p&gt;&lt;p&gt;&lt;b&gt;Anarchic&lt;/b&gt;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resistance.&lt;/p&gt;&lt;p&gt;&lt;b&gt;Axiomatic&lt;/b&gt;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resistance.&lt;/p&gt;&lt;p&gt;&lt;b&gt;Celestial&lt;/b&gt;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resistance.&lt;/p&gt;&lt;p&gt;&lt;b&gt;Fiendish&lt;/b&gt; aspect: You gain the following abilities: an additional +2 bonus to Strength, DR 10/good, resist acid 10, cold 10, and fire 10, a +4 bonus on saves against poison, see in darkness, and a fly speed of 60 feet (good maneuverability).&lt;/p&gt;&lt;p&gt;You gain 2 claw attacks dealing 1d6 points of damage each. Your natural weapons and any weapons you wield are considered evil-aligned for the purpose of overcoming damage resistance.&lt;/p&gt;&lt;p&gt;When used to assume an anarchic, axiomatic, celestial, or fiendish aspect, this spell is a chaotic, lawful, good, or evil spell respectively.&lt;/p&gt;</t>
  </si>
  <si>
    <t>&lt;link rel="stylesheet"href="PF.css"&gt;&lt;div class="heading"&gt;&lt;p class="alignleft"&gt;Divine Vessel&lt;/p&gt;&lt;div style="clear: both;"&gt;&lt;/div&gt;&lt;/div&gt;&lt;div&gt;&lt;h5&gt;&lt;b&gt;School &lt;/b&gt;transmutation [chaotic, evil, good, or lawful]; &lt;b&gt;Level &lt;/b&gt;oracle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accept otherworldly energies into your body and transform.&lt;/p&gt;&lt;p&gt;Your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category.&lt;/p&gt;&lt;p&gt;This spell doesn't change your base speed. Determine space and reach as appropriate for your new size.&lt;/p&gt;&lt;p&gt;If insufficient room is available for the desired growth, you attain the maximum possible size and may make a Strength check (using your increased Strength) to burst any enclosures in the process (see page 175 of the &lt;i&gt;Core Rulebook&lt;/i&gt; for rules on breaking objects). If you fail, you are constrained without harm by the materials enclosing you-the spell cannot crush you by increasing your size.&lt;/p&gt;&lt;p&gt;All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damage.&lt;/p&gt;&lt;p&gt;Magical effects that increase size do not stack.&lt;/p&gt;&lt;p&gt;You gain additional abilities as noted below.&lt;/p&gt;&lt;p&gt;&lt;b&gt;Anarchic&lt;/b&gt;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resistance.&lt;/p&gt;&lt;p&gt;&lt;b&gt;Axiomatic&lt;/b&gt;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resistance.&lt;/p&gt;&lt;p&gt;&lt;b&gt;Celestial&lt;/b&gt;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resistance.&lt;/p&gt;&lt;p&gt;&lt;b&gt;Fiendish&lt;/b&gt; aspect: You gain the following abilities: an additional +2 bonus to Strength, DR 10/good, resist acid 10, cold 10, and fire 10, a +4 bonus on saves against poison, see in darkness, and a fly speed of 60 feet (good maneuverability).&lt;/p&gt;&lt;p&gt;You gain 2 claw attacks dealing 1d6 points of damage each. Your natural weapons and any weapons you wield are considered evil-aligned for the purpose of overcoming damage resistance.&lt;/p&gt;&lt;p&gt;When used to assume an anarchic, axiomatic, celestial, or fiendish aspect, this spell is a chaotic, lawful, good, or evil spell respectively.&lt;/p&gt;&lt;/h4&gt;&lt;/div&gt;</t>
  </si>
  <si>
    <t>(Oracle only.) Change into a huge, otherworldly creature.</t>
  </si>
  <si>
    <t>Draconic Reservoir</t>
  </si>
  <si>
    <t>alchemist 3, sorcerer/wizard 3, bloodrager 3</t>
  </si>
  <si>
    <t>V, S, M (a scale from dragon that produces the energy you seek to absorb)</t>
  </si>
  <si>
    <t>10 minutes/level or until discharged; see text</t>
  </si>
  <si>
    <t>Draconic reservoir functions as protection from energy, absorbing 6 points of one type of energy damage per caster level (acid, cold, electricity, or fire, maximum 60 points). Each round, as a swift action, the subject can release 1d6 points of the absorbed energy and apply it to any melee attack, as if using an acidic, flaming, frost, or shock weapon. The first creature the subject strikes with this attack takes the energy damage in addition to any other consequences of the attack.  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  Draconic reservoir does not stack with protection from energy.  Draconic reservoir overlaps (and does not stack with) resist energy. If a character is warded by draconic reservoir and resist energy, draconic reservoir absorbs damage until it reaches its maximum limit.</t>
  </si>
  <si>
    <t>&lt;p&gt;&lt;i&gt;Draconic reservoir&lt;/i&gt; functions as &lt;i&gt;protection from energy&lt;/i&gt;, absorbing 6 points of one type of energy damage per caster level (acid, cold, electricity, or fire, maximum 60 points). Each round, as a swift action, the subject can release 1d6 points of the absorbed energy and apply it to any melee attack, as if using an &lt;i&gt;acidic&lt;/i&gt;, &lt;i&gt;flaming&lt;/i&gt;, &lt;i&gt;frost&lt;/i&gt;, or &lt;i&gt;shock&lt;/i&gt; weapon. The first creature the subject strikes with this attack takes the energy damage in addition to any other consequences of the attack.&lt;/p&gt;&lt;p&gt;Releasing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discharged.&lt;/p&gt;&lt;p&gt;&lt;i&gt;Draconic reservoir&lt;/i&gt; does not stack with &lt;i&gt;protection from energy&lt;/i&gt;.&lt;/p&gt;&lt;p&gt;&lt;i&gt;Draconic reservoir&lt;/i&gt; overlaps (and does not stack with) &lt;i&gt;resist energy&lt;/i&gt;. If a character is warded by &lt;i&gt;draconic reservoir&lt;/i&gt; and &lt;i&gt;resist energy&lt;/i&gt;, &lt;i&gt;draconic reservoir&lt;/i&gt; absorbs damage until it reaches its maximum limit.&lt;/p&gt;</t>
  </si>
  <si>
    <t>&lt;link rel="stylesheet"href="PF.css"&gt;&lt;div class="heading"&gt;&lt;p class="alignleft"&gt;Draconic Reservoir&lt;/p&gt;&lt;div style="clear: both;"&gt;&lt;/div&gt;&lt;/div&gt;&lt;div&gt;&lt;h5&gt;&lt;b&gt;School &lt;/b&gt;evocation [acid, cold, electricity, or fire]; &lt;b&gt;Level &lt;/b&gt;alchemist 3, sorcerer/wizard 3, bloodrager 3&lt;/h5&gt;&lt;/div&gt;&lt;hr/&gt;&lt;div&gt;&lt;h5&gt;&lt;b&gt;CASTING&lt;/b&gt;&lt;/h5&gt;&lt;/div&gt;&lt;hr/&gt;&lt;div&gt;&lt;h5&gt;&lt;b&gt;Casting Time &lt;/b&gt;1 standard action&lt;/h5&gt;&lt;h5&gt;&lt;b&gt;Components &lt;/b&gt;V, S, M (a scale from dragon that produces the energy you seek to absorb)&lt;/h5&gt;&lt;/div&gt;&lt;hr/&gt;&lt;div&gt;&lt;h5&gt;&lt;b&gt;EFFECT&lt;/b&gt;&lt;/h5&gt;&lt;/div&gt;&lt;hr/&gt;&lt;div&gt;&lt;h5&gt;&lt;b&gt;Range &lt;/b&gt;touch&lt;/h5&gt;&lt;h5&gt;&lt;b&gt;Targets &lt;/b&gt;creature touched&lt;/h5&gt;&lt;h5&gt;&lt;b&gt;Duration &lt;/b&gt;10 minutes/level or until discharged; see text&lt;/h5&gt;&lt;h5&gt;&lt;b&gt;Saving Throw &lt;/b&gt;Fortitude negates (harmless); &lt;b&gt;Spell Resistance &lt;/b&gt;yes (harmless)&lt;/h5&gt;&lt;/div&gt;&lt;hr/&gt;&lt;div&gt;&lt;h5&gt;&lt;b&gt;DESCRIPTION&lt;/b&gt;&lt;/h5&gt;&lt;/div&gt;&lt;hr/&gt;&lt;div&gt;&lt;h4&gt;&lt;p&gt;&lt;i&gt;Draconic reservoir&lt;/i&gt; functions as &lt;i&gt;protection from energy&lt;/i&gt;, absorbing 6 points of one type of energy damage per caster level (acid, cold, electricity, or fire, maximum 60 points). Each round, as a swift action, the subject can release 1d6 points of the absorbed energy and apply it to any melee attack, as if using an &lt;i&gt;acidic&lt;/i&gt;, &lt;i&gt;flaming&lt;/i&gt;, &lt;i&gt;frost&lt;/i&gt;, or &lt;i&gt;shock&lt;/i&gt; weapon. The first creature the subject strikes with this attack takes the energy damage in addition to any other consequences of the attack.&lt;/p&gt;&lt;p&gt;Releasing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discharged.&lt;/p&gt;&lt;p&gt;&lt;i&gt;Draconic reservoir&lt;/i&gt; does not stack with &lt;i&gt;protection from energy&lt;/i&gt;.&lt;/p&gt;&lt;p&gt;&lt;i&gt;Draconic reservoir&lt;/i&gt; overlaps (and does not stack with) &lt;i&gt;resist energy&lt;/i&gt;. If a character is warded by &lt;i&gt;draconic reservoir&lt;/i&gt; and &lt;i&gt;resist energy&lt;/i&gt;, &lt;i&gt;draconic reservoir&lt;/i&gt; absorbs damage until it reaches its maximum limit.&lt;/p&gt;&lt;/h4&gt;&lt;h5&gt;&lt;b&gt;Mythic: &lt;/b&gt;The amount of energy damage the spell absorbs increases to 10 points per caster level (maximum 100 points). The energy damage from the weapons improves as if using a corrosive burst, flaming burst, icy burst, or shocking burst weapon.&lt;/h5&gt;&lt;h5&gt;&lt;b&gt;Augmented (3rd)&lt;/b&gt;: If you expend two uses of mythic power, spending a swift action applies the energy damage to any number of creatures the target hits this round, not just the first.&lt;/h5&gt;&lt;/div&gt;</t>
  </si>
  <si>
    <t>Dragon (3)</t>
  </si>
  <si>
    <t>Subject can absorb energy damage and enhance melee attacks with it.</t>
  </si>
  <si>
    <t>The amount of energy damage the spell absorbs increases to 10 points per caster level (maximum 100 points). The energy damage from the weapons improves as if using a corrosive burst, flaming burst, icy burst, or shocking burst weapon.</t>
  </si>
  <si>
    <t>Augmented (3rd): If you expend two uses of mythic power, spending a swift action applies the energy damage to any number of creatures the target hits this round, not just the first.</t>
  </si>
  <si>
    <t>Dragon's Breath</t>
  </si>
  <si>
    <t>alchemist 4, sorcerer/wizard 4, bloodrager 4</t>
  </si>
  <si>
    <t>V, S, M (a dragon scale)</t>
  </si>
  <si>
    <t>30 ft. or 60 ft.</t>
  </si>
  <si>
    <t>cone-shaped burst or line</t>
  </si>
  <si>
    <t>You breathe out a blast of energy. Creatures in the affected area take 1d6 points of energy damage per caster level (maximum of 12d6). A successful Reflex save results in half damage. The spell's effect and energy type depend on the type of dragon scale used: Black dragon: 60-foot line of acid. Blue or bronze dragon: 60-foot line of electricity. Green dragon: 30-foot cone of acid. Gold or red dragon: 30-foot cone of fire. Silver or white dragon: 30-foot cone of cold. Brass dragon: 60-foot line of fire. Copper dragon: 60-foot line of acid.</t>
  </si>
  <si>
    <t>&lt;p&gt;You breathe out a blast of energy. Creatures in the affected area take 1d6 points of energy damage per caster level (maximum of 12d6). A successful Reflex save results in half damage. The spell's effect and energy type depend on the type of dragon scale used: &lt;/p&gt;&lt;p&gt;&lt;i&gt;Black dragon&lt;/i&gt;: 60-foot line of acid.&lt;/p&gt;&lt;p&gt;&lt;i&gt;Blue or bronze dragon&lt;/i&gt;: 60-foot line of electricity.&lt;/p&gt;&lt;p&gt;&lt;i&gt;Green dragon&lt;/i&gt;: 30-foot cone of acid.&lt;/p&gt;&lt;p&gt;&lt;i&gt;Gold or red dragon&lt;/i&gt;: 30-foot cone of fire.&lt;/p&gt;&lt;p&gt;&lt;i&gt;Silver or white dragon&lt;/i&gt;: 30-foot cone of cold.&lt;/p&gt;&lt;p&gt;&lt;i&gt;Brass dragon&lt;/i&gt;: 60-foot line of fire.&lt;/p&gt;&lt;p&gt;&lt;i&gt;Copper dragon&lt;/i&gt;: 60-foot line of acid.&lt;/p&gt;</t>
  </si>
  <si>
    <t>&lt;link rel="stylesheet"href="PF.css"&gt;&lt;div class="heading"&gt;&lt;p class="alignleft"&gt;Dragon's Breath&lt;/p&gt;&lt;div style="clear: both;"&gt;&lt;/div&gt;&lt;/div&gt;&lt;div&gt;&lt;h5&gt;&lt;b&gt;School &lt;/b&gt;evocation [acid, cold, electricity, or fire]; &lt;b&gt;Level &lt;/b&gt;alchemist 4, sorcerer/wizard 4, bloodrager 4&lt;/h5&gt;&lt;/div&gt;&lt;hr/&gt;&lt;div&gt;&lt;h5&gt;&lt;b&gt;CASTING&lt;/b&gt;&lt;/h5&gt;&lt;/div&gt;&lt;hr/&gt;&lt;div&gt;&lt;h5&gt;&lt;b&gt;Casting Time &lt;/b&gt;1 standard action&lt;/h5&gt;&lt;h5&gt;&lt;b&gt;Components &lt;/b&gt;V, S, M (a dragon scale)&lt;/h5&gt;&lt;/div&gt;&lt;hr/&gt;&lt;div&gt;&lt;h5&gt;&lt;b&gt;EFFECT&lt;/b&gt;&lt;/h5&gt;&lt;/div&gt;&lt;hr/&gt;&lt;div&gt;&lt;h5&gt;&lt;b&gt;Range &lt;/b&gt;30 ft. or 60 ft.&lt;/h5&gt;&lt;h5&gt;&lt;b&gt;Area &lt;/b&gt;cone-shaped burst or line&lt;/h5&gt;&lt;h5&gt;&lt;b&gt;Duration &lt;/b&gt;instantaneous&lt;/h5&gt;&lt;h5&gt;&lt;b&gt;Saving Throw &lt;/b&gt;Reflex half; &lt;b&gt;Spell Resistance &lt;/b&gt;yes&lt;/h5&gt;&lt;/div&gt;&lt;hr/&gt;&lt;div&gt;&lt;h5&gt;&lt;b&gt;DESCRIPTION&lt;/b&gt;&lt;/h5&gt;&lt;/div&gt;&lt;hr/&gt;&lt;div&gt;&lt;h4&gt;&lt;p&gt;You breathe out a blast of energy. Creatures in the affected area take 1d6 points of energy damage per caster level (maximum of 12d6). A successful Reflex save results in half damage. The spell's effect and energy type depend on the type of dragon scale used: &lt;/p&gt;&lt;p&gt;&lt;i&gt;Black dragon&lt;/i&gt;: 60-foot line of acid.&lt;/p&gt;&lt;p&gt;&lt;i&gt;Blue or bronze dragon&lt;/i&gt;: 60-foot line of electricity.&lt;/p&gt;&lt;p&gt;&lt;i&gt;Green dragon&lt;/i&gt;: 30-foot cone of acid.&lt;/p&gt;&lt;p&gt;&lt;i&gt;Gold or red dragon&lt;/i&gt;: 30-foot cone of fire.&lt;/p&gt;&lt;p&gt;&lt;i&gt;Silver or white dragon&lt;/i&gt;: 30-foot cone of cold.&lt;/p&gt;&lt;p&gt;&lt;i&gt;Brass dragon&lt;/i&gt;: 60-foot line of fire.&lt;/p&gt;&lt;p&gt;&lt;i&gt;Copper dragon&lt;/i&gt;: 60-foot line of acid.&lt;/p&gt;&lt;/h4&gt;&lt;h5&gt;&lt;b&gt;Mythic: &lt;/b&gt;The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one.&lt;/h5&gt;&lt;/div&gt;</t>
  </si>
  <si>
    <t>Dragon (4)</t>
  </si>
  <si>
    <t>Gives you a dragon’s breath weapon.</t>
  </si>
  <si>
    <t>Kobold Sorcerer (9), Kobold (9)</t>
  </si>
  <si>
    <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t>
  </si>
  <si>
    <t>Dust Of Twilight</t>
  </si>
  <si>
    <t>bard 2, sorcerer/wizard 2, bloodrager 2</t>
  </si>
  <si>
    <t>V, S, M (coal dust)</t>
  </si>
  <si>
    <t>creatures and objects in a 10-ft. spread</t>
  </si>
  <si>
    <t>Fortitude negates (fatigue only)</t>
  </si>
  <si>
    <t>A shower of iridescent black particles clings to and extinguishes torches, lanterns, sunrods, and similar mundane light sources and dispels any spell of 2nd level or lower with the light descriptor (as dispel magic). Creatures in the area must make a Fortitude save or become fatigued.</t>
  </si>
  <si>
    <t>&lt;p&gt;A shower of iridescent black particles clings to and extinguishes torches, lanterns, sunrods, and similar mundane light sources and &lt;i&gt;dispel&lt;/i&gt;s any spell of 2nd level or lower with the light descriptor (as &lt;i&gt;dispel&lt;/i&gt; magic). Creatures in the area must make a Fortitude save or become fatigued.&lt;/p&gt;</t>
  </si>
  <si>
    <t>&lt;link rel="stylesheet"href="PF.css"&gt;&lt;div class="heading"&gt;&lt;p class="alignleft"&gt;Dust Of Twilight&lt;/p&gt;&lt;div style="clear: both;"&gt;&lt;/div&gt;&lt;/div&gt;&lt;div&gt;&lt;h5&gt;&lt;b&gt;School &lt;/b&gt;conjuration [darkness]; &lt;b&gt;Level &lt;/b&gt;bard 2, sorcerer/wizard 2, bloodrager 2&lt;/h5&gt;&lt;/div&gt;&lt;hr/&gt;&lt;div&gt;&lt;h5&gt;&lt;b&gt;CASTING&lt;/b&gt;&lt;/h5&gt;&lt;/div&gt;&lt;hr/&gt;&lt;div&gt;&lt;h5&gt;&lt;b&gt;Casting Time &lt;/b&gt;1 standard action&lt;/h5&gt;&lt;h5&gt;&lt;b&gt;Components &lt;/b&gt;V, S, M (coal dust)&lt;/h5&gt;&lt;/div&gt;&lt;hr/&gt;&lt;div&gt;&lt;h5&gt;&lt;b&gt;EFFECT&lt;/b&gt;&lt;/h5&gt;&lt;/div&gt;&lt;hr/&gt;&lt;div&gt;&lt;h5&gt;&lt;b&gt;Range &lt;/b&gt;medium (100 ft. + 10 ft./level)&lt;/h5&gt;&lt;h5&gt;&lt;b&gt;Targets &lt;/b&gt;creatures and objects in a 10-ft. spread&lt;/h5&gt;&lt;h5&gt;&lt;b&gt;Duration &lt;/b&gt;instantaneous&lt;/h5&gt;&lt;h5&gt;&lt;b&gt;Saving Throw &lt;/b&gt;Fortitude negates (fatigue only); &lt;b&gt;Spell Resistance &lt;/b&gt;no&lt;/h5&gt;&lt;/div&gt;&lt;hr/&gt;&lt;div&gt;&lt;h5&gt;&lt;b&gt;DESCRIPTION&lt;/b&gt;&lt;/h5&gt;&lt;/div&gt;&lt;hr/&gt;&lt;div&gt;&lt;h4&gt;&lt;p&gt;A shower of iridescent black particles clings to and extinguishes torches, lanterns, sunrods, and similar mundane light sources and &lt;i&gt;dispel&lt;/i&gt;s any spell of 2nd level or lower with the light descriptor (as &lt;i&gt;dispel&lt;/i&gt; magic). Creatures in the area must make a Fortitude save or become fatigued.&lt;/p&gt;&lt;/h4&gt;&lt;h5&gt;&lt;b&gt;Mythic: &lt;/b&gt;A creature that fails its Fortitude save against the spell must also succeed at a Will save at the same DC or fall asleep (as the sleep spell). Creatures that succeed at their saves are merely drowsy (as the lullaby spell).&lt;/h5&gt;&lt;h5&gt;&lt;b&gt;Augmented&lt;/b&gt;: If you expend two uses of mythic power, add half your tier to the level of light spells mythic dust of twilight dispels.&lt;/h5&gt;&lt;/div&gt;</t>
  </si>
  <si>
    <t>Black particles extinguish light sources.</t>
  </si>
  <si>
    <t>Stars (4)</t>
  </si>
  <si>
    <t>A creature that fails its Fortitude save against the spell must also succeed at a Will save at the same DC or fall asleep (as the sleep spell). Creatures that succeed at their saves are merely drowsy (as the lullaby spell).</t>
  </si>
  <si>
    <t>Augmented: If you expend two uses of mythic power, add half your tier to the level of light spells mythic dust of twilight dispels.</t>
  </si>
  <si>
    <t>Eagle Eye</t>
  </si>
  <si>
    <t>druid 2, ranger 2, shaman 2, psychic 2</t>
  </si>
  <si>
    <t>Eagle eye creates a magical sensor directly above you. The sensor can appear anywhere above you, to a maximum height equal to the spell's range. You can see from this vantage as if you were actually there, rotating your viewpoint 360 degrees.  You perceive with your normal visual senses. A caster using eagle eye can easily see for a considerable distance. The spell does not penetrate any solid surface, although it is unaffected by foliage and the like.</t>
  </si>
  <si>
    <t>&lt;p&gt;&lt;i&gt;Eagle eye&lt;/i&gt; creates a magical sensor directly above you. The sensor can appear anywhere above you, to a maximum height equal to the spell's range. You can see from this vantage as if you were actually there, rotating your viewpoint 360 degrees.&lt;/p&gt;&lt;p&gt;You perceive with your normal visual senses. A caster using &lt;i&gt;eagle eye&lt;/i&gt; can easily see for a considerable distance. The spell does not penetrate any solid surface, although it is unaffected by foliage and the like.&lt;/p&gt;</t>
  </si>
  <si>
    <t>&lt;link rel="stylesheet"href="PF.css"&gt;&lt;div class="heading"&gt;&lt;p class="alignleft"&gt;Eagle Eye&lt;/p&gt;&lt;div style="clear: both;"&gt;&lt;/div&gt;&lt;/div&gt;&lt;div&gt;&lt;h5&gt;&lt;b&gt;School &lt;/b&gt;divination; &lt;b&gt;Level &lt;/b&gt;druid 2, ranger 2, shaman 2, psychic 2&lt;/h5&gt;&lt;/div&gt;&lt;hr/&gt;&lt;div&gt;&lt;h5&gt;&lt;b&gt;CASTING&lt;/b&gt;&lt;/h5&gt;&lt;/div&gt;&lt;hr/&gt;&lt;div&gt;&lt;h5&gt;&lt;b&gt;Casting Time &lt;/b&gt;1 minute&lt;/h5&gt;&lt;h5&gt;&lt;b&gt;Components &lt;/b&gt;V, S, DF&lt;/h5&gt;&lt;/div&gt;&lt;hr/&gt;&lt;div&gt;&lt;h5&gt;&lt;b&gt;EFFECT&lt;/b&gt;&lt;/h5&gt;&lt;/div&gt;&lt;hr/&gt;&lt;div&gt;&lt;h5&gt;&lt;b&gt;Range &lt;/b&gt;long (400 ft. + 40 ft./level)&lt;/h5&gt;&lt;h5&gt;&lt;b&gt;Effect &lt;/b&gt;magical sensor&lt;/h5&gt;&lt;h5&gt;&lt;b&gt;Duration &lt;/b&gt;1 minute/level (D)&lt;/h5&gt;&lt;h5&gt;&lt;b&gt;Saving Throw &lt;/b&gt;none; &lt;b&gt;Spell Resistance &lt;/b&gt;no&lt;/h5&gt;&lt;/div&gt;&lt;hr/&gt;&lt;div&gt;&lt;h5&gt;&lt;b&gt;DESCRIPTION&lt;/b&gt;&lt;/h5&gt;&lt;/div&gt;&lt;hr/&gt;&lt;div&gt;&lt;h4&gt;&lt;p&gt;&lt;i&gt;Eagle eye&lt;/i&gt; creates a magical sensor directly above you. The sensor can appear anywhere above you, to a maximum height equal to the spell's range. You can see from this vantage as if you were actually there, rotating your viewpoint 360 degrees.&lt;/p&gt;&lt;p&gt;You perceive with your normal visual senses. A caster using &lt;i&gt;eagle eye&lt;/i&gt; can easily see for a considerable distance. The spell does not penetrate any solid surface, although it is unaffected by foliage and the like.&lt;/p&gt;&lt;/h4&gt;&lt;/div&gt;</t>
  </si>
  <si>
    <t>Creates a magical sensor high above you.</t>
  </si>
  <si>
    <t>Elemental Aura</t>
  </si>
  <si>
    <t>alchemist 3, sorcerer/wizard 3, magus 3, bloodrager 3</t>
  </si>
  <si>
    <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  Acid: Creatures affected by your aura take 1 point of ongoing acid damage per round for 1 round per three caster levels, and are sickened for the duration of the ongoing acid damage.  Cold: Creatures affected by your aura are fatigued. A creature that is already fatigued suffers no additional effect.  Electricity: Creatures affected by your aura are staggered for 1 round.  Fire: Creatures affected by your aura catch on fire (Core Rulebook 444).  Creatures adjacent to you are allowed a Reflex save to halve the damage and negate the additional effect. The aura's additional effects do not stack if a creature takes damage from your aura multiple times. You may only have one elemental aura in effect at one time. When you cast this spell to deal acid, cold, electricity, or fire damage, it is a spell of that type.</t>
  </si>
  <si>
    <t>&lt;p&gt;This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chosen.&lt;/p&gt;&lt;p&gt;&lt;b&gt;Acid:&lt;/b&gt; Creatures affected by your aura take 1 point of ongoing acid damage per round for 1 round per three caster levels, and are sickened for the duration of the ongoing acid damage.&lt;/p&gt;&lt;p&gt;&lt;b&gt;Cold:&lt;/b&gt; Creatures affected by your aura are fatigued. A creature that is already fatigued suffers no additional effect.&lt;/p&gt;&lt;p&gt;&lt;b&gt;Electricity:&lt;/b&gt; Creatures affected by your aura are staggered for 1 round.&lt;/p&gt;&lt;p&gt;&lt;b&gt;Fire:&lt;/b&gt; Creatures affected by your aura catch on fire (&lt;i&gt;Core Rulebook&lt;/i&gt; 444).&lt;/p&gt;&lt;p&gt;Creatures adjacent to you are allowed a Reflex save to halve the damage and negate the additional effect. The aura's additional effects do not stack if a creature takes damage from your aura multiple times. You may only have one &lt;i&gt;elemental aura&lt;/i&gt; in effect at one time. When you cast this spell to deal acid, cold, electricity, or fire damage, it is a spell of that type.&lt;/p&gt;</t>
  </si>
  <si>
    <t>&lt;link rel="stylesheet"href="PF.css"&gt;&lt;div class="heading"&gt;&lt;p class="alignleft"&gt;Elemental Aura&lt;/p&gt;&lt;div style="clear: both;"&gt;&lt;/div&gt;&lt;/div&gt;&lt;div&gt;&lt;h5&gt;&lt;b&gt;School &lt;/b&gt;evocation [acid, cold, electricity, or fire]; &lt;b&gt;Level &lt;/b&gt;alchemist 3, sorcerer/wizard 3, magus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&lt;/b&gt;Reflex half; see text; &lt;b&gt;Spell Resistance &lt;/b&gt;yes&lt;/h5&gt;&lt;/div&gt;&lt;hr/&gt;&lt;div&gt;&lt;h5&gt;&lt;b&gt;DESCRIPTION&lt;/b&gt;&lt;/h5&gt;&lt;/div&gt;&lt;hr/&gt;&lt;div&gt;&lt;h4&gt;&lt;p&gt;This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chosen.&lt;/p&gt;&lt;p&gt;&lt;b&gt;Acid:&lt;/b&gt; Creatures affected by your aura take 1 point of ongoing acid damage per round for 1 round per three caster levels, and are sickened for the duration of the ongoing acid damage.&lt;/p&gt;&lt;p&gt;&lt;b&gt;Cold:&lt;/b&gt; Creatures affected by your aura are fatigued. A creature that is already fatigued suffers no additional effect.&lt;/p&gt;&lt;p&gt;&lt;b&gt;Electricity:&lt;/b&gt; Creatures affected by your aura are staggered for 1 round.&lt;/p&gt;&lt;p&gt;&lt;b&gt;Fire:&lt;/b&gt; Creatures affected by your aura catch on fire (&lt;i&gt;Core Rulebook&lt;/i&gt; 444).&lt;/p&gt;&lt;p&gt;Creatures adjacent to you are allowed a Reflex save to halve the damage and negate the additional effect. The aura's additional effects do not stack if a creature takes damage from your aura multiple times. You may only have one &lt;i&gt;elemental aura&lt;/i&gt; in effect at one time. When you cast this spell to deal acid, cold, electricity, or fire damage, it is a spell of that type.&lt;/p&gt;&lt;/h4&gt;&lt;/div&gt;</t>
  </si>
  <si>
    <t>Creates an aura of energy around you.</t>
  </si>
  <si>
    <t>Boreal (7)</t>
  </si>
  <si>
    <t>Elemental Speech</t>
  </si>
  <si>
    <t>air, earth, fire, or water</t>
  </si>
  <si>
    <t>bard 3, cleric/oracle 3, druid 2, sorcerer/wizard 2, mesmerist 3</t>
  </si>
  <si>
    <t>This spell enables you to converse with creatures associated with a chosen element, including but not limited to true elemental creatures. This spell gains the elemental subtype based on the version of the spell you cast. Elemental speech does not guarantee a friendly reaction; it merely enables communication. You may converse with all creatures of the selected type with an Intelligence score of 1 or greater, even if they do not understand one another.  When cast as an air spell, you can converse in Auran and with any creature that has the air subtype or a fly speed.  When cast as an earth spell, you can converse in Terran and with any creature that has the earth subtype or a burrow speed.  When cast as a fire spell, you can converse in Ignan and with any creature that has the fire subtype.  When cast as a water spell, you can converse in Aquan and with any creature that has the water subtype or a swim speed.</t>
  </si>
  <si>
    <t>&lt;p&gt;This spell enables you to converse with creatures associated with a chosen element, including but not limited to true elemental creatures. This spell gains the elemental subtype based on the version of the spell you cast. &lt;i&gt;Elemental speech&lt;/i&gt; does not guarantee a friendly reaction; it merely enables communication. You may converse with all creatures of the selected type with an Intelligence score of 1 or greater, even if they do not understand one another.&lt;/p&gt;&lt;p&gt;When cast as an air spell, you can converse in Auran and with any creature that has the air subtype or a fly speed.&lt;/p&gt;&lt;p&gt;When cast as an earth spell, you can converse in Terran and with any creature that has the earth subtype or a burrow speed.&lt;/p&gt;&lt;p&gt;When cast as a fire spell, you can converse in Ignan and with any creature that has the fire subtype.&lt;/p&gt;&lt;p&gt;When cast as a water spell, you can converse in Aquan and with any creature that has the water subtype or a swim speed.&lt;/p&gt;</t>
  </si>
  <si>
    <t>&lt;link rel="stylesheet"href="PF.css"&gt;&lt;div class="heading"&gt;&lt;p class="alignleft"&gt;Elemental Speech&lt;/p&gt;&lt;div style="clear: both;"&gt;&lt;/div&gt;&lt;/div&gt;&lt;div&gt;&lt;h5&gt;&lt;b&gt;School &lt;/b&gt;divination [air, earth, fire, or water]; &lt;b&gt;Level &lt;/b&gt;bard 3, cleric/oracle 3, druid 2, sorcerer/wizard 2, mesmerist 3&lt;/h5&gt;&lt;/div&gt;&lt;hr/&gt;&lt;div&gt;&lt;h5&gt;&lt;b&gt;CASTING&lt;/b&gt;&lt;/h5&gt;&lt;/div&gt;&lt;hr/&gt;&lt;div&gt;&lt;h5&gt;&lt;b&gt;Casting Time &lt;/b&gt;1 standard action&lt;/h5&gt;&lt;h5&gt;&lt;b&gt;Components &lt;/b&gt;V, S, M (iron filings)&lt;/h5&gt;&lt;/div&gt;&lt;hr/&gt;&lt;div&gt;&lt;h5&gt;&lt;b&gt;EFFECT&lt;/b&gt;&lt;/h5&gt;&lt;/div&gt;&lt;hr/&gt;&lt;div&gt;&lt;h5&gt;&lt;b&gt;Range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enables you to converse with creatures associated with a chosen element, including but not limited to true elemental creatures. This spell gains the elemental subtype based on the version of the spell you cast. &lt;i&gt;Elemental speech&lt;/i&gt; does not guarantee a friendly reaction; it merely enables communication. You may converse with all creatures of the selected type with an Intelligence score of 1 or greater, even if they do not understand one another.&lt;/p&gt;&lt;p&gt;When cast as an air spell, you can converse in Auran and with any creature that has the air subtype or a fly speed.&lt;/p&gt;&lt;p&gt;When cast as an earth spell, you can converse in Terran and with any creature that has the earth subtype or a burrow speed.&lt;/p&gt;&lt;p&gt;When cast as a fire spell, you can converse in Ignan and with any creature that has the fire subtype.&lt;/p&gt;&lt;p&gt;When cast as a water spell, you can converse in Aquan and with any creature that has the water subtype or a swim speed.&lt;/p&gt;&lt;/h4&gt;&lt;/div&gt;</t>
  </si>
  <si>
    <t>Enables you to speak to elementals and some creatures.</t>
  </si>
  <si>
    <t>Elemental Touch</t>
  </si>
  <si>
    <t>alchemist 2, sorcerer/wizard 2, magus 2, bloodrager 2</t>
  </si>
  <si>
    <t>V, S, M (a bit of the chosen element: earth, water, air, or fire)</t>
  </si>
  <si>
    <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  Acid: Your touch attack causes 1 point of ongoing acid damage per round for 1 round per three caster levels. The target must make a Fortitude save or be sickened for the duration of the ongoing acid damage.  Cold: The target must make a Fortitude save or be fatigued.  A creature that is already fatigued suffers no additional effect.  Electricity: The target must make a Fortitude save or be staggered for 1 round.  Fire: Your hands ignite and shed light as a torch. Your touch may cause targets to catch on fire (Core Rulebook 444).  Subsequent attacks inflict the normal damage, but the additional effects do not stack. This spell grants no special protection to anything held in or worn on your hands. When you cast this spell to deal acid, cold, electricity, or fire damage, it is a spell of that type.</t>
  </si>
  <si>
    <t>&lt;p&gt;Upon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weapons.&lt;/p&gt;&lt;p&gt;&lt;b&gt;Acid:&lt;/b&gt; Your touch attack causes 1 point of ongoing acid damage per round for 1 round per three caster levels. The target must make a Fortitude save or be sickened for the duration of the ongoing acid damage.&lt;/p&gt;&lt;p&gt;&lt;b&gt;Cold:&lt;/b&gt; The target must make a Fortitude save or be fatigued.&lt;/p&gt;&lt;p&gt;A creature that is already fatigued suffers no additional effect.&lt;/p&gt;&lt;p&gt;&lt;b&gt;Electricity:&lt;/b&gt; The target must make a Fortitude save or be staggered for 1 round.&lt;/p&gt;&lt;p&gt;&lt;b&gt;Fire:&lt;/b&gt; Your hands ignite and shed light as a torch. Your touch may cause targets to catch on fire (&lt;i&gt;Core Rulebook&lt;/i&gt; 444).&lt;/p&gt;&lt;p&gt;Subsequent attacks inflict the normal damage, but the additional effects do not stack. This spell grants no special protection to anything held in or worn on your hands. When you cast this spell to deal acid, cold, electricity, or fire damage, it is a spell of that type.&lt;/p&gt;</t>
  </si>
  <si>
    <t>&lt;link rel="stylesheet"href="PF.css"&gt;&lt;div class="heading"&gt;&lt;p class="alignleft"&gt;Elemental Touch&lt;/p&gt;&lt;div style="clear: both;"&gt;&lt;/div&gt;&lt;/div&gt;&lt;div&gt;&lt;h5&gt;&lt;b&gt;School &lt;/b&gt;evocation [acid, cold, electricity, or fire]; &lt;b&gt;Level &lt;/b&gt;alchemist 2, sorcerer/wizard 2, magus 2, bloodrager 2&lt;/h5&gt;&lt;/div&gt;&lt;hr/&gt;&lt;div&gt;&lt;h5&gt;&lt;b&gt;CASTING&lt;/b&gt;&lt;/h5&gt;&lt;/div&gt;&lt;hr/&gt;&lt;div&gt;&lt;h5&gt;&lt;b&gt;Casting Time &lt;/b&gt;1 standard action&lt;/h5&gt;&lt;h5&gt;&lt;b&gt;Components &lt;/b&gt;V, S, M (a bit of the chosen element: earth, water, air, or fire)&lt;/h5&gt;&lt;/div&gt;&lt;hr/&gt;&lt;div&gt;&lt;h5&gt;&lt;b&gt;EFFECT&lt;/b&gt;&lt;/h5&gt;&lt;/div&gt;&lt;hr/&gt;&lt;div&gt;&lt;h5&gt;&lt;b&gt;Range &lt;/b&gt;personal&lt;/h5&gt;&lt;h5&gt;&lt;b&gt;Targets &lt;/b&gt;you&lt;/h5&gt;&lt;h5&gt;&lt;b&gt;Duration &lt;/b&gt;1 round/level (D)&lt;/h5&gt;&lt;h5&gt;&lt;b&gt;Saving Throw &lt;/b&gt;see text; &lt;b&gt;Spell Resistance &lt;/b&gt;no&lt;/h5&gt;&lt;/div&gt;&lt;hr/&gt;&lt;div&gt;&lt;h5&gt;&lt;b&gt;DESCRIPTION&lt;/b&gt;&lt;/h5&gt;&lt;/div&gt;&lt;hr/&gt;&lt;div&gt;&lt;h4&gt;&lt;p&gt;Upon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weapons.&lt;/p&gt;&lt;p&gt;&lt;b&gt;Acid:&lt;/b&gt; Your touch attack causes 1 point of ongoing acid damage per round for 1 round per three caster levels. The target must make a Fortitude save or be sickened for the duration of the ongoing acid damage.&lt;/p&gt;&lt;p&gt;&lt;b&gt;Cold:&lt;/b&gt; The target must make a Fortitude save or be fatigued.&lt;/p&gt;&lt;p&gt;A creature that is already fatigued suffers no additional effect.&lt;/p&gt;&lt;p&gt;&lt;b&gt;Electricity:&lt;/b&gt; The target must make a Fortitude save or be staggered for 1 round.&lt;/p&gt;&lt;p&gt;&lt;b&gt;Fire:&lt;/b&gt; Your hands ignite and shed light as a torch. Your touch may cause targets to catch on fire (&lt;i&gt;Core Rulebook&lt;/i&gt; 444).&lt;/p&gt;&lt;p&gt;Subsequent attacks inflict the normal damage, but the additional effects do not stack. This spell grants no special protection to anything held in or worn on your hands. When you cast this spell to deal acid, cold, electricity, or fire damage, it is a spell of that type.&lt;/p&gt;&lt;/h4&gt;&lt;/div&gt;</t>
  </si>
  <si>
    <t>Gain energy damage touch attack.</t>
  </si>
  <si>
    <t>Elude Time</t>
  </si>
  <si>
    <t>alchemist 5, psychic 7</t>
  </si>
  <si>
    <t>V, S, M (powdered diamond, emerald, ruby, and sapphire dust worth 500 gp)</t>
  </si>
  <si>
    <t>up to 1 minute/level; see text</t>
  </si>
  <si>
    <t>You place yourself in a state of suspended animation, similar to temporal stasis. At the time of casting, you choose when the stasis will expire, up to the maximum duration of the spell.  Until the duration ends, time ceases to flow for you, and all bodily functions cease. No force or effect can harm you until the spell expires or is removed, such as by a successful dispel magic spell.</t>
  </si>
  <si>
    <t>&lt;p&gt;You place yourself in a state of suspended animation, similar to &lt;i&gt;temporal stasis&lt;/i&gt;. At the time of casting, you choose when the stasis will expire, up to the maximum duration of the spell.&lt;/p&gt;&lt;p&gt;Until the duration ends, time ceases to flow for you, and all bodily functions cease. No force or effect can harm you until the spell expires or is removed, such as by a successful &lt;i&gt;dispel magic&lt;/i&gt; spell.&lt;/p&gt;</t>
  </si>
  <si>
    <t>&lt;link rel="stylesheet"href="PF.css"&gt;&lt;div class="heading"&gt;&lt;p class="alignleft"&gt;Elude Time&lt;/p&gt;&lt;div style="clear: both;"&gt;&lt;/div&gt;&lt;/div&gt;&lt;div&gt;&lt;h5&gt;&lt;b&gt;School &lt;/b&gt;transmutation; &lt;b&gt;Level &lt;/b&gt;alchemist 5, psychic 7&lt;/h5&gt;&lt;/div&gt;&lt;hr/&gt;&lt;div&gt;&lt;h5&gt;&lt;b&gt;CASTING&lt;/b&gt;&lt;/h5&gt;&lt;/div&gt;&lt;hr/&gt;&lt;div&gt;&lt;h5&gt;&lt;b&gt;Casting Time &lt;/b&gt;1 standard action&lt;/h5&gt;&lt;h5&gt;&lt;b&gt;Components &lt;/b&gt;V, S, M (powdered diamond, emerald, ruby, and sapphire dust worth 500 gp)&lt;/h5&gt;&lt;/div&gt;&lt;hr/&gt;&lt;div&gt;&lt;h5&gt;&lt;b&gt;EFFECT&lt;/b&gt;&lt;/h5&gt;&lt;/div&gt;&lt;hr/&gt;&lt;div&gt;&lt;h5&gt;&lt;b&gt;Range &lt;/b&gt;personal&lt;/h5&gt;&lt;h5&gt;&lt;b&gt;Targets &lt;/b&gt;you&lt;/h5&gt;&lt;h5&gt;&lt;b&gt;Duration &lt;/b&gt;up to 1 minute/level; see text&lt;/h5&gt;&lt;/div&gt;&lt;hr/&gt;&lt;div&gt;&lt;h5&gt;&lt;b&gt;DESCRIPTION&lt;/b&gt;&lt;/h5&gt;&lt;/div&gt;&lt;hr/&gt;&lt;div&gt;&lt;h4&gt;&lt;p&gt;You place yourself in a state of suspended animation, similar to &lt;i&gt;temporal stasis&lt;/i&gt;. At the time of casting, you choose when the stasis will expire, up to the maximum duration of the spell.&lt;/p&gt;&lt;p&gt;Until the duration ends, time ceases to flow for you, and all bodily functions cease. No force or effect can harm you until the spell expires or is removed, such as by a successful &lt;i&gt;dispel magic&lt;/i&gt; spell.&lt;/p&gt;&lt;/h4&gt;&lt;/div&gt;</t>
  </si>
  <si>
    <t>Puts you in temporary suspended animation.</t>
  </si>
  <si>
    <t>Enemy Hammer</t>
  </si>
  <si>
    <t>sorcerer/wizard 6, occultist 6, psychic 6, spiritualist 6</t>
  </si>
  <si>
    <t>V, S, M (puppet strings)</t>
  </si>
  <si>
    <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 Creature Size Damage Dealt Fine 1d4 Diminutive 1d6 Tiny 1d8 Small 1d10 Medium 2d6 Large 2d8 Huge 2d10 Gargantuan 3d6 Colossal 3d8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t>
  </si>
  <si>
    <t>&lt;p&gt;You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size.&lt;/p&gt;&lt;p&gt;&lt;b&gt;&lt;table&gt;&lt;tr&gt;&lt;th&gt;Creature Size&lt;/th&gt;&lt;th&gt;Damage Dealt&lt;/th&gt;&lt;/tr&gt;&lt;tr&gt;&lt;td&gt;Fine&lt;/td&gt;&lt;td&gt;1d4&lt;/td&gt;&lt;/tr&gt;&lt;tr&gt;&lt;td&gt;Diminutive&lt;/td&gt;&lt;td&gt;1d6&lt;/td&gt;&lt;/tr&gt;&lt;tr&gt;&lt;td&gt;Tiny&lt;/td&gt;&lt;td&gt;1d8&lt;/td&gt;&lt;/tr&gt;&lt;tr&gt;&lt;td&gt;Small&lt;/td&gt;&lt;td&gt;1d10&lt;/td&gt;&lt;/tr&gt;&lt;tr&gt;&lt;td&gt;Medium&lt;/td&gt;&lt;td&gt;2d6&lt;/td&gt;&lt;/tr&gt;&lt;tr&gt;&lt;td&gt;Large&lt;/td&gt;&lt;td&gt;2d8&lt;/td&gt;&lt;/tr&gt;&lt;tr&gt;&lt;td&gt;Huge&lt;/td&gt;&lt;td&gt;2d10&lt;/td&gt;&lt;/tr&gt;&lt;tr&gt;&lt;td&gt;Gargantuan&lt;/td&gt;&lt;td&gt;3d6&lt;/td&gt;&lt;/tr&gt;&lt;tr&gt;&lt;td&gt;Colossal&lt;/td&gt;&lt;td&gt;3d8&lt;/td&gt;&lt;/tr&gt;&lt;/table&gt;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destroyed.&lt;/p&gt;</t>
  </si>
  <si>
    <t>&lt;link rel="stylesheet"href="PF.css"&gt;&lt;div class="heading"&gt;&lt;p class="alignleft"&gt;Enemy Hammer&lt;/p&gt;&lt;div style="clear: both;"&gt;&lt;/div&gt;&lt;/div&gt;&lt;div&gt;&lt;h5&gt;&lt;b&gt;School &lt;/b&gt;transmutation; &lt;b&gt;Level &lt;/b&gt;sorcerer/wizard 6, occultist 6, psychic 6, spiritualist 6&lt;/h5&gt;&lt;/div&gt;&lt;hr/&gt;&lt;div&gt;&lt;h5&gt;&lt;b&gt;CASTING&lt;/b&gt;&lt;/h5&gt;&lt;/div&gt;&lt;hr/&gt;&lt;div&gt;&lt;h5&gt;&lt;b&gt;Casting Time &lt;/b&gt;1 standard action&lt;/h5&gt;&lt;h5&gt;&lt;b&gt;Components &lt;/b&gt;V, S, M (puppet strings)&lt;/h5&gt;&lt;/div&gt;&lt;hr/&gt;&lt;div&gt;&lt;h5&gt;&lt;b&gt;EFFECT&lt;/b&gt;&lt;/h5&gt;&lt;/div&gt;&lt;hr/&gt;&lt;div&gt;&lt;h5&gt;&lt;b&gt;Range &lt;/b&gt;long (400 ft. + 40 ft./level)&lt;/h5&gt;&lt;h5&gt;&lt;b&gt;Targets &lt;/b&gt;one creature&lt;/h5&gt;&lt;h5&gt;&lt;b&gt;Duration &lt;/b&gt;1 round/level (D)&lt;/h5&gt;&lt;h5&gt;&lt;b&gt;Saving Throw &lt;/b&gt;Fortitude partial; &lt;b&gt;Spell Resistance &lt;/b&gt;yes&lt;/h5&gt;&lt;/div&gt;&lt;hr/&gt;&lt;div&gt;&lt;h5&gt;&lt;b&gt;DESCRIPTION&lt;/b&gt;&lt;/h5&gt;&lt;/div&gt;&lt;hr/&gt;&lt;div&gt;&lt;h4&gt;&lt;p&gt;You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size.&lt;/p&gt;   &lt;table border ='1'&gt;&lt;tr&gt;&lt;th&gt;Creature Size&lt;/th&gt;&lt;th&gt;Damage Dealt&lt;/th&gt;&lt;/tr&gt;&lt;tr&gt;&lt;td&gt;Fine&lt;/td&gt;&lt;td&gt;1d4&lt;/td&gt;&lt;/tr&gt;&lt;tr&gt;&lt;td&gt;Diminutive&lt;/td&gt;&lt;td&gt;1d6&lt;/td&gt;&lt;/tr&gt;&lt;tr&gt;&lt;td&gt;Tiny&lt;/td&gt;&lt;td&gt;1d8&lt;/td&gt;&lt;/tr&gt;&lt;tr&gt;&lt;td&gt;Small&lt;/td&gt;&lt;td&gt;1d10&lt;/td&gt;&lt;/tr&gt;&lt;tr&gt;&lt;td&gt;Medium&lt;/td&gt;&lt;td&gt;2d6&lt;/td&gt;&lt;/tr&gt;&lt;tr&gt;&lt;td&gt;Large&lt;/td&gt;&lt;td&gt;2d8&lt;/td&gt;&lt;/tr&gt;&lt;tr&gt;&lt;td&gt;Huge&lt;/td&gt;&lt;td&gt;2d10&lt;/td&gt;&lt;/tr&gt;&lt;tr&gt;&lt;td&gt;Gargantuan&lt;/td&gt;&lt;td&gt;3d6&lt;/td&gt;&lt;/tr&gt;&lt;tr&gt;&lt;td&gt;Colossal&lt;/td&gt;&lt;td&gt;3d8&lt;/td&gt;&lt;/tr&gt;&lt;/table&gt;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destroyed.&lt;/p&gt;&lt;/h4&gt;&lt;h5&gt;&lt;b&gt;Mythic: &lt;/b&gt;The target becomes entangled whether or not it succeeds at its saving throw. When using the target as a weapon, add half your tier to your attack roll, and add your tier to the damage roll.&lt;/h5&gt;&lt;h5&gt;&lt;b&gt;Augmented (3rd)&lt;/b&gt;: If you expend two uses of mythic power, when you use the target to hit a creature, you can attempt a free bull rush combat maneuver against that creature. Your CMB for this maneuver is equal to your attack bonus for mythic enemy hammer, except you add your tier instead of half your tier.&lt;/h5&gt;&lt;/div&gt;</t>
  </si>
  <si>
    <t>Allows you to telekinetically use a creature as a weapon.</t>
  </si>
  <si>
    <t>The target becomes entangled whether or not it succeeds at its saving throw. When using the target as a weapon, add half your tier to your attack roll, and add your tier to the damage roll.</t>
  </si>
  <si>
    <t>Augmented (3rd): If you expend two uses of mythic power, when you use the target to hit a creature, you can attempt a free bull rush combat maneuver against that creature. Your CMB for this maneuver is equal to your attack bonus for mythic enemy hammer, except you add your tier instead of half your tier.</t>
  </si>
  <si>
    <t>Enter Image</t>
  </si>
  <si>
    <t>bard 2, cleric/oracle 3, sorcerer/wizard 3, occultist 2, psychic 3, mesmerist 2</t>
  </si>
  <si>
    <t>V, S, M/DF (a drop of paint and a ball of clay)</t>
  </si>
  <si>
    <t>50 ft./level</t>
  </si>
  <si>
    <t>transfer consciousness to any object bearing your likeness</t>
  </si>
  <si>
    <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  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  When you fill an image with your consciousness it gains a limited form of animation. Statues and similar three-dimensional representations can move their heads, make gestures, and talk, but cannot attack or leave their square without assistance.  Portraits or similar two-dimensional representations bearing your likeness can also talk and your image can move anywhere within the picture or even temporarily alter it (such as by picking a flower in the painting). You cannot use any spells or other abilities while within an image.  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dispel magic cast upon either the image or your body, or if your body is killed.</t>
  </si>
  <si>
    <t>&lt;p&gt;You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it.&lt;/p&gt;&lt;p&gt;You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action.&lt;/p&gt;&lt;p&gt;When you fill an image with your consciousness it gains a limited form of animation. Statues and similar three-dimensional representations can move their heads, make gestures, and talk, but cannot attack or leave their square without assistance.&lt;/p&gt;&lt;p&gt;Portraits or similar two-dimensional representations bearing your likeness can also talk and your image can move anywhere within the picture or even temporarily alter it (such as by picking a flower in the painting). You cannot use any spells or other abilities while within an image.&lt;/p&gt;&lt;p&gt;You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&lt;i&gt;dispel magic&lt;/i&gt; cast upon either the image or your body, or if your body is killed.&lt;/p&gt;</t>
  </si>
  <si>
    <t>&lt;link rel="stylesheet"href="PF.css"&gt;&lt;div class="heading"&gt;&lt;p class="alignleft"&gt;Enter Image&lt;/p&gt;&lt;div style="clear: both;"&gt;&lt;/div&gt;&lt;/div&gt;&lt;div&gt;&lt;h5&gt;&lt;b&gt;School &lt;/b&gt;transmutation; &lt;b&gt;Level &lt;/b&gt;bard 2, cleric/oracle 3, sorcerer/wizard 3, occultist 2, psychic 3, mesmerist 2&lt;/h5&gt;&lt;/div&gt;&lt;hr/&gt;&lt;div&gt;&lt;h5&gt;&lt;b&gt;CASTING&lt;/b&gt;&lt;/h5&gt;&lt;/div&gt;&lt;hr/&gt;&lt;div&gt;&lt;h5&gt;&lt;b&gt;Casting Time &lt;/b&gt;1 standard action&lt;/h5&gt;&lt;h5&gt;&lt;b&gt;Components &lt;/b&gt;V, S, M/DF (a drop of paint and a ball of clay)&lt;/h5&gt;&lt;/div&gt;&lt;hr/&gt;&lt;div&gt;&lt;h5&gt;&lt;b&gt;EFFECT&lt;/b&gt;&lt;/h5&gt;&lt;/div&gt;&lt;hr/&gt;&lt;div&gt;&lt;h5&gt;&lt;b&gt;Range &lt;/b&gt;50 ft./level&lt;/h5&gt;&lt;h5&gt;&lt;b&gt;Effect &lt;/b&gt;transfer consciousness to any object bearing your likeness&lt;/h5&gt;&lt;h5&gt;&lt;b&gt;Duration &lt;/b&gt;concentration&lt;/h5&gt;&lt;h5&gt;&lt;b&gt;Saving Throw &lt;/b&gt;none; &lt;b&gt;Spell Resistance &lt;/b&gt;no&lt;/h5&gt;&lt;/div&gt;&lt;hr/&gt;&lt;div&gt;&lt;h5&gt;&lt;b&gt;DESCRIPTION&lt;/b&gt;&lt;/h5&gt;&lt;/div&gt;&lt;hr/&gt;&lt;div&gt;&lt;h4&gt;&lt;p&gt;You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it.&lt;/p&gt;&lt;p&gt;You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action.&lt;/p&gt;&lt;p&gt;When you fill an image with your consciousness it gains a limited form of animation. Statues and similar three-dimensional representations can move their heads, make gestures, and talk, but cannot attack or leave their square without assistance.&lt;/p&gt;&lt;p&gt;Portraits or similar two-dimensional representations bearing your likeness can also talk and your image can move anywhere within the picture or even temporarily alter it (such as by picking a flower in the painting). You cannot use any spells or other abilities while within an image.&lt;/p&gt;&lt;p&gt;You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&lt;i&gt;dispel magic&lt;/i&gt; cast upon either the image or your body, or if your body is killed.&lt;/p&gt;&lt;/h4&gt;&lt;/div&gt;</t>
  </si>
  <si>
    <t>Aristocracy (3)</t>
  </si>
  <si>
    <t>Transfers your consciousness to an object bearing your likeness.</t>
  </si>
  <si>
    <t>Euphoric Tranquility</t>
  </si>
  <si>
    <t>bard 6, cleric/oracle 8, druid 8, sorcerer/wizard 8, psychic 8, mesmerist 6</t>
  </si>
  <si>
    <t>V, S, M/DF (a poppy flower)</t>
  </si>
  <si>
    <t>none and Will partial (see below)</t>
  </si>
  <si>
    <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  Furthermore, if the creature is interacted with, or questioned while under the effects of this spell, it is considered to have an attitude of Helpful (see the Diplomacy skill, Core Rulebook 94), though any advice or answers it gives may be disjointed or stream of consciousness due to its euphoric state.</t>
  </si>
  <si>
    <t>&lt;p&gt;A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action.&lt;/p&gt;&lt;p&gt;Furthermore, if the creature is interacted with, or questioned while under the effects of this spell, it is considered to have an attitude of Helpful (see the Diplomacy skill, &lt;i&gt;Core Rulebook&lt;/i&gt; 94), though any advice or answers it gives may be disjointed or stream of consciousness due to its euphoric state.&lt;/p&gt;</t>
  </si>
  <si>
    <t>&lt;link rel="stylesheet"href="PF.css"&gt;&lt;div class="heading"&gt;&lt;p class="alignleft"&gt;Euphoric Tranquility&lt;/p&gt;&lt;div style="clear: both;"&gt;&lt;/div&gt;&lt;/div&gt;&lt;div&gt;&lt;h5&gt;&lt;b&gt;School &lt;/b&gt;enchantment (compulsion) [mind-affecting, emotion]; &lt;b&gt;Level &lt;/b&gt;bard 6, cleric/oracle 8, druid 8, sorcerer/wizard 8, psychic 8, mesmerist 6&lt;/h5&gt;&lt;/div&gt;&lt;hr/&gt;&lt;div&gt;&lt;h5&gt;&lt;b&gt;CASTING&lt;/b&gt;&lt;/h5&gt;&lt;/div&gt;&lt;hr/&gt;&lt;div&gt;&lt;h5&gt;&lt;b&gt;Casting Time &lt;/b&gt;1 standard action&lt;/h5&gt;&lt;h5&gt;&lt;b&gt;Components &lt;/b&gt;V, S, M/DF (a poppy flower)&lt;/h5&gt;&lt;/div&gt;&lt;hr/&gt;&lt;div&gt;&lt;h5&gt;&lt;b&gt;EFFECT&lt;/b&gt;&lt;/h5&gt;&lt;/div&gt;&lt;hr/&gt;&lt;div&gt;&lt;h5&gt;&lt;b&gt;Range &lt;/b&gt;touch&lt;/h5&gt;&lt;h5&gt;&lt;b&gt;Targets &lt;/b&gt;creature touched&lt;/h5&gt;&lt;h5&gt;&lt;b&gt;Duration &lt;/b&gt;1 round/level&lt;/h5&gt;&lt;h5&gt;&lt;b&gt;Saving Throw &lt;/b&gt;none and Will partial (see below); &lt;b&gt;Spell Resistance &lt;/b&gt;yes&lt;/h5&gt;&lt;/div&gt;&lt;hr/&gt;&lt;div&gt;&lt;h5&gt;&lt;b&gt;DESCRIPTION&lt;/b&gt;&lt;/h5&gt;&lt;/div&gt;&lt;hr/&gt;&lt;div&gt;&lt;h4&gt;&lt;p&gt;A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action.&lt;/p&gt;&lt;p&gt;Furthermore, if the creature is interacted with, or questioned while under the effects of this spell, it is considered to have an attitude of Helpful (see the Diplomacy skill, &lt;i&gt;Core Rulebook&lt;/i&gt; 94), though any advice or answers it gives may be disjointed or stream of consciousness due to its euphoric state.&lt;/p&gt;&lt;/h4&gt;&lt;/div&gt;</t>
  </si>
  <si>
    <t>Love (8)</t>
  </si>
  <si>
    <t>Makes a single creature peaceful and friendly.</t>
  </si>
  <si>
    <t>Ancestors (16), Enchantment (14), Peace (16), Stars (16)</t>
  </si>
  <si>
    <t>Evolution Surge, Lesser</t>
  </si>
  <si>
    <t>summoner 2</t>
  </si>
  <si>
    <t>your eidolon</t>
  </si>
  <si>
    <t>This spell causes your eidolon to take on new characteristics.  You can grant the eidolon any evolution whose total cost does not exceed 2 evolution points. You may only grant one evolution with this spell, even if that evolution can be taken multiple times.  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t>
  </si>
  <si>
    <t>&lt;p&gt;This spell causes your eidolon to take on new characteristics.&lt;/p&gt;&lt;p&gt;You can grant the eidolon any evolution whose total cost does not exceed 2 evolution points. You may only grant one evolution with this spell, even if that evolution can be taken multiple times.&lt;/p&gt;&lt;p&gt;You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attacks.&lt;/p&gt;</t>
  </si>
  <si>
    <t>&lt;link rel="stylesheet"href="PF.css"&gt;&lt;div class="heading"&gt;&lt;p class="alignleft"&gt;Evolution Surge, Lesser&lt;/p&gt;&lt;div style="clear: both;"&gt;&lt;/div&gt;&lt;/div&gt;&lt;div&gt;&lt;h5&gt;&lt;b&gt;School &lt;/b&gt;transmutation; &lt;b&gt;Level &lt;/b&gt;summoner 2&lt;/h5&gt;&lt;/div&gt;&lt;hr/&gt;&lt;div&gt;&lt;h5&gt;&lt;b&gt;CASTING&lt;/b&gt;&lt;/h5&gt;&lt;/div&gt;&lt;hr/&gt;&lt;div&gt;&lt;h5&gt;&lt;b&gt;Casting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causes your eidolon to take on new characteristics.&lt;/p&gt;&lt;p&gt;You can grant the eidolon any evolution whose total cost does not exceed 2 evolution points. You may only grant one evolution with this spell, even if that evolution can be taken multiple times.&lt;/p&gt;&lt;p&gt;You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attacks.&lt;/p&gt;&lt;/h4&gt;&lt;/div&gt;</t>
  </si>
  <si>
    <t>Grants eidolon an evolution with 2 evolution points.</t>
  </si>
  <si>
    <t>Evolution Surge</t>
  </si>
  <si>
    <t>summoner 3</t>
  </si>
  <si>
    <t>This spell functions as lesser evolution surge, except that you can grant any evolution whose total cost does not exceed 4 evolution points.</t>
  </si>
  <si>
    <t>&lt;p&gt;This spell functions as &lt;i&gt;lesser evolution surge&lt;/i&gt;, except that you can grant any evolution whose total cost does not exceed 4 evolution points.&lt;/p&gt;</t>
  </si>
  <si>
    <t>&lt;link rel="stylesheet"href="PF.css"&gt;&lt;div class="heading"&gt;&lt;p class="alignleft"&gt;Evolution Surge&lt;/p&gt;&lt;div style="clear: both;"&gt;&lt;/div&gt;&lt;/div&gt;&lt;div&gt;&lt;h5&gt;&lt;b&gt;School &lt;/b&gt;transmutation; &lt;b&gt;Level &lt;/b&gt;summoner 3&lt;/h5&gt;&lt;/div&gt;&lt;hr/&gt;&lt;div&gt;&lt;h5&gt;&lt;b&gt;CASTING&lt;/b&gt;&lt;/h5&gt;&lt;/div&gt;&lt;hr/&gt;&lt;div&gt;&lt;h5&gt;&lt;b&gt;Casting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functions as &lt;i&gt;lesser evolution surge&lt;/i&gt;, except that you can grant any evolution whose total cost does not exceed 4 evolution points.&lt;/p&gt;&lt;/h4&gt;&lt;/div&gt;</t>
  </si>
  <si>
    <t>Grants eidolon an evolution with 4 evolution points.</t>
  </si>
  <si>
    <t>Evolution Surge, Greater</t>
  </si>
  <si>
    <t>summoner 4</t>
  </si>
  <si>
    <t>This spell functions as lesser evolution surge, except that you can grant any two evolutions whose total cost does not exceed 6 evolution points.</t>
  </si>
  <si>
    <t>&lt;p&gt;This spell functions as &lt;i&gt;lesser evolution surge&lt;/i&gt;, except that you can grant any two evolutions whose total cost does not exceed 6 evolution points.&lt;/p&gt;</t>
  </si>
  <si>
    <t>&lt;link rel="stylesheet"href="PF.css"&gt;&lt;div class="heading"&gt;&lt;p class="alignleft"&gt;Evolution Surge, Greater&lt;/p&gt;&lt;div style="clear: both;"&gt;&lt;/div&gt;&lt;/div&gt;&lt;div&gt;&lt;h5&gt;&lt;b&gt;School &lt;/b&gt;transmutation; &lt;b&gt;Level &lt;/b&gt;summoner 4&lt;/h5&gt;&lt;/div&gt;&lt;hr/&gt;&lt;div&gt;&lt;h5&gt;&lt;b&gt;CASTING&lt;/b&gt;&lt;/h5&gt;&lt;/div&gt;&lt;hr/&gt;&lt;div&gt;&lt;h5&gt;&lt;b&gt;Casting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functions as &lt;i&gt;lesser evolution surge&lt;/i&gt;, except that you can grant any two evolutions whose total cost does not exceed 6 evolution points.&lt;/p&gt;&lt;/h4&gt;&lt;/div&gt;</t>
  </si>
  <si>
    <t>Grants eidolon two evolutions with a total of 6 evolution points.</t>
  </si>
  <si>
    <t>Expeditious Excavation</t>
  </si>
  <si>
    <t>druid 1, sorcerer/wizard 1</t>
  </si>
  <si>
    <t>V, S, M (tiny shovel)</t>
  </si>
  <si>
    <t>dirt in a 5-ft. cube</t>
  </si>
  <si>
    <t>You can excavate and move earth, dust, and sand up to the size of a 5-foot cube. If you are buried, you may open a 5-foot cube around yourself, but the spell cannot be used for tunneling.  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  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Expeditious excavation has no effect on solid rock or earth creatures.</t>
  </si>
  <si>
    <t>&lt;p&gt;You can excavate and move earth, dust, and sand up to the size of a 5-foot cube. If you are buried, you may open a 5-foot cube around yourself, but the spell cannot be used for tunneling.&lt;/p&gt;&lt;p&gt;Besides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size.&lt;/p&gt;&lt;p&gt;The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&lt;i&gt;Expeditious excavation&lt;/i&gt; has no effect on solid rock or earth creatures.&lt;/p&gt;</t>
  </si>
  <si>
    <t>&lt;link rel="stylesheet"href="PF.css"&gt;&lt;div class="heading"&gt;&lt;p class="alignleft"&gt;Expeditious Excavation&lt;/p&gt;&lt;div style="clear: both;"&gt;&lt;/div&gt;&lt;/div&gt;&lt;div&gt;&lt;h5&gt;&lt;b&gt;School &lt;/b&gt;transmutation [earth]; &lt;b&gt;Level &lt;/b&gt;druid 1, sorcerer/wizard 1&lt;/h5&gt;&lt;/div&gt;&lt;hr/&gt;&lt;div&gt;&lt;h5&gt;&lt;b&gt;CASTING&lt;/b&gt;&lt;/h5&gt;&lt;/div&gt;&lt;hr/&gt;&lt;div&gt;&lt;h5&gt;&lt;b&gt;Casting Time &lt;/b&gt;1 standard action&lt;/h5&gt;&lt;h5&gt;&lt;b&gt;Components &lt;/b&gt;V, S, M (tiny shovel)&lt;/h5&gt;&lt;/div&gt;&lt;hr/&gt;&lt;div&gt;&lt;h5&gt;&lt;b&gt;EFFECT&lt;/b&gt;&lt;/h5&gt;&lt;/div&gt;&lt;hr/&gt;&lt;div&gt;&lt;h5&gt;&lt;b&gt;Range &lt;/b&gt;close (25 ft. + 5 ft./2 levels)&lt;/h5&gt;&lt;h5&gt;&lt;b&gt;Area &lt;/b&gt;dirt in a 5-ft. cube&lt;/h5&gt;&lt;h5&gt;&lt;b&gt;Duration &lt;/b&gt;instantaneous&lt;/h5&gt;&lt;h5&gt;&lt;b&gt;Saving Throw &lt;/b&gt;see text; &lt;b&gt;Spell Resistance &lt;/b&gt;no&lt;/h5&gt;&lt;/div&gt;&lt;hr/&gt;&lt;div&gt;&lt;h5&gt;&lt;b&gt;DESCRIPTION&lt;/b&gt;&lt;/h5&gt;&lt;/div&gt;&lt;hr/&gt;&lt;div&gt;&lt;h4&gt;&lt;p&gt;You can excavate and move earth, dust, and sand up to the size of a 5-foot cube. If you are buried, you may open a 5-foot cube around yourself, but the spell cannot be used for tunneling.&lt;/p&gt;&lt;p&gt;Besides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size.&lt;/p&gt;&lt;p&gt;The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&lt;i&gt;Expeditious excavation&lt;/i&gt; has no effect on solid rock or earth creatures.&lt;/p&gt;&lt;/h4&gt;&lt;/div&gt;</t>
  </si>
  <si>
    <t>Moves 5-ft. cubes of earth.</t>
  </si>
  <si>
    <t>Deep Earth (3)</t>
  </si>
  <si>
    <t>Expend</t>
  </si>
  <si>
    <t>V, S, M (miniature broken hourglass)</t>
  </si>
  <si>
    <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t>
  </si>
  <si>
    <t>&lt;p&gt;You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effect.&lt;/p&gt;</t>
  </si>
  <si>
    <t>&lt;link rel="stylesheet"href="PF.css"&gt;&lt;div class="heading"&gt;&lt;p class="alignleft"&gt;Expend&lt;/p&gt;&lt;div style="clear: both;"&gt;&lt;/div&gt;&lt;/div&gt;&lt;div&gt;&lt;h5&gt;&lt;b&gt;School &lt;/b&gt;abjuration; &lt;b&gt;Level &lt;/b&gt;sorcerer/wizard 7&lt;/h5&gt;&lt;/div&gt;&lt;hr/&gt;&lt;div&gt;&lt;h5&gt;&lt;b&gt;CASTING&lt;/b&gt;&lt;/h5&gt;&lt;/div&gt;&lt;hr/&gt;&lt;div&gt;&lt;h5&gt;&lt;b&gt;Casting Time &lt;/b&gt;1 standard action&lt;/h5&gt;&lt;h5&gt;&lt;b&gt;Components &lt;/b&gt;V, S, M (miniature broken hourglass)&lt;/h5&gt;&lt;/div&gt;&lt;hr/&gt;&lt;div&gt;&lt;h5&gt;&lt;b&gt;EFFECT&lt;/b&gt;&lt;/h5&gt;&lt;/div&gt;&lt;hr/&gt;&lt;div&gt;&lt;h5&gt;&lt;b&gt;Range &lt;/b&gt;medium (100 ft. + 10 ft./level)&lt;/h5&gt;&lt;h5&gt;&lt;b&gt;Area &lt;/b&gt;20-ft.-radius burst&lt;/h5&gt;&lt;h5&gt;&lt;b&gt;Duration &lt;/b&gt;instantaneous&lt;/h5&gt;&lt;h5&gt;&lt;b&gt;Saving Throw &lt;/b&gt;Will negates; &lt;b&gt;Spell Resistance &lt;/b&gt;yes&lt;/h5&gt;&lt;/div&gt;&lt;hr/&gt;&lt;div&gt;&lt;h5&gt;&lt;b&gt;DESCRIPTION&lt;/b&gt;&lt;/h5&gt;&lt;/div&gt;&lt;hr/&gt;&lt;div&gt;&lt;h4&gt;&lt;p&gt;You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effect.&lt;/p&gt;&lt;/h4&gt;&lt;/div&gt;</t>
  </si>
  <si>
    <t>Wastes creatures’ limited use magical ability.</t>
  </si>
  <si>
    <t>Time (14)</t>
  </si>
  <si>
    <t>Feast Of Ashes</t>
  </si>
  <si>
    <t>druid 2, witch 2, occultist 2, psychic 2</t>
  </si>
  <si>
    <t>V, S, M (a pinch of ash)</t>
  </si>
  <si>
    <t>close (25 ft. + 5 ft/2 levels)</t>
  </si>
  <si>
    <t>2 days/level (D)</t>
  </si>
  <si>
    <t>You curse the target with a hunger no food can assuage. On a failed saving throw, the target begins to starve (see page 444 of the Core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  Feast of ashes can be removed with a break enchantment, limited wish, miracle, remove curse, or wish spell, but effects suffered as a result of starvation must be healed by normal means.</t>
  </si>
  <si>
    <t>&lt;p&gt;You curse the target with a hunger no food can assuage. On a failed saving throw, the target begins to starve (see page 444 of the &lt;i&gt;Core&lt;/i&gt;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potions).&lt;/p&gt;&lt;p&gt;&lt;i&gt;Feast of ashes&lt;/i&gt; can be removed with a &lt;i&gt;break enchantment&lt;/i&gt;, &lt;i&gt;limited &lt;i&gt;wish&lt;/i&gt;&lt;/i&gt;, &lt;i&gt;miracle&lt;/i&gt;, &lt;i&gt;remove curse&lt;/i&gt;, or &lt;i&gt;wish&lt;/i&gt; spell, but effects suffered as a result of starvation must be healed by normal means.&lt;/p&gt;</t>
  </si>
  <si>
    <t>&lt;link rel="stylesheet"href="PF.css"&gt;&lt;div class="heading"&gt;&lt;p class="alignleft"&gt;Feast Of Ashes&lt;/p&gt;&lt;div style="clear: both;"&gt;&lt;/div&gt;&lt;/div&gt;&lt;div&gt;&lt;h5&gt;&lt;b&gt;School &lt;/b&gt;transmutation; &lt;b&gt;Level &lt;/b&gt;druid 2, witch 2, occultist 2, psychic 2&lt;/h5&gt;&lt;/div&gt;&lt;hr/&gt;&lt;div&gt;&lt;h5&gt;&lt;b&gt;CASTING&lt;/b&gt;&lt;/h5&gt;&lt;/div&gt;&lt;hr/&gt;&lt;div&gt;&lt;h5&gt;&lt;b&gt;Casting Time &lt;/b&gt;1 standard action&lt;/h5&gt;&lt;h5&gt;&lt;b&gt;Components &lt;/b&gt;V, S, M (a pinch of ash)&lt;/h5&gt;&lt;/div&gt;&lt;hr/&gt;&lt;div&gt;&lt;h5&gt;&lt;b&gt;EFFECT&lt;/b&gt;&lt;/h5&gt;&lt;/div&gt;&lt;hr/&gt;&lt;div&gt;&lt;h5&gt;&lt;b&gt;Range &lt;/b&gt;close (25 ft. + 5 ft/2 levels)&lt;/h5&gt;&lt;h5&gt;&lt;b&gt;Targets &lt;/b&gt;one creature&lt;/h5&gt;&lt;h5&gt;&lt;b&gt;Duration &lt;/b&gt;2 days/level (D)&lt;/h5&gt;&lt;h5&gt;&lt;b&gt;Saving Throw &lt;/b&gt;Fortitude negates; &lt;b&gt;Spell Resistance &lt;/b&gt;yes&lt;/h5&gt;&lt;/div&gt;&lt;hr/&gt;&lt;div&gt;&lt;h5&gt;&lt;b&gt;DESCRIPTION&lt;/b&gt;&lt;/h5&gt;&lt;/div&gt;&lt;hr/&gt;&lt;div&gt;&lt;h4&gt;&lt;p&gt;You curse the target with a hunger no food can assuage. On a failed saving throw, the target begins to starve (see page 444 of the &lt;i&gt;Core&lt;/i&gt;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potions).&lt;/p&gt;&lt;p&gt;&lt;i&gt;Feast of ashes&lt;/i&gt; can be removed with a &lt;i&gt;break enchantment&lt;/i&gt;, &lt;i&gt;limited &lt;i&gt;wish&lt;/i&gt;&lt;/i&gt;, &lt;i&gt;miracle&lt;/i&gt;, &lt;i&gt;remove curse&lt;/i&gt;, or &lt;i&gt;wish&lt;/i&gt; spell, but effects suffered as a result of starvation must be healed by normal means.&lt;/p&gt;&lt;/h4&gt;&lt;h5&gt;&lt;b&gt;Mythic: &lt;/b&gt;On a failed save, the target immediately takes 1d6 points of nonlethal damage per 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it).&lt;/h5&gt;&lt;/div&gt;</t>
  </si>
  <si>
    <t>A target starves with an insatiable hunger.</t>
  </si>
  <si>
    <t>Ghoul (5)</t>
  </si>
  <si>
    <t>On a failed save, the target immediately takes 1d6 points of nonlethal damage per 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t>
  </si>
  <si>
    <t>Feather Step</t>
  </si>
  <si>
    <t>bard 1, druid 1, ranger 1, psychic 1</t>
  </si>
  <si>
    <t>For the duration of this spell, the subject ignores the adverse movement effects of difficult terrain, and can even take 5-foot steps in difficult terrain.</t>
  </si>
  <si>
    <t>&lt;p&gt;For the duration of this spell, the subject ignores the adverse movement effects of difficult terrain, and can even take 5-foot steps in difficult terrain.&lt;/p&gt;</t>
  </si>
  <si>
    <t>&lt;link rel="stylesheet"href="PF.css"&gt;&lt;div class="heading"&gt;&lt;p class="alignleft"&gt;Feather Step&lt;/p&gt;&lt;div style="clear: both;"&gt;&lt;/div&gt;&lt;/div&gt;&lt;div&gt;&lt;h5&gt;&lt;b&gt;School &lt;/b&gt;transmutation; &lt;b&gt;Level &lt;/b&gt;bard 1, druid 1, ranger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minutes/level&lt;/h5&gt;&lt;h5&gt;&lt;b&gt;Saving Throw &lt;/b&gt;Fortitude negates (harmless); &lt;b&gt;Spell Resistance &lt;/b&gt;yes&lt;/h5&gt;&lt;/div&gt;&lt;hr/&gt;&lt;div&gt;&lt;h5&gt;&lt;b&gt;DESCRIPTION&lt;/b&gt;&lt;/h5&gt;&lt;/div&gt;&lt;hr/&gt;&lt;div&gt;&lt;h4&gt;&lt;p&gt;For the duration of this spell, the subject ignores the adverse movement effects of difficult terrain, and can even take 5-foot steps in difficult terrain.&lt;/p&gt;&lt;/h4&gt;&lt;/div&gt;</t>
  </si>
  <si>
    <t>Subject ignores adverse movement effects in difficult terrain.</t>
  </si>
  <si>
    <t>Feather Step, Mass</t>
  </si>
  <si>
    <t>bard 3, druid 3, ranger 3, psychic 3</t>
  </si>
  <si>
    <t>As feather step, except this spell affects multiple creatures.</t>
  </si>
  <si>
    <t>&lt;p&gt;As &lt;i&gt;feather step&lt;/i&gt;, except this spell affects multiple creatures.&lt;/p&gt;</t>
  </si>
  <si>
    <t>&lt;link rel="stylesheet"href="PF.css"&gt;&lt;div class="heading"&gt;&lt;p class="alignleft"&gt;Feather Step, Mass&lt;/p&gt;&lt;div style="clear: both;"&gt;&lt;/div&gt;&lt;/div&gt;&lt;div&gt;&lt;h5&gt;&lt;b&gt;School &lt;/b&gt;transmutation; &lt;b&gt;Level &lt;/b&gt;bard 3, druid 3, ranger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&lt;/b&gt;10 minutes/level&lt;/h5&gt;&lt;h5&gt;&lt;b&gt;Saving Throw &lt;/b&gt;Fortitude negates (harmless); &lt;b&gt;Spell Resistance &lt;/b&gt;yes&lt;/h5&gt;&lt;/div&gt;&lt;hr/&gt;&lt;div&gt;&lt;h5&gt;&lt;b&gt;DESCRIPTION&lt;/b&gt;&lt;/h5&gt;&lt;/div&gt;&lt;hr/&gt;&lt;div&gt;&lt;h4&gt;&lt;p&gt;As &lt;i&gt;feather step&lt;/i&gt;, except this spell affects multiple creatures.&lt;/p&gt;&lt;/h4&gt;&lt;/div&gt;</t>
  </si>
  <si>
    <t>As feather step, but multiple creatures.</t>
  </si>
  <si>
    <t>Fester</t>
  </si>
  <si>
    <t>inquisitor 3, witch 2</t>
  </si>
  <si>
    <t>V, S, M (rotted meat)</t>
  </si>
  <si>
    <t>Necrotic energy permeates the target, blocking healing abilities.  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fester lasts only a single round.</t>
  </si>
  <si>
    <t>&lt;p&gt;Necrotic energy permeates the target, blocking healing abilities.&lt;/p&gt;&lt;p&gt;The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&lt;i&gt;fester&lt;/i&gt; lasts only a single round.&lt;/p&gt;</t>
  </si>
  <si>
    <t>&lt;link rel="stylesheet"href="PF.css"&gt;&lt;div class="heading"&gt;&lt;p class="alignleft"&gt;Fester&lt;/p&gt;&lt;div style="clear: both;"&gt;&lt;/div&gt;&lt;/div&gt;&lt;div&gt;&lt;h5&gt;&lt;b&gt;School &lt;/b&gt;necromancy; &lt;b&gt;Level &lt;/b&gt;inquisitor 3, witch 2&lt;/h5&gt;&lt;/div&gt;&lt;hr/&gt;&lt;div&gt;&lt;h5&gt;&lt;b&gt;CASTING&lt;/b&gt;&lt;/h5&gt;&lt;/div&gt;&lt;hr/&gt;&lt;div&gt;&lt;h5&gt;&lt;b&gt;Casting Time &lt;/b&gt;1 standard action&lt;/h5&gt;&lt;h5&gt;&lt;b&gt;Components &lt;/b&gt;V, S, M (rotted meat)&lt;/h5&gt;&lt;/div&gt;&lt;hr/&gt;&lt;div&gt;&lt;h5&gt;&lt;b&gt;EFFECT&lt;/b&gt;&lt;/h5&gt;&lt;/div&gt;&lt;hr/&gt;&lt;div&gt;&lt;h5&gt;&lt;b&gt;Range &lt;/b&gt;close (25 ft. + 5 ft./2 levels)&lt;/h5&gt;&lt;h5&gt;&lt;b&gt;Targets &lt;/b&gt;one living creature&lt;/h5&gt;&lt;h5&gt;&lt;b&gt;Duration &lt;/b&gt;1 round/level or 1 round; see text&lt;/h5&gt;&lt;h5&gt;&lt;b&gt;Saving Throw &lt;/b&gt;Fortitude partial; &lt;b&gt;Spell Resistance &lt;/b&gt;yes&lt;/h5&gt;&lt;/div&gt;&lt;hr/&gt;&lt;div&gt;&lt;h5&gt;&lt;b&gt;DESCRIPTION&lt;/b&gt;&lt;/h5&gt;&lt;/div&gt;&lt;hr/&gt;&lt;div&gt;&lt;h4&gt;&lt;p&gt;Necrotic energy permeates the target, blocking healing abilities.&lt;/p&gt;&lt;p&gt;The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&lt;i&gt;fester&lt;/i&gt; lasts only a single round.&lt;/p&gt;&lt;/h4&gt;&lt;/div&gt;</t>
  </si>
  <si>
    <t>Gives subject SR 12 + your level vs. healing effects.</t>
  </si>
  <si>
    <t>Fester, Mass</t>
  </si>
  <si>
    <t>inquisitor 6, witch 6</t>
  </si>
  <si>
    <t>This spell functions as fester, except that it affects multiple foes.</t>
  </si>
  <si>
    <t>&lt;p&gt;This spell functions as &lt;i&gt;fester&lt;/i&gt;, except that it affects multiple foes.&lt;/p&gt;</t>
  </si>
  <si>
    <t>&lt;link rel="stylesheet"href="PF.css"&gt;&lt;div class="heading"&gt;&lt;p class="alignleft"&gt;Fester, Mass&lt;/p&gt;&lt;div style="clear: both;"&gt;&lt;/div&gt;&lt;/div&gt;&lt;div&gt;&lt;h5&gt;&lt;b&gt;School &lt;/b&gt;necromancy; &lt;b&gt;Level &lt;/b&gt;inquisitor 6, witch 6&lt;/h5&gt;&lt;/div&gt;&lt;hr/&gt;&lt;div&gt;&lt;h5&gt;&lt;b&gt;CASTING&lt;/b&gt;&lt;/h5&gt;&lt;/div&gt;&lt;hr/&gt;&lt;div&gt;&lt;h5&gt;&lt;b&gt;Casting Time &lt;/b&gt;1 standard action&lt;/h5&gt;&lt;h5&gt;&lt;b&gt;Components &lt;/b&gt;V, S, M (rotted meat)&lt;/h5&gt;&lt;/div&gt;&lt;hr/&gt;&lt;div&gt;&lt;h5&gt;&lt;b&gt;EFFECT&lt;/b&gt;&lt;/h5&gt;&lt;/div&gt;&lt;hr/&gt;&lt;div&gt;&lt;h5&gt;&lt;b&gt;Range &lt;/b&gt;close (25 ft. + 5 ft./2 levels)&lt;/h5&gt;&lt;h5&gt;&lt;b&gt;Targets &lt;/b&gt;one creature/level, no two of which can be more than 30 ft. apart&lt;/h5&gt;&lt;h5&gt;&lt;b&gt;Duration &lt;/b&gt;1 round/level or 1 round; see text&lt;/h5&gt;&lt;h5&gt;&lt;b&gt;Saving Throw &lt;/b&gt;Fortitude partial; &lt;b&gt;Spell Resistance &lt;/b&gt;yes&lt;/h5&gt;&lt;/div&gt;&lt;hr/&gt;&lt;div&gt;&lt;h5&gt;&lt;b&gt;DESCRIPTION&lt;/b&gt;&lt;/h5&gt;&lt;/div&gt;&lt;hr/&gt;&lt;div&gt;&lt;h4&gt;&lt;p&gt;This spell functions as &lt;i&gt;fester&lt;/i&gt;, except that it affects multiple foes.&lt;/p&gt;&lt;/h4&gt;&lt;/div&gt;</t>
  </si>
  <si>
    <t>As fester, but affecting multiple targets.</t>
  </si>
  <si>
    <t>Fiery Body</t>
  </si>
  <si>
    <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  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t>
  </si>
  <si>
    <t>&lt;p&gt;This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normal.&lt;/p&gt;&lt;p&gt;You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water.&lt;/p&gt;</t>
  </si>
  <si>
    <t>&lt;link rel="stylesheet"href="PF.css"&gt;&lt;div class="heading"&gt;&lt;p class="alignleft"&gt;Fiery Body&lt;/p&gt;&lt;div style="clear: both;"&gt;&lt;/div&gt;&lt;/div&gt;&lt;div&gt;&lt;h5&gt;&lt;b&gt;School &lt;/b&gt;transmutation [fire]; &lt;b&gt;Level &lt;/b&gt;sorcerer/wizard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normal.&lt;/p&gt;&lt;p&gt;You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water.&lt;/p&gt;&lt;/h4&gt;&lt;/div&gt;</t>
  </si>
  <si>
    <t>Ash (9)</t>
  </si>
  <si>
    <t>You gain various fire-related powers.</t>
  </si>
  <si>
    <t>Light (18), Summer (18)</t>
  </si>
  <si>
    <t>Fire Breath</t>
  </si>
  <si>
    <t>V, S, M (a chili pepper)</t>
  </si>
  <si>
    <t>1 round/level or until discharged; see text</t>
  </si>
  <si>
    <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t>
  </si>
  <si>
    <t>&lt;p&gt;Up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ends.&lt;/p&gt;</t>
  </si>
  <si>
    <t>&lt;link rel="stylesheet"href="PF.css"&gt;&lt;div class="heading"&gt;&lt;p class="alignleft"&gt;Fire Breath&lt;/p&gt;&lt;div style="clear: both;"&gt;&lt;/div&gt;&lt;/div&gt;&lt;div&gt;&lt;h5&gt;&lt;b&gt;School &lt;/b&gt;evocation [fire]; &lt;b&gt;Level &lt;/b&gt;alchemist 2, sorcerer/wizard 2, magus 2, bloodrager 2&lt;/h5&gt;&lt;/div&gt;&lt;hr/&gt;&lt;div&gt;&lt;h5&gt;&lt;b&gt;CASTING&lt;/b&gt;&lt;/h5&gt;&lt;/div&gt;&lt;hr/&gt;&lt;div&gt;&lt;h5&gt;&lt;b&gt;Casting Time &lt;/b&gt;1 standard action&lt;/h5&gt;&lt;h5&gt;&lt;b&gt;Components &lt;/b&gt;V, S, M (a chili pepper)&lt;/h5&gt;&lt;/div&gt;&lt;hr/&gt;&lt;div&gt;&lt;h5&gt;&lt;b&gt;EFFECT&lt;/b&gt;&lt;/h5&gt;&lt;/div&gt;&lt;hr/&gt;&lt;div&gt;&lt;h5&gt;&lt;b&gt;Range &lt;/b&gt;15 ft.&lt;/h5&gt;&lt;h5&gt;&lt;b&gt;Area &lt;/b&gt;cone-shaped burst&lt;/h5&gt;&lt;h5&gt;&lt;b&gt;Duration &lt;/b&gt;1 round/level or until discharged; see text&lt;/h5&gt;&lt;h5&gt;&lt;b&gt;Saving Throw &lt;/b&gt;Reflex half; see text; &lt;b&gt;Spell Resistance &lt;/b&gt;yes&lt;/h5&gt;&lt;/div&gt;&lt;hr/&gt;&lt;div&gt;&lt;h5&gt;&lt;b&gt;DESCRIPTION&lt;/b&gt;&lt;/h5&gt;&lt;/div&gt;&lt;hr/&gt;&lt;div&gt;&lt;h4&gt;&lt;p&gt;Up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ends.&lt;/p&gt;&lt;/h4&gt;&lt;/div&gt;</t>
  </si>
  <si>
    <t>Exhale a cone of flame at will.</t>
  </si>
  <si>
    <t>Fire of Entanglement</t>
  </si>
  <si>
    <t>1 swift action</t>
  </si>
  <si>
    <t>special; see text</t>
  </si>
  <si>
    <t>The next creature you attack using your smite evil class ability is wreathed in flames that impede its movement.  Until the end of the spell's duration, the target is entangled.  If the target starts its turn in a square adjacent to you, it is considered to be entangled to an immobile object (you) and cannot move. A target that saves against this spell is affected for only 1 round.</t>
  </si>
  <si>
    <t>&lt;p&gt;The next creature you attack using your smite evil class ability is wreathed in flames that impede its movement.&lt;/p&gt;&lt;p&gt;Until the end of the spell's duration, the target is entangled.&lt;/p&gt;&lt;p&gt;If the target starts its turn in a square adjacent to you, it is considered to be entangled to an immobile object (you) and cannot move. A target that saves against this spell is affected for only 1 round.&lt;/p&gt;</t>
  </si>
  <si>
    <t>&lt;link rel="stylesheet"href="PF.css"&gt;&lt;div class="heading"&gt;&lt;p class="alignleft"&gt;Fire of Entanglement&lt;/p&gt;&lt;div style="clear: both;"&gt;&lt;/div&gt;&lt;/div&gt;&lt;div&gt;&lt;h5&gt;&lt;b&gt;School &lt;/b&gt;evocation; &lt;b&gt;Level &lt;/b&gt;paladin 2&lt;/h5&gt;&lt;/div&gt;&lt;hr/&gt;&lt;div&gt;&lt;h5&gt;&lt;b&gt;CASTING&lt;/b&gt;&lt;/h5&gt;&lt;/div&gt;&lt;hr/&gt;&lt;div&gt;&lt;h5&gt;&lt;b&gt;Casting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&lt;/b&gt;1 round/level&lt;/h5&gt;&lt;h5&gt;&lt;b&gt;Saving Throw &lt;/b&gt;Reflex partial; &lt;b&gt;Spell Resistance &lt;/b&gt;yes&lt;/h5&gt;&lt;/div&gt;&lt;hr/&gt;&lt;div&gt;&lt;h5&gt;&lt;b&gt;DESCRIPTION&lt;/b&gt;&lt;/h5&gt;&lt;/div&gt;&lt;hr/&gt;&lt;div&gt;&lt;h4&gt;&lt;p&gt;The next creature you attack using your smite evil class ability is wreathed in flames that impede its movement.&lt;/p&gt;&lt;p&gt;Until the end of the spell's duration, the target is entangled.&lt;/p&gt;&lt;p&gt;If the target starts its turn in a square adjacent to you, it is considered to be entangled to an immobile object (you) and cannot move. A target that saves against this spell is affected for only 1 round.&lt;/p&gt;&lt;/h4&gt;&lt;/div&gt;</t>
  </si>
  <si>
    <t>Your ability to smite evil also entangles your foe.</t>
  </si>
  <si>
    <t>Fire of Judgment</t>
  </si>
  <si>
    <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t>
  </si>
  <si>
    <t>&lt;p&gt;After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possesses.&lt;/p&gt;</t>
  </si>
  <si>
    <t>&lt;link rel="stylesheet"href="PF.css"&gt;&lt;div class="heading"&gt;&lt;p class="alignleft"&gt;Fire of Judgment&lt;/p&gt;&lt;div style="clear: both;"&gt;&lt;/div&gt;&lt;/div&gt;&lt;div&gt;&lt;h5&gt;&lt;b&gt;School &lt;/b&gt;evocation; &lt;b&gt;Level &lt;/b&gt;paladin 3&lt;/h5&gt;&lt;/div&gt;&lt;hr/&gt;&lt;div&gt;&lt;h5&gt;&lt;b&gt;CASTING&lt;/b&gt;&lt;/h5&gt;&lt;/div&gt;&lt;hr/&gt;&lt;div&gt;&lt;h5&gt;&lt;b&gt;Casting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&lt;/b&gt;1 round/level&lt;/h5&gt;&lt;h5&gt;&lt;b&gt;Saving Throw &lt;/b&gt;Will partial; &lt;b&gt;Spell Resistance &lt;/b&gt;yes&lt;/h5&gt;&lt;/div&gt;&lt;hr/&gt;&lt;div&gt;&lt;h5&gt;&lt;b&gt;DESCRIPTION&lt;/b&gt;&lt;/h5&gt;&lt;/div&gt;&lt;hr/&gt;&lt;div&gt;&lt;h4&gt;&lt;p&gt;After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possesses.&lt;/p&gt;&lt;/h4&gt;&lt;/div&gt;</t>
  </si>
  <si>
    <t>Smited creature takes damage when it attacks.</t>
  </si>
  <si>
    <t>Fire of Vengeance</t>
  </si>
  <si>
    <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t>
  </si>
  <si>
    <t>&lt;p&gt;After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ends.&lt;/p&gt;</t>
  </si>
  <si>
    <t>&lt;link rel="stylesheet"href="PF.css"&gt;&lt;div class="heading"&gt;&lt;p class="alignleft"&gt;Fire of Vengeance&lt;/p&gt;&lt;div style="clear: both;"&gt;&lt;/div&gt;&lt;/div&gt;&lt;div&gt;&lt;h5&gt;&lt;b&gt;School &lt;/b&gt;evocation [fire]; &lt;b&gt;Level &lt;/b&gt;paladin 4&lt;/h5&gt;&lt;/div&gt;&lt;hr/&gt;&lt;div&gt;&lt;h5&gt;&lt;b&gt;CASTING&lt;/b&gt;&lt;/h5&gt;&lt;/div&gt;&lt;hr/&gt;&lt;div&gt;&lt;h5&gt;&lt;b&gt;Casting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&lt;/b&gt;see text&lt;/h5&gt;&lt;h5&gt;&lt;b&gt;Saving Throw &lt;/b&gt;none; &lt;b&gt;Spell Resistance &lt;/b&gt;no&lt;/h5&gt;&lt;/div&gt;&lt;hr/&gt;&lt;div&gt;&lt;h5&gt;&lt;b&gt;DESCRIPTION&lt;/b&gt;&lt;/h5&gt;&lt;/div&gt;&lt;hr/&gt;&lt;div&gt;&lt;h4&gt;&lt;p&gt;After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ends.&lt;/p&gt;&lt;/h4&gt;&lt;/div&gt;</t>
  </si>
  <si>
    <t>Smited creature takes 3d8 damage.</t>
  </si>
  <si>
    <t>Fire Snake</t>
  </si>
  <si>
    <t>druid 5, sorcerer/wizard 5, magus 5, occultist 5</t>
  </si>
  <si>
    <t>V, S, M (a snake scale)</t>
  </si>
  <si>
    <t>You create a sinuous line of flames that you may shape as desired. The fire snake affects one 5-foot square per caster level, and each square must be adjacent to the previous square, starting with you. The fire snake may not extend beyond its maximum range. Creatures in the path of the fire snake take 1d6 points of fire damage per caster level (maximum 15d6).</t>
  </si>
  <si>
    <t>&lt;p&gt;You create a sinuous line of flames that you may shape as desired. The &lt;i&gt;fire snake&lt;/i&gt; affects one 5-foot square per caster level, and each square must be adjacent to the previous square, starting with you. The &lt;i&gt;fire snake&lt;/i&gt; may not extend beyond its maximum range. Creatures in the path of the &lt;i&gt;fire snake&lt;/i&gt; take 1d6 points of fire damage per caster level (maximum 15d6).&lt;/p&gt;</t>
  </si>
  <si>
    <t>&lt;link rel="stylesheet"href="PF.css"&gt;&lt;div class="heading"&gt;&lt;p class="alignleft"&gt;Fire Snake&lt;/p&gt;&lt;div style="clear: both;"&gt;&lt;/div&gt;&lt;/div&gt;&lt;div&gt;&lt;h5&gt;&lt;b&gt;School &lt;/b&gt;evocation [fire]; &lt;b&gt;Level &lt;/b&gt;druid 5, sorcerer/wizard 5, magus 5, occultist 5&lt;/h5&gt;&lt;/div&gt;&lt;hr/&gt;&lt;div&gt;&lt;h5&gt;&lt;b&gt;CASTING&lt;/b&gt;&lt;/h5&gt;&lt;/div&gt;&lt;hr/&gt;&lt;div&gt;&lt;h5&gt;&lt;b&gt;Casting Time &lt;/b&gt;1 standard action&lt;/h5&gt;&lt;h5&gt;&lt;b&gt;Components &lt;/b&gt;V, S, M (a snake scale)&lt;/h5&gt;&lt;/div&gt;&lt;hr/&gt;&lt;div&gt;&lt;h5&gt;&lt;b&gt;EFFECT&lt;/b&gt;&lt;/h5&gt;&lt;/div&gt;&lt;hr/&gt;&lt;div&gt;&lt;h5&gt;&lt;b&gt;Range &lt;/b&gt;60 ft.&lt;/h5&gt;&lt;h5&gt;&lt;b&gt;Area &lt;/b&gt;see text&lt;/h5&gt;&lt;h5&gt;&lt;b&gt;Duration &lt;/b&gt;instantaneous&lt;/h5&gt;&lt;h5&gt;&lt;b&gt;Saving Throw &lt;/b&gt;Reflex half; &lt;b&gt;Spell Resistance &lt;/b&gt;yes&lt;/h5&gt;&lt;/div&gt;&lt;hr/&gt;&lt;div&gt;&lt;h5&gt;&lt;b&gt;DESCRIPTION&lt;/b&gt;&lt;/h5&gt;&lt;/div&gt;&lt;hr/&gt;&lt;div&gt;&lt;h4&gt;&lt;p&gt;You create a sinuous line of flames that you may shape as desired. The &lt;i&gt;fire snake&lt;/i&gt; affects one 5-foot square per caster level, and each square must be adjacent to the previous square, starting with you. The &lt;i&gt;fire snake&lt;/i&gt; may not extend beyond its maximum range. Creatures in the path of the &lt;i&gt;fire snake&lt;/i&gt; take 1d6 points of fire damage per caster level (maximum 15d6).&lt;/p&gt;&lt;/h4&gt;&lt;h5&gt;&lt;b&gt;Mythic: &lt;/b&gt;The damage dealt increases to 1d10 points of damage per level (maximum 15d10). Any creature that fails its saving throw against the spell is grappled by a snake made of fire that lasts for 1 round per caster level. The snake can be dispelled, but not attacked. A grappled creature takes 1d10 points of fire damage on your turn each round. The snake's CMB is equal to your caster level plus your tier, and its CMD is equal to its CMB + 10.&lt;/h5&gt;&lt;h5&gt;&lt;b&gt;Augmented (6th)&lt;/b&gt;: If you expend two uses of mythic power, the maximum damage increases to 20d10, and any creature that fails its saving throw against the spell is pinned instead of grappled.&lt;/h5&gt;&lt;/div&gt;</t>
  </si>
  <si>
    <t>Creates a serpentine path of fire 5 ft. long/level that deals 1d6 fire damage/level.</t>
  </si>
  <si>
    <t>Light (10)</t>
  </si>
  <si>
    <t>The damage dealt increases to 1d10 points of damage per level (maximum 15d10). Any creature that fails its saving throw against the spell is grappled by a snake made of fire that lasts for 1 round per caster level. The snake can be dispelled, but not attacked. A grappled creature takes 1d10 points of fire damage on your turn each round. The snake's CMB is equal to your caster level plus your tier, and its CMD is equal to its CMB + 10.</t>
  </si>
  <si>
    <t>Augmented (6th): If you expend two uses of mythic power, the maximum damage increases to 20d10, and any creature that fails its saving throw against the spell is pinned instead of grappled.</t>
  </si>
  <si>
    <t>Firebrand</t>
  </si>
  <si>
    <t>one creature/4 levels, no two of which can be more than 30 ft. apart</t>
  </si>
  <si>
    <t>Will negates (harmless), but see below</t>
  </si>
  <si>
    <t>You mark several allies with a flaming rune. This rune does not cause damage, and sheds light as if it were a torch. While the firebrand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firebrand can launch a beam of fire at any target within 30 feet as a swift action. This ray requires a ranged touch attack to hit and deals 6d6 points of fire damage. Once a creature uses its firebrand to fire a ray in this manner, the effects of the spell end for that creature.</t>
  </si>
  <si>
    <t>&lt;p&gt;You mark several allies with a flaming rune. This rune does not cause damage, and sheds light as if it were a torch. While the &lt;i&gt;firebrand&lt;/i&gt;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&lt;i&gt;firebrand&lt;/i&gt; can launch a beam of fire at any target within 30 feet as a swift action. This ray requires a ranged touch attack to hit and deals 6d6 points of fire damage. Once a creature uses its &lt;i&gt;firebrand&lt;/i&gt; to fire a ray in this manner, the effects of the spell end for that creature.&lt;/p&gt;</t>
  </si>
  <si>
    <t>&lt;link rel="stylesheet"href="PF.css"&gt;&lt;div class="heading"&gt;&lt;p class="alignleft"&gt;Firebrand&lt;/p&gt;&lt;div style="clear: both;"&gt;&lt;/div&gt;&lt;/div&gt;&lt;div&gt;&lt;h5&gt;&lt;b&gt;School &lt;/b&gt;transmutation [fire];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creature/4 levels, no two of which can be more than 30 ft. apart&lt;/h5&gt;&lt;h5&gt;&lt;b&gt;Duration &lt;/b&gt;1 round/level&lt;/h5&gt;&lt;h5&gt;&lt;b&gt;Saving Throw &lt;/b&gt;Will negates (harmless), but see below; &lt;b&gt;Spell Resistance &lt;/b&gt;yes (harmless)&lt;/h5&gt;&lt;/div&gt;&lt;hr/&gt;&lt;div&gt;&lt;h5&gt;&lt;b&gt;DESCRIPTION&lt;/b&gt;&lt;/h5&gt;&lt;/div&gt;&lt;hr/&gt;&lt;div&gt;&lt;h4&gt;&lt;p&gt;You mark several allies with a flaming rune. This rune does not cause damage, and sheds light as if it were a torch. While the &lt;i&gt;firebrand&lt;/i&gt;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&lt;i&gt;firebrand&lt;/i&gt; can launch a beam of fire at any target within 30 feet as a swift action. This ray requires a ranged touch attack to hit and deals 6d6 points of fire damage. Once a creature uses its &lt;i&gt;firebrand&lt;/i&gt; to fire a ray in this manner, the effects of the spell end for that creature.&lt;/p&gt;&lt;/h4&gt;&lt;/div&gt;</t>
  </si>
  <si>
    <t>Allies gain flaming weapons, immunity to your fire spells, and a one-use ray of fire attack.</t>
  </si>
  <si>
    <t>Firefall</t>
  </si>
  <si>
    <t>sorcerer/wizard 4, magus 4, bloodrager 4</t>
  </si>
  <si>
    <t>one fire source, up to a 20-foot cube</t>
  </si>
  <si>
    <t>Will negates and Reflex negates; see text</t>
  </si>
  <si>
    <t>Firefall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  The coruscating rain of fire fills a hemispherical burst with a radius of 60 feet. All creatures and objects in the area take 5d6 points of fire damage and catch on fire (Core Rulebook 444).  Creatures who make successful Reflex saves take half damage and don't catch on fire. Creatures within 120 feet of the original fire source are blinded for 1d4+1 rounds (Will negates).</t>
  </si>
  <si>
    <t>&lt;p&gt;&lt;i&gt;Firefall&lt;/i&gt;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throw).&lt;/p&gt;&lt;p&gt;The coruscating rain of fire fills a hemispherical burst with a radius of 60 feet. All creatures and objects in the area take 5d6 points of fire damage and catch on fire (&lt;i&gt;Core Rulebook&lt;/i&gt; 444).&lt;/p&gt;&lt;p&gt;Creatures who make successful Reflex saves take half damage and don't catch on fire. Creatures within 120 feet of the original fire source are blinded for 1d4+1 rounds (Will negates).&lt;/p&gt;</t>
  </si>
  <si>
    <t>&lt;link rel="stylesheet"href="PF.css"&gt;&lt;div class="heading"&gt;&lt;p class="alignleft"&gt;Firefall&lt;/p&gt;&lt;div style="clear: both;"&gt;&lt;/div&gt;&lt;/div&gt;&lt;div&gt;&lt;h5&gt;&lt;b&gt;School &lt;/b&gt;transmutation [fire]; &lt;b&gt;Level &lt;/b&gt;sorcerer/wizard 4, magus 4, bloodrager 4&lt;/h5&gt;&lt;/div&gt;&lt;hr/&gt;&lt;div&gt;&lt;h5&gt;&lt;b&gt;CASTING&lt;/b&gt;&lt;/h5&gt;&lt;/div&gt;&lt;hr/&gt;&lt;div&gt;&lt;h5&gt;&lt;b&gt;Casting Time &lt;/b&gt;1 standard action&lt;/h5&gt;&lt;h5&gt;&lt;b&gt;Components &lt;/b&gt;V, S, M (one fire source)&lt;/h5&gt;&lt;/div&gt;&lt;hr/&gt;&lt;div&gt;&lt;h5&gt;&lt;b&gt;EFFECT&lt;/b&gt;&lt;/h5&gt;&lt;/div&gt;&lt;hr/&gt;&lt;div&gt;&lt;h5&gt;&lt;b&gt;Range &lt;/b&gt;long (400 ft. + 40 ft./level)&lt;/h5&gt;&lt;h5&gt;&lt;b&gt;Targets &lt;/b&gt;one fire source, up to a 20-foot cube&lt;/h5&gt;&lt;h5&gt;&lt;b&gt;Duration &lt;/b&gt;instantaneous&lt;/h5&gt;&lt;h5&gt;&lt;b&gt;Saving Throw &lt;/b&gt;Will negates and Reflex negates; see text; &lt;b&gt;Spell Resistance &lt;/b&gt;no&lt;/h5&gt;&lt;/div&gt;&lt;hr/&gt;&lt;div&gt;&lt;h5&gt;&lt;b&gt;DESCRIPTION&lt;/b&gt;&lt;/h5&gt;&lt;/div&gt;&lt;hr/&gt;&lt;div&gt;&lt;h4&gt;&lt;p&gt;&lt;i&gt;Firefall&lt;/i&gt;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throw).&lt;/p&gt;&lt;p&gt;The coruscating rain of fire fills a hemispherical burst with a radius of 60 feet. All creatures and objects in the area take 5d6 points of fire damage and catch on fire (&lt;i&gt;Core Rulebook&lt;/i&gt; 444).&lt;/p&gt;&lt;p&gt;Creatures who make successful Reflex saves take half damage and don't catch on fire. Creatures within 120 feet of the original fire source are blinded for 1d4+1 rounds (Will negates).&lt;/p&gt;&lt;/h4&gt;&lt;/div&gt;</t>
  </si>
  <si>
    <t>Causes fire to burst up, dealing 2d6 fire damage.</t>
  </si>
  <si>
    <t>Flames Of The Faithful</t>
  </si>
  <si>
    <t>inquisitor 2</t>
  </si>
  <si>
    <t>Fortitude negates (object, harmless)</t>
  </si>
  <si>
    <t>yes (object, harmless)</t>
  </si>
  <si>
    <t>With a touch, you cause a glowing rune to appear on a single weapon, granting that weapon the flaming property (and allowing it to cause an extra 1d6 points of fire damage on a successful hit). If you are using the judgment class feature, your weapon gains the flaming burst property instead. The spell functions only for weapons that you wield. If the weapon leaves your hand for any reason, the spell effect ends. The effects of this spell do not stack with any existing flaming or flaming burst weapon property that the target weapon may already possess.</t>
  </si>
  <si>
    <t>&lt;p&gt;With a touch, you cause a glowing rune to appear on a single weapon, granting that weapon the &lt;i&gt;flaming&lt;/i&gt; property (and allowing it to cause an extra 1d6 points of fire damage on a successful hit). If you are using the judgment class feature, your weapon gains the &lt;i&gt;flaming&lt;/i&gt; burst property instead. The spell functions only for weapons that you wield. If the weapon leaves your hand for any reason, the spell effect ends. The effects of this spell do not stack with any existing &lt;i&gt;flaming&lt;/i&gt; or &lt;i&gt;flaming&lt;/i&gt; burst weapon property that the target weapon may already possess.&lt;/p&gt;</t>
  </si>
  <si>
    <t>&lt;link rel="stylesheet"href="PF.css"&gt;&lt;div class="heading"&gt;&lt;p class="alignleft"&gt;Flames Of The Faithful&lt;/p&gt;&lt;div style="clear: both;"&gt;&lt;/div&gt;&lt;/div&gt;&lt;div&gt;&lt;h5&gt;&lt;b&gt;School &lt;/b&gt;transmutation [fire]; &lt;b&gt;Level &lt;/b&gt;inquisitor 2&lt;/h5&gt;&lt;/div&gt;&lt;hr/&gt;&lt;div&gt;&lt;h5&gt;&lt;b&gt;CASTING&lt;/b&gt;&lt;/h5&gt;&lt;/div&gt;&lt;hr/&gt;&lt;div&gt;&lt;h5&gt;&lt;b&gt;Casting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&lt;/b&gt;weapon touched&lt;/h5&gt;&lt;h5&gt;&lt;b&gt;Duration &lt;/b&gt;1 round/level&lt;/h5&gt;&lt;h5&gt;&lt;b&gt;Saving Throw &lt;/b&gt;Fortitude negates (object, harmless); &lt;b&gt;Spell Resistance &lt;/b&gt;yes (object, harmless)&lt;/h5&gt;&lt;/div&gt;&lt;hr/&gt;&lt;div&gt;&lt;h5&gt;&lt;b&gt;DESCRIPTION&lt;/b&gt;&lt;/h5&gt;&lt;/div&gt;&lt;hr/&gt;&lt;div&gt;&lt;h4&gt;&lt;p&gt;With a touch, you cause a glowing rune to appear on a single weapon, granting that weapon the &lt;i&gt;flaming&lt;/i&gt; property (and allowing it to cause an extra 1d6 points of fire damage on a successful hit). If you are using the judgment class feature, your weapon gains the &lt;i&gt;flaming&lt;/i&gt; burst property instead. The spell functions only for weapons that you wield. If the weapon leaves your hand for any reason, the spell effect ends. The effects of this spell do not stack with any existing &lt;i&gt;flaming&lt;/i&gt; or &lt;i&gt;flaming&lt;/i&gt; burst weapon property that the target weapon may already possess.&lt;/p&gt;&lt;/h4&gt;&lt;h5&gt;&lt;b&gt;Mythic: &lt;/b&gt;The fire damage dealt by this spell bypasses fire resistance andfire immunity. On a successful critical hit, the target catches onfire (Core Rulebook 444).&lt;/h5&gt;&lt;/div&gt;</t>
  </si>
  <si>
    <t>Gives weapon flaming property.</t>
  </si>
  <si>
    <t>The fire damage dealt by this spell bypasses fire resistance andfire immunity. On a successful critical hit, the target catches onfire (Core Rulebook 444).</t>
  </si>
  <si>
    <t>Flare Burst</t>
  </si>
  <si>
    <t>bard 1, druid 1, sorcerer/wizard 1, magus 1, bloodrager 1, psychic 1</t>
  </si>
  <si>
    <t>10-ft.-radius burst of light</t>
  </si>
  <si>
    <t>This spell functions as flare, except it affects all creatures in a 10-foot-radius burst from the target point.</t>
  </si>
  <si>
    <t>&lt;p&gt;This spell functions as &lt;i&gt;flare&lt;/i&gt;, except it affects all creatures in a 10-foot-radius burst from the target point.&lt;/p&gt;</t>
  </si>
  <si>
    <t>&lt;link rel="stylesheet"href="PF.css"&gt;&lt;div class="heading"&gt;&lt;p class="alignleft"&gt;Flare Burst&lt;/p&gt;&lt;div style="clear: both;"&gt;&lt;/div&gt;&lt;/div&gt;&lt;div&gt;&lt;h5&gt;&lt;b&gt;School &lt;/b&gt;evocation (light); &lt;b&gt;Level &lt;/b&gt;bard 1, druid 1, sorcerer/wizard 1, magus 1, bloodrager 1, psychic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&lt;/b&gt;10-ft.-radius burst of light&lt;/h5&gt;&lt;h5&gt;&lt;b&gt;Duration &lt;/b&gt;instantaneous&lt;/h5&gt;&lt;h5&gt;&lt;b&gt;Saving Throw &lt;/b&gt;Fortitude negates; &lt;b&gt;Spell Resistance &lt;/b&gt;yes&lt;/h5&gt;&lt;/div&gt;&lt;hr/&gt;&lt;div&gt;&lt;h5&gt;&lt;b&gt;DESCRIPTION&lt;/b&gt;&lt;/h5&gt;&lt;/div&gt;&lt;hr/&gt;&lt;div&gt;&lt;h4&gt;&lt;p&gt;This spell functions as &lt;i&gt;flare&lt;/i&gt;, except it affects all creatures in a 10-foot-radius burst from the target point.&lt;/p&gt;&lt;/h4&gt;&lt;/div&gt;</t>
  </si>
  <si>
    <t>As flare, but on all creatures within 10 ft.</t>
  </si>
  <si>
    <t>Fluid Form</t>
  </si>
  <si>
    <t>alchemist 4, sorcerer/wizard 6, psychic 6</t>
  </si>
  <si>
    <t>S, M (a mixture of oil and water)</t>
  </si>
  <si>
    <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t>
  </si>
  <si>
    <t>&lt;p&gt;When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effect.&lt;/p&gt;</t>
  </si>
  <si>
    <t>&lt;link rel="stylesheet"href="PF.css"&gt;&lt;div class="heading"&gt;&lt;p class="alignleft"&gt;Fluid Form&lt;/p&gt;&lt;div style="clear: both;"&gt;&lt;/div&gt;&lt;/div&gt;&lt;div&gt;&lt;h5&gt;&lt;b&gt;School &lt;/b&gt;transmutation [water]; &lt;b&gt;Level &lt;/b&gt;alchemist 4, sorcerer/wizard 6, psychic 6&lt;/h5&gt;&lt;/div&gt;&lt;hr/&gt;&lt;div&gt;&lt;h5&gt;&lt;b&gt;CASTING&lt;/b&gt;&lt;/h5&gt;&lt;/div&gt;&lt;hr/&gt;&lt;div&gt;&lt;h5&gt;&lt;b&gt;Casting Time &lt;/b&gt;1 standard action&lt;/h5&gt;&lt;h5&gt;&lt;b&gt;Components &lt;/b&gt;S, M (a mixture of oil and water)&lt;/h5&gt;&lt;/div&gt;&lt;hr/&gt;&lt;div&gt;&lt;h5&gt;&lt;b&gt;EFFECT&lt;/b&gt;&lt;/h5&gt;&lt;/div&gt;&lt;hr/&gt;&lt;div&gt;&lt;h5&gt;&lt;b&gt;Range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effect.&lt;/p&gt;&lt;/h4&gt;&lt;/div&gt;</t>
  </si>
  <si>
    <t>Flowing (6), Rivers (6)</t>
  </si>
  <si>
    <t>Gain DR 10/slashing, increases reach 10 ft.,</t>
  </si>
  <si>
    <t>Nanite (13)</t>
  </si>
  <si>
    <t>Fly, Mass</t>
  </si>
  <si>
    <t>This spell functions as fly (Core Rulebook 284), save that it can target numerous creatures and lasts longer.</t>
  </si>
  <si>
    <t>&lt;p&gt;This spell functions as &lt;i&gt;fly&lt;/i&gt; (&lt;i&gt;Core Rulebook&lt;/i&gt; 284), save that it can target numerous creatures and lasts longer.&lt;/p&gt;</t>
  </si>
  <si>
    <t>&lt;link rel="stylesheet"href="PF.css"&gt;&lt;div class="heading"&gt;&lt;p class="alignleft"&gt;Fly, Mass&lt;/p&gt;&lt;div style="clear: both;"&gt;&lt;/div&gt;&lt;/div&gt;&lt;div&gt;&lt;h5&gt;&lt;b&gt;School &lt;/b&gt;transmutation; &lt;b&gt;Level &lt;/b&gt;sorcerer/wizard 7, psychic 7&lt;/h5&gt;&lt;/div&gt;&lt;hr/&gt;&lt;div&gt;&lt;h5&gt;&lt;b&gt;CASTING&lt;/b&gt;&lt;/h5&gt;&lt;/div&gt;&lt;hr/&gt;&lt;div&gt;&lt;h5&gt;&lt;b&gt;Casting Time &lt;/b&gt;1 standard action&lt;/h5&gt;&lt;h5&gt;&lt;b&gt;Components &lt;/b&gt;V, S, F (a wing feather)&lt;/h5&gt;&lt;/div&gt;&lt;hr/&gt;&lt;div&gt;&lt;h5&gt;&lt;b&gt;EFFECT&lt;/b&gt;&lt;/h5&gt;&lt;/div&gt;&lt;hr/&gt;&lt;div&gt;&lt;h5&gt;&lt;b&gt;Range &lt;/b&gt;close (25 ft. + 5 ft./2 levels)&lt;/h5&gt;&lt;h5&gt;&lt;b&gt;Targets &lt;/b&gt;one creature/level, no two of which can be more than 30 ft. apart&lt;/h5&gt;&lt;h5&gt;&lt;b&gt;Duration &lt;/b&gt;10 minutes/level&lt;/h5&gt;&lt;h5&gt;&lt;b&gt;Saving Throw &lt;/b&gt;Will negates (harmless); &lt;b&gt;Spell Resistance &lt;/b&gt;yes (harmless)&lt;/h5&gt;&lt;/div&gt;&lt;hr/&gt;&lt;div&gt;&lt;h5&gt;&lt;b&gt;DESCRIPTION&lt;/b&gt;&lt;/h5&gt;&lt;/div&gt;&lt;hr/&gt;&lt;div&gt;&lt;h4&gt;&lt;p&gt;This spell functions as &lt;i&gt;fly&lt;/i&gt; (&lt;i&gt;Core Rulebook&lt;/i&gt; 284), save that it can target numerous creatures and lasts longer.&lt;/p&gt;&lt;/h4&gt;&lt;/div&gt;</t>
  </si>
  <si>
    <t>Feather (6), Vermin (8)</t>
  </si>
  <si>
    <t>One creature/level gains ability to fly.</t>
  </si>
  <si>
    <t>Foe to Friend</t>
  </si>
  <si>
    <t>bard 5, psychic 7, mesmerist 5</t>
  </si>
  <si>
    <t>Cast this spell when an enemy is about to make an attack against an ally. The creature makes the attack against a valid target of your choice instead or the attack is negated.  In addition, the target is considered an ally for determining flanking for 1 round.</t>
  </si>
  <si>
    <t>&lt;p&gt;Cast this spell when an enemy is about to make an attack against an ally. The creature makes the attack against a valid target of your choice instead or the attack is negated.&lt;/p&gt;&lt;p&gt;In addition, the target is considered an ally for determining flanking for 1 round.&lt;/p&gt;</t>
  </si>
  <si>
    <t>&lt;link rel="stylesheet"href="PF.css"&gt;&lt;div class="heading"&gt;&lt;p class="alignleft"&gt;Foe to Friend&lt;/p&gt;&lt;div style="clear: both;"&gt;&lt;/div&gt;&lt;/div&gt;&lt;div&gt;&lt;h5&gt;&lt;b&gt;School &lt;/b&gt;enchantment (compulsion) [mind-affecting]; &lt;b&gt;Level &lt;/b&gt;bard 5, psychic 7, mesmerist 5&lt;/h5&gt;&lt;/div&gt;&lt;hr/&gt;&lt;div&gt;&lt;h5&gt;&lt;b&gt;CASTING&lt;/b&gt;&lt;/h5&gt;&lt;/div&gt;&lt;hr/&gt;&lt;div&gt;&lt;h5&gt;&lt;b&gt;Casting Time &lt;/b&gt;1 immediate action&lt;/h5&gt;&lt;h5&gt;&lt;b&gt;Components &lt;/b&gt;V, S&lt;/h5&gt;&lt;/div&gt;&lt;hr/&gt;&lt;div&gt;&lt;h5&gt;&lt;b&gt;EFFECT&lt;/b&gt;&lt;/h5&gt;&lt;/div&gt;&lt;hr/&gt;&lt;div&gt;&lt;h5&gt;&lt;b&gt;Range &lt;/b&gt;medium (100 ft. + 10 ft./level)&lt;/h5&gt;&lt;h5&gt;&lt;b&gt;Targets &lt;/b&gt;one living creature&lt;/h5&gt;&lt;h5&gt;&lt;b&gt;Duration &lt;/b&gt;1 round&lt;/h5&gt;&lt;h5&gt;&lt;b&gt;Saving Throw &lt;/b&gt;Will negates; &lt;b&gt;Spell Resistance &lt;/b&gt;yes&lt;/h5&gt;&lt;/div&gt;&lt;hr/&gt;&lt;div&gt;&lt;h5&gt;&lt;b&gt;DESCRIPTION&lt;/b&gt;&lt;/h5&gt;&lt;/div&gt;&lt;hr/&gt;&lt;div&gt;&lt;h4&gt;&lt;p&gt;Cast this spell when an enemy is about to make an attack against an ally. The creature makes the attack against a valid target of your choice instead or the attack is negated.&lt;/p&gt;&lt;p&gt;In addition, the target is considered an ally for determining flanking for 1 round.&lt;/p&gt;&lt;/h4&gt;&lt;/div&gt;</t>
  </si>
  <si>
    <t>Redirect an enemy creature's attack.</t>
  </si>
  <si>
    <t>Follow Aura</t>
  </si>
  <si>
    <t>inquisitor 2, occultist 3</t>
  </si>
  <si>
    <t>10 minutes/level (D)</t>
  </si>
  <si>
    <t>Choose one alignment type: chaotic, evil, good, or lawful. You gain the ability to follow the trail of a strong or overwhelming aura of that alignment (see detect evil, Core Rulebook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  When you use this spell to track a given alignment, it gains the descriptor of the opposite alignment. For example, when follow aura is used to track evil, it gains the good descriptor.</t>
  </si>
  <si>
    <t>&lt;p&gt;Choose one alignment type: chaotic, evil, good, or lawful. You gain the ability to follow the trail of a strong or overwhelming aura of that alignment (see &lt;i&gt;detect evil&lt;/i&gt;, &lt;i&gt;Core Rulebook&lt;/i&gt;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well.&lt;/p&gt;&lt;p&gt;When you use this spell to track a given alignment, it gains the descriptor of the opposite alignment. For example, when &lt;i&gt;follow aura&lt;/i&gt; is used to track evil, it gains the good descriptor.&lt;/p&gt;</t>
  </si>
  <si>
    <t>&lt;link rel="stylesheet"href="PF.css"&gt;&lt;div class="heading"&gt;&lt;p class="alignleft"&gt;Follow Aura&lt;/p&gt;&lt;div style="clear: both;"&gt;&lt;/div&gt;&lt;/div&gt;&lt;div&gt;&lt;h5&gt;&lt;b&gt;School &lt;/b&gt;divination [chaotic, evil, good, or lawful]; &lt;b&gt;Level &lt;/b&gt;inquisitor 2, occultist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(D)&lt;/h5&gt;&lt;/div&gt;&lt;hr/&gt;&lt;div&gt;&lt;h5&gt;&lt;b&gt;DESCRIPTION&lt;/b&gt;&lt;/h5&gt;&lt;/div&gt;&lt;hr/&gt;&lt;div&gt;&lt;h4&gt;&lt;p&gt;Choose one alignment type: chaotic, evil, good, or lawful. You gain the ability to follow the trail of a strong or overwhelming aura of that alignment (see &lt;i&gt;detect evil&lt;/i&gt;, &lt;i&gt;Core Rulebook&lt;/i&gt;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well.&lt;/p&gt;&lt;p&gt;When you use this spell to track a given alignment, it gains the descriptor of the opposite alignment. For example, when &lt;i&gt;follow aura&lt;/i&gt; is used to track evil, it gains the good descriptor.&lt;/p&gt;&lt;/h4&gt;&lt;/div&gt;</t>
  </si>
  <si>
    <t>Gain ability to follow the trail of the aura of an alignment.</t>
  </si>
  <si>
    <t>Fool's Forbiddance</t>
  </si>
  <si>
    <t>V, S, M (a ring of keys)</t>
  </si>
  <si>
    <t>10-ft.-radius spherical emanation centered on you</t>
  </si>
  <si>
    <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t>
  </si>
  <si>
    <t>&lt;p&gt;Through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leaves.&lt;/p&gt;</t>
  </si>
  <si>
    <t>&lt;link rel="stylesheet"href="PF.css"&gt;&lt;div class="heading"&gt;&lt;p class="alignleft"&gt;Fool's Forbiddance&lt;/p&gt;&lt;div style="clear: both;"&gt;&lt;/div&gt;&lt;/div&gt;&lt;div&gt;&lt;h5&gt;&lt;b&gt;School &lt;/b&gt;abjuration [mind-affecting]; &lt;b&gt;Level &lt;/b&gt;bard 6, psychic 8&lt;/h5&gt;&lt;/div&gt;&lt;hr/&gt;&lt;div&gt;&lt;h5&gt;&lt;b&gt;CASTING&lt;/b&gt;&lt;/h5&gt;&lt;/div&gt;&lt;hr/&gt;&lt;div&gt;&lt;h5&gt;&lt;b&gt;Casting Time &lt;/b&gt;1 standard action&lt;/h5&gt;&lt;h5&gt;&lt;b&gt;Components &lt;/b&gt;V, S, M (a ring of keys)&lt;/h5&gt;&lt;/div&gt;&lt;hr/&gt;&lt;div&gt;&lt;h5&gt;&lt;b&gt;EFFECT&lt;/b&gt;&lt;/h5&gt;&lt;/div&gt;&lt;hr/&gt;&lt;div&gt;&lt;h5&gt;&lt;b&gt;Range &lt;/b&gt;10 ft.&lt;/h5&gt;&lt;h5&gt;&lt;b&gt;Area &lt;/b&gt;10-ft.-radius spherical emanation centered on you&lt;/h5&gt;&lt;h5&gt;&lt;b&gt;Duration &lt;/b&gt;concentration&lt;/h5&gt;&lt;h5&gt;&lt;b&gt;Saving Throw &lt;/b&gt;Will partial; &lt;b&gt;Spell Resistance &lt;/b&gt;yes&lt;/h5&gt;&lt;/div&gt;&lt;hr/&gt;&lt;div&gt;&lt;h5&gt;&lt;b&gt;DESCRIPTION&lt;/b&gt;&lt;/h5&gt;&lt;/div&gt;&lt;hr/&gt;&lt;div&gt;&lt;h4&gt;&lt;p&gt;Through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leaves.&lt;/p&gt;&lt;/h4&gt;&lt;/div&gt;</t>
  </si>
  <si>
    <t>Confuses enemies who come within a magical emanation centered on you.</t>
  </si>
  <si>
    <t>Forced Repentance</t>
  </si>
  <si>
    <t>inquisitor 4, paladin 4</t>
  </si>
  <si>
    <t>one evil creature without the evil subtype</t>
  </si>
  <si>
    <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t>
  </si>
  <si>
    <t>&lt;p&gt;You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attacked.&lt;/p&gt;</t>
  </si>
  <si>
    <t>&lt;link rel="stylesheet"href="PF.css"&gt;&lt;div class="heading"&gt;&lt;p class="alignleft"&gt;Forced Repentance&lt;/p&gt;&lt;div style="clear: both;"&gt;&lt;/div&gt;&lt;/div&gt;&lt;div&gt;&lt;h5&gt;&lt;b&gt;School &lt;/b&gt;enchantment (compulsion) [mind-affecting, emotion]; &lt;b&gt;Level &lt;/b&gt;inquisitor 4, paladin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evil creature without the evil subtype&lt;/h5&gt;&lt;h5&gt;&lt;b&gt;Duration &lt;/b&gt;1 round/level&lt;/h5&gt;&lt;h5&gt;&lt;b&gt;Saving Throw &lt;/b&gt;Will negates; &lt;b&gt;Spell Resistance &lt;/b&gt;yes&lt;/h5&gt;&lt;/div&gt;&lt;hr/&gt;&lt;div&gt;&lt;h5&gt;&lt;b&gt;DESCRIPTION&lt;/b&gt;&lt;/h5&gt;&lt;/div&gt;&lt;hr/&gt;&lt;div&gt;&lt;h4&gt;&lt;p&gt;You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attacked.&lt;/p&gt;&lt;/h4&gt;&lt;/div&gt;</t>
  </si>
  <si>
    <t>Redemption (4)</t>
  </si>
  <si>
    <t>Target falls prone and confesses all of its sins.</t>
  </si>
  <si>
    <t>Frozen Note</t>
  </si>
  <si>
    <t>30-ft.-radius emanation centered on you</t>
  </si>
  <si>
    <t>any number of creatures within area</t>
  </si>
  <si>
    <t>concentration (up to 1 round/level); see text</t>
  </si>
  <si>
    <t>You produce and sustain a single perfect musical note that holds nearby creatures, friend as well as foe, utterly spellbound until you stop singing. Affected creatures are both paralyzed and oblivious to their surroundings so long as you maintain the note.  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Targets get a +2 circumstance bonus on their saving throw for each barrier between your voice and their ears. This includes such things as a creature stopping up its ears with wax, closing all windows and doors in a nearby building, or even crawling into a barrel and pulling down the top.  If a target that had previously made its saving throw loses the benefit of one or more of its barriers it must immediately make a new saving throw. Similarly, any target that had previously failed its saving throw gets a new save each time it gains the protection of a barrier.</t>
  </si>
  <si>
    <t>&lt;p&gt;You produce and sustain a single perfect musical note that holds nearby creatures, friend as well as foe, utterly spellbound until you stop singing. Affected creatures are both paralyzed and oblivious to their surroundings so long as you maintain the note.&lt;/p&gt;&lt;p&gt;Maintaining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&lt;b&gt;Target&lt;/b&gt;s get a +2 circumstance bonus on their saving throw for each barrier between your voice and their ears. This includes such things as a creature stopping up its ears with wax, closing all windows and doors in a nearby building, or even crawling into a barrel and pulling down the top.&lt;/p&gt;&lt;p&gt;If a target that had previously made its saving throw loses the benefit of one or more of its barriers it must immediately make a new saving throw. Similarly, any target that had previously failed its saving throw gets a new save each time it gains the protection of a barrier.&lt;/p&gt;</t>
  </si>
  <si>
    <t>&lt;link rel="stylesheet"href="PF.css"&gt;&lt;div class="heading"&gt;&lt;p class="alignleft"&gt;Frozen Note&lt;/p&gt;&lt;div style="clear: both;"&gt;&lt;/div&gt;&lt;/div&gt;&lt;div&gt;&lt;h5&gt;&lt;b&gt;School &lt;/b&gt;enchantment (compulsion) [mind-affecting, sonic]; &lt;b&gt;Level &lt;/b&gt;bard 5&lt;/h5&gt;&lt;/div&gt;&lt;hr/&gt;&lt;div&gt;&lt;h5&gt;&lt;b&gt;CASTING&lt;/b&gt;&lt;/h5&gt;&lt;/div&gt;&lt;hr/&gt;&lt;div&gt;&lt;h5&gt;&lt;b&gt;Casting Time &lt;/b&gt;1 standard action&lt;/h5&gt;&lt;h5&gt;&lt;b&gt;Components &lt;/b&gt;V&lt;/h5&gt;&lt;/div&gt;&lt;hr/&gt;&lt;div&gt;&lt;h5&gt;&lt;b&gt;EFFECT&lt;/b&gt;&lt;/h5&gt;&lt;/div&gt;&lt;hr/&gt;&lt;div&gt;&lt;h5&gt;&lt;b&gt;Area &lt;/b&gt;30-ft.-radius emanation centered on you&lt;/h5&gt;&lt;h5&gt;&lt;b&gt;Targets &lt;/b&gt;any number of creatures within area&lt;/h5&gt;&lt;h5&gt;&lt;b&gt;Duration &lt;/b&gt;concentration (up to 1 round/level); see text&lt;/h5&gt;&lt;h5&gt;&lt;b&gt;Saving Throw &lt;/b&gt;Will partial; see text; &lt;b&gt;Spell Resistance &lt;/b&gt;yes&lt;/h5&gt;&lt;/div&gt;&lt;hr/&gt;&lt;div&gt;&lt;h5&gt;&lt;b&gt;DESCRIPTION&lt;/b&gt;&lt;/h5&gt;&lt;/div&gt;&lt;hr/&gt;&lt;div&gt;&lt;h4&gt;&lt;p&gt;You produce and sustain a single perfect musical note that holds nearby creatures, friend as well as foe, utterly spellbound until you stop singing. Affected creatures are both paralyzed and oblivious to their surroundings so long as you maintain the note.&lt;/p&gt;&lt;p&gt;Maintaining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&lt;b&gt;Target&lt;/b&gt;s get a +2 circumstance bonus on their saving throw for each barrier between your voice and their ears. This includes such things as a creature stopping up its ears with wax, closing all windows and doors in a nearby building, or even crawling into a barrel and pulling down the top.&lt;/p&gt;&lt;p&gt;If a target that had previously made its saving throw loses the benefit of one or more of its barriers it must immediately make a new saving throw. Similarly, any target that had previously failed its saving throw gets a new save each time it gains the protection of a barrier.&lt;/p&gt;&lt;/h4&gt;&lt;/div&gt;</t>
  </si>
  <si>
    <t>Paralyzes creatures listening to your song.</t>
  </si>
  <si>
    <t>Gallant Inspiration</t>
  </si>
  <si>
    <t>This word of arcane-empowered inspiration often ensures success of a crucial endeavor. Cast this spell when a creature fails an attack roll or skill check. The creature gains a +2d4 competence bonus to the attack roll or skill check retroactively.  If the bonus is enough to turn the failure into a success, the roll succeeds.</t>
  </si>
  <si>
    <t>&lt;p&gt;This word of arcane-empowered inspiration often ensures success of a crucial endeavor. Cast this spell when a creature fails an attack roll or skill check. The creature gains a +2d4 competence bonus to the attack roll or skill check retroactively.&lt;/p&gt;&lt;p&gt;If the bonus is enough to turn the failure into a success, the roll succeeds.&lt;/p&gt;</t>
  </si>
  <si>
    <t>&lt;link rel="stylesheet"href="PF.css"&gt;&lt;div class="heading"&gt;&lt;p class="alignleft"&gt;Gallant Inspiration&lt;/p&gt;&lt;div style="clear: both;"&gt;&lt;/div&gt;&lt;/div&gt;&lt;div&gt;&lt;h5&gt;&lt;b&gt;School &lt;/b&gt;divination; &lt;b&gt;Level &lt;/b&gt;bard 2&lt;/h5&gt;&lt;/div&gt;&lt;hr/&gt;&lt;div&gt;&lt;h5&gt;&lt;b&gt;CASTING&lt;/b&gt;&lt;/h5&gt;&lt;/div&gt;&lt;hr/&gt;&lt;div&gt;&lt;h5&gt;&lt;b&gt;Casting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&lt;/b&gt;yes&lt;/h5&gt;&lt;/div&gt;&lt;hr/&gt;&lt;div&gt;&lt;h5&gt;&lt;b&gt;DESCRIPTION&lt;/b&gt;&lt;/h5&gt;&lt;/div&gt;&lt;hr/&gt;&lt;div&gt;&lt;h4&gt;&lt;p&gt;This word of arcane-empowered inspiration often ensures success of a crucial endeavor. Cast this spell when a creature fails an attack roll or skill check. The creature gains a +2d4 competence bonus to the attack roll or skill check retroactively.&lt;/p&gt;&lt;p&gt;If the bonus is enough to turn the failure into a success, the roll succeeds.&lt;/p&gt;&lt;/h4&gt;&lt;/div&gt;</t>
  </si>
  <si>
    <t>+2d4 bonus on failed attack roll or skill check.</t>
  </si>
  <si>
    <t>Getaway</t>
  </si>
  <si>
    <t>bard 6, sorcerer/wizard 6, occultist 6, psychic 6, mesmerist 6, spiritualist 6</t>
  </si>
  <si>
    <t>V, S, M (a brass doorknob)</t>
  </si>
  <si>
    <t>you and one willing creature/2 levels, all of which must be within 30 feet of you</t>
  </si>
  <si>
    <t>Getaway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t>
  </si>
  <si>
    <t>&lt;p&gt;&lt;i&gt;Getaway&lt;/i&gt;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planes.&lt;/p&gt;</t>
  </si>
  <si>
    <t>&lt;link rel="stylesheet"href="PF.css"&gt;&lt;div class="heading"&gt;&lt;p class="alignleft"&gt;Getaway&lt;/p&gt;&lt;div style="clear: both;"&gt;&lt;/div&gt;&lt;/div&gt;&lt;div&gt;&lt;h5&gt;&lt;b&gt;School &lt;/b&gt;conjuration (teleportation); &lt;b&gt;Level &lt;/b&gt;bard 6, sorcerer/wizard 6, occultist 6, psychic 6, mesmerist 6, spiritualist 6&lt;/h5&gt;&lt;/div&gt;&lt;hr/&gt;&lt;div&gt;&lt;h5&gt;&lt;b&gt;CASTING&lt;/b&gt;&lt;/h5&gt;&lt;/div&gt;&lt;hr/&gt;&lt;div&gt;&lt;h5&gt;&lt;b&gt;Casting Time &lt;/b&gt;1 minute&lt;/h5&gt;&lt;h5&gt;&lt;b&gt;Components &lt;/b&gt;V, S, M (a brass doorknob)&lt;/h5&gt;&lt;/div&gt;&lt;hr/&gt;&lt;div&gt;&lt;h5&gt;&lt;b&gt;EFFECT&lt;/b&gt;&lt;/h5&gt;&lt;/div&gt;&lt;hr/&gt;&lt;div&gt;&lt;h5&gt;&lt;b&gt;Range &lt;/b&gt;unlimited&lt;/h5&gt;&lt;h5&gt;&lt;b&gt;Targets &lt;/b&gt;you and one willing creature/2 levels, all of which must be within 30 feet of you&lt;/h5&gt;&lt;h5&gt;&lt;b&gt;Duration &lt;/b&gt;1 hour/level&lt;/h5&gt;&lt;h5&gt;&lt;b&gt;Saving Throw &lt;/b&gt;none; &lt;b&gt;Spell Resistance &lt;/b&gt;no&lt;/h5&gt;&lt;/div&gt;&lt;hr/&gt;&lt;div&gt;&lt;h5&gt;&lt;b&gt;DESCRIPTION&lt;/b&gt;&lt;/h5&gt;&lt;/div&gt;&lt;hr/&gt;&lt;div&gt;&lt;h4&gt;&lt;p&gt;&lt;i&gt;Getaway&lt;/i&gt;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planes.&lt;/p&gt;&lt;/h4&gt;&lt;/div&gt;</t>
  </si>
  <si>
    <t>Teleports a group of predetermined allies and creatures to a predetermined location.</t>
  </si>
  <si>
    <t>Geyser</t>
  </si>
  <si>
    <t>fire, water</t>
  </si>
  <si>
    <t>druid 4, sorcerer/wizard 5, magus 5</t>
  </si>
  <si>
    <t>V, S, M/DF (a piece of lava rock)</t>
  </si>
  <si>
    <t>spout of boiling water filling a 5 ft. square and spraying upward 10 ft./2 levels</t>
  </si>
  <si>
    <t>Reflex partial (see below)</t>
  </si>
  <si>
    <t>You cause a column of boiling water to spring forth from any horizontal surface, knocking over creatures directly over it and exposing nearby creatures to searing droplets as its spray falls back to the ground.  Any creature entering the geyser,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geyser (e.g., if the geyser is 50 feet tall, the creature takes 5d6 falling damage), landing prone in a random square adjacent to the geyser. A successful saving throw halves the damage and negates the falling damage, and the creature is moved to the closest square adjacent to the geyser (Large-sized or larger creatures are moved enough so that they are not on top of the geyser but still adjacent to it).  This movement does not provoke attacks of opportunity and does not count toward the creature's normal movement.  In addition, the geyser sprays boiling water in a hemispherical emanation around its square. The radius of this emanation is equal to one-half the geyser's height (e.g., a 50-foot geyser has a 25-foot-radius emanation). Any creature within this area, including yourself, takes 1d6 points of fire damage each round as droplets of boiling water cascade on them.  You can choose to make a smaller geyser than your level permits if an obstruction prevents it from reaching its full height, or if you simply want to create a spread of boiling rain that's smaller than what would be created by a full-height geyser spell.</t>
  </si>
  <si>
    <t>&lt;p&gt;You cause a column of boiling water to spring forth from any horizontal surface, knocking over creatures directly over it and exposing nearby creatures to searing droplets as its spray falls back to the ground.&lt;/p&gt;&lt;p&gt;Any creature entering the &lt;i&gt;geyser&lt;/i&gt;,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&lt;i&gt;geyser&lt;/i&gt; (e.g., if the &lt;i&gt;geyser&lt;/i&gt; is 50 feet tall, the creature takes 5d6 falling damage), landing prone in a random square adjacent to the &lt;i&gt;geyser&lt;/i&gt;. A successful saving throw halves the damage and negates the falling damage, and the creature is moved to the closest square adjacent to the &lt;i&gt;geyser&lt;/i&gt; (Large-sized or larger creatures are moved enough so that they are not on top of the &lt;i&gt;geyser&lt;/i&gt; but still adjacent to it).&lt;/p&gt;&lt;p&gt;This movement does not provoke attacks of opportunity and does not count toward the creature's normal movement.&lt;/p&gt;&lt;p&gt;In addition, the &lt;i&gt;geyser&lt;/i&gt; sprays boiling water in a hemispherical emanation around its square. The radius of this emanation is equal to one-half the &lt;i&gt;geyser&lt;/i&gt;'s height (e.g., a 50-foot &lt;i&gt;geyser&lt;/i&gt; has a 25-foot-radius emanation). Any creature within this area, including yourself, takes 1d6 points of fire damage each round as droplets of boiling water cascade on them.&lt;/p&gt;&lt;p&gt;You can choose to make a smaller &lt;i&gt;geyser&lt;/i&gt; than your level permits if an obstruction prevents it from reaching its full height, or if you simply want to create a spread of boiling rain that's smaller than what would be created by a full-height &lt;i&gt;geyser&lt;/i&gt; spell.&lt;/p&gt;</t>
  </si>
  <si>
    <t>&lt;link rel="stylesheet"href="PF.css"&gt;&lt;div class="heading"&gt;&lt;p class="alignleft"&gt;Geyser&lt;/p&gt;&lt;div style="clear: both;"&gt;&lt;/div&gt;&lt;/div&gt;&lt;div&gt;&lt;h5&gt;&lt;b&gt;School &lt;/b&gt;conjuration (creation) [fire, water]; &lt;b&gt;Level &lt;/b&gt;druid 4, sorcerer/wizard 5, magus 5&lt;/h5&gt;&lt;/div&gt;&lt;hr/&gt;&lt;div&gt;&lt;h5&gt;&lt;b&gt;CASTING&lt;/b&gt;&lt;/h5&gt;&lt;/div&gt;&lt;hr/&gt;&lt;div&gt;&lt;h5&gt;&lt;b&gt;Casting Time &lt;/b&gt;1 standard action&lt;/h5&gt;&lt;h5&gt;&lt;b&gt;Components &lt;/b&gt;V, S, M/DF (a piece of lava rock)&lt;/h5&gt;&lt;/div&gt;&lt;hr/&gt;&lt;div&gt;&lt;h5&gt;&lt;b&gt;EFFECT&lt;/b&gt;&lt;/h5&gt;&lt;/div&gt;&lt;hr/&gt;&lt;div&gt;&lt;h5&gt;&lt;b&gt;Range &lt;/b&gt;long (400 ft. + 40 ft./level)&lt;/h5&gt;&lt;h5&gt;&lt;b&gt;Effect &lt;/b&gt;spout of boiling water filling a 5 ft. square and spraying upward 10 ft./2 levels&lt;/h5&gt;&lt;h5&gt;&lt;b&gt;Duration &lt;/b&gt;concentration + 1 round/level&lt;/h5&gt;&lt;h5&gt;&lt;b&gt;Saving Throw &lt;/b&gt;Reflex partial (see below); &lt;b&gt;Spell Resistance &lt;/b&gt;no&lt;/h5&gt;&lt;/div&gt;&lt;hr/&gt;&lt;div&gt;&lt;h5&gt;&lt;b&gt;DESCRIPTION&lt;/b&gt;&lt;/h5&gt;&lt;/div&gt;&lt;hr/&gt;&lt;div&gt;&lt;h4&gt;&lt;p&gt;You cause a column of boiling water to spring forth from any horizontal surface, knocking over creatures directly over it and exposing nearby creatures to searing droplets as its spray falls back to the ground.&lt;/p&gt;&lt;p&gt;Any creature entering the &lt;i&gt;geyser&lt;/i&gt;,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&lt;i&gt;geyser&lt;/i&gt; (e.g., if the &lt;i&gt;geyser&lt;/i&gt; is 50 feet tall, the creature takes 5d6 falling damage), landing prone in a random square adjacent to the &lt;i&gt;geyser&lt;/i&gt;. A successful saving throw halves the damage and negates the falling damage, and the creature is moved to the closest square adjacent to the &lt;i&gt;geyser&lt;/i&gt; (Large-sized or larger creatures are moved enough so that they are not on top of the &lt;i&gt;geyser&lt;/i&gt; but still adjacent to it).&lt;/p&gt;&lt;p&gt;This movement does not provoke attacks of opportunity and does not count toward the creature's normal movement.&lt;/p&gt;&lt;p&gt;In addition, the &lt;i&gt;geyser&lt;/i&gt; sprays boiling water in a hemispherical emanation around its square. The radius of this emanation is equal to one-half the &lt;i&gt;geyser&lt;/i&gt;'s height (e.g., a 50-foot &lt;i&gt;geyser&lt;/i&gt; has a 25-foot-radius emanation). Any creature within this area, including yourself, takes 1d6 points of fire damage each round as droplets of boiling water cascade on them.&lt;/p&gt;&lt;p&gt;You can choose to make a smaller &lt;i&gt;geyser&lt;/i&gt; than your level permits if an obstruction prevents it from reaching its full height, or if you simply want to create a spread of boiling rain that's smaller than what would be created by a full-height &lt;i&gt;geyser&lt;/i&gt; spell.&lt;/p&gt;&lt;/h4&gt;&lt;/div&gt;</t>
  </si>
  <si>
    <t>Creates a geyser of boiling water.</t>
  </si>
  <si>
    <t>Aquatic (9)</t>
  </si>
  <si>
    <t>Water (10)</t>
  </si>
  <si>
    <t>Ghostbane Dirge</t>
  </si>
  <si>
    <t>bard 2, cleric/oracle 2, inquisitor 2, paladin 1, shaman 2, occultist 2</t>
  </si>
  <si>
    <t>V, S, M/DF (an old reed from a wind instrument)</t>
  </si>
  <si>
    <t>one incorporeal creature</t>
  </si>
  <si>
    <t>The target coalesces into a semi-physical form for a short period of time. While subject to the spell, the incorporeal creature takes half damage (50%) from nonmagical attack forms, and full damage from magic weapons, spells, spell-like effects, and supernatural effects.</t>
  </si>
  <si>
    <t>&lt;p&gt;The target coalesces into a semi-physical form for a short period of time. While subject to the spell, the incorporeal creature takes half damage (50%) from nonmagical attack forms, and full damage from magic weapons, spells, spell-like effects, and supernatural effects.&lt;/p&gt;</t>
  </si>
  <si>
    <t>&lt;link rel="stylesheet"href="PF.css"&gt;&lt;div class="heading"&gt;&lt;p class="alignleft"&gt;Ghostbane Dirge&lt;/p&gt;&lt;div style="clear: both;"&gt;&lt;/div&gt;&lt;/div&gt;&lt;div&gt;&lt;h5&gt;&lt;b&gt;School &lt;/b&gt;transmutation; &lt;b&gt;Level &lt;/b&gt;bard 2, cleric/oracle 2, inquisitor 2, paladin 1, shaman 2, occultist 2&lt;/h5&gt;&lt;/div&gt;&lt;hr/&gt;&lt;div&gt;&lt;h5&gt;&lt;b&gt;CASTING&lt;/b&gt;&lt;/h5&gt;&lt;/div&gt;&lt;hr/&gt;&lt;div&gt;&lt;h5&gt;&lt;b&gt;Casting Time &lt;/b&gt;1 standard action&lt;/h5&gt;&lt;h5&gt;&lt;b&gt;Components &lt;/b&gt;V, S, M/DF (an old reed from a wind instrument)&lt;/h5&gt;&lt;/div&gt;&lt;hr/&gt;&lt;div&gt;&lt;h5&gt;&lt;b&gt;EFFECT&lt;/b&gt;&lt;/h5&gt;&lt;/div&gt;&lt;hr/&gt;&lt;div&gt;&lt;h5&gt;&lt;b&gt;Range &lt;/b&gt;close (25 ft. + 5 ft./2 levels)&lt;/h5&gt;&lt;h5&gt;&lt;b&gt;Targets &lt;/b&gt;one incorporeal creature&lt;/h5&gt;&lt;h5&gt;&lt;b&gt;Duration &lt;/b&gt;1 round/level&lt;/h5&gt;&lt;h5&gt;&lt;b&gt;Saving Throw &lt;/b&gt;Will negates; &lt;b&gt;Spell Resistance &lt;/b&gt;yes&lt;/h5&gt;&lt;/div&gt;&lt;hr/&gt;&lt;div&gt;&lt;h5&gt;&lt;b&gt;DESCRIPTION&lt;/b&gt;&lt;/h5&gt;&lt;/div&gt;&lt;hr/&gt;&lt;div&gt;&lt;h4&gt;&lt;p&gt;The target coalesces into a semi-physical form for a short period of time. While subject to the spell, the incorporeal creature takes half damage (50%) from nonmagical attack forms, and full damage from magic weapons, spells, spell-like effects, and supernatural effects.&lt;/p&gt;&lt;/h4&gt;&lt;/div&gt;</t>
  </si>
  <si>
    <t>Incorporeal creature takes half damage from nonmagical weapons.</t>
  </si>
  <si>
    <t>Spirits (2)</t>
  </si>
  <si>
    <t>Ghostbane Dirge, Mass</t>
  </si>
  <si>
    <t>bard 4, cleric/oracle 5, inquisitor 5, paladin 3, shaman 5, occultist 5</t>
  </si>
  <si>
    <t>one incorporeal creature/level, no two of which can be more than 30 ft. apart</t>
  </si>
  <si>
    <t>This spell functions as ghostbane dirge, except that it affects multiple targets.</t>
  </si>
  <si>
    <t>&lt;p&gt;This spell functions as &lt;i&gt;ghostbane dirge&lt;/i&gt;, except that it affects multiple targets.&lt;/p&gt;</t>
  </si>
  <si>
    <t>&lt;link rel="stylesheet"href="PF.css"&gt;&lt;div class="heading"&gt;&lt;p class="alignleft"&gt;Ghostbane Dirge, Mass&lt;/p&gt;&lt;div style="clear: both;"&gt;&lt;/div&gt;&lt;/div&gt;&lt;div&gt;&lt;h5&gt;&lt;b&gt;School &lt;/b&gt;transmutation; &lt;b&gt;Level &lt;/b&gt;bard 4, cleric/oracle 5, inquisitor 5, paladin 3, shaman 5, occultist 5&lt;/h5&gt;&lt;/div&gt;&lt;hr/&gt;&lt;div&gt;&lt;h5&gt;&lt;b&gt;CASTING&lt;/b&gt;&lt;/h5&gt;&lt;/div&gt;&lt;hr/&gt;&lt;div&gt;&lt;h5&gt;&lt;b&gt;Casting Time &lt;/b&gt;1 standard action&lt;/h5&gt;&lt;h5&gt;&lt;b&gt;Components &lt;/b&gt;V, S, M/DF (an old reed from a wind instrument)&lt;/h5&gt;&lt;/div&gt;&lt;hr/&gt;&lt;div&gt;&lt;h5&gt;&lt;b&gt;EFFECT&lt;/b&gt;&lt;/h5&gt;&lt;/div&gt;&lt;hr/&gt;&lt;div&gt;&lt;h5&gt;&lt;b&gt;Range &lt;/b&gt;close (25 ft. + 5 ft./2 levels)&lt;/h5&gt;&lt;h5&gt;&lt;b&gt;Targets &lt;/b&gt;one incorporeal creature/level,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&lt;i&gt;ghostbane dirge&lt;/i&gt;, except that it affects multiple targets.&lt;/p&gt;&lt;/h4&gt;&lt;/div&gt;</t>
  </si>
  <si>
    <t>As ghostbane dirge, but affects multiple creatures.</t>
  </si>
  <si>
    <t>Spirits (10)</t>
  </si>
  <si>
    <t>Glide</t>
  </si>
  <si>
    <t>druid 2, ranger 1, sorcerer/wizard 2, summoner 2, witch 2, shaman 2, occultist 2, psychic 2</t>
  </si>
  <si>
    <t>V, S, M/DF (a leaf )</t>
  </si>
  <si>
    <t>until landing or 1 minute/level (D)</t>
  </si>
  <si>
    <t>You take no damage from falls (as if from feather fall).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t>
  </si>
  <si>
    <t>&lt;p&gt;You take no damage from falls (as if from &lt;i&gt;feather fall&lt;/i&gt;).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normal.&lt;/p&gt;</t>
  </si>
  <si>
    <t>&lt;link rel="stylesheet"href="PF.css"&gt;&lt;div class="heading"&gt;&lt;p class="alignleft"&gt;Glide&lt;/p&gt;&lt;div style="clear: both;"&gt;&lt;/div&gt;&lt;/div&gt;&lt;div&gt;&lt;h5&gt;&lt;b&gt;School &lt;/b&gt;transmutation; &lt;b&gt;Level &lt;/b&gt;druid 2, ranger 1, sorcerer/wizard 2, summoner 2, witch 2, shaman 2, occultist 2, psychic 2&lt;/h5&gt;&lt;/div&gt;&lt;hr/&gt;&lt;div&gt;&lt;h5&gt;&lt;b&gt;CASTING&lt;/b&gt;&lt;/h5&gt;&lt;/div&gt;&lt;hr/&gt;&lt;div&gt;&lt;h5&gt;&lt;b&gt;Casting Time &lt;/b&gt;1 standard action&lt;/h5&gt;&lt;h5&gt;&lt;b&gt;Components &lt;/b&gt;V, S, M/DF (a leaf )&lt;/h5&gt;&lt;/div&gt;&lt;hr/&gt;&lt;div&gt;&lt;h5&gt;&lt;b&gt;EFFECT&lt;/b&gt;&lt;/h5&gt;&lt;/div&gt;&lt;hr/&gt;&lt;div&gt;&lt;h5&gt;&lt;b&gt;Range &lt;/b&gt;personal&lt;/h5&gt;&lt;h5&gt;&lt;b&gt;Targets &lt;/b&gt;you&lt;/h5&gt;&lt;h5&gt;&lt;b&gt;Duration &lt;/b&gt;until landing or 1 minute/level (D)&lt;/h5&gt;&lt;/div&gt;&lt;hr/&gt;&lt;div&gt;&lt;h5&gt;&lt;b&gt;DESCRIPTION&lt;/b&gt;&lt;/h5&gt;&lt;/div&gt;&lt;hr/&gt;&lt;div&gt;&lt;h4&gt;&lt;p&gt;You take no damage from falls (as if from &lt;i&gt;feather fall&lt;/i&gt;).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normal.&lt;/p&gt;&lt;/h4&gt;&lt;/div&gt;</t>
  </si>
  <si>
    <t>No fall damage, move 60 ft./round while falling.</t>
  </si>
  <si>
    <t>Grace</t>
  </si>
  <si>
    <t>cleric/oracle 2, paladin 1</t>
  </si>
  <si>
    <t>Until the end of your turn, your movement does not provoke attacks of opportunity.</t>
  </si>
  <si>
    <t>&lt;p&gt;Until the end of your turn, your movement does not provoke attacks of opportunity.&lt;/p&gt;</t>
  </si>
  <si>
    <t>&lt;link rel="stylesheet"href="PF.css"&gt;&lt;div class="heading"&gt;&lt;p class="alignleft"&gt;Grace&lt;/p&gt;&lt;div style="clear: both;"&gt;&lt;/div&gt;&lt;/div&gt;&lt;div&gt;&lt;h5&gt;&lt;b&gt;School &lt;/b&gt;abjuration; &lt;b&gt;Level &lt;/b&gt;cleric/oracle 2, paladin 1&lt;/h5&gt;&lt;/div&gt;&lt;hr/&gt;&lt;div&gt;&lt;h5&gt;&lt;b&gt;CASTING&lt;/b&gt;&lt;/h5&gt;&lt;/div&gt;&lt;hr/&gt;&lt;div&gt;&lt;h5&gt;&lt;b&gt;Casting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text&lt;/h5&gt;&lt;/div&gt;&lt;hr/&gt;&lt;div&gt;&lt;h5&gt;&lt;b&gt;DESCRIPTION&lt;/b&gt;&lt;/h5&gt;&lt;/div&gt;&lt;hr/&gt;&lt;div&gt;&lt;h4&gt;&lt;p&gt;Until the end of your turn, your movement does not provoke attacks of opportunity.&lt;/p&gt;&lt;/h4&gt;&lt;/div&gt;</t>
  </si>
  <si>
    <t>Movement doesn't provoke attacks of opportunity.</t>
  </si>
  <si>
    <t>Gravity Bow</t>
  </si>
  <si>
    <t>ranger 1, sorcerer/wizard 1, occultist 1</t>
  </si>
  <si>
    <t>Gravity bow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gravity bow (see page 145 of the Core Rulebook for more information). Only you can benefit from this spell. If anyone else uses your bow to make an attack the arrows deal damage as normal for their size.</t>
  </si>
  <si>
    <t>&lt;p&gt;&lt;i&gt;Gravity bow&lt;/i&gt;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&lt;i&gt;gravity bow&lt;/i&gt; (see page 145 of the &lt;i&gt;Core Rulebook&lt;/i&gt; for more information). Only you can benefit from this spell. If anyone else uses your bow to make an attack the arrows deal damage as normal for their size.&lt;/p&gt;</t>
  </si>
  <si>
    <t>&lt;link rel="stylesheet"href="PF.css"&gt;&lt;div class="heading"&gt;&lt;p class="alignleft"&gt;Gravity Bow&lt;/p&gt;&lt;div style="clear: both;"&gt;&lt;/div&gt;&lt;/div&gt;&lt;div&gt;&lt;h5&gt;&lt;b&gt;School &lt;/b&gt;transmutation; &lt;b&gt;Level &lt;/b&gt;ranger 1, sorcerer/wizard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(D)&lt;/h5&gt;&lt;/div&gt;&lt;hr/&gt;&lt;div&gt;&lt;h5&gt;&lt;b&gt;DESCRIPTION&lt;/b&gt;&lt;/h5&gt;&lt;/div&gt;&lt;hr/&gt;&lt;div&gt;&lt;h4&gt;&lt;p&gt;&lt;i&gt;Gravity bow&lt;/i&gt;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&lt;i&gt;gravity bow&lt;/i&gt; (see page 145 of the &lt;i&gt;Core Rulebook&lt;/i&gt; for more information). Only you can benefit from this spell. If anyone else uses your bow to make an attack the arrows deal damage as normal for their size.&lt;/p&gt;&lt;/h4&gt;&lt;/div&gt;</t>
  </si>
  <si>
    <t>Arrows do damage as though one size category bigger.</t>
  </si>
  <si>
    <t>Grove of Respite</t>
  </si>
  <si>
    <t>druid 4, ranger 4, shaman 5</t>
  </si>
  <si>
    <t>V, S, M/DF (a leaf or blade of grass and a drop of water)</t>
  </si>
  <si>
    <t>20-ft.-radius grove</t>
  </si>
  <si>
    <t>2 hours/level (D)</t>
  </si>
  <si>
    <t>You conjure a sheltered grove of trees surrounding a shallow spring. The grove appears from nowhere even in the most barren, rocky soil regardless of season, but the spell must be cast outside on open ground.  The area within the grove is temperate and comfortable, like that of a tiny hut, although the grove provides no illumination and provides no protection from the elements. The water in the grove's spring is clean and drinkable. Additionally, the trees provide a variety of ripe fruit, regardless of season, which acts as a goodberry spell for up to eight people. The grove is warded with an alarm spell that alerts you whenever any creature enters the area. Once the spell expires, the grove vanishes, including all fruit, water, and other materials from it, although any nourishment or healing gained from its effects remains.</t>
  </si>
  <si>
    <t>&lt;p&gt;You conjure a sheltered grove of trees surrounding a shallow spring. The grove appears from nowhere even in the most barren, rocky soil regardless of season, but the spell must be cast outside on open ground.&lt;/p&gt;&lt;p&gt;The area within the grove is temperate and comfortable, like that of a &lt;i&gt;tiny hut&lt;/i&gt;, although the grove provides no illumination and provides no protection from the elements. The water in the grove's spring is clean and drinkable. Additionally, the trees provide a variety of ripe fruit, regardless of season, which acts as a &lt;i&gt;goodberry&lt;/i&gt; spell for up to eight people. The grove is warded with an &lt;i&gt;alarm&lt;/i&gt; spell that alerts you whenever any creature enters the area. Once the spell expires, the grove vanishes, including all fruit, water, and other materials from it, although any nourishment or healing gained from its effects remains.&lt;/p&gt;</t>
  </si>
  <si>
    <t>&lt;link rel="stylesheet"href="PF.css"&gt;&lt;div class="heading"&gt;&lt;p class="alignleft"&gt;Grove of Respite&lt;/p&gt;&lt;div style="clear: both;"&gt;&lt;/div&gt;&lt;/div&gt;&lt;div&gt;&lt;h5&gt;&lt;b&gt;School &lt;/b&gt;conjuration (creation); &lt;b&gt;Level &lt;/b&gt;druid 4, ranger 4, shaman 5&lt;/h5&gt;&lt;/div&gt;&lt;hr/&gt;&lt;div&gt;&lt;h5&gt;&lt;b&gt;CASTING&lt;/b&gt;&lt;/h5&gt;&lt;/div&gt;&lt;hr/&gt;&lt;div&gt;&lt;h5&gt;&lt;b&gt;Casting Time &lt;/b&gt;10 minutes&lt;/h5&gt;&lt;h5&gt;&lt;b&gt;Components &lt;/b&gt;V, S, M/DF (a leaf or blade of grass and a drop of water)&lt;/h5&gt;&lt;/div&gt;&lt;hr/&gt;&lt;div&gt;&lt;h5&gt;&lt;b&gt;EFFECT&lt;/b&gt;&lt;/h5&gt;&lt;/div&gt;&lt;hr/&gt;&lt;div&gt;&lt;h5&gt;&lt;b&gt;Range &lt;/b&gt;close (25 ft. + 5 ft./2 levels)&lt;/h5&gt;&lt;h5&gt;&lt;b&gt;Effect &lt;/b&gt;20-ft.-radius grove&lt;/h5&gt;&lt;h5&gt;&lt;b&gt;Duration &lt;/b&gt;2 hours/level (D)&lt;/h5&gt;&lt;h5&gt;&lt;b&gt;Saving Throw &lt;/b&gt;none; &lt;b&gt;Spell Resistance &lt;/b&gt;no&lt;/h5&gt;&lt;/div&gt;&lt;hr/&gt;&lt;div&gt;&lt;h5&gt;&lt;b&gt;DESCRIPTION&lt;/b&gt;&lt;/h5&gt;&lt;/div&gt;&lt;hr/&gt;&lt;div&gt;&lt;h4&gt;&lt;p&gt;You conjure a sheltered grove of trees surrounding a shallow spring. The grove appears from nowhere even in the most barren, rocky soil regardless of season, but the spell must be cast outside on open ground.&lt;/p&gt;&lt;p&gt;The area within the grove is temperate and comfortable, like that of a &lt;i&gt;tiny hut&lt;/i&gt;, although the grove provides no illumination and provides no protection from the elements. The water in the grove's spring is clean and drinkable. Additionally, the trees provide a variety of ripe fruit, regardless of season, which acts as a &lt;i&gt;goodberry&lt;/i&gt; spell for up to eight people. The grove is warded with an &lt;i&gt;alarm&lt;/i&gt; spell that alerts you whenever any creature enters the area. Once the spell expires, the grove vanishes, including all fruit, water, and other materials from it, although any nourishment or healing gained from its effects remains.&lt;/p&gt;&lt;/h4&gt;&lt;/div&gt;</t>
  </si>
  <si>
    <t>Creates trees and a small spring.</t>
  </si>
  <si>
    <t>Guiding Star</t>
  </si>
  <si>
    <t>cleric/oracle 3, ranger 2, witch 3, shaman 2, psychic 3</t>
  </si>
  <si>
    <t>V, S, M (a spool of thread or string)</t>
  </si>
  <si>
    <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teleport or similar spells. You can only attune yourself to one location at a time. If you cast the spell at another spot you lose the ability to locate your original area.</t>
  </si>
  <si>
    <t>&lt;p&gt;You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&lt;i&gt;teleport or&lt;/i&gt; similar spells. You can only attune yourself to one location at a time. If you cast the spell at another spot you lose the ability to locate your original area.&lt;/p&gt;</t>
  </si>
  <si>
    <t>&lt;link rel="stylesheet"href="PF.css"&gt;&lt;div class="heading"&gt;&lt;p class="alignleft"&gt;Guiding Star&lt;/p&gt;&lt;div style="clear: both;"&gt;&lt;/div&gt;&lt;/div&gt;&lt;div&gt;&lt;h5&gt;&lt;b&gt;School &lt;/b&gt;divination; &lt;b&gt;Level &lt;/b&gt;cleric/oracle 3, ranger 2, witch 3, shaman 2, psychic 3&lt;/h5&gt;&lt;/div&gt;&lt;hr/&gt;&lt;div&gt;&lt;h5&gt;&lt;b&gt;CASTING&lt;/b&gt;&lt;/h5&gt;&lt;/div&gt;&lt;hr/&gt;&lt;div&gt;&lt;h5&gt;&lt;b&gt;Casting Time &lt;/b&gt;1 minute&lt;/h5&gt;&lt;h5&gt;&lt;b&gt;Components &lt;/b&gt;V, S, M (a spool of thread or string)&lt;/h5&gt;&lt;/div&gt;&lt;hr/&gt;&lt;div&gt;&lt;h5&gt;&lt;b&gt;EFFECT&lt;/b&gt;&lt;/h5&gt;&lt;/div&gt;&lt;hr/&gt;&lt;div&gt;&lt;h5&gt;&lt;b&gt;Range &lt;/b&gt;personal&lt;/h5&gt;&lt;h5&gt;&lt;b&gt;Targets &lt;/b&gt;you&lt;/h5&gt;&lt;h5&gt;&lt;b&gt;Duration &lt;/b&gt;1 day/level (D)&lt;/h5&gt;&lt;/div&gt;&lt;hr/&gt;&lt;div&gt;&lt;h5&gt;&lt;b&gt;DESCRIPTION&lt;/b&gt;&lt;/h5&gt;&lt;/div&gt;&lt;hr/&gt;&lt;div&gt;&lt;h4&gt;&lt;p&gt;You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&lt;i&gt;teleport or&lt;/i&gt; similar spells. You can only attune yourself to one location at a time. If you cast the spell at another spot you lose the ability to locate your original area.&lt;/p&gt;&lt;/h4&gt;&lt;/div&gt;</t>
  </si>
  <si>
    <t>Know approximate distance from where you cast this spell.</t>
  </si>
  <si>
    <t>Stars (6)</t>
  </si>
  <si>
    <t>Heroic Finale</t>
  </si>
  <si>
    <t>You must have a bardic performance in effect to cast this spell. With a flourish, you immediately end the performance, and one creature within range affected by your bardic performance can make a move action or a standard action of their choice.</t>
  </si>
  <si>
    <t>&lt;p&gt;You must have a bardic performance in effect to cast this spell. With a flourish, you immediately end the performance, and one creature within range affected by your bardic performance can make a move action or a standard action of their choice.&lt;/p&gt;</t>
  </si>
  <si>
    <t>&lt;link rel="stylesheet"href="PF.css"&gt;&lt;div class="heading"&gt;&lt;p class="alignleft"&gt;Heroic Finale&lt;/p&gt;&lt;div style="clear: both;"&gt;&lt;/div&gt;&lt;/div&gt;&lt;div&gt;&lt;h5&gt;&lt;b&gt;School &lt;/b&gt;enchantment (compulsion) [mind-affecting]; &lt;b&gt;Level &lt;/b&gt;bard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immediately end the performance, and one creature within range affected by your bardic performance can make a move action or a standard action of their choice.&lt;/p&gt;&lt;/h4&gt;&lt;/div&gt;</t>
  </si>
  <si>
    <t>Subject within range of your bardic performance can take an action.</t>
  </si>
  <si>
    <t>Hero's Defiance</t>
  </si>
  <si>
    <t>The instant before you are reduced to 0 or fewer hit points, you can expend a use of your lay on hands ability to heal yourself as if you had used lay on hands, plus an additional 1d6 hit points.  If this healing brings your hit point total above 0 hit points, you do not fall, and may continue to act. If you have no more uses of lay on hands this spell has no effect.</t>
  </si>
  <si>
    <t>&lt;p&gt;The instant before you are reduced to 0 or fewer hit points, you can expend a use of your lay on hands ability to heal yourself as if you had used lay on hands, plus an additional 1d6 hit points.&lt;/p&gt;&lt;p&gt;If this healing brings your hit point total above 0 hit points, you do not fall, and may continue to act. If you have no more uses of lay on hands this spell has no effect.&lt;/p&gt;</t>
  </si>
  <si>
    <t>&lt;link rel="stylesheet"href="PF.css"&gt;&lt;div class="heading"&gt;&lt;p class="alignleft"&gt;Hero's Defiance&lt;/p&gt;&lt;div style="clear: both;"&gt;&lt;/div&gt;&lt;/div&gt;&lt;div&gt;&lt;h5&gt;&lt;b&gt;School &lt;/b&gt;conjuration (healing); &lt;b&gt;Level &lt;/b&gt;paladin 1&lt;/h5&gt;&lt;/div&gt;&lt;hr/&gt;&lt;div&gt;&lt;h5&gt;&lt;b&gt;CASTING&lt;/b&gt;&lt;/h5&gt;&lt;/div&gt;&lt;hr/&gt;&lt;div&gt;&lt;h5&gt;&lt;b&gt;Casting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&lt;/b&gt;instantaneous&lt;/h5&gt;&lt;/div&gt;&lt;hr/&gt;&lt;div&gt;&lt;h5&gt;&lt;b&gt;DESCRIPTION&lt;/b&gt;&lt;/h5&gt;&lt;/div&gt;&lt;hr/&gt;&lt;div&gt;&lt;h4&gt;&lt;p&gt;The instant before you are reduced to 0 or fewer hit points, you can expend a use of your lay on hands ability to heal yourself as if you had used lay on hands, plus an additional 1d6 hit points.&lt;/p&gt;&lt;p&gt;If this healing brings your hit point total above 0 hit points, you do not fall, and may continue to act. If you have no more uses of lay on hands this spell has no effect.&lt;/p&gt;&lt;/h4&gt;&lt;/div&gt;</t>
  </si>
  <si>
    <t>Allows the use of lay on hands while falling unconscious.</t>
  </si>
  <si>
    <t>Hidden Speech</t>
  </si>
  <si>
    <t>bard 2, inquisitor 3, witch 2, psychic 2, mesmerist 2</t>
  </si>
  <si>
    <t>V, S, M/DF (a cipher written on a piece of parchment)</t>
  </si>
  <si>
    <t>you plus one creature/level, no two of which can be more than 30 ft. apart</t>
  </si>
  <si>
    <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t>
  </si>
  <si>
    <t>&lt;p&gt;You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messages.&lt;/p&gt;</t>
  </si>
  <si>
    <t>&lt;link rel="stylesheet"href="PF.css"&gt;&lt;div class="heading"&gt;&lt;p class="alignleft"&gt;Hidden Speech&lt;/p&gt;&lt;div style="clear: both;"&gt;&lt;/div&gt;&lt;/div&gt;&lt;div&gt;&lt;h5&gt;&lt;b&gt;School &lt;/b&gt;transmutation [language-dependent]; &lt;b&gt;Level &lt;/b&gt;bard 2, inquisitor 3, witch 2, psychic 2, mesmerist 2&lt;/h5&gt;&lt;/div&gt;&lt;hr/&gt;&lt;div&gt;&lt;h5&gt;&lt;b&gt;CASTING&lt;/b&gt;&lt;/h5&gt;&lt;/div&gt;&lt;hr/&gt;&lt;div&gt;&lt;h5&gt;&lt;b&gt;Casting Time &lt;/b&gt;1 standard action&lt;/h5&gt;&lt;h5&gt;&lt;b&gt;Components &lt;/b&gt;V, S, M/DF (a cipher written on a piece of parchment)&lt;/h5&gt;&lt;/div&gt;&lt;hr/&gt;&lt;div&gt;&lt;h5&gt;&lt;b&gt;EFFECT&lt;/b&gt;&lt;/h5&gt;&lt;/div&gt;&lt;hr/&gt;&lt;div&gt;&lt;h5&gt;&lt;b&gt;Range &lt;/b&gt;close (25 ft. + 5 ft./2 levels)&lt;/h5&gt;&lt;h5&gt;&lt;b&gt;Targets &lt;/b&gt;you plus one creature/level, no two of which can be more than 30 ft. apart&lt;/h5&gt;&lt;h5&gt;&lt;b&gt;Duration &lt;/b&gt;10 minutes/level (D)&lt;/h5&gt;&lt;h5&gt;&lt;b&gt;Saving Throw &lt;/b&gt;Will negates (harmless); &lt;b&gt;Spell Resistance &lt;/b&gt;yes&lt;/h5&gt;&lt;/div&gt;&lt;hr/&gt;&lt;div&gt;&lt;h5&gt;&lt;b&gt;DESCRIPTION&lt;/b&gt;&lt;/h5&gt;&lt;/div&gt;&lt;hr/&gt;&lt;div&gt;&lt;h4&gt;&lt;p&gt;You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messages.&lt;/p&gt;&lt;/h4&gt;&lt;/div&gt;</t>
  </si>
  <si>
    <t>Gain +10 on Bluff to send secret messages.</t>
  </si>
  <si>
    <t>Hide Campsite</t>
  </si>
  <si>
    <t>V, S, M (a sprig of mistletoe, and a vial of quicksilver)</t>
  </si>
  <si>
    <t>one 20-ft. cube</t>
  </si>
  <si>
    <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t>
  </si>
  <si>
    <t>&lt;p&gt;You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normally.&lt;/p&gt;</t>
  </si>
  <si>
    <t>&lt;link rel="stylesheet"href="PF.css"&gt;&lt;div class="heading"&gt;&lt;p class="alignleft"&gt;Hide Campsite&lt;/p&gt;&lt;div style="clear: both;"&gt;&lt;/div&gt;&lt;/div&gt;&lt;div&gt;&lt;h5&gt;&lt;b&gt;School &lt;/b&gt;illusion (glamer); &lt;b&gt;Level &lt;/b&gt;druid 3, ranger 2&lt;/h5&gt;&lt;/div&gt;&lt;hr/&gt;&lt;div&gt;&lt;h5&gt;&lt;b&gt;CASTING&lt;/b&gt;&lt;/h5&gt;&lt;/div&gt;&lt;hr/&gt;&lt;div&gt;&lt;h5&gt;&lt;b&gt;Casting Time &lt;/b&gt;10 minutes&lt;/h5&gt;&lt;h5&gt;&lt;b&gt;Components &lt;/b&gt;V, S, M (a sprig of mistletoe, and a vial of quicksilver)&lt;/h5&gt;&lt;/div&gt;&lt;hr/&gt;&lt;div&gt;&lt;h5&gt;&lt;b&gt;EFFECT&lt;/b&gt;&lt;/h5&gt;&lt;/div&gt;&lt;hr/&gt;&lt;div&gt;&lt;h5&gt;&lt;b&gt;Range &lt;/b&gt;close (25 ft. + 5 ft./2 levels)&lt;/h5&gt;&lt;h5&gt;&lt;b&gt;Area &lt;/b&gt;one 20-ft. cube&lt;/h5&gt;&lt;h5&gt;&lt;b&gt;Duration &lt;/b&gt;2 hours/level (D)&lt;/h5&gt;&lt;h5&gt;&lt;b&gt;Saving Throw &lt;/b&gt;Will disbelief (if interacted with); &lt;b&gt;Spell Resistance &lt;/b&gt;no&lt;/h5&gt;&lt;/div&gt;&lt;hr/&gt;&lt;div&gt;&lt;h5&gt;&lt;b&gt;DESCRIPTION&lt;/b&gt;&lt;/h5&gt;&lt;/div&gt;&lt;hr/&gt;&lt;div&gt;&lt;h4&gt;&lt;p&gt;You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normally.&lt;/p&gt;&lt;/h4&gt;&lt;/div&gt;</t>
  </si>
  <si>
    <t>Hides all traces of your campsite.</t>
  </si>
  <si>
    <t>Holy Whisper</t>
  </si>
  <si>
    <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t>
  </si>
  <si>
    <t>&lt;p&gt;You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round.&lt;/p&gt;</t>
  </si>
  <si>
    <t>&lt;link rel="stylesheet"href="PF.css"&gt;&lt;div class="heading"&gt;&lt;p class="alignleft"&gt;Holy Whisper&lt;/p&gt;&lt;div style="clear: both;"&gt;&lt;/div&gt;&lt;/div&gt;&lt;div&gt;&lt;h5&gt;&lt;b&gt;School &lt;/b&gt;evocation [good]; &lt;b&gt;Level &lt;/b&gt;paladin 3&lt;/h5&gt;&lt;/div&gt;&lt;hr/&gt;&lt;div&gt;&lt;h5&gt;&lt;b&gt;CASTING&lt;/b&gt;&lt;/h5&gt;&lt;/div&gt;&lt;hr/&gt;&lt;div&gt;&lt;h5&gt;&lt;b&gt;Casting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&lt;/b&gt;Fortitude negates; see text; &lt;b&gt;Spell Resistance &lt;/b&gt;yes&lt;/h5&gt;&lt;/div&gt;&lt;hr/&gt;&lt;div&gt;&lt;h5&gt;&lt;b&gt;DESCRIPTION&lt;/b&gt;&lt;/h5&gt;&lt;/div&gt;&lt;hr/&gt;&lt;div&gt;&lt;h4&gt;&lt;p&gt;You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round.&lt;/p&gt;&lt;/h4&gt;&lt;/div&gt;</t>
  </si>
  <si>
    <t>Whisper sickens evil creatures, gives good creatures bonuses.</t>
  </si>
  <si>
    <t>Honeyed Tongue</t>
  </si>
  <si>
    <t>bard 2, inquisitor 2, paladin 1, mesmerist 2</t>
  </si>
  <si>
    <t>V, M/DF (a drop of honey)</t>
  </si>
  <si>
    <t>This spell augments your diplomacies. While under the effects of spell, you roll two dice each time you make a Diplomacy check to change a creature's attitude, taking the highest roll.  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t>
  </si>
  <si>
    <t>&lt;p&gt;This spell augments your diplomacies. While under the effects of spell, you roll two dice each time you make a Diplomacy check to change a creature's attitude, taking the highest roll.&lt;/p&gt;&lt;p&gt;If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check.&lt;/p&gt;</t>
  </si>
  <si>
    <t>&lt;link rel="stylesheet"href="PF.css"&gt;&lt;div class="heading"&gt;&lt;p class="alignleft"&gt;Honeyed Tongue&lt;/p&gt;&lt;div style="clear: both;"&gt;&lt;/div&gt;&lt;/div&gt;&lt;div&gt;&lt;h5&gt;&lt;b&gt;School &lt;/b&gt;transmutation; &lt;b&gt;Level &lt;/b&gt;bard 2, inquisitor 2, paladin 1, mesmerist 2&lt;/h5&gt;&lt;/div&gt;&lt;hr/&gt;&lt;div&gt;&lt;h5&gt;&lt;b&gt;CASTING&lt;/b&gt;&lt;/h5&gt;&lt;/div&gt;&lt;hr/&gt;&lt;div&gt;&lt;h5&gt;&lt;b&gt;Casting Time &lt;/b&gt;1 standard action&lt;/h5&gt;&lt;h5&gt;&lt;b&gt;Components &lt;/b&gt;V, M/DF (a drop of honey)&lt;/h5&gt;&lt;/div&gt;&lt;hr/&gt;&lt;div&gt;&lt;h5&gt;&lt;b&gt;EFFECT&lt;/b&gt;&lt;/h5&gt;&lt;/div&gt;&lt;hr/&gt;&lt;div&gt;&lt;h5&gt;&lt;b&gt;Range &lt;/b&gt;personal&lt;/h5&gt;&lt;h5&gt;&lt;b&gt;Targets &lt;/b&gt;you&lt;/h5&gt;&lt;h5&gt;&lt;b&gt;Duration &lt;/b&gt;10 minutes/level&lt;/h5&gt;&lt;/div&gt;&lt;hr/&gt;&lt;div&gt;&lt;h5&gt;&lt;b&gt;DESCRIPTION&lt;/b&gt;&lt;/h5&gt;&lt;/div&gt;&lt;hr/&gt;&lt;div&gt;&lt;h4&gt;&lt;p&gt;This spell augments your diplomacies. While under the effects of spell, you roll two dice each time you make a Diplomacy check to change a creature's attitude, taking the highest roll.&lt;/p&gt;&lt;p&gt;If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check.&lt;/p&gt;&lt;/h4&gt;&lt;/div&gt;</t>
  </si>
  <si>
    <t>Roll 2 dice when using Diplomacy, take higher roll.</t>
  </si>
  <si>
    <t>Hungry Pit</t>
  </si>
  <si>
    <t>sorcerer/wizard 5, summoner 5</t>
  </si>
  <si>
    <t>Reflex negates; Reflex half; see text</t>
  </si>
  <si>
    <t>This spell functions as create pit,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t>
  </si>
  <si>
    <t>&lt;p&gt;This spell functions as &lt;i&gt;create pit&lt;/i&gt;,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35.&lt;/p&gt;</t>
  </si>
  <si>
    <t>&lt;link rel="stylesheet"href="PF.css"&gt;&lt;div class="heading"&gt;&lt;p class="alignleft"&gt;Hungry Pit&lt;/p&gt;&lt;div style="clear: both;"&gt;&lt;/div&gt;&lt;/div&gt;&lt;div&gt;&lt;h5&gt;&lt;b&gt;School &lt;/b&gt;conjuration (creation); &lt;b&gt;Level &lt;/b&gt;sorcerer/wizard 5, summoner 5&lt;/h5&gt;&lt;/div&gt;&lt;hr/&gt;&lt;div&gt;&lt;h5&gt;&lt;b&gt;CASTING&lt;/b&gt;&lt;/h5&gt;&lt;/div&gt;&lt;hr/&gt;&lt;div&gt;&lt;h5&gt;&lt;b&gt;Casting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Reflex half; see text; &lt;b&gt;Spell Resistance &lt;/b&gt;no&lt;/h5&gt;&lt;/div&gt;&lt;hr/&gt;&lt;div&gt;&lt;h5&gt;&lt;b&gt;DESCRIPTION&lt;/b&gt;&lt;/h5&gt;&lt;/div&gt;&lt;hr/&gt;&lt;div&gt;&lt;h4&gt;&lt;p&gt;This spell functions as &lt;i&gt;create pit&lt;/i&gt;,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35.&lt;/p&gt;&lt;/h4&gt;&lt;/div&gt;</t>
  </si>
  <si>
    <t>Caves (6)</t>
  </si>
  <si>
    <t>As create pit, but dealing 4d6 damage to those in it as it closes.</t>
  </si>
  <si>
    <t>Hydraulic Push</t>
  </si>
  <si>
    <t>druid 1, sorcerer/wizard 1, magus 1, bloodrager 1, shaman 1</t>
  </si>
  <si>
    <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Hydraulic push extinguishes any normal fires on a creature, object, or in a single 5-foot square which it is targeted against. Magical fires are unaffected.</t>
  </si>
  <si>
    <t>&lt;p&gt;You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&lt;i&gt;Hydraulic push&lt;/i&gt; extinguishes any normal fires on a creature, object, or in a single 5-foot square which it is targeted against. Magical fires are unaffected.&lt;/p&gt;</t>
  </si>
  <si>
    <t>&lt;link rel="stylesheet"href="PF.css"&gt;&lt;div class="heading"&gt;&lt;p class="alignleft"&gt;Hydraulic Push&lt;/p&gt;&lt;div style="clear: both;"&gt;&lt;/div&gt;&lt;/div&gt;&lt;div&gt;&lt;h5&gt;&lt;b&gt;School &lt;/b&gt;evocation [water]; &lt;b&gt;Level &lt;/b&gt;druid 1, sorcerer/wizard 1, magus 1, bloodrager 1, shaman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&lt;/b&gt;instantaneous&lt;/h5&gt;&lt;h5&gt;&lt;b&gt;Saving Throw &lt;/b&gt;none; &lt;b&gt;Spell Resistance &lt;/b&gt;yes&lt;/h5&gt;&lt;/div&gt;&lt;hr/&gt;&lt;div&gt;&lt;h5&gt;&lt;b&gt;DESCRIPTION&lt;/b&gt;&lt;/h5&gt;&lt;/div&gt;&lt;hr/&gt;&lt;div&gt;&lt;h4&gt;&lt;p&gt;You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&lt;i&gt;Hydraulic push&lt;/i&gt; extinguishes any normal fires on a creature, object, or in a single 5-foot square which it is targeted against. Magical fires are unaffected.&lt;/p&gt;&lt;/h4&gt;&lt;h5&gt;&lt;b&gt;Mythic: &lt;/b&gt;The water is boiling hot or freezing cold, dealing 1d6 points of fire or cold damage per 2 caster levels. Add your tier to your CMB for the spell.&lt;/h5&gt;&lt;/div&gt;</t>
  </si>
  <si>
    <t>Rivers (1)</t>
  </si>
  <si>
    <t>Wave of water bull rushes an enemy.</t>
  </si>
  <si>
    <t>Aquatic (3)</t>
  </si>
  <si>
    <t>The water is boiling hot or freezing cold, dealing 1d6 points of fire or cold damage per 2 caster levels. Add your tier to your CMB for the spell.</t>
  </si>
  <si>
    <t>Hydraulic Torrent</t>
  </si>
  <si>
    <t>druid 3, sorcerer/wizard 3, magus 3, bloodrager 3</t>
  </si>
  <si>
    <t>60-ft. line</t>
  </si>
  <si>
    <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  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Pathfinder RPG Core Rulebook lists several sample Break DCs for various objects.  Hydraulic torrent extinguishes any normal fires it encounters along its path. Magical fires are unaffected.</t>
  </si>
  <si>
    <t>&lt;p&gt;You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opportunity.&lt;/p&gt;&lt;p&gt;Against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&lt;i&gt;Pathfinder RPG &lt;i&gt;Core Rulebook&lt;/i&gt;&lt;/i&gt; lists several sample Break DCs for various objects.&lt;/p&gt;&lt;p&gt;&lt;i&gt;Hydraulic torrent&lt;/i&gt; extinguishes any normal fires it encounters along its path. Magical fires are unaffected.&lt;/p&gt;</t>
  </si>
  <si>
    <t>&lt;link rel="stylesheet"href="PF.css"&gt;&lt;div class="heading"&gt;&lt;p class="alignleft"&gt;Hydraulic Torrent&lt;/p&gt;&lt;div style="clear: both;"&gt;&lt;/div&gt;&lt;/div&gt;&lt;div&gt;&lt;h5&gt;&lt;b&gt;School &lt;/b&gt;evocation [water]; &lt;b&gt;Level &lt;/b&gt;druid 3, sorcerer/wizard 3, magus 3, bloodrager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line&lt;/h5&gt;&lt;h5&gt;&lt;b&gt;Duration &lt;/b&gt;instantaneous&lt;/h5&gt;&lt;h5&gt;&lt;b&gt;Saving Throw &lt;/b&gt;none; &lt;b&gt;Spell Resistance &lt;/b&gt;yes&lt;/h5&gt;&lt;/div&gt;&lt;hr/&gt;&lt;div&gt;&lt;h5&gt;&lt;b&gt;DESCRIPTION&lt;/b&gt;&lt;/h5&gt;&lt;/div&gt;&lt;hr/&gt;&lt;div&gt;&lt;h4&gt;&lt;p&gt;You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opportunity.&lt;/p&gt;&lt;p&gt;Against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&lt;i&gt;Pathfinder RPG &lt;i&gt;Core Rulebook&lt;/i&gt;&lt;/i&gt; lists several sample Break DCs for various objects.&lt;/p&gt;&lt;p&gt;&lt;i&gt;Hydraulic torrent&lt;/i&gt; extinguishes any normal fires it encounters along its path. Magical fires are unaffected.&lt;/p&gt;&lt;/h4&gt;&lt;h5&gt;&lt;b&gt;Mythic: &lt;/b&gt;The water is boiling hot or freezing cold, dealing 1d6 points of fire or cold damage per 2 caster levels. Add your tier to your CMB for the spell and on the Strength check to destroy immovable targets.&lt;/h5&gt;&lt;h5&gt;&lt;b&gt;Augmented (3rd)&lt;/b&gt;: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spell.&lt;/h5&gt;&lt;/div&gt;</t>
  </si>
  <si>
    <t>Creates torrent of water that bull rushes any creature in its path.</t>
  </si>
  <si>
    <t>The water is boiling hot or freezing cold, dealing 1d6 points of fire or cold damage per 2 caster levels. Add your tier to your CMB for the spell and on the Strength check to destroy immovable targets.</t>
  </si>
  <si>
    <t>Augmented (3rd):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t>
  </si>
  <si>
    <t>Ill Omen</t>
  </si>
  <si>
    <t>witch 1, psychic 1, mesmerist 1</t>
  </si>
  <si>
    <t>V, S, M (hair from a black cat)</t>
  </si>
  <si>
    <t>1 round/level or until discharged</t>
  </si>
  <si>
    <t>You afflict the target with bad luck. On the next d20 roll the target makes, it must roll twice and take the less favorable result. For every five caster levels you have, the target must roll twice on an additional d20 roll (to a maximum of five rolls at 20th level).  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t>
  </si>
  <si>
    <t>&lt;p&gt;You afflict the target with bad luck. On the next d20 roll the target makes, it must roll twice and take the less favorable result. For every five caster levels you have, the target must roll twice on an additional d20 roll (to a maximum of five rolls at 20th level).&lt;/p&gt;&lt;p&gt;A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fortune.&lt;/p&gt;</t>
  </si>
  <si>
    <t>&lt;link rel="stylesheet"href="PF.css"&gt;&lt;div class="heading"&gt;&lt;p class="alignleft"&gt;Ill Omen&lt;/p&gt;&lt;div style="clear: both;"&gt;&lt;/div&gt;&lt;/div&gt;&lt;div&gt;&lt;h5&gt;&lt;b&gt;School &lt;/b&gt;enchantment (compulsion) [mind-affecting]; &lt;b&gt;Level &lt;/b&gt;witch 1, psychic 1, mesmerist 1&lt;/h5&gt;&lt;/div&gt;&lt;hr/&gt;&lt;div&gt;&lt;h5&gt;&lt;b&gt;CASTING&lt;/b&gt;&lt;/h5&gt;&lt;/div&gt;&lt;hr/&gt;&lt;div&gt;&lt;h5&gt;&lt;b&gt;Casting Time &lt;/b&gt;1 standard action&lt;/h5&gt;&lt;h5&gt;&lt;b&gt;Components &lt;/b&gt;V, S, M (hair from a black cat)&lt;/h5&gt;&lt;/div&gt;&lt;hr/&gt;&lt;div&gt;&lt;h5&gt;&lt;b&gt;EFFECT&lt;/b&gt;&lt;/h5&gt;&lt;/div&gt;&lt;hr/&gt;&lt;div&gt;&lt;h5&gt;&lt;b&gt;Range &lt;/b&gt;close (25 ft. + 5 ft./2 levels)&lt;/h5&gt;&lt;h5&gt;&lt;b&gt;Targets &lt;/b&gt;one creature&lt;/h5&gt;&lt;h5&gt;&lt;b&gt;Duration &lt;/b&gt;1 round/level or until discharged&lt;/h5&gt;&lt;h5&gt;&lt;b&gt;Saving Throw &lt;/b&gt;none; &lt;b&gt;Spell Resistance &lt;/b&gt;yes&lt;/h5&gt;&lt;/div&gt;&lt;hr/&gt;&lt;div&gt;&lt;h5&gt;&lt;b&gt;DESCRIPTION&lt;/b&gt;&lt;/h5&gt;&lt;/div&gt;&lt;hr/&gt;&lt;div&gt;&lt;h4&gt;&lt;p&gt;You afflict the target with bad luck. On the next d20 roll the target makes, it must roll twice and take the less favorable result. For every five caster levels you have, the target must roll twice on an additional d20 roll (to a maximum of five rolls at 20th level).&lt;/p&gt;&lt;p&gt;A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fortune.&lt;/p&gt;&lt;/h4&gt;&lt;h5&gt;&lt;b&gt;Mythic: &lt;/b&gt;For the target's unlucky d20 rolls, it must roll three times and take the lowest result. Spending a move action to utter a prayer or good luck charm allows the target to roll twice instead of three times.&lt;/h5&gt;&lt;h5&gt;&lt;b&gt;Augmented (4th)&lt;/b&gt;: If you expend two uses of mythic power, you afflict the target with especially foul luck. Any natural 20 it rolls counts as a natural 1 instead.&lt;/h5&gt;&lt;/div&gt;</t>
  </si>
  <si>
    <t>Target rolls twice for checks and attacks and uses worst roll.</t>
  </si>
  <si>
    <t>Harrow (3)</t>
  </si>
  <si>
    <t>For the target's unlucky d20 rolls, it must roll three times and take the lowest result. Spending a move action to utter a prayer or good luck charm allows the target to roll twice instead of three times.</t>
  </si>
  <si>
    <t>Augmented (4th): If you expend two uses of mythic power, you afflict the target with especially foul luck. Any natural 20 it rolls counts as a natural 1 instead.</t>
  </si>
  <si>
    <t>Innocence</t>
  </si>
  <si>
    <t>bard 1, mesmerist 1</t>
  </si>
  <si>
    <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t>
  </si>
  <si>
    <t>&lt;p&gt;You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blamelessness.&lt;/p&gt;</t>
  </si>
  <si>
    <t>&lt;link rel="stylesheet"href="PF.css"&gt;&lt;div class="heading"&gt;&lt;p class="alignleft"&gt;Innocence&lt;/p&gt;&lt;div style="clear: both;"&gt;&lt;/div&gt;&lt;/div&gt;&lt;div&gt;&lt;h5&gt;&lt;b&gt;School &lt;/b&gt;transmutation; &lt;b&gt;Level &lt;/b&gt;bard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blamelessness.&lt;/p&gt;&lt;/h4&gt;&lt;/div&gt;</t>
  </si>
  <si>
    <t>Gain +10 on Bluff checks to seem innocent.</t>
  </si>
  <si>
    <t>Instant Armor</t>
  </si>
  <si>
    <t>cleric/oracle 2, paladin 2, psychic 2</t>
  </si>
  <si>
    <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instant armor disappears. Instant armor acts in all ways as armor typical of its type (armor bonus, maximum Dexterity bonus, arcane spell failure chance, and so on). Since instant armor is made of force, incorporeal creatures can't bypass it the way they do normal armor. The sort of armor you can create with this spell depends on your caster level. Caster Level Armor Created 5th or lower chainmail 6th-8th banded mail 9th-11th half-plate 12th or higher full plate If you choose to create lesser armor than your level allows you gain a +1 magical enhancement bonus to the armor you do create for every type of armor you pass over. For instance, if you have the capacity to create full plate instant armor you could instead choose to create +1 half-plate, +2 banded mail, or +3 chainmail. You cannot replace these bonuses with armor special properties.</t>
  </si>
  <si>
    <t>&lt;p&gt;You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&lt;i&gt;instant armor&lt;/i&gt; disappears.&lt;/p&gt;&lt;p&gt;&lt;i&gt;Instant armor&lt;/i&gt; acts in all ways as armor typical of its type (armor bonus, maximum Dexterity bonus, arcane spell failure chance, and so on). Since &lt;i&gt;instant armor&lt;/i&gt; is made of force, incorporeal creatures can't bypass it the way they do normal armor. The sort of armor you can create with this spell depends on your caster level.&lt;/p&gt;&lt;p&gt; &lt;table&gt;&lt;tr&gt;&lt;th&gt;Caster Level&lt;/th&gt;&lt;th&gt;Armor Created&lt;/th&gt;&lt;/tr&gt;&lt;tr&gt;&lt;td&gt;5th or lower&lt;/td&gt;&lt;td&gt;chainmail&lt;/td&gt;&lt;/tr&gt;&lt;tr&gt;&lt;td&gt;6th-8th banded&lt;/td&gt;&lt;td&gt;mail&lt;/td&gt;&lt;/tr&gt;&lt;tr&gt;&lt;td&gt;9th-11th&lt;/td&gt;&lt;td&gt;half-plate&lt;/td&gt;&lt;/tr&gt;&lt;tr&gt;&lt;td&gt;12th or higher&lt;/td&gt;&lt;td&gt;full plate&lt;/td&gt;&lt;/tr&gt;&lt;/table&gt;  If you choose to create lesser armor than your level allows you gain a +1 magical enhancement bonus to the armor you do create for every type of armor you pass over. For instance, if you have the capacity to create full plate &lt;i&gt;instant armor&lt;/i&gt; you could instead choose to create &lt;i&gt;+1 half-plate&lt;/i&gt;, &lt;i&gt;+2 banded mail&lt;/i&gt;, or &lt;i&gt;+3 chainmail&lt;/i&gt;. You cannot replace these bonuses with armor special properties.&lt;/p&gt;</t>
  </si>
  <si>
    <t>&lt;link rel="stylesheet"href="PF.css"&gt;&lt;div class="heading"&gt;&lt;p class="alignleft"&gt;Instant Armor&lt;/p&gt;&lt;div style="clear: both;"&gt;&lt;/div&gt;&lt;/div&gt;&lt;div&gt;&lt;h5&gt;&lt;b&gt;School &lt;/b&gt;conjuration (creation) [force]; &lt;b&gt;Level &lt;/b&gt;cleric/oracle 2, paladin 2, psychic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(D)&lt;/h5&gt;&lt;/div&gt;&lt;hr/&gt;&lt;div&gt;&lt;h5&gt;&lt;b&gt;DESCRIPTION&lt;/b&gt;&lt;/h5&gt;&lt;/div&gt;&lt;hr/&gt;&lt;div&gt;&lt;h4&gt;&lt;p&gt;You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&lt;i&gt;instant armor&lt;/i&gt; disappears.&lt;/p&gt;&lt;p&gt;&lt;i&gt;Instant armor&lt;/i&gt; acts in all ways as armor typical of its type (armor bonus, maximum Dexterity bonus, arcane spell failure chance, and so on). Since &lt;i&gt;instant armor&lt;/i&gt; is made of force, incorporeal creatures can't bypass it the way they do normal armor. The sort of armor you can create with this spell depends on your caster level.&lt;/p&gt;&lt;p&gt; &lt;table&gt;&lt;tr&gt;&lt;th&gt;Caster Level&lt;/th&gt;&lt;th&gt;Armor Created&lt;/th&gt;&lt;/tr&gt;&lt;tr&gt;&lt;td&gt;5th or lower&lt;/td&gt;&lt;td&gt;chainmail&lt;/td&gt;&lt;/tr&gt;&lt;tr&gt;&lt;td&gt;6th-8th banded&lt;/td&gt;&lt;td&gt;mail&lt;/td&gt;&lt;/tr&gt;&lt;tr&gt;&lt;td&gt;9th-11th&lt;/td&gt;&lt;td&gt;half-plate&lt;/td&gt;&lt;/tr&gt;&lt;tr&gt;&lt;td&gt;12th or higher&lt;/td&gt;&lt;td&gt;full plate&lt;/td&gt;&lt;/tr&gt;&lt;/table&gt;  If you choose to create lesser armor than your level allows you gain a +1 magical enhancement bonus to the armor you do create for every type of armor you pass over. For instance, if you have the capacity to create full plate &lt;i&gt;instant armor&lt;/i&gt; you could instead choose to create &lt;i&gt;+1 half-plate&lt;/i&gt;, &lt;i&gt;+2 banded mail&lt;/i&gt;, or &lt;i&gt;+3 chainmail&lt;/i&gt;. You cannot replace these bonuses with armor special properties.&lt;/p&gt;&lt;/h4&gt;&lt;/div&gt;</t>
  </si>
  <si>
    <t>Summon armor temporarily replacing your current attire.</t>
  </si>
  <si>
    <t>Instant Enemy</t>
  </si>
  <si>
    <t>ranger 3</t>
  </si>
  <si>
    <t>one creature that is not your favored enemy.</t>
  </si>
  <si>
    <t>With this spell you designate the target as your favored enemy for the remainder of its duration. Select one of your favored enemy types. For the duration of the spell, you treat the target as if it were that type of favored enemy for all purposes.</t>
  </si>
  <si>
    <t>&lt;p&gt;With this spell you designate the target as your favored enemy for the remainder of its duration. Select one of your favored enemy types. For the duration of the spell, you treat the target as if it were that type of favored enemy for all purposes.&lt;/p&gt;</t>
  </si>
  <si>
    <t>&lt;link rel="stylesheet"href="PF.css"&gt;&lt;div class="heading"&gt;&lt;p class="alignleft"&gt;Instant Enemy&lt;/p&gt;&lt;div style="clear: both;"&gt;&lt;/div&gt;&lt;/div&gt;&lt;div&gt;&lt;h5&gt;&lt;b&gt;School &lt;/b&gt;enchantment; &lt;b&gt;Level &lt;/b&gt;ranger 3&lt;/h5&gt;&lt;/div&gt;&lt;hr/&gt;&lt;div&gt;&lt;h5&gt;&lt;b&gt;CASTING&lt;/b&gt;&lt;/h5&gt;&lt;/div&gt;&lt;hr/&gt;&lt;div&gt;&lt;h5&gt;&lt;b&gt;Casting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&lt;/b&gt;one creature that is not your favored enemy.&lt;/h5&gt;&lt;h5&gt;&lt;b&gt;Duration &lt;/b&gt;1 minute/level&lt;/h5&gt;&lt;h5&gt;&lt;b&gt;Saving Throw &lt;/b&gt;none; &lt;b&gt;Spell Resistance &lt;/b&gt;no&lt;/h5&gt;&lt;/div&gt;&lt;hr/&gt;&lt;div&gt;&lt;h5&gt;&lt;b&gt;DESCRIPTION&lt;/b&gt;&lt;/h5&gt;&lt;/div&gt;&lt;hr/&gt;&lt;div&gt;&lt;h4&gt;&lt;p&gt;With this spell you designate the target as your favored enemy for the remainder of its duration. Select one of your favored enemy types. For the duration of the spell, you treat the target as if it were that type of favored enemy for all purposes.&lt;/p&gt;&lt;/h4&gt;&lt;/div&gt;</t>
  </si>
  <si>
    <t>Target is treated as a favored enemy type of your choice.</t>
  </si>
  <si>
    <t>Invigorate</t>
  </si>
  <si>
    <t>This spell banishes feelings of weariness. For the duration, the subject takes no penalties from the fatigued or exhausted conditions. The effect of invigorate is merely an illusion, however, not a substitute for actual rest or respite. When the spell ends, the subject takes 1d6 points of nonlethal damage, along with the return of the original condition(s). A creature can be under the effects of only one invigorate spell at a time; if it is cast a second time on that creature, the first immediately ends.</t>
  </si>
  <si>
    <t>&lt;p&gt;This spell banishes feelings of weariness. For the duration, the subject takes no penalties from the fatigued or exhausted conditions. The effect of &lt;i&gt;invigorate&lt;/i&gt; is merely an illusion, however, not a substitute for actual rest or respite. When the spell ends, the subject takes 1d6 points of nonlethal damage, along with the return of the original condition(s). A creature can be under the effects of only one &lt;i&gt;invigorate&lt;/i&gt; spell at a time; if it is cast a second time on that creature, the first immediately ends.&lt;/p&gt;</t>
  </si>
  <si>
    <t>&lt;link rel="stylesheet"href="PF.css"&gt;&lt;div class="heading"&gt;&lt;p class="alignleft"&gt;Invigorate&lt;/p&gt;&lt;div style="clear: both;"&gt;&lt;/div&gt;&lt;/div&gt;&lt;div&gt;&lt;h5&gt;&lt;b&gt;School &lt;/b&gt;illusion [figment]; &lt;b&gt;Level &lt;/b&gt;bard 1, psychic 1, mesmerist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(harmless)&lt;/h5&gt;&lt;/div&gt;&lt;hr/&gt;&lt;div&gt;&lt;h5&gt;&lt;b&gt;DESCRIPTION&lt;/b&gt;&lt;/h5&gt;&lt;/div&gt;&lt;hr/&gt;&lt;div&gt;&lt;h4&gt;&lt;p&gt;This spell banishes feelings of weariness. For the duration, the subject takes no penalties from the fatigued or exhausted conditions. The effect of &lt;i&gt;invigorate&lt;/i&gt; is merely an illusion, however, not a substitute for actual rest or respite. When the spell ends, the subject takes 1d6 points of nonlethal damage, along with the return of the original condition(s). A creature can be under the effects of only one &lt;i&gt;invigorate&lt;/i&gt; spell at a time; if it is cast a second time on that creature, the first immediately ends.&lt;/p&gt;&lt;/h4&gt;&lt;/div&gt;</t>
  </si>
  <si>
    <t>Temporarily relieves fatigue or exhaustion.</t>
  </si>
  <si>
    <t>Invigorate, Mass</t>
  </si>
  <si>
    <t>bard 3, psychic 4, mesmerist 3</t>
  </si>
  <si>
    <t>creatures touched, up to one/level</t>
  </si>
  <si>
    <t>This spell work as invigorate, except it affects multiple creatures.</t>
  </si>
  <si>
    <t>&lt;p&gt;This spell work as &lt;i&gt;invigorate&lt;/i&gt;, except it affects multiple creatures.&lt;/p&gt;</t>
  </si>
  <si>
    <t>&lt;link rel="stylesheet"href="PF.css"&gt;&lt;div class="heading"&gt;&lt;p class="alignleft"&gt;Invigorate, Mass&lt;/p&gt;&lt;div style="clear: both;"&gt;&lt;/div&gt;&lt;/div&gt;&lt;div&gt;&lt;h5&gt;&lt;b&gt;School &lt;/b&gt;illusion [figment]; &lt;b&gt;Level &lt;/b&gt;bard 3, psychic 4, mesmerist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&lt;/b&gt;creatures touched, up to one/level&lt;/h5&gt;&lt;h5&gt;&lt;b&gt;Duration &lt;/b&gt;10 minutes/level (D)&lt;/h5&gt;&lt;h5&gt;&lt;b&gt;Saving Throw &lt;/b&gt;Will negates (harmless); &lt;b&gt;Spell Resistance &lt;/b&gt;yes (harmless)&lt;/h5&gt;&lt;/div&gt;&lt;hr/&gt;&lt;div&gt;&lt;h5&gt;&lt;b&gt;DESCRIPTION&lt;/b&gt;&lt;/h5&gt;&lt;/div&gt;&lt;hr/&gt;&lt;div&gt;&lt;h4&gt;&lt;p&gt;This spell work as &lt;i&gt;invigorate&lt;/i&gt;, except it affects multiple creatures.&lt;/p&gt;&lt;/h4&gt;&lt;/div&gt;</t>
  </si>
  <si>
    <t>As invigorate, but multiple creatures.</t>
  </si>
  <si>
    <t>Jester's Jaunt</t>
  </si>
  <si>
    <t>instantiations</t>
  </si>
  <si>
    <t>You teleport the target to a space you can see within 30 feet of the target. The destination must be on solid ground, and the teleportation cannot end in a space that is by nature hazardous to the creature you are teleporting.</t>
  </si>
  <si>
    <t>&lt;p&gt;You teleport the target to a space you can see within 30 feet of the target. The destination must be on solid ground, and the teleportation cannot end in a space that is by nature hazardous to the creature you are teleporting.&lt;/p&gt;</t>
  </si>
  <si>
    <t>&lt;link rel="stylesheet"href="PF.css"&gt;&lt;div class="heading"&gt;&lt;p class="alignleft"&gt;Jester's Jaunt&lt;/p&gt;&lt;div style="clear: both;"&gt;&lt;/div&gt;&lt;/div&gt;&lt;div&gt;&lt;h5&gt;&lt;b&gt;School &lt;/b&gt;conjuration (teleportation); &lt;b&gt;Level &lt;/b&gt;bard 3, mesmerist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creature&lt;/h5&gt;&lt;h5&gt;&lt;b&gt;Duration &lt;/b&gt;instantiations&lt;/h5&gt;&lt;h5&gt;&lt;b&gt;Saving Throw &lt;/b&gt;Will negates; &lt;b&gt;Spell Resistance &lt;/b&gt;yes&lt;/h5&gt;&lt;/div&gt;&lt;hr/&gt;&lt;div&gt;&lt;h5&gt;&lt;b&gt;DESCRIPTION&lt;/b&gt;&lt;/h5&gt;&lt;/div&gt;&lt;hr/&gt;&lt;div&gt;&lt;h4&gt;&lt;p&gt;You teleport the target to a space you can see within 30 feet of the target. The destination must be on solid ground, and the teleportation cannot end in a space that is by nature hazardous to the creature you are teleporting.&lt;/p&gt;&lt;/h4&gt;&lt;/div&gt;</t>
  </si>
  <si>
    <t>Teleport target within 30 ft. of itself.</t>
  </si>
  <si>
    <t>Keen Senses</t>
  </si>
  <si>
    <t>alchemist 1, druid 1, ranger 1, occultist 1</t>
  </si>
  <si>
    <t>V, M/DF (a hawk's feather)</t>
  </si>
  <si>
    <t>The subject gains a +2 competence bonus on Perception checks and gains low-light vision. Subjects that have low-light vision double the distance they can see under the effects of this spell.</t>
  </si>
  <si>
    <t>&lt;p&gt;The subject gains a +2 competence bonus on Perception checks and gains low-light vision. Subjects that have low-light vision double the distance they can see under the effects of this spell.&lt;/p&gt;</t>
  </si>
  <si>
    <t>&lt;link rel="stylesheet"href="PF.css"&gt;&lt;div class="heading"&gt;&lt;p class="alignleft"&gt;Keen Senses&lt;/p&gt;&lt;div style="clear: both;"&gt;&lt;/div&gt;&lt;/div&gt;&lt;div&gt;&lt;h5&gt;&lt;b&gt;School &lt;/b&gt;transmutation; &lt;b&gt;Level &lt;/b&gt;alchemist 1, druid 1, ranger 1, occultist 1&lt;/h5&gt;&lt;/div&gt;&lt;hr/&gt;&lt;div&gt;&lt;h5&gt;&lt;b&gt;CASTING&lt;/b&gt;&lt;/h5&gt;&lt;/div&gt;&lt;hr/&gt;&lt;div&gt;&lt;h5&gt;&lt;b&gt;Casting Time &lt;/b&gt;1 standard action&lt;/h5&gt;&lt;h5&gt;&lt;b&gt;Components &lt;/b&gt;V, M/DF (a hawk's feather)&lt;/h5&gt;&lt;/div&gt;&lt;hr/&gt;&lt;div&gt;&lt;h5&gt;&lt;b&gt;EFFECT&lt;/b&gt;&lt;/h5&gt;&lt;/div&gt;&lt;hr/&gt;&lt;div&gt;&lt;h5&gt;&lt;b&gt;Range &lt;/b&gt;touch&lt;/h5&gt;&lt;h5&gt;&lt;b&gt;Targets &lt;/b&gt;creature touched&lt;/h5&gt;&lt;h5&gt;&lt;b&gt;Duration &lt;/b&gt;1 minute/level (D)&lt;/h5&gt;&lt;h5&gt;&lt;b&gt;Saving Throw &lt;/b&gt;Will negates (harmless); &lt;b&gt;Spell Resistance &lt;/b&gt;yes (harmless)&lt;/h5&gt;&lt;/div&gt;&lt;hr/&gt;&lt;div&gt;&lt;h5&gt;&lt;b&gt;DESCRIPTION&lt;/b&gt;&lt;/h5&gt;&lt;/div&gt;&lt;hr/&gt;&lt;div&gt;&lt;h4&gt;&lt;p&gt;The subject gains a +2 competence bonus on Perception checks and gains low-light vision. Subjects that have low-light vision double the distance they can see under the effects of this spell.&lt;/p&gt;&lt;/h4&gt;&lt;/div&gt;</t>
  </si>
  <si>
    <t>Gain +2 Perception and low-light vision.</t>
  </si>
  <si>
    <t>King's Castle</t>
  </si>
  <si>
    <t>This spell allows you to switch places with an ally. When you cast this spell, choose a single ally within range. You teleport to your ally's space while your ally teleports to your former space.</t>
  </si>
  <si>
    <t>&lt;p&gt;This spell allows you to switch places with an ally. When you cast this spell, choose a single ally within range. You teleport to your ally's space while your ally teleports to your former space.&lt;/p&gt;</t>
  </si>
  <si>
    <t>&lt;link rel="stylesheet"href="PF.css"&gt;&lt;div class="heading"&gt;&lt;p class="alignleft"&gt;King's Castle&lt;/p&gt;&lt;div style="clear: both;"&gt;&lt;/div&gt;&lt;/div&gt;&lt;div&gt;&lt;h5&gt;&lt;b&gt;School &lt;/b&gt;conjuration (teleportation); &lt;b&gt;Level &lt;/b&gt;paladin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(harmless)&lt;/h5&gt;&lt;/div&gt;&lt;hr/&gt;&lt;div&gt;&lt;h5&gt;&lt;b&gt;DESCRIPTION&lt;/b&gt;&lt;/h5&gt;&lt;/div&gt;&lt;hr/&gt;&lt;div&gt;&lt;h4&gt;&lt;p&gt;This spell allows you to switch places with an ally. When you cast this spell, choose a single ally within range. You teleport to your ally's space while your ally teleports to your former space.&lt;/p&gt;&lt;/h4&gt;&lt;/div&gt;</t>
  </si>
  <si>
    <t>Instantly switch places with a single ally.</t>
  </si>
  <si>
    <t>Knight's Calling</t>
  </si>
  <si>
    <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t>
  </si>
  <si>
    <t>&lt;p&gt;You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target.&lt;/p&gt;</t>
  </si>
  <si>
    <t>&lt;link rel="stylesheet"href="PF.css"&gt;&lt;div class="heading"&gt;&lt;p class="alignleft"&gt;Knight's Calling&lt;/p&gt;&lt;div style="clear: both;"&gt;&lt;/div&gt;&lt;/div&gt;&lt;div&gt;&lt;h5&gt;&lt;b&gt;School &lt;/b&gt;enchantment (compulsion) [mind-affecting]; &lt;b&gt;Level &lt;/b&gt;paladin 1&lt;/h5&gt;&lt;/div&gt;&lt;hr/&gt;&lt;div&gt;&lt;h5&gt;&lt;b&gt;CASTING&lt;/b&gt;&lt;/h5&gt;&lt;/div&gt;&lt;hr/&gt;&lt;div&gt;&lt;h5&gt;&lt;b&gt;Casting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target.&lt;/p&gt;&lt;/h4&gt;&lt;/div&gt;</t>
  </si>
  <si>
    <t>Forces target to move toward you and fight you.</t>
  </si>
  <si>
    <t>Lead Blades</t>
  </si>
  <si>
    <t>ranger 1, occultist 1</t>
  </si>
  <si>
    <t>Lead blades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lead blades (see page 145 of the Core Rulebook for more information). Only you can benefit from this spell. If anyone else uses one of your weapons to make an attack it deals damage as normal for its size.</t>
  </si>
  <si>
    <t>&lt;p&gt;&lt;i&gt;Lead blades&lt;/i&gt;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&lt;i&gt;lead blades&lt;/i&gt; (see page 145 of the &lt;i&gt;Core Rulebook&lt;/i&gt; for more information). Only you can benefit from this spell. If anyone else uses one of your weapons to make an attack it deals damage as normal for its size.&lt;/p&gt;</t>
  </si>
  <si>
    <t>&lt;link rel="stylesheet"href="PF.css"&gt;&lt;div class="heading"&gt;&lt;p class="alignleft"&gt;Lead Blades&lt;/p&gt;&lt;div style="clear: both;"&gt;&lt;/div&gt;&lt;/div&gt;&lt;div&gt;&lt;h5&gt;&lt;b&gt;School &lt;/b&gt;transmutation; &lt;b&gt;Level &lt;/b&gt;ranger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&lt;/b&gt;touch&lt;/h5&gt;&lt;h5&gt;&lt;b&gt;Duration &lt;/b&gt;1 minute/level (D)&lt;/h5&gt;&lt;/div&gt;&lt;hr/&gt;&lt;div&gt;&lt;h5&gt;&lt;b&gt;DESCRIPTION&lt;/b&gt;&lt;/h5&gt;&lt;/div&gt;&lt;hr/&gt;&lt;div&gt;&lt;h4&gt;&lt;p&gt;&lt;i&gt;Lead blades&lt;/i&gt;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&lt;i&gt;lead blades&lt;/i&gt; (see page 145 of the &lt;i&gt;Core Rulebook&lt;/i&gt; for more information). Only you can benefit from this spell. If anyone else uses one of your weapons to make an attack it deals damage as normal for its size.&lt;/p&gt;&lt;/h4&gt;&lt;/div&gt;</t>
  </si>
  <si>
    <t>Melee weapons damage as if one size bigger.</t>
  </si>
  <si>
    <t>Life Bubble</t>
  </si>
  <si>
    <t>cleric/oracle 5, druid 4, ranger 3, sorcerer/wizard 5, occultist 4, psychic 5</t>
  </si>
  <si>
    <t>V, S, M/DF (a bit of eggshell)</t>
  </si>
  <si>
    <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cloudkill and stinking cloud. In addition, the shell protects subjects from extremes of temperature (per endure elements) as well as extremes of pressure.  Life bubble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  When you cast this spell it has a total duration of 2 hours per caster level. You can divide this duration up in any manner you wish, not necessarily equally, between up to 1 creature per caster level.</t>
  </si>
  <si>
    <t>&lt;p&gt;You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&lt;i&gt;cloudkill&lt;/i&gt; and &lt;i&gt;stinking cloud&lt;/i&gt;. In addition, the shell protects subjects from extremes of temperature (per &lt;i&gt;endure elements&lt;/i&gt;) as well as extremes of pressure.&lt;/p&gt;&lt;p&gt;&lt;i&gt;Life bubble&lt;/i&gt;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underwater).&lt;/p&gt;&lt;p&gt;When you cast this spell it has a total duration of 2 hours per caster level. You can divide this duration up in any manner you wish, not necessarily equally, between up to 1 creature per caster level.&lt;/p&gt;</t>
  </si>
  <si>
    <t>&lt;link rel="stylesheet"href="PF.css"&gt;&lt;div class="heading"&gt;&lt;p class="alignleft"&gt;Life Bubble&lt;/p&gt;&lt;div style="clear: both;"&gt;&lt;/div&gt;&lt;/div&gt;&lt;div&gt;&lt;h5&gt;&lt;b&gt;School &lt;/b&gt;abjuration; &lt;b&gt;Level &lt;/b&gt;cleric/oracle 5, druid 4, ranger 3, sorcerer/wizard 5, occultist 4, psychic 5&lt;/h5&gt;&lt;/div&gt;&lt;hr/&gt;&lt;div&gt;&lt;h5&gt;&lt;b&gt;CASTING&lt;/b&gt;&lt;/h5&gt;&lt;/div&gt;&lt;hr/&gt;&lt;div&gt;&lt;h5&gt;&lt;b&gt;Casting Time &lt;/b&gt;1 standard action&lt;/h5&gt;&lt;h5&gt;&lt;b&gt;Components &lt;/b&gt;V, S, M/DF (a bit of eggshell)&lt;/h5&gt;&lt;/div&gt;&lt;hr/&gt;&lt;div&gt;&lt;h5&gt;&lt;b&gt;EFFECT&lt;/b&gt;&lt;/h5&gt;&lt;/div&gt;&lt;hr/&gt;&lt;div&gt;&lt;h5&gt;&lt;b&gt;Range &lt;/b&gt;touch&lt;/h5&gt;&lt;h5&gt;&lt;b&gt;Targets &lt;/b&gt;creatures touched, up to one/level&lt;/h5&gt;&lt;h5&gt;&lt;b&gt;Duration &lt;/b&gt;2 hours/level; see text&lt;/h5&gt;&lt;h5&gt;&lt;b&gt;Saving Throw &lt;/b&gt;Will negates (harmless); &lt;b&gt;Spell Resistance &lt;/b&gt;yes (harmless)&lt;/h5&gt;&lt;/div&gt;&lt;hr/&gt;&lt;div&gt;&lt;h5&gt;&lt;b&gt;DESCRIPTION&lt;/b&gt;&lt;/h5&gt;&lt;/div&gt;&lt;hr/&gt;&lt;div&gt;&lt;h4&gt;&lt;p&gt;You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&lt;i&gt;cloudkill&lt;/i&gt; and &lt;i&gt;stinking cloud&lt;/i&gt;. In addition, the shell protects subjects from extremes of temperature (per &lt;i&gt;endure elements&lt;/i&gt;) as well as extremes of pressure.&lt;/p&gt;&lt;p&gt;&lt;i&gt;Life bubble&lt;/i&gt;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underwater).&lt;/p&gt;&lt;p&gt;When you cast this spell it has a total duration of 2 hours per caster level. You can divide this duration up in any manner you wish, not necessarily equally, between up to 1 creature per caster level.&lt;/p&gt;&lt;/h4&gt;&lt;/div&gt;</t>
  </si>
  <si>
    <t>Protects from environmental effects.</t>
  </si>
  <si>
    <t>Light Lance</t>
  </si>
  <si>
    <t>good, light</t>
  </si>
  <si>
    <t>lance of light</t>
  </si>
  <si>
    <t>1 round + 1 round/level (D)</t>
  </si>
  <si>
    <t>You create a glorious beam of brilliant radiance that acts as a +1 holy lance suitable for your size. You must have a free hand when casting the spell and, once you call the lance into being, you cannot switch it to another hand or put it down without prematurely ending the spell. As a standard action while holding a light lance,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t>
  </si>
  <si>
    <t>&lt;p&gt;You create a glorious beam of brilliant radiance that acts as a &lt;i&gt;+1 holy lance&lt;/i&gt; suitable for your size. You must have a free hand when casting the spell and, once you call the lance into being, you cannot switch it to another hand or put it down without prematurely ending the spell. As a standard action while holding a &lt;i&gt;light lance&lt;/i&gt;,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on).&lt;/p&gt;</t>
  </si>
  <si>
    <t>&lt;link rel="stylesheet"href="PF.css"&gt;&lt;div class="heading"&gt;&lt;p class="alignleft"&gt;Light Lance&lt;/p&gt;&lt;div style="clear: both;"&gt;&lt;/div&gt;&lt;/div&gt;&lt;div&gt;&lt;h5&gt;&lt;b&gt;School &lt;/b&gt;evocation [good, light]; &lt;b&gt;Level &lt;/b&gt;paladin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&lt;/b&gt;lance of light&lt;/h5&gt;&lt;h5&gt;&lt;b&gt;Duration &lt;/b&gt;1 round + 1 round/level (D)&lt;/h5&gt;&lt;/div&gt;&lt;hr/&gt;&lt;div&gt;&lt;h5&gt;&lt;b&gt;DESCRIPTION&lt;/b&gt;&lt;/h5&gt;&lt;/div&gt;&lt;hr/&gt;&lt;div&gt;&lt;h4&gt;&lt;p&gt;You create a glorious beam of brilliant radiance that acts as a &lt;i&gt;+1 holy lance&lt;/i&gt; suitable for your size. You must have a free hand when casting the spell and, once you call the lance into being, you cannot switch it to another hand or put it down without prematurely ending the spell. As a standard action while holding a &lt;i&gt;light lance&lt;/i&gt;,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on).&lt;/p&gt;&lt;/h4&gt;&lt;/div&gt;</t>
  </si>
  <si>
    <t>Creates a soaring beacon of light.</t>
  </si>
  <si>
    <t>Lily Pad Stride</t>
  </si>
  <si>
    <t>V, S, M (a frog's leg)</t>
  </si>
  <si>
    <t>trail of lily pads behind you</t>
  </si>
  <si>
    <t>10 minutes/level (D); see text</t>
  </si>
  <si>
    <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  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  As you move, the lily pads disappear behind you once you pass beyond the spell's range. Otherwise, they remain until the spell's duration expires.</t>
  </si>
  <si>
    <t>&lt;p&gt;Your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speed.&lt;/p&gt;&lt;p&gt;If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plants.&lt;/p&gt;&lt;p&gt;As you move, the lily pads disappear behind you once you pass beyond the spell's range. Otherwise, they remain until the spell's duration expires.&lt;/p&gt;</t>
  </si>
  <si>
    <t>&lt;link rel="stylesheet"href="PF.css"&gt;&lt;div class="heading"&gt;&lt;p class="alignleft"&gt;Lily Pad Stride&lt;/p&gt;&lt;div style="clear: both;"&gt;&lt;/div&gt;&lt;/div&gt;&lt;div&gt;&lt;h5&gt;&lt;b&gt;School &lt;/b&gt;transmutation; &lt;b&gt;Level &lt;/b&gt;druid 3&lt;/h5&gt;&lt;/div&gt;&lt;hr/&gt;&lt;div&gt;&lt;h5&gt;&lt;b&gt;CASTING&lt;/b&gt;&lt;/h5&gt;&lt;/div&gt;&lt;hr/&gt;&lt;div&gt;&lt;h5&gt;&lt;b&gt;Casting Time &lt;/b&gt;1 standard action&lt;/h5&gt;&lt;h5&gt;&lt;b&gt;Components &lt;/b&gt;V, S, M (a frog's leg)&lt;/h5&gt;&lt;/div&gt;&lt;hr/&gt;&lt;div&gt;&lt;h5&gt;&lt;b&gt;EFFECT&lt;/b&gt;&lt;/h5&gt;&lt;/div&gt;&lt;hr/&gt;&lt;div&gt;&lt;h5&gt;&lt;b&gt;Range &lt;/b&gt;long (400 ft. + 40 ft./level)&lt;/h5&gt;&lt;h5&gt;&lt;b&gt;Effect &lt;/b&gt;trail of lily pads behind you&lt;/h5&gt;&lt;h5&gt;&lt;b&gt;Duration &lt;/b&gt;10 minutes/level (D); see text&lt;/h5&gt;&lt;h5&gt;&lt;b&gt;Saving Throw &lt;/b&gt;none; &lt;b&gt;Spell Resistance &lt;/b&gt;no&lt;/h5&gt;&lt;/div&gt;&lt;hr/&gt;&lt;div&gt;&lt;h5&gt;&lt;b&gt;DESCRIPTION&lt;/b&gt;&lt;/h5&gt;&lt;/div&gt;&lt;hr/&gt;&lt;div&gt;&lt;h4&gt;&lt;p&gt;Your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speed.&lt;/p&gt;&lt;p&gt;If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plants.&lt;/p&gt;&lt;p&gt;As you move, the lily pads disappear behind you once you pass beyond the spell's range. Otherwise, they remain until the spell's duration expires.&lt;/p&gt;&lt;/h4&gt;&lt;/div&gt;</t>
  </si>
  <si>
    <t>Walk across water on moving lily pads.</t>
  </si>
  <si>
    <t>Lockjaw</t>
  </si>
  <si>
    <t>V, S, M (sticky tree gum)</t>
  </si>
  <si>
    <t>You give a creature the ability to use one of its natural attacks to firmly attach itself to an opponent. Choose one of the creature's natural attacks (usually a claw or bite attack).  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t>
  </si>
  <si>
    <t>&lt;p&gt;You give a creature the ability to use one of its natural attacks to firmly attach itself to an opponent. Choose one of the creature's natural attacks (usually a claw or bite attack).&lt;/p&gt;&lt;p&gt;The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creature.&lt;/p&gt;</t>
  </si>
  <si>
    <t>&lt;link rel="stylesheet"href="PF.css"&gt;&lt;div class="heading"&gt;&lt;p class="alignleft"&gt;Lockjaw&lt;/p&gt;&lt;div style="clear: both;"&gt;&lt;/div&gt;&lt;/div&gt;&lt;div&gt;&lt;h5&gt;&lt;b&gt;School &lt;/b&gt;transmutation; &lt;b&gt;Level &lt;/b&gt;druid 2, ranger 2&lt;/h5&gt;&lt;/div&gt;&lt;hr/&gt;&lt;div&gt;&lt;h5&gt;&lt;b&gt;CASTING&lt;/b&gt;&lt;/h5&gt;&lt;/div&gt;&lt;hr/&gt;&lt;div&gt;&lt;h5&gt;&lt;b&gt;Casting Time &lt;/b&gt;1 standard action&lt;/h5&gt;&lt;h5&gt;&lt;b&gt;Components &lt;/b&gt;V, S, M (sticky tree gum)&lt;/h5&gt;&lt;/div&gt;&lt;hr/&gt;&lt;div&gt;&lt;h5&gt;&lt;b&gt;EFFECT&lt;/b&gt;&lt;/h5&gt;&lt;/div&gt;&lt;hr/&gt;&lt;div&gt;&lt;h5&gt;&lt;b&gt;Range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(harmless)&lt;/h5&gt;&lt;/div&gt;&lt;hr/&gt;&lt;div&gt;&lt;h5&gt;&lt;b&gt;DESCRIPTION&lt;/b&gt;&lt;/h5&gt;&lt;/div&gt;&lt;hr/&gt;&lt;div&gt;&lt;h4&gt;&lt;p&gt;You give a creature the ability to use one of its natural attacks to firmly attach itself to an opponent. Choose one of the creature's natural attacks (usually a claw or bite attack).&lt;/p&gt;&lt;p&gt;The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creature.&lt;/p&gt;&lt;/h4&gt;&lt;/div&gt;</t>
  </si>
  <si>
    <t>Creature gains grab ability with natural attack.</t>
  </si>
  <si>
    <t>Marks Of Forbiddance</t>
  </si>
  <si>
    <t>one enemy and one ally</t>
  </si>
  <si>
    <t>Marks of Forbiddance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  If the save fails, the target can't follow through with the attack and the action is lost. This spell does not prevent the targets from attacking each other with area of effect spells or abilities.</t>
  </si>
  <si>
    <t>&lt;p&gt;&lt;i&gt;Marks of Forbiddance&lt;/i&gt;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normally.&lt;/p&gt;&lt;p&gt;If the save fails, the target can't follow through with the attack and the action is lost. This spell does not prevent the targets from attacking each other with area of effect spells or abilities.&lt;/p&gt;</t>
  </si>
  <si>
    <t>&lt;link rel="stylesheet"href="PF.css"&gt;&lt;div class="heading"&gt;&lt;p class="alignleft"&gt;Marks Of Forbiddance&lt;/p&gt;&lt;div style="clear: both;"&gt;&lt;/div&gt;&lt;/div&gt;&lt;div&gt;&lt;h5&gt;&lt;b&gt;School &lt;/b&gt;abjuration [mind-affecting]; &lt;b&gt;Level &lt;/b&gt;paladin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enemy and one ally&lt;/h5&gt;&lt;h5&gt;&lt;b&gt;Duration &lt;/b&gt;1 round/level&lt;/h5&gt;&lt;h5&gt;&lt;b&gt;Saving Throw &lt;/b&gt;Will negates; see text; &lt;b&gt;Spell Resistance &lt;/b&gt;yes&lt;/h5&gt;&lt;/div&gt;&lt;hr/&gt;&lt;div&gt;&lt;h5&gt;&lt;b&gt;DESCRIPTION&lt;/b&gt;&lt;/h5&gt;&lt;/div&gt;&lt;hr/&gt;&lt;div&gt;&lt;h4&gt;&lt;p&gt;&lt;i&gt;Marks of Forbiddance&lt;/i&gt;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normally.&lt;/p&gt;&lt;p&gt;If the save fails, the target can't follow through with the attack and the action is lost. This spell does not prevent the targets from attacking each other with area of effect spells or abilities.&lt;/p&gt;&lt;/h4&gt;&lt;/div&gt;</t>
  </si>
  <si>
    <t>Makes 2 creatures pass Will saves in order to attack each other.</t>
  </si>
  <si>
    <t>Mask Dweomer</t>
  </si>
  <si>
    <t>witch 1, occultist 1, psychic 1</t>
  </si>
  <si>
    <t>V, S, M (a piece of gauze)</t>
  </si>
  <si>
    <t>You mask and manipulate a spell's magic aura to make it harder to detect. Select one spell effect on the target creature or object. You must have either cast this spell yourself or have perceived it by means such as detect magic or arcane sight.  Both the desired spell effect and mask dweomer are hidden from detect magic, although more powerful spells (such as arcane sight) pierce the deception if the caster succeeds on a Will save. Analyze dweomer automatically detects both mask dweomer and any masked spell effects.</t>
  </si>
  <si>
    <t>&lt;p&gt;You mask and manipulate a spell's magic aura to make it harder to detect. Select one spell effect on the target creature or object. You must have either cast this spell yourself or have perceived it by means such as &lt;i&gt;detect magic&lt;/i&gt; or &lt;i&gt;arcane sight&lt;/i&gt;.&lt;/p&gt;&lt;p&gt;Both the desired spell effect and &lt;i&gt;mask dweomer&lt;/i&gt; are hidden from &lt;i&gt;detect magic&lt;/i&gt;, although more powerful spells (such as &lt;i&gt;arcane sight&lt;/i&gt;) pierce the deception if the caster succeeds on a Will save. &lt;i&gt;Analyze dweomer&lt;/i&gt; automatically detects both &lt;i&gt;mask dweomer&lt;/i&gt; and any masked spell effects.&lt;/p&gt;</t>
  </si>
  <si>
    <t>&lt;link rel="stylesheet"href="PF.css"&gt;&lt;div class="heading"&gt;&lt;p class="alignleft"&gt;Mask Dweomer&lt;/p&gt;&lt;div style="clear: both;"&gt;&lt;/div&gt;&lt;/div&gt;&lt;div&gt;&lt;h5&gt;&lt;b&gt;School &lt;/b&gt;illusion (glamer); &lt;b&gt;Level &lt;/b&gt;witch 1, occultist 1, psychic 1&lt;/h5&gt;&lt;/div&gt;&lt;hr/&gt;&lt;div&gt;&lt;h5&gt;&lt;b&gt;CASTING&lt;/b&gt;&lt;/h5&gt;&lt;/div&gt;&lt;hr/&gt;&lt;div&gt;&lt;h5&gt;&lt;b&gt;Casting Time &lt;/b&gt;1 standard action&lt;/h5&gt;&lt;h5&gt;&lt;b&gt;Components &lt;/b&gt;V, S, M (a piece of gauze)&lt;/h5&gt;&lt;/div&gt;&lt;hr/&gt;&lt;div&gt;&lt;h5&gt;&lt;b&gt;EFFECT&lt;/b&gt;&lt;/h5&gt;&lt;/div&gt;&lt;hr/&gt;&lt;div&gt;&lt;h5&gt;&lt;b&gt;Range &lt;/b&gt;touch&lt;/h5&gt;&lt;h5&gt;&lt;b&gt;Targets &lt;/b&gt;creature or object touched&lt;/h5&gt;&lt;h5&gt;&lt;b&gt;Duration &lt;/b&gt;1 day/level (D)&lt;/h5&gt;&lt;h5&gt;&lt;b&gt;Saving Throw &lt;/b&gt;none; see text; &lt;b&gt;Spell Resistance &lt;/b&gt;no&lt;/h5&gt;&lt;/div&gt;&lt;hr/&gt;&lt;div&gt;&lt;h5&gt;&lt;b&gt;DESCRIPTION&lt;/b&gt;&lt;/h5&gt;&lt;/div&gt;&lt;hr/&gt;&lt;div&gt;&lt;h4&gt;&lt;p&gt;You mask and manipulate a spell's magic aura to make it harder to detect. Select one spell effect on the target creature or object. You must have either cast this spell yourself or have perceived it by means such as &lt;i&gt;detect magic&lt;/i&gt; or &lt;i&gt;arcane sight&lt;/i&gt;.&lt;/p&gt;&lt;p&gt;Both the desired spell effect and &lt;i&gt;mask dweomer&lt;/i&gt; are hidden from &lt;i&gt;detect magic&lt;/i&gt;, although more powerful spells (such as &lt;i&gt;arcane sight&lt;/i&gt;) pierce the deception if the caster succeeds on a Will save. &lt;i&gt;Analyze dweomer&lt;/i&gt; automatically detects both &lt;i&gt;mask dweomer&lt;/i&gt; and any masked spell effects.&lt;/p&gt;&lt;/h4&gt;&lt;/div&gt;</t>
  </si>
  <si>
    <t>Hides presence of a spell from detect magic.</t>
  </si>
  <si>
    <t>Memory Lapse</t>
  </si>
  <si>
    <t>bard 1, sorcerer/wizard 1, occultist 1, mesmerist 1</t>
  </si>
  <si>
    <t>You cause the target to forget what happened from the casting of the spell back to the beginning of its last turn. This may allow a retry on a Diplomacy, Intimidate, or opposed skill check, though only with respect to the target, not other creatures that may be present.</t>
  </si>
  <si>
    <t>&lt;p&gt;You cause the target to forget what happened from the casting of the spell back to the beginning of its last turn. This may allow a retry on a Diplomacy, Intimidate, or opposed skill check, though only with respect to the target, not other creatures that may be present.&lt;/p&gt;</t>
  </si>
  <si>
    <t>&lt;link rel="stylesheet"href="PF.css"&gt;&lt;div class="heading"&gt;&lt;p class="alignleft"&gt;Memory Lapse&lt;/p&gt;&lt;div style="clear: both;"&gt;&lt;/div&gt;&lt;/div&gt;&lt;div&gt;&lt;h5&gt;&lt;b&gt;School &lt;/b&gt;enchantment [mind-affecting]; &lt;b&gt;Level &lt;/b&gt;bard 1, sorcerer/wizard 1, occultist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the target to forget what happened from the casting of the spell back to the beginning of its last turn. This may allow a retry on a Diplomacy, Intimidate, or opposed skill check, though only with respect to the target, not other creatures that may be present.&lt;/p&gt;&lt;/h4&gt;&lt;/div&gt;</t>
  </si>
  <si>
    <t>Memory (2)</t>
  </si>
  <si>
    <t>Subject forgets events back to last turn.</t>
  </si>
  <si>
    <t>Insanity (2)</t>
  </si>
  <si>
    <t>Moonstruck</t>
  </si>
  <si>
    <t>druid 4, sorcerer/wizard 4, witch 4, bloodrager 4, psychic 4</t>
  </si>
  <si>
    <t>V, S, M (a pinch of powdered moonstone)</t>
  </si>
  <si>
    <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rage and confusion spells, attacking with its natural weapons in preference to other actions. During the final round of the spell's duration, the target is again dazed as it returns to its normal state.</t>
  </si>
  <si>
    <t>&lt;p&gt;You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&lt;i&gt;rage&lt;/i&gt; and &lt;i&gt;confusion&lt;/i&gt; spells, attacking with its natural weapons in preference to other actions. During the final round of the spell's duration, the target is again dazed as it returns to its normal state.&lt;/p&gt;</t>
  </si>
  <si>
    <t>&lt;link rel="stylesheet"href="PF.css"&gt;&lt;div class="heading"&gt;&lt;p class="alignleft"&gt;Moonstruck&lt;/p&gt;&lt;div style="clear: both;"&gt;&lt;/div&gt;&lt;/div&gt;&lt;div&gt;&lt;h5&gt;&lt;b&gt;School &lt;/b&gt;enchantment (compulsion) [mind-affecting, emotion]; &lt;b&gt;Level &lt;/b&gt;druid 4, sorcerer/wizard 4, witch 4, bloodrager 4, psychic 4&lt;/h5&gt;&lt;/div&gt;&lt;hr/&gt;&lt;div&gt;&lt;h5&gt;&lt;b&gt;CASTING&lt;/b&gt;&lt;/h5&gt;&lt;/div&gt;&lt;hr/&gt;&lt;div&gt;&lt;h5&gt;&lt;b&gt;Casting Time &lt;/b&gt;1 standard action&lt;/h5&gt;&lt;h5&gt;&lt;b&gt;Components &lt;/b&gt;V, S, M (a pinch of powdered moonstone)&lt;/h5&gt;&lt;/div&gt;&lt;hr/&gt;&lt;div&gt;&lt;h5&gt;&lt;b&gt;EFFECT&lt;/b&gt;&lt;/h5&gt;&lt;/div&gt;&lt;hr/&gt;&lt;div&gt;&lt;h5&gt;&lt;b&gt;Range &lt;/b&gt;medium (100 ft. + 10 ft./level)&lt;/h5&gt;&lt;h5&gt;&lt;b&gt;Targets &lt;/b&gt;one humanoid creature&lt;/h5&gt;&lt;h5&gt;&lt;b&gt;Duration &lt;/b&gt;1 round/level&lt;/h5&gt;&lt;h5&gt;&lt;b&gt;Saving Throw &lt;/b&gt;Will negates; &lt;b&gt;Spell Resistance &lt;/b&gt;yes&lt;/h5&gt;&lt;/div&gt;&lt;hr/&gt;&lt;div&gt;&lt;h5&gt;&lt;b&gt;DESCRIPTION&lt;/b&gt;&lt;/h5&gt;&lt;/div&gt;&lt;hr/&gt;&lt;div&gt;&lt;h4&gt;&lt;p&gt;You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&lt;i&gt;rage&lt;/i&gt; and &lt;i&gt;confusion&lt;/i&gt; spells, attacking with its natural weapons in preference to other actions. During the final round of the spell's duration, the target is again dazed as it returns to its normal state.&lt;/p&gt;&lt;/h4&gt;&lt;/div&gt;</t>
  </si>
  <si>
    <t>Insanity (4), Rage (6), Moon (4)</t>
  </si>
  <si>
    <t>Subject is enraged and confused.</t>
  </si>
  <si>
    <t>Moon (8)</t>
  </si>
  <si>
    <t>Nap Stack</t>
  </si>
  <si>
    <t>V, S, M (a little silk pillow worth 100 gp)</t>
  </si>
  <si>
    <t>30-ft.-radius emanation</t>
  </si>
  <si>
    <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t>
  </si>
  <si>
    <t>&lt;p&gt;You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period.&lt;/p&gt;</t>
  </si>
  <si>
    <t>&lt;link rel="stylesheet"href="PF.css"&gt;&lt;div class="heading"&gt;&lt;p class="alignleft"&gt;Nap Stack&lt;/p&gt;&lt;div style="clear: both;"&gt;&lt;/div&gt;&lt;/div&gt;&lt;div&gt;&lt;h5&gt;&lt;b&gt;School &lt;/b&gt;necromancy; &lt;b&gt;Level &lt;/b&gt;cleric/oracle 3&lt;/h5&gt;&lt;/div&gt;&lt;hr/&gt;&lt;div&gt;&lt;h5&gt;&lt;b&gt;CASTING&lt;/b&gt;&lt;/h5&gt;&lt;/div&gt;&lt;hr/&gt;&lt;div&gt;&lt;h5&gt;&lt;b&gt;Casting Time &lt;/b&gt;1 minute&lt;/h5&gt;&lt;h5&gt;&lt;b&gt;Components &lt;/b&gt;V, S, M (a little silk pillow worth 100 gp)&lt;/h5&gt;&lt;/div&gt;&lt;hr/&gt;&lt;div&gt;&lt;h5&gt;&lt;b&gt;EFFECT&lt;/b&gt;&lt;/h5&gt;&lt;/div&gt;&lt;hr/&gt;&lt;div&gt;&lt;h5&gt;&lt;b&gt;Range &lt;/b&gt;30 ft.&lt;/h5&gt;&lt;h5&gt;&lt;b&gt;Area &lt;/b&gt;30-ft.-radius emanation&lt;/h5&gt;&lt;h5&gt;&lt;b&gt;Duration &lt;/b&gt;8 hours&lt;/h5&gt;&lt;h5&gt;&lt;b&gt;Saving Throw &lt;/b&gt;Will negates (harmless); &lt;b&gt;Spell Resistance &lt;/b&gt;yes (harmless)&lt;/h5&gt;&lt;/div&gt;&lt;hr/&gt;&lt;div&gt;&lt;h5&gt;&lt;b&gt;DESCRIPTION&lt;/b&gt;&lt;/h5&gt;&lt;/div&gt;&lt;hr/&gt;&lt;div&gt;&lt;h4&gt;&lt;p&gt;You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period.&lt;/p&gt;&lt;/h4&gt;&lt;/div&gt;</t>
  </si>
  <si>
    <t>Subjects only need 2 hours for a night’s sleep, and can sleep even longer for more benefits.</t>
  </si>
  <si>
    <t>Natural Rhythm</t>
  </si>
  <si>
    <t>V, S, M (a handful of pebbles dropped one by one onto the ground)</t>
  </si>
  <si>
    <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t>
  </si>
  <si>
    <t>&lt;p&gt;You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+0.&lt;/p&gt;</t>
  </si>
  <si>
    <t>&lt;link rel="stylesheet"href="PF.css"&gt;&lt;div class="heading"&gt;&lt;p class="alignleft"&gt;Natural Rhythm&lt;/p&gt;&lt;div style="clear: both;"&gt;&lt;/div&gt;&lt;/div&gt;&lt;div&gt;&lt;h5&gt;&lt;b&gt;School &lt;/b&gt;transmutation; &lt;b&gt;Level &lt;/b&gt;druid 2&lt;/h5&gt;&lt;/div&gt;&lt;hr/&gt;&lt;div&gt;&lt;h5&gt;&lt;b&gt;CASTING&lt;/b&gt;&lt;/h5&gt;&lt;/div&gt;&lt;hr/&gt;&lt;div&gt;&lt;h5&gt;&lt;b&gt;Casting Time &lt;/b&gt;1 standard action&lt;/h5&gt;&lt;h5&gt;&lt;b&gt;Components &lt;/b&gt;V, S, M (a handful of pebbles dropped one by one onto the ground)&lt;/h5&gt;&lt;/div&gt;&lt;hr/&gt;&lt;div&gt;&lt;h5&gt;&lt;b&gt;EFFECT&lt;/b&gt;&lt;/h5&gt;&lt;/div&gt;&lt;hr/&gt;&lt;div&gt;&lt;h5&gt;&lt;b&gt;Range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+0.&lt;/p&gt;&lt;/h4&gt;&lt;/div&gt;</t>
  </si>
  <si>
    <t>+1 on damage rolls with each hit (max +5).</t>
  </si>
  <si>
    <t>Nature's Exile</t>
  </si>
  <si>
    <t>druid 3, witch 3</t>
  </si>
  <si>
    <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  Nature's exile can be removed with break enchantment, limited wish, miracle, remove curse, or wish.</t>
  </si>
  <si>
    <t>&lt;p&gt;This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trouble.&lt;/p&gt;&lt;p&gt;Nature's exile can be removed with &lt;i&gt;break enchantment&lt;/i&gt;, &lt;i&gt;limited &lt;i&gt;wish&lt;/i&gt;&lt;/i&gt;, &lt;i&gt;miracle&lt;/i&gt;, &lt;i&gt;remove curse&lt;/i&gt;, or &lt;i&gt;wish&lt;/i&gt;.&lt;/p&gt;</t>
  </si>
  <si>
    <t>&lt;link rel="stylesheet"href="PF.css"&gt;&lt;div class="heading"&gt;&lt;p class="alignleft"&gt;Nature's Exile&lt;/p&gt;&lt;div style="clear: both;"&gt;&lt;/div&gt;&lt;/div&gt;&lt;div&gt;&lt;h5&gt;&lt;b&gt;School &lt;/b&gt;transmutation [curse]; &lt;b&gt;Level &lt;/b&gt;druid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trouble.&lt;/p&gt;&lt;p&gt;Nature's exile can be removed with &lt;i&gt;break enchantment&lt;/i&gt;, &lt;i&gt;limited &lt;i&gt;wish&lt;/i&gt;&lt;/i&gt;, &lt;i&gt;miracle&lt;/i&gt;, &lt;i&gt;remove curse&lt;/i&gt;, or &lt;i&gt;wish&lt;/i&gt;.&lt;/p&gt;&lt;/h4&gt;&lt;/div&gt;</t>
  </si>
  <si>
    <t>Gives subject –10 on Survival checks.</t>
  </si>
  <si>
    <t>Negate Aroma</t>
  </si>
  <si>
    <t>V, S, M/DF (a pinch of alum)</t>
  </si>
  <si>
    <t>one creature or object/level touched</t>
  </si>
  <si>
    <t>With a gesture, this spell allows you to dismiss even the foulest or most distinctive scents. When cast, the targeted creatures or objects lose all natural and unnatural odors. A creature under the effect of negate aroma cannot be tracked, located, or pinpointed by the scent special quality. In addition, this spell prevents the target creature from using the stench special ability and similar odor-based abilities (such as those possessed by troglodytes).  Negate aroma does not prevent the target from acquiring outside smells or odors. Dowsing the creature with a pungent substance effectively negates the benefits of the spell until the substance is neutralized or washed away.</t>
  </si>
  <si>
    <t>&lt;p&gt;With a gesture, this spell allows you to dismiss even the foulest or most distinctive scents. When cast, the targeted creatures or objects lose all natural and unnatural odors. A creature under the effect of &lt;i&gt;negate aroma&lt;/i&gt; cannot be tracked, located, or pinpointed by the scent special quality. In addition, this spell prevents the target creature from using the stench special ability and similar odor-based abilities (such as those possessed by troglodytes).&lt;/p&gt;&lt;p&gt;&lt;i&gt;Negate aroma&lt;/i&gt; does not prevent the target from acquiring outside smells or odors. Dowsing the creature with a pungent substance effectively negates the benefits of the spell until the substance is neutralized or washed away.&lt;/p&gt;</t>
  </si>
  <si>
    <t>&lt;link rel="stylesheet"href="PF.css"&gt;&lt;div class="heading"&gt;&lt;p class="alignleft"&gt;Negate Aroma&lt;/p&gt;&lt;div style="clear: both;"&gt;&lt;/div&gt;&lt;/div&gt;&lt;div&gt;&lt;h5&gt;&lt;b&gt;School &lt;/b&gt;transmutation; &lt;b&gt;Level &lt;/b&gt;alchemist 1, druid 1, ranger 1, occultist 1&lt;/h5&gt;&lt;/div&gt;&lt;hr/&gt;&lt;div&gt;&lt;h5&gt;&lt;b&gt;CASTING&lt;/b&gt;&lt;/h5&gt;&lt;/div&gt;&lt;hr/&gt;&lt;div&gt;&lt;h5&gt;&lt;b&gt;Casting Time &lt;/b&gt;1 standard action&lt;/h5&gt;&lt;h5&gt;&lt;b&gt;Components &lt;/b&gt;V, S, M/DF (a pinch of alum)&lt;/h5&gt;&lt;/div&gt;&lt;hr/&gt;&lt;div&gt;&lt;h5&gt;&lt;b&gt;EFFECT&lt;/b&gt;&lt;/h5&gt;&lt;/div&gt;&lt;hr/&gt;&lt;div&gt;&lt;h5&gt;&lt;b&gt;Range &lt;/b&gt;close (25 ft. + 5 ft./2 levels)&lt;/h5&gt;&lt;h5&gt;&lt;b&gt;Targets &lt;/b&gt;one creature or object/level touched&lt;/h5&gt;&lt;h5&gt;&lt;b&gt;Duration &lt;/b&gt;1 hour/level (D)&lt;/h5&gt;&lt;h5&gt;&lt;b&gt;Saving Throw &lt;/b&gt;Fortitude negates; &lt;b&gt;Spell Resistance &lt;/b&gt;yes&lt;/h5&gt;&lt;/div&gt;&lt;hr/&gt;&lt;div&gt;&lt;h5&gt;&lt;b&gt;DESCRIPTION&lt;/b&gt;&lt;/h5&gt;&lt;/div&gt;&lt;hr/&gt;&lt;div&gt;&lt;h4&gt;&lt;p&gt;With a gesture, this spell allows you to dismiss even the foulest or most distinctive scents. When cast, the targeted creatures or objects lose all natural and unnatural odors. A creature under the effect of &lt;i&gt;negate aroma&lt;/i&gt; cannot be tracked, located, or pinpointed by the scent special quality. In addition, this spell prevents the target creature from using the stench special ability and similar odor-based abilities (such as those possessed by troglodytes).&lt;/p&gt;&lt;p&gt;&lt;i&gt;Negate aroma&lt;/i&gt; does not prevent the target from acquiring outside smells or odors. Dowsing the creature with a pungent substance effectively negates the benefits of the spell until the substance is neutralized or washed away.&lt;/p&gt;&lt;/h4&gt;&lt;/div&gt;</t>
  </si>
  <si>
    <t>Subject cannot be tracked by scent.</t>
  </si>
  <si>
    <t>Oath Of Peace</t>
  </si>
  <si>
    <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t>
  </si>
  <si>
    <t>&lt;p&gt;Entreating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ends.&lt;/p&gt;</t>
  </si>
  <si>
    <t>&lt;link rel="stylesheet"href="PF.css"&gt;&lt;div class="heading"&gt;&lt;p class="alignleft"&gt;Oath Of Peace&lt;/p&gt;&lt;div style="clear: both;"&gt;&lt;/div&gt;&lt;/div&gt;&lt;div&gt;&lt;h5&gt;&lt;b&gt;School &lt;/b&gt;abjuration; &lt;b&gt;Level &lt;/b&gt;paladin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ends.&lt;/p&gt;&lt;/h4&gt;&lt;h5&gt;&lt;b&gt;Mythic: &lt;/b&gt;You don't provoke attacks of opportunity when you attempt Heal checks, cast targeted spells with the harmless descriptor, or use positive energy effects to heal living creatures.&lt;/h5&gt;&lt;/div&gt;</t>
  </si>
  <si>
    <t>Grants +5 AC and DR 10/evil, can’t attack.</t>
  </si>
  <si>
    <t>You don't provoke attacks of opportunity when you attempt Heal checks, cast targeted spells with the harmless descriptor, or use positive energy effects to heal living creatures.</t>
  </si>
  <si>
    <t>Oracle's Burden</t>
  </si>
  <si>
    <t>oracle 2</t>
  </si>
  <si>
    <t>You entreat the forces of fate to bestow your oracle's curse upon another creature. The target creature suffers all the hindrances and none of the benefits of your oracle's curse class feature. You still suffer all effects of your oracle's curse.  If you do not have the oracle's curse class feature, this spell has no effect.</t>
  </si>
  <si>
    <t>&lt;p&gt;You entreat the forces of fate to bestow your oracle's curse upon another creature. The target creature suffers all the hindrances and none of the benefits of your oracle's curse class feature. You still suffer all effects of your oracle's curse.&lt;/p&gt;&lt;p&gt;If you do not have the oracle's curse class feature, this spell has no effect.&lt;/p&gt;</t>
  </si>
  <si>
    <t>&lt;link rel="stylesheet"href="PF.css"&gt;&lt;div class="heading"&gt;&lt;p class="alignleft"&gt;Oracle's Burden&lt;/p&gt;&lt;div style="clear: both;"&gt;&lt;/div&gt;&lt;/div&gt;&lt;div&gt;&lt;h5&gt;&lt;b&gt;School &lt;/b&gt;necromancy [curse]; &lt;b&gt;Level &lt;/b&gt;oracle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&lt;/b&gt;1 minute/level&lt;/h5&gt;&lt;h5&gt;&lt;b&gt;Saving Throw &lt;/b&gt;Will negates; &lt;b&gt;Spell Resistance &lt;/b&gt;yes&lt;/h5&gt;&lt;/div&gt;&lt;hr/&gt;&lt;div&gt;&lt;h5&gt;&lt;b&gt;DESCRIPTION&lt;/b&gt;&lt;/h5&gt;&lt;/div&gt;&lt;hr/&gt;&lt;div&gt;&lt;h4&gt;&lt;p&gt;You entreat the forces of fate to bestow your oracle's curse upon another creature. The target creature suffers all the hindrances and none of the benefits of your oracle's curse class feature. You still suffer all effects of your oracle's curse.&lt;/p&gt;&lt;p&gt;If you do not have the oracle's curse class feature, this spell has no effect.&lt;/p&gt;&lt;/h4&gt;&lt;/div&gt;</t>
  </si>
  <si>
    <t>(Oracle only.) Creature is affected by negative oracle's curse effects.</t>
  </si>
  <si>
    <t>Pain Strike</t>
  </si>
  <si>
    <t>sorcerer/wizard 3, witch 3, bloodrager 3, psychic 2, spiritualist 3</t>
  </si>
  <si>
    <t>Pain strike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t>
  </si>
  <si>
    <t>&lt;p&gt;&lt;i&gt;Pain strike&lt;/i&gt;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target.&lt;/p&gt;</t>
  </si>
  <si>
    <t>&lt;link rel="stylesheet"href="PF.css"&gt;&lt;div class="heading"&gt;&lt;p class="alignleft"&gt;Pain Strike&lt;/p&gt;&lt;div style="clear: both;"&gt;&lt;/div&gt;&lt;/div&gt;&lt;div&gt;&lt;h5&gt;&lt;b&gt;School &lt;/b&gt;evocation [evil, pain]; &lt;b&gt;Level &lt;/b&gt;sorcerer/wizard 3, witch 3, bloodrager 3, psychic 2,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 (D)&lt;/h5&gt;&lt;h5&gt;&lt;b&gt;Saving Throw &lt;/b&gt;Fortitude negates; &lt;b&gt;Spell Resistance &lt;/b&gt;yes&lt;/h5&gt;&lt;/div&gt;&lt;hr/&gt;&lt;div&gt;&lt;h5&gt;&lt;b&gt;DESCRIPTION&lt;/b&gt;&lt;/h5&gt;&lt;/div&gt;&lt;hr/&gt;&lt;div&gt;&lt;h4&gt;&lt;p&gt;&lt;i&gt;Pain strike&lt;/i&gt;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target.&lt;/p&gt;&lt;/h4&gt;&lt;/div&gt;</t>
  </si>
  <si>
    <t>Torture (2)</t>
  </si>
  <si>
    <t>Inflicts 1d6 nonlethal damage 1 round/level.</t>
  </si>
  <si>
    <t>Vengeance (6)</t>
  </si>
  <si>
    <t>Pain Strike, Mass</t>
  </si>
  <si>
    <t>sorcerer/wizard 5, witch 5, psychic 4, spiritualist 5</t>
  </si>
  <si>
    <t>one living creature/level, no two of which can be more than 30 ft. apart</t>
  </si>
  <si>
    <t>This spell works like pain strike, except as noted above.</t>
  </si>
  <si>
    <t>&lt;p&gt;This spell works like &lt;i&gt;pain strike&lt;/i&gt;, except as noted above.&lt;/p&gt;</t>
  </si>
  <si>
    <t>&lt;link rel="stylesheet"href="PF.css"&gt;&lt;div class="heading"&gt;&lt;p class="alignleft"&gt;Pain Strike, Mass&lt;/p&gt;&lt;div style="clear: both;"&gt;&lt;/div&gt;&lt;/div&gt;&lt;div&gt;&lt;h5&gt;&lt;b&gt;School &lt;/b&gt;evocation [evil, pain]; &lt;b&gt;Level &lt;/b&gt;sorcerer/wizard 5, witch 5, psychic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30 ft. apart&lt;/h5&gt;&lt;h5&gt;&lt;b&gt;Duration &lt;/b&gt;1 round/level (D)&lt;/h5&gt;&lt;h5&gt;&lt;b&gt;Saving Throw &lt;/b&gt;Fortitude negates; &lt;b&gt;Spell Resistance &lt;/b&gt;yes&lt;/h5&gt;&lt;/div&gt;&lt;hr/&gt;&lt;div&gt;&lt;h5&gt;&lt;b&gt;DESCRIPTION&lt;/b&gt;&lt;/h5&gt;&lt;/div&gt;&lt;hr/&gt;&lt;div&gt;&lt;h4&gt;&lt;p&gt;This spell works like &lt;i&gt;pain strike&lt;/i&gt;, except as noted above.&lt;/p&gt;&lt;/h4&gt;&lt;/div&gt;</t>
  </si>
  <si>
    <t>As pain, but affects multiple creatures.</t>
  </si>
  <si>
    <t>Vengeance (12)</t>
  </si>
  <si>
    <t>Paladin's Sacrifice</t>
  </si>
  <si>
    <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  If you use this spell against an effect that also targets you or includes you in its area, you suffer the effects for both yourself and the target you spared, potentially taking damage or suffering other consequences twice.</t>
  </si>
  <si>
    <t>&lt;p&gt;You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way.&lt;/p&gt;&lt;p&gt;If you use this spell against an effect that also targets you or includes you in its area, you suffer the effects for both yourself and the target you spared, potentially taking damage or suffering other consequences twice.&lt;/p&gt;</t>
  </si>
  <si>
    <t>&lt;link rel="stylesheet"href="PF.css"&gt;&lt;div class="heading"&gt;&lt;p class="alignleft"&gt;Paladin's Sacrifice&lt;/p&gt;&lt;div style="clear: both;"&gt;&lt;/div&gt;&lt;/div&gt;&lt;div&gt;&lt;h5&gt;&lt;b&gt;School &lt;/b&gt;abjuration; &lt;b&gt;Level &lt;/b&gt;paladin 2&lt;/h5&gt;&lt;/div&gt;&lt;hr/&gt;&lt;div&gt;&lt;h5&gt;&lt;b&gt;CASTING&lt;/b&gt;&lt;/h5&gt;&lt;/div&gt;&lt;hr/&gt;&lt;div&gt;&lt;h5&gt;&lt;b&gt;Casting Time &lt;/b&gt;1 immediate action&lt;/h5&gt;&lt;h5&gt;&lt;b&gt;Components &lt;/b&gt;V, DF&lt;/h5&gt;&lt;/div&gt;&lt;hr/&gt;&lt;div&gt;&lt;h5&gt;&lt;b&gt;EFFECT&lt;/b&gt;&lt;/h5&gt;&lt;/div&gt;&lt;hr/&gt;&lt;div&gt;&lt;h5&gt;&lt;b&gt;Range &lt;/b&gt;close (25 ft. + 5 ft./2 levels)&lt;/h5&gt;&lt;h5&gt;&lt;b&gt;Targets &lt;/b&gt;one creature&lt;/h5&gt;&lt;h5&gt;&lt;b&gt;Duration &lt;/b&gt;instantaneous&lt;/h5&gt;&lt;h5&gt;&lt;b&gt;Saving Throw &lt;/b&gt;Fortitude negates (harmless); &lt;b&gt;Spell Resistance &lt;/b&gt;yes (harmless)&lt;/h5&gt;&lt;/div&gt;&lt;hr/&gt;&lt;div&gt;&lt;h5&gt;&lt;b&gt;DESCRIPTION&lt;/b&gt;&lt;/h5&gt;&lt;/div&gt;&lt;hr/&gt;&lt;div&gt;&lt;h4&gt;&lt;p&gt;You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way.&lt;/p&gt;&lt;p&gt;If you use this spell against an effect that also targets you or includes you in its area, you suffer the effects for both yourself and the target you spared, potentially taking damage or suffering other consequences twice.&lt;/p&gt;&lt;/h4&gt;&lt;/div&gt;</t>
  </si>
  <si>
    <t>Take the damage and effects for another creature.</t>
  </si>
  <si>
    <t>Phantasmal Revenge</t>
  </si>
  <si>
    <t>sorcerer/wizard 7, psychic 7, mesmerist 6</t>
  </si>
  <si>
    <t>touch and unlimited; see text</t>
  </si>
  <si>
    <t>dead body touched</t>
  </si>
  <si>
    <t>Will disbelief then Fortitude partial; see text</t>
  </si>
  <si>
    <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  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  The creature providing the corpse must have died no more than 1 day per caster level prior to the casting of this spell. If the creature that provided the corpse was not, in fact, killed by another, or if the killer is dead or no longer on the same plane, the spell fails. Phantasmal revenge makes no moral judgments; it targets winners of fair fights just as easily as murderers. Any given body can only be targeted by a phantasmal revenge spell once.</t>
  </si>
  <si>
    <t>&lt;p&gt;When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turn.&lt;/p&gt;&lt;p&gt;Only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spell.&lt;/p&gt;&lt;p&gt;The creature providing the corpse must have died no more than 1 day per caster level prior to the casting of this spell. If the creature that provided the corpse was not, in fact, killed by another, or if the killer is dead or no longer on the same plane, the spell fails. &lt;i&gt;Phantasmal revenge&lt;/i&gt; makes no moral judgments; it targets winners of fair fights just as easily as murderers. Any given body can only be targeted by a &lt;i&gt;phantasmal revenge&lt;/i&gt; spell once.&lt;/p&gt;</t>
  </si>
  <si>
    <t>&lt;link rel="stylesheet"href="PF.css"&gt;&lt;div class="heading"&gt;&lt;p class="alignleft"&gt;Phantasmal Revenge&lt;/p&gt;&lt;div style="clear: both;"&gt;&lt;/div&gt;&lt;/div&gt;&lt;div&gt;&lt;h5&gt;&lt;b&gt;School &lt;/b&gt;illusion (phantasm) [fear, mind-affecting, emotion]; &lt;b&gt;Level &lt;/b&gt;sorcerer/wizard 7, psychic 7, mesmerist 6&lt;/h5&gt;&lt;/div&gt;&lt;hr/&gt;&lt;div&gt;&lt;h5&gt;&lt;b&gt;CASTING&lt;/b&gt;&lt;/h5&gt;&lt;/div&gt;&lt;hr/&gt;&lt;div&gt;&lt;h5&gt;&lt;b&gt;Casting Time &lt;/b&gt;1 standard action&lt;/h5&gt;&lt;h5&gt;&lt;b&gt;Components &lt;/b&gt;V, S&lt;/h5&gt;&lt;/div&gt;&lt;hr/&gt;&lt;div&gt;&lt;h5&gt;&lt;b&gt;EFFECT&lt;/b&gt;&lt;/h5&gt;&lt;/div&gt;&lt;hr/&gt;&lt;div&gt;&lt;h5&gt;&lt;b&gt;Range &lt;/b&gt;touch and unlimited; see text&lt;/h5&gt;&lt;h5&gt;&lt;b&gt;Targets &lt;/b&gt;dead body touched&lt;/h5&gt;&lt;h5&gt;&lt;b&gt;Duration &lt;/b&gt;instantaneous&lt;/h5&gt;&lt;h5&gt;&lt;b&gt;Saving Throw &lt;/b&gt;Will disbelief then Fortitude partial; see text; &lt;b&gt;Spell Resistance &lt;/b&gt;yes&lt;/h5&gt;&lt;/div&gt;&lt;hr/&gt;&lt;div&gt;&lt;h5&gt;&lt;b&gt;DESCRIPTION&lt;/b&gt;&lt;/h5&gt;&lt;/div&gt;&lt;hr/&gt;&lt;div&gt;&lt;h4&gt;&lt;p&gt;When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turn.&lt;/p&gt;&lt;p&gt;Only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spell.&lt;/p&gt;&lt;p&gt;The creature providing the corpse must have died no more than 1 day per caster level prior to the casting of this spell. If the creature that provided the corpse was not, in fact, killed by another, or if the killer is dead or no longer on the same plane, the spell fails. &lt;i&gt;Phantasmal revenge&lt;/i&gt; makes no moral judgments; it targets winners of fair fights just as easily as murderers. Any given body can only be targeted by a &lt;i&gt;phantasmal revenge&lt;/i&gt; spell once.&lt;/p&gt;&lt;/h4&gt;&lt;/div&gt;</t>
  </si>
  <si>
    <t>Ghost from corpse hunts killer.</t>
  </si>
  <si>
    <t>Vengeance (14)</t>
  </si>
  <si>
    <t>Phantasmal Web</t>
  </si>
  <si>
    <t>bard 5, sorcerer/wizard 5, psychic 5, mesmerist 5, spiritualist 5</t>
  </si>
  <si>
    <t>one creature/level, no two of which may be more than 30 ft. apart</t>
  </si>
  <si>
    <t>You implant within the minds of your targets the illusion that they are engulfed in tangled webs teeming with swarms of tiny spiders. Those who fail to disbelieve the phantasmal web are treated as if in a web spell, but must also make a Fortitude save at the beginning of each turn or become nauseated for that round by the phantasmal spiders.  As the phantasmal web exists only in the minds of the targets, it cannot be burned or destroyed, and it provides no cover (though it does provide concealment) against attacks made by the targets. Targets cannot escape the phantasmal web by moving, even by teleportation. Freedom of movement allows unobstructed movement but does not negate the concealment or nausea effects.  Targets of the spell perceive everyone else around them to be engulfed in webs and swarming spiders, but the spell has no visible effect to other creatures (who may assist allies to disbelieve the effect).</t>
  </si>
  <si>
    <t>&lt;p&gt;You implant within the minds of your targets the illusion that they are engulfed in tangled &lt;i&gt;web&lt;/i&gt;s teeming with swarms of tiny spiders. Those who fail to disbelieve the &lt;i&gt;phantasmal &lt;i&gt;web&lt;/i&gt;&lt;/i&gt; are treated as if in a &lt;i&gt;web&lt;/i&gt; spell, but must also make a Fortitude save at the beginning of each turn or become nauseated for that round by the phantasmal spiders.&lt;/p&gt;&lt;p&gt;As the &lt;i&gt;phantasmal &lt;i&gt;web&lt;/i&gt;&lt;/i&gt; exists only in the minds of the targets, it cannot be burned or destroyed, and it provides no cover (though it does provide concealment) against attacks made by the targets. &lt;b&gt;Target&lt;/b&gt;s cannot escape the &lt;i&gt;phantasmal &lt;i&gt;web&lt;/i&gt;&lt;/i&gt; by moving, even by teleportation. Freedom of movement allows unobstructed movement but does not negate the concealment or nausea effects.&lt;/p&gt;&lt;p&gt;&lt;b&gt;Target&lt;/b&gt;s of the spell perceive everyone else around them to be engulfed in &lt;i&gt;web&lt;/i&gt;s and swarming spiders, but the spell has no visible effect to other creatures (who may assist allies to disbelieve the effect).&lt;/p&gt;</t>
  </si>
  <si>
    <t>&lt;link rel="stylesheet"href="PF.css"&gt;&lt;div class="heading"&gt;&lt;p class="alignleft"&gt;Phantasmal Web&lt;/p&gt;&lt;div style="clear: both;"&gt;&lt;/div&gt;&lt;/div&gt;&lt;div&gt;&lt;h5&gt;&lt;b&gt;School &lt;/b&gt;illusion (phantasm) [mind-affecting]; &lt;b&gt;Level &lt;/b&gt;bard 5, sorcerer/wizard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may be more than 30 ft. apart&lt;/h5&gt;&lt;h5&gt;&lt;b&gt;Duration &lt;/b&gt;1 round/level (D)&lt;/h5&gt;&lt;h5&gt;&lt;b&gt;Saving Throw &lt;/b&gt;Will disbelief, then Fortitude partial; see text; &lt;b&gt;Spell Resistance &lt;/b&gt;yes&lt;/h5&gt;&lt;/div&gt;&lt;hr/&gt;&lt;div&gt;&lt;h5&gt;&lt;b&gt;DESCRIPTION&lt;/b&gt;&lt;/h5&gt;&lt;/div&gt;&lt;hr/&gt;&lt;div&gt;&lt;h4&gt;&lt;p&gt;You implant within the minds of your targets the illusion that they are engulfed in tangled &lt;i&gt;web&lt;/i&gt;s teeming with swarms of tiny spiders. Those who fail to disbelieve the &lt;i&gt;phantasmal &lt;i&gt;web&lt;/i&gt;&lt;/i&gt; are treated as if in a &lt;i&gt;web&lt;/i&gt; spell, but must also make a Fortitude save at the beginning of each turn or become nauseated for that round by the phantasmal spiders.&lt;/p&gt;&lt;p&gt;As the &lt;i&gt;phantasmal &lt;i&gt;web&lt;/i&gt;&lt;/i&gt; exists only in the minds of the targets, it cannot be burned or destroyed, and it provides no cover (though it does provide concealment) against attacks made by the targets. &lt;b&gt;Target&lt;/b&gt;s cannot escape the &lt;i&gt;phantasmal &lt;i&gt;web&lt;/i&gt;&lt;/i&gt; by moving, even by teleportation. Freedom of movement allows unobstructed movement but does not negate the concealment or nausea effects.&lt;/p&gt;&lt;p&gt;&lt;b&gt;Target&lt;/b&gt;s of the spell perceive everyone else around them to be engulfed in &lt;i&gt;web&lt;/i&gt;s and swarming spiders, but the spell has no visible effect to other creatures (who may assist allies to disbelieve the effect).&lt;/p&gt;&lt;/h4&gt;&lt;/div&gt;</t>
  </si>
  <si>
    <t>Insanity (6)</t>
  </si>
  <si>
    <t>Catches subjects in illusory web.</t>
  </si>
  <si>
    <t>Pied Piping</t>
  </si>
  <si>
    <t>V or F (musical instrument)</t>
  </si>
  <si>
    <t>90 ft.</t>
  </si>
  <si>
    <t>90-ft.-radius emanation, centered on you</t>
  </si>
  <si>
    <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  Eligible creatures must make a saving throw each round spent within the area of the spell and, once they fail, approach you at their normal movement speed and stand as close to you as possible without actually entering an occupied square.  If you move, they do their best to maintain their proximity to you and follow. Affected creatures can take no actions other than listening to your music and following you if you move.  Those entering the area while the spell is in effect must also successfully save or be compelled to come to you.  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  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t>
  </si>
  <si>
    <t>&lt;p&gt;You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spell.&lt;/p&gt;&lt;p&gt;Eligible creatures must make a saving throw each round spent within the area of the spell and, once they fail, approach you at their normal movement speed and stand as close to you as possible without actually entering an occupied square.&lt;/p&gt;&lt;p&gt;If you move, they do their best to maintain their proximity to you and follow. Affected creatures can take no actions other than listening to your music and following you if you move.&lt;/p&gt;&lt;p&gt;Those entering the area while the spell is in effect must also successfully save or be compelled to come to you.&lt;/p&gt;&lt;p&gt;The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normal.&lt;/p&gt;&lt;p&gt;If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off.&lt;/p&gt;</t>
  </si>
  <si>
    <t>&lt;link rel="stylesheet"href="PF.css"&gt;&lt;div class="heading"&gt;&lt;p class="alignleft"&gt;Pied Piping&lt;/p&gt;&lt;div style="clear: both;"&gt;&lt;/div&gt;&lt;/div&gt;&lt;div&gt;&lt;h5&gt;&lt;b&gt;School &lt;/b&gt;enchantment (compulsion) [mind-affecting, sonic]; &lt;b&gt;Level &lt;/b&gt;bard 6&lt;/h5&gt;&lt;/div&gt;&lt;hr/&gt;&lt;div&gt;&lt;h5&gt;&lt;b&gt;CASTING&lt;/b&gt;&lt;/h5&gt;&lt;/div&gt;&lt;hr/&gt;&lt;div&gt;&lt;h5&gt;&lt;b&gt;Casting Time &lt;/b&gt;1 standard action&lt;/h5&gt;&lt;h5&gt;&lt;b&gt;Components &lt;/b&gt;V or F (musical instrument)&lt;/h5&gt;&lt;/div&gt;&lt;hr/&gt;&lt;div&gt;&lt;h5&gt;&lt;b&gt;EFFECT&lt;/b&gt;&lt;/h5&gt;&lt;/div&gt;&lt;hr/&gt;&lt;div&gt;&lt;h5&gt;&lt;b&gt;Range &lt;/b&gt;90 ft.&lt;/h5&gt;&lt;h5&gt;&lt;b&gt;Area &lt;/b&gt;90-ft.-radius emanation, centered on you&lt;/h5&gt;&lt;h5&gt;&lt;b&gt;Duration &lt;/b&gt;concentration + 1 round/level&lt;/h5&gt;&lt;h5&gt;&lt;b&gt;Saving Throw &lt;/b&gt;Will partial; see text; &lt;b&gt;Spell Resistance &lt;/b&gt;yes&lt;/h5&gt;&lt;/div&gt;&lt;hr/&gt;&lt;div&gt;&lt;h5&gt;&lt;b&gt;DESCRIPTION&lt;/b&gt;&lt;/h5&gt;&lt;/div&gt;&lt;hr/&gt;&lt;div&gt;&lt;h4&gt;&lt;p&gt;You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spell.&lt;/p&gt;&lt;p&gt;Eligible creatures must make a saving throw each round spent within the area of the spell and, once they fail, approach you at their normal movement speed and stand as close to you as possible without actually entering an occupied square.&lt;/p&gt;&lt;p&gt;If you move, they do their best to maintain their proximity to you and follow. Affected creatures can take no actions other than listening to your music and following you if you move.&lt;/p&gt;&lt;p&gt;Those entering the area while the spell is in effect must also successfully save or be compelled to come to you.&lt;/p&gt;&lt;p&gt;The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normal.&lt;/p&gt;&lt;p&gt;If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off.&lt;/p&gt;&lt;/h4&gt;&lt;/div&gt;</t>
  </si>
  <si>
    <t>Compel similar creatures to follow you.</t>
  </si>
  <si>
    <t>Pillar Of Life</t>
  </si>
  <si>
    <t>5-ft.-square pillar of positive energy, 20 ft. high</t>
  </si>
  <si>
    <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t>
  </si>
  <si>
    <t>&lt;p&gt;You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spell.&lt;/p&gt;</t>
  </si>
  <si>
    <t>&lt;link rel="stylesheet"href="PF.css"&gt;&lt;div class="heading"&gt;&lt;p class="alignleft"&gt;Pillar Of Life&lt;/p&gt;&lt;div style="clear: both;"&gt;&lt;/div&gt;&lt;/div&gt;&lt;div&gt;&lt;h5&gt;&lt;b&gt;School &lt;/b&gt;conjuration (healing) [light]; &lt;b&gt;Level &lt;/b&gt;cleric/oracle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&lt;/b&gt;5-ft.-square pillar of positive energy, 20 ft. high&lt;/h5&gt;&lt;h5&gt;&lt;b&gt;Duration &lt;/b&gt;1 round/level&lt;/h5&gt;&lt;h5&gt;&lt;b&gt;Saving Throw &lt;/b&gt;none; &lt;b&gt;Spell Resistance &lt;/b&gt;no&lt;/h5&gt;&lt;/div&gt;&lt;hr/&gt;&lt;div&gt;&lt;h5&gt;&lt;b&gt;DESCRIPTION&lt;/b&gt;&lt;/h5&gt;&lt;/div&gt;&lt;hr/&gt;&lt;div&gt;&lt;h4&gt;&lt;p&gt;You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spell.&lt;/p&gt;&lt;/h4&gt;&lt;h5&gt;&lt;b&gt;Mythic: &lt;/b&gt;The damage healed increases to 3d8 points of damage + 1 point per caster level (maximum +20). The damage dealt to undead increases to 1d8 points of damage per caster level (maximum 10d8), or 2d6 points of damage per caster level for undead vulnerable to bright light (maximum 20d6). If a dead creature is brought into the pillar's square and that creature could be revived by breath of life, the pillar of life ends and the creature returns to life as per breath of life.&lt;/h5&gt;&lt;/div&gt;</t>
  </si>
  <si>
    <t>Created pillar heals 2d8 + 1/level (max +20).</t>
  </si>
  <si>
    <t>Healing (12)</t>
  </si>
  <si>
    <t>The damage healed increases to 3d8 points of damage + 1 point per caster level (maximum +20). The damage dealt to undead increases to 1d8 points of damage per caster level (maximum 10d8), or 2d6 points of damage per caster level for undead vulnerable to bright light (maximum 20d6). If a dead creature is brought into the pillar's square and that creature could be revived by breath of life, the pillar of life ends and the creature returns to life as per breath of life.</t>
  </si>
  <si>
    <t>Planar Adaptation</t>
  </si>
  <si>
    <t>alchemist 5, cleric/oracle 4, sorcerer/wizard 5, summoner 5, occultist 4, psychic 4, spiritualist 5</t>
  </si>
  <si>
    <t>Planar adaptation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Planar adaptation has no when cast upon your native plane.</t>
  </si>
  <si>
    <t>&lt;p&gt;&lt;i&gt;Planar adaptation&lt;/i&gt;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&lt;i&gt;Planar adaptation&lt;/i&gt; has no when cast upon your native plane.&lt;/p&gt;</t>
  </si>
  <si>
    <t>&lt;link rel="stylesheet"href="PF.css"&gt;&lt;div class="heading"&gt;&lt;p class="alignleft"&gt;Planar Adaptation&lt;/p&gt;&lt;div style="clear: both;"&gt;&lt;/div&gt;&lt;/div&gt;&lt;div&gt;&lt;h5&gt;&lt;b&gt;School &lt;/b&gt;transmutation; &lt;b&gt;Level &lt;/b&gt;alchemist 5, cleric/oracle 4, sorcerer/wizard 5, summoner 5, occultist 4, psychic 4, spiritualist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hour/level (D)&lt;/h5&gt;&lt;/div&gt;&lt;hr/&gt;&lt;div&gt;&lt;h5&gt;&lt;b&gt;DESCRIPTION&lt;/b&gt;&lt;/h5&gt;&lt;/div&gt;&lt;hr/&gt;&lt;div&gt;&lt;h4&gt;&lt;p&gt;&lt;i&gt;Planar adaptation&lt;/i&gt;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&lt;i&gt;Planar adaptation&lt;/i&gt; has no when cast upon your native plane.&lt;/p&gt;&lt;/h4&gt;&lt;/div&gt;</t>
  </si>
  <si>
    <t>Resist harmful effects of other plane.</t>
  </si>
  <si>
    <t>Planar Adaptation, Mass</t>
  </si>
  <si>
    <t>cleric/oracle 6, sorcerer/wizard 7, summoner 6, occultist 6, psychic 6</t>
  </si>
  <si>
    <t>This spell functions like planar adaptation, except as noted above.</t>
  </si>
  <si>
    <t>&lt;p&gt;This spell functions like &lt;i&gt;planar adaptation&lt;/i&gt;, except as noted above.&lt;/p&gt;</t>
  </si>
  <si>
    <t>&lt;link rel="stylesheet"href="PF.css"&gt;&lt;div class="heading"&gt;&lt;p class="alignleft"&gt;Planar Adaptation, Mass&lt;/p&gt;&lt;div style="clear: both;"&gt;&lt;/div&gt;&lt;/div&gt;&lt;div&gt;&lt;h5&gt;&lt;b&gt;School &lt;/b&gt;transmutation; &lt;b&gt;Level &lt;/b&gt;cleric/oracle 6, sorcerer/wizard 7, summoner 6, occultist 6, psychic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hour/level (D)&lt;/h5&gt;&lt;h5&gt;&lt;b&gt;Saving Throw &lt;/b&gt;Will negates (harmless); &lt;b&gt;Spell Resistance &lt;/b&gt;yes (harmless)&lt;/h5&gt;&lt;/div&gt;&lt;hr/&gt;&lt;div&gt;&lt;h5&gt;&lt;b&gt;DESCRIPTION&lt;/b&gt;&lt;/h5&gt;&lt;/div&gt;&lt;hr/&gt;&lt;div&gt;&lt;h4&gt;&lt;p&gt;This spell functions like &lt;i&gt;planar adaptation&lt;/i&gt;, except as noted above.&lt;/p&gt;&lt;/h4&gt;&lt;/div&gt;</t>
  </si>
  <si>
    <t>As planar adaptation, but affects multiple creatures.</t>
  </si>
  <si>
    <t>Pox Pustules</t>
  </si>
  <si>
    <t>druid 2, witch 2</t>
  </si>
  <si>
    <t>V, S, M (leaves from a toxic plant)</t>
  </si>
  <si>
    <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t>
  </si>
  <si>
    <t>&lt;p&gt;You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turn.&lt;/p&gt;</t>
  </si>
  <si>
    <t>&lt;link rel="stylesheet"href="PF.css"&gt;&lt;div class="heading"&gt;&lt;p class="alignleft"&gt;Pox Pustules&lt;/p&gt;&lt;div style="clear: both;"&gt;&lt;/div&gt;&lt;/div&gt;&lt;div&gt;&lt;h5&gt;&lt;b&gt;School &lt;/b&gt;necromancy; &lt;b&gt;Level &lt;/b&gt;druid 2, witch 2&lt;/h5&gt;&lt;/div&gt;&lt;hr/&gt;&lt;div&gt;&lt;h5&gt;&lt;b&gt;CASTING&lt;/b&gt;&lt;/h5&gt;&lt;/div&gt;&lt;hr/&gt;&lt;div&gt;&lt;h5&gt;&lt;b&gt;Casting Time &lt;/b&gt;1 standard action&lt;/h5&gt;&lt;h5&gt;&lt;b&gt;Components &lt;/b&gt;V, S, M (leaves from a toxic plant)&lt;/h5&gt;&lt;/div&gt;&lt;hr/&gt;&lt;div&gt;&lt;h5&gt;&lt;b&gt;EFFECT&lt;/b&gt;&lt;/h5&gt;&lt;/div&gt;&lt;hr/&gt;&lt;div&gt;&lt;h5&gt;&lt;b&gt;Range &lt;/b&gt;close (25 ft. + 5 ft./2 levels)&lt;/h5&gt;&lt;h5&gt;&lt;b&gt;Targets &lt;/b&gt;one creature&lt;/h5&gt;&lt;h5&gt;&lt;b&gt;Duration &lt;/b&gt;1 minute/level&lt;/h5&gt;&lt;h5&gt;&lt;b&gt;Saving Throw &lt;/b&gt;Fortitude negates; &lt;b&gt;Spell Resistance &lt;/b&gt;yes&lt;/h5&gt;&lt;/div&gt;&lt;hr/&gt;&lt;div&gt;&lt;h5&gt;&lt;b&gt;DESCRIPTION&lt;/b&gt;&lt;/h5&gt;&lt;/div&gt;&lt;hr/&gt;&lt;div&gt;&lt;h4&gt;&lt;p&gt;You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turn.&lt;/p&gt;&lt;/h4&gt;&lt;h5&gt;&lt;b&gt;Mythic: &lt;/b&gt;The Dexterity penalty increases to -6. The target takes 1 point of bleed damage each round. If the target spends a move action scratching, increase its bleed damage each round by 1. If the bleeding is stopped, scratching causes it to start again at 1 point of bleed per round.&lt;/h5&gt;&lt;/div&gt;</t>
  </si>
  <si>
    <t>Subject is sickened and has –4 Dex.</t>
  </si>
  <si>
    <t>The Dexterity penalty increases to -6. The target takes 1 point of bleed damage each round. If the target spends a move action scratching, increase its bleed damage each round by 1. If the bleeding is stopped, scratching causes it to start again at 1 point of bleed per round.</t>
  </si>
  <si>
    <t>Protective Spirit</t>
  </si>
  <si>
    <t>A protective spirit is an invisible, mindless, shapeless force that hovers about you, defending you against unexpected attacks. When a creature makes an attack of opportunity against you, the protective spirit makes an immediate attack using your base attack bonus plus your Dexterity modifier. On a successful hit, the spirit does no damage, but it causes the attack of opportunity to automatically miss. A protective spirit can defend against a number of attacks of opportunity equal to your Dexterity bonus (minimum 1) per round.  A protective spirit occupies your space, and moves with you. It cannot be attacked or harmed by physical attacks, but dispel magic, disintegrate, a sphere of annihilation, or a rod of cancellation affects it. A protective spirit's AC against touch attacks is 10 + your Dexterity modifier.</t>
  </si>
  <si>
    <t>&lt;p&gt;A &lt;i&gt;protective spirit&lt;/i&gt; is an invisible, mindless, shapeless force that hovers about you, defending you against unexpected attacks. When a creature makes an attack of opportunity against you, the &lt;i&gt;protective spirit&lt;/i&gt; makes an immediate attack using your base attack bonus plus your Dexterity modifier. On a successful hit, the spirit does no damage, but it causes the attack of opportunity to automatically miss. A &lt;i&gt;protective spirit&lt;/i&gt; can defend against a number of attacks of opportunity equal to your Dexterity bonus (minimum 1) per round.&lt;/p&gt;&lt;p&gt;A &lt;i&gt;protective spirit&lt;/i&gt; occupies your space, and moves with you. It cannot be attacked or harmed by physical attacks, but &lt;i&gt;dispel magic&lt;/i&gt;, &lt;i&gt;disintegrate&lt;/i&gt;, &lt;i&gt;a sphere of annihilation&lt;/i&gt;, or a &lt;i&gt;rod of cancellation&lt;/i&gt; affects it. A &lt;i&gt;protective spirit&lt;/i&gt;'s AC against touch attacks is 10 + your Dexterity modifier.&lt;/p&gt;</t>
  </si>
  <si>
    <t>&lt;link rel="stylesheet"href="PF.css"&gt;&lt;div class="heading"&gt;&lt;p class="alignleft"&gt;Protective Spirit&lt;/p&gt;&lt;div style="clear: both;"&gt;&lt;/div&gt;&lt;/div&gt;&lt;div&gt;&lt;h5&gt;&lt;b&gt;School &lt;/b&gt;conjuration (creation);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round/level&lt;/h5&gt;&lt;/div&gt;&lt;hr/&gt;&lt;div&gt;&lt;h5&gt;&lt;b&gt;DESCRIPTION&lt;/b&gt;&lt;/h5&gt;&lt;/div&gt;&lt;hr/&gt;&lt;div&gt;&lt;h4&gt;&lt;p&gt;A &lt;i&gt;protective spirit&lt;/i&gt; is an invisible, mindless, shapeless force that hovers about you, defending you against unexpected attacks. When a creature makes an attack of opportunity against you, the &lt;i&gt;protective spirit&lt;/i&gt; makes an immediate attack using your base attack bonus plus your Dexterity modifier. On a successful hit, the spirit does no damage, but it causes the attack of opportunity to automatically miss. A &lt;i&gt;protective spirit&lt;/i&gt; can defend against a number of attacks of opportunity equal to your Dexterity bonus (minimum 1) per round.&lt;/p&gt;&lt;p&gt;A &lt;i&gt;protective spirit&lt;/i&gt; occupies your space, and moves with you. It cannot be attacked or harmed by physical attacks, but &lt;i&gt;dispel magic&lt;/i&gt;, &lt;i&gt;disintegrate&lt;/i&gt;, &lt;i&gt;a sphere of annihilation&lt;/i&gt;, or a &lt;i&gt;rod of cancellation&lt;/i&gt; affects it. A &lt;i&gt;protective spirit&lt;/i&gt;'s AC against touch attacks is 10 + your Dexterity modifier.&lt;/p&gt;&lt;/h4&gt;&lt;/div&gt;</t>
  </si>
  <si>
    <t>Protects from attacks of opportunity.</t>
  </si>
  <si>
    <t>Purging Finale</t>
  </si>
  <si>
    <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t>
  </si>
  <si>
    <t>&lt;p&gt;You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stunned.&lt;/p&gt;</t>
  </si>
  <si>
    <t>&lt;link rel="stylesheet"href="PF.css"&gt;&lt;div class="heading"&gt;&lt;p class="alignleft"&gt;Purging Finale&lt;/p&gt;&lt;div style="clear: both;"&gt;&lt;/div&gt;&lt;/div&gt;&lt;div&gt;&lt;h5&gt;&lt;b&gt;School &lt;/b&gt;conjuration (healing); &lt;b&gt;Level &lt;/b&gt;bard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stunned.&lt;/p&gt;&lt;/h4&gt;&lt;/div&gt;</t>
  </si>
  <si>
    <t>Removes one negative effect.</t>
  </si>
  <si>
    <t>Purified Calling</t>
  </si>
  <si>
    <t>V, S, M (a stick of incense)</t>
  </si>
  <si>
    <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  Permanent conditions and ability drain are not affected by this spell.</t>
  </si>
  <si>
    <t>&lt;p&gt;Your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removed.&lt;/p&gt;&lt;p&gt;Permanent conditions and ability drain are not affected by this spell.&lt;/p&gt;</t>
  </si>
  <si>
    <t>&lt;link rel="stylesheet"href="PF.css"&gt;&lt;div class="heading"&gt;&lt;p class="alignleft"&gt;Purified Calling&lt;/p&gt;&lt;div style="clear: both;"&gt;&lt;/div&gt;&lt;/div&gt;&lt;div&gt;&lt;h5&gt;&lt;b&gt;School &lt;/b&gt;conjuration (healing); &lt;b&gt;Level &lt;/b&gt;summoner 4&lt;/h5&gt;&lt;/div&gt;&lt;hr/&gt;&lt;div&gt;&lt;h5&gt;&lt;b&gt;CASTING&lt;/b&gt;&lt;/h5&gt;&lt;/div&gt;&lt;hr/&gt;&lt;div&gt;&lt;h5&gt;&lt;b&gt;Casting Time &lt;/b&gt;1 standard action&lt;/h5&gt;&lt;h5&gt;&lt;b&gt;Components &lt;/b&gt;V, S, M (a stick of incense)&lt;/h5&gt;&lt;/div&gt;&lt;hr/&gt;&lt;div&gt;&lt;h5&gt;&lt;b&gt;EFFECT&lt;/b&gt;&lt;/h5&gt;&lt;/div&gt;&lt;hr/&gt;&lt;div&gt;&lt;h5&gt;&lt;b&gt;Range &lt;/b&gt;personal&lt;/h5&gt;&lt;h5&gt;&lt;b&gt;Targets &lt;/b&gt;you&lt;/h5&gt;&lt;h5&gt;&lt;b&gt;Duration &lt;/b&gt;1 minute&lt;/h5&gt;&lt;/div&gt;&lt;hr/&gt;&lt;div&gt;&lt;h5&gt;&lt;b&gt;DESCRIPTION&lt;/b&gt;&lt;/h5&gt;&lt;/div&gt;&lt;hr/&gt;&lt;div&gt;&lt;h4&gt;&lt;p&gt;Your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removed.&lt;/p&gt;&lt;p&gt;Permanent conditions and ability drain are not affected by this spell.&lt;/p&gt;&lt;/h4&gt;&lt;/div&gt;</t>
  </si>
  <si>
    <t>Eidolon summoned is fully healed.</t>
  </si>
  <si>
    <t>Putrefy Food and Drink</t>
  </si>
  <si>
    <t>witch 0</t>
  </si>
  <si>
    <t>1 cu. ft./level of food and water or one potion; see text</t>
  </si>
  <si>
    <t>This spell causes otherwise edible food to rot and spoil instantly, and water and other liquids to become brackish and undrinkable. Holy water and similar food and drink of significance are spoiled by putrefy food and drink, but the spell has no effect on creatures of any type, nor upon unholy water. Water weighs about 8 pounds per gallon. One cubic foot of water contains roughly 8 gallons and weighs about 60 pounds.  Although potions and elixirs are unaffected by the normal use of the spell, you can instead choose to target a single such object with this spell, destroying it if it fails a saving throw.</t>
  </si>
  <si>
    <t>&lt;p&gt;This spell causes otherwise edible food to rot and spoil instantly, and water and other liquids to become brackish and undrinkable. Holy water and similar food and drink of significance are spoiled by &lt;i&gt;putrefy food and drink&lt;/i&gt;, but the spell has no effect on creatures of any type, nor upon unholy water. Water weighs about 8 pounds per gallon. One cubic foot of water contains roughly 8 gallons and weighs about 60 pounds.&lt;/p&gt;&lt;p&gt;Although potions and elixirs are unaffected by the normal use of the spell, you can instead choose to target a single such object with this spell, destroying it if it fails a saving throw.&lt;/p&gt;</t>
  </si>
  <si>
    <t>&lt;link rel="stylesheet"href="PF.css"&gt;&lt;div class="heading"&gt;&lt;p class="alignleft"&gt;Putrefy Food and Drink&lt;/p&gt;&lt;div style="clear: both;"&gt;&lt;/div&gt;&lt;/div&gt;&lt;div&gt;&lt;h5&gt;&lt;b&gt;School &lt;/b&gt;transmutation [poison]; &lt;b&gt;Level &lt;/b&gt;witch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&lt;/b&gt;1 cu. ft./level of food and water or one potion; see text&lt;/h5&gt;&lt;h5&gt;&lt;b&gt;Duration &lt;/b&gt;instantaneous&lt;/h5&gt;&lt;h5&gt;&lt;b&gt;Saving Throw &lt;/b&gt;Will negates (object); &lt;b&gt;Spell Resistance &lt;/b&gt;yes (object)&lt;/h5&gt;&lt;/div&gt;&lt;hr/&gt;&lt;div&gt;&lt;h5&gt;&lt;b&gt;DESCRIPTION&lt;/b&gt;&lt;/h5&gt;&lt;/div&gt;&lt;hr/&gt;&lt;div&gt;&lt;h4&gt;&lt;p&gt;This spell causes otherwise edible food to rot and spoil instantly, and water and other liquids to become brackish and undrinkable. Holy water and similar food and drink of significance are spoiled by &lt;i&gt;putrefy food and drink&lt;/i&gt;, but the spell has no effect on creatures of any type, nor upon unholy water. Water weighs about 8 pounds per gallon. One cubic foot of water contains roughly 8 gallons and weighs about 60 pounds.&lt;/p&gt;&lt;p&gt;Although potions and elixirs are unaffected by the normal use of the spell, you can instead choose to target a single such object with this spell, destroying it if it fails a saving throw.&lt;/p&gt;&lt;/h4&gt;&lt;/div&gt;</t>
  </si>
  <si>
    <t>Makes food and water inedible.</t>
  </si>
  <si>
    <t>Rally Point</t>
  </si>
  <si>
    <t>good, mind-affecting, emotion</t>
  </si>
  <si>
    <t>one 5-ft. square</t>
  </si>
  <si>
    <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  A creature cannot benefit more than once from the same casting of this spell.</t>
  </si>
  <si>
    <t>&lt;p&gt;You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spell.&lt;/p&gt;&lt;p&gt;A creature cannot benefit more than once from the same casting of this spell.&lt;/p&gt;</t>
  </si>
  <si>
    <t>&lt;link rel="stylesheet"href="PF.css"&gt;&lt;div class="heading"&gt;&lt;p class="alignleft"&gt;Rally Point&lt;/p&gt;&lt;div style="clear: both;"&gt;&lt;/div&gt;&lt;/div&gt;&lt;div&gt;&lt;h5&gt;&lt;b&gt;School &lt;/b&gt;enchantment (compulsion) [good, mind-affecting, emotion];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&lt;/b&gt;5 ft.&lt;/h5&gt;&lt;h5&gt;&lt;b&gt;Area &lt;/b&gt;one 5-ft. square&lt;/h5&gt;&lt;h5&gt;&lt;b&gt;Duration &lt;/b&gt;1 minute/level (D)&lt;/h5&gt;&lt;h5&gt;&lt;b&gt;Saving Throw &lt;/b&gt;Will negates (harmless); &lt;b&gt;Spell Resistance &lt;/b&gt;yes (harmless)&lt;/h5&gt;&lt;/div&gt;&lt;hr/&gt;&lt;div&gt;&lt;h5&gt;&lt;b&gt;DESCRIPTION&lt;/b&gt;&lt;/h5&gt;&lt;/div&gt;&lt;hr/&gt;&lt;div&gt;&lt;h4&gt;&lt;p&gt;You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spell.&lt;/p&gt;&lt;p&gt;A creature cannot benefit more than once from the same casting of this spell.&lt;/p&gt;&lt;/h4&gt;&lt;/div&gt;</t>
  </si>
  <si>
    <t>Square gives good creatures bonuses.</t>
  </si>
  <si>
    <t>Rebuke</t>
  </si>
  <si>
    <t>20-ft.-radius burst centered on you</t>
  </si>
  <si>
    <t>Your wrathful words cause physical harm to your enemies.  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  Enemies do not need to hear a rebuke to be harmed by it, but it is negated by magical silence.</t>
  </si>
  <si>
    <t>&lt;p&gt;Your wrathful words cause physical harm to your enemies.&lt;/p&gt;&lt;p&gt;Your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effect.&lt;/p&gt;&lt;p&gt;Enemies do not need to hear a &lt;i&gt;rebuke&lt;/i&gt; to be harmed by it, but it is negated by magical silence.&lt;/p&gt;</t>
  </si>
  <si>
    <t>&lt;link rel="stylesheet"href="PF.css"&gt;&lt;div class="heading"&gt;&lt;p class="alignleft"&gt;Rebuke&lt;/p&gt;&lt;div style="clear: both;"&gt;&lt;/div&gt;&lt;/div&gt;&lt;div&gt;&lt;h5&gt;&lt;b&gt;School &lt;/b&gt;evocation [sonic]; &lt;b&gt;Level &lt;/b&gt;inquisitor 4&lt;/h5&gt;&lt;/div&gt;&lt;hr/&gt;&lt;div&gt;&lt;h5&gt;&lt;b&gt;CASTING&lt;/b&gt;&lt;/h5&gt;&lt;/div&gt;&lt;hr/&gt;&lt;div&gt;&lt;h5&gt;&lt;b&gt;Casting Time &lt;/b&gt;1 standard action&lt;/h5&gt;&lt;h5&gt;&lt;b&gt;Components &lt;/b&gt;V, S, DF&lt;/h5&gt;&lt;/div&gt;&lt;hr/&gt;&lt;div&gt;&lt;h5&gt;&lt;b&gt;EFFECT&lt;/b&gt;&lt;/h5&gt;&lt;/div&gt;&lt;hr/&gt;&lt;div&gt;&lt;h5&gt;&lt;b&gt;Range &lt;/b&gt;20 ft.&lt;/h5&gt;&lt;h5&gt;&lt;b&gt;Area &lt;/b&gt;20-ft.-radius burst centered on you&lt;/h5&gt;&lt;h5&gt;&lt;b&gt;Duration &lt;/b&gt;instantaneous&lt;/h5&gt;&lt;h5&gt;&lt;b&gt;Saving Throw &lt;/b&gt;Fortitude partial; &lt;b&gt;Spell Resistance &lt;/b&gt;yes&lt;/h5&gt;&lt;/div&gt;&lt;hr/&gt;&lt;div&gt;&lt;h5&gt;&lt;b&gt;DESCRIPTION&lt;/b&gt;&lt;/h5&gt;&lt;/div&gt;&lt;hr/&gt;&lt;div&gt;&lt;h4&gt;&lt;p&gt;Your wrathful words cause physical harm to your enemies.&lt;/p&gt;&lt;p&gt;Your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effect.&lt;/p&gt;&lt;p&gt;Enemies do not need to hear a &lt;i&gt;rebuke&lt;/i&gt; to be harmed by it, but it is negated by magical silence.&lt;/p&gt;&lt;/h4&gt;&lt;/div&gt;</t>
  </si>
  <si>
    <t>Judgment (4)</t>
  </si>
  <si>
    <t>Foes take 1d8 damage/two caster levels (max 5d8).</t>
  </si>
  <si>
    <t>Rampart</t>
  </si>
  <si>
    <t>druid 7, sorcerer/wizard 7</t>
  </si>
  <si>
    <t>V, S, M (a handful of earth)</t>
  </si>
  <si>
    <t>10-ft.-high earthen wall, in a line up to 10 ft. long/2 levels, or a circle with radius of up to 3 ft. + 1 ft./level</t>
  </si>
  <si>
    <t>You create a massive rampart of hard-packed earth and stone 5 feet thick. The rampart cannot be conjured so that it occupies the same space as another creature or object. Each 5-foot-wide section of the rampart has hardness 0 and 180 hit points. A section of the rampart whose hit points drop to 0 is breached. If a creature tries to break through the rampart with a single attack, the DC for the Strength check is 60. A creature can climb over the rampart with a DC 20 Climb check.</t>
  </si>
  <si>
    <t>&lt;p&gt;You create a massive &lt;i&gt;rampart&lt;/i&gt; of hard-packed earth and stone 5 feet thick. The &lt;i&gt;rampart&lt;/i&gt; cannot be conjured so that it occupies the same space as another creature or object. Each 5-foot-wide section of the &lt;i&gt;rampart&lt;/i&gt; has hardness 0 and 180 hit points. A section of the &lt;i&gt;rampart&lt;/i&gt; whose hit points drop to 0 is breached. If a creature tries to break through the &lt;i&gt;rampart&lt;/i&gt; with a single attack, the DC for the Strength check is 60. A creature can climb over the &lt;i&gt;rampart&lt;/i&gt; with a DC 20 Climb check.&lt;/p&gt;</t>
  </si>
  <si>
    <t>&lt;link rel="stylesheet"href="PF.css"&gt;&lt;div class="heading"&gt;&lt;p class="alignleft"&gt;Rampart&lt;/p&gt;&lt;div style="clear: both;"&gt;&lt;/div&gt;&lt;/div&gt;&lt;div&gt;&lt;h5&gt;&lt;b&gt;School &lt;/b&gt;conjuration (creation) [earth]; &lt;b&gt;Level &lt;/b&gt;druid 7, sorcerer/wizard 7&lt;/h5&gt;&lt;/div&gt;&lt;hr/&gt;&lt;div&gt;&lt;h5&gt;&lt;b&gt;CASTING&lt;/b&gt;&lt;/h5&gt;&lt;/div&gt;&lt;hr/&gt;&lt;div&gt;&lt;h5&gt;&lt;b&gt;Casting Time &lt;/b&gt;1 standard action&lt;/h5&gt;&lt;h5&gt;&lt;b&gt;Components &lt;/b&gt;V, S, M (a handful of earth)&lt;/h5&gt;&lt;/div&gt;&lt;hr/&gt;&lt;div&gt;&lt;h5&gt;&lt;b&gt;EFFECT&lt;/b&gt;&lt;/h5&gt;&lt;/div&gt;&lt;hr/&gt;&lt;div&gt;&lt;h5&gt;&lt;b&gt;Range &lt;/b&gt;medium (100 ft. + 10 ft./level)&lt;/h5&gt;&lt;h5&gt;&lt;b&gt;Effect &lt;/b&gt;10-ft.-high earthen wall, in a line up to 10 ft. long/2 levels, or a circle with radius of up to 3 ft. + 1 ft./level&lt;/h5&gt;&lt;h5&gt;&lt;b&gt;Duration &lt;/b&gt;instantaneous&lt;/h5&gt;&lt;h5&gt;&lt;b&gt;Saving Throw &lt;/b&gt;none; &lt;b&gt;Spell Resistance &lt;/b&gt;no&lt;/h5&gt;&lt;/div&gt;&lt;hr/&gt;&lt;div&gt;&lt;h5&gt;&lt;b&gt;DESCRIPTION&lt;/b&gt;&lt;/h5&gt;&lt;/div&gt;&lt;hr/&gt;&lt;div&gt;&lt;h4&gt;&lt;p&gt;You create a massive &lt;i&gt;rampart&lt;/i&gt; of hard-packed earth and stone 5 feet thick. The &lt;i&gt;rampart&lt;/i&gt; cannot be conjured so that it occupies the same space as another creature or object. Each 5-foot-wide section of the &lt;i&gt;rampart&lt;/i&gt; has hardness 0 and 180 hit points. A section of the &lt;i&gt;rampart&lt;/i&gt; whose hit points drop to 0 is breached. If a creature tries to break through the &lt;i&gt;rampart&lt;/i&gt; with a single attack, the DC for the Strength check is 60. A creature can climb over the &lt;i&gt;rampart&lt;/i&gt; with a DC 20 Climb check.&lt;/p&gt;&lt;/h4&gt;&lt;/div&gt;</t>
  </si>
  <si>
    <t>Creates 5-ft.-thick earthen barrier.</t>
  </si>
  <si>
    <t>Rejuvenate Eidolon, Lesser</t>
  </si>
  <si>
    <t>summoner 1</t>
  </si>
  <si>
    <t>V, S, M (a drop of your blood)</t>
  </si>
  <si>
    <t>eidolon touched</t>
  </si>
  <si>
    <t>By laying your hand upon an eidolon, you cause its wounds to close and its form to solidify. This spell cures 1d10 points of damage +1 point per caster level (maximum +5).</t>
  </si>
  <si>
    <t>&lt;p&gt;By laying your hand upon an eidolon, you cause its wounds to close and its form to solidify. This spell cures 1d10 points of damage +1 point per caster level (maximum +5).&lt;/p&gt;</t>
  </si>
  <si>
    <t>&lt;link rel="stylesheet"href="PF.css"&gt;&lt;div class="heading"&gt;&lt;p class="alignleft"&gt;Rejuvenate Eidolon, Lesser&lt;/p&gt;&lt;div style="clear: both;"&gt;&lt;/div&gt;&lt;/div&gt;&lt;div&gt;&lt;h5&gt;&lt;b&gt;School &lt;/b&gt;conjuration (healing); &lt;b&gt;Level &lt;/b&gt;summoner 1&lt;/h5&gt;&lt;/div&gt;&lt;hr/&gt;&lt;div&gt;&lt;h5&gt;&lt;b&gt;CASTING&lt;/b&gt;&lt;/h5&gt;&lt;/div&gt;&lt;hr/&gt;&lt;div&gt;&lt;h5&gt;&lt;b&gt;Casting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&lt;/b&gt;no&lt;/h5&gt;&lt;/div&gt;&lt;hr/&gt;&lt;div&gt;&lt;h5&gt;&lt;b&gt;DESCRIPTION&lt;/b&gt;&lt;/h5&gt;&lt;/div&gt;&lt;hr/&gt;&lt;div&gt;&lt;h4&gt;&lt;p&gt;By laying your hand upon an eidolon, you cause its wounds to close and its form to solidify. This spell cures 1d10 points of damage +1 point per caster level (maximum +5).&lt;/p&gt;&lt;/h4&gt;&lt;/div&gt;</t>
  </si>
  <si>
    <t>Eidolon cured 1d10 damage +1/level (max +5).</t>
  </si>
  <si>
    <t>Rejuvenate Eidolon</t>
  </si>
  <si>
    <t>This spell functions as lesser rejuvenate eidolon, except that it cures 3d10 points of damage +1 point per caster level (maximum +10).</t>
  </si>
  <si>
    <t>&lt;p&gt;This spell functions as &lt;i&gt;lesser rejuvenate eidolon&lt;/i&gt;, except that it cures 3d10 points of damage +1 point per caster level (maximum +10).&lt;/p&gt;</t>
  </si>
  <si>
    <t>&lt;link rel="stylesheet"href="PF.css"&gt;&lt;div class="heading"&gt;&lt;p class="alignleft"&gt;Rejuvenate Eidolon&lt;/p&gt;&lt;div style="clear: both;"&gt;&lt;/div&gt;&lt;/div&gt;&lt;div&gt;&lt;h5&gt;&lt;b&gt;School &lt;/b&gt;conjuration (healing); &lt;b&gt;Level &lt;/b&gt;summoner 3&lt;/h5&gt;&lt;/div&gt;&lt;hr/&gt;&lt;div&gt;&lt;h5&gt;&lt;b&gt;CASTING&lt;/b&gt;&lt;/h5&gt;&lt;/div&gt;&lt;hr/&gt;&lt;div&gt;&lt;h5&gt;&lt;b&gt;Casting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&lt;/b&gt;no&lt;/h5&gt;&lt;/div&gt;&lt;hr/&gt;&lt;div&gt;&lt;h5&gt;&lt;b&gt;DESCRIPTION&lt;/b&gt;&lt;/h5&gt;&lt;/div&gt;&lt;hr/&gt;&lt;div&gt;&lt;h4&gt;&lt;p&gt;This spell functions as &lt;i&gt;lesser rejuvenate eidolon&lt;/i&gt;, except that it cures 3d10 points of damage +1 point per caster level (maximum +10).&lt;/p&gt;&lt;/h4&gt;&lt;/div&gt;</t>
  </si>
  <si>
    <t>As lesser rejuvenate eidolon, but cures 3d10 damage +1/level (max +10).</t>
  </si>
  <si>
    <t>Rejuvenate Eidolon, Greater</t>
  </si>
  <si>
    <t>summoner 5</t>
  </si>
  <si>
    <t>This spell functions as lesser rejuvenate eidolon, except that it cures 5d10 points of damage +1 point per caster level (maximum +20).</t>
  </si>
  <si>
    <t>&lt;p&gt;This spell functions as &lt;i&gt;lesser rejuvenate eidolon&lt;/i&gt;, except that it cures 5d10 points of damage +1 point per caster level (maximum +20).&lt;/p&gt;</t>
  </si>
  <si>
    <t>&lt;link rel="stylesheet"href="PF.css"&gt;&lt;div class="heading"&gt;&lt;p class="alignleft"&gt;Rejuvenate Eidolon, Greater&lt;/p&gt;&lt;div style="clear: both;"&gt;&lt;/div&gt;&lt;/div&gt;&lt;div&gt;&lt;h5&gt;&lt;b&gt;School &lt;/b&gt;conjuration (healing); &lt;b&gt;Level &lt;/b&gt;summoner 5&lt;/h5&gt;&lt;/div&gt;&lt;hr/&gt;&lt;div&gt;&lt;h5&gt;&lt;b&gt;CASTING&lt;/b&gt;&lt;/h5&gt;&lt;/div&gt;&lt;hr/&gt;&lt;div&gt;&lt;h5&gt;&lt;b&gt;Casting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&lt;/b&gt;no&lt;/h5&gt;&lt;/div&gt;&lt;hr/&gt;&lt;div&gt;&lt;h5&gt;&lt;b&gt;DESCRIPTION&lt;/b&gt;&lt;/h5&gt;&lt;/div&gt;&lt;hr/&gt;&lt;div&gt;&lt;h4&gt;&lt;p&gt;This spell functions as &lt;i&gt;lesser rejuvenate eidolon&lt;/i&gt;, except that it cures 5d10 points of damage +1 point per caster level (maximum +20).&lt;/p&gt;&lt;/h4&gt;&lt;/div&gt;</t>
  </si>
  <si>
    <t>As lesser rejuvenate eidolon, but cures 5d10 damage +1/level (max +20).</t>
  </si>
  <si>
    <t>Resounding Blow</t>
  </si>
  <si>
    <t>antipaladin 4, inquisitor 5, paladin 4</t>
  </si>
  <si>
    <t>You must have a melee weapon in hand to cast this spell.  On a successful melee attack, your weapon resounds with a thunderous clash. The target takes 1d6 points of sonic damage. Your weapon is not harmed by this attack.  If you are using your judgment ability or smite ability against the target, it is staggered for 1 round on a successful attack. A successful Fortitude save negates the staggering effect.  On a successful critical hit, the target is stunned for 1 round and deafened for 1d6 rounds. A successful Fortitude save negates the stunning and deafening effects. If you are also using judgment or smite, your foe makes only a single save against all effects.  This spell immediately ends if your weapon leaves your hand.  Resounding blow stacks with the thundering weapon property.</t>
  </si>
  <si>
    <t>&lt;p&gt;You must have a melee weapon in hand to cast this spell.&lt;/p&gt;&lt;p&gt;On a successful melee attack, your weapon resounds with a thunderous clash. The target takes 1d6 points of sonic damage. Your weapon is not harmed by this attack.&lt;/p&gt;&lt;p&gt;If you are using your judgment ability or smite ability against the target, it is staggered for 1 round on a successful attack. A successful Fortitude save negates the staggering effect.&lt;/p&gt;&lt;p&gt;On a successful critical hit, the target is stunned for 1 round and deafened for 1d6 rounds. A successful Fortitude save negates the stunning and deafening effects. If you are also using judgment or smite, your foe makes only a single save against all effects.&lt;/p&gt;&lt;p&gt;This spell immediately ends if your weapon leaves your hand.&lt;/p&gt;&lt;p&gt;&lt;i&gt;Resounding blow&lt;/i&gt; stacks with the &lt;i&gt;thundering&lt;/i&gt; weapon property.&lt;/p&gt;</t>
  </si>
  <si>
    <t>&lt;link rel="stylesheet"href="PF.css"&gt;&lt;div class="heading"&gt;&lt;p class="alignleft"&gt;Resounding Blow&lt;/p&gt;&lt;div style="clear: both;"&gt;&lt;/div&gt;&lt;/div&gt;&lt;div&gt;&lt;h5&gt;&lt;b&gt;School &lt;/b&gt;evocation [sonic]; &lt;b&gt;Level &lt;/b&gt;antipaladin 4, inquisitor 5, paladin 4&lt;/h5&gt;&lt;/div&gt;&lt;hr/&gt;&lt;div&gt;&lt;h5&gt;&lt;b&gt;CASTING&lt;/b&gt;&lt;/h5&gt;&lt;/div&gt;&lt;hr/&gt;&lt;div&gt;&lt;h5&gt;&lt;b&gt;Casting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round/level&lt;/h5&gt;&lt;h5&gt;&lt;b&gt;Saving Throw &lt;/b&gt;Fortitude partial; see text; &lt;b&gt;Spell Resistance &lt;/b&gt;no&lt;/h5&gt;&lt;/div&gt;&lt;hr/&gt;&lt;div&gt;&lt;h5&gt;&lt;b&gt;DESCRIPTION&lt;/b&gt;&lt;/h5&gt;&lt;/div&gt;&lt;hr/&gt;&lt;div&gt;&lt;h4&gt;&lt;p&gt;You must have a melee weapon in hand to cast this spell.&lt;/p&gt;&lt;p&gt;On a successful melee attack, your weapon resounds with a thunderous clash. The target takes 1d6 points of sonic damage. Your weapon is not harmed by this attack.&lt;/p&gt;&lt;p&gt;If you are using your judgment ability or smite ability against the target, it is staggered for 1 round on a successful attack. A successful Fortitude save negates the staggering effect.&lt;/p&gt;&lt;p&gt;On a successful critical hit, the target is stunned for 1 round and deafened for 1d6 rounds. A successful Fortitude save negates the stunning and deafening effects. If you are also using judgment or smite, your foe makes only a single save against all effects.&lt;/p&gt;&lt;p&gt;This spell immediately ends if your weapon leaves your hand.&lt;/p&gt;&lt;p&gt;&lt;i&gt;Resounding blow&lt;/i&gt; stacks with the &lt;i&gt;thundering&lt;/i&gt; weapon property.&lt;/p&gt;&lt;/h4&gt;&lt;/div&gt;</t>
  </si>
  <si>
    <t>Melee attack deals 1d6 more damage.</t>
  </si>
  <si>
    <t>Rest Eternal</t>
  </si>
  <si>
    <t>cleric/oracle 4, druid 5, witch 5, shaman 5</t>
  </si>
  <si>
    <t>V, S, M/DF (ashes and a vial of holy or unholy water)</t>
  </si>
  <si>
    <t>one dead creature touched</t>
  </si>
  <si>
    <t>You place a curse upon a dead creature that bars its spirit from returning. Anyone casting a spell that would communicate with the dead creature, return it to life, or turn it into an undead creature must succeed on a caster level check with a DC of 11 plus your caster level. Rest eternal cannot be dispelled, but it can be negated with remove curse or break enchantment.</t>
  </si>
  <si>
    <t>&lt;p&gt;You place a curse upon a dead creature that bars its spirit from returning. Anyone casting a spell that would communicate with the dead creature, return it to life, or turn it into an undead creature must succeed on a caster level check with a DC of 11 plus your caster level. &lt;i&gt;Rest eternal&lt;/i&gt; cannot be dispelled, but it can be negated with &lt;i&gt;remove curse&lt;/i&gt; or &lt;i&gt;break enchantment&lt;/i&gt;.&lt;/p&gt;</t>
  </si>
  <si>
    <t>&lt;link rel="stylesheet"href="PF.css"&gt;&lt;div class="heading"&gt;&lt;p class="alignleft"&gt;Rest Eternal&lt;/p&gt;&lt;div style="clear: both;"&gt;&lt;/div&gt;&lt;/div&gt;&lt;div&gt;&lt;h5&gt;&lt;b&gt;School &lt;/b&gt;necromancy [curse]; &lt;b&gt;Level &lt;/b&gt;cleric/oracle 4, druid 5, witch 5, shaman 5&lt;/h5&gt;&lt;/div&gt;&lt;hr/&gt;&lt;div&gt;&lt;h5&gt;&lt;b&gt;CASTING&lt;/b&gt;&lt;/h5&gt;&lt;/div&gt;&lt;hr/&gt;&lt;div&gt;&lt;h5&gt;&lt;b&gt;Casting Time &lt;/b&gt;1 round&lt;/h5&gt;&lt;h5&gt;&lt;b&gt;Components &lt;/b&gt;V, S, M/DF (ashes and a vial of holy or unholy water)&lt;/h5&gt;&lt;/div&gt;&lt;hr/&gt;&lt;div&gt;&lt;h5&gt;&lt;b&gt;EFFECT&lt;/b&gt;&lt;/h5&gt;&lt;/div&gt;&lt;hr/&gt;&lt;div&gt;&lt;h5&gt;&lt;b&gt;Range &lt;/b&gt;touch&lt;/h5&gt;&lt;h5&gt;&lt;b&gt;Targets &lt;/b&gt;one dead creature touched&lt;/h5&gt;&lt;h5&gt;&lt;b&gt;Duration &lt;/b&gt;permanent&lt;/h5&gt;&lt;h5&gt;&lt;b&gt;Saving Throw &lt;/b&gt;none; &lt;b&gt;Spell Resistance &lt;/b&gt;no&lt;/h5&gt;&lt;/div&gt;&lt;hr/&gt;&lt;div&gt;&lt;h5&gt;&lt;b&gt;DESCRIPTION&lt;/b&gt;&lt;/h5&gt;&lt;/div&gt;&lt;hr/&gt;&lt;div&gt;&lt;h4&gt;&lt;p&gt;You place a curse upon a dead creature that bars its spirit from returning. Anyone casting a spell that would communicate with the dead creature, return it to life, or turn it into an undead creature must succeed on a caster level check with a DC of 11 plus your caster level. &lt;i&gt;Rest eternal&lt;/i&gt; cannot be dispelled, but it can be negated with &lt;i&gt;remove curse&lt;/i&gt; or &lt;i&gt;break enchantment&lt;/i&gt;.&lt;/p&gt;&lt;/h4&gt;&lt;/div&gt;</t>
  </si>
  <si>
    <t>Dead creature cannot be revived.</t>
  </si>
  <si>
    <t>Restful Sleep</t>
  </si>
  <si>
    <t>bard 1</t>
  </si>
  <si>
    <t>V, S, M (a pinch of sand)</t>
  </si>
  <si>
    <t>8 hours or 24 hours; see text</t>
  </si>
  <si>
    <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restful sleep is considered natural healing, and has no affect on effects requiring magical healing to cure.</t>
  </si>
  <si>
    <t>&lt;p&gt;You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&lt;i&gt;restful sleep&lt;/i&gt; is considered natural healing, and has no affect on effects requiring magical healing to cure.&lt;/p&gt;</t>
  </si>
  <si>
    <t>&lt;link rel="stylesheet"href="PF.css"&gt;&lt;div class="heading"&gt;&lt;p class="alignleft"&gt;Restful Sleep&lt;/p&gt;&lt;div style="clear: both;"&gt;&lt;/div&gt;&lt;/div&gt;&lt;div&gt;&lt;h5&gt;&lt;b&gt;School &lt;/b&gt;necromancy; &lt;b&gt;Level &lt;/b&gt;bard 1&lt;/h5&gt;&lt;/div&gt;&lt;hr/&gt;&lt;div&gt;&lt;h5&gt;&lt;b&gt;CASTING&lt;/b&gt;&lt;/h5&gt;&lt;/div&gt;&lt;hr/&gt;&lt;div&gt;&lt;h5&gt;&lt;b&gt;Casting Time &lt;/b&gt;10 minutes&lt;/h5&gt;&lt;h5&gt;&lt;b&gt;Components &lt;/b&gt;V, S, M (a pinch of sand)&lt;/h5&gt;&lt;/div&gt;&lt;hr/&gt;&lt;div&gt;&lt;h5&gt;&lt;b&gt;EFFECT&lt;/b&gt;&lt;/h5&gt;&lt;/div&gt;&lt;hr/&gt;&lt;div&gt;&lt;h5&gt;&lt;b&gt;Range &lt;/b&gt;close (25 ft. + 5 ft./2 levels)&lt;/h5&gt;&lt;h5&gt;&lt;b&gt;Targets &lt;/b&gt;one creature/level, no two of which can be more than 30 ft. apart&lt;/h5&gt;&lt;h5&gt;&lt;b&gt;Duration &lt;/b&gt;8 hours or 24 hours; see text&lt;/h5&gt;&lt;h5&gt;&lt;b&gt;Saving Throw &lt;/b&gt;Fortitude negates (harmless); &lt;b&gt;Spell Resistance &lt;/b&gt;yes (harmless)&lt;/h5&gt;&lt;/div&gt;&lt;hr/&gt;&lt;div&gt;&lt;h5&gt;&lt;b&gt;DESCRIPTION&lt;/b&gt;&lt;/h5&gt;&lt;/div&gt;&lt;hr/&gt;&lt;div&gt;&lt;h4&gt;&lt;p&gt;You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&lt;i&gt;restful sleep&lt;/i&gt; is considered natural healing, and has no affect on effects requiring magical healing to cure.&lt;/p&gt;&lt;/h4&gt;&lt;/div&gt;</t>
  </si>
  <si>
    <t>Gain more hit points while sleeping.</t>
  </si>
  <si>
    <t>Resurgent Transformation</t>
  </si>
  <si>
    <t>V, S, M (a pinch of meteoric iron worth 100 gp)</t>
  </si>
  <si>
    <t>1 hour/level or until triggered, then 1 round/level</t>
  </si>
  <si>
    <t>Resurgent transformation grants you the ability to recover from deadly wounds with restored vitality and a will to fight, but at a price. Once cast, resurgent transformation lies dormant for up to 1 hour per level until you are reduced to one-quarter hit points or less. Once triggered, you immediately gain a +4 enhancement bonus to Constitution and Strength, damage reduction 5/-, and the benefits of a haste spell. In addition, you heal 4d8 points of damage + 1 point per caster level (maximum +25). Resurgent transformation can even save you from death by healing the damage from an otherwise mortal wound, though it does not prevent death from massive damage or from causes other than hit point loss. Your mental faculties are impaired by this magical transformation, however, causing 1d4 points of Intelligence and Wisdom damage.  The advantages from your transformation persist for 1 round per caster level after the spell is triggered. Once the spell ends, it takes a heavy toll, leaving you exhausted and inflicting 1d4 points of Constitution damage. Utilizing more than one resurgent transformation in a day is particularly risky.  The expiration of a second resurgent transformation in a 24- hour period inflicts an additional 1d4 points of Constitution damage and results in death from system shock unless you succeed at a DC 15 Fortitude save, made after the Constitution damage has been applied.  If the spell expires or is dispelled before the transformation has been triggered, no adverse effects result.</t>
  </si>
  <si>
    <t>&lt;p&gt;&lt;i&gt;Resurgent &lt;i&gt;transformation&lt;/i&gt;&lt;/i&gt; grants you the ability to recover from deadly wounds with restored vitality and a will to fight, but at a price. Once cast, &lt;i&gt;resurgent &lt;i&gt;transformation&lt;/i&gt;&lt;/i&gt; lies dormant for up to 1 hour per level until you are reduced to one-quarter hit points or less. Once triggered, you immediately gain a +4 enhancement bonus to Constitution and Strength, damage reduction 5/-, and the benefits of a &lt;i&gt;haste&lt;/i&gt; spell. In addition, you heal 4d8 points of damage + 1 point per caster level (maximum +25). &lt;i&gt;Resurgent &lt;i&gt;transformation&lt;/i&gt;&lt;/i&gt; can even save you from death by healing the damage from an otherwise mortal wound, though it does not prevent death from massive damage or from causes other than hit point loss. Your mental faculties are impaired by this magical &lt;i&gt;transformation&lt;/i&gt;, however, causing 1d4 points of Intelligence and Wisdom damage.&lt;/p&gt;&lt;p&gt;The advantages from your &lt;i&gt;transformation&lt;/i&gt; persist for 1 round per caster level after the spell is triggered. Once the spell ends, it takes a heavy toll, leaving you exhausted and inflicting 1d4 points of Constitution damage. Utilizing more than one &lt;i&gt;resurgent &lt;i&gt;transformation&lt;/i&gt;&lt;/i&gt; in a day is particularly risky.&lt;/p&gt;&lt;p&gt;The expiration of a second &lt;i&gt;resurgent &lt;i&gt;transformation&lt;/i&gt;&lt;/i&gt; in a 24- hour period inflicts an additional 1d4 points of Constitution damage and results in death from system shock unless you succeed at a DC 15 Fortitude save, made after the Constitution damage has been applied.&lt;/p&gt;&lt;p&gt;If the spell expires or is dispelled before the &lt;i&gt;transformation&lt;/i&gt; has been triggered, no adverse effects result.&lt;/p&gt;</t>
  </si>
  <si>
    <t>&lt;link rel="stylesheet"href="PF.css"&gt;&lt;div class="heading"&gt;&lt;p class="alignleft"&gt;Resurgent Transformation&lt;/p&gt;&lt;div style="clear: both;"&gt;&lt;/div&gt;&lt;/div&gt;&lt;div&gt;&lt;h5&gt;&lt;b&gt;School &lt;/b&gt;conjuration (healing); &lt;b&gt;Level &lt;/b&gt;alchemist 5&lt;/h5&gt;&lt;/div&gt;&lt;hr/&gt;&lt;div&gt;&lt;h5&gt;&lt;b&gt;CASTING&lt;/b&gt;&lt;/h5&gt;&lt;/div&gt;&lt;hr/&gt;&lt;div&gt;&lt;h5&gt;&lt;b&gt;Casting Time &lt;/b&gt;1 standard action&lt;/h5&gt;&lt;h5&gt;&lt;b&gt;Components &lt;/b&gt;V, S, M (a pinch of meteoric iron worth 100 gp)&lt;/h5&gt;&lt;/div&gt;&lt;hr/&gt;&lt;div&gt;&lt;h5&gt;&lt;b&gt;EFFECT&lt;/b&gt;&lt;/h5&gt;&lt;/div&gt;&lt;hr/&gt;&lt;div&gt;&lt;h5&gt;&lt;b&gt;Range &lt;/b&gt;personal&lt;/h5&gt;&lt;h5&gt;&lt;b&gt;Targets &lt;/b&gt;you&lt;/h5&gt;&lt;h5&gt;&lt;b&gt;Duration &lt;/b&gt;1 hour/level or until triggered, then 1 round/level&lt;/h5&gt;&lt;/div&gt;&lt;hr/&gt;&lt;div&gt;&lt;h5&gt;&lt;b&gt;DESCRIPTION&lt;/b&gt;&lt;/h5&gt;&lt;/div&gt;&lt;hr/&gt;&lt;div&gt;&lt;h4&gt;&lt;p&gt;&lt;i&gt;Resurgent &lt;i&gt;transformation&lt;/i&gt;&lt;/i&gt; grants you the ability to recover from deadly wounds with restored vitality and a will to fight, but at a price. Once cast, &lt;i&gt;resurgent &lt;i&gt;transformation&lt;/i&gt;&lt;/i&gt; lies dormant for up to 1 hour per level until you are reduced to one-quarter hit points or less. Once triggered, you immediately gain a +4 enhancement bonus to Constitution and Strength, damage reduction 5/-, and the benefits of a &lt;i&gt;haste&lt;/i&gt; spell. In addition, you heal 4d8 points of damage + 1 point per caster level (maximum +25). &lt;i&gt;Resurgent &lt;i&gt;transformation&lt;/i&gt;&lt;/i&gt; can even save you from death by healing the damage from an otherwise mortal wound, though it does not prevent death from massive damage or from causes other than hit point loss. Your mental faculties are impaired by this magical &lt;i&gt;transformation&lt;/i&gt;, however, causing 1d4 points of Intelligence and Wisdom damage.&lt;/p&gt;&lt;p&gt;The advantages from your &lt;i&gt;transformation&lt;/i&gt; persist for 1 round per caster level after the spell is triggered. Once the spell ends, it takes a heavy toll, leaving you exhausted and inflicting 1d4 points of Constitution damage. Utilizing more than one &lt;i&gt;resurgent &lt;i&gt;transformation&lt;/i&gt;&lt;/i&gt; in a day is particularly risky.&lt;/p&gt;&lt;p&gt;The expiration of a second &lt;i&gt;resurgent &lt;i&gt;transformation&lt;/i&gt;&lt;/i&gt; in a 24- hour period inflicts an additional 1d4 points of Constitution damage and results in death from system shock unless you succeed at a DC 15 Fortitude save, made after the Constitution damage has been applied.&lt;/p&gt;&lt;p&gt;If the spell expires or is dispelled before the &lt;i&gt;transformation&lt;/i&gt; has been triggered, no adverse effects result.&lt;/p&gt;&lt;/h4&gt;&lt;/div&gt;</t>
  </si>
  <si>
    <t>Gain second wind when close to death.</t>
  </si>
  <si>
    <t>Retribution</t>
  </si>
  <si>
    <t>inquisitor 3</t>
  </si>
  <si>
    <t>one creature who has just struck you with an attack</t>
  </si>
  <si>
    <t>Retribution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  A target who worships the same god as you takes a -2 penalty on its saving throw.</t>
  </si>
  <si>
    <t>&lt;p&gt;&lt;i&gt;Retribution&lt;/i&gt;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round.&lt;/p&gt;&lt;p&gt;A target who worships the same god as you takes a -2 penalty on its saving throw.&lt;/p&gt;</t>
  </si>
  <si>
    <t>&lt;link rel="stylesheet"href="PF.css"&gt;&lt;div class="heading"&gt;&lt;p class="alignleft"&gt;Retribution&lt;/p&gt;&lt;div style="clear: both;"&gt;&lt;/div&gt;&lt;/div&gt;&lt;div&gt;&lt;h5&gt;&lt;b&gt;School &lt;/b&gt;necromancy [evil, pain]; &lt;b&gt;Level &lt;/b&gt;inquisitor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who has just struck you with an attack&lt;/h5&gt;&lt;h5&gt;&lt;b&gt;Duration &lt;/b&gt;1 round/level&lt;/h5&gt;&lt;h5&gt;&lt;b&gt;Saving Throw &lt;/b&gt;Fortitude partial; &lt;b&gt;Spell Resistance &lt;/b&gt;yes&lt;/h5&gt;&lt;/div&gt;&lt;hr/&gt;&lt;div&gt;&lt;h5&gt;&lt;b&gt;DESCRIPTION&lt;/b&gt;&lt;/h5&gt;&lt;/div&gt;&lt;hr/&gt;&lt;div&gt;&lt;h4&gt;&lt;p&gt;&lt;i&gt;Retribution&lt;/i&gt;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round.&lt;/p&gt;&lt;p&gt;A target who worships the same god as you takes a -2 penalty on its saving throw.&lt;/p&gt;&lt;/h4&gt;&lt;/div&gt;</t>
  </si>
  <si>
    <t>Recent attacker is aff licted with penalties.</t>
  </si>
  <si>
    <t>Reviving Finale</t>
  </si>
  <si>
    <t>a 20-ft.-radius burst centered on you</t>
  </si>
  <si>
    <t>Will half (harmless)</t>
  </si>
  <si>
    <t>You must have a bardic performance in effect to cast this spell.  With a flourish, you immediately end your bardic performance, and allies within the area of the spell regain 2d6 hit points. This spell has no effect on undead creatures.</t>
  </si>
  <si>
    <t>&lt;p&gt;You must have a bardic performance in effect to cast this spell.&lt;/p&gt;&lt;p&gt;With a flourish, you immediately end your bardic performance, and allies within the area of the spell regain 2d6 hit points. This spell has no effect on undead creatures.&lt;/p&gt;</t>
  </si>
  <si>
    <t>&lt;link rel="stylesheet"href="PF.css"&gt;&lt;div class="heading"&gt;&lt;p class="alignleft"&gt;Reviving Finale&lt;/p&gt;&lt;div style="clear: both;"&gt;&lt;/div&gt;&lt;/div&gt;&lt;div&gt;&lt;h5&gt;&lt;b&gt;School &lt;/b&gt;conjuration (healing); &lt;b&gt;Level &lt;/b&gt;bard 3&lt;/h5&gt;&lt;/div&gt;&lt;hr/&gt;&lt;div&gt;&lt;h5&gt;&lt;b&gt;CASTING&lt;/b&gt;&lt;/h5&gt;&lt;/div&gt;&lt;hr/&gt;&lt;div&gt;&lt;h5&gt;&lt;b&gt;Casting Time &lt;/b&gt;1 swift action&lt;/h5&gt;&lt;h5&gt;&lt;b&gt;Components &lt;/b&gt;V, S&lt;/h5&gt;&lt;/div&gt;&lt;hr/&gt;&lt;div&gt;&lt;h5&gt;&lt;b&gt;EFFECT&lt;/b&gt;&lt;/h5&gt;&lt;/div&gt;&lt;hr/&gt;&lt;div&gt;&lt;h5&gt;&lt;b&gt;Range &lt;/b&gt;20 ft.&lt;/h5&gt;&lt;h5&gt;&lt;b&gt;Area &lt;/b&gt;a 20-ft.-radius burst centered on you&lt;/h5&gt;&lt;h5&gt;&lt;b&gt;Duration &lt;/b&gt;instantaneous&lt;/h5&gt;&lt;h5&gt;&lt;b&gt;Saving Throw &lt;/b&gt;Will half (harmless); &lt;b&gt;Spell Resistance &lt;/b&gt;yes (harmless)&lt;/h5&gt;&lt;/div&gt;&lt;hr/&gt;&lt;div&gt;&lt;h5&gt;&lt;b&gt;DESCRIPTION&lt;/b&gt;&lt;/h5&gt;&lt;/div&gt;&lt;hr/&gt;&lt;div&gt;&lt;h4&gt;&lt;p&gt;You must have a bardic performance in effect to cast this spell.&lt;/p&gt;&lt;p&gt;With a flourish, you immediately end your bardic performance, and allies within the area of the spell regain 2d6 hit points. This spell has no effect on undead creatures.&lt;/p&gt;&lt;/h4&gt;&lt;/div&gt;</t>
  </si>
  <si>
    <t>Allies cured 2d6 damage.</t>
  </si>
  <si>
    <t>Righteous Vigor</t>
  </si>
  <si>
    <t>inquisitor 3, paladin 2</t>
  </si>
  <si>
    <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t>
  </si>
  <si>
    <t>&lt;p&gt;Infusing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duration.&lt;/p&gt;</t>
  </si>
  <si>
    <t>&lt;link rel="stylesheet"href="PF.css"&gt;&lt;div class="heading"&gt;&lt;p class="alignleft"&gt;Righteous Vigor&lt;/p&gt;&lt;div style="clear: both;"&gt;&lt;/div&gt;&lt;/div&gt;&lt;div&gt;&lt;h5&gt;&lt;b&gt;School &lt;/b&gt;enchantment (compulsion) [mind-affecting]; &lt;b&gt;Level &lt;/b&gt;inquisitor 3,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duration.&lt;/p&gt;&lt;/h4&gt;&lt;/div&gt;</t>
  </si>
  <si>
    <t>Boosts attack bonus with each hit.</t>
  </si>
  <si>
    <t>River of Wind</t>
  </si>
  <si>
    <t>druid 4, sorcerer/wizard 4, magus 4, bloodrager 4, occultist 4</t>
  </si>
  <si>
    <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river of wind take 4d6 nonlethal damage and are knocked prone. A successful Fortitude save halves the damage and prevents being knocked prone.  A creature that begins its turn wholly or partially within a river of wind must make a Fortitude save or be pushed 20 feet in the wind's direction of flow, take 2d6 nonlethal damage, and be knocked prone-a successful Fortitude save means the creature merely takes 1d6 nonlethal damage. Creatures under the effect of freedom of movement and creatures with the air subtype are unaffected by a river of wind.</t>
  </si>
  <si>
    <t>&lt;p&gt;Summoning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&lt;i&gt;river of wind&lt;/i&gt; take 4d6 nonlethal damage and are knocked prone. A successful Fortitude save halves the damage and prevents being knocked prone.&lt;/p&gt;&lt;p&gt;A creature that begins its turn wholly or partially within a &lt;i&gt;river of wind&lt;/i&gt; must make a Fortitude save or be pushed 20 feet in the wind's direction of flow, take 2d6 nonlethal damage, and be knocked prone-a successful Fortitude save means the creature merely takes 1d6 nonlethal damage. Creatures under the effect of &lt;i&gt;freedom of movement&lt;/i&gt; and creatures with the air subtype are unaffected by a &lt;i&gt;river of wind&lt;/i&gt;.&lt;/p&gt;</t>
  </si>
  <si>
    <t>&lt;link rel="stylesheet"href="PF.css"&gt;&lt;div class="heading"&gt;&lt;p class="alignleft"&gt;River of Wind&lt;/p&gt;&lt;div style="clear: both;"&gt;&lt;/div&gt;&lt;/div&gt;&lt;div&gt;&lt;h5&gt;&lt;b&gt;School &lt;/b&gt;evocation [air]; &lt;b&gt;Level &lt;/b&gt;druid 4, sorcerer/wizard 4, magus 4, bloodrager 4, occultist 4&lt;/h5&gt;&lt;/div&gt;&lt;hr/&gt;&lt;div&gt;&lt;h5&gt;&lt;b&gt;CASTING&lt;/b&gt;&lt;/h5&gt;&lt;/div&gt;&lt;hr/&gt;&lt;div&gt;&lt;h5&gt;&lt;b&gt;Casting Time &lt;/b&gt;1 standard action&lt;/h5&gt;&lt;h5&gt;&lt;b&gt;Components &lt;/b&gt;V, S&lt;/h5&gt;&lt;/div&gt;&lt;hr/&gt;&lt;div&gt;&lt;h5&gt;&lt;b&gt;EFFECT&lt;/b&gt;&lt;/h5&gt;&lt;/div&gt;&lt;hr/&gt;&lt;div&gt;&lt;h5&gt;&lt;b&gt;Range &lt;/b&gt;120 ft.&lt;/h5&gt;&lt;h5&gt;&lt;b&gt;Area &lt;/b&gt;120-ft. line&lt;/h5&gt;&lt;h5&gt;&lt;b&gt;Duration &lt;/b&gt;1 round/level&lt;/h5&gt;&lt;h5&gt;&lt;b&gt;Saving Throw &lt;/b&gt;Fortitude partial; &lt;b&gt;Spell Resistance &lt;/b&gt;yes&lt;/h5&gt;&lt;/div&gt;&lt;hr/&gt;&lt;div&gt;&lt;h5&gt;&lt;b&gt;DESCRIPTION&lt;/b&gt;&lt;/h5&gt;&lt;/div&gt;&lt;hr/&gt;&lt;div&gt;&lt;h4&gt;&lt;p&gt;Summoning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&lt;i&gt;river of wind&lt;/i&gt; take 4d6 nonlethal damage and are knocked prone. A successful Fortitude save halves the damage and prevents being knocked prone.&lt;/p&gt;&lt;p&gt;A creature that begins its turn wholly or partially within a &lt;i&gt;river of wind&lt;/i&gt; must make a Fortitude save or be pushed 20 feet in the wind's direction of flow, take 2d6 nonlethal damage, and be knocked prone-a successful Fortitude save means the creature merely takes 1d6 nonlethal damage. Creatures under the effect of &lt;i&gt;freedom of movement&lt;/i&gt; and creatures with the air subtype are unaffected by a &lt;i&gt;river of wind&lt;/i&gt;.&lt;/p&gt;&lt;/h4&gt;&lt;/div&gt;</t>
  </si>
  <si>
    <t>Creates wind that causes nonlethal damage</t>
  </si>
  <si>
    <t>Sacred Bond</t>
  </si>
  <si>
    <t>cleric/oracle 3, inquisitor 2, paladin 2</t>
  </si>
  <si>
    <t>V, S, F (a pair of golden bracelets worth 100 gp each worn by both you and the target)</t>
  </si>
  <si>
    <t>To use this spell, you first touch the intended recipient, creating a sympathetic field of healing energies between you.  Once the spell has been cast, you and the target may cast conjuration (healing) spells with a range of touch upon each other so long as you are within close range (25 ft. + 5 ft./2 levels). Should either you or the target remove your bracelet, the spell immediately ends.</t>
  </si>
  <si>
    <t>&lt;p&gt;To use this spell, you first touch the intended recipient, creating a sympathetic field of healing energies between you.&lt;/p&gt;&lt;p&gt;Once the spell has been cast, you and the target may cast conjuration (healing) spells with a range of touch upon each other so long as you are within close range (25 ft. + 5 ft./2 levels). Should either you or the target remove your bracelet, the spell immediately ends.&lt;/p&gt;</t>
  </si>
  <si>
    <t>&lt;link rel="stylesheet"href="PF.css"&gt;&lt;div class="heading"&gt;&lt;p class="alignleft"&gt;Sacred Bond&lt;/p&gt;&lt;div style="clear: both;"&gt;&lt;/div&gt;&lt;/div&gt;&lt;div&gt;&lt;h5&gt;&lt;b&gt;School &lt;/b&gt;conjuration (healing); &lt;b&gt;Level &lt;/b&gt;cleric/oracle 3, inquisitor 2, paladin 2&lt;/h5&gt;&lt;/div&gt;&lt;hr/&gt;&lt;div&gt;&lt;h5&gt;&lt;b&gt;CASTING&lt;/b&gt;&lt;/h5&gt;&lt;/div&gt;&lt;hr/&gt;&lt;div&gt;&lt;h5&gt;&lt;b&gt;Casting Time &lt;/b&gt;1 round&lt;/h5&gt;&lt;h5&gt;&lt;b&gt;Components &lt;/b&gt;V, S, F (a pair of golden bracelets worth 100 gp each worn by both you and the target)&lt;/h5&gt;&lt;/div&gt;&lt;hr/&gt;&lt;div&gt;&lt;h5&gt;&lt;b&gt;EFFECT&lt;/b&gt;&lt;/h5&gt;&lt;/div&gt;&lt;hr/&gt;&lt;div&gt;&lt;h5&gt;&lt;b&gt;Range &lt;/b&gt;touch; see text&lt;/h5&gt;&lt;h5&gt;&lt;b&gt;Targets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(harmless)&lt;/h5&gt;&lt;/div&gt;&lt;hr/&gt;&lt;div&gt;&lt;h5&gt;&lt;b&gt;DESCRIPTION&lt;/b&gt;&lt;/h5&gt;&lt;/div&gt;&lt;hr/&gt;&lt;div&gt;&lt;h4&gt;&lt;p&gt;To use this spell, you first touch the intended recipient, creating a sympathetic field of healing energies between you.&lt;/p&gt;&lt;p&gt;Once the spell has been cast, you and the target may cast conjuration (healing) spells with a range of touch upon each other so long as you are within close range (25 ft. + 5 ft./2 levels). Should either you or the target remove your bracelet, the spell immediately ends.&lt;/p&gt;&lt;/h4&gt;&lt;h5&gt;&lt;b&gt;Mythic: &lt;/b&gt;The range at which you and the target can cast conjuration (healing) spells on each other increases to medium (100 feet + 10 feet per caster level). When you or the target uses the sacred bond to cast a healing spell on the other, the caster also heals a number of hit points equal to the minimum amount the spell can heal.&lt;/h5&gt;&lt;h5&gt;&lt;b&gt;Augmented (6th)&lt;/b&gt;: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herself.&lt;/h5&gt;&lt;/div&gt;</t>
  </si>
  <si>
    <t>Cast touch healing spells from a distance.</t>
  </si>
  <si>
    <t>The range at which you and the target can cast conjuration (healing) spells on each other increases to medium (100 feet + 10 feet per caster level). When you or the target uses the sacred bond to cast a healing spell on the other, the caster also heals a number of hit points equal to the minimum amount the spell can heal.</t>
  </si>
  <si>
    <t>Augmented (6th):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t>
  </si>
  <si>
    <t>Sacrificial Oath</t>
  </si>
  <si>
    <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t>
  </si>
  <si>
    <t>&lt;p&gt;You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ends.&lt;/p&gt;</t>
  </si>
  <si>
    <t>&lt;link rel="stylesheet"href="PF.css"&gt;&lt;div class="heading"&gt;&lt;p class="alignleft"&gt;Sacrificial Oath&lt;/p&gt;&lt;div style="clear: both;"&gt;&lt;/div&gt;&lt;/div&gt;&lt;div&gt;&lt;h5&gt;&lt;b&gt;School &lt;/b&gt;abjuration; &lt;b&gt;Level &lt;/b&gt;paladin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ends.&lt;/p&gt;&lt;/h4&gt;&lt;/div&gt;</t>
  </si>
  <si>
    <t>Martyr (6)</t>
  </si>
  <si>
    <t>Take damage for an ally for many rounds.</t>
  </si>
  <si>
    <t>Saddle Surge</t>
  </si>
  <si>
    <t>you and your mount</t>
  </si>
  <si>
    <t>1 round/level (D); see text</t>
  </si>
  <si>
    <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t>
  </si>
  <si>
    <t>&lt;p&gt;You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ends.&lt;/p&gt;</t>
  </si>
  <si>
    <t>&lt;link rel="stylesheet"href="PF.css"&gt;&lt;div class="heading"&gt;&lt;p class="alignleft"&gt;Saddle Surge&lt;/p&gt;&lt;div style="clear: both;"&gt;&lt;/div&gt;&lt;/div&gt;&lt;div&gt;&lt;h5&gt;&lt;b&gt;School &lt;/b&gt;transmutation;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 and your mount&lt;/h5&gt;&lt;h5&gt;&lt;b&gt;Duration &lt;/b&gt;1 round/level (D); see text&lt;/h5&gt;&lt;/div&gt;&lt;hr/&gt;&lt;div&gt;&lt;h5&gt;&lt;b&gt;DESCRIPTION&lt;/b&gt;&lt;/h5&gt;&lt;/div&gt;&lt;hr/&gt;&lt;div&gt;&lt;h4&gt;&lt;p&gt;You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ends.&lt;/p&gt;&lt;/h4&gt;&lt;/div&gt;</t>
  </si>
  <si>
    <t>Bonus damage for moving on mount.</t>
  </si>
  <si>
    <t>Sanctify Armor</t>
  </si>
  <si>
    <t>inquisitor 4, paladin 3</t>
  </si>
  <si>
    <t>You imbue your armor with a righteous aura. It gains a +1 enhancement bonus per four caster levels (maximum +5 at 20th level). When using your judgment or smite ability, you gain DR 5/evil.  An outfit of regular clothing counts as armor that grants no AC bonus for the purpose of this spell.</t>
  </si>
  <si>
    <t>&lt;p&gt;You imbue your armor with a righteous aura. It gains a +1 enhancement bonus per four caster levels (maximum +5 at 20th level). When using your judgment or smite ability, you gain DR 5/evil.&lt;/p&gt;&lt;p&gt;An outfit of regular clothing counts as armor that grants no AC bonus for the purpose of this spell.&lt;/p&gt;</t>
  </si>
  <si>
    <t>&lt;link rel="stylesheet"href="PF.css"&gt;&lt;div class="heading"&gt;&lt;p class="alignleft"&gt;Sanctify Armor&lt;/p&gt;&lt;div style="clear: both;"&gt;&lt;/div&gt;&lt;/div&gt;&lt;div&gt;&lt;h5&gt;&lt;b&gt;School &lt;/b&gt;abjuration [good]; &lt;b&gt;Level &lt;/b&gt;inquisitor 4, 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touched&lt;/h5&gt;&lt;h5&gt;&lt;b&gt;Duration &lt;/b&gt;1 minute/level&lt;/h5&gt;&lt;h5&gt;&lt;b&gt;Saving Throw &lt;/b&gt;Will negates (harmless, object); &lt;b&gt;Spell Resistance &lt;/b&gt;yes (harmless, object)&lt;/h5&gt;&lt;/div&gt;&lt;hr/&gt;&lt;div&gt;&lt;h5&gt;&lt;b&gt;DESCRIPTION&lt;/b&gt;&lt;/h5&gt;&lt;/div&gt;&lt;hr/&gt;&lt;div&gt;&lt;h4&gt;&lt;p&gt;You imbue your armor with a righteous aura. It gains a +1 enhancement bonus per four caster levels (maximum +5 at 20th level). When using your judgment or smite ability, you gain DR 5/evil.&lt;/p&gt;&lt;p&gt;An outfit of regular clothing counts as armor that grants no AC bonus for the purpose of this spell.&lt;/p&gt;&lt;/h4&gt;&lt;h5&gt;&lt;b&gt;Mythic: &lt;/b&gt;You gain DR 5/evil while wearing the target armor. While you're using your judgment or smite ability, this improves to DR 10/evil.&lt;/h5&gt;&lt;h5&gt;&lt;b&gt;Augmented (3rd)&lt;/b&gt;: If you expend two uses of mythic power, when you use judgment or smite, add half your tier to your AC as a sacred bonus.&lt;/h5&gt;&lt;/div&gt;</t>
  </si>
  <si>
    <t>+1 AC/four levels (max +5).</t>
  </si>
  <si>
    <t>You gain DR 5/evil while wearing the target armor. While you're using your judgment or smite ability, this improves to DR 10/evil.</t>
  </si>
  <si>
    <t>Augmented (3rd): If you expend two uses of mythic power, when you use judgment or smite, add half your tier to your AC as a sacred bonus.</t>
  </si>
  <si>
    <t>Saving Finale</t>
  </si>
  <si>
    <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t>
  </si>
  <si>
    <t>&lt;p&gt;You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throw.&lt;/p&gt;</t>
  </si>
  <si>
    <t>&lt;link rel="stylesheet"href="PF.css"&gt;&lt;div class="heading"&gt;&lt;p class="alignleft"&gt;Saving Finale&lt;/p&gt;&lt;div style="clear: both;"&gt;&lt;/div&gt;&lt;/div&gt;&lt;div&gt;&lt;h5&gt;&lt;b&gt;School &lt;/b&gt;evocation [mind-affecting]; &lt;b&gt;Level &lt;/b&gt;bard 1&lt;/h5&gt;&lt;/div&gt;&lt;hr/&gt;&lt;div&gt;&lt;h5&gt;&lt;b&gt;CASTING&lt;/b&gt;&lt;/h5&gt;&lt;/div&gt;&lt;hr/&gt;&lt;div&gt;&lt;h5&gt;&lt;b&gt;Casting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throw.&lt;/p&gt;&lt;/h4&gt;&lt;h5&gt;&lt;b&gt;Mythic: &lt;/b&gt;Add your tier as a bonus on the saving throw reroll.&lt;/h5&gt;&lt;/div&gt;</t>
  </si>
  <si>
    <t>Subject rerolls failed saving throw.</t>
  </si>
  <si>
    <t>Add your tier as a bonus on the saving throw reroll.</t>
  </si>
  <si>
    <t>Scent Trail</t>
  </si>
  <si>
    <t>V, S, M (a queen ant)</t>
  </si>
  <si>
    <t>You, or a willing creature you touch, lay down a trail of scents that only the creatures you designate at the time of can detect. These creatures find it very easy to follow this trail.  They gain a +20 competence bonus on any Survival checks made for the purpose of tracking the creature laying this trail.  Subject creatures with the scent special ability gain a +10 competence bonus on Wisdom or Survival checks to follow the trail.  In addition, you can leave scent messages along the trail.  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t>
  </si>
  <si>
    <t>&lt;p&gt;You, or a willing creature you touch, lay down a trail of scents that only the creatures you designate at the time of can detect. These creatures find it very easy to follow this trail.&lt;/p&gt;&lt;p&gt;They gain a +20 competence bonus on any Survival checks made for the purpose of tracking the creature laying this trail.&lt;/p&gt;&lt;p&gt;Subject creatures with the scent special ability gain a +10 competence bonus on Wisdom or Survival checks to follow the trail.&lt;/p&gt;&lt;p&gt;In addition, you can leave scent messages along the trail.&lt;/p&gt;&lt;p&gt;Each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times.&lt;/p&gt;</t>
  </si>
  <si>
    <t>&lt;link rel="stylesheet"href="PF.css"&gt;&lt;div class="heading"&gt;&lt;p class="alignleft"&gt;Scent Trail&lt;/p&gt;&lt;div style="clear: both;"&gt;&lt;/div&gt;&lt;/div&gt;&lt;div&gt;&lt;h5&gt;&lt;b&gt;School &lt;/b&gt;transmutation; &lt;b&gt;Level &lt;/b&gt;druid 2&lt;/h5&gt;&lt;/div&gt;&lt;hr/&gt;&lt;div&gt;&lt;h5&gt;&lt;b&gt;CASTING&lt;/b&gt;&lt;/h5&gt;&lt;/div&gt;&lt;hr/&gt;&lt;div&gt;&lt;h5&gt;&lt;b&gt;Casting Time &lt;/b&gt;1 standard action&lt;/h5&gt;&lt;h5&gt;&lt;b&gt;Components &lt;/b&gt;V, S, M (a queen ant)&lt;/h5&gt;&lt;/div&gt;&lt;hr/&gt;&lt;div&gt;&lt;h5&gt;&lt;b&gt;EFFECT&lt;/b&gt;&lt;/h5&gt;&lt;/div&gt;&lt;hr/&gt;&lt;div&gt;&lt;h5&gt;&lt;b&gt;Range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&lt;/b&gt;Fortitude negates (harmless); &lt;b&gt;Spell Resistance &lt;/b&gt;yes (harmless)&lt;/h5&gt;&lt;/div&gt;&lt;hr/&gt;&lt;div&gt;&lt;h5&gt;&lt;b&gt;DESCRIPTION&lt;/b&gt;&lt;/h5&gt;&lt;/div&gt;&lt;hr/&gt;&lt;div&gt;&lt;h4&gt;&lt;p&gt;You, or a willing creature you touch, lay down a trail of scents that only the creatures you designate at the time of can detect. These creatures find it very easy to follow this trail.&lt;/p&gt;&lt;p&gt;They gain a +20 competence bonus on any Survival checks made for the purpose of tracking the creature laying this trail.&lt;/p&gt;&lt;p&gt;Subject creatures with the scent special ability gain a +10 competence bonus on Wisdom or Survival checks to follow the trail.&lt;/p&gt;&lt;p&gt;In addition, you can leave scent messages along the trail.&lt;/p&gt;&lt;p&gt;Each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times.&lt;/p&gt;&lt;/h4&gt;&lt;/div&gt;</t>
  </si>
  <si>
    <t>Leave trail for allies to follow.</t>
  </si>
  <si>
    <t>Screech</t>
  </si>
  <si>
    <t>witch 3</t>
  </si>
  <si>
    <t>You emit a shrill, piercing shriek, startling those around you into dropping their guard. Enemies in the area must make a successful saving throw or immediately provoke attacks of opportunity from foes that threaten them. You and your allies are unaffected by your own screech.</t>
  </si>
  <si>
    <t>&lt;p&gt;You emit a shrill, piercing shriek, startling those around you into dropping their guard. Enemies in the area must make a successful saving throw or immediately provoke attacks of opportunity from foes that threaten them. You and your allies are unaffected by your own &lt;i&gt;screech&lt;/i&gt;.&lt;/p&gt;</t>
  </si>
  <si>
    <t>&lt;link rel="stylesheet"href="PF.css"&gt;&lt;div class="heading"&gt;&lt;p class="alignleft"&gt;Screech&lt;/p&gt;&lt;div style="clear: both;"&gt;&lt;/div&gt;&lt;/div&gt;&lt;div&gt;&lt;h5&gt;&lt;b&gt;School &lt;/b&gt;evocation [sonic]; &lt;b&gt;Level &lt;/b&gt;witch 3&lt;/h5&gt;&lt;/div&gt;&lt;hr/&gt;&lt;div&gt;&lt;h5&gt;&lt;b&gt;CASTING&lt;/b&gt;&lt;/h5&gt;&lt;/div&gt;&lt;hr/&gt;&lt;div&gt;&lt;h5&gt;&lt;b&gt;Casting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&lt;/b&gt;instantaneous&lt;/h5&gt;&lt;h5&gt;&lt;b&gt;Saving Throw &lt;/b&gt;Fortitude negates; &lt;b&gt;Spell Resistance &lt;/b&gt;yes&lt;/h5&gt;&lt;/div&gt;&lt;hr/&gt;&lt;div&gt;&lt;h5&gt;&lt;b&gt;DESCRIPTION&lt;/b&gt;&lt;/h5&gt;&lt;/div&gt;&lt;hr/&gt;&lt;div&gt;&lt;h4&gt;&lt;p&gt;You emit a shrill, piercing shriek, startling those around you into dropping their guard. Enemies in the area must make a successful saving throw or immediately provoke attacks of opportunity from foes that threaten them. You and your allies are unaffected by your own &lt;i&gt;screech&lt;/i&gt;.&lt;/p&gt;&lt;/h4&gt;&lt;/div&gt;</t>
  </si>
  <si>
    <t>Foes provoke attacks of opportunity.</t>
  </si>
  <si>
    <t>Sculpt Corpse</t>
  </si>
  <si>
    <t>V, S, M (lump of wax)</t>
  </si>
  <si>
    <t>With a clammy caress and a word to the powers lurking beyond death, you can reshape a dead body look like another creature or even a specific person so long as you have firsthand knowledge of how that creature or person actually looks.  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speak with dead or raise dead) treats it as if it still had its original appearance.</t>
  </si>
  <si>
    <t>&lt;p&gt;With a clammy caress and a word to the powers lurking beyond death, you can reshape a dead body look like another creature or even a specific person so long as you have firsthand knowledge of how that creature or person actually looks.&lt;/p&gt;&lt;p&gt;You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&lt;i&gt;speak with dead&lt;/i&gt; or &lt;i&gt;raise dead&lt;/i&gt;) treats it as if it still had its original appearance.&lt;/p&gt;</t>
  </si>
  <si>
    <t>&lt;link rel="stylesheet"href="PF.css"&gt;&lt;div class="heading"&gt;&lt;p class="alignleft"&gt;Sculpt Corpse&lt;/p&gt;&lt;div style="clear: both;"&gt;&lt;/div&gt;&lt;/div&gt;&lt;div&gt;&lt;h5&gt;&lt;b&gt;School &lt;/b&gt;necromancy; &lt;b&gt;Level &lt;/b&gt;sorcerer/wizard 1, occultist 1&lt;/h5&gt;&lt;/div&gt;&lt;hr/&gt;&lt;div&gt;&lt;h5&gt;&lt;b&gt;CASTING&lt;/b&gt;&lt;/h5&gt;&lt;/div&gt;&lt;hr/&gt;&lt;div&gt;&lt;h5&gt;&lt;b&gt;Casting Time &lt;/b&gt;1 standard action&lt;/h5&gt;&lt;h5&gt;&lt;b&gt;Components &lt;/b&gt;V, S, M (lump of wax)&lt;/h5&gt;&lt;/div&gt;&lt;hr/&gt;&lt;div&gt;&lt;h5&gt;&lt;b&gt;EFFECT&lt;/b&gt;&lt;/h5&gt;&lt;/div&gt;&lt;hr/&gt;&lt;div&gt;&lt;h5&gt;&lt;b&gt;Range &lt;/b&gt;touch&lt;/h5&gt;&lt;h5&gt;&lt;b&gt;Targets &lt;/b&gt;one dead creature touched&lt;/h5&gt;&lt;h5&gt;&lt;b&gt;Duration &lt;/b&gt;instantaneous&lt;/h5&gt;&lt;h5&gt;&lt;b&gt;Saving Throw &lt;/b&gt;Will partial; see text; &lt;b&gt;Spell Resistance &lt;/b&gt;no&lt;/h5&gt;&lt;/div&gt;&lt;hr/&gt;&lt;div&gt;&lt;h5&gt;&lt;b&gt;DESCRIPTION&lt;/b&gt;&lt;/h5&gt;&lt;/div&gt;&lt;hr/&gt;&lt;div&gt;&lt;h4&gt;&lt;p&gt;With a clammy caress and a word to the powers lurking beyond death, you can reshape a dead body look like another creature or even a specific person so long as you have firsthand knowledge of how that creature or person actually looks.&lt;/p&gt;&lt;p&gt;You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&lt;i&gt;speak with dead&lt;/i&gt; or &lt;i&gt;raise dead&lt;/i&gt;) treats it as if it still had its original appearance.&lt;/p&gt;&lt;/h4&gt;&lt;/div&gt;</t>
  </si>
  <si>
    <t>Makes corpse look like another creature.</t>
  </si>
  <si>
    <t>Seamantle</t>
  </si>
  <si>
    <t>druid 8, sorcerer/wizard 8</t>
  </si>
  <si>
    <t>V, S, M (a cup of water)</t>
  </si>
  <si>
    <t>You sheathe yourself within a churning column of pure elemental water up to 30 feet high that fills your space. You gain a swim speed equal to your land speed and can see, hear, and breathe normally within the seamantle, but attacks against you are treated as if you were under the surface of the water. You gain improved cover (+8 cover bonus to AC, +4 bonus on Reflex saves) against foes that do not have freedom of movement effects. The cover granted by the seamantle does not enable you to make Stealth checks or prevent attacks of opportunity. Magical attacks against you are unaffected unless they require attack rolls or state that they do not function underwater (such as cloudkill).  The seamantle blocks line of effect for any fire spell or supernatural fire effect, but enemies can attempt to use fire spells within the seamantle; this requires a caster level check (DC 20 + spell level), and if successful the fire spell takes as a bubble of steam contained within the seamantle rather than its usual effect.  The seamantle allows you to make a slam attack by forming a pseudopod of water, inflicting damage appropriate for your size. This slam attack has a reach of 30 feet. In addition, as a standard action, you can attempt to extinguish fires by touch.  You automatically extinguish up to a 10-foot cube of normal fire. Against magical fire effects, your touch acts as dispel magic; this also applies to any non-instantaneous fire affect that comes into contact with you (such as flame blade, flaming sphere, or incendiary cloud). Even if you fail to extinguish a fire, you are not harmed by it. A flaming or flaming burst weapon that strikes you has its power suppressed for 1d4 rounds if the wielder fails a Fortitude save.</t>
  </si>
  <si>
    <t>&lt;p&gt;You sheathe yourself within a churning column of pure elemental water up to 30 feet high that fills your space. You gain a swim speed equal to your land speed and can see, hear, and breathe normally within the &lt;i&gt;seamantle&lt;/i&gt;, but attacks against you are treated as if you were under the surface of the water. You gain improved cover (+8 cover bonus to AC, +4 bonus on Reflex saves) against foes that do not have &lt;i&gt;freedom of movement&lt;/i&gt; effects. The cover granted by the &lt;i&gt;seamantle&lt;/i&gt; does not enable you to make Stealth checks or prevent attacks of opportunity. Magical attacks against you are unaffected unless they require attack rolls or state that they do not function underwater (such as &lt;i&gt;cloudkill&lt;/i&gt;).&lt;/p&gt;&lt;p&gt;The &lt;i&gt;seamantle&lt;/i&gt; blocks line of effect for any fire spell or supernatural fire effect, but enemies can attempt to use fire spells within the &lt;i&gt;seamantle&lt;/i&gt;; this requires a caster level check (DC 20 + spell level), and if successful the fire spell takes as a bubble of steam contained within the &lt;i&gt;seamantle&lt;/i&gt; rather than its usual effect.&lt;/p&gt;&lt;p&gt;The &lt;i&gt;seamantle&lt;/i&gt; allows you to make a slam attack by forming a pseudopod of water, inflicting damage appropriate for your size. This slam attack has a reach of 30 feet. In addition, as a standard action, you can attempt to extinguish fires by touch.&lt;/p&gt;&lt;p&gt;You automatically extinguish up to a 10-foot cube of normal fire. Against magical fire effects, your touch acts as &lt;i&gt;dispel magic&lt;/i&gt;; this also applies to any non-instantaneous fire affect that comes into contact with you (such as &lt;i&gt;flame blade&lt;/i&gt;, &lt;i&gt;&lt;i&gt;flaming&lt;/i&gt; sphere&lt;/i&gt;, or &lt;i&gt;incendiary cloud&lt;/i&gt;). Even if you fail to extinguish a fire, you are not harmed by it. A &lt;i&gt;flaming&lt;/i&gt; or &lt;i&gt;flaming&lt;/i&gt; burst weapon that strikes you has its power suppressed for 1d4 rounds if the wielder fails a Fortitude save.&lt;/p&gt;</t>
  </si>
  <si>
    <t>&lt;link rel="stylesheet"href="PF.css"&gt;&lt;div class="heading"&gt;&lt;p class="alignleft"&gt;Seamantle&lt;/p&gt;&lt;div style="clear: both;"&gt;&lt;/div&gt;&lt;/div&gt;&lt;div&gt;&lt;h5&gt;&lt;b&gt;School &lt;/b&gt;conjuration (creation) [water]; &lt;b&gt;Level &lt;/b&gt;druid 8, sorcerer/wizard 8&lt;/h5&gt;&lt;/div&gt;&lt;hr/&gt;&lt;div&gt;&lt;h5&gt;&lt;b&gt;CASTING&lt;/b&gt;&lt;/h5&gt;&lt;/div&gt;&lt;hr/&gt;&lt;div&gt;&lt;h5&gt;&lt;b&gt;Casting Time &lt;/b&gt;1 standard action&lt;/h5&gt;&lt;h5&gt;&lt;b&gt;Components &lt;/b&gt;V, S, M (a cup of water)&lt;/h5&gt;&lt;/div&gt;&lt;hr/&gt;&lt;div&gt;&lt;h5&gt;&lt;b&gt;EFFECT&lt;/b&gt;&lt;/h5&gt;&lt;/div&gt;&lt;hr/&gt;&lt;div&gt;&lt;h5&gt;&lt;b&gt;Range &lt;/b&gt;personal&lt;/h5&gt;&lt;h5&gt;&lt;b&gt;Targets &lt;/b&gt;you&lt;/h5&gt;&lt;h5&gt;&lt;b&gt;Duration &lt;/b&gt;1 minute/level&lt;/h5&gt;&lt;/div&gt;&lt;hr/&gt;&lt;div&gt;&lt;h5&gt;&lt;b&gt;DESCRIPTION&lt;/b&gt;&lt;/h5&gt;&lt;/div&gt;&lt;hr/&gt;&lt;div&gt;&lt;h4&gt;&lt;p&gt;You sheathe yourself within a churning column of pure elemental water up to 30 feet high that fills your space. You gain a swim speed equal to your land speed and can see, hear, and breathe normally within the &lt;i&gt;seamantle&lt;/i&gt;, but attacks against you are treated as if you were under the surface of the water. You gain improved cover (+8 cover bonus to AC, +4 bonus on Reflex saves) against foes that do not have &lt;i&gt;freedom of movement&lt;/i&gt; effects. The cover granted by the &lt;i&gt;seamantle&lt;/i&gt; does not enable you to make Stealth checks or prevent attacks of opportunity. Magical attacks against you are unaffected unless they require attack rolls or state that they do not function underwater (such as &lt;i&gt;cloudkill&lt;/i&gt;).&lt;/p&gt;&lt;p&gt;The &lt;i&gt;seamantle&lt;/i&gt; blocks line of effect for any fire spell or supernatural fire effect, but enemies can attempt to use fire spells within the &lt;i&gt;seamantle&lt;/i&gt;; this requires a caster level check (DC 20 + spell level), and if successful the fire spell takes as a bubble of steam contained within the &lt;i&gt;seamantle&lt;/i&gt; rather than its usual effect.&lt;/p&gt;&lt;p&gt;The &lt;i&gt;seamantle&lt;/i&gt; allows you to make a slam attack by forming a pseudopod of water, inflicting damage appropriate for your size. This slam attack has a reach of 30 feet. In addition, as a standard action, you can attempt to extinguish fires by touch.&lt;/p&gt;&lt;p&gt;You automatically extinguish up to a 10-foot cube of normal fire. Against magical fire effects, your touch acts as &lt;i&gt;dispel magic&lt;/i&gt;; this also applies to any non-instantaneous fire affect that comes into contact with you (such as &lt;i&gt;flame blade&lt;/i&gt;, &lt;i&gt;&lt;i&gt;flaming&lt;/i&gt; sphere&lt;/i&gt;, or &lt;i&gt;incendiary cloud&lt;/i&gt;). Even if you fail to extinguish a fire, you are not harmed by it. A &lt;i&gt;flaming&lt;/i&gt; or &lt;i&gt;flaming&lt;/i&gt; burst weapon that strikes you has its power suppressed for 1d4 rounds if the wielder fails a Fortitude save.&lt;/p&gt;&lt;/h4&gt;&lt;/div&gt;</t>
  </si>
  <si>
    <t>Sheathes you in protective water.</t>
  </si>
  <si>
    <t>Aquatic (17)</t>
  </si>
  <si>
    <t>Water (16)</t>
  </si>
  <si>
    <t>Seek Thoughts</t>
  </si>
  <si>
    <t>alchemist 3, bard 3, inquisitor 3, sorcerer/wizard 3, summoner 3, witch 3, occultist 3, psychic 2, mesmerist 3, spiritualist 3</t>
  </si>
  <si>
    <t>V, S, M (a handful of copper coins)</t>
  </si>
  <si>
    <t>concentration, up to 1 minute/level</t>
  </si>
  <si>
    <t>Similar to detect thoughts, seek thoughts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Seek thoughts does not let you read actual surface thoughts, only if a given creature is thinking about the topic you are concentrating on. A successful Will save prevents you from sensing a creature's thoughts for the duration of the spell.  You can maintain concentration on seek thoughts while you engage in normal conversation, allowing you to ask leading questions about topics of interest. A creature conversing with you while you concentrate can notice that you are distracted with a successful DC 25 Sense Motive check.</t>
  </si>
  <si>
    <t>&lt;p&gt;Similar to &lt;i&gt;detect thoughts&lt;/i&gt;, &lt;i&gt;seek thoughts&lt;/i&gt;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&lt;i&gt;Seek thoughts&lt;/i&gt; does not let you read actual surface thoughts, only if a given creature is thinking about the topic you are concentrating on. A successful Will save prevents you from sensing a creature's thoughts for the duration of the spell.&lt;/p&gt;&lt;p&gt;You can maintain concentration on &lt;i&gt;seek thoughts&lt;/i&gt; while you engage in normal conversation, allowing you to ask leading questions about topics of interest. A creature conversing with you while you concentrate can notice that you are distracted with a successful DC 25 Sense Motive check.&lt;/p&gt;</t>
  </si>
  <si>
    <t>&lt;link rel="stylesheet"href="PF.css"&gt;&lt;div class="heading"&gt;&lt;p class="alignleft"&gt;Seek Thoughts&lt;/p&gt;&lt;div style="clear: both;"&gt;&lt;/div&gt;&lt;/div&gt;&lt;div&gt;&lt;h5&gt;&lt;b&gt;School &lt;/b&gt;divination [mind-affecting]; &lt;b&gt;Level &lt;/b&gt;alchemist 3, bard 3, inquisitor 3, sorcerer/wizard 3, summoner 3, witch 3, occultist 3, psychic 2, mesmerist 3, spiritualist 3&lt;/h5&gt;&lt;/div&gt;&lt;hr/&gt;&lt;div&gt;&lt;h5&gt;&lt;b&gt;CASTING&lt;/b&gt;&lt;/h5&gt;&lt;/div&gt;&lt;hr/&gt;&lt;div&gt;&lt;h5&gt;&lt;b&gt;Casting Time &lt;/b&gt;1 standard action&lt;/h5&gt;&lt;h5&gt;&lt;b&gt;Components &lt;/b&gt;V, S, M (a handful of copper coins)&lt;/h5&gt;&lt;/div&gt;&lt;hr/&gt;&lt;div&gt;&lt;h5&gt;&lt;b&gt;EFFECT&lt;/b&gt;&lt;/h5&gt;&lt;/div&gt;&lt;hr/&gt;&lt;div&gt;&lt;h5&gt;&lt;b&gt;Range &lt;/b&gt;40 ft.&lt;/h5&gt;&lt;h5&gt;&lt;b&gt;Area &lt;/b&gt;40-ft.-radius emanation centered on you&lt;/h5&gt;&lt;h5&gt;&lt;b&gt;Duration &lt;/b&gt;concentration, up to 1 minute/level&lt;/h5&gt;&lt;h5&gt;&lt;b&gt;Saving Throw &lt;/b&gt;Will negates; &lt;b&gt;Spell Resistance &lt;/b&gt;no&lt;/h5&gt;&lt;/div&gt;&lt;hr/&gt;&lt;div&gt;&lt;h5&gt;&lt;b&gt;DESCRIPTION&lt;/b&gt;&lt;/h5&gt;&lt;/div&gt;&lt;hr/&gt;&lt;div&gt;&lt;h4&gt;&lt;p&gt;Similar to &lt;i&gt;detect thoughts&lt;/i&gt;, &lt;i&gt;seek thoughts&lt;/i&gt;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&lt;i&gt;Seek thoughts&lt;/i&gt; does not let you read actual surface thoughts, only if a given creature is thinking about the topic you are concentrating on. A successful Will save prevents you from sensing a creature's thoughts for the duration of the spell.&lt;/p&gt;&lt;p&gt;You can maintain concentration on &lt;i&gt;seek thoughts&lt;/i&gt; while you engage in normal conversation, allowing you to ask leading questions about topics of interest. A creature conversing with you while you concentrate can notice that you are distracted with a successful DC 25 Sense Motive check.&lt;/p&gt;&lt;/h4&gt;&lt;/div&gt;</t>
  </si>
  <si>
    <t>Thought (3)</t>
  </si>
  <si>
    <t>Detects thinking creatures’ thoughts.</t>
  </si>
  <si>
    <t>Share Language</t>
  </si>
  <si>
    <t>bard 1, cleric/oracle 2, druid 2, sorcerer/wizard 2, occultist 2, psychic 1, mesmerist 1</t>
  </si>
  <si>
    <t>V, S, M (a page from a dictionary)</t>
  </si>
  <si>
    <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  Similarly, this spell does not affect the basic nature of the target, or its disposition toward you or anyone else, so convincing it to actually carry out these instructions could require negotiation, threats, or outright bribery.</t>
  </si>
  <si>
    <t>&lt;p&gt;You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guesswork.&lt;/p&gt;&lt;p&gt;Similarly, this spell does not affect the basic nature of the target, or its disposition toward you or anyone else, so convincing it to actually carry out these instructions could require negotiation, threats, or outright bribery.&lt;/p&gt;</t>
  </si>
  <si>
    <t>&lt;link rel="stylesheet"href="PF.css"&gt;&lt;div class="heading"&gt;&lt;p class="alignleft"&gt;Share Language&lt;/p&gt;&lt;div style="clear: both;"&gt;&lt;/div&gt;&lt;/div&gt;&lt;div&gt;&lt;h5&gt;&lt;b&gt;School &lt;/b&gt;divination; &lt;b&gt;Level &lt;/b&gt;bard 1, cleric/oracle 2, druid 2, sorcerer/wizard 2, occultist 2, psychic 1, mesmerist 1&lt;/h5&gt;&lt;/div&gt;&lt;hr/&gt;&lt;div&gt;&lt;h5&gt;&lt;b&gt;CASTING&lt;/b&gt;&lt;/h5&gt;&lt;/div&gt;&lt;hr/&gt;&lt;div&gt;&lt;h5&gt;&lt;b&gt;Casting Time &lt;/b&gt;1 standard action&lt;/h5&gt;&lt;h5&gt;&lt;b&gt;Components &lt;/b&gt;V, S, M (a page from a dictionary)&lt;/h5&gt;&lt;/div&gt;&lt;hr/&gt;&lt;div&gt;&lt;h5&gt;&lt;b&gt;EFFECT&lt;/b&gt;&lt;/h5&gt;&lt;/div&gt;&lt;hr/&gt;&lt;div&gt;&lt;h5&gt;&lt;b&gt;Range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guesswork.&lt;/p&gt;&lt;p&gt;Similarly, this spell does not affect the basic nature of the target, or its disposition toward you or anyone else, so convincing it to actually carry out these instructions could require negotiation, threats, or outright bribery.&lt;/p&gt;&lt;/h4&gt;&lt;/div&gt;</t>
  </si>
  <si>
    <t>Language (2), Cooperation (2)</t>
  </si>
  <si>
    <t>Subject understands chosen language.</t>
  </si>
  <si>
    <t>Shadow Projection</t>
  </si>
  <si>
    <t>With this spell, you infuse your life force and psyche into your shadow, giving it independent life and movement as if it were an undead shadow (see Pathfinder RPG Bestiary 245). Your physical body lies comatose while you are projecting your shadow, and your body has no shadow or reflection while the spell is in effect.  While projecting your shadow, you gain a shadow's darkvision, defensive abilities, fly speed, racial stealth modifier, and strength damage attack. You do not gain the creature's create spawn ability, nor its skill ranks or Hit Dice.  Your shadow has Hit Dice and hit points equal to your own.  Your shadow projection has the undead type and may be turned or affected as undead.  If your shadow projection is slain, you return to your physical body and are immediately reduced to -1 hit points.  Your condition becomes dying, and you must begin making Constitution checks to stabilize.</t>
  </si>
  <si>
    <t>&lt;p&gt;With this spell, you infuse your life force and psyche into your shadow, giving it independent life and movement as if it were an undead shadow (see &lt;i&gt;Pathfinder RPG Bestiary&lt;/i&gt; 245). Your physical body lies comatose while you are projecting your shadow, and your body has no shadow or reflection while the spell is in effect.&lt;/p&gt;&lt;p&gt;While projecting your shadow, you gain a shadow's darkvision, defensive abilities, fly speed, racial stealth modifier, and strength damage attack. You do not gain the creature's &lt;i&gt;create spawn&lt;/i&gt; ability, nor its skill ranks or Hit Dice.&lt;/p&gt;&lt;p&gt;Your shadow has Hit Dice and hit points equal to your own.&lt;/p&gt;&lt;p&gt;Your &lt;i&gt;shadow projection&lt;/i&gt; has the undead type and may be turned or affected as undead.&lt;/p&gt;&lt;p&gt;If your &lt;i&gt;shadow projection&lt;/i&gt; is slain, you return to your physical body and are immediately reduced to -1 hit points.&lt;/p&gt;&lt;p&gt;Your condition becomes dying, and you must begin making Constitution checks to stabilize.&lt;/p&gt;</t>
  </si>
  <si>
    <t>&lt;link rel="stylesheet"href="PF.css"&gt;&lt;div class="heading"&gt;&lt;p class="alignleft"&gt;Shadow Projection&lt;/p&gt;&lt;div style="clear: both;"&gt;&lt;/div&gt;&lt;/div&gt;&lt;div&gt;&lt;h5&gt;&lt;b&gt;School &lt;/b&gt;necromancy [evil]; &lt;b&gt;Level &lt;/b&gt;sorcerer/wizard 4&lt;/h5&gt;&lt;/div&gt;&lt;hr/&gt;&lt;div&gt;&lt;h5&gt;&lt;b&gt;CASTING&lt;/b&gt;&lt;/h5&gt;&lt;/div&gt;&lt;hr/&gt;&lt;div&gt;&lt;h5&gt;&lt;b&gt;Casting Time &lt;/b&gt;1 minute&lt;/h5&gt;&lt;h5&gt;&lt;b&gt;Components &lt;/b&gt;S&lt;/h5&gt;&lt;/div&gt;&lt;hr/&gt;&lt;div&gt;&lt;h5&gt;&lt;b&gt;EFFECT&lt;/b&gt;&lt;/h5&gt;&lt;/div&gt;&lt;hr/&gt;&lt;div&gt;&lt;h5&gt;&lt;b&gt;Range &lt;/b&gt;personal&lt;/h5&gt;&lt;h5&gt;&lt;b&gt;Targets &lt;/b&gt;you&lt;/h5&gt;&lt;h5&gt;&lt;b&gt;Duration &lt;/b&gt;1 hour/level (D)&lt;/h5&gt;&lt;/div&gt;&lt;hr/&gt;&lt;div&gt;&lt;h5&gt;&lt;b&gt;DESCRIPTION&lt;/b&gt;&lt;/h5&gt;&lt;/div&gt;&lt;hr/&gt;&lt;div&gt;&lt;h4&gt;&lt;p&gt;With this spell, you infuse your life force and psyche into your shadow, giving it independent life and movement as if it were an undead shadow (see &lt;i&gt;Pathfinder RPG Bestiary&lt;/i&gt; 245). Your physical body lies comatose while you are projecting your shadow, and your body has no shadow or reflection while the spell is in effect.&lt;/p&gt;&lt;p&gt;While projecting your shadow, you gain a shadow's darkvision, defensive abilities, fly speed, racial stealth modifier, and strength damage attack. You do not gain the creature's &lt;i&gt;create spawn&lt;/i&gt; ability, nor its skill ranks or Hit Dice.&lt;/p&gt;&lt;p&gt;Your shadow has Hit Dice and hit points equal to your own.&lt;/p&gt;&lt;p&gt;Your &lt;i&gt;shadow projection&lt;/i&gt; has the undead type and may be turned or affected as undead.&lt;/p&gt;&lt;p&gt;If your &lt;i&gt;shadow projection&lt;/i&gt; is slain, you return to your physical body and are immediately reduced to -1 hit points.&lt;/p&gt;&lt;p&gt;Your condition becomes dying, and you must begin making Constitution checks to stabilize.&lt;/p&gt;&lt;/h4&gt;&lt;/div&gt;</t>
  </si>
  <si>
    <t>Temporarily become a shadow.</t>
  </si>
  <si>
    <t>Share Senses</t>
  </si>
  <si>
    <t>sorcerer/wizard 4, witch 3, psychic 3</t>
  </si>
  <si>
    <t>V, S, M (a hair, scale, or feather from your familiar)</t>
  </si>
  <si>
    <t>your familiar</t>
  </si>
  <si>
    <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  The sensory link with your familiar can be detected as though it were a scrying sensor.</t>
  </si>
  <si>
    <t>&lt;p&gt;Spending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conditions.&lt;/p&gt;&lt;p&gt;The sensory link with your familiar can be detected as though it were a scrying sensor.&lt;/p&gt;</t>
  </si>
  <si>
    <t>&lt;link rel="stylesheet"href="PF.css"&gt;&lt;div class="heading"&gt;&lt;p class="alignleft"&gt;Share Senses&lt;/p&gt;&lt;div style="clear: both;"&gt;&lt;/div&gt;&lt;/div&gt;&lt;div&gt;&lt;h5&gt;&lt;b&gt;School &lt;/b&gt;divination (scrying); &lt;b&gt;Level &lt;/b&gt;sorcerer/wizard 4, witch 3, psychic 3&lt;/h5&gt;&lt;/div&gt;&lt;hr/&gt;&lt;div&gt;&lt;h5&gt;&lt;b&gt;CASTING&lt;/b&gt;&lt;/h5&gt;&lt;/div&gt;&lt;hr/&gt;&lt;div&gt;&lt;h5&gt;&lt;b&gt;Casting Time &lt;/b&gt;1 full round&lt;/h5&gt;&lt;h5&gt;&lt;b&gt;Components &lt;/b&gt;V, S, M (a hair, scale, or feather from your familiar)&lt;/h5&gt;&lt;/div&gt;&lt;hr/&gt;&lt;div&gt;&lt;h5&gt;&lt;b&gt;EFFECT&lt;/b&gt;&lt;/h5&gt;&lt;/div&gt;&lt;hr/&gt;&lt;div&gt;&lt;h5&gt;&lt;b&gt;Range &lt;/b&gt;long (400 ft. + 40 ft./level)&lt;/h5&gt;&lt;h5&gt;&lt;b&gt;Targets &lt;/b&gt;your familiar&lt;/h5&gt;&lt;h5&gt;&lt;b&gt;Duration &lt;/b&gt;1 minute/level (D)&lt;/h5&gt;&lt;h5&gt;&lt;b&gt;Saving Throw &lt;/b&gt;Will negates (harmless); &lt;b&gt;Spell Resistance &lt;/b&gt;yes (harmless)&lt;/h5&gt;&lt;/div&gt;&lt;hr/&gt;&lt;div&gt;&lt;h5&gt;&lt;b&gt;DESCRIPTION&lt;/b&gt;&lt;/h5&gt;&lt;/div&gt;&lt;hr/&gt;&lt;div&gt;&lt;h4&gt;&lt;p&gt;Spending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conditions.&lt;/p&gt;&lt;p&gt;The sensory link with your familiar can be detected as though it were a scrying sensor.&lt;/p&gt;&lt;/h4&gt;&lt;/div&gt;</t>
  </si>
  <si>
    <t>See/hear/smell what your familiar is.</t>
  </si>
  <si>
    <t>Shifting Sand</t>
  </si>
  <si>
    <t>V, S, M (a handful of sand)</t>
  </si>
  <si>
    <t>20-ft. spread</t>
  </si>
  <si>
    <t>You cause an earthen or sandy surface to shift and churn within the area. The shifting sand obliterates tracks and is considered difficult terrain. Acrobatics checks in the area take a penalty equal to your caster level (maximum +10). Creatures entering or beginning their turn in the shifting sand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  As a move action, you may move the area of shifting sand up to 10 feet in any direction. Creatures that are entangled or prone in the spell's area are carried along with the shifting sand in the same direction if possible. This movement does not provoke attacks of opportunity. Unattended Medium or smaller objects may also be carried along or shallowly buried by the shifting sand.</t>
  </si>
  <si>
    <t>&lt;p&gt;You cause an earthen or sandy surface to shift and churn within the area. The &lt;i&gt;shifting sand&lt;/i&gt; obliterates tracks and is considered difficult terrain. Acrobatics checks in the area take a penalty equal to your caster level (maximum +10). Creatures entering or beginning their turn in the &lt;i&gt;shifting sand&lt;/i&gt;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throws.&lt;/p&gt;&lt;p&gt;As a move action, you may move the area of &lt;i&gt;shifting sand&lt;/i&gt; up to 10 feet in any direction. Creatures that are entangled or prone in the spell's area are carried along with the &lt;i&gt;shifting sand&lt;/i&gt; in the same direction if possible. This movement does not provoke attacks of opportunity. Unattended Medium or smaller objects may also be carried along or shallowly buried by the &lt;i&gt;shifting sand&lt;/i&gt;.&lt;/p&gt;</t>
  </si>
  <si>
    <t>&lt;link rel="stylesheet"href="PF.css"&gt;&lt;div class="heading"&gt;&lt;p class="alignleft"&gt;Shifting Sand&lt;/p&gt;&lt;div style="clear: both;"&gt;&lt;/div&gt;&lt;/div&gt;&lt;div&gt;&lt;h5&gt;&lt;b&gt;School &lt;/b&gt;transmutation [earth]; &lt;b&gt;Level &lt;/b&gt;druid 3, sorcerer/wizard 3&lt;/h5&gt;&lt;/div&gt;&lt;hr/&gt;&lt;div&gt;&lt;h5&gt;&lt;b&gt;CASTING&lt;/b&gt;&lt;/h5&gt;&lt;/div&gt;&lt;hr/&gt;&lt;div&gt;&lt;h5&gt;&lt;b&gt;Casting Time &lt;/b&gt;1 standard action&lt;/h5&gt;&lt;h5&gt;&lt;b&gt;Components &lt;/b&gt;V, S, M (a handful of sand)&lt;/h5&gt;&lt;/div&gt;&lt;hr/&gt;&lt;div&gt;&lt;h5&gt;&lt;b&gt;EFFECT&lt;/b&gt;&lt;/h5&gt;&lt;/div&gt;&lt;hr/&gt;&lt;div&gt;&lt;h5&gt;&lt;b&gt;Range &lt;/b&gt;medium (100 ft. + 10 ft./level)&lt;/h5&gt;&lt;h5&gt;&lt;b&gt;Area &lt;/b&gt;20-ft. spread&lt;/h5&gt;&lt;h5&gt;&lt;b&gt;Duration &lt;/b&gt;1 round/level (D)&lt;/h5&gt;&lt;h5&gt;&lt;b&gt;Saving Throw &lt;/b&gt;Reflex negates; see text; &lt;b&gt;Spell Resistance &lt;/b&gt;no&lt;/h5&gt;&lt;/div&gt;&lt;hr/&gt;&lt;div&gt;&lt;h5&gt;&lt;b&gt;DESCRIPTION&lt;/b&gt;&lt;/h5&gt;&lt;/div&gt;&lt;hr/&gt;&lt;div&gt;&lt;h4&gt;&lt;p&gt;You cause an earthen or sandy surface to shift and churn within the area. The &lt;i&gt;shifting sand&lt;/i&gt; obliterates tracks and is considered difficult terrain. Acrobatics checks in the area take a penalty equal to your caster level (maximum +10). Creatures entering or beginning their turn in the &lt;i&gt;shifting sand&lt;/i&gt;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throws.&lt;/p&gt;&lt;p&gt;As a move action, you may move the area of &lt;i&gt;shifting sand&lt;/i&gt; up to 10 feet in any direction. Creatures that are entangled or prone in the spell's area are carried along with the &lt;i&gt;shifting sand&lt;/i&gt; in the same direction if possible. This movement does not provoke attacks of opportunity. Unattended Medium or smaller objects may also be carried along or shallowly buried by the &lt;i&gt;shifting sand&lt;/i&gt;.&lt;/p&gt;&lt;/h4&gt;&lt;/div&gt;</t>
  </si>
  <si>
    <t>Creates difficult terrain and erases tracks;</t>
  </si>
  <si>
    <t>Deep Earth (7)</t>
  </si>
  <si>
    <t>Shared Wrath</t>
  </si>
  <si>
    <t>V, S, M (a thorny vine)</t>
  </si>
  <si>
    <t>up to one creature/level, no two of which can be more than 30 ft. apart</t>
  </si>
  <si>
    <t>This spell functions as wrath, except that you grant multiple creatures the bonuses against your designated foe. All subjects of shared wrath receive their bonuses against the same creature.</t>
  </si>
  <si>
    <t>&lt;p&gt;This spell functions as &lt;i&gt;wrath&lt;/i&gt;, except that you grant multiple creatures the bonuses against your designated foe. All subjects of shared &lt;i&gt;wrath&lt;/i&gt; receive their bonuses against the same creature.&lt;/p&gt;</t>
  </si>
  <si>
    <t>&lt;link rel="stylesheet"href="PF.css"&gt;&lt;div class="heading"&gt;&lt;p class="alignleft"&gt;Shared Wrath&lt;/p&gt;&lt;div style="clear: both;"&gt;&lt;/div&gt;&lt;/div&gt;&lt;div&gt;&lt;h5&gt;&lt;b&gt;School &lt;/b&gt;enchantment (compulsion) [mind-affecting, emotion]; &lt;b&gt;Level &lt;/b&gt;inquisitor 4&lt;/h5&gt;&lt;/div&gt;&lt;hr/&gt;&lt;div&gt;&lt;h5&gt;&lt;b&gt;CASTING&lt;/b&gt;&lt;/h5&gt;&lt;/div&gt;&lt;hr/&gt;&lt;div&gt;&lt;h5&gt;&lt;b&gt;Casting Time &lt;/b&gt;1 standard action&lt;/h5&gt;&lt;h5&gt;&lt;b&gt;Components &lt;/b&gt;V, S, M (a thorny vine)&lt;/h5&gt;&lt;/div&gt;&lt;hr/&gt;&lt;div&gt;&lt;h5&gt;&lt;b&gt;EFFECT&lt;/b&gt;&lt;/h5&gt;&lt;/div&gt;&lt;hr/&gt;&lt;div&gt;&lt;h5&gt;&lt;b&gt;Range &lt;/b&gt;close (25 ft. + 5 ft./2 levels)&lt;/h5&gt;&lt;h5&gt;&lt;b&gt;Targets &lt;/b&gt;up to one creature/level, no two of which can be more than 30 ft. apart&lt;/h5&gt;&lt;h5&gt;&lt;b&gt;Duration &lt;/b&gt;1 minute&lt;/h5&gt;&lt;h5&gt;&lt;b&gt;Saving Throw &lt;/b&gt;Will negates (harmless); &lt;b&gt;Spell Resistance &lt;/b&gt;yes (harmless)&lt;/h5&gt;&lt;/div&gt;&lt;hr/&gt;&lt;div&gt;&lt;h5&gt;&lt;b&gt;DESCRIPTION&lt;/b&gt;&lt;/h5&gt;&lt;/div&gt;&lt;hr/&gt;&lt;div&gt;&lt;h4&gt;&lt;p&gt;This spell functions as &lt;i&gt;wrath&lt;/i&gt;, except that you grant multiple creatures the bonuses against your designated foe. All subjects of shared &lt;i&gt;wrath&lt;/i&gt; receive their bonuses against the same creature.&lt;/p&gt;&lt;/h4&gt;&lt;/div&gt;</t>
  </si>
  <si>
    <t>As wrath, but affects multiple creatures.</t>
  </si>
  <si>
    <t>Sift</t>
  </si>
  <si>
    <t>bard 0, inquisitor 0, occultist 0, psychic 0</t>
  </si>
  <si>
    <t>one 10-ft. cube</t>
  </si>
  <si>
    <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Sift detects only objects and features, not actual creatures.</t>
  </si>
  <si>
    <t>&lt;p&gt;You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&lt;i&gt;Sift&lt;/i&gt; detects only objects and features, not actual creatures.&lt;/p&gt;</t>
  </si>
  <si>
    <t>&lt;link rel="stylesheet"href="PF.css"&gt;&lt;div class="heading"&gt;&lt;p class="alignleft"&gt;Sift&lt;/p&gt;&lt;div style="clear: both;"&gt;&lt;/div&gt;&lt;/div&gt;&lt;div&gt;&lt;h5&gt;&lt;b&gt;School &lt;/b&gt;divination; &lt;b&gt;Level &lt;/b&gt;bard 0, inquisitor 0, occultist 0, psychic 0&lt;/h5&gt;&lt;/div&gt;&lt;hr/&gt;&lt;div&gt;&lt;h5&gt;&lt;b&gt;CASTING&lt;/b&gt;&lt;/h5&gt;&lt;/div&gt;&lt;hr/&gt;&lt;div&gt;&lt;h5&gt;&lt;b&gt;Casting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&lt;/b&gt;one 10-ft. cube&lt;/h5&gt;&lt;h5&gt;&lt;b&gt;Duration &lt;/b&gt;instantaneous&lt;/h5&gt;&lt;h5&gt;&lt;b&gt;Saving Throw &lt;/b&gt;none; &lt;b&gt;Spell Resistance &lt;/b&gt;no&lt;/h5&gt;&lt;/div&gt;&lt;hr/&gt;&lt;div&gt;&lt;h5&gt;&lt;b&gt;DESCRIPTION&lt;/b&gt;&lt;/h5&gt;&lt;/div&gt;&lt;hr/&gt;&lt;div&gt;&lt;h4&gt;&lt;p&gt;You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&lt;i&gt;Sift&lt;/i&gt; detects only objects and features, not actual creatures.&lt;/p&gt;&lt;/h4&gt;&lt;/div&gt;</t>
  </si>
  <si>
    <t>See area as though examining it.</t>
  </si>
  <si>
    <t>Sirocco</t>
  </si>
  <si>
    <t>air, fire</t>
  </si>
  <si>
    <t>druid 6, sorcerer/wizard 6, magus 6, occultist 6</t>
  </si>
  <si>
    <t>V, S, M/DF (handful of fine sand cast into the air)</t>
  </si>
  <si>
    <t>cylinder (20-ft. radius, 60 ft. high)</t>
  </si>
  <si>
    <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  Any creature that takes damage from a sirocco becomes fatigued (or exhausted, if already fatigued, such as from a previous round of exposure to a sirocco spell). Creatures with the water subtype take a -4 penalty on all saving throws against this spell and take double normal damage.</t>
  </si>
  <si>
    <t>&lt;p&gt;A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altitude.&lt;/p&gt;&lt;p&gt;Any creature that takes damage from a &lt;i&gt;sirocco&lt;/i&gt; becomes fatigued (or exhausted, if already fatigued, such as from a previous round of exposure to a &lt;i&gt;sirocco&lt;/i&gt; spell). Creatures with the water subtype take a -4 penalty on all saving throws against this spell and take double normal damage.&lt;/p&gt;</t>
  </si>
  <si>
    <t>&lt;link rel="stylesheet"href="PF.css"&gt;&lt;div class="heading"&gt;&lt;p class="alignleft"&gt;Sirocco&lt;/p&gt;&lt;div style="clear: both;"&gt;&lt;/div&gt;&lt;/div&gt;&lt;div&gt;&lt;h5&gt;&lt;b&gt;School &lt;/b&gt;evocation [air, fire]; &lt;b&gt;Level &lt;/b&gt;druid 6, sorcerer/wizard 6, magus 6, occultist 6&lt;/h5&gt;&lt;/div&gt;&lt;hr/&gt;&lt;div&gt;&lt;h5&gt;&lt;b&gt;CASTING&lt;/b&gt;&lt;/h5&gt;&lt;/div&gt;&lt;hr/&gt;&lt;div&gt;&lt;h5&gt;&lt;b&gt;Casting Time &lt;/b&gt;1 standard action&lt;/h5&gt;&lt;h5&gt;&lt;b&gt;Components &lt;/b&gt;V, S, M/DF (handful of fine sand cast into the air)&lt;/h5&gt;&lt;/div&gt;&lt;hr/&gt;&lt;div&gt;&lt;h5&gt;&lt;b&gt;EFFECT&lt;/b&gt;&lt;/h5&gt;&lt;/div&gt;&lt;hr/&gt;&lt;div&gt;&lt;h5&gt;&lt;b&gt;Range &lt;/b&gt;medium (100 ft. + 10 ft./level)&lt;/h5&gt;&lt;h5&gt;&lt;b&gt;Area &lt;/b&gt;cylinder (20-ft. radius, 60 ft. high)&lt;/h5&gt;&lt;h5&gt;&lt;b&gt;Duration &lt;/b&gt;1 round/level (D)&lt;/h5&gt;&lt;h5&gt;&lt;b&gt;Saving Throw &lt;/b&gt;Fortitude partial, see text; &lt;b&gt;Spell Resistance &lt;/b&gt;yes&lt;/h5&gt;&lt;/div&gt;&lt;hr/&gt;&lt;div&gt;&lt;h5&gt;&lt;b&gt;DESCRIPTION&lt;/b&gt;&lt;/h5&gt;&lt;/div&gt;&lt;hr/&gt;&lt;div&gt;&lt;h4&gt;&lt;p&gt;A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altitude.&lt;/p&gt;&lt;p&gt;Any creature that takes damage from a &lt;i&gt;sirocco&lt;/i&gt; becomes fatigued (or exhausted, if already fatigued, such as from a previous round of exposure to a &lt;i&gt;sirocco&lt;/i&gt; spell). Creatures with the water subtype take a -4 penalty on all saving throws against this spell and take double normal damage.&lt;/p&gt;&lt;/h4&gt;&lt;/div&gt;</t>
  </si>
  <si>
    <t>Hot wind does 4d6 damage, fatigues those damaged, and knocks creatures prone.</t>
  </si>
  <si>
    <t>Light (12), Summer (12)</t>
  </si>
  <si>
    <t>Sleepwalk</t>
  </si>
  <si>
    <t>inquisitor 4, witch 4, psychic 4, mesmerist 4</t>
  </si>
  <si>
    <t>V, S, M (a sprig of belladonna worth 100 gp)</t>
  </si>
  <si>
    <t>unconscious creature touched</t>
  </si>
  <si>
    <t>You compel an unconscious or sleeping creature to rise and move in a half-awake state. The target creature staggers about if led or guided, but remains helpless for all other purposes.  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sleepwalking it must make a new saving throw or the spell ends and the creature awakes (if it has more than 0 hit points). When the spell ends or is dismissed, the target remains unconscious and must be awoken normally. While sleepwalk allows an unconscious creature to move, it does not awaken the creature, nor does it stabilize or otherwise heal them. A disabled creature that moves about while under the effects of this spell does not start dying again as a result of this movement.</t>
  </si>
  <si>
    <t>&lt;p&gt;You compel an unconscious or sleeping creature to rise and move in a half-awake state. The target creature staggers about if led or guided, but remains helpless for all other purposes.&lt;/p&gt;&lt;p&gt;The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&lt;i&gt;&lt;i&gt;sleepwalk&lt;/i&gt;ing&lt;/i&gt; it must make a new saving throw or the spell ends and the creature awakes (if it has more than 0 hit points). When the spell ends or is dismissed, the target remains unconscious and must be awoken normally. While &lt;i&gt;sleepwalk&lt;/i&gt; allows an unconscious creature to move, it does not awaken the creature, nor does it stabilize or otherwise heal them. A disabled creature that moves about while under the effects of this spell does not start dying again as a result of this movement.&lt;/p&gt;</t>
  </si>
  <si>
    <t>&lt;link rel="stylesheet"href="PF.css"&gt;&lt;div class="heading"&gt;&lt;p class="alignleft"&gt;Sleepwalk&lt;/p&gt;&lt;div style="clear: both;"&gt;&lt;/div&gt;&lt;/div&gt;&lt;div&gt;&lt;h5&gt;&lt;b&gt;School &lt;/b&gt;enchantment (compulsion) [mind-affecting]; &lt;b&gt;Level &lt;/b&gt;inquisitor 4, witch 4, psychic 4, mesmerist 4&lt;/h5&gt;&lt;/div&gt;&lt;hr/&gt;&lt;div&gt;&lt;h5&gt;&lt;b&gt;CASTING&lt;/b&gt;&lt;/h5&gt;&lt;/div&gt;&lt;hr/&gt;&lt;div&gt;&lt;h5&gt;&lt;b&gt;Casting Time &lt;/b&gt;1 round&lt;/h5&gt;&lt;h5&gt;&lt;b&gt;Components &lt;/b&gt;V, S, M (a sprig of belladonna worth 100 gp)&lt;/h5&gt;&lt;/div&gt;&lt;hr/&gt;&lt;div&gt;&lt;h5&gt;&lt;b&gt;EFFECT&lt;/b&gt;&lt;/h5&gt;&lt;/div&gt;&lt;hr/&gt;&lt;div&gt;&lt;h5&gt;&lt;b&gt;Range &lt;/b&gt;touch&lt;/h5&gt;&lt;h5&gt;&lt;b&gt;Targets &lt;/b&gt;unconscious creature touched&lt;/h5&gt;&lt;h5&gt;&lt;b&gt;Duration &lt;/b&gt;1 hour/level (D)&lt;/h5&gt;&lt;h5&gt;&lt;b&gt;Saving Throw &lt;/b&gt;Will negates; see text; &lt;b&gt;Spell Resistance &lt;/b&gt;yes&lt;/h5&gt;&lt;/div&gt;&lt;hr/&gt;&lt;div&gt;&lt;h5&gt;&lt;b&gt;DESCRIPTION&lt;/b&gt;&lt;/h5&gt;&lt;/div&gt;&lt;hr/&gt;&lt;div&gt;&lt;h4&gt;&lt;p&gt;You compel an unconscious or sleeping creature to rise and move in a half-awake state. The target creature staggers about if led or guided, but remains helpless for all other purposes.&lt;/p&gt;&lt;p&gt;The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&lt;i&gt;&lt;i&gt;sleepwalk&lt;/i&gt;ing&lt;/i&gt; it must make a new saving throw or the spell ends and the creature awakes (if it has more than 0 hit points). When the spell ends or is dismissed, the target remains unconscious and must be awoken normally. While &lt;i&gt;sleepwalk&lt;/i&gt; allows an unconscious creature to move, it does not awaken the creature, nor does it stabilize or otherwise heal them. A disabled creature that moves about while under the effects of this spell does not start dying again as a result of this movement.&lt;/p&gt;&lt;/h4&gt;&lt;/div&gt;</t>
  </si>
  <si>
    <t>Causes creature to move while asleep.</t>
  </si>
  <si>
    <t>Slipstream</t>
  </si>
  <si>
    <t>druid 2, ranger 2, sorcerer/wizard 2, bloodrager 2</t>
  </si>
  <si>
    <t>V, S, M/DF (a few drops of oil and water)</t>
  </si>
  <si>
    <t>Reflex negates (harmless)</t>
  </si>
  <si>
    <t>You create a low-cresting wave of water that carries the target along the surface of water or the ground. When moving across level ground, the target's speed increases by 10 feet.  If going downhill, speed increases by 20 feet instead, but slipstream provides no movement bonus when going uphill.  While swimming, the slipstream increases the target's swim speed by 20 feet-if the target does not have a swim speed, this spell grants a swim speed of 20 ft.</t>
  </si>
  <si>
    <t>&lt;p&gt;You create a low-cresting wave of water that carries the target along the surface of water or the ground. When moving across level ground, the target's speed increases by 10 feet.&lt;/p&gt;&lt;p&gt;If going downhill, speed increases by 20 feet instead, but &lt;i&gt;slipstream&lt;/i&gt; provides no movement bonus when going uphill.&lt;/p&gt;&lt;p&gt;While swimming, the &lt;i&gt;slipstream&lt;/i&gt; increases the target's swim speed by 20 feet-if the target does not have a swim speed, this spell grants a swim speed of 20 ft.&lt;/p&gt;</t>
  </si>
  <si>
    <t>&lt;link rel="stylesheet"href="PF.css"&gt;&lt;div class="heading"&gt;&lt;p class="alignleft"&gt;Slipstream&lt;/p&gt;&lt;div style="clear: both;"&gt;&lt;/div&gt;&lt;/div&gt;&lt;div&gt;&lt;h5&gt;&lt;b&gt;School &lt;/b&gt;conjuration (creation) [water]; &lt;b&gt;Level &lt;/b&gt;druid 2, ranger 2, sorcerer/wizard 2, bloodrager 2&lt;/h5&gt;&lt;/div&gt;&lt;hr/&gt;&lt;div&gt;&lt;h5&gt;&lt;b&gt;CASTING&lt;/b&gt;&lt;/h5&gt;&lt;/div&gt;&lt;hr/&gt;&lt;div&gt;&lt;h5&gt;&lt;b&gt;Casting Time &lt;/b&gt;1 standard action&lt;/h5&gt;&lt;h5&gt;&lt;b&gt;Components &lt;/b&gt;V, S, M/DF (a few drops of oil and water)&lt;/h5&gt;&lt;/div&gt;&lt;hr/&gt;&lt;div&gt;&lt;h5&gt;&lt;b&gt;EFFECT&lt;/b&gt;&lt;/h5&gt;&lt;/div&gt;&lt;hr/&gt;&lt;div&gt;&lt;h5&gt;&lt;b&gt;Range &lt;/b&gt;touch&lt;/h5&gt;&lt;h5&gt;&lt;b&gt;Targets &lt;/b&gt;creature touched&lt;/h5&gt;&lt;h5&gt;&lt;b&gt;Duration &lt;/b&gt;10 minutes/level (D)&lt;/h5&gt;&lt;h5&gt;&lt;b&gt;Saving Throw &lt;/b&gt;Reflex negates (harmless); &lt;b&gt;Spell Resistance &lt;/b&gt;no&lt;/h5&gt;&lt;/div&gt;&lt;hr/&gt;&lt;div&gt;&lt;h5&gt;&lt;b&gt;DESCRIPTION&lt;/b&gt;&lt;/h5&gt;&lt;/div&gt;&lt;hr/&gt;&lt;div&gt;&lt;h4&gt;&lt;p&gt;You create a low-cresting wave of water that carries the target along the surface of water or the ground. When moving across level ground, the target's speed increases by 10 feet.&lt;/p&gt;&lt;p&gt;If going downhill, speed increases by 20 feet instead, but &lt;i&gt;slipstream&lt;/i&gt; provides no movement bonus when going uphill.&lt;/p&gt;&lt;p&gt;While swimming, the &lt;i&gt;slipstream&lt;/i&gt; increases the target's swim speed by 20 feet-if the target does not have a swim speed, this spell grants a swim speed of 20 ft.&lt;/p&gt;&lt;/h4&gt;&lt;/div&gt;</t>
  </si>
  <si>
    <t>Oceans (2), Rivers (2)</t>
  </si>
  <si>
    <t>Wave boosts creature’s speed.</t>
  </si>
  <si>
    <t>Aquatic (5)</t>
  </si>
  <si>
    <t>Snake Staff</t>
  </si>
  <si>
    <t>cleric/oracle 5, druid 5, shaman 6</t>
  </si>
  <si>
    <t>V, S, M (a knife suitable for whittling)</t>
  </si>
  <si>
    <t>1 or more pieces of wood, no two of which can be more than 30 ft. apart</t>
  </si>
  <si>
    <t>With a long hissing whisper, you transform ordinary pieces of wood into various sorts of snakes that immediately attack your foes.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   Venomous Snake: A stick or piece of firewood. Counts as 1 snake.   Constrictor Snake: A staff or tree branch. Counts as 2 snakes.   Advanced Venomous Snake: A stick or piece of firewood. Counts as 2 snakes.   Advanced Constrictor Snake: A staff or tree branch. Counts as 3 snakes.   Advanced Giant Venomous Snake: A log or pile of debris. Counts as 4 snakes.   Advanced Giant Constrictor Snake: A fallen tree or a large pile of debris. Counts as 5 snakes.</t>
  </si>
  <si>
    <t>&lt;p&gt;With a long hissing whisper, you transform ordinary pieces of wood into various sorts of snakes that immediately attack your foes.&lt;/p&gt;&lt;p&gt;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below.&lt;/p&gt;&lt;p&gt; Venomous Snake: A stick or piece of firewood. Counts as 1 snake.&lt;/p&gt;&lt;p&gt; Constrictor Snake: A staff or tree branch. Counts as 2 snakes.&lt;/p&gt;&lt;p&gt; Advanced Venomous Snake: A stick or piece of firewood. Counts as 2 snakes.&lt;/p&gt;&lt;p&gt; Advanced Constrictor Snake: A staff or tree branch. Counts as 3 snakes.&lt;/p&gt;&lt;p&gt; Advanced Giant Venomous Snake: A log or pile of debris. Counts as 4 snakes.&lt;/p&gt;&lt;p&gt; Advanced Giant Constrictor Snake: A fallen tree or a large pile of debris. Counts as 5 snakes.&lt;/p&gt;</t>
  </si>
  <si>
    <t>&lt;link rel="stylesheet"href="PF.css"&gt;&lt;div class="heading"&gt;&lt;p class="alignleft"&gt;Snake Staff&lt;/p&gt;&lt;div style="clear: both;"&gt;&lt;/div&gt;&lt;/div&gt;&lt;div&gt;&lt;h5&gt;&lt;b&gt;School &lt;/b&gt;transmutation; &lt;b&gt;Level &lt;/b&gt;cleric/oracle 5, druid 5, shaman 6&lt;/h5&gt;&lt;/div&gt;&lt;hr/&gt;&lt;div&gt;&lt;h5&gt;&lt;b&gt;CASTING&lt;/b&gt;&lt;/h5&gt;&lt;/div&gt;&lt;hr/&gt;&lt;div&gt;&lt;h5&gt;&lt;b&gt;Casting Time &lt;/b&gt;1 standard action&lt;/h5&gt;&lt;h5&gt;&lt;b&gt;Components &lt;/b&gt;V, S, M (a knife suitable for whittling)&lt;/h5&gt;&lt;/div&gt;&lt;hr/&gt;&lt;div&gt;&lt;h5&gt;&lt;b&gt;EFFECT&lt;/b&gt;&lt;/h5&gt;&lt;/div&gt;&lt;hr/&gt;&lt;div&gt;&lt;h5&gt;&lt;b&gt;Range &lt;/b&gt;medium (100 ft. + 10 ft./level)&lt;/h5&gt;&lt;h5&gt;&lt;b&gt;Targets &lt;/b&gt;1 or more pieces of wood, no two of which can be more than 30 ft. apart&lt;/h5&gt;&lt;h5&gt;&lt;b&gt;Duration &lt;/b&gt;1 round/level&lt;/h5&gt;&lt;h5&gt;&lt;b&gt;Saving Throw &lt;/b&gt;Will negates (object); &lt;b&gt;Spell Resistance &lt;/b&gt;yes (object)&lt;/h5&gt;&lt;/div&gt;&lt;hr/&gt;&lt;div&gt;&lt;h5&gt;&lt;b&gt;DESCRIPTION&lt;/b&gt;&lt;/h5&gt;&lt;/div&gt;&lt;hr/&gt;&lt;div&gt;&lt;h4&gt;&lt;p&gt;With a long hissing whisper, you transform ordinary pieces of wood into various sorts of snakes that immediately attack your foes.&lt;/p&gt;&lt;p&gt;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below.&lt;/p&gt;&lt;p&gt; Venomous Snake: A stick or piece of firewood. Counts as 1 snake.&lt;/p&gt;&lt;p&gt; Constrictor Snake: A staff or tree branch. Counts as 2 snakes.&lt;/p&gt;&lt;p&gt; Advanced Venomous Snake: A stick or piece of firewood. Counts as 2 snakes.&lt;/p&gt;&lt;p&gt; Advanced Constrictor Snake: A staff or tree branch. Counts as 3 snakes.&lt;/p&gt;&lt;p&gt; Advanced Giant Venomous Snake: A log or pile of debris. Counts as 4 snakes.&lt;/p&gt;&lt;p&gt; Advanced Giant Constrictor Snake: A fallen tree or a large pile of debris. Counts as 5 snakes.&lt;/p&gt;&lt;/h4&gt;&lt;/div&gt;</t>
  </si>
  <si>
    <t>Transforms wood into snakes to fight for you.</t>
  </si>
  <si>
    <t>Occult (10)</t>
  </si>
  <si>
    <t>Solid Note</t>
  </si>
  <si>
    <t>one solidified musical note</t>
  </si>
  <si>
    <t>You give temporary physical form to a single musical note and can hang it, suspended, wherever you wish within range, allowing you to use it as hook, pulley, door blocker, or anything else your imagination desires. The exact appearance of the solid note depends on your melody. You can make it spiked or smooth, simple or convoluted, and with any color pattern you wish, however, it always has a size approximately equal to that of your outstretched hand. Once created, the solid note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solid note simply fails to budge it and loses that action for the round.</t>
  </si>
  <si>
    <t>&lt;p&gt;You give temporary physical form to a single musical note and can hang it, suspended, wherever you wish within range, allowing you to use it as hook, pulley, door blocker, or anything else your imagination desires. The exact appearance of the &lt;i&gt;solid note&lt;/i&gt; depends on your melody. You can make it spiked or smooth, simple or convoluted, and with any color pattern you wish, however, it always has a size approximately equal to that of your outstretched hand. Once created, the &lt;i&gt;solid note&lt;/i&gt;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&lt;i&gt;solid note&lt;/i&gt; simply fails to budge it and loses that action for the round.&lt;/p&gt;</t>
  </si>
  <si>
    <t>&lt;link rel="stylesheet"href="PF.css"&gt;&lt;div class="heading"&gt;&lt;p class="alignleft"&gt;Solid Note&lt;/p&gt;&lt;div style="clear: both;"&gt;&lt;/div&gt;&lt;/div&gt;&lt;div&gt;&lt;h5&gt;&lt;b&gt;School &lt;/b&gt;conjuration (creation); &lt;b&gt;Level &lt;/b&gt;bard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solidified musical note&lt;/h5&gt;&lt;h5&gt;&lt;b&gt;Duration &lt;/b&gt;concentration + 1 round/level&lt;/h5&gt;&lt;h5&gt;&lt;b&gt;Saving Throw &lt;/b&gt;none; &lt;b&gt;Spell Resistance &lt;/b&gt;no&lt;/h5&gt;&lt;/div&gt;&lt;hr/&gt;&lt;div&gt;&lt;h5&gt;&lt;b&gt;DESCRIPTION&lt;/b&gt;&lt;/h5&gt;&lt;/div&gt;&lt;hr/&gt;&lt;div&gt;&lt;h4&gt;&lt;p&gt;You give temporary physical form to a single musical note and can hang it, suspended, wherever you wish within range, allowing you to use it as hook, pulley, door blocker, or anything else your imagination desires. The exact appearance of the &lt;i&gt;solid note&lt;/i&gt; depends on your melody. You can make it spiked or smooth, simple or convoluted, and with any color pattern you wish, however, it always has a size approximately equal to that of your outstretched hand. Once created, the &lt;i&gt;solid note&lt;/i&gt;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&lt;i&gt;solid note&lt;/i&gt; simply fails to budge it and loses that action for the round.&lt;/p&gt;&lt;/h4&gt;&lt;/div&gt;</t>
  </si>
  <si>
    <t>Creates tangible music note.</t>
  </si>
  <si>
    <t>Spark</t>
  </si>
  <si>
    <t>bard 0, cleric/oracle 0, druid 0, sorcerer/wizard 0, witch 0, magus 0, occultist 0</t>
  </si>
  <si>
    <t>V or S</t>
  </si>
  <si>
    <t>one Fine object</t>
  </si>
  <si>
    <t>You can make an unattended Fine flammable object catch on fire. This works as if you were using flint and steel except that you can use spark in any sort of weather and it takes much less time to actually ignite an object.</t>
  </si>
  <si>
    <t>&lt;p&gt;You can make an unattended Fine flammable object catch on fire. This works as if you were using flint and steel except that you can use &lt;i&gt;spark&lt;/i&gt; in any sort of weather and it takes much less time to actually ignite an object.&lt;/p&gt;</t>
  </si>
  <si>
    <t>&lt;link rel="stylesheet"href="PF.css"&gt;&lt;div class="heading"&gt;&lt;p class="alignleft"&gt;Spark&lt;/p&gt;&lt;div style="clear: both;"&gt;&lt;/div&gt;&lt;/div&gt;&lt;div&gt;&lt;h5&gt;&lt;b&gt;School &lt;/b&gt;evocation [fire]; &lt;b&gt;Level &lt;/b&gt;bard 0, cleric/oracle 0, druid 0, sorcerer/wizard 0, witch 0, magus 0, occultist 0&lt;/h5&gt;&lt;/div&gt;&lt;hr/&gt;&lt;div&gt;&lt;h5&gt;&lt;b&gt;CASTING&lt;/b&gt;&lt;/h5&gt;&lt;/div&gt;&lt;hr/&gt;&lt;div&gt;&lt;h5&gt;&lt;b&gt;Casting Time &lt;/b&gt;1 standard action&lt;/h5&gt;&lt;h5&gt;&lt;b&gt;Components &lt;/b&gt;V or S&lt;/h5&gt;&lt;/div&gt;&lt;hr/&gt;&lt;div&gt;&lt;h5&gt;&lt;b&gt;EFFECT&lt;/b&gt;&lt;/h5&gt;&lt;/div&gt;&lt;hr/&gt;&lt;div&gt;&lt;h5&gt;&lt;b&gt;Range &lt;/b&gt;close (25 ft. + 5 ft./2 levels)&lt;/h5&gt;&lt;h5&gt;&lt;b&gt;Targets &lt;/b&gt;one Fine object&lt;/h5&gt;&lt;h5&gt;&lt;b&gt;Duration &lt;/b&gt;instantaneous&lt;/h5&gt;&lt;h5&gt;&lt;b&gt;Saving Throw &lt;/b&gt;Fortitude negates (object); &lt;b&gt;Spell Resistance &lt;/b&gt;yes (object)&lt;/h5&gt;&lt;/div&gt;&lt;hr/&gt;&lt;div&gt;&lt;h5&gt;&lt;b&gt;DESCRIPTION&lt;/b&gt;&lt;/h5&gt;&lt;/div&gt;&lt;hr/&gt;&lt;div&gt;&lt;h4&gt;&lt;p&gt;You can make an unattended Fine flammable object catch on fire. This works as if you were using flint and steel except that you can use &lt;i&gt;spark&lt;/i&gt; in any sort of weather and it takes much less time to actually ignite an object.&lt;/p&gt;&lt;/h4&gt;&lt;/div&gt;</t>
  </si>
  <si>
    <t>Ignites flammable objects.</t>
  </si>
  <si>
    <t>Spiked Pit</t>
  </si>
  <si>
    <t>sorcerer/wizard 3, summoner 3</t>
  </si>
  <si>
    <t>This spell functions as create pit,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t>
  </si>
  <si>
    <t>&lt;p&gt;This spell functions as &lt;i&gt;create pit&lt;/i&gt;,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20.&lt;/p&gt;</t>
  </si>
  <si>
    <t>&lt;link rel="stylesheet"href="PF.css"&gt;&lt;div class="heading"&gt;&lt;p class="alignleft"&gt;Spiked Pit&lt;/p&gt;&lt;div style="clear: both;"&gt;&lt;/div&gt;&lt;/div&gt;&lt;div&gt;&lt;h5&gt;&lt;b&gt;School &lt;/b&gt;conjuration (creation); &lt;b&gt;Level &lt;/b&gt;sorcerer/wizard 3, summoner 3&lt;/h5&gt;&lt;/div&gt;&lt;hr/&gt;&lt;div&gt;&lt;h5&gt;&lt;b&gt;CASTING&lt;/b&gt;&lt;/h5&gt;&lt;/div&gt;&lt;hr/&gt;&lt;div&gt;&lt;h5&gt;&lt;b&gt;Casting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&lt;b&gt;Spell Resistance &lt;/b&gt;no&lt;/h5&gt;&lt;/div&gt;&lt;hr/&gt;&lt;div&gt;&lt;h5&gt;&lt;b&gt;DESCRIPTION&lt;/b&gt;&lt;/h5&gt;&lt;/div&gt;&lt;hr/&gt;&lt;div&gt;&lt;h4&gt;&lt;p&gt;This spell functions as &lt;i&gt;create pit&lt;/i&gt;,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20.&lt;/p&gt;&lt;/h4&gt;&lt;/div&gt;</t>
  </si>
  <si>
    <t>Caves (3)</t>
  </si>
  <si>
    <t>As create pit, but filled with spikes.</t>
  </si>
  <si>
    <t>Spiritual Ally</t>
  </si>
  <si>
    <t>cleric/oracle 4, spiritualist 4</t>
  </si>
  <si>
    <t>spiritual ally of force</t>
  </si>
  <si>
    <t>An ally made of pure force appears in a single 5-foot square within range. The ally takes the form of a servant of your god.  The spiritual ally occupies its space, though you and your allies can move through it, since it is your ally. The spiritual ally carries a single weapon, one favored by your deity (as for spiritual weapon), which has the same threat range and critical modifiers as a real weapon of its form. Each round on your turn, starting with the turn that you cast this spell, your spiritual ally can make an attack against a foe within its reach that you designate. The spiritual ally threatens adjacent squares and can flank and make attacks of opportunity as if it were a normal creature. The spiritual ally uses your base attack bonus (gaining extra attacks if your base attack bonus is high enough) plus your Wisdom bonus when it makes a melee attack. When the spiritual ally hits, it deals 1d10 points of force damage + 1 point of damage per 3 caster levels (maximum +5 at 15th level). It strikes as a spell, not a weapon, so it bypasses DR and can affect incorporeal creatures.  Each round after the first, you can move the spiritual ally as a swift action. It has a speed of 30 feet, and a fly speed of 30 feet (perfect maneuverability). Being a construct of force, the spiritual ally cannot be harmed by any physical attacks, but dispel magic, disintegrate, a sphere of annihilation, or a rod of cancellation affects it. A spiritual ally's AC against touch attacks is 10.  If an attacked creature has spell resistance, you make a caster level check (1d20 + caster level) against that spell resistance the first time the spiritual ally strikes it. If the ally is successfully resisted, the spell is dispelled. If not, the weapon has its normal full effect on that creature for the duration of the spell.</t>
  </si>
  <si>
    <t>&lt;p&gt;An ally made of pure force appears in a single 5-foot square within range. The ally takes the form of a servant of your god.&lt;/p&gt;&lt;p&gt;The &lt;i&gt;spiritual ally&lt;/i&gt; occupies its space, though you and your allies can move through it, since it is your ally. The &lt;i&gt;spiritual ally&lt;/i&gt; carries a single weapon, one favored by your deity (as for &lt;i&gt;spiritual weapon&lt;/i&gt;), which has the same threat range and critical modifiers as a real weapon of its form. Each round on your turn, starting with the turn that you cast this spell, your &lt;i&gt;spiritual ally&lt;/i&gt; can make an attack against a foe within its reach that you designate. The &lt;i&gt;spiritual ally&lt;/i&gt; threatens adjacent squares and can flank and make attacks of opportunity as if it were a normal creature. The &lt;i&gt;spiritual ally&lt;/i&gt; uses your base attack bonus (gaining extra attacks if your base attack bonus is high enough) plus your Wisdom bonus when it makes a melee attack. When the &lt;i&gt;spiritual ally&lt;/i&gt; hits, it deals 1d10 points of force damage + 1 point of damage per 3 caster levels (maximum +5 at 15th level). It strikes as a spell, not a weapon, so it bypasses DR and can affect incorporeal creatures.&lt;/p&gt;&lt;p&gt;Each round after the first, you can move the &lt;i&gt;spiritual ally&lt;/i&gt; as a swift action. It has a speed of 30 feet, and a fly speed of 30 feet (perfect maneuverability). Being a construct of force, the &lt;i&gt;spiritual ally&lt;/i&gt; cannot be harmed by any physical attacks, but &lt;i&gt;dispel magic&lt;/i&gt;, &lt;i&gt;disintegrate&lt;/i&gt;, &lt;i&gt;a sphere of annihilation&lt;/i&gt;, or a &lt;i&gt;rod of cancellation&lt;/i&gt; affects it. A &lt;i&gt;spiritual ally&lt;/i&gt;'s AC against touch attacks is 10.&lt;/p&gt;&lt;p&gt;If an attacked creature has spell resistance, you make a caster level check (1d20 + caster level) against that spell resistance the first time the &lt;i&gt;spiritual ally&lt;/i&gt; strikes it. If the ally is successfully resisted, the spell is dispelled. If not, the weapon has its normal full effect on that creature for the duration of the spell.&lt;/p&gt;</t>
  </si>
  <si>
    <t>&lt;link rel="stylesheet"href="PF.css"&gt;&lt;div class="heading"&gt;&lt;p class="alignleft"&gt;Spiritual Ally&lt;/p&gt;&lt;div style="clear: both;"&gt;&lt;/div&gt;&lt;/div&gt;&lt;div&gt;&lt;h5&gt;&lt;b&gt;School &lt;/b&gt;evocation [force]; &lt;b&gt;Level &lt;/b&gt;cleric/oracle 4, spiritualist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&lt;/b&gt;spiritual ally of force&lt;/h5&gt;&lt;h5&gt;&lt;b&gt;Duration &lt;/b&gt;1 round/level (D)&lt;/h5&gt;&lt;h5&gt;&lt;b&gt;Saving Throw &lt;/b&gt;none; &lt;b&gt;Spell Resistance &lt;/b&gt;yes&lt;/h5&gt;&lt;/div&gt;&lt;hr/&gt;&lt;div&gt;&lt;h5&gt;&lt;b&gt;DESCRIPTION&lt;/b&gt;&lt;/h5&gt;&lt;/div&gt;&lt;hr/&gt;&lt;div&gt;&lt;h4&gt;&lt;p&gt;An ally made of pure force appears in a single 5-foot square within range. The ally takes the form of a servant of your god.&lt;/p&gt;&lt;p&gt;The &lt;i&gt;spiritual ally&lt;/i&gt; occupies its space, though you and your allies can move through it, since it is your ally. The &lt;i&gt;spiritual ally&lt;/i&gt; carries a single weapon, one favored by your deity (as for &lt;i&gt;spiritual weapon&lt;/i&gt;), which has the same threat range and critical modifiers as a real weapon of its form. Each round on your turn, starting with the turn that you cast this spell, your &lt;i&gt;spiritual ally&lt;/i&gt; can make an attack against a foe within its reach that you designate. The &lt;i&gt;spiritual ally&lt;/i&gt; threatens adjacent squares and can flank and make attacks of opportunity as if it were a normal creature. The &lt;i&gt;spiritual ally&lt;/i&gt; uses your base attack bonus (gaining extra attacks if your base attack bonus is high enough) plus your Wisdom bonus when it makes a melee attack. When the &lt;i&gt;spiritual ally&lt;/i&gt; hits, it deals 1d10 points of force damage + 1 point of damage per 3 caster levels (maximum +5 at 15th level). It strikes as a spell, not a weapon, so it bypasses DR and can affect incorporeal creatures.&lt;/p&gt;&lt;p&gt;Each round after the first, you can move the &lt;i&gt;spiritual ally&lt;/i&gt; as a swift action. It has a speed of 30 feet, and a fly speed of 30 feet (perfect maneuverability). Being a construct of force, the &lt;i&gt;spiritual ally&lt;/i&gt; cannot be harmed by any physical attacks, but &lt;i&gt;dispel magic&lt;/i&gt;, &lt;i&gt;disintegrate&lt;/i&gt;, &lt;i&gt;a sphere of annihilation&lt;/i&gt;, or a &lt;i&gt;rod of cancellation&lt;/i&gt; affects it. A &lt;i&gt;spiritual ally&lt;/i&gt;'s AC against touch attacks is 10.&lt;/p&gt;&lt;p&gt;If an attacked creature has spell resistance, you make a caster level check (1d20 + caster level) against that spell resistance the first time the &lt;i&gt;spiritual ally&lt;/i&gt; strikes it. If the ally is successfully resisted, the spell is dispelled. If not, the weapon has its normal full effect on that creature for the duration of the spell.&lt;/p&gt;&lt;/h4&gt;&lt;/div&gt;</t>
  </si>
  <si>
    <t>Creates a divine ally to aid you.</t>
  </si>
  <si>
    <t>Spirits (8)</t>
  </si>
  <si>
    <t>Spite</t>
  </si>
  <si>
    <t>witch 4, mesmerist 3</t>
  </si>
  <si>
    <t>V, S, M (rare inks worth 250 gp)</t>
  </si>
  <si>
    <t>1 hour/level (D) or until discharged</t>
  </si>
  <si>
    <t>Choose a single touch range spell of 4th level or lower with a casting time of 1 standard action or less. As part of the action of casting spite,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  You can have only one spite spell in effect at a time; if you cast this spell a second time, the previous spell effect ends.</t>
  </si>
  <si>
    <t>&lt;p&gt;Choose a single touch range spell of 4th level or lower with a casting time of 1 standard action or less. As part of the action of casting &lt;i&gt;spite&lt;/i&gt;,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effect.&lt;/p&gt;&lt;p&gt;You can have only one &lt;i&gt;spite&lt;/i&gt; spell in effect at a time; if you cast this spell a second time, the previous spell effect ends.&lt;/p&gt;</t>
  </si>
  <si>
    <t>&lt;link rel="stylesheet"href="PF.css"&gt;&lt;div class="heading"&gt;&lt;p class="alignleft"&gt;Spite&lt;/p&gt;&lt;div style="clear: both;"&gt;&lt;/div&gt;&lt;/div&gt;&lt;div&gt;&lt;h5&gt;&lt;b&gt;School &lt;/b&gt;abjuration; &lt;b&gt;Level &lt;/b&gt;witch 4, mesmerist 3&lt;/h5&gt;&lt;/div&gt;&lt;hr/&gt;&lt;div&gt;&lt;h5&gt;&lt;b&gt;CASTING&lt;/b&gt;&lt;/h5&gt;&lt;/div&gt;&lt;hr/&gt;&lt;div&gt;&lt;h5&gt;&lt;b&gt;Casting Time &lt;/b&gt;1 round&lt;/h5&gt;&lt;h5&gt;&lt;b&gt;Components &lt;/b&gt;V, S, M (rare inks worth 250 gp)&lt;/h5&gt;&lt;/div&gt;&lt;hr/&gt;&lt;div&gt;&lt;h5&gt;&lt;b&gt;EFFECT&lt;/b&gt;&lt;/h5&gt;&lt;/div&gt;&lt;hr/&gt;&lt;div&gt;&lt;h5&gt;&lt;b&gt;Range &lt;/b&gt;personal&lt;/h5&gt;&lt;h5&gt;&lt;b&gt;Targets &lt;/b&gt;you&lt;/h5&gt;&lt;h5&gt;&lt;b&gt;Duration &lt;/b&gt;1 hour/level (D) or until discharged&lt;/h5&gt;&lt;/div&gt;&lt;hr/&gt;&lt;div&gt;&lt;h5&gt;&lt;b&gt;DESCRIPTION&lt;/b&gt;&lt;/h5&gt;&lt;/div&gt;&lt;hr/&gt;&lt;div&gt;&lt;h4&gt;&lt;p&gt;Choose a single touch range spell of 4th level or lower with a casting time of 1 standard action or less. As part of the action of casting &lt;i&gt;spite&lt;/i&gt;,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effect.&lt;/p&gt;&lt;p&gt;You can have only one &lt;i&gt;spite&lt;/i&gt; spell in effect at a time; if you cast this spell a second time, the previous spell effect ends.&lt;/p&gt;&lt;/h4&gt;&lt;/div&gt;</t>
  </si>
  <si>
    <t>Inflict touch spell upon creature that attacks you.</t>
  </si>
  <si>
    <t>Stay the Hand</t>
  </si>
  <si>
    <t>1/round per level and special; see text</t>
  </si>
  <si>
    <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t>
  </si>
  <si>
    <t>&lt;p&gt;You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spell.&lt;/p&gt;</t>
  </si>
  <si>
    <t>&lt;link rel="stylesheet"href="PF.css"&gt;&lt;div class="heading"&gt;&lt;p class="alignleft"&gt;Stay the Hand&lt;/p&gt;&lt;div style="clear: both;"&gt;&lt;/div&gt;&lt;/div&gt;&lt;div&gt;&lt;h5&gt;&lt;b&gt;School &lt;/b&gt;enchantment (compulsion) [mind-affecting]; &lt;b&gt;Level &lt;/b&gt;paladin 4&lt;/h5&gt;&lt;/div&gt;&lt;hr/&gt;&lt;div&gt;&lt;h5&gt;&lt;b&gt;CASTING&lt;/b&gt;&lt;/h5&gt;&lt;/div&gt;&lt;hr/&gt;&lt;div&gt;&lt;h5&gt;&lt;b&gt;Casting Time &lt;/b&gt;1 immediate action&lt;/h5&gt;&lt;h5&gt;&lt;b&gt;Components &lt;/b&gt;V, S, DF&lt;/h5&gt;&lt;/div&gt;&lt;hr/&gt;&lt;div&gt;&lt;h5&gt;&lt;b&gt;EFFECT&lt;/b&gt;&lt;/h5&gt;&lt;/div&gt;&lt;hr/&gt;&lt;div&gt;&lt;h5&gt;&lt;b&gt;Range &lt;/b&gt;medium (100 ft. + 10 ft./level)&lt;/h5&gt;&lt;h5&gt;&lt;b&gt;Targets &lt;/b&gt;one creature&lt;/h5&gt;&lt;h5&gt;&lt;b&gt;Duration &lt;/b&gt;1/round per level and special; see text&lt;/h5&gt;&lt;h5&gt;&lt;b&gt;Saving Throw &lt;/b&gt;Will partial; &lt;b&gt;Spell Resistance &lt;/b&gt;yes&lt;/h5&gt;&lt;/div&gt;&lt;hr/&gt;&lt;div&gt;&lt;h5&gt;&lt;b&gt;DESCRIPTION&lt;/b&gt;&lt;/h5&gt;&lt;/div&gt;&lt;hr/&gt;&lt;div&gt;&lt;h4&gt;&lt;p&gt;You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spell.&lt;/p&gt;&lt;/h4&gt;&lt;/div&gt;</t>
  </si>
  <si>
    <t>Subject cannot attack with melee weapon.</t>
  </si>
  <si>
    <t>Stone Call</t>
  </si>
  <si>
    <t>druid 2, ranger 2, sorcerer/wizard 2, magus 2, bloodrager 2</t>
  </si>
  <si>
    <t>A rain of dirt, gravel, and small pebbles fills the area, dealing 2d6 points of bludgeoning damage to every creature in the area. This damage only occurs once, when the spell is cast.  For the remaining duration of the spell, this debris covers the ground, making the entire area difficult terrain. At the end of the duration, the rocks disappear, leaving no aftereffects (other than the damage dealt).</t>
  </si>
  <si>
    <t>&lt;p&gt;A rain of dirt, gravel, and small pebbles fills the area, dealing 2d6 points of bludgeoning damage to every creature in the area. This damage only occurs once, when the spell is cast.&lt;/p&gt;&lt;p&gt;For the remaining duration of the spell, this debris covers the ground, making the entire area difficult terrain. At the end of the duration, the rocks disappear, leaving no aftereffects (other than the damage dealt).&lt;/p&gt;</t>
  </si>
  <si>
    <t>&lt;link rel="stylesheet"href="PF.css"&gt;&lt;div class="heading"&gt;&lt;p class="alignleft"&gt;Stone Call&lt;/p&gt;&lt;div style="clear: both;"&gt;&lt;/div&gt;&lt;/div&gt;&lt;div&gt;&lt;h5&gt;&lt;b&gt;School &lt;/b&gt;conjuration (creation) [earth]; &lt;b&gt;Level &lt;/b&gt;druid 2, ranger 2, sorcerer/wizard 2, magus 2, bloodrager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(40-ft. radius, 20 ft. high)&lt;/h5&gt;&lt;h5&gt;&lt;b&gt;Duration &lt;/b&gt;1 round/level&lt;/h5&gt;&lt;h5&gt;&lt;b&gt;Saving Throw &lt;/b&gt;none; &lt;b&gt;Spell Resistance &lt;/b&gt;no&lt;/h5&gt;&lt;/div&gt;&lt;hr/&gt;&lt;div&gt;&lt;h5&gt;&lt;b&gt;DESCRIPTION&lt;/b&gt;&lt;/h5&gt;&lt;/div&gt;&lt;hr/&gt;&lt;div&gt;&lt;h4&gt;&lt;p&gt;A rain of dirt, gravel, and small pebbles fills the area, dealing 2d6 points of bludgeoning damage to every creature in the area. This damage only occurs once, when the spell is cast.&lt;/p&gt;&lt;p&gt;For the remaining duration of the spell, this debris covers the ground, making the entire area difficult terrain. At the end of the duration, the rocks disappear, leaving no aftereffects (other than the damage dealt).&lt;/p&gt;&lt;/h4&gt;&lt;/div&gt;</t>
  </si>
  <si>
    <t>Ruins (2)</t>
  </si>
  <si>
    <t>2d6 damage to all creatures in area.</t>
  </si>
  <si>
    <t>Mountain (4)</t>
  </si>
  <si>
    <t>Stone Fist</t>
  </si>
  <si>
    <t>alchemist 1, druid 1, sorcerer/wizard 1, magus 1, bloodrager 1</t>
  </si>
  <si>
    <t>V, S, M (a chip of granite)</t>
  </si>
  <si>
    <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  Stone to flesh immediately dispels stone fist. Should you be the target of transmute rock to mud, this spell immediately ends and you take 4d6 points of damage.</t>
  </si>
  <si>
    <t>&lt;p&gt;This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8.&lt;/p&gt;&lt;p&gt;&lt;i&gt;Stone to flesh&lt;/i&gt; immediately dispels &lt;i&gt;stone fist&lt;/i&gt;. Should you be the target of &lt;i&gt;transmute rock to mud&lt;/i&gt;, this spell immediately ends and you take 4d6 points of damage.&lt;/p&gt;</t>
  </si>
  <si>
    <t>&lt;link rel="stylesheet"href="PF.css"&gt;&lt;div class="heading"&gt;&lt;p class="alignleft"&gt;Stone Fist&lt;/p&gt;&lt;div style="clear: both;"&gt;&lt;/div&gt;&lt;/div&gt;&lt;div&gt;&lt;h5&gt;&lt;b&gt;School &lt;/b&gt;transmutation [earth]; &lt;b&gt;Level &lt;/b&gt;alchemist 1, druid 1, sorcerer/wizard 1, magus 1, bloodrager 1&lt;/h5&gt;&lt;/div&gt;&lt;hr/&gt;&lt;div&gt;&lt;h5&gt;&lt;b&gt;CASTING&lt;/b&gt;&lt;/h5&gt;&lt;/div&gt;&lt;hr/&gt;&lt;div&gt;&lt;h5&gt;&lt;b&gt;Casting Time &lt;/b&gt;1 standard action&lt;/h5&gt;&lt;h5&gt;&lt;b&gt;Components &lt;/b&gt;V, S, M (a chip of granite)&lt;/h5&gt;&lt;/div&gt;&lt;hr/&gt;&lt;div&gt;&lt;h5&gt;&lt;b&gt;EFFECT&lt;/b&gt;&lt;/h5&gt;&lt;/div&gt;&lt;hr/&gt;&lt;div&gt;&lt;h5&gt;&lt;b&gt;Range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8.&lt;/p&gt;&lt;p&gt;&lt;i&gt;Stone to flesh&lt;/i&gt; immediately dispels &lt;i&gt;stone fist&lt;/i&gt;. Should you be the target of &lt;i&gt;transmute rock to mud&lt;/i&gt;, this spell immediately ends and you take 4d6 points of damage.&lt;/p&gt;&lt;/h4&gt;&lt;/div&gt;</t>
  </si>
  <si>
    <t>Your unarmed strikes are lethal.</t>
  </si>
  <si>
    <t>Mountain (2)</t>
  </si>
  <si>
    <t>Stormbolts</t>
  </si>
  <si>
    <t>cleric/oracle 8, druid 8, sorcerer/wizard 8, witch 8, shaman 8</t>
  </si>
  <si>
    <t>V, S, M/DF (a copper rod)</t>
  </si>
  <si>
    <t>a 30-ft.-radius spread, centered on you</t>
  </si>
  <si>
    <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t>
  </si>
  <si>
    <t>&lt;p&gt;When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effect.&lt;/p&gt;</t>
  </si>
  <si>
    <t>&lt;link rel="stylesheet"href="PF.css"&gt;&lt;div class="heading"&gt;&lt;p class="alignleft"&gt;Stormbolts&lt;/p&gt;&lt;div style="clear: both;"&gt;&lt;/div&gt;&lt;/div&gt;&lt;div&gt;&lt;h5&gt;&lt;b&gt;School &lt;/b&gt;evocation [electricity]; &lt;b&gt;Level &lt;/b&gt;cleric/oracle 8, druid 8, sorcerer/wizard 8, witch 8, shaman 8&lt;/h5&gt;&lt;/div&gt;&lt;hr/&gt;&lt;div&gt;&lt;h5&gt;&lt;b&gt;CASTING&lt;/b&gt;&lt;/h5&gt;&lt;/div&gt;&lt;hr/&gt;&lt;div&gt;&lt;h5&gt;&lt;b&gt;Casting Time &lt;/b&gt;1 standard action&lt;/h5&gt;&lt;h5&gt;&lt;b&gt;Components &lt;/b&gt;V, S, M/DF (a copper rod)&lt;/h5&gt;&lt;/div&gt;&lt;hr/&gt;&lt;div&gt;&lt;h5&gt;&lt;b&gt;EFFECT&lt;/b&gt;&lt;/h5&gt;&lt;/div&gt;&lt;hr/&gt;&lt;div&gt;&lt;h5&gt;&lt;b&gt;Range &lt;/b&gt;30 ft.&lt;/h5&gt;&lt;h5&gt;&lt;b&gt;Area &lt;/b&gt;a 30-ft.-radius spread, centered on you&lt;/h5&gt;&lt;h5&gt;&lt;b&gt;Duration &lt;/b&gt;instantaneous&lt;/h5&gt;&lt;h5&gt;&lt;b&gt;Saving Throw &lt;/b&gt;Fortitude partial; &lt;b&gt;Spell Resistance &lt;/b&gt;yes&lt;/h5&gt;&lt;/div&gt;&lt;hr/&gt;&lt;div&gt;&lt;h5&gt;&lt;b&gt;DESCRIPTION&lt;/b&gt;&lt;/h5&gt;&lt;/div&gt;&lt;hr/&gt;&lt;div&gt;&lt;h4&gt;&lt;p&gt;When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effect.&lt;/p&gt;&lt;/h4&gt;&lt;/div&gt;</t>
  </si>
  <si>
    <t>1d8 damage/level (max 20d8) to targets.</t>
  </si>
  <si>
    <t>Strong Jaw</t>
  </si>
  <si>
    <t>Laying a hand upon an allied creature's jaw, claws, tentacles, or other natural weapons, you enhance the power of that creature's natural attacks. Each natural attack that creature makes deals damage as if the creature were two sizes larger than it actually is (see page 302 of the Pathfinder Bestiary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t>
  </si>
  <si>
    <t>&lt;p&gt;Laying a hand upon an allied creature's jaw, claws, tentacles, or other natural weapons, you enhance the power of that creature's natural attacks. Each natural attack that creature makes deals damage as if the creature were two sizes larger than it actually is (see page 302 of the &lt;i&gt;Pathfinder Bestiary&lt;/i&gt;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unchanged.&lt;/p&gt;</t>
  </si>
  <si>
    <t>&lt;link rel="stylesheet"href="PF.css"&gt;&lt;div class="heading"&gt;&lt;p class="alignleft"&gt;Strong Jaw&lt;/p&gt;&lt;div style="clear: both;"&gt;&lt;/div&gt;&lt;/div&gt;&lt;div&gt;&lt;h5&gt;&lt;b&gt;School &lt;/b&gt;transmutation; &lt;b&gt;Level &lt;/b&gt;druid 4, ranger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(harmless)&lt;/h5&gt;&lt;/div&gt;&lt;hr/&gt;&lt;div&gt;&lt;h5&gt;&lt;b&gt;DESCRIPTION&lt;/b&gt;&lt;/h5&gt;&lt;/div&gt;&lt;hr/&gt;&lt;div&gt;&lt;h4&gt;&lt;p&gt;Laying a hand upon an allied creature's jaw, claws, tentacles, or other natural weapons, you enhance the power of that creature's natural attacks. Each natural attack that creature makes deals damage as if the creature were two sizes larger than it actually is (see page 302 of the &lt;i&gt;Pathfinder Bestiary&lt;/i&gt;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unchanged.&lt;/p&gt;&lt;/h4&gt;&lt;/div&gt;</t>
  </si>
  <si>
    <t>Natural attacks damage as two sizes bigger.</t>
  </si>
  <si>
    <t>Stumble Gap</t>
  </si>
  <si>
    <t>sorcerer/wizard 1</t>
  </si>
  <si>
    <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t>
  </si>
  <si>
    <t>&lt;p&gt;You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hole.&lt;/p&gt;</t>
  </si>
  <si>
    <t>&lt;link rel="stylesheet"href="PF.css"&gt;&lt;div class="heading"&gt;&lt;p class="alignleft"&gt;Stumble Gap&lt;/p&gt;&lt;div style="clear: both;"&gt;&lt;/div&gt;&lt;/div&gt;&lt;div&gt;&lt;h5&gt;&lt;b&gt;School &lt;/b&gt;conjuration (creation); &lt;b&gt;Level &lt;/b&gt;sorcerer/wizard 1&lt;/h5&gt;&lt;/div&gt;&lt;hr/&gt;&lt;div&gt;&lt;h5&gt;&lt;b&gt;CASTING&lt;/b&gt;&lt;/h5&gt;&lt;/div&gt;&lt;hr/&gt;&lt;div&gt;&lt;h5&gt;&lt;b&gt;Casting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&lt;/b&gt;close (25 ft. + 5 ft./2 levels)&lt;/h5&gt;&lt;h5&gt;&lt;b&gt;Effect &lt;/b&gt;see text&lt;/h5&gt;&lt;h5&gt;&lt;b&gt;Duration &lt;/b&gt;1 round + 1 round/level&lt;/h5&gt;&lt;h5&gt;&lt;b&gt;Saving Throw &lt;/b&gt;Reflex partial; &lt;b&gt;Spell Resistance &lt;/b&gt;no&lt;/h5&gt;&lt;/div&gt;&lt;hr/&gt;&lt;div&gt;&lt;h5&gt;&lt;b&gt;DESCRIPTION&lt;/b&gt;&lt;/h5&gt;&lt;/div&gt;&lt;hr/&gt;&lt;div&gt;&lt;h4&gt;&lt;p&gt;You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hole.&lt;/p&gt;&lt;/h4&gt;&lt;/div&gt;</t>
  </si>
  <si>
    <t>Small hole trips creatures.</t>
  </si>
  <si>
    <t>Stunning Finale</t>
  </si>
  <si>
    <t>You must have a bardic performance in effect to cast this spell.  With a flourish, you immediately end your bardic performance, assaulting the senses of the targets with your finale. Each target is stunned for 1 round. On a successful saving throw, a target is staggered for 1 round.</t>
  </si>
  <si>
    <t>&lt;p&gt;You must have a bardic performance in effect to cast this spell.&lt;/p&gt;&lt;p&gt;With a flourish, you immediately end your bardic performance, assaulting the senses of the targets with your finale. Each target is stunned for 1 round. On a successful saving throw, a target is staggered for 1 round.&lt;/p&gt;</t>
  </si>
  <si>
    <t>&lt;link rel="stylesheet"href="PF.css"&gt;&lt;div class="heading"&gt;&lt;p class="alignleft"&gt;Stunning Finale&lt;/p&gt;&lt;div style="clear: both;"&gt;&lt;/div&gt;&lt;/div&gt;&lt;div&gt;&lt;h5&gt;&lt;b&gt;School &lt;/b&gt;enchantment (compulsion) [mind-affecting]; &lt;b&gt;Level &lt;/b&gt;bard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&lt;/b&gt;1 round&lt;/h5&gt;&lt;h5&gt;&lt;b&gt;Saving Throw &lt;/b&gt;Fortitude partial; see text; &lt;b&gt;Spell Resistance &lt;/b&gt;yes&lt;/h5&gt;&lt;/div&gt;&lt;hr/&gt;&lt;div&gt;&lt;h5&gt;&lt;b&gt;DESCRIPTION&lt;/b&gt;&lt;/h5&gt;&lt;/div&gt;&lt;hr/&gt;&lt;div&gt;&lt;h4&gt;&lt;p&gt;You must have a bardic performance in effect to cast this spell.&lt;/p&gt;&lt;p&gt;With a flourish, you immediately end your bardic performance, assaulting the senses of the targets with your finale. Each target is stunned for 1 round. On a successful saving throw, a target is staggered for 1 round.&lt;/p&gt;&lt;/h4&gt;&lt;/div&gt;</t>
  </si>
  <si>
    <t>Stuns 3 creatures for 1 round.</t>
  </si>
  <si>
    <t>Suffocation</t>
  </si>
  <si>
    <t>sorcerer/wizard 5, witch 5, occultist 5, psychic 5, spiritualist 5</t>
  </si>
  <si>
    <t>V, S, M (a vial containing a bit of the caster's breath)</t>
  </si>
  <si>
    <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t>
  </si>
  <si>
    <t>&lt;p&gt;This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extracted.&lt;/p&gt;</t>
  </si>
  <si>
    <t>&lt;link rel="stylesheet"href="PF.css"&gt;&lt;div class="heading"&gt;&lt;p class="alignleft"&gt;Suffocation&lt;/p&gt;&lt;div style="clear: both;"&gt;&lt;/div&gt;&lt;/div&gt;&lt;div&gt;&lt;h5&gt;&lt;b&gt;School &lt;/b&gt;necromancy; &lt;b&gt;Level &lt;/b&gt;sorcerer/wizard 5, witch 5, occultist 5, psychic 5, spiritualist 5&lt;/h5&gt;&lt;/div&gt;&lt;hr/&gt;&lt;div&gt;&lt;h5&gt;&lt;b&gt;CASTING&lt;/b&gt;&lt;/h5&gt;&lt;/div&gt;&lt;hr/&gt;&lt;div&gt;&lt;h5&gt;&lt;b&gt;Casting Time &lt;/b&gt;1 standard action&lt;/h5&gt;&lt;h5&gt;&lt;b&gt;Components &lt;/b&gt;V, S, M (a vial containing a bit of the caster's breath)&lt;/h5&gt;&lt;/div&gt;&lt;hr/&gt;&lt;div&gt;&lt;h5&gt;&lt;b&gt;EFFECT&lt;/b&gt;&lt;/h5&gt;&lt;/div&gt;&lt;hr/&gt;&lt;div&gt;&lt;h5&gt;&lt;b&gt;Range &lt;/b&gt;close (25 ft. + 5 ft./2 levels)&lt;/h5&gt;&lt;h5&gt;&lt;b&gt;Targets &lt;/b&gt;one living creature&lt;/h5&gt;&lt;h5&gt;&lt;b&gt;Duration &lt;/b&gt;3 rounds&lt;/h5&gt;&lt;h5&gt;&lt;b&gt;Saving Throw &lt;/b&gt;Fortitude partial; &lt;b&gt;Spell Resistance &lt;/b&gt;yes&lt;/h5&gt;&lt;/div&gt;&lt;hr/&gt;&lt;div&gt;&lt;h5&gt;&lt;b&gt;DESCRIPTION&lt;/b&gt;&lt;/h5&gt;&lt;/div&gt;&lt;hr/&gt;&lt;div&gt;&lt;h4&gt;&lt;p&gt;This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extracted.&lt;/p&gt;&lt;/h4&gt;&lt;/div&gt;</t>
  </si>
  <si>
    <t>Murder (5)</t>
  </si>
  <si>
    <t>Target quickly suffocates to death.</t>
  </si>
  <si>
    <t>Death (10)</t>
  </si>
  <si>
    <t>Suffocation, Mass</t>
  </si>
  <si>
    <t>one living creature/2 levels (no two of which may be more than 30 feet apart)</t>
  </si>
  <si>
    <t>This spell functions as suffocation except as noted above. Note that the duration of this spell is much longer, forcing those suffering from the effect to make far more Fortitude saves to stave off eventual suffocation.</t>
  </si>
  <si>
    <t>&lt;p&gt;This spell functions as suffocation except as noted above. Note that the duration of this spell is much longer, forcing those suffering from the effect to make far more Fortitude saves to stave off eventual suffocation.&lt;/p&gt;</t>
  </si>
  <si>
    <t>&lt;link rel="stylesheet"href="PF.css"&gt;&lt;div class="heading"&gt;&lt;p class="alignleft"&gt;Suffocation, Mass&lt;/p&gt;&lt;div style="clear: both;"&gt;&lt;/div&gt;&lt;/div&gt;&lt;div&gt;&lt;h5&gt;&lt;b&gt;School &lt;/b&gt;necromancy; &lt;b&gt;Level &lt;/b&gt;sorcerer/wizard 9, witch 9, psychic 9&lt;/h5&gt;&lt;/div&gt;&lt;hr/&gt;&lt;div&gt;&lt;h5&gt;&lt;b&gt;CASTING&lt;/b&gt;&lt;/h5&gt;&lt;/div&gt;&lt;hr/&gt;&lt;div&gt;&lt;h5&gt;&lt;b&gt;Casting Time &lt;/b&gt;1 standard action&lt;/h5&gt;&lt;h5&gt;&lt;b&gt;Components &lt;/b&gt;V, S, M (a vial containing a bit of the caster's breath)&lt;/h5&gt;&lt;/div&gt;&lt;hr/&gt;&lt;div&gt;&lt;h5&gt;&lt;b&gt;EFFECT&lt;/b&gt;&lt;/h5&gt;&lt;/div&gt;&lt;hr/&gt;&lt;div&gt;&lt;h5&gt;&lt;b&gt;Range &lt;/b&gt;close (25 ft. + 5 ft./2 levels)&lt;/h5&gt;&lt;h5&gt;&lt;b&gt;Targets &lt;/b&gt;one living creature/2 levels (no two of which may be more than 30 feet apart)&lt;/h5&gt;&lt;h5&gt;&lt;b&gt;Duration &lt;/b&gt;1 round/level&lt;/h5&gt;&lt;h5&gt;&lt;b&gt;Saving Throw &lt;/b&gt;Fortitude partial; &lt;b&gt;Spell Resistance &lt;/b&gt;yes&lt;/h5&gt;&lt;/div&gt;&lt;hr/&gt;&lt;div&gt;&lt;h5&gt;&lt;b&gt;DESCRIPTION&lt;/b&gt;&lt;/h5&gt;&lt;/div&gt;&lt;hr/&gt;&lt;div&gt;&lt;h4&gt;&lt;p&gt;This spell functions as suffocation except as noted above. Note that the duration of this spell is much longer, forcing those suffering from the effect to make far more Fortitude saves to stave off eventual suffocation.&lt;/p&gt;&lt;/h4&gt;&lt;/div&gt;</t>
  </si>
  <si>
    <t>Murder (9)</t>
  </si>
  <si>
    <t>One creature/level suffocates to death.</t>
  </si>
  <si>
    <t>Summon Eidolon</t>
  </si>
  <si>
    <t>V, S, M (a silver coin)</t>
  </si>
  <si>
    <t>You open a rift between dimensions that summons your eidolon.  Treat this as if you had summoned your eidolon normally, except that it only remains with you for the duration of this spell. While summoned in this way, your eidolon cannot touch any creature warded by protection from evil or a similar effect and your eidolon can be sent back to its home plane by dispel magic.  If you cast this spell while your eidolon is already on your plane, this spell has no effect. This spell allows you to summon your eidolon even if it has been returned to its home plane due to damage.</t>
  </si>
  <si>
    <t>&lt;p&gt;You open a rift between dimensions that summons your eidolon.&lt;/p&gt;&lt;p&gt;Treat this as if you had summoned your eidolon normally, except that it only remains with you for the duration of this spell. While summoned in this way, your eidolon cannot touch any creature warded by &lt;i&gt;protection from evil&lt;/i&gt; or a similar effect and your eidolon can be sent back to its home plane by &lt;i&gt;dispel magic&lt;/i&gt;.&lt;/p&gt;&lt;p&gt;If you cast this spell while your eidolon is already on your plane, this spell has no effect. This spell allows you to summon your eidolon even if it has been returned to its home plane due to damage.&lt;/p&gt;</t>
  </si>
  <si>
    <t>&lt;link rel="stylesheet"href="PF.css"&gt;&lt;div class="heading"&gt;&lt;p class="alignleft"&gt;Summon Eidolon&lt;/p&gt;&lt;div style="clear: both;"&gt;&lt;/div&gt;&lt;/div&gt;&lt;div&gt;&lt;h5&gt;&lt;b&gt;School &lt;/b&gt;conjuration (summoning); &lt;b&gt;Level &lt;/b&gt;summoner 2&lt;/h5&gt;&lt;/div&gt;&lt;hr/&gt;&lt;div&gt;&lt;h5&gt;&lt;b&gt;CASTING&lt;/b&gt;&lt;/h5&gt;&lt;/div&gt;&lt;hr/&gt;&lt;div&gt;&lt;h5&gt;&lt;b&gt;Casting Time &lt;/b&gt;1 round&lt;/h5&gt;&lt;h5&gt;&lt;b&gt;Components &lt;/b&gt;V, S, M (a silver coin)&lt;/h5&gt;&lt;/div&gt;&lt;hr/&gt;&lt;div&gt;&lt;h5&gt;&lt;b&gt;EFFECT&lt;/b&gt;&lt;/h5&gt;&lt;/div&gt;&lt;hr/&gt;&lt;div&gt;&lt;h5&gt;&lt;b&gt;Range &lt;/b&gt;close (25 ft. + 5 ft./2 levels)&lt;/h5&gt;&lt;h5&gt;&lt;b&gt;Targets &lt;/b&gt;one eidolon&lt;/h5&gt;&lt;h5&gt;&lt;b&gt;Duration &lt;/b&gt;1 minute/level (D)&lt;/h5&gt;&lt;h5&gt;&lt;b&gt;Saving Throw &lt;/b&gt;none; &lt;b&gt;Spell Resistance &lt;/b&gt;no&lt;/h5&gt;&lt;/div&gt;&lt;hr/&gt;&lt;div&gt;&lt;h5&gt;&lt;b&gt;DESCRIPTION&lt;/b&gt;&lt;/h5&gt;&lt;/div&gt;&lt;hr/&gt;&lt;div&gt;&lt;h4&gt;&lt;p&gt;You open a rift between dimensions that summons your eidolon.&lt;/p&gt;&lt;p&gt;Treat this as if you had summoned your eidolon normally, except that it only remains with you for the duration of this spell. While summoned in this way, your eidolon cannot touch any creature warded by &lt;i&gt;protection from evil&lt;/i&gt; or a similar effect and your eidolon can be sent back to its home plane by &lt;i&gt;dispel magic&lt;/i&gt;.&lt;/p&gt;&lt;p&gt;If you cast this spell while your eidolon is already on your plane, this spell has no effect. This spell allows you to summon your eidolon even if it has been returned to its home plane due to damage.&lt;/p&gt;&lt;/h4&gt;&lt;/div&gt;</t>
  </si>
  <si>
    <t>Instantly summons your eidolon for duration of spell.</t>
  </si>
  <si>
    <t>Swarm Skin</t>
  </si>
  <si>
    <t>druid 6, witch 6</t>
  </si>
  <si>
    <t>V, S, M/DF (a crushed insect hive)</t>
  </si>
  <si>
    <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 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 Number of Levels S warm Type(s) 2 caster levels Spider swarm (Pathfinder Bestiary page 258) 4 caster levels Rat swarm (Bestiary 232) 6 caster levels Crab swarm, wasp swarm (Bestiary 50, 275) 8 caster levels Centipede swarm, leech swarm (Bestiary 43, 187) 10 caster levels Army ant swarm (Bestiary 16)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t>
  </si>
  <si>
    <t>&lt;p&gt;You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swarms.&lt;/p&gt;&lt;p&gt;Each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level.&lt;/p&gt;&lt;p&gt; &lt;table&gt;&lt;tr&gt;&lt;th&gt;Number of Levels&lt;/th&gt;&lt;th&gt;Swarm Type(s)&lt;/th&gt;&lt;/tr&gt;&lt;tr&gt;&lt;td&gt;2 caster levels&lt;/td&gt;&lt;td&gt;Spider swarm (Pathfinder Bestiary page 258)&lt;/td&gt;&lt;/tr&gt;&lt;tr&gt;&lt;td&gt;4 caster levels&lt;/td&gt;&lt;td&gt;Rat swarm (Bestiary 232)&lt;/td&gt;&lt;/tr&gt;&lt;tr&gt;&lt;td&gt;6 caster levels&lt;/td&gt;&lt;td&gt;Crab swarm, wasp swarm (Bestiary 50, 275)&lt;/td&gt;&lt;/tr&gt;&lt;tr&gt;&lt;td&gt;8 caster levels&lt;/td&gt;&lt;td&gt;Centipede swarm, leech swarm (Bestiary 43, 187)&lt;/td&gt;&lt;/tr&gt;&lt;tr&gt;&lt;td&gt;10 caster levels&lt;/td&gt;&lt;td&gt;Army ant swarm (Bestiary 16)&lt;/td&gt;&lt;/tr&gt;&lt;/table&gt;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body.&lt;/p&gt;</t>
  </si>
  <si>
    <t>&lt;link rel="stylesheet"href="PF.css"&gt;&lt;div class="heading"&gt;&lt;p class="alignleft"&gt;Swarm Skin&lt;/p&gt;&lt;div style="clear: both;"&gt;&lt;/div&gt;&lt;/div&gt;&lt;div&gt;&lt;h5&gt;&lt;b&gt;School &lt;/b&gt;transmutation; &lt;b&gt;Level &lt;/b&gt;druid 6, witch 6&lt;/h5&gt;&lt;/div&gt;&lt;hr/&gt;&lt;div&gt;&lt;h5&gt;&lt;b&gt;CASTING&lt;/b&gt;&lt;/h5&gt;&lt;/div&gt;&lt;hr/&gt;&lt;div&gt;&lt;h5&gt;&lt;b&gt;Casting Time &lt;/b&gt;1 standard action&lt;/h5&gt;&lt;h5&gt;&lt;b&gt;Components &lt;/b&gt;V, S, M/DF (a crushed insect hive)&lt;/h5&gt;&lt;/div&gt;&lt;hr/&gt;&lt;div&gt;&lt;h5&gt;&lt;b&gt;EFFECT&lt;/b&gt;&lt;/h5&gt;&lt;/div&gt;&lt;hr/&gt;&lt;div&gt;&lt;h5&gt;&lt;b&gt;Range &lt;/b&gt;personal&lt;/h5&gt;&lt;h5&gt;&lt;b&gt;Targets &lt;/b&gt;you&lt;/h5&gt;&lt;h5&gt;&lt;b&gt;Duration &lt;/b&gt;see text&lt;/h5&gt;&lt;/div&gt;&lt;hr/&gt;&lt;div&gt;&lt;h5&gt;&lt;b&gt;DESCRIPTION&lt;/b&gt;&lt;/h5&gt;&lt;/div&gt;&lt;hr/&gt;&lt;div&gt;&lt;h4&gt;&lt;p&gt;You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swarms.&lt;/p&gt;&lt;p&gt;Each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level.&lt;/p&gt;&lt;p&gt; &lt;table&gt;&lt;tr&gt;&lt;th&gt;Number of Levels&lt;/th&gt;&lt;th&gt;Swarm Type(s)&lt;/th&gt;&lt;/tr&gt;&lt;tr&gt;&lt;td&gt;2 caster levels&lt;/td&gt;&lt;td&gt;Spider swarm (Pathfinder Bestiary page 258)&lt;/td&gt;&lt;/tr&gt;&lt;tr&gt;&lt;td&gt;4 caster levels&lt;/td&gt;&lt;td&gt;Rat swarm (Bestiary 232)&lt;/td&gt;&lt;/tr&gt;&lt;tr&gt;&lt;td&gt;6 caster levels&lt;/td&gt;&lt;td&gt;Crab swarm, wasp swarm (Bestiary 50, 275)&lt;/td&gt;&lt;/tr&gt;&lt;tr&gt;&lt;td&gt;8 caster levels&lt;/td&gt;&lt;td&gt;Centipede swarm, leech swarm (Bestiary 43, 187)&lt;/td&gt;&lt;/tr&gt;&lt;tr&gt;&lt;td&gt;10 caster levels&lt;/td&gt;&lt;td&gt;Army ant swarm (Bestiary 16)&lt;/td&gt;&lt;/tr&gt;&lt;/table&gt;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body.&lt;/p&gt;&lt;/h4&gt;&lt;/div&gt;</t>
  </si>
  <si>
    <t>Vermin (5)</t>
  </si>
  <si>
    <t>Turns your body into a swarm that can attack.</t>
  </si>
  <si>
    <t>Thorn Body</t>
  </si>
  <si>
    <t>alchemist 3, druid 4, shaman 4</t>
  </si>
  <si>
    <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  Thorns created by this spell persist through any new physical shape or form you assume, such as via wildshape or any polymorph effect.</t>
  </si>
  <si>
    <t>&lt;p&gt;This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damage.&lt;/p&gt;&lt;p&gt;Thorns created by this spell persist through any new physical shape or form you assume, such as via wildshape or any polymorph effect.&lt;/p&gt;</t>
  </si>
  <si>
    <t>&lt;link rel="stylesheet"href="PF.css"&gt;&lt;div class="heading"&gt;&lt;p class="alignleft"&gt;Thorn Body&lt;/p&gt;&lt;div style="clear: both;"&gt;&lt;/div&gt;&lt;/div&gt;&lt;div&gt;&lt;h5&gt;&lt;b&gt;School &lt;/b&gt;transmutation; &lt;b&gt;Level &lt;/b&gt;alchemist 3, druid 4, shaman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damage.&lt;/p&gt;&lt;p&gt;Thorns created by this spell persist through any new physical shape or form you assume, such as via wildshape or any polymorph effect.&lt;/p&gt;&lt;/h4&gt;&lt;/div&gt;</t>
  </si>
  <si>
    <t>Your attackers take 1d6 +1 damage/level.</t>
  </si>
  <si>
    <t>Thorns (8)</t>
  </si>
  <si>
    <t>Threefold Aspect</t>
  </si>
  <si>
    <t>druid 5, witch 4</t>
  </si>
  <si>
    <t>S, F (silver crescent worth 5 gp)</t>
  </si>
  <si>
    <t>24 hours (D)</t>
  </si>
  <si>
    <t>Threefold aspect allows you to shift your appearance between your natural age and three idealized age categories: young adult (youth/maiden), adulthood (father/mother), or elderly (elder/crone). In each case, your appearance is your own at the appropriate age, rather than that of a new individual.  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  True seeing reveals your natural appearance overlaid with that your aspect, recognizing both as part of your true self.  Individuals who study you closely and have interacted with you at another apparent age recognize a resemblance (as though family) with a successful DC 20 Perception check.  Threefold aspect does not alter your clothing or equipment, and does not heal any deformity or injury unrelated to age.</t>
  </si>
  <si>
    <t>&lt;p&gt;&lt;i&gt;Threefold aspect&lt;/i&gt; allows you to shift your appearance between your natural age and three idealized age categories: young adult (youth/maiden), adulthood (father/mother), or elderly (elder/crone). In each case, your appearance is your own at the appropriate age, rather than that of a new individual.&lt;/p&gt;&lt;p&gt;You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age.&lt;/p&gt;&lt;p&gt;&lt;i&gt;True seeing&lt;/i&gt; reveals your natural appearance overlaid with that your aspect, recognizing both as part of your true self.&lt;/p&gt;&lt;p&gt;Individuals who study you closely and have interacted with you at another apparent age recognize a resemblance (as though family) with a successful DC 20 Perception check.&lt;/p&gt;&lt;p&gt;&lt;i&gt;Threefold aspect&lt;/i&gt; does not alter your clothing or equipment, and does not heal any deformity or injury unrelated to age.&lt;/p&gt;</t>
  </si>
  <si>
    <t>&lt;link rel="stylesheet"href="PF.css"&gt;&lt;div class="heading"&gt;&lt;p class="alignleft"&gt;Threefold Aspect&lt;/p&gt;&lt;div style="clear: both;"&gt;&lt;/div&gt;&lt;/div&gt;&lt;div&gt;&lt;h5&gt;&lt;b&gt;School &lt;/b&gt;transmutation; &lt;b&gt;Level &lt;/b&gt;druid 5, witch 4&lt;/h5&gt;&lt;/div&gt;&lt;hr/&gt;&lt;div&gt;&lt;h5&gt;&lt;b&gt;CASTING&lt;/b&gt;&lt;/h5&gt;&lt;/div&gt;&lt;hr/&gt;&lt;div&gt;&lt;h5&gt;&lt;b&gt;Casting Time &lt;/b&gt;1 standard action&lt;/h5&gt;&lt;h5&gt;&lt;b&gt;Components &lt;/b&gt;S, F (silver crescent worth 5 gp)&lt;/h5&gt;&lt;/div&gt;&lt;hr/&gt;&lt;div&gt;&lt;h5&gt;&lt;b&gt;EFFECT&lt;/b&gt;&lt;/h5&gt;&lt;/div&gt;&lt;hr/&gt;&lt;div&gt;&lt;h5&gt;&lt;b&gt;Range &lt;/b&gt;personal&lt;/h5&gt;&lt;h5&gt;&lt;b&gt;Targets &lt;/b&gt;you&lt;/h5&gt;&lt;h5&gt;&lt;b&gt;Duration &lt;/b&gt;24 hours (D)&lt;/h5&gt;&lt;/div&gt;&lt;hr/&gt;&lt;div&gt;&lt;h5&gt;&lt;b&gt;DESCRIPTION&lt;/b&gt;&lt;/h5&gt;&lt;/div&gt;&lt;hr/&gt;&lt;div&gt;&lt;h4&gt;&lt;p&gt;&lt;i&gt;Threefold aspect&lt;/i&gt; allows you to shift your appearance between your natural age and three idealized age categories: young adult (youth/maiden), adulthood (father/mother), or elderly (elder/crone). In each case, your appearance is your own at the appropriate age, rather than that of a new individual.&lt;/p&gt;&lt;p&gt;You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age.&lt;/p&gt;&lt;p&gt;&lt;i&gt;True seeing&lt;/i&gt; reveals your natural appearance overlaid with that your aspect, recognizing both as part of your true self.&lt;/p&gt;&lt;p&gt;Individuals who study you closely and have interacted with you at another apparent age recognize a resemblance (as though family) with a successful DC 20 Perception check.&lt;/p&gt;&lt;p&gt;&lt;i&gt;Threefold aspect&lt;/i&gt; does not alter your clothing or equipment, and does not heal any deformity or injury unrelated to age.&lt;/p&gt;&lt;/h4&gt;&lt;/div&gt;</t>
  </si>
  <si>
    <t>Appear older or younger.</t>
  </si>
  <si>
    <t>Imperious (9)</t>
  </si>
  <si>
    <t>Time (8)</t>
  </si>
  <si>
    <t>Thundering Drums</t>
  </si>
  <si>
    <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t>
  </si>
  <si>
    <t>&lt;p&gt;You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prone.&lt;/p&gt;</t>
  </si>
  <si>
    <t>&lt;link rel="stylesheet"href="PF.css"&gt;&lt;div class="heading"&gt;&lt;p class="alignleft"&gt;Thundering Drums&lt;/p&gt;&lt;div style="clear: both;"&gt;&lt;/div&gt;&lt;/div&gt;&lt;div&gt;&lt;h5&gt;&lt;b&gt;School &lt;/b&gt;evocation [sonic]; &lt;b&gt;Level &lt;/b&gt;bard 3&lt;/h5&gt;&lt;/div&gt;&lt;hr/&gt;&lt;div&gt;&lt;h5&gt;&lt;b&gt;CASTING&lt;/b&gt;&lt;/h5&gt;&lt;/div&gt;&lt;hr/&gt;&lt;div&gt;&lt;h5&gt;&lt;b&gt;Casting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&lt;/b&gt;Fortitude partial; &lt;b&gt;Spell Resistance &lt;/b&gt;yes&lt;/h5&gt;&lt;/div&gt;&lt;hr/&gt;&lt;div&gt;&lt;h5&gt;&lt;b&gt;DESCRIPTION&lt;/b&gt;&lt;/h5&gt;&lt;/div&gt;&lt;hr/&gt;&lt;div&gt;&lt;h4&gt;&lt;p&gt;You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prone.&lt;/p&gt;&lt;/h4&gt;&lt;/div&gt;</t>
  </si>
  <si>
    <t>1d8 damage/level and knocked prone.</t>
  </si>
  <si>
    <t>Timely Inspiration</t>
  </si>
  <si>
    <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t>
  </si>
  <si>
    <t>&lt;p&gt;A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succeeds.&lt;/p&gt;</t>
  </si>
  <si>
    <t>&lt;link rel="stylesheet"href="PF.css"&gt;&lt;div class="heading"&gt;&lt;p class="alignleft"&gt;Timely Inspiration&lt;/p&gt;&lt;div style="clear: both;"&gt;&lt;/div&gt;&lt;/div&gt;&lt;div&gt;&lt;h5&gt;&lt;b&gt;School &lt;/b&gt;divination; &lt;b&gt;Level &lt;/b&gt;bard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succeeds.&lt;/p&gt;&lt;/h4&gt;&lt;/div&gt;</t>
  </si>
  <si>
    <t>Gives bonus on failed check/attack.</t>
  </si>
  <si>
    <t>Tireless Pursuit</t>
  </si>
  <si>
    <t>inquisitor 1, ranger 1</t>
  </si>
  <si>
    <t>V, S, M (a hard biscuit)</t>
  </si>
  <si>
    <t>You harden your body against the stresses of long travel. You halve the damage caused by hustling and forced marching (see Pathfinder RPG Core Rulebook 171). In addition, for the duration of the spell you ignore any fatigue caused by such travel. Once the spell ends, if you still have any nonlethal damage caused by the hustling or forced march, you become fatigued, or exhausted if already fatigued.</t>
  </si>
  <si>
    <t>&lt;p&gt;You harden your body against the stresses of long travel. You halve the damage caused by hustling and forced marching (see &lt;i&gt;Pathfinder RPG Core Rulebook&lt;/i&gt; 171). In addition, for the duration of the spell you ignore any fatigue caused by such travel. Once the spell ends, if you still have any nonlethal damage caused by the hustling or forced march, you become fatigued, or exhausted if already fatigued.&lt;/p&gt;</t>
  </si>
  <si>
    <t>&lt;link rel="stylesheet"href="PF.css"&gt;&lt;div class="heading"&gt;&lt;p class="alignleft"&gt;Tireless Pursuit&lt;/p&gt;&lt;div style="clear: both;"&gt;&lt;/div&gt;&lt;/div&gt;&lt;div&gt;&lt;h5&gt;&lt;b&gt;School &lt;/b&gt;transmutation; &lt;b&gt;Level &lt;/b&gt;inquisitor 1, ranger 1&lt;/h5&gt;&lt;/div&gt;&lt;hr/&gt;&lt;div&gt;&lt;h5&gt;&lt;b&gt;CASTING&lt;/b&gt;&lt;/h5&gt;&lt;/div&gt;&lt;hr/&gt;&lt;div&gt;&lt;h5&gt;&lt;b&gt;Casting Time &lt;/b&gt;1 standard action&lt;/h5&gt;&lt;h5&gt;&lt;b&gt;Components &lt;/b&gt;V, S, M (a hard biscuit)&lt;/h5&gt;&lt;/div&gt;&lt;hr/&gt;&lt;div&gt;&lt;h5&gt;&lt;b&gt;EFFECT&lt;/b&gt;&lt;/h5&gt;&lt;/div&gt;&lt;hr/&gt;&lt;div&gt;&lt;h5&gt;&lt;b&gt;Range &lt;/b&gt;personal&lt;/h5&gt;&lt;h5&gt;&lt;b&gt;Targets &lt;/b&gt;you&lt;/h5&gt;&lt;h5&gt;&lt;b&gt;Duration &lt;/b&gt;1 hour/level (D)&lt;/h5&gt;&lt;/div&gt;&lt;hr/&gt;&lt;div&gt;&lt;h5&gt;&lt;b&gt;DESCRIPTION&lt;/b&gt;&lt;/h5&gt;&lt;/div&gt;&lt;hr/&gt;&lt;div&gt;&lt;h4&gt;&lt;p&gt;You harden your body against the stresses of long travel. You halve the damage caused by hustling and forced marching (see &lt;i&gt;Pathfinder RPG Core Rulebook&lt;/i&gt; 171). In addition, for the duration of the spell you ignore any fatigue caused by such travel. Once the spell ends, if you still have any nonlethal damage caused by the hustling or forced march, you become fatigued, or exhausted if already fatigued.&lt;/p&gt;&lt;/h4&gt;&lt;/div&gt;</t>
  </si>
  <si>
    <t>Ignore fatigue while hustling.</t>
  </si>
  <si>
    <t>Tireless Pursuers</t>
  </si>
  <si>
    <t>inquisitor 4, ranger 3</t>
  </si>
  <si>
    <t>V, S, M (a hard biscuit broken into pieces)</t>
  </si>
  <si>
    <t>you plus one touched creature/3 levels</t>
  </si>
  <si>
    <t>This spell functions as tireless pursuit, except as noted above.</t>
  </si>
  <si>
    <t>&lt;p&gt;This spell functions as &lt;i&gt;tireless pursuit&lt;/i&gt;, except as noted above.&lt;/p&gt;</t>
  </si>
  <si>
    <t>&lt;link rel="stylesheet"href="PF.css"&gt;&lt;div class="heading"&gt;&lt;p class="alignleft"&gt;Tireless Pursuers&lt;/p&gt;&lt;div style="clear: both;"&gt;&lt;/div&gt;&lt;/div&gt;&lt;div&gt;&lt;h5&gt;&lt;b&gt;School &lt;/b&gt;transmutation; &lt;b&gt;Level &lt;/b&gt;inquisitor 4, ranger 3&lt;/h5&gt;&lt;/div&gt;&lt;hr/&gt;&lt;div&gt;&lt;h5&gt;&lt;b&gt;CASTING&lt;/b&gt;&lt;/h5&gt;&lt;/div&gt;&lt;hr/&gt;&lt;div&gt;&lt;h5&gt;&lt;b&gt;Casting Time &lt;/b&gt;1 standard action&lt;/h5&gt;&lt;h5&gt;&lt;b&gt;Components &lt;/b&gt;V, S, M (a hard biscuit broken into pieces)&lt;/h5&gt;&lt;/div&gt;&lt;hr/&gt;&lt;div&gt;&lt;h5&gt;&lt;b&gt;EFFECT&lt;/b&gt;&lt;/h5&gt;&lt;/div&gt;&lt;hr/&gt;&lt;div&gt;&lt;h5&gt;&lt;b&gt;Range &lt;/b&gt;touch&lt;/h5&gt;&lt;h5&gt;&lt;b&gt;Targets &lt;/b&gt;you plus one touched creature/3 levels&lt;/h5&gt;&lt;h5&gt;&lt;b&gt;Duration &lt;/b&gt;1 hour/level (D)&lt;/h5&gt;&lt;h5&gt;&lt;b&gt;Saving Throw &lt;/b&gt;Fortitude negates (harmless); &lt;b&gt;Spell Resistance &lt;/b&gt;yes (harmless)&lt;/h5&gt;&lt;/div&gt;&lt;hr/&gt;&lt;div&gt;&lt;h5&gt;&lt;b&gt;DESCRIPTION&lt;/b&gt;&lt;/h5&gt;&lt;/div&gt;&lt;hr/&gt;&lt;div&gt;&lt;h4&gt;&lt;p&gt;This spell functions as &lt;i&gt;tireless pursuit&lt;/i&gt;, except as noted above.&lt;/p&gt;&lt;/h4&gt;&lt;/div&gt;</t>
  </si>
  <si>
    <t>As tireless pursuit, but affects multiple creatures.</t>
  </si>
  <si>
    <t>Touch of Gracelessness</t>
  </si>
  <si>
    <t>bard 1, sorcerer/wizard 1, bloodrager 1, mesmerist 1, spiritualist 1</t>
  </si>
  <si>
    <t>With a single touch, you reduce a creature to a fumbling clown.  The target takes a penalty to its Dexterity equal to 1d6+1 per two caster levels (maximum 1d6+5). This penalty cannot drop the target's Dexterity score below 1.  In addition, if the subject moves more than half its speed, it falls prone. If the subject flies, its maneuverability is reduced by one step (perfect maneuverability becomes good, good becomes average, and so on).  A successful Fortitude save halves the penalty to Dexterity and negates the possibility of falling prone or the reduction to fly maneuverabilities.</t>
  </si>
  <si>
    <t>&lt;p&gt;With a single touch, you reduce a creature to a fumbling clown.&lt;/p&gt;&lt;p&gt;The target takes a penalty to its Dexterity equal to 1d6+1 per two caster levels (maximum 1d6+5). This penalty cannot drop the target's Dexterity score below 1.&lt;/p&gt;&lt;p&gt;In addition, if the subject moves more than half its speed, it falls prone. If the subject flies, its maneuverability is reduced by one step (perfect maneuverability becomes good, good becomes average, and so on).&lt;/p&gt;&lt;p&gt;A successful Fortitude save halves the penalty to Dexterity and negates the possibility of falling prone or the reduction to fly maneuverabilities.&lt;/p&gt;</t>
  </si>
  <si>
    <t>&lt;link rel="stylesheet"href="PF.css"&gt;&lt;div class="heading"&gt;&lt;p class="alignleft"&gt;Touch of Gracelessness&lt;/p&gt;&lt;div style="clear: both;"&gt;&lt;/div&gt;&lt;/div&gt;&lt;div&gt;&lt;h5&gt;&lt;b&gt;School &lt;/b&gt;transmutation; &lt;b&gt;Level &lt;/b&gt;bard 1, sorcerer/wizard 1, bloodrager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partial; &lt;b&gt;Spell Resistance &lt;/b&gt;yes&lt;/h5&gt;&lt;/div&gt;&lt;hr/&gt;&lt;div&gt;&lt;h5&gt;&lt;b&gt;DESCRIPTION&lt;/b&gt;&lt;/h5&gt;&lt;/div&gt;&lt;hr/&gt;&lt;div&gt;&lt;h4&gt;&lt;p&gt;With a single touch, you reduce a creature to a fumbling clown.&lt;/p&gt;&lt;p&gt;The target takes a penalty to its Dexterity equal to 1d6+1 per two caster levels (maximum 1d6+5). This penalty cannot drop the target's Dexterity score below 1.&lt;/p&gt;&lt;p&gt;In addition, if the subject moves more than half its speed, it falls prone. If the subject flies, its maneuverability is reduced by one step (perfect maneuverability becomes good, good becomes average, and so on).&lt;/p&gt;&lt;p&gt;A successful Fortitude save halves the penalty to Dexterity and negates the possibility of falling prone or the reduction to fly maneuverabilities.&lt;/p&gt;&lt;/h4&gt;&lt;/div&gt;</t>
  </si>
  <si>
    <t>Subject loses 1d6 + 1 Dex/two levels and is prone to falling down.</t>
  </si>
  <si>
    <t>Touch of the Sea</t>
  </si>
  <si>
    <t>alchemist 1, druid 1, sorcerer/wizard 1, bloodrager 1</t>
  </si>
  <si>
    <t>V, S, M (a fish scale)</t>
  </si>
  <si>
    <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t>
  </si>
  <si>
    <t>&lt;p&gt;You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water.&lt;/p&gt;</t>
  </si>
  <si>
    <t>&lt;link rel="stylesheet"href="PF.css"&gt;&lt;div class="heading"&gt;&lt;p class="alignleft"&gt;Touch of the Sea&lt;/p&gt;&lt;div style="clear: both;"&gt;&lt;/div&gt;&lt;/div&gt;&lt;div&gt;&lt;h5&gt;&lt;b&gt;School &lt;/b&gt;transmutation; &lt;b&gt;Level &lt;/b&gt;alchemist 1, druid 1, sorcerer/wizard 1, bloodrager 1&lt;/h5&gt;&lt;/div&gt;&lt;hr/&gt;&lt;div&gt;&lt;h5&gt;&lt;b&gt;CASTING&lt;/b&gt;&lt;/h5&gt;&lt;/div&gt;&lt;hr/&gt;&lt;div&gt;&lt;h5&gt;&lt;b&gt;Casting Time &lt;/b&gt;1 standard action&lt;/h5&gt;&lt;h5&gt;&lt;b&gt;Components &lt;/b&gt;V, S, M (a fish scale)&lt;/h5&gt;&lt;/div&gt;&lt;hr/&gt;&lt;div&gt;&lt;h5&gt;&lt;b&gt;EFFECT&lt;/b&gt;&lt;/h5&gt;&lt;/div&gt;&lt;hr/&gt;&lt;div&gt;&lt;h5&gt;&lt;b&gt;Range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water.&lt;/p&gt;&lt;/h4&gt;&lt;/div&gt;</t>
  </si>
  <si>
    <t>Swim speed becomes 30 ft.</t>
  </si>
  <si>
    <t>Transmogrify</t>
  </si>
  <si>
    <t>V, S, M (a flask of quicksilver worth 1,000 gp)</t>
  </si>
  <si>
    <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  Your eidolon cannot benefit from this spell more than once per day. This spell does not allow you to change your eidolon's base form.</t>
  </si>
  <si>
    <t>&lt;p&gt;Your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abilities.&lt;/p&gt;&lt;p&gt;Your eidolon cannot benefit from this spell more than once per day. This spell does not allow you to change your eidolon's base form.&lt;/p&gt;</t>
  </si>
  <si>
    <t>&lt;link rel="stylesheet"href="PF.css"&gt;&lt;div class="heading"&gt;&lt;p class="alignleft"&gt;Transmogrify&lt;/p&gt;&lt;div style="clear: both;"&gt;&lt;/div&gt;&lt;/div&gt;&lt;div&gt;&lt;h5&gt;&lt;b&gt;School &lt;/b&gt;transmutation; &lt;b&gt;Level &lt;/b&gt;summoner 4&lt;/h5&gt;&lt;/div&gt;&lt;hr/&gt;&lt;div&gt;&lt;h5&gt;&lt;b&gt;CASTING&lt;/b&gt;&lt;/h5&gt;&lt;/div&gt;&lt;hr/&gt;&lt;div&gt;&lt;h5&gt;&lt;b&gt;Casting Time &lt;/b&gt;1 hour&lt;/h5&gt;&lt;h5&gt;&lt;b&gt;Components &lt;/b&gt;V, S, M (a flask of quicksilver worth 1,000 gp)&lt;/h5&gt;&lt;/div&gt;&lt;hr/&gt;&lt;div&gt;&lt;h5&gt;&lt;b&gt;EFFECT&lt;/b&gt;&lt;/h5&gt;&lt;/div&gt;&lt;hr/&gt;&lt;div&gt;&lt;h5&gt;&lt;b&gt;Range &lt;/b&gt;touch&lt;/h5&gt;&lt;h5&gt;&lt;b&gt;Targets &lt;/b&gt;your eidolon&lt;/h5&gt;&lt;h5&gt;&lt;b&gt;Duration &lt;/b&gt;instantaneous&lt;/h5&gt;&lt;h5&gt;&lt;b&gt;Saving Throw &lt;/b&gt;Will negates (harmless); &lt;b&gt;Spell Resistance &lt;/b&gt;no&lt;/h5&gt;&lt;/div&gt;&lt;hr/&gt;&lt;div&gt;&lt;h5&gt;&lt;b&gt;DESCRIPTION&lt;/b&gt;&lt;/h5&gt;&lt;/div&gt;&lt;hr/&gt;&lt;div&gt;&lt;h4&gt;&lt;p&gt;Your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abilities.&lt;/p&gt;&lt;p&gt;Your eidolon cannot benefit from this spell more than once per day. This spell does not allow you to change your eidolon's base form.&lt;/p&gt;&lt;/h4&gt;&lt;/div&gt;</t>
  </si>
  <si>
    <t>Change your eidolon's evolutions.</t>
  </si>
  <si>
    <t>Transmute Potion to Poison</t>
  </si>
  <si>
    <t>1 round then 1 minute/level; see text</t>
  </si>
  <si>
    <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t>
  </si>
  <si>
    <t>&lt;p&gt;This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spell.&lt;/p&gt;</t>
  </si>
  <si>
    <t>&lt;link rel="stylesheet"href="PF.css"&gt;&lt;div class="heading"&gt;&lt;p class="alignleft"&gt;Transmute Potion to Poison&lt;/p&gt;&lt;div style="clear: both;"&gt;&lt;/div&gt;&lt;/div&gt;&lt;div&gt;&lt;h5&gt;&lt;b&gt;School &lt;/b&gt;transmutation [poison]; &lt;b&gt;Level &lt;/b&gt;alchemist 2&lt;/h5&gt;&lt;/div&gt;&lt;hr/&gt;&lt;div&gt;&lt;h5&gt;&lt;b&gt;CASTING&lt;/b&gt;&lt;/h5&gt;&lt;/div&gt;&lt;hr/&gt;&lt;div&gt;&lt;h5&gt;&lt;b&gt;Casting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 then 1 minute/level; see text&lt;/h5&gt;&lt;/div&gt;&lt;hr/&gt;&lt;div&gt;&lt;h5&gt;&lt;b&gt;DESCRIPTION&lt;/b&gt;&lt;/h5&gt;&lt;/div&gt;&lt;hr/&gt;&lt;div&gt;&lt;h4&gt;&lt;p&gt;This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spell.&lt;/p&gt;&lt;/h4&gt;&lt;/div&gt;</t>
  </si>
  <si>
    <t>Spit poison onto weapon</t>
  </si>
  <si>
    <t>Treasure Stitching</t>
  </si>
  <si>
    <t>bard 4, cleric/oracle 5, sorcerer/wizard 5, occultist 4</t>
  </si>
  <si>
    <t>V, S, M (a piece of embroidered cloth no larger than 10-ft. square worth 100 gp)</t>
  </si>
  <si>
    <t>all objects on cloth</t>
  </si>
  <si>
    <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  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t>
  </si>
  <si>
    <t>&lt;p&gt;You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cube).&lt;/p&gt;&lt;p&gt;When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objects.&lt;/p&gt;</t>
  </si>
  <si>
    <t>&lt;link rel="stylesheet"href="PF.css"&gt;&lt;div class="heading"&gt;&lt;p class="alignleft"&gt;Treasure Stitching&lt;/p&gt;&lt;div style="clear: both;"&gt;&lt;/div&gt;&lt;/div&gt;&lt;div&gt;&lt;h5&gt;&lt;b&gt;School &lt;/b&gt;transmutation; &lt;b&gt;Level &lt;/b&gt;bard 4, cleric/oracle 5, sorcerer/wizard 5, occultist 4&lt;/h5&gt;&lt;/div&gt;&lt;hr/&gt;&lt;div&gt;&lt;h5&gt;&lt;b&gt;CASTING&lt;/b&gt;&lt;/h5&gt;&lt;/div&gt;&lt;hr/&gt;&lt;div&gt;&lt;h5&gt;&lt;b&gt;Casting Time &lt;/b&gt;1 standard action&lt;/h5&gt;&lt;h5&gt;&lt;b&gt;Components &lt;/b&gt;V, S, M (a piece of embroidered cloth no larger than 10-ft. square worth 100 gp)&lt;/h5&gt;&lt;/div&gt;&lt;hr/&gt;&lt;div&gt;&lt;h5&gt;&lt;b&gt;EFFECT&lt;/b&gt;&lt;/h5&gt;&lt;/div&gt;&lt;hr/&gt;&lt;div&gt;&lt;h5&gt;&lt;b&gt;Range &lt;/b&gt;close (25 ft. + 5 ft./2 levels)&lt;/h5&gt;&lt;h5&gt;&lt;b&gt;Targets &lt;/b&gt;all objects on cloth&lt;/h5&gt;&lt;h5&gt;&lt;b&gt;Duration &lt;/b&gt;1 day/level (D)&lt;/h5&gt;&lt;h5&gt;&lt;b&gt;Saving Throw &lt;/b&gt;Fortitude negates (object); &lt;b&gt;Spell Resistance &lt;/b&gt;yes (object)&lt;/h5&gt;&lt;/div&gt;&lt;hr/&gt;&lt;div&gt;&lt;h5&gt;&lt;b&gt;DESCRIPTION&lt;/b&gt;&lt;/h5&gt;&lt;/div&gt;&lt;hr/&gt;&lt;div&gt;&lt;h4&gt;&lt;p&gt;You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cube).&lt;/p&gt;&lt;p&gt;When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objects.&lt;/p&gt;&lt;/h4&gt;&lt;/div&gt;</t>
  </si>
  <si>
    <t>Objects on cloth become embroidered.</t>
  </si>
  <si>
    <t>True Form</t>
  </si>
  <si>
    <t>druid 4, sorcerer/wizard 4, occultist 4, psychic 4</t>
  </si>
  <si>
    <t>up to one creature/3 levels, no two of which can be more than 30 ft. apart</t>
  </si>
  <si>
    <t>True form removes any polymorph effect from a target creature, returning it to its true form, even against its will. Against creatures affected by polymorph spell effects (such as baleful polymorph or giant form), you must make a caster level check (1d20 + caster level, maximum +15) against a DC of 11 + caster level of the effect. Success means that the polymorph immediately ends.  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t>
  </si>
  <si>
    <t>&lt;p&gt;&lt;i&gt;True form&lt;/i&gt; removes any polymorph effect from a target creature, returning it to its true form, even against its will. Against creatures affected by polymorph spell effects (such as &lt;i&gt;baleful polymorph&lt;/i&gt; or &lt;i&gt;giant&lt;/i&gt; form), you must make a caster level check (1d20 + caster level, maximum +15) against a DC of 11 + caster level of the effect. Success means that the polymorph immediately ends.&lt;/p&gt;&lt;p&gt;A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shape.&lt;/p&gt;</t>
  </si>
  <si>
    <t>&lt;link rel="stylesheet"href="PF.css"&gt;&lt;div class="heading"&gt;&lt;p class="alignleft"&gt;True Form&lt;/p&gt;&lt;div style="clear: both;"&gt;&lt;/div&gt;&lt;/div&gt;&lt;div&gt;&lt;h5&gt;&lt;b&gt;School &lt;/b&gt;abjuration; &lt;b&gt;Level &lt;/b&gt;druid 4, sorcerer/wizard 4, occultist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one creature/3 levels, no two of which can be more than 30 ft. apart&lt;/h5&gt;&lt;h5&gt;&lt;b&gt;Duration &lt;/b&gt;1 round/level&lt;/h5&gt;&lt;h5&gt;&lt;b&gt;Saving Throw &lt;/b&gt;Will negates; &lt;b&gt;Spell Resistance &lt;/b&gt;yes&lt;/h5&gt;&lt;/div&gt;&lt;hr/&gt;&lt;div&gt;&lt;h5&gt;&lt;b&gt;DESCRIPTION&lt;/b&gt;&lt;/h5&gt;&lt;/div&gt;&lt;hr/&gt;&lt;div&gt;&lt;h4&gt;&lt;p&gt;&lt;i&gt;True form&lt;/i&gt; removes any polymorph effect from a target creature, returning it to its true form, even against its will. Against creatures affected by polymorph spell effects (such as &lt;i&gt;baleful polymorph&lt;/i&gt; or &lt;i&gt;giant&lt;/i&gt; form), you must make a caster level check (1d20 + caster level, maximum +15) against a DC of 11 + caster level of the effect. Success means that the polymorph immediately ends.&lt;/p&gt;&lt;p&gt;A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shape.&lt;/p&gt;&lt;/h4&gt;&lt;h5&gt;&lt;b&gt;Mythic: &lt;/b&gt;The spell's target changes to up to one creature per 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form.&lt;/h5&gt;&lt;h5&gt;&lt;b&gt;Augmented (6th)&lt;/b&gt;: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area.&lt;/h5&gt;&lt;/div&gt;</t>
  </si>
  <si>
    <t>Removes polymorph effects.</t>
  </si>
  <si>
    <t>The spell's target changes to up to one creature per 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t>
  </si>
  <si>
    <t>Augmented (6th):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t>
  </si>
  <si>
    <t>Tsunami</t>
  </si>
  <si>
    <t>10-ft.-deep wave 10 ft. wide/level and 2 ft. tall/level</t>
  </si>
  <si>
    <t>5 rounds</t>
  </si>
  <si>
    <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  Creatures struck by a tsunami take 8d6 points of bludgeoning damage (a Fortitude save halves this damage).  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  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Freedom of movement prevents a creature from being carried along by a tsunami but does not prevent damage caused by it hitting a creature.  A solid barrier that is taller than the tsunami that is not destroyed by the wave stops that portion of the wave from continuing onward, leaving a gap in the wave as the rest of it continues forward.</t>
  </si>
  <si>
    <t>&lt;p&gt;You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round.&lt;/p&gt;&lt;p&gt;Creatures struck by a tsunami take 8d6 points of bludgeoning damage (a Fortitude save halves this damage).&lt;/p&gt;&lt;p&gt;In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wave.&lt;/p&gt;&lt;p&gt;Objects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&lt;i&gt;Freedom of movement&lt;/i&gt; prevents a creature from being carried along by a tsunami but does not prevent damage caused by it hitting a creature.&lt;/p&gt;&lt;p&gt;A solid barrier that is taller than the tsunami that is not destroyed by the wave stops that portion of the wave from continuing onward, leaving a gap in the wave as the rest of it continues forward.&lt;/p&gt;</t>
  </si>
  <si>
    <t>&lt;link rel="stylesheet"href="PF.css"&gt;&lt;div class="heading"&gt;&lt;p class="alignleft"&gt;Tsunami&lt;/p&gt;&lt;div style="clear: both;"&gt;&lt;/div&gt;&lt;/div&gt;&lt;div&gt;&lt;h5&gt;&lt;b&gt;School &lt;/b&gt;conjuration (creation) [water]; &lt;b&gt;Level &lt;/b&gt;druid 9, sorcerer/wizard 9, shaman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&lt;/b&gt;10-ft.-deep wave 10 ft. wide/level and 2 ft. tall/level&lt;/h5&gt;&lt;h5&gt;&lt;b&gt;Duration &lt;/b&gt;5 rounds&lt;/h5&gt;&lt;h5&gt;&lt;b&gt;Saving Throw &lt;/b&gt;see text; &lt;b&gt;Spell Resistance &lt;/b&gt;no&lt;/h5&gt;&lt;/div&gt;&lt;hr/&gt;&lt;div&gt;&lt;h5&gt;&lt;b&gt;DESCRIPTION&lt;/b&gt;&lt;/h5&gt;&lt;/div&gt;&lt;hr/&gt;&lt;div&gt;&lt;h4&gt;&lt;p&gt;You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round.&lt;/p&gt;&lt;p&gt;Creatures struck by a tsunami take 8d6 points of bludgeoning damage (a Fortitude save halves this damage).&lt;/p&gt;&lt;p&gt;In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wave.&lt;/p&gt;&lt;p&gt;Objects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&lt;i&gt;Freedom of movement&lt;/i&gt; prevents a creature from being carried along by a tsunami but does not prevent damage caused by it hitting a creature.&lt;/p&gt;&lt;p&gt;A solid barrier that is taller than the tsunami that is not destroyed by the wave stops that portion of the wave from continuing onward, leaving a gap in the wave as the rest of it continues forward.&lt;/p&gt;&lt;/h4&gt;&lt;h5&gt;&lt;b&gt;Mythic: &lt;/b&gt;The wave increases to 20 feet wide per caster level and 3 feet tall per caster level. The damage dealt to those struck by the wave increases to 12d6 points of bludgeoning damage. Add your tier to the wave's special combat maneuver check. The damage dealt to those that fail to escape the wave increases to 6d8 points of bludgeoning damage.&lt;/h5&gt;&lt;h5&gt;&lt;b&gt;Augmented (5th)&lt;/b&gt;: If you expend three uses of mythic power, you create a truly monstrous wave. The wave increases to 20 feet deep, 20 feet wide per caster level, and 5 feet tall per caster level. The duration of the effect increases to 10 rounds, and the speed of the wave increases to 120 feet per round on the surface of the water and 60 feet per round on land or underwater.&lt;/h5&gt;&lt;/div&gt;</t>
  </si>
  <si>
    <t>Oceans (9)</t>
  </si>
  <si>
    <t>Huge wave damages and sweeps up all in its path.</t>
  </si>
  <si>
    <t>Water (18)</t>
  </si>
  <si>
    <t>The wave increases to 20 feet wide per caster level and 3 feet tall per caster level. The damage dealt to those struck by the wave increases to 12d6 points of bludgeoning damage. Add your tier to the wave's special combat maneuver check. The damage dealt to those that fail to escape the wave increases to 6d8 points of bludgeoning damage.</t>
  </si>
  <si>
    <t>Augmented (5th): If you expend three uses of mythic power, you create a truly monstrous wave. The wave increases to 20 feet deep, 20 feet wide per caster level, and 5 feet tall per caster level. The duration of the effect increases to 10 rounds, and the speed of the wave increases to 120 feet per round on the surface of the water and 60 feet per round on land or underwater.</t>
  </si>
  <si>
    <t>Twilight Knife</t>
  </si>
  <si>
    <t>sorcerer/wizard 3, witch 3, bloodrager 3, occultist 3, psychic 3, spiritualist 3</t>
  </si>
  <si>
    <t>V, S, F (a small knife)</t>
  </si>
  <si>
    <t>floating knife of force</t>
  </si>
  <si>
    <t>You create a darkly sinister floating knife that attacks the same creature as you each round. If you choose not to attack a creature, or you make an attack that affects multiple opponents, the knife makes no attack during that round.  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  A twilight knife cannot be attacked or harmed by physical attacks, but dispel magic, disintegrate, a sphere of annihilation, or a rod of cancellation affects it. A twilight knife's AC against touch attacks is 12 (10 + size bonus for Tiny object) plus your Dexterity modifier.  If an attacked creature has spell resistance, you make a caster level check (1d20 + caster level) against that spell resistance the first time the twilight knife strikes it. If the knife is successfully resisted, the spell is dispelled. If not, the weapon has its normal full effect on that creature for the duration of the spell.</t>
  </si>
  <si>
    <t>&lt;p&gt;You create a darkly sinister floating knife that attacks the same creature as you each round. If you choose not to attack a creature, or you make an attack that affects multiple opponents, the knife makes no attack during that round.&lt;/p&gt;&lt;p&gt;The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attack.&lt;/p&gt;&lt;p&gt;A &lt;i&gt;twilight knife&lt;/i&gt; cannot be attacked or harmed by physical attacks, but &lt;i&gt;dispel magic&lt;/i&gt;, &lt;i&gt;disintegrate&lt;/i&gt;, &lt;i&gt;a sphere of annihilation&lt;/i&gt;, or a &lt;i&gt;rod of cancellation&lt;/i&gt; affects it. A &lt;i&gt;twilight knife&lt;/i&gt;'s AC against touch attacks is 12 (10 + size bonus for Tiny object) plus your Dexterity modifier.&lt;/p&gt;&lt;p&gt;If an attacked creature has spell resistance, you make a caster level check (1d20 + caster level) against that spell resistance the first time the &lt;i&gt;twilight knife&lt;/i&gt; strikes it. If the knife is successfully resisted, the spell is dispelled. If not, the weapon has its normal full effect on that creature for the duration of the spell.&lt;/p&gt;</t>
  </si>
  <si>
    <t>&lt;link rel="stylesheet"href="PF.css"&gt;&lt;div class="heading"&gt;&lt;p class="alignleft"&gt;Twilight Knife&lt;/p&gt;&lt;div style="clear: both;"&gt;&lt;/div&gt;&lt;/div&gt;&lt;div&gt;&lt;h5&gt;&lt;b&gt;School &lt;/b&gt;evocation [force]; &lt;b&gt;Level &lt;/b&gt;sorcerer/wizard 3, witch 3, bloodrager 3, occultist 3, psychic 3, spiritualist 3&lt;/h5&gt;&lt;/div&gt;&lt;hr/&gt;&lt;div&gt;&lt;h5&gt;&lt;b&gt;CASTING&lt;/b&gt;&lt;/h5&gt;&lt;/div&gt;&lt;hr/&gt;&lt;div&gt;&lt;h5&gt;&lt;b&gt;Casting Time &lt;/b&gt;1 standard action&lt;/h5&gt;&lt;h5&gt;&lt;b&gt;Components &lt;/b&gt;V, S, F (a small knife)&lt;/h5&gt;&lt;/div&gt;&lt;hr/&gt;&lt;div&gt;&lt;h5&gt;&lt;b&gt;EFFECT&lt;/b&gt;&lt;/h5&gt;&lt;/div&gt;&lt;hr/&gt;&lt;div&gt;&lt;h5&gt;&lt;b&gt;Range &lt;/b&gt;close (25 ft. + 5 ft./2 levels)&lt;/h5&gt;&lt;h5&gt;&lt;b&gt;Effect &lt;/b&gt;floating knife of force&lt;/h5&gt;&lt;h5&gt;&lt;b&gt;Duration &lt;/b&gt;1 round/level (D)&lt;/h5&gt;&lt;h5&gt;&lt;b&gt;Saving Throw &lt;/b&gt;none; &lt;b&gt;Spell Resistance &lt;/b&gt;yes&lt;/h5&gt;&lt;/div&gt;&lt;hr/&gt;&lt;div&gt;&lt;h5&gt;&lt;b&gt;DESCRIPTION&lt;/b&gt;&lt;/h5&gt;&lt;/div&gt;&lt;hr/&gt;&lt;div&gt;&lt;h4&gt;&lt;p&gt;You create a darkly sinister floating knife that attacks the same creature as you each round. If you choose not to attack a creature, or you make an attack that affects multiple opponents, the knife makes no attack during that round.&lt;/p&gt;&lt;p&gt;The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attack.&lt;/p&gt;&lt;p&gt;A &lt;i&gt;twilight knife&lt;/i&gt; cannot be attacked or harmed by physical attacks, but &lt;i&gt;dispel magic&lt;/i&gt;, &lt;i&gt;disintegrate&lt;/i&gt;, &lt;i&gt;a sphere of annihilation&lt;/i&gt;, or a &lt;i&gt;rod of cancellation&lt;/i&gt; affects it. A &lt;i&gt;twilight knife&lt;/i&gt;'s AC against touch attacks is 12 (10 + size bonus for Tiny object) plus your Dexterity modifier.&lt;/p&gt;&lt;p&gt;If an attacked creature has spell resistance, you make a caster level check (1d20 + caster level) against that spell resistance the first time the &lt;i&gt;twilight knife&lt;/i&gt; strikes it. If the knife is successfully resisted, the spell is dispelled. If not, the weapon has its normal full effect on that creature for the duration of the spell.&lt;/p&gt;&lt;/h4&gt;&lt;/div&gt;</t>
  </si>
  <si>
    <t>Floating knife attacks with you.</t>
  </si>
  <si>
    <t>Occult (6)</t>
  </si>
  <si>
    <t>Twin Form</t>
  </si>
  <si>
    <t>alchemist 6</t>
  </si>
  <si>
    <t>V, S, M (a blend of soil and the caster's blood)</t>
  </si>
  <si>
    <t>1 round/level or until discharged (D)</t>
  </si>
  <si>
    <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  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  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  You have no special ability to sense what your second body is experiencing, though you immediately know if it has been destroyed. You may switch between bodies at any distance on the same plane. If your bodies cross into separate planes (including through the use of teleport or blink), the body you inhabit survives, while your other body is destroyed.</t>
  </si>
  <si>
    <t>&lt;p&gt;This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enemies.&lt;/p&gt;&lt;p&gt;Both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well.&lt;/p&gt;&lt;p&gt;The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effects.&lt;/p&gt;&lt;p&gt;You have no special ability to sense what your second body is experiencing, though you immediately know if it has been destroyed. You may switch between bodies at any distance on the same plane. If your bodies cross into separate planes (including through the use of &lt;i&gt;teleport or blink&lt;/i&gt;), the body you inhabit survives, while your other body is destroyed.&lt;/p&gt;</t>
  </si>
  <si>
    <t>&lt;link rel="stylesheet"href="PF.css"&gt;&lt;div class="heading"&gt;&lt;p class="alignleft"&gt;Twin Form&lt;/p&gt;&lt;div style="clear: both;"&gt;&lt;/div&gt;&lt;/div&gt;&lt;div&gt;&lt;h5&gt;&lt;b&gt;School &lt;/b&gt;transmutation; &lt;b&gt;Level &lt;/b&gt;alchemist 6&lt;/h5&gt;&lt;/div&gt;&lt;hr/&gt;&lt;div&gt;&lt;h5&gt;&lt;b&gt;CASTING&lt;/b&gt;&lt;/h5&gt;&lt;/div&gt;&lt;hr/&gt;&lt;div&gt;&lt;h5&gt;&lt;b&gt;Casting Time &lt;/b&gt;1 standard action&lt;/h5&gt;&lt;h5&gt;&lt;b&gt;Components &lt;/b&gt;V, S, M (a blend of soil and the caster's blood)&lt;/h5&gt;&lt;/div&gt;&lt;hr/&gt;&lt;div&gt;&lt;h5&gt;&lt;b&gt;EFFECT&lt;/b&gt;&lt;/h5&gt;&lt;/div&gt;&lt;hr/&gt;&lt;div&gt;&lt;h5&gt;&lt;b&gt;Range &lt;/b&gt;personal&lt;/h5&gt;&lt;h5&gt;&lt;b&gt;Targets &lt;/b&gt;you&lt;/h5&gt;&lt;h5&gt;&lt;b&gt;Duration &lt;/b&gt;1 round/level or until discharged (D)&lt;/h5&gt;&lt;/div&gt;&lt;hr/&gt;&lt;div&gt;&lt;h5&gt;&lt;b&gt;DESCRIPTION&lt;/b&gt;&lt;/h5&gt;&lt;/div&gt;&lt;hr/&gt;&lt;div&gt;&lt;h4&gt;&lt;p&gt;This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enemies.&lt;/p&gt;&lt;p&gt;Both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well.&lt;/p&gt;&lt;p&gt;The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effects.&lt;/p&gt;&lt;p&gt;You have no special ability to sense what your second body is experiencing, though you immediately know if it has been destroyed. You may switch between bodies at any distance on the same plane. If your bodies cross into separate planes (including through the use of &lt;i&gt;teleport or blink&lt;/i&gt;), the body you inhabit survives, while your other body is destroyed.&lt;/p&gt;&lt;/h4&gt;&lt;/div&gt;</t>
  </si>
  <si>
    <t>Creates controllable duplicate of you.</t>
  </si>
  <si>
    <t>Unfetter</t>
  </si>
  <si>
    <t>V, S, M (a broken chain)</t>
  </si>
  <si>
    <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teleport mishap table, using the "studied carefully" row.</t>
  </si>
  <si>
    <t>&lt;p&gt;This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&lt;i&gt;teleport&lt;/i&gt; mishap table, using the "studied carefully" row.&lt;/p&gt;</t>
  </si>
  <si>
    <t>&lt;link rel="stylesheet"href="PF.css"&gt;&lt;div class="heading"&gt;&lt;p class="alignleft"&gt;Unfetter&lt;/p&gt;&lt;div style="clear: both;"&gt;&lt;/div&gt;&lt;/div&gt;&lt;div&gt;&lt;h5&gt;&lt;b&gt;School &lt;/b&gt;transmutation; &lt;b&gt;Level &lt;/b&gt;summoner 1&lt;/h5&gt;&lt;/div&gt;&lt;hr/&gt;&lt;div&gt;&lt;h5&gt;&lt;b&gt;CASTING&lt;/b&gt;&lt;/h5&gt;&lt;/div&gt;&lt;hr/&gt;&lt;div&gt;&lt;h5&gt;&lt;b&gt;Casting Time &lt;/b&gt;1 standard action&lt;/h5&gt;&lt;h5&gt;&lt;b&gt;Components &lt;/b&gt;V, S, M (a broken chain)&lt;/h5&gt;&lt;/div&gt;&lt;hr/&gt;&lt;div&gt;&lt;h5&gt;&lt;b&gt;EFFECT&lt;/b&gt;&lt;/h5&gt;&lt;/div&gt;&lt;hr/&gt;&lt;div&gt;&lt;h5&gt;&lt;b&gt;Range &lt;/b&gt;medium (100 ft. + 10 ft./level)&lt;/h5&gt;&lt;h5&gt;&lt;b&gt;Targets &lt;/b&gt;your eidolon&lt;/h5&gt;&lt;h5&gt;&lt;b&gt;Duration &lt;/b&gt;10 minutes/level&lt;/h5&gt;&lt;h5&gt;&lt;b&gt;Saving Throw &lt;/b&gt;Will negates (harmless); &lt;b&gt;Spell Resistance &lt;/b&gt;no&lt;/h5&gt;&lt;/div&gt;&lt;hr/&gt;&lt;div&gt;&lt;h5&gt;&lt;b&gt;DESCRIPTION&lt;/b&gt;&lt;/h5&gt;&lt;/div&gt;&lt;hr/&gt;&lt;div&gt;&lt;h4&gt;&lt;p&gt;This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&lt;i&gt;teleport&lt;/i&gt; mishap table, using the "studied carefully" row.&lt;/p&gt;&lt;/h4&gt;&lt;/div&gt;</t>
  </si>
  <si>
    <t>Remove distance restriction on eidolon.</t>
  </si>
  <si>
    <t>Universal Formula</t>
  </si>
  <si>
    <t>alchemist 4</t>
  </si>
  <si>
    <t>V, S, M (quicksilver and powdered platinum worth 100 gp)</t>
  </si>
  <si>
    <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t>
  </si>
  <si>
    <t>&lt;p&gt;As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formula.&lt;/p&gt;</t>
  </si>
  <si>
    <t>&lt;link rel="stylesheet"href="PF.css"&gt;&lt;div class="heading"&gt;&lt;p class="alignleft"&gt;Universal Formula&lt;/p&gt;&lt;div style="clear: both;"&gt;&lt;/div&gt;&lt;/div&gt;&lt;div&gt;&lt;h5&gt;&lt;b&gt;School &lt;/b&gt;transmutation; &lt;b&gt;Level &lt;/b&gt;alchemist 4&lt;/h5&gt;&lt;/div&gt;&lt;hr/&gt;&lt;div&gt;&lt;h5&gt;&lt;b&gt;CASTING&lt;/b&gt;&lt;/h5&gt;&lt;/div&gt;&lt;hr/&gt;&lt;div&gt;&lt;h5&gt;&lt;b&gt;Casting Time &lt;/b&gt;1 standard action&lt;/h5&gt;&lt;h5&gt;&lt;b&gt;Components &lt;/b&gt;V, S, M (quicksilver and powdered platinum worth 100 gp)&lt;/h5&gt;&lt;/div&gt;&lt;hr/&gt;&lt;div&gt;&lt;h5&gt;&lt;b&gt;EFFECT&lt;/b&gt;&lt;/h5&gt;&lt;/div&gt;&lt;hr/&gt;&lt;div&gt;&lt;h5&gt;&lt;b&gt;Range &lt;/b&gt;personal&lt;/h5&gt;&lt;h5&gt;&lt;b&gt;Targets &lt;/b&gt;you&lt;/h5&gt;&lt;h5&gt;&lt;b&gt;Duration &lt;/b&gt;instantaneous&lt;/h5&gt;&lt;/div&gt;&lt;hr/&gt;&lt;div&gt;&lt;h5&gt;&lt;b&gt;DESCRIPTION&lt;/b&gt;&lt;/h5&gt;&lt;/div&gt;&lt;hr/&gt;&lt;div&gt;&lt;h4&gt;&lt;p&gt;As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formula.&lt;/p&gt;&lt;/h4&gt;&lt;/div&gt;</t>
  </si>
  <si>
    <t>Acts as any extract 3rd level or lower.</t>
  </si>
  <si>
    <t>Unwilling Shield</t>
  </si>
  <si>
    <t>bard 5, inquisitor 5, sorcerer/wizard 6, witch 6, occultist 5, psychic 6, mesmerist 5, spiritualist 6</t>
  </si>
  <si>
    <t>V, S, M (ruby dust worth 250 gp)</t>
  </si>
  <si>
    <t>Like shield other, unwilling shield creates a mystic connection between you and the target, but unlike shield other,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charm effects, ability damage, level draining, and death effects are not affected. If you take a reduction in hit points from a lowered Constitution score, the reduction is not split with the target because it is not hit point damage. When the spell ends, subsequent damage is no longer divided between you and the subject, but damage already split is not assigned to you. If you and the target of the spell move out of range of each other, the spell remains active, but damage is no longer shared until you are once again within range of each other.</t>
  </si>
  <si>
    <t>&lt;p&gt;Like &lt;i&gt;shield other&lt;/i&gt;, &lt;i&gt;unwilling shield&lt;/i&gt; creates a mystic connection between you and the target, but unlike &lt;i&gt;shield other&lt;/i&gt;,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&lt;i&gt;charm&lt;/i&gt; effects, ability damage, level draining, and death effects are not affected. If you take a reduction in hit points from a lowered Constitution score, the reduction is not split with the target because it is not hit point damage.&lt;/p&gt;&lt;p&gt;When the spell ends, subsequent damage is no longer divided between you and the subject, but damage already split is not assigned to you.&lt;/p&gt;&lt;p&gt;If you and the target of the spell move out of range of each other, the spell remains active, but damage is no longer shared until you are once again within range of each other.&lt;/p&gt;</t>
  </si>
  <si>
    <t>&lt;link rel="stylesheet"href="PF.css"&gt;&lt;div class="heading"&gt;&lt;p class="alignleft"&gt;Unwilling Shield&lt;/p&gt;&lt;div style="clear: both;"&gt;&lt;/div&gt;&lt;/div&gt;&lt;div&gt;&lt;h5&gt;&lt;b&gt;School &lt;/b&gt;necromancy; &lt;b&gt;Level &lt;/b&gt;bard 5, inquisitor 5, sorcerer/wizard 6, witch 6, occultist 5, psychic 6, mesmerist 5, spiritualist 6&lt;/h5&gt;&lt;/div&gt;&lt;hr/&gt;&lt;div&gt;&lt;h5&gt;&lt;b&gt;CASTING&lt;/b&gt;&lt;/h5&gt;&lt;/div&gt;&lt;hr/&gt;&lt;div&gt;&lt;h5&gt;&lt;b&gt;Casting Time &lt;/b&gt;1 standard action&lt;/h5&gt;&lt;h5&gt;&lt;b&gt;Components &lt;/b&gt;V, S, M (ruby dust worth 250 gp)&lt;/h5&gt;&lt;/div&gt;&lt;hr/&gt;&lt;div&gt;&lt;h5&gt;&lt;b&gt;EFFECT&lt;/b&gt;&lt;/h5&gt;&lt;/div&gt;&lt;hr/&gt;&lt;div&gt;&lt;h5&gt;&lt;b&gt;Range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&lt;/b&gt;yes&lt;/h5&gt;&lt;/div&gt;&lt;hr/&gt;&lt;div&gt;&lt;h5&gt;&lt;b&gt;DESCRIPTION&lt;/b&gt;&lt;/h5&gt;&lt;/div&gt;&lt;hr/&gt;&lt;div&gt;&lt;h4&gt;&lt;p&gt;Like &lt;i&gt;shield other&lt;/i&gt;, &lt;i&gt;unwilling shield&lt;/i&gt; creates a mystic connection between you and the target, but unlike &lt;i&gt;shield other&lt;/i&gt;,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&lt;i&gt;charm&lt;/i&gt; effects, ability damage, level draining, and death effects are not affected. If you take a reduction in hit points from a lowered Constitution score, the reduction is not split with the target because it is not hit point damage.&lt;/p&gt;&lt;p&gt;When the spell ends, subsequent damage is no longer divided between you and the subject, but damage already split is not assigned to you.&lt;/p&gt;&lt;p&gt;If you and the target of the spell move out of range of each other, the spell remains active, but damage is no longer shared until you are once again within range of each other.&lt;/p&gt;&lt;/h4&gt;&lt;/div&gt;</t>
  </si>
  <si>
    <t>Subject shares wounds you receive.</t>
  </si>
  <si>
    <t>Unwitting Ally</t>
  </si>
  <si>
    <t>bard 0, psychic 1, mesmerist 0</t>
  </si>
  <si>
    <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t>
  </si>
  <si>
    <t>&lt;p&gt;You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effect.&lt;/p&gt;</t>
  </si>
  <si>
    <t>&lt;link rel="stylesheet"href="PF.css"&gt;&lt;div class="heading"&gt;&lt;p class="alignleft"&gt;Unwitting Ally&lt;/p&gt;&lt;div style="clear: both;"&gt;&lt;/div&gt;&lt;/div&gt;&lt;div&gt;&lt;h5&gt;&lt;b&gt;School &lt;/b&gt;enchantment (charm) [mind-affecting]; &lt;b&gt;Level &lt;/b&gt;bard 0, psychic 1, mesmerist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effect.&lt;/p&gt;&lt;/h4&gt;&lt;/div&gt;</t>
  </si>
  <si>
    <t>Subject is considered ally for 1 round.</t>
  </si>
  <si>
    <t>Vanish</t>
  </si>
  <si>
    <t>1 round/level (up to 5 rounds) (D)</t>
  </si>
  <si>
    <t>This spell functions like invisibility, except the effect only lasts for 1 round per caster level (maximum of 5 rounds). Like invisibility, the spell immediately ends if the subject attacks any creature.</t>
  </si>
  <si>
    <t>&lt;p&gt;This spell functions like &lt;i&gt;invisibility&lt;/i&gt;, except the effect only lasts for 1 round per caster level (maximum of 5 rounds). Like &lt;i&gt;invisibility&lt;/i&gt;, the spell immediately ends if the subject attacks any creature.&lt;/p&gt;</t>
  </si>
  <si>
    <t>&lt;link rel="stylesheet"href="PF.css"&gt;&lt;div class="heading"&gt;&lt;p class="alignleft"&gt;Vanish&lt;/p&gt;&lt;div style="clear: both;"&gt;&lt;/div&gt;&lt;/div&gt;&lt;div&gt;&lt;h5&gt;&lt;b&gt;School &lt;/b&gt;illusion (glamer); &lt;b&gt;Level &lt;/b&gt;bard 1, sorcerer/wizard 1, magus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(up to 5 rounds) (D)&lt;/h5&gt;&lt;h5&gt;&lt;b&gt;Saving Throw &lt;/b&gt;Will negates (harmless); &lt;b&gt;Spell Resistance &lt;/b&gt;yes (harmless)&lt;/h5&gt;&lt;/div&gt;&lt;hr/&gt;&lt;div&gt;&lt;h5&gt;&lt;b&gt;DESCRIPTION&lt;/b&gt;&lt;/h5&gt;&lt;/div&gt;&lt;hr/&gt;&lt;div&gt;&lt;h4&gt;&lt;p&gt;This spell functions like &lt;i&gt;invisibility&lt;/i&gt;, except the effect only lasts for 1 round per caster level (maximum of 5 rounds). Like &lt;i&gt;invisibility&lt;/i&gt;, the spell immediately ends if the subject attacks any creature.&lt;/p&gt;&lt;/h4&gt;&lt;/div&gt;</t>
  </si>
  <si>
    <t>As invisibility for 1 round/level (5 max).</t>
  </si>
  <si>
    <t>Veil of Positive Energy</t>
  </si>
  <si>
    <t>personal or 5 ft.; see text</t>
  </si>
  <si>
    <t>you or all creatures within 5 ft.; see text</t>
  </si>
  <si>
    <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t>
  </si>
  <si>
    <t>&lt;p&gt;You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you.&lt;/p&gt;</t>
  </si>
  <si>
    <t>&lt;link rel="stylesheet"href="PF.css"&gt;&lt;div class="heading"&gt;&lt;p class="alignleft"&gt;Veil of Positive Energy&lt;/p&gt;&lt;div style="clear: both;"&gt;&lt;/div&gt;&lt;/div&gt;&lt;div&gt;&lt;h5&gt;&lt;b&gt;School &lt;/b&gt;abjuration [good];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&lt;/b&gt;personal or 5 ft.; see text&lt;/h5&gt;&lt;h5&gt;&lt;b&gt;Targets &lt;/b&gt;you or all creatures within 5 ft.; see text&lt;/h5&gt;&lt;h5&gt;&lt;b&gt;Duration &lt;/b&gt;10 minutes/level (D)&lt;/h5&gt;&lt;/div&gt;&lt;hr/&gt;&lt;div&gt;&lt;h5&gt;&lt;b&gt;DESCRIPTION&lt;/b&gt;&lt;/h5&gt;&lt;/div&gt;&lt;hr/&gt;&lt;div&gt;&lt;h4&gt;&lt;p&gt;You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you.&lt;/p&gt;&lt;/h4&gt;&lt;/div&gt;</t>
  </si>
  <si>
    <t>+2 AC, +2 on saves vs. undead.</t>
  </si>
  <si>
    <t>Venomous Bolt</t>
  </si>
  <si>
    <t>one arrow or bolt</t>
  </si>
  <si>
    <t>You infuse a single arrow or crossbow bolt with natural venom as you fire it. In addition to its normal damage, anyone struck by this arrow or bolt is affected as if by the poison spell. If the arrow is not fired immediately, the spell ends with no effect.</t>
  </si>
  <si>
    <t>&lt;p&gt;You infuse a single arrow or crossbow bolt with natural venom as you fire it. In addition to its normal damage, anyone struck by this arrow or bolt is affected as if by the &lt;i&gt;poison&lt;/i&gt; spell. If the arrow is not fired immediately, the spell ends with no effect.&lt;/p&gt;</t>
  </si>
  <si>
    <t>&lt;link rel="stylesheet"href="PF.css"&gt;&lt;div class="heading"&gt;&lt;p class="alignleft"&gt;Venomous Bolt&lt;/p&gt;&lt;div style="clear: both;"&gt;&lt;/div&gt;&lt;/div&gt;&lt;div&gt;&lt;h5&gt;&lt;b&gt;School &lt;/b&gt;necromancy [poison]; &lt;b&gt;Level &lt;/b&gt;ranger 3&lt;/h5&gt;&lt;/div&gt;&lt;hr/&gt;&lt;div&gt;&lt;h5&gt;&lt;b&gt;CASTING&lt;/b&gt;&lt;/h5&gt;&lt;/div&gt;&lt;hr/&gt;&lt;div&gt;&lt;h5&gt;&lt;b&gt;Casting Time &lt;/b&gt;1 swift action&lt;/h5&gt;&lt;h5&gt;&lt;b&gt;Components &lt;/b&gt;V, S&lt;/h5&gt;&lt;/div&gt;&lt;hr/&gt;&lt;div&gt;&lt;h5&gt;&lt;b&gt;EFFECT&lt;/b&gt;&lt;/h5&gt;&lt;/div&gt;&lt;hr/&gt;&lt;div&gt;&lt;h5&gt;&lt;b&gt;Range &lt;/b&gt;0 ft.&lt;/h5&gt;&lt;h5&gt;&lt;b&gt;Targets &lt;/b&gt;one arrow or bolt&lt;/h5&gt;&lt;h5&gt;&lt;b&gt;Duration &lt;/b&gt;instantaneous&lt;/h5&gt;&lt;h5&gt;&lt;b&gt;Saving Throw &lt;/b&gt;Fortitude negates; see text; &lt;b&gt;Spell Resistance &lt;/b&gt;yes&lt;/h5&gt;&lt;/div&gt;&lt;hr/&gt;&lt;div&gt;&lt;h5&gt;&lt;b&gt;DESCRIPTION&lt;/b&gt;&lt;/h5&gt;&lt;/div&gt;&lt;hr/&gt;&lt;div&gt;&lt;h4&gt;&lt;p&gt;You infuse a single arrow or crossbow bolt with natural venom as you fire it. In addition to its normal damage, anyone struck by this arrow or bolt is affected as if by the &lt;i&gt;poison&lt;/i&gt; spell. If the arrow is not fired immediately, the spell ends with no effect.&lt;/p&gt;&lt;/h4&gt;&lt;/div&gt;</t>
  </si>
  <si>
    <t>Arrow or bolt poisons target.</t>
  </si>
  <si>
    <t>Versatile Weapon</t>
  </si>
  <si>
    <t>bard 2, ranger 2, sorcerer/wizard 3, magus 3, bloodrager 3, occultist 2, psychic 3</t>
  </si>
  <si>
    <t>You transform the physical makeup of a weapon as you desire.  This spell functions like greater magic weapon,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t>
  </si>
  <si>
    <t>&lt;p&gt;You transform the physical makeup of a weapon as you desire.&lt;/p&gt;&lt;p&gt;This spell functions like &lt;i&gt;greater magic weapon&lt;/i&gt;,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strike.&lt;/p&gt;</t>
  </si>
  <si>
    <t>&lt;link rel="stylesheet"href="PF.css"&gt;&lt;div class="heading"&gt;&lt;p class="alignleft"&gt;Versatile Weapon&lt;/p&gt;&lt;div style="clear: both;"&gt;&lt;/div&gt;&lt;/div&gt;&lt;div&gt;&lt;h5&gt;&lt;b&gt;School &lt;/b&gt;transmutation; &lt;b&gt;Level &lt;/b&gt;bard 2, ranger 2, sorcerer/wizard 3, magus 3, bloodrager 3, occultist 2, psychic 3&lt;/h5&gt;&lt;/div&gt;&lt;hr/&gt;&lt;div&gt;&lt;h5&gt;&lt;b&gt;CASTING&lt;/b&gt;&lt;/h5&gt;&lt;/div&gt;&lt;hr/&gt;&lt;div&gt;&lt;h5&gt;&lt;b&gt;Casting Time &lt;/b&gt;1 standard action&lt;/h5&gt;&lt;h5&gt;&lt;b&gt;Components &lt;/b&gt;V, S, M (iron filings)&lt;/h5&gt;&lt;/div&gt;&lt;hr/&gt;&lt;div&gt;&lt;h5&gt;&lt;b&gt;EFFECT&lt;/b&gt;&lt;/h5&gt;&lt;/div&gt;&lt;hr/&gt;&lt;div&gt;&lt;h5&gt;&lt;b&gt;Range &lt;/b&gt;close (25 ft. + 5 ft./2 levels)&lt;/h5&gt;&lt;h5&gt;&lt;b&gt;Targets &lt;/b&gt;one weapon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transform the physical makeup of a weapon as you desire.&lt;/p&gt;&lt;p&gt;This spell functions like &lt;i&gt;greater magic weapon&lt;/i&gt;,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strike.&lt;/p&gt;&lt;/h4&gt;&lt;/div&gt;</t>
  </si>
  <si>
    <t>Weapon bypasses some DR.</t>
  </si>
  <si>
    <t>Vomit Swarm</t>
  </si>
  <si>
    <t>alchemist 2, witch 2</t>
  </si>
  <si>
    <t>one swarm of spiders</t>
  </si>
  <si>
    <t>You vomit forth a swarm of spiders (Bestiary, page 258) that attacks all other creatures within its area. The swarm begins adjacent to you, but if no living creatures are within its area, it moves in one direction of your choosing at its normal speed.  You can move the swarm or change the swarm's direction by spending a standard action to concentrate on the swarm, otherwise it continues moving in its current direction. If your caster level is at least 7th, you can vomit forth a swarm of wasps instead (Bestiary 275). Finally, if your caster level is at least 13th, you can vomit forth a swarm of army ants (Bestiary 16).</t>
  </si>
  <si>
    <t>&lt;p&gt;You vomit forth a swarm of spiders (&lt;i&gt;Bestiary&lt;/i&gt;, page 258) that attacks all other creatures within its area. The swarm begins adjacent to you, but if no living creatures are within its area, it moves in one direction of your choosing at its normal speed.&lt;/p&gt;&lt;p&gt;You can move the swarm or change the swarm's direction by spending a standard action to concentrate on the swarm, otherwise it continues moving in its current direction. If your caster level is at least 7th, you can vomit forth a swarm of wasps instead (&lt;i&gt;Bestiary&lt;/i&gt; 275). Finally, if your caster level is at least 13th, you can vomit forth a swarm of army ants (&lt;i&gt;Bestiary&lt;/i&gt; 16).&lt;/p&gt;</t>
  </si>
  <si>
    <t>&lt;link rel="stylesheet"href="PF.css"&gt;&lt;div class="heading"&gt;&lt;p class="alignleft"&gt;Vomit Swarm&lt;/p&gt;&lt;div style="clear: both;"&gt;&lt;/div&gt;&lt;/div&gt;&lt;div&gt;&lt;h5&gt;&lt;b&gt;School &lt;/b&gt;conjuration (summoning); &lt;b&gt;Level &lt;/b&gt;alchemist 2, witch 2&lt;/h5&gt;&lt;/div&gt;&lt;hr/&gt;&lt;div&gt;&lt;h5&gt;&lt;b&gt;CASTING&lt;/b&gt;&lt;/h5&gt;&lt;/div&gt;&lt;hr/&gt;&lt;div&gt;&lt;h5&gt;&lt;b&gt;Casting Time &lt;/b&gt;1 standard action&lt;/h5&gt;&lt;h5&gt;&lt;b&gt;Components &lt;/b&gt;S&lt;/h5&gt;&lt;/div&gt;&lt;hr/&gt;&lt;div&gt;&lt;h5&gt;&lt;b&gt;EFFECT&lt;/b&gt;&lt;/h5&gt;&lt;/div&gt;&lt;hr/&gt;&lt;div&gt;&lt;h5&gt;&lt;b&gt;Range &lt;/b&gt;personal&lt;/h5&gt;&lt;h5&gt;&lt;b&gt;Effect &lt;/b&gt;one swarm of spiders&lt;/h5&gt;&lt;h5&gt;&lt;b&gt;Duration &lt;/b&gt;1 round/level&lt;/h5&gt;&lt;/div&gt;&lt;hr/&gt;&lt;div&gt;&lt;h5&gt;&lt;b&gt;DESCRIPTION&lt;/b&gt;&lt;/h5&gt;&lt;/div&gt;&lt;hr/&gt;&lt;div&gt;&lt;h4&gt;&lt;p&gt;You vomit forth a swarm of spiders (&lt;i&gt;Bestiary&lt;/i&gt;, page 258) that attacks all other creatures within its area. The swarm begins adjacent to you, but if no living creatures are within its area, it moves in one direction of your choosing at its normal speed.&lt;/p&gt;&lt;p&gt;You can move the swarm or change the swarm's direction by spending a standard action to concentrate on the swarm, otherwise it continues moving in its current direction. If your caster level is at least 7th, you can vomit forth a swarm of wasps instead (&lt;i&gt;Bestiary&lt;/i&gt; 275). Finally, if your caster level is at least 13th, you can vomit forth a swarm of army ants (&lt;i&gt;Bestiary&lt;/i&gt; 16).&lt;/p&gt;&lt;/h4&gt;&lt;/div&gt;</t>
  </si>
  <si>
    <t>Vermin (2)</t>
  </si>
  <si>
    <t>Produces a spider swarm that fights for you.</t>
  </si>
  <si>
    <t>Vortex</t>
  </si>
  <si>
    <t>druid 7, sorcerer/wizard 7, shaman 7</t>
  </si>
  <si>
    <t>V, S, M/DF (a stirring spoon)</t>
  </si>
  <si>
    <t>whirlpool 50 ft. deep, 30 ft. wide at top, and 5 ft. wide at base</t>
  </si>
  <si>
    <t>Reflex negates, see text</t>
  </si>
  <si>
    <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  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t>
  </si>
  <si>
    <t>&lt;p&gt;You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allowed.&lt;/p&gt;&lt;p&gt;You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vortex.&lt;/p&gt;</t>
  </si>
  <si>
    <t>&lt;link rel="stylesheet"href="PF.css"&gt;&lt;div class="heading"&gt;&lt;p class="alignleft"&gt;Vortex&lt;/p&gt;&lt;div style="clear: both;"&gt;&lt;/div&gt;&lt;/div&gt;&lt;div&gt;&lt;h5&gt;&lt;b&gt;School &lt;/b&gt;evocation [water]; &lt;b&gt;Level &lt;/b&gt;druid 7, sorcerer/wizard 7, shaman 7&lt;/h5&gt;&lt;/div&gt;&lt;hr/&gt;&lt;div&gt;&lt;h5&gt;&lt;b&gt;CASTING&lt;/b&gt;&lt;/h5&gt;&lt;/div&gt;&lt;hr/&gt;&lt;div&gt;&lt;h5&gt;&lt;b&gt;Casting Time &lt;/b&gt;1 standard action&lt;/h5&gt;&lt;h5&gt;&lt;b&gt;Components &lt;/b&gt;V, S, M/DF (a stirring spoon)&lt;/h5&gt;&lt;/div&gt;&lt;hr/&gt;&lt;div&gt;&lt;h5&gt;&lt;b&gt;EFFECT&lt;/b&gt;&lt;/h5&gt;&lt;/div&gt;&lt;hr/&gt;&lt;div&gt;&lt;h5&gt;&lt;b&gt;Range &lt;/b&gt;long (400 ft. + 40 ft./level)&lt;/h5&gt;&lt;h5&gt;&lt;b&gt;Effect &lt;/b&gt;whirlpool 50 ft. deep, 30 ft. wide at top, and 5 ft. wide at base&lt;/h5&gt;&lt;h5&gt;&lt;b&gt;Duration &lt;/b&gt;1 round/level (D)&lt;/h5&gt;&lt;h5&gt;&lt;b&gt;Saving Throw &lt;/b&gt;Reflex negates, see text; &lt;b&gt;Spell Resistance &lt;/b&gt;yes&lt;/h5&gt;&lt;/div&gt;&lt;hr/&gt;&lt;div&gt;&lt;h5&gt;&lt;b&gt;DESCRIPTION&lt;/b&gt;&lt;/h5&gt;&lt;/div&gt;&lt;hr/&gt;&lt;div&gt;&lt;h4&gt;&lt;p&gt;You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allowed.&lt;/p&gt;&lt;p&gt;You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vortex.&lt;/p&gt;&lt;/h4&gt;&lt;/div&gt;</t>
  </si>
  <si>
    <t>Creates a whirlpool in water.</t>
  </si>
  <si>
    <t>Elements (14)</t>
  </si>
  <si>
    <t>Wake of Light</t>
  </si>
  <si>
    <t>a 10-ft.-wide path in a straight line, up to 120 ft. long</t>
  </si>
  <si>
    <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  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  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  A wake of light cannot follow across water, underwater, or through the air in the case of a mount capable of walking on water, swimming, or flight.</t>
  </si>
  <si>
    <t>&lt;p&gt;You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level.&lt;/p&gt;&lt;p&gt;Good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concealment.&lt;/p&gt;&lt;p&gt;Except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duration.&lt;/p&gt;&lt;p&gt;A wake of light cannot follow across water, underwater, or through the air in the case of a mount capable of walking on water, swimming, or flight.&lt;/p&gt;</t>
  </si>
  <si>
    <t>&lt;link rel="stylesheet"href="PF.css"&gt;&lt;div class="heading"&gt;&lt;p class="alignleft"&gt;Wake of Light&lt;/p&gt;&lt;div style="clear: both;"&gt;&lt;/div&gt;&lt;/div&gt;&lt;div&gt;&lt;h5&gt;&lt;b&gt;School &lt;/b&gt;evocation [good];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&lt;/b&gt;120 ft.&lt;/h5&gt;&lt;h5&gt;&lt;b&gt;Effect &lt;/b&gt;a 10-ft.-wide path in a straight line, up to 120 ft. long&lt;/h5&gt;&lt;h5&gt;&lt;b&gt;Duration &lt;/b&gt;1 round/level&lt;/h5&gt;&lt;h5&gt;&lt;b&gt;Saving Throw &lt;/b&gt;none; &lt;b&gt;Spell Resistance &lt;/b&gt;yes&lt;/h5&gt;&lt;/div&gt;&lt;hr/&gt;&lt;div&gt;&lt;h5&gt;&lt;b&gt;DESCRIPTION&lt;/b&gt;&lt;/h5&gt;&lt;/div&gt;&lt;hr/&gt;&lt;div&gt;&lt;h4&gt;&lt;p&gt;You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level.&lt;/p&gt;&lt;p&gt;Good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concealment.&lt;/p&gt;&lt;p&gt;Except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duration.&lt;/p&gt;&lt;p&gt;A wake of light cannot follow across water, underwater, or through the air in the case of a mount capable of walking on water, swimming, or flight.&lt;/p&gt;&lt;/h4&gt;&lt;/div&gt;</t>
  </si>
  <si>
    <t>Magical trail aids good creatures, hinders evil ones.</t>
  </si>
  <si>
    <t>Wall of Lava</t>
  </si>
  <si>
    <t>earth, fire</t>
  </si>
  <si>
    <t>V, S, M/DF (a chunk of dried lava)</t>
  </si>
  <si>
    <t>lava wall whose area is up to one 5-ft. square/level (S)</t>
  </si>
  <si>
    <t>This spell creates a vertical wall of lava that is 1 inch thick for every 4 caster levels and composed of up to one 5-foot square per level. A wall of lava's maximum height cannot exceed half of its width (with a minimum height of 5 feet). The wall cannot be conjured so that it occupies the same space as a creature or object. A section of a wall of lava can be destroyed by damage (hardness 4, hp 90), but if a section is destroyed, the remaining lava in the wall immediately fills in any such hole created, reducing the wall's overall size by one 5-foot square but remaining a contiguous barrier. Each time a weapon strikes a wall of lava, it takes 2d6 points of fire damage (or the creature who strikes the wall takes 2d6 fire damage if the attack was via an unarmed strike or natural attack).  A creature can move through a wall of lava as a full-round action by making a DC 25 Strength check-failure indicates that the creature is pushed back out of the wall to the point he just attempted to leave. A creature with a burrow speed can move through the wall using its burrow speed. An attempt to move through a wall of lava inflicts 20d6 fire damage. A wall of lava also radiates heat as if it were a wall of fire, although the heat from a wall of lava radiates from both sides.  Once per round as a move action, you can direct the wall of lava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wall of lava from this effect instantly reseal, reducing the overall size of the wall.  All damage inflicted by physical contact with a wall of lava continues for 1d3 rounds after exposure ceases, but this additional damage is only half that dealt during actual contact (that is, 1d6 or 5d6 or 10d6 points per round).</t>
  </si>
  <si>
    <t>&lt;p&gt;This spell creates a vertical &lt;i&gt;wall of lava&lt;/i&gt; that is 1 inch thick for every 4 caster levels and composed of up to one 5-foot square per level. A &lt;i&gt;wall of lava&lt;/i&gt;'s maximum height cannot exceed half of its width (with a minimum height of 5 feet). The wall cannot be conjured so that it occupies the same space as a creature or object. A section of a &lt;i&gt;wall of lava&lt;/i&gt; can be destroyed by damage (hardness 4, hp 90), but if a section is destroyed, the remaining lava in the wall immediately fills in any such hole created, reducing the wall's overall size by one 5-foot square but remaining a contiguous barrier. Each time a weapon strikes a &lt;i&gt;wall of lava&lt;/i&gt;, it takes 2d6 points of fire damage (or the creature who strikes the wall takes 2d6 fire damage if the attack was via an unarmed strike or natural attack).&lt;/p&gt;&lt;p&gt;A creature can move through a &lt;i&gt;wall of lava&lt;/i&gt; as a full-round action by making a DC 25 Strength check-failure indicates that the creature is pushed back out of the wall to the point he just attempted to leave. A creature with a burrow speed can move through the wall using its burrow speed. An attempt to move through a &lt;i&gt;wall of lava&lt;/i&gt; inflicts 20d6 fire damage. A &lt;i&gt;wall of lava&lt;/i&gt; also radiates heat as if it were a &lt;i&gt;wall of fire&lt;/i&gt;, although the heat from a &lt;i&gt;wall of lava&lt;/i&gt; radiates from both sides.&lt;/p&gt;&lt;p&gt;Once per round as a move action, you can direct the &lt;i&gt;wall of lava&lt;/i&gt;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&lt;i&gt;wall of lava&lt;/i&gt; from this effect instantly reseal, reducing the overall size of the wall.&lt;/p&gt;&lt;p&gt;All damage inflicted by physical contact with a &lt;i&gt;wall of lava&lt;/i&gt; continues for 1d3 rounds after exposure ceases, but this additional damage is only half that dealt during actual contact (that is, 1d6 or 5d6 or 10d6 points per round).&lt;/p&gt;</t>
  </si>
  <si>
    <t>&lt;link rel="stylesheet"href="PF.css"&gt;&lt;div class="heading"&gt;&lt;p class="alignleft"&gt;Wall of Lava&lt;/p&gt;&lt;div style="clear: both;"&gt;&lt;/div&gt;&lt;/div&gt;&lt;div&gt;&lt;h5&gt;&lt;b&gt;School &lt;/b&gt;conjuration (creation) [earth, fire]; &lt;b&gt;Level &lt;/b&gt;druid 8, sorcerer/wizard 8&lt;/h5&gt;&lt;/div&gt;&lt;hr/&gt;&lt;div&gt;&lt;h5&gt;&lt;b&gt;CASTING&lt;/b&gt;&lt;/h5&gt;&lt;/div&gt;&lt;hr/&gt;&lt;div&gt;&lt;h5&gt;&lt;b&gt;Casting Time &lt;/b&gt;1 standard action&lt;/h5&gt;&lt;h5&gt;&lt;b&gt;Components &lt;/b&gt;V, S, M/DF (a chunk of dried lava)&lt;/h5&gt;&lt;/div&gt;&lt;hr/&gt;&lt;div&gt;&lt;h5&gt;&lt;b&gt;EFFECT&lt;/b&gt;&lt;/h5&gt;&lt;/div&gt;&lt;hr/&gt;&lt;div&gt;&lt;h5&gt;&lt;b&gt;Range &lt;/b&gt;medium (100 ft. + 10 ft./level)&lt;/h5&gt;&lt;h5&gt;&lt;b&gt;Targets &lt;/b&gt;lava wall whose area is up to one 5-ft. square/level (S)&lt;/h5&gt;&lt;h5&gt;&lt;b&gt;Duration &lt;/b&gt;1 round/level (D)&lt;/h5&gt;&lt;h5&gt;&lt;b&gt;Saving Throw &lt;/b&gt;see text; &lt;b&gt;Spell Resistance &lt;/b&gt;no&lt;/h5&gt;&lt;/div&gt;&lt;hr/&gt;&lt;div&gt;&lt;h5&gt;&lt;b&gt;DESCRIPTION&lt;/b&gt;&lt;/h5&gt;&lt;/div&gt;&lt;hr/&gt;&lt;div&gt;&lt;h4&gt;&lt;p&gt;This spell creates a vertical &lt;i&gt;wall of lava&lt;/i&gt; that is 1 inch thick for every 4 caster levels and composed of up to one 5-foot square per level. A &lt;i&gt;wall of lava&lt;/i&gt;'s maximum height cannot exceed half of its width (with a minimum height of 5 feet). The wall cannot be conjured so that it occupies the same space as a creature or object. A section of a &lt;i&gt;wall of lava&lt;/i&gt; can be destroyed by damage (hardness 4, hp 90), but if a section is destroyed, the remaining lava in the wall immediately fills in any such hole created, reducing the wall's overall size by one 5-foot square but remaining a contiguous barrier. Each time a weapon strikes a &lt;i&gt;wall of lava&lt;/i&gt;, it takes 2d6 points of fire damage (or the creature who strikes the wall takes 2d6 fire damage if the attack was via an unarmed strike or natural attack).&lt;/p&gt;&lt;p&gt;A creature can move through a &lt;i&gt;wall of lava&lt;/i&gt; as a full-round action by making a DC 25 Strength check-failure indicates that the creature is pushed back out of the wall to the point he just attempted to leave. A creature with a burrow speed can move through the wall using its burrow speed. An attempt to move through a &lt;i&gt;wall of lava&lt;/i&gt; inflicts 20d6 fire damage. A &lt;i&gt;wall of lava&lt;/i&gt; also radiates heat as if it were a &lt;i&gt;wall of fire&lt;/i&gt;, although the heat from a &lt;i&gt;wall of lava&lt;/i&gt; radiates from both sides.&lt;/p&gt;&lt;p&gt;Once per round as a move action, you can direct the &lt;i&gt;wall of lava&lt;/i&gt;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&lt;i&gt;wall of lava&lt;/i&gt; from this effect instantly reseal, reducing the overall size of the wall.&lt;/p&gt;&lt;p&gt;All damage inflicted by physical contact with a &lt;i&gt;wall of lava&lt;/i&gt; continues for 1d3 rounds after exposure ceases, but this additional damage is only half that dealt during actual contact (that is, 1d6 or 5d6 or 10d6 points per round).&lt;/p&gt;&lt;/h4&gt;&lt;/div&gt;</t>
  </si>
  <si>
    <t>Wall damages foes that try to enter, periodically launches lava at nearby targets.</t>
  </si>
  <si>
    <t>Wall of Suppression</t>
  </si>
  <si>
    <t>V, S, M (powdered adamantine worth 1,000 gp)</t>
  </si>
  <si>
    <t>anti-magic wall occupying up to two 5 ft. cubes/level (S)</t>
  </si>
  <si>
    <t>10 minutes/level; see text</t>
  </si>
  <si>
    <t>You create a wall of glittering motes that suppresses or even negates any magical effect passing through it. The wall appears to have no actual substance and does not physically obstruct or impede anything attempting to move through it. However, the wall exerts a powerful anti-magical effect.  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  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  The wall blocks line of effect, so no spell or effect can pass through the wall, but it does not block line of sight. Magic items or spell effects with a higher caster level than yours are unaffected by the wall of suppression. The wall does not affect artifacts, anything stemming from the direct action of a deity, or similarly powerful sorts of magic.</t>
  </si>
  <si>
    <t>&lt;p&gt;You create a &lt;i&gt;wall of&lt;/i&gt; glittering motes that suppresses or even negates any magical effect passing through it. The wall appears to have no actual substance and does not physically obstruct or impede anything attempting to move through it. However, the wall exerts a powerful anti-magical effect.&lt;/p&gt;&lt;p&gt;Any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ends.&lt;/p&gt;&lt;p&gt;The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duration.&lt;/p&gt;&lt;p&gt;The wall blocks line of effect, so no spell or effect can pass through the wall, but it does not block line of sight. Magic items or spell effects with a higher caster level than yours are unaffected by the &lt;i&gt;wall of&lt;/i&gt; suppression. The wall does not affect artifacts, anything stemming from the direct action of a deity, or similarly powerful sorts of magic.&lt;/p&gt;</t>
  </si>
  <si>
    <t>&lt;link rel="stylesheet"href="PF.css"&gt;&lt;div class="heading"&gt;&lt;p class="alignleft"&gt;Wall of Suppression&lt;/p&gt;&lt;div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 M (powdered adamantine worth 1,000 gp)&lt;/h5&gt;&lt;/div&gt;&lt;hr/&gt;&lt;div&gt;&lt;h5&gt;&lt;b&gt;EFFECT&lt;/b&gt;&lt;/h5&gt;&lt;/div&gt;&lt;hr/&gt;&lt;div&gt;&lt;h5&gt;&lt;b&gt;Range &lt;/b&gt;medium (100 ft. + 10 ft./level)&lt;/h5&gt;&lt;h5&gt;&lt;b&gt;Effect &lt;/b&gt;anti-magic wall occupying up to two 5 ft. cubes/level (S)&lt;/h5&gt;&lt;h5&gt;&lt;b&gt;Duration &lt;/b&gt;10 minutes/level; see text&lt;/h5&gt;&lt;h5&gt;&lt;b&gt;Saving Throw &lt;/b&gt;none; &lt;b&gt;Spell Resistance &lt;/b&gt;no&lt;/h5&gt;&lt;/div&gt;&lt;hr/&gt;&lt;div&gt;&lt;h5&gt;&lt;b&gt;DESCRIPTION&lt;/b&gt;&lt;/h5&gt;&lt;/div&gt;&lt;hr/&gt;&lt;div&gt;&lt;h4&gt;&lt;p&gt;You create a &lt;i&gt;wall of&lt;/i&gt; glittering motes that suppresses or even negates any magical effect passing through it. The wall appears to have no actual substance and does not physically obstruct or impede anything attempting to move through it. However, the wall exerts a powerful anti-magical effect.&lt;/p&gt;&lt;p&gt;Any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ends.&lt;/p&gt;&lt;p&gt;The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duration.&lt;/p&gt;&lt;p&gt;The wall blocks line of effect, so no spell or effect can pass through the wall, but it does not block line of sight. Magic items or spell effects with a higher caster level than yours are unaffected by the &lt;i&gt;wall of&lt;/i&gt; suppression. The wall does not affect artifacts, anything stemming from the direct action of a deity, or similarly powerful sorts of magic.&lt;/p&gt;&lt;/h4&gt;&lt;/div&gt;</t>
  </si>
  <si>
    <t>Creates wall that disables magic.</t>
  </si>
  <si>
    <t>Wandering Star Motes</t>
  </si>
  <si>
    <t>light, mind-affecting</t>
  </si>
  <si>
    <t>bard 4, sorcerer/wizard 4, witch 4, shaman 4, occultist 4, psychic 4</t>
  </si>
  <si>
    <t>V, S, M (a sprinkle of flash powder)</t>
  </si>
  <si>
    <t>one living creature and special; see text</t>
  </si>
  <si>
    <t>1/round per level</t>
  </si>
  <si>
    <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wandering star motes jump to the nearest enemy within 30 feet, who must now make Will saves every round or be dazed. Any time a target makes its Will save, the wandering star motes jump to the next nearest enemy within 30 feet.  A given creature can only be affected by the wandering star motes once; once a target has successfully saved against the spell, it cannot be affected again. If there are no new targets within 30 feet of a target that has successfully made its save, the spell immediately ends. The spell only affects enemy creatures; your allies are not affected.</t>
  </si>
  <si>
    <t>&lt;p&gt;You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&lt;i&gt;wandering star motes&lt;/i&gt; jump to the nearest enemy within 30 feet, who must now make Will saves every round or be dazed. Any time a target makes its Will save, the &lt;i&gt;wandering star motes&lt;/i&gt; jump to the next nearest enemy within 30 feet.&lt;/p&gt;&lt;p&gt;A given creature can only be affected by the &lt;i&gt;wandering star motes&lt;/i&gt; once; once a target has successfully saved against the spell, it cannot be affected again. If there are no new targets within 30 feet of a target that has successfully made its save, the spell immediately ends. The spell only affects enemy creatures; your allies are not affected.&lt;/p&gt;</t>
  </si>
  <si>
    <t>&lt;link rel="stylesheet"href="PF.css"&gt;&lt;div class="heading"&gt;&lt;p class="alignleft"&gt;Wandering Star Motes&lt;/p&gt;&lt;div style="clear: both;"&gt;&lt;/div&gt;&lt;/div&gt;&lt;div&gt;&lt;h5&gt;&lt;b&gt;School &lt;/b&gt;illusion (pattern) [light, mind-affecting]; &lt;b&gt;Level &lt;/b&gt;bard 4, sorcerer/wizard 4, witch 4, shaman 4, occultist 4, psychic 4&lt;/h5&gt;&lt;/div&gt;&lt;hr/&gt;&lt;div&gt;&lt;h5&gt;&lt;b&gt;CASTING&lt;/b&gt;&lt;/h5&gt;&lt;/div&gt;&lt;hr/&gt;&lt;div&gt;&lt;h5&gt;&lt;b&gt;Casting Time &lt;/b&gt;1 standard action&lt;/h5&gt;&lt;h5&gt;&lt;b&gt;Components &lt;/b&gt;V, S, M (a sprinkle of flash powder)&lt;/h5&gt;&lt;/div&gt;&lt;hr/&gt;&lt;div&gt;&lt;h5&gt;&lt;b&gt;EFFECT&lt;/b&gt;&lt;/h5&gt;&lt;/div&gt;&lt;hr/&gt;&lt;div&gt;&lt;h5&gt;&lt;b&gt;Range &lt;/b&gt;close (25 ft. + 5 ft./2 levels)&lt;/h5&gt;&lt;h5&gt;&lt;b&gt;Targets &lt;/b&gt;one living creature and special; see text&lt;/h5&gt;&lt;h5&gt;&lt;b&gt;Duration &lt;/b&gt;1/round per level&lt;/h5&gt;&lt;h5&gt;&lt;b&gt;Saving Throw &lt;/b&gt;Will negates; see text; &lt;b&gt;Spell Resistance &lt;/b&gt;yes&lt;/h5&gt;&lt;/div&gt;&lt;hr/&gt;&lt;div&gt;&lt;h5&gt;&lt;b&gt;DESCRIPTION&lt;/b&gt;&lt;/h5&gt;&lt;/div&gt;&lt;hr/&gt;&lt;div&gt;&lt;h4&gt;&lt;p&gt;You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&lt;i&gt;wandering star motes&lt;/i&gt; jump to the nearest enemy within 30 feet, who must now make Will saves every round or be dazed. Any time a target makes its Will save, the &lt;i&gt;wandering star motes&lt;/i&gt; jump to the next nearest enemy within 30 feet.&lt;/p&gt;&lt;p&gt;A given creature can only be affected by the &lt;i&gt;wandering star motes&lt;/i&gt; once; once a target has successfully saved against the spell, it cannot be affected again. If there are no new targets within 30 feet of a target that has successfully made its save, the spell immediately ends. The spell only affects enemy creatures; your allies are not affected.&lt;/p&gt;&lt;/h4&gt;&lt;/div&gt;</t>
  </si>
  <si>
    <t>Outlines subject and produces light as a sunrod.</t>
  </si>
  <si>
    <t>Stars (8)</t>
  </si>
  <si>
    <t>Ward the Faithful</t>
  </si>
  <si>
    <t>All creatures within the area who worship the same god as you gain a +2 deflection bonus to AC and a +2 resistance bonus on all saves. At 12th level, these bonuses increase to +3. At 18th level, the bonuses increase to +4.  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t>
  </si>
  <si>
    <t>&lt;p&gt;All creatures within the area who worship the same god as you gain a +2 deflection bonus to AC and a +2 resistance bonus on all saves. At 12th level, these bonuses increase to +3. At 18th level, the bonuses increase to +4.&lt;/p&gt;&lt;p&gt;If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heretical.&lt;/p&gt;</t>
  </si>
  <si>
    <t>&lt;link rel="stylesheet"href="PF.css"&gt;&lt;div class="heading"&gt;&lt;p class="alignleft"&gt;Ward the Faithful&lt;/p&gt;&lt;div style="clear: both;"&gt;&lt;/div&gt;&lt;/div&gt;&lt;div&gt;&lt;h5&gt;&lt;b&gt;School &lt;/b&gt;abjuration; &lt;b&gt;Level &lt;/b&gt;inquisitor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&lt;/b&gt;touch&lt;/h5&gt;&lt;h5&gt;&lt;b&gt;Area &lt;/b&gt;10-ft.-radius emanation from touched creature&lt;/h5&gt;&lt;h5&gt;&lt;b&gt;Duration &lt;/b&gt;10 minutes/level&lt;/h5&gt;&lt;h5&gt;&lt;b&gt;Saving Throw &lt;/b&gt;Will negates (harmless); &lt;b&gt;Spell Resistance &lt;/b&gt;no&lt;/h5&gt;&lt;/div&gt;&lt;hr/&gt;&lt;div&gt;&lt;h5&gt;&lt;b&gt;DESCRIPTION&lt;/b&gt;&lt;/h5&gt;&lt;/div&gt;&lt;hr/&gt;&lt;div&gt;&lt;h4&gt;&lt;p&gt;All creatures within the area who worship the same god as you gain a +2 deflection bonus to AC and a +2 resistance bonus on all saves. At 12th level, these bonuses increase to +3. At 18th level, the bonuses increase to +4.&lt;/p&gt;&lt;p&gt;If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heretical.&lt;/p&gt;&lt;/h4&gt;&lt;/div&gt;</t>
  </si>
  <si>
    <t>Creatures of same faith gain bonuses to AC and on saving throws.</t>
  </si>
  <si>
    <t>Weapon of Awe</t>
  </si>
  <si>
    <t>cleric/oracle 2, inquisitor 2, paladin 2, occultist 2</t>
  </si>
  <si>
    <t>You transform a single weapon into an awe-inspiring instrument. The weapon gains a +2 sacred bonus on damage rolls, and if the weapon scores a critical hit, the target of that critical hit becomes shaken for 1 round with no saving throw.  This is a mind-affecting fear effect. A ranged weapon affected by this spell applies these effects to its ammunition.  You can't cast this spell on a natural weapon, but you can cast it on an unarmed strike.</t>
  </si>
  <si>
    <t>&lt;p&gt;You transform a single weapon into an awe-inspiring instrument. The weapon gains a +2 sacred bonus on damage rolls, and if the weapon scores a critical hit, the target of that critical hit becomes shaken for 1 round with no saving throw.&lt;/p&gt;&lt;p&gt;This is a mind-affecting fear effect. A ranged weapon affected by this spell applies these effects to its ammunition.&lt;/p&gt;&lt;p&gt;You can't cast this spell on a natural weapon, but you can cast it on an unarmed strike.&lt;/p&gt;</t>
  </si>
  <si>
    <t>&lt;link rel="stylesheet"href="PF.css"&gt;&lt;div class="heading"&gt;&lt;p class="alignleft"&gt;Weapon of Awe&lt;/p&gt;&lt;div style="clear: both;"&gt;&lt;/div&gt;&lt;/div&gt;&lt;div&gt;&lt;h5&gt;&lt;b&gt;School &lt;/b&gt;transmutation [emotion]; &lt;b&gt;Level &lt;/b&gt;cleric/oracle 2, inquisitor 2, paladin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minute/level&lt;/h5&gt;&lt;h5&gt;&lt;b&gt;Saving Throw &lt;/b&gt;Will negates (harmless, object); &lt;b&gt;Spell Resistance &lt;/b&gt;yes (harmless, object)&lt;/h5&gt;&lt;/div&gt;&lt;hr/&gt;&lt;div&gt;&lt;h5&gt;&lt;b&gt;DESCRIPTION&lt;/b&gt;&lt;/h5&gt;&lt;/div&gt;&lt;hr/&gt;&lt;div&gt;&lt;h4&gt;&lt;p&gt;You transform a single weapon into an awe-inspiring instrument. The weapon gains a +2 sacred bonus on damage rolls, and if the weapon scores a critical hit, the target of that critical hit becomes shaken for 1 round with no saving throw.&lt;/p&gt;&lt;p&gt;This is a mind-affecting fear effect. A ranged weapon affected by this spell applies these effects to its ammunition.&lt;/p&gt;&lt;p&gt;You can't cast this spell on a natural weapon, but you can cast it on an unarmed strike.&lt;/p&gt;&lt;/h4&gt;&lt;/div&gt;</t>
  </si>
  <si>
    <t>Weapon gets +2 on damage rolls.</t>
  </si>
  <si>
    <t>Winds of Vengeance</t>
  </si>
  <si>
    <t>cleric/oracle 9, druid 9, sorcerer/wizard 9, shaman 9</t>
  </si>
  <si>
    <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 Ranged weapons (including giant-thrown boulders, siege weapon projectiles, and other massive ranged weapons) passing through the winds are deflected by the winds and automatically miss you. Gases and most gaseous breath weapons cannot pass though the winds. 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Pathfinder RPG Core Rulebook for more information). On a successful save, the damage is halved and the creature is not knocked prone (or checked or blown away).</t>
  </si>
  <si>
    <t>&lt;p&gt;You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space.&lt;/p&gt;&lt;p&gt;Ranged weapons (including giant-thrown boulders, siege weapon projectiles, and other massive ranged weapons) passing through the winds are deflected by the winds and automatically miss you. Gases and most gaseous breath weapons cannot pass though the winds.&lt;/p&gt;&lt;p&gt;In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&lt;i&gt;Pathfinder RPG Core Rulebook&lt;/i&gt; for more information).&lt;/p&gt;&lt;p&gt;On a successful save, the damage is halved and the creature is not knocked prone (or checked or blown away).&lt;/p&gt;</t>
  </si>
  <si>
    <t>&lt;link rel="stylesheet"href="PF.css"&gt;&lt;div class="heading"&gt;&lt;p class="alignleft"&gt;Winds of Vengeance&lt;/p&gt;&lt;div style="clear: both;"&gt;&lt;/div&gt;&lt;/div&gt;&lt;div&gt;&lt;h5&gt;&lt;b&gt;School &lt;/b&gt;evocation [air]; &lt;b&gt;Level &lt;/b&gt;cleric/oracle 9, druid 9, sorcerer/wizard 9, shaman 9&lt;/h5&gt;&lt;/div&gt;&lt;hr/&gt;&lt;div&gt;&lt;h5&gt;&lt;b&gt;CASTING&lt;/b&gt;&lt;/h5&gt;&lt;/div&gt;&lt;hr/&gt;&lt;div&gt;&lt;h5&gt;&lt;b&gt;Casting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space.&lt;/p&gt;&lt;p&gt;Ranged weapons (including giant-thrown boulders, siege weapon projectiles, and other massive ranged weapons) passing through the winds are deflected by the winds and automatically miss you. Gases and most gaseous breath weapons cannot pass though the winds.&lt;/p&gt;&lt;p&gt;In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&lt;i&gt;Pathfinder RPG Core Rulebook&lt;/i&gt; for more information).&lt;/p&gt;&lt;p&gt;On a successful save, the damage is halved and the creature is not knocked prone (or checked or blown away).&lt;/p&gt;&lt;/h4&gt;&lt;/div&gt;</t>
  </si>
  <si>
    <t>Wind (9)</t>
  </si>
  <si>
    <t>Grants flight; attack with wind.</t>
  </si>
  <si>
    <t>Vengeance (18)</t>
  </si>
  <si>
    <t>World Wave</t>
  </si>
  <si>
    <t>earth, water</t>
  </si>
  <si>
    <t>1 round/level or 1 hour/level; see text (D)</t>
  </si>
  <si>
    <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  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  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  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  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  You can only create the wave if standing on the ground. You cannot create it when underground or on terrain that it cannot incorporate.</t>
  </si>
  <si>
    <t>&lt;p&gt;You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wave.&lt;/p&gt;&lt;p&gt;When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swell).&lt;/p&gt;&lt;p&gt;The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discretion.&lt;/p&gt;&lt;p&gt;The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that.&lt;/p&gt;&lt;p&gt;The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city).&lt;/p&gt;&lt;p&gt;You can only create the wave if standing on the ground. You cannot create it when underground or on terrain that it cannot incorporate.&lt;/p&gt;</t>
  </si>
  <si>
    <t>&lt;link rel="stylesheet"href="PF.css"&gt;&lt;div class="heading"&gt;&lt;p class="alignleft"&gt;World Wave&lt;/p&gt;&lt;div style="clear: both;"&gt;&lt;/div&gt;&lt;/div&gt;&lt;div&gt;&lt;h5&gt;&lt;b&gt;School &lt;/b&gt;transmutation [earth, water]; &lt;b&gt;Level &lt;/b&gt;druid 9, sorcerer/wizard 9&lt;/h5&gt;&lt;/div&gt;&lt;hr/&gt;&lt;div&gt;&lt;h5&gt;&lt;b&gt;CASTING&lt;/b&gt;&lt;/h5&gt;&lt;/div&gt;&lt;hr/&gt;&lt;div&gt;&lt;h5&gt;&lt;b&gt;Casting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text&lt;/h5&gt;&lt;h5&gt;&lt;b&gt;Effect &lt;/b&gt;see text&lt;/h5&gt;&lt;h5&gt;&lt;b&gt;Duration &lt;/b&gt;1 round/level or 1 hour/level; see text (D)&lt;/h5&gt;&lt;h5&gt;&lt;b&gt;Saving Throw &lt;/b&gt;none; &lt;b&gt;Spell Resistance &lt;/b&gt;yes&lt;/h5&gt;&lt;/div&gt;&lt;hr/&gt;&lt;div&gt;&lt;h5&gt;&lt;b&gt;DESCRIPTION&lt;/b&gt;&lt;/h5&gt;&lt;/div&gt;&lt;hr/&gt;&lt;div&gt;&lt;h4&gt;&lt;p&gt;You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wave.&lt;/p&gt;&lt;p&gt;When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swell).&lt;/p&gt;&lt;p&gt;The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discretion.&lt;/p&gt;&lt;p&gt;The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that.&lt;/p&gt;&lt;p&gt;The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city).&lt;/p&gt;&lt;p&gt;You can only create the wave if standing on the ground. You cannot create it when underground or on terrain that it cannot incorporate.&lt;/p&gt;&lt;/h4&gt;&lt;/div&gt;</t>
  </si>
  <si>
    <t>Exploration (9)</t>
  </si>
  <si>
    <t>Earth moves you across distances.</t>
  </si>
  <si>
    <t>Aquatic (19)</t>
  </si>
  <si>
    <t>Wrath</t>
  </si>
  <si>
    <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t>
  </si>
  <si>
    <t>&lt;p&gt;You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weapon.&lt;/p&gt;</t>
  </si>
  <si>
    <t>&lt;link rel="stylesheet"href="PF.css"&gt;&lt;div class="heading"&gt;&lt;p class="alignleft"&gt;Wrath&lt;/p&gt;&lt;div style="clear: both;"&gt;&lt;/div&gt;&lt;/div&gt;&lt;div&gt;&lt;h5&gt;&lt;b&gt;School &lt;/b&gt;enchantment (compulsion) [mind-affecting, emotion]; &lt;b&gt;Level &lt;/b&gt;inquisitor 1&lt;/h5&gt;&lt;/div&gt;&lt;hr/&gt;&lt;div&gt;&lt;h5&gt;&lt;b&gt;CASTING&lt;/b&gt;&lt;/h5&gt;&lt;/div&gt;&lt;hr/&gt;&lt;div&gt;&lt;h5&gt;&lt;b&gt;Casting Time &lt;/b&gt;1 standard action&lt;/h5&gt;&lt;h5&gt;&lt;b&gt;Components &lt;/b&gt;V, S, M (a thorny vine)&lt;/h5&gt;&lt;/div&gt;&lt;hr/&gt;&lt;div&gt;&lt;h5&gt;&lt;b&gt;EFFECT&lt;/b&gt;&lt;/h5&gt;&lt;/div&gt;&lt;hr/&gt;&lt;div&gt;&lt;h5&gt;&lt;b&gt;Range &lt;/b&gt;personal&lt;/h5&gt;&lt;h5&gt;&lt;b&gt;Targets &lt;/b&gt;you&lt;/h5&gt;&lt;h5&gt;&lt;b&gt;Duration &lt;/b&gt;1 minute&lt;/h5&gt;&lt;/div&gt;&lt;hr/&gt;&lt;div&gt;&lt;h5&gt;&lt;b&gt;DESCRIPTION&lt;/b&gt;&lt;/h5&gt;&lt;/div&gt;&lt;hr/&gt;&lt;div&gt;&lt;h4&gt;&lt;p&gt;You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weapon.&lt;/p&gt;&lt;/h4&gt;&lt;/div&gt;</t>
  </si>
  <si>
    <t>+1 attack and damage against target creature.</t>
  </si>
  <si>
    <t>Thorns (4)</t>
  </si>
  <si>
    <t>Wrathful Mantle</t>
  </si>
  <si>
    <t>force, light</t>
  </si>
  <si>
    <t>cleric/oracle 3, paladin 3</t>
  </si>
  <si>
    <t>touch or 5 ft.; see text</t>
  </si>
  <si>
    <t>creature touched or all creatures within 5 ft.; see text</t>
  </si>
  <si>
    <t>A shimmering mantle of light shrouds the subject, light like a torch. The subject of the spell gains a +1 resistance bonus on all saving throws per four caster levels (maximum +5 at 20th level). The subject can end the wrathful mantle at any time as a swift action to deal 2d8 points of force damage to all creatures within 5 feet.</t>
  </si>
  <si>
    <t>&lt;p&gt;A shimmering mantle of light shrouds the subject, light like a torch. The subject of the spell gains a +1 resistance bonus on all saving throws per four caster levels (maximum +5 at 20th level). The subject can end the &lt;i&gt;wrathful mantle&lt;/i&gt; at any time as a swift action to deal 2d8 points of force damage to all creatures within 5 feet.&lt;/p&gt;</t>
  </si>
  <si>
    <t>&lt;link rel="stylesheet"href="PF.css"&gt;&lt;div class="heading"&gt;&lt;p class="alignleft"&gt;Wrathful Mantle&lt;/p&gt;&lt;div style="clear: both;"&gt;&lt;/div&gt;&lt;/div&gt;&lt;div&gt;&lt;h5&gt;&lt;b&gt;School &lt;/b&gt;evocation [force, light]; &lt;b&gt;Level &lt;/b&gt;cleric/oracle 3, paladin 3&lt;/h5&gt;&lt;/div&gt;&lt;hr/&gt;&lt;div&gt;&lt;h5&gt;&lt;b&gt;CASTING&lt;/b&gt;&lt;/h5&gt;&lt;/div&gt;&lt;hr/&gt;&lt;div&gt;&lt;h5&gt;&lt;b&gt;Casting Time &lt;/b&gt;1 standard action&lt;/h5&gt;&lt;h5&gt;&lt;b&gt;Components &lt;/b&gt;V, S, DF&lt;/h5&gt;&lt;/div&gt;&lt;hr/&gt;&lt;div&gt;&lt;h5&gt;&lt;b&gt;EFFECT&lt;/b&gt;&lt;/h5&gt;&lt;/div&gt;&lt;hr/&gt;&lt;div&gt;&lt;h5&gt;&lt;b&gt;Range &lt;/b&gt;touch or 5 ft.; see text&lt;/h5&gt;&lt;h5&gt;&lt;b&gt;Targets &lt;/b&gt;creature touched or all creatures within 5 ft.; see text&lt;/h5&gt;&lt;h5&gt;&lt;b&gt;Duration &lt;/b&gt;1 minute/level&lt;/h5&gt;&lt;h5&gt;&lt;b&gt;Saving Throw &lt;/b&gt;Will negates (harmless); &lt;b&gt;Spell Resistance &lt;/b&gt;yes (harmless)&lt;/h5&gt;&lt;/div&gt;&lt;hr/&gt;&lt;div&gt;&lt;h5&gt;&lt;b&gt;DESCRIPTION&lt;/b&gt;&lt;/h5&gt;&lt;/div&gt;&lt;hr/&gt;&lt;div&gt;&lt;h4&gt;&lt;p&gt;A shimmering mantle of light shrouds the subject, light like a torch. The subject of the spell gains a +1 resistance bonus on all saving throws per four caster levels (maximum +5 at 20th level). The subject can end the &lt;i&gt;wrathful mantle&lt;/i&gt; at any time as a swift action to deal 2d8 points of force damage to all creatures within 5 feet.&lt;/p&gt;&lt;/h4&gt;&lt;/div&gt;</t>
  </si>
  <si>
    <t>Hatred (2)</t>
  </si>
  <si>
    <t>Subject shines and gets +1/four levels on all saves.</t>
  </si>
  <si>
    <t>Hunter's Eye</t>
  </si>
  <si>
    <t>inquisitor 3, ranger 2</t>
  </si>
  <si>
    <t>Sharpening your perceptive abilities and tuning them against obfuscating effects, hunter's eye greatly enhances your senses against the target creature. You gain the ability to perceive the target when it is invisible or ethereal as though using the see invisibility spell, and receive a +20 competence bonus on Perception checks to locate the target. You ignore concealment provided by fog or mist, blur, displacement, invisibility, and similar effects affecting the target, but not concealment provided by darkness. This spell provides no benefits to your allies, and no benefits against creatures other than the target.</t>
  </si>
  <si>
    <t>&lt;p&gt;Sharpening your perceptive abilities and tuning them against obfuscating effects, hunter's eye greatly enhances your senses against the target creature. You gain the ability to perceive the target when it is invisible or ethereal as though using the &lt;i&gt;see &lt;i&gt;invisibility&lt;/i&gt;&lt;/i&gt; spell, and receive a +20 competence bonus on Perception checks to locate the target. You ignore concealment provided by fog or mist, &lt;i&gt;blur&lt;/i&gt;, &lt;i&gt;displacement&lt;/i&gt;, &lt;i&gt;invisibility&lt;/i&gt;, and similar effects affecting the target, but not concealment provided by darkness. This spell provides no benefits to your allies, and no benefits against creatures other than the target.&lt;/p&gt;</t>
  </si>
  <si>
    <t>&lt;link rel="stylesheet"href="PF.css"&gt;&lt;div class="heading"&gt;&lt;p class="alignleft"&gt;Hunter's Eye&lt;/p&gt;&lt;div style="clear: both;"&gt;&lt;/div&gt;&lt;/div&gt;&lt;div&gt;&lt;h5&gt;&lt;b&gt;School &lt;/b&gt;divination; &lt;b&gt;Level &lt;/b&gt;inquisitor 3, ranger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minute/level&lt;/h5&gt;&lt;h5&gt;&lt;b&gt;Saving Throw &lt;/b&gt;none; &lt;b&gt;Spell Resistance &lt;/b&gt;yes&lt;/h5&gt;&lt;/div&gt;&lt;hr/&gt;&lt;div&gt;&lt;h5&gt;&lt;b&gt;DESCRIPTION&lt;/b&gt;&lt;/h5&gt;&lt;/div&gt;&lt;hr/&gt;&lt;div&gt;&lt;h4&gt;&lt;p&gt;Sharpening your perceptive abilities and tuning them against obfuscating effects, hunter's eye greatly enhances your senses against the target creature. You gain the ability to perceive the target when it is invisible or ethereal as though using the &lt;i&gt;see &lt;i&gt;invisibility&lt;/i&gt;&lt;/i&gt; spell, and receive a +20 competence bonus on Perception checks to locate the target. You ignore concealment provided by fog or mist, &lt;i&gt;blur&lt;/i&gt;, &lt;i&gt;displacement&lt;/i&gt;, &lt;i&gt;invisibility&lt;/i&gt;, and similar effects affecting the target, but not concealment provided by darkness. This spell provides no benefits to your allies, and no benefits against creatures other than the target.&lt;/p&gt;&lt;/h4&gt;&lt;/div&gt;</t>
  </si>
  <si>
    <t>+20 on Perception checks to locate a target.</t>
  </si>
  <si>
    <t>Hunter's Howl</t>
  </si>
  <si>
    <t>ranger 1</t>
  </si>
  <si>
    <t>With a single primal howl, you strike fear in your opponents.  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t>
  </si>
  <si>
    <t>&lt;p&gt;With a single primal howl, you strike fear in your opponents.&lt;/p&gt;&lt;p&gt;Until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effect.&lt;/p&gt;</t>
  </si>
  <si>
    <t>&lt;link rel="stylesheet"href="PF.css"&gt;&lt;div class="heading"&gt;&lt;p class="alignleft"&gt;Hunter's Howl&lt;/p&gt;&lt;div style="clear: both;"&gt;&lt;/div&gt;&lt;/div&gt;&lt;div&gt;&lt;h5&gt;&lt;b&gt;School &lt;/b&gt;necromancy [fear, mind-affecting, emotion]; &lt;b&gt;Level &lt;/b&gt;ranger 1&lt;/h5&gt;&lt;/div&gt;&lt;hr/&gt;&lt;div&gt;&lt;h5&gt;&lt;b&gt;CASTING&lt;/b&gt;&lt;/h5&gt;&lt;/div&gt;&lt;hr/&gt;&lt;div&gt;&lt;h5&gt;&lt;b&gt;Casting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burst&lt;/h5&gt;&lt;h5&gt;&lt;b&gt;Duration &lt;/b&gt;1 round/level&lt;/h5&gt;&lt;h5&gt;&lt;b&gt;Saving Throw &lt;/b&gt;Will negates; &lt;b&gt;Spell Resistance &lt;/b&gt;none&lt;/h5&gt;&lt;/div&gt;&lt;hr/&gt;&lt;div&gt;&lt;h5&gt;&lt;b&gt;DESCRIPTION&lt;/b&gt;&lt;/h5&gt;&lt;/div&gt;&lt;hr/&gt;&lt;div&gt;&lt;h4&gt;&lt;p&gt;With a single primal howl, you strike fear in your opponents.&lt;/p&gt;&lt;p&gt;Until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effect.&lt;/p&gt;&lt;/h4&gt;&lt;/div&gt;</t>
  </si>
  <si>
    <t>Treat enemies as favored for 1 round/level.</t>
  </si>
  <si>
    <t>Perceive Cues</t>
  </si>
  <si>
    <t>alchemist 2, inquisitor 2, ranger 2, witch 2, occultist 2, psychic 2, mesmerist 2</t>
  </si>
  <si>
    <t>V, S, M (a drop of water)</t>
  </si>
  <si>
    <t>Your senses become preternaturally keen, and you gain insight into subtle behavioral cues. For the duration of the spell, you receive a +5 competence bonus on Perception and Sense Motive checks.</t>
  </si>
  <si>
    <t>&lt;p&gt;Your senses become preternaturally keen, and you gain insight into subtle behavioral cues. For the duration of the spell, you receive a +5 competence bonus on Perception and Sense Motive checks.&lt;/p&gt;</t>
  </si>
  <si>
    <t>&lt;link rel="stylesheet"href="PF.css"&gt;&lt;div class="heading"&gt;&lt;p class="alignleft"&gt;Perceive Cues&lt;/p&gt;&lt;div style="clear: both;"&gt;&lt;/div&gt;&lt;/div&gt;&lt;div&gt;&lt;h5&gt;&lt;b&gt;School &lt;/b&gt;transmutation; &lt;b&gt;Level &lt;/b&gt;alchemist 2, inquisitor 2, ranger 2, witch 2, occultist 2, psychic 2, mesmerist 2&lt;/h5&gt;&lt;/div&gt;&lt;hr/&gt;&lt;div&gt;&lt;h5&gt;&lt;b&gt;CASTING&lt;/b&gt;&lt;/h5&gt;&lt;/div&gt;&lt;hr/&gt;&lt;div&gt;&lt;h5&gt;&lt;b&gt;Casting Time &lt;/b&gt;1 standard action&lt;/h5&gt;&lt;h5&gt;&lt;b&gt;Components &lt;/b&gt;V, S, M (a drop of water)&lt;/h5&gt;&lt;/div&gt;&lt;hr/&gt;&lt;div&gt;&lt;h5&gt;&lt;b&gt;EFFECT&lt;/b&gt;&lt;/h5&gt;&lt;/div&gt;&lt;hr/&gt;&lt;div&gt;&lt;h5&gt;&lt;b&gt;Range &lt;/b&gt;personal&lt;/h5&gt;&lt;h5&gt;&lt;b&gt;Targets &lt;/b&gt;you&lt;/h5&gt;&lt;h5&gt;&lt;b&gt;Duration &lt;/b&gt;10 minutes/level&lt;/h5&gt;&lt;/div&gt;&lt;hr/&gt;&lt;div&gt;&lt;h5&gt;&lt;b&gt;DESCRIPTION&lt;/b&gt;&lt;/h5&gt;&lt;/div&gt;&lt;hr/&gt;&lt;div&gt;&lt;h4&gt;&lt;p&gt;Your senses become preternaturally keen, and you gain insight into subtle behavioral cues. For the duration of the spell, you receive a +5 competence bonus on Perception and Sense Motive checks.&lt;/p&gt;&lt;/h4&gt;&lt;/div&gt;</t>
  </si>
  <si>
    <t>+5 Perception and Sense Motive 10 min./level.</t>
  </si>
  <si>
    <t>Residual Tracking</t>
  </si>
  <si>
    <t>ranger 1, occultist 2</t>
  </si>
  <si>
    <t>V, S, M (a bit of plaster)</t>
  </si>
  <si>
    <t>footprint touched</t>
  </si>
  <si>
    <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t>
  </si>
  <si>
    <t>&lt;p&gt;By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footprint.&lt;/p&gt;</t>
  </si>
  <si>
    <t>&lt;link rel="stylesheet"href="PF.css"&gt;&lt;div class="heading"&gt;&lt;p class="alignleft"&gt;Residual Tracking&lt;/p&gt;&lt;div style="clear: both;"&gt;&lt;/div&gt;&lt;/div&gt;&lt;div&gt;&lt;h5&gt;&lt;b&gt;School &lt;/b&gt;divination; &lt;b&gt;Level &lt;/b&gt;ranger 1, occultist 2&lt;/h5&gt;&lt;/div&gt;&lt;hr/&gt;&lt;div&gt;&lt;h5&gt;&lt;b&gt;CASTING&lt;/b&gt;&lt;/h5&gt;&lt;/div&gt;&lt;hr/&gt;&lt;div&gt;&lt;h5&gt;&lt;b&gt;Casting Time &lt;/b&gt;1 minute&lt;/h5&gt;&lt;h5&gt;&lt;b&gt;Components &lt;/b&gt;V, S, M (a bit of plaster)&lt;/h5&gt;&lt;/div&gt;&lt;hr/&gt;&lt;div&gt;&lt;h5&gt;&lt;b&gt;EFFECT&lt;/b&gt;&lt;/h5&gt;&lt;/div&gt;&lt;hr/&gt;&lt;div&gt;&lt;h5&gt;&lt;b&gt;Range &lt;/b&gt;touch&lt;/h5&gt;&lt;h5&gt;&lt;b&gt;Targets &lt;/b&gt;footprint touched&lt;/h5&gt;&lt;h5&gt;&lt;b&gt;Duration &lt;/b&gt;instantaneous&lt;/h5&gt;&lt;h5&gt;&lt;b&gt;Saving Throw &lt;/b&gt;none; &lt;b&gt;Spell Resistance &lt;/b&gt;no&lt;/h5&gt;&lt;/div&gt;&lt;hr/&gt;&lt;div&gt;&lt;h5&gt;&lt;b&gt;DESCRIPTION&lt;/b&gt;&lt;/h5&gt;&lt;/div&gt;&lt;hr/&gt;&lt;div&gt;&lt;h4&gt;&lt;p&gt;By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footprint.&lt;/p&gt;&lt;/h4&gt;&lt;/div&gt;</t>
  </si>
  <si>
    <t>Tell creature's appearance by footprint.</t>
  </si>
  <si>
    <t>Blessing of Courage and Life</t>
  </si>
  <si>
    <t>cleric/oracle 2, paladin 2</t>
  </si>
  <si>
    <t>1 minute/level (see below)</t>
  </si>
  <si>
    <t>With this prayer you provide long-lasting succor to a wounded creature. For as long as the effect lasts, the target receives a +2 morale bonus on saving throws against fear and death effects.  At any time while the spell is in effect, the target can choose to end the spell as a swift action for a burst of healing energy. The target loses the saving throw bonus, but is healed of 1d8 points of damage +1 point per caster level (maximum +10).</t>
  </si>
  <si>
    <t>&lt;p&gt;With this prayer you provide long-lasting succor to a wounded creature. For as long as the effect lasts, the target receives a +2 morale bonus on saving throws against fear and death effects.&lt;/p&gt;&lt;p&gt;At any time while the spell is in effect, the target can choose to end the spell as a swift action for a burst of healing energy. The target loses the saving throw bonus, but is healed of 1d8 points of damage +1 point per caster level (maximum +10).&lt;/p&gt;</t>
  </si>
  <si>
    <t>&lt;link rel="stylesheet"href="PF.css"&gt;&lt;div class="heading"&gt;&lt;p class="alignleft"&gt;Blessing of Courage and Life&lt;/p&gt;&lt;div style="clear: both;"&gt;&lt;/div&gt;&lt;/div&gt;&lt;div&gt;&lt;h5&gt;&lt;b&gt;School &lt;/b&gt;conjuration (healing) [emotion]; &lt;b&gt;Level &lt;/b&gt;cleric/oracle 2, paladin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minute/level (see below)&lt;/h5&gt;&lt;h5&gt;&lt;b&gt;Saving Throw &lt;/b&gt;Will negates (harmless); &lt;b&gt;Spell Resistance &lt;/b&gt;yes (harmless)&lt;/h5&gt;&lt;/div&gt;&lt;hr/&gt;&lt;div&gt;&lt;h5&gt;&lt;b&gt;DESCRIPTION&lt;/b&gt;&lt;/h5&gt;&lt;/div&gt;&lt;hr/&gt;&lt;div&gt;&lt;h4&gt;&lt;p&gt;With this prayer you provide long-lasting succor to a wounded creature. For as long as the effect lasts, the target receives a +2 morale bonus on saving throws against fear and death effects.&lt;/p&gt;&lt;p&gt;At any time while the spell is in effect, the target can choose to end the spell as a swift action for a burst of healing energy. The target loses the saving throw bonus, but is healed of 1d8 points of damage +1 point per caster level (maximum +10).&lt;/p&gt;&lt;/h4&gt;&lt;/div&gt;</t>
  </si>
  <si>
    <t>Grants a +2 bonus on saves vs. fear and death.</t>
  </si>
  <si>
    <t>Death (4)</t>
  </si>
  <si>
    <t>Rift of Ruin</t>
  </si>
  <si>
    <t>chaotic, evil</t>
  </si>
  <si>
    <t>5-ft.-wide, 60-ft.-deep extradimensional hole, up to 5  ft. long per level (S)</t>
  </si>
  <si>
    <t>1 round/level (see text)</t>
  </si>
  <si>
    <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make a Reflex save to avoid falling into the rift. If the Reflex save is successful, the creature picks which side of the rift it remains on once the  boiling pools of acid, writhing shards of ice, and all manner of other chaotic and deadly manifestations of the Abyss.  A creature that falls into the pit takes 6d6 points of falling damage. Any creature in the pit (starting on the round it enters) takes an additional 6d6 points of damage from the pit's environs, even if the creature is merely climbing or flying within the pit rather than at the bottom. This additional damage changes from round to round, and is randomly selected from acid, bludgeoning, cold, electricity, fire, piercing, slashing, or sonic. Each round, a creature in the pit can make a Reflex save to take half damage that round. The pit's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out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area-these Abyssal denizens are treated as if you had summoned them via summon monster VII, and remain for a number of rounds equal to the remaining duration of the rift of ruin spell. You can choose one of the following to be summoned: 1 bebilith, 1 vrock, 1d3 succubi, 1d3 shadow demons, 1d4+1 babaus, or 1d4+1 brimoraks.  rift opens. Unattended objects or structures fully engulfed by the rift automatically fall into it.  The walls of the rift are covered by razor-sharp blades, while the rift floor seethes with strange chewing vermin,</t>
  </si>
  <si>
    <t>&lt;p&gt;This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make a Reflex save to avoid falling into the rift. If the Reflex save is successful, the creature picks which side of the rift it remains on once the  boiling pools of acid, writhing shards of ice, and all manner of other chaotic and deadly manifestations of the Abyss.&lt;/p&gt;&lt;p&gt;A creature that falls into the pit takes 6d6 points of falling damage. Any creature in the pit (starting on the round it enters) takes an additional 6d6 points of damage from the pit's environs, even if the creature is merely climbing or flying within the pit rather than at the bottom. This additional damage changes from round to round, and is randomly selected from acid, bludgeoning, cold, electricity, fire, piercing, slashing, or sonic. Each round, a creature in the pit can make a Reflex save to take half damage that round. The pit's walls have a Climb DC of 25.&lt;/p&gt;&lt;p&gt;When this spell's duration ends, the rift snaps shut, violently expelling all creatures still within. These creatures take double damage from the rift's environs in that round and are knocked prone as they are returned to the surface above.&lt;/p&gt;&lt;p&gt;At any time during the spell's duration, you can use it to conjure a number of Abyssal denizens out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area-these Abyssal denizens are treated as if you had summoned them via &lt;i&gt;summon monster VII&lt;/i&gt;, and remain for a number of rounds equal to the remaining duration of the &lt;i&gt;rift of ruin&lt;/i&gt; spell. You can choose one of the following to be summoned: 1 bebilith, 1 vrock, 1d3 succubi, 1d3 shadow demons, 1d4+1 babaus, or 1d4+1 brimoraks.&lt;/p&gt;&lt;p&gt;rift opens. Unattended objects or structures fully engulfed by the rift automatically fall into it.&lt;/p&gt;&lt;p&gt;The walls of the rift are covered by razor-sharp blades, while the rift floor seethes with strange chewing vermin,&lt;/p&gt;</t>
  </si>
  <si>
    <t>Book of the Damned V2</t>
  </si>
  <si>
    <t>&lt;link rel="stylesheet"href="PF.css"&gt;&lt;div class="heading"&gt;&lt;p class="alignleft"&gt;Rift of Ruin&lt;/p&gt;&lt;div style="clear: both;"&gt;&lt;/div&gt;&lt;/div&gt;&lt;div&gt;&lt;h5&gt;&lt;b&gt;School &lt;/b&gt;conjuration (calling) [chaotic, evil]; &lt;b&gt;Level &lt;/b&gt;cleric/oracle 8, sorcerer/wizard 8&lt;/h5&gt;&lt;/div&gt;&lt;hr/&gt;&lt;div&gt;&lt;h5&gt;&lt;b&gt;CASTING&lt;/b&gt;&lt;/h5&gt;&lt;/div&gt;&lt;hr/&gt;&lt;div&gt;&lt;h5&gt;&lt;b&gt;Casting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&lt;/b&gt;5-ft.-wide, 60-ft.-deep extradimensional hole, up to 5  ft. long per level (S)&lt;/h5&gt;&lt;h5&gt;&lt;b&gt;Duration &lt;/b&gt;1 round/level (see text)&lt;/h5&gt;&lt;h5&gt;&lt;b&gt;Saving Throw &lt;/b&gt;Reflex partial; &lt;b&gt;Spell Resistance &lt;/b&gt;no&lt;/h5&gt;&lt;/div&gt;&lt;hr/&gt;&lt;div&gt;&lt;h5&gt;&lt;b&gt;DESCRIPTION&lt;/b&gt;&lt;/h5&gt;&lt;/div&gt;&lt;hr/&gt;&lt;div&gt;&lt;h4&gt;&lt;p&gt;This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make a Reflex save to avoid falling into the rift. If the Reflex save is successful, the creature picks which side of the rift it remains on once the  boiling pools of acid, writhing shards of ice, and all manner of other chaotic and deadly manifestations of the Abyss.&lt;/p&gt;&lt;p&gt;A creature that falls into the pit takes 6d6 points of falling damage. Any creature in the pit (starting on the round it enters) takes an additional 6d6 points of damage from the pit's environs, even if the creature is merely climbing or flying within the pit rather than at the bottom. This additional damage changes from round to round, and is randomly selected from acid, bludgeoning, cold, electricity, fire, piercing, slashing, or sonic. Each round, a creature in the pit can make a Reflex save to take half damage that round. The pit's walls have a Climb DC of 25.&lt;/p&gt;&lt;p&gt;When this spell's duration ends, the rift snaps shut, violently expelling all creatures still within. These creatures take double damage from the rift's environs in that round and are knocked prone as they are returned to the surface above.&lt;/p&gt;&lt;p&gt;At any time during the spell's duration, you can use it to conjure a number of Abyssal denizens out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area-these Abyssal denizens are treated as if you had summoned them via &lt;i&gt;summon monster VII&lt;/i&gt;, and remain for a number of rounds equal to the remaining duration of the &lt;i&gt;rift of ruin&lt;/i&gt; spell. You can choose one of the following to be summoned: 1 bebilith, 1 vrock, 1d3 succubi, 1d3 shadow demons, 1d4+1 babaus, or 1d4+1 brimoraks.&lt;/p&gt;&lt;p&gt;rift opens. Unattended objects or structures fully engulfed by the rift automatically fall into it.&lt;/p&gt;&lt;p&gt;The walls of the rift are covered by razor-sharp blades, while the rift floor seethes with strange chewing vermin,&lt;/p&gt;&lt;/h4&gt;&lt;/div&gt;</t>
  </si>
  <si>
    <t>Constricting Coils</t>
  </si>
  <si>
    <t>cleric/oracle 5, sorcerer/wizard 5</t>
  </si>
  <si>
    <t>V, S, M/DF (a snakeskin)</t>
  </si>
  <si>
    <t>This spell functions like hold monster, except that the target is constricted as if by the coils of a large snake, taking 1d6+6 points of bludgeoning damage each round that it fails its save. A successful save ends both the paralyzing and constriction effects.</t>
  </si>
  <si>
    <t>&lt;p&gt;This spell functions like &lt;i&gt;hold monster&lt;/i&gt;, except that the target is constricted as if by the coils of a large snake, taking 1d6+6 points of bludgeoning damage each round that it fails its save. A successful save ends both the paralyzing and constriction effects.&lt;/p&gt;</t>
  </si>
  <si>
    <t>AP 42</t>
  </si>
  <si>
    <t>&lt;link rel="stylesheet"href="PF.css"&gt;&lt;div class="heading"&gt;&lt;p class="alignleft"&gt;Constricting Coils&lt;/p&gt;&lt;div style="clear: both;"&gt;&lt;/div&gt;&lt;/div&gt;&lt;div&gt;&lt;h5&gt;&lt;b&gt;School &lt;/b&gt;enchantment (compulsion) [mind-affecting]; &lt;b&gt;Level &lt;/b&gt;cleric/oracle 5, sorcerer/wizard 5&lt;/h5&gt;&lt;/div&gt;&lt;hr/&gt;&lt;div&gt;&lt;h5&gt;&lt;b&gt;CASTING&lt;/b&gt;&lt;/h5&gt;&lt;/div&gt;&lt;hr/&gt;&lt;div&gt;&lt;h5&gt;&lt;b&gt;Casting Time &lt;/b&gt;1 standard action&lt;/h5&gt;&lt;h5&gt;&lt;b&gt;Components &lt;/b&gt;V, S, M/DF (a snakeskin)&lt;/h5&gt;&lt;/div&gt;&lt;hr/&gt;&lt;div&gt;&lt;h5&gt;&lt;b&gt;EFFECT&lt;/b&gt;&lt;/h5&gt;&lt;/div&gt;&lt;hr/&gt;&lt;div&gt;&lt;h5&gt;&lt;b&gt;Range &lt;/b&gt;medium (100 ft. + 10 ft./level)&lt;/h5&gt;&lt;h5&gt;&lt;b&gt;Targets &lt;/b&gt;one living creature&lt;/h5&gt;&lt;h5&gt;&lt;b&gt;Duration &lt;/b&gt;1 round/level (D); see text&lt;/h5&gt;&lt;h5&gt;&lt;b&gt;Saving Throw &lt;/b&gt;Will negates; see text; &lt;b&gt;Spell Resistance &lt;/b&gt;yes&lt;/h5&gt;&lt;/div&gt;&lt;hr/&gt;&lt;div&gt;&lt;h5&gt;&lt;b&gt;DESCRIPTION&lt;/b&gt;&lt;/h5&gt;&lt;/div&gt;&lt;hr/&gt;&lt;div&gt;&lt;h4&gt;&lt;p&gt;This spell functions like &lt;i&gt;hold monster&lt;/i&gt;, except that the target is constricted as if by the coils of a large snake, taking 1d6+6 points of bludgeoning damage each round that it fails its save. A successful save ends both the paralyzing and constriction effects.&lt;/p&gt;&lt;/h4&gt;&lt;/div&gt;</t>
  </si>
  <si>
    <t>Ancestral Memory</t>
  </si>
  <si>
    <t>alchemist 5, cleric/oracle 5, druid 4</t>
  </si>
  <si>
    <t>When you cast this spell, you open your mind to the vast experiences of your ancestors in the hope of learning something pertinent about your current situation. The chance of successfully finding an ancestral memory that is pertinent is equal to 70% + your caster level. Failure indicates you merely gain a +5 insight bonus on all Intelligence-based skill checks for the duration of the spell.  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  For example, a character might encounter a clay golem deep underground, and finds that her magic weapon and spells seem to be useless against the creature. She successfully casts ancestral memory, and "remembers" the proper type of weapons and spells that work against such creatures.</t>
  </si>
  <si>
    <t>&lt;p&gt;When you cast this spell, you open your mind to the vast experiences of your ancestors in the hope of learning something pertinent about your current situation. The chance of successfully finding an &lt;i&gt;ancestral memory&lt;/i&gt; that is pertinent is equal to 70% + your caster level. Failure indicates you merely gain a +5 insight bonus on all Intelligence-based skill checks for the duration of the spell.&lt;/p&gt;&lt;p&gt;Success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problem.&lt;/p&gt;&lt;p&gt;For example, a character might encounter a clay golem deep underground, and finds that her magic weapon and spells seem to be useless against the creature. She successfully casts &lt;i&gt;ancestral memory&lt;/i&gt;, and "remembers" the proper type of weapons and spells that work against such creatures.&lt;/p&gt;</t>
  </si>
  <si>
    <t>Inner Sea World Guide</t>
  </si>
  <si>
    <t>&lt;link rel="stylesheet"href="PF.css"&gt;&lt;div class="heading"&gt;&lt;p class="alignleft"&gt;Ancestral Memory&lt;/p&gt;&lt;div style="clear: both;"&gt;&lt;/div&gt;&lt;/div&gt;&lt;div&gt;&lt;h5&gt;&lt;b&gt;School &lt;/b&gt;divination; &lt;b&gt;Level &lt;/b&gt;alchemist 5, cleric/oracle 5, druid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round/level&lt;/h5&gt;&lt;/div&gt;&lt;hr/&gt;&lt;div&gt;&lt;h5&gt;&lt;b&gt;DESCRIPTION&lt;/b&gt;&lt;/h5&gt;&lt;/div&gt;&lt;hr/&gt;&lt;div&gt;&lt;h4&gt;&lt;p&gt;When you cast this spell, you open your mind to the vast experiences of your ancestors in the hope of learning something pertinent about your current situation. The chance of successfully finding an &lt;i&gt;ancestral memory&lt;/i&gt; that is pertinent is equal to 70% + your caster level. Failure indicates you merely gain a +5 insight bonus on all Intelligence-based skill checks for the duration of the spell.&lt;/p&gt;&lt;p&gt;Success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problem.&lt;/p&gt;&lt;p&gt;For example, a character might encounter a clay golem deep underground, and finds that her magic weapon and spells seem to be useless against the creature. She successfully casts &lt;i&gt;ancestral memory&lt;/i&gt;, and "remembers" the proper type of weapons and spells that work against such creatures.&lt;/p&gt;&lt;/h4&gt;&lt;/div&gt;</t>
  </si>
  <si>
    <t>Gorum's Armor</t>
  </si>
  <si>
    <t>cleric/oracle 1, inquisitor 1, magus 1</t>
  </si>
  <si>
    <t>V, S, M (1 iron spike)</t>
  </si>
  <si>
    <t>1 suit of metal armor or 1 metal shield</t>
  </si>
  <si>
    <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anarchic weapon quality.</t>
  </si>
  <si>
    <t>&lt;p&gt;The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&lt;i&gt;anarchic&lt;/i&gt; weapon quality.&lt;/p&gt;</t>
  </si>
  <si>
    <t>&lt;link rel="stylesheet"href="PF.css"&gt;&lt;div class="heading"&gt;&lt;p class="alignleft"&gt;Gorum's Armor&lt;/p&gt;&lt;div style="clear: both;"&gt;&lt;/div&gt;&lt;/div&gt;&lt;div&gt;&lt;h5&gt;&lt;b&gt;School &lt;/b&gt;transmutation; &lt;b&gt;Level &lt;/b&gt;cleric/oracle 1, inquisitor 1, magus 1&lt;/h5&gt;&lt;/div&gt;&lt;hr/&gt;&lt;div&gt;&lt;h5&gt;&lt;b&gt;CASTING&lt;/b&gt;&lt;/h5&gt;&lt;/div&gt;&lt;hr/&gt;&lt;div&gt;&lt;h5&gt;&lt;b&gt;Casting Time &lt;/b&gt;1 standard action&lt;/h5&gt;&lt;h5&gt;&lt;b&gt;Components &lt;/b&gt;V, S, M (1 iron spike)&lt;/h5&gt;&lt;/div&gt;&lt;hr/&gt;&lt;div&gt;&lt;h5&gt;&lt;b&gt;EFFECT&lt;/b&gt;&lt;/h5&gt;&lt;/div&gt;&lt;hr/&gt;&lt;div&gt;&lt;h5&gt;&lt;b&gt;Range &lt;/b&gt;touch&lt;/h5&gt;&lt;h5&gt;&lt;b&gt;Targets &lt;/b&gt;1 suit of metal armor or 1 metal shield&lt;/h5&gt;&lt;h5&gt;&lt;b&gt;Duration &lt;/b&gt;10 minutes/level&lt;/h5&gt;&lt;h5&gt;&lt;b&gt;Saving Throw &lt;/b&gt;Fortitude negates (harmless); &lt;b&gt;Spell Resistance &lt;/b&gt;yes (harmless)&lt;/h5&gt;&lt;/div&gt;&lt;hr/&gt;&lt;div&gt;&lt;h5&gt;&lt;b&gt;DESCRIPTION&lt;/b&gt;&lt;/h5&gt;&lt;/div&gt;&lt;hr/&gt;&lt;div&gt;&lt;h4&gt;&lt;p&gt;The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&lt;i&gt;anarchic&lt;/i&gt; weapon quality.&lt;/p&gt;&lt;/h4&gt;&lt;h5&gt;&lt;b&gt;Mythic: &lt;/b&gt;The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end.&lt;/h5&gt;&lt;/div&gt;</t>
  </si>
  <si>
    <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t>
  </si>
  <si>
    <t>Harrowing</t>
  </si>
  <si>
    <t>bard 3, sorcerer/wizard 3, witch 3</t>
  </si>
  <si>
    <t>V, S, F (a Harrow deck)</t>
  </si>
  <si>
    <t>1 day/level or until fulfilled</t>
  </si>
  <si>
    <t>You use a Harrow deck to tell a fortune for yourself or someone else. If you cast harrowing on another creature, you must remain adjacent to the target for the duration of the casting time. A harrowing must describe one set of events or course of action (for example, "hunting down the pirate king," or "traveling to Viperwall to search for a magic sword") that the target of the spell intends to undertake at some point during the spell's duration. 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 While penalties persist on all associated checks for as long as the harrowing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harrowing are luck bonuses, they do not stack with each other. Penalties, on the other hand, do stack. Once you spend all of the bonuses granted by a harrowing, or once the spell's duration ends, the spell ends and the penalties are removed. A single creature can only be under the effects of one harrowing at a time. If it is subjected to a second harrowing while a previous harrowing is still in effect, the new harrowing automatically fails. Associated Suit Checks Suit Associated Check Hammer (Str) Attack rolls (ranged and melee) Key (Dex) Reflex saving throws Shield (Con) Fortitude saving throws Book (Int) Skill checks Star (Wis) Will saving throws Crown (Cha) Any d20 roll Opposition Alignments Alignment Opposition LG CE NG NE CG LE LN CN N LG, LE, CG, or CE (pick one when spell is cast) CN LN LE CG NE NG CE LG</t>
  </si>
  <si>
    <t>&lt;p&gt;You use a Harrow deck to tell a fortune for yourself or someone else. If you cast &lt;i&gt;harrowing&lt;/i&gt; on another creature, you must remain adjacent to the target for the duration of the casting time. A &lt;i&gt;harrowing&lt;/i&gt; must describe one set of events or course of action (for example, "hunting down the pirate king," or "traveling to Viperwall to search for a magic sword") that the target of the spell intends to undertake at some point during the spell's duration.&lt;/p&gt;&lt;p&gt;If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check.&lt;/p&gt;&lt;p&gt;While penalties persist on all associated checks for as long as the &lt;i&gt;harrowing&lt;/i&gt;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&lt;i&gt;harrowing&lt;/i&gt; are luck bonuses, they do not stack with each other. Penalties, on the other hand, do stack.&lt;/p&gt;&lt;p&gt;Once you spend all of the bonuses granted by a &lt;i&gt;harrowing&lt;/i&gt;, or once the spell's duration ends, the spell ends and the penalties are removed.&lt;/p&gt;&lt;p&gt;A single creature can only be under the effects of one &lt;i&gt;harrowing&lt;/i&gt; at a time. If it is subjected to a second &lt;i&gt;harrowing&lt;/i&gt; while a previous &lt;i&gt;harrowing&lt;/i&gt; is still in effect, the new &lt;i&gt;harrowing&lt;/i&gt; automatically fails.&lt;/p&gt;   &lt;table border ='1'&gt;&lt;tr&gt;&lt;th&gt;Associated Suit Checks&lt;/th&gt;&lt;/tr&gt;&lt;tr&gt;&lt;th&gt;Suit&lt;/th&gt;&lt;th&gt;Associated Check&lt;/th&gt;&lt;/tr&gt;&lt;tr&gt;&lt;td&gt;Hammer (Str)&lt;/td&gt;&lt;td&gt;Attack rolls (ranged and melee)&lt;/td&gt;&lt;/tr&gt;&lt;tr&gt;&lt;td&gt;Key (Dex)&lt;/td&gt;&lt;td&gt;Reflex saving throws&lt;/td&gt;&lt;/tr&gt;&lt;tr&gt;&lt;td&gt;Shield (Con)&lt;/td&gt;&lt;td&gt;Fortitude saving throws&lt;/td&gt;&lt;/tr&gt;&lt;tr&gt;&lt;td&gt;Book (Int)&lt;/td&gt;&lt;td&gt;Skill checks&lt;/td&gt;&lt;/tr&gt;&lt;tr&gt;&lt;td&gt;Star (Wis)&lt;/td&gt;&lt;td&gt;Will saving throws&lt;/td&gt;&lt;/tr&gt;&lt;tr&gt;&lt;td&gt;Crown (Cha)&lt;/td&gt;&lt;td&gt;Any d20 roll&lt;/td&gt;&lt;/tr&gt;&lt;/table&gt;    &lt;table border ='1'&gt;&lt;tr&gt;&lt;th colspan='2'&gt;Opposition Alignments&lt;/th&gt;&lt;/tr&gt;&lt;tr&gt;&lt;th&gt;Alignment&lt;/th&gt;&lt;th&gt;Opposition&lt;/th&gt;&lt;/tr&gt;&lt;tr&gt;&lt;td&gt;LG&lt;/td&gt;&lt;td&gt;CE&lt;/td&gt;&lt;/tr&gt;&lt;tr&gt;&lt;td&gt;NG&lt;/td&gt;&lt;td&gt;NE&lt;/td&gt;&lt;/tr&gt;&lt;tr&gt;&lt;td&gt;CG&lt;/td&gt;&lt;td&gt;LE&lt;/td&gt;&lt;/tr&gt;&lt;tr&gt;&lt;td&gt;LN&lt;/td&gt;&lt;td&gt;CN&lt;/td&gt;&lt;/tr&gt;&lt;tr&gt;&lt;td&gt;N&lt;/td&gt;&lt;td&gt;LG, LE, CG, or CE (pick one when spell is cast)&lt;/td&gt;&lt;/tr&gt;&lt;tr&gt;&lt;td&gt;CN&lt;/td&gt;&lt;td&gt;LN&lt;/td&gt;&lt;/tr&gt;&lt;tr&gt;&lt;td&gt;LE&lt;/td&gt;&lt;td&gt;CG&lt;/td&gt;&lt;/tr&gt;&lt;tr&gt;&lt;td&gt;NE&lt;/td&gt;&lt;td&gt;NG&lt;/td&gt;&lt;/tr&gt;&lt;tr&gt;&lt;td&gt;CE&lt;/td&gt;&lt;td&gt;LG&lt;/td&gt;&lt;/tr&gt;&lt;/table&gt;</t>
  </si>
  <si>
    <t>&lt;link rel="stylesheet"href="PF.css"&gt;&lt;div class="heading"&gt;&lt;p class="alignleft"&gt;Harrowing&lt;/p&gt;&lt;div style="clear: both;"&gt;&lt;/div&gt;&lt;/div&gt;&lt;div&gt;&lt;h5&gt;&lt;b&gt;School &lt;/b&gt;divination; &lt;b&gt;Level &lt;/b&gt;bard 3, sorcerer/wizard 3, witch 3&lt;/h5&gt;&lt;/div&gt;&lt;hr/&gt;&lt;div&gt;&lt;h5&gt;&lt;b&gt;CASTING&lt;/b&gt;&lt;/h5&gt;&lt;/div&gt;&lt;hr/&gt;&lt;div&gt;&lt;h5&gt;&lt;b&gt;Casting Time &lt;/b&gt;10 minutes&lt;/h5&gt;&lt;h5&gt;&lt;b&gt;Components &lt;/b&gt;V, S, F (a Harrow deck)&lt;/h5&gt;&lt;/div&gt;&lt;hr/&gt;&lt;div&gt;&lt;h5&gt;&lt;b&gt;EFFECT&lt;/b&gt;&lt;/h5&gt;&lt;/div&gt;&lt;hr/&gt;&lt;div&gt;&lt;h5&gt;&lt;b&gt;Range &lt;/b&gt;touch&lt;/h5&gt;&lt;h5&gt;&lt;b&gt;Targets &lt;/b&gt;one creature&lt;/h5&gt;&lt;h5&gt;&lt;b&gt;Duration &lt;/b&gt;1 day/level or until fulfilled&lt;/h5&gt;&lt;/div&gt;&lt;hr/&gt;&lt;div&gt;&lt;h5&gt;&lt;b&gt;DESCRIPTION&lt;/b&gt;&lt;/h5&gt;&lt;/div&gt;&lt;hr/&gt;&lt;div&gt;&lt;h4&gt;&lt;p&gt;You use a Harrow deck to tell a fortune for yourself or someone else. If you cast &lt;i&gt;harrowing&lt;/i&gt; on another creature, you must remain adjacent to the target for the duration of the casting time. A &lt;i&gt;harrowing&lt;/i&gt; must describe one set of events or course of action (for example, "hunting down the pirate king," or "traveling to Viperwall to search for a magic sword") that the target of the spell intends to undertake at some point during the spell's duration.&lt;/p&gt;&lt;p&gt;If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check.&lt;/p&gt;&lt;p&gt;While penalties persist on all associated checks for as long as the &lt;i&gt;harrowing&lt;/i&gt;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&lt;i&gt;harrowing&lt;/i&gt; are luck bonuses, they do not stack with each other. Penalties, on the other hand, do stack.&lt;/p&gt;&lt;p&gt;Once you spend all of the bonuses granted by a &lt;i&gt;harrowing&lt;/i&gt;, or once the spell's duration ends, the spell ends and the penalties are removed.&lt;/p&gt;&lt;p&gt;A single creature can only be under the effects of one &lt;i&gt;harrowing&lt;/i&gt; at a time. If it is subjected to a second &lt;i&gt;harrowing&lt;/i&gt; while a previous &lt;i&gt;harrowing&lt;/i&gt; is still in effect, the new &lt;i&gt;harrowing&lt;/i&gt; automatically fails.&lt;/p&gt;   &lt;table border ='1'&gt;&lt;tr&gt;&lt;th&gt;Associated Suit Checks&lt;/th&gt;&lt;/tr&gt;&lt;tr&gt;&lt;th&gt;Suit&lt;/th&gt;&lt;th&gt;Associated Check&lt;/th&gt;&lt;/tr&gt;&lt;tr&gt;&lt;td&gt;Hammer (Str)&lt;/td&gt;&lt;td&gt;Attack rolls (ranged and melee)&lt;/td&gt;&lt;/tr&gt;&lt;tr&gt;&lt;td&gt;Key (Dex)&lt;/td&gt;&lt;td&gt;Reflex saving throws&lt;/td&gt;&lt;/tr&gt;&lt;tr&gt;&lt;td&gt;Shield (Con)&lt;/td&gt;&lt;td&gt;Fortitude saving throws&lt;/td&gt;&lt;/tr&gt;&lt;tr&gt;&lt;td&gt;Book (Int)&lt;/td&gt;&lt;td&gt;Skill checks&lt;/td&gt;&lt;/tr&gt;&lt;tr&gt;&lt;td&gt;Star (Wis)&lt;/td&gt;&lt;td&gt;Will saving throws&lt;/td&gt;&lt;/tr&gt;&lt;tr&gt;&lt;td&gt;Crown (Cha)&lt;/td&gt;&lt;td&gt;Any d20 roll&lt;/td&gt;&lt;/tr&gt;&lt;/table&gt;    &lt;table border ='1'&gt;&lt;tr&gt;&lt;th colspan='2'&gt;Opposition Alignments&lt;/th&gt;&lt;/tr&gt;&lt;tr&gt;&lt;th&gt;Alignment&lt;/th&gt;&lt;th&gt;Opposition&lt;/th&gt;&lt;/tr&gt;&lt;tr&gt;&lt;td&gt;LG&lt;/td&gt;&lt;td&gt;CE&lt;/td&gt;&lt;/tr&gt;&lt;tr&gt;&lt;td&gt;NG&lt;/td&gt;&lt;td&gt;NE&lt;/td&gt;&lt;/tr&gt;&lt;tr&gt;&lt;td&gt;CG&lt;/td&gt;&lt;td&gt;LE&lt;/td&gt;&lt;/tr&gt;&lt;tr&gt;&lt;td&gt;LN&lt;/td&gt;&lt;td&gt;CN&lt;/td&gt;&lt;/tr&gt;&lt;tr&gt;&lt;td&gt;N&lt;/td&gt;&lt;td&gt;LG, LE, CG, or CE (pick one when spell is cast)&lt;/td&gt;&lt;/tr&gt;&lt;tr&gt;&lt;td&gt;CN&lt;/td&gt;&lt;td&gt;LN&lt;/td&gt;&lt;/tr&gt;&lt;tr&gt;&lt;td&gt;LE&lt;/td&gt;&lt;td&gt;CG&lt;/td&gt;&lt;/tr&gt;&lt;tr&gt;&lt;td&gt;NE&lt;/td&gt;&lt;td&gt;NG&lt;/td&gt;&lt;/tr&gt;&lt;tr&gt;&lt;td&gt;CE&lt;/td&gt;&lt;td&gt;LG&lt;/td&gt;&lt;/tr&gt;&lt;/table&gt;   &lt;/h4&gt;&lt;h5&gt;&lt;b&gt;Mythic: &lt;/b&gt;The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fails.&lt;/h5&gt;&lt;h5&gt;&lt;b&gt;Augmented (6th)&lt;/b&gt;: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removed.&lt;/h5&gt;&lt;/div&gt;</t>
  </si>
  <si>
    <t>Harrow (7)</t>
  </si>
  <si>
    <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t>
  </si>
  <si>
    <t>Augmented (6th):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t>
  </si>
  <si>
    <t>Infernal Healing</t>
  </si>
  <si>
    <t>cleric/oracle 1, magus 1, sorcerer/wizard 1, summoner 1, witch 1</t>
  </si>
  <si>
    <t>V, S, M (1 drop of devil blood or 1 dose of unholy water)</t>
  </si>
  <si>
    <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t>
  </si>
  <si>
    <t>&lt;p&gt;You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alignment.&lt;/p&gt;</t>
  </si>
  <si>
    <t>&lt;link rel="stylesheet"href="PF.css"&gt;&lt;div class="heading"&gt;&lt;p class="alignleft"&gt;Infernal Healing&lt;/p&gt;&lt;div style="clear: both;"&gt;&lt;/div&gt;&lt;/div&gt;&lt;div&gt;&lt;h5&gt;&lt;b&gt;School &lt;/b&gt;conjuration (healing) [evil]; &lt;b&gt;Level &lt;/b&gt;cleric/oracle 1, magus 1, sorcerer/wizard 1, summoner 1, witch 1&lt;/h5&gt;&lt;/div&gt;&lt;hr/&gt;&lt;div&gt;&lt;h5&gt;&lt;b&gt;CASTING&lt;/b&gt;&lt;/h5&gt;&lt;/div&gt;&lt;hr/&gt;&lt;div&gt;&lt;h5&gt;&lt;b&gt;Casting Time &lt;/b&gt;1 round&lt;/h5&gt;&lt;h5&gt;&lt;b&gt;Components &lt;/b&gt;V, S, M (1 drop of devil blood or 1 dose of unholy water)&lt;/h5&gt;&lt;/div&gt;&lt;hr/&gt;&lt;div&gt;&lt;h5&gt;&lt;b&gt;EFFECT&lt;/b&gt;&lt;/h5&gt;&lt;/div&gt;&lt;hr/&gt;&lt;div&gt;&lt;h5&gt;&lt;b&gt;Range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alignment.&lt;/p&gt;&lt;/h4&gt;&lt;/div&gt;</t>
  </si>
  <si>
    <t>Infernal Healing, Greater</t>
  </si>
  <si>
    <t>cleric/oracle 4, magus 4, sorcerer/wizard 4, summoner 4, witch 4</t>
  </si>
  <si>
    <t>As infernal healing, except the target gains fast healing 4 and the target detects as an evil cleric.</t>
  </si>
  <si>
    <t>&lt;p&gt;As &lt;i&gt;infernal healing&lt;/i&gt;, except the target gains fast healing 4 and the target detects as an evil cleric.&lt;/p&gt;</t>
  </si>
  <si>
    <t>&lt;link rel="stylesheet"href="PF.css"&gt;&lt;div class="heading"&gt;&lt;p class="alignleft"&gt;Infernal Healing, Greater&lt;/p&gt;&lt;div style="clear: both;"&gt;&lt;/div&gt;&lt;/div&gt;&lt;div&gt;&lt;h5&gt;&lt;b&gt;School &lt;/b&gt;conjuration (healing) [evil]; &lt;b&gt;Level &lt;/b&gt;cleric/oracle 4, magus 4, sorcerer/wizard 4, summoner 4, witch 4&lt;/h5&gt;&lt;/div&gt;&lt;hr/&gt;&lt;div&gt;&lt;h5&gt;&lt;b&gt;CASTING&lt;/b&gt;&lt;/h5&gt;&lt;/div&gt;&lt;hr/&gt;&lt;div&gt;&lt;h5&gt;&lt;b&gt;Casting Time &lt;/b&gt;1 round&lt;/h5&gt;&lt;h5&gt;&lt;b&gt;Components &lt;/b&gt;V, S, M (1 drop of devil blood or 1 dose of unholy water)&lt;/h5&gt;&lt;/div&gt;&lt;hr/&gt;&lt;div&gt;&lt;h5&gt;&lt;b&gt;EFFECT&lt;/b&gt;&lt;/h5&gt;&lt;/div&gt;&lt;hr/&gt;&lt;div&gt;&lt;h5&gt;&lt;b&gt;Range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(harmless)&lt;/h5&gt;&lt;/div&gt;&lt;hr/&gt;&lt;div&gt;&lt;h5&gt;&lt;b&gt;DESCRIPTION&lt;/b&gt;&lt;/h5&gt;&lt;/div&gt;&lt;hr/&gt;&lt;div&gt;&lt;h4&gt;&lt;p&gt;As &lt;i&gt;infernal healing&lt;/i&gt;, except the target gains fast healing 4 and the target detects as an evil cleric.&lt;/p&gt;&lt;/h4&gt;&lt;/div&gt;</t>
  </si>
  <si>
    <t>Lover's Vengeance</t>
  </si>
  <si>
    <t>bard 3, cleric/oracle 3, sorcerer/wizard 3, witch 3</t>
  </si>
  <si>
    <t>V, M (a piece of jewelry worth at least 100 gp)</t>
  </si>
  <si>
    <t>up to 1 day/level (D) or until discharged</t>
  </si>
  <si>
    <t>Yes (harmless)</t>
  </si>
  <si>
    <t>You inspire yourself or a lover to a vengeful rage against a chosen enemy, who must be a creature that has wronged you in some way. If cast on you, the next time you are in combat with that enemy, you gain the benefits of a rage spell. If cast on a lover, he or she gains the benefits of a rage spell the next time the lover is in combat against your enemy. This variant of the spell must be cast within 1 hour of an intimate encounter with the target. The rage effect lasts 1 round per level. If the creature that triggers the rage effect is one of your lovers or ex-lovers, the benefits granted by the rage spell double. This spell counts as a contingency spell on the target for the purpose of multiple contingent effects. Worshipers of Calistria are fond of using this spell, and many keep the effect running whenever possible.</t>
  </si>
  <si>
    <t>&lt;p&gt;You inspire yourself or a lover to a vengeful &lt;i&gt;rage&lt;/i&gt; against a chosen enemy, who must be a creature that has wronged you in some way. If cast on you, the next time you are in combat with that enemy, you gain the benefits of a &lt;i&gt;rage&lt;/i&gt; spell. If cast on a lover, he or she gains the benefits of a &lt;i&gt;rage&lt;/i&gt; spell the next time the lover is in combat against your enemy. This variant of the spell must be cast within 1 hour of an intimate encounter with the target. The &lt;i&gt;rage&lt;/i&gt; effect lasts 1 round per level. If the creature that triggers the &lt;i&gt;rage&lt;/i&gt; effect is one of your lovers or ex-lovers, the benefits granted by the &lt;i&gt;rage&lt;/i&gt; spell double. This spell counts as a &lt;i&gt;contingency&lt;/i&gt; spell on the target for the purpose of multiple contingent effects. Worshipers of Calistria are fond of using this spell, and many keep the effect running whenever possible.&lt;/p&gt;</t>
  </si>
  <si>
    <t>&lt;link rel="stylesheet"href="PF.css"&gt;&lt;div class="heading"&gt;&lt;p class="alignleft"&gt;Lover's Vengeance&lt;/p&gt;&lt;div style="clear: both;"&gt;&lt;/div&gt;&lt;/div&gt;&lt;div&gt;&lt;h5&gt;&lt;b&gt;School &lt;/b&gt;enchantment (compulsion) [mind-affecting]; &lt;b&gt;Level &lt;/b&gt;bard 3, cleric/oracle 3, sorcerer/wizard 3, witch 3&lt;/h5&gt;&lt;/div&gt;&lt;hr/&gt;&lt;div&gt;&lt;h5&gt;&lt;b&gt;CASTING&lt;/b&gt;&lt;/h5&gt;&lt;/div&gt;&lt;hr/&gt;&lt;div&gt;&lt;h5&gt;&lt;b&gt;Casting Time &lt;/b&gt;1 minute&lt;/h5&gt;&lt;h5&gt;&lt;b&gt;Components &lt;/b&gt;V, M (a piece of jewelry worth at least 100 gp)&lt;/h5&gt;&lt;/div&gt;&lt;hr/&gt;&lt;div&gt;&lt;h5&gt;&lt;b&gt;EFFECT&lt;/b&gt;&lt;/h5&gt;&lt;/div&gt;&lt;hr/&gt;&lt;div&gt;&lt;h5&gt;&lt;b&gt;Range &lt;/b&gt;touch&lt;/h5&gt;&lt;h5&gt;&lt;b&gt;Targets &lt;/b&gt;creature touched&lt;/h5&gt;&lt;h5&gt;&lt;b&gt;Duration &lt;/b&gt;up to 1 day/level (D) or until discharged&lt;/h5&gt;&lt;h5&gt;&lt;b&gt;Saving Throw &lt;/b&gt;Will negates (harmless); &lt;b&gt;Spell Resistance &lt;/b&gt;Yes (harmless)&lt;/h5&gt;&lt;/div&gt;&lt;hr/&gt;&lt;div&gt;&lt;h5&gt;&lt;b&gt;DESCRIPTION&lt;/b&gt;&lt;/h5&gt;&lt;/div&gt;&lt;hr/&gt;&lt;div&gt;&lt;h4&gt;&lt;p&gt;You inspire yourself or a lover to a vengeful &lt;i&gt;rage&lt;/i&gt; against a chosen enemy, who must be a creature that has wronged you in some way. If cast on you, the next time you are in combat with that enemy, you gain the benefits of a &lt;i&gt;rage&lt;/i&gt; spell. If cast on a lover, he or she gains the benefits of a &lt;i&gt;rage&lt;/i&gt; spell the next time the lover is in combat against your enemy. This variant of the spell must be cast within 1 hour of an intimate encounter with the target. The &lt;i&gt;rage&lt;/i&gt; effect lasts 1 round per level. If the creature that triggers the &lt;i&gt;rage&lt;/i&gt; effect is one of your lovers or ex-lovers, the benefits granted by the &lt;i&gt;rage&lt;/i&gt; spell double. This spell counts as a &lt;i&gt;contingency&lt;/i&gt; spell on the target for the purpose of multiple contingent effects. Worshipers of Calistria are fond of using this spell, and many keep the effect running whenever possible.&lt;/p&gt;&lt;/h4&gt;&lt;/div&gt;</t>
  </si>
  <si>
    <t>Shield Of The Dawnflower</t>
  </si>
  <si>
    <t>fire, good, light</t>
  </si>
  <si>
    <t>bard 4, cleric/oracle 4, magus 4, paladin 4, ranger 4</t>
  </si>
  <si>
    <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continual flame spell. You can only have one instance of this spell in effect at a time. It does not stack with similar damaging aura spells such as fire shield.</t>
  </si>
  <si>
    <t>&lt;p&gt;You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&lt;i&gt;continual flame&lt;/i&gt; spell. You can only have one instance of this spell in effect at a time. It does not stack with similar damaging aura spells such as &lt;i&gt;fire shield&lt;/i&gt;.&lt;/p&gt;</t>
  </si>
  <si>
    <t>&lt;link rel="stylesheet"href="PF.css"&gt;&lt;div class="heading"&gt;&lt;p class="alignleft"&gt;Shield Of The Dawnflower&lt;/p&gt;&lt;div style="clear: both;"&gt;&lt;/div&gt;&lt;/div&gt;&lt;div&gt;&lt;h5&gt;&lt;b&gt;School &lt;/b&gt;evocation [fire, good, light]; &lt;b&gt;Level &lt;/b&gt;bard 4, cleric/oracle 4, magus 4, paladin 4,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round/level&lt;/h5&gt;&lt;h5&gt;&lt;b&gt;Saving Throw &lt;/b&gt;see text; &lt;b&gt;Spell Resistance &lt;/b&gt;no&lt;/h5&gt;&lt;/div&gt;&lt;hr/&gt;&lt;div&gt;&lt;h5&gt;&lt;b&gt;DESCRIPTION&lt;/b&gt;&lt;/h5&gt;&lt;/div&gt;&lt;hr/&gt;&lt;div&gt;&lt;h4&gt;&lt;p&gt;You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&lt;i&gt;continual flame&lt;/i&gt; spell. You can only have one instance of this spell in effect at a time. It does not stack with similar damaging aura spells such as &lt;i&gt;fire shield&lt;/i&gt;.&lt;/p&gt;&lt;/h4&gt;&lt;h5&gt;&lt;b&gt;Mythic: &lt;/b&gt;The disk of sunlight protects you as a buckler with a +1enhancement bonus per 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spell.&lt;/h5&gt;&lt;/div&gt;</t>
  </si>
  <si>
    <t>The disk of sunlight protects you as a buckler with a +1enhancement bonus per 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t>
  </si>
  <si>
    <t>Teleport Trap</t>
  </si>
  <si>
    <t>V, S, M (powdered lodestone and silver worth 100 gp per 40-ft. cube)</t>
  </si>
  <si>
    <t>one 40-ft. cube/level (S)</t>
  </si>
  <si>
    <t>Teleport trap wards an area, redirecting all teleportation into or out of the area to a specific point within the area determined by you at the time of casting. The destination must be an open space on a solid surface. The spell's area overlaps walls and other solid and liquid objects (preventing intruders from bypassing the ward by teleporting into a wall or through similar means). A teleporting creature that is affected by a teleport trap can resist the effect with a Will save-if the save is successful, the creature simply doesn't teleport at all (but the use of the teleport effect is still consumed)-either to the intended location or the teleport trap's actual destination. A DC 27 Knowledge (arcana) allows such a creature to recognize the teleport trap's presence, but does not reveal the trap's linked destination.  At your discretion, the teleport trap can exclude a category of creatures, such as an alignment, a type of creature, or creatures that carry a specific item or know a password (though this only works if the creature is teleporting out of the area, not into it). You select this option and the conditions at the time you cast the spell. Overly complicated conditions may cause the spell to fail entirely. Multiple castings of teleport trap can be linked to cover a larger area, allowing teleported creatures to be directed to a single point within the combined area of the spells.  Teleport trap can be made permanent at the cost of 7,000 gp. A single permanency spell can be used on all teleport traps that share a linked destination, but the gold piece cost must be paid for each individual spell.  The Pathfinders of the Grand Lodge make use of permanent teleport traps in several key locations, trapping would-be intruders in a small wing of jail cells. At least one crypt of the Whispering Tyrant makes use of the spell as well, trapping grave robbers in coffin-sized stone cysts, there to die a slow and agonizing death from thirst and starvation.</t>
  </si>
  <si>
    <t>&lt;p&gt;&lt;i&gt;Teleport trap&lt;/i&gt; wards an area, redirecting all &lt;i&gt;teleport&lt;/i&gt;ation into or out of the area to a specific point within the area determined by you at the time of casting. The destination must be an open space on a solid surface. The spell's area overlaps walls and other solid and liquid objects (preventing intruders from bypassing the ward by &lt;i&gt;teleport&lt;/i&gt;ing into a wall or through similar means). A &lt;i&gt;teleport&lt;/i&gt;ing creature that is affected by a &lt;i&gt;&lt;i&gt;teleport&lt;/i&gt; trap&lt;/i&gt; can resist the effect with a Will save-if the save is successful, the creature simply doesn't &lt;i&gt;teleport&lt;/i&gt; at all (but the use of the &lt;i&gt;teleport&lt;/i&gt; effect is still consumed)-either to the intended location or the &lt;i&gt;&lt;i&gt;teleport&lt;/i&gt; trap&lt;/i&gt;'s actual destination. A DC 27 Knowledge (arcana) allows such a creature to recognize the &lt;i&gt;&lt;i&gt;teleport&lt;/i&gt; trap&lt;/i&gt;'s presence, but does not reveal the trap's linked destination.&lt;/p&gt;&lt;p&gt;At your discretion, the &lt;i&gt;&lt;i&gt;teleport&lt;/i&gt; trap&lt;/i&gt; can exclude a category of creatures, such as an alignment, a type of creature, or creatures that carry a specific item or know a password (though this only works if the creature is &lt;i&gt;teleport&lt;/i&gt;ing out of the area, not into it). You select this option and the conditions at the time you cast the spell. Overly complicated conditions may cause the spell to fail entirely. Multiple castings of &lt;i&gt;&lt;i&gt;teleport&lt;/i&gt; trap&lt;/i&gt; can be linked to cover a larger area, allowing &lt;i&gt;teleport&lt;/i&gt;ed creatures to be directed to a single point within the combined area of the spells.&lt;/p&gt;&lt;p&gt;&lt;i&gt;Teleport trap&lt;/i&gt; can be made permanent at the cost of 7,000 gp. A single &lt;i&gt;permanency&lt;/i&gt; spell can be used on all &lt;i&gt;&lt;i&gt;teleport&lt;/i&gt; trap&lt;/i&gt;s that share a linked destination, but the gold piece cost must be paid for each individual spell.&lt;/p&gt;&lt;p&gt;The Pathfinders of the Grand Lodge make use of permanent &lt;i&gt;&lt;i&gt;teleport&lt;/i&gt; trap&lt;/i&gt;s in several key locations, trapping would-be intruders in a small wing of jail cells. At least one crypt of the Whispering Tyrant makes use of the spell as well, trapping grave robbers in coffin-sized stone cysts, there to die a slow and agonizing death from thirst and starvation.&lt;/p&gt;</t>
  </si>
  <si>
    <t>&lt;link rel="stylesheet"href="PF.css"&gt;&lt;div class="heading"&gt;&lt;p class="alignleft"&gt;Teleport Trap&lt;/p&gt;&lt;div style="clear: both;"&gt;&lt;/div&gt;&lt;/div&gt;&lt;div&gt;&lt;h5&gt;&lt;b&gt;School &lt;/b&gt;abjuration; &lt;b&gt;Level &lt;/b&gt;sorcerer/wizard 7&lt;/h5&gt;&lt;/div&gt;&lt;hr/&gt;&lt;div&gt;&lt;h5&gt;&lt;b&gt;CASTING&lt;/b&gt;&lt;/h5&gt;&lt;/div&gt;&lt;hr/&gt;&lt;div&gt;&lt;h5&gt;&lt;b&gt;Casting Time &lt;/b&gt;10 minutes&lt;/h5&gt;&lt;h5&gt;&lt;b&gt;Components &lt;/b&gt;V, S, M (powdered lodestone and silver worth 100 gp per 40-ft. cube)&lt;/h5&gt;&lt;/div&gt;&lt;hr/&gt;&lt;div&gt;&lt;h5&gt;&lt;b&gt;EFFECT&lt;/b&gt;&lt;/h5&gt;&lt;/div&gt;&lt;hr/&gt;&lt;div&gt;&lt;h5&gt;&lt;b&gt;Range &lt;/b&gt;medium (100 ft. + 10 ft./level)&lt;/h5&gt;&lt;h5&gt;&lt;b&gt;Area &lt;/b&gt;one 40-ft. cube/level (S)&lt;/h5&gt;&lt;h5&gt;&lt;b&gt;Duration &lt;/b&gt;1 day/level&lt;/h5&gt;&lt;h5&gt;&lt;b&gt;Saving Throw &lt;/b&gt;Will negates; &lt;b&gt;Spell Resistance &lt;/b&gt;yes&lt;/h5&gt;&lt;/div&gt;&lt;hr/&gt;&lt;div&gt;&lt;h5&gt;&lt;b&gt;DESCRIPTION&lt;/b&gt;&lt;/h5&gt;&lt;/div&gt;&lt;hr/&gt;&lt;div&gt;&lt;h4&gt;&lt;p&gt;&lt;i&gt;Teleport trap&lt;/i&gt; wards an area, redirecting all &lt;i&gt;teleport&lt;/i&gt;ation into or out of the area to a specific point within the area determined by you at the time of casting. The destination must be an open space on a solid surface. The spell's area overlaps walls and other solid and liquid objects (preventing intruders from bypassing the ward by &lt;i&gt;teleport&lt;/i&gt;ing into a wall or through similar means). A &lt;i&gt;teleport&lt;/i&gt;ing creature that is affected by a &lt;i&gt;&lt;i&gt;teleport&lt;/i&gt; trap&lt;/i&gt; can resist the effect with a Will save-if the save is successful, the creature simply doesn't &lt;i&gt;teleport&lt;/i&gt; at all (but the use of the &lt;i&gt;teleport&lt;/i&gt; effect is still consumed)-either to the intended location or the &lt;i&gt;&lt;i&gt;teleport&lt;/i&gt; trap&lt;/i&gt;'s actual destination. A DC 27 Knowledge (arcana) allows such a creature to recognize the &lt;i&gt;&lt;i&gt;teleport&lt;/i&gt; trap&lt;/i&gt;'s presence, but does not reveal the trap's linked destination.&lt;/p&gt;&lt;p&gt;At your discretion, the &lt;i&gt;&lt;i&gt;teleport&lt;/i&gt; trap&lt;/i&gt; can exclude a category of creatures, such as an alignment, a type of creature, or creatures that carry a specific item or know a password (though this only works if the creature is &lt;i&gt;teleport&lt;/i&gt;ing out of the area, not into it). You select this option and the conditions at the time you cast the spell. Overly complicated conditions may cause the spell to fail entirely. Multiple castings of &lt;i&gt;&lt;i&gt;teleport&lt;/i&gt; trap&lt;/i&gt; can be linked to cover a larger area, allowing &lt;i&gt;teleport&lt;/i&gt;ed creatures to be directed to a single point within the combined area of the spells.&lt;/p&gt;&lt;p&gt;&lt;i&gt;Teleport trap&lt;/i&gt; can be made permanent at the cost of 7,000 gp. A single &lt;i&gt;permanency&lt;/i&gt; spell can be used on all &lt;i&gt;&lt;i&gt;teleport&lt;/i&gt; trap&lt;/i&gt;s that share a linked destination, but the gold piece cost must be paid for each individual spell.&lt;/p&gt;&lt;p&gt;The Pathfinders of the Grand Lodge make use of permanent &lt;i&gt;&lt;i&gt;teleport&lt;/i&gt; trap&lt;/i&gt;s in several key locations, trapping would-be intruders in a small wing of jail cells. At least one crypt of the Whispering Tyrant makes use of the spell as well, trapping grave robbers in coffin-sized stone cysts, there to die a slow and agonizing death from thirst and starvation.&lt;/p&gt;&lt;/h4&gt;&lt;/div&gt;</t>
  </si>
  <si>
    <t>Trap (7)</t>
  </si>
  <si>
    <t>Unbreakable Heart</t>
  </si>
  <si>
    <t>bard 1, cleric/oracle 1, paladin 1, ranger 1, witch 1</t>
  </si>
  <si>
    <t>1 creature</t>
  </si>
  <si>
    <t>The target creature gains a +4 morale bonus on saving throws against mind-affecting effects that rely on negative emotions (such as crushing despair, rage,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good hope or the inspire courage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Calm emotions counters and dispels unbreakable heart.</t>
  </si>
  <si>
    <t>&lt;p&gt;The target creature gains a +4 morale bonus on saving throws against mind-affecting effects that rely on negative emotions (such as &lt;i&gt;crushing despair&lt;/i&gt;, &lt;i&gt;rage&lt;/i&gt;,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&lt;i&gt;good hope&lt;/i&gt; or the inspire cou&lt;i&gt;rage&lt;/i&gt;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&lt;i&gt;Calm emotions&lt;/i&gt; counters and dispels &lt;i&gt;unbreakable heart&lt;/i&gt;.&lt;/p&gt;</t>
  </si>
  <si>
    <t>&lt;link rel="stylesheet"href="PF.css"&gt;&lt;div class="heading"&gt;&lt;p class="alignleft"&gt;Unbreakable Heart&lt;/p&gt;&lt;div style="clear: both;"&gt;&lt;/div&gt;&lt;/div&gt;&lt;div&gt;&lt;h5&gt;&lt;b&gt;School &lt;/b&gt;enchantment (compulsion) [mind-affecting]; &lt;b&gt;Level &lt;/b&gt;bard 1, cleric/oracle 1, paladin 1, ranger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&lt;/b&gt;1 creature&lt;/h5&gt;&lt;h5&gt;&lt;b&gt;Duration &lt;/b&gt;1 round/level&lt;/h5&gt;&lt;h5&gt;&lt;b&gt;Saving Throw &lt;/b&gt;Will negates (harmless); &lt;b&gt;Spell Resistance &lt;/b&gt;yes (harmless)&lt;/h5&gt;&lt;/div&gt;&lt;hr/&gt;&lt;div&gt;&lt;h5&gt;&lt;b&gt;DESCRIPTION&lt;/b&gt;&lt;/h5&gt;&lt;/div&gt;&lt;hr/&gt;&lt;div&gt;&lt;h4&gt;&lt;p&gt;The target creature gains a +4 morale bonus on saving throws against mind-affecting effects that rely on negative emotions (such as &lt;i&gt;crushing despair&lt;/i&gt;, &lt;i&gt;rage&lt;/i&gt;,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&lt;i&gt;good hope&lt;/i&gt; or the inspire cou&lt;i&gt;rage&lt;/i&gt;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&lt;i&gt;Calm emotions&lt;/i&gt; counters and dispels &lt;i&gt;unbreakable heart&lt;/i&gt;.&lt;/p&gt;&lt;/h4&gt;&lt;/div&gt;</t>
  </si>
  <si>
    <t>Vision of Lamashtu</t>
  </si>
  <si>
    <t>cleric/oracle 7, inquisitor 6, witch 7</t>
  </si>
  <si>
    <t>10 minutes (see text)</t>
  </si>
  <si>
    <t>This spell functions exactly as the spell nightmare. In addition to the effects of that spell, you can cause a second spell to be delivered when the target wakes at the nightmare's conclusion.  You must have this second spell prepared, and it must be cast immediately after vision of Lamashtu (effectively adding the two spells' casting times). This second spell "rides along" with the nightmare, affecting the target as soon as it wakes from its fitful sleep. Any spell can be sent along with the nightmare, so long as it is of 6th level or lower, affects one target (which is always the nightmare's recipient), and does not deal hit point damage. The second spell's range is irrelevant for the purposes of vision of Lamashtu, and even touch attacks can be delivered in this manner (you must still make a successful touch attack in order to affect the target, though, with the act of touching occurring within the context of the victim's nightmare). The target is allowed to save against the second spell if a save is allowed. For example, a cleric of Lamashtu could send bestow curse along as part of a vision of Lamashtu, but not blade barrier (affects an area), destruction (too high level), or inflict moderate wounds (deals hit point damage).</t>
  </si>
  <si>
    <t>&lt;p&gt;This spell functions exactly as the spell &lt;i&gt;nightmare&lt;/i&gt;. In addition to the effects of that spell, you can cause a second spell to be delivered when the target wakes at the &lt;i&gt;nightmare&lt;/i&gt;'s conclusion.&lt;/p&gt;&lt;p&gt;You must have this second spell prepared, and it must be cast immediately after &lt;i&gt;vision of Lamashtu&lt;/i&gt; (effectively adding the two spells' casting times). This second spell "rides along" with the &lt;i&gt;nightmare&lt;/i&gt;, affecting the target as soon as it wakes from its fitful sleep. Any spell can be sent along with the &lt;i&gt;nightmare&lt;/i&gt;, so long as it is of 6th level or lower, affects one target (which is always the &lt;i&gt;nightmare&lt;/i&gt;'s recipient), and does not deal hit point damage. The second spell's range is irrelevant for the purposes of &lt;i&gt;vision of Lamashtu&lt;/i&gt;, and even touch attacks can be delivered in this manner (you must still make a successful touch attack in order to affect the target, though, with the act of touching occurring within the context of the victim's &lt;i&gt;nightmare&lt;/i&gt;). The target is allowed to save against the second spell if a save is allowed. For example, a cleric of Lamashtu could send &lt;i&gt;bestow curse&lt;/i&gt; along as part of a &lt;i&gt;vision of Lamashtu&lt;/i&gt;, but not &lt;i&gt;blade barrier&lt;/i&gt; (affects an area), &lt;i&gt;destruction&lt;/i&gt; (too high level), or &lt;i&gt;inflict moderate wounds&lt;/i&gt; (deals hit point damage).&lt;/p&gt;</t>
  </si>
  <si>
    <t>&lt;link rel="stylesheet"href="PF.css"&gt;&lt;div class="heading"&gt;&lt;p class="alignleft"&gt;Vision of Lamashtu&lt;/p&gt;&lt;div style="clear: both;"&gt;&lt;/div&gt;&lt;/div&gt;&lt;div&gt;&lt;h5&gt;&lt;b&gt;School &lt;/b&gt;illusion (phantasm) [mind-affecting, evil]; &lt;b&gt;Level &lt;/b&gt;cleric/oracle 7, inquisitor 6, witch 7&lt;/h5&gt;&lt;/div&gt;&lt;hr/&gt;&lt;div&gt;&lt;h5&gt;&lt;b&gt;CASTING&lt;/b&gt;&lt;/h5&gt;&lt;/div&gt;&lt;hr/&gt;&lt;div&gt;&lt;h5&gt;&lt;b&gt;Casting Time &lt;/b&gt;10 minutes (see text)&lt;/h5&gt;&lt;h5&gt;&lt;b&gt;Components &lt;/b&gt;V, S&lt;/h5&gt;&lt;/div&gt;&lt;hr/&gt;&lt;div&gt;&lt;h5&gt;&lt;b&gt;EFFECT&lt;/b&gt;&lt;/h5&gt;&lt;/div&gt;&lt;hr/&gt;&lt;div&gt;&lt;h5&gt;&lt;b&gt;Range &lt;/b&gt;unlimited&lt;/h5&gt;&lt;h5&gt;&lt;b&gt;Targets &lt;/b&gt;one living creature&lt;/h5&gt;&lt;h5&gt;&lt;b&gt;Duration &lt;/b&gt;instantaneous&lt;/h5&gt;&lt;h5&gt;&lt;b&gt;Saving Throw &lt;/b&gt;Will negates (see text); &lt;b&gt;Spell Resistance &lt;/b&gt;yes&lt;/h5&gt;&lt;/div&gt;&lt;hr/&gt;&lt;div&gt;&lt;h5&gt;&lt;b&gt;DESCRIPTION&lt;/b&gt;&lt;/h5&gt;&lt;/div&gt;&lt;hr/&gt;&lt;div&gt;&lt;h4&gt;&lt;p&gt;This spell functions exactly as the spell &lt;i&gt;nightmare&lt;/i&gt;. In addition to the effects of that spell, you can cause a second spell to be delivered when the target wakes at the &lt;i&gt;nightmare&lt;/i&gt;'s conclusion.&lt;/p&gt;&lt;p&gt;You must have this second spell prepared, and it must be cast immediately after &lt;i&gt;vision of Lamashtu&lt;/i&gt; (effectively adding the two spells' casting times). This second spell "rides along" with the &lt;i&gt;nightmare&lt;/i&gt;, affecting the target as soon as it wakes from its fitful sleep. Any spell can be sent along with the &lt;i&gt;nightmare&lt;/i&gt;, so long as it is of 6th level or lower, affects one target (which is always the &lt;i&gt;nightmare&lt;/i&gt;'s recipient), and does not deal hit point damage. The second spell's range is irrelevant for the purposes of &lt;i&gt;vision of Lamashtu&lt;/i&gt;, and even touch attacks can be delivered in this manner (you must still make a successful touch attack in order to affect the target, though, with the act of touching occurring within the context of the victim's &lt;i&gt;nightmare&lt;/i&gt;). The target is allowed to save against the second spell if a save is allowed. For example, a cleric of Lamashtu could send &lt;i&gt;bestow curse&lt;/i&gt; along as part of a &lt;i&gt;vision of Lamashtu&lt;/i&gt;, but not &lt;i&gt;blade barrier&lt;/i&gt; (affects an area), &lt;i&gt;destruction&lt;/i&gt; (too high level), or &lt;i&gt;inflict moderate wounds&lt;/i&gt; (deals hit point damage).&lt;/p&gt;&lt;/h4&gt;&lt;/div&gt;</t>
  </si>
  <si>
    <t>Waters Of Lamashtu</t>
  </si>
  <si>
    <t>alchemist 2, cleric/oracle 3, druid 3, witch 3</t>
  </si>
  <si>
    <t>V, S, M (250 gp of powdered amber)</t>
  </si>
  <si>
    <t>up to 1 draft of the waters of Lamashtu per 2 levels</t>
  </si>
  <si>
    <t>This spell generates what appears to be clear, pure water, but is in fact a foul secretion known as the waters of Lamashtu.  The liquid functions in all the same ways as unholy water (see curse water). In addition, any creature that is anointed with or drinks this fluid must make a Fortitude save (drinking the waters of Lamashtu is particularly effective-creatures who drink the stuff take a -4 penalty on their save to resist its effects). Success causes the creature to become violently ill, vomit the fluid, and become sickened for 1d4 rounds. Failure indicates the water takes root and drives the victim mad (dealing 1d6 points of Intelligence damage) and twists and deforms the body (dealing 1d6 points of Dexterity damage).  The subject's Dexterity and Intelligence cannot drop below 1 as a result of this effect. Casting this spell creates approximately 2 ounces of the waters of Lamashtu, enough for one draft or use (if bottled) as a thrown weapon. The fluid can be created and stored indefinitely, though it cannot be created inside a creature. Extensive exposure to the waters of Lamashtu (such as drinking nothing else for months at a time) can have other long-term effects on the target, including the development of monstrous deformities or even total transformation into a beast, depending on the GM's whim (these mutations are rarely, if ever, beneficial to the victim).</t>
  </si>
  <si>
    <t>&lt;p&gt;This spell generates what appears to be clear, pure water, but is in fact a foul secretion known as the &lt;i&gt;waters of Lamashtu&lt;/i&gt;.&lt;/p&gt;&lt;p&gt;The liquid functions in all the same ways as unholy water (see &lt;i&gt;curse&lt;/i&gt; water). In addition, any creature that is anointed with or drinks this fluid must make a Fortitude save (drinking the &lt;i&gt;waters of Lamashtu&lt;/i&gt; is particularly effective-creatures who drink the stuff take a -4 penalty on their save to resist its effects). Success causes the creature to become violently ill, vomit the fluid, and become sickened for 1d4 rounds. Failure indicates the water takes root and drives the victim mad (dealing 1d6 points of Intelligence damage) and twists and deforms the body (dealing 1d6 points of Dexterity damage).&lt;/p&gt;&lt;p&gt;The subject's Dexterity and Intelligence cannot drop below 1 as a result of this effect. Casting this spell creates approximately 2 ounces of the &lt;i&gt;waters of Lamashtu&lt;/i&gt;, enough for one draft or use (if bottled) as a thrown weapon. The fluid can be created and stored indefinitely, though it cannot be created inside a creature. Extensive exposure to the &lt;i&gt;waters of Lamashtu&lt;/i&gt; (such as drinking nothing else for months at a time) can have other long-term effects on the target, including the development of monstrous deformities or even total transformation into a beast, depending on the GM's whim (these mutations are rarely, if ever, beneficial to the victim).&lt;/p&gt;</t>
  </si>
  <si>
    <t>&lt;link rel="stylesheet"href="PF.css"&gt;&lt;div class="heading"&gt;&lt;p class="alignleft"&gt;Waters Of Lamashtu&lt;/p&gt;&lt;div style="clear: both;"&gt;&lt;/div&gt;&lt;/div&gt;&lt;div&gt;&lt;h5&gt;&lt;b&gt;School &lt;/b&gt;conjuration (creation); &lt;b&gt;Level &lt;/b&gt;alchemist 2, cleric/oracle 3, druid 3, witch 3&lt;/h5&gt;&lt;/div&gt;&lt;hr/&gt;&lt;div&gt;&lt;h5&gt;&lt;b&gt;CASTING&lt;/b&gt;&lt;/h5&gt;&lt;/div&gt;&lt;hr/&gt;&lt;div&gt;&lt;h5&gt;&lt;b&gt;Casting Time &lt;/b&gt;1 standard action&lt;/h5&gt;&lt;h5&gt;&lt;b&gt;Components &lt;/b&gt;V, S, M (250 gp of powdered amber)&lt;/h5&gt;&lt;/div&gt;&lt;hr/&gt;&lt;div&gt;&lt;h5&gt;&lt;b&gt;EFFECT&lt;/b&gt;&lt;/h5&gt;&lt;/div&gt;&lt;hr/&gt;&lt;div&gt;&lt;h5&gt;&lt;b&gt;Range &lt;/b&gt;close (25 ft. + 5 ft./2 levels)&lt;/h5&gt;&lt;h5&gt;&lt;b&gt;Effect &lt;/b&gt;up to 1 draft of the waters of Lamashtu per 2 levels&lt;/h5&gt;&lt;h5&gt;&lt;b&gt;Duration &lt;/b&gt;instantaneous&lt;/h5&gt;&lt;h5&gt;&lt;b&gt;Saving Throw &lt;/b&gt;Fortitude partial; &lt;b&gt;Spell Resistance &lt;/b&gt;no&lt;/h5&gt;&lt;/div&gt;&lt;hr/&gt;&lt;div&gt;&lt;h5&gt;&lt;b&gt;DESCRIPTION&lt;/b&gt;&lt;/h5&gt;&lt;/div&gt;&lt;hr/&gt;&lt;div&gt;&lt;h4&gt;&lt;p&gt;This spell generates what appears to be clear, pure water, but is in fact a foul secretion known as the &lt;i&gt;waters of Lamashtu&lt;/i&gt;.&lt;/p&gt;&lt;p&gt;The liquid functions in all the same ways as unholy water (see &lt;i&gt;curse&lt;/i&gt; water). In addition, any creature that is anointed with or drinks this fluid must make a Fortitude save (drinking the &lt;i&gt;waters of Lamashtu&lt;/i&gt; is particularly effective-creatures who drink the stuff take a -4 penalty on their save to resist its effects). Success causes the creature to become violently ill, vomit the fluid, and become sickened for 1d4 rounds. Failure indicates the water takes root and drives the victim mad (dealing 1d6 points of Intelligence damage) and twists and deforms the body (dealing 1d6 points of Dexterity damage).&lt;/p&gt;&lt;p&gt;The subject's Dexterity and Intelligence cannot drop below 1 as a result of this effect. Casting this spell creates approximately 2 ounces of the &lt;i&gt;waters of Lamashtu&lt;/i&gt;, enough for one draft or use (if bottled) as a thrown weapon. The fluid can be created and stored indefinitely, though it cannot be created inside a creature. Extensive exposure to the &lt;i&gt;waters of Lamashtu&lt;/i&gt; (such as drinking nothing else for months at a time) can have other long-term effects on the target, including the development of monstrous deformities or even total transformation into a beast, depending on the GM's whim (these mutations are rarely, if ever, beneficial to the victim).&lt;/p&gt;&lt;/h4&gt;&lt;h5&gt;&lt;b&gt;Mythic: &lt;/b&gt;When used as unholy water, mythic waters of Lamashtu dealtwice as much damage and prevent the creature from regaininghit points from fast healing or regeneration for 1d4 rounds(meaning the creature can be killed normally). The abilitydamage from the waters increases to 2d4, and a creatureimbibing or anointed by the waters is nauseated for 1d4 roundsif it fails its saving throw. The long-term effects of drinkingmythic waters of Lamashtu happen more quickly, requiring onlyregular exposure over weeks instead of massive quantities formonths, and warp the consuming creature more extensively (atthe GM's discretion). Monstrosities created by mythic waters ofLamashtu can breed with members of their original species andpass on such mutations to their offspring.&lt;/h5&gt;&lt;/div&gt;</t>
  </si>
  <si>
    <t>When used as unholy water, mythic waters of Lamashtu dealtwice as much damage and prevent the creature from regaininghit points from fast healing or regeneration for 1d4 rounds(meaning the creature can be killed normally). The abilitydamage from the waters increases to 2d4, and a creatureimbibing or anointed by the waters is nauseated for 1d4 roundsif it fails its saving throw. The long-term effects of drinkingmythic waters of Lamashtu happen more quickly, requiring onlyregular exposure over weeks instead of massive quantities formonths, and warp the consuming creature more extensively (atthe GM's discretion). Monstrosities created by mythic waters ofLamashtu can breed with members of their original species andpass on such mutations to their offspring.</t>
  </si>
  <si>
    <t>Trail of the Rose</t>
  </si>
  <si>
    <t>S, V</t>
  </si>
  <si>
    <t>1 rose touched</t>
  </si>
  <si>
    <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  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t>
  </si>
  <si>
    <t>&lt;p&gt;This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creature.&lt;/p&gt;&lt;p&gt;When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trail.&lt;/p&gt;</t>
  </si>
  <si>
    <t>Faiths Of Purity</t>
  </si>
  <si>
    <t>&lt;link rel="stylesheet"href="PF.css"&gt;&lt;div class="heading"&gt;&lt;p class="alignleft"&gt;Trail of the Rose&lt;/p&gt;&lt;div style="clear: both;"&gt;&lt;/div&gt;&lt;/div&gt;&lt;div&gt;&lt;h5&gt;&lt;b&gt;School &lt;/b&gt;illusion (phantasm); &lt;b&gt;Level &lt;/b&gt;bard 2, cleric/oracle 2 (Shelyn)&lt;/h5&gt;&lt;/div&gt;&lt;hr/&gt;&lt;div&gt;&lt;h5&gt;&lt;b&gt;CASTING&lt;/b&gt;&lt;/h5&gt;&lt;/div&gt;&lt;hr/&gt;&lt;div&gt;&lt;h5&gt;&lt;b&gt;Casting Time &lt;/b&gt;1 standard action&lt;/h5&gt;&lt;h5&gt;&lt;b&gt;Components &lt;/b&gt;S, V&lt;/h5&gt;&lt;/div&gt;&lt;hr/&gt;&lt;div&gt;&lt;h5&gt;&lt;b&gt;EFFECT&lt;/b&gt;&lt;/h5&gt;&lt;/div&gt;&lt;hr/&gt;&lt;div&gt;&lt;h5&gt;&lt;b&gt;Range &lt;/b&gt;touch&lt;/h5&gt;&lt;h5&gt;&lt;b&gt;Targets &lt;/b&gt;1 rose touched&lt;/h5&gt;&lt;h5&gt;&lt;b&gt;Duration &lt;/b&gt;1 hour/level (D)&lt;/h5&gt;&lt;h5&gt;&lt;b&gt;Saving Throw &lt;/b&gt;no; &lt;b&gt;Spell Resistance &lt;/b&gt;no&lt;/h5&gt;&lt;/div&gt;&lt;hr/&gt;&lt;div&gt;&lt;h5&gt;&lt;b&gt;DESCRIPTION&lt;/b&gt;&lt;/h5&gt;&lt;/div&gt;&lt;hr/&gt;&lt;div&gt;&lt;h4&gt;&lt;p&gt;This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creature.&lt;/p&gt;&lt;p&gt;When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trail.&lt;/p&gt;&lt;/h4&gt;&lt;/div&gt;</t>
  </si>
  <si>
    <t>Shelyn</t>
  </si>
  <si>
    <t>Acidic Spray</t>
  </si>
  <si>
    <t>magus 5, sorcerer/wizard 5</t>
  </si>
  <si>
    <t>V, S, M (a vial of acid worth 10 gp)</t>
  </si>
  <si>
    <t>Reflex partial (see text)</t>
  </si>
  <si>
    <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t>
  </si>
  <si>
    <t>&lt;p&gt;A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damage).&lt;/p&gt;</t>
  </si>
  <si>
    <t>Ultimate Magic</t>
  </si>
  <si>
    <t>&lt;link rel="stylesheet"href="PF.css"&gt;&lt;div class="heading"&gt;&lt;p class="alignleft"&gt;Acidic Spray&lt;/p&gt;&lt;div style="clear: both;"&gt;&lt;/div&gt;&lt;/div&gt;&lt;div&gt;&lt;h5&gt;&lt;b&gt;School &lt;/b&gt;conjuration (creation) [acid]; &lt;b&gt;Level &lt;/b&gt;magus 5, sorcerer/wizard 5&lt;/h5&gt;&lt;/div&gt;&lt;hr/&gt;&lt;div&gt;&lt;h5&gt;&lt;b&gt;CASTING&lt;/b&gt;&lt;/h5&gt;&lt;/div&gt;&lt;hr/&gt;&lt;div&gt;&lt;h5&gt;&lt;b&gt;Casting Time &lt;/b&gt;1 standard action&lt;/h5&gt;&lt;h5&gt;&lt;b&gt;Components &lt;/b&gt;V, S, M (a vial of acid worth 10 gp)&lt;/h5&gt;&lt;/div&gt;&lt;hr/&gt;&lt;div&gt;&lt;h5&gt;&lt;b&gt;EFFECT&lt;/b&gt;&lt;/h5&gt;&lt;/div&gt;&lt;hr/&gt;&lt;div&gt;&lt;h5&gt;&lt;b&gt;Range &lt;/b&gt;60 ft.&lt;/h5&gt;&lt;h5&gt;&lt;b&gt;Effect &lt;/b&gt;60-ft. line&lt;/h5&gt;&lt;h5&gt;&lt;b&gt;Duration &lt;/b&gt;instantaneous&lt;/h5&gt;&lt;h5&gt;&lt;b&gt;Saving Throw &lt;/b&gt;Reflex partial (see text); &lt;b&gt;Spell Resistance &lt;/b&gt;yes&lt;/h5&gt;&lt;/div&gt;&lt;hr/&gt;&lt;div&gt;&lt;h5&gt;&lt;b&gt;DESCRIPTION&lt;/b&gt;&lt;/h5&gt;&lt;/div&gt;&lt;hr/&gt;&lt;div&gt;&lt;h4&gt;&lt;p&gt;A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damage).&lt;/p&gt;&lt;/h4&gt;&lt;/div&gt;</t>
  </si>
  <si>
    <t>1d6/level acid damage plus 1 round of acid.</t>
  </si>
  <si>
    <t>Acute Senses</t>
  </si>
  <si>
    <t>alchemist 2, bard 2, inquisitor 2, ranger 2, psychic 2</t>
  </si>
  <si>
    <t>V, S, M (a glass lens)</t>
  </si>
  <si>
    <t>The target gains a +10 enhancement bonus on Perception checks. The bonus increases to +20 at caster level 8th, and +30 (the maximum) at caster level 16th.</t>
  </si>
  <si>
    <t>&lt;p&gt;The target gains a +10 enhancement bonus on Perception checks. The bonus increases to +20 at caster level 8th, and +30 (the maximum) at caster level 16th.&lt;/p&gt;</t>
  </si>
  <si>
    <t>&lt;link rel="stylesheet"href="PF.css"&gt;&lt;div class="heading"&gt;&lt;p class="alignleft"&gt;Acute Senses&lt;/p&gt;&lt;div style="clear: both;"&gt;&lt;/div&gt;&lt;/div&gt;&lt;div&gt;&lt;h5&gt;&lt;b&gt;School &lt;/b&gt;transmutation; &lt;b&gt;Level &lt;/b&gt;alchemist 2, bard 2, inquisitor 2, ranger 2, psychic 2&lt;/h5&gt;&lt;/div&gt;&lt;hr/&gt;&lt;div&gt;&lt;h5&gt;&lt;b&gt;CASTING&lt;/b&gt;&lt;/h5&gt;&lt;/div&gt;&lt;hr/&gt;&lt;div&gt;&lt;h5&gt;&lt;b&gt;Casting Time &lt;/b&gt;1 standard action&lt;/h5&gt;&lt;h5&gt;&lt;b&gt;Components &lt;/b&gt;V, S, M (a glass lens)&lt;/h5&gt;&lt;/div&gt;&lt;hr/&gt;&lt;div&gt;&lt;h5&gt;&lt;b&gt;EFFECT&lt;/b&gt;&lt;/h5&gt;&lt;/div&gt;&lt;hr/&gt;&lt;div&gt;&lt;h5&gt;&lt;b&gt;Range &lt;/b&gt;touch&lt;/h5&gt;&lt;h5&gt;&lt;b&gt;Targets &lt;/b&gt;creature touched&lt;/h5&gt;&lt;h5&gt;&lt;b&gt;Duration &lt;/b&gt;1 minute/level&lt;/h5&gt;&lt;h5&gt;&lt;b&gt;Saving Throw &lt;/b&gt;Will negates (harmless); &lt;b&gt;Spell Resistance &lt;/b&gt;yes&lt;/h5&gt;&lt;/div&gt;&lt;hr/&gt;&lt;div&gt;&lt;h5&gt;&lt;b&gt;DESCRIPTION&lt;/b&gt;&lt;/h5&gt;&lt;/div&gt;&lt;hr/&gt;&lt;div&gt;&lt;h4&gt;&lt;p&gt;The target gains a +10 enhancement bonus on Perception checks. The bonus increases to +20 at caster level 8th, and +30 (the maximum) at caster level 16th.&lt;/p&gt;&lt;/h4&gt;&lt;/div&gt;</t>
  </si>
  <si>
    <t>Subject gains a bonus on Perception checks.</t>
  </si>
  <si>
    <t>Age Resistance, Lesser</t>
  </si>
  <si>
    <t>alchemist 3, druid 4, sorcerer/wizard 4, witch 4, occultist 3, psychic 4</t>
  </si>
  <si>
    <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t>
  </si>
  <si>
    <t>&lt;p&gt;You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full.&lt;/p&gt;</t>
  </si>
  <si>
    <t>&lt;link rel="stylesheet"href="PF.css"&gt;&lt;div class="heading"&gt;&lt;p class="alignleft"&gt;Age Resistance, Lesser&lt;/p&gt;&lt;div style="clear: both;"&gt;&lt;/div&gt;&lt;/div&gt;&lt;div&gt;&lt;h5&gt;&lt;b&gt;School &lt;/b&gt;transmutation; &lt;b&gt;Level &lt;/b&gt;alchemist 3, druid 4, sorcerer/wizard 4, witch 4, occultist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full.&lt;/p&gt;&lt;/h4&gt;&lt;/div&gt;</t>
  </si>
  <si>
    <t>Ignore penalties from middle age.</t>
  </si>
  <si>
    <t>Age Resistance, Greater</t>
  </si>
  <si>
    <t>alchemist 5, druid 7, sorcerer/wizard 7, witch 7, occultist 5, psychic 7</t>
  </si>
  <si>
    <t>This spell functions as lesser age resistance, except you ignore all Strength, Dexterity, and Constitution penalties gained from middle age, old age, and venerable age.</t>
  </si>
  <si>
    <t>&lt;p&gt;This spell functions as &lt;i&gt;lesser age resistance&lt;/i&gt;, except you ignore all Strength, Dexterity, and Constitution penalties gained from middle age, old age, and venerable age.&lt;/p&gt;</t>
  </si>
  <si>
    <t>&lt;link rel="stylesheet"href="PF.css"&gt;&lt;div class="heading"&gt;&lt;p class="alignleft"&gt;Age Resistance, Greater&lt;/p&gt;&lt;div style="clear: both;"&gt;&lt;/div&gt;&lt;/div&gt;&lt;div&gt;&lt;h5&gt;&lt;b&gt;School &lt;/b&gt;transmutation; &lt;b&gt;Level &lt;/b&gt;alchemist 5, druid 7, sorcerer/wizard 7, witch 7, occultist 5, psychic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hours&lt;/h5&gt;&lt;/div&gt;&lt;hr/&gt;&lt;div&gt;&lt;h5&gt;&lt;b&gt;DESCRIPTION&lt;/b&gt;&lt;/h5&gt;&lt;/div&gt;&lt;hr/&gt;&lt;div&gt;&lt;h4&gt;&lt;p&gt;This spell functions as &lt;i&gt;lesser age resistance&lt;/i&gt;, except you ignore all Strength, Dexterity, and Constitution penalties gained from middle age, old age, and venerable age.&lt;/p&gt;&lt;/h4&gt;&lt;/div&gt;</t>
  </si>
  <si>
    <t>Ignore penalties from venerable age.</t>
  </si>
  <si>
    <t>Imperious (15)</t>
  </si>
  <si>
    <t>Age Resistance</t>
  </si>
  <si>
    <t>alchemist 4, druid 6, sorcerer/wizard 6, witch 6, occultist 4, psychic 6</t>
  </si>
  <si>
    <t>This spell functions as lesser age resistance, except you ignore the Strength, Dexterity, and Constitution penalties gained at middle age and old age.</t>
  </si>
  <si>
    <t>&lt;p&gt;This spell functions as &lt;i&gt;lesser age resistance&lt;/i&gt;, except you ignore the Strength, Dexterity, and Constitution penalties gained at middle age and old age.&lt;/p&gt;</t>
  </si>
  <si>
    <t>&lt;link rel="stylesheet"href="PF.css"&gt;&lt;div class="heading"&gt;&lt;p class="alignleft"&gt;Age Resistance&lt;/p&gt;&lt;div style="clear: both;"&gt;&lt;/div&gt;&lt;/div&gt;&lt;div&gt;&lt;h5&gt;&lt;b&gt;School &lt;/b&gt;transmutation; &lt;b&gt;Level &lt;/b&gt;alchemist 4, druid 6, sorcerer/wizard 6, witch 6, occultist 4, psychic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hours&lt;/h5&gt;&lt;/div&gt;&lt;hr/&gt;&lt;div&gt;&lt;h5&gt;&lt;b&gt;DESCRIPTION&lt;/b&gt;&lt;/h5&gt;&lt;/div&gt;&lt;hr/&gt;&lt;div&gt;&lt;h4&gt;&lt;p&gt;This spell functions as &lt;i&gt;lesser age resistance&lt;/i&gt;, except you ignore the Strength, Dexterity, and Constitution penalties gained at middle age and old age.&lt;/p&gt;&lt;/h4&gt;&lt;/div&gt;</t>
  </si>
  <si>
    <t>Ignore penalties from old age.</t>
  </si>
  <si>
    <t>Allegro</t>
  </si>
  <si>
    <t>1 round/level (D) or until discharged</t>
  </si>
  <si>
    <t>This spell allows you to act more swiftly while maintaining a bardic performance. You must already be maintaining a bardic performance before you can cast allegro. You gain the benefits of the spell haste for as long as you maintain that bardic performance. If you cease maintaining the bardic performance or it is interrupted, this spell's duration ends. As an immediate action while you are maintaining a bardic performance, you can dismiss allegro to reroll a Reflex save or Dexterity-based skill check-you must choose to reroll before the result of the original roll is known. You must take the result of the reroll, even if it's worse than the original roll. Allegro dispels and is dispelled by slow.</t>
  </si>
  <si>
    <t>&lt;p&gt;This spell allows you to act more swiftly while maintaining a bardic performance. You must already be maintaining a bardic performance before you can cast &lt;i&gt;allegro&lt;/i&gt;. You gain the benefits of the spell &lt;i&gt;haste&lt;/i&gt; for as long as you maintain that bardic performance. If you cease maintaining the bardic performance or it is interrupted, this spell's duration ends. As an immediate action while you are maintaining a bardic performance, you can dismiss &lt;i&gt;allegro&lt;/i&gt; to reroll a Reflex save or Dexterity-based skill check-you must choose to reroll before the result of the original roll is known. You must take the result of the reroll, even if it's worse than the original roll. &lt;i&gt;Allegro&lt;/i&gt; dispels and is dispelled by &lt;i&gt;slow&lt;/i&gt;.&lt;/p&gt;</t>
  </si>
  <si>
    <t>&lt;link rel="stylesheet"href="PF.css"&gt;&lt;div class="heading"&gt;&lt;p class="alignleft"&gt;Allegro&lt;/p&gt;&lt;div style="clear: both;"&gt;&lt;/div&gt;&lt;/div&gt;&lt;div&gt;&lt;h5&gt;&lt;b&gt;School &lt;/b&gt;transmutation; &lt;b&gt;Level &lt;/b&gt;bard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 or until discharged&lt;/h5&gt;&lt;/div&gt;&lt;hr/&gt;&lt;div&gt;&lt;h5&gt;&lt;b&gt;DESCRIPTION&lt;/b&gt;&lt;/h5&gt;&lt;/div&gt;&lt;hr/&gt;&lt;div&gt;&lt;h4&gt;&lt;p&gt;This spell allows you to act more swiftly while maintaining a bardic performance. You must already be maintaining a bardic performance before you can cast &lt;i&gt;allegro&lt;/i&gt;. You gain the benefits of the spell &lt;i&gt;haste&lt;/i&gt; for as long as you maintain that bardic performance. If you cease maintaining the bardic performance or it is interrupted, this spell's duration ends. As an immediate action while you are maintaining a bardic performance, you can dismiss &lt;i&gt;allegro&lt;/i&gt; to reroll a Reflex save or Dexterity-based skill check-you must choose to reroll before the result of the original roll is known. You must take the result of the reroll, even if it's worse than the original roll. &lt;i&gt;Allegro&lt;/i&gt; dispels and is dispelled by &lt;i&gt;slow&lt;/i&gt;.&lt;/p&gt;&lt;/h4&gt;&lt;/div&gt;</t>
  </si>
  <si>
    <t>Gain haste while maintaining bardic performance.</t>
  </si>
  <si>
    <t>Animate Dead, Lesser</t>
  </si>
  <si>
    <t>cleric/oracle 2, sorcerer/wizard 3, shaman 2, occultist 2, spiritualist 2</t>
  </si>
  <si>
    <t>This spell functions as animate dead, except you can only create a single Small or Medium skeleton or zombie. You cannot create variant skeletons or zombies with this spell.</t>
  </si>
  <si>
    <t>&lt;p&gt;This spell functions as &lt;i&gt;animate dead&lt;/i&gt;, except you can only create a single Small or Medium skeleton or zombie. You cannot create variant skeletons or zombies with this spell.&lt;/p&gt;</t>
  </si>
  <si>
    <t>&lt;link rel="stylesheet"href="PF.css"&gt;&lt;div class="heading"&gt;&lt;p class="alignleft"&gt;Animate Dead, Lesser&lt;/p&gt;&lt;div style="clear: both;"&gt;&lt;/div&gt;&lt;/div&gt;&lt;div&gt;&lt;h5&gt;&lt;b&gt;School &lt;/b&gt;necromancy [evil]; &lt;b&gt;Level &lt;/b&gt;cleric/oracle 2, sorcerer/wizard 3, shaman 2, occultist 2, spiritualist 2&lt;/h5&gt;&lt;/div&gt;&lt;hr/&gt;&lt;div&gt;&lt;h5&gt;&lt;b&gt;CASTING&lt;/b&gt;&lt;/h5&gt;&lt;/div&gt;&lt;hr/&gt;&lt;div&gt;&lt;h5&gt;&lt;b&gt;Casting Time &lt;/b&gt;1 standard action&lt;/h5&gt;&lt;h5&gt;&lt;b&gt;Components &lt;/b&gt;V, S, M (an onyx gem worth at least 25 gp per Hit Die of the undead)&lt;/h5&gt;&lt;/div&gt;&lt;hr/&gt;&lt;div&gt;&lt;h5&gt;&lt;b&gt;EFFECT&lt;/b&gt;&lt;/h5&gt;&lt;/div&gt;&lt;hr/&gt;&lt;div&gt;&lt;h5&gt;&lt;b&gt;Range &lt;/b&gt;touch&lt;/h5&gt;&lt;h5&gt;&lt;b&gt;Targets &lt;/b&gt;one corpse&lt;/h5&gt;&lt;h5&gt;&lt;b&gt;Duration &lt;/b&gt;instantaneous&lt;/h5&gt;&lt;h5&gt;&lt;b&gt;Saving Throw &lt;/b&gt;none; &lt;b&gt;Spell Resistance &lt;/b&gt;no&lt;/h5&gt;&lt;/div&gt;&lt;hr/&gt;&lt;div&gt;&lt;h5&gt;&lt;b&gt;DESCRIPTION&lt;/b&gt;&lt;/h5&gt;&lt;/div&gt;&lt;hr/&gt;&lt;div&gt;&lt;h4&gt;&lt;p&gt;This spell functions as &lt;i&gt;animate dead&lt;/i&gt;, except you can only create a single Small or Medium skeleton or zombie. You cannot create variant skeletons or zombies with this spell.&lt;/p&gt;&lt;/h4&gt;&lt;/div&gt;</t>
  </si>
  <si>
    <t>Create one skeleton or zombie.</t>
  </si>
  <si>
    <t>Anthropomorphic Animal</t>
  </si>
  <si>
    <t>druid 3, sorcerer/wizard 3, witch 3</t>
  </si>
  <si>
    <t>V, S, M (a humanoid thumb bone)</t>
  </si>
  <si>
    <t>animal touched</t>
  </si>
  <si>
    <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  Anthropomorphic animal can be made permanent with a permanency spell cast by a caster of 11th level or higher at a cost of 7,500 gp.</t>
  </si>
  <si>
    <t>&lt;p&gt;You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attack).&lt;/p&gt;&lt;p&gt;&lt;i&gt;Anthropomorphic animal&lt;/i&gt; can be made permanent with a &lt;i&gt;permanency&lt;/i&gt; spell cast by a caster of 11th level or higher at a cost of 7,500 gp.&lt;/p&gt;</t>
  </si>
  <si>
    <t>&lt;link rel="stylesheet"href="PF.css"&gt;&lt;div class="heading"&gt;&lt;p class="alignleft"&gt;Anthropomorphic Animal&lt;/p&gt;&lt;div style="clear: both;"&gt;&lt;/div&gt;&lt;/div&gt;&lt;div&gt;&lt;h5&gt;&lt;b&gt;School &lt;/b&gt;transmutation (polymorph); &lt;b&gt;Level &lt;/b&gt;druid 3, sorcerer/wizard 3, witch 3&lt;/h5&gt;&lt;/div&gt;&lt;hr/&gt;&lt;div&gt;&lt;h5&gt;&lt;b&gt;CASTING&lt;/b&gt;&lt;/h5&gt;&lt;/div&gt;&lt;hr/&gt;&lt;div&gt;&lt;h5&gt;&lt;b&gt;Casting Time &lt;/b&gt;1 standard action&lt;/h5&gt;&lt;h5&gt;&lt;b&gt;Components &lt;/b&gt;V, S, M (a humanoid thumb bone)&lt;/h5&gt;&lt;/div&gt;&lt;hr/&gt;&lt;div&gt;&lt;h5&gt;&lt;b&gt;EFFECT&lt;/b&gt;&lt;/h5&gt;&lt;/div&gt;&lt;hr/&gt;&lt;div&gt;&lt;h5&gt;&lt;b&gt;Range &lt;/b&gt;touch&lt;/h5&gt;&lt;h5&gt;&lt;b&gt;Targets &lt;/b&gt;animal touched&lt;/h5&gt;&lt;h5&gt;&lt;b&gt;Duration &lt;/b&gt;1 hour/level&lt;/h5&gt;&lt;h5&gt;&lt;b&gt;Saving Throw &lt;/b&gt;Fortitude negates; &lt;b&gt;Spell Resistance &lt;/b&gt;yes&lt;/h5&gt;&lt;/div&gt;&lt;hr/&gt;&lt;div&gt;&lt;h5&gt;&lt;b&gt;DESCRIPTION&lt;/b&gt;&lt;/h5&gt;&lt;/div&gt;&lt;hr/&gt;&lt;div&gt;&lt;h4&gt;&lt;p&gt;You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attack).&lt;/p&gt;&lt;p&gt;&lt;i&gt;Anthropomorphic animal&lt;/i&gt; can be made permanent with a &lt;i&gt;permanency&lt;/i&gt; spell cast by a caster of 11th level or higher at a cost of 7,500 gp.&lt;/p&gt;&lt;/h4&gt;&lt;/div&gt;</t>
  </si>
  <si>
    <t>Animal becomes bipedal.</t>
  </si>
  <si>
    <t>Anticipate Peril</t>
  </si>
  <si>
    <t>alchemist 1, bard 1, ranger 1, sorcerer/wizard 1, occultist 1, psychic 1, mesmerist 1, spiritualist 1</t>
  </si>
  <si>
    <t>1 minute/level or until activated</t>
  </si>
  <si>
    <t>A creature affected by anticipate peril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t>
  </si>
  <si>
    <t>&lt;p&gt;A creature affected by &lt;i&gt;anticipate peril&lt;/i&gt;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end.&lt;/p&gt;</t>
  </si>
  <si>
    <t>&lt;link rel="stylesheet"href="PF.css"&gt;&lt;div class="heading"&gt;&lt;p class="alignleft"&gt;Anticipate Peril&lt;/p&gt;&lt;div style="clear: both;"&gt;&lt;/div&gt;&lt;/div&gt;&lt;div&gt;&lt;h5&gt;&lt;b&gt;School &lt;/b&gt;divination; &lt;b&gt;Level &lt;/b&gt;alchemist 1, bard 1, ranger 1, sorcerer/wizard 1, occultist 1, psychic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or until activated&lt;/h5&gt;&lt;h5&gt;&lt;b&gt;Saving Throw &lt;/b&gt;Will negates; &lt;b&gt;Spell Resistance &lt;/b&gt;yes&lt;/h5&gt;&lt;/div&gt;&lt;hr/&gt;&lt;div&gt;&lt;h5&gt;&lt;b&gt;DESCRIPTION&lt;/b&gt;&lt;/h5&gt;&lt;/div&gt;&lt;hr/&gt;&lt;div&gt;&lt;h4&gt;&lt;p&gt;A creature affected by &lt;i&gt;anticipate peril&lt;/i&gt;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end.&lt;/p&gt;&lt;/h4&gt;&lt;h5&gt;&lt;b&gt;Mythic: &lt;/b&gt;Add your tier to the spell's initiative bonus and the maximum initiative bonus the spell can grant.&lt;/h5&gt;&lt;/div&gt;</t>
  </si>
  <si>
    <t>Target gains a bonus on one initiative check.</t>
  </si>
  <si>
    <t>Add your tier to the spell's initiative bonus and the maximum initiative bonus the spell can grant.</t>
  </si>
  <si>
    <t>Arboreal Hammer</t>
  </si>
  <si>
    <t>one Huge or larger tree</t>
  </si>
  <si>
    <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t>
  </si>
  <si>
    <t>&lt;p&gt;This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see.&lt;/p&gt;</t>
  </si>
  <si>
    <t>&lt;link rel="stylesheet"href="PF.css"&gt;&lt;div class="heading"&gt;&lt;p class="alignleft"&gt;Arboreal Hammer&lt;/p&gt;&lt;div style="clear: both;"&gt;&lt;/div&gt;&lt;/div&gt;&lt;div&gt;&lt;h5&gt;&lt;b&gt;School &lt;/b&gt;transmutation; &lt;b&gt;Level &lt;/b&gt;druid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Huge or larger tree&lt;/h5&gt;&lt;h5&gt;&lt;b&gt;Duration &lt;/b&gt;1 round/level (D)&lt;/h5&gt;&lt;h5&gt;&lt;b&gt;Saving Throw &lt;/b&gt;none; &lt;b&gt;Spell Resistance &lt;/b&gt;no&lt;/h5&gt;&lt;/div&gt;&lt;hr/&gt;&lt;div&gt;&lt;h5&gt;&lt;b&gt;DESCRIPTION&lt;/b&gt;&lt;/h5&gt;&lt;/div&gt;&lt;hr/&gt;&lt;div&gt;&lt;h4&gt;&lt;p&gt;This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see.&lt;/p&gt;&lt;/h4&gt;&lt;h5&gt;&lt;b&gt;Mythic: &lt;/b&gt;You animate two branches instead of one, allowing the tree to attack twice per round. Add your tier to your caster level when determining the tree's Strength score. A creature struck by both slam attacks in the same round must succeed at a Fortitude save against the spell's DC or be staggered for 1 round.&lt;/h5&gt;&lt;h5&gt;&lt;b&gt;Augmented (7th)&lt;/b&gt;: If you expend two uses of mythic power, the tree attempts three slam attacks per round and its slams bypass all damage reduction. A creature struck by all three slam attacks in the same round is stunned for 1 round and staggered for 1d4 rounds after the stun ends. A successful Fortitude save negates the stun and reduces the duration of being staggered by half.&lt;/h5&gt;&lt;/div&gt;</t>
  </si>
  <si>
    <t>Tree branches attack opponents.</t>
  </si>
  <si>
    <t>You animate two branches instead of one, allowing the tree to attack twice per round. Add your tier to your caster level when determining the tree's Strength score. A creature struck by both slam attacks in the same round must succeed at a Fortitude save against the spell's DC or be staggered for 1 round.</t>
  </si>
  <si>
    <t>Augmented (7th): If you expend two uses of mythic power, the tree attempts three slam attacks per round and its slams bypass all damage reduction. A creature struck by all three slam attacks in the same round is stunned for 1 round and staggered for 1d4 rounds after the stun ends. A successful Fortitude save negates the stun and reduces the duration of being staggered by half.</t>
  </si>
  <si>
    <t>Arcana Theft</t>
  </si>
  <si>
    <t>magus 4, psychic 5</t>
  </si>
  <si>
    <t>This spell functions as a targeted dispel magic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t>
  </si>
  <si>
    <t>&lt;p&gt;This spell functions as a targeted &lt;i&gt;dispel magic&lt;/i&gt;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target.&lt;/p&gt;</t>
  </si>
  <si>
    <t>&lt;link rel="stylesheet"href="PF.css"&gt;&lt;div class="heading"&gt;&lt;p class="alignleft"&gt;Arcana Theft&lt;/p&gt;&lt;div style="clear: both;"&gt;&lt;/div&gt;&lt;/div&gt;&lt;div&gt;&lt;h5&gt;&lt;b&gt;School &lt;/b&gt;abjuration; &lt;b&gt;Level &lt;/b&gt;magus 4, psychic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functions as a targeted &lt;i&gt;dispel magic&lt;/i&gt;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target.&lt;/p&gt;&lt;/h4&gt;&lt;/div&gt;</t>
  </si>
  <si>
    <t>Targeted dispel transfers an effect to you.</t>
  </si>
  <si>
    <t>Archon's Aura</t>
  </si>
  <si>
    <t>good, lawful</t>
  </si>
  <si>
    <t>20-ft. radius centered on you</t>
  </si>
  <si>
    <t>You gain a powerful aura, similar to an archon's aura of menace.  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t>
  </si>
  <si>
    <t>&lt;p&gt;You gain a powerful aura, similar to an archon's aura of menace.&lt;/p&gt;&lt;p&gt;Any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aura.&lt;/p&gt;</t>
  </si>
  <si>
    <t>&lt;link rel="stylesheet"href="PF.css"&gt;&lt;div class="heading"&gt;&lt;p class="alignleft"&gt;Archon's Aura&lt;/p&gt;&lt;div style="clear: both;"&gt;&lt;/div&gt;&lt;/div&gt;&lt;div&gt;&lt;h5&gt;&lt;b&gt;School &lt;/b&gt;evocation [good, lawful]; &lt;b&gt;Level &lt;/b&gt;cleric/oracle 3, paladin 3&lt;/h5&gt;&lt;/div&gt;&lt;hr/&gt;&lt;div&gt;&lt;h5&gt;&lt;b&gt;CASTING&lt;/b&gt;&lt;/h5&gt;&lt;/div&gt;&lt;hr/&gt;&lt;div&gt;&lt;h5&gt;&lt;b&gt;Casting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 radius centered on you&lt;/h5&gt;&lt;h5&gt;&lt;b&gt;Duration &lt;/b&gt;1 minute/level&lt;/h5&gt;&lt;h5&gt;&lt;b&gt;Saving Throw &lt;/b&gt;Will negates; &lt;b&gt;Spell Resistance &lt;/b&gt;yes&lt;/h5&gt;&lt;/div&gt;&lt;hr/&gt;&lt;div&gt;&lt;h5&gt;&lt;b&gt;DESCRIPTION&lt;/b&gt;&lt;/h5&gt;&lt;/div&gt;&lt;hr/&gt;&lt;div&gt;&lt;h4&gt;&lt;p&gt;You gain a powerful aura, similar to an archon's aura of menace.&lt;/p&gt;&lt;p&gt;Any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aura.&lt;/p&gt;&lt;/h4&gt;&lt;/div&gt;</t>
  </si>
  <si>
    <t>Aura penalizes enemy attacks and AC.</t>
  </si>
  <si>
    <t>Arrow of Law</t>
  </si>
  <si>
    <t>V, S, DF (a holy symbol)</t>
  </si>
  <si>
    <t>arrow-shaped projectile of lawful energy</t>
  </si>
  <si>
    <t>Will partial (see text)</t>
  </si>
  <si>
    <t>You fire a shimmering arrow of pure order from your holy symbol at any one target in range as a ranged touch attack.  A chaotic creature struck by an arrow of law takes 1d8 points of damage per two caster levels (maximum 5d8). A chaotic outsider instead takes 1d6 points of damage per caster level (maximum 10d6) and is dazed for 1 round. A successful Will save reduces the damage to half and negates the daze effect.  This spell deals only half damage to creatures that are neither chaotic nor lawful, and they are not dazed. The arrow has no effect on lawful creatures.</t>
  </si>
  <si>
    <t>&lt;p&gt;You fire a shimmering arrow of pure order from your holy symbol at any one target in range as a ranged touch attack.&lt;/p&gt;&lt;p&gt;A chaotic creature struck by an &lt;i&gt;arrow of law&lt;/i&gt; takes 1d8 points of damage per two caster levels (maximum 5d8). A chaotic outsider instead takes 1d6 points of damage per caster level (maximum 10d6) and is dazed for 1 round. A successful Will save reduces the damage to half and negates the daze effect.&lt;/p&gt;&lt;p&gt;This spell deals only half damage to creatures that are neither chaotic nor lawful, and they are not dazed. The arrow has no effect on lawful creatures.&lt;/p&gt;</t>
  </si>
  <si>
    <t>&lt;link rel="stylesheet"href="PF.css"&gt;&lt;div class="heading"&gt;&lt;p class="alignleft"&gt;Arrow of Law&lt;/p&gt;&lt;div style="clear: both;"&gt;&lt;/div&gt;&lt;/div&gt;&lt;div&gt;&lt;h5&gt;&lt;b&gt;School &lt;/b&gt;evocation [lawful]; &lt;b&gt;Level &lt;/b&gt;cleric/oracle 2, paladin 2&lt;/h5&gt;&lt;/div&gt;&lt;hr/&gt;&lt;div&gt;&lt;h5&gt;&lt;b&gt;CASTING&lt;/b&gt;&lt;/h5&gt;&lt;/div&gt;&lt;hr/&gt;&lt;div&gt;&lt;h5&gt;&lt;b&gt;Casting Time &lt;/b&gt;1 standard action&lt;/h5&gt;&lt;h5&gt;&lt;b&gt;Components &lt;/b&gt;V, S, DF (a holy symbol)&lt;/h5&gt;&lt;/div&gt;&lt;hr/&gt;&lt;div&gt;&lt;h5&gt;&lt;b&gt;EFFECT&lt;/b&gt;&lt;/h5&gt;&lt;/div&gt;&lt;hr/&gt;&lt;div&gt;&lt;h5&gt;&lt;b&gt;Range &lt;/b&gt;close (25 ft. + 5 ft./2 levels)&lt;/h5&gt;&lt;h5&gt;&lt;b&gt;Effect &lt;/b&gt;arrow-shaped projectile of lawful energy&lt;/h5&gt;&lt;h5&gt;&lt;b&gt;Duration &lt;/b&gt;instantaneous (1 round); see text&lt;/h5&gt;&lt;h5&gt;&lt;b&gt;Saving Throw &lt;/b&gt;Will partial (see text); &lt;b&gt;Spell Resistance &lt;/b&gt;yes&lt;/h5&gt;&lt;/div&gt;&lt;hr/&gt;&lt;div&gt;&lt;h5&gt;&lt;b&gt;DESCRIPTION&lt;/b&gt;&lt;/h5&gt;&lt;/div&gt;&lt;hr/&gt;&lt;div&gt;&lt;h4&gt;&lt;p&gt;You fire a shimmering arrow of pure order from your holy symbol at any one target in range as a ranged touch attack.&lt;/p&gt;&lt;p&gt;A chaotic creature struck by an &lt;i&gt;arrow of law&lt;/i&gt; takes 1d8 points of damage per two caster levels (maximum 5d8). A chaotic outsider instead takes 1d6 points of damage per caster level (maximum 10d6) and is dazed for 1 round. A successful Will save reduces the damage to half and negates the daze effect.&lt;/p&gt;&lt;p&gt;This spell deals only half damage to creatures that are neither chaotic nor lawful, and they are not dazed. The arrow has no effect on lawful creatures.&lt;/p&gt;&lt;/h4&gt;&lt;/div&gt;</t>
  </si>
  <si>
    <t>Harm and possibly daze chaotic creatures.</t>
  </si>
  <si>
    <t>Ash Storm</t>
  </si>
  <si>
    <t>V, S, M/DF (a pinch of ash)</t>
  </si>
  <si>
    <t>Driving ash blocks all sight (even darkvision) within the spell's area of effect, and falling cinders cause the ground in the area to become difficult terrain.</t>
  </si>
  <si>
    <t>&lt;p&gt;Driving ash blocks all sight (even darkvision) within the spell's area of effect, and falling cinders cause the ground in the area to become difficult terrain.&lt;/p&gt;</t>
  </si>
  <si>
    <t>&lt;link rel="stylesheet"href="PF.css"&gt;&lt;div class="heading"&gt;&lt;p class="alignleft"&gt;Ash Storm&lt;/p&gt;&lt;div style="clear: both;"&gt;&lt;/div&gt;&lt;/div&gt;&lt;div&gt;&lt;h5&gt;&lt;b&gt;School &lt;/b&gt;conjuration (creation) [fire]; &lt;b&gt;Level &lt;/b&gt;druid 3, sorcerer/wizard 3, witch 3&lt;/h5&gt;&lt;/div&gt;&lt;hr/&gt;&lt;div&gt;&lt;h5&gt;&lt;b&gt;CASTING&lt;/b&gt;&lt;/h5&gt;&lt;/div&gt;&lt;hr/&gt;&lt;div&gt;&lt;h5&gt;&lt;b&gt;Casting Time &lt;/b&gt;1 standard action&lt;/h5&gt;&lt;h5&gt;&lt;b&gt;Components &lt;/b&gt;V, S, M/DF (a pinch of ash)&lt;/h5&gt;&lt;/div&gt;&lt;hr/&gt;&lt;div&gt;&lt;h5&gt;&lt;b&gt;EFFECT&lt;/b&gt;&lt;/h5&gt;&lt;/div&gt;&lt;hr/&gt;&lt;div&gt;&lt;h5&gt;&lt;b&gt;Range &lt;/b&gt;long (400 ft. + 40 ft./level)&lt;/h5&gt;&lt;h5&gt;&lt;b&gt;Area &lt;/b&gt;cylinder (40-ft. radius, 20 ft. high)&lt;/h5&gt;&lt;h5&gt;&lt;b&gt;Duration &lt;/b&gt;1 round/level&lt;/h5&gt;&lt;h5&gt;&lt;b&gt;Saving Throw &lt;/b&gt;none; &lt;b&gt;Spell Resistance &lt;/b&gt;no&lt;/h5&gt;&lt;/div&gt;&lt;hr/&gt;&lt;div&gt;&lt;h5&gt;&lt;b&gt;DESCRIPTION&lt;/b&gt;&lt;/h5&gt;&lt;/div&gt;&lt;hr/&gt;&lt;div&gt;&lt;h4&gt;&lt;p&gt;Driving ash blocks all sight (even darkvision) within the spell's area of effect, and falling cinders cause the ground in the area to become difficult terrain.&lt;/p&gt;&lt;/h4&gt;&lt;/div&gt;</t>
  </si>
  <si>
    <t>Hamper vision and movement.</t>
  </si>
  <si>
    <t>Astral Projection, Lesser</t>
  </si>
  <si>
    <t>cleric/oracle 5, sorcerer/wizard 5, psychic 5</t>
  </si>
  <si>
    <t>This spell functions as astral projection, except you cannot leave the Astral Plane and explore other planes (though you can still return to the plane you were on when you cast this spell).</t>
  </si>
  <si>
    <t>&lt;p&gt;This spell functions as &lt;i&gt;astral projection&lt;/i&gt;, except you cannot leave the Astral Plane and explore other planes (though you can still return to the plane you were on when you cast this spell).&lt;/p&gt;</t>
  </si>
  <si>
    <t>&lt;link rel="stylesheet"href="PF.css"&gt;&lt;div class="heading"&gt;&lt;p class="alignleft"&gt;Astral Projection, Lesser&lt;/p&gt;&lt;div style="clear: both;"&gt;&lt;/div&gt;&lt;/div&gt;&lt;div&gt;&lt;h5&gt;&lt;b&gt;School &lt;/b&gt;necromancy; &lt;b&gt;Level &lt;/b&gt;cleric/oracle 5, sorcerer/wizard 5, psychic 5&lt;/h5&gt;&lt;/div&gt;&lt;hr/&gt;&lt;div&gt;&lt;h5&gt;&lt;b&gt;CASTING&lt;/b&gt;&lt;/h5&gt;&lt;/div&gt;&lt;hr/&gt;&lt;div&gt;&lt;h5&gt;&lt;b&gt;Casting Time &lt;/b&gt;30 minutes&lt;/h5&gt;&lt;h5&gt;&lt;b&gt;Components &lt;/b&gt;V, S, M (1,000 gp jacinth)&lt;/h5&gt;&lt;/div&gt;&lt;hr/&gt;&lt;div&gt;&lt;h5&gt;&lt;b&gt;EFFECT&lt;/b&gt;&lt;/h5&gt;&lt;/div&gt;&lt;hr/&gt;&lt;div&gt;&lt;h5&gt;&lt;b&gt;Range &lt;/b&gt;touch&lt;/h5&gt;&lt;h5&gt;&lt;b&gt;Targets &lt;/b&gt;you plus one additional willing creature touched per two caster levels&lt;/h5&gt;&lt;h5&gt;&lt;b&gt;Duration &lt;/b&gt;see text&lt;/h5&gt;&lt;h5&gt;&lt;b&gt;Saving Throw &lt;/b&gt;none; &lt;b&gt;Spell Resistance &lt;/b&gt;yes&lt;/h5&gt;&lt;/div&gt;&lt;hr/&gt;&lt;div&gt;&lt;h5&gt;&lt;b&gt;DESCRIPTION&lt;/b&gt;&lt;/h5&gt;&lt;/div&gt;&lt;hr/&gt;&lt;div&gt;&lt;h4&gt;&lt;p&gt;This spell functions as &lt;i&gt;astral projection&lt;/i&gt;, except you cannot leave the Astral Plane and explore other planes (though you can still return to the plane you were on when you cast this spell).&lt;/p&gt;&lt;/h4&gt;&lt;/div&gt;</t>
  </si>
  <si>
    <t>Limited astral travel.</t>
  </si>
  <si>
    <t>Atavism</t>
  </si>
  <si>
    <t>By bringing forth the primeval ancestry of the target animal, you awaken a savage engine of destruction. The animal immediately gains the advanced creature simple template.  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t>
  </si>
  <si>
    <t>&lt;p&gt;By bringing forth the primeval ancestry of the target animal, you awaken a savage engine of destruction. The animal immediately gains the advanced creature simple template.&lt;/p&gt;&lt;p&gt;It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template.&lt;/p&gt;</t>
  </si>
  <si>
    <t>&lt;link rel="stylesheet"href="PF.css"&gt;&lt;div class="heading"&gt;&lt;p class="alignleft"&gt;Atavism&lt;/p&gt;&lt;div style="clear: both;"&gt;&lt;/div&gt;&lt;/div&gt;&lt;div&gt;&lt;h5&gt;&lt;b&gt;School &lt;/b&gt;transmutation; &lt;b&gt;Level &lt;/b&gt;druid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animal&lt;/h5&gt;&lt;h5&gt;&lt;b&gt;Duration &lt;/b&gt;1 minute/level&lt;/h5&gt;&lt;h5&gt;&lt;b&gt;Saving Throw &lt;/b&gt;Fortitude negates; &lt;b&gt;Spell Resistance &lt;/b&gt;yes&lt;/h5&gt;&lt;/div&gt;&lt;hr/&gt;&lt;div&gt;&lt;h5&gt;&lt;b&gt;DESCRIPTION&lt;/b&gt;&lt;/h5&gt;&lt;/div&gt;&lt;hr/&gt;&lt;div&gt;&lt;h4&gt;&lt;p&gt;By bringing forth the primeval ancestry of the target animal, you awaken a savage engine of destruction. The animal immediately gains the advanced creature simple template.&lt;/p&gt;&lt;p&gt;It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template.&lt;/p&gt;&lt;/h4&gt;&lt;/div&gt;</t>
  </si>
  <si>
    <t>Animal gains advanced creature simple template.</t>
  </si>
  <si>
    <t>Atavism, Mass</t>
  </si>
  <si>
    <t>one animal/level, no two of which can be more than 30 ft. apart</t>
  </si>
  <si>
    <t>This spell functions as atavism, except it affects multiple creatures.</t>
  </si>
  <si>
    <t>&lt;p&gt;This spell functions as &lt;i&gt;atavism&lt;/i&gt;, except it affects multiple creatures.&lt;/p&gt;</t>
  </si>
  <si>
    <t>&lt;link rel="stylesheet"href="PF.css"&gt;&lt;div class="heading"&gt;&lt;p class="alignleft"&gt;Atavism, Mass&lt;/p&gt;&lt;div style="clear: both;"&gt;&lt;/div&gt;&lt;/div&gt;&lt;div&gt;&lt;h5&gt;&lt;b&gt;School &lt;/b&gt;transmutation; &lt;b&gt;Level &lt;/b&gt;druid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animal/level, no two of which can be more than 30 ft. apart&lt;/h5&gt;&lt;h5&gt;&lt;b&gt;Duration &lt;/b&gt;1 minute/level&lt;/h5&gt;&lt;h5&gt;&lt;b&gt;Saving Throw &lt;/b&gt;Fortitude negates; &lt;b&gt;Spell Resistance &lt;/b&gt;yes&lt;/h5&gt;&lt;/div&gt;&lt;hr/&gt;&lt;div&gt;&lt;h5&gt;&lt;b&gt;DESCRIPTION&lt;/b&gt;&lt;/h5&gt;&lt;/div&gt;&lt;hr/&gt;&lt;div&gt;&lt;h4&gt;&lt;p&gt;This spell functions as &lt;i&gt;atavism&lt;/i&gt;, except it affects multiple creatures.&lt;/p&gt;&lt;/h4&gt;&lt;/div&gt;</t>
  </si>
  <si>
    <t>One animal/level gains advanced template.</t>
  </si>
  <si>
    <t>Aura of Doom</t>
  </si>
  <si>
    <t>cleric/oracle 4, psychic 4, spiritualist 4</t>
  </si>
  <si>
    <t>V, S, M/DF (powdered bone)</t>
  </si>
  <si>
    <t>20-ft.-radius emanation centered on you</t>
  </si>
  <si>
    <t>10 minute/level</t>
  </si>
  <si>
    <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t>
  </si>
  <si>
    <t>&lt;p&gt;You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effect.&lt;/p&gt;</t>
  </si>
  <si>
    <t>&lt;link rel="stylesheet"href="PF.css"&gt;&lt;div class="heading"&gt;&lt;p class="alignleft"&gt;Aura of Doom&lt;/p&gt;&lt;div style="clear: both;"&gt;&lt;/div&gt;&lt;/div&gt;&lt;div&gt;&lt;h5&gt;&lt;b&gt;School &lt;/b&gt;necromancy [emotion, fear, mind-affecting]; &lt;b&gt;Level &lt;/b&gt;cleric/oracle 4, psychic 4, spiritualist 4&lt;/h5&gt;&lt;/div&gt;&lt;hr/&gt;&lt;div&gt;&lt;h5&gt;&lt;b&gt;CASTING&lt;/b&gt;&lt;/h5&gt;&lt;/div&gt;&lt;hr/&gt;&lt;div&gt;&lt;h5&gt;&lt;b&gt;Casting Time &lt;/b&gt;1 standard action&lt;/h5&gt;&lt;h5&gt;&lt;b&gt;Components &lt;/b&gt;V, S, M/DF (powdered bone)&lt;/h5&gt;&lt;/div&gt;&lt;hr/&gt;&lt;div&gt;&lt;h5&gt;&lt;b&gt;EFFECT&lt;/b&gt;&lt;/h5&gt;&lt;/div&gt;&lt;hr/&gt;&lt;div&gt;&lt;h5&gt;&lt;b&gt;Range &lt;/b&gt;personal&lt;/h5&gt;&lt;h5&gt;&lt;b&gt;Area &lt;/b&gt;20-ft.-radius emanation centered on you&lt;/h5&gt;&lt;h5&gt;&lt;b&gt;Duration &lt;/b&gt;10 minute/level&lt;/h5&gt;&lt;h5&gt;&lt;b&gt;Saving Throw &lt;/b&gt;Will negates; &lt;b&gt;Spell Resistance &lt;/b&gt;yes&lt;/h5&gt;&lt;/div&gt;&lt;hr/&gt;&lt;div&gt;&lt;h5&gt;&lt;b&gt;DESCRIPTION&lt;/b&gt;&lt;/h5&gt;&lt;/div&gt;&lt;hr/&gt;&lt;div&gt;&lt;h4&gt;&lt;p&gt;You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effect.&lt;/p&gt;&lt;/h4&gt;&lt;/div&gt;</t>
  </si>
  <si>
    <t>Creatures in your aura become shaken.</t>
  </si>
  <si>
    <t>Badger's Ferocity</t>
  </si>
  <si>
    <t>cleric/oracle 3, druid 3, ranger 2, sorcerer/wizard 2, occultist 2</t>
  </si>
  <si>
    <t>one weapon/3 levels</t>
  </si>
  <si>
    <t>This functions like keen edge, except it affects multiple weapons and requires your concentration. You select the weapons to be affected, and can only affect one weapon per creature. If a creature's weapon exceeds the spell's range, the spell ends for that weapon.</t>
  </si>
  <si>
    <t>&lt;p&gt;This functions like &lt;i&gt;keen edge&lt;/i&gt;, except it affects multiple weapons and requires your concentration. You select the weapons to be affected, and can only affect one weapon per creature. If a creature's weapon exceeds the spell's range, the spell ends for that weapon.&lt;/p&gt;</t>
  </si>
  <si>
    <t>&lt;link rel="stylesheet"href="PF.css"&gt;&lt;div class="heading"&gt;&lt;p class="alignleft"&gt;Badger's Ferocity&lt;/p&gt;&lt;div style="clear: both;"&gt;&lt;/div&gt;&lt;/div&gt;&lt;div&gt;&lt;h5&gt;&lt;b&gt;School &lt;/b&gt;transmutation; &lt;b&gt;Level &lt;/b&gt;cleric/oracle 3, druid 3, ranger 2, sorcerer/wizard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weapon/3 levels&lt;/h5&gt;&lt;h5&gt;&lt;b&gt;Duration &lt;/b&gt;concentration&lt;/h5&gt;&lt;h5&gt;&lt;b&gt;Saving Throw &lt;/b&gt;Will negates (harmless); &lt;b&gt;Spell Resistance &lt;/b&gt;yes (harmless)&lt;/h5&gt;&lt;/div&gt;&lt;hr/&gt;&lt;div&gt;&lt;h5&gt;&lt;b&gt;DESCRIPTION&lt;/b&gt;&lt;/h5&gt;&lt;/div&gt;&lt;hr/&gt;&lt;div&gt;&lt;h4&gt;&lt;p&gt;This functions like &lt;i&gt;keen edge&lt;/i&gt;, except it affects multiple weapons and requires your concentration. You select the weapons to be affected, and can only affect one weapon per creature. If a creature's weapon exceeds the spell's range, the spell ends for that weapon.&lt;/p&gt;&lt;/h4&gt;&lt;/div&gt;</t>
  </si>
  <si>
    <t>Weapons are keen while you concentrate.</t>
  </si>
  <si>
    <t>Battlemind Link</t>
  </si>
  <si>
    <t>inquisitor 4, sorcerer/wizard 6, occultist 5, psychic 6, mesmerist 4</t>
  </si>
  <si>
    <t>personal and close (25 ft. + 5 ft./2 levels)</t>
  </si>
  <si>
    <t>you and 1 ally</t>
  </si>
  <si>
    <t>You fuse your thoughts with an ally's, allowing the two of you to fight in tandem, perfectly coordinated. You and the ally each roll initiative in combat and use the higher die result before adding modifiers. This has three effects.   Melee: If you both make melee attacks against the same creature, you both make attack rolls and both use the higher of the two dice for your attack rolls (plus bonuses).   Ranged: If you both make ranged attacks against the same creature, you both make attack rolls and both use the higher of the two dice for your attack roll (plus bonuses).   Spell: If you both cast spells and target the same area or same creature, affected creatures take a -2 penalty on their saving throw against the spells.   You and the target lose these benefits if you cannot see each other or if you or the target is unconscious or helpless.</t>
  </si>
  <si>
    <t>&lt;p&gt;You fuse your thoughts with an ally's, allowing the two of you to fight in tandem, perfectly coordinated. You and the ally each roll initiative in combat and use the higher die result before adding modifiers. This has three effects.&lt;/p&gt;&lt;p&gt; Melee: If you both make melee attacks against the same creature, you both make attack rolls and both use the higher of the two dice for your attack rolls (plus bonuses).&lt;/p&gt;&lt;p&gt; Ranged: If you both make ranged attacks against the same creature, you both make attack rolls and both use the higher of the two dice for your attack roll (plus bonuses).&lt;/p&gt;&lt;p&gt; Spell: If you both cast spells and target the same area or same creature, affected creatures take a -2 penalty on their saving throw against the spells.&lt;/p&gt;&lt;p&gt; You and the target lose these benefits if you cannot see each other or if you or the target is unconscious or helpless.&lt;/p&gt;</t>
  </si>
  <si>
    <t>&lt;link rel="stylesheet"href="PF.css"&gt;&lt;div class="heading"&gt;&lt;p class="alignleft"&gt;Battlemind Link&lt;/p&gt;&lt;div style="clear: both;"&gt;&lt;/div&gt;&lt;/div&gt;&lt;div&gt;&lt;h5&gt;&lt;b&gt;School &lt;/b&gt;divination [mind-affecting]; &lt;b&gt;Level &lt;/b&gt;inquisitor 4, sorcerer/wizard 6, occultist 5, psychic 6, mesmerist 4&lt;/h5&gt;&lt;/div&gt;&lt;hr/&gt;&lt;div&gt;&lt;h5&gt;&lt;b&gt;CASTING&lt;/b&gt;&lt;/h5&gt;&lt;/div&gt;&lt;hr/&gt;&lt;div&gt;&lt;h5&gt;&lt;b&gt;Casting Time &lt;/b&gt;1 standard action&lt;/h5&gt;&lt;h5&gt;&lt;b&gt;Components &lt;/b&gt;V, S&lt;/h5&gt;&lt;/div&gt;&lt;hr/&gt;&lt;div&gt;&lt;h5&gt;&lt;b&gt;EFFECT&lt;/b&gt;&lt;/h5&gt;&lt;/div&gt;&lt;hr/&gt;&lt;div&gt;&lt;h5&gt;&lt;b&gt;Range &lt;/b&gt;personal and close (25 ft. + 5 ft./2 levels)&lt;/h5&gt;&lt;h5&gt;&lt;b&gt;Targets &lt;/b&gt;you and 1 ally&lt;/h5&gt;&lt;h5&gt;&lt;b&gt;Duration &lt;/b&gt;1 minute/level&lt;/h5&gt;&lt;h5&gt;&lt;b&gt;Saving Throw &lt;/b&gt;Will negates (harmless); &lt;b&gt;Spell Resistance &lt;/b&gt;yes (harmless)&lt;/h5&gt;&lt;/div&gt;&lt;hr/&gt;&lt;div&gt;&lt;h5&gt;&lt;b&gt;DESCRIPTION&lt;/b&gt;&lt;/h5&gt;&lt;/div&gt;&lt;hr/&gt;&lt;div&gt;&lt;h4&gt;&lt;p&gt;You fuse your thoughts with an ally's, allowing the two of you to fight in tandem, perfectly coordinated. You and the ally each roll initiative in combat and use the higher die result before adding modifiers. This has three effects.&lt;/p&gt;&lt;p&gt; Melee: If you both make melee attacks against the same creature, you both make attack rolls and both use the higher of the two dice for your attack rolls (plus bonuses).&lt;/p&gt;&lt;p&gt; Ranged: If you both make ranged attacks against the same creature, you both make attack rolls and both use the higher of the two dice for your attack roll (plus bonuses).&lt;/p&gt;&lt;p&gt; Spell: If you both cast spells and target the same area or same creature, affected creatures take a -2 penalty on their saving throw against the spells.&lt;/p&gt;&lt;p&gt; You and the target lose these benefits if you cannot see each other or if you or the target is unconscious or helpless.&lt;/p&gt;&lt;/h4&gt;&lt;/div&gt;</t>
  </si>
  <si>
    <t>Education (6)</t>
  </si>
  <si>
    <t>You and an ally gain attack and AC bonuses.</t>
  </si>
  <si>
    <t>Bestow Grace of the Champion</t>
  </si>
  <si>
    <t>good, law</t>
  </si>
  <si>
    <t>cleric/oracle 7, paladin 4</t>
  </si>
  <si>
    <t>lawful good creature touched</t>
  </si>
  <si>
    <t>You channel the power of good and law into the target, temporarily giving it powers similar to those of a paladin.  The target gains the ability to use detect evil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t>
  </si>
  <si>
    <t>&lt;p&gt;You channel the power of good and law into the target, temporarily giving it powers similar to those of a paladin.&lt;/p&gt;&lt;p&gt;The target gains the ability to use &lt;i&gt;detect evil&lt;/i&gt;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paladin.&lt;/p&gt;</t>
  </si>
  <si>
    <t>&lt;link rel="stylesheet"href="PF.css"&gt;&lt;div class="heading"&gt;&lt;p class="alignleft"&gt;Bestow Grace of the Champion&lt;/p&gt;&lt;div style="clear: both;"&gt;&lt;/div&gt;&lt;/div&gt;&lt;div&gt;&lt;h5&gt;&lt;b&gt;School &lt;/b&gt;transmutation [good, law]; &lt;b&gt;Level &lt;/b&gt;cleric/oracle 7, 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&lt;/b&gt;lawful good creature touched&lt;/h5&gt;&lt;h5&gt;&lt;b&gt;Duration &lt;/b&gt;1 round/level (see text)&lt;/h5&gt;&lt;h5&gt;&lt;b&gt;Saving Throw &lt;/b&gt;yes (harmless); &lt;b&gt;Spell Resistance &lt;/b&gt;yes (harmless)&lt;/h5&gt;&lt;/div&gt;&lt;hr/&gt;&lt;div&gt;&lt;h5&gt;&lt;b&gt;DESCRIPTION&lt;/b&gt;&lt;/h5&gt;&lt;/div&gt;&lt;hr/&gt;&lt;div&gt;&lt;h4&gt;&lt;p&gt;You channel the power of good and law into the target, temporarily giving it powers similar to those of a paladin.&lt;/p&gt;&lt;p&gt;The target gains the ability to use &lt;i&gt;detect evil&lt;/i&gt;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paladin.&lt;/p&gt;&lt;/h4&gt;&lt;/div&gt;</t>
  </si>
  <si>
    <t>Target gains paladin abilities for 1 round/level.</t>
  </si>
  <si>
    <t>Devotion (14)</t>
  </si>
  <si>
    <t>Blade of Bright Victory</t>
  </si>
  <si>
    <t>your paladin bonded weapon</t>
  </si>
  <si>
    <t>You strengthen the bond between your divine bond weapon and its celestial spirit. The weapon gains the ghost touch property. You may change your weapon's damage type (bludgeoning, piercing, slashing) as a swift action. You gain a sacred bonus to your CMD against disarm and sunder attacks directed at your bonded weapon; this bonus is equal to half your caster level.</t>
  </si>
  <si>
    <t>&lt;p&gt;You strengthen the bond between your divine bond weapon and its celestial spirit. The weapon gains the &lt;i&gt;ghost touch&lt;/i&gt; property. You may change your weapon's damage type (bludgeoning, piercing, slashing) as a swift action. You gain a sacred bonus to your CMD against disarm and sunder attacks directed at your bonded weapon; this bonus is equal to half your caster level.&lt;/p&gt;</t>
  </si>
  <si>
    <t>&lt;link rel="stylesheet"href="PF.css"&gt;&lt;div class="heading"&gt;&lt;p class="alignleft"&gt;Blade of Bright Victory&lt;/p&gt;&lt;div style="clear: both;"&gt;&lt;/div&gt;&lt;/div&gt;&lt;div&gt;&lt;h5&gt;&lt;b&gt;School &lt;/b&gt;transmutation [good];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paladin bonded weapon&lt;/h5&gt;&lt;h5&gt;&lt;b&gt;Duration &lt;/b&gt;1 minute/level&lt;/h5&gt;&lt;h5&gt;&lt;b&gt;Saving Throw &lt;/b&gt;Will negates (harmless); &lt;b&gt;Spell Resistance &lt;/b&gt;no&lt;/h5&gt;&lt;/div&gt;&lt;hr/&gt;&lt;div&gt;&lt;h5&gt;&lt;b&gt;DESCRIPTION&lt;/b&gt;&lt;/h5&gt;&lt;/div&gt;&lt;hr/&gt;&lt;div&gt;&lt;h4&gt;&lt;p&gt;You strengthen the bond between your divine bond weapon and its celestial spirit. The weapon gains the &lt;i&gt;ghost touch&lt;/i&gt; property. You may change your weapon's damage type (bludgeoning, piercing, slashing) as a swift action. You gain a sacred bonus to your CMD against disarm and sunder attacks directed at your bonded weapon; this bonus is equal to half your caster level.&lt;/p&gt;&lt;/h4&gt;&lt;/div&gt;</t>
  </si>
  <si>
    <t>Bonded weapon gains ghost touch.</t>
  </si>
  <si>
    <t>Blade of Dark Triumph</t>
  </si>
  <si>
    <t>antipaladin 3</t>
  </si>
  <si>
    <t>your fiendish boon weapon</t>
  </si>
  <si>
    <t>You strengthen the bond between your fiendish boon weapon and its unholy spirit. The weapon gains the ghost touch property.  You may change your weapon's damage type (bludgeoning, piercing, slashing) as a swift action. You gain a profane bonus to your CMD against disarm and sunder attacks directed at your boon weapon; this bonus is equal to half your caster level.</t>
  </si>
  <si>
    <t>&lt;p&gt;You strengthen the bond between your fiendish boon weapon and its unholy spirit. The weapon gains the &lt;i&gt;ghost touch&lt;/i&gt; property.&lt;/p&gt;&lt;p&gt;You may change your weapon's damage type (bludgeoning, piercing, slashing) as a swift action. You gain a profane bonus to your CMD against disarm and sunder attacks directed at your boon weapon; this bonus is equal to half your caster level.&lt;/p&gt;</t>
  </si>
  <si>
    <t>&lt;link rel="stylesheet"href="PF.css"&gt;&lt;div class="heading"&gt;&lt;p class="alignleft"&gt;Blade of Dark Triumph&lt;/p&gt;&lt;div style="clear: both;"&gt;&lt;/div&gt;&lt;/div&gt;&lt;div&gt;&lt;h5&gt;&lt;b&gt;School &lt;/b&gt;transmutation [evil]; &lt;b&gt;Level &lt;/b&gt;antipaladin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fiendish boon weapon&lt;/h5&gt;&lt;h5&gt;&lt;b&gt;Duration &lt;/b&gt;1 minute/level&lt;/h5&gt;&lt;h5&gt;&lt;b&gt;Saving Throw &lt;/b&gt;Will negates (harmless); &lt;b&gt;Spell Resistance &lt;/b&gt;no&lt;/h5&gt;&lt;/div&gt;&lt;hr/&gt;&lt;div&gt;&lt;h5&gt;&lt;b&gt;DESCRIPTION&lt;/b&gt;&lt;/h5&gt;&lt;/div&gt;&lt;hr/&gt;&lt;div&gt;&lt;h4&gt;&lt;p&gt;You strengthen the bond between your fiendish boon weapon and its unholy spirit. The weapon gains the &lt;i&gt;ghost touch&lt;/i&gt; property.&lt;/p&gt;&lt;p&gt;You may change your weapon's damage type (bludgeoning, piercing, slashing) as a swift action. You gain a profane bonus to your CMD against disarm and sunder attacks directed at your boon weapon; this bonus is equal to half your caster level.&lt;/p&gt;&lt;/h4&gt;&lt;/div&gt;</t>
  </si>
  <si>
    <t>Blessing of the Mole</t>
  </si>
  <si>
    <t>cleric/oracle 3, inquisitor 3, paladin 3, ranger 3</t>
  </si>
  <si>
    <t>1 creature/level</t>
  </si>
  <si>
    <t>none (harmless)</t>
  </si>
  <si>
    <t>The targets gain darkvision 30 feet and a +2 competence bonus on Stealth checks.</t>
  </si>
  <si>
    <t>&lt;p&gt;The targets gain darkvision 30 feet and a +2 competence bonus on Stealth checks.&lt;/p&gt;</t>
  </si>
  <si>
    <t>&lt;link rel="stylesheet"href="PF.css"&gt;&lt;div class="heading"&gt;&lt;p class="alignleft"&gt;Blessing of the Mole&lt;/p&gt;&lt;div style="clear: both;"&gt;&lt;/div&gt;&lt;/div&gt;&lt;div&gt;&lt;h5&gt;&lt;b&gt;School &lt;/b&gt;transmutation; &lt;b&gt;Level &lt;/b&gt;cleric/oracle 3, inquisitor 3, paladin 3, ranger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&lt;/b&gt;1 creature/level&lt;/h5&gt;&lt;h5&gt;&lt;b&gt;Duration &lt;/b&gt;1 minute/level&lt;/h5&gt;&lt;h5&gt;&lt;b&gt;Saving Throw &lt;/b&gt;none (harmless); &lt;b&gt;Spell Resistance &lt;/b&gt;yes (harmless)&lt;/h5&gt;&lt;/div&gt;&lt;hr/&gt;&lt;div&gt;&lt;h5&gt;&lt;b&gt;DESCRIPTION&lt;/b&gt;&lt;/h5&gt;&lt;/div&gt;&lt;hr/&gt;&lt;div&gt;&lt;h4&gt;&lt;p&gt;The targets gain darkvision 30 feet and a +2 competence bonus on Stealth checks.&lt;/p&gt;&lt;/h4&gt;&lt;/div&gt;</t>
  </si>
  <si>
    <t>1 ally/level gains darkvision and a +2 Stealth bonus.</t>
  </si>
  <si>
    <t>Blood Crow Strike</t>
  </si>
  <si>
    <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t>
  </si>
  <si>
    <t>&lt;p&gt;Your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crow.&lt;/p&gt;</t>
  </si>
  <si>
    <t>&lt;link rel="stylesheet"href="PF.css"&gt;&lt;div class="heading"&gt;&lt;p class="alignleft"&gt;Blood Crow Strike&lt;/p&gt;&lt;div style="clear: both;"&gt;&lt;/div&gt;&lt;/div&gt;&lt;div&gt;&lt;h5&gt;&lt;b&gt;School &lt;/b&gt;evocation [fire]; &lt;b&gt;Level &lt;/b&gt;cleric/oracle 4&lt;/h5&gt;&lt;/div&gt;&lt;hr/&gt;&lt;div&gt;&lt;h5&gt;&lt;b&gt;CASTING&lt;/b&gt;&lt;/h5&gt;&lt;/div&gt;&lt;hr/&gt;&lt;div&gt;&lt;h5&gt;&lt;b&gt;Casting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&lt;/b&gt;instantaneous&lt;/h5&gt;&lt;h5&gt;&lt;b&gt;Saving Throw &lt;/b&gt;none; &lt;b&gt;Spell Resistance &lt;/b&gt;yes&lt;/h5&gt;&lt;/div&gt;&lt;hr/&gt;&lt;div&gt;&lt;h5&gt;&lt;b&gt;DESCRIPTION&lt;/b&gt;&lt;/h5&gt;&lt;/div&gt;&lt;hr/&gt;&lt;div&gt;&lt;h4&gt;&lt;p&gt;Your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crow.&lt;/p&gt;&lt;/h4&gt;&lt;h5&gt;&lt;b&gt;Mythic: &lt;/b&gt;Unarmed strikes attempted with this spell are treated as if you had the Improved Critical (unarmed strike) feat. Use your tier plus your monk level (if any) when determining your unarmed strike damage for this spell. Fire damage from this spell bypasses fire resistance.&lt;/h5&gt;&lt;/div&gt;</t>
  </si>
  <si>
    <t>Unarmed strikes create crows that deal fire and negative energy damage.</t>
  </si>
  <si>
    <t>Unarmed strikes attempted with this spell are treated as if you had the Improved Critical (unarmed strike) feat. Use your tier plus your monk level (if any) when determining your unarmed strike damage for this spell. Fire damage from this spell bypasses fire resistance.</t>
  </si>
  <si>
    <t>Blood Mist</t>
  </si>
  <si>
    <t>V, S, M (a pinch of dried red algae)</t>
  </si>
  <si>
    <t>medium (100ft. +10ft./level)</t>
  </si>
  <si>
    <t>60-ft. radius</t>
  </si>
  <si>
    <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t>
  </si>
  <si>
    <t>&lt;p&gt;This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save).&lt;/p&gt;</t>
  </si>
  <si>
    <t>&lt;link rel="stylesheet"href="PF.css"&gt;&lt;div class="heading"&gt;&lt;p class="alignleft"&gt;Blood Mist&lt;/p&gt;&lt;div style="clear: both;"&gt;&lt;/div&gt;&lt;/div&gt;&lt;div&gt;&lt;h5&gt;&lt;b&gt;School &lt;/b&gt;conjuration (creation) [poison]; &lt;b&gt;Level &lt;/b&gt;druid 8, shaman 8&lt;/h5&gt;&lt;/div&gt;&lt;hr/&gt;&lt;div&gt;&lt;h5&gt;&lt;b&gt;CASTING&lt;/b&gt;&lt;/h5&gt;&lt;/div&gt;&lt;hr/&gt;&lt;div&gt;&lt;h5&gt;&lt;b&gt;Casting Time &lt;/b&gt;1 standard action&lt;/h5&gt;&lt;h5&gt;&lt;b&gt;Components &lt;/b&gt;V, S, M (a pinch of dried red algae)&lt;/h5&gt;&lt;/div&gt;&lt;hr/&gt;&lt;div&gt;&lt;h5&gt;&lt;b&gt;EFFECT&lt;/b&gt;&lt;/h5&gt;&lt;/div&gt;&lt;hr/&gt;&lt;div&gt;&lt;h5&gt;&lt;b&gt;Range &lt;/b&gt;medium (100ft. +10ft./level)&lt;/h5&gt;&lt;h5&gt;&lt;b&gt;Area &lt;/b&gt;60-ft. radius&lt;/h5&gt;&lt;h5&gt;&lt;b&gt;Duration &lt;/b&gt;1 minute/level&lt;/h5&gt;&lt;h5&gt;&lt;b&gt;Saving Throw &lt;/b&gt;Fortitude negates (see text); &lt;b&gt;Spell Resistance &lt;/b&gt;yes&lt;/h5&gt;&lt;/div&gt;&lt;hr/&gt;&lt;div&gt;&lt;h5&gt;&lt;b&gt;DESCRIPTION&lt;/b&gt;&lt;/h5&gt;&lt;/div&gt;&lt;hr/&gt;&lt;div&gt;&lt;h4&gt;&lt;p&gt;This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save).&lt;/p&gt;&lt;/h4&gt;&lt;/div&gt;</t>
  </si>
  <si>
    <t>Mist causes Wisdom damage and rage.</t>
  </si>
  <si>
    <t>Blood Transcription</t>
  </si>
  <si>
    <t>alchemist 2, magus 2, wizard 2, witch 2</t>
  </si>
  <si>
    <t>one dead spellcaster</t>
  </si>
  <si>
    <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t>
  </si>
  <si>
    <t>&lt;p&gt;By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normally.&lt;/p&gt;</t>
  </si>
  <si>
    <t>&lt;link rel="stylesheet"href="PF.css"&gt;&lt;div class="heading"&gt;&lt;p class="alignleft"&gt;Blood Transcription&lt;/p&gt;&lt;div style="clear: both;"&gt;&lt;/div&gt;&lt;/div&gt;&lt;div&gt;&lt;h5&gt;&lt;b&gt;School &lt;/b&gt;divination [evil]; &lt;b&gt;Level &lt;/b&gt;alchemist 2, magus 2, 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dead spellcaster&lt;/h5&gt;&lt;h5&gt;&lt;b&gt;Duration &lt;/b&gt;24 hours&lt;/h5&gt;&lt;h5&gt;&lt;b&gt;Saving Throw &lt;/b&gt;none; &lt;b&gt;Spell Resistance &lt;/b&gt;no&lt;/h5&gt;&lt;/div&gt;&lt;hr/&gt;&lt;div&gt;&lt;h5&gt;&lt;b&gt;DESCRIPTION&lt;/b&gt;&lt;/h5&gt;&lt;/div&gt;&lt;hr/&gt;&lt;div&gt;&lt;h4&gt;&lt;p&gt;By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normally.&lt;/p&gt;&lt;/h4&gt;&lt;/div&gt;</t>
  </si>
  <si>
    <t>Learn a spell from the target's blood.</t>
  </si>
  <si>
    <t>Boiling Blood</t>
  </si>
  <si>
    <t>bard 2, cleric/oracle 2, sorcerer/wizard 2, witch 2, bloodrager 2, psychic 2</t>
  </si>
  <si>
    <t>one creature per three levels, no two of which may be more than 30 ft. apart</t>
  </si>
  <si>
    <t>concentration + 1 round/level (D)</t>
  </si>
  <si>
    <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t>
  </si>
  <si>
    <t>&lt;p&gt;The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Strength.&lt;/p&gt;</t>
  </si>
  <si>
    <t>&lt;link rel="stylesheet"href="PF.css"&gt;&lt;div class="heading"&gt;&lt;p class="alignleft"&gt;Boiling Blood&lt;/p&gt;&lt;div style="clear: both;"&gt;&lt;/div&gt;&lt;/div&gt;&lt;div&gt;&lt;h5&gt;&lt;b&gt;School &lt;/b&gt;transmutation; &lt;b&gt;Level &lt;/b&gt;bard 2, cleric/oracle 2, sorcerer/wizard 2, witch 2, bloodrager 2, psychic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per three levels, no two of which may be more than 30 ft. apart&lt;/h5&gt;&lt;h5&gt;&lt;b&gt;Duration &lt;/b&gt;concentration + 1 round/level (D)&lt;/h5&gt;&lt;h5&gt;&lt;b&gt;Saving Throw &lt;/b&gt;Fortitude negates (see text); &lt;b&gt;Spell Resistance &lt;/b&gt;yes&lt;/h5&gt;&lt;/div&gt;&lt;hr/&gt;&lt;div&gt;&lt;h5&gt;&lt;b&gt;DESCRIPTION&lt;/b&gt;&lt;/h5&gt;&lt;/div&gt;&lt;hr/&gt;&lt;div&gt;&lt;h4&gt;&lt;p&gt;The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Strength.&lt;/p&gt;&lt;/h4&gt;&lt;h5&gt;&lt;b&gt;Mythic: &lt;/b&gt;A target that fails its save takes 1d3 points of fire damage per round. If a target has the orc subtype, it also gains fire resistance 5. Augmented: If you expend two uses of mythic power, you can affect allies as though they had the orc subtype.&lt;/h5&gt;&lt;/div&gt;</t>
  </si>
  <si>
    <t>Targets take fire damage; orcs get +2 Strength.</t>
  </si>
  <si>
    <t>A target that fails its save takes 1d3 points of fire damage per round. If a target has the orc subtype, it also gains fire resistance 5. Augmented: If you expend two uses of mythic power, you can affect allies as though they had the orc subtype.</t>
  </si>
  <si>
    <t>Bungle</t>
  </si>
  <si>
    <t>sorcerer/wizard 1, witch 1, psychic 1, mesmerist 1</t>
  </si>
  <si>
    <t>concentration + 2 rounds or until triggered</t>
  </si>
  <si>
    <t>The target takes a -20 penalty on its next attack roll or check that requires a d20 roll. The action must be one deliberately taken by the target on its turn. Creatures with more than 10 HD are unaffected by this spell.</t>
  </si>
  <si>
    <t>&lt;p&gt;The target takes a -20 penalty on its next attack roll or check that requires a d20 roll. The action must be one deliberately taken by the target on its turn. Creatures with more than 10 HD are unaffected by this spell.&lt;/p&gt;</t>
  </si>
  <si>
    <t>&lt;link rel="stylesheet"href="PF.css"&gt;&lt;div class="heading"&gt;&lt;p class="alignleft"&gt;Bungle&lt;/p&gt;&lt;div style="clear: both;"&gt;&lt;/div&gt;&lt;/div&gt;&lt;div&gt;&lt;h5&gt;&lt;b&gt;School &lt;/b&gt;enchantment (compulsion); &lt;b&gt;Level &lt;/b&gt;sorcerer/wizard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humanoid&lt;/h5&gt;&lt;h5&gt;&lt;b&gt;Duration &lt;/b&gt;concentration + 2 rounds or until triggered&lt;/h5&gt;&lt;h5&gt;&lt;b&gt;Saving Throw &lt;/b&gt;Will negates; &lt;b&gt;Spell Resistance &lt;/b&gt;yes&lt;/h5&gt;&lt;/div&gt;&lt;hr/&gt;&lt;div&gt;&lt;h5&gt;&lt;b&gt;DESCRIPTION&lt;/b&gt;&lt;/h5&gt;&lt;/div&gt;&lt;hr/&gt;&lt;div&gt;&lt;h4&gt;&lt;p&gt;The target takes a -20 penalty on its next attack roll or check that requires a d20 roll. The action must be one deliberately taken by the target on its turn. Creatures with more than 10 HD are unaffected by this spell.&lt;/p&gt;&lt;/h4&gt;&lt;/div&gt;</t>
  </si>
  <si>
    <t>Target takes a –20 penalty on its next attack roll or check.</t>
  </si>
  <si>
    <t>Burrow</t>
  </si>
  <si>
    <t>alchemist 3, druid 3, ranger 3, sorcerer/wizard 3, bloodrager 3</t>
  </si>
  <si>
    <t>The subject can burrow at a speed of 15 feet (or 10 feet if it wears medium or heavy armor, or if it carries a medium or heavy load) through sand, loose soil, or gravel, or at a speed of 5 feet through stone. Using burrow requires only as much concentration as walking, so the subject can attack or cast spells normally. The burrowing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t>
  </si>
  <si>
    <t>&lt;p&gt;The subject can &lt;i&gt;burrow&lt;/i&gt; at a speed of 15 feet (or 10 feet if it wears medium or heavy armor, or if it carries a medium or heavy load) through sand, loose soil, or gravel, or at a speed of 5 feet through stone. Using &lt;i&gt;burrow&lt;/i&gt; requires only as much concentration as walking, so the subject can attack or cast spells normally. The &lt;i&gt;burrow&lt;/i&gt;ing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suffocate.&lt;/p&gt;</t>
  </si>
  <si>
    <t>&lt;link rel="stylesheet"href="PF.css"&gt;&lt;div class="heading"&gt;&lt;p class="alignleft"&gt;Burrow&lt;/p&gt;&lt;div style="clear: both;"&gt;&lt;/div&gt;&lt;/div&gt;&lt;div&gt;&lt;h5&gt;&lt;b&gt;School &lt;/b&gt;transmutation; &lt;b&gt;Level &lt;/b&gt;alchemist 3, druid 3, ranger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&lt;/b&gt;Will negates (harmless); &lt;b&gt;Spell Resistance &lt;/b&gt;yes (harmless)&lt;/h5&gt;&lt;/div&gt;&lt;hr/&gt;&lt;div&gt;&lt;h5&gt;&lt;b&gt;DESCRIPTION&lt;/b&gt;&lt;/h5&gt;&lt;/div&gt;&lt;hr/&gt;&lt;div&gt;&lt;h4&gt;&lt;p&gt;The subject can &lt;i&gt;burrow&lt;/i&gt; at a speed of 15 feet (or 10 feet if it wears medium or heavy armor, or if it carries a medium or heavy load) through sand, loose soil, or gravel, or at a speed of 5 feet through stone. Using &lt;i&gt;burrow&lt;/i&gt; requires only as much concentration as walking, so the subject can attack or cast spells normally. The &lt;i&gt;burrow&lt;/i&gt;ing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suffocate.&lt;/p&gt;&lt;/h4&gt;&lt;h5&gt;&lt;b&gt;Mythic: &lt;/b&gt;The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feet.&lt;/h5&gt;&lt;h5&gt;&lt;b&gt;Augmented (3rd)&lt;/b&gt;: If you expend two uses of mythic power, the burrowing creature may leave behind an open tunnel with a diameter equal to half its space. When the spell's effect ends, this tunnel closes up immediately.&lt;/h5&gt;&lt;/div&gt;</t>
  </si>
  <si>
    <t>Target gains a burrow speed of 15.</t>
  </si>
  <si>
    <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t>
  </si>
  <si>
    <t>Augmented (3rd): If you expend two uses of mythic power, the burrowing creature may leave behind an open tunnel with a diameter equal to half its space. When the spell's effect ends, this tunnel closes up immediately.</t>
  </si>
  <si>
    <t>Burst of Nettles</t>
  </si>
  <si>
    <t>10-ft.-radius burst</t>
  </si>
  <si>
    <t>You release a burst of barbed, acid-filled nettles. Creatures caught in the burst take 3d6 points of damage plus 1d6 points of acid damage on the next round. Those that save take half damage from the initial burst and no damage on the next round.</t>
  </si>
  <si>
    <t>&lt;p&gt;You release a burst of barbed, acid-filled nettles. Creatures caught in the burst take 3d6 points of damage plus 1d6 points of acid damage on the next round. Those that save take half damage from the initial burst and no damage on the next round.&lt;/p&gt;</t>
  </si>
  <si>
    <t>&lt;link rel="stylesheet"href="PF.css"&gt;&lt;div class="heading"&gt;&lt;p class="alignleft"&gt;Burst of Nettles&lt;/p&gt;&lt;div style="clear: both;"&gt;&lt;/div&gt;&lt;/div&gt;&lt;div&gt;&lt;h5&gt;&lt;b&gt;School &lt;/b&gt;conjuration [acid]; &lt;b&gt;Level &lt;/b&gt;druid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&lt;/b&gt;10-ft.-radius burst&lt;/h5&gt;&lt;h5&gt;&lt;b&gt;Duration &lt;/b&gt;instantaneous&lt;/h5&gt;&lt;h5&gt;&lt;b&gt;Saving Throw &lt;/b&gt;Reflex half; &lt;b&gt;Spell Resistance &lt;/b&gt;yes&lt;/h5&gt;&lt;/div&gt;&lt;hr/&gt;&lt;div&gt;&lt;h5&gt;&lt;b&gt;DESCRIPTION&lt;/b&gt;&lt;/h5&gt;&lt;/div&gt;&lt;hr/&gt;&lt;div&gt;&lt;h4&gt;&lt;p&gt;You release a burst of barbed, acid-filled nettles. Creatures caught in the burst take 3d6 points of damage plus 1d6 points of acid damage on the next round. Those that save take half damage from the initial burst and no damage on the next round.&lt;/p&gt;&lt;/h4&gt;&lt;/div&gt;</t>
  </si>
  <si>
    <t>Burst deals 3d6 damage and 1d6 acid.</t>
  </si>
  <si>
    <t>Cackling Skull</t>
  </si>
  <si>
    <t>one skull</t>
  </si>
  <si>
    <t>This spell functions as magic mouth, except rather than creating an illusory mouth on any surface, it affects a skull.  In addition, when the skull's magic is triggered, it releases wild and unnerving cackles before speaking its message.  All creatures that can hear the cackles must save or become shaken for 1d4 rounds.</t>
  </si>
  <si>
    <t>&lt;p&gt;This spell functions as &lt;i&gt;magic mouth&lt;/i&gt;, except rather than creating an illusory mouth on any surface, it affects a skull.&lt;/p&gt;&lt;p&gt;In addition, when the skull's magic is triggered, it releases wild and unnerving cackles before speaking its message.&lt;/p&gt;&lt;p&gt;All creatures that can hear the cackles must save or become shaken for 1d4 rounds.&lt;/p&gt;</t>
  </si>
  <si>
    <t>&lt;link rel="stylesheet"href="PF.css"&gt;&lt;div class="heading"&gt;&lt;p class="alignleft"&gt;Cackling Skull&lt;/p&gt;&lt;div style="clear: both;"&gt;&lt;/div&gt;&lt;/div&gt;&lt;div&gt;&lt;h5&gt;&lt;b&gt;School &lt;/b&gt;illusion (glamer); &lt;b&gt;Level &lt;/b&gt;witch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skull&lt;/h5&gt;&lt;h5&gt;&lt;b&gt;Duration &lt;/b&gt;permanent until discharged&lt;/h5&gt;&lt;h5&gt;&lt;b&gt;Saving Throw &lt;/b&gt;Will negates; &lt;b&gt;Spell Resistance &lt;/b&gt;yes&lt;/h5&gt;&lt;/div&gt;&lt;hr/&gt;&lt;div&gt;&lt;h5&gt;&lt;b&gt;DESCRIPTION&lt;/b&gt;&lt;/h5&gt;&lt;/div&gt;&lt;hr/&gt;&lt;div&gt;&lt;h4&gt;&lt;p&gt;This spell functions as &lt;i&gt;magic mouth&lt;/i&gt;, except rather than creating an illusory mouth on any surface, it affects a skull.&lt;/p&gt;&lt;p&gt;In addition, when the skull's magic is triggered, it releases wild and unnerving cackles before speaking its message.&lt;/p&gt;&lt;p&gt;All creatures that can hear the cackles must save or become shaken for 1d4 rounds.&lt;/p&gt;&lt;/h4&gt;&lt;/div&gt;</t>
  </si>
  <si>
    <t>Skull acts as magic mouth, listeners are shaken.</t>
  </si>
  <si>
    <t>Call Construct</t>
  </si>
  <si>
    <t>cleric/oracle 8, sorcerer/wizard 8, occultist 6, psychic 8</t>
  </si>
  <si>
    <t>V, S, M (a sapphire worth 1,000 or 5,000 gp; see text)</t>
  </si>
  <si>
    <t>construct touched</t>
  </si>
  <si>
    <t>This spell functions as instant summons, except it can only summon a construct you control. For constructs such as golems that are immune to magic, the value of the specially inscribed sapphire must be at least 5,000 gp. For other constructs, a 1,000 gp sapphire suffices.  If the construct is no longer under your control or destroyed, the spell fails, but you know roughly where the construct or its remains are located.</t>
  </si>
  <si>
    <t>&lt;p&gt;This spell functions as &lt;i&gt;instant summons&lt;/i&gt;, except it can only summon a construct you control. For constructs such as golems that are immune to magic, the value of the specially inscribed sapphire must be at least 5,000 gp. For other constructs, a 1,000 gp sapphire suffices.&lt;/p&gt;&lt;p&gt;If the construct is no longer under your control or destroyed, the spell fails, but you know roughly where the construct or its remains are located.&lt;/p&gt;</t>
  </si>
  <si>
    <t>&lt;link rel="stylesheet"href="PF.css"&gt;&lt;div class="heading"&gt;&lt;p class="alignleft"&gt;Call Construct&lt;/p&gt;&lt;div style="clear: both;"&gt;&lt;/div&gt;&lt;/div&gt;&lt;div&gt;&lt;h5&gt;&lt;b&gt;School &lt;/b&gt;conjuration (teleportation); &lt;b&gt;Level &lt;/b&gt;cleric/oracle 8, sorcerer/wizard 8, occultist 6, psychic 8&lt;/h5&gt;&lt;/div&gt;&lt;hr/&gt;&lt;div&gt;&lt;h5&gt;&lt;b&gt;CASTING&lt;/b&gt;&lt;/h5&gt;&lt;/div&gt;&lt;hr/&gt;&lt;div&gt;&lt;h5&gt;&lt;b&gt;Casting Time &lt;/b&gt;10 minutes&lt;/h5&gt;&lt;h5&gt;&lt;b&gt;Components &lt;/b&gt;V, S, M (a sapphire worth 1,000 or 5,000 gp; see text)&lt;/h5&gt;&lt;/div&gt;&lt;hr/&gt;&lt;div&gt;&lt;h5&gt;&lt;b&gt;EFFECT&lt;/b&gt;&lt;/h5&gt;&lt;/div&gt;&lt;hr/&gt;&lt;div&gt;&lt;h5&gt;&lt;b&gt;Range &lt;/b&gt;touch&lt;/h5&gt;&lt;h5&gt;&lt;b&gt;Targets &lt;/b&gt;construct touched&lt;/h5&gt;&lt;h5&gt;&lt;b&gt;Duration &lt;/b&gt;permanent until discharged&lt;/h5&gt;&lt;h5&gt;&lt;b&gt;Saving Throw &lt;/b&gt;none; &lt;b&gt;Spell Resistance &lt;/b&gt;no&lt;/h5&gt;&lt;/div&gt;&lt;hr/&gt;&lt;div&gt;&lt;h5&gt;&lt;b&gt;DESCRIPTION&lt;/b&gt;&lt;/h5&gt;&lt;/div&gt;&lt;hr/&gt;&lt;div&gt;&lt;h4&gt;&lt;p&gt;This spell functions as &lt;i&gt;instant summons&lt;/i&gt;, except it can only summon a construct you control. For constructs such as golems that are immune to magic, the value of the specially inscribed sapphire must be at least 5,000 gp. For other constructs, a 1,000 gp sapphire suffices.&lt;/p&gt;&lt;p&gt;If the construct is no longer under your control or destroyed, the spell fails, but you know roughly where the construct or its remains are located.&lt;/p&gt;&lt;/h4&gt;&lt;/div&gt;</t>
  </si>
  <si>
    <t>Summon your construct to you.</t>
  </si>
  <si>
    <t>Cape Of Wasps</t>
  </si>
  <si>
    <t>druid 4, witch 4</t>
  </si>
  <si>
    <t>You summon a wasp swarm (Bestiary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t>
  </si>
  <si>
    <t>&lt;p&gt;You summon a wasp swarm (&lt;i&gt;Bestiary&lt;/i&gt;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turn.&lt;/p&gt;</t>
  </si>
  <si>
    <t>&lt;link rel="stylesheet"href="PF.css"&gt;&lt;div class="heading"&gt;&lt;p class="alignleft"&gt;Cape Of Wasps&lt;/p&gt;&lt;div style="clear: both;"&gt;&lt;/div&gt;&lt;/div&gt;&lt;div&gt;&lt;h5&gt;&lt;b&gt;School &lt;/b&gt;conjuration (summoning); &lt;b&gt;Level &lt;/b&gt;druid 4,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summon a wasp swarm (&lt;i&gt;Bestiary&lt;/i&gt;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turn.&lt;/p&gt;&lt;/h4&gt;&lt;h5&gt;&lt;b&gt;Mythic: &lt;/b&gt;The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attacks.&lt;/h5&gt;&lt;/div&gt;</t>
  </si>
  <si>
    <t>Wasp swarm defends or carries you.</t>
  </si>
  <si>
    <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t>
  </si>
  <si>
    <t>Caustic Eruption</t>
  </si>
  <si>
    <t>instantaneous and 2 rounds; see text</t>
  </si>
  <si>
    <t>Reflex half (see text)</t>
  </si>
  <si>
    <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t>
  </si>
  <si>
    <t>&lt;p&gt;Acid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away.&lt;/p&gt;</t>
  </si>
  <si>
    <t>&lt;link rel="stylesheet"href="PF.css"&gt;&lt;div class="heading"&gt;&lt;p class="alignleft"&gt;Caustic Eruption&lt;/p&gt;&lt;div style="clear: both;"&gt;&lt;/div&gt;&lt;/div&gt;&lt;div&gt;&lt;h5&gt;&lt;b&gt;School &lt;/b&gt;conjuration (creation) [acid];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burst&lt;/h5&gt;&lt;h5&gt;&lt;b&gt;Duration &lt;/b&gt;instantaneous and 2 rounds; see text&lt;/h5&gt;&lt;h5&gt;&lt;b&gt;Saving Throw &lt;/b&gt;Reflex half (see text); &lt;b&gt;Spell Resistance &lt;/b&gt;no&lt;/h5&gt;&lt;/div&gt;&lt;hr/&gt;&lt;div&gt;&lt;h5&gt;&lt;b&gt;DESCRIPTION&lt;/b&gt;&lt;/h5&gt;&lt;/div&gt;&lt;hr/&gt;&lt;div&gt;&lt;h4&gt;&lt;p&gt;Acid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away.&lt;/p&gt;&lt;/h4&gt;&lt;/div&gt;</t>
  </si>
  <si>
    <t>Burst deals 1d6 acid/level and lingers.</t>
  </si>
  <si>
    <t>Chord Of Shards</t>
  </si>
  <si>
    <t>During your bardic performance, you can strike a chord whose notes transform into a shower of razor sharp, crystalline shards. The shards deal 2d6 points of piercing damage to all creatures caught in the area of effect.</t>
  </si>
  <si>
    <t>&lt;p&gt;During your bardic performance, you can strike a chord whose notes transform into a shower of razor sharp, crystalline shards. The shards deal 2d6 points of piercing damage to all creatures caught in the area of effect.&lt;/p&gt;</t>
  </si>
  <si>
    <t>&lt;link rel="stylesheet"href="PF.css"&gt;&lt;div class="heading"&gt;&lt;p class="alignleft"&gt;Chord Of Shards&lt;/p&gt;&lt;div style="clear: both;"&gt;&lt;/div&gt;&lt;/div&gt;&lt;div&gt;&lt;h5&gt;&lt;b&gt;School &lt;/b&gt;evocation; &lt;b&gt;Level &lt;/b&gt;bard 1&lt;/h5&gt;&lt;/div&gt;&lt;hr/&gt;&lt;div&gt;&lt;h5&gt;&lt;b&gt;CASTING&lt;/b&gt;&lt;/h5&gt;&lt;/div&gt;&lt;hr/&gt;&lt;div&gt;&lt;h5&gt;&lt;b&gt;Casting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&lt;/b&gt;Reflex negates; &lt;b&gt;Spell Resistance &lt;/b&gt;no&lt;/h5&gt;&lt;/div&gt;&lt;hr/&gt;&lt;div&gt;&lt;h5&gt;&lt;b&gt;DESCRIPTION&lt;/b&gt;&lt;/h5&gt;&lt;/div&gt;&lt;hr/&gt;&lt;div&gt;&lt;h4&gt;&lt;p&gt;During your bardic performance, you can strike a chord whose notes transform into a shower of razor sharp, crystalline shards. The shards deal 2d6 points of piercing damage to all creatures caught in the area of effect.&lt;/p&gt;&lt;/h4&gt;&lt;h5&gt;&lt;b&gt;Mythic: &lt;/b&gt;The damage dealt increases to 2d8 points of piercing damage and bypasses all damage reduction. Any creature damaged by the shards takes 1d8 points of sonic damage.&lt;/h5&gt;&lt;/div&gt;</t>
  </si>
  <si>
    <t>Performance deals 2d6 piercing damage.</t>
  </si>
  <si>
    <t>The damage dealt increases to 2d8 points of piercing damage and bypasses all damage reduction. Any creature damaged by the shards takes 1d8 points of sonic damage.</t>
  </si>
  <si>
    <t>Circle Of Clarity</t>
  </si>
  <si>
    <t>cleric/oracle 7, sorcerer/wizard 7, shaman 8, psychic 7</t>
  </si>
  <si>
    <t>V, S, F (a crystal lens worth 100 gp)</t>
  </si>
  <si>
    <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t>
  </si>
  <si>
    <t>&lt;p&gt;You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resistance.&lt;/p&gt;</t>
  </si>
  <si>
    <t>&lt;link rel="stylesheet"href="PF.css"&gt;&lt;div class="heading"&gt;&lt;p class="alignleft"&gt;Circle Of Clarity&lt;/p&gt;&lt;div style="clear: both;"&gt;&lt;/div&gt;&lt;/div&gt;&lt;div&gt;&lt;h5&gt;&lt;b&gt;School &lt;/b&gt;abjuration; &lt;b&gt;Level &lt;/b&gt;cleric/oracle 7, sorcerer/wizard 7, shaman 8, psychic 7&lt;/h5&gt;&lt;/div&gt;&lt;hr/&gt;&lt;div&gt;&lt;h5&gt;&lt;b&gt;CASTING&lt;/b&gt;&lt;/h5&gt;&lt;/div&gt;&lt;hr/&gt;&lt;div&gt;&lt;h5&gt;&lt;b&gt;Casting Time &lt;/b&gt;1 standard action&lt;/h5&gt;&lt;h5&gt;&lt;b&gt;Components &lt;/b&gt;V, S, F (a crystal lens worth 100 gp)&lt;/h5&gt;&lt;/div&gt;&lt;hr/&gt;&lt;div&gt;&lt;h5&gt;&lt;b&gt;EFFECT&lt;/b&gt;&lt;/h5&gt;&lt;/div&gt;&lt;hr/&gt;&lt;div&gt;&lt;h5&gt;&lt;b&gt;Range &lt;/b&gt;medium (100 ft. + 10 ft./level)&lt;/h5&gt;&lt;h5&gt;&lt;b&gt;Effect &lt;/b&gt;20-ft.-radius emanation centered on a creature, object, or point in space&lt;/h5&gt;&lt;h5&gt;&lt;b&gt;Duration &lt;/b&gt;1 round/level (D)&lt;/h5&gt;&lt;h5&gt;&lt;b&gt;Saving Throw &lt;/b&gt;Will negates (harmless); &lt;b&gt;Spell Resistance &lt;/b&gt;yes (harmless)&lt;/h5&gt;&lt;/div&gt;&lt;hr/&gt;&lt;div&gt;&lt;h5&gt;&lt;b&gt;DESCRIPTION&lt;/b&gt;&lt;/h5&gt;&lt;/div&gt;&lt;hr/&gt;&lt;div&gt;&lt;h4&gt;&lt;p&gt;You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resistance.&lt;/p&gt;&lt;/h4&gt;&lt;/div&gt;</t>
  </si>
  <si>
    <t>Education (8)</t>
  </si>
  <si>
    <t>Emanation hampers illusions and stealth.</t>
  </si>
  <si>
    <t>Stars (14)</t>
  </si>
  <si>
    <t>Cold Ice Strike</t>
  </si>
  <si>
    <t>cleric/oracle 6, sorcerer/wizard 6, occultist 6</t>
  </si>
  <si>
    <t>30-ft. line</t>
  </si>
  <si>
    <t>You create a shredding flurry of ice slivers, which blast from your hand in a line. The line deals 1d6 points of cold damage per caster level (maximum 15d6).</t>
  </si>
  <si>
    <t>&lt;p&gt;You create a shredding flurry of ice slivers, which blast from your hand in a line. The line deals 1d6 points of cold damage per caster level (maximum 15d6).&lt;/p&gt;</t>
  </si>
  <si>
    <t>&lt;link rel="stylesheet"href="PF.css"&gt;&lt;div class="heading"&gt;&lt;p class="alignleft"&gt;Cold Ice Strike&lt;/p&gt;&lt;div style="clear: both;"&gt;&lt;/div&gt;&lt;/div&gt;&lt;div&gt;&lt;h5&gt;&lt;b&gt;School &lt;/b&gt;evocation [cold]; &lt;b&gt;Level &lt;/b&gt;cleric/oracle 6, sorcerer/wizard 6, occultist 6&lt;/h5&gt;&lt;/div&gt;&lt;hr/&gt;&lt;div&gt;&lt;h5&gt;&lt;b&gt;CASTING&lt;/b&gt;&lt;/h5&gt;&lt;/div&gt;&lt;hr/&gt;&lt;div&gt;&lt;h5&gt;&lt;b&gt;Casting Time &lt;/b&gt;1 swift action&lt;/h5&gt;&lt;h5&gt;&lt;b&gt;Components &lt;/b&gt;V, S&lt;/h5&gt;&lt;/div&gt;&lt;hr/&gt;&lt;div&gt;&lt;h5&gt;&lt;b&gt;EFFECT&lt;/b&gt;&lt;/h5&gt;&lt;/div&gt;&lt;hr/&gt;&lt;div&gt;&lt;h5&gt;&lt;b&gt;Range &lt;/b&gt;30 ft.&lt;/h5&gt;&lt;h5&gt;&lt;b&gt;Area &lt;/b&gt;30-ft. line&lt;/h5&gt;&lt;h5&gt;&lt;b&gt;Duration &lt;/b&gt;instantaneous&lt;/h5&gt;&lt;h5&gt;&lt;b&gt;Saving Throw &lt;/b&gt;Reflex half; &lt;b&gt;Spell Resistance &lt;/b&gt;yes&lt;/h5&gt;&lt;/div&gt;&lt;hr/&gt;&lt;div&gt;&lt;h5&gt;&lt;b&gt;DESCRIPTION&lt;/b&gt;&lt;/h5&gt;&lt;/div&gt;&lt;hr/&gt;&lt;div&gt;&lt;h4&gt;&lt;p&gt;You create a shredding flurry of ice slivers, which blast from your hand in a line. The line deals 1d6 points of cold damage per caster level (maximum 15d6).&lt;/p&gt;&lt;/h4&gt;&lt;/div&gt;</t>
  </si>
  <si>
    <t>Cone of ice slivers deals 1d6 cold/level.</t>
  </si>
  <si>
    <t>Compassionate Ally</t>
  </si>
  <si>
    <t>emotion, mind-affecting</t>
  </si>
  <si>
    <t>bard 2, cleric/oracle 2, sorcerer/wizard 2, psychic 2, mesmerist 2</t>
  </si>
  <si>
    <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t>
  </si>
  <si>
    <t>&lt;p&gt;At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attacks.&lt;/p&gt;</t>
  </si>
  <si>
    <t>&lt;link rel="stylesheet"href="PF.css"&gt;&lt;div class="heading"&gt;&lt;p class="alignleft"&gt;Compassionate Ally&lt;/p&gt;&lt;div style="clear: both;"&gt;&lt;/div&gt;&lt;/div&gt;&lt;div&gt;&lt;h5&gt;&lt;b&gt;School &lt;/b&gt;enchantment (compulsion) [emotion, mind-affecting]; &lt;b&gt;Level &lt;/b&gt;bard 2, cleric/oracle 2, sorcerer/wizard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attacks.&lt;/p&gt;&lt;/h4&gt;&lt;/div&gt;</t>
  </si>
  <si>
    <t>Target is compelled to help injured ally.</t>
  </si>
  <si>
    <t>Conjure Black Pudding</t>
  </si>
  <si>
    <t>sorcerer/wizard 6, summoner 5, psychic 6</t>
  </si>
  <si>
    <t>V, S, M (a flask of acid worth 10 gp)</t>
  </si>
  <si>
    <t>close (25 ft. + 5 ft./2 level)</t>
  </si>
  <si>
    <t>one summoned black pudding</t>
  </si>
  <si>
    <t>You summon a black pudding (Bestiary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t>
  </si>
  <si>
    <t>&lt;p&gt;You summon a black pudding (&lt;i&gt;Bestiary&lt;/i&gt;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ends.&lt;/p&gt;</t>
  </si>
  <si>
    <t>&lt;link rel="stylesheet"href="PF.css"&gt;&lt;div class="heading"&gt;&lt;p class="alignleft"&gt;Conjure Black Pudding&lt;/p&gt;&lt;div style="clear: both;"&gt;&lt;/div&gt;&lt;/div&gt;&lt;div&gt;&lt;h5&gt;&lt;b&gt;School &lt;/b&gt;conjuration (summoning) [acid]; &lt;b&gt;Level &lt;/b&gt;sorcerer/wizard 6, summoner 5, psychic 6&lt;/h5&gt;&lt;/div&gt;&lt;hr/&gt;&lt;div&gt;&lt;h5&gt;&lt;b&gt;CASTING&lt;/b&gt;&lt;/h5&gt;&lt;/div&gt;&lt;hr/&gt;&lt;div&gt;&lt;h5&gt;&lt;b&gt;Casting Time &lt;/b&gt;1 round&lt;/h5&gt;&lt;h5&gt;&lt;b&gt;Components &lt;/b&gt;V, S, M (a flask of acid worth 10 gp)&lt;/h5&gt;&lt;/div&gt;&lt;hr/&gt;&lt;div&gt;&lt;h5&gt;&lt;b&gt;EFFECT&lt;/b&gt;&lt;/h5&gt;&lt;/div&gt;&lt;hr/&gt;&lt;div&gt;&lt;h5&gt;&lt;b&gt;Range &lt;/b&gt;close (25 ft. + 5 ft./2 level)&lt;/h5&gt;&lt;h5&gt;&lt;b&gt;Effect &lt;/b&gt;one summoned black pudding&lt;/h5&gt;&lt;h5&gt;&lt;b&gt;Duration &lt;/b&gt;1 round/level (D)&lt;/h5&gt;&lt;h5&gt;&lt;b&gt;Saving Throw &lt;/b&gt;none; &lt;b&gt;Spell Resistance &lt;/b&gt;no&lt;/h5&gt;&lt;/div&gt;&lt;hr/&gt;&lt;div&gt;&lt;h5&gt;&lt;b&gt;DESCRIPTION&lt;/b&gt;&lt;/h5&gt;&lt;/div&gt;&lt;hr/&gt;&lt;div&gt;&lt;h4&gt;&lt;p&gt;You summon a black pudding (&lt;i&gt;Bestiary&lt;/i&gt;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ends.&lt;/p&gt;&lt;/h4&gt;&lt;h5&gt;&lt;b&gt;Mythic: &lt;/b&gt;The black pudding has fast healing equal to your tier, as do any puddings that split off from it. The black puddings from this spell never attack you, though they're otherwise uncontrolled and might attack your allies if there are no other obvious opponents.&lt;/h5&gt;&lt;h5&gt;&lt;b&gt;Augmented (6th)&lt;/b&gt;: If you expend two uses of mythic power, the pudding gains the savage mythic template (see page 224). Puddings that split off from the giant pudding don't gain the template.&lt;/h5&gt;&lt;/div&gt;</t>
  </si>
  <si>
    <t>Summon a black pudding.</t>
  </si>
  <si>
    <t>Contagion, Greater</t>
  </si>
  <si>
    <t>disease, evil</t>
  </si>
  <si>
    <t>cleric/oracle 5, druid 5, sorcerer/wizard 6, witch 5</t>
  </si>
  <si>
    <t>This spell functions as contagion, except the victim cannot overcome the disease without magic-making the required number of saves does not cure it. The DC to remove the disease with magic is equal to the save DC + 5.</t>
  </si>
  <si>
    <t>&lt;p&gt;This spell functions as &lt;i&gt;contagion&lt;/i&gt;, except the victim cannot overcome the disease without magic-making the required number of saves does not cure it. The DC to remove the disease with magic is equal to the save DC + 5.&lt;/p&gt;</t>
  </si>
  <si>
    <t>&lt;link rel="stylesheet"href="PF.css"&gt;&lt;div class="heading"&gt;&lt;p class="alignleft"&gt;Contagion, Greater&lt;/p&gt;&lt;div style="clear: both;"&gt;&lt;/div&gt;&lt;/div&gt;&lt;div&gt;&lt;h5&gt;&lt;b&gt;School &lt;/b&gt;necromancy [disease, evil]; &lt;b&gt;Level &lt;/b&gt;cleric/oracle 5, druid 5, sorcerer/wizard 6,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negates; &lt;b&gt;Spell Resistance &lt;/b&gt;yes&lt;/h5&gt;&lt;/div&gt;&lt;hr/&gt;&lt;div&gt;&lt;h5&gt;&lt;b&gt;DESCRIPTION&lt;/b&gt;&lt;/h5&gt;&lt;/div&gt;&lt;hr/&gt;&lt;div&gt;&lt;h4&gt;&lt;p&gt;This spell functions as &lt;i&gt;contagion&lt;/i&gt;, except the victim cannot overcome the disease without magic-making the required number of saves does not cure it. The DC to remove the disease with magic is equal to the save DC + 5.&lt;/p&gt;&lt;/h4&gt;&lt;/div&gt;</t>
  </si>
  <si>
    <t>Infect a subject with a magical disease.</t>
  </si>
  <si>
    <t>Control Construct</t>
  </si>
  <si>
    <t>sorcerer/wizard 7, occultist 6</t>
  </si>
  <si>
    <t>one construct</t>
  </si>
  <si>
    <t>none (see text)</t>
  </si>
  <si>
    <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t>
  </si>
  <si>
    <t>&lt;p&gt;You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construct.&lt;/p&gt;</t>
  </si>
  <si>
    <t>&lt;link rel="stylesheet"href="PF.css"&gt;&lt;div class="heading"&gt;&lt;p class="alignleft"&gt;Control Construct&lt;/p&gt;&lt;div style="clear: both;"&gt;&lt;/div&gt;&lt;/div&gt;&lt;div&gt;&lt;h5&gt;&lt;b&gt;School &lt;/b&gt;transmutation; &lt;b&gt;Level &lt;/b&gt;sorcerer/wizard 7,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construct&lt;/h5&gt;&lt;h5&gt;&lt;b&gt;Duration &lt;/b&gt;concentration&lt;/h5&gt;&lt;h5&gt;&lt;b&gt;Saving Throw &lt;/b&gt;none (see text); &lt;b&gt;Spell Resistance &lt;/b&gt;no&lt;/h5&gt;&lt;/div&gt;&lt;hr/&gt;&lt;div&gt;&lt;h5&gt;&lt;b&gt;DESCRIPTION&lt;/b&gt;&lt;/h5&gt;&lt;/div&gt;&lt;hr/&gt;&lt;div&gt;&lt;h4&gt;&lt;p&gt;You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construct.&lt;/p&gt;&lt;/h4&gt;&lt;/div&gt;</t>
  </si>
  <si>
    <t>Take control of a construct.</t>
  </si>
  <si>
    <t>Control Summoned Creature</t>
  </si>
  <si>
    <t>bard 3, cleric/oracle 4, sorcerer/wizard 4, summoner 3, occultist 3, psychic 4, mesmerist 3</t>
  </si>
  <si>
    <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t>
  </si>
  <si>
    <t>&lt;p&gt;You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lost.&lt;/p&gt;</t>
  </si>
  <si>
    <t>&lt;link rel="stylesheet"href="PF.css"&gt;&lt;div class="heading"&gt;&lt;p class="alignleft"&gt;Control Summoned Creature&lt;/p&gt;&lt;div style="clear: both;"&gt;&lt;/div&gt;&lt;/div&gt;&lt;div&gt;&lt;h5&gt;&lt;b&gt;School &lt;/b&gt;enchantment (compulsion) [mind-affecting]; &lt;b&gt;Level &lt;/b&gt;bard 3, cleric/oracle 4, sorcerer/wizard 4, summoner 3, occultist 3,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creature&lt;/h5&gt;&lt;h5&gt;&lt;b&gt;Duration &lt;/b&gt;1 round/level&lt;/h5&gt;&lt;h5&gt;&lt;b&gt;Saving Throw &lt;/b&gt;Will negates; &lt;b&gt;Spell Resistance &lt;/b&gt;yes&lt;/h5&gt;&lt;/div&gt;&lt;hr/&gt;&lt;div&gt;&lt;h5&gt;&lt;b&gt;DESCRIPTION&lt;/b&gt;&lt;/h5&gt;&lt;/div&gt;&lt;hr/&gt;&lt;div&gt;&lt;h4&gt;&lt;p&gt;You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lost.&lt;/p&gt;&lt;/h4&gt;&lt;/div&gt;</t>
  </si>
  <si>
    <t>Direct a summoned monster as if you had summoned it.</t>
  </si>
  <si>
    <t>Boundaries (10)</t>
  </si>
  <si>
    <t>Corrosive Consumption</t>
  </si>
  <si>
    <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t>
  </si>
  <si>
    <t>&lt;p&gt;With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spell.&lt;/p&gt;</t>
  </si>
  <si>
    <t>&lt;link rel="stylesheet"href="PF.css"&gt;&lt;div class="heading"&gt;&lt;p class="alignleft"&gt;Corrosive Consumption&lt;/p&gt;&lt;div style="clear: both;"&gt;&lt;/div&gt;&lt;/div&gt;&lt;div&gt;&lt;h5&gt;&lt;b&gt;School &lt;/b&gt;conjuration (creation) [acid]; &lt;b&gt;Level &lt;/b&gt;magus 5, sorcerer/wizard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&lt;/b&gt;3 rounds&lt;/h5&gt;&lt;h5&gt;&lt;b&gt;Saving Throw &lt;/b&gt;none; &lt;b&gt;Spell Resistance &lt;/b&gt;yes&lt;/h5&gt;&lt;/div&gt;&lt;hr/&gt;&lt;div&gt;&lt;h5&gt;&lt;b&gt;DESCRIPTION&lt;/b&gt;&lt;/h5&gt;&lt;/div&gt;&lt;hr/&gt;&lt;div&gt;&lt;h4&gt;&lt;p&gt;With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spell.&lt;/p&gt;&lt;/h4&gt;&lt;/div&gt;</t>
  </si>
  <si>
    <t>Demodand (6)</t>
  </si>
  <si>
    <t>Acidic patch damages an opponent.</t>
  </si>
  <si>
    <t>Corrosive Touch</t>
  </si>
  <si>
    <t>magus 1, sorcerer/wizard 1, summoner 1, bloodrager 1</t>
  </si>
  <si>
    <t>Your successful melee touch attack deals 1d4 points of acid damage per caster level (maximum 5d4).</t>
  </si>
  <si>
    <t>&lt;p&gt;Your successful melee touch attack deals 1d4 points of acid damage per caster level (maximum 5d4).&lt;/p&gt;</t>
  </si>
  <si>
    <t>&lt;link rel="stylesheet"href="PF.css"&gt;&lt;div class="heading"&gt;&lt;p class="alignleft"&gt;Corrosive Touch&lt;/p&gt;&lt;div style="clear: both;"&gt;&lt;/div&gt;&lt;/div&gt;&lt;div&gt;&lt;h5&gt;&lt;b&gt;School &lt;/b&gt;conjuration (creation) [acid]; &lt;b&gt;Level &lt;/b&gt;magus 1, sorcerer/wizard 1, summoner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&lt;/b&gt;none; &lt;b&gt;Spell Resistance &lt;/b&gt;yes&lt;/h5&gt;&lt;/div&gt;&lt;hr/&gt;&lt;div&gt;&lt;h5&gt;&lt;b&gt;DESCRIPTION&lt;/b&gt;&lt;/h5&gt;&lt;/div&gt;&lt;hr/&gt;&lt;div&gt;&lt;h4&gt;&lt;p&gt;Your successful melee touch attack deals 1d4 points of acid damage per caster level (maximum 5d4).&lt;/p&gt;&lt;/h4&gt;&lt;/div&gt;</t>
  </si>
  <si>
    <t>Touch attack deals 1d4 acid/level.</t>
  </si>
  <si>
    <t>Countless Eyes</t>
  </si>
  <si>
    <t>alchemist 3, inquisitor 3, sorcerer/wizard 3, witch 3, bloodrager 3, occultist 3, psychic 3</t>
  </si>
  <si>
    <t>The target sprouts extra eyes all over its body, including on the back of its head. It gains all-around vision (Bestiary 2 294) and cannot be flanked.</t>
  </si>
  <si>
    <t>&lt;p&gt;The target sprouts extra eyes all over its body, including on the back of its head. It gains all-around vision (&lt;i&gt;Bestiary 2&lt;/i&gt; 294) and cannot be flanked.&lt;/p&gt;</t>
  </si>
  <si>
    <t>&lt;link rel="stylesheet"href="PF.css"&gt;&lt;div class="heading"&gt;&lt;p class="alignleft"&gt;Countless Eyes&lt;/p&gt;&lt;div style="clear: both;"&gt;&lt;/div&gt;&lt;/div&gt;&lt;div&gt;&lt;h5&gt;&lt;b&gt;School &lt;/b&gt;transmutation; &lt;b&gt;Level &lt;/b&gt;alchemist 3, inquisitor 3, sorcerer/wizard 3, witch 3, bloodrager 3, occultist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(harmless)&lt;/h5&gt;&lt;/div&gt;&lt;hr/&gt;&lt;div&gt;&lt;h5&gt;&lt;b&gt;DESCRIPTION&lt;/b&gt;&lt;/h5&gt;&lt;/div&gt;&lt;hr/&gt;&lt;div&gt;&lt;h4&gt;&lt;p&gt;The target sprouts extra eyes all over its body, including on the back of its head. It gains all-around vision (&lt;i&gt;Bestiary 2&lt;/i&gt; 294) and cannot be flanked.&lt;/p&gt;&lt;/h4&gt;&lt;/div&gt;</t>
  </si>
  <si>
    <t>Extra eyes give all-around vision.</t>
  </si>
  <si>
    <t>Create Demiplane</t>
  </si>
  <si>
    <t>cleric/oracle 8, sorcerer/wizard 8, summoner 6, witch 8, occultist 6, psychic 8</t>
  </si>
  <si>
    <t>4 hours</t>
  </si>
  <si>
    <t>V, S, F (a forked metal rod worth at least 500 gp)</t>
  </si>
  <si>
    <t>extradimensional demiplane, up to 10 10-ft. cubes/level (S)</t>
  </si>
  <si>
    <t>1 day/level or instantaneous (see text)</t>
  </si>
  <si>
    <t>This spell functions as create lesser demiplane, except the area is larger and you can add more features to the plane. You can use this spell to expand a demiplane you created with create lesser demiplane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  Alignment: Your plane gains the (mildly) chaos-, good-, evil-, law-, or neutral-aligned alignment trait (see Alignment Traits, GameMastery Guide 187). You cannot give your demiplane an alignment trait for an alignment you do not have.  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  Elemental: Your plane gains the air-, earth-, fire-, or water-elemental dominant trait (see Elemental and Energy Traits, GameMastery Guide 186).  Gravity: By default a demiplane's gravity is normal and oriented in one direction, like what most creatures are used to on the Material Plane. By selecting this feature, the plane's gravity is heavy, light, none, objectively directional, or subjectively directional (see Gravity, GameMastery Guide 184).  Seasonal: The demiplane has a seasonal cycle and a light cycle, usually similar to those of a land on the Material Plane, but customizable as you see fit (for example, your demiplane could always be winter, day and night could alternate every 4 hours, and so on).  Shape: By default, the demiplane has a fixed shape and borders. By selecting this feature, you may make your plane self-contained so it loops upon itself when a creature reaches one edge (see Shape and Size, GameMastery Guide 185). You may designate areas or locations on the edges of your plane where this occurs (such as a pair of secret doors or a path in the woods) or apply it to the entire plane.  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  You can make this spell permanent with the permanency spell, at a cost of 20,000 gp. If you have cast create demiplane multiple times to enlarge the demiplane, each casting's area requires its own permanency spell.</t>
  </si>
  <si>
    <t>&lt;p&gt;This spell functions as &lt;i&gt;create lesser demiplane&lt;/i&gt;, except the area is larger and you can add more features to the plane. You can use this spell to expand a demiplane you created with &lt;i&gt;create lesser demiplane&lt;/i&gt;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duration.&lt;/p&gt;&lt;p&gt;Alignment: Your plane gains the (mildly) chaos-, good-, evil-, law-, or neutral-aligned alignment trait (see Alignment Traits, &lt;i&gt;GameMastery Guide&lt;/i&gt; 187). You cannot give your demiplane an alignment trait for an alignment you do not have.&lt;/p&gt;&lt;p&gt;Bountiful: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locations.&lt;/p&gt;&lt;p&gt;Elemental: Your plane gains the air-, earth-, fire-, or water-elemental dominant trait (see Elemental and Energy Traits, &lt;i&gt;GameMastery Guide&lt;/i&gt; 186).&lt;/p&gt;&lt;p&gt;Gravity: By default a demiplane's gravity is normal and oriented in one direction, like what most creatures are used to on the Material Plane. By selecting this feature, the plane's gravity is heavy, light, none, objectively directional, or subjectively directional (see Gravity, &lt;i&gt;GameMastery Guide&lt;/i&gt; 184).&lt;/p&gt;&lt;p&gt;Seasonal: The demiplane has a seasonal cycle and a light cycle, usually similar to those of a land on the Material Plane, but customizable as you see fit (for example, your demiplane could always be winter, day and night could alternate every 4 hours, and so on).&lt;/p&gt;&lt;p&gt;Shape: By default, the demiplane has a fixed shape and borders. By selecting this feature, you may make your plane self-contained so it loops upon itself when a creature reaches one edge (see Shape and Size, &lt;i&gt;GameMastery Guide&lt;/i&gt; 185). You may designate areas or locations on the edges of your plane where this occurs (such as a pair of secret doors or a path in the woods) or apply it to the entire plane.&lt;/p&gt;&lt;p&gt;Structure: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corner).&lt;/p&gt;&lt;p&gt;You can make this spell permanent with the &lt;i&gt;permanency&lt;/i&gt; spell, at a cost of 20,000 gp. If you have cast &lt;i&gt;create demiplane&lt;/i&gt; multiple times to enlarge the demiplane, each casting's area requires its own &lt;i&gt;permanency&lt;/i&gt; spell.&lt;/p&gt;</t>
  </si>
  <si>
    <t>&lt;link rel="stylesheet"href="PF.css"&gt;&lt;div class="heading"&gt;&lt;p class="alignleft"&gt;Create Demiplane&lt;/p&gt;&lt;div style="clear: both;"&gt;&lt;/div&gt;&lt;/div&gt;&lt;div&gt;&lt;h5&gt;&lt;b&gt;School &lt;/b&gt;conjuration (creation); &lt;b&gt;Level &lt;/b&gt;cleric/oracle 8, sorcerer/wizard 8, summoner 6, witch 8, occultist 6, psychic 8&lt;/h5&gt;&lt;/div&gt;&lt;hr/&gt;&lt;div&gt;&lt;h5&gt;&lt;b&gt;CASTING&lt;/b&gt;&lt;/h5&gt;&lt;/div&gt;&lt;hr/&gt;&lt;div&gt;&lt;h5&gt;&lt;b&gt;Casting Time &lt;/b&gt;4 hours&lt;/h5&gt;&lt;h5&gt;&lt;b&gt;Components &lt;/b&gt;V, S, F (a forked metal rod worth at least 500 gp)&lt;/h5&gt;&lt;/div&gt;&lt;hr/&gt;&lt;div&gt;&lt;h5&gt;&lt;b&gt;EFFECT&lt;/b&gt;&lt;/h5&gt;&lt;/div&gt;&lt;hr/&gt;&lt;div&gt;&lt;h5&gt;&lt;b&gt;Range &lt;/b&gt;0 ft.&lt;/h5&gt;&lt;h5&gt;&lt;b&gt;Effect &lt;/b&gt;extradimensional demiplane, up to 10 10-ft. cubes/level (S)&lt;/h5&gt;&lt;h5&gt;&lt;b&gt;Duration &lt;/b&gt;1 day/level or instantaneous (see text)&lt;/h5&gt;&lt;h5&gt;&lt;b&gt;Saving Throw &lt;/b&gt;none; &lt;b&gt;Spell Resistance &lt;/b&gt;no&lt;/h5&gt;&lt;/div&gt;&lt;hr/&gt;&lt;div&gt;&lt;h5&gt;&lt;b&gt;DESCRIPTION&lt;/b&gt;&lt;/h5&gt;&lt;/div&gt;&lt;hr/&gt;&lt;div&gt;&lt;h4&gt;&lt;p&gt;This spell functions as &lt;i&gt;create lesser demiplane&lt;/i&gt;, except the area is larger and you can add more features to the plane. You can use this spell to expand a demiplane you created with &lt;i&gt;create lesser demiplane&lt;/i&gt;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duration.&lt;/p&gt;&lt;p&gt;Alignment: Your plane gains the (mildly) chaos-, good-, evil-, law-, or neutral-aligned alignment trait (see Alignment Traits, &lt;i&gt;GameMastery Guide&lt;/i&gt; 187). You cannot give your demiplane an alignment trait for an alignment you do not have.&lt;/p&gt;&lt;p&gt;Bountiful: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locations.&lt;/p&gt;&lt;p&gt;Elemental: Your plane gains the air-, earth-, fire-, or water-elemental dominant trait (see Elemental and Energy Traits, &lt;i&gt;GameMastery Guide&lt;/i&gt; 186).&lt;/p&gt;&lt;p&gt;Gravity: By default a demiplane's gravity is normal and oriented in one direction, like what most creatures are used to on the Material Plane. By selecting this feature, the plane's gravity is heavy, light, none, objectively directional, or subjectively directional (see Gravity, &lt;i&gt;GameMastery Guide&lt;/i&gt; 184).&lt;/p&gt;&lt;p&gt;Seasonal: The demiplane has a seasonal cycle and a light cycle, usually similar to those of a land on the Material Plane, but customizable as you see fit (for example, your demiplane could always be winter, day and night could alternate every 4 hours, and so on).&lt;/p&gt;&lt;p&gt;Shape: By default, the demiplane has a fixed shape and borders. By selecting this feature, you may make your plane self-contained so it loops upon itself when a creature reaches one edge (see Shape and Size, &lt;i&gt;GameMastery Guide&lt;/i&gt; 185). You may designate areas or locations on the edges of your plane where this occurs (such as a pair of secret doors or a path in the woods) or apply it to the entire plane.&lt;/p&gt;&lt;p&gt;Structure: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corner).&lt;/p&gt;&lt;p&gt;You can make this spell permanent with the &lt;i&gt;permanency&lt;/i&gt; spell, at a cost of 20,000 gp. If you have cast &lt;i&gt;create demiplane&lt;/i&gt; multiple times to enlarge the demiplane, each casting's area requires its own &lt;i&gt;permanency&lt;/i&gt; spell.&lt;/p&gt;&lt;/h4&gt;&lt;/div&gt;</t>
  </si>
  <si>
    <t>Greed (8)</t>
  </si>
  <si>
    <t>As lesser create demiplane, but larger and with planar traits.</t>
  </si>
  <si>
    <t>Ectoplasm (17)</t>
  </si>
  <si>
    <t>Create Demiplane, Lesser</t>
  </si>
  <si>
    <t>cleric/oracle 7, sorcerer/wizard 7, summoner 5, witch 7, occultist 5, psychic 7</t>
  </si>
  <si>
    <t>2 hours</t>
  </si>
  <si>
    <t>extradimensional demiplane, up to three 10-ft. cubes/level (S)</t>
  </si>
  <si>
    <t>You create a small, finite demiplane. You must be on the Astral or Ethereal Plane or on a plane that has access to one of those planes (such as the Material Plane) to cast this spell.  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  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  For example, you could use move earth to create a hill or wall of stone to create a barricade.  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astral projection, etherealness, or plane shift. You are considered "very familiar" with your entire demiplane.  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limited wish, mage's disjunction, miracle, or wish and making a successful dispel check.  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  You can make this spell permanent with the permanency spell, at a cost of 17,500 gp. If you have cast create lesser demiplane multiple times to enlarge the demiplane, each casting's area requires its own permanency spell.</t>
  </si>
  <si>
    <t>&lt;p&gt;You create a small, finite demiplane. You must be on the Astral or Ethereal Plane or on a plane that has access to one of those planes (such as the Material Plane) to cast this spell.&lt;/p&gt;&lt;p&gt;When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plane.&lt;/p&gt;&lt;p&gt;There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on.&lt;/p&gt;&lt;p&gt;For example, you could use &lt;i&gt;move earth&lt;/i&gt; to create a hill or &lt;i&gt;wall of stone&lt;/i&gt; to create a barricade.&lt;/p&gt;&lt;p&gt;When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&lt;i&gt;astral projection&lt;/i&gt;, &lt;i&gt;etherealness&lt;/i&gt;, or &lt;i&gt;plane shift&lt;/i&gt;. You are considered "very familiar" with your entire demiplane.&lt;/p&gt;&lt;p&gt;As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&lt;i&gt;limited &lt;i&gt;wish&lt;/i&gt;&lt;/i&gt;, mage's disjunction, &lt;i&gt;miracle&lt;/i&gt;, or &lt;i&gt;wish&lt;/i&gt; and making a successful dispel check.&lt;/p&gt;&lt;p&gt;If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two.&lt;/p&gt;&lt;p&gt;You can make this spell permanent with the &lt;i&gt;permanency&lt;/i&gt; spell, at a cost of 17,500 gp. If you have cast &lt;i&gt;create lesser demiplane&lt;/i&gt; multiple times to enlarge the demiplane, each casting's area requires its own &lt;i&gt;permanency&lt;/i&gt; spell.&lt;/p&gt;</t>
  </si>
  <si>
    <t>&lt;link rel="stylesheet"href="PF.css"&gt;&lt;div class="heading"&gt;&lt;p class="alignleft"&gt;Create Demiplane, Lesser&lt;/p&gt;&lt;div style="clear: both;"&gt;&lt;/div&gt;&lt;/div&gt;&lt;div&gt;&lt;h5&gt;&lt;b&gt;School &lt;/b&gt;conjuration (creation); &lt;b&gt;Level &lt;/b&gt;cleric/oracle 7, sorcerer/wizard 7, summoner 5, witch 7, occultist 5, psychic 7&lt;/h5&gt;&lt;/div&gt;&lt;hr/&gt;&lt;div&gt;&lt;h5&gt;&lt;b&gt;CASTING&lt;/b&gt;&lt;/h5&gt;&lt;/div&gt;&lt;hr/&gt;&lt;div&gt;&lt;h5&gt;&lt;b&gt;Casting Time &lt;/b&gt;2 hours&lt;/h5&gt;&lt;h5&gt;&lt;b&gt;Components &lt;/b&gt;V, S, F (a forked metal rod worth at least 500 gp)&lt;/h5&gt;&lt;/div&gt;&lt;hr/&gt;&lt;div&gt;&lt;h5&gt;&lt;b&gt;EFFECT&lt;/b&gt;&lt;/h5&gt;&lt;/div&gt;&lt;hr/&gt;&lt;div&gt;&lt;h5&gt;&lt;b&gt;Range &lt;/b&gt;0 ft.&lt;/h5&gt;&lt;h5&gt;&lt;b&gt;Effect &lt;/b&gt;extradimensional demiplane, up to three 10-ft. cubes/level (S)&lt;/h5&gt;&lt;h5&gt;&lt;b&gt;Duration &lt;/b&gt;1 day/level&lt;/h5&gt;&lt;h5&gt;&lt;b&gt;Saving Throw &lt;/b&gt;none; &lt;b&gt;Spell Resistance &lt;/b&gt;no&lt;/h5&gt;&lt;/div&gt;&lt;hr/&gt;&lt;div&gt;&lt;h5&gt;&lt;b&gt;DESCRIPTION&lt;/b&gt;&lt;/h5&gt;&lt;/div&gt;&lt;hr/&gt;&lt;div&gt;&lt;h4&gt;&lt;p&gt;You create a small, finite demiplane. You must be on the Astral or Ethereal Plane or on a plane that has access to one of those planes (such as the Material Plane) to cast this spell.&lt;/p&gt;&lt;p&gt;When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plane.&lt;/p&gt;&lt;p&gt;There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on.&lt;/p&gt;&lt;p&gt;For example, you could use &lt;i&gt;move earth&lt;/i&gt; to create a hill or &lt;i&gt;wall of stone&lt;/i&gt; to create a barricade.&lt;/p&gt;&lt;p&gt;When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&lt;i&gt;astral projection&lt;/i&gt;, &lt;i&gt;etherealness&lt;/i&gt;, or &lt;i&gt;plane shift&lt;/i&gt;. You are considered "very familiar" with your entire demiplane.&lt;/p&gt;&lt;p&gt;As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&lt;i&gt;limited &lt;i&gt;wish&lt;/i&gt;&lt;/i&gt;, mage's disjunction, &lt;i&gt;miracle&lt;/i&gt;, or &lt;i&gt;wish&lt;/i&gt; and making a successful dispel check.&lt;/p&gt;&lt;p&gt;If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two.&lt;/p&gt;&lt;p&gt;You can make this spell permanent with the &lt;i&gt;permanency&lt;/i&gt; spell, at a cost of 17,500 gp. If you have cast &lt;i&gt;create lesser demiplane&lt;/i&gt; multiple times to enlarge the demiplane, each casting's area requires its own &lt;i&gt;permanency&lt;/i&gt; spell.&lt;/p&gt;&lt;/h4&gt;&lt;/div&gt;</t>
  </si>
  <si>
    <t>Create your own demiplane.</t>
  </si>
  <si>
    <t>Create Demiplane, Greater</t>
  </si>
  <si>
    <t>6 hours</t>
  </si>
  <si>
    <t>extradimensional demiplane, up to 20 10-ft. cubes/level (S)</t>
  </si>
  <si>
    <t>This spell functions as create demiplane, except the area is larger and you can add more features to the plane. You can use this spell to expand a demiplane you created with lesser create demiplane or create demiplane (you do not need to create an entirely new plane using this spell), in which case it has aduration of 1 day/level. Alternatively, when cast within your demiplane, you may add to your demiplane (or remove from it) one of the following features (or any of the features described in create demiplane) with each casting of the spell, in which case it has an instantaneous duration.  Energy: Your plane gains the (minor) negative- or positivedominant energy trait (see Elemental and Energy Traits, GameMastery Guide 186). A plane cannot have both the negative-dominant and positive-dominant energy traits.  Magic: Your plane gains the dead magic, enhanced magic, impeded magic, or wild magic planar trait (see Magic Traits, GameMastery Guide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  Morphic: You may use move earth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  Portal: Your demiplane gains a permanent gate to one location on another plane, which can only be used for planar travel. This location must be very familiar to you.  This gate is always open and usable from both sides, but you can secure it using normal means (such as by building a door around it).  Time: By default, time passes at the normal rate in your demiplane. By selecting this feature, you may make your plane have the erratic time, flowing time (half or double normal time), or timeless trait (see Time, GameMastery Guide 185).  You can make this spell permanent with the permanency spell, at a cost of 22,500 gp. If you have cast create greater demiplane multiple times to enlarge the demiplane, each casting's area requires its own permanency spell.</t>
  </si>
  <si>
    <t>&lt;p&gt;This spell functions as &lt;i&gt;&lt;i&gt;create&lt;/i&gt; demiplane&lt;/i&gt;, except the area is larger and you can add more features to the plane. You can use this spell to expand a demiplane you &lt;i&gt;create&lt;/i&gt;d with lesser &lt;i&gt;&lt;i&gt;create&lt;/i&gt; demiplane&lt;/i&gt; or &lt;i&gt;&lt;i&gt;create&lt;/i&gt; demiplane&lt;/i&gt; (you do not need to &lt;i&gt;create&lt;/i&gt; an entirely new plane using this spell), in which case it has aduration of 1 day/level. Alternatively, when cast within your demiplane, you may add to your demiplane (or remove from it) one of the following features (or any of the features described in &lt;i&gt;&lt;i&gt;create&lt;/i&gt; demiplane&lt;/i&gt;) with each casting of the spell, in which case it has an instantaneous duration.&lt;/p&gt;&lt;p&gt;Energy: Your plane gains the (minor) negative- or positivedominant energy trait (see Elemental and Energy Traits, &lt;i&gt;GameMastery Guide&lt;/i&gt; 186). A plane cannot have both the negative-dominant and positive-dominant energy traits.&lt;/p&gt;&lt;p&gt;Magic: Your plane gains the dead magic, enhanced magic, impeded magic, or wild magic planar trait (see Magic Traits, &lt;i&gt;GameMastery Guide&lt;/i&gt;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spells.&lt;/p&gt;&lt;p&gt;Morphic: You may use &lt;i&gt;move earth&lt;/i&gt;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normal.&lt;/p&gt;&lt;p&gt;Portal: Your demiplane gains a permanent &lt;i&gt;gate&lt;/i&gt; to one location on another plane, which can only be used for planar travel. This location must be very familiar to you.&lt;/p&gt;&lt;p&gt;This &lt;i&gt;gate&lt;/i&gt; is always open and usable from both sides, but you can secure it using normal means (such as by building a door around it).&lt;/p&gt;&lt;p&gt;Time: By default, time passes at the normal rate in your demiplane. By selecting this feature, you may make your plane have the erratic time, flowing time (half or double normal time), or timeless trait (see Time, &lt;i&gt;GameMastery Guide&lt;/i&gt; 185).&lt;/p&gt;&lt;p&gt;You can make this spell permanent with the &lt;i&gt;permanency&lt;/i&gt; spell, at a cost of 22,500 gp. If you have cast &lt;i&gt;create&lt;/i&gt; greater demiplane multiple times to enlarge the demiplane, each casting's area requires its own &lt;i&gt;permanency&lt;/i&gt; spell.&lt;/p&gt;</t>
  </si>
  <si>
    <t>&lt;link rel="stylesheet"href="PF.css"&gt;&lt;div class="heading"&gt;&lt;p class="alignleft"&gt;Create Demiplane, Greater&lt;/p&gt;&lt;div style="clear: both;"&gt;&lt;/div&gt;&lt;/div&gt;&lt;div&gt;&lt;h5&gt;&lt;b&gt;School &lt;/b&gt;conjuration (creation); &lt;b&gt;Level &lt;/b&gt;cleric/oracle 9, sorcerer/wizard 9, witch 9, psychic 9&lt;/h5&gt;&lt;/div&gt;&lt;hr/&gt;&lt;div&gt;&lt;h5&gt;&lt;b&gt;CASTING&lt;/b&gt;&lt;/h5&gt;&lt;/div&gt;&lt;hr/&gt;&lt;div&gt;&lt;h5&gt;&lt;b&gt;Casting Time &lt;/b&gt;6 hours&lt;/h5&gt;&lt;h5&gt;&lt;b&gt;Components &lt;/b&gt;V, S, F (a forked metal rod worth at least 500 gp)&lt;/h5&gt;&lt;/div&gt;&lt;hr/&gt;&lt;div&gt;&lt;h5&gt;&lt;b&gt;EFFECT&lt;/b&gt;&lt;/h5&gt;&lt;/div&gt;&lt;hr/&gt;&lt;div&gt;&lt;h5&gt;&lt;b&gt;Range &lt;/b&gt;0 ft.&lt;/h5&gt;&lt;h5&gt;&lt;b&gt;Effect &lt;/b&gt;extradimensional demiplane, up to 20 10-ft. cubes/level (S)&lt;/h5&gt;&lt;h5&gt;&lt;b&gt;Duration &lt;/b&gt;1 day/level or instantaneous (see text)&lt;/h5&gt;&lt;h5&gt;&lt;b&gt;Saving Throw &lt;/b&gt;none; &lt;b&gt;Spell Resistance &lt;/b&gt;no&lt;/h5&gt;&lt;/div&gt;&lt;hr/&gt;&lt;div&gt;&lt;h5&gt;&lt;b&gt;DESCRIPTION&lt;/b&gt;&lt;/h5&gt;&lt;/div&gt;&lt;hr/&gt;&lt;div&gt;&lt;h4&gt;&lt;p&gt;This spell functions as &lt;i&gt;&lt;i&gt;create&lt;/i&gt; demiplane&lt;/i&gt;, except the area is larger and you can add more features to the plane. You can use this spell to expand a demiplane you &lt;i&gt;create&lt;/i&gt;d with lesser &lt;i&gt;&lt;i&gt;create&lt;/i&gt; demiplane&lt;/i&gt; or &lt;i&gt;&lt;i&gt;create&lt;/i&gt; demiplane&lt;/i&gt; (you do not need to &lt;i&gt;create&lt;/i&gt; an entirely new plane using this spell), in which case it has aduration of 1 day/level. Alternatively, when cast within your demiplane, you may add to your demiplane (or remove from it) one of the following features (or any of the features described in &lt;i&gt;&lt;i&gt;create&lt;/i&gt; demiplane&lt;/i&gt;) with each casting of the spell, in which case it has an instantaneous duration.&lt;/p&gt;&lt;p&gt;Energy: Your plane gains the (minor) negative- or positivedominant energy trait (see Elemental and Energy Traits, &lt;i&gt;GameMastery Guide&lt;/i&gt; 186). A plane cannot have both the negative-dominant and positive-dominant energy traits.&lt;/p&gt;&lt;p&gt;Magic: Your plane gains the dead magic, enhanced magic, impeded magic, or wild magic planar trait (see Magic Traits, &lt;i&gt;GameMastery Guide&lt;/i&gt;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spells.&lt;/p&gt;&lt;p&gt;Morphic: You may use &lt;i&gt;move earth&lt;/i&gt;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normal.&lt;/p&gt;&lt;p&gt;Portal: Your demiplane gains a permanent &lt;i&gt;gate&lt;/i&gt; to one location on another plane, which can only be used for planar travel. This location must be very familiar to you.&lt;/p&gt;&lt;p&gt;This &lt;i&gt;gate&lt;/i&gt; is always open and usable from both sides, but you can secure it using normal means (such as by building a door around it).&lt;/p&gt;&lt;p&gt;Time: By default, time passes at the normal rate in your demiplane. By selecting this feature, you may make your plane have the erratic time, flowing time (half or double normal time), or timeless trait (see Time, &lt;i&gt;GameMastery Guide&lt;/i&gt; 185).&lt;/p&gt;&lt;p&gt;You can make this spell permanent with the &lt;i&gt;permanency&lt;/i&gt; spell, at a cost of 22,500 gp. If you have cast &lt;i&gt;create&lt;/i&gt; greater demiplane multiple times to enlarge the demiplane, each casting's area requires its own &lt;i&gt;permanency&lt;/i&gt; spell.&lt;/p&gt;&lt;/h4&gt;&lt;/div&gt;</t>
  </si>
  <si>
    <t>Solitude (9)</t>
  </si>
  <si>
    <t>As create demiplane, but larger and with more planar traits.</t>
  </si>
  <si>
    <t>Curse, Major</t>
  </si>
  <si>
    <t>cleric/oracle 5, sorcerer/wizard 6, witch 5, shaman 5, occultist 5, psychic 6, mesmerist 4, spiritualist 5</t>
  </si>
  <si>
    <t>This spell functions as bestow curse, except the DC to remove the curse is equal to the save DC + 5.</t>
  </si>
  <si>
    <t>&lt;p&gt;This spell functions as &lt;i&gt;bestow curse&lt;/i&gt;, except the DC to remove the curse is equal to the save DC + 5.&lt;/p&gt;</t>
  </si>
  <si>
    <t>&lt;link rel="stylesheet"href="PF.css"&gt;&lt;div class="heading"&gt;&lt;p class="alignleft"&gt;Curse, Major&lt;/p&gt;&lt;div style="clear: both;"&gt;&lt;/div&gt;&lt;/div&gt;&lt;div&gt;&lt;h5&gt;&lt;b&gt;School &lt;/b&gt;necromancy [curse]; &lt;b&gt;Level &lt;/b&gt;cleric/oracle 5, sorcerer/wizard 6, witch 5, shaman 5, occultist 5, psychic 6, mesmerist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&lt;/b&gt;yes&lt;/h5&gt;&lt;/div&gt;&lt;hr/&gt;&lt;div&gt;&lt;h5&gt;&lt;b&gt;DESCRIPTION&lt;/b&gt;&lt;/h5&gt;&lt;/div&gt;&lt;hr/&gt;&lt;div&gt;&lt;h4&gt;&lt;p&gt;This spell functions as &lt;i&gt;bestow curse&lt;/i&gt;, except the DC to remove the curse is equal to the save DC + 5.&lt;/p&gt;&lt;/h4&gt;&lt;/div&gt;</t>
  </si>
  <si>
    <t>As bestow curse, but harder to remove.</t>
  </si>
  <si>
    <t>Curse Of Disgust</t>
  </si>
  <si>
    <t>curse, emotion, mind-affecting</t>
  </si>
  <si>
    <t>bard 3, sorcerer/wizard 5, witch 5, occultist 4, psychic 6, mesmerist 3</t>
  </si>
  <si>
    <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t>
  </si>
  <si>
    <t>&lt;p&gt;You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sewage.&lt;/p&gt;</t>
  </si>
  <si>
    <t>&lt;link rel="stylesheet"href="PF.css"&gt;&lt;div class="heading"&gt;&lt;p class="alignleft"&gt;Curse Of Disgust&lt;/p&gt;&lt;div style="clear: both;"&gt;&lt;/div&gt;&lt;/div&gt;&lt;div&gt;&lt;h5&gt;&lt;b&gt;School &lt;/b&gt;enchantment (compulsion) [curse, emotion, mind-affecting]; &lt;b&gt;Level &lt;/b&gt;bard 3, sorcerer/wizard 5, witch 5, occultist 4, psychic 6,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sewage.&lt;/p&gt;&lt;/h4&gt;&lt;/div&gt;</t>
  </si>
  <si>
    <t>Target is sickened when viewing a trigger.</t>
  </si>
  <si>
    <t>Curse of Magic Negation</t>
  </si>
  <si>
    <t>cleric/oracle 5, inquisitor 4, sorcerer/wizard 4, witch 4, occultist 4, psychic 4, mesmerist 3</t>
  </si>
  <si>
    <t>V, S, M (powdered lead and platinum worth 250 gp)</t>
  </si>
  <si>
    <t>You disrupt the target creature's ability to draw upon magical energies. For the duration of the spell, it gains the negated spellblight (see page 97). Dispel checks to remove the spellblight take a -5 penalty due to this spell's interference with magical energies.</t>
  </si>
  <si>
    <t>&lt;p&gt;You disrupt the target creature's ability to draw upon magical energies. For the duration of the spell, it gains the negated spellblight (see page 97). Dispel checks to remove the spellblight take a -5 penalty due to this spell's interference with magical energies.&lt;/p&gt;</t>
  </si>
  <si>
    <t>&lt;link rel="stylesheet"href="PF.css"&gt;&lt;div class="heading"&gt;&lt;p class="alignleft"&gt;Curse of Magic Negation&lt;/p&gt;&lt;div style="clear: both;"&gt;&lt;/div&gt;&lt;/div&gt;&lt;div&gt;&lt;h5&gt;&lt;b&gt;School &lt;/b&gt;abjuration [curse]; &lt;b&gt;Level &lt;/b&gt;cleric/oracle 5, inquisitor 4, sorcerer/wizard 4, witch 4, occultist 4, psychic 4, mesmerist 3&lt;/h5&gt;&lt;/div&gt;&lt;hr/&gt;&lt;div&gt;&lt;h5&gt;&lt;b&gt;CASTING&lt;/b&gt;&lt;/h5&gt;&lt;/div&gt;&lt;hr/&gt;&lt;div&gt;&lt;h5&gt;&lt;b&gt;Casting Time &lt;/b&gt;1 round&lt;/h5&gt;&lt;h5&gt;&lt;b&gt;Components &lt;/b&gt;V, S, M (powdered lead and platinum worth 250 gp)&lt;/h5&gt;&lt;/div&gt;&lt;hr/&gt;&lt;div&gt;&lt;h5&gt;&lt;b&gt;EFFECT&lt;/b&gt;&lt;/h5&gt;&lt;/div&gt;&lt;hr/&gt;&lt;div&gt;&lt;h5&gt;&lt;b&gt;Range &lt;/b&gt;medium (100 ft. + 10 ft./level)&lt;/h5&gt;&lt;h5&gt;&lt;b&gt;Targets &lt;/b&gt;one creature&lt;/h5&gt;&lt;h5&gt;&lt;b&gt;Duration &lt;/b&gt;10 minute/level&lt;/h5&gt;&lt;h5&gt;&lt;b&gt;Saving Throw &lt;/b&gt;Will negates; &lt;b&gt;Spell Resistance &lt;/b&gt;no&lt;/h5&gt;&lt;/div&gt;&lt;hr/&gt;&lt;div&gt;&lt;h5&gt;&lt;b&gt;DESCRIPTION&lt;/b&gt;&lt;/h5&gt;&lt;/div&gt;&lt;hr/&gt;&lt;div&gt;&lt;h4&gt;&lt;p&gt;You disrupt the target creature's ability to draw upon magical energies. For the duration of the spell, it gains the negated spellblight (see page 97). Dispel checks to remove the spellblight take a -5 penalty due to this spell's interference with magical energies.&lt;/p&gt;&lt;/h4&gt;&lt;/div&gt;</t>
  </si>
  <si>
    <t>Target gains the negated spellblight.</t>
  </si>
  <si>
    <t>Cursed Earth</t>
  </si>
  <si>
    <t>curse, evil; see text</t>
  </si>
  <si>
    <t>cleric/oracle 9, sorcerer/wizard 9, witch 9</t>
  </si>
  <si>
    <t>V, S, M (powdered onyx 10,000 gp), DF</t>
  </si>
  <si>
    <t>1-mile radius emanating from the touched point</t>
  </si>
  <si>
    <t>You lay a terrible curse upon the land, blighting those who live and die there. Choose one of the following effects.  Famine: All normal plants in the area reduce their growth and food production by half, as if affected by the stunt growth effect of diminish plants.  Living Death: Any creatures of Small size or larger killed in the area rise as uncontrolled zombies 24 hours after their death, as do corpses buried in the area. Burning or dismembering the corpses prevents them from rising as zombies.  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t>
  </si>
  <si>
    <t>&lt;p&gt;You lay a terrible curse upon the land, blighting those who live and die there. Choose one of the following effects.&lt;/p&gt;&lt;p&gt;Famine: All normal plants in the area reduce their growth and food production by half, as if affected by the stunt growth effect of &lt;i&gt;diminish plants&lt;/i&gt;.&lt;/p&gt;&lt;p&gt;&lt;i&gt;Living&lt;/i&gt; Death: Any creatures of Small size or larger killed in the area rise as uncontrolled zombies 24 hours after their death, as do corpses buried in the area. Burning or dismembering the corpses prevents them from rising as zombies.&lt;/p&gt;&lt;p&gt;Plague: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effect.&lt;/p&gt;</t>
  </si>
  <si>
    <t>&lt;link rel="stylesheet"href="PF.css"&gt;&lt;div class="heading"&gt;&lt;p class="alignleft"&gt;Cursed Earth&lt;/p&gt;&lt;div style="clear: both;"&gt;&lt;/div&gt;&lt;/div&gt;&lt;div&gt;&lt;h5&gt;&lt;b&gt;School &lt;/b&gt;necromancy [curse, evil; see text]; &lt;b&gt;Level &lt;/b&gt;cleric/oracle 9, sorcerer/wizard 9, witch 9&lt;/h5&gt;&lt;/div&gt;&lt;hr/&gt;&lt;div&gt;&lt;h5&gt;&lt;b&gt;CASTING&lt;/b&gt;&lt;/h5&gt;&lt;/div&gt;&lt;hr/&gt;&lt;div&gt;&lt;h5&gt;&lt;b&gt;Casting Time &lt;/b&gt;10 minutes&lt;/h5&gt;&lt;h5&gt;&lt;b&gt;Components &lt;/b&gt;V, S, M (powdered onyx 10,000 gp), DF&lt;/h5&gt;&lt;/div&gt;&lt;hr/&gt;&lt;div&gt;&lt;h5&gt;&lt;b&gt;EFFECT&lt;/b&gt;&lt;/h5&gt;&lt;/div&gt;&lt;hr/&gt;&lt;div&gt;&lt;h5&gt;&lt;b&gt;Range &lt;/b&gt;touch&lt;/h5&gt;&lt;h5&gt;&lt;b&gt;Area &lt;/b&gt;1-mile radius emanating from the touched point&lt;/h5&gt;&lt;h5&gt;&lt;b&gt;Duration &lt;/b&gt;permanent&lt;/h5&gt;&lt;h5&gt;&lt;b&gt;Saving Throw &lt;/b&gt;none (see text); &lt;b&gt;Spell Resistance &lt;/b&gt;no&lt;/h5&gt;&lt;/div&gt;&lt;hr/&gt;&lt;div&gt;&lt;h5&gt;&lt;b&gt;DESCRIPTION&lt;/b&gt;&lt;/h5&gt;&lt;/div&gt;&lt;hr/&gt;&lt;div&gt;&lt;h4&gt;&lt;p&gt;You lay a terrible curse upon the land, blighting those who live and die there. Choose one of the following effects.&lt;/p&gt;&lt;p&gt;Famine: All normal plants in the area reduce their growth and food production by half, as if affected by the stunt growth effect of &lt;i&gt;diminish plants&lt;/i&gt;.&lt;/p&gt;&lt;p&gt;&lt;i&gt;Living&lt;/i&gt; Death: Any creatures of Small size or larger killed in the area rise as uncontrolled zombies 24 hours after their death, as do corpses buried in the area. Burning or dismembering the corpses prevents them from rising as zombies.&lt;/p&gt;&lt;p&gt;Plague: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effect.&lt;/p&gt;&lt;/h4&gt;&lt;/div&gt;</t>
  </si>
  <si>
    <t>Plants die, living creatures catch diseases, or dead creatures rise as zombies.</t>
  </si>
  <si>
    <t>Cushioning Bands</t>
  </si>
  <si>
    <t>sorcerer/wizard 2, summoner 2, psychic 2</t>
  </si>
  <si>
    <t>V, S,</t>
  </si>
  <si>
    <t>1 hour/level or until discharged (D)</t>
  </si>
  <si>
    <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crushing hand.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t>
  </si>
  <si>
    <t>&lt;p&gt;Invisible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&lt;i&gt;crushing hand&lt;/i&gt;.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reduction.&lt;/p&gt;</t>
  </si>
  <si>
    <t>&lt;link rel="stylesheet"href="PF.css"&gt;&lt;div class="heading"&gt;&lt;p class="alignleft"&gt;Cushioning Bands&lt;/p&gt;&lt;div style="clear: both;"&gt;&lt;/div&gt;&lt;/div&gt;&lt;div&gt;&lt;h5&gt;&lt;b&gt;School &lt;/b&gt;conjuration (creation) [force]; &lt;b&gt;Level &lt;/b&gt;sorcerer/wizard 2, summoner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or until discharged (D)&lt;/h5&gt;&lt;h5&gt;&lt;b&gt;Saving Throw &lt;/b&gt;Will negates (harmless); &lt;b&gt;Spell Resistance &lt;/b&gt;yes&lt;/h5&gt;&lt;/div&gt;&lt;hr/&gt;&lt;div&gt;&lt;h5&gt;&lt;b&gt;DESCRIPTION&lt;/b&gt;&lt;/h5&gt;&lt;/div&gt;&lt;hr/&gt;&lt;div&gt;&lt;h4&gt;&lt;p&gt;Invisible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&lt;i&gt;crushing hand&lt;/i&gt;.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reduction.&lt;/p&gt;&lt;/h4&gt;&lt;/div&gt;</t>
  </si>
  <si>
    <t>Force bands protect against crushing.</t>
  </si>
  <si>
    <t>Dance of a Hundred Cuts</t>
  </si>
  <si>
    <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t>
  </si>
  <si>
    <t>&lt;p&gt;You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ends.&lt;/p&gt;</t>
  </si>
  <si>
    <t>&lt;link rel="stylesheet"href="PF.css"&gt;&lt;div class="heading"&gt;&lt;p class="alignleft"&gt;Dance of a Hundred Cuts&lt;/p&gt;&lt;div style="clear: both;"&gt;&lt;/div&gt;&lt;/div&gt;&lt;div&gt;&lt;h5&gt;&lt;b&gt;School &lt;/b&gt;transmutation; &lt;b&gt;Level &lt;/b&gt;bard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ends.&lt;/p&gt;&lt;/h4&gt;&lt;/div&gt;</t>
  </si>
  <si>
    <t>Duels (5)</t>
  </si>
  <si>
    <t>Gain +1 combat bonus/3 levels.</t>
  </si>
  <si>
    <t>Dance of a Thousand Cuts</t>
  </si>
  <si>
    <t>This spell functions as dance of a hundred cuts, except you also gain the benefits of haste.</t>
  </si>
  <si>
    <t>&lt;p&gt;This spell functions as &lt;i&gt;dance of a hundred cuts&lt;/i&gt;, except you also gain the benefits of &lt;i&gt;haste&lt;/i&gt;.&lt;/p&gt;</t>
  </si>
  <si>
    <t>&lt;link rel="stylesheet"href="PF.css"&gt;&lt;div class="heading"&gt;&lt;p class="alignleft"&gt;Dance of a Thousand Cuts&lt;/p&gt;&lt;div style="clear: both;"&gt;&lt;/div&gt;&lt;/div&gt;&lt;div&gt;&lt;h5&gt;&lt;b&gt;School &lt;/b&gt;transmutation; &lt;b&gt;Level &lt;/b&gt;bard 6&lt;/h5&gt;&lt;/div&gt;&lt;hr/&gt;&lt;div&gt;&lt;h5&gt;&lt;b&gt;CASTING&lt;/b&gt;&lt;/h5&gt;&lt;/div&gt;&lt;hr/&gt;&lt;div&gt;&lt;h5&gt;&lt;b&gt;Casting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as &lt;i&gt;dance of a hundred cuts&lt;/i&gt;, except you also gain the benefits of &lt;i&gt;haste&lt;/i&gt;.&lt;/p&gt;&lt;/h4&gt;&lt;/div&gt;</t>
  </si>
  <si>
    <t>Duels (8)</t>
  </si>
  <si>
    <t>As dance of a hundred cuts, plus the benefits of haste.</t>
  </si>
  <si>
    <t>Darkvision, Greater</t>
  </si>
  <si>
    <t>alchemist 4, antipaladin 4, ranger 4, sorcerer/wizard 4, occultist 4, psychic 4</t>
  </si>
  <si>
    <t>This spell functions as darkvision, except the target's darkvision has a range of 120 feet.</t>
  </si>
  <si>
    <t>&lt;p&gt;This spell functions as &lt;i&gt;darkvision&lt;/i&gt;, except the target's &lt;i&gt;darkvision&lt;/i&gt; has a range of 120 feet.&lt;/p&gt;</t>
  </si>
  <si>
    <t>&lt;link rel="stylesheet"href="PF.css"&gt;&lt;div class="heading"&gt;&lt;p class="alignleft"&gt;Darkvision, Greater&lt;/p&gt;&lt;div style="clear: both;"&gt;&lt;/div&gt;&lt;/div&gt;&lt;div&gt;&lt;h5&gt;&lt;b&gt;School &lt;/b&gt;transmutation; &lt;b&gt;Level &lt;/b&gt;alchemist 4, antipaladin 4, ranger 4, sorcerer/wizard 4, occultist 4, psychic 4&lt;/h5&gt;&lt;/div&gt;&lt;hr/&gt;&lt;div&gt;&lt;h5&gt;&lt;b&gt;CASTING&lt;/b&gt;&lt;/h5&gt;&lt;/div&gt;&lt;hr/&gt;&lt;div&gt;&lt;h5&gt;&lt;b&gt;Casting Time &lt;/b&gt;1 standard action&lt;/h5&gt;&lt;h5&gt;&lt;b&gt;Components &lt;/b&gt;V, S, M (either a pinch of dried carrot or an agate)&lt;/h5&gt;&lt;/div&gt;&lt;hr/&gt;&lt;div&gt;&lt;h5&gt;&lt;b&gt;EFFECT&lt;/b&gt;&lt;/h5&gt;&lt;/div&gt;&lt;hr/&gt;&lt;div&gt;&lt;h5&gt;&lt;b&gt;Range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(harmless)&lt;/h5&gt;&lt;/div&gt;&lt;hr/&gt;&lt;div&gt;&lt;h5&gt;&lt;b&gt;DESCRIPTION&lt;/b&gt;&lt;/h5&gt;&lt;/div&gt;&lt;hr/&gt;&lt;div&gt;&lt;h4&gt;&lt;p&gt;This spell functions as &lt;i&gt;darkvision&lt;/i&gt;, except the target's &lt;i&gt;darkvision&lt;/i&gt; has a range of 120 feet.&lt;/p&gt;&lt;/h4&gt;&lt;/div&gt;</t>
  </si>
  <si>
    <t>See 120 ft. in total darkness.</t>
  </si>
  <si>
    <t>Daze, Mass</t>
  </si>
  <si>
    <t>bard 4, inquisitor 4, sorcerer/wizard 4, summoner 4, witch 4, occultist 4, psychic 3, mesmerist 4</t>
  </si>
  <si>
    <t>one or more humanoid creatures, no two of which  may be more than 30 ft. apart</t>
  </si>
  <si>
    <t>This spell functions as daze, except as noted above.</t>
  </si>
  <si>
    <t>&lt;p&gt;This spell functions as &lt;i&gt;daze&lt;/i&gt;, except as noted above.&lt;/p&gt;</t>
  </si>
  <si>
    <t>&lt;link rel="stylesheet"href="PF.css"&gt;&lt;div class="heading"&gt;&lt;p class="alignleft"&gt;Daze, Mass&lt;/p&gt;&lt;div style="clear: both;"&gt;&lt;/div&gt;&lt;/div&gt;&lt;div&gt;&lt;h5&gt;&lt;b&gt;School &lt;/b&gt;enchantment (compulsion) [mind-affecting]; &lt;b&gt;Level &lt;/b&gt;bard 4, inquisitor 4, sorcerer/wizard 4, summoner 4, witch 4, occultist 4, psychic 3,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or more humanoid creatures, no two of which  may be more than 30 ft. apart&lt;/h5&gt;&lt;h5&gt;&lt;b&gt;Duration &lt;/b&gt;1 round&lt;/h5&gt;&lt;h5&gt;&lt;b&gt;Saving Throw &lt;/b&gt;Will negates; &lt;b&gt;Spell Resistance &lt;/b&gt;yes&lt;/h5&gt;&lt;/div&gt;&lt;hr/&gt;&lt;div&gt;&lt;h5&gt;&lt;b&gt;DESCRIPTION&lt;/b&gt;&lt;/h5&gt;&lt;/div&gt;&lt;hr/&gt;&lt;div&gt;&lt;h4&gt;&lt;p&gt;This spell functions as &lt;i&gt;daze&lt;/i&gt;, except as noted above.&lt;/p&gt;&lt;/h4&gt;&lt;/div&gt;</t>
  </si>
  <si>
    <t>As daze, but affecting multiple creatures.</t>
  </si>
  <si>
    <t>Decompose Corpse</t>
  </si>
  <si>
    <t>cleric/oracle 1, druid 1, sorcerer/wizard 1, witch 1, occultist 1, psychic 1, spiritualist 1</t>
  </si>
  <si>
    <t>V, S, M (a pinch of dried toadstool)</t>
  </si>
  <si>
    <t>one corpse or corporeal undead</t>
  </si>
  <si>
    <t>instantaneous or 1 minute; see text</t>
  </si>
  <si>
    <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t>
  </si>
  <si>
    <t>&lt;p&gt;Using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minute.&lt;/p&gt;</t>
  </si>
  <si>
    <t>&lt;link rel="stylesheet"href="PF.css"&gt;&lt;div class="heading"&gt;&lt;p class="alignleft"&gt;Decompose Corpse&lt;/p&gt;&lt;div style="clear: both;"&gt;&lt;/div&gt;&lt;/div&gt;&lt;div&gt;&lt;h5&gt;&lt;b&gt;School &lt;/b&gt;necromancy; &lt;b&gt;Level &lt;/b&gt;cleric/oracle 1, druid 1, sorcerer/wizard 1, witch 1, occultist 1, psychic 1, spiritualist 1&lt;/h5&gt;&lt;/div&gt;&lt;hr/&gt;&lt;div&gt;&lt;h5&gt;&lt;b&gt;CASTING&lt;/b&gt;&lt;/h5&gt;&lt;/div&gt;&lt;hr/&gt;&lt;div&gt;&lt;h5&gt;&lt;b&gt;Casting Time &lt;/b&gt;1 standard action&lt;/h5&gt;&lt;h5&gt;&lt;b&gt;Components &lt;/b&gt;V, S, M (a pinch of dried toadstool)&lt;/h5&gt;&lt;/div&gt;&lt;hr/&gt;&lt;div&gt;&lt;h5&gt;&lt;b&gt;EFFECT&lt;/b&gt;&lt;/h5&gt;&lt;/div&gt;&lt;hr/&gt;&lt;div&gt;&lt;h5&gt;&lt;b&gt;Range &lt;/b&gt;touch&lt;/h5&gt;&lt;h5&gt;&lt;b&gt;Targets &lt;/b&gt;one corpse or corporeal undead&lt;/h5&gt;&lt;h5&gt;&lt;b&gt;Duration &lt;/b&gt;instantaneous or 1 minute; see text&lt;/h5&gt;&lt;h5&gt;&lt;b&gt;Saving Throw &lt;/b&gt;Fortitude negates (object); &lt;b&gt;Spell Resistance &lt;/b&gt;yes (object)&lt;/h5&gt;&lt;/div&gt;&lt;hr/&gt;&lt;div&gt;&lt;h5&gt;&lt;b&gt;DESCRIPTION&lt;/b&gt;&lt;/h5&gt;&lt;/div&gt;&lt;hr/&gt;&lt;div&gt;&lt;h4&gt;&lt;p&gt;Using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minute.&lt;/p&gt;&lt;/h4&gt;&lt;/div&gt;</t>
  </si>
  <si>
    <t>Turn a corpse into a clean skeleton.</t>
  </si>
  <si>
    <t>Defensive Shock</t>
  </si>
  <si>
    <t>alchemist 2, magus 2, sorcerer/wizard 2, bloodrager 2, occultist 2</t>
  </si>
  <si>
    <t>V, S, M (a hollow metal sphere)</t>
  </si>
  <si>
    <t>1 minute/level or until discharged</t>
  </si>
  <si>
    <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t>
  </si>
  <si>
    <t>&lt;p&gt;Electrical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ends.&lt;/p&gt;</t>
  </si>
  <si>
    <t>&lt;link rel="stylesheet"href="PF.css"&gt;&lt;div class="heading"&gt;&lt;p class="alignleft"&gt;Defensive Shock&lt;/p&gt;&lt;div style="clear: both;"&gt;&lt;/div&gt;&lt;/div&gt;&lt;div&gt;&lt;h5&gt;&lt;b&gt;School &lt;/b&gt;evocation [electricity]; &lt;b&gt;Level &lt;/b&gt;alchemist 2, magus 2, sorcerer/wizard 2, bloodrager 2, occultist 2&lt;/h5&gt;&lt;/div&gt;&lt;hr/&gt;&lt;div&gt;&lt;h5&gt;&lt;b&gt;CASTING&lt;/b&gt;&lt;/h5&gt;&lt;/div&gt;&lt;hr/&gt;&lt;div&gt;&lt;h5&gt;&lt;b&gt;Casting Time &lt;/b&gt;1 standard action&lt;/h5&gt;&lt;h5&gt;&lt;b&gt;Components &lt;/b&gt;V, S, M (a hollow metal sphere)&lt;/h5&gt;&lt;/div&gt;&lt;hr/&gt;&lt;div&gt;&lt;h5&gt;&lt;b&gt;EFFECT&lt;/b&gt;&lt;/h5&gt;&lt;/div&gt;&lt;hr/&gt;&lt;div&gt;&lt;h5&gt;&lt;b&gt;Range &lt;/b&gt;personal&lt;/h5&gt;&lt;h5&gt;&lt;b&gt;Targets &lt;/b&gt;you&lt;/h5&gt;&lt;h5&gt;&lt;b&gt;Duration &lt;/b&gt;1 minute/level or until discharged&lt;/h5&gt;&lt;/div&gt;&lt;hr/&gt;&lt;div&gt;&lt;h5&gt;&lt;b&gt;DESCRIPTION&lt;/b&gt;&lt;/h5&gt;&lt;/div&gt;&lt;hr/&gt;&lt;div&gt;&lt;h4&gt;&lt;p&gt;Electrical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ends.&lt;/p&gt;&lt;/h4&gt;&lt;/div&gt;</t>
  </si>
  <si>
    <t>Electricity damages your attackers.</t>
  </si>
  <si>
    <t>Nanite (5)</t>
  </si>
  <si>
    <t>Delay Pain</t>
  </si>
  <si>
    <t>bard 2, cleric/oracle 2, inquisitor 2, sorcerer/wizard 2, witch 2, bloodrager 2, psychic 2, mesmerist 2</t>
  </si>
  <si>
    <t>You override the target's ability to feel pain. Pain effects (such as pain strike** and symbol of pain) do not affect the target until this spell's duration has expired. This does not negate any physical damage, ability damage, or ability drain that a pain effect has already done, but it does negate ongoing penalties from pain while the spell lasts.</t>
  </si>
  <si>
    <t>&lt;p&gt;You override the target's ability to feel pain. Pain effects (such as &lt;i&gt;pain strike&lt;/i&gt;** and &lt;i&gt;symbol of&lt;/i&gt; pain) do not affect the target until this spell's duration has expired. This does not negate any physical damage, ability damage, or ability drain that a pain effect has already done, but it does negate ongoing penalties from pain while the spell lasts.&lt;/p&gt;</t>
  </si>
  <si>
    <t>&lt;link rel="stylesheet"href="PF.css"&gt;&lt;div class="heading"&gt;&lt;p class="alignleft"&gt;Delay Pain&lt;/p&gt;&lt;div style="clear: both;"&gt;&lt;/div&gt;&lt;/div&gt;&lt;div&gt;&lt;h5&gt;&lt;b&gt;School &lt;/b&gt;enchantment [emotion]; &lt;b&gt;Level &lt;/b&gt;bard 2, cleric/oracle 2, inquisitor 2, sorcerer/wizard 2, witch 2, bloodrager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&lt;/b&gt;yes&lt;/h5&gt;&lt;/div&gt;&lt;hr/&gt;&lt;div&gt;&lt;h5&gt;&lt;b&gt;DESCRIPTION&lt;/b&gt;&lt;/h5&gt;&lt;/div&gt;&lt;hr/&gt;&lt;div&gt;&lt;h4&gt;&lt;p&gt;You override the target's ability to feel pain. Pain effects (such as &lt;i&gt;pain strike&lt;/i&gt;** and &lt;i&gt;symbol of&lt;/i&gt; pain) do not affect the target until this spell's duration has expired. This does not negate any physical damage, ability damage, or ability drain that a pain effect has already done, but it does negate ongoing penalties from pain while the spell lasts.&lt;/p&gt;&lt;/h4&gt;&lt;/div&gt;</t>
  </si>
  <si>
    <t>Kyton (1)</t>
  </si>
  <si>
    <t>Ignore pain for 1 hour/level.</t>
  </si>
  <si>
    <t>Delusional Pride</t>
  </si>
  <si>
    <t>bard 1, sorcerer/wizard 1, witch 1, psychic 1, mesmerist 1</t>
  </si>
  <si>
    <t>The target becomes so distracted by an overblown sense of its worth that it takes a -2 penalty on attacks and skill checks.  However, this feeling also gives the target a +2 morale bonus on saves against charm and compulsion effects.</t>
  </si>
  <si>
    <t>&lt;p&gt;The target becomes so distracted by an overblown sense of its worth that it takes a -2 penalty on attacks and skill checks.&lt;/p&gt;&lt;p&gt;However, this feeling also gives the target a +2 morale bonus on saves against charm and compulsion effects.&lt;/p&gt;</t>
  </si>
  <si>
    <t>&lt;link rel="stylesheet"href="PF.css"&gt;&lt;div class="heading"&gt;&lt;p class="alignleft"&gt;Delusional Pride&lt;/p&gt;&lt;div style="clear: both;"&gt;&lt;/div&gt;&lt;/div&gt;&lt;div&gt;&lt;h5&gt;&lt;b&gt;School &lt;/b&gt;enchantment (compulsion) [emotion, mind-affecting]; &lt;b&gt;Level &lt;/b&gt;bard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minute&lt;/h5&gt;&lt;h5&gt;&lt;b&gt;Saving Throw &lt;/b&gt;Will negates; &lt;b&gt;Spell Resistance &lt;/b&gt;yes&lt;/h5&gt;&lt;/div&gt;&lt;hr/&gt;&lt;div&gt;&lt;h5&gt;&lt;b&gt;DESCRIPTION&lt;/b&gt;&lt;/h5&gt;&lt;/div&gt;&lt;hr/&gt;&lt;div&gt;&lt;h4&gt;&lt;p&gt;The target becomes so distracted by an overblown sense of its worth that it takes a -2 penalty on attacks and skill checks.&lt;/p&gt;&lt;p&gt;However, this feeling also gives the target a +2 morale bonus on saves against charm and compulsion effects.&lt;/p&gt;&lt;/h4&gt;&lt;/div&gt;</t>
  </si>
  <si>
    <t>Target is penalized on attacks and checks but gains bonus against charms and compulsions.</t>
  </si>
  <si>
    <t>Diagnose Disease</t>
  </si>
  <si>
    <t>cleric/oracle 1, druid 1, paladin 1, ranger 1, witch 1, occultist 1, psychic 1, mesmerist 1</t>
  </si>
  <si>
    <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t>
  </si>
  <si>
    <t>&lt;p&gt;You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it.&lt;/p&gt;</t>
  </si>
  <si>
    <t>&lt;link rel="stylesheet"href="PF.css"&gt;&lt;div class="heading"&gt;&lt;p class="alignleft"&gt;Diagnose Disease&lt;/p&gt;&lt;div style="clear: both;"&gt;&lt;/div&gt;&lt;/div&gt;&lt;div&gt;&lt;h5&gt;&lt;b&gt;School &lt;/b&gt;divination; &lt;b&gt;Level &lt;/b&gt;cleric/oracle 1, druid 1, paladin 1, ranger 1, witch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 or Area &lt;/b&gt;one creature, one object, or a 5-ft. cube&lt;h5&gt;&lt;b&gt;Duration &lt;/b&gt;instantaneous&lt;/h5&gt;&lt;h5&gt;&lt;b&gt;Saving Throw &lt;/b&gt;none; &lt;b&gt;Spell Resistance &lt;/b&gt;no&lt;/h5&gt;&lt;/div&gt;&lt;hr/&gt;&lt;div&gt;&lt;h5&gt;&lt;b&gt;DESCRIPTION&lt;/b&gt;&lt;/h5&gt;&lt;/div&gt;&lt;hr/&gt;&lt;div&gt;&lt;h4&gt;&lt;p&gt;You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it.&lt;/p&gt;&lt;/h4&gt;&lt;/div&gt;</t>
  </si>
  <si>
    <t>Detect and identify diseases.</t>
  </si>
  <si>
    <t>Disfiguring Touch</t>
  </si>
  <si>
    <t>cleric/oracle 2, sorcerer/wizard 2, witch 2, bloodrager 2, occultist 2, psychic 2, mesmerist 2, spiritualist 2</t>
  </si>
  <si>
    <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 -2 decrease to an ability score (minimum 1).  • -2 penalty on attack rolls or saving throws.  • Land speed reduced by 5 feet.  You may also invent other effects, but they should be no more powerful than those described above.</t>
  </si>
  <si>
    <t>&lt;p&gt;With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&lt;ul&gt;&lt;li&gt; -2 decrease to an ability score (minimum 1).  &lt;li&gt; -2 penalty on attack rolls or saving throws.  &lt;li&gt; Land speed reduced by 5 feet.  You may also invent other effects, but they should be no more powerful than those described above.&lt;/ul&gt;&lt;/p&gt;</t>
  </si>
  <si>
    <t>&lt;link rel="stylesheet"href="PF.css"&gt;&lt;div class="heading"&gt;&lt;p class="alignleft"&gt;Disfiguring Touch&lt;/p&gt;&lt;div style="clear: both;"&gt;&lt;/div&gt;&lt;/div&gt;&lt;div&gt;&lt;h5&gt;&lt;b&gt;School &lt;/b&gt;transmutation [curse]; &lt;b&gt;Level &lt;/b&gt;cleric/oracle 2, sorcerer/wizard 2, witch 2, bloodrager 2, occultist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day/level&lt;/h5&gt;&lt;h5&gt;&lt;b&gt;Saving Throw &lt;/b&gt;Will negates; &lt;b&gt;Spell Resistance &lt;/b&gt;yes&lt;/h5&gt;&lt;/div&gt;&lt;hr/&gt;&lt;div&gt;&lt;h5&gt;&lt;b&gt;DESCRIPTION&lt;/b&gt;&lt;/h5&gt;&lt;/div&gt;&lt;hr/&gt;&lt;div&gt;&lt;h4&gt;&lt;p&gt;With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&lt;ul&gt;&lt;li&gt; -2 decrease to an ability score (minimum 1).  &lt;li&gt; -2 penalty on attack rolls or saving throws.  &lt;li&gt; Land speed reduced by 5 feet.&lt;/ul&gt;  You may also invent other effects, but they should be no more powerful than those described above.&lt;/p&gt;&lt;/h4&gt;&lt;h5&gt;&lt;b&gt;Mythic: &lt;/b&gt;The target takes two different penalties (chosen from the same list) instead of one.&lt;/h5&gt;&lt;h5&gt;&lt;b&gt;Augmented&lt;/b&gt;: If you expend two uses of mythic power, the target also gains the fatigued condition because of its painful disfigurement. If this fatigue is negated without removing the curse, it returns after 1 hour.&lt;/h5&gt;&lt;/div&gt;</t>
  </si>
  <si>
    <t>Target becomes disfigured.</t>
  </si>
  <si>
    <t>The target takes two different penalties (chosen from the same list) instead of one.</t>
  </si>
  <si>
    <t>Augmented: If you expend two uses of mythic power, the target also gains the fatigued condition because of its painful disfigurement. If this fatigue is negated without removing the curse, it returns after 1 hour.</t>
  </si>
  <si>
    <t>Disguise Other</t>
  </si>
  <si>
    <t>bard 2, inquisitor 2, sorcerer/wizard 2, occultist 2, psychic 2</t>
  </si>
  <si>
    <t>10 minute/level (D)</t>
  </si>
  <si>
    <t>This spell functions as disguise self, except you can disguise either yourself or another creature.</t>
  </si>
  <si>
    <t>&lt;p&gt;This spell functions as &lt;i&gt;disguise self&lt;/i&gt;, except you can disguise either yourself or another creature.&lt;/p&gt;</t>
  </si>
  <si>
    <t>&lt;link rel="stylesheet"href="PF.css"&gt;&lt;div class="heading"&gt;&lt;p class="alignleft"&gt;Disguise Other&lt;/p&gt;&lt;div style="clear: both;"&gt;&lt;/div&gt;&lt;/div&gt;&lt;div&gt;&lt;h5&gt;&lt;b&gt;School &lt;/b&gt;illusion (glamer); &lt;b&gt;Level &lt;/b&gt;bard 2, inquisitor 2, sorcerer/wizard 2, occultist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minute/level (D)&lt;/h5&gt;&lt;/div&gt;&lt;hr/&gt;&lt;div&gt;&lt;h5&gt;&lt;b&gt;DESCRIPTION&lt;/b&gt;&lt;/h5&gt;&lt;/div&gt;&lt;hr/&gt;&lt;div&gt;&lt;h4&gt;&lt;p&gt;This spell functions as &lt;i&gt;disguise self&lt;/i&gt;, except you can disguise either yourself or another creature.&lt;/p&gt;&lt;/h4&gt;&lt;/div&gt;</t>
  </si>
  <si>
    <t>As disguise self, but affects you or another.</t>
  </si>
  <si>
    <t>Distracting Cacophony</t>
  </si>
  <si>
    <t>bard 2, sorcerer/wizard 3, psychic 3</t>
  </si>
  <si>
    <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t>
  </si>
  <si>
    <t>&lt;p&gt;The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5.&lt;/p&gt;</t>
  </si>
  <si>
    <t>&lt;link rel="stylesheet"href="PF.css"&gt;&lt;div class="heading"&gt;&lt;p class="alignleft"&gt;Distracting Cacophony&lt;/p&gt;&lt;div style="clear: both;"&gt;&lt;/div&gt;&lt;/div&gt;&lt;div&gt;&lt;h5&gt;&lt;b&gt;School &lt;/b&gt;evocation [sonic]; &lt;b&gt;Level &lt;/b&gt;bard 2,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 spread&lt;/h5&gt;&lt;h5&gt;&lt;b&gt;Duration &lt;/b&gt;1 round/level (D)&lt;/h5&gt;&lt;h5&gt;&lt;b&gt;Saving Throw &lt;/b&gt;none; &lt;b&gt;Spell Resistance &lt;/b&gt;yes&lt;/h5&gt;&lt;/div&gt;&lt;hr/&gt;&lt;div&gt;&lt;h5&gt;&lt;b&gt;DESCRIPTION&lt;/b&gt;&lt;/h5&gt;&lt;/div&gt;&lt;hr/&gt;&lt;div&gt;&lt;h4&gt;&lt;p&gt;The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5.&lt;/p&gt;&lt;/h4&gt;&lt;/div&gt;</t>
  </si>
  <si>
    <t>Noise makes it difficult to cast.</t>
  </si>
  <si>
    <t>Distressing Tone</t>
  </si>
  <si>
    <t>bard 2, inquisitor 2</t>
  </si>
  <si>
    <t>1d4 living creatures</t>
  </si>
  <si>
    <t>You create a powerful tone that vibrates living flesh. Targets must save or gain the sickened condition. Creatures that are immune to critical hits are immune to this spell.</t>
  </si>
  <si>
    <t>&lt;p&gt;You create a powerful tone that vibrates living flesh. Targets must save or gain the sickened condition. Creatures that are immune to critical hits are immune to this spell.&lt;/p&gt;</t>
  </si>
  <si>
    <t>&lt;link rel="stylesheet"href="PF.css"&gt;&lt;div class="heading"&gt;&lt;p class="alignleft"&gt;Distressing Tone&lt;/p&gt;&lt;div style="clear: both;"&gt;&lt;/div&gt;&lt;/div&gt;&lt;div&gt;&lt;h5&gt;&lt;b&gt;School &lt;/b&gt;evocation [sonic]; &lt;b&gt;Level &lt;/b&gt;bard 2, inquisitor 2&lt;/h5&gt;&lt;/div&gt;&lt;hr/&gt;&lt;div&gt;&lt;h5&gt;&lt;b&gt;CASTING&lt;/b&gt;&lt;/h5&gt;&lt;/div&gt;&lt;hr/&gt;&lt;div&gt;&lt;h5&gt;&lt;b&gt;Casting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&lt;/b&gt;1d4 living creatures&lt;/h5&gt;&lt;h5&gt;&lt;b&gt;Duration &lt;/b&gt;1 round/level&lt;/h5&gt;&lt;h5&gt;&lt;b&gt;Saving Throw &lt;/b&gt;Fortitude negates; &lt;b&gt;Spell Resistance &lt;/b&gt;yes&lt;/h5&gt;&lt;/div&gt;&lt;hr/&gt;&lt;div&gt;&lt;h5&gt;&lt;b&gt;DESCRIPTION&lt;/b&gt;&lt;/h5&gt;&lt;/div&gt;&lt;hr/&gt;&lt;div&gt;&lt;h4&gt;&lt;p&gt;You create a powerful tone that vibrates living flesh. Targets must save or gain the sickened condition. Creatures that are immune to critical hits are immune to this spell.&lt;/p&gt;&lt;/h4&gt;&lt;/div&gt;</t>
  </si>
  <si>
    <t>Sound sickens 1d4 creatures.</t>
  </si>
  <si>
    <t>Divine Pursuit</t>
  </si>
  <si>
    <t>inquisitor 5</t>
  </si>
  <si>
    <t>1 minute/level; see text</t>
  </si>
  <si>
    <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t>
  </si>
  <si>
    <t>&lt;p&gt;Select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creature.&lt;/p&gt;</t>
  </si>
  <si>
    <t>&lt;link rel="stylesheet"href="PF.css"&gt;&lt;div class="heading"&gt;&lt;p class="alignleft"&gt;Divine Pursuit&lt;/p&gt;&lt;div style="clear: both;"&gt;&lt;/div&gt;&lt;/div&gt;&lt;div&gt;&lt;h5&gt;&lt;b&gt;School &lt;/b&gt;transmutation; &lt;b&gt;Level &lt;/b&gt;inquisitor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creature.&lt;/p&gt;&lt;/h4&gt;&lt;h5&gt;&lt;b&gt;Mythic: &lt;/b&gt;The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bonus.&lt;/h5&gt;&lt;/div&gt;</t>
  </si>
  <si>
    <t>Gain a movement type of your prey.</t>
  </si>
  <si>
    <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t>
  </si>
  <si>
    <t>Dread Bolt</t>
  </si>
  <si>
    <t>cleric/oracle 2</t>
  </si>
  <si>
    <t>arrow-shaped projectile of evil energy</t>
  </si>
  <si>
    <t>instantaneous (1d4 rounds)</t>
  </si>
  <si>
    <t>You unleash a crackling missile of darkness from your unholy symbol at any one target in range as a ranged touch attack.  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t>
  </si>
  <si>
    <t>&lt;p&gt;You unleash a crackling missile of darkness from your unholy symbol at any one target in range as a ranged touch attack.&lt;/p&gt;&lt;p&gt;A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creatures.&lt;/p&gt;</t>
  </si>
  <si>
    <t>&lt;link rel="stylesheet"href="PF.css"&gt;&lt;div class="heading"&gt;&lt;p class="alignleft"&gt;Dread Bolt&lt;/p&gt;&lt;div style="clear: both;"&gt;&lt;/div&gt;&lt;/div&gt;&lt;div&gt;&lt;h5&gt;&lt;b&gt;School &lt;/b&gt;evocation [evil];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&lt;/b&gt;arrow-shaped projectile of evil energy&lt;/h5&gt;&lt;h5&gt;&lt;b&gt;Duration &lt;/b&gt;instantaneous (1d4 rounds)&lt;/h5&gt;&lt;h5&gt;&lt;b&gt;Saving Throw &lt;/b&gt;Will partial (see text); &lt;b&gt;Spell Resistance &lt;/b&gt;yes&lt;/h5&gt;&lt;/div&gt;&lt;hr/&gt;&lt;div&gt;&lt;h5&gt;&lt;b&gt;DESCRIPTION&lt;/b&gt;&lt;/h5&gt;&lt;/div&gt;&lt;hr/&gt;&lt;div&gt;&lt;h4&gt;&lt;p&gt;You unleash a crackling missile of darkness from your unholy symbol at any one target in range as a ranged touch attack.&lt;/p&gt;&lt;p&gt;A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creatures.&lt;/p&gt;&lt;/h4&gt;&lt;/div&gt;</t>
  </si>
  <si>
    <t>Harm and possibly sicken good creatures.</t>
  </si>
  <si>
    <t>Eagle Aerie</t>
  </si>
  <si>
    <t>druid 6, summoner 6</t>
  </si>
  <si>
    <t>summoned eagles</t>
  </si>
  <si>
    <t>You summon a flight of giant eagles (one per three caster levels, maximum of six; Bestiary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t>
  </si>
  <si>
    <t>&lt;p&gt;You summon a flight of giant eagles (one per three caster levels, maximum of six; &lt;i&gt;Bestiary&lt;/i&gt;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ends).&lt;/p&gt;</t>
  </si>
  <si>
    <t>&lt;link rel="stylesheet"href="PF.css"&gt;&lt;div class="heading"&gt;&lt;p class="alignleft"&gt;Eagle Aerie&lt;/p&gt;&lt;div style="clear: both;"&gt;&lt;/div&gt;&lt;/div&gt;&lt;div&gt;&lt;h5&gt;&lt;b&gt;School &lt;/b&gt;conjuration (summoning) [good]; &lt;b&gt;Level &lt;/b&gt;druid 6, summoner 6&lt;/h5&gt;&lt;/div&gt;&lt;hr/&gt;&lt;div&gt;&lt;h5&gt;&lt;b&gt;CASTING&lt;/b&gt;&lt;/h5&gt;&lt;/div&gt;&lt;hr/&gt;&lt;div&gt;&lt;h5&gt;&lt;b&gt;Casting Time &lt;/b&gt;1 round&lt;/h5&gt;&lt;h5&gt;&lt;b&gt;Components &lt;/b&gt;V, S, DF&lt;/h5&gt;&lt;/div&gt;&lt;hr/&gt;&lt;div&gt;&lt;h5&gt;&lt;b&gt;EFFECT&lt;/b&gt;&lt;/h5&gt;&lt;/div&gt;&lt;hr/&gt;&lt;div&gt;&lt;h5&gt;&lt;b&gt;Range &lt;/b&gt;long (400 ft. + 40 ft./level)&lt;/h5&gt;&lt;h5&gt;&lt;b&gt;Effect &lt;/b&gt;summoned eagles&lt;/h5&gt;&lt;h5&gt;&lt;b&gt;Duration &lt;/b&gt;1 hour/level&lt;/h5&gt;&lt;h5&gt;&lt;b&gt;Saving Throw &lt;/b&gt;none; &lt;b&gt;Spell Resistance &lt;/b&gt;no&lt;/h5&gt;&lt;/div&gt;&lt;hr/&gt;&lt;div&gt;&lt;h5&gt;&lt;b&gt;DESCRIPTION&lt;/b&gt;&lt;/h5&gt;&lt;/div&gt;&lt;hr/&gt;&lt;div&gt;&lt;h4&gt;&lt;p&gt;You summon a flight of giant eagles (one per three caster levels, maximum of six; &lt;i&gt;Bestiary&lt;/i&gt;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ends).&lt;/p&gt;&lt;/h4&gt;&lt;/div&gt;</t>
  </si>
  <si>
    <t>Summon 1 giant eagle/3 levels.</t>
  </si>
  <si>
    <t>Ear-Piercing Scream</t>
  </si>
  <si>
    <t>bard 1, inquisitor 1, sorcerer/wizard 1, witch 1, bloodrager 1, psychic 1</t>
  </si>
  <si>
    <t>Fortitude partial (see text)</t>
  </si>
  <si>
    <t>You unleash a powerful scream, inaudible to all but a single target. The target is dazed for 1 round and takes 1d6 points of sonic damage per two caster levels (maximum 5d6). A successful save negates the daze effect and halves the damage.</t>
  </si>
  <si>
    <t>&lt;p&gt;You unleash a powerful scream, inaudible to all but a single target. The target is dazed for 1 round and takes 1d6 points of sonic damage per two caster levels (maximum 5d6). A successful save negates the daze effect and halves the damage.&lt;/p&gt;</t>
  </si>
  <si>
    <t>&lt;link rel="stylesheet"href="PF.css"&gt;&lt;div class="heading"&gt;&lt;p class="alignleft"&gt;Ear-Piercing Scream&lt;/p&gt;&lt;div style="clear: both;"&gt;&lt;/div&gt;&lt;/div&gt;&lt;div&gt;&lt;h5&gt;&lt;b&gt;School &lt;/b&gt;evocation [sonic]; &lt;b&gt;Level &lt;/b&gt;bard 1, inquisitor 1, sorcerer/wizard 1, witch 1, bloodrager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see text&lt;/h5&gt;&lt;h5&gt;&lt;b&gt;Saving Throw &lt;/b&gt;Fortitude partial (see text); &lt;b&gt;Spell Resistance &lt;/b&gt;yes&lt;/h5&gt;&lt;/div&gt;&lt;hr/&gt;&lt;div&gt;&lt;h5&gt;&lt;b&gt;DESCRIPTION&lt;/b&gt;&lt;/h5&gt;&lt;/div&gt;&lt;hr/&gt;&lt;div&gt;&lt;h4&gt;&lt;p&gt;You unleash a powerful scream, inaudible to all but a single target. The target is dazed for 1 round and takes 1d6 points of sonic damage per two caster levels (maximum 5d6). A successful save negates the daze effect and halves the damage.&lt;/p&gt;&lt;/h4&gt;&lt;h5&gt;&lt;b&gt;Mythic: &lt;/b&gt;The damage dealt increases to 1d8 points of sonic damage per 2 caster levels (maximum 5d8) and the duration that creatures in the area are dazed is a number of rounds equal to your tier.&lt;/h5&gt;&lt;h5&gt;&lt;b&gt;Augmented (3rd)&lt;/b&gt;: If you expend two uses of mythic power, the spell affects a 30-foot cone rather than a single target.&lt;/h5&gt;&lt;/div&gt;</t>
  </si>
  <si>
    <t>Deal sonic damage and daze target.</t>
  </si>
  <si>
    <t>The damage dealt increases to 1d8 points of sonic damage per 2 caster levels (maximum 5d8) and the duration that creatures in the area are dazed is a number of rounds equal to your tier.</t>
  </si>
  <si>
    <t>Augmented (3rd): If you expend two uses of mythic power, the spell affects a 30-foot cone rather than a single target.</t>
  </si>
  <si>
    <t>Echolocation</t>
  </si>
  <si>
    <t>alchemist 4, bard 4, druid 4, sorcerer/wizard 5, occultist 4, psychic 5</t>
  </si>
  <si>
    <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silence.</t>
  </si>
  <si>
    <t>&lt;p&gt;You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&lt;i&gt;silence&lt;/i&gt;.&lt;/p&gt;</t>
  </si>
  <si>
    <t>&lt;link rel="stylesheet"href="PF.css"&gt;&lt;div class="heading"&gt;&lt;p class="alignleft"&gt;Echolocation&lt;/p&gt;&lt;div style="clear: both;"&gt;&lt;/div&gt;&lt;/div&gt;&lt;div&gt;&lt;h5&gt;&lt;b&gt;School &lt;/b&gt;transmutation [sonic]; &lt;b&gt;Level &lt;/b&gt;alchemist 4, bard 4, druid 4, sorcerer/wizard 5, occultist 4, psychic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&lt;/b&gt;10 minutes/level&lt;/h5&gt;&lt;/div&gt;&lt;hr/&gt;&lt;div&gt;&lt;h5&gt;&lt;b&gt;DESCRIPTION&lt;/b&gt;&lt;/h5&gt;&lt;/div&gt;&lt;hr/&gt;&lt;div&gt;&lt;h4&gt;&lt;p&gt;You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&lt;i&gt;silence&lt;/i&gt;.&lt;/p&gt;&lt;/h4&gt;&lt;/div&gt;</t>
  </si>
  <si>
    <t>Sonic sense gives you blindsight 40 ft.</t>
  </si>
  <si>
    <t>Nanite (11)</t>
  </si>
  <si>
    <t>Eldritch Fever</t>
  </si>
  <si>
    <t>curse, disease, evil</t>
  </si>
  <si>
    <t>inquisitor 3, sorcerer/wizard 3, witch 3, psychic 3</t>
  </si>
  <si>
    <t>1 standard</t>
  </si>
  <si>
    <t>The target gains the eldritch ague spellblight (see page 96).</t>
  </si>
  <si>
    <t>&lt;p&gt;The target gains the eldritch ague spellblight (see page 96).&lt;/p&gt;</t>
  </si>
  <si>
    <t>&lt;link rel="stylesheet"href="PF.css"&gt;&lt;div class="heading"&gt;&lt;p class="alignleft"&gt;Eldritch Fever&lt;/p&gt;&lt;div style="clear: both;"&gt;&lt;/div&gt;&lt;/div&gt;&lt;div&gt;&lt;h5&gt;&lt;b&gt;School &lt;/b&gt;necromancy [curse, disease, evil]; &lt;b&gt;Level &lt;/b&gt;inquisitor 3, sorcerer/wizard 3, witch 3, psychic 3&lt;/h5&gt;&lt;/div&gt;&lt;hr/&gt;&lt;div&gt;&lt;h5&gt;&lt;b&gt;CASTING&lt;/b&gt;&lt;/h5&gt;&lt;/div&gt;&lt;hr/&gt;&lt;div&gt;&lt;h5&gt;&lt;b&gt;Casting Time &lt;/b&gt;1 standard&lt;/h5&gt;&lt;h5&gt;&lt;b&gt;Components &lt;/b&gt;V, S&lt;/h5&gt;&lt;/div&gt;&lt;hr/&gt;&lt;div&gt;&lt;h5&gt;&lt;b&gt;EFFECT&lt;/b&gt;&lt;/h5&gt;&lt;/div&gt;&lt;hr/&gt;&lt;div&gt;&lt;h5&gt;&lt;b&gt;Range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&lt;/b&gt;yes&lt;/h5&gt;&lt;/div&gt;&lt;hr/&gt;&lt;div&gt;&lt;h5&gt;&lt;b&gt;DESCRIPTION&lt;/b&gt;&lt;/h5&gt;&lt;/div&gt;&lt;hr/&gt;&lt;div&gt;&lt;h4&gt;&lt;p&gt;The target gains the eldritch ague spellblight (see page 96).&lt;/p&gt;&lt;/h4&gt;&lt;/div&gt;</t>
  </si>
  <si>
    <t>Target gains the eldritch ague spellblight.</t>
  </si>
  <si>
    <t>Envious Urge</t>
  </si>
  <si>
    <t>bard 4, sorcerer/wizard 6, psychic 6, mesmerist 4</t>
  </si>
  <si>
    <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t>
  </si>
  <si>
    <t>&lt;p&gt;You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effect.&lt;/p&gt;</t>
  </si>
  <si>
    <t>&lt;link rel="stylesheet"href="PF.css"&gt;&lt;div class="heading"&gt;&lt;p class="alignleft"&gt;Envious Urge&lt;/p&gt;&lt;div style="clear: both;"&gt;&lt;/div&gt;&lt;/div&gt;&lt;div&gt;&lt;h5&gt;&lt;b&gt;School &lt;/b&gt;enchantment (compulsion) [emotion, mind-affecting]; &lt;b&gt;Level &lt;/b&gt;bard 4, sorcerer/wizard 6, psychic 6,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effect.&lt;/p&gt;&lt;/h4&gt;&lt;/div&gt;</t>
  </si>
  <si>
    <t>Targets steal from or disarm others.</t>
  </si>
  <si>
    <t>Insanity (12)</t>
  </si>
  <si>
    <t>Epidemic</t>
  </si>
  <si>
    <t>cleric/oracle 6, druid 6, sorcerer/wizard 7, witch 6</t>
  </si>
  <si>
    <t>living creature</t>
  </si>
  <si>
    <t>The target contracts one of the following diseases: blinding sickness, bubonic plague, cackle fever, filth fever, leprosy, mindfire, red ache, shakes, or slimy doom (Core Rulebook 557), as the spell contagion.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t>
  </si>
  <si>
    <t>&lt;p&gt;The target contracts one of the following diseases: blinding sickness, bubonic plague, cackle fever, filth fever, leprosy, mindfire, red ache, shakes, or slimy doom (&lt;i&gt;Core Rulebook&lt;/i&gt; 557), as the spell &lt;i&gt;contagion&lt;/i&gt;.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time.&lt;/p&gt;</t>
  </si>
  <si>
    <t>&lt;link rel="stylesheet"href="PF.css"&gt;&lt;div class="heading"&gt;&lt;p class="alignleft"&gt;Epidemic&lt;/p&gt;&lt;div style="clear: both;"&gt;&lt;/div&gt;&lt;/div&gt;&lt;div&gt;&lt;h5&gt;&lt;b&gt;School &lt;/b&gt;necromancy [disease, evil]; &lt;b&gt;Level &lt;/b&gt;cleric/oracle 6, druid 6, sorcerer/wizard 7, witch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creature&lt;/h5&gt;&lt;h5&gt;&lt;b&gt;Duration &lt;/b&gt;instantaneous&lt;/h5&gt;&lt;h5&gt;&lt;b&gt;Saving Throw &lt;/b&gt;Fortitude negates; &lt;b&gt;Spell Resistance &lt;/b&gt;yes&lt;/h5&gt;&lt;/div&gt;&lt;hr/&gt;&lt;div&gt;&lt;h5&gt;&lt;b&gt;DESCRIPTION&lt;/b&gt;&lt;/h5&gt;&lt;/div&gt;&lt;hr/&gt;&lt;div&gt;&lt;h4&gt;&lt;p&gt;The target contracts one of the following diseases: blinding sickness, bubonic plague, cackle fever, filth fever, leprosy, mindfire, red ache, shakes, or slimy doom (&lt;i&gt;Core Rulebook&lt;/i&gt; 557), as the spell &lt;i&gt;contagion&lt;/i&gt;.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time.&lt;/p&gt;&lt;/h4&gt;&lt;/div&gt;</t>
  </si>
  <si>
    <t>Infect a subject with a highly contagious disease.</t>
  </si>
  <si>
    <t>Eruptive Pustules</t>
  </si>
  <si>
    <t>alchemist 3, sorcerer/wizard 3, witch 3, bloodrager 3</t>
  </si>
  <si>
    <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t>
  </si>
  <si>
    <t>&lt;p&gt;Your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swarm.&lt;/p&gt;</t>
  </si>
  <si>
    <t>&lt;link rel="stylesheet"href="PF.css"&gt;&lt;div class="heading"&gt;&lt;p class="alignleft"&gt;Eruptive Pustules&lt;/p&gt;&lt;div style="clear: both;"&gt;&lt;/div&gt;&lt;/div&gt;&lt;div&gt;&lt;h5&gt;&lt;b&gt;School &lt;/b&gt;transmutation [acid]; &lt;b&gt;Level &lt;/b&gt;alchemist 3, sorcerer/wizard 3, witch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&lt;/b&gt;Fortitude partial (see text); &lt;b&gt;Spell Resistance &lt;/b&gt;yes&lt;/h5&gt;&lt;/div&gt;&lt;hr/&gt;&lt;div&gt;&lt;h5&gt;&lt;b&gt;DESCRIPTION&lt;/b&gt;&lt;/h5&gt;&lt;/div&gt;&lt;hr/&gt;&lt;div&gt;&lt;h4&gt;&lt;p&gt;Your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swarm.&lt;/p&gt;&lt;/h4&gt;&lt;/div&gt;</t>
  </si>
  <si>
    <t>Acid boils burst when you are attacked.</t>
  </si>
  <si>
    <t>Excruciating Deformation</t>
  </si>
  <si>
    <t>sorcerer/wizard 3, witch 3, bloodrager 3, psychic 3</t>
  </si>
  <si>
    <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t>
  </si>
  <si>
    <t>&lt;p&gt;Your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round.&lt;/p&gt;</t>
  </si>
  <si>
    <t>&lt;link rel="stylesheet"href="PF.css"&gt;&lt;div class="heading"&gt;&lt;p class="alignleft"&gt;Excruciating Deformation&lt;/p&gt;&lt;div style="clear: both;"&gt;&lt;/div&gt;&lt;/div&gt;&lt;div&gt;&lt;h5&gt;&lt;b&gt;School &lt;/b&gt;transmutation (polymorph) [evil, pain]; &lt;b&gt;Level &lt;/b&gt;sorcerer/wizard 3, witch 3, bloodrager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partial (see text); &lt;b&gt;Spell Resistance &lt;/b&gt;yes&lt;/h5&gt;&lt;/div&gt;&lt;hr/&gt;&lt;div&gt;&lt;h5&gt;&lt;b&gt;DESCRIPTION&lt;/b&gt;&lt;/h5&gt;&lt;/div&gt;&lt;hr/&gt;&lt;div&gt;&lt;h4&gt;&lt;p&gt;Your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round.&lt;/p&gt;&lt;/h4&gt;&lt;/div&gt;</t>
  </si>
  <si>
    <t>Target takes Dex and Con damage.</t>
  </si>
  <si>
    <t>Exquisite Accompaniment</t>
  </si>
  <si>
    <t>phantom instrument</t>
  </si>
  <si>
    <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  Activating a bardic performance or switching to a new still costs a round of your overall bardic performances per day.</t>
  </si>
  <si>
    <t>&lt;p&gt;You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effect.&lt;/p&gt;&lt;p&gt;Activating a bardic performance or switching to a new still costs a round of your overall bardic performances per day.&lt;/p&gt;</t>
  </si>
  <si>
    <t>&lt;link rel="stylesheet"href="PF.css"&gt;&lt;div class="heading"&gt;&lt;p class="alignleft"&gt;Exquisite Accompaniment&lt;/p&gt;&lt;div style="clear: both;"&gt;&lt;/div&gt;&lt;/div&gt;&lt;div&gt;&lt;h5&gt;&lt;b&gt;School &lt;/b&gt;illusion (shadow) [shadow]; &lt;b&gt;Level &lt;/b&gt;bard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&lt;/b&gt;phantom instrument&lt;/h5&gt;&lt;h5&gt;&lt;b&gt;Duration &lt;/b&gt;1 round/level (D)&lt;/h5&gt;&lt;h5&gt;&lt;b&gt;Saving Throw &lt;/b&gt;none; &lt;b&gt;Spell Resistance &lt;/b&gt;no&lt;/h5&gt;&lt;/div&gt;&lt;hr/&gt;&lt;div&gt;&lt;h5&gt;&lt;b&gt;DESCRIPTION&lt;/b&gt;&lt;/h5&gt;&lt;/div&gt;&lt;hr/&gt;&lt;div&gt;&lt;h4&gt;&lt;p&gt;You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effect.&lt;/p&gt;&lt;p&gt;Activating a bardic performance or switching to a new still costs a round of your overall bardic performances per day.&lt;/p&gt;&lt;/h4&gt;&lt;/div&gt;</t>
  </si>
  <si>
    <t>Instrument maintains bardic performance for you.</t>
  </si>
  <si>
    <t>False Life, Greater</t>
  </si>
  <si>
    <t>alchemist 4, sorcerer/wizard 4, witch 4, bloodrager 4, shaman 4, occultist 4, psychic 4, mesmerist 3, spiritualist 4</t>
  </si>
  <si>
    <t>This spell functions as false life, except you gain temporary hit points equal to 2d10 + 1 point per caster level (maximum +20). The effects of this spell do not stack with those of false life.</t>
  </si>
  <si>
    <t>&lt;p&gt;This spell functions as &lt;i&gt;false life&lt;/i&gt;, except you gain temporary hit points equal to 2d10 + 1 point per caster level (maximum +20). The effects of this spell do not stack with those of &lt;i&gt;false life&lt;/i&gt;.&lt;/p&gt;</t>
  </si>
  <si>
    <t>&lt;link rel="stylesheet"href="PF.css"&gt;&lt;div class="heading"&gt;&lt;p class="alignleft"&gt;False Life, Greater&lt;/p&gt;&lt;div style="clear: both;"&gt;&lt;/div&gt;&lt;/div&gt;&lt;div&gt;&lt;h5&gt;&lt;b&gt;School &lt;/b&gt;necromancy; &lt;b&gt;Level &lt;/b&gt;alchemist 4, sorcerer/wizard 4, witch 4, bloodrager 4, shaman 4, occultist 4, psychic 4, mesmerist 3, spiritualist 4&lt;/h5&gt;&lt;/div&gt;&lt;hr/&gt;&lt;div&gt;&lt;h5&gt;&lt;b&gt;CASTING&lt;/b&gt;&lt;/h5&gt;&lt;/div&gt;&lt;hr/&gt;&lt;div&gt;&lt;h5&gt;&lt;b&gt;Casting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hour/level or until discharged; see text&lt;/h5&gt;&lt;/div&gt;&lt;hr/&gt;&lt;div&gt;&lt;h5&gt;&lt;b&gt;DESCRIPTION&lt;/b&gt;&lt;/h5&gt;&lt;/div&gt;&lt;hr/&gt;&lt;div&gt;&lt;h4&gt;&lt;p&gt;This spell functions as &lt;i&gt;false life&lt;/i&gt;, except you gain temporary hit points equal to 2d10 + 1 point per caster level (maximum +20). The effects of this spell do not stack with those of &lt;i&gt;false life&lt;/i&gt;.&lt;/p&gt;&lt;/h4&gt;&lt;/div&gt;</t>
  </si>
  <si>
    <t>Gain 2d10 temporary hp + 1/level.</t>
  </si>
  <si>
    <t>Familiar Melding</t>
  </si>
  <si>
    <t>sorcerer/wizard 4, witch 4, shaman 4</t>
  </si>
  <si>
    <t>You project your soul into your familiar, taking over its body while leaving its consciousness intact. When you transfer your soul upon casting, your body is, as near as anyone can tell, dead.  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  As a standard action, you can return to your body as long as it is within range. If your familiar is slain while your soul is in it and your body is within range, your soul returns to your own body, unharmed. If your familiar is out of range when slain, you die.  The spell ends when you shift from the familiar to your own body.</t>
  </si>
  <si>
    <t>&lt;p&gt;You project your soul into your familiar, taking over its body while leaving its consciousness intact. When you transfer your soul upon casting, your body is, as near as anyone can tell, dead.&lt;/p&gt;&lt;p&gt;While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motions.&lt;/p&gt;&lt;p&gt;As a standard action, you can return to your body as long as it is within range. If your familiar is slain while your soul is in it and your body is within range, your soul returns to your own body, unharmed. If your familiar is out of range when slain, you die.&lt;/p&gt;&lt;p&gt;The spell ends when you shift from the familiar to your own body.&lt;/p&gt;</t>
  </si>
  <si>
    <t>&lt;link rel="stylesheet"href="PF.css"&gt;&lt;div class="heading"&gt;&lt;p class="alignleft"&gt;Familiar Melding&lt;/p&gt;&lt;div style="clear: both;"&gt;&lt;/div&gt;&lt;/div&gt;&lt;div&gt;&lt;h5&gt;&lt;b&gt;School &lt;/b&gt;necromancy; &lt;b&gt;Level &lt;/b&gt;sorcerer/wizard 4, witch 4, shaman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&lt;/b&gt;your familiar&lt;/h5&gt;&lt;h5&gt;&lt;b&gt;Duration &lt;/b&gt;1 hour/level or until you return to your body&lt;/h5&gt;&lt;h5&gt;&lt;b&gt;Saving Throw &lt;/b&gt;Will negates (harmless); &lt;b&gt;Spell Resistance &lt;/b&gt;yes&lt;/h5&gt;&lt;/div&gt;&lt;hr/&gt;&lt;div&gt;&lt;h5&gt;&lt;b&gt;DESCRIPTION&lt;/b&gt;&lt;/h5&gt;&lt;/div&gt;&lt;hr/&gt;&lt;div&gt;&lt;h4&gt;&lt;p&gt;You project your soul into your familiar, taking over its body while leaving its consciousness intact. When you transfer your soul upon casting, your body is, as near as anyone can tell, dead.&lt;/p&gt;&lt;p&gt;While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motions.&lt;/p&gt;&lt;p&gt;As a standard action, you can return to your body as long as it is within range. If your familiar is slain while your soul is in it and your body is within range, your soul returns to your own body, unharmed. If your familiar is out of range when slain, you die.&lt;/p&gt;&lt;p&gt;The spell ends when you shift from the familiar to your own body.&lt;/p&gt;&lt;/h4&gt;&lt;/div&gt;</t>
  </si>
  <si>
    <t>Possess your familiar.</t>
  </si>
  <si>
    <t>Fickle Winds</t>
  </si>
  <si>
    <t>cleric/oracle 5, druid 5, ranger 3, sorcerer/wizard 5, spiritualist 5</t>
  </si>
  <si>
    <t>one or more Medium creatures/level, no two of which can be more than 30 ft. apart</t>
  </si>
  <si>
    <t>You create a mobile cylinder of wind encompassing every target of the spell and protecting them as wind wall, but not interfering with them in any way. For example, arrows and bolts fired at the targets are deflected upward and miss, but the targets' own arrows or bolts pass through the wall as if it were not there.  A Large creature counts as 4 Medium creatures for the purpose of how many targets you can effect with the spell; a Huge creature counts as 8, a Gargantuan creature as 16, and a Colossal creature as 32. This spell has no effect within the area of a higher-level wind or weather spell.</t>
  </si>
  <si>
    <t>&lt;p&gt;You create a mobile cylinder of wind encompassing every target of the spell and protecting them as &lt;i&gt;wind wall&lt;/i&gt;, but not interfering with them in any way. For example, arrows and bolts fired at the targets are deflected upward and miss, but the targets' own arrows or bolts pass through the wall as if it were not there.&lt;/p&gt;&lt;p&gt;A Large creature counts as 4 Medium creatures for the purpose of how many targets you can effect with the spell; a Huge creature counts as 8, a Gargantuan creature as 16, and a Colossal creature as 32. This spell has no effect within the area of a higher-level wind or weather spell.&lt;/p&gt;</t>
  </si>
  <si>
    <t>&lt;link rel="stylesheet"href="PF.css"&gt;&lt;div class="heading"&gt;&lt;p class="alignleft"&gt;Fickle Winds&lt;/p&gt;&lt;div style="clear: both;"&gt;&lt;/div&gt;&lt;/div&gt;&lt;div&gt;&lt;h5&gt;&lt;b&gt;School &lt;/b&gt;transmutation [air]; &lt;b&gt;Level &lt;/b&gt;cleric/oracle 5, druid 5, ranger 3, sorcerer/wizard 5, spiritualist 5&lt;/h5&gt;&lt;/div&gt;&lt;hr/&gt;&lt;div&gt;&lt;h5&gt;&lt;b&gt;CASTING&lt;/b&gt;&lt;/h5&gt;&lt;/div&gt;&lt;hr/&gt;&lt;div&gt;&lt;h5&gt;&lt;b&gt;Casting Time &lt;/b&gt;1 standard action&lt;/h5&gt;&lt;h5&gt;&lt;b&gt;Components &lt;/b&gt;V, S&lt;/h5&gt;&lt;/div&gt;&lt;hr/&gt;&lt;div&gt;&lt;h5&gt;&lt;b&gt;EFFECT&lt;/b&gt;&lt;/h5&gt;&lt;/div&gt;&lt;hr/&gt;&lt;div&gt;&lt;h5&gt;&lt;b&gt;Targets &lt;/b&gt;one or more Medium creatures/level, no two of which can be more than 30 ft. apart&lt;/h5&gt;&lt;h5&gt;&lt;b&gt;Duration &lt;/b&gt;1 minute/level (D)&lt;/h5&gt;&lt;h5&gt;&lt;b&gt;Saving Throw &lt;/b&gt;none (see text); &lt;b&gt;Spell Resistance &lt;/b&gt;yes&lt;/h5&gt;&lt;/div&gt;&lt;hr/&gt;&lt;div&gt;&lt;h5&gt;&lt;b&gt;DESCRIPTION&lt;/b&gt;&lt;/h5&gt;&lt;/div&gt;&lt;hr/&gt;&lt;div&gt;&lt;h4&gt;&lt;p&gt;You create a mobile cylinder of wind encompassing every target of the spell and protecting them as &lt;i&gt;wind wall&lt;/i&gt;, but not interfering with them in any way. For example, arrows and bolts fired at the targets are deflected upward and miss, but the targets' own arrows or bolts pass through the wall as if it were not there.&lt;/p&gt;&lt;p&gt;A Large creature counts as 4 Medium creatures for the purpose of how many targets you can effect with the spell; a Huge creature counts as 8, a Gargantuan creature as 16, and a Colossal creature as 32. This spell has no effect within the area of a higher-level wind or weather spell.&lt;/p&gt;&lt;/h4&gt;&lt;/div&gt;</t>
  </si>
  <si>
    <t>Wind walls selectively block attacks.</t>
  </si>
  <si>
    <t>Fleshworm Infestation</t>
  </si>
  <si>
    <t>cleric/oracle 4, inquisitor 4, sorcerer/wizard 4, witch 4, psychic 4</t>
  </si>
  <si>
    <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Fleshworm infestation cannot be ended early by remove disease or heal, as the infestation starts anew if the current worms are slain. Protection from evil negates this spell's effects for as long as the two durations overlap.  Dispel evil automatically ends a fleshworm infestation.</t>
  </si>
  <si>
    <t>&lt;p&gt;With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&lt;i&gt;Fleshworm infestation&lt;/i&gt; cannot be ended early by &lt;i&gt;remove disease&lt;/i&gt; or &lt;i&gt;heal&lt;/i&gt;, as the infestation starts anew if the current worms are slain. &lt;i&gt;Protection from evil&lt;/i&gt; negates this spell's effects for as long as the two durations overlap.&lt;/p&gt;&lt;p&gt;&lt;i&gt;Dispel evil&lt;/i&gt; automatically ends a &lt;i&gt;fleshworm infestation&lt;/i&gt;.&lt;/p&gt;</t>
  </si>
  <si>
    <t>&lt;link rel="stylesheet"href="PF.css"&gt;&lt;div class="heading"&gt;&lt;p class="alignleft"&gt;Fleshworm Infestation&lt;/p&gt;&lt;div style="clear: both;"&gt;&lt;/div&gt;&lt;/div&gt;&lt;div&gt;&lt;h5&gt;&lt;b&gt;School &lt;/b&gt;conjuration (summoning) [evil]; &lt;b&gt;Level &lt;/b&gt;cleric/oracle 4, inquisitor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partial (see text); &lt;b&gt;Spell Resistance &lt;/b&gt;yes&lt;/h5&gt;&lt;/div&gt;&lt;hr/&gt;&lt;div&gt;&lt;h5&gt;&lt;b&gt;DESCRIPTION&lt;/b&gt;&lt;/h5&gt;&lt;/div&gt;&lt;hr/&gt;&lt;div&gt;&lt;h4&gt;&lt;p&gt;With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&lt;i&gt;Fleshworm infestation&lt;/i&gt; cannot be ended early by &lt;i&gt;remove disease&lt;/i&gt; or &lt;i&gt;heal&lt;/i&gt;, as the infestation starts anew if the current worms are slain. &lt;i&gt;Protection from evil&lt;/i&gt; negates this spell's effects for as long as the two durations overlap.&lt;/p&gt;&lt;p&gt;&lt;i&gt;Dispel evil&lt;/i&gt; automatically ends a &lt;i&gt;fleshworm infestation&lt;/i&gt;.&lt;/p&gt;&lt;/h4&gt;&lt;/div&gt;</t>
  </si>
  <si>
    <t>Worms deal hp and Dex damage.</t>
  </si>
  <si>
    <t>Forbid Action</t>
  </si>
  <si>
    <t>cleric/oracle 1, inquisitor 1, occultist 1, psychic 1, mesmerist 1</t>
  </si>
  <si>
    <t>close (25 ft. +5 ft./2 levels)</t>
  </si>
  <si>
    <t>You forbid the target a single course of action, which it avoids to the best of its ability. You may demand the target not take actions that fall into one of the following options. Attack: The target cannot take any action that involves an attack roll, or uses a spell or ability that targets a foe or an area that includes a foe. Cast: Target cannot cast spells or use spell-like abilities. 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 Draw: Target cannot ready or prepare any item, weapon, component, or equipment. 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 The target is free to take any actions not forbidden by the caster. For example, a target affected by this spell's demand to not move is still free to cast spells, make attacks, or shout for help.</t>
  </si>
  <si>
    <t>&lt;p&gt;You forbid the target a single course of action, which it avoids to the best of its ability. You may demand the target not take actions that fall into one of the following options.&lt;/p&gt;&lt;p&gt;Attack: The target cannot take any action that involves an attack roll, or uses a spell or ability that targets a foe or an area that includes a foe.&lt;/p&gt;&lt;p&gt;Cast: Target cannot cast spells or use spell-like abilities.&lt;/p&gt;&lt;p&gt;Communicate: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spellcasting.&lt;/p&gt;&lt;p&gt;Draw: Target cannot ready or prepare any item, weapon, component, or equipment.&lt;/p&gt;&lt;p&gt;Move: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move).&lt;/p&gt;&lt;p&gt;The target is free to take any actions not forbidden by the caster. For example, a target affected by this spell's demand to not move is still free to cast spells, make attacks, or shout for help.&lt;/p&gt;</t>
  </si>
  <si>
    <t>&lt;link rel="stylesheet"href="PF.css"&gt;&lt;div class="heading"&gt;&lt;p class="alignleft"&gt;Forbid Action&lt;/p&gt;&lt;div style="clear: both;"&gt;&lt;/div&gt;&lt;/div&gt;&lt;div&gt;&lt;h5&gt;&lt;b&gt;School &lt;/b&gt;enchantment (compulsion) [language-dependent, mind-affecting]; &lt;b&gt;Level &lt;/b&gt;cleric/oracle 1, inquisitor 1, occultist 1, psychic 1, mesmerist 1&lt;/h5&gt;&lt;/div&gt;&lt;hr/&gt;&lt;div&gt;&lt;h5&gt;&lt;b&gt;CASTING&lt;/b&gt;&lt;/h5&gt;&lt;/div&gt;&lt;hr/&gt;&lt;div&gt;&lt;h5&gt;&lt;b&gt;Casting Time &lt;/b&gt;1 standard action&lt;/h5&gt;&lt;h5&gt;&lt;b&gt;Components &lt;/b&gt;V&lt;/h5&gt;&lt;/div&gt;&lt;hr/&gt;&lt;div&gt;&lt;h5&gt;&lt;b&gt;EFFECT&lt;/b&gt;&lt;/h5&gt;&lt;/div&gt;&lt;hr/&gt;&lt;div&gt;&lt;h5&gt;&lt;b&gt;Range &lt;/b&gt;close (25 ft. +5 ft./2 levels)&lt;/h5&gt;&lt;h5&gt;&lt;b&gt;Targets &lt;/b&gt;one creature&lt;/h5&gt;&lt;h5&gt;&lt;b&gt;Duration &lt;/b&gt;1 round&lt;/h5&gt;&lt;h5&gt;&lt;b&gt;Saving Throw &lt;/b&gt;Will negates; &lt;b&gt;Spell Resistance &lt;/b&gt;yes&lt;/h5&gt;&lt;/div&gt;&lt;hr/&gt;&lt;div&gt;&lt;h5&gt;&lt;b&gt;DESCRIPTION&lt;/b&gt;&lt;/h5&gt;&lt;/div&gt;&lt;hr/&gt;&lt;div&gt;&lt;h4&gt;&lt;p&gt;You forbid the target a single course of action, which it avoids to the best of its ability. You may demand the target not take actions that fall into one of the following options.&lt;/p&gt;&lt;p&gt;Attack: The target cannot take any action that involves an attack roll, or uses a spell or ability that targets a foe or an area that includes a foe.&lt;/p&gt;&lt;p&gt;Cast: Target cannot cast spells or use spell-like abilities.&lt;/p&gt;&lt;p&gt;Communicate: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spellcasting.&lt;/p&gt;&lt;p&gt;Draw: Target cannot ready or prepare any item, weapon, component, or equipment.&lt;/p&gt;&lt;p&gt;Move: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move).&lt;/p&gt;&lt;p&gt;The target is free to take any actions not forbidden by the caster. For example, a target affected by this spell's demand to not move is still free to cast spells, make attacks, or shout for help.&lt;/p&gt;&lt;/h4&gt;&lt;/div&gt;</t>
  </si>
  <si>
    <t>Legislation (1)</t>
  </si>
  <si>
    <t>Target obeys your command to not do something.</t>
  </si>
  <si>
    <t>Forbid Action, Greater</t>
  </si>
  <si>
    <t>This spell functions as forbid action, except up to one creature per level may be affected. Each creature must receive the same forbidden action.</t>
  </si>
  <si>
    <t>&lt;p&gt;This spell functions as &lt;i&gt;forbid action&lt;/i&gt;, except up to one creature per level may be affected. Each creature must receive the same forbidden action.&lt;/p&gt;</t>
  </si>
  <si>
    <t>&lt;link rel="stylesheet"href="PF.css"&gt;&lt;div class="heading"&gt;&lt;p class="alignleft"&gt;Forbid Action, Greater&lt;/p&gt;&lt;div style="clear: both;"&gt;&lt;/div&gt;&lt;/div&gt;&lt;div&gt;&lt;h5&gt;&lt;b&gt;School &lt;/b&gt;enchantment (compulsion) [language-dependent, mind-affecting]; &lt;b&gt;Level &lt;/b&gt;cleric/oracle 5, inquisitor 5, occultist 5, psychic 5, mesmerist 4&lt;/h5&gt;&lt;/div&gt;&lt;hr/&gt;&lt;div&gt;&lt;h5&gt;&lt;b&gt;CASTING&lt;/b&gt;&lt;/h5&gt;&lt;/div&gt;&lt;hr/&gt;&lt;div&gt;&lt;h5&gt;&lt;b&gt;Casting Time &lt;/b&gt;1 standard action&lt;/h5&gt;&lt;h5&gt;&lt;b&gt;Components &lt;/b&gt;V&lt;/h5&gt;&lt;/div&gt;&lt;hr/&gt;&lt;div&gt;&lt;h5&gt;&lt;b&gt;EFFECT&lt;/b&gt;&lt;/h5&gt;&lt;/div&gt;&lt;hr/&gt;&lt;div&gt;&lt;h5&gt;&lt;b&gt;Range &lt;/b&gt;close (25 ft. +5 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&lt;i&gt;forbid action&lt;/i&gt;, except up to one creature per level may be affected. Each creature must receive the same forbidden action.&lt;/p&gt;&lt;/h4&gt;&lt;/div&gt;</t>
  </si>
  <si>
    <t>Legislation (5)</t>
  </si>
  <si>
    <t>As forbid action, but 1 creature/level.</t>
  </si>
  <si>
    <t>Force Hook Charge</t>
  </si>
  <si>
    <t>magus 3, bloodrager 3, psychic 4</t>
  </si>
  <si>
    <t>close (25 feet + 5 feet/2 levels)</t>
  </si>
  <si>
    <t>one creature or object within range and you</t>
  </si>
  <si>
    <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  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  If you use this spell with your spell combat class ability, you can make your melee attack from your starting position or your ending position.</t>
  </si>
  <si>
    <t>&lt;p&gt;You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restraints.&lt;/p&gt;&lt;p&gt;If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fall.&lt;/p&gt;&lt;p&gt;If you use this spell with your spell combat class ability, you can make your melee attack from your starting position or your ending position.&lt;/p&gt;</t>
  </si>
  <si>
    <t>&lt;link rel="stylesheet"href="PF.css"&gt;&lt;div class="heading"&gt;&lt;p class="alignleft"&gt;Force Hook Charge&lt;/p&gt;&lt;div style="clear: both;"&gt;&lt;/div&gt;&lt;/div&gt;&lt;div&gt;&lt;h5&gt;&lt;b&gt;School &lt;/b&gt;evocation [force]; &lt;b&gt;Level &lt;/b&gt;magus 3, bloodrager 3, psychic 4&lt;/h5&gt;&lt;/div&gt;&lt;hr/&gt;&lt;div&gt;&lt;h5&gt;&lt;b&gt;CASTING&lt;/b&gt;&lt;/h5&gt;&lt;/div&gt;&lt;hr/&gt;&lt;div&gt;&lt;h5&gt;&lt;b&gt;Casting Time &lt;/b&gt;1 standard action&lt;/h5&gt;&lt;h5&gt;&lt;b&gt;Components &lt;/b&gt;V, S&lt;/h5&gt;&lt;/div&gt;&lt;hr/&gt;&lt;div&gt;&lt;h5&gt;&lt;b&gt;EFFECT&lt;/b&gt;&lt;/h5&gt;&lt;/div&gt;&lt;hr/&gt;&lt;div&gt;&lt;h5&gt;&lt;b&gt;Range &lt;/b&gt;close (25 feet + 5 feet/2 levels)&lt;/h5&gt;&lt;h5&gt;&lt;b&gt;Targets &lt;/b&gt;one creature or object within range and you&lt;/h5&gt;&lt;h5&gt;&lt;b&gt;Duration &lt;/b&gt;instantaneous&lt;/h5&gt;&lt;h5&gt;&lt;b&gt;Saving Throw &lt;/b&gt;none; &lt;b&gt;Spell Resistance &lt;/b&gt;yes&lt;/h5&gt;&lt;/div&gt;&lt;hr/&gt;&lt;div&gt;&lt;h5&gt;&lt;b&gt;DESCRIPTION&lt;/b&gt;&lt;/h5&gt;&lt;/div&gt;&lt;hr/&gt;&lt;div&gt;&lt;h4&gt;&lt;p&gt;You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restraints.&lt;/p&gt;&lt;p&gt;If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fall.&lt;/p&gt;&lt;p&gt;If you use this spell with your spell combat class ability, you can make your melee attack from your starting position or your ending position.&lt;/p&gt;&lt;/h4&gt;&lt;/div&gt;</t>
  </si>
  <si>
    <t>Hook of force drags you to the target.</t>
  </si>
  <si>
    <t>Force Punch</t>
  </si>
  <si>
    <t>magus 3, sorcerer/wizard 3, bloodrager 3, psychic 3, spiritualist 3</t>
  </si>
  <si>
    <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t>
  </si>
  <si>
    <t>&lt;p&gt;This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damage.&lt;/p&gt;</t>
  </si>
  <si>
    <t>&lt;link rel="stylesheet"href="PF.css"&gt;&lt;div class="heading"&gt;&lt;p class="alignleft"&gt;Force Punch&lt;/p&gt;&lt;div style="clear: both;"&gt;&lt;/div&gt;&lt;/div&gt;&lt;div&gt;&lt;h5&gt;&lt;b&gt;School &lt;/b&gt;evocation [force]; &lt;b&gt;Level &lt;/b&gt;magus 3, sorcerer/wizard 3, bloodrager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partial; &lt;b&gt;Spell Resistance &lt;/b&gt;yes&lt;/h5&gt;&lt;/div&gt;&lt;hr/&gt;&lt;div&gt;&lt;h5&gt;&lt;b&gt;DESCRIPTION&lt;/b&gt;&lt;/h5&gt;&lt;/div&gt;&lt;hr/&gt;&lt;div&gt;&lt;h4&gt;&lt;p&gt;This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damage.&lt;/p&gt;&lt;/h4&gt;&lt;/div&gt;</t>
  </si>
  <si>
    <t>Fist (4)</t>
  </si>
  <si>
    <t>Target takes 1d4 force damage per level and is pushed away.</t>
  </si>
  <si>
    <t>Forced Quiet</t>
  </si>
  <si>
    <t>bard 1, inquisitor 1, sorcerer/wizard 1, witch 1, psychic 1, mesmerist 1</t>
  </si>
  <si>
    <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t>
  </si>
  <si>
    <t>&lt;p&gt;With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checks.&lt;/p&gt;</t>
  </si>
  <si>
    <t>&lt;link rel="stylesheet"href="PF.css"&gt;&lt;div class="heading"&gt;&lt;p class="alignleft"&gt;Forced Quiet&lt;/p&gt;&lt;div style="clear: both;"&gt;&lt;/div&gt;&lt;/div&gt;&lt;div&gt;&lt;h5&gt;&lt;b&gt;School &lt;/b&gt;transmutation [sonic]; &lt;b&gt;Level &lt;/b&gt;bard 1, inquisitor 1, sorcerer/wizard 1, witch 1, psychic 1, mesmerist 1&lt;/h5&gt;&lt;/div&gt;&lt;hr/&gt;&lt;div&gt;&lt;h5&gt;&lt;b&gt;CASTING&lt;/b&gt;&lt;/h5&gt;&lt;/div&gt;&lt;hr/&gt;&lt;div&gt;&lt;h5&gt;&lt;b&gt;Casting Time &lt;/b&gt;1 standard action&lt;/h5&gt;&lt;h5&gt;&lt;b&gt;Components &lt;/b&gt;S&lt;/h5&gt;&lt;/div&gt;&lt;hr/&gt;&lt;div&gt;&lt;h5&gt;&lt;b&gt;EFFECT&lt;/b&gt;&lt;/h5&gt;&lt;/div&gt;&lt;hr/&gt;&lt;div&gt;&lt;h5&gt;&lt;b&gt;Range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checks.&lt;/p&gt;&lt;/h4&gt;&lt;/div&gt;</t>
  </si>
  <si>
    <t>Target cannot make loud noises.</t>
  </si>
  <si>
    <t>Frigid Touch</t>
  </si>
  <si>
    <t>druid 2, magus 2, sorcerer/wizard 2, bloodrager 2</t>
  </si>
  <si>
    <t>This spell causes your hand to glow with a pale blue radiance. Your melee touch attack deals 4d6 points of cold damage and causes the target to be staggered for 1 round.  If the attack is a critical hit, the target is staggered for 1 minute instead.</t>
  </si>
  <si>
    <t>&lt;p&gt;This spell causes your hand to glow with a pale blue radiance. Your melee touch attack deals 4d6 points of cold damage and causes the target to be staggered for 1 round.&lt;/p&gt;&lt;p&gt;If the attack is a critical hit, the target is staggered for 1 minute instead.&lt;/p&gt;</t>
  </si>
  <si>
    <t>&lt;link rel="stylesheet"href="PF.css"&gt;&lt;div class="heading"&gt;&lt;p class="alignleft"&gt;Frigid Touch&lt;/p&gt;&lt;div style="clear: both;"&gt;&lt;/div&gt;&lt;/div&gt;&lt;div&gt;&lt;h5&gt;&lt;b&gt;School &lt;/b&gt;evocation [cold]; &lt;b&gt;Level &lt;/b&gt;druid 2, magus 2,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causes your hand to glow with a pale blue radiance. Your melee touch attack deals 4d6 points of cold damage and causes the target to be staggered for 1 round.&lt;/p&gt;&lt;p&gt;If the attack is a critical hit, the target is staggered for 1 minute instead.&lt;/p&gt;&lt;/h4&gt;&lt;/div&gt;</t>
  </si>
  <si>
    <t>Target takes cold damage and is staggered.</t>
  </si>
  <si>
    <t>Frostbite</t>
  </si>
  <si>
    <t>druid 1, magus 1, witch 1, bloodrager 1, shaman 1</t>
  </si>
  <si>
    <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t>
  </si>
  <si>
    <t>&lt;p&gt;Your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level.&lt;/p&gt;</t>
  </si>
  <si>
    <t>&lt;link rel="stylesheet"href="PF.css"&gt;&lt;div class="heading"&gt;&lt;p class="alignleft"&gt;Frostbite&lt;/p&gt;&lt;div style="clear: both;"&gt;&lt;/div&gt;&lt;/div&gt;&lt;div&gt;&lt;h5&gt;&lt;b&gt;School &lt;/b&gt;transmutation [cold]; &lt;b&gt;Level &lt;/b&gt;druid 1, magus 1, witch 1, bloodrager 1, shaman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level.&lt;/p&gt;&lt;/h4&gt;&lt;/div&gt;</t>
  </si>
  <si>
    <t>Target takes cold damage and is fatigued.</t>
  </si>
  <si>
    <t>Fumbletongue</t>
  </si>
  <si>
    <t>1d4 rounds</t>
  </si>
  <si>
    <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  This spell has no effect on telepathic communication, or the vocalizations of creatures that lack a spoken language.</t>
  </si>
  <si>
    <t>&lt;p&gt;This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item.&lt;/p&gt;&lt;p&gt;This spell has no effect on telepathic communication, or the vocalizations of creatures that lack a spoken language.&lt;/p&gt;</t>
  </si>
  <si>
    <t>&lt;link rel="stylesheet"href="PF.css"&gt;&lt;div class="heading"&gt;&lt;p class="alignleft"&gt;Fumbletongue&lt;/p&gt;&lt;div style="clear: both;"&gt;&lt;/div&gt;&lt;/div&gt;&lt;div&gt;&lt;h5&gt;&lt;b&gt;School &lt;/b&gt;enchantment (compulsion) [mind-affecting]; &lt;b&gt;Level &lt;/b&gt;bard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&lt;/b&gt;1d4 rounds&lt;/h5&gt;&lt;h5&gt;&lt;b&gt;Saving Throw &lt;/b&gt;Will negates; &lt;b&gt;Spell Resistance &lt;/b&gt;yes&lt;/h5&gt;&lt;/div&gt;&lt;hr/&gt;&lt;div&gt;&lt;h5&gt;&lt;b&gt;DESCRIPTION&lt;/b&gt;&lt;/h5&gt;&lt;/div&gt;&lt;hr/&gt;&lt;div&gt;&lt;h4&gt;&lt;p&gt;This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item.&lt;/p&gt;&lt;p&gt;This spell has no effect on telepathic communication, or the vocalizations of creatures that lack a spoken language.&lt;/p&gt;&lt;/h4&gt;&lt;/div&gt;</t>
  </si>
  <si>
    <t>Target cannot speak intelligently.</t>
  </si>
  <si>
    <t>Fungal Infestation</t>
  </si>
  <si>
    <t>1d3 days</t>
  </si>
  <si>
    <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t>
  </si>
  <si>
    <t>&lt;p&gt;You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damage.&lt;/p&gt;</t>
  </si>
  <si>
    <t>&lt;link rel="stylesheet"href="PF.css"&gt;&lt;div class="heading"&gt;&lt;p class="alignleft"&gt;Fungal Infestation&lt;/p&gt;&lt;div style="clear: both;"&gt;&lt;/div&gt;&lt;/div&gt;&lt;div&gt;&lt;h5&gt;&lt;b&gt;School &lt;/b&gt;necromancy [disease]; &lt;b&gt;Level &lt;/b&gt;druid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&lt;/b&gt;1d3 days&lt;/h5&gt;&lt;h5&gt;&lt;b&gt;Saving Throw &lt;/b&gt;Fortitude negates; &lt;b&gt;Spell Resistance &lt;/b&gt;yes&lt;/h5&gt;&lt;/div&gt;&lt;hr/&gt;&lt;div&gt;&lt;h5&gt;&lt;b&gt;DESCRIPTION&lt;/b&gt;&lt;/h5&gt;&lt;/div&gt;&lt;hr/&gt;&lt;div&gt;&lt;h4&gt;&lt;p&gt;You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damage.&lt;/p&gt;&lt;/h4&gt;&lt;/div&gt;</t>
  </si>
  <si>
    <t>Target takes bleed from attacks.</t>
  </si>
  <si>
    <t>Ghostly Disguise</t>
  </si>
  <si>
    <t>alchemist 2, bard 2, inquisitor 2, sorcerer/wizard 2, witch 2, occultist 2, psychic 2, mesmerist 2</t>
  </si>
  <si>
    <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  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t>
  </si>
  <si>
    <t>&lt;p&gt;You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appearance.&lt;/p&gt;&lt;p&gt;The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illusion.&lt;/p&gt;</t>
  </si>
  <si>
    <t>&lt;link rel="stylesheet"href="PF.css"&gt;&lt;div class="heading"&gt;&lt;p class="alignleft"&gt;Ghostly Disguise&lt;/p&gt;&lt;div style="clear: both;"&gt;&lt;/div&gt;&lt;/div&gt;&lt;div&gt;&lt;h5&gt;&lt;b&gt;School &lt;/b&gt;illusion (glamer); &lt;b&gt;Level &lt;/b&gt;alchemist 2, bard 2, inquisitor 2, sorcerer/wizard 2, witch 2, occultist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minute/level (D)&lt;/h5&gt;&lt;/div&gt;&lt;hr/&gt;&lt;div&gt;&lt;h5&gt;&lt;b&gt;DESCRIPTION&lt;/b&gt;&lt;/h5&gt;&lt;/div&gt;&lt;hr/&gt;&lt;div&gt;&lt;h4&gt;&lt;p&gt;You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appearance.&lt;/p&gt;&lt;p&gt;The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illusion.&lt;/p&gt;&lt;/h4&gt;&lt;/div&gt;</t>
  </si>
  <si>
    <t>You look like a ghost of yourself.</t>
  </si>
  <si>
    <t>Haunting Choir</t>
  </si>
  <si>
    <t>mind-affecting, pain</t>
  </si>
  <si>
    <t>You create a spectral choir and conduct its tortured, ghostly moans, deluding listeners into believing they are suffering the torments of the dead.  The transparent singers occupy a 10-foot cube, but they are intangible and do not interfere with creatures in any physical way, nor can they be attacked.  Creatures within 30 feet of the choir experience wracking pain that causes them to take a -2 penalty on attack rolls, skill checks, and ability checks.  Individuals who exit the area of effect take these penalties for an additional 2 rounds before the delusion wears off.</t>
  </si>
  <si>
    <t>&lt;p&gt;You create a spectral choir and conduct its tortured, ghostly moans, deluding listeners into believing they are suffering the torments of the dead.&lt;/p&gt;&lt;p&gt;The transparent singers occupy a 10-foot cube, but they are intangible and do not interfere with creatures in any physical way, nor can they be attacked.&lt;/p&gt;&lt;p&gt;Creatures within 30 feet of the choir experience wracking pain that causes them to take a -2 penalty on attack rolls, skill checks, and ability checks.&lt;/p&gt;&lt;p&gt;Individuals who exit the area of effect take these penalties for an additional 2 rounds before the delusion wears off.&lt;/p&gt;</t>
  </si>
  <si>
    <t>&lt;link rel="stylesheet"href="PF.css"&gt;&lt;div class="heading"&gt;&lt;p class="alignleft"&gt;Haunting Choir&lt;/p&gt;&lt;div style="clear: both;"&gt;&lt;/div&gt;&lt;/div&gt;&lt;div&gt;&lt;h5&gt;&lt;b&gt;School &lt;/b&gt;necromancy [mind-affecting, pain]; &lt;b&gt;Level &lt;/b&gt;bard 3,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&lt;/b&gt;30-ft.-radius emanation&lt;/h5&gt;&lt;h5&gt;&lt;b&gt;Duration &lt;/b&gt;concentration + 2 rounds&lt;/h5&gt;&lt;h5&gt;&lt;b&gt;Saving Throw &lt;/b&gt;Will negates; &lt;b&gt;Spell Resistance &lt;/b&gt;yes&lt;/h5&gt;&lt;/div&gt;&lt;hr/&gt;&lt;div&gt;&lt;h5&gt;&lt;b&gt;DESCRIPTION&lt;/b&gt;&lt;/h5&gt;&lt;/div&gt;&lt;hr/&gt;&lt;div&gt;&lt;h4&gt;&lt;p&gt;You create a spectral choir and conduct its tortured, ghostly moans, deluding listeners into believing they are suffering the torments of the dead.&lt;/p&gt;&lt;p&gt;The transparent singers occupy a 10-foot cube, but they are intangible and do not interfere with creatures in any physical way, nor can they be attacked.&lt;/p&gt;&lt;p&gt;Creatures within 30 feet of the choir experience wracking pain that causes them to take a -2 penalty on attack rolls, skill checks, and ability checks.&lt;/p&gt;&lt;p&gt;Individuals who exit the area of effect take these penalties for an additional 2 rounds before the delusion wears off.&lt;/p&gt;&lt;/h4&gt;&lt;/div&gt;</t>
  </si>
  <si>
    <t>Spirits cause wracking pain to listeners.</t>
  </si>
  <si>
    <t>Haunting Mists</t>
  </si>
  <si>
    <t>fear, shadow</t>
  </si>
  <si>
    <t>bard 2, sorcerer/wizard 2, witch 2, psychic 2, mesmerist 2</t>
  </si>
  <si>
    <t>An illusion of misty vapor inhabited by shadowy shapes arises around you. It is stationary. The illusory mist obscures all sight, including darkvision, beyond 5 feet. A creature 5 feet away has concealment (attacks have a 20% miss chance).  Creatures farther away have total concealment (50% miss chance, and the attacker cannot use sight to locate the target).  All creatures within the mist must save or take 1d2 points of Wisdom damage and gain the shaken condition. The shaken condition lasts as long as the creature remains in the mist.</t>
  </si>
  <si>
    <t>&lt;p&gt;An illusion of misty vapor inhabited by shadowy shapes arises around you. It is stationary. The illusory mist obscures all sight, including darkvision, beyond 5 feet. A creature 5 feet away has concealment (attacks have a 20% miss chance).&lt;/p&gt;&lt;p&gt;Creatures farther away have total concealment (50% miss chance, and the attacker cannot use sight to locate the target).&lt;/p&gt;&lt;p&gt;All creatures within the mist must save or take 1d2 points of Wisdom damage and gain the shaken condition. The shaken condition lasts as long as the creature remains in the mist.&lt;/p&gt;</t>
  </si>
  <si>
    <t>&lt;link rel="stylesheet"href="PF.css"&gt;&lt;div class="heading"&gt;&lt;p class="alignleft"&gt;Haunting Mists&lt;/p&gt;&lt;div style="clear: both;"&gt;&lt;/div&gt;&lt;/div&gt;&lt;div&gt;&lt;h5&gt;&lt;b&gt;School &lt;/b&gt;illusion (figment) [fear, shadow];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&lt;/b&gt;20 ft.&lt;/h5&gt;&lt;h5&gt;&lt;b&gt;Effect &lt;/b&gt;cloud spreads in 20-ft. radius, 20 ft. high&lt;/h5&gt;&lt;h5&gt;&lt;b&gt;Duration &lt;/b&gt;1 minute/level (D)&lt;/h5&gt;&lt;h5&gt;&lt;b&gt;Saving Throw &lt;/b&gt;Will partial (see text); &lt;b&gt;Spell Resistance &lt;/b&gt;no&lt;/h5&gt;&lt;/div&gt;&lt;hr/&gt;&lt;div&gt;&lt;h5&gt;&lt;b&gt;DESCRIPTION&lt;/b&gt;&lt;/h5&gt;&lt;/div&gt;&lt;hr/&gt;&lt;div&gt;&lt;h4&gt;&lt;p&gt;An illusion of misty vapor inhabited by shadowy shapes arises around you. It is stationary. The illusory mist obscures all sight, including darkvision, beyond 5 feet. A creature 5 feet away has concealment (attacks have a 20% miss chance).&lt;/p&gt;&lt;p&gt;Creatures farther away have total concealment (50% miss chance, and the attacker cannot use sight to locate the target).&lt;/p&gt;&lt;p&gt;All creatures within the mist must save or take 1d2 points of Wisdom damage and gain the shaken condition. The shaken condition lasts as long as the creature remains in the mist.&lt;/p&gt;&lt;/h4&gt;&lt;/div&gt;</t>
  </si>
  <si>
    <t>Creatures are shaken and take Wis damage.</t>
  </si>
  <si>
    <t>Hex Ward</t>
  </si>
  <si>
    <t>inquisitor 1, witch 1, shaman 1, occultist 1</t>
  </si>
  <si>
    <t>You give the target a +4 resistance bonus on saving throws against witch hexes.</t>
  </si>
  <si>
    <t>&lt;p&gt;You give the target a +4 resistance bonus on saving throws against witch hexes.&lt;/p&gt;</t>
  </si>
  <si>
    <t>&lt;link rel="stylesheet"href="PF.css"&gt;&lt;div class="heading"&gt;&lt;p class="alignleft"&gt;Hex Ward&lt;/p&gt;&lt;div style="clear: both;"&gt;&lt;/div&gt;&lt;/div&gt;&lt;div&gt;&lt;h5&gt;&lt;b&gt;School &lt;/b&gt;abjuration; &lt;b&gt;Level &lt;/b&gt;inquisitor 1, witch 1, shaman 1, occultist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(harmless)&lt;/h5&gt;&lt;/div&gt;&lt;hr/&gt;&lt;div&gt;&lt;h5&gt;&lt;b&gt;DESCRIPTION&lt;/b&gt;&lt;/h5&gt;&lt;/div&gt;&lt;hr/&gt;&lt;div&gt;&lt;h4&gt;&lt;p&gt;You give the target a +4 resistance bonus on saving throws against witch hexes.&lt;/p&gt;&lt;/h4&gt;&lt;h5&gt;&lt;b&gt;Mythic: &lt;/b&gt;The target gains immunity to one witch hex (but not a major hex or grand hex) of your choice.&lt;/h5&gt;&lt;h5&gt;&lt;b&gt;Augmented (3rd)&lt;/b&gt;: If you expend two uses of mythic power, instead of granting immunity to one witch hex, you can grant immunity to two hexes or one major hex. If you're at least 6th tier and expend three uses of mythic power, you instead grant immunity to three hexes, two major hexes, or one grand hex.&lt;/h5&gt;&lt;/div&gt;</t>
  </si>
  <si>
    <t>Target gains +4 on saves against witch hexes.</t>
  </si>
  <si>
    <t>The target gains immunity to one witch hex (but not a major hex or grand hex) of your choice.</t>
  </si>
  <si>
    <t>Augmented (3rd): If you expend two uses of mythic power, instead of granting immunity to one witch hex, you can grant immunity to two hexes or one major hex. If you're at least 6th tier and expend three uses of mythic power, you instead grant immunity to three hexes, two major hexes, or one grand hex.</t>
  </si>
  <si>
    <t>Holy Ice</t>
  </si>
  <si>
    <t>cold, good, water</t>
  </si>
  <si>
    <t>V, S, M (a flask of holy water or 5 pounds of powdered silver worth 25 gp)</t>
  </si>
  <si>
    <t>wall of ice or flying ice javelins (see text)</t>
  </si>
  <si>
    <t>1 minute/level, instantaneous, or until expended (see text)</t>
  </si>
  <si>
    <t>Reflex negates or none (see text)</t>
  </si>
  <si>
    <t>This spell creates a large mass of frozen holy water that can be used for one of two effects.  Holy Ice Wall: This functions like wall of ice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  Holy Ice Javelins: The spell creates a number of javelins of frozen holy water in your square equal to your caster level (maximum 15), which hurl themselves toward one or more targets that are no more than 10 feet away from each other.  You must succeed on attack rolls (one per javelin) to hit the target with the javelin, using your base attack bonus + your Wisdom modifier. The javelins deal 1d6 damage each, plus 1 point of cold damage and 1 point of damage from holy water.  The javelins are destroyed by this attack.</t>
  </si>
  <si>
    <t>&lt;p&gt;This spell creates a large mass of frozen holy water that can be used for one of two effects.&lt;/p&gt;&lt;p&gt;&lt;i&gt;Holy Ice&lt;/i&gt; Wall: This functions like &lt;i&gt;wall of ice&lt;/i&gt;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damage).&lt;/p&gt;&lt;p&gt;&lt;i&gt;Holy Ice&lt;/i&gt; Javelins: The spell creates a number of javelins of frozen holy water in your square equal to your caster level (maximum 15), which hurl themselves toward one or more targets that are no more than 10 feet away from each other.&lt;/p&gt;&lt;p&gt;You must succeed on attack rolls (one per javelin) to hit the target with the javelin, using your base attack bonus + your Wisdom modifier. The javelins deal 1d6 damage each, plus 1 point of cold damage and 1 point of damage from holy water.&lt;/p&gt;&lt;p&gt;The javelins are destroyed by this attack.&lt;/p&gt;</t>
  </si>
  <si>
    <t>&lt;link rel="stylesheet"href="PF.css"&gt;&lt;div class="heading"&gt;&lt;p class="alignleft"&gt;Holy Ice&lt;/p&gt;&lt;div style="clear: both;"&gt;&lt;/div&gt;&lt;/div&gt;&lt;div&gt;&lt;h5&gt;&lt;b&gt;School &lt;/b&gt;transmutation [cold, good, water]; &lt;b&gt;Level &lt;/b&gt;cleric/oracle 5&lt;/h5&gt;&lt;/div&gt;&lt;hr/&gt;&lt;div&gt;&lt;h5&gt;&lt;b&gt;CASTING&lt;/b&gt;&lt;/h5&gt;&lt;/div&gt;&lt;hr/&gt;&lt;div&gt;&lt;h5&gt;&lt;b&gt;Casting Time &lt;/b&gt;1 standard action&lt;/h5&gt;&lt;h5&gt;&lt;b&gt;Components &lt;/b&gt;V, S, M (a flask of holy water or 5 pounds of powdered silver worth 25 gp)&lt;/h5&gt;&lt;/div&gt;&lt;hr/&gt;&lt;div&gt;&lt;h5&gt;&lt;b&gt;EFFECT&lt;/b&gt;&lt;/h5&gt;&lt;/div&gt;&lt;hr/&gt;&lt;div&gt;&lt;h5&gt;&lt;b&gt;Range &lt;/b&gt;medium (100 ft. + 10 ft./level)&lt;/h5&gt;&lt;h5&gt;&lt;b&gt;Effect &lt;/b&gt;wall of ice or flying ice javelins (see text)&lt;/h5&gt;&lt;h5&gt;&lt;b&gt;Duration &lt;/b&gt;1 minute/level, instantaneous, or until expended (see text)&lt;/h5&gt;&lt;h5&gt;&lt;b&gt;Saving Throw &lt;/b&gt;Reflex negates or none (see text); &lt;b&gt;Spell Resistance &lt;/b&gt;yes&lt;/h5&gt;&lt;/div&gt;&lt;hr/&gt;&lt;div&gt;&lt;h5&gt;&lt;b&gt;DESCRIPTION&lt;/b&gt;&lt;/h5&gt;&lt;/div&gt;&lt;hr/&gt;&lt;div&gt;&lt;h4&gt;&lt;p&gt;This spell creates a large mass of frozen holy water that can be used for one of two effects.&lt;/p&gt;&lt;p&gt;&lt;i&gt;Holy Ice&lt;/i&gt; Wall: This functions like &lt;i&gt;wall of ice&lt;/i&gt;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damage).&lt;/p&gt;&lt;p&gt;&lt;i&gt;Holy Ice&lt;/i&gt; Javelins: The spell creates a number of javelins of frozen holy water in your square equal to your caster level (maximum 15), which hurl themselves toward one or more targets that are no more than 10 feet away from each other.&lt;/p&gt;&lt;p&gt;You must succeed on attack rolls (one per javelin) to hit the target with the javelin, using your base attack bonus + your Wisdom modifier. The javelins deal 1d6 damage each, plus 1 point of cold damage and 1 point of damage from holy water.&lt;/p&gt;&lt;p&gt;The javelins are destroyed by this attack.&lt;/p&gt;&lt;/h4&gt;&lt;/div&gt;</t>
  </si>
  <si>
    <t>Create wall or javelins of frozen holy water.</t>
  </si>
  <si>
    <t>Holy Shield</t>
  </si>
  <si>
    <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t>
  </si>
  <si>
    <t>&lt;p&gt;You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benefit.&lt;/p&gt;</t>
  </si>
  <si>
    <t>&lt;link rel="stylesheet"href="PF.css"&gt;&lt;div class="heading"&gt;&lt;p class="alignleft"&gt;Holy Shield&lt;/p&gt;&lt;div style="clear: both;"&gt;&lt;/div&gt;&lt;/div&gt;&lt;div&gt;&lt;h5&gt;&lt;b&gt;School &lt;/b&gt;abjuration; &lt;b&gt;Level &lt;/b&gt;paladin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minutes/level&lt;/h5&gt;&lt;h5&gt;&lt;b&gt;Saving Throw &lt;/b&gt;none; &lt;b&gt;Spell Resistance &lt;/b&gt;no&lt;/h5&gt;&lt;/div&gt;&lt;hr/&gt;&lt;div&gt;&lt;h5&gt;&lt;b&gt;DESCRIPTION&lt;/b&gt;&lt;/h5&gt;&lt;/div&gt;&lt;hr/&gt;&lt;div&gt;&lt;h4&gt;&lt;p&gt;You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benefit.&lt;/p&gt;&lt;/h4&gt;&lt;/div&gt;</t>
  </si>
  <si>
    <t>Lend your shield's protection to another.</t>
  </si>
  <si>
    <t>Horn of Pursuit</t>
  </si>
  <si>
    <t>bard 1, inquisitor 1, paladin 1, ranger 1</t>
  </si>
  <si>
    <t>3 peals of a horn</t>
  </si>
  <si>
    <t>You create the sound of a large hunting horn, blowing up to three notes as loud as a roaring dragon. These notes can be heard up to 2 miles away in typical outdoor conditions.  You can make these sounds at any point during the spell's duration as a free action, and each sounding can be short or long, allowing you to send very simple coded messages.</t>
  </si>
  <si>
    <t>&lt;p&gt;You create the sound of a large hunting horn, blowing up to three notes as loud as a roaring dragon. These notes can be heard up to 2 miles away in typical outdoor conditions.&lt;/p&gt;&lt;p&gt;You can make these sounds at any point during the spell's duration as a free action, and each sounding can be short or long, allowing you to send very simple coded messages.&lt;/p&gt;</t>
  </si>
  <si>
    <t>&lt;link rel="stylesheet"href="PF.css"&gt;&lt;div class="heading"&gt;&lt;p class="alignleft"&gt;Horn of Pursuit&lt;/p&gt;&lt;div style="clear: both;"&gt;&lt;/div&gt;&lt;/div&gt;&lt;div&gt;&lt;h5&gt;&lt;b&gt;School &lt;/b&gt;evocation [sonic]; &lt;b&gt;Level &lt;/b&gt;bard 1, inquisitor 1, paladin 1, ranger 1&lt;/h5&gt;&lt;/div&gt;&lt;hr/&gt;&lt;div&gt;&lt;h5&gt;&lt;b&gt;CASTING&lt;/b&gt;&lt;/h5&gt;&lt;/div&gt;&lt;hr/&gt;&lt;div&gt;&lt;h5&gt;&lt;b&gt;Casting Time &lt;/b&gt;1 standard action&lt;/h5&gt;&lt;h5&gt;&lt;b&gt;Components &lt;/b&gt;S&lt;/h5&gt;&lt;/div&gt;&lt;hr/&gt;&lt;div&gt;&lt;h5&gt;&lt;b&gt;EFFECT&lt;/b&gt;&lt;/h5&gt;&lt;/div&gt;&lt;hr/&gt;&lt;div&gt;&lt;h5&gt;&lt;b&gt;Range &lt;/b&gt;personal&lt;/h5&gt;&lt;h5&gt;&lt;b&gt;Effect &lt;/b&gt;3 peals of a horn&lt;/h5&gt;&lt;h5&gt;&lt;b&gt;Duration &lt;/b&gt;1 round&lt;/h5&gt;&lt;h5&gt;&lt;b&gt;Saving Throw &lt;/b&gt;none; &lt;b&gt;Spell Resistance &lt;/b&gt;no&lt;/h5&gt;&lt;/div&gt;&lt;hr/&gt;&lt;div&gt;&lt;h5&gt;&lt;b&gt;DESCRIPTION&lt;/b&gt;&lt;/h5&gt;&lt;/div&gt;&lt;hr/&gt;&lt;div&gt;&lt;h4&gt;&lt;p&gt;You create the sound of a large hunting horn, blowing up to three notes as loud as a roaring dragon. These notes can be heard up to 2 miles away in typical outdoor conditions.&lt;/p&gt;&lt;p&gt;You can make these sounds at any point during the spell's duration as a free action, and each sounding can be short or long, allowing you to send very simple coded messages.&lt;/p&gt;&lt;/h4&gt;&lt;/div&gt;</t>
  </si>
  <si>
    <t>Create three notes heard miles away.</t>
  </si>
  <si>
    <t>Howling Agony</t>
  </si>
  <si>
    <t>death, pain</t>
  </si>
  <si>
    <t>inquisitor 2, sorcerer/wizard 3, witch 3, bloodrager 3, psychic 2, mesmerist 2, spiritualist 3</t>
  </si>
  <si>
    <t>V, S, M (a needle and a dried eyeball)</t>
  </si>
  <si>
    <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t>
  </si>
  <si>
    <t>&lt;p&gt;You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spell.&lt;/p&gt;</t>
  </si>
  <si>
    <t>&lt;link rel="stylesheet"href="PF.css"&gt;&lt;div class="heading"&gt;&lt;p class="alignleft"&gt;Howling Agony&lt;/p&gt;&lt;div style="clear: both;"&gt;&lt;/div&gt;&lt;/div&gt;&lt;div&gt;&lt;h5&gt;&lt;b&gt;School &lt;/b&gt;necromancy [death, pain]; &lt;b&gt;Level &lt;/b&gt;inquisitor 2, sorcerer/wizard 3, witch 3, bloodrager 3, psychic 2, mesmerist 2, spiritualist 3&lt;/h5&gt;&lt;/div&gt;&lt;hr/&gt;&lt;div&gt;&lt;h5&gt;&lt;b&gt;CASTING&lt;/b&gt;&lt;/h5&gt;&lt;/div&gt;&lt;hr/&gt;&lt;div&gt;&lt;h5&gt;&lt;b&gt;Casting Time &lt;/b&gt;1 standard action&lt;/h5&gt;&lt;h5&gt;&lt;b&gt;Components &lt;/b&gt;V, S, M (a needle and a dried eyeball)&lt;/h5&gt;&lt;/div&gt;&lt;hr/&gt;&lt;div&gt;&lt;h5&gt;&lt;b&gt;EFFECT&lt;/b&gt;&lt;/h5&gt;&lt;/div&gt;&lt;hr/&gt;&lt;div&gt;&lt;h5&gt;&lt;b&gt;Range &lt;/b&gt;close (25 ft. + 5 ft./2 levels)&lt;/h5&gt;&lt;h5&gt;&lt;b&gt;Targets &lt;/b&gt;one living creature/level, no two of which can be more than 30 ft. apart&lt;/h5&gt;&lt;h5&gt;&lt;b&gt;Duration &lt;/b&gt;1 round/level&lt;/h5&gt;&lt;h5&gt;&lt;b&gt;Saving Throw &lt;/b&gt;Fortitude negates; &lt;b&gt;Spell Resistance &lt;/b&gt;yes&lt;/h5&gt;&lt;/div&gt;&lt;hr/&gt;&lt;div&gt;&lt;h5&gt;&lt;b&gt;DESCRIPTION&lt;/b&gt;&lt;/h5&gt;&lt;/div&gt;&lt;hr/&gt;&lt;div&gt;&lt;h4&gt;&lt;p&gt;You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spell.&lt;/p&gt;&lt;/h4&gt;&lt;/div&gt;</t>
  </si>
  <si>
    <t>Screaming pain limits the target's actions.</t>
  </si>
  <si>
    <t>Ice Body</t>
  </si>
  <si>
    <t>sorcerer/wizard 7, witch 7, shaman 7</t>
  </si>
  <si>
    <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  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t>
  </si>
  <si>
    <t>&lt;p&gt;Your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instruments.&lt;/p&gt;&lt;p&gt;Your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hole.&lt;/p&gt;</t>
  </si>
  <si>
    <t>&lt;link rel="stylesheet"href="PF.css"&gt;&lt;div class="heading"&gt;&lt;p class="alignleft"&gt;Ice Body&lt;/p&gt;&lt;div style="clear: both;"&gt;&lt;/div&gt;&lt;/div&gt;&lt;div&gt;&lt;h5&gt;&lt;b&gt;School &lt;/b&gt;transmutation [cold]; &lt;b&gt;Level &lt;/b&gt;sorcerer/wizard 7, witch 7, shaman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instruments.&lt;/p&gt;&lt;p&gt;Your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hole.&lt;/p&gt;&lt;/h4&gt;&lt;/div&gt;</t>
  </si>
  <si>
    <t>Your body becomes living ice.</t>
  </si>
  <si>
    <t>Ice Crystal Teleport</t>
  </si>
  <si>
    <t>sorcerer/wizard 6, summoner 5, witch 6</t>
  </si>
  <si>
    <t>1d4 rounds and instantaneous</t>
  </si>
  <si>
    <t>This spell functions as teleport, except you use it to teleport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teleportation aspect takes effect. At the end of the 1d4 rounds, the target teleports to the specified location, and the ice's hit points drop to 0 and it quickly melts away. If the ice is destroyed before the target teleports, the spell ends and the teleport doesn't occur.</t>
  </si>
  <si>
    <t>&lt;p&gt;This spell functions as &lt;i&gt;teleport&lt;/i&gt;, except you use it to &lt;i&gt;teleport&lt;/i&gt;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&lt;i&gt;teleport&lt;/i&gt;ation aspect takes effect. At the end of the 1d4 rounds, the target &lt;i&gt;teleport&lt;/i&gt;s to the specified location, and the ice's hit points drop to 0 and it quickly melts away. If the ice is destroyed before the target &lt;i&gt;teleport&lt;/i&gt;s, the spell ends and the &lt;i&gt;teleport&lt;/i&gt; doesn't occur.&lt;/p&gt;</t>
  </si>
  <si>
    <t>&lt;link rel="stylesheet"href="PF.css"&gt;&lt;div class="heading"&gt;&lt;p class="alignleft"&gt;Ice Crystal Teleport&lt;/p&gt;&lt;div style="clear: both;"&gt;&lt;/div&gt;&lt;/div&gt;&lt;div&gt;&lt;h5&gt;&lt;b&gt;School &lt;/b&gt;conjuration (teleportation) [cold]; &lt;b&gt;Level &lt;/b&gt;sorcerer/wizard 6, summoner 5, witch 6&lt;/h5&gt;&lt;/div&gt;&lt;hr/&gt;&lt;div&gt;&lt;h5&gt;&lt;b&gt;CASTING&lt;/b&gt;&lt;/h5&gt;&lt;/div&gt;&lt;hr/&gt;&lt;div&gt;&lt;h5&gt;&lt;b&gt;Casting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ft./level)&lt;/h5&gt;&lt;h5&gt;&lt;b&gt;Targets &lt;/b&gt;one creature&lt;/h5&gt;&lt;h5&gt;&lt;b&gt;Duration &lt;/b&gt;1d4 rounds and instantaneous&lt;/h5&gt;&lt;h5&gt;&lt;b&gt;Saving Throw &lt;/b&gt;Will negates; &lt;b&gt;Spell Resistance &lt;/b&gt;yes&lt;/h5&gt;&lt;/div&gt;&lt;hr/&gt;&lt;div&gt;&lt;h5&gt;&lt;b&gt;DESCRIPTION&lt;/b&gt;&lt;/h5&gt;&lt;/div&gt;&lt;hr/&gt;&lt;div&gt;&lt;h4&gt;&lt;p&gt;This spell functions as &lt;i&gt;teleport&lt;/i&gt;, except you use it to &lt;i&gt;teleport&lt;/i&gt;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&lt;i&gt;teleport&lt;/i&gt;ation aspect takes effect. At the end of the 1d4 rounds, the target &lt;i&gt;teleport&lt;/i&gt;s to the specified location, and the ice's hit points drop to 0 and it quickly melts away. If the ice is destroyed before the target &lt;i&gt;teleport&lt;/i&gt;s, the spell ends and the &lt;i&gt;teleport&lt;/i&gt; doesn't occur.&lt;/p&gt;&lt;/h4&gt;&lt;/div&gt;</t>
  </si>
  <si>
    <t>Target is frozen, then teleported.</t>
  </si>
  <si>
    <t>Icicle Dagger</t>
  </si>
  <si>
    <t>sorcerer/wizard 1, summoner 1, witch 1, bloodrager 1, occultist 1</t>
  </si>
  <si>
    <t>one icicle</t>
  </si>
  <si>
    <t>You create a masterwork dagger out of ice. The dagger deals 1 point of cold damage in addition to normal dagger damage.  If the dagger leaves your hand for more than 1 round, it melts and the spell ends. At 6th level, the dagger functions as a +1 frost dagger. At 11th level, it gains the returning property when thrown, melting away and reforming in your hand just before your next turn.</t>
  </si>
  <si>
    <t>&lt;p&gt;You create a masterwork dagger out of ice. The dagger deals 1 point of cold damage in addition to normal dagger damage.&lt;/p&gt;&lt;p&gt;If the dagger leaves your hand for more than 1 round, it melts and the spell ends. At 6th level, the dagger functions as a &lt;i&gt;+1 frost dagger&lt;/i&gt;. At 11th level, it gains the &lt;i&gt;returning&lt;/i&gt; property when thrown, melting away and reforming in your hand just before your next turn.&lt;/p&gt;</t>
  </si>
  <si>
    <t>&lt;link rel="stylesheet"href="PF.css"&gt;&lt;div class="heading"&gt;&lt;p class="alignleft"&gt;Icicle Dagger&lt;/p&gt;&lt;div style="clear: both;"&gt;&lt;/div&gt;&lt;/div&gt;&lt;div&gt;&lt;h5&gt;&lt;b&gt;School &lt;/b&gt;conjuration (creation) [cold]; &lt;b&gt;Level &lt;/b&gt;sorcerer/wizard 1, summoner 1, witch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icicle&lt;/h5&gt;&lt;h5&gt;&lt;b&gt;Duration &lt;/b&gt;1 minute/level&lt;/h5&gt;&lt;h5&gt;&lt;b&gt;Saving Throw &lt;/b&gt;none; &lt;b&gt;Spell Resistance &lt;/b&gt;no&lt;/h5&gt;&lt;/div&gt;&lt;hr/&gt;&lt;div&gt;&lt;h5&gt;&lt;b&gt;DESCRIPTION&lt;/b&gt;&lt;/h5&gt;&lt;/div&gt;&lt;hr/&gt;&lt;div&gt;&lt;h4&gt;&lt;p&gt;You create a masterwork dagger out of ice. The dagger deals 1 point of cold damage in addition to normal dagger damage.&lt;/p&gt;&lt;p&gt;If the dagger leaves your hand for more than 1 round, it melts and the spell ends. At 6th level, the dagger functions as a &lt;i&gt;+1 frost dagger&lt;/i&gt;. At 11th level, it gains the &lt;i&gt;returning&lt;/i&gt; property when thrown, melting away and reforming in your hand just before your next turn.&lt;/p&gt;&lt;/h4&gt;&lt;/div&gt;</t>
  </si>
  <si>
    <t>Masterwork ice dagger deals +1 cold damage.</t>
  </si>
  <si>
    <t>Icy Prison</t>
  </si>
  <si>
    <t>sorcerer/wizard 5</t>
  </si>
  <si>
    <t>medium (10 ft. + 10 ft./level)</t>
  </si>
  <si>
    <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t>
  </si>
  <si>
    <t>&lt;p&gt;You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level).&lt;/p&gt;</t>
  </si>
  <si>
    <t>&lt;link rel="stylesheet"href="PF.css"&gt;&lt;div class="heading"&gt;&lt;p class="alignleft"&gt;Icy Prison&lt;/p&gt;&lt;div style="clear: both;"&gt;&lt;/div&gt;&lt;/div&gt;&lt;div&gt;&lt;h5&gt;&lt;b&gt;School &lt;/b&gt;evocation [cold]; &lt;b&gt;Level &lt;/b&gt;sorcerer/wizard 5&lt;/h5&gt;&lt;/div&gt;&lt;hr/&gt;&lt;div&gt;&lt;h5&gt;&lt;b&gt;CASTING&lt;/b&gt;&lt;/h5&gt;&lt;/div&gt;&lt;hr/&gt;&lt;div&gt;&lt;h5&gt;&lt;b&gt;Casting Time &lt;/b&gt;1 standard action&lt;/h5&gt;&lt;h5&gt;&lt;b&gt;Components &lt;/b&gt;V, S&lt;/h5&gt;&lt;/div&gt;&lt;hr/&gt;&lt;div&gt;&lt;h5&gt;&lt;b&gt;EFFECT&lt;/b&gt;&lt;/h5&gt;&lt;/div&gt;&lt;hr/&gt;&lt;div&gt;&lt;h5&gt;&lt;b&gt;Range &lt;/b&gt;medium (10 ft. + 10 ft./level)&lt;/h5&gt;&lt;h5&gt;&lt;b&gt;Targets &lt;/b&gt;one creature&lt;/h5&gt;&lt;h5&gt;&lt;b&gt;Duration &lt;/b&gt;1 minute/level; see text&lt;/h5&gt;&lt;h5&gt;&lt;b&gt;Saving Throw &lt;/b&gt;Reflex partial; &lt;b&gt;Spell Resistance &lt;/b&gt;yes&lt;/h5&gt;&lt;/div&gt;&lt;hr/&gt;&lt;div&gt;&lt;h5&gt;&lt;b&gt;DESCRIPTION&lt;/b&gt;&lt;/h5&gt;&lt;/div&gt;&lt;hr/&gt;&lt;div&gt;&lt;h4&gt;&lt;p&gt;You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level).&lt;/p&gt;&lt;/h4&gt;&lt;/div&gt;</t>
  </si>
  <si>
    <t>Thick ice holds and damages the target.</t>
  </si>
  <si>
    <t>Icy Prison, Mass</t>
  </si>
  <si>
    <t>one creature/level, no two of which can be more than 30 ft. apart.</t>
  </si>
  <si>
    <t>This spell functions as icy prison, except as noted above.</t>
  </si>
  <si>
    <t>&lt;p&gt;This spell functions as &lt;i&gt;icy prison&lt;/i&gt;, except as noted above.&lt;/p&gt;</t>
  </si>
  <si>
    <t>&lt;link rel="stylesheet"href="PF.css"&gt;&lt;div class="heading"&gt;&lt;p class="alignleft"&gt;Icy Prison, Mass&lt;/p&gt;&lt;div style="clear: both;"&gt;&lt;/div&gt;&lt;/div&gt;&lt;div&gt;&lt;h5&gt;&lt;b&gt;School &lt;/b&gt;evocation [cold];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&lt;/b&gt;medium (10 ft. + 10 ft./level)&lt;/h5&gt;&lt;h5&gt;&lt;b&gt;Targets &lt;/b&gt;one creature/level, no two of which can be more than 30 ft. apart.&lt;/h5&gt;&lt;h5&gt;&lt;b&gt;Duration &lt;/b&gt;1 minute/level; see text&lt;/h5&gt;&lt;h5&gt;&lt;b&gt;Saving Throw &lt;/b&gt;Reflex partial; &lt;b&gt;Spell Resistance &lt;/b&gt;yes&lt;/h5&gt;&lt;/div&gt;&lt;hr/&gt;&lt;div&gt;&lt;h5&gt;&lt;b&gt;DESCRIPTION&lt;/b&gt;&lt;/h5&gt;&lt;/div&gt;&lt;hr/&gt;&lt;div&gt;&lt;h4&gt;&lt;p&gt;This spell functions as &lt;i&gt;icy prison&lt;/i&gt;, except as noted above.&lt;/p&gt;&lt;/h4&gt;&lt;/div&gt;</t>
  </si>
  <si>
    <t>As icy prison, but it affects 1 creature/level.</t>
  </si>
  <si>
    <t>Imbue with Aura</t>
  </si>
  <si>
    <t>You infuse another creature with your divine aura, causing the target to radiate an aura identical to your own clerical aura. The target's actual alignment is not changed, but spells like detect evil or detect good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t>
  </si>
  <si>
    <t>&lt;p&gt;You infuse another creature with your divine aura, causing the target to radiate an aura identical to your own clerical aura. The target's actual alignment is not changed, but spells like &lt;i&gt;detect evil&lt;/i&gt; or &lt;i&gt;detect good&lt;/i&gt;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alignment.&lt;/p&gt;</t>
  </si>
  <si>
    <t>&lt;link rel="stylesheet"href="PF.css"&gt;&lt;div class="heading"&gt;&lt;p class="alignleft"&gt;Imbue with Aura&lt;/p&gt;&lt;div style="clear: both;"&gt;&lt;/div&gt;&lt;/div&gt;&lt;div&gt;&lt;h5&gt;&lt;b&gt;School &lt;/b&gt;transmutation;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minute/level&lt;/h5&gt;&lt;h5&gt;&lt;b&gt;Saving Throw &lt;/b&gt;Will negates (see text); &lt;b&gt;Spell Resistance &lt;/b&gt;yes&lt;/h5&gt;&lt;/div&gt;&lt;hr/&gt;&lt;div&gt;&lt;h5&gt;&lt;b&gt;DESCRIPTION&lt;/b&gt;&lt;/h5&gt;&lt;/div&gt;&lt;hr/&gt;&lt;div&gt;&lt;h4&gt;&lt;p&gt;You infuse another creature with your divine aura, causing the target to radiate an aura identical to your own clerical aura. The target's actual alignment is not changed, but spells like &lt;i&gt;detect evil&lt;/i&gt; or &lt;i&gt;detect good&lt;/i&gt;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alignment.&lt;/p&gt;&lt;/h4&gt;&lt;/div&gt;</t>
  </si>
  <si>
    <t>Target emulates your cleric aura.</t>
  </si>
  <si>
    <t>Interplanetary Teleport</t>
  </si>
  <si>
    <t>This spell functions as teleport,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  If no such safe landing zone exists on the world, such as someone attempting to travel into the sun without the proper precautions in place, the spell simply fails.</t>
  </si>
  <si>
    <t>&lt;p&gt;This spell functions as &lt;i&gt;teleport&lt;/i&gt;,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life-threatening.&lt;/p&gt;&lt;p&gt;If no such safe landing zone exists on the world, such as someone attempting to travel into the sun without the proper precautions in place, the spell simply fails.&lt;/p&gt;</t>
  </si>
  <si>
    <t>&lt;link rel="stylesheet"href="PF.css"&gt;&lt;div class="heading"&gt;&lt;p class="alignleft"&gt;Interplanetary Teleport&lt;/p&gt;&lt;div style="clear: both;"&gt;&lt;/div&gt;&lt;/div&gt;&lt;div&gt;&lt;h5&gt;&lt;b&gt;School &lt;/b&gt;conjuration (teleportation); &lt;b&gt;Level &lt;/b&gt;cleric/oracle 9, sorcerer/wizard 9, psychic 9&lt;/h5&gt;&lt;/div&gt;&lt;hr/&gt;&lt;div&gt;&lt;h5&gt;&lt;b&gt;CASTING&lt;/b&gt;&lt;/h5&gt;&lt;/div&gt;&lt;hr/&gt;&lt;div&gt;&lt;h5&gt;&lt;b&gt;Casting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as &lt;i&gt;teleport&lt;/i&gt;,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life-threatening.&lt;/p&gt;&lt;p&gt;If no such safe landing zone exists on the world, such as someone attempting to travel into the sun without the proper precautions in place, the spell simply fails.&lt;/p&gt;&lt;/h4&gt;&lt;/div&gt;</t>
  </si>
  <si>
    <t>Void (9)</t>
  </si>
  <si>
    <t>Teleport to another planet.</t>
  </si>
  <si>
    <t>Interrogation</t>
  </si>
  <si>
    <t>inquisitor 1, sorcerer/wizard 1, witch 1, psychic 1, mesmerist 1</t>
  </si>
  <si>
    <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t>
  </si>
  <si>
    <t>&lt;p&gt;You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lying.&lt;/p&gt;</t>
  </si>
  <si>
    <t>&lt;link rel="stylesheet"href="PF.css"&gt;&lt;div class="heading"&gt;&lt;p class="alignleft"&gt;Interrogation&lt;/p&gt;&lt;div style="clear: both;"&gt;&lt;/div&gt;&lt;/div&gt;&lt;div&gt;&lt;h5&gt;&lt;b&gt;School &lt;/b&gt;necromancy [evil, pain]; &lt;b&gt;Level &lt;/b&gt;inquisitor 1, sorcerer/wizard 1, witch 1, psychic 1, mesmerist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&lt;/b&gt;living creature touched&lt;/h5&gt;&lt;h5&gt;&lt;b&gt;Duration &lt;/b&gt;1 minute/level&lt;/h5&gt;&lt;h5&gt;&lt;b&gt;Saving Throw &lt;/b&gt;Fortitude negates; &lt;b&gt;Spell Resistance &lt;/b&gt;yes&lt;/h5&gt;&lt;/div&gt;&lt;hr/&gt;&lt;div&gt;&lt;h5&gt;&lt;b&gt;DESCRIPTION&lt;/b&gt;&lt;/h5&gt;&lt;/div&gt;&lt;hr/&gt;&lt;div&gt;&lt;h4&gt;&lt;p&gt;You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lying.&lt;/p&gt;&lt;/h4&gt;&lt;/div&gt;</t>
  </si>
  <si>
    <t>Target answers questions or suffers pain.</t>
  </si>
  <si>
    <t>Interrogation, Greater</t>
  </si>
  <si>
    <t>inquisitor 4, psychic 4</t>
  </si>
  <si>
    <t>This spell functions as interrogation, except you may ask one question per caster level and the spell deals damage equal to 1d8 points plus your Wisdom bonus if the target doesn't answer a question.</t>
  </si>
  <si>
    <t>&lt;p&gt;This spell functions as &lt;i&gt;interrogation&lt;/i&gt;, except you may ask one question per caster level and the spell deals damage equal to 1d8 points plus your Wisdom bonus if the target doesn't answer a question.&lt;/p&gt;</t>
  </si>
  <si>
    <t>&lt;link rel="stylesheet"href="PF.css"&gt;&lt;div class="heading"&gt;&lt;p class="alignleft"&gt;Interrogation, Greater&lt;/p&gt;&lt;div style="clear: both;"&gt;&lt;/div&gt;&lt;/div&gt;&lt;div&gt;&lt;h5&gt;&lt;b&gt;School &lt;/b&gt;necromancy [evil, pain]; &lt;b&gt;Level &lt;/b&gt;inquisitor 4, psychic 4&lt;/h5&gt;&lt;/div&gt;&lt;hr/&gt;&lt;div&gt;&lt;h5&gt;&lt;b&gt;CASTING&lt;/b&gt;&lt;/h5&gt;&lt;/div&gt;&lt;hr/&gt;&lt;div&gt;&lt;h5&gt;&lt;b&gt;Casting Time &lt;/b&gt;1 round&lt;/h5&gt;&lt;h5&gt;&lt;b&gt;Components &lt;/b&gt;V, S&lt;/h5&gt;&lt;/div&gt;&lt;hr/&gt;&lt;div&gt;&lt;h5&gt;&lt;b&gt;EFFECT&lt;/b&gt;&lt;/h5&gt;&lt;/div&gt;&lt;hr/&gt;&lt;div&gt;&lt;h5&gt;&lt;b&gt;Range &lt;/b&gt;touch&lt;/h5&gt;&lt;h5&gt;&lt;b&gt;Targets &lt;/b&gt;living creature touched&lt;/h5&gt;&lt;h5&gt;&lt;b&gt;Duration &lt;/b&gt;1 minute/level&lt;/h5&gt;&lt;h5&gt;&lt;b&gt;Saving Throw &lt;/b&gt;Fortitude negates; &lt;b&gt;Spell Resistance &lt;/b&gt;yes&lt;/h5&gt;&lt;/div&gt;&lt;hr/&gt;&lt;div&gt;&lt;h5&gt;&lt;b&gt;DESCRIPTION&lt;/b&gt;&lt;/h5&gt;&lt;/div&gt;&lt;hr/&gt;&lt;div&gt;&lt;h4&gt;&lt;p&gt;This spell functions as &lt;i&gt;interrogation&lt;/i&gt;, except you may ask one question per caster level and the spell deals damage equal to 1d8 points plus your Wisdom bonus if the target doesn't answer a question.&lt;/p&gt;&lt;/h4&gt;&lt;/div&gt;</t>
  </si>
  <si>
    <t>As interrogation, except with more pain and more questions.</t>
  </si>
  <si>
    <t>Joyful Rapture</t>
  </si>
  <si>
    <t>bard 5, cleric/oracle 6, sorcerer/wizard 7, psychic 6, mesmerist 5</t>
  </si>
  <si>
    <t>all allies and opponents within a 60-ft.-radius burst centered on you</t>
  </si>
  <si>
    <t>Your inspired words overwhelm others with transcendental bliss. All allies within the area of effect are freed from any harmful emotion effects. The spell also cures 1d4 points of Intelligence, Wisdom, or Charisma damage (your choice) to all allies in the area.</t>
  </si>
  <si>
    <t>&lt;p&gt;Your inspired words overwhelm others with transcendental bliss. All allies within the area of effect are freed from any harmful emotion effects. The spell also cures 1d4 points of Intelligence, Wisdom, or Charisma damage (your choice) to all allies in the area.&lt;/p&gt;</t>
  </si>
  <si>
    <t>&lt;link rel="stylesheet"href="PF.css"&gt;&lt;div class="heading"&gt;&lt;p class="alignleft"&gt;Joyful Rapture&lt;/p&gt;&lt;div style="clear: both;"&gt;&lt;/div&gt;&lt;/div&gt;&lt;div&gt;&lt;h5&gt;&lt;b&gt;School &lt;/b&gt;conjuration (healing) [emotion]; &lt;b&gt;Level &lt;/b&gt;bard 5, cleric/oracle 6, sorcerer/wizard 7, psychic 6, mesmerist 5&lt;/h5&gt;&lt;/div&gt;&lt;hr/&gt;&lt;div&gt;&lt;h5&gt;&lt;b&gt;CASTING&lt;/b&gt;&lt;/h5&gt;&lt;/div&gt;&lt;hr/&gt;&lt;div&gt;&lt;h5&gt;&lt;b&gt;Casting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&lt;/b&gt;all allies and opponents within a 60-ft.-radius burst centered on you&lt;/h5&gt;&lt;h5&gt;&lt;b&gt;Duration &lt;/b&gt;instantaneous&lt;/h5&gt;&lt;h5&gt;&lt;b&gt;Saving Throw &lt;/b&gt;no; &lt;b&gt;Spell Resistance &lt;/b&gt;yes&lt;/h5&gt;&lt;/div&gt;&lt;hr/&gt;&lt;div&gt;&lt;h5&gt;&lt;b&gt;DESCRIPTION&lt;/b&gt;&lt;/h5&gt;&lt;/div&gt;&lt;hr/&gt;&lt;div&gt;&lt;h4&gt;&lt;p&gt;Your inspired words overwhelm others with transcendental bliss. All allies within the area of effect are freed from any harmful emotion effects. The spell also cures 1d4 points of Intelligence, Wisdom, or Charisma damage (your choice) to all allies in the area.&lt;/p&gt;&lt;/h4&gt;&lt;/div&gt;</t>
  </si>
  <si>
    <t>Negate harmful emotions.</t>
  </si>
  <si>
    <t>Martyred (15)</t>
  </si>
  <si>
    <t>Ki Arrow</t>
  </si>
  <si>
    <t>bard 1, sorcerer/wizard 1, witch 1, psychic 1</t>
  </si>
  <si>
    <t>1 arrow touched</t>
  </si>
  <si>
    <t>Fortitude (object)</t>
  </si>
  <si>
    <t>You imbue an arrow with your power and throw it at a target up to 100 feet away. Make a ranged attack roll. If it hits, the target takes damage from the arrow as if you had hit it with a single unarmed strike (including your Strength bonus).</t>
  </si>
  <si>
    <t>&lt;p&gt;You imbue an arrow with your power and throw it at a target up to 100 feet away. Make a ranged attack roll. If it hits, the target takes damage from the arrow as if you had hit it with a single unarmed strike (including your Strength bonus).&lt;/p&gt;</t>
  </si>
  <si>
    <t>&lt;link rel="stylesheet"href="PF.css"&gt;&lt;div class="heading"&gt;&lt;p class="alignleft"&gt;Ki Arrow&lt;/p&gt;&lt;div style="clear: both;"&gt;&lt;/div&gt;&lt;/div&gt;&lt;div&gt;&lt;h5&gt;&lt;b&gt;School &lt;/b&gt;conjuration; &lt;b&gt;Level &lt;/b&gt;bard 1, sorcerer/wizard 1, witch 1, psychic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&lt;/b&gt;1 arrow touched&lt;/h5&gt;&lt;h5&gt;&lt;b&gt;Duration &lt;/b&gt;instantaneous&lt;/h5&gt;&lt;h5&gt;&lt;b&gt;Saving Throw &lt;/b&gt;Fortitude (object); &lt;b&gt;Spell Resistance &lt;/b&gt;yes (object)&lt;/h5&gt;&lt;/div&gt;&lt;hr/&gt;&lt;div&gt;&lt;h5&gt;&lt;b&gt;DESCRIPTION&lt;/b&gt;&lt;/h5&gt;&lt;/div&gt;&lt;hr/&gt;&lt;div&gt;&lt;h4&gt;&lt;p&gt;You imbue an arrow with your power and throw it at a target up to 100 feet away. Make a ranged attack roll. If it hits, the target takes damage from the arrow as if you had hit it with a single unarmed strike (including your Strength bonus).&lt;/p&gt;&lt;/h4&gt;&lt;/div&gt;</t>
  </si>
  <si>
    <t>Arrow deals damage as your unarmed strike.</t>
  </si>
  <si>
    <t>Ki Leech</t>
  </si>
  <si>
    <t>cleric/oracle 3, sorcerer/wizard 3, witch 3, psychic 3</t>
  </si>
  <si>
    <t>You place your spirit in a receptive state so when you confirm a critical hit against a living enemy or reduce a living enemy to 0 or fewer hit points, you can steal some of that creature's ki. This replenishes 1 point of ki as long as you have at least 1 ki point in your ki pool. This does not allow you to exceed your ki pool's maximum. This ability does not stack with similar abilities (such as the steal ki ability of the hungry ghost monk in the Advanced Player's Guide).  This spell has no effect if you do not have a ki pool.</t>
  </si>
  <si>
    <t>&lt;p&gt;You place your spirit in a receptive state so when you confirm a critical hit against a living enemy or reduce a living enemy to 0 or fewer hit points, you can steal some of that creature's &lt;i&gt;ki&lt;/i&gt;. This replenishes 1 point of &lt;i&gt;ki&lt;/i&gt; as long as you have at least 1 &lt;i&gt;ki&lt;/i&gt; point in your &lt;i&gt;ki&lt;/i&gt; pool. This does not allow you to exceed your &lt;i&gt;ki&lt;/i&gt; pool's maximum. This ability does not stack with similar abilities (such as the steal &lt;i&gt;ki&lt;/i&gt; ability of the hungry ghost monk in the Advanced Player's Guide).&lt;/p&gt;&lt;p&gt;This spell has no effect if you do not have a &lt;i&gt;ki&lt;/i&gt; pool.&lt;/p&gt;</t>
  </si>
  <si>
    <t>&lt;link rel="stylesheet"href="PF.css"&gt;&lt;div class="heading"&gt;&lt;p class="alignleft"&gt;Ki Leech&lt;/p&gt;&lt;div style="clear: both;"&gt;&lt;/div&gt;&lt;/div&gt;&lt;div&gt;&lt;h5&gt;&lt;b&gt;School &lt;/b&gt;necromancy [evil]; &lt;b&gt;Level &lt;/b&gt;cleric/oracle 3, 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place your spirit in a receptive state so when you confirm a critical hit against a living enemy or reduce a living enemy to 0 or fewer hit points, you can steal some of that creature's &lt;i&gt;ki&lt;/i&gt;. This replenishes 1 point of &lt;i&gt;ki&lt;/i&gt; as long as you have at least 1 &lt;i&gt;ki&lt;/i&gt; point in your &lt;i&gt;ki&lt;/i&gt; pool. This does not allow you to exceed your &lt;i&gt;ki&lt;/i&gt; pool's maximum. This ability does not stack with similar abilities (such as the steal &lt;i&gt;ki&lt;/i&gt; ability of the hungry ghost monk in the Advanced Player's Guide).&lt;/p&gt;&lt;p&gt;This spell has no effect if you do not have a &lt;i&gt;ki&lt;/i&gt; pool.&lt;/p&gt;&lt;/h4&gt;&lt;/div&gt;</t>
  </si>
  <si>
    <t>Add to your ki pool when you critically hit.</t>
  </si>
  <si>
    <t>Ki Shout</t>
  </si>
  <si>
    <t>bard 5, sorcerer/wizard 7, psychic 7</t>
  </si>
  <si>
    <t>close (25 ft + 5 ft./2 levels)</t>
  </si>
  <si>
    <t>With a guttural bark, you unleash a sudden blast of sonic energy that strikes your opponent. The target takes 1d6 points of sonic damage per level (maximum 20d6) and is stunned for 1 round; a successful Fortitude save reduces the damage by half and negates the stun.</t>
  </si>
  <si>
    <t>&lt;p&gt;With a guttural bark, you unleash a sudden blast of sonic energy that strikes your opponent. The target takes 1d6 points of sonic damage per level (maximum 20d6) and is stunned for 1 round; a successful Fortitude save reduces the damage by half and negates the stun.&lt;/p&gt;</t>
  </si>
  <si>
    <t>&lt;link rel="stylesheet"href="PF.css"&gt;&lt;div class="heading"&gt;&lt;p class="alignleft"&gt;Ki Shout&lt;/p&gt;&lt;div style="clear: both;"&gt;&lt;/div&gt;&lt;/div&gt;&lt;div&gt;&lt;h5&gt;&lt;b&gt;School &lt;/b&gt;evocation [sonic]; &lt;b&gt;Level &lt;/b&gt;bard 5, sorcerer/wizard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partial (see text); &lt;b&gt;Spell Resistance &lt;/b&gt;yes&lt;/h5&gt;&lt;/div&gt;&lt;hr/&gt;&lt;div&gt;&lt;h5&gt;&lt;b&gt;DESCRIPTION&lt;/b&gt;&lt;/h5&gt;&lt;/div&gt;&lt;hr/&gt;&lt;div&gt;&lt;h4&gt;&lt;p&gt;With a guttural bark, you unleash a sudden blast of sonic energy that strikes your opponent. The target takes 1d6 points of sonic damage per level (maximum 20d6) and is stunned for 1 round; a successful Fortitude save reduces the damage by half and negates the stun.&lt;/p&gt;&lt;/h4&gt;&lt;/div&gt;</t>
  </si>
  <si>
    <t>Target takes 1d6 sonic/level and is stunned.</t>
  </si>
  <si>
    <t>Know The Enemy</t>
  </si>
  <si>
    <t>cleric/oracle 1, inquisitor 1, paladin 1, ranger 1</t>
  </si>
  <si>
    <t>S, V, DF</t>
  </si>
  <si>
    <t>You commune with the divine, reflecting on one type of creature you encountered in the last day. You may make a Knowledge check regarding that creature type with a +10 insight bonus.</t>
  </si>
  <si>
    <t>&lt;p&gt;You commune with the divine, reflecting on one type of creature you encountered in the last day. You may make a Knowledge check regarding that creature type with a +10 insight bonus.&lt;/p&gt;</t>
  </si>
  <si>
    <t>&lt;link rel="stylesheet"href="PF.css"&gt;&lt;div class="heading"&gt;&lt;p class="alignleft"&gt;Know The Enemy&lt;/p&gt;&lt;div style="clear: both;"&gt;&lt;/div&gt;&lt;/div&gt;&lt;div&gt;&lt;h5&gt;&lt;b&gt;School &lt;/b&gt;divination; &lt;b&gt;Level &lt;/b&gt;cleric/oracle 1, inquisitor 1, paladin 1, ranger 1&lt;/h5&gt;&lt;/div&gt;&lt;hr/&gt;&lt;div&gt;&lt;h5&gt;&lt;b&gt;CASTING&lt;/b&gt;&lt;/h5&gt;&lt;/div&gt;&lt;hr/&gt;&lt;div&gt;&lt;h5&gt;&lt;b&gt;Casting Time &lt;/b&gt;1 minute&lt;/h5&gt;&lt;h5&gt;&lt;b&gt;Components &lt;/b&gt;S, V, DF&lt;/h5&gt;&lt;/div&gt;&lt;hr/&gt;&lt;div&gt;&lt;h5&gt;&lt;b&gt;EFFECT&lt;/b&gt;&lt;/h5&gt;&lt;/div&gt;&lt;hr/&gt;&lt;div&gt;&lt;h5&gt;&lt;b&gt;Range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commune with the divine, reflecting on one type of creature you encountered in the last day. You may make a Knowledge check regarding that creature type with a +10 insight bonus.&lt;/p&gt;&lt;/h4&gt;&lt;h5&gt;&lt;b&gt;Mythic: &lt;/b&gt;The insight bonus increases to +15 plus your tier. If the check is successful, you gain a +5 insight bonus on your next attack roll or saving throw against a creature of that type, as long as the roll occurs within 24 hours of casting the spell.&lt;/h5&gt;&lt;/div&gt;</t>
  </si>
  <si>
    <t>Education (1)</t>
  </si>
  <si>
    <t>Gain +10 on a monster Knowledge check.</t>
  </si>
  <si>
    <t>The insight bonus increases to +15 plus your tier. If the check is successful, you gain a +5 insight bonus on your next attack roll or saving throw against a creature of that type, as long as the roll occurs within 24 hours of casting the spell.</t>
  </si>
  <si>
    <t>Leashed Shackles</t>
  </si>
  <si>
    <t>inquisitor 4, sorcerer/wizard 6, psychic 6, spiritualist 6</t>
  </si>
  <si>
    <t>medium (100 ft. +10 ft./level)</t>
  </si>
  <si>
    <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t>
  </si>
  <si>
    <t>&lt;p&gt;You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entangled).&lt;/p&gt;</t>
  </si>
  <si>
    <t>&lt;link rel="stylesheet"href="PF.css"&gt;&lt;div class="heading"&gt;&lt;p class="alignleft"&gt;Leashed Shackles&lt;/p&gt;&lt;div style="clear: both;"&gt;&lt;/div&gt;&lt;/div&gt;&lt;div&gt;&lt;h5&gt;&lt;b&gt;School &lt;/b&gt;evocation [force]; &lt;b&gt;Level &lt;/b&gt;inquisitor 4, sorcerer/wizard 6, psychic 6, spiritualist 6&lt;/h5&gt;&lt;/div&gt;&lt;hr/&gt;&lt;div&gt;&lt;h5&gt;&lt;b&gt;CASTING&lt;/b&gt;&lt;/h5&gt;&lt;/div&gt;&lt;hr/&gt;&lt;div&gt;&lt;h5&gt;&lt;b&gt;Casting Time &lt;/b&gt;1 standard action&lt;/h5&gt;&lt;h5&gt;&lt;b&gt;Components &lt;/b&gt;V, S&lt;/h5&gt;&lt;/div&gt;&lt;hr/&gt;&lt;div&gt;&lt;h5&gt;&lt;b&gt;EFFECT&lt;/b&gt;&lt;/h5&gt;&lt;/div&gt;&lt;hr/&gt;&lt;div&gt;&lt;h5&gt;&lt;b&gt;Range &lt;/b&gt;medium (100 ft. +10 ft./level)&lt;/h5&gt;&lt;h5&gt;&lt;b&gt;Targets &lt;/b&gt;one creature&lt;/h5&gt;&lt;h5&gt;&lt;b&gt;Duration &lt;/b&gt;1 minute/level&lt;/h5&gt;&lt;h5&gt;&lt;b&gt;Saving Throw &lt;/b&gt;Reflex negates; &lt;b&gt;Spell Resistance &lt;/b&gt;yes&lt;/h5&gt;&lt;/div&gt;&lt;hr/&gt;&lt;div&gt;&lt;h5&gt;&lt;b&gt;DESCRIPTION&lt;/b&gt;&lt;/h5&gt;&lt;/div&gt;&lt;hr/&gt;&lt;div&gt;&lt;h4&gt;&lt;p&gt;You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entangled).&lt;/p&gt;&lt;/h4&gt;&lt;/div&gt;</t>
  </si>
  <si>
    <t>Target is restricted to a specific location.</t>
  </si>
  <si>
    <t>Lend Judgment</t>
  </si>
  <si>
    <t>one ally</t>
  </si>
  <si>
    <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t>
  </si>
  <si>
    <t>&lt;p&gt;You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spell.&lt;/p&gt;</t>
  </si>
  <si>
    <t>&lt;link rel="stylesheet"href="PF.css"&gt;&lt;div class="heading"&gt;&lt;p class="alignleft"&gt;Lend Judgment&lt;/p&gt;&lt;div style="clear: both;"&gt;&lt;/div&gt;&lt;/div&gt;&lt;div&gt;&lt;h5&gt;&lt;b&gt;School &lt;/b&gt;divination; &lt;b&gt;Level &lt;/b&gt;inquisitor 1&lt;/h5&gt;&lt;/div&gt;&lt;hr/&gt;&lt;div&gt;&lt;h5&gt;&lt;b&gt;CASTING&lt;/b&gt;&lt;/h5&gt;&lt;/div&gt;&lt;hr/&gt;&lt;div&gt;&lt;h5&gt;&lt;b&gt;Casting Time &lt;/b&gt;1 standard action&lt;/h5&gt;&lt;h5&gt;&lt;b&gt;Components &lt;/b&gt;V, DF&lt;/h5&gt;&lt;/div&gt;&lt;hr/&gt;&lt;div&gt;&lt;h5&gt;&lt;b&gt;EFFECT&lt;/b&gt;&lt;/h5&gt;&lt;/div&gt;&lt;hr/&gt;&lt;div&gt;&lt;h5&gt;&lt;b&gt;Range &lt;/b&gt;touch&lt;/h5&gt;&lt;h5&gt;&lt;b&gt;Targets &lt;/b&gt;one ally&lt;/h5&gt;&lt;h5&gt;&lt;b&gt;Duration &lt;/b&gt;1 round/level&lt;/h5&gt;&lt;h5&gt;&lt;b&gt;Saving Throw &lt;/b&gt;Will negates (harmless); &lt;b&gt;Spell Resistance &lt;/b&gt;yes (harmless)&lt;/h5&gt;&lt;/div&gt;&lt;hr/&gt;&lt;div&gt;&lt;h5&gt;&lt;b&gt;DESCRIPTION&lt;/b&gt;&lt;/h5&gt;&lt;/div&gt;&lt;hr/&gt;&lt;div&gt;&lt;h4&gt;&lt;p&gt;You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spell.&lt;/p&gt;&lt;/h4&gt;&lt;/div&gt;</t>
  </si>
  <si>
    <t>Ally gains the benefit of one judgment.</t>
  </si>
  <si>
    <t>Lend Judgment, Greater</t>
  </si>
  <si>
    <t>This functions as lend judgment, except the ally gains the benefit of all your active judgments.</t>
  </si>
  <si>
    <t>&lt;p&gt;This functions as &lt;i&gt;lend judgment&lt;/i&gt;, except the ally gains the benefit of all your active judgments.&lt;/p&gt;</t>
  </si>
  <si>
    <t>&lt;link rel="stylesheet"href="PF.css"&gt;&lt;div class="heading"&gt;&lt;p class="alignleft"&gt;Lend Judgment, Greater&lt;/p&gt;&lt;div style="clear: both;"&gt;&lt;/div&gt;&lt;/div&gt;&lt;div&gt;&lt;h5&gt;&lt;b&gt;School &lt;/b&gt;divination; &lt;b&gt;Level &lt;/b&gt;inquisitor 5&lt;/h5&gt;&lt;/div&gt;&lt;hr/&gt;&lt;div&gt;&lt;h5&gt;&lt;b&gt;CASTING&lt;/b&gt;&lt;/h5&gt;&lt;/div&gt;&lt;hr/&gt;&lt;div&gt;&lt;h5&gt;&lt;b&gt;Casting Time &lt;/b&gt;1 standard action&lt;/h5&gt;&lt;h5&gt;&lt;b&gt;Components &lt;/b&gt;V, DF&lt;/h5&gt;&lt;/div&gt;&lt;hr/&gt;&lt;div&gt;&lt;h5&gt;&lt;b&gt;EFFECT&lt;/b&gt;&lt;/h5&gt;&lt;/div&gt;&lt;hr/&gt;&lt;div&gt;&lt;h5&gt;&lt;b&gt;Range &lt;/b&gt;touch&lt;/h5&gt;&lt;h5&gt;&lt;b&gt;Targets &lt;/b&gt;one ally&lt;/h5&gt;&lt;h5&gt;&lt;b&gt;Duration &lt;/b&gt;1 round/level&lt;/h5&gt;&lt;h5&gt;&lt;b&gt;Saving Throw &lt;/b&gt;Will negates (harmless); &lt;b&gt;Spell Resistance &lt;/b&gt;yes (harmless)&lt;/h5&gt;&lt;/div&gt;&lt;hr/&gt;&lt;div&gt;&lt;h5&gt;&lt;b&gt;DESCRIPTION&lt;/b&gt;&lt;/h5&gt;&lt;/div&gt;&lt;hr/&gt;&lt;div&gt;&lt;h4&gt;&lt;p&gt;This functions as &lt;i&gt;lend judgment&lt;/i&gt;, except the ally gains the benefit of all your active judgments.&lt;/p&gt;&lt;/h4&gt;&lt;/div&gt;</t>
  </si>
  <si>
    <t>Ally receives all your judgments.</t>
  </si>
  <si>
    <t>Lightning Arc</t>
  </si>
  <si>
    <t>V, S, M (fur and two glass figurines)</t>
  </si>
  <si>
    <t>two creatures or objects which must be no more than 60 ft. apart</t>
  </si>
  <si>
    <t>yes (see text)</t>
  </si>
  <si>
    <t>You generate an arc of lightning between two targets. The lightning deals 1d6 points of electricity damage per caster level (maximum 15d6) to both targets and any creatures in a line connecting them. The spell fails if there is no line of effect between the targets. Lightning arc sets fire to combustibles and damages objects in its path. It can melt metals that have a low melting point, such as lead, gold, copper, silver, or bronze.</t>
  </si>
  <si>
    <t>&lt;p&gt;You generate an arc of lightning between two targets. The lightning deals 1d6 points of electricity damage per caster level (maximum 15d6) to both targets and any creatures in a line connecting them. The spell fails if there is no line of effect between the targets. &lt;i&gt;Lightning arc&lt;/i&gt; sets fire to combustibles and damages objects in its path. It can melt metals that have a low melting point, such as lead, gold, copper, silver, or bronze.&lt;/p&gt;</t>
  </si>
  <si>
    <t>&lt;link rel="stylesheet"href="PF.css"&gt;&lt;div class="heading"&gt;&lt;p class="alignleft"&gt;Lightning Arc&lt;/p&gt;&lt;div style="clear: both;"&gt;&lt;/div&gt;&lt;/div&gt;&lt;div&gt;&lt;h5&gt;&lt;b&gt;School &lt;/b&gt;evocation [electricity]; &lt;b&gt;Level &lt;/b&gt;sorcerer/wizard 5&lt;/h5&gt;&lt;/div&gt;&lt;hr/&gt;&lt;div&gt;&lt;h5&gt;&lt;b&gt;CASTING&lt;/b&gt;&lt;/h5&gt;&lt;/div&gt;&lt;hr/&gt;&lt;div&gt;&lt;h5&gt;&lt;b&gt;Casting Time &lt;/b&gt;1 standard action&lt;/h5&gt;&lt;h5&gt;&lt;b&gt;Components &lt;/b&gt;V, S, M (fur and two glass figurines)&lt;/h5&gt;&lt;/div&gt;&lt;hr/&gt;&lt;div&gt;&lt;h5&gt;&lt;b&gt;EFFECT&lt;/b&gt;&lt;/h5&gt;&lt;/div&gt;&lt;hr/&gt;&lt;div&gt;&lt;h5&gt;&lt;b&gt;Range &lt;/b&gt;long (400 ft. + 40 ft./level)&lt;/h5&gt;&lt;h5&gt;&lt;b&gt;Targets &lt;/b&gt;two creatures or objects which must be no more than 60 ft. apart&lt;/h5&gt;&lt;h5&gt;&lt;b&gt;Duration &lt;/b&gt;instantaneous&lt;/h5&gt;&lt;h5&gt;&lt;b&gt;Saving Throw &lt;/b&gt;Reflex half; &lt;b&gt;Spell Resistance &lt;/b&gt;yes (see text)&lt;/h5&gt;&lt;/div&gt;&lt;hr/&gt;&lt;div&gt;&lt;h5&gt;&lt;b&gt;DESCRIPTION&lt;/b&gt;&lt;/h5&gt;&lt;/div&gt;&lt;hr/&gt;&lt;div&gt;&lt;h4&gt;&lt;p&gt;You generate an arc of lightning between two targets. The lightning deals 1d6 points of electricity damage per caster level (maximum 15d6) to both targets and any creatures in a line connecting them. The spell fails if there is no line of effect between the targets. &lt;i&gt;Lightning arc&lt;/i&gt; sets fire to combustibles and damages objects in its path. It can melt metals that have a low melting point, such as lead, gold, copper, silver, or bronze.&lt;/p&gt;&lt;/h4&gt;&lt;h5&gt;&lt;b&gt;Mythic: &lt;/b&gt;The damage dealt increases to 1d8 points of electricity damage per caster level (maximum 15d8). A target that fails its save is blinded by the flash for 1 round and deafened by thunder for 1d4 rounds.&lt;/h5&gt;&lt;h5&gt;&lt;b&gt;Augmented (6th)&lt;/b&gt;: If you expend two uses of mythic power, the two targets can be up to 120 feet apart, the lightning can turn once up to 90 degrees to connect the targets, and the spell's electrical damage bypasses electricity resistance and electricity immunity.&lt;/h5&gt;&lt;/div&gt;</t>
  </si>
  <si>
    <t>Targets in a line take 1d6 electricity/level.</t>
  </si>
  <si>
    <t>The damage dealt increases to 1d8 points of electricity damage per caster level (maximum 15d8). A target that fails its save is blinded by the flash for 1 round and deafened by thunder for 1d4 rounds.</t>
  </si>
  <si>
    <t>Augmented (6th): If you expend two uses of mythic power, the two targets can be up to 120 feet apart, the lightning can turn once up to 90 degrees to connect the targets, and the spell's electrical damage bypasses electricity resistance and electricity immunity.</t>
  </si>
  <si>
    <t>Loathsome Veil</t>
  </si>
  <si>
    <t>sorcerer/wizard 3, witch 3, psychic 3, mesmerist 3</t>
  </si>
  <si>
    <t>V, S, M (a tangle of multicolored threads)</t>
  </si>
  <si>
    <t>transparent pattern 40 ft. long, 20 ft. high</t>
  </si>
  <si>
    <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  Among creatures with equal HD, those who are closest to the spell are affected first. The effect is according to the creature's HD.  4 HD or fewer: The creature is nauseated while it can see the veil, nauseated for 1d4 rounds after it last saw the veil, then sickened for 2d4 rounds after it last saw the veil.  8 HD or fewer: The creature is nauseated for 1d4 rounds, sickened while it can see the veil, then sickened for 1d4 rounds after it last saw the veil.  9 or more HD: The creature is sickened while it can see the veil.  A successful saving throw ignores all effects of the veil.  Sightless creatures are not affected by loathsome veil.  Affected creatures can avert or close their eyes to avoid seeing the veil, similar to avoiding a gaze attack.  Loathsome veil can be made permanent with the permanency spell by a caster of 10th level or higher for the cost of 7,500 gp.</t>
  </si>
  <si>
    <t>&lt;p&gt;This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first.&lt;/p&gt;&lt;p&gt;Among creatures with equal HD, those who are closest to the spell are affected first. The effect is according to the creature's HD.&lt;/p&gt;&lt;p&gt;4 HD or fewer: The creature is nauseated while it can see the veil, nauseated for 1d4 rounds after it last saw the veil, then sickened for 2d4 rounds after it last saw the veil.&lt;/p&gt;&lt;p&gt;8 HD or fewer: The creature is nauseated for 1d4 rounds, sickened while it can see the veil, then sickened for 1d4 rounds after it last saw the veil.&lt;/p&gt;&lt;p&gt;&lt;i&gt;9 or more H&lt;/i&gt;D: The creature is sickened while it can see the veil.&lt;/p&gt;&lt;p&gt;A successful saving throw ignores all effects of the veil.&lt;/p&gt;&lt;p&gt;Sightless creatures are not affected by &lt;i&gt;loathsome veil&lt;/i&gt;.&lt;/p&gt;&lt;p&gt;Affected creatures can avert or close their eyes to avoid seeing the veil, similar to avoiding a gaze attack.&lt;/p&gt;&lt;p&gt;&lt;i&gt;Loathsome veil&lt;/i&gt; can be made permanent with the &lt;i&gt;permanency&lt;/i&gt; spell by a caster of 10th level or higher for the cost of 7,500 gp.&lt;/p&gt;</t>
  </si>
  <si>
    <t>&lt;link rel="stylesheet"href="PF.css"&gt;&lt;div class="heading"&gt;&lt;p class="alignleft"&gt;Loathsome Veil&lt;/p&gt;&lt;div style="clear: both;"&gt;&lt;/div&gt;&lt;/div&gt;&lt;div&gt;&lt;h5&gt;&lt;b&gt;School &lt;/b&gt;illusion (pattern) [mind-affecting]; &lt;b&gt;Level &lt;/b&gt;sorcerer/wizard 3, witch 3, psychic 3, mesmerist 3&lt;/h5&gt;&lt;/div&gt;&lt;hr/&gt;&lt;div&gt;&lt;h5&gt;&lt;b&gt;CASTING&lt;/b&gt;&lt;/h5&gt;&lt;/div&gt;&lt;hr/&gt;&lt;div&gt;&lt;h5&gt;&lt;b&gt;Casting Time &lt;/b&gt;1 standard action&lt;/h5&gt;&lt;h5&gt;&lt;b&gt;Components &lt;/b&gt;V, S, M (a tangle of multicolored threads)&lt;/h5&gt;&lt;/div&gt;&lt;hr/&gt;&lt;div&gt;&lt;h5&gt;&lt;b&gt;EFFECT&lt;/b&gt;&lt;/h5&gt;&lt;/div&gt;&lt;hr/&gt;&lt;div&gt;&lt;h5&gt;&lt;b&gt;Range &lt;/b&gt;close (25 ft. + 5 ft./2 levels)&lt;/h5&gt;&lt;h5&gt;&lt;b&gt;Effect &lt;/b&gt;transparent pattern 40 ft. long, 20 ft. high&lt;/h5&gt;&lt;h5&gt;&lt;b&gt;Duration &lt;/b&gt;concentration + 1 round/level (D)&lt;/h5&gt;&lt;h5&gt;&lt;b&gt;Saving Throw &lt;/b&gt;Will negates; &lt;b&gt;Spell Resistance &lt;/b&gt;yes&lt;/h5&gt;&lt;/div&gt;&lt;hr/&gt;&lt;div&gt;&lt;h5&gt;&lt;b&gt;DESCRIPTION&lt;/b&gt;&lt;/h5&gt;&lt;/div&gt;&lt;hr/&gt;&lt;div&gt;&lt;h4&gt;&lt;p&gt;This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first.&lt;/p&gt;&lt;p&gt;Among creatures with equal HD, those who are closest to the spell are affected first. The effect is according to the creature's HD.&lt;/p&gt;&lt;p&gt;4 HD or fewer: The creature is nauseated while it can see the veil, nauseated for 1d4 rounds after it last saw the veil, then sickened for 2d4 rounds after it last saw the veil.&lt;/p&gt;&lt;p&gt;8 HD or fewer: The creature is nauseated for 1d4 rounds, sickened while it can see the veil, then sickened for 1d4 rounds after it last saw the veil.&lt;/p&gt;&lt;p&gt;&lt;i&gt;9 or more H&lt;/i&gt;D: The creature is sickened while it can see the veil.&lt;/p&gt;&lt;p&gt;A successful saving throw ignores all effects of the veil.&lt;/p&gt;&lt;p&gt;Sightless creatures are not affected by &lt;i&gt;loathsome veil&lt;/i&gt;.&lt;/p&gt;&lt;p&gt;Affected creatures can avert or close their eyes to avoid seeing the veil, similar to avoiding a gaze attack.&lt;/p&gt;&lt;p&gt;&lt;i&gt;Loathsome veil&lt;/i&gt; can be made permanent with the &lt;i&gt;permanency&lt;/i&gt; spell by a caster of 10th level or higher for the cost of 7,500 gp.&lt;/p&gt;&lt;/h4&gt;&lt;/div&gt;</t>
  </si>
  <si>
    <t>Nauseate and/or sicken weak creatures.</t>
  </si>
  <si>
    <t>Lunar Veil</t>
  </si>
  <si>
    <t>darkness, shadow</t>
  </si>
  <si>
    <t>cleric/oracle 7, sorcerer/wizard 7, witch 7, psychic 7</t>
  </si>
  <si>
    <t>120-ft.-radius emanation</t>
  </si>
  <si>
    <t>Will negates, see text</t>
  </si>
  <si>
    <t>You conjure a tremendous area of shadow to obscure moonlight within the area, creating something akin to a lunar eclipse. The light level is lowered by two steps (though unlike deeper darkness, areas of normal light or dimmer become normal darkness rather than supernaturally dark).  Lycanthropes in the area must make a Will save every round or revert to their humanoid forms. In addition, lycanthropes attempting to assume animal or hybrid form within the affected area take a -5 penalty on Constitution checks to do so.</t>
  </si>
  <si>
    <t>&lt;p&gt;You conjure a tremendous area of shadow to obscure moonlight within the area, creating something akin to a lunar eclipse. The light level is lowered by two steps (though unlike &lt;i&gt;deeper darkness&lt;/i&gt;, areas of normal light or dimmer become normal darkness rather than supernaturally dark).&lt;/p&gt;&lt;p&gt;Lycanthropes in the area must make a Will save every round or revert to their humanoid forms. In addition, lycanthropes attempting to assume animal or hybrid form within the affected area take a -5 penalty on Constitution checks to do so.&lt;/p&gt;</t>
  </si>
  <si>
    <t>&lt;link rel="stylesheet"href="PF.css"&gt;&lt;div class="heading"&gt;&lt;p class="alignleft"&gt;Lunar Veil&lt;/p&gt;&lt;div style="clear: both;"&gt;&lt;/div&gt;&lt;/div&gt;&lt;div&gt;&lt;h5&gt;&lt;b&gt;School &lt;/b&gt;illusion (shadow) [darkness, shadow]; &lt;b&gt;Level &lt;/b&gt;cleric/oracle 7, sorcerer/wizard 7, witch 7, psychic 7&lt;/h5&gt;&lt;/div&gt;&lt;hr/&gt;&lt;div&gt;&lt;h5&gt;&lt;b&gt;CASTING&lt;/b&gt;&lt;/h5&gt;&lt;/div&gt;&lt;hr/&gt;&lt;div&gt;&lt;h5&gt;&lt;b&gt;Casting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&lt;/b&gt;120-ft.-radius emanation&lt;/h5&gt;&lt;h5&gt;&lt;b&gt;Duration &lt;/b&gt;10 minute/level&lt;/h5&gt;&lt;h5&gt;&lt;b&gt;Saving Throw &lt;/b&gt;Will negates, see text; &lt;b&gt;Spell Resistance &lt;/b&gt;no&lt;/h5&gt;&lt;/div&gt;&lt;hr/&gt;&lt;div&gt;&lt;h5&gt;&lt;b&gt;DESCRIPTION&lt;/b&gt;&lt;/h5&gt;&lt;/div&gt;&lt;hr/&gt;&lt;div&gt;&lt;h4&gt;&lt;p&gt;You conjure a tremendous area of shadow to obscure moonlight within the area, creating something akin to a lunar eclipse. The light level is lowered by two steps (though unlike &lt;i&gt;deeper darkness&lt;/i&gt;, areas of normal light or dimmer become normal darkness rather than supernaturally dark).&lt;/p&gt;&lt;p&gt;Lycanthropes in the area must make a Will save every round or revert to their humanoid forms. In addition, lycanthropes attempting to assume animal or hybrid form within the affected area take a -5 penalty on Constitution checks to do so.&lt;/p&gt;&lt;/h4&gt;&lt;/div&gt;</t>
  </si>
  <si>
    <t>Dispel light and revert lycanthropes.</t>
  </si>
  <si>
    <t>Moon (14)</t>
  </si>
  <si>
    <t>Mad Hallucination</t>
  </si>
  <si>
    <t>close (20 ft.)</t>
  </si>
  <si>
    <t>5 minute/level (maximum 1 hour)</t>
  </si>
  <si>
    <t>This spell induces a hallucinogenic reality in the mind of your target. Surfaces seem to swim, and movement constantly distracts the eye. The target takes a -2 penalty on Will saving throws, caster level checks, Intelligence-based skill checks, and Wisdom-based skill checks.</t>
  </si>
  <si>
    <t>&lt;p&gt;This spell induces a hallucinogenic reality in the mind of your target. Surfaces seem to swim, and movement constantly distracts the eye. The target takes a -2 penalty on Will saving throws, caster level checks, Intelligence-based skill checks, and Wisdom-based skill checks.&lt;/p&gt;</t>
  </si>
  <si>
    <t>&lt;link rel="stylesheet"href="PF.css"&gt;&lt;div class="heading"&gt;&lt;p class="alignleft"&gt;Mad Hallucination&lt;/p&gt;&lt;div style="clear: both;"&gt;&lt;/div&gt;&lt;/div&gt;&lt;div&gt;&lt;h5&gt;&lt;b&gt;School &lt;/b&gt;illusion (phantasm);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(20 ft.)&lt;/h5&gt;&lt;h5&gt;&lt;b&gt;Targets &lt;/b&gt;one humanoid creature&lt;/h5&gt;&lt;h5&gt;&lt;b&gt;Duration &lt;/b&gt;5 minute/level (maximum 1 hour)&lt;/h5&gt;&lt;h5&gt;&lt;b&gt;Saving Throw &lt;/b&gt;Will negates; &lt;b&gt;Spell Resistance &lt;/b&gt;yes&lt;/h5&gt;&lt;/div&gt;&lt;hr/&gt;&lt;div&gt;&lt;h5&gt;&lt;b&gt;DESCRIPTION&lt;/b&gt;&lt;/h5&gt;&lt;/div&gt;&lt;hr/&gt;&lt;div&gt;&lt;h4&gt;&lt;p&gt;This spell induces a hallucinogenic reality in the mind of your target. Surfaces seem to swim, and movement constantly distracts the eye. The target takes a -2 penalty on Will saving throws, caster level checks, Intelligence-based skill checks, and Wisdom-based skill checks.&lt;/p&gt;&lt;/h4&gt;&lt;/div&gt;</t>
  </si>
  <si>
    <t>Target takes penalties to mental actions.</t>
  </si>
  <si>
    <t>Mad Monkeys</t>
  </si>
  <si>
    <t>bard 3, druid 3, sorcerer/wizard 3, summoner 3</t>
  </si>
  <si>
    <t>swarm of monkeys</t>
  </si>
  <si>
    <t>You summon a swarm of screeching, mischievous monkeys. The swarm understands and obeys your commands and has the statistics of a monkey swarm (Bestiary 2 212).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t>
  </si>
  <si>
    <t>&lt;p&gt;You summon a swarm of screeching, mischievous monkeys. The swarm understands and obeys your commands and has the statistics of a monkey swarm (&lt;i&gt;Bestiary 2&lt;/i&gt;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object.&lt;/p&gt;</t>
  </si>
  <si>
    <t>&lt;link rel="stylesheet"href="PF.css"&gt;&lt;div class="heading"&gt;&lt;p class="alignleft"&gt;Mad Monkeys&lt;/p&gt;&lt;div style="clear: both;"&gt;&lt;/div&gt;&lt;/div&gt;&lt;div&gt;&lt;h5&gt;&lt;b&gt;School &lt;/b&gt;conjuration (summoning); &lt;b&gt;Level &lt;/b&gt;bard 3, druid 3, sorcerer/wizard 3, summoner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&lt;/b&gt;swarm of monkeys&lt;/h5&gt;&lt;h5&gt;&lt;b&gt;Duration &lt;/b&gt;1 round/level&lt;/h5&gt;&lt;h5&gt;&lt;b&gt;Saving Throw &lt;/b&gt;none; &lt;b&gt;Spell Resistance &lt;/b&gt;no&lt;/h5&gt;&lt;/div&gt;&lt;hr/&gt;&lt;div&gt;&lt;h5&gt;&lt;b&gt;DESCRIPTION&lt;/b&gt;&lt;/h5&gt;&lt;/div&gt;&lt;hr/&gt;&lt;div&gt;&lt;h4&gt;&lt;p&gt;You summon a swarm of screeching, mischievous monkeys. The swarm understands and obeys your commands and has the statistics of a monkey swarm (&lt;i&gt;Bestiary 2&lt;/i&gt;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object.&lt;/p&gt;&lt;/h4&gt;&lt;/div&gt;</t>
  </si>
  <si>
    <t>Summon a swarm of mischievous monkeys.</t>
  </si>
  <si>
    <t>Malfunction</t>
  </si>
  <si>
    <t>transformation</t>
  </si>
  <si>
    <t>sorcerer/wizard 4, occultist 4</t>
  </si>
  <si>
    <t>This functions as confusion, except it only affects constructs, and instead of babbling incoherently, the construct takes no actions on its turn (but may still make attacks of opportunity).</t>
  </si>
  <si>
    <t>&lt;p&gt;This functions as &lt;i&gt;confusion&lt;/i&gt;, except it only affects constructs, and instead of babbling incoherently, the construct takes no actions on its turn (but may still make attacks of opportunity).&lt;/p&gt;</t>
  </si>
  <si>
    <t>&lt;link rel="stylesheet"href="PF.css"&gt;&lt;div class="heading"&gt;&lt;p class="alignleft"&gt;Malfunction&lt;/p&gt;&lt;div style="clear: both;"&gt;&lt;/div&gt;&lt;/div&gt;&lt;div&gt;&lt;h5&gt;&lt;b&gt;School &lt;/b&gt;transformation; &lt;b&gt;Level &lt;/b&gt;sorcerer/wizard 4, occultist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&lt;/b&gt;one construct&lt;/h5&gt;&lt;h5&gt;&lt;b&gt;Duration &lt;/b&gt;1 round/level (D)&lt;/h5&gt;&lt;h5&gt;&lt;b&gt;Saving Throw &lt;/b&gt;Fortitude negates; &lt;b&gt;Spell Resistance &lt;/b&gt;yes&lt;/h5&gt;&lt;/div&gt;&lt;hr/&gt;&lt;div&gt;&lt;h5&gt;&lt;b&gt;DESCRIPTION&lt;/b&gt;&lt;/h5&gt;&lt;/div&gt;&lt;hr/&gt;&lt;div&gt;&lt;h4&gt;&lt;p&gt;This functions as &lt;i&gt;confusion&lt;/i&gt;, except it only affects constructs, and instead of babbling incoherently, the construct takes no actions on its turn (but may still make attacks of opportunity).&lt;/p&gt;&lt;/h4&gt;&lt;/div&gt;</t>
  </si>
  <si>
    <t>Construct behaves oddly for 1 round/level.</t>
  </si>
  <si>
    <t>Malicious Spite</t>
  </si>
  <si>
    <t>bard 3, sorcerer/wizard 4, psychic 4, mesmerist 3</t>
  </si>
  <si>
    <t>V, S, M (powdered turquoise worth 150 gp)</t>
  </si>
  <si>
    <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  The enchanted target remains within its financial and ethical means when acting against the second individual, though the malice toward this other person pushes the target to the limit of what it would do to a hated individual.  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  When the spell ends, the target remembers the spiteful behavior, but not the motivation for it.</t>
  </si>
  <si>
    <t>&lt;p&gt;You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indirect.&lt;/p&gt;&lt;p&gt;The enchanted target remains within its financial and ethical means when acting against the second individual, though the malice toward this other person pushes the target to the limit of what it would do to a hated individual.&lt;/p&gt;&lt;p&gt;Each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target.&lt;/p&gt;&lt;p&gt;When the spell ends, the target remembers the spiteful behavior, but not the motivation for it.&lt;/p&gt;</t>
  </si>
  <si>
    <t>&lt;link rel="stylesheet"href="PF.css"&gt;&lt;div class="heading"&gt;&lt;p class="alignleft"&gt;Malicious Spite&lt;/p&gt;&lt;div style="clear: both;"&gt;&lt;/div&gt;&lt;/div&gt;&lt;div&gt;&lt;h5&gt;&lt;b&gt;School &lt;/b&gt;enchantment (compulsion) [emotion, mind-affecting]; &lt;b&gt;Level &lt;/b&gt;bard 3, sorcerer/wizard 4, psychic 4, mesmerist 3&lt;/h5&gt;&lt;/div&gt;&lt;hr/&gt;&lt;div&gt;&lt;h5&gt;&lt;b&gt;CASTING&lt;/b&gt;&lt;/h5&gt;&lt;/div&gt;&lt;hr/&gt;&lt;div&gt;&lt;h5&gt;&lt;b&gt;Casting Time &lt;/b&gt;1 standard action&lt;/h5&gt;&lt;h5&gt;&lt;b&gt;Components &lt;/b&gt;V, S, M (powdered turquoise worth 150 gp)&lt;/h5&gt;&lt;/div&gt;&lt;hr/&gt;&lt;div&gt;&lt;h5&gt;&lt;b&gt;EFFECT&lt;/b&gt;&lt;/h5&gt;&lt;/div&gt;&lt;hr/&gt;&lt;div&gt;&lt;h5&gt;&lt;b&gt;Range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indirect.&lt;/p&gt;&lt;p&gt;The enchanted target remains within its financial and ethical means when acting against the second individual, though the malice toward this other person pushes the target to the limit of what it would do to a hated individual.&lt;/p&gt;&lt;p&gt;Each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target.&lt;/p&gt;&lt;p&gt;When the spell ends, the target remembers the spiteful behavior, but not the motivation for it.&lt;/p&gt;&lt;/h4&gt;&lt;/div&gt;</t>
  </si>
  <si>
    <t>Target is compelled to plot against another.</t>
  </si>
  <si>
    <t>Marionette Possession</t>
  </si>
  <si>
    <t>alchemist 3, sorcerer/wizard 3, summoner 3, witch 3, psychic 3, mesmerist 3</t>
  </si>
  <si>
    <t>V, S, F (a piece of paper with the target's name)</t>
  </si>
  <si>
    <t>one willing creature</t>
  </si>
  <si>
    <t>10 minutes/level or until you return to your body</t>
  </si>
  <si>
    <t>You project your soul out of your body and into the body of a willing creature. This possession is blocked by protection from evil or a similar ward. The target's soul shares its body with you; it is helpless but can still use its senses. You and the target's soul can communicate telepathically as if using a common language.  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  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t>
  </si>
  <si>
    <t>&lt;p&gt;You project your soul out of your body and into the body of a willing creature. This possession is blocked by &lt;i&gt;protection from evil&lt;/i&gt; or a similar ward. The target's soul shares its body with you; it is helpless but can still use its senses. You and the target's soul can communicate telepathically as if using a common language.&lt;/p&gt;&lt;p&gt;You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abilities.&lt;/p&gt;&lt;p&gt;As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slain.&lt;/p&gt;</t>
  </si>
  <si>
    <t>&lt;link rel="stylesheet"href="PF.css"&gt;&lt;div class="heading"&gt;&lt;p class="alignleft"&gt;Marionette Possession&lt;/p&gt;&lt;div style="clear: both;"&gt;&lt;/div&gt;&lt;/div&gt;&lt;div&gt;&lt;h5&gt;&lt;b&gt;School &lt;/b&gt;necromancy; &lt;b&gt;Level &lt;/b&gt;alchemist 3, sorcerer/wizard 3, summoner 3, witch 3, psychic 3, mesmerist 3&lt;/h5&gt;&lt;/div&gt;&lt;hr/&gt;&lt;div&gt;&lt;h5&gt;&lt;b&gt;CASTING&lt;/b&gt;&lt;/h5&gt;&lt;/div&gt;&lt;hr/&gt;&lt;div&gt;&lt;h5&gt;&lt;b&gt;Casting Time &lt;/b&gt;1 standard action&lt;/h5&gt;&lt;h5&gt;&lt;b&gt;Components &lt;/b&gt;V, S, F (a piece of paper with the target's name)&lt;/h5&gt;&lt;/div&gt;&lt;hr/&gt;&lt;div&gt;&lt;h5&gt;&lt;b&gt;EFFECT&lt;/b&gt;&lt;/h5&gt;&lt;/div&gt;&lt;hr/&gt;&lt;div&gt;&lt;h5&gt;&lt;b&gt;Range &lt;/b&gt;medium (100 ft. + 10 ft./level)&lt;/h5&gt;&lt;h5&gt;&lt;b&gt;Targets &lt;/b&gt;one willing creature&lt;/h5&gt;&lt;h5&gt;&lt;b&gt;Duration &lt;/b&gt;10 minutes/level or until you return to your body&lt;/h5&gt;&lt;h5&gt;&lt;b&gt;Saving Throw &lt;/b&gt;Will negates (see text); &lt;b&gt;Spell Resistance &lt;/b&gt;yes&lt;/h5&gt;&lt;/div&gt;&lt;hr/&gt;&lt;div&gt;&lt;h5&gt;&lt;b&gt;DESCRIPTION&lt;/b&gt;&lt;/h5&gt;&lt;/div&gt;&lt;hr/&gt;&lt;div&gt;&lt;h4&gt;&lt;p&gt;You project your soul out of your body and into the body of a willing creature. This possession is blocked by &lt;i&gt;protection from evil&lt;/i&gt; or a similar ward. The target's soul shares its body with you; it is helpless but can still use its senses. You and the target's soul can communicate telepathically as if using a common language.&lt;/p&gt;&lt;p&gt;You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abilities.&lt;/p&gt;&lt;p&gt;As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slain.&lt;/p&gt;&lt;/h4&gt;&lt;/div&gt;</t>
  </si>
  <si>
    <t>As magic jar, but limited to line of sight.</t>
  </si>
  <si>
    <t>Masterwork Transformation</t>
  </si>
  <si>
    <t>bard 2, cleric/oracle 2, druid 2, sorcerer/wizard 2, witch 2, occultist 2</t>
  </si>
  <si>
    <t>V, S, M (see below)</t>
  </si>
  <si>
    <t>one weapon, suit of armor, shield, tool, or skill kit touched</t>
  </si>
  <si>
    <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  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t>
  </si>
  <si>
    <t>&lt;p&gt;You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quality.&lt;/p&gt;&lt;p&gt;The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option).&lt;/p&gt;</t>
  </si>
  <si>
    <t>&lt;link rel="stylesheet"href="PF.css"&gt;&lt;div class="heading"&gt;&lt;p class="alignleft"&gt;Masterwork Transformation&lt;/p&gt;&lt;div style="clear: both;"&gt;&lt;/div&gt;&lt;/div&gt;&lt;div&gt;&lt;h5&gt;&lt;b&gt;School &lt;/b&gt;transmutation; &lt;b&gt;Level &lt;/b&gt;bard 2, cleric/oracle 2, druid 2, sorcerer/wizard 2, witch 2, occultist 2&lt;/h5&gt;&lt;/div&gt;&lt;hr/&gt;&lt;div&gt;&lt;h5&gt;&lt;b&gt;CASTING&lt;/b&gt;&lt;/h5&gt;&lt;/div&gt;&lt;hr/&gt;&lt;div&gt;&lt;h5&gt;&lt;b&gt;Casting Time &lt;/b&gt;1 hour&lt;/h5&gt;&lt;h5&gt;&lt;b&gt;Components &lt;/b&gt;V, S, M (see below)&lt;/h5&gt;&lt;/div&gt;&lt;hr/&gt;&lt;div&gt;&lt;h5&gt;&lt;b&gt;EFFECT&lt;/b&gt;&lt;/h5&gt;&lt;/div&gt;&lt;hr/&gt;&lt;div&gt;&lt;h5&gt;&lt;b&gt;Range &lt;/b&gt;touch&lt;/h5&gt;&lt;h5&gt;&lt;b&gt;Targets &lt;/b&gt;one weapon, suit of armor, shield, tool, or skill kit touched&lt;/h5&gt;&lt;h5&gt;&lt;b&gt;Duration &lt;/b&gt;instantaneous&lt;/h5&gt;&lt;h5&gt;&lt;b&gt;Saving Throw &lt;/b&gt;none; &lt;b&gt;Spell Resistance &lt;/b&gt;no&lt;/h5&gt;&lt;/div&gt;&lt;hr/&gt;&lt;div&gt;&lt;h5&gt;&lt;b&gt;DESCRIPTION&lt;/b&gt;&lt;/h5&gt;&lt;/div&gt;&lt;hr/&gt;&lt;div&gt;&lt;h4&gt;&lt;p&gt;You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quality.&lt;/p&gt;&lt;p&gt;The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option).&lt;/p&gt;&lt;/h4&gt;&lt;/div&gt;</t>
  </si>
  <si>
    <t>Greed (2)</t>
  </si>
  <si>
    <t>Make a normal item into a masterwork one.</t>
  </si>
  <si>
    <t>Miserable Pity</t>
  </si>
  <si>
    <t>1 round/level and 1 minute; see text</t>
  </si>
  <si>
    <t>This spell functions as sanctuary,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t>
  </si>
  <si>
    <t>&lt;p&gt;This spell functions as &lt;i&gt;sanctuary&lt;/i&gt;,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minute.&lt;/p&gt;</t>
  </si>
  <si>
    <t>&lt;link rel="stylesheet"href="PF.css"&gt;&lt;div class="heading"&gt;&lt;p class="alignleft"&gt;Miserable Pity&lt;/p&gt;&lt;div style="clear: both;"&gt;&lt;/div&gt;&lt;/div&gt;&lt;div&gt;&lt;h5&gt;&lt;b&gt;School &lt;/b&gt;abjuration [emotion, mind-affecting];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and 1 minute; see text&lt;/h5&gt;&lt;h5&gt;&lt;b&gt;Saving Throw &lt;/b&gt;Will negates (see text); &lt;b&gt;Spell Resistance &lt;/b&gt;yes&lt;/h5&gt;&lt;/div&gt;&lt;hr/&gt;&lt;div&gt;&lt;h5&gt;&lt;b&gt;DESCRIPTION&lt;/b&gt;&lt;/h5&gt;&lt;/div&gt;&lt;hr/&gt;&lt;div&gt;&lt;h4&gt;&lt;p&gt;This spell functions as &lt;i&gt;sanctuary&lt;/i&gt;,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minute.&lt;/p&gt;&lt;/h4&gt;&lt;/div&gt;</t>
  </si>
  <si>
    <t>Opponents cannot attack a pathetic creature.</t>
  </si>
  <si>
    <t>Monstrous Physique I</t>
  </si>
  <si>
    <t>alchemist 3, magus 3, sorcerer/wizard 3, bloodrager 3</t>
  </si>
  <si>
    <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Small monstrous humanoid: If the form you take is that of a Small monstrous humanoid, you gain a +2 size bonus to your Dexterity and a +1 natural armor bonus.  Medium monstrous humanoid: If the form you take is that of a Medium monstrous humanoid, you gain a +2 size bonus to your Strength and a +2 natural armor bonus.</t>
  </si>
  <si>
    <t>&lt;p&gt;When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&lt;br&gt;&lt;i&gt;Small monstrous humanoid&lt;/i&gt;: If the form you take is that of a &lt;i&gt;Small monstrous humanoid&lt;/i&gt;, you gain a +2 size bonus to your Dexterity and a +1 natural armor bonus.  &lt;br&gt;&lt;i&gt;Medium monstrous humanoid&lt;/i&gt;: If the form you take is that of a &lt;i&gt;Medium monstrous humanoid&lt;/i&gt;, you gain a +2 size bonus to your Strength and a +2 natural armor bonus.&lt;/p&gt;</t>
  </si>
  <si>
    <t>&lt;link rel="stylesheet"href="PF.css"&gt;&lt;div class="heading"&gt;&lt;p class="alignleft"&gt;Monstrous Physique I&lt;/p&gt;&lt;div style="clear: both;"&gt;&lt;/div&gt;&lt;/div&gt;&lt;div&gt;&lt;h5&gt;&lt;b&gt;School &lt;/b&gt;transmutation (polymorph); &lt;b&gt;Level &lt;/b&gt;alchemist 3, magus 3, sorcerer/wizard 3, bloodrager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&lt;br&gt;&lt;i&gt;Small monstrous humanoid&lt;/i&gt;: If the form you take is that of a &lt;i&gt;Small monstrous humanoid&lt;/i&gt;, you gain a +2 size bonus to your Dexterity and a +1 natural armor bonus.  &lt;br&gt;&lt;i&gt;Medium monstrous humanoid&lt;/i&gt;: If the form you take is that of a &lt;i&gt;Medium monstrous humanoid&lt;/i&gt;, you gain a +2 size bonus to your Strength and a +2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</si>
  <si>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Small or Medium monstrous humanoid.</t>
  </si>
  <si>
    <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t>
  </si>
  <si>
    <t>Augmented (4th): If you expend two uses of mythic power, the ability score bonuses increase by an additional 2. Additionally, you can cast this spell on other willing creatures, changing the range to touch and the target to one creature per tier.</t>
  </si>
  <si>
    <t>Monstrous Physique II</t>
  </si>
  <si>
    <t>alchemist 4, magus 4, sorcerer/wizard 4, bloodrager 4</t>
  </si>
  <si>
    <t>This spell functions as monstrous physique I,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Tiny monstrous humanoid: If the form you take is that of a Tiny monstrous humanoid, you gain a +4 size bonus to your Dexterity, a -2 penalty to your Strength, and a +1 natural armor bonus.  Large monstrous humanoid: If the form you take is that of a Large monstrous humanoid, you gain a +4 size bonus to your Strength, a -2 penalty to your Dexterity, and a +4 natural armor bonus.</t>
  </si>
  <si>
    <t>&lt;p&gt;This spell functions as &lt;i&gt;&lt;i&gt;monstrous physique&lt;/i&gt; I&lt;/i&gt;,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&lt;i&gt;Tiny monstrous humanoid&lt;/i&gt;: If the form you take is that of a &lt;br&gt;&lt;i&gt;Tiny monstrous humanoid&lt;/i&gt;, you gain a +4 size bonus to your Dexterity, a -2 penalty to your Strength, and a +1 natural armor bonus.  &lt;br&gt;&lt;i&gt;Large monstrous humanoid&lt;/i&gt;: If the form you take is that of a &lt;i&gt;Large monstrous humanoid&lt;/i&gt;, you gain a +4 size bonus to your Strength, a -2 penalty to your Dexterity, and a +4 natural armor bonus.&lt;/p&gt;</t>
  </si>
  <si>
    <t>&lt;link rel="stylesheet"href="PF.css"&gt;&lt;div class="heading"&gt;&lt;p class="alignleft"&gt;Monstrous Physique II&lt;/p&gt;&lt;div style="clear: both;"&gt;&lt;/div&gt;&lt;/div&gt;&lt;div&gt;&lt;h5&gt;&lt;b&gt;School &lt;/b&gt;transmutation (polymorph); &lt;b&gt;Level &lt;/b&gt;alchemist 4, magus 4, sorcerer/wizard 4, bloodrager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I&lt;/i&gt;,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&lt;br&gt;&lt;i&gt;Tiny monstrous humanoid&lt;/i&gt;: If the form you take is that of a &lt;i&gt;Tiny monstrous humanoid&lt;/i&gt;, you gain a +4 size bonus to your Dexterity, a -2 penalty to your Strength, and a +1 natural armor bonus.  &lt;br&gt;&lt;i&gt;Large monstrous humanoid&lt;/i&gt;: If the form you take is that of a &lt;i&gt;Large monstrous humanoid&lt;/i&gt;, you gain a +4 size bonus to your Strength, a -2 penalty to your Dexterity, and a +4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</si>
  <si>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Tiny or Large monstrous humanoid.</t>
  </si>
  <si>
    <t>Monstrous Physique III</t>
  </si>
  <si>
    <t>alchemist 5, magus 5, sorcerer/wizard 5</t>
  </si>
  <si>
    <t>This spell functions as monstrous physique II,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Diminutive monstrous humanoid: If the form you take is that of a Diminutive monstrous humanoid, you gain a +6 size bonus to your Dexterity, a -4 penalty to your Strength, and a +1 natural armor bonus.  Huge monstrous humanoid: If the form you take is that of a Huge monstrous humanoid, you gain a +6 size bonus to your Strength, a -4 penalty to your Dexterity, and a +6 natural armor bonus.</t>
  </si>
  <si>
    <t>&lt;p&gt;This spell functions as &lt;i&gt;&lt;i&gt;monstrous physique&lt;/i&gt; II&lt;/i&gt;,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&lt;br&gt;&lt;i&gt;Diminutive monstrous humanoid&lt;/i&gt;: If the form you take is that of a &lt;i&gt;Diminutive monstrous humanoid&lt;/i&gt;, you gain a +6 size bonus to your Dexterity, a -4 penalty to your Strength, and a +1 natural armor bonus.  &lt;br&gt;&lt;i&gt;Huge monstrous humanoid&lt;/i&gt;: If the form you take is that of a &lt;i&gt;Huge monstrous humanoid&lt;/i&gt;, you gain a +6 size bonus to your Strength, a -4 penalty to your Dexterity, and a +6 natural armor bonus.&lt;/p&gt;</t>
  </si>
  <si>
    <t>&lt;link rel="stylesheet"href="PF.css"&gt;&lt;div class="heading"&gt;&lt;p class="alignleft"&gt;Monstrous Physique III&lt;/p&gt;&lt;div style="clear: both;"&gt;&lt;/div&gt;&lt;/div&gt;&lt;div&gt;&lt;h5&gt;&lt;b&gt;School &lt;/b&gt;transmutation (polymorph); &lt;b&gt;Level &lt;/b&gt;alchemist 5, magus 5, sorcerer/wizard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II&lt;/i&gt;,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&lt;br&gt;&lt;i&gt;Diminutive monstrous humanoid&lt;/i&gt;: If the form you take is that of a &lt;i&gt;Diminutive monstrous humanoid&lt;/i&gt;, you gain a +6 size bonus to your Dexterity, a -4 penalty to your Strength, and a +1 natural armor bonus.  &lt;br&gt;&lt;i&gt;Huge monstrous humanoid&lt;/i&gt;: If the form you take is that of a &lt;i&gt;Huge monstrous humanoid&lt;/i&gt;, you gain a +6 size bonus to your Strength, a -4 penalty to your Dexterity, and a +6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</si>
  <si>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Diminutive or Huge monstrous humanoid.</t>
  </si>
  <si>
    <t>Monstrous Physique IV</t>
  </si>
  <si>
    <t>alchemist 6, magus 6, sorcerer/wizard 6</t>
  </si>
  <si>
    <t>This spell functions as monstrous physique III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t>
  </si>
  <si>
    <t>&lt;p&gt;This spell functions as &lt;i&gt;&lt;i&gt;monstrous physique&lt;/i&gt; III&lt;/i&gt;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poison.&lt;/p&gt;</t>
  </si>
  <si>
    <t>&lt;link rel="stylesheet"href="PF.css"&gt;&lt;div class="heading"&gt;&lt;p class="alignleft"&gt;Monstrous Physique IV&lt;/p&gt;&lt;div style="clear: both;"&gt;&lt;/div&gt;&lt;/div&gt;&lt;div&gt;&lt;h5&gt;&lt;b&gt;School &lt;/b&gt;transmutation (polymorph); &lt;b&gt;Level &lt;/b&gt;alchemist 6, magus 6, sorcerer/wizard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III&lt;/i&gt;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</si>
  <si>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As monstrous physique III, with more abilities.</t>
  </si>
  <si>
    <t>Murderous Command</t>
  </si>
  <si>
    <t>antipaladin 1, cleric/oracle 1, occultist 1, psychic 1, mesmerist 1</t>
  </si>
  <si>
    <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t>
  </si>
  <si>
    <t>&lt;p&gt;You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ally.&lt;/p&gt;</t>
  </si>
  <si>
    <t>&lt;link rel="stylesheet"href="PF.css"&gt;&lt;div class="heading"&gt;&lt;p class="alignleft"&gt;Murderous Command&lt;/p&gt;&lt;div style="clear: both;"&gt;&lt;/div&gt;&lt;/div&gt;&lt;div&gt;&lt;h5&gt;&lt;b&gt;School &lt;/b&gt;enchantment (compulsion) [mind-affecting]; &lt;b&gt;Level &lt;/b&gt;antipaladin 1, cleric/oracle 1, occultist 1, psychic 1, mesmerist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ally.&lt;/p&gt;&lt;/h4&gt;&lt;h5&gt;&lt;b&gt;Mythic: &lt;/b&gt;This spell lasts for a number of rounds equal to your tier. Each round after the first, the target can attempt a new saving throw at the beginning of its turn to break free of the spell.&lt;/h5&gt;&lt;h5&gt;&lt;b&gt;Augmented&lt;/b&gt;: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rolls.&lt;/h5&gt;&lt;/div&gt;</t>
  </si>
  <si>
    <t>Hatred (1)</t>
  </si>
  <si>
    <t>Target is compelled to kill its ally.</t>
  </si>
  <si>
    <t>This spell lasts for a number of rounds equal to your tier. Each round after the first, the target can attempt a new saving throw at the beginning of its turn to break free of the spell.</t>
  </si>
  <si>
    <t>Augmented: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t>
  </si>
  <si>
    <t>Oppressive Boredom</t>
  </si>
  <si>
    <t>1 round/level or until broken (see text)</t>
  </si>
  <si>
    <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t>
  </si>
  <si>
    <t>&lt;p&gt;You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save.&lt;/p&gt;</t>
  </si>
  <si>
    <t>&lt;link rel="stylesheet"href="PF.css"&gt;&lt;div class="heading"&gt;&lt;p class="alignleft"&gt;Oppressive Boredom&lt;/p&gt;&lt;div style="clear: both;"&gt;&lt;/div&gt;&lt;/div&gt;&lt;div&gt;&lt;h5&gt;&lt;b&gt;School &lt;/b&gt;enchantment (compulsion) [emotion, mind-affecting]; &lt;b&gt;Level &lt;/b&gt;bard 2, sorcerer/wizard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 or until broken (see text)&lt;/h5&gt;&lt;h5&gt;&lt;b&gt;Saving Throw &lt;/b&gt;Will negates (see text); &lt;b&gt;Spell Resistance &lt;/b&gt;yes&lt;/h5&gt;&lt;/div&gt;&lt;hr/&gt;&lt;div&gt;&lt;h5&gt;&lt;b&gt;DESCRIPTION&lt;/b&gt;&lt;/h5&gt;&lt;/div&gt;&lt;hr/&gt;&lt;div&gt;&lt;h4&gt;&lt;p&gt;You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save.&lt;/p&gt;&lt;/h4&gt;&lt;/div&gt;</t>
  </si>
  <si>
    <t>Target loses its next action.</t>
  </si>
  <si>
    <t>Oracle's Vessel</t>
  </si>
  <si>
    <t>oracle 4</t>
  </si>
  <si>
    <t>The target gains all the benefits of your oracle's curse, with none of the penalties. In some cases, this has no effect (for example, a fighter with your haunted curse can't cast spells and doesn't gain any benefit from having additional spells known).</t>
  </si>
  <si>
    <t>&lt;p&gt;The target gains all the benefits of your oracle's curse, with none of the penalties. In some cases, this has no effect (for example, a fighter with your haunted curse can't cast spells and doesn't gain any benefit from having additional spells known).&lt;/p&gt;</t>
  </si>
  <si>
    <t>&lt;link rel="stylesheet"href="PF.css"&gt;&lt;div class="heading"&gt;&lt;p class="alignleft"&gt;Oracle's Vessel&lt;/p&gt;&lt;div style="clear: both;"&gt;&lt;/div&gt;&lt;/div&gt;&lt;div&gt;&lt;h5&gt;&lt;b&gt;School &lt;/b&gt;transmutation; &lt;b&gt;Level &lt;/b&gt;oracle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(harmless)&lt;/h5&gt;&lt;/div&gt;&lt;hr/&gt;&lt;div&gt;&lt;h5&gt;&lt;b&gt;DESCRIPTION&lt;/b&gt;&lt;/h5&gt;&lt;/div&gt;&lt;hr/&gt;&lt;div&gt;&lt;h4&gt;&lt;p&gt;The target gains all the benefits of your oracle's curse, with none of the penalties. In some cases, this has no effect (for example, a fighter with your haunted curse can't cast spells and doesn't gain any benefit from having additional spells known).&lt;/p&gt;&lt;/h4&gt;&lt;/div&gt;</t>
  </si>
  <si>
    <t>Oracle only. Target gains the benefits of your oracle's curse.</t>
  </si>
  <si>
    <t>Orb Of The Void</t>
  </si>
  <si>
    <t>cleric/oracle 8, sorcerer/wizard 8, psychic 8</t>
  </si>
  <si>
    <t>V, S, M (a black gemstone of any kind worth 50 gp)</t>
  </si>
  <si>
    <t>1-ft.-diameter sphere</t>
  </si>
  <si>
    <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t>
  </si>
  <si>
    <t>&lt;p&gt;You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hour.&lt;/p&gt;</t>
  </si>
  <si>
    <t>&lt;link rel="stylesheet"href="PF.css"&gt;&lt;div class="heading"&gt;&lt;p class="alignleft"&gt;Orb Of The Void&lt;/p&gt;&lt;div style="clear: both;"&gt;&lt;/div&gt;&lt;/div&gt;&lt;div&gt;&lt;h5&gt;&lt;b&gt;School &lt;/b&gt;necromancy; &lt;b&gt;Level &lt;/b&gt;cleric/oracle 8, sorcerer/wizard 8, psychic 8&lt;/h5&gt;&lt;/div&gt;&lt;hr/&gt;&lt;div&gt;&lt;h5&gt;&lt;b&gt;CASTING&lt;/b&gt;&lt;/h5&gt;&lt;/div&gt;&lt;hr/&gt;&lt;div&gt;&lt;h5&gt;&lt;b&gt;Casting Time &lt;/b&gt;1 standard action&lt;/h5&gt;&lt;h5&gt;&lt;b&gt;Components &lt;/b&gt;V, S, M (a black gemstone of any kind worth 50 gp)&lt;/h5&gt;&lt;/div&gt;&lt;hr/&gt;&lt;div&gt;&lt;h5&gt;&lt;b&gt;EFFECT&lt;/b&gt;&lt;/h5&gt;&lt;/div&gt;&lt;hr/&gt;&lt;div&gt;&lt;h5&gt;&lt;b&gt;Range &lt;/b&gt;close (25 ft. + 5 ft./2 levels)&lt;/h5&gt;&lt;h5&gt;&lt;b&gt;Effect &lt;/b&gt;1-ft.-diameter sphere&lt;/h5&gt;&lt;h5&gt;&lt;b&gt;Duration &lt;/b&gt;1 round/level (D)&lt;/h5&gt;&lt;h5&gt;&lt;b&gt;Saving Throw &lt;/b&gt;Fortitude negates; &lt;b&gt;Spell Resistance &lt;/b&gt;yes&lt;/h5&gt;&lt;/div&gt;&lt;hr/&gt;&lt;div&gt;&lt;h5&gt;&lt;b&gt;DESCRIPTION&lt;/b&gt;&lt;/h5&gt;&lt;/div&gt;&lt;hr/&gt;&lt;div&gt;&lt;h4&gt;&lt;p&gt;You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hour.&lt;/p&gt;&lt;/h4&gt;&lt;h5&gt;&lt;b&gt;Mythic: &lt;/b&gt;A creature that fails its save against the orb gains 2 negative levels rather than 1. A successful Fortitude save reduces this to 1 negative level.&lt;/h5&gt;&lt;h5&gt;&lt;b&gt;Augmented (6th)&lt;/b&gt;: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 per round, even if the orb moves through its space more than once.&lt;/h5&gt;&lt;/div&gt;</t>
  </si>
  <si>
    <t>Sphere inflicts negative levels.</t>
  </si>
  <si>
    <t>A creature that fails its save against the orb gains 2 negative levels rather than 1. A successful Fortitude save reduces this to 1 negative level.</t>
  </si>
  <si>
    <t>Augmented (6th):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 per round, even if the orb moves through its space more than once.</t>
  </si>
  <si>
    <t>Overwhelming Grief</t>
  </si>
  <si>
    <t>You cause a single opponent to become profoundly stricken with intense grief. He can take no actions, takes a -2 penalty to Armor Class, and loses his Dexterity bonus (if any). He can attempt a new save each round to break the spell's effect.</t>
  </si>
  <si>
    <t>&lt;p&gt;You cause a single opponent to become profoundly stricken with intense grief. He can take no actions, takes a -2 penalty to Armor Class, and loses his Dexterity bonus (if any). He can attempt a new save each round to break the spell's effect.&lt;/p&gt;</t>
  </si>
  <si>
    <t>&lt;link rel="stylesheet"href="PF.css"&gt;&lt;div class="heading"&gt;&lt;p class="alignleft"&gt;Overwhelming Grief&lt;/p&gt;&lt;div style="clear: both;"&gt;&lt;/div&gt;&lt;/div&gt;&lt;div&gt;&lt;h5&gt;&lt;b&gt;School &lt;/b&gt;enchantment (compulsion) [emotion, mind-affecting]; &lt;b&gt;Level &lt;/b&gt;bard 3, sorcerer/wizard 4,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(see text); &lt;b&gt;Spell Resistance &lt;/b&gt;yes&lt;/h5&gt;&lt;/div&gt;&lt;hr/&gt;&lt;div&gt;&lt;h5&gt;&lt;b&gt;DESCRIPTION&lt;/b&gt;&lt;/h5&gt;&lt;/div&gt;&lt;hr/&gt;&lt;div&gt;&lt;h4&gt;&lt;p&gt;You cause a single opponent to become profoundly stricken with intense grief. He can take no actions, takes a -2 penalty to Armor Class, and loses his Dexterity bonus (if any). He can attempt a new save each round to break the spell's effect.&lt;/p&gt;&lt;/h4&gt;&lt;/div&gt;</t>
  </si>
  <si>
    <t>Grieving target can take no actions and is denied its Dex bonus.</t>
  </si>
  <si>
    <t>Enchantment (8)</t>
  </si>
  <si>
    <t>Overwhelming Presence</t>
  </si>
  <si>
    <t>bard 6, cleric/oracle 9, inquisitor 6, sorcerer/wizard 9, psychic 4, mesmerist 6</t>
  </si>
  <si>
    <t>V, S, M (a swan feather)</t>
  </si>
  <si>
    <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  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t>
  </si>
  <si>
    <t>&lt;p&gt;Your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spell.&lt;/p&gt;&lt;p&gt;Each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round.&lt;/p&gt;</t>
  </si>
  <si>
    <t>&lt;link rel="stylesheet"href="PF.css"&gt;&lt;div class="heading"&gt;&lt;p class="alignleft"&gt;Overwhelming Presence&lt;/p&gt;&lt;div style="clear: both;"&gt;&lt;/div&gt;&lt;/div&gt;&lt;div&gt;&lt;h5&gt;&lt;b&gt;School &lt;/b&gt;enchantment (compulsion) [emotion, mind-affecting]; &lt;b&gt;Level &lt;/b&gt;bard 6, cleric/oracle 9, inquisitor 6, sorcerer/wizard 9, psychic 4, mesmerist 6&lt;/h5&gt;&lt;/div&gt;&lt;hr/&gt;&lt;div&gt;&lt;h5&gt;&lt;b&gt;CASTING&lt;/b&gt;&lt;/h5&gt;&lt;/div&gt;&lt;hr/&gt;&lt;div&gt;&lt;h5&gt;&lt;b&gt;Casting Time &lt;/b&gt;1 standard action&lt;/h5&gt;&lt;h5&gt;&lt;b&gt;Components &lt;/b&gt;V, S, M (a swan feather)&lt;/h5&gt;&lt;/div&gt;&lt;hr/&gt;&lt;div&gt;&lt;h5&gt;&lt;b&gt;EFFECT&lt;/b&gt;&lt;/h5&gt;&lt;/div&gt;&lt;hr/&gt;&lt;div&gt;&lt;h5&gt;&lt;b&gt;Range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see text; &lt;b&gt;Spell Resistance &lt;/b&gt;yes&lt;/h5&gt;&lt;/div&gt;&lt;hr/&gt;&lt;div&gt;&lt;h5&gt;&lt;b&gt;DESCRIPTION&lt;/b&gt;&lt;/h5&gt;&lt;/div&gt;&lt;hr/&gt;&lt;div&gt;&lt;h4&gt;&lt;p&gt;Your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spell.&lt;/p&gt;&lt;p&gt;Each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round.&lt;/p&gt;&lt;/h4&gt;&lt;/div&gt;</t>
  </si>
  <si>
    <t>Aristocracy (9)</t>
  </si>
  <si>
    <t>Creatures bow before you as if you were divine.</t>
  </si>
  <si>
    <t>Imperious (19), Martyred (19)</t>
  </si>
  <si>
    <t>Insanity (18)</t>
  </si>
  <si>
    <t>Pernicious Poison</t>
  </si>
  <si>
    <t>antipaladin 2, druid 2, sorcerer/wizard 2, witch 2, occultist 2</t>
  </si>
  <si>
    <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t>
  </si>
  <si>
    <t>&lt;p&gt;You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penalty.&lt;/p&gt;</t>
  </si>
  <si>
    <t>&lt;link rel="stylesheet"href="PF.css"&gt;&lt;div class="heading"&gt;&lt;p class="alignleft"&gt;Pernicious Poison&lt;/p&gt;&lt;div style="clear: both;"&gt;&lt;/div&gt;&lt;/div&gt;&lt;div&gt;&lt;h5&gt;&lt;b&gt;School &lt;/b&gt;necromancy [poison]; &lt;b&gt;Level &lt;/b&gt;antipaladin 2, druid 2, sorcerer/wizard 2, witch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minute/level&lt;/h5&gt;&lt;h5&gt;&lt;b&gt;Saving Throw &lt;/b&gt;none; &lt;b&gt;Spell Resistance &lt;/b&gt;yes&lt;/h5&gt;&lt;/div&gt;&lt;hr/&gt;&lt;div&gt;&lt;h5&gt;&lt;b&gt;DESCRIPTION&lt;/b&gt;&lt;/h5&gt;&lt;/div&gt;&lt;hr/&gt;&lt;div&gt;&lt;h4&gt;&lt;p&gt;You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penalty.&lt;/p&gt;&lt;/h4&gt;&lt;h5&gt;&lt;b&gt;Mythic: &lt;/b&gt;The number of successful saving throws needed to cure a poison increases by one. If the poison deals ability damage on a failed saving throw, that ability damage increases by 1.&lt;/h5&gt;&lt;h5&gt;&lt;b&gt;Augmented (6th)&lt;/b&gt;: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score).&lt;/h5&gt;&lt;/div&gt;</t>
  </si>
  <si>
    <t>Venom (2)</t>
  </si>
  <si>
    <t>Target takes a –4 penalty against poison.</t>
  </si>
  <si>
    <t>The number of successful saving throws needed to cure a poison increases by one. If the poison deals ability damage on a failed saving throw, that ability damage increases by 1.</t>
  </si>
  <si>
    <t>Augmented (6th):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t>
  </si>
  <si>
    <t>Persuasive Goad</t>
  </si>
  <si>
    <t>instantaneous and 1 minute</t>
  </si>
  <si>
    <t>Your eyes flash and the target takes 1d6 points of nonlethal damage. For the next minute, you gain a +4 circumstance bonus on Intimidate checks against the target.</t>
  </si>
  <si>
    <t>&lt;p&gt;Your eyes flash and the target takes 1d6 points of nonlethal damage. For the next minute, you gain a +4 circumstance bonus on Intimidate checks against the target.&lt;/p&gt;</t>
  </si>
  <si>
    <t>&lt;link rel="stylesheet"href="PF.css"&gt;&lt;div class="heading"&gt;&lt;p class="alignleft"&gt;Persuasive Goad&lt;/p&gt;&lt;div style="clear: both;"&gt;&lt;/div&gt;&lt;/div&gt;&lt;div&gt;&lt;h5&gt;&lt;b&gt;School &lt;/b&gt;necromancy [pain]; &lt;b&gt;Level &lt;/b&gt;inquisitor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&lt;/b&gt;instantaneous and 1 minute&lt;/h5&gt;&lt;h5&gt;&lt;b&gt;Saving Throw &lt;/b&gt;Fortitude negates; &lt;b&gt;Spell Resistance &lt;/b&gt;yes&lt;/h5&gt;&lt;/div&gt;&lt;hr/&gt;&lt;div&gt;&lt;h5&gt;&lt;b&gt;DESCRIPTION&lt;/b&gt;&lt;/h5&gt;&lt;/div&gt;&lt;hr/&gt;&lt;div&gt;&lt;h4&gt;&lt;p&gt;Your eyes flash and the target takes 1d6 points of nonlethal damage. For the next minute, you gain a +4 circumstance bonus on Intimidate checks against the target.&lt;/p&gt;&lt;/h4&gt;&lt;/div&gt;</t>
  </si>
  <si>
    <t>Target takes 1d6 nonlethal damage; you gain an Intimidate bonus.</t>
  </si>
  <si>
    <t>Piercing Shriek</t>
  </si>
  <si>
    <t>pain, sonic</t>
  </si>
  <si>
    <t>bard 2, psychic 2</t>
  </si>
  <si>
    <t>medium (100 ft. + 10ft./level)</t>
  </si>
  <si>
    <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silence.</t>
  </si>
  <si>
    <t>&lt;p&gt;You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&lt;i&gt;silence&lt;/i&gt;.&lt;/p&gt;</t>
  </si>
  <si>
    <t>&lt;link rel="stylesheet"href="PF.css"&gt;&lt;div class="heading"&gt;&lt;p class="alignleft"&gt;Piercing Shriek&lt;/p&gt;&lt;div style="clear: both;"&gt;&lt;/div&gt;&lt;/div&gt;&lt;div&gt;&lt;h5&gt;&lt;b&gt;School &lt;/b&gt;evocation [pain, sonic]; &lt;b&gt;Level &lt;/b&gt;bard 2, psychic 2&lt;/h5&gt;&lt;/div&gt;&lt;hr/&gt;&lt;div&gt;&lt;h5&gt;&lt;b&gt;CASTING&lt;/b&gt;&lt;/h5&gt;&lt;/div&gt;&lt;hr/&gt;&lt;div&gt;&lt;h5&gt;&lt;b&gt;Casting Time &lt;/b&gt;1 standard action&lt;/h5&gt;&lt;h5&gt;&lt;b&gt;Components &lt;/b&gt;V&lt;/h5&gt;&lt;/div&gt;&lt;hr/&gt;&lt;div&gt;&lt;h5&gt;&lt;b&gt;EFFECT&lt;/b&gt;&lt;/h5&gt;&lt;/div&gt;&lt;hr/&gt;&lt;div&gt;&lt;h5&gt;&lt;b&gt;Range &lt;/b&gt;medium (100 ft. + 10ft./level)&lt;/h5&gt;&lt;h5&gt;&lt;b&gt;Targets &lt;/b&gt;one creature&lt;/h5&gt;&lt;h5&gt;&lt;b&gt;Duration &lt;/b&gt;1 round/level&lt;/h5&gt;&lt;h5&gt;&lt;b&gt;Saving Throw &lt;/b&gt;Fortitude negates; &lt;b&gt;Spell Resistance &lt;/b&gt;yes&lt;/h5&gt;&lt;/div&gt;&lt;hr/&gt;&lt;div&gt;&lt;h5&gt;&lt;b&gt;DESCRIPTION&lt;/b&gt;&lt;/h5&gt;&lt;/div&gt;&lt;hr/&gt;&lt;div&gt;&lt;h4&gt;&lt;p&gt;You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&lt;i&gt;silence&lt;/i&gt;.&lt;/p&gt;&lt;/h4&gt;&lt;/div&gt;</t>
  </si>
  <si>
    <t>Target is staggered by a painful sound.</t>
  </si>
  <si>
    <t>Plague Carrier</t>
  </si>
  <si>
    <t>cleric/oracle 4, druid 4, sorcerer/wizard 5, witch 5</t>
  </si>
  <si>
    <t>The target's natural attacks carry filth fever (DC 10 + 1/2 of the creature's Hit Dice + creature's Con modifier)</t>
  </si>
  <si>
    <t>&lt;p&gt;The target's natural attacks carry filth fever (DC 10 + 1/2 of the creature's Hit Dice + creature's Con modifier)&lt;/p&gt;</t>
  </si>
  <si>
    <t>&lt;link rel="stylesheet"href="PF.css"&gt;&lt;div class="heading"&gt;&lt;p class="alignleft"&gt;Plague Carrier&lt;/p&gt;&lt;div style="clear: both;"&gt;&lt;/div&gt;&lt;/div&gt;&lt;div&gt;&lt;h5&gt;&lt;b&gt;School &lt;/b&gt;necromancy [disease, evil]; &lt;b&gt;Level &lt;/b&gt;cleric/oracle 4, druid 4, sorcerer/wizard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&lt;/b&gt;yes&lt;/h5&gt;&lt;/div&gt;&lt;hr/&gt;&lt;div&gt;&lt;h5&gt;&lt;b&gt;DESCRIPTION&lt;/b&gt;&lt;/h5&gt;&lt;/div&gt;&lt;hr/&gt;&lt;div&gt;&lt;h4&gt;&lt;p&gt;The target's natural attacks carry filth fever (DC 10 + 1/2 of the creature's Hit Dice + creature's Con modifier)&lt;/p&gt;&lt;/h4&gt;&lt;/div&gt;</t>
  </si>
  <si>
    <t>Target's attacks carry filth fever.</t>
  </si>
  <si>
    <t>Plague Storm</t>
  </si>
  <si>
    <t>1 minute/level and instantaneous (see text)</t>
  </si>
  <si>
    <t>You create a hideous gray cloud, similar to fog cloud,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Core Rulebook.  Unlike a fog cloud, the plague storm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terrain, even pouring down den or sinkhole openings. The cloud cannot penetrate liquids, nor can it be cast underwater.</t>
  </si>
  <si>
    <t>&lt;p&gt;You create a hideous gray cloud, similar to &lt;i&gt;fog cloud&lt;/i&gt;,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&lt;i&gt;Core Rulebook&lt;/i&gt;.&lt;/p&gt;&lt;p&gt;Unlike a &lt;i&gt;fog cloud&lt;/i&gt;, the &lt;i&gt;plague storm&lt;/i&gt;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terrain, even pouring down den or sinkhole openings. The cloud cannot penetrate liquids, nor can it be cast underwater.&lt;/p&gt;</t>
  </si>
  <si>
    <t>&lt;link rel="stylesheet"href="PF.css"&gt;&lt;div class="heading"&gt;&lt;p class="alignleft"&gt;Plague Storm&lt;/p&gt;&lt;div style="clear: both;"&gt;&lt;/div&gt;&lt;/div&gt;&lt;div&gt;&lt;h5&gt;&lt;b&gt;School &lt;/b&gt;necromancy [disease, evil]; &lt;b&gt;Level &lt;/b&gt;cleric/oracle 6, druid 6, sorcerer/wizard 7,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minute/level and instantaneous (see text)&lt;/h5&gt;&lt;h5&gt;&lt;b&gt;Saving Throw &lt;/b&gt;Fortitude negates; &lt;b&gt;Spell Resistance &lt;/b&gt;no&lt;/h5&gt;&lt;/div&gt;&lt;hr/&gt;&lt;div&gt;&lt;h5&gt;&lt;b&gt;DESCRIPTION&lt;/b&gt;&lt;/h5&gt;&lt;/div&gt;&lt;hr/&gt;&lt;div&gt;&lt;h4&gt;&lt;p&gt;You create a hideous gray cloud, similar to &lt;i&gt;fog cloud&lt;/i&gt;,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&lt;i&gt;Core Rulebook&lt;/i&gt;.&lt;/p&gt;&lt;p&gt;Unlike a &lt;i&gt;fog cloud&lt;/i&gt;, the &lt;i&gt;plague storm&lt;/i&gt;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terrain, even pouring down den or sinkhole openings. The cloud cannot penetrate liquids, nor can it be cast underwater.&lt;/p&gt;&lt;/h4&gt;&lt;/div&gt;</t>
  </si>
  <si>
    <t>Cloud infects creatures like contagion.</t>
  </si>
  <si>
    <t>Play Instrument</t>
  </si>
  <si>
    <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t>
  </si>
  <si>
    <t>&lt;p&gt;You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music.&lt;/p&gt;</t>
  </si>
  <si>
    <t>&lt;link rel="stylesheet"href="PF.css"&gt;&lt;div class="heading"&gt;&lt;p class="alignleft"&gt;Play Instrument&lt;/p&gt;&lt;div style="clear: both;"&gt;&lt;/div&gt;&lt;/div&gt;&lt;div&gt;&lt;h5&gt;&lt;b&gt;School &lt;/b&gt;divination; &lt;b&gt;Level &lt;/b&gt;bard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minute/level&lt;/h5&gt;&lt;/div&gt;&lt;hr/&gt;&lt;div&gt;&lt;h5&gt;&lt;b&gt;DESCRIPTION&lt;/b&gt;&lt;/h5&gt;&lt;/div&gt;&lt;hr/&gt;&lt;div&gt;&lt;h4&gt;&lt;p&gt;You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music.&lt;/p&gt;&lt;/h4&gt;&lt;/div&gt;</t>
  </si>
  <si>
    <t>Play instrument as if you were skilled.</t>
  </si>
  <si>
    <t>Polar Midnight</t>
  </si>
  <si>
    <t>cold, darkness</t>
  </si>
  <si>
    <t>30-ft. spread</t>
  </si>
  <si>
    <t>You plunge an area into the brutal chill of the arctic night.  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  Any creature that doesn't move on its turn becomes encased in a sheath of ice equivalent to wall of ice, is helpless, and cannot breathe. Corpses in the area for longer than 1 round are transmuted into solid ice; reviving the icy corpse requires true resurrection, miracle, or wish. As a move action, you may move the area of effect up to 10 feet in any direction.</t>
  </si>
  <si>
    <t>&lt;p&gt;You plunge an area into the brutal chill of the arctic night.&lt;/p&gt;&lt;p&gt;Illumination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damage.&lt;/p&gt;&lt;p&gt;Any creature that doesn't move on its turn becomes encased in a sheath of ice equivalent to &lt;i&gt;wall of ice&lt;/i&gt;, is helpless, and cannot breathe. Corpses in the area for longer than 1 round are transmuted into solid ice; reviving the icy corpse requires &lt;i&gt;true resurrection&lt;/i&gt;, &lt;i&gt;miracle&lt;/i&gt;, or &lt;i&gt;wish&lt;/i&gt;. As a move action, you may move the area of effect up to 10 feet in any direction.&lt;/p&gt;</t>
  </si>
  <si>
    <t>&lt;link rel="stylesheet"href="PF.css"&gt;&lt;div class="heading"&gt;&lt;p class="alignleft"&gt;Polar Midnight&lt;/p&gt;&lt;div style="clear: both;"&gt;&lt;/div&gt;&lt;/div&gt;&lt;div&gt;&lt;h5&gt;&lt;b&gt;School &lt;/b&gt;transmutation [cold, darkness]; &lt;b&gt;Level &lt;/b&gt;cleric/oracle 9, druid 9, witch 9, shaman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&lt;/b&gt;30-ft. spread&lt;/h5&gt;&lt;h5&gt;&lt;b&gt;Duration &lt;/b&gt;1 round/level&lt;/h5&gt;&lt;h5&gt;&lt;b&gt;Saving Throw &lt;/b&gt;Fortitude partial; &lt;b&gt;Spell Resistance &lt;/b&gt;yes&lt;/h5&gt;&lt;/div&gt;&lt;hr/&gt;&lt;div&gt;&lt;h5&gt;&lt;b&gt;DESCRIPTION&lt;/b&gt;&lt;/h5&gt;&lt;/div&gt;&lt;hr/&gt;&lt;div&gt;&lt;h4&gt;&lt;p&gt;You plunge an area into the brutal chill of the arctic night.&lt;/p&gt;&lt;p&gt;Illumination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damage.&lt;/p&gt;&lt;p&gt;Any creature that doesn't move on its turn becomes encased in a sheath of ice equivalent to &lt;i&gt;wall of ice&lt;/i&gt;, is helpless, and cannot breathe. Corpses in the area for longer than 1 round are transmuted into solid ice; reviving the icy corpse requires &lt;i&gt;true resurrection&lt;/i&gt;, &lt;i&gt;miracle&lt;/i&gt;, or &lt;i&gt;wish&lt;/i&gt;. As a move action, you may move the area of effect up to 10 feet in any direction.&lt;/p&gt;&lt;/h4&gt;&lt;/div&gt;</t>
  </si>
  <si>
    <t>Cold darkness paralyzes and deals damage.</t>
  </si>
  <si>
    <t>Winter (18)</t>
  </si>
  <si>
    <t>Polypurpose Panacea</t>
  </si>
  <si>
    <t>alchemist 1, sorcerer/wizard 1, psychic 1, mesmerist 1</t>
  </si>
  <si>
    <t>This creates one of several cantrip-level effects relating to your health, well-being, and entertainment. The panacea has no side effects (for example, the intoxication panacea does not cause a hangover). When you use polypurpose panacea, choose one of the following effects.  Analgesic: You do not feel minor aches and pains, such as from arthritis, a cold, or a hangover, for 1 hour. For the duration, you gain a +2 resistance bonus against pain-related spells.  Clarity: You get a +1 competence bonus on a single attack roll, saving throw, or skill check within 1 minute. You must choose to use the bonus before making the roll to which it applies.  Hallucination: You have pleasant hallucinations for 1 hour, such as wandering lights, music, playful surreal animals, and so on. You can tell these are not real, but they are distracting, and you take a -2 penalty on Perception checks for the duration.  Intoxication: You feel comfortably intoxicated for 1 hour, as if you had a few alcoholic beverages.  Lucid Dream: If you take this panacea within 1 hour of going to sleep, you have a lucid dream that is under your control and lasts for an hour.  Resistance: You gain a +1 resistance bonus on saves for 1 minute.  Sleep: You enter a pleasant and restful sleep for at least 1 hour unless wakened. If you would normally begin sleeping at this time, when the panacea ends you continue sleeping normally.  Sobriety: You become completely sober for 1 hour, negating any penalties to your actions for being drunk (GameMastery Guide 237). Magical and alchemical methods (such as detect poison) still detect you as inebriated. Time spent under the effect of this panacea do not count toward the time necessary to sober up (it merely delays your intoxication).  Tenacity: You gain 1 temporary hit point for 1 minute.  Wakefulness: You remain awake for 2 hours without feeling sleepy, and without side effects such as jitteriness. You gain a +5 resistance bonus against sleep-related spells such as lullaby and sleep. This use of the panacea merely delays your need for sleep and does not count as rest or sleep. You can use it multiple times in succession, but as each effect wears off, you are as tired as you would be had you not used the panacea.</t>
  </si>
  <si>
    <t>&lt;p&gt;This creates one of several cantrip-level effects relating to your health, well-being, and entertainment. The panacea has no side effects (for example, the intoxication panacea does not cause a hangover). When you use &lt;i&gt;polypurpose panacea&lt;/i&gt;, choose one of the following effects.&lt;/p&gt;&lt;p&gt;Analgesic: You do not feel minor aches and pains, such as from arthritis, a cold, or a hangover, for 1 hour. For the duration, you gain a +2 resistance bonus against pain-related spells.&lt;/p&gt;&lt;p&gt;Clarity: You get a +1 competence bonus on a single attack roll, saving throw, or skill check within 1 minute. You must choose to use the bonus before making the roll to which it applies.&lt;/p&gt;&lt;p&gt;Hallucination: You have pleasant hallucinations for 1 hour, such as wandering lights, music, playful surreal animals, and so on. You can tell these are not real, but they are distracting, and you take a -2 penalty on Perception checks for the duration.&lt;/p&gt;&lt;p&gt;Intoxication: You feel comfortably intoxicated for 1 hour, as if you had a few alcoholic beverages.&lt;/p&gt;&lt;p&gt;&lt;i&gt;Lucid&lt;/i&gt; Dream: If you take this panacea within 1 hour of going to &lt;i&gt;sleep&lt;/i&gt;, you have a lucid dream that is under your control and lasts for an hour.&lt;/p&gt;&lt;p&gt;Resistance: You gain a +1 resistance bonus on saves for 1 minute.&lt;/p&gt;&lt;p&gt;Sleep: You enter a pleasant and restful &lt;i&gt;sleep&lt;/i&gt; for at least 1 hour unless wakened. If you would normally begin &lt;i&gt;sleep&lt;/i&gt;ing at this time, when the panacea ends you continue &lt;i&gt;sleep&lt;/i&gt;ing normally.&lt;/p&gt;&lt;p&gt;Sobriety: You become completely sober for 1 hour, negating any penalties to your actions for being drunk (&lt;i&gt;GameMastery Guide&lt;/i&gt; 237). Magical and alchemical methods (such as &lt;i&gt;detect&lt;/i&gt; poison) still &lt;i&gt;detect&lt;/i&gt; you as inebriated. Time spent under the effect of this panacea do not count toward the time necessary to sober up (it merely delays your intoxication).&lt;/p&gt;&lt;p&gt;Tenacity: You gain 1 temporary hit point for 1 minute.&lt;/p&gt;&lt;p&gt;Wakefulness: You remain awake for 2 hours without feeling &lt;i&gt;sleep&lt;/i&gt;y, and without side effects such as jitteriness. You gain a +5 resistance bonus against &lt;i&gt;sleep&lt;/i&gt;-related spells such as &lt;i&gt;lullaby&lt;/i&gt; and &lt;i&gt;sleep&lt;/i&gt;. This use of the panacea merely delays your need for &lt;i&gt;sleep&lt;/i&gt; and does not count as rest or &lt;i&gt;sleep&lt;/i&gt;. You can use it multiple times in succession, but as each effect wears off, you are as tired as you would be had you not used the panacea.&lt;/p&gt;</t>
  </si>
  <si>
    <t>&lt;link rel="stylesheet"href="PF.css"&gt;&lt;div class="heading"&gt;&lt;p class="alignleft"&gt;Polypurpose Panacea&lt;/p&gt;&lt;div style="clear: both;"&gt;&lt;/div&gt;&lt;/div&gt;&lt;div&gt;&lt;h5&gt;&lt;b&gt;School &lt;/b&gt;transmutation; &lt;b&gt;Level &lt;/b&gt;alchemist 1, sorcerer/wizard 1, psychic 1, mesmerist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&lt;/b&gt;see below&lt;/h5&gt;&lt;/div&gt;&lt;hr/&gt;&lt;div&gt;&lt;h5&gt;&lt;b&gt;DESCRIPTION&lt;/b&gt;&lt;/h5&gt;&lt;/div&gt;&lt;hr/&gt;&lt;div&gt;&lt;h4&gt;&lt;p&gt;This creates one of several cantrip-level effects relating to your health, well-being, and entertainment. The panacea has no side effects (for example, the intoxication panacea does not cause a hangover). When you use &lt;i&gt;polypurpose panacea&lt;/i&gt;, choose one of the following effects.&lt;/p&gt;&lt;p&gt;Analgesic: You do not feel minor aches and pains, such as from arthritis, a cold, or a hangover, for 1 hour. For the duration, you gain a +2 resistance bonus against pain-related spells.&lt;/p&gt;&lt;p&gt;Clarity: You get a +1 competence bonus on a single attack roll, saving throw, or skill check within 1 minute. You must choose to use the bonus before making the roll to which it applies.&lt;/p&gt;&lt;p&gt;Hallucination: You have pleasant hallucinations for 1 hour, such as wandering lights, music, playful surreal animals, and so on. You can tell these are not real, but they are distracting, and you take a -2 penalty on Perception checks for the duration.&lt;/p&gt;&lt;p&gt;Intoxication: You feel comfortably intoxicated for 1 hour, as if you had a few alcoholic beverages.&lt;/p&gt;&lt;p&gt;&lt;i&gt;Lucid&lt;/i&gt; Dream: If you take this panacea within 1 hour of going to &lt;i&gt;sleep&lt;/i&gt;, you have a lucid dream that is under your control and lasts for an hour.&lt;/p&gt;&lt;p&gt;Resistance: You gain a +1 resistance bonus on saves for 1 minute.&lt;/p&gt;&lt;p&gt;Sleep: You enter a pleasant and restful &lt;i&gt;sleep&lt;/i&gt; for at least 1 hour unless wakened. If you would normally begin &lt;i&gt;sleep&lt;/i&gt;ing at this time, when the panacea ends you continue &lt;i&gt;sleep&lt;/i&gt;ing normally.&lt;/p&gt;&lt;p&gt;Sobriety: You become completely sober for 1 hour, negating any penalties to your actions for being drunk (&lt;i&gt;GameMastery Guide&lt;/i&gt; 237). Magical and alchemical methods (such as &lt;i&gt;detect&lt;/i&gt; poison) still &lt;i&gt;detect&lt;/i&gt; you as inebriated. Time spent under the effect of this panacea do not count toward the time necessary to sober up (it merely delays your intoxication).&lt;/p&gt;&lt;p&gt;Tenacity: You gain 1 temporary hit point for 1 minute.&lt;/p&gt;&lt;p&gt;Wakefulness: You remain awake for 2 hours without feeling &lt;i&gt;sleep&lt;/i&gt;y, and without side effects such as jitteriness. You gain a +5 resistance bonus against &lt;i&gt;sleep&lt;/i&gt;-related spells such as &lt;i&gt;lullaby&lt;/i&gt; and &lt;i&gt;sleep&lt;/i&gt;. This use of the panacea merely delays your need for &lt;i&gt;sleep&lt;/i&gt; and does not count as rest or &lt;i&gt;sleep&lt;/i&gt;. You can use it multiple times in succession, but as each effect wears off, you are as tired as you would be had you not used the panacea.&lt;/p&gt;&lt;/h4&gt;&lt;/div&gt;</t>
  </si>
  <si>
    <t>Gain a relaxing or entertaining effect.</t>
  </si>
  <si>
    <t>Possess Object</t>
  </si>
  <si>
    <t>sorcerer/wizard 5, witch 5</t>
  </si>
  <si>
    <t>one object; see text</t>
  </si>
  <si>
    <t>This spell functions as magic jar, except you transfer your mind to a single object, animating it as if using animate objects,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t>
  </si>
  <si>
    <t>&lt;p&gt;This spell functions as &lt;i&gt;magic jar&lt;/i&gt;, except you transfer your mind to a single object, animating it as if using &lt;i&gt;animate objects&lt;/i&gt;,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you.&lt;/p&gt;</t>
  </si>
  <si>
    <t>&lt;link rel="stylesheet"href="PF.css"&gt;&lt;div class="heading"&gt;&lt;p class="alignleft"&gt;Possess Object&lt;/p&gt;&lt;div style="clear: both;"&gt;&lt;/div&gt;&lt;/div&gt;&lt;div&gt;&lt;h5&gt;&lt;b&gt;School &lt;/b&gt;necromancy; &lt;b&gt;Level &lt;/b&gt;sorcerer/wizard 5, witch 5&lt;/h5&gt;&lt;/div&gt;&lt;hr/&gt;&lt;div&gt;&lt;h5&gt;&lt;b&gt;CASTING&lt;/b&gt;&lt;/h5&gt;&lt;/div&gt;&lt;hr/&gt;&lt;div&gt;&lt;h5&gt;&lt;b&gt;Casting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object; see text&lt;/h5&gt;&lt;h5&gt;&lt;b&gt;Duration &lt;/b&gt;1 hour/level or until you return to your body&lt;/h5&gt;&lt;/div&gt;&lt;hr/&gt;&lt;div&gt;&lt;h5&gt;&lt;b&gt;DESCRIPTION&lt;/b&gt;&lt;/h5&gt;&lt;/div&gt;&lt;hr/&gt;&lt;div&gt;&lt;h4&gt;&lt;p&gt;This spell functions as &lt;i&gt;magic jar&lt;/i&gt;, except you transfer your mind to a single object, animating it as if using &lt;i&gt;animate objects&lt;/i&gt;,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you.&lt;/p&gt;&lt;/h4&gt;&lt;/div&gt;</t>
  </si>
  <si>
    <t>Possess and animate one object.</t>
  </si>
  <si>
    <t>Prediction of Failure</t>
  </si>
  <si>
    <t>curse, fear, mind-affecting</t>
  </si>
  <si>
    <t>sorcerer/wizard 8, witch 8, occultist 6, psychic 8</t>
  </si>
  <si>
    <t>permanent or 1 round/level (see text)</t>
  </si>
  <si>
    <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t>
  </si>
  <si>
    <t>&lt;p&gt;You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95).&lt;/p&gt;</t>
  </si>
  <si>
    <t>&lt;link rel="stylesheet"href="PF.css"&gt;&lt;div class="heading"&gt;&lt;p class="alignleft"&gt;Prediction of Failure&lt;/p&gt;&lt;div style="clear: both;"&gt;&lt;/div&gt;&lt;/div&gt;&lt;div&gt;&lt;h5&gt;&lt;b&gt;School &lt;/b&gt;divination [curse, fear, mind-affecting]; &lt;b&gt;Level &lt;/b&gt;sorcerer/wizard 8, witch 8, occultist 6,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 or 1 round/level (see text)&lt;/h5&gt;&lt;h5&gt;&lt;b&gt;Saving Throw &lt;/b&gt;Will partial; &lt;b&gt;Spell Resistance &lt;/b&gt;yes&lt;/h5&gt;&lt;/div&gt;&lt;hr/&gt;&lt;div&gt;&lt;h5&gt;&lt;b&gt;DESCRIPTION&lt;/b&gt;&lt;/h5&gt;&lt;/div&gt;&lt;hr/&gt;&lt;div&gt;&lt;h4&gt;&lt;p&gt;You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95).&lt;/p&gt;&lt;/h4&gt;&lt;/div&gt;</t>
  </si>
  <si>
    <t>Target is permanently shaken and sickened, and may gain a spellblight.</t>
  </si>
  <si>
    <t>Imperious (17)</t>
  </si>
  <si>
    <t>Primal Scream</t>
  </si>
  <si>
    <t>You voice a mighty yell from the depths of your soul, invigorating yourself and dispelling enchantment and paralysis effects. This functions as break enchantment,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t>
  </si>
  <si>
    <t>&lt;p&gt;You voice a mighty yell from the depths of your soul, invigorating yourself and dispelling enchantment and paralysis effects. This functions as &lt;i&gt;break enchantment&lt;/i&gt;,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possible.&lt;/p&gt;</t>
  </si>
  <si>
    <t>&lt;link rel="stylesheet"href="PF.css"&gt;&lt;div class="heading"&gt;&lt;p class="alignleft"&gt;Primal Scream&lt;/p&gt;&lt;div style="clear: both;"&gt;&lt;/div&gt;&lt;/div&gt;&lt;div&gt;&lt;h5&gt;&lt;b&gt;School &lt;/b&gt;abjuration [mind-affecting, sonic]; &lt;b&gt;Level &lt;/b&gt;bard 4, mesmerist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voice a mighty yell from the depths of your soul, invigorating yourself and dispelling enchantment and paralysis effects. This functions as &lt;i&gt;break enchantment&lt;/i&gt;,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possible.&lt;/p&gt;&lt;/h4&gt;&lt;/div&gt;</t>
  </si>
  <si>
    <t>Free yourself from enchantments and paralysis effects.</t>
  </si>
  <si>
    <t>Protective Penumbra</t>
  </si>
  <si>
    <t>cleric/oracle 2, sorcerer/wizard 2, witch 2, occultist 2, psychic 2, spiritualist 2</t>
  </si>
  <si>
    <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t>
  </si>
  <si>
    <t>&lt;p&gt;This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sunburn.&lt;/p&gt;</t>
  </si>
  <si>
    <t>&lt;link rel="stylesheet"href="PF.css"&gt;&lt;div class="heading"&gt;&lt;p class="alignleft"&gt;Protective Penumbra&lt;/p&gt;&lt;div style="clear: both;"&gt;&lt;/div&gt;&lt;/div&gt;&lt;div&gt;&lt;h5&gt;&lt;b&gt;School &lt;/b&gt;evocation [darkness]; &lt;b&gt;Level &lt;/b&gt;cleric/oracle 2, sorcerer/wizard 2, witch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sunburn.&lt;/p&gt;&lt;/h4&gt;&lt;/div&gt;</t>
  </si>
  <si>
    <t>Shadow protects the target from light.</t>
  </si>
  <si>
    <t>Rain of Frogs</t>
  </si>
  <si>
    <t>bard 3, druid 3, sorcerer/wizard 3, summoner 3, witch 3, shaman 4, psychic 3</t>
  </si>
  <si>
    <t>one swarm of poisonous frogs</t>
  </si>
  <si>
    <t>This spell functions as summon swarm, except you summon a swarm of poisonous frogs. This swarm has the statistics of a centipede swarm (Bestiary 43), except it has the animal type and its poison deals Constitution damage instead of Dexterity damage.</t>
  </si>
  <si>
    <t>&lt;p&gt;This spell functions as &lt;i&gt;summon swarm&lt;/i&gt;, except you summon a swarm of poisonous frogs. This swarm has the statistics of a centipede swarm (&lt;i&gt;Bestiary&lt;/i&gt; 43), except it has the animal type and its poison deals Constitution damage instead of Dexterity damage.&lt;/p&gt;</t>
  </si>
  <si>
    <t>&lt;link rel="stylesheet"href="PF.css"&gt;&lt;div class="heading"&gt;&lt;p class="alignleft"&gt;Rain of Frogs&lt;/p&gt;&lt;div style="clear: both;"&gt;&lt;/div&gt;&lt;/div&gt;&lt;div&gt;&lt;h5&gt;&lt;b&gt;School &lt;/b&gt;conjuration (summoning); &lt;b&gt;Level &lt;/b&gt;bard 3, druid 3, sorcerer/wizard 3, summoner 3, witch 3, shaman 4, psychic 3&lt;/h5&gt;&lt;/div&gt;&lt;hr/&gt;&lt;div&gt;&lt;h5&gt;&lt;b&gt;CASTING&lt;/b&gt;&lt;/h5&gt;&lt;/div&gt;&lt;hr/&gt;&lt;div&gt;&lt;h5&gt;&lt;b&gt;Casting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poisonous frogs&lt;/h5&gt;&lt;h5&gt;&lt;b&gt;Duration &lt;/b&gt;concentration + 2 rounds&lt;/h5&gt;&lt;h5&gt;&lt;b&gt;Saving Throw &lt;/b&gt;none; &lt;b&gt;Spell Resistance &lt;/b&gt;no&lt;/h5&gt;&lt;/div&gt;&lt;hr/&gt;&lt;div&gt;&lt;h5&gt;&lt;b&gt;DESCRIPTION&lt;/b&gt;&lt;/h5&gt;&lt;/div&gt;&lt;hr/&gt;&lt;div&gt;&lt;h4&gt;&lt;p&gt;This spell functions as &lt;i&gt;summon swarm&lt;/i&gt;, except you summon a swarm of poisonous frogs. This swarm has the statistics of a centipede swarm (&lt;i&gt;Bestiary&lt;/i&gt; 43), except it has the animal type and its poison deals Constitution damage instead of Dexterity damage.&lt;/p&gt;&lt;/h4&gt;&lt;/div&gt;</t>
  </si>
  <si>
    <t>Summon a swarm of poisonous frogs.</t>
  </si>
  <si>
    <t>Raise Animal Companion</t>
  </si>
  <si>
    <t>druid 5, paladin 4, ranger 4</t>
  </si>
  <si>
    <t>V, S, M (a diamond worth 1,000 gp)</t>
  </si>
  <si>
    <t>dead animal companion or bonded mount</t>
  </si>
  <si>
    <t>This spell functions as raise dead, but it only affects an animal companion, familiar, or paladin's bonded mount.</t>
  </si>
  <si>
    <t>&lt;p&gt;This spell functions as &lt;i&gt;raise dead&lt;/i&gt;, but it only affects an animal companion, familiar, or paladin's bonded mount.&lt;/p&gt;</t>
  </si>
  <si>
    <t>&lt;link rel="stylesheet"href="PF.css"&gt;&lt;div class="heading"&gt;&lt;p class="alignleft"&gt;Raise Animal Companion&lt;/p&gt;&lt;div style="clear: both;"&gt;&lt;/div&gt;&lt;/div&gt;&lt;div&gt;&lt;h5&gt;&lt;b&gt;School &lt;/b&gt;conjuration (healing); &lt;b&gt;Level &lt;/b&gt;druid 5, paladin 4, ranger 4&lt;/h5&gt;&lt;/div&gt;&lt;hr/&gt;&lt;div&gt;&lt;h5&gt;&lt;b&gt;CASTING&lt;/b&gt;&lt;/h5&gt;&lt;/div&gt;&lt;hr/&gt;&lt;div&gt;&lt;h5&gt;&lt;b&gt;Casting Time &lt;/b&gt;1 minute&lt;/h5&gt;&lt;h5&gt;&lt;b&gt;Components &lt;/b&gt;V, S, M (a diamond worth 1,000 gp)&lt;/h5&gt;&lt;/div&gt;&lt;hr/&gt;&lt;div&gt;&lt;h5&gt;&lt;b&gt;EFFECT&lt;/b&gt;&lt;/h5&gt;&lt;/div&gt;&lt;hr/&gt;&lt;div&gt;&lt;h5&gt;&lt;b&gt;Range &lt;/b&gt;touch&lt;/h5&gt;&lt;h5&gt;&lt;b&gt;Targets &lt;/b&gt;dead animal companion or bonded mount&lt;/h5&gt;&lt;h5&gt;&lt;b&gt;Duration &lt;/b&gt;instantaneous&lt;/h5&gt;&lt;h5&gt;&lt;b&gt;Saving Throw &lt;/b&gt;none, see text; &lt;b&gt;Spell Resistance &lt;/b&gt;yes (harmless)&lt;/h5&gt;&lt;/div&gt;&lt;hr/&gt;&lt;div&gt;&lt;h5&gt;&lt;b&gt;DESCRIPTION&lt;/b&gt;&lt;/h5&gt;&lt;/div&gt;&lt;hr/&gt;&lt;div&gt;&lt;h4&gt;&lt;p&gt;This spell functions as &lt;i&gt;raise dead&lt;/i&gt;, but it only affects an animal companion, familiar, or paladin's bonded mount.&lt;/p&gt;&lt;/h4&gt;&lt;/div&gt;</t>
  </si>
  <si>
    <t>As raise dead, but on an animal.</t>
  </si>
  <si>
    <t>Rapid Repair</t>
  </si>
  <si>
    <t>cleric/oracle 5, sorcerer/wizard 5, occultist 4</t>
  </si>
  <si>
    <t>The targeted construct gains fast healing 5. This does not stack with any fast healing the construct already has. Fast healing has no effect on a construct that has been brought to 0 hit points or destroyed.</t>
  </si>
  <si>
    <t>&lt;p&gt;The targeted construct gains fast healing 5. This does not stack with any fast healing the construct already has. Fast healing has no effect on a construct that has been brought to 0 hit points or destroyed.&lt;/p&gt;</t>
  </si>
  <si>
    <t>&lt;link rel="stylesheet"href="PF.css"&gt;&lt;div class="heading"&gt;&lt;p class="alignleft"&gt;Rapid Repair&lt;/p&gt;&lt;div style="clear: both;"&gt;&lt;/div&gt;&lt;/div&gt;&lt;div&gt;&lt;h5&gt;&lt;b&gt;School &lt;/b&gt;transmutation; &lt;b&gt;Level &lt;/b&gt;cleric/oracle 5, sorcerer/wizard 5, occultist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&lt;/b&gt;construct touched&lt;/h5&gt;&lt;h5&gt;&lt;b&gt;Duration &lt;/b&gt;1 round/level&lt;/h5&gt;&lt;h5&gt;&lt;b&gt;Saving Throw &lt;/b&gt;Fortitude negates (harmless); &lt;b&gt;Spell Resistance &lt;/b&gt;yes (harmless)&lt;/h5&gt;&lt;/div&gt;&lt;hr/&gt;&lt;div&gt;&lt;h5&gt;&lt;b&gt;DESCRIPTION&lt;/b&gt;&lt;/h5&gt;&lt;/div&gt;&lt;hr/&gt;&lt;div&gt;&lt;h4&gt;&lt;p&gt;The targeted construct gains fast healing 5. This does not stack with any fast healing the construct already has. Fast healing has no effect on a construct that has been brought to 0 hit points or destroyed.&lt;/p&gt;&lt;/h4&gt;&lt;/div&gt;</t>
  </si>
  <si>
    <t>Construct gains fast healing 5.</t>
  </si>
  <si>
    <t>Ray of Sickening</t>
  </si>
  <si>
    <t>cleric/oracle 1, druid 1, sorcerer/wizard 1, summoner 1, witch 1, bloodrager 1, mesmerist 1</t>
  </si>
  <si>
    <t>This spell functions as ray of exhaustion, except the target is sickened if it fails its save and unaffected if it makes its save.</t>
  </si>
  <si>
    <t>&lt;p&gt;This spell functions as &lt;i&gt;ray of exhaustion&lt;/i&gt;, except the target is sickened if it fails its save and unaffected if it makes its save.&lt;/p&gt;</t>
  </si>
  <si>
    <t>&lt;link rel="stylesheet"href="PF.css"&gt;&lt;div class="heading"&gt;&lt;p class="alignleft"&gt;Ray of Sickening&lt;/p&gt;&lt;div style="clear: both;"&gt;&lt;/div&gt;&lt;/div&gt;&lt;div&gt;&lt;h5&gt;&lt;b&gt;School &lt;/b&gt;necromancy; &lt;b&gt;Level &lt;/b&gt;cleric/oracle 1, druid 1, sorcerer/wizard 1, summoner 1, witch 1, bloodrager 1, mesmerist 1&lt;/h5&gt;&lt;/div&gt;&lt;hr/&gt;&lt;div&gt;&lt;h5&gt;&lt;b&gt;CASTING&lt;/b&gt;&lt;/h5&gt;&lt;/div&gt;&lt;hr/&gt;&lt;div&gt;&lt;h5&gt;&lt;b&gt;Casting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min./level&lt;/h5&gt;&lt;h5&gt;&lt;b&gt;Saving Throw &lt;/b&gt;Fortitude partial; see text; &lt;b&gt;Spell Resistance &lt;/b&gt;yes&lt;/h5&gt;&lt;/div&gt;&lt;hr/&gt;&lt;div&gt;&lt;h5&gt;&lt;b&gt;DESCRIPTION&lt;/b&gt;&lt;/h5&gt;&lt;/div&gt;&lt;hr/&gt;&lt;div&gt;&lt;h4&gt;&lt;p&gt;This spell functions as &lt;i&gt;ray of exhaustion&lt;/i&gt;, except the target is sickened if it fails its save and unaffected if it makes its save.&lt;/p&gt;&lt;/h4&gt;&lt;/div&gt;</t>
  </si>
  <si>
    <t>Plague (1)</t>
  </si>
  <si>
    <t>Ray makes the subject sickened.</t>
  </si>
  <si>
    <t>Reckless Infatuation</t>
  </si>
  <si>
    <t>bard 2, sorcerer/wizard 3, witch 3, psychic 3, mesmerist 2</t>
  </si>
  <si>
    <t>You fill your target with feelings of intense infatuation for a specific individual known to the target. At the time of the casting, you designate a single creature as the focus of the target's desire.  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  Reckless infatuation counters unadulterated loathing.</t>
  </si>
  <si>
    <t>&lt;p&gt;You fill your target with feelings of intense infatuation for a specific individual known to the target. At the time of the casting, you designate a single creature as the focus of the target's desire.&lt;/p&gt;&lt;p&gt;Thereafter,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effect.&lt;/p&gt;&lt;p&gt;&lt;i&gt;Reckless infatuation&lt;/i&gt; counters &lt;i&gt;unadulterated loathing&lt;/i&gt;.&lt;/p&gt;</t>
  </si>
  <si>
    <t>&lt;link rel="stylesheet"href="PF.css"&gt;&lt;div class="heading"&gt;&lt;p class="alignleft"&gt;Reckless Infatuation&lt;/p&gt;&lt;div style="clear: both;"&gt;&lt;/div&gt;&lt;/div&gt;&lt;div&gt;&lt;h5&gt;&lt;b&gt;School &lt;/b&gt;enchantment (compulsion) [emotion, mind-affecting]; &lt;b&gt;Level &lt;/b&gt;bard 2, sorcerer/wizard 3, witch 3, psychic 3,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fill your target with feelings of intense infatuation for a specific individual known to the target. At the time of the casting, you designate a single creature as the focus of the target's desire.&lt;/p&gt;&lt;p&gt;Thereafter,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effect.&lt;/p&gt;&lt;p&gt;&lt;i&gt;Reckless infatuation&lt;/i&gt; counters &lt;i&gt;unadulterated loathing&lt;/i&gt;.&lt;/p&gt;&lt;/h4&gt;&lt;/div&gt;</t>
  </si>
  <si>
    <t>Target is compelled to stay near another.</t>
  </si>
  <si>
    <t>Remove Sickness</t>
  </si>
  <si>
    <t>cleric/oracle 1, druid 1, witch 1, mesmerist 1, spiritualist 1</t>
  </si>
  <si>
    <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t>
  </si>
  <si>
    <t>&lt;p&gt;You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spell.&lt;/p&gt;</t>
  </si>
  <si>
    <t>&lt;link rel="stylesheet"href="PF.css"&gt;&lt;div class="heading"&gt;&lt;p class="alignleft"&gt;Remove Sickness&lt;/p&gt;&lt;div style="clear: both;"&gt;&lt;/div&gt;&lt;/div&gt;&lt;div&gt;&lt;h5&gt;&lt;b&gt;School &lt;/b&gt;conjuration (healing); &lt;b&gt;Level &lt;/b&gt;cleric/oracle 1, druid 1, witch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 see text&lt;/h5&gt;&lt;h5&gt;&lt;b&gt;Saving Throw &lt;/b&gt;Fortitude negates (harmless); &lt;b&gt;Spell Resistance &lt;/b&gt;yes (harmless)&lt;/h5&gt;&lt;/div&gt;&lt;hr/&gt;&lt;div&gt;&lt;h5&gt;&lt;b&gt;DESCRIPTION&lt;/b&gt;&lt;/h5&gt;&lt;/div&gt;&lt;hr/&gt;&lt;div&gt;&lt;h4&gt;&lt;p&gt;You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spell.&lt;/p&gt;&lt;/h4&gt;&lt;/div&gt;</t>
  </si>
  <si>
    <t>Suppress disease, nausea, and the sickened condition.</t>
  </si>
  <si>
    <t>Reprobation</t>
  </si>
  <si>
    <t>curse, see text</t>
  </si>
  <si>
    <t>cleric/oracle 5, druid 5, inquisitor 4, paladin 4</t>
  </si>
  <si>
    <t>one creature of your faith</t>
  </si>
  <si>
    <t>You cast the target out of your religion as a curse and punishment for acts or misdeeds against the tenets of your faith. This has three effects.  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  Second, the target is no longer affected by helpful spells cast by the faithful and is always treated as an enemy for the purpose of other spells cast by those of your faith. For example, cure light wounds cast by a member of your faith has no effect on the target. If the target were traveling with a cleric of your faith who cast prayer, that spell would penalize rather than aid the target, despite the target's friendship with the cleric.  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  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  This potential backlash prevents inquisitions run by corrupt members of the faith, and it means that most accusations of misconduct are carefully investigated (and usually verified with magic) before this sentence is handed down.  This mark can be removed like any other curse effect. In addition, a member of your faith can use atonement to break the curse if he makes a caster level check against your caster level; remove curse also requires a caster of your faith and a caster level check to end the reprobation.</t>
  </si>
  <si>
    <t>&lt;p&gt;You cast the target out of your religion as a curse and punishment for acts or misdeeds against the tenets of your faith. This has three effects.&lt;/p&gt;&lt;p&gt;First,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mark).&lt;/p&gt;&lt;p&gt;Second, the target is no longer affected by helpful spells cast by the faithful and is always treated as an enemy for the purpose of other spells cast by those of your faith. For example, &lt;i&gt;cure light wounds&lt;/i&gt; cast by a member of your faith has no effect on the target. If the target were traveling with a cleric of your faith who cast &lt;i&gt;prayer&lt;/i&gt;, that spell would penalize rather than aid the target, despite the target's friendship with the cleric.&lt;/p&gt;&lt;p&gt;Third,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target.&lt;/p&gt;&lt;p&gt;This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charges.&lt;/p&gt;&lt;p&gt;This potential backlash prevents inquisitions run by corrupt members of the faith, and it means that most accusations of misconduct are carefully investigated (and usually verified with magic) before this sentence is handed down.&lt;/p&gt;&lt;p&gt;This mark can be removed like any other curse effect. In addition, a member of your faith can use &lt;i&gt;atonement&lt;/i&gt; to break the curse if he makes a caster level check against your caster level; &lt;i&gt;remove curse&lt;/i&gt; also requires a caster of your faith and a caster level check to end the &lt;i&gt;reprobation&lt;/i&gt;.&lt;/p&gt;</t>
  </si>
  <si>
    <t>&lt;link rel="stylesheet"href="PF.css"&gt;&lt;div class="heading"&gt;&lt;p class="alignleft"&gt;Reprobation&lt;/p&gt;&lt;div style="clear: both;"&gt;&lt;/div&gt;&lt;/div&gt;&lt;div&gt;&lt;h5&gt;&lt;b&gt;School &lt;/b&gt;transmutation [curse, see text]; &lt;b&gt;Level &lt;/b&gt;cleric/oracle 5, druid 5, inquisitor 4, paladin 4&lt;/h5&gt;&lt;/div&gt;&lt;hr/&gt;&lt;div&gt;&lt;h5&gt;&lt;b&gt;CASTING&lt;/b&gt;&lt;/h5&gt;&lt;/div&gt;&lt;hr/&gt;&lt;div&gt;&lt;h5&gt;&lt;b&gt;Casting Time &lt;/b&gt;1 minute&lt;/h5&gt;&lt;h5&gt;&lt;b&gt;Components &lt;/b&gt;V, S, DF&lt;/h5&gt;&lt;/div&gt;&lt;hr/&gt;&lt;div&gt;&lt;h5&gt;&lt;b&gt;EFFECT&lt;/b&gt;&lt;/h5&gt;&lt;/div&gt;&lt;hr/&gt;&lt;div&gt;&lt;h5&gt;&lt;b&gt;Range &lt;/b&gt;close (25 ft. + 5 ft./2 levels)&lt;/h5&gt;&lt;h5&gt;&lt;b&gt;Targets &lt;/b&gt;one creature of your faith&lt;/h5&gt;&lt;h5&gt;&lt;b&gt;Duration &lt;/b&gt;permanent&lt;/h5&gt;&lt;h5&gt;&lt;b&gt;Saving Throw &lt;/b&gt;none; &lt;b&gt;Spell Resistance &lt;/b&gt;yes&lt;/h5&gt;&lt;/div&gt;&lt;hr/&gt;&lt;div&gt;&lt;h5&gt;&lt;b&gt;DESCRIPTION&lt;/b&gt;&lt;/h5&gt;&lt;/div&gt;&lt;hr/&gt;&lt;div&gt;&lt;h4&gt;&lt;p&gt;You cast the target out of your religion as a curse and punishment for acts or misdeeds against the tenets of your faith. This has three effects.&lt;/p&gt;&lt;p&gt;First,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mark).&lt;/p&gt;&lt;p&gt;Second, the target is no longer affected by helpful spells cast by the faithful and is always treated as an enemy for the purpose of other spells cast by those of your faith. For example, &lt;i&gt;cure light wounds&lt;/i&gt; cast by a member of your faith has no effect on the target. If the target were traveling with a cleric of your faith who cast &lt;i&gt;prayer&lt;/i&gt;, that spell would penalize rather than aid the target, despite the target's friendship with the cleric.&lt;/p&gt;&lt;p&gt;Third,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target.&lt;/p&gt;&lt;p&gt;This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charges.&lt;/p&gt;&lt;p&gt;This potential backlash prevents inquisitions run by corrupt members of the faith, and it means that most accusations of misconduct are carefully investigated (and usually verified with magic) before this sentence is handed down.&lt;/p&gt;&lt;p&gt;This mark can be removed like any other curse effect. In addition, a member of your faith can use &lt;i&gt;atonement&lt;/i&gt; to break the curse if he makes a caster level check against your caster level; &lt;i&gt;remove curse&lt;/i&gt; also requires a caster of your faith and a caster level check to end the &lt;i&gt;reprobation&lt;/i&gt;.&lt;/p&gt;&lt;/h4&gt;&lt;/div&gt;</t>
  </si>
  <si>
    <t>Marked target is shunned by your religion.</t>
  </si>
  <si>
    <t>Resonating Word</t>
  </si>
  <si>
    <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t>
  </si>
  <si>
    <t>&lt;p&gt;You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increased.&lt;/p&gt;</t>
  </si>
  <si>
    <t>&lt;link rel="stylesheet"href="PF.css"&gt;&lt;div class="heading"&gt;&lt;p class="alignleft"&gt;Resonating Word&lt;/p&gt;&lt;div style="clear: both;"&gt;&lt;/div&gt;&lt;/div&gt;&lt;div&gt;&lt;h5&gt;&lt;b&gt;School &lt;/b&gt;transmutation [sonic]; &lt;b&gt;Level &lt;/b&gt;bard 5, sorcerer/wizard 7, psychic 7&lt;/h5&gt;&lt;/div&gt;&lt;hr/&gt;&lt;div&gt;&lt;h5&gt;&lt;b&gt;CASTING&lt;/b&gt;&lt;/h5&gt;&lt;/div&gt;&lt;hr/&gt;&lt;div&gt;&lt;h5&gt;&lt;b&gt;Casting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&lt;/b&gt;3 rounds&lt;/h5&gt;&lt;h5&gt;&lt;b&gt;Saving Throw &lt;/b&gt;Fortitude partial; &lt;b&gt;Spell Resistance &lt;/b&gt;yes&lt;/h5&gt;&lt;/div&gt;&lt;hr/&gt;&lt;div&gt;&lt;h5&gt;&lt;b&gt;DESCRIPTION&lt;/b&gt;&lt;/h5&gt;&lt;/div&gt;&lt;hr/&gt;&lt;div&gt;&lt;h4&gt;&lt;p&gt;You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increased.&lt;/p&gt;&lt;/h4&gt;&lt;h5&gt;&lt;b&gt;Mythic: &lt;/b&gt;The damage dealt increases to 8d6 points on the 1st and 2nd rounds and 15d6 on the 3rd round. The target takes a -4 penalty on saving throws against all sonic effects.&lt;/h5&gt;&lt;/div&gt;</t>
  </si>
  <si>
    <t>Target is damaged, staggered, and stunned.</t>
  </si>
  <si>
    <t>The damage dealt increases to 8d6 points on the 1st and 2nd rounds and 15d6 on the 3rd round. The target takes a -4 penalty on saving throws against all sonic effects.</t>
  </si>
  <si>
    <t>Restore Corpse</t>
  </si>
  <si>
    <t>cleric/oracle 1, druid 1, sorcerer/wizard 1, witch 1, occultist 1, psychic 1</t>
  </si>
  <si>
    <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t>
  </si>
  <si>
    <t>&lt;p&gt;You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eating.&lt;/p&gt;</t>
  </si>
  <si>
    <t>&lt;link rel="stylesheet"href="PF.css"&gt;&lt;div class="heading"&gt;&lt;p class="alignleft"&gt;Restore Corpse&lt;/p&gt;&lt;div style="clear: both;"&gt;&lt;/div&gt;&lt;/div&gt;&lt;div&gt;&lt;h5&gt;&lt;b&gt;School &lt;/b&gt;necromancy; &lt;b&gt;Level &lt;/b&gt;cleric/oracle 1, druid 1, sorcerer/wizard 1, witch 1, occultist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&lt;/b&gt;corpse touched&lt;/h5&gt;&lt;h5&gt;&lt;b&gt;Duration &lt;/b&gt;instantaneous&lt;/h5&gt;&lt;h5&gt;&lt;b&gt;Saving Throw &lt;/b&gt;none; &lt;b&gt;Spell Resistance &lt;/b&gt;no&lt;/h5&gt;&lt;/div&gt;&lt;hr/&gt;&lt;div&gt;&lt;h5&gt;&lt;b&gt;DESCRIPTION&lt;/b&gt;&lt;/h5&gt;&lt;/div&gt;&lt;hr/&gt;&lt;div&gt;&lt;h4&gt;&lt;p&gt;You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eating.&lt;/p&gt;&lt;/h4&gt;&lt;/div&gt;</t>
  </si>
  <si>
    <t>Skeletal corpse grows flesh.</t>
  </si>
  <si>
    <t>Restore Eidolon</t>
  </si>
  <si>
    <t>This spell functions as restoration, except it only affects an eidolon.</t>
  </si>
  <si>
    <t>&lt;p&gt;This spell functions as &lt;i&gt;restoration&lt;/i&gt;, except it only affects an eidolon.&lt;/p&gt;</t>
  </si>
  <si>
    <t>&lt;link rel="stylesheet"href="PF.css"&gt;&lt;div class="heading"&gt;&lt;p class="alignleft"&gt;Restore Eidolon&lt;/p&gt;&lt;div style="clear: both;"&gt;&lt;/div&gt;&lt;/div&gt;&lt;div&gt;&lt;h5&gt;&lt;b&gt;School &lt;/b&gt;conjuration (healing); &lt;b&gt;Level &lt;/b&gt;summoner 3&lt;/h5&gt;&lt;/div&gt;&lt;hr/&gt;&lt;div&gt;&lt;h5&gt;&lt;b&gt;CASTING&lt;/b&gt;&lt;/h5&gt;&lt;/div&gt;&lt;hr/&gt;&lt;div&gt;&lt;h5&gt;&lt;b&gt;Casting Time &lt;/b&gt;1 minute&lt;/h5&gt;&lt;h5&gt;&lt;b&gt;Components &lt;/b&gt;V, S, M (diamond dust worth 100 gp or 1,000 gp, see text)&lt;/h5&gt;&lt;/div&gt;&lt;hr/&gt;&lt;div&gt;&lt;h5&gt;&lt;b&gt;EFFECT&lt;/b&gt;&lt;/h5&gt;&lt;/div&gt;&lt;hr/&gt;&lt;div&gt;&lt;h5&gt;&lt;b&gt;Range &lt;/b&gt;touch&lt;/h5&gt;&lt;h5&gt;&lt;b&gt;Targets &lt;/b&gt;eidolon touched&lt;/h5&gt;&lt;h5&gt;&lt;b&gt;Duration &lt;/b&gt;instantaneous&lt;/h5&gt;&lt;h5&gt;&lt;b&gt;Saving Throw &lt;/b&gt;Will negates (harmless); &lt;b&gt;Spell Resistance &lt;/b&gt;yes (harmless)&lt;/h5&gt;&lt;/div&gt;&lt;hr/&gt;&lt;div&gt;&lt;h5&gt;&lt;b&gt;DESCRIPTION&lt;/b&gt;&lt;/h5&gt;&lt;/div&gt;&lt;hr/&gt;&lt;div&gt;&lt;h4&gt;&lt;p&gt;This spell functions as &lt;i&gt;restoration&lt;/i&gt;, except it only affects an eidolon.&lt;/p&gt;&lt;/h4&gt;&lt;/div&gt;</t>
  </si>
  <si>
    <t>Restoration for an eidolon.</t>
  </si>
  <si>
    <t>Restore Eidolon, Lesser</t>
  </si>
  <si>
    <t>This spell functions as lesser restoration, except it only affects an eidolon.</t>
  </si>
  <si>
    <t>&lt;p&gt;This spell functions as &lt;i&gt;lesser restoration&lt;/i&gt;, except it only affects an eidolon.&lt;/p&gt;</t>
  </si>
  <si>
    <t>&lt;link rel="stylesheet"href="PF.css"&gt;&lt;div class="heading"&gt;&lt;p class="alignleft"&gt;Restore Eidolon, Lesser&lt;/p&gt;&lt;div style="clear: both;"&gt;&lt;/div&gt;&lt;/div&gt;&lt;div&gt;&lt;h5&gt;&lt;b&gt;School &lt;/b&gt;conjuration (healing); &lt;b&gt;Level &lt;/b&gt;summoner 2&lt;/h5&gt;&lt;/div&gt;&lt;hr/&gt;&lt;div&gt;&lt;h5&gt;&lt;b&gt;CASTING&lt;/b&gt;&lt;/h5&gt;&lt;/div&gt;&lt;hr/&gt;&lt;div&gt;&lt;h5&gt;&lt;b&gt;Casting Time &lt;/b&gt;3 rounds&lt;/h5&gt;&lt;h5&gt;&lt;b&gt;Components &lt;/b&gt;V, S&lt;/h5&gt;&lt;/div&gt;&lt;hr/&gt;&lt;div&gt;&lt;h5&gt;&lt;b&gt;EFFECT&lt;/b&gt;&lt;/h5&gt;&lt;/div&gt;&lt;hr/&gt;&lt;div&gt;&lt;h5&gt;&lt;b&gt;Range &lt;/b&gt;touch&lt;/h5&gt;&lt;h5&gt;&lt;b&gt;Targets &lt;/b&gt;eidolon touched&lt;/h5&gt;&lt;h5&gt;&lt;b&gt;Duration &lt;/b&gt;instantaneous&lt;/h5&gt;&lt;h5&gt;&lt;b&gt;Saving Throw &lt;/b&gt;Will negates (harmless); &lt;b&gt;Spell Resistance &lt;/b&gt;yes (harmless)&lt;/h5&gt;&lt;/div&gt;&lt;hr/&gt;&lt;div&gt;&lt;h5&gt;&lt;b&gt;DESCRIPTION&lt;/b&gt;&lt;/h5&gt;&lt;/div&gt;&lt;hr/&gt;&lt;div&gt;&lt;h4&gt;&lt;p&gt;This spell functions as &lt;i&gt;lesser restoration&lt;/i&gt;, except it only affects an eidolon.&lt;/p&gt;&lt;/h4&gt;&lt;/div&gt;</t>
  </si>
  <si>
    <t>Lesser restoration for an eidolon.</t>
  </si>
  <si>
    <t>Ride the Lightning</t>
  </si>
  <si>
    <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  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t>
  </si>
  <si>
    <t>&lt;p&gt;You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applies).&lt;/p&gt;&lt;p&gt;Objects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lasts.&lt;/p&gt;</t>
  </si>
  <si>
    <t>&lt;link rel="stylesheet"href="PF.css"&gt;&lt;div class="heading"&gt;&lt;p class="alignleft"&gt;Ride the Lightning&lt;/p&gt;&lt;div style="clear: both;"&gt;&lt;/div&gt;&lt;/div&gt;&lt;div&gt;&lt;h5&gt;&lt;b&gt;School &lt;/b&gt;evocation [electricity]; &lt;b&gt;Level &lt;/b&gt;sorcerer/wizard 9&lt;/h5&gt;&lt;/div&gt;&lt;hr/&gt;&lt;div&gt;&lt;h5&gt;&lt;b&gt;CASTING&lt;/b&gt;&lt;/h5&gt;&lt;/div&gt;&lt;hr/&gt;&lt;div&gt;&lt;h5&gt;&lt;b&gt;Casting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applies).&lt;/p&gt;&lt;p&gt;Objects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lasts.&lt;/p&gt;&lt;/h4&gt;&lt;/div&gt;</t>
  </si>
  <si>
    <t>Transform into electricity.</t>
  </si>
  <si>
    <t>Ride The Waves</t>
  </si>
  <si>
    <t>cleric/oracle 4, druid 4, sorcerer/wizard 4, witch 4, bloodrager 4, shaman 4</t>
  </si>
  <si>
    <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t>
  </si>
  <si>
    <t>&lt;p&gt;The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air.&lt;/p&gt;</t>
  </si>
  <si>
    <t>&lt;link rel="stylesheet"href="PF.css"&gt;&lt;div class="heading"&gt;&lt;p class="alignleft"&gt;Ride The Waves&lt;/p&gt;&lt;div style="clear: both;"&gt;&lt;/div&gt;&lt;/div&gt;&lt;div&gt;&lt;h5&gt;&lt;b&gt;School &lt;/b&gt;transmutation [water]; &lt;b&gt;Level &lt;/b&gt;cleric/oracle 4, druid 4, sorcerer/wizard 4, witch 4, bloodrager 4, shaman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&lt;/b&gt;Will negates (harmless); &lt;b&gt;Spell Resistance &lt;/b&gt;yes (harmless)&lt;/h5&gt;&lt;/div&gt;&lt;hr/&gt;&lt;div&gt;&lt;h5&gt;&lt;b&gt;DESCRIPTION&lt;/b&gt;&lt;/h5&gt;&lt;/div&gt;&lt;hr/&gt;&lt;div&gt;&lt;h4&gt;&lt;p&gt;The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air.&lt;/p&gt;&lt;/h4&gt;&lt;/div&gt;</t>
  </si>
  <si>
    <t>Target can breathe water and swim.</t>
  </si>
  <si>
    <t>Sanctify Corpse</t>
  </si>
  <si>
    <t>cleric/oracle 1, inquisitor 1, paladin 1, witch 1, spiritualist 1</t>
  </si>
  <si>
    <t>V, S, DF, M (a pinch of silver dust)</t>
  </si>
  <si>
    <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  Sanctify corpse can be made permanent with a permanency spell by a caster of 9th level or higher for the cost of 500 gp.</t>
  </si>
  <si>
    <t>&lt;p&gt;This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day.&lt;/p&gt;&lt;p&gt;&lt;i&gt;Sanctify corpse&lt;/i&gt; can be made permanent with a &lt;i&gt;permanency&lt;/i&gt; spell by a caster of 9th level or higher for the cost of 500 gp.&lt;/p&gt;</t>
  </si>
  <si>
    <t>&lt;link rel="stylesheet"href="PF.css"&gt;&lt;div class="heading"&gt;&lt;p class="alignleft"&gt;Sanctify Corpse&lt;/p&gt;&lt;div style="clear: both;"&gt;&lt;/div&gt;&lt;/div&gt;&lt;div&gt;&lt;h5&gt;&lt;b&gt;School &lt;/b&gt;evocation [good]; &lt;b&gt;Level &lt;/b&gt;cleric/oracle 1, inquisitor 1, paladin 1, witch 1, spiritualist 1&lt;/h5&gt;&lt;/div&gt;&lt;hr/&gt;&lt;div&gt;&lt;h5&gt;&lt;b&gt;CASTING&lt;/b&gt;&lt;/h5&gt;&lt;/div&gt;&lt;hr/&gt;&lt;div&gt;&lt;h5&gt;&lt;b&gt;Casting Time &lt;/b&gt;1 standard action&lt;/h5&gt;&lt;h5&gt;&lt;b&gt;Components &lt;/b&gt;V, S, DF, M (a pinch of silver dust)&lt;/h5&gt;&lt;/div&gt;&lt;hr/&gt;&lt;div&gt;&lt;h5&gt;&lt;b&gt;EFFECT&lt;/b&gt;&lt;/h5&gt;&lt;/div&gt;&lt;hr/&gt;&lt;div&gt;&lt;h5&gt;&lt;b&gt;Range &lt;/b&gt;touch&lt;/h5&gt;&lt;h5&gt;&lt;b&gt;Area &lt;/b&gt;corpse touched&lt;/h5&gt;&lt;h5&gt;&lt;b&gt;Duration &lt;/b&gt;24 hours&lt;/h5&gt;&lt;h5&gt;&lt;b&gt;Saving Throw &lt;/b&gt;none; &lt;b&gt;Spell Resistance &lt;/b&gt;no&lt;/h5&gt;&lt;/div&gt;&lt;hr/&gt;&lt;div&gt;&lt;h5&gt;&lt;b&gt;DESCRIPTION&lt;/b&gt;&lt;/h5&gt;&lt;/div&gt;&lt;hr/&gt;&lt;div&gt;&lt;h4&gt;&lt;p&gt;This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day.&lt;/p&gt;&lt;p&gt;&lt;i&gt;Sanctify corpse&lt;/i&gt; can be made permanent with a &lt;i&gt;permanency&lt;/i&gt; spell by a caster of 9th level or higher for the cost of 500 gp.&lt;/p&gt;&lt;/h4&gt;&lt;/div&gt;</t>
  </si>
  <si>
    <t>Prevent a corpse from becoming an undead creature.</t>
  </si>
  <si>
    <t>Sands of Time</t>
  </si>
  <si>
    <t>cleric/oracle 3, sorcerer/wizard 3, witch 3, shaman 4, occultist 3, psychic 3, spiritualist 3</t>
  </si>
  <si>
    <t>touched creature or object</t>
  </si>
  <si>
    <t>10 minutes/level or instantaneous (see text)</t>
  </si>
  <si>
    <t>You temporarily age the target, immediately advancing it to the next age category. The target immediately takes the age penalties to Strength, Dexterity, and Constitution for its new age category, but does not gain the bonuses for that category.  A creature whose age is unknown is treated as if the spell advances it to middle age. Ageless or immortal creatures are immune to this spell.  If you cast this on an object, construct, or undead creature, it takes 3d6 points of damage + 1 point per caster level (maximum +15) as time weathers and corrodes it. This version of the spell has an instantaneous duration.</t>
  </si>
  <si>
    <t>&lt;p&gt;You temporarily age the target, immediately advancing it to the next age category. The target immediately takes the age penalties to Strength, Dexterity, and Constitution for its new age category, but does not gain the bonuses for that category.&lt;/p&gt;&lt;p&gt;A creature whose age is unknown is treated as if the spell advances it to middle age. Ageless or immortal creatures are immune to this spell.&lt;/p&gt;&lt;p&gt;If you cast this on an object, construct, or undead creature, it takes 3d6 points of damage + 1 point per caster level (maximum +15) as time weathers and corrodes it. This version of the spell has an instantaneous duration.&lt;/p&gt;</t>
  </si>
  <si>
    <t>&lt;link rel="stylesheet"href="PF.css"&gt;&lt;div class="heading"&gt;&lt;p class="alignleft"&gt;Sands of Time&lt;/p&gt;&lt;div style="clear: both;"&gt;&lt;/div&gt;&lt;/div&gt;&lt;div&gt;&lt;h5&gt;&lt;b&gt;School &lt;/b&gt;necromancy; &lt;b&gt;Level &lt;/b&gt;cleric/oracle 3, sorcerer/wizard 3, witch 3, shaman 4, occultist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&lt;/b&gt;touched creature or object&lt;/h5&gt;&lt;h5&gt;&lt;b&gt;Duration &lt;/b&gt;10 minutes/level or instantaneous (see text)&lt;/h5&gt;&lt;h5&gt;&lt;b&gt;Saving Throw &lt;/b&gt;none; &lt;b&gt;Spell Resistance &lt;/b&gt;yes&lt;/h5&gt;&lt;/div&gt;&lt;hr/&gt;&lt;div&gt;&lt;h5&gt;&lt;b&gt;DESCRIPTION&lt;/b&gt;&lt;/h5&gt;&lt;/div&gt;&lt;hr/&gt;&lt;div&gt;&lt;h4&gt;&lt;p&gt;You temporarily age the target, immediately advancing it to the next age category. The target immediately takes the age penalties to Strength, Dexterity, and Constitution for its new age category, but does not gain the bonuses for that category.&lt;/p&gt;&lt;p&gt;A creature whose age is unknown is treated as if the spell advances it to middle age. Ageless or immortal creatures are immune to this spell.&lt;/p&gt;&lt;p&gt;If you cast this on an object, construct, or undead creature, it takes 3d6 points of damage + 1 point per caster level (maximum +15) as time weathers and corrodes it. This version of the spell has an instantaneous duration.&lt;/p&gt;&lt;/h4&gt;&lt;/div&gt;</t>
  </si>
  <si>
    <t>Target temporarily ages.</t>
  </si>
  <si>
    <t>Scouring Winds</t>
  </si>
  <si>
    <t>air, earth</t>
  </si>
  <si>
    <t>druid 7, sorcerer/wizard 7, witch 7</t>
  </si>
  <si>
    <t>sandstorm in 20-ft. radius, 20 ft. high</t>
  </si>
  <si>
    <t>This spell brings forth a windstorm of stinging sand that blocks all vision. You can move the storm up to 30 feet each round as a move action.  Any creature in the area takes 3d6 points of piercing damage each round. The area is considered a windstorm (see Table 13-10: Wind Effects, Core Rulebook 439).  If a creature with spell resistance successfully resists this spell, it is unaffected by the winds and sand, but still unable to see within the area of the spell.</t>
  </si>
  <si>
    <t>&lt;p&gt;This spell brings forth a windstorm of stinging sand that blocks all vision. You can move the storm up to 30 feet each round as a move action.  Any creature in the area takes 3d6 points of piercing damage each round. The area is considered a windstorm (see Table 13-10: Wind &lt;b&gt;Effect&lt;/b&gt;s, &lt;i&gt;Core Rulebook&lt;/i&gt; 439).  If a creature with spell resistance successfully resists this spell, it is unaffected by the winds and sand, but still unable to see within the area of the spell.&lt;/p&gt;</t>
  </si>
  <si>
    <t>&lt;link rel="stylesheet"href="PF.css"&gt;&lt;div class="heading"&gt;&lt;p class="alignleft"&gt;Scouring Winds&lt;/p&gt;&lt;div style="clear: both;"&gt;&lt;/div&gt;&lt;/div&gt;&lt;div&gt;&lt;h5&gt;&lt;b&gt;School &lt;/b&gt;evocation [air, earth]; &lt;b&gt;Level &lt;/b&gt;druid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&lt;/b&gt;sandstorm in 20-ft. radius, 20 ft. high&lt;/h5&gt;&lt;h5&gt;&lt;b&gt;Duration &lt;/b&gt;1 round/level (D)&lt;/h5&gt;&lt;h5&gt;&lt;b&gt;Saving Throw &lt;/b&gt;none; &lt;b&gt;Spell Resistance &lt;/b&gt;yes (see text)&lt;/h5&gt;&lt;/div&gt;&lt;hr/&gt;&lt;div&gt;&lt;h5&gt;&lt;b&gt;DESCRIPTION&lt;/b&gt;&lt;/h5&gt;&lt;/div&gt;&lt;hr/&gt;&lt;div&gt;&lt;h4&gt;&lt;p&gt;This spell brings forth a windstorm of stinging sand that blocks all vision. You can move the storm up to 30 feet each round as a move action.  Any creature in the area takes 3d6 points of piercing damage each round. The area is considered a windstorm (see Table 13-10: Wind &lt;b&gt;Effect&lt;/b&gt;s, &lt;i&gt;Core Rulebook&lt;/i&gt; 439).  If a creature with spell resistance successfully resists this spell, it is unaffected by the winds and sand, but still unable to see within the area of the spell.&lt;/p&gt;&lt;/h4&gt;&lt;h5&gt;&lt;b&gt;Mythic: &lt;/b&gt;The spell's damage increases to 4d8 points of piercing damage. Any creature in the area at the start of your turn must succeed at a Reflex save or be blinded for as long as it remains in the area and for 1d4 rounds after it leaves.&lt;/h5&gt;&lt;h5&gt;&lt;b&gt;Augmented (5th)&lt;/b&gt;: If you expend two uses of mythic power, the sandstorm's radius and height each increase to 40 feet, and the damage dealt increases to 6d8 points of piercing damage. Each round, you can either move the storm up to 50 feet as a move action or up to 10 feet as a swift action.&lt;/h5&gt;&lt;/div&gt;</t>
  </si>
  <si>
    <t>Winds block vision and deal 3d6 damage.</t>
  </si>
  <si>
    <t>The spell's damage increases to 4d8 points of piercing damage. Any creature in the area at the start of your turn must succeed at a Reflex save or be blinded for as long as it remains in the area and for 1d4 rounds after it leaves.</t>
  </si>
  <si>
    <t>Augmented (5th): If you expend two uses of mythic power, the sandstorm's radius and height each increase to 40 feet, and the damage dealt increases to 6d8 points of piercing damage. Each round, you can either move the storm up to 50 feet as a move action or up to 10 feet as a swift action.</t>
  </si>
  <si>
    <t>Sculpt Simulacrum</t>
  </si>
  <si>
    <t>sorcerer/wizard 2, psychic 2</t>
  </si>
  <si>
    <t>simulacrum touched</t>
  </si>
  <si>
    <t>You create cosmetic changes to a simulacrum, similar to disguise self, except the changes are physical rather than illusory. This does not change any of the simulacrum's abilities.</t>
  </si>
  <si>
    <t>&lt;p&gt;You create cosmetic changes to a simulacrum, similar to &lt;i&gt;disguise self&lt;/i&gt;, except the changes are physical rather than illusory. This does not change any of the simulacrum's abilities.&lt;/p&gt;</t>
  </si>
  <si>
    <t>&lt;link rel="stylesheet"href="PF.css"&gt;&lt;div class="heading"&gt;&lt;p class="alignleft"&gt;Sculpt Simulacrum&lt;/p&gt;&lt;div style="clear: both;"&gt;&lt;/div&gt;&lt;/div&gt;&lt;div&gt;&lt;h5&gt;&lt;b&gt;School &lt;/b&gt;transmutation; &lt;b&gt;Level &lt;/b&gt;sorcerer/wizard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&lt;/b&gt;simulacrum touched&lt;/h5&gt;&lt;h5&gt;&lt;b&gt;Duration &lt;/b&gt;instantaneous&lt;/h5&gt;&lt;h5&gt;&lt;b&gt;Saving Throw &lt;/b&gt;Fortitude negates; &lt;b&gt;Spell Resistance &lt;/b&gt;yes&lt;/h5&gt;&lt;/div&gt;&lt;hr/&gt;&lt;div&gt;&lt;h5&gt;&lt;b&gt;DESCRIPTION&lt;/b&gt;&lt;/h5&gt;&lt;/div&gt;&lt;hr/&gt;&lt;div&gt;&lt;h4&gt;&lt;p&gt;You create cosmetic changes to a simulacrum, similar to &lt;i&gt;disguise self&lt;/i&gt;, except the changes are physical rather than illusory. This does not change any of the simulacrum's abilities.&lt;/p&gt;&lt;/h4&gt;&lt;/div&gt;</t>
  </si>
  <si>
    <t>Alter a simulacrum's appearance.</t>
  </si>
  <si>
    <t>Serenity</t>
  </si>
  <si>
    <t>bard 4, cleric/oracle 5, sorcerer/wizard 6, psychic 5, mesmerist 4</t>
  </si>
  <si>
    <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t>
  </si>
  <si>
    <t>&lt;p&gt;You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damage.&lt;/p&gt;</t>
  </si>
  <si>
    <t>&lt;link rel="stylesheet"href="PF.css"&gt;&lt;div class="heading"&gt;&lt;p class="alignleft"&gt;Serenity&lt;/p&gt;&lt;div style="clear: both;"&gt;&lt;/div&gt;&lt;/div&gt;&lt;div&gt;&lt;h5&gt;&lt;b&gt;School &lt;/b&gt;enchantment (compulsion) [emotion, mind-affecting]; &lt;b&gt;Level &lt;/b&gt;bard 4, cleric/oracle 5, sorcerer/wizard 6, psychic 5,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damage.&lt;/p&gt;&lt;/h4&gt;&lt;/div&gt;</t>
  </si>
  <si>
    <t>Peaceful feelings harm those attempting violence.</t>
  </si>
  <si>
    <t>Peace (10)</t>
  </si>
  <si>
    <t>Shadowbard</t>
  </si>
  <si>
    <t>phantom singer</t>
  </si>
  <si>
    <t>You conjure up a quasi-real phantom singer that is visible as a shifting, shadowy duplicate of yourself. The singer follows you automatically, moving as you move even if you teleport.  The singer cannot be damaged, but can be dispelled. When a shadowbard comes into being, it immediately begins a bardic performance of your choice-it has access to all of the bardic performances that you do. It continues that bardic performance until you direct it as a move action to switch to a different performance. Rounds spent by a shadowbard creating a bardic performance do not decrease the number of rounds you can use your own bardic performance, nor can a shadowbard's bardic performance be used to trigger spells that require you to begin or cease a bardic performance.</t>
  </si>
  <si>
    <t>&lt;p&gt;You conjure up a quasi-real phantom singer that is visible as a shifting, shadowy duplicate of yourself. The singer follows you automatically, moving as you move even if you teleport.&lt;/p&gt;&lt;p&gt;The singer cannot be damaged, but can be dispelled. When a &lt;i&gt;shadowbard&lt;/i&gt; comes into being, it immediately begins a bardic performance of your choice-it has access to all of the bardic performances that you do. It continues that bardic performance until you direct it as a move action to switch to a different performance. Rounds spent by a &lt;i&gt;shadowbard&lt;/i&gt; creating a bardic performance do not decrease the number of rounds you can use your own bardic performance, nor can a &lt;i&gt;shadowbard&lt;/i&gt;'s bardic performance be used to trigger spells that require you to begin or cease a bardic performance.&lt;/p&gt;</t>
  </si>
  <si>
    <t>&lt;link rel="stylesheet"href="PF.css"&gt;&lt;div class="heading"&gt;&lt;p class="alignleft"&gt;Shadowbard&lt;/p&gt;&lt;div style="clear: both;"&gt;&lt;/div&gt;&lt;/div&gt;&lt;div&gt;&lt;h5&gt;&lt;b&gt;School &lt;/b&gt;illusion (shadow) [shadow]; &lt;b&gt;Level &lt;/b&gt;bard 5&lt;/h5&gt;&lt;/div&gt;&lt;hr/&gt;&lt;div&gt;&lt;h5&gt;&lt;b&gt;CASTING&lt;/b&gt;&lt;/h5&gt;&lt;/div&gt;&lt;hr/&gt;&lt;div&gt;&lt;h5&gt;&lt;b&gt;Casting Time &lt;/b&gt;1 standard action&lt;/h5&gt;&lt;h5&gt;&lt;b&gt;Components &lt;/b&gt;V, S, M&lt;/h5&gt;&lt;/div&gt;&lt;hr/&gt;&lt;div&gt;&lt;h5&gt;&lt;b&gt;EFFECT&lt;/b&gt;&lt;/h5&gt;&lt;/div&gt;&lt;hr/&gt;&lt;div&gt;&lt;h5&gt;&lt;b&gt;Range &lt;/b&gt;close (25 ft. +5 ft./2 levels)&lt;/h5&gt;&lt;h5&gt;&lt;b&gt;Effect &lt;/b&gt;phantom singer&lt;/h5&gt;&lt;h5&gt;&lt;b&gt;Duration &lt;/b&gt;1 round/level (D)&lt;/h5&gt;&lt;h5&gt;&lt;b&gt;Saving Throw &lt;/b&gt;none; &lt;b&gt;Spell Resistance &lt;/b&gt;no&lt;/h5&gt;&lt;/div&gt;&lt;hr/&gt;&lt;div&gt;&lt;h5&gt;&lt;b&gt;DESCRIPTION&lt;/b&gt;&lt;/h5&gt;&lt;/div&gt;&lt;hr/&gt;&lt;div&gt;&lt;h4&gt;&lt;p&gt;You conjure up a quasi-real phantom singer that is visible as a shifting, shadowy duplicate of yourself. The singer follows you automatically, moving as you move even if you teleport.&lt;/p&gt;&lt;p&gt;The singer cannot be damaged, but can be dispelled. When a &lt;i&gt;shadowbard&lt;/i&gt; comes into being, it immediately begins a bardic performance of your choice-it has access to all of the bardic performances that you do. It continues that bardic performance until you direct it as a move action to switch to a different performance. Rounds spent by a &lt;i&gt;shadowbard&lt;/i&gt; creating a bardic performance do not decrease the number of rounds you can use your own bardic performance, nor can a &lt;i&gt;shadowbard&lt;/i&gt;'s bardic performance be used to trigger spells that require you to begin or cease a bardic performance.&lt;/p&gt;&lt;/h4&gt;&lt;/div&gt;</t>
  </si>
  <si>
    <t>Shadowy duplicate starts a bardic performance.</t>
  </si>
  <si>
    <t>Shadow Step</t>
  </si>
  <si>
    <t>bard 4, sorcerer/wizard 4, witch 4, psychic 4, spiritualist 4</t>
  </si>
  <si>
    <t>To use this spell, you must be in an area of dim light or darkness. You enter a shadow or area of darkness, which transports you along a coiling path of shadowstuff to another dim or dark location within range.</t>
  </si>
  <si>
    <t>&lt;p&gt;To use this spell, you must be in an area of dim light or darkness. You enter a shadow or area of darkness, which transports you along a coiling path of shadowstuff to another dim or dark location within range.&lt;/p&gt;</t>
  </si>
  <si>
    <t>&lt;link rel="stylesheet"href="PF.css"&gt;&lt;div class="heading"&gt;&lt;p class="alignleft"&gt;Shadow Step&lt;/p&gt;&lt;div style="clear: both;"&gt;&lt;/div&gt;&lt;/div&gt;&lt;div&gt;&lt;h5&gt;&lt;b&gt;School &lt;/b&gt;illusion (shadow) [shadow]; &lt;b&gt;Level &lt;/b&gt;bard 4, sorcerer/wizard 4, witch 4, psychic 4, spiritualist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&lt;/b&gt;you&lt;/h5&gt;&lt;h5&gt;&lt;b&gt;Duration &lt;/b&gt;instantaneous&lt;/h5&gt;&lt;h5&gt;&lt;b&gt;Saving Throw &lt;/b&gt;none; &lt;b&gt;Spell Resistance &lt;/b&gt;no&lt;/h5&gt;&lt;/div&gt;&lt;hr/&gt;&lt;div&gt;&lt;h5&gt;&lt;b&gt;DESCRIPTION&lt;/b&gt;&lt;/h5&gt;&lt;/div&gt;&lt;hr/&gt;&lt;div&gt;&lt;h4&gt;&lt;p&gt;To use this spell, you must be in an area of dim light or darkness. You enter a shadow or area of darkness, which transports you along a coiling path of shadowstuff to another dim or dark location within range.&lt;/p&gt;&lt;/h4&gt;&lt;/div&gt;</t>
  </si>
  <si>
    <t>Teleport from one shadow to another.</t>
  </si>
  <si>
    <t>Shadow Weapon</t>
  </si>
  <si>
    <t>sorcerer/wizard 1, witch 1, bloodrager 1, occultist 1, psychic 1</t>
  </si>
  <si>
    <t>one shadow weapon</t>
  </si>
  <si>
    <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shadow weapon strikes it. If the weapon is successfully resisted, the spell is dispelled. If not, the target may save to disbelieve as normal.  At 5th level, the weapon gains a +1 enhancement bonus. At 10th-level, you may increase the enhancement bonus to +2 or add the frost or keen weapon property. The frost and keen properties have no effect if the target makes its disbelief save.  The spell ends if the weapon leaves your possession.</t>
  </si>
  <si>
    <t>&lt;p&gt;Drawing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&lt;i&gt;shadow weapon&lt;/i&gt; strikes it. If the weapon is successfully resisted, the spell is dispelled. If not, the target may save to disbelieve as normal.  At 5th level, the weapon gains a +1 enhancement bonus. At 10th-level, you may increase the enhancement bonus to +2 or add the &lt;i&gt;frost&lt;/i&gt; or &lt;i&gt;keen&lt;/i&gt; weapon property. The &lt;i&gt;frost&lt;/i&gt; and &lt;i&gt;keen&lt;/i&gt; properties have no effect if the target makes its disbelief save.  The spell ends if the weapon leaves your possession.&lt;/p&gt;</t>
  </si>
  <si>
    <t>&lt;link rel="stylesheet"href="PF.css"&gt;&lt;div class="heading"&gt;&lt;p class="alignleft"&gt;Shadow Weapon&lt;/p&gt;&lt;div style="clear: both;"&gt;&lt;/div&gt;&lt;/div&gt;&lt;div&gt;&lt;h5&gt;&lt;b&gt;School &lt;/b&gt;illusion (shadow) [shadow]; &lt;b&gt;Level &lt;/b&gt;sorcerer/wizard 1, witch 1, bloodrager 1, occultist 1, psychic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shadow weapon&lt;/h5&gt;&lt;h5&gt;&lt;b&gt;Duration &lt;/b&gt;1 minute/level&lt;/h5&gt;&lt;h5&gt;&lt;b&gt;Saving Throw &lt;/b&gt;Will disbelief (if interacted with); &lt;b&gt;Spell Resistance &lt;/b&gt;yes&lt;/h5&gt;&lt;/div&gt;&lt;hr/&gt;&lt;div&gt;&lt;h5&gt;&lt;b&gt;DESCRIPTION&lt;/b&gt;&lt;/h5&gt;&lt;/div&gt;&lt;hr/&gt;&lt;div&gt;&lt;h4&gt;&lt;p&gt;Drawing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&lt;i&gt;shadow weapon&lt;/i&gt; strikes it. If the weapon is successfully resisted, the spell is dispelled. If not, the target may save to disbelieve as normal.  At 5th level, the weapon gains a +1 enhancement bonus. At 10th-level, you may increase the enhancement bonus to +2 or add the &lt;i&gt;frost&lt;/i&gt; or &lt;i&gt;keen&lt;/i&gt; weapon property. The &lt;i&gt;frost&lt;/i&gt; and &lt;i&gt;keen&lt;/i&gt; properties have no effect if the target makes its disbelief save.  The spell ends if the weapon leaves your possession.&lt;/p&gt;&lt;/h4&gt;&lt;h5&gt;&lt;b&gt;Mythic: &lt;/b&gt;Add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hand.&lt;/h5&gt;&lt;/div&gt;</t>
  </si>
  <si>
    <t>Create a quasi-real masterwork weapon.</t>
  </si>
  <si>
    <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t>
  </si>
  <si>
    <t>Shard of Chaos</t>
  </si>
  <si>
    <t>chaos</t>
  </si>
  <si>
    <t>dart-shaped projectile of chaotic energy</t>
  </si>
  <si>
    <t>instantaneous (1d6 rounds)</t>
  </si>
  <si>
    <t>You hurl a multicolored shard of congealed chaos from your holy symbol, affecting any one target in range as a ranged touch attack.  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t>
  </si>
  <si>
    <t>&lt;p&gt;You hurl a multicolored shard of congealed chaos from your holy symbol, affecting any one target in range as a ranged touch attack.&lt;/p&gt;&lt;p&gt;A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slowed.&lt;/p&gt;</t>
  </si>
  <si>
    <t>&lt;link rel="stylesheet"href="PF.css"&gt;&lt;div class="heading"&gt;&lt;p class="alignleft"&gt;Shard of Chaos&lt;/p&gt;&lt;div style="clear: both;"&gt;&lt;/div&gt;&lt;/div&gt;&lt;div&gt;&lt;h5&gt;&lt;b&gt;School &lt;/b&gt;evocation [chaos];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&lt;/b&gt;dart-shaped projectile of chaotic energy&lt;/h5&gt;&lt;h5&gt;&lt;b&gt;Duration &lt;/b&gt;instantaneous (1d6 rounds)&lt;/h5&gt;&lt;h5&gt;&lt;b&gt;Saving Throw &lt;/b&gt;Will partial (see text); &lt;b&gt;Spell Resistance &lt;/b&gt;yes&lt;/h5&gt;&lt;/div&gt;&lt;hr/&gt;&lt;div&gt;&lt;h5&gt;&lt;b&gt;DESCRIPTION&lt;/b&gt;&lt;/h5&gt;&lt;/div&gt;&lt;hr/&gt;&lt;div&gt;&lt;h4&gt;&lt;p&gt;You hurl a multicolored shard of congealed chaos from your holy symbol, affecting any one target in range as a ranged touch attack.&lt;/p&gt;&lt;p&gt;A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slowed.&lt;/p&gt;&lt;/h4&gt;&lt;/div&gt;</t>
  </si>
  <si>
    <t>Harm and possibly slow lawful creatures.</t>
  </si>
  <si>
    <t>Share Memory</t>
  </si>
  <si>
    <t>bard 2, sorcerer/wizard 2, witch 2, occultist 2, psychic 2, mesmerist 2</t>
  </si>
  <si>
    <t>you and one creature touched</t>
  </si>
  <si>
    <t>You momentarily link your mind with the target and share a single memory of no longer than 1 minute. You can show the target one of your memories, show the target one of its own memories, or view one of the target's memories.</t>
  </si>
  <si>
    <t>&lt;p&gt;You momentarily link your mind with the target and share a single memory of no longer than 1 minute. You can show the target one of your memories, show the target one of its own memories, or view one of the target's memories.&lt;/p&gt;</t>
  </si>
  <si>
    <t>&lt;link rel="stylesheet"href="PF.css"&gt;&lt;div class="heading"&gt;&lt;p class="alignleft"&gt;Share Memory&lt;/p&gt;&lt;div style="clear: both;"&gt;&lt;/div&gt;&lt;/div&gt;&lt;div&gt;&lt;h5&gt;&lt;b&gt;School &lt;/b&gt;divination; &lt;b&gt;Level &lt;/b&gt;bard 2, sorcerer/wizard 2, witch 2, occultist 2, psychic 2, mesmerist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 touched&lt;/h5&gt;&lt;h5&gt;&lt;b&gt;Duration &lt;/b&gt;instantaneous&lt;/h5&gt;&lt;h5&gt;&lt;b&gt;Saving Throw &lt;/b&gt;Will negates; &lt;b&gt;Spell Resistance &lt;/b&gt;yes&lt;/h5&gt;&lt;/div&gt;&lt;hr/&gt;&lt;div&gt;&lt;h5&gt;&lt;b&gt;DESCRIPTION&lt;/b&gt;&lt;/h5&gt;&lt;/div&gt;&lt;hr/&gt;&lt;div&gt;&lt;h4&gt;&lt;p&gt;You momentarily link your mind with the target and share a single memory of no longer than 1 minute. You can show the target one of your memories, show the target one of its own memories, or view one of the target's memories.&lt;/p&gt;&lt;/h4&gt;&lt;/div&gt;</t>
  </si>
  <si>
    <t>Share one memory with the target.</t>
  </si>
  <si>
    <t>Simulacrum, Lesser</t>
  </si>
  <si>
    <t>sorcerer/wizard 4, psychic 4</t>
  </si>
  <si>
    <t>V, S, M (an ice sculpture of the target plus powdered rubies worth 50 gp per HD of the simulacrum)</t>
  </si>
  <si>
    <t>This spell functions as simulacrum, except you can't create a simulacrum of a creature whose HD or levels exceed your caster level, and it has no magical abilities. The creature is not under your control, though it recognizes you are its creator.</t>
  </si>
  <si>
    <t>&lt;p&gt;This spell functions as &lt;i&gt;simulacrum&lt;/i&gt;, except you can't create a &lt;i&gt;simulacrum&lt;/i&gt; of a creature whose HD or levels exceed your caster level, and it has no magical abilities. The creature is not under your control, though it recognizes you are its creator.&lt;/p&gt;</t>
  </si>
  <si>
    <t>&lt;link rel="stylesheet"href="PF.css"&gt;&lt;div class="heading"&gt;&lt;p class="alignleft"&gt;Simulacrum, Lesser&lt;/p&gt;&lt;div style="clear: both;"&gt;&lt;/div&gt;&lt;/div&gt;&lt;div&gt;&lt;h5&gt;&lt;b&gt;School &lt;/b&gt;illusion (shadow); &lt;b&gt;Level &lt;/b&gt;sorcerer/wizard 4, psychic 4&lt;/h5&gt;&lt;/div&gt;&lt;hr/&gt;&lt;div&gt;&lt;h5&gt;&lt;b&gt;CASTING&lt;/b&gt;&lt;/h5&gt;&lt;/div&gt;&lt;hr/&gt;&lt;div&gt;&lt;h5&gt;&lt;b&gt;Casting Time &lt;/b&gt;1 hour&lt;/h5&gt;&lt;h5&gt;&lt;b&gt;Components &lt;/b&gt;V, S, M (an ice sculpture of the target plus powdered rubies worth 50 gp per HD of the simulacrum)&lt;/h5&gt;&lt;/div&gt;&lt;hr/&gt;&lt;div&gt;&lt;h5&gt;&lt;b&gt;EFFECT&lt;/b&gt;&lt;/h5&gt;&lt;/div&gt;&lt;hr/&gt;&lt;div&gt;&lt;h5&gt;&lt;b&gt;Range &lt;/b&gt;0 ft.&lt;/h5&gt;&lt;h5&gt;&lt;b&gt;Effect &lt;/b&gt;one duplicate creature&lt;/h5&gt;&lt;h5&gt;&lt;b&gt;Duration &lt;/b&gt;1 hour/level&lt;/h5&gt;&lt;h5&gt;&lt;b&gt;Saving Throw &lt;/b&gt;none; &lt;b&gt;Spell Resistance &lt;/b&gt;no&lt;/h5&gt;&lt;/div&gt;&lt;hr/&gt;&lt;div&gt;&lt;h5&gt;&lt;b&gt;DESCRIPTION&lt;/b&gt;&lt;/h5&gt;&lt;/div&gt;&lt;hr/&gt;&lt;div&gt;&lt;h4&gt;&lt;p&gt;This spell functions as &lt;i&gt;simulacrum&lt;/i&gt;, except you can't create a &lt;i&gt;simulacrum&lt;/i&gt; of a creature whose HD or levels exceed your caster level, and it has no magical abilities. The creature is not under your control, though it recognizes you are its creator.&lt;/p&gt;&lt;/h4&gt;&lt;/div&gt;</t>
  </si>
  <si>
    <t>Creates a double of a weak creature.</t>
  </si>
  <si>
    <t>Skinsend</t>
  </si>
  <si>
    <t>alchemist 2, sorcerer/wizard 2, witch 2, occultist 2, psychic 2</t>
  </si>
  <si>
    <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  Your possessed skin is identical to you in all ways, except the following: It has only half the number of hit points you had at the time you cast the spell, and cannot be healed above this maximum; construct type, traits, and immunities; Str 3, Con -; DR 10/piercing or slashing; and compression (as the universal monster ability, Bestiary 2 295). Your skin can take any actions you could normally take in your own body (such as to fight or cast spells).  When your skin leaves your body, your body's hit points drop to 0. Your body cannot heal damage naturally while you have no skin, nor do spells that cure hit point damage work on your body; only regeneration (from a regenerate spell, ring of regeneration, the regeneration monster ability, or any other effect that can regrow missing limbs) or heal can regrow your skin and allow you heal above 0 hit points.  If your body is regenerated before your skin returns to it, the skin dies and your consciousness returns automatically to your body. Your skin can be preserved with gentle repose and is suitable for any purpose that requires some of your flesh (such as a resurrection spell) or any magic or ritual that requires a creature's skin.  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  This spell leaves long scars on your skin where it split apart, although these fade normally with the use of healing magic.</t>
  </si>
  <si>
    <t>&lt;p&gt;You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spell).&lt;/p&gt;&lt;p&gt;Your possessed skin is identical to you in all ways, except the following: It has only half the number of hit points you had at the time you cast the spell, and cannot be &lt;i&gt;heal&lt;/i&gt;ed above this maximum; construct type, traits, and immunities; Str 3, Con -; DR 10/piercing or slashing; and compression (as the universal monster ability, &lt;i&gt;Bestiary&lt;/i&gt; 2 295). Your skin can take any actions you could normally take in your own body (such as to fight or cast spells).&lt;/p&gt;&lt;p&gt;When your skin leaves your body, your body's hit points drop to 0. Your body cannot &lt;i&gt;heal&lt;/i&gt; damage naturally while you have no skin, nor do spells that cure hit point damage work on your body; only regeneration (from a &lt;i&gt;regenerate&lt;/i&gt; spell, &lt;i&gt;ring of regeneration&lt;/i&gt;, the regeneration monster ability, or any other effect that can regrow missing limbs) or &lt;i&gt;heal&lt;/i&gt; can regrow your skin and allow you &lt;i&gt;heal&lt;/i&gt; above 0 hit points.&lt;/p&gt;&lt;p&gt;If your body is &lt;i&gt;regenerate&lt;/i&gt;d before your skin returns to it, the skin dies and your consciousness returns automatically to your body. Your skin can be preserved with &lt;i&gt;gentle repose&lt;/i&gt; and is suitable for any purpose that requires some of your flesh (such as a &lt;i&gt;resurrection&lt;/i&gt; spell) or any magic or ritual that requires a creature's skin.&lt;/p&gt;&lt;p&gt;When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killed.&lt;/p&gt;&lt;p&gt;This spell leaves long scars on your skin where it split apart, although these fade normally with the use of &lt;i&gt;heal&lt;/i&gt;ing magic.&lt;/p&gt;</t>
  </si>
  <si>
    <t>&lt;link rel="stylesheet"href="PF.css"&gt;&lt;div class="heading"&gt;&lt;p class="alignleft"&gt;Skinsend&lt;/p&gt;&lt;div style="clear: both;"&gt;&lt;/div&gt;&lt;/div&gt;&lt;div&gt;&lt;h5&gt;&lt;b&gt;School &lt;/b&gt;necromancy; &lt;b&gt;Level &lt;/b&gt;alchemist 2, sorcerer/wizard 2, witch 2, occultist 2, psychic 2&lt;/h5&gt;&lt;/div&gt;&lt;hr/&gt;&lt;div&gt;&lt;h5&gt;&lt;b&gt;CASTING&lt;/b&gt;&lt;/h5&gt;&lt;/div&gt;&lt;hr/&gt;&lt;div&gt;&lt;h5&gt;&lt;b&gt;Casting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spell).&lt;/p&gt;&lt;p&gt;Your possessed skin is identical to you in all ways, except the following: It has only half the number of hit points you had at the time you cast the spell, and cannot be &lt;i&gt;heal&lt;/i&gt;ed above this maximum; construct type, traits, and immunities; Str 3, Con -; DR 10/piercing or slashing; and compression (as the universal monster ability, &lt;i&gt;Bestiary&lt;/i&gt; 2 295). Your skin can take any actions you could normally take in your own body (such as to fight or cast spells).&lt;/p&gt;&lt;p&gt;When your skin leaves your body, your body's hit points drop to 0. Your body cannot &lt;i&gt;heal&lt;/i&gt; damage naturally while you have no skin, nor do spells that cure hit point damage work on your body; only regeneration (from a &lt;i&gt;regenerate&lt;/i&gt; spell, &lt;i&gt;ring of regeneration&lt;/i&gt;, the regeneration monster ability, or any other effect that can regrow missing limbs) or &lt;i&gt;heal&lt;/i&gt; can regrow your skin and allow you &lt;i&gt;heal&lt;/i&gt; above 0 hit points.&lt;/p&gt;&lt;p&gt;If your body is &lt;i&gt;regenerate&lt;/i&gt;d before your skin returns to it, the skin dies and your consciousness returns automatically to your body. Your skin can be preserved with &lt;i&gt;gentle repose&lt;/i&gt; and is suitable for any purpose that requires some of your flesh (such as a &lt;i&gt;resurrection&lt;/i&gt; spell) or any magic or ritual that requires a creature's skin.&lt;/p&gt;&lt;p&gt;When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killed.&lt;/p&gt;&lt;p&gt;This spell leaves long scars on your skin where it split apart, although these fade normally with the use of &lt;i&gt;heal&lt;/i&gt;ing magic.&lt;/p&gt;&lt;/h4&gt;&lt;/div&gt;</t>
  </si>
  <si>
    <t>Animate and possess your own skin as if it were a separate creature.</t>
  </si>
  <si>
    <t>Smug Narcissism</t>
  </si>
  <si>
    <t>bard 3, sorcerer/wizard 5, witch 5, psychic 5, mesmerist 3</t>
  </si>
  <si>
    <t>V, S, M (a tiny shard of a mirror)</t>
  </si>
  <si>
    <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t>
  </si>
  <si>
    <t>&lt;p&gt;You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on).&lt;/p&gt;</t>
  </si>
  <si>
    <t>&lt;link rel="stylesheet"href="PF.css"&gt;&lt;div class="heading"&gt;&lt;p class="alignleft"&gt;Smug Narcissism&lt;/p&gt;&lt;div style="clear: both;"&gt;&lt;/div&gt;&lt;/div&gt;&lt;div&gt;&lt;h5&gt;&lt;b&gt;School &lt;/b&gt;enchantment (compulsion) [emotion, mind-affecting]; &lt;b&gt;Level &lt;/b&gt;bard 3, sorcerer/wizard 5, witch 5, psychic 5, mesmerist 3&lt;/h5&gt;&lt;/div&gt;&lt;hr/&gt;&lt;div&gt;&lt;h5&gt;&lt;b&gt;CASTING&lt;/b&gt;&lt;/h5&gt;&lt;/div&gt;&lt;hr/&gt;&lt;div&gt;&lt;h5&gt;&lt;b&gt;Casting Time &lt;/b&gt;1 standard action&lt;/h5&gt;&lt;h5&gt;&lt;b&gt;Components &lt;/b&gt;V, S, M (a tiny shard of a mirror)&lt;/h5&gt;&lt;/div&gt;&lt;hr/&gt;&lt;div&gt;&lt;h5&gt;&lt;b&gt;EFFECT&lt;/b&gt;&lt;/h5&gt;&lt;/div&gt;&lt;hr/&gt;&lt;div&gt;&lt;h5&gt;&lt;b&gt;Range &lt;/b&gt;close (25 ft. + 5 ft./2 levels)&lt;/h5&gt;&lt;h5&gt;&lt;b&gt;Targets &lt;/b&gt;one creature&lt;/h5&gt;&lt;h5&gt;&lt;b&gt;Duration &lt;/b&gt;10 minute/level (D)&lt;/h5&gt;&lt;h5&gt;&lt;b&gt;Saving Throw &lt;/b&gt;Will negates; &lt;b&gt;Spell Resistance &lt;/b&gt;yes&lt;/h5&gt;&lt;/div&gt;&lt;hr/&gt;&lt;div&gt;&lt;h5&gt;&lt;b&gt;DESCRIPTION&lt;/b&gt;&lt;/h5&gt;&lt;/div&gt;&lt;hr/&gt;&lt;div&gt;&lt;h4&gt;&lt;p&gt;You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on).&lt;/p&gt;&lt;/h4&gt;&lt;/div&gt;</t>
  </si>
  <si>
    <t>Target is distracted by its sense of self.</t>
  </si>
  <si>
    <t>Snapdragon Fireworks</t>
  </si>
  <si>
    <t>bard 2, sorcerer/wizard 1</t>
  </si>
  <si>
    <t>S, V, M (a bundle of sulfur wrapped in cloth)</t>
  </si>
  <si>
    <t>dragon-shaped fireworks</t>
  </si>
  <si>
    <t>A favorite display at halfling midsummer festivals, this spell lets you create fireworks in the shape of tiny dragons.  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  Normally when this spell is used as part of a festival, the chosen target is high in the sky to increase visibility and protect observers.</t>
  </si>
  <si>
    <t>&lt;p&gt;A favorite display at halfling midsummer festivals, this spell lets you create fireworks in the shape of tiny dragons.&lt;/p&gt;&lt;p&gt;Once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condition).&lt;/p&gt;&lt;p&gt;Normally when this spell is used as part of a festival, the chosen target is high in the sky to increase visibility and protect observers.&lt;/p&gt;</t>
  </si>
  <si>
    <t>&lt;link rel="stylesheet"href="PF.css"&gt;&lt;div class="heading"&gt;&lt;p class="alignleft"&gt;Snapdragon Fireworks&lt;/p&gt;&lt;div style="clear: both;"&gt;&lt;/div&gt;&lt;/div&gt;&lt;div&gt;&lt;h5&gt;&lt;b&gt;School &lt;/b&gt;transmutation [fire, light]; &lt;b&gt;Level &lt;/b&gt;bard 2, sorcerer/wizard 1&lt;/h5&gt;&lt;/div&gt;&lt;hr/&gt;&lt;div&gt;&lt;h5&gt;&lt;b&gt;CASTING&lt;/b&gt;&lt;/h5&gt;&lt;/div&gt;&lt;hr/&gt;&lt;div&gt;&lt;h5&gt;&lt;b&gt;Casting Time &lt;/b&gt;1 standard action&lt;/h5&gt;&lt;h5&gt;&lt;b&gt;Components &lt;/b&gt;S, V, M (a bundle of sulfur wrapped in cloth)&lt;/h5&gt;&lt;/div&gt;&lt;hr/&gt;&lt;div&gt;&lt;h5&gt;&lt;b&gt;EFFECT&lt;/b&gt;&lt;/h5&gt;&lt;/div&gt;&lt;hr/&gt;&lt;div&gt;&lt;h5&gt;&lt;b&gt;Range &lt;/b&gt;long (400 ft. + 40 ft./level)&lt;/h5&gt;&lt;h5&gt;&lt;b&gt;Effect &lt;/b&gt;dragon-shaped fireworks&lt;/h5&gt;&lt;h5&gt;&lt;b&gt;Duration &lt;/b&gt;1 round/level&lt;/h5&gt;&lt;h5&gt;&lt;b&gt;Saving Throw &lt;/b&gt;Reflex negates; &lt;b&gt;Spell Resistance &lt;/b&gt;yes&lt;/h5&gt;&lt;/div&gt;&lt;hr/&gt;&lt;div&gt;&lt;h5&gt;&lt;b&gt;DESCRIPTION&lt;/b&gt;&lt;/h5&gt;&lt;/div&gt;&lt;hr/&gt;&lt;div&gt;&lt;h4&gt;&lt;p&gt;A favorite display at halfling midsummer festivals, this spell lets you create fireworks in the shape of tiny dragons.&lt;/p&gt;&lt;p&gt;Once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condition).&lt;/p&gt;&lt;p&gt;Normally when this spell is used as part of a festival, the chosen target is high in the sky to increase visibility and protect observers.&lt;/p&gt;&lt;/h4&gt;&lt;/div&gt;</t>
  </si>
  <si>
    <t>Create 1 dragon firework/level.</t>
  </si>
  <si>
    <t>Sonic Thrust</t>
  </si>
  <si>
    <t>bard 4, sorcerer/wizard 5, psychic 5</t>
  </si>
  <si>
    <t>Will negates (object) or none (see text)</t>
  </si>
  <si>
    <t>yes (object) (see text)</t>
  </si>
  <si>
    <t>You produce a sweeping rush of sound that can hurl creatures or objects away from you, like the violent thrust version of telekinesis.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  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that fall within the weight capacity of the spell can be hurled, but they are allowed Will saves (and spell resistance) to negate the effect, as are those whose held possessions are targeted by the spell.  If a hurled creature is thrown against a solid surface, it takes damage as if it had fallen 10 feet (1d6 points).</t>
  </si>
  <si>
    <t>&lt;p&gt;You produce a sweeping rush of sound that can hurl creatures or objects away from you, like the violent thrust version of &lt;i&gt;telekinesis&lt;/i&gt;.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level).&lt;/p&gt;&lt;p&gt;You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target.&lt;/p&gt;&lt;p&gt;Creatures that fall within the weight capacity of the spell can be hurled, but they are allowed Will saves (and spell resistance) to negate the effect, as are those whose held possessions are targeted by the spell.&lt;/p&gt;&lt;p&gt;If a hurled creature is thrown against a solid surface, it takes damage as if it had fallen 10 feet (1d6 points).&lt;/p&gt;</t>
  </si>
  <si>
    <t>&lt;link rel="stylesheet"href="PF.css"&gt;&lt;div class="heading"&gt;&lt;p class="alignleft"&gt;Sonic Thrust&lt;/p&gt;&lt;div style="clear: both;"&gt;&lt;/div&gt;&lt;/div&gt;&lt;div&gt;&lt;h5&gt;&lt;b&gt;School &lt;/b&gt;evocation [sonic]; &lt;b&gt;Level &lt;/b&gt;bard 4, sorcerer/wizard 5, psychic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&lt;/b&gt;see text&lt;/h5&gt;&lt;h5&gt;&lt;b&gt;Duration &lt;/b&gt;instantaneous&lt;/h5&gt;&lt;h5&gt;&lt;b&gt;Saving Throw &lt;/b&gt;Will negates (object) or none (see text); &lt;b&gt;Spell Resistance &lt;/b&gt;yes (object) (see text)&lt;/h5&gt;&lt;/div&gt;&lt;hr/&gt;&lt;div&gt;&lt;h5&gt;&lt;b&gt;DESCRIPTION&lt;/b&gt;&lt;/h5&gt;&lt;/div&gt;&lt;hr/&gt;&lt;div&gt;&lt;h4&gt;&lt;p&gt;You produce a sweeping rush of sound that can hurl creatures or objects away from you, like the violent thrust version of &lt;i&gt;telekinesis&lt;/i&gt;.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level).&lt;/p&gt;&lt;p&gt;You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target.&lt;/p&gt;&lt;p&gt;Creatures that fall within the weight capacity of the spell can be hurled, but they are allowed Will saves (and spell resistance) to negate the effect, as are those whose held possessions are targeted by the spell.&lt;/p&gt;&lt;p&gt;If a hurled creature is thrown against a solid surface, it takes damage as if it had fallen 10 feet (1d6 points).&lt;/p&gt;&lt;/h4&gt;&lt;/div&gt;</t>
  </si>
  <si>
    <t>Sound moves targets away from you.</t>
  </si>
  <si>
    <t>Soothe Construct</t>
  </si>
  <si>
    <t>cleric/oracle 4, sorcerer/wizard 5, occultist 4</t>
  </si>
  <si>
    <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t>
  </si>
  <si>
    <t>&lt;p&gt;You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0%.&lt;/p&gt;</t>
  </si>
  <si>
    <t>&lt;link rel="stylesheet"href="PF.css"&gt;&lt;div class="heading"&gt;&lt;p class="alignleft"&gt;Soothe Construct&lt;/p&gt;&lt;div style="clear: both;"&gt;&lt;/div&gt;&lt;/div&gt;&lt;div&gt;&lt;h5&gt;&lt;b&gt;School &lt;/b&gt;abjuration; &lt;b&gt;Level &lt;/b&gt;cleric/oracle 4, sorcerer/wizard 5, occultist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construct&lt;/h5&gt;&lt;h5&gt;&lt;b&gt;Duration &lt;/b&gt;instantaneous&lt;/h5&gt;&lt;h5&gt;&lt;b&gt;Saving Throw &lt;/b&gt;none; &lt;b&gt;Spell Resistance &lt;/b&gt;no&lt;/h5&gt;&lt;/div&gt;&lt;hr/&gt;&lt;div&gt;&lt;h5&gt;&lt;b&gt;DESCRIPTION&lt;/b&gt;&lt;/h5&gt;&lt;/div&gt;&lt;hr/&gt;&lt;div&gt;&lt;h4&gt;&lt;p&gt;You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0%.&lt;/p&gt;&lt;/h4&gt;&lt;/div&gt;</t>
  </si>
  <si>
    <t>Reduce the berserk chance of a construct.</t>
  </si>
  <si>
    <t>Spear Of Purity</t>
  </si>
  <si>
    <t>spear-shaped projectile of good energy</t>
  </si>
  <si>
    <t>instantaneous (1 round)</t>
  </si>
  <si>
    <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t>
  </si>
  <si>
    <t>&lt;p&gt;You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creatures.&lt;/p&gt;</t>
  </si>
  <si>
    <t>&lt;link rel="stylesheet"href="PF.css"&gt;&lt;div class="heading"&gt;&lt;p class="alignleft"&gt;Spear Of Purity&lt;/p&gt;&lt;div style="clear: both;"&gt;&lt;/div&gt;&lt;/div&gt;&lt;div&gt;&lt;h5&gt;&lt;b&gt;School &lt;/b&gt;evocation [good];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&lt;/b&gt;spear-shaped projectile of good energy&lt;/h5&gt;&lt;h5&gt;&lt;b&gt;Duration &lt;/b&gt;instantaneous (1 round)&lt;/h5&gt;&lt;h5&gt;&lt;b&gt;Saving Throw &lt;/b&gt;Will partial (see text); &lt;b&gt;Spell Resistance &lt;/b&gt;yes&lt;/h5&gt;&lt;/div&gt;&lt;hr/&gt;&lt;div&gt;&lt;h5&gt;&lt;b&gt;DESCRIPTION&lt;/b&gt;&lt;/h5&gt;&lt;/div&gt;&lt;hr/&gt;&lt;div&gt;&lt;h4&gt;&lt;p&gt;You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creatures.&lt;/p&gt;&lt;/h4&gt;&lt;/div&gt;</t>
  </si>
  <si>
    <t>Harm and possibly blind evil creatures.</t>
  </si>
  <si>
    <t>Spit Venom</t>
  </si>
  <si>
    <t>cleric/oracle 4, druid 3, witch 3, shaman 4</t>
  </si>
  <si>
    <t>one stream of venom</t>
  </si>
  <si>
    <t>You spit a stream of venom at a target using a ranged touch attack. If the venom hits, it causes blindness for 1 round. The target must also save or be poisoned by black adder venom; the DC in successive rounds of the poison is equal to the spell's DC.</t>
  </si>
  <si>
    <t>&lt;p&gt;You spit a stream of venom at a target using a ranged touch attack. If the venom hits, it causes blindness for 1 round. The target must also save or be poisoned by black adder venom; the DC in successive rounds of the poison is equal to the spell's DC.&lt;/p&gt;</t>
  </si>
  <si>
    <t>&lt;link rel="stylesheet"href="PF.css"&gt;&lt;div class="heading"&gt;&lt;p class="alignleft"&gt;Spit Venom&lt;/p&gt;&lt;div style="clear: both;"&gt;&lt;/div&gt;&lt;/div&gt;&lt;div&gt;&lt;h5&gt;&lt;b&gt;School &lt;/b&gt;transmutation [poison]; &lt;b&gt;Level &lt;/b&gt;cleric/oracle 4, druid 3, witch 3, shaman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stream of venom&lt;/h5&gt;&lt;h5&gt;&lt;b&gt;Duration &lt;/b&gt;instantaneous; see text&lt;/h5&gt;&lt;h5&gt;&lt;b&gt;Saving Throw &lt;/b&gt;Fortitude partial; &lt;b&gt;Spell Resistance &lt;/b&gt;no&lt;/h5&gt;&lt;/div&gt;&lt;hr/&gt;&lt;div&gt;&lt;h5&gt;&lt;b&gt;DESCRIPTION&lt;/b&gt;&lt;/h5&gt;&lt;/div&gt;&lt;hr/&gt;&lt;div&gt;&lt;h4&gt;&lt;p&gt;You spit a stream of venom at a target using a ranged touch attack. If the venom hits, it causes blindness for 1 round. The target must also save or be poisoned by black adder venom; the DC in successive rounds of the poison is equal to the spell's DC.&lt;/p&gt;&lt;/h4&gt;&lt;/div&gt;</t>
  </si>
  <si>
    <t>Spit blinding black adder venom.</t>
  </si>
  <si>
    <t>Steal Voice</t>
  </si>
  <si>
    <t>The target's throat constricts, giving it the caster croak spellblight (see page 95).</t>
  </si>
  <si>
    <t>&lt;p&gt;The target's throat constricts, giving it the caster croak spellblight (see page 95).&lt;/p&gt;</t>
  </si>
  <si>
    <t>&lt;link rel="stylesheet"href="PF.css"&gt;&lt;div class="heading"&gt;&lt;p class="alignleft"&gt;Steal Voice&lt;/p&gt;&lt;div style="clear: both;"&gt;&lt;/div&gt;&lt;/div&gt;&lt;div&gt;&lt;h5&gt;&lt;b&gt;School &lt;/b&gt;necromancy; &lt;b&gt;Level &lt;/b&gt;bard 2, sorcerer/wizard 2, witch 2, psychic 2, mesmerist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&lt;/b&gt;permanent (D)&lt;/h5&gt;&lt;h5&gt;&lt;b&gt;Saving Throw &lt;/b&gt;Fortitude negates; &lt;b&gt;Spell Resistance &lt;/b&gt;yes&lt;/h5&gt;&lt;/div&gt;&lt;hr/&gt;&lt;div&gt;&lt;h5&gt;&lt;b&gt;DESCRIPTION&lt;/b&gt;&lt;/h5&gt;&lt;/div&gt;&lt;hr/&gt;&lt;div&gt;&lt;h4&gt;&lt;p&gt;The target's throat constricts, giving it the caster croak spellblight (see page 95).&lt;/p&gt;&lt;/h4&gt;&lt;/div&gt;</t>
  </si>
  <si>
    <t>Target gains the croaking spellblight.</t>
  </si>
  <si>
    <t>Strangling Hair</t>
  </si>
  <si>
    <t>sorcerer/wizard 3, witch 3, psychic 3</t>
  </si>
  <si>
    <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t>
  </si>
  <si>
    <t>&lt;p&gt;Your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dispelled.&lt;/p&gt;</t>
  </si>
  <si>
    <t>&lt;link rel="stylesheet"href="PF.css"&gt;&lt;div class="heading"&gt;&lt;p class="alignleft"&gt;Strangling Hair&lt;/p&gt;&lt;div style="clear: both;"&gt;&lt;/div&gt;&lt;/div&gt;&lt;div&gt;&lt;h5&gt;&lt;b&gt;School &lt;/b&gt;transmutation; &lt;b&gt;Level &lt;/b&gt;sorcerer/wizard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&lt;/b&gt;concentration, up to 1 round/level&lt;/h5&gt;&lt;h5&gt;&lt;b&gt;Saving Throw &lt;/b&gt;none; &lt;b&gt;Spell Resistance &lt;/b&gt;yes&lt;/h5&gt;&lt;/div&gt;&lt;hr/&gt;&lt;div&gt;&lt;h5&gt;&lt;b&gt;DESCRIPTION&lt;/b&gt;&lt;/h5&gt;&lt;/div&gt;&lt;hr/&gt;&lt;div&gt;&lt;h4&gt;&lt;p&gt;Your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dispelled.&lt;/p&gt;&lt;/h4&gt;&lt;h5&gt;&lt;b&gt;Mythic: &lt;/b&gt;You may use your hair to attempt dirty trick, disarm, steal, or trip combat maneuvers instead of grapple combat maneuvers. Add your tier to combat maneuver checks attempted with your hair and to your hair's damage rolls made as part of a grapple.&lt;/h5&gt;&lt;/div&gt;</t>
  </si>
  <si>
    <t>Your hair animates and grapples.</t>
  </si>
  <si>
    <t>You may use your hair to attempt dirty trick, disarm, steal, or trip combat maneuvers instead of grapple combat maneuvers. Add your tier to combat maneuver checks attempted with your hair and to your hair's damage rolls made as part of a grapple.</t>
  </si>
  <si>
    <t>Summon Elder Worm</t>
  </si>
  <si>
    <t>This spell functions as summon nature's ally VIII, except you summon a purple worm with the giant creature simple template (Bestiary 295).</t>
  </si>
  <si>
    <t>&lt;p&gt;This spell functions as summon nature's ally VIII, except you summon a purple worm with the giant creature simple template (&lt;i&gt;Bestiary&lt;/i&gt; 295).&lt;/p&gt;</t>
  </si>
  <si>
    <t>&lt;link rel="stylesheet"href="PF.css"&gt;&lt;div class="heading"&gt;&lt;p class="alignleft"&gt;Summon Elder Worm&lt;/p&gt;&lt;div style="clear: both;"&gt;&lt;/div&gt;&lt;/div&gt;&lt;div&gt;&lt;h5&gt;&lt;b&gt;School &lt;/b&gt;conjuration (summoning); &lt;b&gt;Level &lt;/b&gt;druid 9&lt;/h5&gt;&lt;/div&gt;&lt;hr/&gt;&lt;div&gt;&lt;h5&gt;&lt;b&gt;CASTING&lt;/b&gt;&lt;/h5&gt;&lt;/div&gt;&lt;hr/&gt;&lt;div&gt;&lt;h5&gt;&lt;b&gt;Casting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nature's ally VIII, except you summon a purple worm with the giant creature simple template (&lt;i&gt;Bestiary&lt;/i&gt; 295).&lt;/p&gt;&lt;/h4&gt;&lt;/div&gt;</t>
  </si>
  <si>
    <t>Summon a giant purple worm.</t>
  </si>
  <si>
    <t>Summon Froghemoth</t>
  </si>
  <si>
    <t>This spell functions as summon nature's ally IX, except you summon a froghemoth (Bestiary 136).</t>
  </si>
  <si>
    <t>&lt;p&gt;This spell functions as summon nature's ally IX, except you summon a froghemoth (&lt;i&gt;Bestiary&lt;/i&gt; 136).&lt;/p&gt;</t>
  </si>
  <si>
    <t>&lt;link rel="stylesheet"href="PF.css"&gt;&lt;div class="heading"&gt;&lt;p class="alignleft"&gt;Summon Froghemoth&lt;/p&gt;&lt;div style="clear: both;"&gt;&lt;/div&gt;&lt;/div&gt;&lt;div&gt;&lt;h5&gt;&lt;b&gt;School &lt;/b&gt;conjuration (summoning); &lt;b&gt;Level &lt;/b&gt;druid 9&lt;/h5&gt;&lt;/div&gt;&lt;hr/&gt;&lt;div&gt;&lt;h5&gt;&lt;b&gt;CASTING&lt;/b&gt;&lt;/h5&gt;&lt;/div&gt;&lt;hr/&gt;&lt;div&gt;&lt;h5&gt;&lt;b&gt;Casting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nature's ally IX, except you summon a froghemoth (&lt;i&gt;Bestiary&lt;/i&gt; 136).&lt;/p&gt;&lt;/h4&gt;&lt;/div&gt;</t>
  </si>
  <si>
    <t>Summon a froghemoth.</t>
  </si>
  <si>
    <t>Summon Minor Ally</t>
  </si>
  <si>
    <t>1d3 summoned creatures</t>
  </si>
  <si>
    <t>This spell functions as summon nature's ally I, except you can summon 1d3 Tiny or smaller animals, such as bats, lizards, monkeys, rats, ravens, toads, or weasels. The summoned animals must all be the same type of creature.</t>
  </si>
  <si>
    <t>&lt;p&gt;This spell functions as summon nature's ally I, except you can summon 1d3 Tiny or smaller animals, such as bats, lizards, monkeys, rats, ravens, toads, or weasels. The summoned animals must all be the same type of creature.&lt;/p&gt;</t>
  </si>
  <si>
    <t>&lt;link rel="stylesheet"href="PF.css"&gt;&lt;div class="heading"&gt;&lt;p class="alignleft"&gt;Summon Minor Ally&lt;/p&gt;&lt;div style="clear: both;"&gt;&lt;/div&gt;&lt;/div&gt;&lt;div&gt;&lt;h5&gt;&lt;b&gt;School &lt;/b&gt;conjuration (summoning); &lt;b&gt;Level &lt;/b&gt;druid 1, ranger 1&lt;/h5&gt;&lt;/div&gt;&lt;hr/&gt;&lt;div&gt;&lt;h5&gt;&lt;b&gt;CASTING&lt;/b&gt;&lt;/h5&gt;&lt;/div&gt;&lt;hr/&gt;&lt;div&gt;&lt;h5&gt;&lt;b&gt;Casting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&lt;/b&gt;1d3 summoned creatures&lt;/h5&gt;&lt;h5&gt;&lt;b&gt;Duration &lt;/b&gt;1 round/level (D)&lt;/h5&gt;&lt;h5&gt;&lt;b&gt;Saving Throw &lt;/b&gt;none; &lt;b&gt;Spell Resistance &lt;/b&gt;no&lt;/h5&gt;&lt;/div&gt;&lt;hr/&gt;&lt;div&gt;&lt;h5&gt;&lt;b&gt;DESCRIPTION&lt;/b&gt;&lt;/h5&gt;&lt;/div&gt;&lt;hr/&gt;&lt;div&gt;&lt;h4&gt;&lt;p&gt;This spell functions as summon nature's ally I, except you can summon 1d3 Tiny or smaller animals, such as bats, lizards, monkeys, rats, ravens, toads, or weasels. The summoned animals must all be the same type of creature.&lt;/p&gt;&lt;/h4&gt;&lt;/div&gt;</t>
  </si>
  <si>
    <t>Summon 1d3 Tiny animals.</t>
  </si>
  <si>
    <t>Summon Minor Monster</t>
  </si>
  <si>
    <t>antipaladin 1, bard 1, cleric/oracle 1, sorcerer/wizard 1, summoner 1, witch 1, psychic 1</t>
  </si>
  <si>
    <t>This spell functions as summon monster I, except you can summon 1d3 Tiny or smaller animals, such as bats, lizards, monkeys, rats, ravens, toads, or weasels. The summoned animals must all be the same type of creature. As with animals summoned with summon monster I, you may apply one alignment-appropriate template to these animals.</t>
  </si>
  <si>
    <t>&lt;p&gt;This spell functions as &lt;i&gt;summon monster I&lt;/i&gt;, except you can summon 1d3 Tiny or smaller animals, such as bats, lizards, monkeys, rats, ravens, toads, or weasels. The summoned animals must all be the same type of creature. As with animals summoned with &lt;i&gt;summon monster I&lt;/i&gt;, you may apply one alignment-appropriate template to these animals.&lt;/p&gt;</t>
  </si>
  <si>
    <t>&lt;link rel="stylesheet"href="PF.css"&gt;&lt;div class="heading"&gt;&lt;p class="alignleft"&gt;Summon Minor Monster&lt;/p&gt;&lt;div style="clear: both;"&gt;&lt;/div&gt;&lt;/div&gt;&lt;div&gt;&lt;h5&gt;&lt;b&gt;School &lt;/b&gt;conjuration (summoning); &lt;b&gt;Level &lt;/b&gt;antipaladin 1, bard 1, cleric/oracle 1, sorcerer/wizard 1, summoner 1, witch 1, psychic 1&lt;/h5&gt;&lt;/div&gt;&lt;hr/&gt;&lt;div&gt;&lt;h5&gt;&lt;b&gt;CASTING&lt;/b&gt;&lt;/h5&gt;&lt;/div&gt;&lt;hr/&gt;&lt;div&gt;&lt;h5&gt;&lt;b&gt;Casting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&lt;/b&gt;1d3 summoned creatures&lt;/h5&gt;&lt;h5&gt;&lt;b&gt;Duration &lt;/b&gt;1 round/level (D)&lt;/h5&gt;&lt;h5&gt;&lt;b&gt;Saving Throw &lt;/b&gt;none; &lt;b&gt;Spell Resistance &lt;/b&gt;no&lt;/h5&gt;&lt;/div&gt;&lt;hr/&gt;&lt;div&gt;&lt;h5&gt;&lt;b&gt;DESCRIPTION&lt;/b&gt;&lt;/h5&gt;&lt;/div&gt;&lt;hr/&gt;&lt;div&gt;&lt;h4&gt;&lt;p&gt;This spell functions as &lt;i&gt;summon monster I&lt;/i&gt;, except you can summon 1d3 Tiny or smaller animals, such as bats, lizards, monkeys, rats, ravens, toads, or weasels. The summoned animals must all be the same type of creature. As with animals summoned with &lt;i&gt;summon monster I&lt;/i&gt;, you may apply one alignment-appropriate template to these animals.&lt;/p&gt;&lt;/h4&gt;&lt;/div&gt;</t>
  </si>
  <si>
    <t>Surmount Affliction</t>
  </si>
  <si>
    <t>cleric/oracle 2, inquisitor 2, spiritualist 2</t>
  </si>
  <si>
    <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t>
  </si>
  <si>
    <t>&lt;p&gt;You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sickened.&lt;/p&gt;</t>
  </si>
  <si>
    <t>&lt;link rel="stylesheet"href="PF.css"&gt;&lt;div class="heading"&gt;&lt;p class="alignleft"&gt;Surmount Affliction&lt;/p&gt;&lt;div style="clear: both;"&gt;&lt;/div&gt;&lt;/div&gt;&lt;div&gt;&lt;h5&gt;&lt;b&gt;School &lt;/b&gt;abjuration; &lt;b&gt;Level &lt;/b&gt;cleric/oracle 2, inquisitor 2, spiritualist 2&lt;/h5&gt;&lt;/div&gt;&lt;hr/&gt;&lt;div&gt;&lt;h5&gt;&lt;b&gt;CASTING&lt;/b&gt;&lt;/h5&gt;&lt;/div&gt;&lt;hr/&gt;&lt;div&gt;&lt;h5&gt;&lt;b&gt;Casting Time &lt;/b&gt;1 standard action&lt;/h5&gt;&lt;h5&gt;&lt;b&gt;Components &lt;/b&gt;V, S&lt;/h5&gt;&lt;/div&gt;&lt;hr/&gt;&lt;div&gt;&lt;h5&gt;&lt;b&gt;EFFECT&lt;/b&gt;&lt;/h5&gt;&lt;/div&gt;&lt;hr/&gt;&lt;div&gt;&lt;h5&gt;&lt;b&gt;Range &lt;/b&gt;you&lt;/h5&gt;&lt;h5&gt;&lt;b&gt;Targets &lt;/b&gt;personal&lt;/h5&gt;&lt;h5&gt;&lt;b&gt;Duration &lt;/b&gt;1 round/level&lt;/h5&gt;&lt;/div&gt;&lt;hr/&gt;&lt;div&gt;&lt;h5&gt;&lt;b&gt;DESCRIPTION&lt;/b&gt;&lt;/h5&gt;&lt;/div&gt;&lt;hr/&gt;&lt;div&gt;&lt;h4&gt;&lt;p&gt;You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sickened.&lt;/p&gt;&lt;/h4&gt;&lt;h5&gt;&lt;b&gt;Mythic: &lt;/b&gt;You can cast this spell with no verbal or somatic component, and even if you're helpless (but not unconscious). You temporarily overcome a number of additional harmful conditions equal to half your tier.&lt;/h5&gt;&lt;h5&gt;&lt;b&gt;Augmented (7th)&lt;/b&gt;: If you expend three uses of mythic power, you become immune to all afflictions the spell can normally overcome. In addition, you overcome (but do not become immune to) one of the following conditions: exhausted, nauseated, panicked, petrified, staggered, and stunned.&lt;/h5&gt;&lt;/div&gt;</t>
  </si>
  <si>
    <t>Temporarily suppress one condition.</t>
  </si>
  <si>
    <t>Martyred (5)</t>
  </si>
  <si>
    <t>You can cast this spell with no verbal or somatic component, and even if you're helpless (but not unconscious). You temporarily overcome a number of additional harmful conditions equal to half your tier.</t>
  </si>
  <si>
    <t>Augmented (7th): If you expend three uses of mythic power, you become immune to all afflictions the spell can normally overcome. In addition, you overcome (but do not become immune to) one of the following conditions: exhausted, nauseated, panicked, petrified, staggered, and stunned.</t>
  </si>
  <si>
    <t>Symbol of Healing</t>
  </si>
  <si>
    <t>cleric/oracle 3, paladin 4, witch 4, occultist 3</t>
  </si>
  <si>
    <t>V, S, M (mercury and phosphorous, plus powdered diamond and opal worth a total of 500 gp)</t>
  </si>
  <si>
    <t>Will half (harmless) (see text)</t>
  </si>
  <si>
    <t>yes (harmless) (see text)</t>
  </si>
  <si>
    <t>This spell functions as symbol of death, except all creatures within 60 feet of the symbol of healing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  Symbol of healing can be made permanent with a permanency spell by a caster of 10th level or higher for the cost of 10,000 gp.</t>
  </si>
  <si>
    <t>&lt;p&gt;This spell functions as &lt;i&gt;symbol of death&lt;/i&gt;, except all creatures within 60 feet of the &lt;i&gt;symbol of healing&lt;/i&gt;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level.&lt;/p&gt;&lt;p&gt;&lt;i&gt;Symbol of healing&lt;/i&gt; can be made permanent with a &lt;i&gt;permanency&lt;/i&gt; spell by a caster of 10th level or higher for the cost of 10,000 gp.&lt;/p&gt;</t>
  </si>
  <si>
    <t>&lt;link rel="stylesheet"href="PF.css"&gt;&lt;div class="heading"&gt;&lt;p class="alignleft"&gt;Symbol of Healing&lt;/p&gt;&lt;div style="clear: both;"&gt;&lt;/div&gt;&lt;/div&gt;&lt;div&gt;&lt;h5&gt;&lt;b&gt;School &lt;/b&gt;conjuration (healing); &lt;b&gt;Level &lt;/b&gt;cleric/oracle 3, paladin 4, witch 4, occultist 3&lt;/h5&gt;&lt;/div&gt;&lt;hr/&gt;&lt;div&gt;&lt;h5&gt;&lt;b&gt;CASTING&lt;/b&gt;&lt;/h5&gt;&lt;/div&gt;&lt;hr/&gt;&lt;div&gt;&lt;h5&gt;&lt;b&gt;Casting Time &lt;/b&gt;10 minutes&lt;/h5&gt;&lt;h5&gt;&lt;b&gt;Components &lt;/b&gt;V, S, M (mercury and phosphorous, plus powdered diamond and opal worth a total of 500 gp)&lt;/h5&gt;&lt;/div&gt;&lt;hr/&gt;&lt;div&gt;&lt;h5&gt;&lt;b&gt;EFFECT&lt;/b&gt;&lt;/h5&gt;&lt;/div&gt;&lt;hr/&gt;&lt;div&gt;&lt;h5&gt;&lt;b&gt;Range &lt;/b&gt;0 ft.; see text&lt;/h5&gt;&lt;h5&gt;&lt;b&gt;Effect &lt;/b&gt;one symbol&lt;/h5&gt;&lt;h5&gt;&lt;b&gt;Duration &lt;/b&gt;see text&lt;/h5&gt;&lt;h5&gt;&lt;b&gt;Saving Throw &lt;/b&gt;Will half (harmless) (see text); &lt;b&gt;Spell Resistance &lt;/b&gt;yes (harmless) (see text)&lt;/h5&gt;&lt;/div&gt;&lt;hr/&gt;&lt;div&gt;&lt;h5&gt;&lt;b&gt;DESCRIPTION&lt;/b&gt;&lt;/h5&gt;&lt;/div&gt;&lt;hr/&gt;&lt;div&gt;&lt;h4&gt;&lt;p&gt;This spell functions as &lt;i&gt;symbol of death&lt;/i&gt;, except all creatures within 60 feet of the &lt;i&gt;symbol of healing&lt;/i&gt;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level.&lt;/p&gt;&lt;p&gt;&lt;i&gt;Symbol of healing&lt;/i&gt; can be made permanent with a &lt;i&gt;permanency&lt;/i&gt; spell by a caster of 10th level or higher for the cost of 10,000 gp.&lt;/p&gt;&lt;/h4&gt;&lt;/div&gt;</t>
  </si>
  <si>
    <t>Triggered rune heals living creatures.</t>
  </si>
  <si>
    <t>Symbol of Mirroring</t>
  </si>
  <si>
    <t>sorcerer/wizard 2, witch 2, occultist 2, mesmerist 2</t>
  </si>
  <si>
    <t>V, S, M (mercury and phosphorous, plus powdered diamond and opal worth a total of 100 gp)</t>
  </si>
  <si>
    <t>Will partial (harmless)</t>
  </si>
  <si>
    <t>This spell functions as symbol of death, except it instead creates one illusory duplicate of each creature within 60 feet of the symbol. These duplicates function as mirror image,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  Symbol of mirroring can be made permanent with a permanency spell by a caster of 10th level or higher for the cost of 5,000 gp.</t>
  </si>
  <si>
    <t>&lt;p&gt;This spell functions as &lt;i&gt;symbol of death&lt;/i&gt;, except it instead creates one illusory duplicate of each creature within 60 feet of the symbol. These duplicates function as &lt;i&gt;mirror image&lt;/i&gt;,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level.&lt;/p&gt;&lt;p&gt;&lt;i&gt;Symbol of mirroring&lt;/i&gt; can be made permanent with a &lt;i&gt;permanency&lt;/i&gt; spell by a caster of 10th level or higher for the cost of 5,000 gp.&lt;/p&gt;</t>
  </si>
  <si>
    <t>&lt;link rel="stylesheet"href="PF.css"&gt;&lt;div class="heading"&gt;&lt;p class="alignleft"&gt;Symbol of Mirroring&lt;/p&gt;&lt;div style="clear: both;"&gt;&lt;/div&gt;&lt;/div&gt;&lt;div&gt;&lt;h5&gt;&lt;b&gt;School &lt;/b&gt;illusion (figment); &lt;b&gt;Level &lt;/b&gt;sorcerer/wizard 2, witch 2, occultist 2, mesmerist 2&lt;/h5&gt;&lt;/div&gt;&lt;hr/&gt;&lt;div&gt;&lt;h5&gt;&lt;b&gt;CASTING&lt;/b&gt;&lt;/h5&gt;&lt;/div&gt;&lt;hr/&gt;&lt;div&gt;&lt;h5&gt;&lt;b&gt;Casting Time &lt;/b&gt;10 minutes&lt;/h5&gt;&lt;h5&gt;&lt;b&gt;Components &lt;/b&gt;V, S, M (mercury and phosphorous, plus powdered diamond and opal worth a total of 100 gp)&lt;/h5&gt;&lt;/div&gt;&lt;hr/&gt;&lt;div&gt;&lt;h5&gt;&lt;b&gt;EFFECT&lt;/b&gt;&lt;/h5&gt;&lt;/div&gt;&lt;hr/&gt;&lt;div&gt;&lt;h5&gt;&lt;b&gt;Range &lt;/b&gt;0 ft.; see text&lt;/h5&gt;&lt;h5&gt;&lt;b&gt;Effect &lt;/b&gt;one symbol&lt;/h5&gt;&lt;h5&gt;&lt;b&gt;Duration &lt;/b&gt;see text&lt;/h5&gt;&lt;h5&gt;&lt;b&gt;Saving Throw &lt;/b&gt;Will partial (harmless); &lt;b&gt;Spell Resistance &lt;/b&gt;yes&lt;/h5&gt;&lt;/div&gt;&lt;hr/&gt;&lt;div&gt;&lt;h5&gt;&lt;b&gt;DESCRIPTION&lt;/b&gt;&lt;/h5&gt;&lt;/div&gt;&lt;hr/&gt;&lt;div&gt;&lt;h4&gt;&lt;p&gt;This spell functions as &lt;i&gt;symbol of death&lt;/i&gt;, except it instead creates one illusory duplicate of each creature within 60 feet of the symbol. These duplicates function as &lt;i&gt;mirror image&lt;/i&gt;,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level.&lt;/p&gt;&lt;p&gt;&lt;i&gt;Symbol of mirroring&lt;/i&gt; can be made permanent with a &lt;i&gt;permanency&lt;/i&gt; spell by a caster of 10th level or higher for the cost of 5,000 gp.&lt;/p&gt;&lt;/h4&gt;&lt;/div&gt;</t>
  </si>
  <si>
    <t>Triggered rune creates mirror images.</t>
  </si>
  <si>
    <t>Symbol of Revelation</t>
  </si>
  <si>
    <t>cleric/oracle 4, sorcerer/wizard 4, witch 4, occultist 3</t>
  </si>
  <si>
    <t>V, S, M (mercury and phosphorous, plus powdered diamond and opal worth a total of 1,000 gp)</t>
  </si>
  <si>
    <t>This spell functions as symbol of death, except it is only activated by invisible creatures, creatures affected by an illusion (glamer) effect, creatures with the shapechanger subtype, or creatures that have magically changed their shape. These creatures are outlined by a pale light that functions like faerie fire, except it lasts for 10 minutes per caster level; the symbol does not otherwise reveal their true form. Once triggered, a symbol of revelation remains active for 10 minutes per caster level.  Symbol of revelation can be made permanent with a permanency spell by a caster of 12th level or higher for the cost of 10,000 gp.</t>
  </si>
  <si>
    <t>&lt;p&gt;This spell functions as &lt;i&gt;symbol of death&lt;/i&gt;, except it is only activated by invisible creatures, creatures affected by an illusion (glamer) effect, creatures with the shapechanger subtype, or creatures that have magically changed their shape. These creatures are outlined by a pale light that functions like &lt;i&gt;faerie fire&lt;/i&gt;, except it lasts for 10 minutes per caster level; the symbol does not otherwise reveal their true form. Once triggered, a &lt;i&gt;symbol of revelation&lt;/i&gt; remains active for 10 minutes per caster level.&lt;/p&gt;&lt;p&gt;&lt;i&gt;Symbol of revelation&lt;/i&gt; can be made permanent with a &lt;i&gt;permanency&lt;/i&gt; spell by a caster of 12th level or higher for the cost of 10,000 gp.&lt;/p&gt;</t>
  </si>
  <si>
    <t>&lt;link rel="stylesheet"href="PF.css"&gt;&lt;div class="heading"&gt;&lt;p class="alignleft"&gt;Symbol of Revelation&lt;/p&gt;&lt;div style="clear: both;"&gt;&lt;/div&gt;&lt;/div&gt;&lt;div&gt;&lt;h5&gt;&lt;b&gt;School &lt;/b&gt;divination; &lt;b&gt;Level &lt;/b&gt;cleric/oracle 4, sorcerer/wizard 4, witch 4, occultist 3&lt;/h5&gt;&lt;/div&gt;&lt;hr/&gt;&lt;div&gt;&lt;h5&gt;&lt;b&gt;CASTING&lt;/b&gt;&lt;/h5&gt;&lt;/div&gt;&lt;hr/&gt;&lt;div&gt;&lt;h5&gt;&lt;b&gt;Casting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&lt;/b&gt;none; &lt;b&gt;Spell Resistance &lt;/b&gt;yes&lt;/h5&gt;&lt;/div&gt;&lt;hr/&gt;&lt;div&gt;&lt;h5&gt;&lt;b&gt;DESCRIPTION&lt;/b&gt;&lt;/h5&gt;&lt;/div&gt;&lt;hr/&gt;&lt;div&gt;&lt;h4&gt;&lt;p&gt;This spell functions as &lt;i&gt;symbol of death&lt;/i&gt;, except it is only activated by invisible creatures, creatures affected by an illusion (glamer) effect, creatures with the shapechanger subtype, or creatures that have magically changed their shape. These creatures are outlined by a pale light that functions like &lt;i&gt;faerie fire&lt;/i&gt;, except it lasts for 10 minutes per caster level; the symbol does not otherwise reveal their true form. Once triggered, a &lt;i&gt;symbol of revelation&lt;/i&gt; remains active for 10 minutes per caster level.&lt;/p&gt;&lt;p&gt;&lt;i&gt;Symbol of revelation&lt;/i&gt; can be made permanent with a &lt;i&gt;permanency&lt;/i&gt; spell by a caster of 12th level or higher for the cost of 10,000 gp.&lt;/p&gt;&lt;/h4&gt;&lt;/div&gt;</t>
  </si>
  <si>
    <t>Triggered symbol reveals illusions.</t>
  </si>
  <si>
    <t>Symbol of Scrying</t>
  </si>
  <si>
    <t>cleric/oracle 5, sorcerer/wizard 5, witch 5, occultist 4</t>
  </si>
  <si>
    <t>This spell functions as symbol of death, except that, when triggered, it creates a scrying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scrying spell with the sensor as the target creature. Once triggered, the symbol remains active for 10 minutes per caster level.  Unlike symbol of death, a symbol of scrying is not considered a magical trap. Symbol of scrying can be made permanent with a permanency spell by a caster of 13th level or higher for the cost of 10,000 gp.</t>
  </si>
  <si>
    <t>&lt;p&gt;This spell functions as &lt;i&gt;symbol of death&lt;/i&gt;, except that, when triggered, it creates a &lt;i&gt;scrying&lt;/i&gt;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&lt;i&gt;scrying&lt;/i&gt; spell with the sensor as the target creature. Once triggered, the symbol remains active for 10 minutes per caster level.&lt;/p&gt;&lt;p&gt;Unlike &lt;i&gt;symbol of death&lt;/i&gt;, a symbol of &lt;i&gt;scrying&lt;/i&gt; is not considered a magical trap. Symbol of &lt;i&gt;scrying&lt;/i&gt; can be made permanent with a &lt;i&gt;permanency&lt;/i&gt; spell by a caster of 13th level or higher for the cost of 10,000 gp.&lt;/p&gt;</t>
  </si>
  <si>
    <t>&lt;link rel="stylesheet"href="PF.css"&gt;&lt;div class="heading"&gt;&lt;p class="alignleft"&gt;Symbol of Scrying&lt;/p&gt;&lt;div style="clear: both;"&gt;&lt;/div&gt;&lt;/div&gt;&lt;div&gt;&lt;h5&gt;&lt;b&gt;School &lt;/b&gt;divination (scrying); &lt;b&gt;Level &lt;/b&gt;cleric/oracle 5, sorcerer/wizard 5, witch 5, occultist 4&lt;/h5&gt;&lt;/div&gt;&lt;hr/&gt;&lt;div&gt;&lt;h5&gt;&lt;b&gt;CASTING&lt;/b&gt;&lt;/h5&gt;&lt;/div&gt;&lt;hr/&gt;&lt;div&gt;&lt;h5&gt;&lt;b&gt;Casting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&lt;/b&gt;none; &lt;b&gt;Spell Resistance &lt;/b&gt;no&lt;/h5&gt;&lt;/div&gt;&lt;hr/&gt;&lt;div&gt;&lt;h5&gt;&lt;b&gt;DESCRIPTION&lt;/b&gt;&lt;/h5&gt;&lt;/div&gt;&lt;hr/&gt;&lt;div&gt;&lt;h4&gt;&lt;p&gt;This spell functions as &lt;i&gt;symbol of death&lt;/i&gt;, except that, when triggered, it creates a &lt;i&gt;scrying&lt;/i&gt;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&lt;i&gt;scrying&lt;/i&gt; spell with the sensor as the target creature. Once triggered, the symbol remains active for 10 minutes per caster level.&lt;/p&gt;&lt;p&gt;Unlike &lt;i&gt;symbol of death&lt;/i&gt;, a symbol of &lt;i&gt;scrying&lt;/i&gt; is not considered a magical trap. Symbol of &lt;i&gt;scrying&lt;/i&gt; can be made permanent with a &lt;i&gt;permanency&lt;/i&gt; spell by a caster of 13th level or higher for the cost of 10,000 gp.&lt;/p&gt;&lt;/h4&gt;&lt;/div&gt;</t>
  </si>
  <si>
    <t>Triggered rune activates scrying sensor.</t>
  </si>
  <si>
    <t>Symbol of Sealing</t>
  </si>
  <si>
    <t>V, S, M (mercury and phosphorous, plus powdered diamond and opal worth a total of 5,000 gp)</t>
  </si>
  <si>
    <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wall of force. Destroying the symbol ends the effect, though destroying it once the symbol has been activated requires destroying the wall of force first. Once triggered, the wall remains for 10 minutes per caster level.  When scribing a symbol of sealing, you can specify a password or phrase that allows a creature speaking it to bypass the seal and pass through the opening. You can also attune any number of creatures to the symbol of sealing, but doing this extends the casting time as described under symbol of death (Core Rulebook 355). However, the force wall created by the symbol blocks attacks and line of effect even for creatures that know the password or are attuned-the password only prevents them from triggering the symbol, not from ignoring its effects if triggered.  A disintegrate spell or similar effect can destroy the wall of force created by the symbol if the caster makes a caster level check against a DC of 11 + your caster level. A knock spell has no effect on a symbol of sealing or its force wall. A symbol of sealing cannot be dispelled, but mage's disjunction automatically destroys it.</t>
  </si>
  <si>
    <t>&lt;p&gt;This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&lt;i&gt;wall of force&lt;/i&gt;. Destroying the symbol ends the effect, though destroying it once the symbol has been activated requires destroying the &lt;i&gt;wall of force&lt;/i&gt; first. Once triggered, the wall remains for 10 minutes per caster level.&lt;/p&gt;&lt;p&gt;When scribing a &lt;i&gt;symbol of sealing&lt;/i&gt;, you can specify a password or phrase that allows a creature speaking it to bypass the seal and pass through the opening. You can also attune any number of creatures to the &lt;i&gt;symbol of sealing&lt;/i&gt;, but doing this extends the casting time as described under &lt;i&gt;symbol of death&lt;/i&gt; (Core &lt;i&gt;Rulebook&lt;/i&gt; 355). However, the force wall created by the symbol blocks attacks and line of effect even for creatures that know the password or are attuned-the password only prevents them from triggering the symbol, not from ignoring its effects if triggered.&lt;/p&gt;&lt;p&gt;A &lt;i&gt;disintegrate&lt;/i&gt; spell or similar effect can destroy the &lt;i&gt;wall of force&lt;/i&gt; created by the symbol if the caster makes a caster level check against a DC of 11 + your caster level. A &lt;i&gt;knock&lt;/i&gt; spell has no effect on a &lt;i&gt;symbol of sealing&lt;/i&gt; or its force wall. A &lt;i&gt;symbol of sealing&lt;/i&gt; cannot be dispelled, but mage's disjunction automatically destroys it.&lt;/p&gt;</t>
  </si>
  <si>
    <t>&lt;link rel="stylesheet"href="PF.css"&gt;&lt;div class="heading"&gt;&lt;p class="alignleft"&gt;Symbol of Sealing&lt;/p&gt;&lt;div style="clear: both;"&gt;&lt;/div&gt;&lt;/div&gt;&lt;div&gt;&lt;h5&gt;&lt;b&gt;School &lt;/b&gt;abjuration [force]; &lt;b&gt;Level &lt;/b&gt;cleric/oracle 6, sorcerer/wizard 6, witch 6, occultist 4&lt;/h5&gt;&lt;/div&gt;&lt;hr/&gt;&lt;div&gt;&lt;h5&gt;&lt;b&gt;CASTING&lt;/b&gt;&lt;/h5&gt;&lt;/div&gt;&lt;hr/&gt;&lt;div&gt;&lt;h5&gt;&lt;b&gt;Casting Time &lt;/b&gt;10 minutes&lt;/h5&gt;&lt;h5&gt;&lt;b&gt;Components &lt;/b&gt;V, S, M (mercury and phosphorous, plus powdered diamond and opal worth a total of 5,000 gp)&lt;/h5&gt;&lt;/div&gt;&lt;hr/&gt;&lt;div&gt;&lt;h5&gt;&lt;b&gt;EFFECT&lt;/b&gt;&lt;/h5&gt;&lt;/div&gt;&lt;hr/&gt;&lt;div&gt;&lt;h5&gt;&lt;b&gt;Range &lt;/b&gt;0 ft.; see text&lt;/h5&gt;&lt;h5&gt;&lt;b&gt;Effect &lt;/b&gt;one symbol&lt;/h5&gt;&lt;h5&gt;&lt;b&gt;Duration &lt;/b&gt;permanent&lt;/h5&gt;&lt;h5&gt;&lt;b&gt;Saving Throw &lt;/b&gt;none; &lt;b&gt;Spell Resistance &lt;/b&gt;no&lt;/h5&gt;&lt;/div&gt;&lt;hr/&gt;&lt;div&gt;&lt;h5&gt;&lt;b&gt;DESCRIPTION&lt;/b&gt;&lt;/h5&gt;&lt;/div&gt;&lt;hr/&gt;&lt;div&gt;&lt;h4&gt;&lt;p&gt;This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&lt;i&gt;wall of force&lt;/i&gt;. Destroying the symbol ends the effect, though destroying it once the symbol has been activated requires destroying the &lt;i&gt;wall of force&lt;/i&gt; first. Once triggered, the wall remains for 10 minutes per caster level.&lt;/p&gt;&lt;p&gt;When scribing a &lt;i&gt;symbol of sealing&lt;/i&gt;, you can specify a password or phrase that allows a creature speaking it to bypass the seal and pass through the opening. You can also attune any number of creatures to the &lt;i&gt;symbol of sealing&lt;/i&gt;, but doing this extends the casting time as described under &lt;i&gt;symbol of death&lt;/i&gt; (Core &lt;i&gt;Rulebook&lt;/i&gt; 355). However, the force wall created by the symbol blocks attacks and line of effect even for creatures that know the password or are attuned-the password only prevents them from triggering the symbol, not from ignoring its effects if triggered.&lt;/p&gt;&lt;p&gt;A &lt;i&gt;disintegrate&lt;/i&gt; spell or similar effect can destroy the &lt;i&gt;wall of force&lt;/i&gt; created by the symbol if the caster makes a caster level check against a DC of 11 + your caster level. A &lt;i&gt;knock&lt;/i&gt; spell has no effect on a &lt;i&gt;symbol of sealing&lt;/i&gt; or its force wall. A &lt;i&gt;symbol of sealing&lt;/i&gt; cannot be dispelled, but mage's disjunction automatically destroys it.&lt;/p&gt;&lt;/h4&gt;&lt;/div&gt;</t>
  </si>
  <si>
    <t>Create triggered wall of force.</t>
  </si>
  <si>
    <t>Symbol of Slowing</t>
  </si>
  <si>
    <t>This spell functions as symbol of death, except all creatures within 60 feet of a symbol of slowing are slowed (as the slow spell) for 1 round per caster level.  Symbol of slowing can be made permanent with a permanency spell by a caster of 11th level or higher for the cost of 10,000 gp.</t>
  </si>
  <si>
    <t>&lt;p&gt;This spell functions as &lt;i&gt;symbol of death&lt;/i&gt;, except all creatures within 60 feet of a &lt;i&gt;symbol of &lt;i&gt;slow&lt;/i&gt;ing&lt;/i&gt; are &lt;i&gt;slow&lt;/i&gt;ed (as the &lt;i&gt;slow&lt;/i&gt; spell) for 1 round per caster level.&lt;/p&gt;&lt;p&gt;Symbol of &lt;i&gt;slow&lt;/i&gt;ing can be made permanent with a &lt;i&gt;permanency&lt;/i&gt; spell by a caster of 11th level or higher for the cost of 10,000 gp.&lt;/p&gt;</t>
  </si>
  <si>
    <t>&lt;link rel="stylesheet"href="PF.css"&gt;&lt;div class="heading"&gt;&lt;p class="alignleft"&gt;Symbol of Slowing&lt;/p&gt;&lt;div style="clear: both;"&gt;&lt;/div&gt;&lt;/div&gt;&lt;div&gt;&lt;h5&gt;&lt;b&gt;School &lt;/b&gt;transmutation; &lt;b&gt;Level &lt;/b&gt;cleric/oracle 4, sorcerer/wizard 4, witch 4, occultist 3&lt;/h5&gt;&lt;/div&gt;&lt;hr/&gt;&lt;div&gt;&lt;h5&gt;&lt;b&gt;CASTING&lt;/b&gt;&lt;/h5&gt;&lt;/div&gt;&lt;hr/&gt;&lt;div&gt;&lt;h5&gt;&lt;b&gt;Casting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all creatures within 60 feet of a &lt;i&gt;symbol of &lt;i&gt;slow&lt;/i&gt;ing&lt;/i&gt; are &lt;i&gt;slow&lt;/i&gt;ed (as the &lt;i&gt;slow&lt;/i&gt; spell) for 1 round per caster level.&lt;/p&gt;&lt;p&gt;Symbol of &lt;i&gt;slow&lt;/i&gt;ing can be made permanent with a &lt;i&gt;permanency&lt;/i&gt; spell by a caster of 11th level or higher for the cost of 10,000 gp.&lt;/p&gt;&lt;/h4&gt;&lt;/div&gt;</t>
  </si>
  <si>
    <t>Triggered rune slows creatures.</t>
  </si>
  <si>
    <t>Symbol of Strife</t>
  </si>
  <si>
    <t>cleric/oracle 9, sorcerer/wizard 9, witch 9, occultist 6</t>
  </si>
  <si>
    <t>V, S, M (mercury and phosphorous, plus powdered diamond and opal worth a total of 15,000 gp)</t>
  </si>
  <si>
    <t>This spell functions as symbol of death, except all creatures within the radius of a symbol of strife are compelled to attack the nearest conscious creaturefor 1 round per caster level (similar to the "attack nearest creature" result of the confusion spell), even after leaving the symbol's area of effect. If no other creatures are visible, an affected creature can act normally. Once triggered, the symbol remains active for 10 minutes per caster level.  Symbol of strife can be made permanent with a permanency spell by a caster of 18th level or higher for the cost of 25,000 gp.</t>
  </si>
  <si>
    <t>&lt;p&gt;This spell functions as &lt;i&gt;symbol of death&lt;/i&gt;, except all creatures within the radius of a &lt;i&gt;symbol of strife&lt;/i&gt; are compelled to attack the nearest conscious creaturefor 1 round per caster level (similar to the "attack nearest creature" result of the &lt;i&gt;confusion&lt;/i&gt; spell), even after leaving the symbol's area of effect. If no other creatures are visible, an affected creature can act normally. Once triggered, the symbol remains active for 10 minutes per caster level.&lt;/p&gt;&lt;p&gt;&lt;i&gt;Symbol of strife&lt;/i&gt; can be made permanent with a &lt;i&gt;permanency&lt;/i&gt; spell by a caster of 18th level or higher for the cost of 25,000 gp.&lt;/p&gt;</t>
  </si>
  <si>
    <t>&lt;link rel="stylesheet"href="PF.css"&gt;&lt;div class="heading"&gt;&lt;p class="alignleft"&gt;Symbol of Strife&lt;/p&gt;&lt;div style="clear: both;"&gt;&lt;/div&gt;&lt;/div&gt;&lt;div&gt;&lt;h5&gt;&lt;b&gt;School &lt;/b&gt;enchantment (compulsion) [mind-affecting]; &lt;b&gt;Level &lt;/b&gt;cleric/oracle 9, sorcerer/wizard 9, witch 9, occultist 6&lt;/h5&gt;&lt;/div&gt;&lt;hr/&gt;&lt;div&gt;&lt;h5&gt;&lt;b&gt;CASTING&lt;/b&gt;&lt;/h5&gt;&lt;/div&gt;&lt;hr/&gt;&lt;div&gt;&lt;h5&gt;&lt;b&gt;Casting Time &lt;/b&gt;10 minutes&lt;/h5&gt;&lt;h5&gt;&lt;b&gt;Components &lt;/b&gt;V, S, M (mercury and phosphorous, plus powdered diamond and opal worth a total of 15,000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all creatures within the radius of a &lt;i&gt;symbol of strife&lt;/i&gt; are compelled to attack the nearest conscious creaturefor 1 round per caster level (similar to the "attack nearest creature" result of the &lt;i&gt;confusion&lt;/i&gt; spell), even after leaving the symbol's area of effect. If no other creatures are visible, an affected creature can act normally. Once triggered, the symbol remains active for 10 minutes per caster level.&lt;/p&gt;&lt;p&gt;&lt;i&gt;Symbol of strife&lt;/i&gt; can be made permanent with a &lt;i&gt;permanency&lt;/i&gt; spell by a caster of 18th level or higher for the cost of 25,000 gp.&lt;/p&gt;&lt;/h4&gt;&lt;/div&gt;</t>
  </si>
  <si>
    <t>Riot (9)</t>
  </si>
  <si>
    <t>Triggered rune makes creatures attack.</t>
  </si>
  <si>
    <t>Symbol of Vulnerability</t>
  </si>
  <si>
    <t>This spell functions as symbol of death,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  The effects last as long as the creature is within 60 feet of the symbol, and for 1 round per caster level afterward.  Symbol of vulnerability can be made permanent with a permanency spell by a caster of 18h level or higher for the cost of 25,000 gp.</t>
  </si>
  <si>
    <t>&lt;p&gt;This spell functions as &lt;i&gt;symbol of death&lt;/i&gt;,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level.&lt;/p&gt;&lt;p&gt;The effects last as long as the creature is within 60 feet of the symbol, and for 1 round per caster level afterward.&lt;/p&gt;&lt;p&gt;&lt;i&gt;Symbol of vulnerability&lt;/i&gt; can be made permanent with a &lt;i&gt;permanency&lt;/i&gt; spell by a caster of 18h level or higher for the cost of 25,000 gp.&lt;/p&gt;</t>
  </si>
  <si>
    <t>&lt;link rel="stylesheet"href="PF.css"&gt;&lt;div class="heading"&gt;&lt;p class="alignleft"&gt;Symbol of Vulnerability&lt;/p&gt;&lt;div style="clear: both;"&gt;&lt;/div&gt;&lt;/div&gt;&lt;div&gt;&lt;h5&gt;&lt;b&gt;School &lt;/b&gt;abjuration; &lt;b&gt;Level &lt;/b&gt;cleric/oracle 9, sorcerer/wizard 9, witch 9, occultist 6&lt;/h5&gt;&lt;/div&gt;&lt;hr/&gt;&lt;div&gt;&lt;h5&gt;&lt;b&gt;CASTING&lt;/b&gt;&lt;/h5&gt;&lt;/div&gt;&lt;hr/&gt;&lt;div&gt;&lt;h5&gt;&lt;b&gt;Casting Time &lt;/b&gt;10 minutes&lt;/h5&gt;&lt;h5&gt;&lt;b&gt;Components &lt;/b&gt;V, S, M (mercury and phosphorous, plus powdered diamond and opal worth a total of 15,000 gp)&lt;/h5&gt;&lt;/div&gt;&lt;hr/&gt;&lt;div&gt;&lt;h5&gt;&lt;b&gt;EFFECT&lt;/b&gt;&lt;/h5&gt;&lt;/div&gt;&lt;hr/&gt;&lt;div&gt;&lt;h5&gt;&lt;b&gt;Range &lt;/b&gt;0 ft.; see text&lt;/h5&gt;&lt;h5&gt;&lt;b&gt;Effect &lt;/b&gt;one symbol&lt;/h5&gt;&lt;h5&gt;&lt;b&gt;Duration &lt;/b&gt;see text&lt;/h5&gt;&lt;h5&gt;&lt;b&gt;Saving Throw &lt;/b&gt;none; &lt;b&gt;Spell Resistance &lt;/b&gt;no&lt;/h5&gt;&lt;/div&gt;&lt;hr/&gt;&lt;div&gt;&lt;h5&gt;&lt;b&gt;DESCRIPTION&lt;/b&gt;&lt;/h5&gt;&lt;/div&gt;&lt;hr/&gt;&lt;div&gt;&lt;h4&gt;&lt;p&gt;This spell functions as &lt;i&gt;symbol of death&lt;/i&gt;,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level.&lt;/p&gt;&lt;p&gt;The effects last as long as the creature is within 60 feet of the symbol, and for 1 round per caster level afterward.&lt;/p&gt;&lt;p&gt;&lt;i&gt;Symbol of vulnerability&lt;/i&gt; can be made permanent with a &lt;i&gt;permanency&lt;/i&gt; spell by a caster of 18h level or higher for the cost of 25,000 gp.&lt;/p&gt;&lt;/h4&gt;&lt;/div&gt;</t>
  </si>
  <si>
    <t>Triggered rune gives penalties.</t>
  </si>
  <si>
    <t>Tar Ball</t>
  </si>
  <si>
    <t>V, S, M (a tiny ball of bitumen)</t>
  </si>
  <si>
    <t>ranged attack</t>
  </si>
  <si>
    <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  Extinguishing or cooling the tar requires a DC 15 Reflex save or at least 1 gallon of nonflammable liquid. Rolling on the ground provides the target a +2 bonus on the save. Leaping into a lake or magically cooling the target automatically ends the effect.</t>
  </si>
  <si>
    <t>&lt;p&gt;You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damage.&lt;/p&gt;&lt;p&gt;Extinguishing or cooling the tar requires a DC 15 Reflex save or at least 1 gallon of nonflammable liquid. Rolling on the ground provides the target a +2 bonus on the save. Leaping into a lake or magically cooling the target automatically ends the effect.&lt;/p&gt;</t>
  </si>
  <si>
    <t>&lt;link rel="stylesheet"href="PF.css"&gt;&lt;div class="heading"&gt;&lt;p class="alignleft"&gt;Tar Ball&lt;/p&gt;&lt;div style="clear: both;"&gt;&lt;/div&gt;&lt;/div&gt;&lt;div&gt;&lt;h5&gt;&lt;b&gt;School &lt;/b&gt;transmutation; &lt;b&gt;Level &lt;/b&gt;druid 2&lt;/h5&gt;&lt;/div&gt;&lt;hr/&gt;&lt;div&gt;&lt;h5&gt;&lt;b&gt;CASTING&lt;/b&gt;&lt;/h5&gt;&lt;/div&gt;&lt;hr/&gt;&lt;div&gt;&lt;h5&gt;&lt;b&gt;Casting Time &lt;/b&gt;1 standard action&lt;/h5&gt;&lt;h5&gt;&lt;b&gt;Components &lt;/b&gt;V, S, M (a tiny ball of bitumen)&lt;/h5&gt;&lt;/div&gt;&lt;hr/&gt;&lt;div&gt;&lt;h5&gt;&lt;b&gt;EFFECT&lt;/b&gt;&lt;/h5&gt;&lt;/div&gt;&lt;hr/&gt;&lt;div&gt;&lt;h5&gt;&lt;b&gt;Range &lt;/b&gt;close (25 ft. + 5 ft./2 levels)&lt;/h5&gt;&lt;h5&gt;&lt;b&gt;Effect &lt;/b&gt;ranged attack&lt;/h5&gt;&lt;h5&gt;&lt;b&gt;Duration &lt;/b&gt;instantaneous&lt;/h5&gt;&lt;h5&gt;&lt;b&gt;Saving Throw &lt;/b&gt;none; &lt;b&gt;Spell Resistance &lt;/b&gt;no&lt;/h5&gt;&lt;/div&gt;&lt;hr/&gt;&lt;div&gt;&lt;h5&gt;&lt;b&gt;DESCRIPTION&lt;/b&gt;&lt;/h5&gt;&lt;/div&gt;&lt;hr/&gt;&lt;div&gt;&lt;h4&gt;&lt;p&gt;You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damage.&lt;/p&gt;&lt;p&gt;Extinguishing or cooling the tar requires a DC 15 Reflex save or at least 1 gallon of nonflammable liquid. Rolling on the ground provides the target a +2 bonus on the save. Leaping into a lake or magically cooling the target automatically ends the effect.&lt;/p&gt;&lt;/h4&gt;&lt;/div&gt;</t>
  </si>
  <si>
    <t>Burning tar harms target and penalizes its Dex.</t>
  </si>
  <si>
    <t>Temporary Resurrection</t>
  </si>
  <si>
    <t>sorcerer/wizard 7, witch 7, occultist 6, psychic 7</t>
  </si>
  <si>
    <t>V, S, M (diamond dust worth 500 gp)</t>
  </si>
  <si>
    <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raised from the dead (such as with raise dead). The target still counts as a dead corpse (but not undead) for the purpose of spells that revive dead creatures, so a cleric can cast raise dead or a similar spell on the target even while this spell is active. Once a creature has been revived with temporary resurrection, this spell cannot be used on it again until it is permanently raised from the dead.</t>
  </si>
  <si>
    <t>&lt;p&gt;You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&lt;i&gt;raise&lt;/i&gt;d from the dead (such as with &lt;i&gt;raise&lt;/i&gt; dead). The target still counts as a dead corpse (but not undead) for the purpose of spells that revive dead creatures, so a cleric can cast &lt;i&gt;raise&lt;/i&gt; dead or a similar spell on the target even while this spell is active. Once a creature has been revived with &lt;i&gt;temporary resurrection&lt;/i&gt;, this spell cannot be used on it again until it is permanently &lt;i&gt;raise&lt;/i&gt;d from the dead.&lt;/p&gt;</t>
  </si>
  <si>
    <t>&lt;link rel="stylesheet"href="PF.css"&gt;&lt;div class="heading"&gt;&lt;p class="alignleft"&gt;Temporary Resurrection&lt;/p&gt;&lt;div style="clear: both;"&gt;&lt;/div&gt;&lt;/div&gt;&lt;div&gt;&lt;h5&gt;&lt;b&gt;School &lt;/b&gt;necromancy; &lt;b&gt;Level &lt;/b&gt;sorcerer/wizard 7, witch 7, occultist 6, psychic 7&lt;/h5&gt;&lt;/div&gt;&lt;hr/&gt;&lt;div&gt;&lt;h5&gt;&lt;b&gt;CASTING&lt;/b&gt;&lt;/h5&gt;&lt;/div&gt;&lt;hr/&gt;&lt;div&gt;&lt;h5&gt;&lt;b&gt;Casting Time &lt;/b&gt;10 minutes&lt;/h5&gt;&lt;h5&gt;&lt;b&gt;Components &lt;/b&gt;V, S, M (diamond dust worth 500 gp)&lt;/h5&gt;&lt;/div&gt;&lt;hr/&gt;&lt;div&gt;&lt;h5&gt;&lt;b&gt;EFFECT&lt;/b&gt;&lt;/h5&gt;&lt;/div&gt;&lt;hr/&gt;&lt;div&gt;&lt;h5&gt;&lt;b&gt;Range &lt;/b&gt;touch&lt;/h5&gt;&lt;h5&gt;&lt;b&gt;Targets &lt;/b&gt;dead creature touched&lt;/h5&gt;&lt;h5&gt;&lt;b&gt;Duration &lt;/b&gt;24 hours&lt;/h5&gt;&lt;/div&gt;&lt;hr/&gt;&lt;div&gt;&lt;h5&gt;&lt;b&gt;DESCRIPTION&lt;/b&gt;&lt;/h5&gt;&lt;/div&gt;&lt;hr/&gt;&lt;div&gt;&lt;h4&gt;&lt;p&gt;You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&lt;i&gt;raise&lt;/i&gt;d from the dead (such as with &lt;i&gt;raise&lt;/i&gt; dead). The target still counts as a dead corpse (but not undead) for the purpose of spells that revive dead creatures, so a cleric can cast &lt;i&gt;raise&lt;/i&gt; dead or a similar spell on the target even while this spell is active. Once a creature has been revived with &lt;i&gt;temporary resurrection&lt;/i&gt;, this spell cannot be used on it again until it is permanently &lt;i&gt;raise&lt;/i&gt;d from the dead.&lt;/p&gt;&lt;/h4&gt;&lt;/div&gt;</t>
  </si>
  <si>
    <t>Bring a creature to life for 24 hours, after which it dies again.</t>
  </si>
  <si>
    <t>Terrible Remorse</t>
  </si>
  <si>
    <t>bard 3, cleric/oracle 4, inquisitor 3, sorcerer/wizard 4, psychic 4, mesmerist 3, spiritualist 4</t>
  </si>
  <si>
    <t>1 living creature</t>
  </si>
  <si>
    <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t>
  </si>
  <si>
    <t>&lt;p&gt;You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ends.&lt;/p&gt;</t>
  </si>
  <si>
    <t>&lt;link rel="stylesheet"href="PF.css"&gt;&lt;div class="heading"&gt;&lt;p class="alignleft"&gt;Terrible Remorse&lt;/p&gt;&lt;div style="clear: both;"&gt;&lt;/div&gt;&lt;/div&gt;&lt;div&gt;&lt;h5&gt;&lt;b&gt;School &lt;/b&gt;enchantment (compulsion) [emotion, mind-affecting]; &lt;b&gt;Level &lt;/b&gt;bard 3, cleric/oracle 4, inquisitor 3, sorcerer/wizard 4, psychic 4, mesmerist 3,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living creature&lt;/h5&gt;&lt;h5&gt;&lt;b&gt;Duration &lt;/b&gt;1 round/level&lt;/h5&gt;&lt;h5&gt;&lt;b&gt;Saving Throw &lt;/b&gt;Will partial (see text); &lt;b&gt;Spell Resistance &lt;/b&gt;yes&lt;/h5&gt;&lt;/div&gt;&lt;hr/&gt;&lt;div&gt;&lt;h5&gt;&lt;b&gt;DESCRIPTION&lt;/b&gt;&lt;/h5&gt;&lt;/div&gt;&lt;hr/&gt;&lt;div&gt;&lt;h4&gt;&lt;p&gt;You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ends.&lt;/p&gt;&lt;/h4&gt;&lt;/div&gt;</t>
  </si>
  <si>
    <t>Creature is compelled to harm itself.</t>
  </si>
  <si>
    <t>Touch of Slime</t>
  </si>
  <si>
    <t>alchemist 4, druid 4, sorcerer/wizard 4, witch 4, bloodrager 4, psychic 4</t>
  </si>
  <si>
    <t>V, S, M (a drop of acid and a black glass sphere)</t>
  </si>
  <si>
    <t>You create a coating of slime on your hand. When you make a successful melee touch attack with the slime, it pulls free of you and sticks to the target, at which point it acts like green slime (Core Rulebook 416), dealing 1d3 points of Constitution damage per round. Anything that destroys green slime (scraping, freezing, burning, cutting, sunlight, or remove disease) destroys this slime. If the slime kills a creature, it consumes the body and then dies. It cannot transfer to a creature other than the original target, and dies if separated from the original target.</t>
  </si>
  <si>
    <t>&lt;p&gt;You create a coating of slime on your hand. When you make a successful melee touch attack with the slime, it pulls free of you and sticks to the target, at which point it acts like green slime (&lt;i&gt;Core Rulebook&lt;/i&gt; 416), dealing 1d3 points of Constitution damage per round. Anything that destroys green slime (scraping, freezing, burning, cutting, sunlight, or &lt;i&gt;remove&lt;/i&gt; disease) destroys this slime. If the slime kills a creature, it consumes the body and then dies. It cannot transfer to a creature other than the original target, and dies if separated from the original target.&lt;/p&gt;</t>
  </si>
  <si>
    <t>&lt;link rel="stylesheet"href="PF.css"&gt;&lt;div class="heading"&gt;&lt;p class="alignleft"&gt;Touch of Slime&lt;/p&gt;&lt;div style="clear: both;"&gt;&lt;/div&gt;&lt;/div&gt;&lt;div&gt;&lt;h5&gt;&lt;b&gt;School &lt;/b&gt;conjuration (creation) [disease]; &lt;b&gt;Level &lt;/b&gt;alchemist 4, druid 4, sorcerer/wizard 4, witch 4, bloodrager 4, psychic 4&lt;/h5&gt;&lt;/div&gt;&lt;hr/&gt;&lt;div&gt;&lt;h5&gt;&lt;b&gt;CASTING&lt;/b&gt;&lt;/h5&gt;&lt;/div&gt;&lt;hr/&gt;&lt;div&gt;&lt;h5&gt;&lt;b&gt;Casting Time &lt;/b&gt;1 standard action&lt;/h5&gt;&lt;h5&gt;&lt;b&gt;Components &lt;/b&gt;V, S, M (a drop of acid and a black glass sphere)&lt;/h5&gt;&lt;/div&gt;&lt;hr/&gt;&lt;div&gt;&lt;h5&gt;&lt;b&gt;EFFECT&lt;/b&gt;&lt;/h5&gt;&lt;/div&gt;&lt;hr/&gt;&lt;div&gt;&lt;h5&gt;&lt;b&gt;Range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&lt;/b&gt;yes&lt;/h5&gt;&lt;/div&gt;&lt;hr/&gt;&lt;div&gt;&lt;h5&gt;&lt;b&gt;DESCRIPTION&lt;/b&gt;&lt;/h5&gt;&lt;/div&gt;&lt;hr/&gt;&lt;div&gt;&lt;h4&gt;&lt;p&gt;You create a coating of slime on your hand. When you make a successful melee touch attack with the slime, it pulls free of you and sticks to the target, at which point it acts like green slime (&lt;i&gt;Core Rulebook&lt;/i&gt; 416), dealing 1d3 points of Constitution damage per round. Anything that destroys green slime (scraping, freezing, burning, cutting, sunlight, or &lt;i&gt;remove&lt;/i&gt; disease) destroys this slime. If the slime kills a creature, it consumes the body and then dies. It cannot transfer to a creature other than the original target, and dies if separated from the original target.&lt;/p&gt;&lt;/h4&gt;&lt;/div&gt;</t>
  </si>
  <si>
    <t>Touch infests a target with green slime.</t>
  </si>
  <si>
    <t>Toxic Gift</t>
  </si>
  <si>
    <t>antipaladin 2, sorcerer/wizard 3, occultist 3</t>
  </si>
  <si>
    <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t>
  </si>
  <si>
    <t>&lt;p&gt;You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target.&lt;/p&gt;</t>
  </si>
  <si>
    <t>&lt;link rel="stylesheet"href="PF.css"&gt;&lt;div class="heading"&gt;&lt;p class="alignleft"&gt;Toxic Gift&lt;/p&gt;&lt;div style="clear: both;"&gt;&lt;/div&gt;&lt;/div&gt;&lt;div&gt;&lt;h5&gt;&lt;b&gt;School &lt;/b&gt;necromancy [poison]; &lt;b&gt;Level &lt;/b&gt;antipaladin 2, sorcerer/wizard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see text&lt;/h5&gt;&lt;h5&gt;&lt;b&gt;Saving Throw &lt;/b&gt;Fortitude negates (see text); &lt;b&gt;Spell Resistance &lt;/b&gt;yes&lt;/h5&gt;&lt;/div&gt;&lt;hr/&gt;&lt;div&gt;&lt;h5&gt;&lt;b&gt;DESCRIPTION&lt;/b&gt;&lt;/h5&gt;&lt;/div&gt;&lt;hr/&gt;&lt;div&gt;&lt;h4&gt;&lt;p&gt;You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target.&lt;/p&gt;&lt;/h4&gt;&lt;/div&gt;</t>
  </si>
  <si>
    <t>Target suffers the effect of the poison in you.</t>
  </si>
  <si>
    <t>Transmute Blood To Acid</t>
  </si>
  <si>
    <t>acid, pain</t>
  </si>
  <si>
    <t>V, S, M (a wax doll and a vial of acid worth 10 gp)</t>
  </si>
  <si>
    <t>concentration (maximum 1 round/5 levels)</t>
  </si>
  <si>
    <t>You transmute blood in the target's body to acid, dealing 1d6 points of acid damage/2 levels (maximum 12d6) each round.  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  Anyone who strikes the target with a non-reach melee weapon, natural weapon, or unarmed attack takes 3d6 points of acid damage as the acidic blood sprays on the attacker. If the attack is from a piercing or slashing manufactured weapon, the weapon also takes this damage.  This spell has no effect on creatures immune to critical hits or bleed effects.</t>
  </si>
  <si>
    <t>&lt;p&gt;You transmute blood in the target's body to acid, dealing 1d6 points of acid damage/2 levels (maximum 12d6) each round.&lt;/p&gt;&lt;p&gt;The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unaffected.&lt;/p&gt;&lt;p&gt;Anyone who strikes the target with a non-reach melee weapon, natural weapon, or unarmed attack takes 3d6 points of acid damage as the acidic blood sprays on the attacker. If the attack is from a piercing or slashing manufactured weapon, the weapon also takes this damage.&lt;/p&gt;&lt;p&gt;This spell has no effect on creatures immune to critical hits or bleed effects.&lt;/p&gt;</t>
  </si>
  <si>
    <t>&lt;link rel="stylesheet"href="PF.css"&gt;&lt;div class="heading"&gt;&lt;p class="alignleft"&gt;Transmute Blood To Acid&lt;/p&gt;&lt;div style="clear: both;"&gt;&lt;/div&gt;&lt;/div&gt;&lt;div&gt;&lt;h5&gt;&lt;b&gt;School &lt;/b&gt;transmutation [acid, pain]; &lt;b&gt;Level &lt;/b&gt;sorcerer/wizard 9, psychic 9&lt;/h5&gt;&lt;/div&gt;&lt;hr/&gt;&lt;div&gt;&lt;h5&gt;&lt;b&gt;CASTING&lt;/b&gt;&lt;/h5&gt;&lt;/div&gt;&lt;hr/&gt;&lt;div&gt;&lt;h5&gt;&lt;b&gt;Casting Time &lt;/b&gt;1 standard action&lt;/h5&gt;&lt;h5&gt;&lt;b&gt;Components &lt;/b&gt;V, S, M (a wax doll and a vial of acid worth 10 gp)&lt;/h5&gt;&lt;/div&gt;&lt;hr/&gt;&lt;div&gt;&lt;h5&gt;&lt;b&gt;EFFECT&lt;/b&gt;&lt;/h5&gt;&lt;/div&gt;&lt;hr/&gt;&lt;div&gt;&lt;h5&gt;&lt;b&gt;Range &lt;/b&gt;close (25 ft. + 5 ft./2 levels)&lt;/h5&gt;&lt;h5&gt;&lt;b&gt;Targets &lt;/b&gt;one living creature&lt;/h5&gt;&lt;h5&gt;&lt;b&gt;Duration &lt;/b&gt;concentration (maximum 1 round/5 levels)&lt;/h5&gt;&lt;h5&gt;&lt;b&gt;Saving Throw &lt;/b&gt;Fortitude half; &lt;b&gt;Spell Resistance &lt;/b&gt;yes&lt;/h5&gt;&lt;/div&gt;&lt;hr/&gt;&lt;div&gt;&lt;h5&gt;&lt;b&gt;DESCRIPTION&lt;/b&gt;&lt;/h5&gt;&lt;/div&gt;&lt;hr/&gt;&lt;div&gt;&lt;h4&gt;&lt;p&gt;You transmute blood in the target's body to acid, dealing 1d6 points of acid damage/2 levels (maximum 12d6) each round.&lt;/p&gt;&lt;p&gt;The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unaffected.&lt;/p&gt;&lt;p&gt;Anyone who strikes the target with a non-reach melee weapon, natural weapon, or unarmed attack takes 3d6 points of acid damage as the acidic blood sprays on the attacker. If the attack is from a piercing or slashing manufactured weapon, the weapon also takes this damage.&lt;/p&gt;&lt;p&gt;This spell has no effect on creatures immune to critical hits or bleed effects.&lt;/p&gt;&lt;/h4&gt;&lt;/div&gt;</t>
  </si>
  <si>
    <t>Target takes acid damage each round, and its attackers take acid damage.</t>
  </si>
  <si>
    <t>Unadulterated Loathing</t>
  </si>
  <si>
    <t>antipaladin 2, bard 2, sorcerer/wizard 3, witch 3, psychic 3, mesmerist 2</t>
  </si>
  <si>
    <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  Unadulterated loathing counters reckless infatuation.</t>
  </si>
  <si>
    <t>&lt;p&gt;You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effect.&lt;/p&gt;&lt;p&gt;&lt;i&gt;Unadulterated loathing&lt;/i&gt; counters &lt;i&gt;reckless infatuation&lt;/i&gt;.&lt;/p&gt;</t>
  </si>
  <si>
    <t>&lt;link rel="stylesheet"href="PF.css"&gt;&lt;div class="heading"&gt;&lt;p class="alignleft"&gt;Unadulterated Loathing&lt;/p&gt;&lt;div style="clear: both;"&gt;&lt;/div&gt;&lt;/div&gt;&lt;div&gt;&lt;h5&gt;&lt;b&gt;School &lt;/b&gt;enchantment (compulsion) [emotion, mind-affecting]; &lt;b&gt;Level &lt;/b&gt;antipaladin 2, bard 2, sorcerer/wizard 3, witch 3, psychic 3, mesmerist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effect.&lt;/p&gt;&lt;p&gt;&lt;i&gt;Unadulterated loathing&lt;/i&gt; counters &lt;i&gt;reckless infatuation&lt;/i&gt;.&lt;/p&gt;&lt;/h4&gt;&lt;/div&gt;</t>
  </si>
  <si>
    <t>Target is compelled to avoid another creature.</t>
  </si>
  <si>
    <t>Enchantment (6)</t>
  </si>
  <si>
    <t>Unbreakable Construct</t>
  </si>
  <si>
    <t>sorcerer/wizard 5, occultist 4</t>
  </si>
  <si>
    <t>V, S, M (powdered adamantine worth 100 gp)</t>
  </si>
  <si>
    <t>This spell increases the target's DR/adamantine by 5 or its hardness by 5. If the target does not have DR/adamantine or hardness, this spell has no effect.</t>
  </si>
  <si>
    <t>&lt;p&gt;This spell increases the target's DR/adamantine by 5 or its hardness by 5. If the target does not have DR/adamantine or hardness, this spell has no effect.&lt;/p&gt;</t>
  </si>
  <si>
    <t>&lt;link rel="stylesheet"href="PF.css"&gt;&lt;div class="heading"&gt;&lt;p class="alignleft"&gt;Unbreakable Construct&lt;/p&gt;&lt;div style="clear: both;"&gt;&lt;/div&gt;&lt;/div&gt;&lt;div&gt;&lt;h5&gt;&lt;b&gt;School &lt;/b&gt;abjuration; &lt;b&gt;Level &lt;/b&gt;sorcerer/wizard 5, occultist 4&lt;/h5&gt;&lt;/div&gt;&lt;hr/&gt;&lt;div&gt;&lt;h5&gt;&lt;b&gt;CASTING&lt;/b&gt;&lt;/h5&gt;&lt;/div&gt;&lt;hr/&gt;&lt;div&gt;&lt;h5&gt;&lt;b&gt;Casting Time &lt;/b&gt;1 standard action&lt;/h5&gt;&lt;h5&gt;&lt;b&gt;Components &lt;/b&gt;V, S, M (powdered adamantine worth 100 gp)&lt;/h5&gt;&lt;/div&gt;&lt;hr/&gt;&lt;div&gt;&lt;h5&gt;&lt;b&gt;EFFECT&lt;/b&gt;&lt;/h5&gt;&lt;/div&gt;&lt;hr/&gt;&lt;div&gt;&lt;h5&gt;&lt;b&gt;Range &lt;/b&gt;close (25 ft. + 5 ft./2 levels)&lt;/h5&gt;&lt;h5&gt;&lt;b&gt;Targets &lt;/b&gt;one construct&lt;/h5&gt;&lt;h5&gt;&lt;b&gt;Duration &lt;/b&gt;1 round/level&lt;/h5&gt;&lt;h5&gt;&lt;b&gt;Saving Throw &lt;/b&gt;Will negates (harmless); &lt;b&gt;Spell Resistance &lt;/b&gt;no&lt;/h5&gt;&lt;/div&gt;&lt;hr/&gt;&lt;div&gt;&lt;h5&gt;&lt;b&gt;DESCRIPTION&lt;/b&gt;&lt;/h5&gt;&lt;/div&gt;&lt;hr/&gt;&lt;div&gt;&lt;h4&gt;&lt;p&gt;This spell increases the target's DR/adamantine by 5 or its hardness by 5. If the target does not have DR/adamantine or hardness, this spell has no effect.&lt;/p&gt;&lt;/h4&gt;&lt;/div&gt;</t>
  </si>
  <si>
    <t>Increase construct hardness or DR.</t>
  </si>
  <si>
    <t>Undead Anatomy I</t>
  </si>
  <si>
    <t>alchemist 3, magus 3, sorcerer/wizard 3, bloodrager 3, spiritualist 3</t>
  </si>
  <si>
    <t>When you cast this spell, you can assume the form of any Small or Medium corporeal creature of the undead type, which must be vaguely humanoid-shaped (like a ghoul, skeleton, or zombie). You gain a bite attack (1d6 for Medium forms, 1d4 for Small forms), two claw or slam attacks (1d6 for Medium forms, 1d4 for Small forms), and darkvision 60 feet. If the form you assume has any of the following abilities, you gain the listed ability: climb 30 feet, fly 30 feet (average maneuverability), swim 30 feet, low-light vision, and scent.  In this form, you detect as an undead creature (such as with detect undead, but not with magic that reveals your true form, such as true seeing) and are treated as undead for the purposes of channeled energy, cure spells, and inflict spells, but not for other effects that specifically target or react differently to undead (such as searing light).  Small undead: If the form you take is that of a Small undead, you gain a +2 size bonus to your Dexterity and a +1 natural armor bonus.  Medium undead: If the form you take is that of a Medium undead, you gain a +2 size bonus to your Strength and a +2 natural armor bonus.</t>
  </si>
  <si>
    <t>&lt;p&gt;When you cast this spell, you can assume the form of any &lt;i&gt;Small&lt;/i&gt; or &lt;i&gt;Medium&lt;/i&gt; corporeal creature of the undead type, which must be vaguely humanoid-shaped (like a ghoul, skeleton, or zombie). You gain a bite attack (1d6 for &lt;i&gt;Medium&lt;/i&gt; forms, 1d4 for &lt;i&gt;Small&lt;/i&gt; forms), two claw or slam attacks (1d6 for &lt;i&gt;Medium&lt;/i&gt; forms, 1d4 for &lt;i&gt;Small&lt;/i&gt; forms), and darkvision 60 feet. If the form you assume has any of the following abilities, you gain the listed ability: climb 30 feet, fly 30 feet (average maneuverability), swim 30 feet, low-light vision, and scent.&lt;/p&gt;&lt;p&gt;In this form, you detect as an undead creature (such as with &lt;i&gt;detect undead&lt;/i&gt;, but not with magic that reveals your &lt;i&gt;true&lt;/i&gt; form, such as &lt;i&gt;true&lt;/i&gt; seeing) and are treated as undead for the purposes of channeled energy, &lt;i&gt;cure&lt;/i&gt; spells, and &lt;i&gt;inflict&lt;/i&gt; spells, but not for other effects that specifically target or react differently to undead (such as &lt;i&gt;searing&lt;/i&gt; light).&lt;/p&gt;&lt;p&gt;&lt;i&gt;Small&lt;/i&gt; undead: If the form you take is that of a &lt;i&gt;Small&lt;/i&gt; undead, you gain a +2 size bonus to your Dexterity and a +1 natural armor bonus.&lt;/p&gt;&lt;p&gt;&lt;i&gt;Medium&lt;/i&gt; undead: If the form you take is that of a &lt;i&gt;Medium&lt;/i&gt; undead, you gain a +2 size bonus to your Strength and a +2 natural armor bonus.&lt;/p&gt;</t>
  </si>
  <si>
    <t>&lt;link rel="stylesheet"href="PF.css"&gt;&lt;div class="heading"&gt;&lt;p class="alignleft"&gt;Undead Anatomy I&lt;/p&gt;&lt;div style="clear: both;"&gt;&lt;/div&gt;&lt;/div&gt;&lt;div&gt;&lt;h5&gt;&lt;b&gt;School &lt;/b&gt;transmutation (polymorph); &lt;b&gt;Level &lt;/b&gt;alchemist 3, magus 3, sorcerer/wizard 3, bloodrager 3, spiritualist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 you cast this spell, you can assume the form of any &lt;i&gt;Small&lt;/i&gt; or &lt;i&gt;Medium&lt;/i&gt; corporeal creature of the undead type, which must be vaguely humanoid-shaped (like a ghoul, skeleton, or zombie). You gain a bite attack (1d6 for &lt;i&gt;Medium&lt;/i&gt; forms, 1d4 for &lt;i&gt;Small&lt;/i&gt; forms), two claw or slam attacks (1d6 for &lt;i&gt;Medium&lt;/i&gt; forms, 1d4 for &lt;i&gt;Small&lt;/i&gt; forms), and darkvision 60 feet. If the form you assume has any of the following abilities, you gain the listed ability: climb 30 feet, fly 30 feet (average maneuverability), swim 30 feet, low-light vision, and scent.&lt;/p&gt;&lt;p&gt;In this form, you detect as an undead creature (such as with &lt;i&gt;detect undead&lt;/i&gt;, but not with magic that reveals your &lt;i&gt;true&lt;/i&gt; form, such as &lt;i&gt;true&lt;/i&gt; seeing) and are treated as undead for the purposes of channeled energy, &lt;i&gt;cure&lt;/i&gt; spells, and &lt;i&gt;inflict&lt;/i&gt; spells, but not for other effects that specifically target or react differently to undead (such as &lt;i&gt;searing&lt;/i&gt; light).&lt;/p&gt;&lt;p&gt;&lt;i&gt;Small&lt;/i&gt; undead: If the form you take is that of a &lt;i&gt;Small&lt;/i&gt; undead, you gain a +2 size bonus to your Dexterity and a +1 natural armor bonus.&lt;/p&gt;&lt;p&gt;&lt;i&gt;Medium&lt;/i&gt; undead: If the form you take is that of a &lt;i&gt;Medium&lt;/i&gt; undead, you gain a +2 size bonus to your Strength and a +2 natural armor bonus.&lt;/p&gt;&lt;/h4&gt;&lt;/div&gt;</t>
  </si>
  <si>
    <t>Take the form and some of the powers of a Small or Medium undead.</t>
  </si>
  <si>
    <t>Undead Anatomy II</t>
  </si>
  <si>
    <t>alchemist 5, magus 5, sorcerer/wizard 5, spiritualist 5</t>
  </si>
  <si>
    <t>This spell functions as undead anatomy I, except it also allows you to assume the form of a Tiny or Large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  In this form, you gain a +4 bonus on saves against mindaffecting effects, disease, poison, sleep, and stunning. If the form has a vulnerability to an attack (such as sunlight), you gain that vulnerability.  Tiny undead: If the form you take is that of a Tiny undead, you gain a +4 size bonus to your Dexterity, a -2 penalty to your Strength, and a +1 natural armor bonus.  Large undead: If the form you take is that of a Large undead, you gain a +4 size bonus to your Strength, a -2 penalty to your Dexterity, and a +4 natural armor bonus.</t>
  </si>
  <si>
    <t>&lt;p&gt;This spell functions as &lt;i&gt;undead anatomy I&lt;/i&gt;, except it also allows you to assume the form of a &lt;i&gt;Tiny&lt;/i&gt; or &lt;i&gt;Large&lt;/i&gt;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trip.&lt;/p&gt;&lt;p&gt;In this form, you gain a +4 bonus on saves against mindaffecting effects, disease, poison, sleep, and stunning. If the form has a vulnerability to an attack (such as sunlight), you gain that vulnerability.&lt;/p&gt;&lt;p&gt;&lt;i&gt;Tiny&lt;/i&gt; undead: If the form you take is that of a &lt;i&gt;Tiny&lt;/i&gt; undead, you gain a +4 size bonus to your Dexterity, a -2 penalty to your Strength, and a +1 natural armor bonus.&lt;/p&gt;&lt;p&gt;&lt;i&gt;Large&lt;/i&gt; undead: If the form you take is that of a &lt;i&gt;Large&lt;/i&gt; undead, you gain a +4 size bonus to your Strength, a -2 penalty to your Dexterity, and a +4 natural armor bonus.&lt;/p&gt;</t>
  </si>
  <si>
    <t>&lt;link rel="stylesheet"href="PF.css"&gt;&lt;div class="heading"&gt;&lt;p class="alignleft"&gt;Undead Anatomy II&lt;/p&gt;&lt;div style="clear: both;"&gt;&lt;/div&gt;&lt;/div&gt;&lt;div&gt;&lt;h5&gt;&lt;b&gt;School &lt;/b&gt;transmutation (polymorph); &lt;b&gt;Level &lt;/b&gt;alchemist 5, magus 5, sorcerer/wizard 5, spiritualist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&lt;i&gt;undead anatomy I&lt;/i&gt;, except it also allows you to assume the form of a &lt;i&gt;Tiny&lt;/i&gt; or &lt;i&gt;Large&lt;/i&gt;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trip.&lt;/p&gt;&lt;p&gt;In this form, you gain a +4 bonus on saves against mindaffecting effects, disease, poison, sleep, and stunning. If the form has a vulnerability to an attack (such as sunlight), you gain that vulnerability.&lt;/p&gt;&lt;p&gt;&lt;i&gt;Tiny&lt;/i&gt; undead: If the form you take is that of a &lt;i&gt;Tiny&lt;/i&gt; undead, you gain a +4 size bonus to your Dexterity, a -2 penalty to your Strength, and a +1 natural armor bonus.&lt;/p&gt;&lt;p&gt;&lt;i&gt;Large&lt;/i&gt; undead: If the form you take is that of a &lt;i&gt;Large&lt;/i&gt; undead, you gain a +4 size bonus to your Strength, a -2 penalty to your Dexterity, and a +4 natural armor bonus.&lt;/p&gt;&lt;/h4&gt;&lt;/div&gt;</t>
  </si>
  <si>
    <t>Take the form and some of the powers of a Tiny or Large undead.</t>
  </si>
  <si>
    <t>Undead Anatomy III</t>
  </si>
  <si>
    <t>alchemist 6, magus 6, sorcerer/wizard 6, spiritualist 6</t>
  </si>
  <si>
    <t>This spell functions as undead anatomy II, except it also allows you to assume the form of a Diminutive or Huge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  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Diminutive undead: If the form you take is that of a Diminutive undead, you gain a +6 size bonus to your Dexterity, a -4 penalty to your Strength, and a +1 natural armor bonus.  Huge undead: If the form you take is that of a Huge undead, you gain a +6 size bonus to your Strength, a -4 penalty to your Dexterity, and a +6 natural armor bonus.</t>
  </si>
  <si>
    <t>&lt;p&gt;This spell functions as &lt;i&gt;undead anatomy II&lt;/i&gt;, except it also allows you to assume the form of a &lt;i&gt;Diminutive&lt;/i&gt; or &lt;i&gt;Huge&lt;/i&gt;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web.&lt;/p&gt;&lt;p&gt;If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vulnerability.&lt;/p&gt;&lt;p&gt;&lt;i&gt;Diminutive&lt;/i&gt; undead: If the form you take is that of a &lt;i&gt;Diminutive&lt;/i&gt; undead, you gain a +6 size bonus to your Dexterity, a -4 penalty to your Strength, and a +1 natural armor bonus.&lt;/p&gt;&lt;p&gt;&lt;i&gt;Huge&lt;/i&gt; undead: If the form you take is that of a &lt;i&gt;Huge&lt;/i&gt; undead, you gain a +6 size bonus to your Strength, a -4 penalty to your Dexterity, and a +6 natural armor bonus.&lt;/p&gt;</t>
  </si>
  <si>
    <t>&lt;link rel="stylesheet"href="PF.css"&gt;&lt;div class="heading"&gt;&lt;p class="alignleft"&gt;Undead Anatomy III&lt;/p&gt;&lt;div style="clear: both;"&gt;&lt;/div&gt;&lt;/div&gt;&lt;div&gt;&lt;h5&gt;&lt;b&gt;School &lt;/b&gt;transmutation (polymorph); &lt;b&gt;Level &lt;/b&gt;alchemist 6, magus 6, sorcerer/wizard 6, spiritualist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&lt;i&gt;undead anatomy II&lt;/i&gt;, except it also allows you to assume the form of a &lt;i&gt;Diminutive&lt;/i&gt; or &lt;i&gt;Huge&lt;/i&gt;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web.&lt;/p&gt;&lt;p&gt;If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vulnerability.&lt;/p&gt;&lt;p&gt;&lt;i&gt;Diminutive&lt;/i&gt; undead: If the form you take is that of a &lt;i&gt;Diminutive&lt;/i&gt; undead, you gain a +6 size bonus to your Dexterity, a -4 penalty to your Strength, and a +1 natural armor bonus.&lt;/p&gt;&lt;p&gt;&lt;i&gt;Huge&lt;/i&gt; undead: If the form you take is that of a &lt;i&gt;Huge&lt;/i&gt; undead, you gain a +6 size bonus to your Strength, a -4 penalty to your Dexterity, and a +6 natural armor bonus.&lt;/p&gt;&lt;/h4&gt;&lt;/div&gt;</t>
  </si>
  <si>
    <t>Take the form and some of the powers of a Diminutive or Huge undead.</t>
  </si>
  <si>
    <t>Undead Anatomy IV</t>
  </si>
  <si>
    <t>1 minute/level (D) (see text)</t>
  </si>
  <si>
    <t>This spell functions as undead anatomy III,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  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Tiny undead: If the form you take is that of a Tiny undead, you gain a -2 penalty to your Strength, a +8 size bonus to your Dexterity, and a +3 natural armor bonus.  Large undead: If the form you take is that of a Large undead, you gain a +6 size bonus to your Strength, a -2 penalty on your Dexterity, a +2 size bonus to your Constitution, and a +6 natural armor bonus.</t>
  </si>
  <si>
    <t>&lt;p&gt;This spell functions as &lt;i&gt;undead anatomy III&lt;/i&gt;,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web.&lt;/p&gt;&lt;p&gt;If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vulnerability.&lt;/p&gt;&lt;p&gt;In this form, you gain a +8 bonus on saves against mindaffecting effects, disease, poison, sleep, and stunning. If the form has a vulnerability to an attack (such as sunlight), you gain that vulnerability.&lt;/p&gt;&lt;p&gt;&lt;i&gt;Tiny&lt;/i&gt; undead: If the form you take is that of a &lt;i&gt;Tiny&lt;/i&gt; undead, you gain a -2 penalty to your Strength, a +8 size bonus to your Dexterity, and a +3 natural armor bonus.&lt;/p&gt;&lt;p&gt;&lt;i&gt;Large&lt;/i&gt; undead: If the form you take is that of a &lt;i&gt;Large&lt;/i&gt; undead, you gain a +6 size bonus to your Strength, a -2 penalty on your Dexterity, a +2 size bonus to your Constitution, and a +6 natural armor bonus.&lt;/p&gt;</t>
  </si>
  <si>
    <t>&lt;link rel="stylesheet"href="PF.css"&gt;&lt;div class="heading"&gt;&lt;p class="alignleft"&gt;Undead Anatomy IV&lt;/p&gt;&lt;div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 (see text)&lt;/h5&gt;&lt;/div&gt;&lt;hr/&gt;&lt;div&gt;&lt;h5&gt;&lt;b&gt;DESCRIPTION&lt;/b&gt;&lt;/h5&gt;&lt;/div&gt;&lt;hr/&gt;&lt;div&gt;&lt;h4&gt;&lt;p&gt;This spell functions as &lt;i&gt;undead anatomy III&lt;/i&gt;,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web.&lt;/p&gt;&lt;p&gt;If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vulnerability.&lt;/p&gt;&lt;p&gt;In this form, you gain a +8 bonus on saves against mindaffecting effects, disease, poison, sleep, and stunning. If the form has a vulnerability to an attack (such as sunlight), you gain that vulnerability.&lt;/p&gt;&lt;p&gt;&lt;i&gt;Tiny&lt;/i&gt; undead: If the form you take is that of a &lt;i&gt;Tiny&lt;/i&gt; undead, you gain a -2 penalty to your Strength, a +8 size bonus to your Dexterity, and a +3 natural armor bonus.&lt;/p&gt;&lt;p&gt;&lt;i&gt;Large&lt;/i&gt; undead: If the form you take is that of a &lt;i&gt;Large&lt;/i&gt; undead, you gain a +6 size bonus to your Strength, a -2 penalty on your Dexterity, a +2 size bonus to your Constitution, and a +6 natural armor bonus.&lt;/p&gt;&lt;/h4&gt;&lt;/div&gt;</t>
  </si>
  <si>
    <t>As undead anatomy III, but with more abilities.</t>
  </si>
  <si>
    <t>Unholy Ice</t>
  </si>
  <si>
    <t>cold, evil, water</t>
  </si>
  <si>
    <t>V, S, M (a flask of unholy water or 5 pounds of powdered silver worth 25 gp)</t>
  </si>
  <si>
    <t>This spell functions as holy ice, except it is made of frozen unholy water rather than holy water.</t>
  </si>
  <si>
    <t>&lt;p&gt;This spell functions as &lt;i&gt;holy ice&lt;/i&gt;, except it is made of frozen unholy water rather than holy water.&lt;/p&gt;</t>
  </si>
  <si>
    <t>&lt;link rel="stylesheet"href="PF.css"&gt;&lt;div class="heading"&gt;&lt;p class="alignleft"&gt;Unholy Ice&lt;/p&gt;&lt;div style="clear: both;"&gt;&lt;/div&gt;&lt;/div&gt;&lt;div&gt;&lt;h5&gt;&lt;b&gt;School &lt;/b&gt;transmutation [cold, evil, water]; &lt;b&gt;Level &lt;/b&gt;cleric/oracle 5&lt;/h5&gt;&lt;/div&gt;&lt;hr/&gt;&lt;div&gt;&lt;h5&gt;&lt;b&gt;CASTING&lt;/b&gt;&lt;/h5&gt;&lt;/div&gt;&lt;hr/&gt;&lt;div&gt;&lt;h5&gt;&lt;b&gt;Casting Time &lt;/b&gt;1 standard action&lt;/h5&gt;&lt;h5&gt;&lt;b&gt;Components &lt;/b&gt;V, S, M (a flask of unholy water or 5 pounds of powdered silver worth 25 gp)&lt;/h5&gt;&lt;/div&gt;&lt;hr/&gt;&lt;div&gt;&lt;h5&gt;&lt;b&gt;EFFECT&lt;/b&gt;&lt;/h5&gt;&lt;/div&gt;&lt;hr/&gt;&lt;div&gt;&lt;h5&gt;&lt;b&gt;Range &lt;/b&gt;medium (100 ft. + 10 ft./level)&lt;/h5&gt;&lt;h5&gt;&lt;b&gt;Effect &lt;/b&gt;wall of ice or flying ice javelins (see text)&lt;/h5&gt;&lt;h5&gt;&lt;b&gt;Duration &lt;/b&gt;1 minute/level, instantaneous, or until expended (see text)&lt;/h5&gt;&lt;h5&gt;&lt;b&gt;Saving Throw &lt;/b&gt;Reflex negates or none (see text); &lt;b&gt;Spell Resistance &lt;/b&gt;yes&lt;/h5&gt;&lt;/div&gt;&lt;hr/&gt;&lt;div&gt;&lt;h5&gt;&lt;b&gt;DESCRIPTION&lt;/b&gt;&lt;/h5&gt;&lt;/div&gt;&lt;hr/&gt;&lt;div&gt;&lt;h4&gt;&lt;p&gt;This spell functions as &lt;i&gt;holy ice&lt;/i&gt;, except it is made of frozen unholy water rather than holy water.&lt;/p&gt;&lt;/h4&gt;&lt;/div&gt;</t>
  </si>
  <si>
    <t>Create wall or javelins of frozen unholy water.</t>
  </si>
  <si>
    <t>Unholy Sword</t>
  </si>
  <si>
    <t>antipaladin 4</t>
  </si>
  <si>
    <t>This spell allows you to channel the powers of evil into your sword, or any other melee weapon you choose. The weapon acts as a +5 unholy weapon (+5 enhancement bonus on attack and damage rolls, extra 2d6 damage against good opponents).  It also emits a magic circle against good effect (as the spell). If the magic circle ends, the sword creates a new one on your turn as a free action. The spell is automatically canceled 1 round after the weapon leaves your hand. You cannot have more than one unholy sword at a time.  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  This spell does not work on artifacts. A masterwork weapon's bonus to attack does not stack with this spell's enhancement bonus to attack.</t>
  </si>
  <si>
    <t>&lt;p&gt;This spell allows you to channel the powers of evil into your sword, or any other melee weapon you choose. The weapon acts as a &lt;i&gt;+5 unholy weapon&lt;/i&gt; (+5 enhancement bonus on attack and damage rolls, extra 2d6 damage against good opponents).&lt;/p&gt;&lt;p&gt;It also emits a &lt;i&gt;&lt;i&gt;magic circle&lt;/i&gt; against good&lt;/i&gt; effect (as the spell). If the &lt;i&gt;magic circle&lt;/i&gt; ends, the sword creates a new one on your turn as a free action. The spell is automatically canceled 1 round after the weapon leaves your hand. You cannot have more than one &lt;i&gt;unholy sword&lt;/i&gt; at a time.&lt;/p&gt;&lt;p&gt;If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way.&lt;/p&gt;&lt;p&gt;This spell does not work on artifacts. A masterwork weapon's bonus to attack does not stack with this spell's enhancement bonus to attack.&lt;/p&gt;</t>
  </si>
  <si>
    <t>&lt;link rel="stylesheet"href="PF.css"&gt;&lt;div class="heading"&gt;&lt;p class="alignleft"&gt;Unholy Sword&lt;/p&gt;&lt;div style="clear: both;"&gt;&lt;/div&gt;&lt;/div&gt;&lt;div&gt;&lt;h5&gt;&lt;b&gt;School &lt;/b&gt;evocation [evil]; &lt;b&gt;Level &lt;/b&gt;antipaladin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round/level&lt;/h5&gt;&lt;h5&gt;&lt;b&gt;Saving Throw &lt;/b&gt;none; &lt;b&gt;Spell Resistance &lt;/b&gt;no&lt;/h5&gt;&lt;/div&gt;&lt;hr/&gt;&lt;div&gt;&lt;h5&gt;&lt;b&gt;DESCRIPTION&lt;/b&gt;&lt;/h5&gt;&lt;/div&gt;&lt;hr/&gt;&lt;div&gt;&lt;h4&gt;&lt;p&gt;This spell allows you to channel the powers of evil into your sword, or any other melee weapon you choose. The weapon acts as a &lt;i&gt;+5 unholy weapon&lt;/i&gt; (+5 enhancement bonus on attack and damage rolls, extra 2d6 damage against good opponents).&lt;/p&gt;&lt;p&gt;It also emits a &lt;i&gt;&lt;i&gt;magic circle&lt;/i&gt; against good&lt;/i&gt; effect (as the spell). If the &lt;i&gt;magic circle&lt;/i&gt; ends, the sword creates a new one on your turn as a free action. The spell is automatically canceled 1 round after the weapon leaves your hand. You cannot have more than one &lt;i&gt;unholy sword&lt;/i&gt; at a time.&lt;/p&gt;&lt;p&gt;If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way.&lt;/p&gt;&lt;p&gt;This spell does not work on artifacts. A masterwork weapon's bonus to attack does not stack with this spell's enhancement bonus to attack.&lt;/p&gt;&lt;/h4&gt;&lt;/div&gt;</t>
  </si>
  <si>
    <t>Weapon becomes +5, deals +2d6 damage vs. good.</t>
  </si>
  <si>
    <t>Unnatural Lust</t>
  </si>
  <si>
    <t>bard 1, sorcerer/wizard 2, witch 2, psychic 2, mesmerist 1</t>
  </si>
  <si>
    <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t>
  </si>
  <si>
    <t>&lt;p&gt;Your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throw.&lt;/p&gt;</t>
  </si>
  <si>
    <t>&lt;link rel="stylesheet"href="PF.css"&gt;&lt;div class="heading"&gt;&lt;p class="alignleft"&gt;Unnatural Lust&lt;/p&gt;&lt;div style="clear: both;"&gt;&lt;/div&gt;&lt;/div&gt;&lt;div&gt;&lt;h5&gt;&lt;b&gt;School &lt;/b&gt;enchantment (compulsion) [emotion, mind-affecting]; &lt;b&gt;Level &lt;/b&gt;bard 1, sorcerer/wizard 2, witch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throw.&lt;/p&gt;&lt;/h4&gt;&lt;/div&gt;</t>
  </si>
  <si>
    <t>Target is compelled to kiss or caress another.</t>
  </si>
  <si>
    <t>Enchantment (2)</t>
  </si>
  <si>
    <t>Unprepared Combatant</t>
  </si>
  <si>
    <t>The target takes a -4 penalty on initiative checks and Reflex saves.</t>
  </si>
  <si>
    <t>&lt;p&gt;The target takes a -4 penalty on initiative checks and Reflex saves.&lt;/p&gt;</t>
  </si>
  <si>
    <t>&lt;link rel="stylesheet"href="PF.css"&gt;&lt;div class="heading"&gt;&lt;p class="alignleft"&gt;Unprepared Combatant&lt;/p&gt;&lt;div style="clear: both;"&gt;&lt;/div&gt;&lt;/div&gt;&lt;div&gt;&lt;h5&gt;&lt;b&gt;School &lt;/b&gt;enchantment (compulsion) [emotion, mind-affecting]; &lt;b&gt;Level &lt;/b&gt;bard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&lt;/b&gt;yes&lt;/h5&gt;&lt;/div&gt;&lt;hr/&gt;&lt;div&gt;&lt;h5&gt;&lt;b&gt;DESCRIPTION&lt;/b&gt;&lt;/h5&gt;&lt;/div&gt;&lt;hr/&gt;&lt;div&gt;&lt;h4&gt;&lt;p&gt;The target takes a -4 penalty on initiative checks and Reflex saves.&lt;/p&gt;&lt;/h4&gt;&lt;/div&gt;</t>
  </si>
  <si>
    <t>Target takes –4 on initiative and Reflex saves.</t>
  </si>
  <si>
    <t>Unshakable Chill</t>
  </si>
  <si>
    <t>druid 2, sorcerer/wizard 2, witch 2, bloodrager 2</t>
  </si>
  <si>
    <t>The target is filled with an unshakable chill for the duration of the spell, and suffers from the effects of severe cold (Core Rulebook 442). Severe cold means if the initial saving throw fails, the target takes 1d6 points of nonlethal cold damage and must save every 10 minutes (using the DC of severe cold instead of this spell's DC) or take additional damage.</t>
  </si>
  <si>
    <t>&lt;p&gt;The target is filled with an unshakable chill for the duration of the spell, and suffers from the effects of severe cold (&lt;i&gt;Core Rulebook&lt;/i&gt; 442). Severe cold means if the initial saving throw fails, the target takes 1d6 points of nonlethal cold damage and must save every 10 minutes (using the DC of severe cold instead of this spell's DC) or take additional damage.&lt;/p&gt;</t>
  </si>
  <si>
    <t>&lt;link rel="stylesheet"href="PF.css"&gt;&lt;div class="heading"&gt;&lt;p class="alignleft"&gt;Unshakable Chill&lt;/p&gt;&lt;div style="clear: both;"&gt;&lt;/div&gt;&lt;/div&gt;&lt;div&gt;&lt;h5&gt;&lt;b&gt;School &lt;/b&gt;necromancy [cold]; &lt;b&gt;Level &lt;/b&gt;druid 2, sorcerer/wizard 2, witch 2, bloodrager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&lt;/b&gt;10 minutes/level; see text&lt;/h5&gt;&lt;h5&gt;&lt;b&gt;Saving Throw &lt;/b&gt;Fortitude negates (see text); &lt;b&gt;Spell Resistance &lt;/b&gt;yes&lt;/h5&gt;&lt;/div&gt;&lt;hr/&gt;&lt;div&gt;&lt;h5&gt;&lt;b&gt;DESCRIPTION&lt;/b&gt;&lt;/h5&gt;&lt;/div&gt;&lt;hr/&gt;&lt;div&gt;&lt;h4&gt;&lt;p&gt;The target is filled with an unshakable chill for the duration of the spell, and suffers from the effects of severe cold (&lt;i&gt;Core Rulebook&lt;/i&gt; 442). Severe cold means if the initial saving throw fails, the target takes 1d6 points of nonlethal cold damage and must save every 10 minutes (using the DC of severe cold instead of this spell's DC) or take additional damage.&lt;/p&gt;&lt;/h4&gt;&lt;h5&gt;&lt;b&gt;Mythic: &lt;/b&gt;On a failed save, the target immediately takes 1d6 points of nonlethal cold damage per tier. Add your tier to the DC of any other Fortitude saves the target attempts to resist severe cold as part of the spell's effects. The target also takes a -4 penalty on saves against spells or effects with the cold descriptor.&lt;/h5&gt;&lt;h5&gt;&lt;b&gt;Augmented (5th)&lt;/b&gt;: If you expend two uses of mythic power, the target gains vulnerability to fire (Bestiary 305).&lt;/h5&gt;&lt;/div&gt;</t>
  </si>
  <si>
    <t>Target is afflicted with severe cold.</t>
  </si>
  <si>
    <t>Winter (2)</t>
  </si>
  <si>
    <t>On a failed save, the target immediately takes 1d6 points of nonlethal cold damage per tier. Add your tier to the DC of any other Fortitude saves the target attempts to resist severe cold as part of the spell's effects. The target also takes a -4 penalty on saves against spells or effects with the cold descriptor.</t>
  </si>
  <si>
    <t>Augmented (5th): If you expend two uses of mythic power, the target gains vulnerability to fire (Bestiary 305).</t>
  </si>
  <si>
    <t>Utter Contempt</t>
  </si>
  <si>
    <t>antipaladin 3, bard 4, sorcerer/wizard 6, psychic 5, mesmerist 4</t>
  </si>
  <si>
    <t>V, S, M (spittle)</t>
  </si>
  <si>
    <t>You fill the target's heart with malice for all other creatures.  The target's attitude toward all creatures other than itself worsens by two steps.</t>
  </si>
  <si>
    <t>&lt;p&gt;You fill the target's heart with malice for all other creatures.&lt;/p&gt;&lt;p&gt;The target's attitude toward all creatures other than itself worsens by two steps.&lt;/p&gt;</t>
  </si>
  <si>
    <t>&lt;link rel="stylesheet"href="PF.css"&gt;&lt;div class="heading"&gt;&lt;p class="alignleft"&gt;Utter Contempt&lt;/p&gt;&lt;div style="clear: both;"&gt;&lt;/div&gt;&lt;/div&gt;&lt;div&gt;&lt;h5&gt;&lt;b&gt;School &lt;/b&gt;enchantment [emotion]; &lt;b&gt;Level &lt;/b&gt;antipaladin 3, bard 4, sorcerer/wizard 6, psychic 5, mesmerist 4&lt;/h5&gt;&lt;/div&gt;&lt;hr/&gt;&lt;div&gt;&lt;h5&gt;&lt;b&gt;CASTING&lt;/b&gt;&lt;/h5&gt;&lt;/div&gt;&lt;hr/&gt;&lt;div&gt;&lt;h5&gt;&lt;b&gt;Casting Time &lt;/b&gt;1 standard action&lt;/h5&gt;&lt;h5&gt;&lt;b&gt;Components &lt;/b&gt;V, S, M (spittle)&lt;/h5&gt;&lt;/div&gt;&lt;hr/&gt;&lt;div&gt;&lt;h5&gt;&lt;b&gt;EFFECT&lt;/b&gt;&lt;/h5&gt;&lt;/div&gt;&lt;hr/&gt;&lt;div&gt;&lt;h5&gt;&lt;b&gt;Range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&lt;/b&gt;yes&lt;/h5&gt;&lt;/div&gt;&lt;hr/&gt;&lt;div&gt;&lt;h5&gt;&lt;b&gt;DESCRIPTION&lt;/b&gt;&lt;/h5&gt;&lt;/div&gt;&lt;hr/&gt;&lt;div&gt;&lt;h4&gt;&lt;p&gt;You fill the target's heart with malice for all other creatures.&lt;/p&gt;&lt;p&gt;The target's attitude toward all creatures other than itself worsens by two steps.&lt;/p&gt;&lt;/h4&gt;&lt;/div&gt;</t>
  </si>
  <si>
    <t>Target's attitude worsens by two categories.</t>
  </si>
  <si>
    <t>Vengeful Outrage</t>
  </si>
  <si>
    <t>emotion, language-dependent, mind-affecting</t>
  </si>
  <si>
    <t>bard 5, sorcerer/wizard 6, witch 6, psychic 6, mesmerist 5</t>
  </si>
  <si>
    <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geas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  If you designate one of the target's friends or loved ones as the enemy, the target gains another saving throw to overcome the spell as soon as it enters combat with the enemy.</t>
  </si>
  <si>
    <t>&lt;p&gt;You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&lt;i&gt;geas&lt;/i&gt;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conditions.&lt;/p&gt;&lt;p&gt;If you designate one of the target's friends or loved ones as the enemy, the target gains another saving throw to overcome the spell as soon as it enters combat with the enemy.&lt;/p&gt;</t>
  </si>
  <si>
    <t>&lt;link rel="stylesheet"href="PF.css"&gt;&lt;div class="heading"&gt;&lt;p class="alignleft"&gt;Vengeful Outrage&lt;/p&gt;&lt;div style="clear: both;"&gt;&lt;/div&gt;&lt;/div&gt;&lt;div&gt;&lt;h5&gt;&lt;b&gt;School &lt;/b&gt;enchantment (compulsion) [emotion, language-dependent, mind-affecting]; &lt;b&gt;Level &lt;/b&gt;bard 5, sorcerer/wizard 6, witch 6, psychic 6, mesmerist 5&lt;/h5&gt;&lt;/div&gt;&lt;hr/&gt;&lt;div&gt;&lt;h5&gt;&lt;b&gt;CASTING&lt;/b&gt;&lt;/h5&gt;&lt;/div&gt;&lt;hr/&gt;&lt;div&gt;&lt;h5&gt;&lt;b&gt;Casting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&lt;i&gt;geas&lt;/i&gt;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conditions.&lt;/p&gt;&lt;p&gt;If you designate one of the target's friends or loved ones as the enemy, the target gains another saving throw to overcome the spell as soon as it enters combat with the enemy.&lt;/p&gt;&lt;/h4&gt;&lt;/div&gt;</t>
  </si>
  <si>
    <t>Target is compelled to destroy one enemy.</t>
  </si>
  <si>
    <t>Vermin Shape I</t>
  </si>
  <si>
    <t>alchemist 4, druid 3, magus 4, sorcerer/wizard 4, witch 3, bloodrager 4</t>
  </si>
  <si>
    <t>When you cast this spell, you assume the form of any Small or Medium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  Small vermin: If you take the form of a Small vermin, you gain a +2 size bonus to your Dexterity and a +2 natural armor bonus.  Medium vermin: If you take the form of a Medium vermin, you gain a +2 size bonus to your Strength and a +3 natural armor bonus.</t>
  </si>
  <si>
    <t>&lt;p&gt;When you cast this spell, you assume the form of any &lt;i&gt;Small&lt;/i&gt; or &lt;i&gt;Medium&lt;/i&gt;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effects.&lt;/p&gt;&lt;p&gt;&lt;i&gt;Small&lt;/i&gt; vermin: If you take the form of a &lt;i&gt;Small&lt;/i&gt; vermin, you gain a +2 size bonus to your Dexterity and a +2 natural armor bonus.&lt;/p&gt;&lt;p&gt;&lt;i&gt;Medium&lt;/i&gt; vermin: If you take the form of a &lt;i&gt;Medium&lt;/i&gt; vermin, you gain a +2 size bonus to your Strength and a +3 natural armor bonus.&lt;/p&gt;</t>
  </si>
  <si>
    <t>&lt;link rel="stylesheet"href="PF.css"&gt;&lt;div class="heading"&gt;&lt;p class="alignleft"&gt;Vermin Shape I&lt;/p&gt;&lt;div style="clear: both;"&gt;&lt;/div&gt;&lt;/div&gt;&lt;div&gt;&lt;h5&gt;&lt;b&gt;School &lt;/b&gt;transmutation (polymorph); &lt;b&gt;Level &lt;/b&gt;alchemist 4, druid 3, magus 4, sorcerer/wizard 4, witch 3, bloodrager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assume the form of any &lt;i&gt;Small&lt;/i&gt; or &lt;i&gt;Medium&lt;/i&gt;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effects.&lt;/p&gt;&lt;p&gt;&lt;i&gt;Small&lt;/i&gt; vermin: If you take the form of a &lt;i&gt;Small&lt;/i&gt; vermin, you gain a +2 size bonus to your Dexterity and a +2 natural armor bonus.&lt;/p&gt;&lt;p&gt;&lt;i&gt;Medium&lt;/i&gt; vermin: If you take the form of a &lt;i&gt;Medium&lt;/i&gt; vermin, you gain a +2 size bonus to your Strength and a +3 natural armor bonus.&lt;/p&gt;&lt;/h4&gt;&lt;/div&gt;</t>
  </si>
  <si>
    <t>Take the form and some of the powers of a Small or Medium vermin.</t>
  </si>
  <si>
    <t>Vermin Shape II</t>
  </si>
  <si>
    <t>alchemist 5, druid 4, magus 5, sorcerer/wizard 5, witch 4</t>
  </si>
  <si>
    <t>This spell functions as vermin shape I, except it also allows you to assume the form of a Tiny or Large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  Tiny vermin: If you take the form of a Tiny vermin, you gain a +4 size bonus to your Dexterity, a -2 penalty to your Strength, and a +1 natural armor bonus.  Large vermin: If you take the form of a Large vermin, you gain a +4 size bonus to your Strength, a -2 penalty to your Dexterity, and a +5 natural armor bonus.</t>
  </si>
  <si>
    <t>&lt;p&gt;This spell functions as &lt;i&gt;vermin shape I&lt;/i&gt;, except it also allows you to assume the form of a &lt;i&gt;Tiny&lt;/i&gt; or &lt;i&gt;Large&lt;/i&gt;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effects.&lt;/p&gt;&lt;p&gt;&lt;i&gt;Tiny&lt;/i&gt; vermin: If you take the form of a &lt;i&gt;Tiny&lt;/i&gt; vermin, you gain a +4 size bonus to your Dexterity, a -2 penalty to your Strength, and a +1 natural armor bonus.&lt;/p&gt;&lt;p&gt;&lt;i&gt;Large&lt;/i&gt; vermin: If you take the form of a &lt;i&gt;Large&lt;/i&gt; vermin, you gain a +4 size bonus to your Strength, a -2 penalty to your Dexterity, and a +5 natural armor bonus.&lt;/p&gt;</t>
  </si>
  <si>
    <t>&lt;link rel="stylesheet"href="PF.css"&gt;&lt;div class="heading"&gt;&lt;p class="alignleft"&gt;Vermin Shape II&lt;/p&gt;&lt;div style="clear: both;"&gt;&lt;/div&gt;&lt;/div&gt;&lt;div&gt;&lt;h5&gt;&lt;b&gt;School &lt;/b&gt;transmutation (polymorph); &lt;b&gt;Level &lt;/b&gt;alchemist 5, druid 4, magus 5, sorcerer/wizard 5,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functions as &lt;i&gt;vermin shape I&lt;/i&gt;, except it also allows you to assume the form of a &lt;i&gt;Tiny&lt;/i&gt; or &lt;i&gt;Large&lt;/i&gt;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effects.&lt;/p&gt;&lt;p&gt;&lt;i&gt;Tiny&lt;/i&gt; vermin: If you take the form of a &lt;i&gt;Tiny&lt;/i&gt; vermin, you gain a +4 size bonus to your Dexterity, a -2 penalty to your Strength, and a +1 natural armor bonus.&lt;/p&gt;&lt;p&gt;&lt;i&gt;Large&lt;/i&gt; vermin: If you take the form of a &lt;i&gt;Large&lt;/i&gt; vermin, you gain a +4 size bonus to your Strength, a -2 penalty to your Dexterity, and a +5 natural armor bonus.&lt;/p&gt;&lt;/h4&gt;&lt;/div&gt;</t>
  </si>
  <si>
    <t>As vermin shape, but Tiny or Large.</t>
  </si>
  <si>
    <t>Vestment of the Champion</t>
  </si>
  <si>
    <t>antipaladin 2, paladin 2</t>
  </si>
  <si>
    <t>This functions as magic vestment, except it only affects armor or a shield you are wearing or carrying. If the armor or shield is worn or carried by anyone other than you, the spell has no effect, but resumes its effect when you are wearing or carrying it again.</t>
  </si>
  <si>
    <t>&lt;p&gt;This functions as &lt;i&gt;magic vestment&lt;/i&gt;, except it only affects armor or a shield you are wearing or carrying. If the armor or shield is worn or carried by anyone other than you, the spell has no effect, but resumes its effect when you are wearing or carrying it again.&lt;/p&gt;</t>
  </si>
  <si>
    <t>&lt;link rel="stylesheet"href="PF.css"&gt;&lt;div class="heading"&gt;&lt;p class="alignleft"&gt;Vestment of the Champion&lt;/p&gt;&lt;div style="clear: both;"&gt;&lt;/div&gt;&lt;/div&gt;&lt;div&gt;&lt;h5&gt;&lt;b&gt;School &lt;/b&gt;abjuration; &lt;b&gt;Level &lt;/b&gt;antipaladin 2, 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or shield touched&lt;/h5&gt;&lt;h5&gt;&lt;b&gt;Duration &lt;/b&gt;1 minute/level&lt;/h5&gt;&lt;h5&gt;&lt;b&gt;Saving Throw &lt;/b&gt;none; &lt;b&gt;Spell Resistance &lt;/b&gt;no&lt;/h5&gt;&lt;/div&gt;&lt;hr/&gt;&lt;div&gt;&lt;h5&gt;&lt;b&gt;DESCRIPTION&lt;/b&gt;&lt;/h5&gt;&lt;/div&gt;&lt;hr/&gt;&lt;div&gt;&lt;h4&gt;&lt;p&gt;This functions as &lt;i&gt;magic vestment&lt;/i&gt;, except it only affects armor or a shield you are wearing or carrying. If the armor or shield is worn or carried by anyone other than you, the spell has no effect, but resumes its effect when you are wearing or carrying it again.&lt;/p&gt;&lt;/h4&gt;&lt;/div&gt;</t>
  </si>
  <si>
    <t>Armor or shield gains a</t>
  </si>
  <si>
    <t>Virtuoso Performance</t>
  </si>
  <si>
    <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  When this spell ends, one of the performances ends immediately (your choice).  Virtuoso performance does not stack with any other method of maintaining simultaneous bardic performances.</t>
  </si>
  <si>
    <t>&lt;p&gt;While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maintained.&lt;/p&gt;&lt;p&gt;When this spell ends, one of the performances ends immediately (your choice).&lt;/p&gt;&lt;p&gt;Virtuoso performance does not stack with any other method of maintaining simultaneous bardic performances.&lt;/p&gt;</t>
  </si>
  <si>
    <t>&lt;link rel="stylesheet"href="PF.css"&gt;&lt;div class="heading"&gt;&lt;p class="alignleft"&gt;Virtuoso Performance&lt;/p&gt;&lt;div style="clear: both;"&gt;&lt;/div&gt;&lt;/div&gt;&lt;div&gt;&lt;h5&gt;&lt;b&gt;School &lt;/b&gt;transmutation; &lt;b&gt;Level &lt;/b&gt;bard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maintained.&lt;/p&gt;&lt;p&gt;When this spell ends, one of the performances ends immediately (your choice).&lt;/p&gt;&lt;p&gt;Virtuoso performance does not stack with any other method of maintaining simultaneous bardic performances.&lt;/p&gt;&lt;/h4&gt;&lt;/div&gt;</t>
  </si>
  <si>
    <t>Start a second bardic performance while maintaining the first.</t>
  </si>
  <si>
    <t>Vision of Hell</t>
  </si>
  <si>
    <t>evil, fear</t>
  </si>
  <si>
    <t>bard 3, cleric/oracle 3, sorcerer/wizard 3, witch 3, bloodrager 3, occultist 3, psychic 3, mesmerist 3</t>
  </si>
  <si>
    <t>V, M (a pinch of brimstone)</t>
  </si>
  <si>
    <t>50-ft.-radius emanation</t>
  </si>
  <si>
    <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t>
  </si>
  <si>
    <t>&lt;p&gt;You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spell.&lt;/p&gt;</t>
  </si>
  <si>
    <t>&lt;link rel="stylesheet"href="PF.css"&gt;&lt;div class="heading"&gt;&lt;p class="alignleft"&gt;Vision of Hell&lt;/p&gt;&lt;div style="clear: both;"&gt;&lt;/div&gt;&lt;/div&gt;&lt;div&gt;&lt;h5&gt;&lt;b&gt;School &lt;/b&gt;illusion (glamer) [evil, fear]; &lt;b&gt;Level &lt;/b&gt;bard 3, cleric/oracle 3, sorcerer/wizard 3, witch 3, bloodrager 3, occultist 3, psychic 3, mesmerist 3&lt;/h5&gt;&lt;/div&gt;&lt;hr/&gt;&lt;div&gt;&lt;h5&gt;&lt;b&gt;CASTING&lt;/b&gt;&lt;/h5&gt;&lt;/div&gt;&lt;hr/&gt;&lt;div&gt;&lt;h5&gt;&lt;b&gt;Casting Time &lt;/b&gt;1 standard action&lt;/h5&gt;&lt;h5&gt;&lt;b&gt;Components &lt;/b&gt;V, M (a pinch of brimstone)&lt;/h5&gt;&lt;/div&gt;&lt;hr/&gt;&lt;div&gt;&lt;h5&gt;&lt;b&gt;EFFECT&lt;/b&gt;&lt;/h5&gt;&lt;/div&gt;&lt;hr/&gt;&lt;div&gt;&lt;h5&gt;&lt;b&gt;Range &lt;/b&gt;medium (100 ft. + 10 ft./level)&lt;/h5&gt;&lt;h5&gt;&lt;b&gt;Effect &lt;/b&gt;50-ft.-radius emanation&lt;/h5&gt;&lt;h5&gt;&lt;b&gt;Duration &lt;/b&gt;1 minute/level (D)&lt;/h5&gt;&lt;h5&gt;&lt;b&gt;Saving Throw &lt;/b&gt;Will negates; &lt;b&gt;Spell Resistance &lt;/b&gt;no&lt;/h5&gt;&lt;/div&gt;&lt;hr/&gt;&lt;div&gt;&lt;h5&gt;&lt;b&gt;DESCRIPTION&lt;/b&gt;&lt;/h5&gt;&lt;/div&gt;&lt;hr/&gt;&lt;div&gt;&lt;h4&gt;&lt;p&gt;You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spell.&lt;/p&gt;&lt;/h4&gt;&lt;/div&gt;</t>
  </si>
  <si>
    <t>Illusory hellscape makes creatures shaken.</t>
  </si>
  <si>
    <t>Vitriolic Mist</t>
  </si>
  <si>
    <t>alchemist 4, sorcerer/wizard 4, summoner 4, bloodrager 4</t>
  </si>
  <si>
    <t>V, S, M (a piece of lemon rind)</t>
  </si>
  <si>
    <t>This functions as fire shield, except it wreathes you in yellow or green acidic mist instead of hot or cold flames. The spell deals acid damage to attackers and protects you against acid damage. This spell does not shed light.</t>
  </si>
  <si>
    <t>&lt;p&gt;This functions as &lt;i&gt;fire shield&lt;/i&gt;, except it wreathes you in yellow or green acidic mist instead of hot or cold flames. The spell deals acid damage to attackers and protects you against acid damage. This spell does not shed light.&lt;/p&gt;</t>
  </si>
  <si>
    <t>&lt;link rel="stylesheet"href="PF.css"&gt;&lt;div class="heading"&gt;&lt;p class="alignleft"&gt;Vitriolic Mist&lt;/p&gt;&lt;div style="clear: both;"&gt;&lt;/div&gt;&lt;/div&gt;&lt;div&gt;&lt;h5&gt;&lt;b&gt;School &lt;/b&gt;evocation [acid]; &lt;b&gt;Level &lt;/b&gt;alchemist 4, sorcerer/wizard 4, summoner 4, bloodrager 4&lt;/h5&gt;&lt;/div&gt;&lt;hr/&gt;&lt;div&gt;&lt;h5&gt;&lt;b&gt;CASTING&lt;/b&gt;&lt;/h5&gt;&lt;/div&gt;&lt;hr/&gt;&lt;div&gt;&lt;h5&gt;&lt;b&gt;Casting Time &lt;/b&gt;1 standard action&lt;/h5&gt;&lt;h5&gt;&lt;b&gt;Components &lt;/b&gt;V, S, M (a piece of lemon rind)&lt;/h5&gt;&lt;/div&gt;&lt;hr/&gt;&lt;div&gt;&lt;h5&gt;&lt;b&gt;EFFECT&lt;/b&gt;&lt;/h5&gt;&lt;/div&gt;&lt;hr/&gt;&lt;div&gt;&lt;h5&gt;&lt;b&gt;Range &lt;/b&gt;personal&lt;/h5&gt;&lt;h5&gt;&lt;b&gt;Targets &lt;/b&gt;you&lt;/h5&gt;&lt;h5&gt;&lt;b&gt;Duration &lt;/b&gt;1 round/level (D)&lt;/h5&gt;&lt;/div&gt;&lt;hr/&gt;&lt;div&gt;&lt;h5&gt;&lt;b&gt;DESCRIPTION&lt;/b&gt;&lt;/h5&gt;&lt;/div&gt;&lt;hr/&gt;&lt;div&gt;&lt;h4&gt;&lt;p&gt;This functions as &lt;i&gt;fire shield&lt;/i&gt;, except it wreathes you in yellow or green acidic mist instead of hot or cold flames. The spell deals acid damage to attackers and protects you against acid damage. This spell does not shed light.&lt;/p&gt;&lt;/h4&gt;&lt;/div&gt;</t>
  </si>
  <si>
    <t>As fire shield, except acid damage.</t>
  </si>
  <si>
    <t>Vocal Alteration</t>
  </si>
  <si>
    <t>alchemist 1, bard 1, inquisitor 1, sorcerer/wizard 1, witch 1, occultist 1, psychic 1, mesmerist 1</t>
  </si>
  <si>
    <t>You alter the target's voice to something else. For example, you could make the target's voice high-pitched, husky, or nasal, or change its accent to an accent you are familiar with.  If this spell is used as part of a disguise, the target gets a +10 bonus on the Disguise check when trying to fool a listener.  The target can vary the disguised voice just as it could its normal voice. For example, a halfling female given a male dwarf noble's voice and accent could speak in falsetto, with a rural halfling accent, and so on.</t>
  </si>
  <si>
    <t>&lt;p&gt;You alter the target's voice to something else. For example, you could make the target's voice high-pitched, husky, or nasal, or change its accent to an accent you are familiar with.&lt;/p&gt;&lt;p&gt;If this spell is used as part of a disguise, the target gets a +10 bonus on the Disguise check when trying to fool a listener.&lt;/p&gt;&lt;p&gt;The target can vary the disguised voice just as it could its normal voice. For example, a halfling female given a male dwarf noble's voice and accent could speak in falsetto, with a rural halfling accent, and so on.&lt;/p&gt;</t>
  </si>
  <si>
    <t>&lt;link rel="stylesheet"href="PF.css"&gt;&lt;div class="heading"&gt;&lt;p class="alignleft"&gt;Vocal Alteration&lt;/p&gt;&lt;div style="clear: both;"&gt;&lt;/div&gt;&lt;/div&gt;&lt;div&gt;&lt;h5&gt;&lt;b&gt;School &lt;/b&gt;transmutation; &lt;b&gt;Level &lt;/b&gt;alchemist 1, bard 1, inquisitor 1, sorcerer/wizard 1, witch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 creature&lt;/h5&gt;&lt;h5&gt;&lt;b&gt;Duration &lt;/b&gt;1 minute/level&lt;/h5&gt;&lt;h5&gt;&lt;b&gt;Saving Throw &lt;/b&gt;Fortitude negates; &lt;b&gt;Spell Resistance &lt;/b&gt;yes&lt;/h5&gt;&lt;/div&gt;&lt;hr/&gt;&lt;div&gt;&lt;h5&gt;&lt;b&gt;DESCRIPTION&lt;/b&gt;&lt;/h5&gt;&lt;/div&gt;&lt;hr/&gt;&lt;div&gt;&lt;h4&gt;&lt;p&gt;You alter the target's voice to something else. For example, you could make the target's voice high-pitched, husky, or nasal, or change its accent to an accent you are familiar with.&lt;/p&gt;&lt;p&gt;If this spell is used as part of a disguise, the target gets a +10 bonus on the Disguise check when trying to fool a listener.&lt;/p&gt;&lt;p&gt;The target can vary the disguised voice just as it could its normal voice. For example, a halfling female given a male dwarf noble's voice and accent could speak in falsetto, with a rural halfling accent, and so on.&lt;/p&gt;&lt;/h4&gt;&lt;/div&gt;</t>
  </si>
  <si>
    <t>Disguise target's voice.</t>
  </si>
  <si>
    <t>Volcanic Storm</t>
  </si>
  <si>
    <t>druid 4, sorcerer/wizard 4, witch 4, bloodrager 4</t>
  </si>
  <si>
    <t>V, S, M/DF (obsidian and ash)</t>
  </si>
  <si>
    <t>Chunks of hot volcanic rock and clumps of ash pound down when this spell is cast, dealing 3d6 points of bludgeoning damage and 2d6 points of fire damage to every creature in the area. This damage only occurs once, when the spell is cast.  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t>
  </si>
  <si>
    <t>&lt;p&gt;Chunks of hot volcanic rock and clumps of ash pound down when this spell is cast, dealing 3d6 points of bludgeoning damage and 2d6 points of fire damage to every creature in the area. This damage only occurs once, when the spell is cast.&lt;/p&gt;&lt;p&gt;For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dealt).&lt;/p&gt;</t>
  </si>
  <si>
    <t>&lt;link rel="stylesheet"href="PF.css"&gt;&lt;div class="heading"&gt;&lt;p class="alignleft"&gt;Volcanic Storm&lt;/p&gt;&lt;div style="clear: both;"&gt;&lt;/div&gt;&lt;/div&gt;&lt;div&gt;&lt;h5&gt;&lt;b&gt;School &lt;/b&gt;evocation [fire]; &lt;b&gt;Level &lt;/b&gt;druid 4, sorcerer/wizard 4, witch 4, bloodrager 4&lt;/h5&gt;&lt;/div&gt;&lt;hr/&gt;&lt;div&gt;&lt;h5&gt;&lt;b&gt;CASTING&lt;/b&gt;&lt;/h5&gt;&lt;/div&gt;&lt;hr/&gt;&lt;div&gt;&lt;h5&gt;&lt;b&gt;Casting Time &lt;/b&gt;1 standard action&lt;/h5&gt;&lt;h5&gt;&lt;b&gt;Components &lt;/b&gt;V, S, M/DF (obsidian and ash)&lt;/h5&gt;&lt;/div&gt;&lt;hr/&gt;&lt;div&gt;&lt;h5&gt;&lt;b&gt;EFFECT&lt;/b&gt;&lt;/h5&gt;&lt;/div&gt;&lt;hr/&gt;&lt;div&gt;&lt;h5&gt;&lt;b&gt;Range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&lt;/b&gt;yes&lt;/h5&gt;&lt;/div&gt;&lt;hr/&gt;&lt;div&gt;&lt;h5&gt;&lt;b&gt;DESCRIPTION&lt;/b&gt;&lt;/h5&gt;&lt;/div&gt;&lt;hr/&gt;&lt;div&gt;&lt;h4&gt;&lt;p&gt;Chunks of hot volcanic rock and clumps of ash pound down when this spell is cast, dealing 3d6 points of bludgeoning damage and 2d6 points of fire damage to every creature in the area. This damage only occurs once, when the spell is cast.&lt;/p&gt;&lt;p&gt;For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dealt).&lt;/p&gt;&lt;/h4&gt;&lt;/div&gt;</t>
  </si>
  <si>
    <t>Hot rocks deal 5d6 damage.</t>
  </si>
  <si>
    <t>Wall of Sound</t>
  </si>
  <si>
    <t>bard 4, magus 4, sorcerer/wizard 5, bloodrager 4, psychic 5, spiritualist 5</t>
  </si>
  <si>
    <t>V, S, M (a tuning fork and a quartz crystal)</t>
  </si>
  <si>
    <t>translucent wall of sound up to 20 ft. long/level or a ring of sound with a radius of up to 5 ft./two levels; either form 20 ft. high</t>
  </si>
  <si>
    <t>A translucent barrier of pure sound springs into existence. This wall is silent except for a faint hum, but bursts with discordant noise when touched by an object or creature. The wall deflects arrows, bolts, loose debris, and Small or smaller flying creatures like a wind wall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silence spell suppresses the wall within its area, but the wall reappears when the silence ends.</t>
  </si>
  <si>
    <t>&lt;p&gt;A translucent barrier of pure sound springs into existence. This wall is silent except for a faint hum, but bursts with discordant noise when touched by an object or creature. The wall deflects arrows, bolts, loose debris, and Small or smaller flying creatures like a &lt;i&gt;wind wall&lt;/i&gt;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&lt;i&gt;silence&lt;/i&gt; spell suppresses the wall within its area, but the wall reappears when the &lt;i&gt;silence&lt;/i&gt; ends.&lt;/p&gt;</t>
  </si>
  <si>
    <t>&lt;link rel="stylesheet"href="PF.css"&gt;&lt;div class="heading"&gt;&lt;p class="alignleft"&gt;Wall of Sound&lt;/p&gt;&lt;div style="clear: both;"&gt;&lt;/div&gt;&lt;/div&gt;&lt;div&gt;&lt;h5&gt;&lt;b&gt;School &lt;/b&gt;evocation [sonic]; &lt;b&gt;Level &lt;/b&gt;bard 4, magus 4, sorcerer/wizard 5, bloodrager 4, psychic 5, spiritualist 5&lt;/h5&gt;&lt;/div&gt;&lt;hr/&gt;&lt;div&gt;&lt;h5&gt;&lt;b&gt;CASTING&lt;/b&gt;&lt;/h5&gt;&lt;/div&gt;&lt;hr/&gt;&lt;div&gt;&lt;h5&gt;&lt;b&gt;Casting Time &lt;/b&gt;1 standard action&lt;/h5&gt;&lt;h5&gt;&lt;b&gt;Components &lt;/b&gt;V, S, M (a tuning fork and a quartz crystal)&lt;/h5&gt;&lt;/div&gt;&lt;hr/&gt;&lt;div&gt;&lt;h5&gt;&lt;b&gt;EFFECT&lt;/b&gt;&lt;/h5&gt;&lt;/div&gt;&lt;hr/&gt;&lt;div&gt;&lt;h5&gt;&lt;b&gt;Range &lt;/b&gt;medium (100 ft. + 10 ft./level)&lt;/h5&gt;&lt;h5&gt;&lt;b&gt;Effect &lt;/b&gt;translucent wall of sound up to 20 ft. long/level or a ring of sound with a radius of up to 5 ft./two levels; either form 20 ft. high&lt;/h5&gt;&lt;h5&gt;&lt;b&gt;Duration &lt;/b&gt;concentration + 1 round/level&lt;/h5&gt;&lt;h5&gt;&lt;b&gt;Saving Throw &lt;/b&gt;none; &lt;b&gt;Spell Resistance &lt;/b&gt;yes&lt;/h5&gt;&lt;/div&gt;&lt;hr/&gt;&lt;div&gt;&lt;h5&gt;&lt;b&gt;DESCRIPTION&lt;/b&gt;&lt;/h5&gt;&lt;/div&gt;&lt;hr/&gt;&lt;div&gt;&lt;h4&gt;&lt;p&gt;A translucent barrier of pure sound springs into existence. This wall is silent except for a faint hum, but bursts with discordant noise when touched by an object or creature. The wall deflects arrows, bolts, loose debris, and Small or smaller flying creatures like a &lt;i&gt;wind wall&lt;/i&gt;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&lt;i&gt;silence&lt;/i&gt; spell suppresses the wall within its area, but the wall reappears when the &lt;i&gt;silence&lt;/i&gt; ends.&lt;/p&gt;&lt;/h4&gt;&lt;/div&gt;</t>
  </si>
  <si>
    <t>Sonic wall deflects and damages creatures.</t>
  </si>
  <si>
    <t>Wartrain Mount</t>
  </si>
  <si>
    <t>antipaladin 1, bard 2, druid 2, inquisitor 1, paladin 1, ranger 1, mesmerist 2</t>
  </si>
  <si>
    <t>V, S, M (a swatch of black cloth)</t>
  </si>
  <si>
    <t>one indifferent or friendly animal</t>
  </si>
  <si>
    <t>You instill the target animal with the combat training general purpose (see the Handle Animal skill, Core Rulebook 98). This supersedes the animal's previous trained purpose and any tricks it knows. When the spell ends, it reverts to its previous trained purpose and known tricks.</t>
  </si>
  <si>
    <t>&lt;p&gt;You instill the target animal with the combat training general purpose (see the Handle Animal skill, &lt;i&gt;Core Rulebook&lt;/i&gt; 98). This supersedes the animal's previous trained purpose and any tricks it knows. When the spell ends, it reverts to its previous trained purpose and known tricks.&lt;/p&gt;</t>
  </si>
  <si>
    <t>&lt;link rel="stylesheet"href="PF.css"&gt;&lt;div class="heading"&gt;&lt;p class="alignleft"&gt;Wartrain Mount&lt;/p&gt;&lt;div style="clear: both;"&gt;&lt;/div&gt;&lt;/div&gt;&lt;div&gt;&lt;h5&gt;&lt;b&gt;School &lt;/b&gt;enchantment (compulsion) [mind-affecting]; &lt;b&gt;Level &lt;/b&gt;antipaladin 1, bard 2, druid 2, inquisitor 1, paladin 1, ranger 1, mesmerist 2&lt;/h5&gt;&lt;/div&gt;&lt;hr/&gt;&lt;div&gt;&lt;h5&gt;&lt;b&gt;CASTING&lt;/b&gt;&lt;/h5&gt;&lt;/div&gt;&lt;hr/&gt;&lt;div&gt;&lt;h5&gt;&lt;b&gt;Casting Time &lt;/b&gt;1 minute&lt;/h5&gt;&lt;h5&gt;&lt;b&gt;Components &lt;/b&gt;V, S, M (a swatch of black cloth)&lt;/h5&gt;&lt;/div&gt;&lt;hr/&gt;&lt;div&gt;&lt;h5&gt;&lt;b&gt;EFFECT&lt;/b&gt;&lt;/h5&gt;&lt;/div&gt;&lt;hr/&gt;&lt;div&gt;&lt;h5&gt;&lt;b&gt;Range &lt;/b&gt;close (25 ft. + 5 ft./2 levels)&lt;/h5&gt;&lt;h5&gt;&lt;b&gt;Targets &lt;/b&gt;one indifferent or friendly animal&lt;/h5&gt;&lt;h5&gt;&lt;b&gt;Duration &lt;/b&gt;1 hour/level&lt;/h5&gt;&lt;h5&gt;&lt;b&gt;Saving Throw &lt;/b&gt;none; &lt;b&gt;Spell Resistance &lt;/b&gt;yes&lt;/h5&gt;&lt;/div&gt;&lt;hr/&gt;&lt;div&gt;&lt;h5&gt;&lt;b&gt;DESCRIPTION&lt;/b&gt;&lt;/h5&gt;&lt;/div&gt;&lt;hr/&gt;&lt;div&gt;&lt;h4&gt;&lt;p&gt;You instill the target animal with the combat training general purpose (see the Handle Animal skill, &lt;i&gt;Core Rulebook&lt;/i&gt; 98). This supersedes the animal's previous trained purpose and any tricks it knows. When the spell ends, it reverts to its previous trained purpose and known tricks.&lt;/p&gt;&lt;/h4&gt;&lt;/div&gt;</t>
  </si>
  <si>
    <t>Animal gains the combat training general purpose.</t>
  </si>
  <si>
    <t>Waves of Ecstasy</t>
  </si>
  <si>
    <t>bard 6, cleric/oracle 7, sorcerer/wizard 7, witch 7, psychic 7, mesmerist 6</t>
  </si>
  <si>
    <t>1 round/level; see text</t>
  </si>
  <si>
    <t>You emanate waves of intense pleasure that cause all targets within range to falter. Affected creatures are stunned for 1 round and are staggered for the remainder of the spell. A creature that makes its save is staggered for the first round and can act normally thereafter.</t>
  </si>
  <si>
    <t>&lt;p&gt;You emanate waves of intense pleasure that cause all targets within range to falter. Affected creatures are stunned for 1 round and are staggered for the remainder of the spell. A creature that makes its save is staggered for the first round and can act normally thereafter.&lt;/p&gt;</t>
  </si>
  <si>
    <t>&lt;link rel="stylesheet"href="PF.css"&gt;&lt;div class="heading"&gt;&lt;p class="alignleft"&gt;Waves of Ecstasy&lt;/p&gt;&lt;div style="clear: both;"&gt;&lt;/div&gt;&lt;/div&gt;&lt;div&gt;&lt;h5&gt;&lt;b&gt;School &lt;/b&gt;enchantment (compulsion) [emotion, mind-affecting]; &lt;b&gt;Level &lt;/b&gt;bard 6, cleric/oracle 7, 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&lt;/b&gt;1 round/level; see text&lt;/h5&gt;&lt;h5&gt;&lt;b&gt;Saving Throw &lt;/b&gt;Will partial (see text); &lt;b&gt;Spell Resistance &lt;/b&gt;yes&lt;/h5&gt;&lt;/div&gt;&lt;hr/&gt;&lt;div&gt;&lt;h5&gt;&lt;b&gt;DESCRIPTION&lt;/b&gt;&lt;/h5&gt;&lt;/div&gt;&lt;hr/&gt;&lt;div&gt;&lt;h4&gt;&lt;p&gt;You emanate waves of intense pleasure that cause all targets within range to falter. Affected creatures are stunned for 1 round and are staggered for the remainder of the spell. A creature that makes its save is staggered for the first round and can act normally thereafter.&lt;/p&gt;&lt;/h4&gt;&lt;/div&gt;</t>
  </si>
  <si>
    <t>Pleasure stuns and staggers creatures.</t>
  </si>
  <si>
    <t>Web Shelter</t>
  </si>
  <si>
    <t>cleric/oracle 2, druid 2, ranger 2, sorcerer/wizard 2, summoner 2, witch 2, shaman 2</t>
  </si>
  <si>
    <t>close (25 ft. + 5 ft./two levels)</t>
  </si>
  <si>
    <t>5 ft.-10 ft. diameter web sphere or 5 ft.-20 ft. hemisphere</t>
  </si>
  <si>
    <t>You create a shelter of slightly sticky webbing. The shelter has a hinged door large enough to accommodate a Medium creature. The opaque walls of the shelter measure 1 inch thick and provide total cover to anyone within it.  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t>
  </si>
  <si>
    <t>&lt;p&gt;You create a shelter of slightly sticky webbing. The shelter has a hinged door large enough to accommodate a Medium creature. The opaque walls of the shelter measure 1 inch thick and provide total cover to anyone within it.&lt;/p&gt;&lt;p&gt;Only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disappears.&lt;/p&gt;</t>
  </si>
  <si>
    <t>&lt;link rel="stylesheet"href="PF.css"&gt;&lt;div class="heading"&gt;&lt;p class="alignleft"&gt;Web Shelter&lt;/p&gt;&lt;div style="clear: both;"&gt;&lt;/div&gt;&lt;/div&gt;&lt;div&gt;&lt;h5&gt;&lt;b&gt;School &lt;/b&gt;conjuration (creation); &lt;b&gt;Level &lt;/b&gt;cleric/oracle 2, druid 2, ranger 2, sorcerer/wizard 2, summoner 2, witch 2, shaman 2&lt;/h5&gt;&lt;/div&gt;&lt;hr/&gt;&lt;div&gt;&lt;h5&gt;&lt;b&gt;CASTING&lt;/b&gt;&lt;/h5&gt;&lt;/div&gt;&lt;hr/&gt;&lt;div&gt;&lt;h5&gt;&lt;b&gt;Casting Time &lt;/b&gt;1 minute&lt;/h5&gt;&lt;h5&gt;&lt;b&gt;Components &lt;/b&gt;V, S, DF&lt;/h5&gt;&lt;/div&gt;&lt;hr/&gt;&lt;div&gt;&lt;h5&gt;&lt;b&gt;EFFECT&lt;/b&gt;&lt;/h5&gt;&lt;/div&gt;&lt;hr/&gt;&lt;div&gt;&lt;h5&gt;&lt;b&gt;Range &lt;/b&gt;close (25 ft. + 5 ft./two levels)&lt;/h5&gt;&lt;h5&gt;&lt;b&gt;Effect &lt;/b&gt;5 ft.-10 ft. diameter web sphere or 5 ft.-20 ft. hemisphere&lt;/h5&gt;&lt;h5&gt;&lt;b&gt;Duration &lt;/b&gt;1 hour/level (D)&lt;/h5&gt;&lt;h5&gt;&lt;b&gt;Saving Throw &lt;/b&gt;none; &lt;b&gt;Spell Resistance &lt;/b&gt;no&lt;/h5&gt;&lt;/div&gt;&lt;hr/&gt;&lt;div&gt;&lt;h5&gt;&lt;b&gt;DESCRIPTION&lt;/b&gt;&lt;/h5&gt;&lt;/div&gt;&lt;hr/&gt;&lt;div&gt;&lt;h4&gt;&lt;p&gt;You create a shelter of slightly sticky webbing. The shelter has a hinged door large enough to accommodate a Medium creature. The opaque walls of the shelter measure 1 inch thick and provide total cover to anyone within it.&lt;/p&gt;&lt;p&gt;Only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disappears.&lt;/p&gt;&lt;/h4&gt;&lt;/div&gt;</t>
  </si>
  <si>
    <t>Create a comfortable shelter made of webbing.</t>
  </si>
  <si>
    <t>Witness</t>
  </si>
  <si>
    <t>bard 3, inquisitor 3, witch 3, occultist 3, psychic 3, mesmerist 3</t>
  </si>
  <si>
    <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t>
  </si>
  <si>
    <t>&lt;p&gt;You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own.&lt;/p&gt;</t>
  </si>
  <si>
    <t>&lt;link rel="stylesheet"href="PF.css"&gt;&lt;div class="heading"&gt;&lt;p class="alignleft"&gt;Witness&lt;/p&gt;&lt;div style="clear: both;"&gt;&lt;/div&gt;&lt;/div&gt;&lt;div&gt;&lt;h5&gt;&lt;b&gt;School &lt;/b&gt;divination (scrying); &lt;b&gt;Level &lt;/b&gt;bard 3, inquisitor 3, witch 3, occultist 3, psychic 3, mesmerist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living creature&lt;/h5&gt;&lt;h5&gt;&lt;b&gt;Duration &lt;/b&gt;1 minute/level (D)&lt;/h5&gt;&lt;h5&gt;&lt;b&gt;Saving Throw &lt;/b&gt;Will negates (harmless); &lt;b&gt;Spell Resistance &lt;/b&gt;yes (harmless)&lt;/h5&gt;&lt;/div&gt;&lt;hr/&gt;&lt;div&gt;&lt;h5&gt;&lt;b&gt;DESCRIPTION&lt;/b&gt;&lt;/h5&gt;&lt;/div&gt;&lt;hr/&gt;&lt;div&gt;&lt;h4&gt;&lt;p&gt;You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own.&lt;/p&gt;&lt;/h4&gt;&lt;/div&gt;</t>
  </si>
  <si>
    <t>See through the target's eyes and ears.</t>
  </si>
  <si>
    <t>Wooden Phalanx</t>
  </si>
  <si>
    <t>three or more wood golems, no two of which can be more than 30 ft. apart (see text)</t>
  </si>
  <si>
    <t>You create 1d4+2 wood golems with the advanced template (Bestiary 164, 294). The golems willingly aid you in combat or battle, perform a specific mission, or serve as bodyguards. You can only have one wooden phalanx spell in effect at one time.  If you cast this spell while another casting is still in effect, the previous casting is dispelled.</t>
  </si>
  <si>
    <t>&lt;p&gt;You create 1d4+2 wood golems with the advanced template (&lt;i&gt;Bestiary&lt;/i&gt; 164, 294). The golems willingly aid you in combat or battle, perform a specific mission, or serve as bodyguards. You can only have one &lt;i&gt;wooden phalanx&lt;/i&gt; spell in effect at one time.&lt;/p&gt;&lt;p&gt;If you cast this spell while another casting is still in effect, the previous casting is dispelled.&lt;/p&gt;</t>
  </si>
  <si>
    <t>&lt;link rel="stylesheet"href="PF.css"&gt;&lt;div class="heading"&gt;&lt;p class="alignleft"&gt;Wooden Phalanx&lt;/p&gt;&lt;div style="clear: both;"&gt;&lt;/div&gt;&lt;/div&gt;&lt;div&gt;&lt;h5&gt;&lt;b&gt;School &lt;/b&gt;conjuration (creation); &lt;b&gt;Level &lt;/b&gt;cleric/oracle 9, sorcerer/wizard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wood golems, no two of which can be more than 30 ft. apart (see text)&lt;/h5&gt;&lt;h5&gt;&lt;b&gt;Duration &lt;/b&gt;1 hour/level (D)&lt;/h5&gt;&lt;h5&gt;&lt;b&gt;Saving Throw &lt;/b&gt;none; &lt;b&gt;Spell Resistance &lt;/b&gt;no&lt;/h5&gt;&lt;/div&gt;&lt;hr/&gt;&lt;div&gt;&lt;h5&gt;&lt;b&gt;DESCRIPTION&lt;/b&gt;&lt;/h5&gt;&lt;/div&gt;&lt;hr/&gt;&lt;div&gt;&lt;h4&gt;&lt;p&gt;You create 1d4+2 wood golems with the advanced template (&lt;i&gt;Bestiary&lt;/i&gt; 164, 294). The golems willingly aid you in combat or battle, perform a specific mission, or serve as bodyguards. You can only have one &lt;i&gt;wooden phalanx&lt;/i&gt; spell in effect at one time.&lt;/p&gt;&lt;p&gt;If you cast this spell while another casting is still in effect, the previous casting is dispelled.&lt;/p&gt;&lt;/h4&gt;&lt;/div&gt;</t>
  </si>
  <si>
    <t>Industry (9)</t>
  </si>
  <si>
    <t>Creates 1d4+2 temporary wood golems to fight for you.</t>
  </si>
  <si>
    <t>Thorns (18)</t>
  </si>
  <si>
    <t>Word of Resolve</t>
  </si>
  <si>
    <t>Will negate (harmless)</t>
  </si>
  <si>
    <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t>
  </si>
  <si>
    <t>&lt;p&gt;You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target.&lt;/p&gt;</t>
  </si>
  <si>
    <t>&lt;link rel="stylesheet"href="PF.css"&gt;&lt;div class="heading"&gt;&lt;p class="alignleft"&gt;Word of Resolve&lt;/p&gt;&lt;div style="clear: both;"&gt;&lt;/div&gt;&lt;/div&gt;&lt;div&gt;&lt;h5&gt;&lt;b&gt;School &lt;/b&gt;abjuration; &lt;b&gt;Level &lt;/b&gt;paladin 1&lt;/h5&gt;&lt;/div&gt;&lt;hr/&gt;&lt;div&gt;&lt;h5&gt;&lt;b&gt;CASTING&lt;/b&gt;&lt;/h5&gt;&lt;/div&gt;&lt;hr/&gt;&lt;div&gt;&lt;h5&gt;&lt;b&gt;Casting Time &lt;/b&gt;1 immediate action&lt;/h5&gt;&lt;h5&gt;&lt;b&gt;Components &lt;/b&gt;V, DF&lt;/h5&gt;&lt;/div&gt;&lt;hr/&gt;&lt;div&gt;&lt;h5&gt;&lt;b&gt;EFFECT&lt;/b&gt;&lt;/h5&gt;&lt;/div&gt;&lt;hr/&gt;&lt;div&gt;&lt;h5&gt;&lt;b&gt;Range &lt;/b&gt;close (25 ft. + 5 ft./2 levels)&lt;/h5&gt;&lt;h5&gt;&lt;b&gt;Targets &lt;/b&gt;one ally&lt;/h5&gt;&lt;h5&gt;&lt;b&gt;Duration &lt;/b&gt;instantaneous&lt;/h5&gt;&lt;h5&gt;&lt;b&gt;Saving Throw &lt;/b&gt;Will negate (harmless); &lt;b&gt;Spell Resistance &lt;/b&gt;yes (harmless)&lt;/h5&gt;&lt;/div&gt;&lt;hr/&gt;&lt;div&gt;&lt;h5&gt;&lt;b&gt;DESCRIPTION&lt;/b&gt;&lt;/h5&gt;&lt;/div&gt;&lt;hr/&gt;&lt;div&gt;&lt;h4&gt;&lt;p&gt;You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target.&lt;/p&gt;&lt;/h4&gt;&lt;/div&gt;</t>
  </si>
  <si>
    <t>Ally rerolls a save against charm or fear.</t>
  </si>
  <si>
    <t>Youthful Appearance</t>
  </si>
  <si>
    <t>alchemist 1, bard 1, sorcerer/wizard 1, witch 1, occultist 1, psychic 1</t>
  </si>
  <si>
    <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  This spell does not affect any age-based modifications to ability scores or other age-related effects.</t>
  </si>
  <si>
    <t>&lt;p&gt;You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size.&lt;/p&gt;&lt;p&gt;This spell does not affect any age-based modifications to ability scores or other age-related effects.&lt;/p&gt;</t>
  </si>
  <si>
    <t>&lt;link rel="stylesheet"href="PF.css"&gt;&lt;div class="heading"&gt;&lt;p class="alignleft"&gt;Youthful Appearance&lt;/p&gt;&lt;div style="clear: both;"&gt;&lt;/div&gt;&lt;/div&gt;&lt;div&gt;&lt;h5&gt;&lt;b&gt;School &lt;/b&gt;transmutation (polymorph); &lt;b&gt;Level &lt;/b&gt;alchemist 1, bard 1, sorcerer/wizard 1, witch 1, occultist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hour/level&lt;/h5&gt;&lt;/div&gt;&lt;hr/&gt;&lt;div&gt;&lt;h5&gt;&lt;b&gt;DESCRIPTION&lt;/b&gt;&lt;/h5&gt;&lt;/div&gt;&lt;hr/&gt;&lt;div&gt;&lt;h4&gt;&lt;p&gt;You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size.&lt;/p&gt;&lt;p&gt;This spell does not affect any age-based modifications to ability scores or other age-related effects.&lt;/p&gt;&lt;/h4&gt;&lt;/div&gt;</t>
  </si>
  <si>
    <t>Target appears younger.</t>
  </si>
  <si>
    <t>Staggering Fall</t>
  </si>
  <si>
    <t>cleric/oracle 2, sorcerer/wizard 2, witch 2</t>
  </si>
  <si>
    <t>one falling creature</t>
  </si>
  <si>
    <t>1 round/level (see below)</t>
  </si>
  <si>
    <t>Fort. partial (see below)</t>
  </si>
  <si>
    <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t>
  </si>
  <si>
    <t>&lt;p&gt;This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up.&lt;/p&gt;</t>
  </si>
  <si>
    <t>Rival Guide</t>
  </si>
  <si>
    <t>&lt;link rel="stylesheet"href="PF.css"&gt;&lt;div class="heading"&gt;&lt;p class="alignleft"&gt;Staggering Fall&lt;/p&gt;&lt;div style="clear: both;"&gt;&lt;/div&gt;&lt;/div&gt;&lt;div&gt;&lt;h5&gt;&lt;b&gt;School &lt;/b&gt;transmutation; &lt;b&gt;Level &lt;/b&gt;cleric/oracle 2, sorcerer/wizard 2, witch 2&lt;/h5&gt;&lt;/div&gt;&lt;hr/&gt;&lt;div&gt;&lt;h5&gt;&lt;b&gt;CASTING&lt;/b&gt;&lt;/h5&gt;&lt;/div&gt;&lt;hr/&gt;&lt;div&gt;&lt;h5&gt;&lt;b&gt;Casting Time &lt;/b&gt;1 immediate action&lt;/h5&gt;&lt;h5&gt;&lt;b&gt;Components &lt;/b&gt;V, S&lt;/h5&gt;&lt;/div&gt;&lt;hr/&gt;&lt;div&gt;&lt;h5&gt;&lt;b&gt;EFFECT&lt;/b&gt;&lt;/h5&gt;&lt;/div&gt;&lt;hr/&gt;&lt;div&gt;&lt;h5&gt;&lt;b&gt;Range &lt;/b&gt;medium (100 ft. + 10 ft./level)&lt;/h5&gt;&lt;h5&gt;&lt;b&gt;Targets &lt;/b&gt;one falling creature&lt;/h5&gt;&lt;h5&gt;&lt;b&gt;Duration &lt;/b&gt;1 round/level (see below)&lt;/h5&gt;&lt;h5&gt;&lt;b&gt;Saving Throw &lt;/b&gt;Fort. partial (see below); &lt;b&gt;Spell Resistance &lt;/b&gt;yes&lt;/h5&gt;&lt;/div&gt;&lt;hr/&gt;&lt;div&gt;&lt;h5&gt;&lt;b&gt;DESCRIPTION&lt;/b&gt;&lt;/h5&gt;&lt;/div&gt;&lt;hr/&gt;&lt;div&gt;&lt;h4&gt;&lt;p&gt;This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up.&lt;/p&gt;&lt;/h4&gt;&lt;/div&gt;</t>
  </si>
  <si>
    <t>Greensight</t>
  </si>
  <si>
    <t>druid 2, ranger 2, sorcerer/wizard 2</t>
  </si>
  <si>
    <t>V, S, M (a leaf )</t>
  </si>
  <si>
    <t>Upon casting this spell, the recipient is empowered to see up to 60 feet through thick plant matter as though it were transparent.  Leaves, vines, and greenery-even moss, lichen, and slime- offer no concealment to the recipient's sight, though her vision still can be blocked by solid wood, as if from trees or wooden structures. Undergrowth does not grant concealment to a creature against a recipient of the effects of greensight.</t>
  </si>
  <si>
    <t>&lt;p&gt;Upon casting this spell, the recipient is empowered to see up to 60 feet through thick plant matter as though it were transparent.&lt;/p&gt;&lt;p&gt;Leaves, vines, and greenery-even moss, lichen, and slime- offer no concealment to the recipient's sight, though her vision still can be blocked by solid wood, as if from trees or wooden structures. Undergrowth does not grant concealment to a creature against a recipient of the effects of &lt;i&gt;greensight&lt;/i&gt;.&lt;/p&gt;</t>
  </si>
  <si>
    <t>&lt;link rel="stylesheet"href="PF.css"&gt;&lt;div class="heading"&gt;&lt;p class="alignleft"&gt;Greensight&lt;/p&gt;&lt;div style="clear: both;"&gt;&lt;/div&gt;&lt;/div&gt;&lt;div&gt;&lt;h5&gt;&lt;b&gt;School &lt;/b&gt;transmutation; &lt;b&gt;Level &lt;/b&gt;druid 2, ranger 2, sorcerer/wizard 2&lt;/h5&gt;&lt;/div&gt;&lt;hr/&gt;&lt;div&gt;&lt;h5&gt;&lt;b&gt;CASTING&lt;/b&gt;&lt;/h5&gt;&lt;/div&gt;&lt;hr/&gt;&lt;div&gt;&lt;h5&gt;&lt;b&gt;Casting Time &lt;/b&gt;1 standard action&lt;/h5&gt;&lt;h5&gt;&lt;b&gt;Components &lt;/b&gt;V, S, M (a leaf )&lt;/h5&gt;&lt;/div&gt;&lt;hr/&gt;&lt;div&gt;&lt;h5&gt;&lt;b&gt;EFFECT&lt;/b&gt;&lt;/h5&gt;&lt;/div&gt;&lt;hr/&gt;&lt;div&gt;&lt;h5&gt;&lt;b&gt;Range &lt;/b&gt;touch&lt;/h5&gt;&lt;h5&gt;&lt;b&gt;Targets &lt;/b&gt;creature touched&lt;/h5&gt;&lt;h5&gt;&lt;b&gt;Duration &lt;/b&gt;10 minutes/level&lt;/h5&gt;&lt;h5&gt;&lt;b&gt;Saving Throw &lt;/b&gt;Will negates (harmless); &lt;b&gt;Spell Resistance &lt;/b&gt;no&lt;/h5&gt;&lt;/div&gt;&lt;hr/&gt;&lt;div&gt;&lt;h5&gt;&lt;b&gt;DESCRIPTION&lt;/b&gt;&lt;/h5&gt;&lt;/div&gt;&lt;hr/&gt;&lt;div&gt;&lt;h4&gt;&lt;p&gt;Upon casting this spell, the recipient is empowered to see up to 60 feet through thick plant matter as though it were transparent.&lt;/p&gt;&lt;p&gt;Leaves, vines, and greenery-even moss, lichen, and slime- offer no concealment to the recipient's sight, though her vision still can be blocked by solid wood, as if from trees or wooden structures. Undergrowth does not grant concealment to a creature against a recipient of the effects of &lt;i&gt;greensight&lt;/i&gt;.&lt;/p&gt;&lt;/h4&gt;&lt;/div&gt;</t>
  </si>
  <si>
    <t>Sheet Lightning</t>
  </si>
  <si>
    <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t>
  </si>
  <si>
    <t>&lt;p&gt;You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spell.&lt;/p&gt;</t>
  </si>
  <si>
    <t>&lt;link rel="stylesheet"href="PF.css"&gt;&lt;div class="heading"&gt;&lt;p class="alignleft"&gt;Sheet Lightning&lt;/p&gt;&lt;div style="clear: both;"&gt;&lt;/div&gt;&lt;/div&gt;&lt;div&gt;&lt;h5&gt;&lt;b&gt;School &lt;/b&gt;evocation [electricity]; &lt;b&gt;Level &lt;/b&gt;druid 3, sorcerer/wizard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&lt;/b&gt;20-ft.-radius spread&lt;/h5&gt;&lt;h5&gt;&lt;b&gt;Duration &lt;/b&gt;instantaneous&lt;/h5&gt;&lt;h5&gt;&lt;b&gt;Saving Throw &lt;/b&gt;Fortitude partial; &lt;b&gt;Spell Resistance &lt;/b&gt;yes&lt;/h5&gt;&lt;/div&gt;&lt;hr/&gt;&lt;div&gt;&lt;h5&gt;&lt;b&gt;DESCRIPTION&lt;/b&gt;&lt;/h5&gt;&lt;/div&gt;&lt;hr/&gt;&lt;div&gt;&lt;h4&gt;&lt;p&gt;You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spell.&lt;/p&gt;&lt;/h4&gt;&lt;/div&gt;</t>
  </si>
  <si>
    <t>Breeze</t>
  </si>
  <si>
    <t>sorcerer/wizard 0</t>
  </si>
  <si>
    <t>V, S, M (a miniature fan)</t>
  </si>
  <si>
    <t>1 hour (D)</t>
  </si>
  <si>
    <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  You can only have one breeze active at any one time. If you cast this spell while another casting is still in effect, the previous casting is dispelled.</t>
  </si>
  <si>
    <t>&lt;p&gt;You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underwater.&lt;/p&gt;&lt;p&gt;You can only have one breeze active at any one time. If you cast this spell while another casting is still in effect, the previous casting is dispelled.&lt;/p&gt;</t>
  </si>
  <si>
    <t>Paizo Blog</t>
  </si>
  <si>
    <t>&lt;link rel="stylesheet"href="PF.css"&gt;&lt;div class="heading"&gt;&lt;p class="alignleft"&gt;Breeze&lt;/p&gt;&lt;div style="clear: both;"&gt;&lt;/div&gt;&lt;/div&gt;&lt;div&gt;&lt;h5&gt;&lt;b&gt;School &lt;/b&gt;evocation [air]; &lt;b&gt;Level &lt;/b&gt;sorcerer/wizard 0&lt;/h5&gt;&lt;/div&gt;&lt;hr/&gt;&lt;div&gt;&lt;h5&gt;&lt;b&gt;CASTING&lt;/b&gt;&lt;/h5&gt;&lt;/div&gt;&lt;hr/&gt;&lt;div&gt;&lt;h5&gt;&lt;b&gt;Casting Time &lt;/b&gt;1 standard action&lt;/h5&gt;&lt;h5&gt;&lt;b&gt;Components &lt;/b&gt;V, S, M (a miniature fan)&lt;/h5&gt;&lt;/div&gt;&lt;hr/&gt;&lt;div&gt;&lt;h5&gt;&lt;b&gt;EFFECT&lt;/b&gt;&lt;/h5&gt;&lt;/div&gt;&lt;hr/&gt;&lt;div&gt;&lt;h5&gt;&lt;b&gt;Range &lt;/b&gt;close (25 ft. + 5 ft./2 levels)&lt;/h5&gt;&lt;h5&gt;&lt;b&gt;Targets &lt;/b&gt;one creature or object&lt;/h5&gt;&lt;h5&gt;&lt;b&gt;Duration &lt;/b&gt;1 hour (D)&lt;/h5&gt;&lt;h5&gt;&lt;b&gt;Saving Throw &lt;/b&gt;Will negates (harmless); &lt;b&gt;Spell Resistance &lt;/b&gt;yes&lt;/h5&gt;&lt;/div&gt;&lt;hr/&gt;&lt;div&gt;&lt;h5&gt;&lt;b&gt;DESCRIPTION&lt;/b&gt;&lt;/h5&gt;&lt;/div&gt;&lt;hr/&gt;&lt;div&gt;&lt;h4&gt;&lt;p&gt;You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underwater.&lt;/p&gt;&lt;p&gt;You can only have one breeze active at any one time. If you cast this spell while another casting is still in effect, the previous casting is dispelled.&lt;/p&gt;&lt;/h4&gt;&lt;/div&gt;</t>
  </si>
  <si>
    <t>Drench</t>
  </si>
  <si>
    <t>one creature or object of size Large or smaller</t>
  </si>
  <si>
    <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t>
  </si>
  <si>
    <t>&lt;p&gt;A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spell.&lt;/p&gt;</t>
  </si>
  <si>
    <t>&lt;link rel="stylesheet"href="PF.css"&gt;&lt;div class="heading"&gt;&lt;p class="alignleft"&gt;Drench&lt;/p&gt;&lt;div style="clear: both;"&gt;&lt;/div&gt;&lt;/div&gt;&lt;div&gt;&lt;h5&gt;&lt;b&gt;School &lt;/b&gt;conjuration (creation) [water];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of size Large or smaller&lt;/h5&gt;&lt;h5&gt;&lt;b&gt;Duration &lt;/b&gt;1 round&lt;/h5&gt;&lt;h5&gt;&lt;b&gt;Saving Throw &lt;/b&gt;Reflex negates (object); &lt;b&gt;Spell Resistance &lt;/b&gt;yes (object)&lt;/h5&gt;&lt;/div&gt;&lt;hr/&gt;&lt;div&gt;&lt;h5&gt;&lt;b&gt;DESCRIPTION&lt;/b&gt;&lt;/h5&gt;&lt;/div&gt;&lt;hr/&gt;&lt;div&gt;&lt;h4&gt;&lt;p&gt;A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spell.&lt;/p&gt;&lt;/h4&gt;&lt;/div&gt;</t>
  </si>
  <si>
    <t>Jolt</t>
  </si>
  <si>
    <t>spark of electricity</t>
  </si>
  <si>
    <t>Yes</t>
  </si>
  <si>
    <t>You cause a spark of electricity to strike the target with a successful ranged touch attack. The spell deals 1d3 points of electricity damage.</t>
  </si>
  <si>
    <t>&lt;p&gt;You cause a spark of electricity to strike the target with a successful ranged touch attack. The spell deals 1d3 points of electricity damage.&lt;/p&gt;</t>
  </si>
  <si>
    <t>&lt;link rel="stylesheet"href="PF.css"&gt;&lt;div class="heading"&gt;&lt;p class="alignleft"&gt;Jolt&lt;/p&gt;&lt;div style="clear: both;"&gt;&lt;/div&gt;&lt;/div&gt;&lt;div&gt;&lt;h5&gt;&lt;b&gt;School &lt;/b&gt;transmutation [electricity];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&lt;/b&gt;spark of electricity&lt;/h5&gt;&lt;h5&gt;&lt;b&gt;Duration &lt;/b&gt;instantaneous&lt;/h5&gt;&lt;h5&gt;&lt;b&gt;Saving Throw &lt;/b&gt;none; &lt;b&gt;Spell Resistance &lt;/b&gt;Yes&lt;/h5&gt;&lt;/div&gt;&lt;hr/&gt;&lt;div&gt;&lt;h5&gt;&lt;b&gt;DESCRIPTION&lt;/b&gt;&lt;/h5&gt;&lt;/div&gt;&lt;hr/&gt;&lt;div&gt;&lt;h4&gt;&lt;p&gt;You cause a spark of electricity to strike the target with a successful ranged touch attack. The spell deals 1d3 points of electricity damage.&lt;/p&gt;&lt;/h4&gt;&lt;/div&gt;</t>
  </si>
  <si>
    <t>Penumbra</t>
  </si>
  <si>
    <t>V, S, M (a bit of soot)</t>
  </si>
  <si>
    <t>This spell keeps the creature or object touched slightly in shadow. The target of this spell does not suffer any penalties or blindness caused by bright light, such as those from light sensitivity or light blindness.  You can have only one penumbra spell active at any one time. If you cast this spell while another casting is still in effect, the previous casting is dispelled.</t>
  </si>
  <si>
    <t>&lt;p&gt;This spell keeps the creature or object touched slightly in shadow. The target of this spell does not suffer any penalties or blindness caused by bright light, such as those from light sensitivity or light blindness.&lt;/p&gt;&lt;p&gt;You can have only one penumbra spell active at any one time. If you cast this spell while another casting is still in effect, the previous casting is dispelled.&lt;/p&gt;</t>
  </si>
  <si>
    <t>&lt;link rel="stylesheet"href="PF.css"&gt;&lt;div class="heading"&gt;&lt;p class="alignleft"&gt;Penumbra&lt;/p&gt;&lt;div style="clear: both;"&gt;&lt;/div&gt;&lt;/div&gt;&lt;div&gt;&lt;h5&gt;&lt;b&gt;School &lt;/b&gt;evocation [darkness]; &lt;b&gt;Level &lt;/b&gt;sorcerer/wizard 0&lt;/h5&gt;&lt;/div&gt;&lt;hr/&gt;&lt;div&gt;&lt;h5&gt;&lt;b&gt;CASTING&lt;/b&gt;&lt;/h5&gt;&lt;/div&gt;&lt;hr/&gt;&lt;div&gt;&lt;h5&gt;&lt;b&gt;Casting Time &lt;/b&gt;1 standard action&lt;/h5&gt;&lt;h5&gt;&lt;b&gt;Components &lt;/b&gt;V, S, M (a bit of soot)&lt;/h5&gt;&lt;/div&gt;&lt;hr/&gt;&lt;div&gt;&lt;h5&gt;&lt;b&gt;EFFECT&lt;/b&gt;&lt;/h5&gt;&lt;/div&gt;&lt;hr/&gt;&lt;div&gt;&lt;h5&gt;&lt;b&gt;Range &lt;/b&gt;touch&lt;/h5&gt;&lt;h5&gt;&lt;b&gt;Targets &lt;/b&gt;creature or object touched&lt;/h5&gt;&lt;h5&gt;&lt;b&gt;Duration &lt;/b&gt;10 minutes/level (D)&lt;/h5&gt;&lt;h5&gt;&lt;b&gt;Saving Throw &lt;/b&gt;Will negates (harmless); &lt;b&gt;Spell Resistance &lt;/b&gt;yes&lt;/h5&gt;&lt;/div&gt;&lt;hr/&gt;&lt;div&gt;&lt;h5&gt;&lt;b&gt;DESCRIPTION&lt;/b&gt;&lt;/h5&gt;&lt;/div&gt;&lt;hr/&gt;&lt;div&gt;&lt;h4&gt;&lt;p&gt;This spell keeps the creature or object touched slightly in shadow. The target of this spell does not suffer any penalties or blindness caused by bright light, such as those from light sensitivity or light blindness.&lt;/p&gt;&lt;p&gt;You can have only one penumbra spell active at any one time. If you cast this spell while another casting is still in effect, the previous casting is dispelled.&lt;/p&gt;&lt;/h4&gt;&lt;/div&gt;</t>
  </si>
  <si>
    <t>Root</t>
  </si>
  <si>
    <t>1 minute (D)</t>
  </si>
  <si>
    <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t>
  </si>
  <si>
    <t>&lt;p&gt;This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substance.&lt;/p&gt;</t>
  </si>
  <si>
    <t>&lt;link rel="stylesheet"href="PF.css"&gt;&lt;div class="heading"&gt;&lt;p class="alignleft"&gt;Root&lt;/p&gt;&lt;div style="clear: both;"&gt;&lt;/div&gt;&lt;/div&gt;&lt;div&gt;&lt;h5&gt;&lt;b&gt;School &lt;/b&gt;transmutation [earth]; &lt;b&gt;Level &lt;/b&gt;sorcerer/wizard 0&lt;/h5&gt;&lt;/div&gt;&lt;hr/&gt;&lt;div&gt;&lt;h5&gt;&lt;b&gt;CASTING&lt;/b&gt;&lt;/h5&gt;&lt;/div&gt;&lt;hr/&gt;&lt;div&gt;&lt;h5&gt;&lt;b&gt;Casting Time &lt;/b&gt;1 standard action&lt;/h5&gt;&lt;h5&gt;&lt;b&gt;Components &lt;/b&gt;V, S, M (a pinch of dirt)&lt;/h5&gt;&lt;/div&gt;&lt;hr/&gt;&lt;div&gt;&lt;h5&gt;&lt;b&gt;EFFECT&lt;/b&gt;&lt;/h5&gt;&lt;/div&gt;&lt;hr/&gt;&lt;div&gt;&lt;h5&gt;&lt;b&gt;Range &lt;/b&gt;touch&lt;/h5&gt;&lt;h5&gt;&lt;b&gt;Targets &lt;/b&gt;creature touched&lt;/h5&gt;&lt;h5&gt;&lt;b&gt;Duration &lt;/b&gt;1 minute (D)&lt;/h5&gt;&lt;h5&gt;&lt;b&gt;Saving Throw &lt;/b&gt;Will negates (harmless); &lt;b&gt;Spell Resistance &lt;/b&gt;yes&lt;/h5&gt;&lt;/div&gt;&lt;hr/&gt;&lt;div&gt;&lt;h5&gt;&lt;b&gt;DESCRIPTION&lt;/b&gt;&lt;/h5&gt;&lt;/div&gt;&lt;hr/&gt;&lt;div&gt;&lt;h4&gt;&lt;p&gt;This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substance.&lt;/p&gt;&lt;/h4&gt;&lt;/div&gt;</t>
  </si>
  <si>
    <t>Scoop</t>
  </si>
  <si>
    <t>6 inch diameter container of force Duration concentration</t>
  </si>
  <si>
    <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t>
  </si>
  <si>
    <t>&lt;p&gt;You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concentration.&lt;/p&gt;</t>
  </si>
  <si>
    <t>&lt;link rel="stylesheet"href="PF.css"&gt;&lt;div class="heading"&gt;&lt;p class="alignleft"&gt;Scoop&lt;/p&gt;&lt;div style="clear: both;"&gt;&lt;/div&gt;&lt;/div&gt;&lt;div&gt;&lt;h5&gt;&lt;b&gt;School &lt;/b&gt;evocation [force];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&lt;/b&gt;6 inch diameter container of force Duration concentration&lt;/h5&gt;&lt;h5&gt;&lt;b&gt;Saving Throw &lt;/b&gt;none; &lt;b&gt;Spell Resistance &lt;/b&gt;yes&lt;/h5&gt;&lt;/div&gt;&lt;hr/&gt;&lt;div&gt;&lt;h5&gt;&lt;b&gt;DESCRIPTION&lt;/b&gt;&lt;/h5&gt;&lt;/div&gt;&lt;hr/&gt;&lt;div&gt;&lt;h4&gt;&lt;p&gt;You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concentration.&lt;/p&gt;&lt;/h4&gt;&lt;/div&gt;</t>
  </si>
  <si>
    <t>Dazzling Blade</t>
  </si>
  <si>
    <t>one metal weapon</t>
  </si>
  <si>
    <t>Dazzling blade makes a weapon appear dazzlingly shiny, as if crafted from pure silver and heavily polished. In combat, the flashing movements of a dazzling blade become almost hypnotic. The wielder of a weapon under the effects of dazzling blade gains a +1 competence bonus on all Bluff checks made to feint in combat. The wielder also gains a +1 competence bonus on all CMB checks made to disarm a foe, and a +1 competence bonus to his CMD against disarm attempts made against the weapon bearing the dazzling blade effect. This bonus increases by +1 for every 3 caster levels, to a maximum bonus of +5 at 12th level.  The wielder of a dazzling blade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  Despite its shiny appearance, a dazzling blade grants no extra benefit against creatures that are vulnerable to silver.</t>
  </si>
  <si>
    <t>&lt;p&gt;&lt;i&gt;Dazzling blade&lt;/i&gt; makes a weapon appear dazzlingly shiny, as if crafted from pure silver and heavily polished. In combat, the flashing movements of a &lt;i&gt;dazzling blade&lt;/i&gt; become almost hypnotic. The wielder of a weapon under the effects of &lt;i&gt;dazzling blade&lt;/i&gt; gains a +1 competence bonus on all Bluff checks made to feint in combat. The wielder also gains a +1 competence bonus on all CMB checks made to disarm a foe, and a +1 competence bonus to his CMD against disarm attempts made against the weapon bearing the &lt;i&gt;dazzling blade&lt;/i&gt; effect. This bonus increases by +1 for every 3 caster levels, to a maximum bonus of +5 at 12th level.&lt;/p&gt;&lt;p&gt;The wielder of a &lt;i&gt;dazzling blade&lt;/i&gt;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round).&lt;/p&gt;&lt;p&gt;Despite its shiny appearance, a &lt;i&gt;dazzling blade&lt;/i&gt; grants no extra benefit against creatures that are vulnerable to silver.&lt;/p&gt;</t>
  </si>
  <si>
    <t>&lt;link rel="stylesheet"href="PF.css"&gt;&lt;div class="heading"&gt;&lt;p class="alignleft"&gt;Dazzling Blade&lt;/p&gt;&lt;div style="clear: both;"&gt;&lt;/div&gt;&lt;/div&gt;&lt;div&gt;&lt;h5&gt;&lt;b&gt;School &lt;/b&gt;illusion (pattern); &lt;b&gt;Level &lt;/b&gt;bard 1, sorcerer/wizard 1&lt;/h5&gt;&lt;/div&gt;&lt;hr/&gt;&lt;div&gt;&lt;h5&gt;&lt;b&gt;CASTING&lt;/b&gt;&lt;/h5&gt;&lt;/div&gt;&lt;hr/&gt;&lt;div&gt;&lt;h5&gt;&lt;b&gt;Casting Time &lt;/b&gt;1 swift action&lt;/h5&gt;&lt;h5&gt;&lt;b&gt;Components &lt;/b&gt;V, S&lt;/h5&gt;&lt;/div&gt;&lt;hr/&gt;&lt;div&gt;&lt;h5&gt;&lt;b&gt;EFFECT&lt;/b&gt;&lt;/h5&gt;&lt;/div&gt;&lt;hr/&gt;&lt;div&gt;&lt;h5&gt;&lt;b&gt;Range &lt;/b&gt;touch&lt;/h5&gt;&lt;h5&gt;&lt;b&gt;Targets &lt;/b&gt;one metal weapon&lt;/h5&gt;&lt;h5&gt;&lt;b&gt;Duration &lt;/b&gt;1 minute/level&lt;/h5&gt;&lt;h5&gt;&lt;b&gt;Saving Throw &lt;/b&gt;Will negates (see text); &lt;b&gt;Spell Resistance &lt;/b&gt;yes (harmless, object)&lt;/h5&gt;&lt;/div&gt;&lt;hr/&gt;&lt;div&gt;&lt;h5&gt;&lt;b&gt;DESCRIPTION&lt;/b&gt;&lt;/h5&gt;&lt;/div&gt;&lt;hr/&gt;&lt;div&gt;&lt;h4&gt;&lt;p&gt;&lt;i&gt;Dazzling blade&lt;/i&gt; makes a weapon appear dazzlingly shiny, as if crafted from pure silver and heavily polished. In combat, the flashing movements of a &lt;i&gt;dazzling blade&lt;/i&gt; become almost hypnotic. The wielder of a weapon under the effects of &lt;i&gt;dazzling blade&lt;/i&gt; gains a +1 competence bonus on all Bluff checks made to feint in combat. The wielder also gains a +1 competence bonus on all CMB checks made to disarm a foe, and a +1 competence bonus to his CMD against disarm attempts made against the weapon bearing the &lt;i&gt;dazzling blade&lt;/i&gt; effect. This bonus increases by +1 for every 3 caster levels, to a maximum bonus of +5 at 12th level.&lt;/p&gt;&lt;p&gt;The wielder of a &lt;i&gt;dazzling blade&lt;/i&gt;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round).&lt;/p&gt;&lt;p&gt;Despite its shiny appearance, a &lt;i&gt;dazzling blade&lt;/i&gt; grants no extra benefit against creatures that are vulnerable to silver.&lt;/p&gt;&lt;/h4&gt;&lt;/div&gt;</t>
  </si>
  <si>
    <t>Dazzling Blade, Mass</t>
  </si>
  <si>
    <t>One metal weapon/level, no two of which can be more than 30 ft. apart</t>
  </si>
  <si>
    <t>This spell functions like dazzling blade, except that it affects multiple weapons. Each wielder of a dazzling blade can discharge the weapon's effect to attempt to blind a foe independently of the others.</t>
  </si>
  <si>
    <t>&lt;p&gt;This spell functions like &lt;i&gt;dazzling blade&lt;/i&gt;, except that it affects multiple weapons. Each wielder of a &lt;i&gt;dazzling blade&lt;/i&gt; can discharge the weapon's effect to attempt to blind a foe independently of the others.&lt;/p&gt;</t>
  </si>
  <si>
    <t>&lt;link rel="stylesheet"href="PF.css"&gt;&lt;div class="heading"&gt;&lt;p class="alignleft"&gt;Dazzling Blade, Mass&lt;/p&gt;&lt;div style="clear: both;"&gt;&lt;/div&gt;&lt;/div&gt;&lt;div&gt;&lt;h5&gt;&lt;b&gt;School &lt;/b&gt;illusion (pattern); &lt;b&gt;Level &lt;/b&gt;sorcerer/wizard 3&lt;/h5&gt;&lt;/div&gt;&lt;hr/&gt;&lt;div&gt;&lt;h5&gt;&lt;b&gt;CASTING&lt;/b&gt;&lt;/h5&gt;&lt;/div&gt;&lt;hr/&gt;&lt;div&gt;&lt;h5&gt;&lt;b&gt;Casting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&lt;/b&gt;One metal weapon/level, no two of which can be more than 30 ft. apart&lt;/h5&gt;&lt;h5&gt;&lt;b&gt;Duration &lt;/b&gt;1 minute/level&lt;/h5&gt;&lt;h5&gt;&lt;b&gt;Saving Throw &lt;/b&gt;Will negates (see text); &lt;b&gt;Spell Resistance &lt;/b&gt;yes (harmless, object)&lt;/h5&gt;&lt;/div&gt;&lt;hr/&gt;&lt;div&gt;&lt;h5&gt;&lt;b&gt;DESCRIPTION&lt;/b&gt;&lt;/h5&gt;&lt;/div&gt;&lt;hr/&gt;&lt;div&gt;&lt;h4&gt;&lt;p&gt;This spell functions like &lt;i&gt;dazzling blade&lt;/i&gt;, except that it affects multiple weapons. Each wielder of a &lt;i&gt;dazzling blade&lt;/i&gt; can discharge the weapon's effect to attempt to blind a foe independently of the others.&lt;/p&gt;&lt;/h4&gt;&lt;/div&gt;</t>
  </si>
  <si>
    <t>Summon Accuser</t>
  </si>
  <si>
    <t>evil, lawful</t>
  </si>
  <si>
    <t>bard 4, cleric/oracle 4, sorcerer/wizard 4, summoner 4, witch 4</t>
  </si>
  <si>
    <t>V, S, F/DF (chunk of rotten meat)</t>
  </si>
  <si>
    <t>1 accuser devil</t>
  </si>
  <si>
    <t>This spell summons a single accuser devil from Hell to do the spellcaster's bidding, similar to how summon monster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Pathfinder RPG Bestiary 2.</t>
  </si>
  <si>
    <t>&lt;p&gt;This spell summons a single accuser devil from Hell to do the spellcaster's bidding, similar to how &lt;i&gt;summon monster&lt;/i&gt;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&lt;i&gt;Pathfinder RPG Bestiary 2&lt;/i&gt;.&lt;/p&gt;</t>
  </si>
  <si>
    <t>&lt;link rel="stylesheet"href="PF.css"&gt;&lt;div class="heading"&gt;&lt;p class="alignleft"&gt;Summon Accuser&lt;/p&gt;&lt;div style="clear: both;"&gt;&lt;/div&gt;&lt;/div&gt;&lt;div&gt;&lt;h5&gt;&lt;b&gt;School &lt;/b&gt;conjuration (summoning) [evil, lawful]; &lt;b&gt;Level &lt;/b&gt;bard 4, cleric/oracle 4, sorcerer/wizard 4, summoner 4, witch 4&lt;/h5&gt;&lt;/div&gt;&lt;hr/&gt;&lt;div&gt;&lt;h5&gt;&lt;b&gt;CASTING&lt;/b&gt;&lt;/h5&gt;&lt;/div&gt;&lt;hr/&gt;&lt;div&gt;&lt;h5&gt;&lt;b&gt;Casting Time &lt;/b&gt;1 round&lt;/h5&gt;&lt;h5&gt;&lt;b&gt;Components &lt;/b&gt;V, S, F/DF (chunk of rotten meat)&lt;/h5&gt;&lt;/div&gt;&lt;hr/&gt;&lt;div&gt;&lt;h5&gt;&lt;b&gt;EFFECT&lt;/b&gt;&lt;/h5&gt;&lt;/div&gt;&lt;hr/&gt;&lt;div&gt;&lt;h5&gt;&lt;b&gt;Range &lt;/b&gt;close (25 ft. + 5 ft./2 levels)&lt;/h5&gt;&lt;h5&gt;&lt;b&gt;Effect &lt;/b&gt;1 accuser devil&lt;/h5&gt;&lt;h5&gt;&lt;b&gt;Duration &lt;/b&gt;10 minutes/level&lt;/h5&gt;&lt;h5&gt;&lt;b&gt;Saving Throw &lt;/b&gt;none; &lt;b&gt;Spell Resistance &lt;/b&gt;no&lt;/h5&gt;&lt;/div&gt;&lt;hr/&gt;&lt;div&gt;&lt;h5&gt;&lt;b&gt;DESCRIPTION&lt;/b&gt;&lt;/h5&gt;&lt;/div&gt;&lt;hr/&gt;&lt;div&gt;&lt;h4&gt;&lt;p&gt;This spell summons a single accuser devil from Hell to do the spellcaster's bidding, similar to how &lt;i&gt;summon monster&lt;/i&gt;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&lt;i&gt;Pathfinder RPG Bestiary 2&lt;/i&gt;.&lt;/p&gt;&lt;/h4&gt;&lt;/div&gt;</t>
  </si>
  <si>
    <t>Summon Infernal Host</t>
  </si>
  <si>
    <t>bard 5, cleric/oracle 5, sorcerer/wizard 5, summoner 5, witch 5</t>
  </si>
  <si>
    <t>V, S, F/DF (strip of rune-inscribed parchment)</t>
  </si>
  <si>
    <t>1d4+1 lesser host devils or 1 greater host devil</t>
  </si>
  <si>
    <t>This spell functions as summon monster V, save that it can only be used to summon host devils. These noxious flying devils, known also as gaavs and magaavs, are detailed on page 58 of Pathfinder Campaign Setting: Princes of Darkness, Book of the Damned, Vol. 1.</t>
  </si>
  <si>
    <t>&lt;p&gt;This spell functions as &lt;i&gt;summon monster V&lt;/i&gt;, save that it can only be used to summon host devils. These noxious flying devils, known also as gaavs and magaavs, are detailed on page 58 of &lt;i&gt;Pathfinder Campaign Setting: Princes of&lt;/i&gt; &lt;i&gt;Darkness&lt;/i&gt;, &lt;i&gt;Book of the&lt;/i&gt; &lt;i&gt;Damned&lt;/i&gt;, &lt;i&gt;Vol&lt;/i&gt;. &lt;i&gt;1&lt;/i&gt;.&lt;/p&gt;</t>
  </si>
  <si>
    <t>&lt;link rel="stylesheet"href="PF.css"&gt;&lt;div class="heading"&gt;&lt;p class="alignleft"&gt;Summon Infernal Host&lt;/p&gt;&lt;div style="clear: both;"&gt;&lt;/div&gt;&lt;/div&gt;&lt;div&gt;&lt;h5&gt;&lt;b&gt;School &lt;/b&gt;conjuration (summoning) [evil, lawful]; &lt;b&gt;Level &lt;/b&gt;bard 5, cleric/oracle 5, sorcerer/wizard 5, summoner 5, witch 5&lt;/h5&gt;&lt;/div&gt;&lt;hr/&gt;&lt;div&gt;&lt;h5&gt;&lt;b&gt;CASTING&lt;/b&gt;&lt;/h5&gt;&lt;/div&gt;&lt;hr/&gt;&lt;div&gt;&lt;h5&gt;&lt;b&gt;Casting Time &lt;/b&gt;1 round&lt;/h5&gt;&lt;h5&gt;&lt;b&gt;Components &lt;/b&gt;V, S, F/DF (strip of rune-inscribed parchment)&lt;/h5&gt;&lt;/div&gt;&lt;hr/&gt;&lt;div&gt;&lt;h5&gt;&lt;b&gt;EFFECT&lt;/b&gt;&lt;/h5&gt;&lt;/div&gt;&lt;hr/&gt;&lt;div&gt;&lt;h5&gt;&lt;b&gt;Range &lt;/b&gt;close (25 ft. + 5 ft./2 levels)&lt;/h5&gt;&lt;h5&gt;&lt;b&gt;Effect &lt;/b&gt;1d4+1 lesser host devils or 1 greater host devil&lt;/h5&gt;&lt;h5&gt;&lt;b&gt;Duration &lt;/b&gt;1 round/level&lt;/h5&gt;&lt;h5&gt;&lt;b&gt;Saving Throw &lt;/b&gt;none; &lt;b&gt;Spell Resistance &lt;/b&gt;no&lt;/h5&gt;&lt;/div&gt;&lt;hr/&gt;&lt;div&gt;&lt;h5&gt;&lt;b&gt;DESCRIPTION&lt;/b&gt;&lt;/h5&gt;&lt;/div&gt;&lt;hr/&gt;&lt;div&gt;&lt;h4&gt;&lt;p&gt;This spell functions as &lt;i&gt;summon monster V&lt;/i&gt;, save that it can only be used to summon host devils. These noxious flying devils, known also as gaavs and magaavs, are detailed on page 58 of &lt;i&gt;Pathfinder Campaign Setting: Princes of&lt;/i&gt; &lt;i&gt;Darkness&lt;/i&gt;, &lt;i&gt;Book of the&lt;/i&gt; &lt;i&gt;Damned&lt;/i&gt;, &lt;i&gt;Vol&lt;/i&gt;. &lt;i&gt;1&lt;/i&gt;.&lt;/p&gt;&lt;/h4&gt;&lt;/div&gt;</t>
  </si>
  <si>
    <t>Echean's Excellent Enclosure</t>
  </si>
  <si>
    <t>V, S, M (a sphere of glass worth 100 gp and an iron nail, with which you pierce the glass on casting)</t>
  </si>
  <si>
    <t>You call into being around you an invisible barrier of force within which magic cannot persist. Within the area of the spell, effects are suppressed and creatures are affected as by antimagic field. An immobile sphere of impenetrable force surrounds the field, equivalent in all ways to a spherical wall of force, including its immunity to dispel magic and vulnerability to a sphere of annihilation or rod of cancellation. The barrier has hardness 40 and 20 hit points per caster level, and can be damaged by both mundane attacks and spells cast from outside the field. If the bubble of force is destroyed, the spell's duration ends.  Spells cannot be cast within, into, or out of the enclosure, and teleportation effects that ignore a wall of force (such as dimension door or teleport) are thwarted by the enclosure's field of antimagic.  Echean's excellent enclosure has the same effect on summoned creatures of any type and incorporeal undead that an antimagic field does, causing them to wink out of existence for the duration of Echean's excellent enclosure unless their spell resistance, if any, allows them to remain where they are within the field.</t>
  </si>
  <si>
    <t>&lt;p&gt;You call into being around you an invisible barrier of force within which magic cannot persist. Within the area of the spell, effects are suppressed and creatures are affected as by &lt;i&gt;antimagic field&lt;/i&gt;. An immobile sphere of impenetrable force surrounds the field, equivalent in all ways to a spherical &lt;i&gt;wall of force&lt;/i&gt;, including its immunity to &lt;i&gt;dispel magic&lt;/i&gt; and vulnerability to a &lt;i&gt;sphere of annihilation&lt;/i&gt; or &lt;i&gt;rod of cancellation&lt;/i&gt;. The barrier has hardness 40 and 20 hit points per caster level, and can be damaged by both mundane attacks and spells cast from outside the field. If the bubble of force is destroyed, the spell's duration ends.&lt;/p&gt;&lt;p&gt;Spells cannot be cast within, into, or out of the enclosure, and teleportation effects that ignore a &lt;i&gt;wall of force&lt;/i&gt; (such as &lt;i&gt;dimension door&lt;/i&gt; or teleport) are thwarted by the enclosure's field of antimagic.&lt;/p&gt;&lt;p&gt;Echean's excellent enclosure has the same effect on summoned creatures of any type and incorporeal undead that an &lt;i&gt;antimagic field&lt;/i&gt; does, causing them to wink out of existence for the duration of Echean's excellent enclosure unless their spell resistance, if any, allows them to remain where they are within the field.&lt;/p&gt;</t>
  </si>
  <si>
    <t>&lt;link rel="stylesheet"href="PF.css"&gt;&lt;div class="heading"&gt;&lt;p class="alignleft"&gt;Echean's Excellent Enclosure&lt;/p&gt;&lt;div style="clear: both;"&gt;&lt;/div&gt;&lt;/div&gt;&lt;div&gt;&lt;h5&gt;&lt;b&gt;School &lt;/b&gt;abjuration [force]; &lt;b&gt;Level &lt;/b&gt;sorcerer/wizard 9&lt;/h5&gt;&lt;/div&gt;&lt;hr/&gt;&lt;div&gt;&lt;h5&gt;&lt;b&gt;CASTING&lt;/b&gt;&lt;/h5&gt;&lt;/div&gt;&lt;hr/&gt;&lt;div&gt;&lt;h5&gt;&lt;b&gt;Casting Time &lt;/b&gt;1 standard action&lt;/h5&gt;&lt;h5&gt;&lt;b&gt;Components &lt;/b&gt;V, S, M (a sphere of glass worth 100 gp and an iron nail, with which you pierce the glass on casting)&lt;/h5&gt;&lt;/div&gt;&lt;hr/&gt;&lt;div&gt;&lt;h5&gt;&lt;b&gt;EFFECT&lt;/b&gt;&lt;/h5&gt;&lt;/div&gt;&lt;hr/&gt;&lt;div&gt;&lt;h5&gt;&lt;b&gt;Range &lt;/b&gt;touch&lt;/h5&gt;&lt;h5&gt;&lt;b&gt;Area &lt;/b&gt;immobile 10-ft.-radius emanation&lt;/h5&gt;&lt;h5&gt;&lt;b&gt;Duration &lt;/b&gt;1 round/level (D)&lt;/h5&gt;&lt;h5&gt;&lt;b&gt;Saving Throw &lt;/b&gt;none; &lt;b&gt;Spell Resistance &lt;/b&gt;see text&lt;/h5&gt;&lt;/div&gt;&lt;hr/&gt;&lt;div&gt;&lt;h5&gt;&lt;b&gt;DESCRIPTION&lt;/b&gt;&lt;/h5&gt;&lt;/div&gt;&lt;hr/&gt;&lt;div&gt;&lt;h4&gt;&lt;p&gt;You call into being around you an invisible barrier of force within which magic cannot persist. Within the area of the spell, effects are suppressed and creatures are affected as by &lt;i&gt;antimagic field&lt;/i&gt;. An immobile sphere of impenetrable force surrounds the field, equivalent in all ways to a spherical &lt;i&gt;wall of force&lt;/i&gt;, including its immunity to &lt;i&gt;dispel magic&lt;/i&gt; and vulnerability to a &lt;i&gt;sphere of annihilation&lt;/i&gt; or &lt;i&gt;rod of cancellation&lt;/i&gt;. The barrier has hardness 40 and 20 hit points per caster level, and can be damaged by both mundane attacks and spells cast from outside the field. If the bubble of force is destroyed, the spell's duration ends.&lt;/p&gt;&lt;p&gt;Spells cannot be cast within, into, or out of the enclosure, and teleportation effects that ignore a &lt;i&gt;wall of force&lt;/i&gt; (such as &lt;i&gt;dimension door&lt;/i&gt; or teleport) are thwarted by the enclosure's field of antimagic.&lt;/p&gt;&lt;p&gt;Echean's excellent enclosure has the same effect on summoned creatures of any type and incorporeal undead that an &lt;i&gt;antimagic field&lt;/i&gt; does, causing them to wink out of existence for the duration of Echean's excellent enclosure unless their spell resistance, if any, allows them to remain where they are within the field.&lt;/p&gt;&lt;/h4&gt;&lt;/div&gt;</t>
  </si>
  <si>
    <t>Ablative Sphere</t>
  </si>
  <si>
    <t>V, S, M (a crystalline sphere worth 10 gp)</t>
  </si>
  <si>
    <t>1 minute per level (D)</t>
  </si>
  <si>
    <t>The Garundi tenaciously protect their homes, and through the years they have perfected magic to aid them in their defense.  An immobile, crystalline, weblike globe surrounds you.  When the ablative sphere winks into existence, it provides you with improved cover (Pathfinder RPG Core Rulebook 196). The barrier does not impede a spell's line of sight or effect.  The sphere is 1 inch thick per caster level, has hardness 5, and 3 hit points per inch of thickness. When an ablative sphere loses hit points, the level of cover it provides is reduced. When the ablative sphere has lost one-third of its hit points, it provides cover instead of improved cover. Once it has lost two-thirds of its hit points, it provides only partial cover. Finally, when the ablative sphere's hit points reach 0, the globe is destroyed. When an attack reduces an ablative sphere's hit points to 0, you take any remaining damage.</t>
  </si>
  <si>
    <t>&lt;p&gt;The Garundi tenaciously protect their homes, and through the years they have perfected magic to aid them in their defense.&lt;/p&gt;&lt;p&gt;An immobile, crystalline, weblike globe surrounds you.&lt;/p&gt;&lt;p&gt;When the &lt;i&gt;&lt;i&gt;ablative&lt;/i&gt; sphere&lt;/i&gt; winks into existence, it provides you with improved cover (&lt;i&gt;Pathfinder RPG Core Rulebook&lt;/i&gt; 196). The barrier does not impede a spell's line of sight or effect.&lt;/p&gt;&lt;p&gt;The sphere is 1 inch thick per caster level, has hardness 5, and 3 hit points per inch of thickness. When an &lt;i&gt;&lt;i&gt;ablative&lt;/i&gt; sphere&lt;/i&gt; loses hit points, the level of cover it provides is reduced. When the &lt;i&gt;&lt;i&gt;ablative&lt;/i&gt; sphere&lt;/i&gt; has lost one-third of its hit points, it provides cover instead of improved cover. Once it has lost two-thirds of its hit points, it provides only partial cover. Finally, when the &lt;i&gt;&lt;i&gt;ablative&lt;/i&gt; sphere&lt;/i&gt;'s hit points reach 0, the globe is destroyed. When an attack reduces an &lt;i&gt;&lt;i&gt;ablative&lt;/i&gt; sphere&lt;/i&gt;'s hit points to 0, you take any remaining damage.&lt;/p&gt;</t>
  </si>
  <si>
    <t>Humans Of Golarion</t>
  </si>
  <si>
    <t>&lt;link rel="stylesheet"href="PF.css"&gt;&lt;div class="heading"&gt;&lt;p class="alignleft"&gt;Ablative Sphere&lt;/p&gt;&lt;div style="clear: both;"&gt;&lt;/div&gt;&lt;/div&gt;&lt;div&gt;&lt;h5&gt;&lt;b&gt;School &lt;/b&gt;abjuration; &lt;b&gt;Level &lt;/b&gt;sorcerer/wizard 3 (Garundi)&lt;/h5&gt;&lt;/div&gt;&lt;hr/&gt;&lt;div&gt;&lt;h5&gt;&lt;b&gt;CASTING&lt;/b&gt;&lt;/h5&gt;&lt;/div&gt;&lt;hr/&gt;&lt;div&gt;&lt;h5&gt;&lt;b&gt;Casting Time &lt;/b&gt;1 standard action&lt;/h5&gt;&lt;h5&gt;&lt;b&gt;Components &lt;/b&gt;V, S, M (a crystalline sphere worth 10 gp)&lt;/h5&gt;&lt;/div&gt;&lt;hr/&gt;&lt;div&gt;&lt;h5&gt;&lt;b&gt;EFFECT&lt;/b&gt;&lt;/h5&gt;&lt;/div&gt;&lt;hr/&gt;&lt;div&gt;&lt;h5&gt;&lt;b&gt;Range &lt;/b&gt;personal&lt;/h5&gt;&lt;h5&gt;&lt;b&gt;Targets &lt;/b&gt;you&lt;/h5&gt;&lt;h5&gt;&lt;b&gt;Duration &lt;/b&gt;1 minute per level (D)&lt;/h5&gt;&lt;/div&gt;&lt;hr/&gt;&lt;div&gt;&lt;h5&gt;&lt;b&gt;DESCRIPTION&lt;/b&gt;&lt;/h5&gt;&lt;/div&gt;&lt;hr/&gt;&lt;div&gt;&lt;h4&gt;&lt;p&gt;The Garundi tenaciously protect their homes, and through the years they have perfected magic to aid them in their defense.&lt;/p&gt;&lt;p&gt;An immobile, crystalline, weblike globe surrounds you.&lt;/p&gt;&lt;p&gt;When the &lt;i&gt;&lt;i&gt;ablative&lt;/i&gt; sphere&lt;/i&gt; winks into existence, it provides you with improved cover (&lt;i&gt;Pathfinder RPG Core Rulebook&lt;/i&gt; 196). The barrier does not impede a spell's line of sight or effect.&lt;/p&gt;&lt;p&gt;The sphere is 1 inch thick per caster level, has hardness 5, and 3 hit points per inch of thickness. When an &lt;i&gt;&lt;i&gt;ablative&lt;/i&gt; sphere&lt;/i&gt; loses hit points, the level of cover it provides is reduced. When the &lt;i&gt;&lt;i&gt;ablative&lt;/i&gt; sphere&lt;/i&gt; has lost one-third of its hit points, it provides cover instead of improved cover. Once it has lost two-thirds of its hit points, it provides only partial cover. Finally, when the &lt;i&gt;&lt;i&gt;ablative&lt;/i&gt; sphere&lt;/i&gt;'s hit points reach 0, the globe is destroyed. When an attack reduces an &lt;i&gt;&lt;i&gt;ablative&lt;/i&gt; sphere&lt;/i&gt;'s hit points to 0, you take any remaining damage.&lt;/p&gt;&lt;/h4&gt;&lt;/div&gt;</t>
  </si>
  <si>
    <t>Garundi</t>
  </si>
  <si>
    <t>Burning Arc</t>
  </si>
  <si>
    <t>one primary target plus one additional target/3 levels  (each of which must be within 15 ft. of the primary target)</t>
  </si>
  <si>
    <t>Keleshites brag that they stole this spell from genie-kind thousands of years ago while other civilizations struggled without fire.  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burning arc deals 9d6 points of fire damage to the primary target, then 4d6 points of fire damage to a secondary target, then 2d6 points of fire damage to an additional target.  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t>
  </si>
  <si>
    <t>&lt;p&gt;Keleshites brag that they stole this spell from genie-kind thousands of years ago while other civilizations struggled without fire.&lt;/p&gt;&lt;p&gt;This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&lt;i&gt;burning arc&lt;/i&gt; deals 9d6 points of fire damage to the primary target, then 4d6 points of fire damage to a secondary target, then 2d6 points of fire damage to an additional target.&lt;/p&gt;&lt;p&gt;Each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maximum.&lt;/p&gt;</t>
  </si>
  <si>
    <t>&lt;link rel="stylesheet"href="PF.css"&gt;&lt;div class="heading"&gt;&lt;p class="alignleft"&gt;Burning Arc&lt;/p&gt;&lt;div style="clear: both;"&gt;&lt;/div&gt;&lt;/div&gt;&lt;div&gt;&lt;h5&gt;&lt;b&gt;School &lt;/b&gt;evocation [fire]; &lt;b&gt;Level &lt;/b&gt;sorcerer/wizard 2 (Keleshite)&lt;/h5&gt;&lt;/div&gt;&lt;hr/&gt;&lt;div&gt;&lt;h5&gt;&lt;b&gt;CASTING&lt;/b&gt;&lt;/h5&gt;&lt;/div&gt;&lt;hr/&gt;&lt;div&gt;&lt;h5&gt;&lt;b&gt;Casting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primary target plus one additional target/3 levels  (each of which must be within 15 ft. of the primary target)&lt;/h5&gt;&lt;h5&gt;&lt;b&gt;Duration &lt;/b&gt;instantaneous&lt;/h5&gt;&lt;h5&gt;&lt;b&gt;Saving Throw &lt;/b&gt;Reflex half; &lt;b&gt;Spell Resistance &lt;/b&gt;yes&lt;/h5&gt;&lt;/div&gt;&lt;hr/&gt;&lt;div&gt;&lt;h5&gt;&lt;b&gt;DESCRIPTION&lt;/b&gt;&lt;/h5&gt;&lt;/div&gt;&lt;hr/&gt;&lt;div&gt;&lt;h4&gt;&lt;p&gt;Keleshites brag that they stole this spell from genie-kind thousands of years ago while other civilizations struggled without fire.&lt;/p&gt;&lt;p&gt;This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&lt;i&gt;burning arc&lt;/i&gt; deals 9d6 points of fire damage to the primary target, then 4d6 points of fire damage to a secondary target, then 2d6 points of fire damage to an additional target.&lt;/p&gt;&lt;p&gt;Each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maximum.&lt;/p&gt;&lt;/h4&gt;&lt;/div&gt;</t>
  </si>
  <si>
    <t>Keleshite</t>
  </si>
  <si>
    <t>Snow Shape</t>
  </si>
  <si>
    <t>cleric/oracle 2, druid 1, sorcerer/wizard 2</t>
  </si>
  <si>
    <t>V, S, M/DF (a miniature shovel)</t>
  </si>
  <si>
    <t>snow or snow-sculpted object touched, up to 5 cubic ft.  + 1 cubic ft./level</t>
  </si>
  <si>
    <t>In frozen northern lands, where the earth may be hidden beneath heavy drifts of snow, Ulfen druids developed a variation of stone shape that other spellcasters have since learned.  You can form a mass of snow into any shape that suits your purpose, as per the spell stone shape. While it's possible to make crude objects with snow shape, most fine details aren't possible.  However, a successful Craft (weapons) check allows you to create a bladed weapon from the snow. The DC of this check is equal to the DC listed with the Craft (weapons) skill (Core Rulebook 93).  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  Once you create the item with this spell, it solidifies into super-hard ice, gaining a hardness of 5 and 10 hit points per inch of thickness. This weapon takes double damage from fire.  Anyone using an ice weapon takes a -2 penalty on attacks due to the slippery, unwieldy nature of the weapon, but the weapon deals 1 point of cold damage in addition to its normal damage. A weapon created by this spell lasts for 24 hours before melting into uselessness.</t>
  </si>
  <si>
    <t>&lt;p&gt;In frozen northern lands, where the earth may be hidden beneath heavy drifts of snow, Ulfen druids developed a variation of &lt;i&gt;stone shape&lt;/i&gt; that other spellcasters have since learned.&lt;/p&gt;&lt;p&gt;You can form a mass of snow into any shape that suits your purpose, as per the spell &lt;i&gt;stone shape&lt;/i&gt;. While it's possible to make crude objects with &lt;i&gt;snow shape&lt;/i&gt;, most fine details aren't possible.&lt;/p&gt;&lt;p&gt;However, a successful Craft (weapons) check allows you to create a bladed weapon from the snow. The DC of this check is equal to the DC listed with the Craft (weapons) skill (&lt;i&gt;Core Rulebook&lt;/i&gt; 93).&lt;/p&gt;&lt;p&gt;You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armors.&lt;/p&gt;&lt;p&gt;Once you create the item with this spell, it solidifies into super-hard ice, gaining a hardness of 5 and 10 hit points per inch of thickness. This weapon takes double damage from fire.&lt;/p&gt;&lt;p&gt;Anyone using an ice weapon takes a -2 penalty on attacks due to the slippery, unwieldy nature of the weapon, but the weapon deals 1 point of cold damage in addition to its normal damage. A weapon created by this spell lasts for 24 hours before melting into uselessness.&lt;/p&gt;</t>
  </si>
  <si>
    <t>&lt;link rel="stylesheet"href="PF.css"&gt;&lt;div class="heading"&gt;&lt;p class="alignleft"&gt;Snow Shape&lt;/p&gt;&lt;div style="clear: both;"&gt;&lt;/div&gt;&lt;/div&gt;&lt;div&gt;&lt;h5&gt;&lt;b&gt;School &lt;/b&gt;transmutation [water]; &lt;b&gt;Level &lt;/b&gt;cleric/oracle 2, druid 1, sorcerer/wizard 2 (Ulfen)&lt;/h5&gt;&lt;/div&gt;&lt;hr/&gt;&lt;div&gt;&lt;h5&gt;&lt;b&gt;CASTING&lt;/b&gt;&lt;/h5&gt;&lt;/div&gt;&lt;hr/&gt;&lt;div&gt;&lt;h5&gt;&lt;b&gt;Casting Time &lt;/b&gt;1 standard action&lt;/h5&gt;&lt;h5&gt;&lt;b&gt;Components &lt;/b&gt;V, S, M/DF (a miniature shovel)&lt;/h5&gt;&lt;/div&gt;&lt;hr/&gt;&lt;div&gt;&lt;h5&gt;&lt;b&gt;EFFECT&lt;/b&gt;&lt;/h5&gt;&lt;/div&gt;&lt;hr/&gt;&lt;div&gt;&lt;h5&gt;&lt;b&gt;Range &lt;/b&gt;touch&lt;/h5&gt;&lt;h5&gt;&lt;b&gt;Targets &lt;/b&gt;snow or snow-sculpted object touched, up to 5 cubic ft.  + 1 cubic ft./level&lt;/h5&gt;&lt;h5&gt;&lt;b&gt;Duration &lt;/b&gt;instantaneous&lt;/h5&gt;&lt;h5&gt;&lt;b&gt;Saving Throw &lt;/b&gt;none; &lt;b&gt;Spell Resistance &lt;/b&gt;no&lt;/h5&gt;&lt;/div&gt;&lt;hr/&gt;&lt;div&gt;&lt;h5&gt;&lt;b&gt;DESCRIPTION&lt;/b&gt;&lt;/h5&gt;&lt;/div&gt;&lt;hr/&gt;&lt;div&gt;&lt;h4&gt;&lt;p&gt;In frozen northern lands, where the earth may be hidden beneath heavy drifts of snow, Ulfen druids developed a variation of &lt;i&gt;stone shape&lt;/i&gt; that other spellcasters have since learned.&lt;/p&gt;&lt;p&gt;You can form a mass of snow into any shape that suits your purpose, as per the spell &lt;i&gt;stone shape&lt;/i&gt;. While it's possible to make crude objects with &lt;i&gt;snow shape&lt;/i&gt;, most fine details aren't possible.&lt;/p&gt;&lt;p&gt;However, a successful Craft (weapons) check allows you to create a bladed weapon from the snow. The DC of this check is equal to the DC listed with the Craft (weapons) skill (&lt;i&gt;Core Rulebook&lt;/i&gt; 93).&lt;/p&gt;&lt;p&gt;You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armors.&lt;/p&gt;&lt;p&gt;Once you create the item with this spell, it solidifies into super-hard ice, gaining a hardness of 5 and 10 hit points per inch of thickness. This weapon takes double damage from fire.&lt;/p&gt;&lt;p&gt;Anyone using an ice weapon takes a -2 penalty on attacks due to the slippery, unwieldy nature of the weapon, but the weapon deals 1 point of cold damage in addition to its normal damage. A weapon created by this spell lasts for 24 hours before melting into uselessness.&lt;/p&gt;&lt;/h4&gt;&lt;/div&gt;</t>
  </si>
  <si>
    <t>Ulfen</t>
  </si>
  <si>
    <t>Summon Totem Creature</t>
  </si>
  <si>
    <t>cleric/oracle 3, druid 3, ranger 3, sorcerer/wizard 3, summoner 3</t>
  </si>
  <si>
    <t>V, S, M/DF (a piece of bone from any one of your totem animals)</t>
  </si>
  <si>
    <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  Lyrune-Quah (Moon Clan): air elemental (small), 1d3 bats, wolf, 1d3 owls.  Shadde-Quah (Axe Clan): 1d3 eagles, earth elemental (small), water elemental (small).  Shriikirri-Quah (Hawk Clan): air elemental (small), 1d3+1 hawks (familiars), horse.  Shundar-Quah (Spire Clan): air elemental (small), earth elemental (small), 1d3 eagles.  Sklar-Quah (Sun Clan): 1d3 fire beetles, fire elemental (small), horse.  Skoan-Quah (Skull Clan): 1d3+1 eagles (vultures), 1d3 fire beetles, 1d3 giant centipedes.  Tamiir-Quah (Wind Clan): air elemental (small), 1d3 eagles, earth elemental (small).</t>
  </si>
  <si>
    <t>&lt;p&gt;The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III.&lt;/p&gt;&lt;p&gt;&lt;b&gt;Lyrune-Quah (Moon Clan&lt;/b&gt;): air elemental (small), 1d3 bats, wolf, 1d3 owls.&lt;/p&gt;&lt;p&gt;&lt;b&gt;Shadde-Quah (Axe Clan&lt;/b&gt;): 1d3 eagles, earth elemental (small), water elemental (small).&lt;/p&gt;&lt;p&gt;&lt;b&gt;Shriikirri-Quah (Hawk Clan&lt;/b&gt;): air elemental (small), 1d3+1 hawks (familiars), horse.&lt;/p&gt;&lt;p&gt;&lt;b&gt;Shundar-Quah (Spire Clan&lt;/b&gt;): air elemental (small), earth elemental (small), 1d3 eagles.&lt;/p&gt;&lt;p&gt;&lt;b&gt;Sklar-Quah (Sun Clan&lt;/b&gt;): 1d3 fire beetles, fire elemental (small), horse.&lt;/p&gt;&lt;p&gt;&lt;b&gt;Skoan-Quah (Skull Clan&lt;/b&gt;): 1d3+1 eagles (vultures), 1d3 fire beetles, 1d3 giant centipedes.&lt;/p&gt;&lt;p&gt;&lt;b&gt;Tamiir-Quah (Wind Clan&lt;/b&gt;): air elemental (small), 1d3 eagles, earth elemental (small).&lt;/p&gt;</t>
  </si>
  <si>
    <t>&lt;link rel="stylesheet"href="PF.css"&gt;&lt;div class="heading"&gt;&lt;p class="alignleft"&gt;Summon Totem Creature&lt;/p&gt;&lt;div style="clear: both;"&gt;&lt;/div&gt;&lt;/div&gt;&lt;div&gt;&lt;h5&gt;&lt;b&gt;School &lt;/b&gt;conjuration (summoning); &lt;b&gt;Level &lt;/b&gt;cleric/oracle 3, druid 3, ranger 3, sorcerer/wizard 3, summoner 3 (Shoanti)&lt;/h5&gt;&lt;/div&gt;&lt;hr/&gt;&lt;div&gt;&lt;h5&gt;&lt;b&gt;CASTING&lt;/b&gt;&lt;/h5&gt;&lt;/div&gt;&lt;hr/&gt;&lt;div&gt;&lt;h5&gt;&lt;b&gt;Casting Time &lt;/b&gt;10 minutes&lt;/h5&gt;&lt;h5&gt;&lt;b&gt;Components &lt;/b&gt;V, S, M/DF (a piece of bone from any one of your totem animals)&lt;/h5&gt;&lt;/div&gt;&lt;hr/&gt;&lt;div&gt;&lt;h5&gt;&lt;b&gt;EFFECT&lt;/b&gt;&lt;/h5&gt;&lt;/div&gt;&lt;hr/&gt;&lt;div&gt;&lt;h5&gt;&lt;b&gt;Range &lt;/b&gt;close (25 ft. + 5 ft./2 levels)&lt;/h5&gt;&lt;h5&gt;&lt;b&gt;Effect &lt;/b&gt;one summoned creature&lt;/h5&gt;&lt;h5&gt;&lt;b&gt;Duration &lt;/b&gt;1 hour (D)&lt;/h5&gt;&lt;h5&gt;&lt;b&gt;Saving Throw &lt;/b&gt;none; &lt;b&gt;Spell Resistance &lt;/b&gt;no&lt;/h5&gt;&lt;/div&gt;&lt;hr/&gt;&lt;div&gt;&lt;h5&gt;&lt;b&gt;DESCRIPTION&lt;/b&gt;&lt;/h5&gt;&lt;/div&gt;&lt;hr/&gt;&lt;div&gt;&lt;h4&gt;&lt;p&gt;The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III.&lt;/p&gt;&lt;p&gt;&lt;b&gt;Lyrune-Quah (Moon Clan&lt;/b&gt;): air elemental (small), 1d3 bats, wolf, 1d3 owls.&lt;/p&gt;&lt;p&gt;&lt;b&gt;Shadde-Quah (Axe Clan&lt;/b&gt;): 1d3 eagles, earth elemental (small), water elemental (small).&lt;/p&gt;&lt;p&gt;&lt;b&gt;Shriikirri-Quah (Hawk Clan&lt;/b&gt;): air elemental (small), 1d3+1 hawks (familiars), horse.&lt;/p&gt;&lt;p&gt;&lt;b&gt;Shundar-Quah (Spire Clan&lt;/b&gt;): air elemental (small), earth elemental (small), 1d3 eagles.&lt;/p&gt;&lt;p&gt;&lt;b&gt;Sklar-Quah (Sun Clan&lt;/b&gt;): 1d3 fire beetles, fire elemental (small), horse.&lt;/p&gt;&lt;p&gt;&lt;b&gt;Skoan-Quah (Skull Clan&lt;/b&gt;): 1d3+1 eagles (vultures), 1d3 fire beetles, 1d3 giant centipedes.&lt;/p&gt;&lt;p&gt;&lt;b&gt;Tamiir-Quah (Wind Clan&lt;/b&gt;): air elemental (small), 1d3 eagles, earth elemental (small).&lt;/p&gt;&lt;/h4&gt;&lt;/div&gt;</t>
  </si>
  <si>
    <t>Shoanti</t>
  </si>
  <si>
    <t>Battering Blast</t>
  </si>
  <si>
    <t>one creature or unattended object</t>
  </si>
  <si>
    <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  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t>
  </si>
  <si>
    <t>&lt;p&gt;You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force.&lt;/p&gt;&lt;p&gt;A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job.&lt;/p&gt;</t>
  </si>
  <si>
    <t>Dungeons Of Golarion</t>
  </si>
  <si>
    <t>&lt;link rel="stylesheet"href="PF.css"&gt;&lt;div class="heading"&gt;&lt;p class="alignleft"&gt;Battering Blast&lt;/p&gt;&lt;div style="clear: both;"&gt;&lt;/div&gt;&lt;/div&gt;&lt;div&gt;&lt;h5&gt;&lt;b&gt;School &lt;/b&gt;evocation [force]; &lt;b&gt;Level &lt;/b&gt;sorcerer/wizard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unattended object&lt;/h5&gt;&lt;h5&gt;&lt;b&gt;Duration &lt;/b&gt;instantaneous&lt;/h5&gt;&lt;h5&gt;&lt;b&gt;Saving Throw &lt;/b&gt;Reflex partial (see text); &lt;b&gt;Spell Resistance &lt;/b&gt;yes&lt;/h5&gt;&lt;/div&gt;&lt;hr/&gt;&lt;div&gt;&lt;h5&gt;&lt;b&gt;DESCRIPTION&lt;/b&gt;&lt;/h5&gt;&lt;/div&gt;&lt;hr/&gt;&lt;div&gt;&lt;h4&gt;&lt;p&gt;You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force.&lt;/p&gt;&lt;p&gt;A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job.&lt;/p&gt;&lt;/h4&gt;&lt;/div&gt;</t>
  </si>
  <si>
    <t>Undeath Ward</t>
  </si>
  <si>
    <t>cleric/oracle 5, inquisitor 4, sorcerer/wizard 6, witch 6</t>
  </si>
  <si>
    <t>V, S, M/DF (powdered silver)</t>
  </si>
  <si>
    <t>none or Will negates (see text)</t>
  </si>
  <si>
    <t>You create a pale silver barrier that repels undead. Mindless undead and intelligent undead with fewer Hit Dice than your caster level cannot enter the area or penetrate the barrier.  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t>
  </si>
  <si>
    <t>&lt;p&gt;You create a pale silver barrier that repels undead. Mindless undead and intelligent undead with fewer Hit Dice than your caster level cannot enter the area or penetrate the barrier.&lt;/p&gt;&lt;p&gt;Undead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barrier.&lt;/p&gt;</t>
  </si>
  <si>
    <t>&lt;link rel="stylesheet"href="PF.css"&gt;&lt;div class="heading"&gt;&lt;p class="alignleft"&gt;Undeath Ward&lt;/p&gt;&lt;div style="clear: both;"&gt;&lt;/div&gt;&lt;/div&gt;&lt;div&gt;&lt;h5&gt;&lt;b&gt;School &lt;/b&gt;abjuration; &lt;b&gt;Level &lt;/b&gt;cleric/oracle 5, inquisitor 4, sorcerer/wizard 6, witch 6&lt;/h5&gt;&lt;/div&gt;&lt;hr/&gt;&lt;div&gt;&lt;h5&gt;&lt;b&gt;CASTING&lt;/b&gt;&lt;/h5&gt;&lt;/div&gt;&lt;hr/&gt;&lt;div&gt;&lt;h5&gt;&lt;b&gt;Casting Time &lt;/b&gt;1 standard action&lt;/h5&gt;&lt;h5&gt;&lt;b&gt;Components &lt;/b&gt;V, S, M/DF (powdered silver)&lt;/h5&gt;&lt;/div&gt;&lt;hr/&gt;&lt;div&gt;&lt;h5&gt;&lt;b&gt;EFFECT&lt;/b&gt;&lt;/h5&gt;&lt;/div&gt;&lt;hr/&gt;&lt;div&gt;&lt;h5&gt;&lt;b&gt;Range &lt;/b&gt;10 ft.&lt;/h5&gt;&lt;h5&gt;&lt;b&gt;Area &lt;/b&gt;10-ft.-radius emanation, centered on you&lt;/h5&gt;&lt;h5&gt;&lt;b&gt;Duration &lt;/b&gt;1 minute/level (D)&lt;/h5&gt;&lt;h5&gt;&lt;b&gt;Saving Throw &lt;/b&gt;none or Will negates (see text); &lt;b&gt;Spell Resistance &lt;/b&gt;yes&lt;/h5&gt;&lt;/div&gt;&lt;hr/&gt;&lt;div&gt;&lt;h5&gt;&lt;b&gt;DESCRIPTION&lt;/b&gt;&lt;/h5&gt;&lt;/div&gt;&lt;hr/&gt;&lt;div&gt;&lt;h4&gt;&lt;p&gt;You create a pale silver barrier that repels undead. Mindless undead and intelligent undead with fewer Hit Dice than your caster level cannot enter the area or penetrate the barrier.&lt;/p&gt;&lt;p&gt;Undead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barrier.&lt;/p&gt;&lt;/h4&gt;&lt;/div&gt;</t>
  </si>
  <si>
    <t>Silk To Steel</t>
  </si>
  <si>
    <t>bard 2, sorcerer/wizard 2, witch 2, occultist 2</t>
  </si>
  <si>
    <t>one scarf</t>
  </si>
  <si>
    <t>You imbue an ordinary scarf (or similar piece of clothing) with the strength of steel without altering its weight or flexibility.  Each round on your turn, you can decide to use the scarf to defend yourself (gaining a +2 shield bonus to your Armor Class) or to attack as if the scarf were a whip.</t>
  </si>
  <si>
    <t>&lt;p&gt;You imbue an ordinary scarf (or similar piece of clothing) with the strength of steel without altering its weight or flexibility.&lt;/p&gt;&lt;p&gt;Each round on your turn, you can decide to use the scarf to defend yourself (gaining a +2 shield bonus to your Armor Class) or to attack as if the scarf were a whip.&lt;/p&gt;</t>
  </si>
  <si>
    <t>&lt;link rel="stylesheet"href="PF.css"&gt;&lt;div class="heading"&gt;&lt;p class="alignleft"&gt;Silk To Steel&lt;/p&gt;&lt;div style="clear: both;"&gt;&lt;/div&gt;&lt;/div&gt;&lt;div&gt;&lt;h5&gt;&lt;b&gt;School &lt;/b&gt;transmutation; &lt;b&gt;Level &lt;/b&gt;bard 2, sorcerer/wizard 2, witch 2, occultist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scarf&lt;/h5&gt;&lt;h5&gt;&lt;b&gt;Duration &lt;/b&gt;1 round/level&lt;/h5&gt;&lt;h5&gt;&lt;b&gt;Saving Throw &lt;/b&gt;none; &lt;b&gt;Spell Resistance &lt;/b&gt;no&lt;/h5&gt;&lt;/div&gt;&lt;hr/&gt;&lt;div&gt;&lt;h5&gt;&lt;b&gt;DESCRIPTION&lt;/b&gt;&lt;/h5&gt;&lt;/div&gt;&lt;hr/&gt;&lt;div&gt;&lt;h4&gt;&lt;p&gt;You imbue an ordinary scarf (or similar piece of clothing) with the strength of steel without altering its weight or flexibility.&lt;/p&gt;&lt;p&gt;Each round on your turn, you can decide to use the scarf to defend yourself (gaining a +2 shield bonus to your Armor Class) or to attack as if the scarf were a whip.&lt;/p&gt;&lt;/h4&gt;&lt;/div&gt;</t>
  </si>
  <si>
    <t>Use a scarf as a shield or whip.</t>
  </si>
  <si>
    <t>Aram Zey's Focus</t>
  </si>
  <si>
    <t>alchemist 2, bard 2, sorcerer/wizard 2</t>
  </si>
  <si>
    <t>V, S, F (masterwork thieves' tools worth 100 gp)</t>
  </si>
  <si>
    <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  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t>
  </si>
  <si>
    <t>&lt;p&gt;Aram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level.&lt;/p&gt;&lt;p&gt;If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check.&lt;/p&gt;</t>
  </si>
  <si>
    <t>Pathfinder Society Field Guide</t>
  </si>
  <si>
    <t>&lt;link rel="stylesheet"href="PF.css"&gt;&lt;div class="heading"&gt;&lt;p class="alignleft"&gt;Aram Zey's Focus&lt;/p&gt;&lt;div style="clear: both;"&gt;&lt;/div&gt;&lt;/div&gt;&lt;div&gt;&lt;h5&gt;&lt;b&gt;School &lt;/b&gt;divination; &lt;b&gt;Level &lt;/b&gt;alchemist 2, bard 2, sorcerer/wizard 2&lt;/h5&gt;&lt;/div&gt;&lt;hr/&gt;&lt;div&gt;&lt;h5&gt;&lt;b&gt;CASTING&lt;/b&gt;&lt;/h5&gt;&lt;/div&gt;&lt;hr/&gt;&lt;div&gt;&lt;h5&gt;&lt;b&gt;Casting Time &lt;/b&gt;1 standard action&lt;/h5&gt;&lt;h5&gt;&lt;b&gt;Components &lt;/b&gt;V, S, F (masterwork thieves' tools worth 100 gp)&lt;/h5&gt;&lt;/div&gt;&lt;hr/&gt;&lt;div&gt;&lt;h5&gt;&lt;b&gt;EFFECT&lt;/b&gt;&lt;/h5&gt;&lt;/div&gt;&lt;hr/&gt;&lt;div&gt;&lt;h5&gt;&lt;b&gt;Range &lt;/b&gt;personal&lt;/h5&gt;&lt;h5&gt;&lt;b&gt;Targets &lt;/b&gt;you&lt;/h5&gt;&lt;h5&gt;&lt;b&gt;Duration &lt;/b&gt;1 minute/level (D)&lt;/h5&gt;&lt;/div&gt;&lt;hr/&gt;&lt;div&gt;&lt;h5&gt;&lt;b&gt;DESCRIPTION&lt;/b&gt;&lt;/h5&gt;&lt;/div&gt;&lt;hr/&gt;&lt;div&gt;&lt;h4&gt;&lt;p&gt;Aram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level.&lt;/p&gt;&lt;p&gt;If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check.&lt;/p&gt;&lt;/h4&gt;&lt;/div&gt;</t>
  </si>
  <si>
    <t>Aram Zey's Trap Ward</t>
  </si>
  <si>
    <t>V, S, M (masterwork thieves' tools worth 100 gp)</t>
  </si>
  <si>
    <t>10 minutes/level or until discharged</t>
  </si>
  <si>
    <t>While he was researching the underlying causes of the resonance created by overlapping abjurations, Aram Zey discovered a way to manipulate that resonance to the caster's advantage when encountering magical traps.  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t>
  </si>
  <si>
    <t>&lt;p&gt;While he was researching the underlying causes of the resonance created by overlapping abjurations, Aram Zey discovered a way to manipulate that resonance to the caster's advantage when encountering magical traps.&lt;/p&gt;&lt;p&gt;The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immediately.&lt;/p&gt;</t>
  </si>
  <si>
    <t>&lt;link rel="stylesheet"href="PF.css"&gt;&lt;div class="heading"&gt;&lt;p class="alignleft"&gt;Aram Zey's Trap Ward&lt;/p&gt;&lt;div style="clear: both;"&gt;&lt;/div&gt;&lt;/div&gt;&lt;div&gt;&lt;h5&gt;&lt;b&gt;School &lt;/b&gt;abjuration; &lt;b&gt;Level &lt;/b&gt;sorcerer/wizard 4&lt;/h5&gt;&lt;/div&gt;&lt;hr/&gt;&lt;div&gt;&lt;h5&gt;&lt;b&gt;CASTING&lt;/b&gt;&lt;/h5&gt;&lt;/div&gt;&lt;hr/&gt;&lt;div&gt;&lt;h5&gt;&lt;b&gt;Casting Time &lt;/b&gt;1 standard action&lt;/h5&gt;&lt;h5&gt;&lt;b&gt;Components &lt;/b&gt;V, S, M (masterwork thieves' tools worth 100 gp)&lt;/h5&gt;&lt;/div&gt;&lt;hr/&gt;&lt;div&gt;&lt;h5&gt;&lt;b&gt;EFFECT&lt;/b&gt;&lt;/h5&gt;&lt;/div&gt;&lt;hr/&gt;&lt;div&gt;&lt;h5&gt;&lt;b&gt;Range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discharged&lt;/h5&gt;&lt;/div&gt;&lt;hr/&gt;&lt;div&gt;&lt;h5&gt;&lt;b&gt;DESCRIPTION&lt;/b&gt;&lt;/h5&gt;&lt;/div&gt;&lt;hr/&gt;&lt;div&gt;&lt;h4&gt;&lt;p&gt;While he was researching the underlying causes of the resonance created by overlapping abjurations, Aram Zey discovered a way to manipulate that resonance to the caster's advantage when encountering magical traps.&lt;/p&gt;&lt;p&gt;The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immediately.&lt;/p&gt;&lt;/h4&gt;&lt;/div&gt;</t>
  </si>
  <si>
    <t>Bite the Hand</t>
  </si>
  <si>
    <t>druid 3, inquisitor 3, sorcerer/wizard 4, summoner 3, witch 4</t>
  </si>
  <si>
    <t>one creature summoned by a spell or spell-like ability</t>
  </si>
  <si>
    <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t>
  </si>
  <si>
    <t>&lt;p&gt;With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familiar.&lt;/p&gt;</t>
  </si>
  <si>
    <t>&lt;link rel="stylesheet"href="PF.css"&gt;&lt;div class="heading"&gt;&lt;p class="alignleft"&gt;Bite the Hand&lt;/p&gt;&lt;div style="clear: both;"&gt;&lt;/div&gt;&lt;/div&gt;&lt;div&gt;&lt;h5&gt;&lt;b&gt;School &lt;/b&gt;enchantment (compulsion); &lt;b&gt;Level &lt;/b&gt;druid 3, inquisitor 3, sorcerer/wizard 4, summoner 3, witch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summoned by a spell or spell-like ability&lt;/h5&gt;&lt;h5&gt;&lt;b&gt;Duration &lt;/b&gt;1 round/level (D)&lt;/h5&gt;&lt;h5&gt;&lt;b&gt;Saving Throw &lt;/b&gt;Will negates; &lt;b&gt;Spell Resistance &lt;/b&gt;yes&lt;/h5&gt;&lt;/div&gt;&lt;hr/&gt;&lt;div&gt;&lt;h5&gt;&lt;b&gt;DESCRIPTION&lt;/b&gt;&lt;/h5&gt;&lt;/div&gt;&lt;hr/&gt;&lt;div&gt;&lt;h4&gt;&lt;p&gt;With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familiar.&lt;/p&gt;&lt;/h4&gt;&lt;/div&gt;</t>
  </si>
  <si>
    <t>Bite the Hand, Mass</t>
  </si>
  <si>
    <t>druid 6, inquisitor 6, sorcerer/wizard 7, summoner 6, witch 7</t>
  </si>
  <si>
    <t>one creature summoned by a spell or spell-like ability/level, no two of which can be more than 30 ft. apart</t>
  </si>
  <si>
    <t>This spell functions like bite the hand, except as noted above.  The target creatures do not need to have all been summoned by the same being.</t>
  </si>
  <si>
    <t>&lt;p&gt;This spell functions like &lt;i&gt;bite the hand&lt;/i&gt;, except as noted above.&lt;/p&gt;&lt;p&gt;The target creatures do not need to have all been summoned by the same being.&lt;/p&gt;</t>
  </si>
  <si>
    <t>&lt;link rel="stylesheet"href="PF.css"&gt;&lt;div class="heading"&gt;&lt;p class="alignleft"&gt;Bite the Hand, Mass&lt;/p&gt;&lt;div style="clear: both;"&gt;&lt;/div&gt;&lt;/div&gt;&lt;div&gt;&lt;h5&gt;&lt;b&gt;School &lt;/b&gt;enchantment (compulsion); &lt;b&gt;Level &lt;/b&gt;druid 6, inquisitor 6, sorcerer/wizard 7, summoner 6, witch 7&lt;/h5&gt;&lt;/div&gt;&lt;hr/&gt;&lt;div&gt;&lt;h5&gt;&lt;b&gt;CASTING&lt;/b&gt;&lt;/h5&gt;&lt;/div&gt;&lt;hr/&gt;&lt;div&gt;&lt;h5&gt;&lt;b&gt;Casting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 summoned by a spell or spell-like ability/level, no two of which can be more than 30 ft. apart&lt;/h5&gt;&lt;h5&gt;&lt;b&gt;Duration &lt;/b&gt;1 round/level (D)&lt;/h5&gt;&lt;h5&gt;&lt;b&gt;Saving Throw &lt;/b&gt;Will negates; &lt;b&gt;Spell Resistance &lt;/b&gt;yes&lt;/h5&gt;&lt;/div&gt;&lt;hr/&gt;&lt;div&gt;&lt;h5&gt;&lt;b&gt;DESCRIPTION&lt;/b&gt;&lt;/h5&gt;&lt;/div&gt;&lt;hr/&gt;&lt;div&gt;&lt;h4&gt;&lt;p&gt;This spell functions like &lt;i&gt;bite the hand&lt;/i&gt;, except as noted above.&lt;/p&gt;&lt;p&gt;The target creatures do not need to have all been summoned by the same being.&lt;/p&gt;&lt;/h4&gt;&lt;/div&gt;</t>
  </si>
  <si>
    <t>Corpse Lanterns</t>
  </si>
  <si>
    <t>sorcerer/wizard 2, witch 2</t>
  </si>
  <si>
    <t>up to 4 lights, all within a 10-ft.-radius area</t>
  </si>
  <si>
    <t>This spell functions as dancing lights, except it summons up to four spheres of light, each of which glows a sickly pale green. These corpse lanterns shed dim light in a 20-foot radius, and do not increase the light level in areas of normal light or bright light. In dim or normal light, the radiance of corpse lanterns provides a strange contrast, giving all creatures in the area a -5 penalty on Stealth checks. In addition, the hue interferes with illusion (pattern) spells, giving all creatures in the illuminated area a +2 bonus on any saving throws against such spells. Unlike dancing lights, you may have more than one corpse lanterns spell active at a time, but you may only move one set in any given round.  Moving the corpse lanterns does not require concentration.  Corpse lanterns can be made permanent on an area with a permanency spell by a caster of at least 11th level for the cost of 7,500 gp.</t>
  </si>
  <si>
    <t>&lt;p&gt;This spell functions as &lt;i&gt;dancing lights&lt;/i&gt;, except it summons up to four spheres of light, each of which glows a sickly pale green. These &lt;i&gt;corpse lanterns&lt;/i&gt; shed dim light in a 20-foot radius, and do not increase the light level in areas of normal light or bright light. In dim or normal light, the radiance of &lt;i&gt;corpse lanterns&lt;/i&gt; provides a strange contrast, giving all creatures in the area a -5 penalty on Stealth checks. In addition, the hue interferes with illusion (pattern) spells, giving all creatures in the illuminated area a +2 bonus on any saving throws against such spells. Unlike &lt;i&gt;dancing lights&lt;/i&gt;, you may have more than one &lt;i&gt;corpse lanterns&lt;/i&gt; spell active at a time, but you may only move one set in any given round.&lt;/p&gt;&lt;p&gt;Moving the &lt;i&gt;corpse lanterns&lt;/i&gt; does not require concentration.&lt;/p&gt;&lt;p&gt;&lt;i&gt;Corpse lanterns&lt;/i&gt; can be made permanent on an area with a &lt;i&gt;permanency&lt;/i&gt; spell by a caster of at least 11th level for the cost of 7,500 gp.&lt;/p&gt;</t>
  </si>
  <si>
    <t>&lt;link rel="stylesheet"href="PF.css"&gt;&lt;div class="heading"&gt;&lt;p class="alignleft"&gt;Corpse Lanterns&lt;/p&gt;&lt;div style="clear: both;"&gt;&lt;/div&gt;&lt;/div&gt;&lt;div&gt;&lt;h5&gt;&lt;b&gt;School &lt;/b&gt;necromancy [light]; &lt;b&gt;Level &lt;/b&gt;sorcerer/wizard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4 lights, all within a 10-ft.-radius area&lt;/h5&gt;&lt;h5&gt;&lt;b&gt;Duration &lt;/b&gt;1 minute/level (D)&lt;/h5&gt;&lt;h5&gt;&lt;b&gt;Saving Throw &lt;/b&gt;none; &lt;b&gt;Spell Resistance &lt;/b&gt;no&lt;/h5&gt;&lt;/div&gt;&lt;hr/&gt;&lt;div&gt;&lt;h5&gt;&lt;b&gt;DESCRIPTION&lt;/b&gt;&lt;/h5&gt;&lt;/div&gt;&lt;hr/&gt;&lt;div&gt;&lt;h4&gt;&lt;p&gt;This spell functions as &lt;i&gt;dancing lights&lt;/i&gt;, except it summons up to four spheres of light, each of which glows a sickly pale green. These &lt;i&gt;corpse lanterns&lt;/i&gt; shed dim light in a 20-foot radius, and do not increase the light level in areas of normal light or bright light. In dim or normal light, the radiance of &lt;i&gt;corpse lanterns&lt;/i&gt; provides a strange contrast, giving all creatures in the area a -5 penalty on Stealth checks. In addition, the hue interferes with illusion (pattern) spells, giving all creatures in the illuminated area a +2 bonus on any saving throws against such spells. Unlike &lt;i&gt;dancing lights&lt;/i&gt;, you may have more than one &lt;i&gt;corpse lanterns&lt;/i&gt; spell active at a time, but you may only move one set in any given round.&lt;/p&gt;&lt;p&gt;Moving the &lt;i&gt;corpse lanterns&lt;/i&gt; does not require concentration.&lt;/p&gt;&lt;p&gt;&lt;i&gt;Corpse lanterns&lt;/i&gt; can be made permanent on an area with a &lt;i&gt;permanency&lt;/i&gt; spell by a caster of at least 11th level for the cost of 7,500 gp.&lt;/p&gt;&lt;/h4&gt;&lt;/div&gt;</t>
  </si>
  <si>
    <t>Gilded Whispers</t>
  </si>
  <si>
    <t>cleric/oracle 4, sorcerer/wizard 3</t>
  </si>
  <si>
    <t>V, S, M (100 gp of powdered gemstones)</t>
  </si>
  <si>
    <t>a gold or platinum coin</t>
  </si>
  <si>
    <t>Developed by priests of Abadar to catch thieves and skimmers, gilded whispers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  Gilded whispers allows you to use a single coin as a conduit for an eavesdropping spell. When you use a divination (scrying) spell or item, such as clairvoyance/ clairaudience, scrying, or a crystal ball, you can choose to target a coin you have affected with gilded whispers instead of a creature or location (even if you would not otherwise be able to target an object), though any range limits on the scrying effect still apply. If the coin is held or carried by a creature, its owner receives any applicable saving throw against the effect. The caster of gilded whispers treats the coin as a familiar subject. The residual psychic impressions left upon the coin by other handlers help mask this dweomer from detection, protecting gilded whispers against location by detect magic, arcane sight, and similar effects unless the latter spell's caster succeeds on a caster level check (1d20 + caster level) against a DC of 11 + the caster level of the spellcaster who cast gilded whispers.  The scrying sensor created by using a divination (scrying) spell to observe or listen to the coin's surroundings can be detected as normal.</t>
  </si>
  <si>
    <t>&lt;p&gt;Developed by priests of Abadar to catch thieves and skimmers, &lt;i&gt;gilded whispers&lt;/i&gt;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agents.&lt;/p&gt;&lt;p&gt;&lt;i&gt;Gilded whispers&lt;/i&gt; allows you to use a single coin as a conduit for an eavesdropping spell. When you use a divination (&lt;i&gt;scrying&lt;/i&gt;) spell or item, such as &lt;i&gt;clairvoyance/ clairaudience&lt;/i&gt;, &lt;i&gt;scrying&lt;/i&gt;, or a &lt;i&gt;crystal ball&lt;/i&gt;, you can choose to target a coin you have affected with &lt;i&gt;gilded whispers&lt;/i&gt; instead of a creature or location (even if you would not otherwise be able to target an object), though any range limits on the &lt;i&gt;scrying&lt;/i&gt; effect still apply. If the coin is held or carried by a creature, its owner receives any applicable saving throw against the effect. The caster of &lt;i&gt;gilded whispers&lt;/i&gt; treats the coin as a familiar subject. The residual psychic impressions left upon the coin by other handlers help mask this dweomer from detection, protecting &lt;i&gt;gilded whispers&lt;/i&gt; against location by &lt;i&gt;detect magic&lt;/i&gt;, &lt;i&gt;arcane sight&lt;/i&gt;, and similar effects unless the latter spell's caster succeeds on a caster level check (1d20 + caster level) against a DC of 11 + the caster level of the spellcaster who cast &lt;i&gt;gilded whispers&lt;/i&gt;.&lt;/p&gt;&lt;p&gt;The &lt;i&gt;scrying&lt;/i&gt; sensor created by using a divination (&lt;i&gt;scrying&lt;/i&gt;) spell to observe or listen to the coin's surroundings can be detected as normal.&lt;/p&gt;</t>
  </si>
  <si>
    <t>&lt;link rel="stylesheet"href="PF.css"&gt;&lt;div class="heading"&gt;&lt;p class="alignleft"&gt;Gilded Whispers&lt;/p&gt;&lt;div style="clear: both;"&gt;&lt;/div&gt;&lt;/div&gt;&lt;div&gt;&lt;h5&gt;&lt;b&gt;School &lt;/b&gt;divination; &lt;b&gt;Level &lt;/b&gt;cleric/oracle 4, sorcerer/wizard 3&lt;/h5&gt;&lt;/div&gt;&lt;hr/&gt;&lt;div&gt;&lt;h5&gt;&lt;b&gt;CASTING&lt;/b&gt;&lt;/h5&gt;&lt;/div&gt;&lt;hr/&gt;&lt;div&gt;&lt;h5&gt;&lt;b&gt;Casting Time &lt;/b&gt;1 round&lt;/h5&gt;&lt;h5&gt;&lt;b&gt;Components &lt;/b&gt;V, S, M (100 gp of powdered gemstones)&lt;/h5&gt;&lt;/div&gt;&lt;hr/&gt;&lt;div&gt;&lt;h5&gt;&lt;b&gt;EFFECT&lt;/b&gt;&lt;/h5&gt;&lt;/div&gt;&lt;hr/&gt;&lt;div&gt;&lt;h5&gt;&lt;b&gt;Range &lt;/b&gt;touch&lt;/h5&gt;&lt;h5&gt;&lt;b&gt;Targets &lt;/b&gt;a gold or platinum coin&lt;/h5&gt;&lt;h5&gt;&lt;b&gt;Duration &lt;/b&gt;1 day/level (D)&lt;/h5&gt;&lt;h5&gt;&lt;b&gt;Saving Throw &lt;/b&gt;Will negates (object); &lt;b&gt;Spell Resistance &lt;/b&gt;yes (object)&lt;/h5&gt;&lt;/div&gt;&lt;hr/&gt;&lt;div&gt;&lt;h5&gt;&lt;b&gt;DESCRIPTION&lt;/b&gt;&lt;/h5&gt;&lt;/div&gt;&lt;hr/&gt;&lt;div&gt;&lt;h4&gt;&lt;p&gt;Developed by priests of Abadar to catch thieves and skimmers, &lt;i&gt;gilded whispers&lt;/i&gt;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agents.&lt;/p&gt;&lt;p&gt;&lt;i&gt;Gilded whispers&lt;/i&gt; allows you to use a single coin as a conduit for an eavesdropping spell. When you use a divination (&lt;i&gt;scrying&lt;/i&gt;) spell or item, such as &lt;i&gt;clairvoyance/ clairaudience&lt;/i&gt;, &lt;i&gt;scrying&lt;/i&gt;, or a &lt;i&gt;crystal ball&lt;/i&gt;, you can choose to target a coin you have affected with &lt;i&gt;gilded whispers&lt;/i&gt; instead of a creature or location (even if you would not otherwise be able to target an object), though any range limits on the &lt;i&gt;scrying&lt;/i&gt; effect still apply. If the coin is held or carried by a creature, its owner receives any applicable saving throw against the effect. The caster of &lt;i&gt;gilded whispers&lt;/i&gt; treats the coin as a familiar subject. The residual psychic impressions left upon the coin by other handlers help mask this dweomer from detection, protecting &lt;i&gt;gilded whispers&lt;/i&gt; against location by &lt;i&gt;detect magic&lt;/i&gt;, &lt;i&gt;arcane sight&lt;/i&gt;, and similar effects unless the latter spell's caster succeeds on a caster level check (1d20 + caster level) against a DC of 11 + the caster level of the spellcaster who cast &lt;i&gt;gilded whispers&lt;/i&gt;.&lt;/p&gt;&lt;p&gt;The &lt;i&gt;scrying&lt;/i&gt; sensor created by using a divination (&lt;i&gt;scrying&lt;/i&gt;) spell to observe or listen to the coin's surroundings can be detected as normal.&lt;/p&gt;&lt;/h4&gt;&lt;/div&gt;</t>
  </si>
  <si>
    <t>Lipstitch</t>
  </si>
  <si>
    <t>S, M (a bone needle and sinew thread)</t>
  </si>
  <si>
    <t>A rare spell without verbal components, lipstitch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  The thread created by lipstitch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lipstitch. Creatures with multiple mouths lose the use of only one mouth per casting-the particular mouth is chosen by the caster.</t>
  </si>
  <si>
    <t>&lt;p&gt;A rare spell without verbal components, &lt;i&gt;lipstitch&lt;/i&gt;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check.&lt;/p&gt;&lt;p&gt;The thread created by &lt;i&gt;lipstitch&lt;/i&gt;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&lt;i&gt;lipstitch&lt;/i&gt;. Creatures with multiple mouths lose the use of only one mouth per casting-the particular mouth is chosen by the caster.&lt;/p&gt;</t>
  </si>
  <si>
    <t>&lt;link rel="stylesheet"href="PF.css"&gt;&lt;div class="heading"&gt;&lt;p class="alignleft"&gt;Lipstitch&lt;/p&gt;&lt;div style="clear: both;"&gt;&lt;/div&gt;&lt;/div&gt;&lt;div&gt;&lt;h5&gt;&lt;b&gt;School &lt;/b&gt;necromancy; &lt;b&gt;Level &lt;/b&gt;sorcerer/wizard 2, witch 2&lt;/h5&gt;&lt;/div&gt;&lt;hr/&gt;&lt;div&gt;&lt;h5&gt;&lt;b&gt;CASTING&lt;/b&gt;&lt;/h5&gt;&lt;/div&gt;&lt;hr/&gt;&lt;div&gt;&lt;h5&gt;&lt;b&gt;Casting Time &lt;/b&gt;1 standard action&lt;/h5&gt;&lt;h5&gt;&lt;b&gt;Components &lt;/b&gt;S, M (a bone needle and sinew thread)&lt;/h5&gt;&lt;/div&gt;&lt;hr/&gt;&lt;div&gt;&lt;h5&gt;&lt;b&gt;EFFECT&lt;/b&gt;&lt;/h5&gt;&lt;/div&gt;&lt;hr/&gt;&lt;div&gt;&lt;h5&gt;&lt;b&gt;Range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&lt;/b&gt;yes&lt;/h5&gt;&lt;/div&gt;&lt;hr/&gt;&lt;div&gt;&lt;h5&gt;&lt;b&gt;DESCRIPTION&lt;/b&gt;&lt;/h5&gt;&lt;/div&gt;&lt;hr/&gt;&lt;div&gt;&lt;h4&gt;&lt;p&gt;A rare spell without verbal components, &lt;i&gt;lipstitch&lt;/i&gt;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check.&lt;/p&gt;&lt;p&gt;The thread created by &lt;i&gt;lipstitch&lt;/i&gt;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&lt;i&gt;lipstitch&lt;/i&gt;. Creatures with multiple mouths lose the use of only one mouth per casting-the particular mouth is chosen by the caster.&lt;/p&gt;&lt;/h4&gt;&lt;/div&gt;</t>
  </si>
  <si>
    <t>Petulengro's Validation</t>
  </si>
  <si>
    <t>alchemist 1, inquisitor 1, sorcerer/wizard 1</t>
  </si>
  <si>
    <t>V, S, M (a bit of hair, a fingernail, or a similar portion of a creature)</t>
  </si>
  <si>
    <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t>
  </si>
  <si>
    <t>&lt;p&gt;After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spell.&lt;/p&gt;</t>
  </si>
  <si>
    <t>&lt;link rel="stylesheet"href="PF.css"&gt;&lt;div class="heading"&gt;&lt;p class="alignleft"&gt;Petulengro's Validation&lt;/p&gt;&lt;div style="clear: both;"&gt;&lt;/div&gt;&lt;/div&gt;&lt;div&gt;&lt;h5&gt;&lt;b&gt;School &lt;/b&gt;divination; &lt;b&gt;Level &lt;/b&gt;alchemist 1, inquisitor 1, sorcerer/wizard 1&lt;/h5&gt;&lt;/div&gt;&lt;hr/&gt;&lt;div&gt;&lt;h5&gt;&lt;b&gt;CASTING&lt;/b&gt;&lt;/h5&gt;&lt;/div&gt;&lt;hr/&gt;&lt;div&gt;&lt;h5&gt;&lt;b&gt;Casting Time &lt;/b&gt;1 standard action&lt;/h5&gt;&lt;h5&gt;&lt;b&gt;Components &lt;/b&gt;V, S, M (a bit of hair, a fingernail, or a similar portion of a creature)&lt;/h5&gt;&lt;/div&gt;&lt;hr/&gt;&lt;div&gt;&lt;h5&gt;&lt;b&gt;EFFECT&lt;/b&gt;&lt;/h5&gt;&lt;/div&gt;&lt;hr/&gt;&lt;div&gt;&lt;h5&gt;&lt;b&gt;Range &lt;/b&gt;touch&lt;/h5&gt;&lt;h5&gt;&lt;b&gt;Targets &lt;/b&gt;creature touched&lt;/h5&gt;&lt;h5&gt;&lt;b&gt;Duration &lt;/b&gt;instantaneous&lt;/h5&gt;&lt;h5&gt;&lt;b&gt;Saving Throw &lt;/b&gt;none; &lt;b&gt;Spell Resistance &lt;/b&gt;yes (harmless)&lt;/h5&gt;&lt;/div&gt;&lt;hr/&gt;&lt;div&gt;&lt;h5&gt;&lt;b&gt;DESCRIPTION&lt;/b&gt;&lt;/h5&gt;&lt;/div&gt;&lt;hr/&gt;&lt;div&gt;&lt;h4&gt;&lt;p&gt;After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spell.&lt;/p&gt;&lt;/h4&gt;&lt;/div&gt;</t>
  </si>
  <si>
    <t>Sequester Thoughts</t>
  </si>
  <si>
    <t>bard 3, sorcerer/wizard 5</t>
  </si>
  <si>
    <t>V, S, M (a gemstone worth at least 500 gp)</t>
  </si>
  <si>
    <t>permanent until discharged (see text)</t>
  </si>
  <si>
    <t>Sequester thoughts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  The memories you remove are stored within the gem used at the time of casting. If the gem is shattered, the memories return to the creature as long as the two are within 30 feet of each other. Once sequester thoughts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wish, miracle, or the like.  Sequester thoughts protects against detect thoughts, zone of truth, discern lies, and similar spells where the memories removed are concerned, though careful questioning may reveal the gaps in the creature's memory, or that it has been affected by the spell. Note that the creature itself does not remember any details of what memories were removed until the gem is broken.</t>
  </si>
  <si>
    <t>&lt;p&gt;&lt;i&gt;Sequester thoughts&lt;/i&gt;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king.&lt;/p&gt;&lt;p&gt;The memories you remove are stored within the gem used at the time of casting. If the gem is shattered, the memories return to the creature as long as the two are within 30 feet of each other. Once &lt;i&gt;sequester thoughts&lt;/i&gt;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&lt;i&gt;wish&lt;/i&gt;, &lt;i&gt;miracle&lt;/i&gt;, or the like.&lt;/p&gt;&lt;p&gt;&lt;i&gt;Sequester thoughts&lt;/i&gt; protects against &lt;i&gt;detect thoughts&lt;/i&gt;, &lt;i&gt;zone of truth&lt;/i&gt;, &lt;i&gt;discern lies&lt;/i&gt;, &lt;i&gt;and similar spells where the memories&lt;/i&gt; removed are concerned, though careful questioning may reveal the gaps in the creature's memory, or that it has been affected by the spell. Note that the creature itself does not remember any details of what memories were removed until the gem is broken.&lt;/p&gt;</t>
  </si>
  <si>
    <t>&lt;link rel="stylesheet"href="PF.css"&gt;&lt;div class="heading"&gt;&lt;p class="alignleft"&gt;Sequester Thoughts&lt;/p&gt;&lt;div style="clear: both;"&gt;&lt;/div&gt;&lt;/div&gt;&lt;div&gt;&lt;h5&gt;&lt;b&gt;School &lt;/b&gt;enchantment (compulsion) [mind-affecting]; &lt;b&gt;Level &lt;/b&gt;bard 3, sorcerer/wizard 5&lt;/h5&gt;&lt;/div&gt;&lt;hr/&gt;&lt;div&gt;&lt;h5&gt;&lt;b&gt;CASTING&lt;/b&gt;&lt;/h5&gt;&lt;/div&gt;&lt;hr/&gt;&lt;div&gt;&lt;h5&gt;&lt;b&gt;Casting Time &lt;/b&gt;10 minutes&lt;/h5&gt;&lt;h5&gt;&lt;b&gt;Components &lt;/b&gt;V, S, M (a gemstone worth at least 500 gp)&lt;/h5&gt;&lt;/div&gt;&lt;hr/&gt;&lt;div&gt;&lt;h5&gt;&lt;b&gt;EFFECT&lt;/b&gt;&lt;/h5&gt;&lt;/div&gt;&lt;hr/&gt;&lt;div&gt;&lt;h5&gt;&lt;b&gt;Range &lt;/b&gt;personal&lt;/h5&gt;&lt;h5&gt;&lt;b&gt;Targets &lt;/b&gt;one willing creature&lt;/h5&gt;&lt;h5&gt;&lt;b&gt;Duration &lt;/b&gt;permanent until discharged (see text)&lt;/h5&gt;&lt;/div&gt;&lt;hr/&gt;&lt;div&gt;&lt;h5&gt;&lt;b&gt;DESCRIPTION&lt;/b&gt;&lt;/h5&gt;&lt;/div&gt;&lt;hr/&gt;&lt;div&gt;&lt;h4&gt;&lt;p&gt;&lt;i&gt;Sequester thoughts&lt;/i&gt;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king.&lt;/p&gt;&lt;p&gt;The memories you remove are stored within the gem used at the time of casting. If the gem is shattered, the memories return to the creature as long as the two are within 30 feet of each other. Once &lt;i&gt;sequester thoughts&lt;/i&gt;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&lt;i&gt;wish&lt;/i&gt;, &lt;i&gt;miracle&lt;/i&gt;, or the like.&lt;/p&gt;&lt;p&gt;&lt;i&gt;Sequester thoughts&lt;/i&gt; protects against &lt;i&gt;detect thoughts&lt;/i&gt;, &lt;i&gt;zone of truth&lt;/i&gt;, &lt;i&gt;discern lies&lt;/i&gt;, &lt;i&gt;and similar spells where the memories&lt;/i&gt; removed are concerned, though careful questioning may reveal the gaps in the creature's memory, or that it has been affected by the spell. Note that the creature itself does not remember any details of what memories were removed until the gem is broken.&lt;/p&gt;&lt;/h4&gt;&lt;/div&gt;</t>
  </si>
  <si>
    <t>Sharesister</t>
  </si>
  <si>
    <t>cleric/oracle 3, witch 3</t>
  </si>
  <si>
    <t>V, S, M (a drop of your own blood)</t>
  </si>
  <si>
    <t>you and one creature of your gender</t>
  </si>
  <si>
    <t>(harmless) Ithuna Vardsdottir claims to have unearthed this ancient prayer in a ruined temple of Desna, though Pathfinders have reported the use of similar magic in Irrisen among the White Witches. While the name of this spell is sharesister, it works equally well on male or female creatures-both targets of the spell must simply be of the same gender.  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sharesister spell. Negative levels received from the spell vanish as soon as this spell effect ends.  Negative levels from multiple castings of this spell stack.</t>
  </si>
  <si>
    <t>&lt;p&gt;(harmless) Ithuna Vardsdottir claims to have unearthed this ancient prayer in a ruined temple of Desna, though Pathfinders have reported the use of similar magic in Irrisen among the White Witches. While the name of this spell is &lt;i&gt;sharesister&lt;/i&gt;, it works equally well on male or female creatures-both targets of the spell must simply be of the same gender.&lt;/p&gt;&lt;p&gt;When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&lt;i&gt;sharesister&lt;/i&gt; spell. Negative levels received from the spell vanish as soon as this spell effect ends.&lt;/p&gt;&lt;p&gt;Negative levels from multiple castings of this spell stack.&lt;/p&gt;</t>
  </si>
  <si>
    <t>&lt;link rel="stylesheet"href="PF.css"&gt;&lt;div class="heading"&gt;&lt;p class="alignleft"&gt;Sharesister&lt;/p&gt;&lt;div style="clear: both;"&gt;&lt;/div&gt;&lt;/div&gt;&lt;div&gt;&lt;h5&gt;&lt;b&gt;School &lt;/b&gt;necromancy; &lt;b&gt;Level &lt;/b&gt;cleric/oracle 3, witch 3&lt;/h5&gt;&lt;/div&gt;&lt;hr/&gt;&lt;div&gt;&lt;h5&gt;&lt;b&gt;CASTING&lt;/b&gt;&lt;/h5&gt;&lt;/div&gt;&lt;hr/&gt;&lt;div&gt;&lt;h5&gt;&lt;b&gt;Casting Time &lt;/b&gt;1 standard action&lt;/h5&gt;&lt;h5&gt;&lt;b&gt;Components &lt;/b&gt;V, S, M (a drop of your own blood)&lt;/h5&gt;&lt;/div&gt;&lt;hr/&gt;&lt;div&gt;&lt;h5&gt;&lt;b&gt;EFFECT&lt;/b&gt;&lt;/h5&gt;&lt;/div&gt;&lt;hr/&gt;&lt;div&gt;&lt;h5&gt;&lt;b&gt;Range &lt;/b&gt;touch&lt;/h5&gt;&lt;h5&gt;&lt;b&gt;Targets &lt;/b&gt;you and one creature of your gender&lt;/h5&gt;&lt;h5&gt;&lt;b&gt;Duration &lt;/b&gt;1 minute/level&lt;/h5&gt;&lt;h5&gt;&lt;b&gt;Saving Throw &lt;/b&gt;Will negates (harmless); &lt;b&gt;Spell Resistance &lt;/b&gt;yes&lt;/h5&gt;&lt;/div&gt;&lt;hr/&gt;&lt;div&gt;&lt;h5&gt;&lt;b&gt;DESCRIPTION&lt;/b&gt;&lt;/h5&gt;&lt;/div&gt;&lt;hr/&gt;&lt;div&gt;&lt;h4&gt;&lt;p&gt;(harmless) Ithuna Vardsdottir claims to have unearthed this ancient prayer in a ruined temple of Desna, though Pathfinders have reported the use of similar magic in Irrisen among the White Witches. While the name of this spell is &lt;i&gt;sharesister&lt;/i&gt;, it works equally well on male or female creatures-both targets of the spell must simply be of the same gender.&lt;/p&gt;&lt;p&gt;When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&lt;i&gt;sharesister&lt;/i&gt; spell. Negative levels received from the spell vanish as soon as this spell effect ends.&lt;/p&gt;&lt;p&gt;Negative levels from multiple castings of this spell stack.&lt;/p&gt;&lt;/h4&gt;&lt;/div&gt;</t>
  </si>
  <si>
    <t>Stalwart Resolve</t>
  </si>
  <si>
    <t>alchemist 2, cleric/oracle 2, inquisitor 1, paladin 1, witch 2</t>
  </si>
  <si>
    <t>(harmless) Stalwart resolve was originally created to temporarily aid those suffering from certain afflictions. The recipient of stalwart resolve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t>
  </si>
  <si>
    <t>&lt;p&gt;(harmless) &lt;i&gt;Stalwart resolve&lt;/i&gt; was originally created to temporarily aid those suffering from certain afflictions. The recipient of &lt;i&gt;stalwart resolve&lt;/i&gt;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drain.&lt;/p&gt;</t>
  </si>
  <si>
    <t>&lt;link rel="stylesheet"href="PF.css"&gt;&lt;div class="heading"&gt;&lt;p class="alignleft"&gt;Stalwart Resolve&lt;/p&gt;&lt;div style="clear: both;"&gt;&lt;/div&gt;&lt;/div&gt;&lt;div&gt;&lt;h5&gt;&lt;b&gt;School &lt;/b&gt;enchantment (compulsion) [mind-affecting]; &lt;b&gt;Level &lt;/b&gt;alchemist 2, cleric/oracle 2, inquisitor 1, paladin 1, witch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(harmless); &lt;b&gt;Spell Resistance &lt;/b&gt;yes&lt;/h5&gt;&lt;/div&gt;&lt;hr/&gt;&lt;div&gt;&lt;h5&gt;&lt;b&gt;DESCRIPTION&lt;/b&gt;&lt;/h5&gt;&lt;/div&gt;&lt;hr/&gt;&lt;div&gt;&lt;h4&gt;&lt;p&gt;(harmless) &lt;i&gt;Stalwart resolve&lt;/i&gt; was originally created to temporarily aid those suffering from certain afflictions. The recipient of &lt;i&gt;stalwart resolve&lt;/i&gt;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drain.&lt;/p&gt;&lt;/h4&gt;&lt;/div&gt;</t>
  </si>
  <si>
    <t>Stolen Light</t>
  </si>
  <si>
    <t>bard 3, sorcerer/wizard 3</t>
  </si>
  <si>
    <t>V, S, F (a gem worth at least 500 gp)</t>
  </si>
  <si>
    <t>transparent gem touched</t>
  </si>
  <si>
    <t>permanent or 1 minute/level (see text)</t>
  </si>
  <si>
    <t>Kreighton Shaine researched this spell from the fragmentary notes of a Vudrani ascetic recorded in a strange tome, and rumors credit him with no fewer than a dozen permanent stolen light gems hidden in compartments and drawers in his study. Stolen light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  Once the casting is complete, the gem turns opaque, and the image inside cannot be seen. The stolen image remains within the gem until released or dispelled.  To release an image, you touch a gem holding stolen light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  Light sources brighter than bright light are reduced to bright light in the stolen image. Once the image has been released, it cannot again be recovered from the gem.  Stolen light can be made permanent with the permanency spell by a caster of 10th level for a cost of 5,000 gp. This leaves the gem capable of projecting the image indefinitely, activated and deactivated by its command word, until it is destroyed or dispelled.</t>
  </si>
  <si>
    <t>&lt;p&gt;Kreighton Shaine researched this spell from the fragmentary notes of a Vudrani ascetic recorded in a strange tome, and rumors credit him with no fewer than a dozen permanent &lt;i&gt;stolen light&lt;/i&gt; gems hidden in compartments and drawers in his study. &lt;i&gt;Stolen light&lt;/i&gt;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sight.&lt;/p&gt;&lt;p&gt;Once the casting is complete, the gem turns opaque, and the image inside cannot be seen. The stolen image remains within the gem until released or dispelled.&lt;/p&gt;&lt;p&gt;To release an image, you touch a gem holding &lt;i&gt;stolen light&lt;/i&gt;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see.&lt;/p&gt;&lt;p&gt;Light sources brighter than bright light are reduced to bright light in the stolen image. Once the image has been released, it cannot again be recovered from the gem.&lt;/p&gt;&lt;p&gt;&lt;i&gt;Stolen light&lt;/i&gt; can be made permanent with the &lt;i&gt;permanency&lt;/i&gt; spell by a caster of 10th level for a cost of 5,000 gp. This leaves the gem capable of projecting the image indefinitely, activated and deactivated by its command word, until it is destroyed or dispelled.&lt;/p&gt;</t>
  </si>
  <si>
    <t>&lt;link rel="stylesheet"href="PF.css"&gt;&lt;div class="heading"&gt;&lt;p class="alignleft"&gt;Stolen Light&lt;/p&gt;&lt;div style="clear: both;"&gt;&lt;/div&gt;&lt;/div&gt;&lt;div&gt;&lt;h5&gt;&lt;b&gt;School &lt;/b&gt;illusion (figment); &lt;b&gt;Level &lt;/b&gt;bard 3, sorcerer/wizard 3&lt;/h5&gt;&lt;/div&gt;&lt;hr/&gt;&lt;div&gt;&lt;h5&gt;&lt;b&gt;CASTING&lt;/b&gt;&lt;/h5&gt;&lt;/div&gt;&lt;hr/&gt;&lt;div&gt;&lt;h5&gt;&lt;b&gt;Casting Time &lt;/b&gt;1 full round&lt;/h5&gt;&lt;h5&gt;&lt;b&gt;Components &lt;/b&gt;V, S, F (a gem worth at least 500 gp)&lt;/h5&gt;&lt;/div&gt;&lt;hr/&gt;&lt;div&gt;&lt;h5&gt;&lt;b&gt;EFFECT&lt;/b&gt;&lt;/h5&gt;&lt;/div&gt;&lt;hr/&gt;&lt;div&gt;&lt;h5&gt;&lt;b&gt;Range &lt;/b&gt;touch&lt;/h5&gt;&lt;h5&gt;&lt;b&gt;Targets &lt;/b&gt;transparent gem touched&lt;/h5&gt;&lt;h5&gt;&lt;b&gt;Duration &lt;/b&gt;permanent or 1 minute/level (see text)&lt;/h5&gt;&lt;h5&gt;&lt;b&gt;Saving Throw &lt;/b&gt;Will negates (object); &lt;b&gt;Spell Resistance &lt;/b&gt;yes (object)&lt;/h5&gt;&lt;/div&gt;&lt;hr/&gt;&lt;div&gt;&lt;h5&gt;&lt;b&gt;DESCRIPTION&lt;/b&gt;&lt;/h5&gt;&lt;/div&gt;&lt;hr/&gt;&lt;div&gt;&lt;h4&gt;&lt;p&gt;Kreighton Shaine researched this spell from the fragmentary notes of a Vudrani ascetic recorded in a strange tome, and rumors credit him with no fewer than a dozen permanent &lt;i&gt;stolen light&lt;/i&gt; gems hidden in compartments and drawers in his study. &lt;i&gt;Stolen light&lt;/i&gt;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sight.&lt;/p&gt;&lt;p&gt;Once the casting is complete, the gem turns opaque, and the image inside cannot be seen. The stolen image remains within the gem until released or dispelled.&lt;/p&gt;&lt;p&gt;To release an image, you touch a gem holding &lt;i&gt;stolen light&lt;/i&gt;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see.&lt;/p&gt;&lt;p&gt;Light sources brighter than bright light are reduced to bright light in the stolen image. Once the image has been released, it cannot again be recovered from the gem.&lt;/p&gt;&lt;p&gt;&lt;i&gt;Stolen light&lt;/i&gt; can be made permanent with the &lt;i&gt;permanency&lt;/i&gt; spell by a caster of 10th level for a cost of 5,000 gp. This leaves the gem capable of projecting the image indefinitely, activated and deactivated by its command word, until it is destroyed or dispelled.&lt;/p&gt;&lt;/h4&gt;&lt;/div&gt;</t>
  </si>
  <si>
    <t>Twisted Innards</t>
  </si>
  <si>
    <t>alchemist 2, magus 3, sorcerer/wizard 3, witch 3</t>
  </si>
  <si>
    <t>V, S, M (a cocoon tied with string)</t>
  </si>
  <si>
    <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t>
  </si>
  <si>
    <t>&lt;p&gt;For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75%.&lt;/p&gt;</t>
  </si>
  <si>
    <t>&lt;link rel="stylesheet"href="PF.css"&gt;&lt;div class="heading"&gt;&lt;p class="alignleft"&gt;Twisted Innards&lt;/p&gt;&lt;div style="clear: both;"&gt;&lt;/div&gt;&lt;/div&gt;&lt;div&gt;&lt;h5&gt;&lt;b&gt;School &lt;/b&gt;transmutation; &lt;b&gt;Level &lt;/b&gt;alchemist 2, magus 3, sorcerer/wizard 3, witch 3&lt;/h5&gt;&lt;/div&gt;&lt;hr/&gt;&lt;div&gt;&lt;h5&gt;&lt;b&gt;CASTING&lt;/b&gt;&lt;/h5&gt;&lt;/div&gt;&lt;hr/&gt;&lt;div&gt;&lt;h5&gt;&lt;b&gt;Casting Time &lt;/b&gt;1 standard action&lt;/h5&gt;&lt;h5&gt;&lt;b&gt;Components &lt;/b&gt;V, S, M (a cocoon tied with string)&lt;/h5&gt;&lt;/div&gt;&lt;hr/&gt;&lt;div&gt;&lt;h5&gt;&lt;b&gt;EFFECT&lt;/b&gt;&lt;/h5&gt;&lt;/div&gt;&lt;hr/&gt;&lt;div&gt;&lt;h5&gt;&lt;b&gt;Range &lt;/b&gt;personal&lt;/h5&gt;&lt;h5&gt;&lt;b&gt;Targets &lt;/b&gt;you&lt;/h5&gt;&lt;h5&gt;&lt;b&gt;Duration &lt;/b&gt;1 minute/level&lt;/h5&gt;&lt;/div&gt;&lt;hr/&gt;&lt;div&gt;&lt;h5&gt;&lt;b&gt;DESCRIPTION&lt;/b&gt;&lt;/h5&gt;&lt;/div&gt;&lt;hr/&gt;&lt;div&gt;&lt;h4&gt;&lt;p&gt;For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75%.&lt;/p&gt;&lt;/h4&gt;&lt;/div&gt;</t>
  </si>
  <si>
    <t>Blot</t>
  </si>
  <si>
    <t>bard 3, cleric/oracle 3, sorcerer/wizard 3</t>
  </si>
  <si>
    <t>V, S, M (a bit of cloth made wet with saliva)</t>
  </si>
  <si>
    <t>10 ft.-radius burst</t>
  </si>
  <si>
    <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glyphs of warding or symbols), blot instead functions as a dispel magic spell capable of targeting all such spell effects in the area. This spell has no on writing found on artifacts or similarly unique surfaces.</t>
  </si>
  <si>
    <t>&lt;p&gt;This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&lt;i&gt;glyphs of warding&lt;/i&gt; or symbols), blot instead functions as a &lt;i&gt;dispel magic&lt;/i&gt; spell capable of targeting all such spell effects in the area. This spell has no on writing found on artifacts or similarly unique surfaces.&lt;/p&gt;</t>
  </si>
  <si>
    <t>Goblins Of Golarion</t>
  </si>
  <si>
    <t>&lt;link rel="stylesheet"href="PF.css"&gt;&lt;div class="heading"&gt;&lt;p class="alignleft"&gt;Blot&lt;/p&gt;&lt;div style="clear: both;"&gt;&lt;/div&gt;&lt;/div&gt;&lt;div&gt;&lt;h5&gt;&lt;b&gt;School &lt;/b&gt;transmutation; &lt;b&gt;Level &lt;/b&gt;bard 3, cleric/oracle 3, sorcerer/wizard 3&lt;/h5&gt;&lt;/div&gt;&lt;hr/&gt;&lt;div&gt;&lt;h5&gt;&lt;b&gt;CASTING&lt;/b&gt;&lt;/h5&gt;&lt;/div&gt;&lt;hr/&gt;&lt;div&gt;&lt;h5&gt;&lt;b&gt;Casting Time &lt;/b&gt;1 standard action&lt;/h5&gt;&lt;h5&gt;&lt;b&gt;Components &lt;/b&gt;V, S, M (a bit of cloth made wet with saliva)&lt;/h5&gt;&lt;/div&gt;&lt;hr/&gt;&lt;div&gt;&lt;h5&gt;&lt;b&gt;EFFECT&lt;/b&gt;&lt;/h5&gt;&lt;/div&gt;&lt;hr/&gt;&lt;div&gt;&lt;h5&gt;&lt;b&gt;Range &lt;/b&gt;close (25 ft. + 5 ft/2 levels)&lt;/h5&gt;&lt;h5&gt;&lt;b&gt;Area &lt;/b&gt;10 ft.-radius burst&lt;/h5&gt;&lt;h5&gt;&lt;b&gt;Duration &lt;/b&gt;24 hours&lt;/h5&gt;&lt;h5&gt;&lt;b&gt;Saving Throw &lt;/b&gt;Will negates (object); &lt;b&gt;Spell Resistance &lt;/b&gt;yes (object)&lt;/h5&gt;&lt;/div&gt;&lt;hr/&gt;&lt;div&gt;&lt;h5&gt;&lt;b&gt;DESCRIPTION&lt;/b&gt;&lt;/h5&gt;&lt;/div&gt;&lt;hr/&gt;&lt;div&gt;&lt;h4&gt;&lt;p&gt;This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&lt;i&gt;glyphs of warding&lt;/i&gt; or symbols), blot instead functions as a &lt;i&gt;dispel magic&lt;/i&gt; spell capable of targeting all such spell effects in the area. This spell has no on writing found on artifacts or similarly unique surfaces.&lt;/p&gt;&lt;/h4&gt;&lt;/div&gt;</t>
  </si>
  <si>
    <t>Fire Sneeze</t>
  </si>
  <si>
    <t>alchemist 2, druid 2, sorcerer/wizard 2</t>
  </si>
  <si>
    <t>V, S, M (hot pepper soaked in oil)</t>
  </si>
  <si>
    <t>1 round + 1 round/2 levels</t>
  </si>
  <si>
    <t>This spell causes you to begin sneezing gouts of fire that can not only set creatures ablaze but also drop them flat on their backs.  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t>
  </si>
  <si>
    <t>&lt;p&gt;This spell causes you to begin sneezing gouts of fire that can not only set creatures ablaze but also drop them flat on their backs.&lt;/p&gt;&lt;p&gt;Once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sneeze.&lt;/p&gt;</t>
  </si>
  <si>
    <t>&lt;link rel="stylesheet"href="PF.css"&gt;&lt;div class="heading"&gt;&lt;p class="alignleft"&gt;Fire Sneeze&lt;/p&gt;&lt;div style="clear: both;"&gt;&lt;/div&gt;&lt;/div&gt;&lt;div&gt;&lt;h5&gt;&lt;b&gt;School &lt;/b&gt;evocation [air, fire]; &lt;b&gt;Level &lt;/b&gt;alchemist 2, druid 2, sorcerer/wizard 2&lt;/h5&gt;&lt;/div&gt;&lt;hr/&gt;&lt;div&gt;&lt;h5&gt;&lt;b&gt;CASTING&lt;/b&gt;&lt;/h5&gt;&lt;/div&gt;&lt;hr/&gt;&lt;div&gt;&lt;h5&gt;&lt;b&gt;Casting Time &lt;/b&gt;1 standard action&lt;/h5&gt;&lt;h5&gt;&lt;b&gt;Components &lt;/b&gt;V, S, M (hot pepper soaked in oil)&lt;/h5&gt;&lt;/div&gt;&lt;hr/&gt;&lt;div&gt;&lt;h5&gt;&lt;b&gt;EFFECT&lt;/b&gt;&lt;/h5&gt;&lt;/div&gt;&lt;hr/&gt;&lt;div&gt;&lt;h5&gt;&lt;b&gt;Range &lt;/b&gt;personal&lt;/h5&gt;&lt;h5&gt;&lt;b&gt;Targets &lt;/b&gt;you&lt;/h5&gt;&lt;h5&gt;&lt;b&gt;Duration &lt;/b&gt;1 round + 1 round/2 levels&lt;/h5&gt;&lt;h5&gt;&lt;b&gt;Saving Throw &lt;/b&gt;Reflex half; &lt;b&gt;Spell Resistance &lt;/b&gt;yes&lt;/h5&gt;&lt;/div&gt;&lt;hr/&gt;&lt;div&gt;&lt;h5&gt;&lt;b&gt;DESCRIPTION&lt;/b&gt;&lt;/h5&gt;&lt;/div&gt;&lt;hr/&gt;&lt;div&gt;&lt;h4&gt;&lt;p&gt;This spell causes you to begin sneezing gouts of fire that can not only set creatures ablaze but also drop them flat on their backs.&lt;/p&gt;&lt;p&gt;Once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sneeze.&lt;/p&gt;&lt;/h4&gt;&lt;/div&gt;</t>
  </si>
  <si>
    <t>Limp Lash</t>
  </si>
  <si>
    <t>V, S, M (a dead wasp)</t>
  </si>
  <si>
    <t>special (see below)</t>
  </si>
  <si>
    <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  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t>
  </si>
  <si>
    <t>&lt;p&gt;You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round.&lt;/p&gt;&lt;p&gt;This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end.&lt;/p&gt;</t>
  </si>
  <si>
    <t>&lt;link rel="stylesheet"href="PF.css"&gt;&lt;div class="heading"&gt;&lt;p class="alignleft"&gt;Limp Lash&lt;/p&gt;&lt;div style="clear: both;"&gt;&lt;/div&gt;&lt;/div&gt;&lt;div&gt;&lt;h5&gt;&lt;b&gt;School &lt;/b&gt;necromancy; &lt;b&gt;Level &lt;/b&gt;sorcerer/wizard 2, witch 2&lt;/h5&gt;&lt;/div&gt;&lt;hr/&gt;&lt;div&gt;&lt;h5&gt;&lt;b&gt;CASTING&lt;/b&gt;&lt;/h5&gt;&lt;/div&gt;&lt;hr/&gt;&lt;div&gt;&lt;h5&gt;&lt;b&gt;Casting Time &lt;/b&gt;1 standard action&lt;/h5&gt;&lt;h5&gt;&lt;b&gt;Components &lt;/b&gt;V, S, M (a dead wasp)&lt;/h5&gt;&lt;/div&gt;&lt;hr/&gt;&lt;div&gt;&lt;h5&gt;&lt;b&gt;EFFECT&lt;/b&gt;&lt;/h5&gt;&lt;/div&gt;&lt;hr/&gt;&lt;div&gt;&lt;h5&gt;&lt;b&gt;Range &lt;/b&gt;20 ft.&lt;/h5&gt;&lt;h5&gt;&lt;b&gt;Targets &lt;/b&gt;1 creature&lt;/h5&gt;&lt;h5&gt;&lt;b&gt;Duration &lt;/b&gt;special (see below)&lt;/h5&gt;&lt;h5&gt;&lt;b&gt;Saving Throw &lt;/b&gt;none; &lt;b&gt;Spell Resistance &lt;/b&gt;yes&lt;/h5&gt;&lt;/div&gt;&lt;hr/&gt;&lt;div&gt;&lt;h5&gt;&lt;b&gt;DESCRIPTION&lt;/b&gt;&lt;/h5&gt;&lt;/div&gt;&lt;hr/&gt;&lt;div&gt;&lt;h4&gt;&lt;p&gt;You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round.&lt;/p&gt;&lt;p&gt;This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end.&lt;/p&gt;&lt;/h4&gt;&lt;/div&gt;</t>
  </si>
  <si>
    <t>Aroden's Spellbane</t>
  </si>
  <si>
    <t>V, S, F (cold iron scepter worth at least 1,000 gp)</t>
  </si>
  <si>
    <t>One of many spells originally created by the Last Azlanti before he became a god, Aroden's spellbane creates an area within which spells selected by you simply do not function.  Select one spell per five caster levels at the time of casting.  The spells selected cannot be changed after the spell is cast. Aroden's spellbane otherwise functions like antimagic field, except its emanation only prevents the functioning of the selected spells. Only the exact spells mentioned are affected-a spellbane set to prevent the casting of summon nature's ally II would not prevent castings of summon nature's ally I or summon nature's ally III. If you move into an area where a previously cast spell you have selected as a banned spell is in effect, that spell is affected as if by antimagic field. If the spell affects a summoned creature that has spell resistance, you must make a caster level check against the creature's spell resistance to make it wink out.  Aroden's spellbane can even negate an antimagic field, another Aroden's spellbane, or any spell that specifies immunity to antimagic field (such as wall of force, prismatic sphere, and prismatic wall). Multiple spellbane effects can overlap.  Their effects stack, preventing the functioning of every spell targeted by any of the multiple spellbane emanations. Spell effects created by artifacts or deities cannot be suppressed by Aroden's spellbane.</t>
  </si>
  <si>
    <t>&lt;p&gt;One of many spells originally created by the Last Azlanti before he became a god, Aroden's &lt;i&gt;spellbane&lt;/i&gt; creates an area within which spells selected by you simply do not function.&lt;/p&gt;&lt;p&gt;Select one spell per five caster levels at the time of casting.&lt;/p&gt;&lt;p&gt;The spells selected cannot be changed after the spell is cast. Aroden's &lt;i&gt;spellbane&lt;/i&gt; otherwise functions like &lt;i&gt;antimagic field&lt;/i&gt;, except its emanation only prevents the functioning of the selected spells. Only the exact spells mentioned are affected-a &lt;i&gt;spellbane&lt;/i&gt; set to prevent the casting of summon nature's ally II would not prevent castings of summon nature's ally I or summon nature's ally III. If you move into an area where a previously cast spell you have selected as a banned spell is in effect, that spell is affected as if by &lt;i&gt;antimagic field&lt;/i&gt;. If the spell affects a summoned creature that has spell resistance, you must make a caster level check against the creature's spell resistance to make it wink out.&lt;/p&gt;&lt;p&gt;Aroden's &lt;i&gt;spellbane&lt;/i&gt; can even negate an &lt;i&gt;antimagic field&lt;/i&gt;, another Aroden's &lt;i&gt;spellbane&lt;/i&gt;, or any spell that specifies immunity to &lt;i&gt;antimagic field&lt;/i&gt; (such as &lt;i&gt;wall of force&lt;/i&gt;, &lt;i&gt;&lt;i&gt;prismatic&lt;/i&gt; sphere&lt;/i&gt;, and &lt;i&gt;prismatic&lt;/i&gt; wall). Multiple &lt;i&gt;spellbane&lt;/i&gt; effects can overlap.&lt;/p&gt;&lt;p&gt;Their effects stack, preventing the functioning of every spell targeted by any of the multiple &lt;i&gt;spellbane&lt;/i&gt; emanations. Spell effects created by artifacts or deities cannot be suppressed by Aroden's &lt;i&gt;spellbane&lt;/i&gt;.&lt;/p&gt;</t>
  </si>
  <si>
    <t>Inner Sea Magic</t>
  </si>
  <si>
    <t>&lt;link rel="stylesheet"href="PF.css"&gt;&lt;div class="heading"&gt;&lt;p class="alignleft"&gt;Aroden's Spellbane&lt;/p&gt;&lt;div style="clear: both;"&gt;&lt;/div&gt;&lt;/div&gt;&lt;div&gt;&lt;h5&gt;&lt;b&gt;School &lt;/b&gt;abjuration; &lt;b&gt;Level &lt;/b&gt;sorcerer/wizard 9&lt;/h5&gt;&lt;/div&gt;&lt;hr/&gt;&lt;div&gt;&lt;h5&gt;&lt;b&gt;CASTING&lt;/b&gt;&lt;/h5&gt;&lt;/div&gt;&lt;hr/&gt;&lt;div&gt;&lt;h5&gt;&lt;b&gt;Casting Time &lt;/b&gt;1 standard action&lt;/h5&gt;&lt;h5&gt;&lt;b&gt;Components &lt;/b&gt;V, S, F (cold iron scepter worth at least 1,000 gp)&lt;/h5&gt;&lt;/div&gt;&lt;hr/&gt;&lt;div&gt;&lt;h5&gt;&lt;b&gt;EFFECT&lt;/b&gt;&lt;/h5&gt;&lt;/div&gt;&lt;hr/&gt;&lt;div&gt;&lt;h5&gt;&lt;b&gt;Range &lt;/b&gt;10 ft.&lt;/h5&gt;&lt;h5&gt;&lt;b&gt;Area &lt;/b&gt;10-ft.-radius emanation, centered on you&lt;/h5&gt;&lt;h5&gt;&lt;b&gt;Duration &lt;/b&gt;1 hour/level (D)&lt;/h5&gt;&lt;h5&gt;&lt;b&gt;Saving Throw &lt;/b&gt;none; &lt;b&gt;Spell Resistance &lt;/b&gt;see text&lt;/h5&gt;&lt;/div&gt;&lt;hr/&gt;&lt;div&gt;&lt;h5&gt;&lt;b&gt;DESCRIPTION&lt;/b&gt;&lt;/h5&gt;&lt;/div&gt;&lt;hr/&gt;&lt;div&gt;&lt;h4&gt;&lt;p&gt;One of many spells originally created by the Last Azlanti before he became a god, Aroden's &lt;i&gt;spellbane&lt;/i&gt; creates an area within which spells selected by you simply do not function.&lt;/p&gt;&lt;p&gt;Select one spell per five caster levels at the time of casting.&lt;/p&gt;&lt;p&gt;The spells selected cannot be changed after the spell is cast. Aroden's &lt;i&gt;spellbane&lt;/i&gt; otherwise functions like &lt;i&gt;antimagic field&lt;/i&gt;, except its emanation only prevents the functioning of the selected spells. Only the exact spells mentioned are affected-a &lt;i&gt;spellbane&lt;/i&gt; set to prevent the casting of summon nature's ally II would not prevent castings of summon nature's ally I or summon nature's ally III. If you move into an area where a previously cast spell you have selected as a banned spell is in effect, that spell is affected as if by &lt;i&gt;antimagic field&lt;/i&gt;. If the spell affects a summoned creature that has spell resistance, you must make a caster level check against the creature's spell resistance to make it wink out.&lt;/p&gt;&lt;p&gt;Aroden's &lt;i&gt;spellbane&lt;/i&gt; can even negate an &lt;i&gt;antimagic field&lt;/i&gt;, another Aroden's &lt;i&gt;spellbane&lt;/i&gt;, or any spell that specifies immunity to &lt;i&gt;antimagic field&lt;/i&gt; (such as &lt;i&gt;wall of force&lt;/i&gt;, &lt;i&gt;&lt;i&gt;prismatic&lt;/i&gt; sphere&lt;/i&gt;, and &lt;i&gt;prismatic&lt;/i&gt; wall). Multiple &lt;i&gt;spellbane&lt;/i&gt; effects can overlap.&lt;/p&gt;&lt;p&gt;Their effects stack, preventing the functioning of every spell targeted by any of the multiple &lt;i&gt;spellbane&lt;/i&gt; emanations. Spell effects created by artifacts or deities cannot be suppressed by Aroden's &lt;i&gt;spellbane&lt;/i&gt;.&lt;/p&gt;&lt;/h4&gt;&lt;h5&gt;&lt;b&gt;Mythic: &lt;/b&gt;Add half your tier to the number of spells you can select to notfunction in the area. As a full-round action, you can expend one useof mythic power to change one of the spells blocked by this effect.You can do this as often as you wish during the spell's duration.&lt;/h5&gt;&lt;/div&gt;</t>
  </si>
  <si>
    <t>Add half your tier to the number of spells you can select to notfunction in the area. As a full-round action, you can expend one useof mythic power to change one of the spells blocked by this effect.You can do this as often as you wish during the spell's duration.</t>
  </si>
  <si>
    <t>Bladed Dash</t>
  </si>
  <si>
    <t>bard 2, magus 2</t>
  </si>
  <si>
    <t>Both Quantium and Jalmeray claim that this spell was born in their arcane universities. Regardless of the spell's origin, it quickly spread throughout the Inner Sea and beyond as spellcasting sword-fighters learned of its existence.  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  You must end the bonus movement granted by this spell in an unoccupied square. If no such space is available along the trajectory, the spell fails. Despite the name, the spell works with any melee weapon.</t>
  </si>
  <si>
    <t>&lt;p&gt;Both Quantium and Jalmeray claim that this spell was born in their arcane universities. Regardless of the spell's origin, it quickly spread throughout the Inner Sea and beyond as spellcasting sword-fighters learned of its existence.&lt;/p&gt;&lt;p&gt;When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higher.&lt;/p&gt;&lt;p&gt;You must end the bonus movement granted by this spell in an unoccupied square. If no such space is available along the trajectory, the spell fails. Despite the name, the spell works with any melee weapon.&lt;/p&gt;</t>
  </si>
  <si>
    <t>&lt;link rel="stylesheet"href="PF.css"&gt;&lt;div class="heading"&gt;&lt;p class="alignleft"&gt;Bladed Dash&lt;/p&gt;&lt;div style="clear: both;"&gt;&lt;/div&gt;&lt;/div&gt;&lt;div&gt;&lt;h5&gt;&lt;b&gt;School &lt;/b&gt;transmutation; &lt;b&gt;Level &lt;/b&gt;bard 2, magus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&lt;/b&gt;instantaneous&lt;/h5&gt;&lt;/div&gt;&lt;hr/&gt;&lt;div&gt;&lt;h5&gt;&lt;b&gt;DESCRIPTION&lt;/b&gt;&lt;/h5&gt;&lt;/div&gt;&lt;hr/&gt;&lt;div&gt;&lt;h4&gt;&lt;p&gt;Both Quantium and Jalmeray claim that this spell was born in their arcane universities. Regardless of the spell's origin, it quickly spread throughout the Inner Sea and beyond as spellcasting sword-fighters learned of its existence.&lt;/p&gt;&lt;p&gt;When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higher.&lt;/p&gt;&lt;p&gt;You must end the bonus movement granted by this spell in an unoccupied square. If no such space is available along the trajectory, the spell fails. Despite the name, the spell works with any melee weapon.&lt;/p&gt;&lt;/h4&gt;&lt;/div&gt;</t>
  </si>
  <si>
    <t>Bladed Dash, Greater</t>
  </si>
  <si>
    <t>bard 5, magus 5</t>
  </si>
  <si>
    <t>This spell functions like bladed dash, save that you can make a single melee attack against every creature you pass during the 30 feet of your dash. You cannot attack an individual creature more than once with spell.</t>
  </si>
  <si>
    <t>&lt;p&gt;This spell functions like &lt;i&gt;bladed dash&lt;/i&gt;, save that you can make a single melee attack against every creature you pass during the 30 feet of your dash. You cannot attack an individual creature more than once with spell.&lt;/p&gt;</t>
  </si>
  <si>
    <t>&lt;link rel="stylesheet"href="PF.css"&gt;&lt;div class="heading"&gt;&lt;p class="alignleft"&gt;Bladed Dash, Greater&lt;/p&gt;&lt;div style="clear: both;"&gt;&lt;/div&gt;&lt;/div&gt;&lt;div&gt;&lt;h5&gt;&lt;b&gt;School &lt;/b&gt;transmutation; &lt;b&gt;Level &lt;/b&gt;bard 5, magus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functions like &lt;i&gt;bladed dash&lt;/i&gt;, save that you can make a single melee attack against every creature you pass during the 30 feet of your dash. You cannot attack an individual creature more than once with spell.&lt;/p&gt;&lt;/h4&gt;&lt;/div&gt;</t>
  </si>
  <si>
    <t>Blast Barrier</t>
  </si>
  <si>
    <t>druid 4, ranger 3, sorcerer/wizard 3, witch 4</t>
  </si>
  <si>
    <t>V, S, M (handful of snow, earth, or gravel)</t>
  </si>
  <si>
    <t>close (25 ft. + 5ft./2 levels)</t>
  </si>
  <si>
    <t>1-ft.-thick wall up to 10 ft. high by 20 ft. wide</t>
  </si>
  <si>
    <t>concentration, up to 1 round/2 levels</t>
  </si>
  <si>
    <t>Reflex half (see below)</t>
  </si>
  <si>
    <t>yes (see below)</t>
  </si>
  <si>
    <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t>
  </si>
  <si>
    <t>&lt;p&gt;Originally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shape.&lt;/p&gt;&lt;p&gt;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well.&lt;/p&gt;&lt;p&gt;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approached.&lt;/p&gt;</t>
  </si>
  <si>
    <t>&lt;link rel="stylesheet"href="PF.css"&gt;&lt;div class="heading"&gt;&lt;p class="alignleft"&gt;Blast Barrier&lt;/p&gt;&lt;div style="clear: both;"&gt;&lt;/div&gt;&lt;/div&gt;&lt;div&gt;&lt;h5&gt;&lt;b&gt;School &lt;/b&gt;transmutation [sonic]; &lt;b&gt;Level &lt;/b&gt;druid 4, ranger 3, sorcerer/wizard 3, witch 4&lt;/h5&gt;&lt;/div&gt;&lt;hr/&gt;&lt;div&gt;&lt;h5&gt;&lt;b&gt;CASTING&lt;/b&gt;&lt;/h5&gt;&lt;/div&gt;&lt;hr/&gt;&lt;div&gt;&lt;h5&gt;&lt;b&gt;Casting Time &lt;/b&gt;1 standard action&lt;/h5&gt;&lt;h5&gt;&lt;b&gt;Components &lt;/b&gt;V, S, M (handful of snow, earth, or gravel)&lt;/h5&gt;&lt;/div&gt;&lt;hr/&gt;&lt;div&gt;&lt;h5&gt;&lt;b&gt;EFFECT&lt;/b&gt;&lt;/h5&gt;&lt;/div&gt;&lt;hr/&gt;&lt;div&gt;&lt;h5&gt;&lt;b&gt;Range &lt;/b&gt;close (25 ft. + 5ft./2 levels)&lt;/h5&gt;&lt;h5&gt;&lt;b&gt;Effect &lt;/b&gt;1-ft.-thick wall up to 10 ft. high by 20 ft. wide&lt;/h5&gt;&lt;h5&gt;&lt;b&gt;Duration &lt;/b&gt;concentration, up to 1 round/2 levels&lt;/h5&gt;&lt;h5&gt;&lt;b&gt;Saving Throw &lt;/b&gt;Reflex half (see below); &lt;b&gt;Spell Resistance &lt;/b&gt;yes (see below)&lt;/h5&gt;&lt;/div&gt;&lt;hr/&gt;&lt;div&gt;&lt;h5&gt;&lt;b&gt;DESCRIPTION&lt;/b&gt;&lt;/h5&gt;&lt;/div&gt;&lt;hr/&gt;&lt;div&gt;&lt;h4&gt;&lt;p&gt;Originally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shape.&lt;/p&gt;&lt;p&gt;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well.&lt;/p&gt;&lt;p&gt;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approached.&lt;/p&gt;&lt;/h4&gt;&lt;/div&gt;</t>
  </si>
  <si>
    <t>Call Weapon</t>
  </si>
  <si>
    <t>bard 1, magus 1, ranger 1</t>
  </si>
  <si>
    <t>30 feet</t>
  </si>
  <si>
    <t>one melee weapon wielded by an ally</t>
  </si>
  <si>
    <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  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  If the ally targeted for this spell is unwilling to give up her weapon, the spell fails. An unconscious or dying ally is considered a "willing" target so long as the weapon to be called is still in contact with the ally's body.</t>
  </si>
  <si>
    <t>&lt;p&gt;This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beyond.&lt;/p&gt;&lt;p&gt;When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spell.&lt;/p&gt;&lt;p&gt;If the ally targeted for this spell is unwilling to give up her weapon, the spell fails. An unconscious or dying ally is considered a "willing" target so long as the weapon to be called is still in contact with the ally's body.&lt;/p&gt;</t>
  </si>
  <si>
    <t>&lt;link rel="stylesheet"href="PF.css"&gt;&lt;div class="heading"&gt;&lt;p class="alignleft"&gt;Call Weapon&lt;/p&gt;&lt;div style="clear: both;"&gt;&lt;/div&gt;&lt;/div&gt;&lt;div&gt;&lt;h5&gt;&lt;b&gt;School &lt;/b&gt;transmutation; &lt;b&gt;Level &lt;/b&gt;bard 1, magus 1, ranger 1&lt;/h5&gt;&lt;/div&gt;&lt;hr/&gt;&lt;div&gt;&lt;h5&gt;&lt;b&gt;CASTING&lt;/b&gt;&lt;/h5&gt;&lt;/div&gt;&lt;hr/&gt;&lt;div&gt;&lt;h5&gt;&lt;b&gt;Casting Time &lt;/b&gt;1 swift action&lt;/h5&gt;&lt;h5&gt;&lt;b&gt;Components &lt;/b&gt;V, S&lt;/h5&gt;&lt;/div&gt;&lt;hr/&gt;&lt;div&gt;&lt;h5&gt;&lt;b&gt;EFFECT&lt;/b&gt;&lt;/h5&gt;&lt;/div&gt;&lt;hr/&gt;&lt;div&gt;&lt;h5&gt;&lt;b&gt;Range &lt;/b&gt;30 feet&lt;/h5&gt;&lt;h5&gt;&lt;b&gt;Targets &lt;/b&gt;one melee weapon wielded by an ally&lt;/h5&gt;&lt;h5&gt;&lt;b&gt;Duration &lt;/b&gt;instantaneous&lt;/h5&gt;&lt;/div&gt;&lt;hr/&gt;&lt;div&gt;&lt;h5&gt;&lt;b&gt;DESCRIPTION&lt;/b&gt;&lt;/h5&gt;&lt;/div&gt;&lt;hr/&gt;&lt;div&gt;&lt;h4&gt;&lt;p&gt;This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beyond.&lt;/p&gt;&lt;p&gt;When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spell.&lt;/p&gt;&lt;p&gt;If the ally targeted for this spell is unwilling to give up her weapon, the spell fails. An unconscious or dying ally is considered a "willing" target so long as the weapon to be called is still in contact with the ally's body.&lt;/p&gt;&lt;/h4&gt;&lt;/div&gt;</t>
  </si>
  <si>
    <t>Crusader's Edge</t>
  </si>
  <si>
    <t>cleric/oracle 4, inquisitor 4, paladin 4</t>
  </si>
  <si>
    <t>V, S, M (dried blood from an evil outsider, sprinkled on the weapon)</t>
  </si>
  <si>
    <t>This spell was created by the paladins of the Mendevian Crusades, and co-opted by inquisitors and rangers dedicated to tracking and fighting demons, devils, and other evil extraplanar creatures.  When you cast this spell on a melee weapon you imbue it with a powerful holy energy, granting the weapon the bane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t>
  </si>
  <si>
    <t>&lt;p&gt;This spell was created by the paladins of the Mendevian Crusades, and co-opted by inquisitors and rangers dedicated to tracking and fighting demons, devils, and other evil extraplanar creatures.&lt;/p&gt;&lt;p&gt;When you cast this spell on a melee weapon you imbue it with a powerful &lt;i&gt;holy&lt;/i&gt; energy, granting the weapon the &lt;i&gt;bane&lt;/i&gt;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save.&lt;/p&gt;</t>
  </si>
  <si>
    <t>&lt;link rel="stylesheet"href="PF.css"&gt;&lt;div class="heading"&gt;&lt;p class="alignleft"&gt;Crusader's Edge&lt;/p&gt;&lt;div style="clear: both;"&gt;&lt;/div&gt;&lt;/div&gt;&lt;div&gt;&lt;h5&gt;&lt;b&gt;School &lt;/b&gt;transmutation [good]; &lt;b&gt;Level &lt;/b&gt;cleric/oracle 4, inquisitor 4, paladin 4&lt;/h5&gt;&lt;/div&gt;&lt;hr/&gt;&lt;div&gt;&lt;h5&gt;&lt;b&gt;CASTING&lt;/b&gt;&lt;/h5&gt;&lt;/div&gt;&lt;hr/&gt;&lt;div&gt;&lt;h5&gt;&lt;b&gt;Casting Time &lt;/b&gt;1 standard action&lt;/h5&gt;&lt;h5&gt;&lt;b&gt;Components &lt;/b&gt;V, S, M (dried blood from an evil outsider, sprinkled on the weapon)&lt;/h5&gt;&lt;/div&gt;&lt;hr/&gt;&lt;div&gt;&lt;h5&gt;&lt;b&gt;EFFECT&lt;/b&gt;&lt;/h5&gt;&lt;/div&gt;&lt;hr/&gt;&lt;div&gt;&lt;h5&gt;&lt;b&gt;Range &lt;/b&gt;touch&lt;/h5&gt;&lt;h5&gt;&lt;b&gt;Targets &lt;/b&gt;melee weapon touched&lt;/h5&gt;&lt;h5&gt;&lt;b&gt;Duration &lt;/b&gt;1 minute/level&lt;/h5&gt;&lt;h5&gt;&lt;b&gt;Saving Throw &lt;/b&gt;Fortitude negates; &lt;b&gt;Spell Resistance &lt;/b&gt;no&lt;/h5&gt;&lt;/div&gt;&lt;hr/&gt;&lt;div&gt;&lt;h5&gt;&lt;b&gt;DESCRIPTION&lt;/b&gt;&lt;/h5&gt;&lt;/div&gt;&lt;hr/&gt;&lt;div&gt;&lt;h4&gt;&lt;p&gt;This spell was created by the paladins of the Mendevian Crusades, and co-opted by inquisitors and rangers dedicated to tracking and fighting demons, devils, and other evil extraplanar creatures.&lt;/p&gt;&lt;p&gt;When you cast this spell on a melee weapon you imbue it with a powerful &lt;i&gt;holy&lt;/i&gt; energy, granting the weapon the &lt;i&gt;bane&lt;/i&gt;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save.&lt;/p&gt;&lt;/h4&gt;&lt;h5&gt;&lt;b&gt;Mythic: &lt;/b&gt;Whenever you confirm a critical hit against an outsider with theevil subtype, you gain 2d6 temporary hit points. While wieldingthis weapon, you gain a +2 sacred bonus on saving throwsagainst spells, spell-like abilities, and special abilities originatingfrom evil outsiders.&lt;/h5&gt;&lt;h5&gt;&lt;b&gt;Augmented (5th)&lt;/b&gt;: You can expend two uses of mythic powerto give the touched weapon the holy weapon special ability.&lt;/h5&gt;&lt;/div&gt;</t>
  </si>
  <si>
    <t>Whenever you confirm a critical hit against an outsider with theevil subtype, you gain 2d6 temporary hit points. While wieldingthis weapon, you gain a +2 sacred bonus on saving throwsagainst spells, spell-like abilities, and special abilities originatingfrom evil outsiders.</t>
  </si>
  <si>
    <t>Augmented (5th): You can expend two uses of mythic powerto give the touched weapon the holy weapon special ability.</t>
  </si>
  <si>
    <t>Eaglesoul</t>
  </si>
  <si>
    <t>cleric/oracle 6, paladin 4, summoner 5</t>
  </si>
  <si>
    <t>V, S, M (vellum inscribed with good outsider's name)</t>
  </si>
  <si>
    <t>1 hour/level (see below)</t>
  </si>
  <si>
    <t>As the Inner Sea's bravest men and women answered the call of what became the Second Mendevian Crusade, constructing the wardstones that eventually kept the brutal chaos of the Worldwound at bay, they realized that they needed help beyond traditional magics. Legends say that the first eaglesoul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 When you cast this spell, you reach into the great beyond and beseech a good-aligned outsider for their aid against evil. The outsider infuses a small portion of its own power into you, making you a powerful force for good. You gain a +2 morale bonus on all Perception checks made against evil creatures, a +2 bonus on Initiative checks, and detect evil as a constant spell-like ability. In addition, once during the spell's duration you can call forth a surge of holy power when fighting an evil creature. Doing so is a swift action that shortens the spell's remaining duration so that its remaining hours of duration become rounds of duration. For the rest of this duration, the surge of power grants you the following benefits: • A +2 sacred bonus to AC • A +4 sacred bonus to Strength • Resistance 5 to acid and fire • A +5 sacred bonus on all Intimidate checks made against evil creatures • Fast healing 2 • Any critical threat roll made against an evil creature with a weapon you wield is automatically confirmed. 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 Nongood spellcasters can cast this spell, but doing so causes them to be sickened (for spellcasters who are neither good nor evil) or staggered (for spellcasters who are evil) for the spell's duration.</t>
  </si>
  <si>
    <t>&lt;p&gt;As the Inner Sea's bravest men and women answered the call of what became the Second Mendevian Crusade, constructing the &lt;i&gt;wardstones&lt;/i&gt; that eventually kept the brutal chaos of the Worldwound at bay, they realized that they needed help beyond traditional magics.&lt;/p&gt;&lt;p&gt;Legends say that the first &lt;i&gt;eaglesoul&lt;/i&gt;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region.&lt;/p&gt;&lt;p&gt;When you cast this spell, you reach into the great beyond and beseech a good-aligned outsider for their aid against evil.&lt;/p&gt;&lt;p&gt;The outsider infuses a small portion of its own power into you, making you a powerful force for good. You gain a +2 morale bonus on all Perception checks made against evil creatures, a +2 bonus on Initiative checks, and &lt;i&gt;detect evil&lt;/i&gt; as a constant spell-like ability.&lt;/p&gt;&lt;p&gt;In addition, once during the spell's duration you can call forth a surge of holy power when fighting an evil creature.&lt;/p&gt;&lt;p&gt;Doing so is a swift action that shortens the spell's remaining duration so that its remaining hours of duration become rounds of duration. For the rest of this duration, the surge of power grants you the following benefits: &lt;ul&gt;&lt;li&gt; A +2 sacred bonus to AC &lt;li&gt; A +4 sacred bonus to Strength &lt;li&gt; Resistance 5 to acid and fire &lt;li&gt; A +5 sacred bonus on all Intimidate checks made against evil creatures &lt;li&gt; Fast healing 2 &lt;li&gt; Any critical threat roll made against an evil creature with a weapon you wield is automatically confirmed.&lt;/p&gt;&lt;p&gt;Although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action.&lt;/p&gt;&lt;p&gt;Nongood spellcasters can cast this spell, but doing so causes them to be sickened (for spellcasters who are neither good nor evil) or staggered (for spellcasters who are evil) for the spell's duration.&lt;/ul&gt;&lt;/p&gt;</t>
  </si>
  <si>
    <t>&lt;link rel="stylesheet"href="PF.css"&gt;&lt;div class="heading"&gt;&lt;p class="alignleft"&gt;Eaglesoul&lt;/p&gt;&lt;div style="clear: both;"&gt;&lt;/div&gt;&lt;/div&gt;&lt;div&gt;&lt;h5&gt;&lt;b&gt;School &lt;/b&gt;conjuration (summoning) [good]; &lt;b&gt;Level &lt;/b&gt;cleric/oracle 6, paladin 4, summoner 5&lt;/h5&gt;&lt;/div&gt;&lt;hr/&gt;&lt;div&gt;&lt;h5&gt;&lt;b&gt;CASTING&lt;/b&gt;&lt;/h5&gt;&lt;/div&gt;&lt;hr/&gt;&lt;div&gt;&lt;h5&gt;&lt;b&gt;Casting Time &lt;/b&gt;1 standard action&lt;/h5&gt;&lt;h5&gt;&lt;b&gt;Components &lt;/b&gt;V, S, M (vellum inscribed with good outsider's name)&lt;/h5&gt;&lt;/div&gt;&lt;hr/&gt;&lt;div&gt;&lt;h5&gt;&lt;b&gt;EFFECT&lt;/b&gt;&lt;/h5&gt;&lt;/div&gt;&lt;hr/&gt;&lt;div&gt;&lt;h5&gt;&lt;b&gt;Range &lt;/b&gt;personal&lt;/h5&gt;&lt;h5&gt;&lt;b&gt;Targets &lt;/b&gt;you&lt;/h5&gt;&lt;h5&gt;&lt;b&gt;Duration &lt;/b&gt;1 hour/level (see below)&lt;/h5&gt;&lt;/div&gt;&lt;hr/&gt;&lt;div&gt;&lt;h5&gt;&lt;b&gt;DESCRIPTION&lt;/b&gt;&lt;/h5&gt;&lt;/div&gt;&lt;hr/&gt;&lt;div&gt;&lt;h4&gt;&lt;p&gt;As the Inner Sea's bravest men and women answered the call of what became the Second Mendevian Crusade, constructing the &lt;i&gt;wardstones&lt;/i&gt; that eventually kept the brutal chaos of the Worldwound at bay, they realized that they needed help beyond traditional magics.&lt;/p&gt;&lt;p&gt;Legends say that the first &lt;i&gt;eaglesoul&lt;/i&gt;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region.&lt;/p&gt;&lt;p&gt;When you cast this spell, you reach into the great beyond and beseech a good-aligned outsider for their aid against evil.&lt;/p&gt;&lt;p&gt;The outsider infuses a small portion of its own power into you, making you a powerful force for good. You gain a +2 morale bonus on all Perception checks made against evil creatures, a +2 bonus on Initiative checks, and &lt;i&gt;detect evil&lt;/i&gt; as a constant spell-like ability.&lt;/p&gt;&lt;p&gt;In addition, once during the spell's duration you can call forth a surge of holy power when fighting an evil creature.&lt;/p&gt;&lt;p&gt;Doing so is a swift action that shortens the spell's remaining duration so that its remaining hours of duration become rounds of duration. For the rest of this duration, the surge of power grants you the following benefits: &lt;ul&gt;&lt;li&gt; A +2 sacred bonus to AC &lt;li&gt; A +4 sacred bonus to Strength &lt;li&gt; Resistance 5 to acid and fire &lt;li&gt; A +5 sacred bonus on all Intimidate checks made against evil creatures &lt;li&gt; Fast healing 2 &lt;li&gt; Any critical threat roll made against an evil creature with a weapon you wield is automatically confirmed.&lt;/ul&gt;&lt;/p&gt;&lt;p&gt;Although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action.&lt;/p&gt;&lt;p&gt;Nongood spellcasters can cast this spell, but doing so causes them to be sickened (for spellcasters who are neither good nor evil) or staggered (for spellcasters who are evil) for the spell's duration.&lt;/p&gt;&lt;/h4&gt;&lt;/div&gt;</t>
  </si>
  <si>
    <t>Eldritch Conduit</t>
  </si>
  <si>
    <t>V, S, M (a small mirror)</t>
  </si>
  <si>
    <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  If the target of this spell fails to resist its effects with a Will save, he becomes outlined in faint radiance, as if via faerie fire. At any time before the eldritch conduit expires, you may cast another spell with an area effect of cone, cylinder, line, or sphere and use the subject of the eldritch conduit as the point of origin for that spell. Doing so ends the spell immediately. The target must be within close range (25 feet + 5 feet/2 levels) in order for you to use the conduit-if the target moves out of range, the eldritch conduit effect persists but cannot be utilized by you until you get back within range.</t>
  </si>
  <si>
    <t>&lt;p&gt;Originally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tactics.&lt;/p&gt;&lt;p&gt;If the target of this spell fails to resist its effects with a Will save, he becomes outlined in faint radiance, as if via &lt;i&gt;faerie fire&lt;/i&gt;. At any time before the &lt;i&gt;eldritch conduit&lt;/i&gt; expires, you may cast another spell with an area effect of cone, cylinder, line, or sphere and use the subject of the &lt;i&gt;eldritch conduit&lt;/i&gt; as the point of origin for that spell. Doing so ends the spell immediately. The target must be within close range (25 feet + 5 feet/2 levels) in order for you to use the conduit-if the target moves out of range, the &lt;i&gt;eldritch conduit&lt;/i&gt; effect persists but cannot be utilized by you until you get back within range.&lt;/p&gt;</t>
  </si>
  <si>
    <t>&lt;link rel="stylesheet"href="PF.css"&gt;&lt;div class="heading"&gt;&lt;p class="alignleft"&gt;Eldritch Conduit&lt;/p&gt;&lt;div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small mirror)&lt;/h5&gt;&lt;/div&gt;&lt;hr/&gt;&lt;div&gt;&lt;h5&gt;&lt;b&gt;EFFECT&lt;/b&gt;&lt;/h5&gt;&lt;/div&gt;&lt;hr/&gt;&lt;div&gt;&lt;h5&gt;&lt;b&gt;Range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tactics.&lt;/p&gt;&lt;p&gt;If the target of this spell fails to resist its effects with a Will save, he becomes outlined in faint radiance, as if via &lt;i&gt;faerie fire&lt;/i&gt;. At any time before the &lt;i&gt;eldritch conduit&lt;/i&gt; expires, you may cast another spell with an area effect of cone, cylinder, line, or sphere and use the subject of the &lt;i&gt;eldritch conduit&lt;/i&gt; as the point of origin for that spell. Doing so ends the spell immediately. The target must be within close range (25 feet + 5 feet/2 levels) in order for you to use the conduit-if the target moves out of range, the &lt;i&gt;eldritch conduit&lt;/i&gt; effect persists but cannot be utilized by you until you get back within range.&lt;/p&gt;&lt;/h4&gt;&lt;/div&gt;</t>
  </si>
  <si>
    <t>Eldritch Conduit, Greater</t>
  </si>
  <si>
    <t>This spell functions like eldritch conduit save for the differences listed above and that the target must be within medium range (100 ft. + 10 ft./level) in order for you to use the conduit. Using a creature as a conduit for a spell ends the greater eldritch conduit effect on that creature, but does not end the effect for other eldritch conduits.</t>
  </si>
  <si>
    <t>&lt;p&gt;This spell functions like &lt;i&gt;eldritch conduit&lt;/i&gt; save for the differences listed above and that the target must be within medium range (100 ft. + 10 ft./level) in order for you to use the conduit. Using a creature as a conduit for a spell ends the greater &lt;i&gt;eldritch conduit&lt;/i&gt; effect on that creature, but does not end the effect for other &lt;i&gt;eldritch conduit&lt;/i&gt;s.&lt;/p&gt;</t>
  </si>
  <si>
    <t>&lt;link rel="stylesheet"href="PF.css"&gt;&lt;div class="heading"&gt;&lt;p class="alignleft"&gt;Eldritch Conduit, Greater&lt;/p&gt;&lt;div style="clear: both;"&gt;&lt;/div&gt;&lt;/div&gt;&lt;div&gt;&lt;h5&gt;&lt;b&gt;School &lt;/b&gt;transmutation; &lt;b&gt;Level &lt;/b&gt;sorcerer/wizard 6, witch 6&lt;/h5&gt;&lt;/div&gt;&lt;hr/&gt;&lt;div&gt;&lt;h5&gt;&lt;b&gt;CASTING&lt;/b&gt;&lt;/h5&gt;&lt;/div&gt;&lt;hr/&gt;&lt;div&gt;&lt;h5&gt;&lt;b&gt;Casting Time &lt;/b&gt;1 standard action&lt;/h5&gt;&lt;h5&gt;&lt;b&gt;Components &lt;/b&gt;V, S, M (a small mirror)&lt;/h5&gt;&lt;/div&gt;&lt;hr/&gt;&lt;div&gt;&lt;h5&gt;&lt;b&gt;EFFECT&lt;/b&gt;&lt;/h5&gt;&lt;/div&gt;&lt;hr/&gt;&lt;div&gt;&lt;h5&gt;&lt;b&gt;Range &lt;/b&gt;medium (100 ft. + 10 ft./level)&lt;/h5&gt;&lt;h5&gt;&lt;b&gt;Area &lt;/b&gt;one creature/level, no two of which can be more than 30 ft. apart&lt;/h5&gt;&lt;h5&gt;&lt;b&gt;Duration &lt;/b&gt;1 minute/level&lt;/h5&gt;&lt;h5&gt;&lt;b&gt;Saving Throw &lt;/b&gt;Will negates; &lt;b&gt;Spell Resistance &lt;/b&gt;yes&lt;/h5&gt;&lt;/div&gt;&lt;hr/&gt;&lt;div&gt;&lt;h5&gt;&lt;b&gt;DESCRIPTION&lt;/b&gt;&lt;/h5&gt;&lt;/div&gt;&lt;hr/&gt;&lt;div&gt;&lt;h4&gt;&lt;p&gt;This spell functions like &lt;i&gt;eldritch conduit&lt;/i&gt; save for the differences listed above and that the target must be within medium range (100 ft. + 10 ft./level) in order for you to use the conduit. Using a creature as a conduit for a spell ends the greater &lt;i&gt;eldritch conduit&lt;/i&gt; effect on that creature, but does not end the effect for other &lt;i&gt;eldritch conduit&lt;/i&gt;s.&lt;/p&gt;&lt;/h4&gt;&lt;/div&gt;</t>
  </si>
  <si>
    <t>Fleshcurdle</t>
  </si>
  <si>
    <t>V, S, M (scrap of pickled flesh)</t>
  </si>
  <si>
    <t>one living or undead creature</t>
  </si>
  <si>
    <t>You warp the target creature's flesh, discoloring it and causing it to become misshapen and impairing its function. When you cast this spell, you must choose one of three types of effects to inflict on the target-movement, attacks, or defense.  Attacks: One of the creature's natural attacks takes a -2 penalty on attack and damage rolls, only scores a critical hit on a natural 20, and only deals x2 damage on a confirmed critical hit.  Defense: The creature's natural armor bonus decreases by -4, to a minimum bonus of +0.  Movement: One of the creature's movement speeds (chosen by you) is halved.  Most undead are susceptible to fleshcurdle, but amorphous creatures and creatures without flesh are immune (such as elementals, oozes, plants, gaseous or incorporeal creatures, and skeletons).</t>
  </si>
  <si>
    <t>&lt;p&gt;You warp the target creature's flesh, discoloring it and causing it to become misshapen and impairing its function. When you cast this spell, you must choose one of three types of effects to inflict on the target-movement, attacks, or defense.&lt;/p&gt;&lt;p&gt;&lt;i&gt;Attacks&lt;/i&gt;: One of the creature's natural attacks takes a -2 penalty on attack and damage rolls, only scores a critical hit on a natural 20, and only deals x2 damage on a confirmed critical hit.&lt;/p&gt;&lt;p&gt;&lt;i&gt;Defense&lt;/i&gt;: The creature's natural armor bonus decreases by -4, to a minimum bonus of +0.&lt;/p&gt;&lt;p&gt;&lt;i&gt;Movement&lt;/i&gt;: One of the creature's movement speeds (chosen by you) is halved.&lt;/p&gt;&lt;p&gt;Most undead are susceptible to &lt;i&gt;fleshcurdle&lt;/i&gt;, but amorphous creatures and creatures without flesh are immune (such as elementals, oozes, plants, gaseous or incorporeal creatures, and skeletons).&lt;/p&gt;</t>
  </si>
  <si>
    <t>&lt;link rel="stylesheet"href="PF.css"&gt;&lt;div class="heading"&gt;&lt;p class="alignleft"&gt;Fleshcurdle&lt;/p&gt;&lt;div style="clear: both;"&gt;&lt;/div&gt;&lt;/div&gt;&lt;div&gt;&lt;h5&gt;&lt;b&gt;School &lt;/b&gt;transmutation (polymorph); &lt;b&gt;Level &lt;/b&gt;sorcerer/wizard 2&lt;/h5&gt;&lt;/div&gt;&lt;hr/&gt;&lt;div&gt;&lt;h5&gt;&lt;b&gt;CASTING&lt;/b&gt;&lt;/h5&gt;&lt;/div&gt;&lt;hr/&gt;&lt;div&gt;&lt;h5&gt;&lt;b&gt;Casting Time &lt;/b&gt;1 standard action&lt;/h5&gt;&lt;h5&gt;&lt;b&gt;Components &lt;/b&gt;V, S, M (scrap of pickled flesh)&lt;/h5&gt;&lt;/div&gt;&lt;hr/&gt;&lt;div&gt;&lt;h5&gt;&lt;b&gt;EFFECT&lt;/b&gt;&lt;/h5&gt;&lt;/div&gt;&lt;hr/&gt;&lt;div&gt;&lt;h5&gt;&lt;b&gt;Range &lt;/b&gt;close (25 ft. + 5 ft./2 levels)&lt;/h5&gt;&lt;h5&gt;&lt;b&gt;Targets &lt;/b&gt;one living or undead creature&lt;/h5&gt;&lt;h5&gt;&lt;b&gt;Duration &lt;/b&gt;1 round/level&lt;/h5&gt;&lt;h5&gt;&lt;b&gt;Saving Throw &lt;/b&gt;Fortitude negates; &lt;b&gt;Spell Resistance &lt;/b&gt;yes&lt;/h5&gt;&lt;/div&gt;&lt;hr/&gt;&lt;div&gt;&lt;h5&gt;&lt;b&gt;DESCRIPTION&lt;/b&gt;&lt;/h5&gt;&lt;/div&gt;&lt;hr/&gt;&lt;div&gt;&lt;h4&gt;&lt;p&gt;You warp the target creature's flesh, discoloring it and causing it to become misshapen and impairing its function. When you cast this spell, you must choose one of three types of effects to inflict on the target-movement, attacks, or defense.&lt;/p&gt;&lt;p&gt;&lt;i&gt;Attacks&lt;/i&gt;: One of the creature's natural attacks takes a -2 penalty on attack and damage rolls, only scores a critical hit on a natural 20, and only deals x2 damage on a confirmed critical hit.&lt;/p&gt;&lt;p&gt;&lt;i&gt;Defense&lt;/i&gt;: The creature's natural armor bonus decreases by -4, to a minimum bonus of +0.&lt;/p&gt;&lt;p&gt;&lt;i&gt;Movement&lt;/i&gt;: One of the creature's movement speeds (chosen by you) is halved.&lt;/p&gt;&lt;p&gt;Most undead are susceptible to &lt;i&gt;fleshcurdle&lt;/i&gt;, but amorphous creatures and creatures without flesh are immune (such as elementals, oozes, plants, gaseous or incorporeal creatures, and skeletons).&lt;/p&gt;&lt;/h4&gt;&lt;h5&gt;&lt;b&gt;Mythic: &lt;/b&gt;You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halved.&lt;/h5&gt;&lt;h5&gt;&lt;b&gt;Augmented (6th)&lt;/b&gt;: If you expend two uses of mythic power,you can choose two enhanced effects to inflict upon the target.&lt;/h5&gt;&lt;/div&gt;</t>
  </si>
  <si>
    <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t>
  </si>
  <si>
    <t>Augmented (6th): If you expend two uses of mythic power,you can choose two enhanced effects to inflict upon the target.</t>
  </si>
  <si>
    <t>Forceful Strike</t>
  </si>
  <si>
    <t>cleric/oracle 4, inquisitor 4, magus 4, paladin 4</t>
  </si>
  <si>
    <t>touch or reach of melee weapon</t>
  </si>
  <si>
    <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t>
  </si>
  <si>
    <t>&lt;p&gt;You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effect.&lt;/p&gt;</t>
  </si>
  <si>
    <t>&lt;link rel="stylesheet"href="PF.css"&gt;&lt;div class="heading"&gt;&lt;p class="alignleft"&gt;Forceful Strike&lt;/p&gt;&lt;div style="clear: both;"&gt;&lt;/div&gt;&lt;/div&gt;&lt;div&gt;&lt;h5&gt;&lt;b&gt;School &lt;/b&gt;evocation [force]; &lt;b&gt;Level &lt;/b&gt;cleric/oracle 4, inquisitor 4, magus 4, paladin 4&lt;/h5&gt;&lt;/div&gt;&lt;hr/&gt;&lt;div&gt;&lt;h5&gt;&lt;b&gt;CASTING&lt;/b&gt;&lt;/h5&gt;&lt;/div&gt;&lt;hr/&gt;&lt;div&gt;&lt;h5&gt;&lt;b&gt;Casting Time &lt;/b&gt;1 swift action&lt;/h5&gt;&lt;h5&gt;&lt;b&gt;Components &lt;/b&gt;V, S&lt;/h5&gt;&lt;/div&gt;&lt;hr/&gt;&lt;div&gt;&lt;h5&gt;&lt;b&gt;EFFECT&lt;/b&gt;&lt;/h5&gt;&lt;/div&gt;&lt;hr/&gt;&lt;div&gt;&lt;h5&gt;&lt;b&gt;Range &lt;/b&gt;touch or reach of melee weapon&lt;/h5&gt;&lt;h5&gt;&lt;b&gt;Targets &lt;/b&gt;1 creature&lt;/h5&gt;&lt;h5&gt;&lt;b&gt;Duration &lt;/b&gt;instantaneous&lt;/h5&gt;&lt;h5&gt;&lt;b&gt;Saving Throw &lt;/b&gt;Fortitude partial; &lt;b&gt;Spell Resistance &lt;/b&gt;yes&lt;/h5&gt;&lt;/div&gt;&lt;hr/&gt;&lt;div&gt;&lt;h5&gt;&lt;b&gt;DESCRIPTION&lt;/b&gt;&lt;/h5&gt;&lt;/div&gt;&lt;hr/&gt;&lt;div&gt;&lt;h4&gt;&lt;p&gt;You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effect.&lt;/p&gt;&lt;/h4&gt;&lt;/div&gt;</t>
  </si>
  <si>
    <t>Geb's Hammer</t>
  </si>
  <si>
    <t>sorcerer/wizard 4, witch 4</t>
  </si>
  <si>
    <t>V, S, M (a leather glove coated in dried embalming herbs)</t>
  </si>
  <si>
    <t>sphere of undead remains composed of 3 or more destroyed undead</t>
  </si>
  <si>
    <t>Centuries of war with Nex trained the necromancers of Geb to extract every last resource from the mindless undead that make up most of Geb's rank-and-file troops.  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  Undead that have been destroyed by positive energy or a similar effect that does not leave a corpse, like a disintegrate spell, cannot be used to form Geb's hammer.</t>
  </si>
  <si>
    <t>&lt;p&gt;Centuries of war with Nex trained the necromancers of Geb to extract every last resource from the mindless undead that make up most of Geb's rank-and-file troops.&lt;/p&gt;&lt;p&gt;When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damage).&lt;/p&gt;&lt;p&gt;Geb's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x3.&lt;/p&gt;&lt;p&gt;Undead that have been destroyed by positive energy or a similar effect that does not leave a corpse, like a &lt;i&gt;disintegrate&lt;/i&gt; spell, cannot be used to form Geb's hammer.&lt;/p&gt;</t>
  </si>
  <si>
    <t>&lt;link rel="stylesheet"href="PF.css"&gt;&lt;div class="heading"&gt;&lt;p class="alignleft"&gt;Geb's Hammer&lt;/p&gt;&lt;div style="clear: both;"&gt;&lt;/div&gt;&lt;/div&gt;&lt;div&gt;&lt;h5&gt;&lt;b&gt;School &lt;/b&gt;necromancy; &lt;b&gt;Level &lt;/b&gt;sorcerer/wizard 4, witch 4&lt;/h5&gt;&lt;/div&gt;&lt;hr/&gt;&lt;div&gt;&lt;h5&gt;&lt;b&gt;CASTING&lt;/b&gt;&lt;/h5&gt;&lt;/div&gt;&lt;hr/&gt;&lt;div&gt;&lt;h5&gt;&lt;b&gt;Casting Time &lt;/b&gt;1 standard action&lt;/h5&gt;&lt;h5&gt;&lt;b&gt;Components &lt;/b&gt;V, S, M (a leather glove coated in dried embalming herbs)&lt;/h5&gt;&lt;/div&gt;&lt;hr/&gt;&lt;div&gt;&lt;h5&gt;&lt;b&gt;EFFECT&lt;/b&gt;&lt;/h5&gt;&lt;/div&gt;&lt;hr/&gt;&lt;div&gt;&lt;h5&gt;&lt;b&gt;Range &lt;/b&gt;close (25 ft. + 5 ft./2 levels)&lt;/h5&gt;&lt;h5&gt;&lt;b&gt;Effect &lt;/b&gt;sphere of undead remains composed of 3 or more destroyed undead&lt;/h5&gt;&lt;h5&gt;&lt;b&gt;Duration &lt;/b&gt;1 round/level&lt;/h5&gt;&lt;h5&gt;&lt;b&gt;Saving Throw &lt;/b&gt;none; &lt;b&gt;Spell Resistance &lt;/b&gt;yes&lt;/h5&gt;&lt;/div&gt;&lt;hr/&gt;&lt;div&gt;&lt;h5&gt;&lt;b&gt;DESCRIPTION&lt;/b&gt;&lt;/h5&gt;&lt;/div&gt;&lt;hr/&gt;&lt;div&gt;&lt;h4&gt;&lt;p&gt;Centuries of war with Nex trained the necromancers of Geb to extract every last resource from the mindless undead that make up most of Geb's rank-and-file troops.&lt;/p&gt;&lt;p&gt;When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damage).&lt;/p&gt;&lt;p&gt;Geb's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x3.&lt;/p&gt;&lt;p&gt;Undead that have been destroyed by positive energy or a similar effect that does not leave a corpse, like a &lt;i&gt;disintegrate&lt;/i&gt; spell, cannot be used to form Geb's hammer.&lt;/p&gt;&lt;/h4&gt;&lt;/div&gt;</t>
  </si>
  <si>
    <t>Geniekind</t>
  </si>
  <si>
    <t>cleric/oracle 5, druid 5, sorcerer/wizard 5, summoner 5</t>
  </si>
  <si>
    <t>V, S, M (a pinch of dust, embers, wind-blown sand or drops of water, depending on the genie type)</t>
  </si>
  <si>
    <t>Keleshite wizards and clerics have always sought to emulate the genies that they bind. The geniekind spell is the result of attempts to gain the power and influence of these proud outsiders without entirely forsaking the caster's own form.  Upon casting this spell, you must choose one type of genie to transform into, selecting from djinni, efreeti, marid, or shaitan. You retain your basic physical appearance but shift in some way to become more akin to the genie type you chose. While under the effects of geniekind,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  Djinni: You gain the ability to fly at a speed of 60 feet with perfect maneuverability. When flying, your lower torso trails away into a vortex of wind and smoke. You gain resist electricity 10.  Efreeti: Your flesh turns a deep red and you grow large horns on your head. Your unarmed strikes and any melee weapon you wield deal +1d6 points of fire damage. You gain resist fire 10.  Marid: Your flesh turns blue and you gain webbed fingers and toes. You gain a swim speed of 60 feet and can breathe water. You gain resist cold 10.  Shaitan: Your flesh gains the coloration of stone and your hair appears to be sculpted from fine crystals. You gain a burrow speed of 60 feet and resist acid 10.</t>
  </si>
  <si>
    <t>&lt;p&gt;Keleshite wizards and clerics have always sought to emulate the genies that they bind. The &lt;i&gt;geniekind&lt;/i&gt; spell is the result of attempts to gain the power and influence of these proud outsiders without entirely forsaking the caster's own form.&lt;/p&gt;&lt;p&gt;Upon casting this spell, you must choose one type of genie to transform into, selecting from djinni, efreeti, marid, or shaitan. You retain your basic physical appearance but shift in some way to become more akin to the genie type you chose. While under the effects of &lt;i&gt;geniekind&lt;/i&gt;,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below.&lt;/p&gt;&lt;p&gt;&lt;i&gt;Djinni&lt;/i&gt;: You gain the ability to fly at a speed of 60 feet with perfect maneuverability. When flying, your lower torso trails away into a vortex of wind and smoke. You gain resist electricity 10.&lt;/p&gt;&lt;p&gt;&lt;i&gt;Efreeti&lt;/i&gt;: Your flesh turns a deep red and you grow large horns on your head. Your unarmed strikes and any melee weapon you wield deal +1d6 points of fire damage. You gain resist fire 10.&lt;/p&gt;&lt;p&gt;&lt;i&gt;Marid&lt;/i&gt;: Your flesh turns blue and you gain webbed fingers and toes. You gain a swim speed of 60 feet and can breathe water. You gain resist cold 10.&lt;/p&gt;&lt;p&gt;&lt;i&gt;Shaitan&lt;/i&gt;: Your flesh gains the coloration of stone and your hair appears to be sculpted from fine crystals. You gain a burrow speed of 60 feet and resist acid 10.&lt;/p&gt;</t>
  </si>
  <si>
    <t>&lt;link rel="stylesheet"href="PF.css"&gt;&lt;div class="heading"&gt;&lt;p class="alignleft"&gt;Geniekind&lt;/p&gt;&lt;div style="clear: both;"&gt;&lt;/div&gt;&lt;/div&gt;&lt;div&gt;&lt;h5&gt;&lt;b&gt;School &lt;/b&gt;transmutation (polymorph); &lt;b&gt;Level &lt;/b&gt;cleric/oracle 5, druid 5, sorcerer/wizard 5, summoner 5&lt;/h5&gt;&lt;/div&gt;&lt;hr/&gt;&lt;div&gt;&lt;h5&gt;&lt;b&gt;CASTING&lt;/b&gt;&lt;/h5&gt;&lt;/div&gt;&lt;hr/&gt;&lt;div&gt;&lt;h5&gt;&lt;b&gt;Casting Time &lt;/b&gt;1 standard action&lt;/h5&gt;&lt;h5&gt;&lt;b&gt;Components &lt;/b&gt;V, S, M (a pinch of dust, embers, wind-blown sand or drops of water, depending on the genie type)&lt;/h5&gt;&lt;/div&gt;&lt;hr/&gt;&lt;div&gt;&lt;h5&gt;&lt;b&gt;EFFECT&lt;/b&gt;&lt;/h5&gt;&lt;/div&gt;&lt;hr/&gt;&lt;div&gt;&lt;h5&gt;&lt;b&gt;Range &lt;/b&gt;personal&lt;/h5&gt;&lt;h5&gt;&lt;b&gt;Targets &lt;/b&gt;you&lt;/h5&gt;&lt;h5&gt;&lt;b&gt;Duration &lt;/b&gt;1 round/level&lt;/h5&gt;&lt;/div&gt;&lt;hr/&gt;&lt;div&gt;&lt;h5&gt;&lt;b&gt;DESCRIPTION&lt;/b&gt;&lt;/h5&gt;&lt;/div&gt;&lt;hr/&gt;&lt;div&gt;&lt;h4&gt;&lt;p&gt;Keleshite wizards and clerics have always sought to emulate the genies that they bind. The &lt;i&gt;geniekind&lt;/i&gt; spell is the result of attempts to gain the power and influence of these proud outsiders without entirely forsaking the caster's own form.&lt;/p&gt;&lt;p&gt;Upon casting this spell, you must choose one type of genie to transform into, selecting from djinni, efreeti, marid, or shaitan. You retain your basic physical appearance but shift in some way to become more akin to the genie type you chose. While under the effects of &lt;i&gt;geniekind&lt;/i&gt;,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below.&lt;/p&gt;&lt;p&gt;&lt;i&gt;Djinni&lt;/i&gt;: You gain the ability to fly at a speed of 60 feet with perfect maneuverability. When flying, your lower torso trails away into a vortex of wind and smoke. You gain resist electricity 10.&lt;/p&gt;&lt;p&gt;&lt;i&gt;Efreeti&lt;/i&gt;: Your flesh turns a deep red and you grow large horns on your head. Your unarmed strikes and any melee weapon you wield deal +1d6 points of fire damage. You gain resist fire 10.&lt;/p&gt;&lt;p&gt;&lt;i&gt;Marid&lt;/i&gt;: Your flesh turns blue and you gain webbed fingers and toes. You gain a swim speed of 60 feet and can breathe water. You gain resist cold 10.&lt;/p&gt;&lt;p&gt;&lt;i&gt;Shaitan&lt;/i&gt;: Your flesh gains the coloration of stone and your hair appears to be sculpted from fine crystals. You gain a burrow speed of 60 feet and resist acid 10.&lt;/p&gt;&lt;/h4&gt;&lt;/div&gt;</t>
  </si>
  <si>
    <t>Hungry Darkness</t>
  </si>
  <si>
    <t>darkness, force</t>
  </si>
  <si>
    <t>V, S, M (a bat's tooth)</t>
  </si>
  <si>
    <t>60-ft.-radius spread</t>
  </si>
  <si>
    <t>This spell creates an area of intense blackness, as deeper darkness, but filled with unseen chewing teeth and ravenous maws. Any creatures beginning its turn within the hungry darkness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hungry darkness but not against the darkness it creates.</t>
  </si>
  <si>
    <t>&lt;p&gt;This spell creates an area of intense blackness, as &lt;i&gt;deeper darkness&lt;/i&gt;, but filled with unseen chewing teeth and ravenous maws. Any creatures beginning its turn within the &lt;i&gt;hungry darkness&lt;/i&gt;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&lt;i&gt;hungry darkness&lt;/i&gt; but not against the darkness it creates.&lt;/p&gt;</t>
  </si>
  <si>
    <t>&lt;link rel="stylesheet"href="PF.css"&gt;&lt;div class="heading"&gt;&lt;p class="alignleft"&gt;Hungry Darkness&lt;/p&gt;&lt;div style="clear: both;"&gt;&lt;/div&gt;&lt;/div&gt;&lt;div&gt;&lt;h5&gt;&lt;b&gt;School &lt;/b&gt;evocation [darkness, force]; &lt;b&gt;Level &lt;/b&gt;sorcerer/wizard 7&lt;/h5&gt;&lt;/div&gt;&lt;hr/&gt;&lt;div&gt;&lt;h5&gt;&lt;b&gt;CASTING&lt;/b&gt;&lt;/h5&gt;&lt;/div&gt;&lt;hr/&gt;&lt;div&gt;&lt;h5&gt;&lt;b&gt;Casting Time &lt;/b&gt;1 standard action&lt;/h5&gt;&lt;h5&gt;&lt;b&gt;Components &lt;/b&gt;V, S, M (a bat's tooth)&lt;/h5&gt;&lt;/div&gt;&lt;hr/&gt;&lt;div&gt;&lt;h5&gt;&lt;b&gt;EFFECT&lt;/b&gt;&lt;/h5&gt;&lt;/div&gt;&lt;hr/&gt;&lt;div&gt;&lt;h5&gt;&lt;b&gt;Range &lt;/b&gt;close (25 ft. + 5 ft./2 levels)&lt;/h5&gt;&lt;h5&gt;&lt;b&gt;Area &lt;/b&gt;60-ft.-radius spread&lt;/h5&gt;&lt;h5&gt;&lt;b&gt;Duration &lt;/b&gt;1 round/level (D)&lt;/h5&gt;&lt;h5&gt;&lt;b&gt;Saving Throw &lt;/b&gt;none; &lt;b&gt;Spell Resistance &lt;/b&gt;yes (see text)&lt;/h5&gt;&lt;/div&gt;&lt;hr/&gt;&lt;div&gt;&lt;h5&gt;&lt;b&gt;DESCRIPTION&lt;/b&gt;&lt;/h5&gt;&lt;/div&gt;&lt;hr/&gt;&lt;div&gt;&lt;h4&gt;&lt;p&gt;This spell creates an area of intense blackness, as &lt;i&gt;deeper darkness&lt;/i&gt;, but filled with unseen chewing teeth and ravenous maws. Any creatures beginning its turn within the &lt;i&gt;hungry darkness&lt;/i&gt;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&lt;i&gt;hungry darkness&lt;/i&gt; but not against the darkness it creates.&lt;/p&gt;&lt;/h4&gt;&lt;/div&gt;</t>
  </si>
  <si>
    <t>Hunter's Lore</t>
  </si>
  <si>
    <t>inquisitor 2, ranger 2</t>
  </si>
  <si>
    <t>V, S, M (a scrap of paper torn from a book about monsters)</t>
  </si>
  <si>
    <t>Inquisitors and rangers alike learned long ago that knowledge of an enemy grants power over that enemy. This spell was created so that almost any enemy could have its vulnerabilities known and exploited.  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t>
  </si>
  <si>
    <t>&lt;p&gt;Inquisitors and rangers alike learned long ago that knowledge of an enemy grants power over that enemy. This spell was created so that almost any enemy could have its vulnerabilities known and exploited.&lt;/p&gt;&lt;p&gt;For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checks.&lt;/p&gt;</t>
  </si>
  <si>
    <t>&lt;link rel="stylesheet"href="PF.css"&gt;&lt;div class="heading"&gt;&lt;p class="alignleft"&gt;Hunter's Lore&lt;/p&gt;&lt;div style="clear: both;"&gt;&lt;/div&gt;&lt;/div&gt;&lt;div&gt;&lt;h5&gt;&lt;b&gt;School &lt;/b&gt;divination; &lt;b&gt;Level &lt;/b&gt;inquisitor 2, ranger 2&lt;/h5&gt;&lt;/div&gt;&lt;hr/&gt;&lt;div&gt;&lt;h5&gt;&lt;b&gt;CASTING&lt;/b&gt;&lt;/h5&gt;&lt;/div&gt;&lt;hr/&gt;&lt;div&gt;&lt;h5&gt;&lt;b&gt;Casting Time &lt;/b&gt;1 standard action&lt;/h5&gt;&lt;h5&gt;&lt;b&gt;Components &lt;/b&gt;V, S, M (a scrap of paper torn from a book about monsters)&lt;/h5&gt;&lt;/div&gt;&lt;hr/&gt;&lt;div&gt;&lt;h5&gt;&lt;b&gt;EFFECT&lt;/b&gt;&lt;/h5&gt;&lt;/div&gt;&lt;hr/&gt;&lt;div&gt;&lt;h5&gt;&lt;b&gt;Range &lt;/b&gt;personal&lt;/h5&gt;&lt;h5&gt;&lt;b&gt;Targets &lt;/b&gt;you&lt;/h5&gt;&lt;h5&gt;&lt;b&gt;Duration &lt;/b&gt;1 minute/level&lt;/h5&gt;&lt;/div&gt;&lt;hr/&gt;&lt;div&gt;&lt;h5&gt;&lt;b&gt;DESCRIPTION&lt;/b&gt;&lt;/h5&gt;&lt;/div&gt;&lt;hr/&gt;&lt;div&gt;&lt;h4&gt;&lt;p&gt;Inquisitors and rangers alike learned long ago that knowledge of an enemy grants power over that enemy. This spell was created so that almost any enemy could have its vulnerabilities known and exploited.&lt;/p&gt;&lt;p&gt;For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checks.&lt;/p&gt;&lt;/h4&gt;&lt;/div&gt;</t>
  </si>
  <si>
    <t>Impart Mind</t>
  </si>
  <si>
    <t>cleric/oracle 6, magus 5, sorcerer/wizard 6</t>
  </si>
  <si>
    <t>V, S, M (diamond dust worth at least 1,000 gp)</t>
  </si>
  <si>
    <t>permanent nonintelligent magic item touched</t>
  </si>
  <si>
    <t>This spell grants the target magic item temporary intelligence by siphoning off a tiny portion of your own mind to infuse the object. Only permanent magic items may be enhanced by this spell-one-use items and charged items cannot be affected by impart mind. Intelligent magic items cannot be affected by impart mind.  When you cast impart mind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Core Rulebook.  An item made intelligent via impart mind communicates via speech and has normal senses to a range of 60 feet. It speaks and reads one language known by you-if you know multiple languages, you may choose which language the item knows.  When you cast impart mind on an item, roll once on Table 15-24 on page 534 of the Core Rulebook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  If you roll above 100, then you can choose one item power on Table 15-24 in the Core Rulebook to grant the item, and the item gains a special purpose. Roll once on Tables 15-25 and 15-26 on page 534 of the Core Rulebook to determine what the item's special purpose and dedicated powers are. These d% rolls are not modified by your caster level or any additional powdered gems you used to cast the spell.  Once this spell ends, the item reverts to its previous nature-if you cast this spell on the item again, it gains entirely different powers as determined by a new set of rolls.</t>
  </si>
  <si>
    <t>&lt;p&gt;This spell grants the target magic item temporary intelligence by siphoning off a tiny portion of your own mind to infuse the object. Only permanent magic items may be enhanced by this spell-one-use items and charged items cannot be affected by &lt;i&gt;impart mind&lt;/i&gt;. Intelligent magic items cannot be affected by &lt;i&gt;impart mind&lt;/i&gt;.&lt;/p&gt;&lt;p&gt;When you cast &lt;i&gt;impart mind&lt;/i&gt;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&lt;i&gt;Core Rulebook&lt;/i&gt;.&lt;/p&gt;&lt;p&gt;An item made intelligent via &lt;i&gt;impart mind&lt;/i&gt; communicates via speech and has normal senses to a range of 60 feet. It speaks and reads one language known by you-if you know multiple languages, you may choose which language the item knows.&lt;/p&gt;&lt;p&gt;When you cast &lt;i&gt;impart mind&lt;/i&gt; on an item, roll once on Table 15-24 on page 534 of the &lt;i&gt;Core Rulebook&lt;/i&gt;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rank.&lt;/p&gt;&lt;p&gt;If you roll above 100, then you can choose one item power on Table 15-24 in the &lt;i&gt;Core Rulebook&lt;/i&gt; to grant the item, and the item gains a special purpose. Roll once on Tables 15-25 and 15-26 on page 534 of the &lt;i&gt;Core Rulebook&lt;/i&gt; to determine what the item's special purpose and dedicated powers are. These d% rolls are not modified by your caster level or any additional powdered gems you used to cast the spell.&lt;/p&gt;&lt;p&gt;Once this spell ends, the item reverts to its previous nature-if you cast this spell on the item again, it gains entirely different powers as determined by a new set of rolls.&lt;/p&gt;</t>
  </si>
  <si>
    <t>&lt;link rel="stylesheet"href="PF.css"&gt;&lt;div class="heading"&gt;&lt;p class="alignleft"&gt;Impart Mind&lt;/p&gt;&lt;div style="clear: both;"&gt;&lt;/div&gt;&lt;/div&gt;&lt;div&gt;&lt;h5&gt;&lt;b&gt;School &lt;/b&gt;transmutation; &lt;b&gt;Level &lt;/b&gt;cleric/oracle 6, magus 5, sorcerer/wizard 6&lt;/h5&gt;&lt;/div&gt;&lt;hr/&gt;&lt;div&gt;&lt;h5&gt;&lt;b&gt;CASTING&lt;/b&gt;&lt;/h5&gt;&lt;/div&gt;&lt;hr/&gt;&lt;div&gt;&lt;h5&gt;&lt;b&gt;Casting Time &lt;/b&gt;2 rounds&lt;/h5&gt;&lt;h5&gt;&lt;b&gt;Components &lt;/b&gt;V, S, M (diamond dust worth at least 1,000 gp)&lt;/h5&gt;&lt;/div&gt;&lt;hr/&gt;&lt;div&gt;&lt;h5&gt;&lt;b&gt;EFFECT&lt;/b&gt;&lt;/h5&gt;&lt;/div&gt;&lt;hr/&gt;&lt;div&gt;&lt;h5&gt;&lt;b&gt;Range &lt;/b&gt;touch&lt;/h5&gt;&lt;h5&gt;&lt;b&gt;Targets &lt;/b&gt;permanent nonintelligent magic item touched&lt;/h5&gt;&lt;h5&gt;&lt;b&gt;Duration &lt;/b&gt;1 hour/level&lt;/h5&gt;&lt;h5&gt;&lt;b&gt;Saving Throw &lt;/b&gt;none; &lt;b&gt;Spell Resistance &lt;/b&gt;no&lt;/h5&gt;&lt;/div&gt;&lt;hr/&gt;&lt;div&gt;&lt;h5&gt;&lt;b&gt;DESCRIPTION&lt;/b&gt;&lt;/h5&gt;&lt;/div&gt;&lt;hr/&gt;&lt;div&gt;&lt;h4&gt;&lt;p&gt;This spell grants the target magic item temporary intelligence by siphoning off a tiny portion of your own mind to infuse the object. Only permanent magic items may be enhanced by this spell-one-use items and charged items cannot be affected by &lt;i&gt;impart mind&lt;/i&gt;. Intelligent magic items cannot be affected by &lt;i&gt;impart mind&lt;/i&gt;.&lt;/p&gt;&lt;p&gt;When you cast &lt;i&gt;impart mind&lt;/i&gt;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&lt;i&gt;Core Rulebook&lt;/i&gt;.&lt;/p&gt;&lt;p&gt;An item made intelligent via &lt;i&gt;impart mind&lt;/i&gt; communicates via speech and has normal senses to a range of 60 feet. It speaks and reads one language known by you-if you know multiple languages, you may choose which language the item knows.&lt;/p&gt;&lt;p&gt;When you cast &lt;i&gt;impart mind&lt;/i&gt; on an item, roll once on Table 15-24 on page 534 of the &lt;i&gt;Core Rulebook&lt;/i&gt;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rank.&lt;/p&gt;&lt;p&gt;If you roll above 100, then you can choose one item power on Table 15-24 in the &lt;i&gt;Core Rulebook&lt;/i&gt; to grant the item, and the item gains a special purpose. Roll once on Tables 15-25 and 15-26 on page 534 of the &lt;i&gt;Core Rulebook&lt;/i&gt; to determine what the item's special purpose and dedicated powers are. These d% rolls are not modified by your caster level or any additional powdered gems you used to cast the spell.&lt;/p&gt;&lt;p&gt;Once this spell ends, the item reverts to its previous nature-if you cast this spell on the item again, it gains entirely different powers as determined by a new set of rolls.&lt;/p&gt;&lt;/h4&gt;&lt;/div&gt;</t>
  </si>
  <si>
    <t>Khain's Army</t>
  </si>
  <si>
    <t>cleric/oracle 5, sorcerer/wizard 5, witch 5</t>
  </si>
  <si>
    <t>V, S, M/DF (a handful of ghoul's teeth)</t>
  </si>
  <si>
    <t>5 feet</t>
  </si>
  <si>
    <t>1d4+1 ghouls and 1 ghast</t>
  </si>
  <si>
    <t>Fortitude half (see text)</t>
  </si>
  <si>
    <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  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t>
  </si>
  <si>
    <t>&lt;p&gt;Originally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unerringly.&lt;/p&gt;&lt;p&gt;If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damage.&lt;/p&gt;</t>
  </si>
  <si>
    <t>&lt;link rel="stylesheet"href="PF.css"&gt;&lt;div class="heading"&gt;&lt;p class="alignleft"&gt;Khain's Army&lt;/p&gt;&lt;div style="clear: both;"&gt;&lt;/div&gt;&lt;/div&gt;&lt;div&gt;&lt;h5&gt;&lt;b&gt;School &lt;/b&gt;necromancy [evil]; &lt;b&gt;Level &lt;/b&gt;cleric/oracle 5, sorcerer/wizard 5, witch 5&lt;/h5&gt;&lt;/div&gt;&lt;hr/&gt;&lt;div&gt;&lt;h5&gt;&lt;b&gt;CASTING&lt;/b&gt;&lt;/h5&gt;&lt;/div&gt;&lt;hr/&gt;&lt;div&gt;&lt;h5&gt;&lt;b&gt;Casting Time &lt;/b&gt;1 standard action&lt;/h5&gt;&lt;h5&gt;&lt;b&gt;Components &lt;/b&gt;V, S, M/DF (a handful of ghoul's teeth)&lt;/h5&gt;&lt;/div&gt;&lt;hr/&gt;&lt;div&gt;&lt;h5&gt;&lt;b&gt;EFFECT&lt;/b&gt;&lt;/h5&gt;&lt;/div&gt;&lt;hr/&gt;&lt;div&gt;&lt;h5&gt;&lt;b&gt;Range &lt;/b&gt;5 feet&lt;/h5&gt;&lt;h5&gt;&lt;b&gt;Effect &lt;/b&gt;1d4+1 ghouls and 1 ghast&lt;/h5&gt;&lt;h5&gt;&lt;b&gt;Duration &lt;/b&gt;1 round/level&lt;/h5&gt;&lt;h5&gt;&lt;b&gt;Saving Throw &lt;/b&gt;Fortitude half (see text); &lt;b&gt;Spell Resistance &lt;/b&gt;no&lt;/h5&gt;&lt;/div&gt;&lt;hr/&gt;&lt;div&gt;&lt;h5&gt;&lt;b&gt;DESCRIPTION&lt;/b&gt;&lt;/h5&gt;&lt;/div&gt;&lt;hr/&gt;&lt;div&gt;&lt;h4&gt;&lt;p&gt;Originally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unerringly.&lt;/p&gt;&lt;p&gt;If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damage.&lt;/p&gt;&lt;/h4&gt;&lt;/div&gt;</t>
  </si>
  <si>
    <t>Kiss of the First World</t>
  </si>
  <si>
    <t>bard 4, druid 4</t>
  </si>
  <si>
    <t>V, S, M (diamond dust worth 100 gp)</t>
  </si>
  <si>
    <t>living or undead creature touched</t>
  </si>
  <si>
    <t>This spell-a favorite of fey spellcasters-is traditionally bestowed with a kiss, though all that's really required to gift someone with a kiss of the First World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  Living Creature: A living creature gains a 20-foot increase to his base land speed and a +2 insight bonus on all Charismabased skill checks. In addition, the creature gains fast healing 2. Fire, acid, and negative energy cause this fast healing to stop functioning on the round following the attack.  Undead Creature: An undead creature targeted by this spell is staggered for the duration of this spell. It does not gain the benefits of any channel resistance it might normally enjoy, and the save DCs for any of its special attacks (but not spell-like abilities or spells) are reduced by 2.</t>
  </si>
  <si>
    <t>&lt;p&gt;This spell-a favorite of fey spellcasters-is traditionally bestowed with a kiss, though all that's really required to gift someone with a &lt;i&gt;kiss of the First World&lt;/i&gt;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spell.&lt;/p&gt;&lt;p&gt;&lt;i&gt;Living Creature&lt;/i&gt;: A living creature gains a 20-foot increase to his base land speed and a +2 insight bonus on all Charismabased skill checks. In addition, the creature gains fast healing 2. Fire, acid, and negative energy cause this fast healing to stop functioning on the round following the attack.&lt;/p&gt;&lt;p&gt;&lt;i&gt;Undead Creature&lt;/i&gt;: An undead creature targeted by this spell is staggered for the duration of this spell. It does not gain the benefits of any channel resistance it might normally enjoy, and the save DCs for any of its special attacks (but not spell-like abilities or spells) are reduced by 2.&lt;/p&gt;</t>
  </si>
  <si>
    <t>&lt;link rel="stylesheet"href="PF.css"&gt;&lt;div class="heading"&gt;&lt;p class="alignleft"&gt;Kiss of the First World&lt;/p&gt;&lt;div style="clear: both;"&gt;&lt;/div&gt;&lt;/div&gt;&lt;div&gt;&lt;h5&gt;&lt;b&gt;School &lt;/b&gt;transmutation; &lt;b&gt;Level &lt;/b&gt;bard 4, druid 4&lt;/h5&gt;&lt;/div&gt;&lt;hr/&gt;&lt;div&gt;&lt;h5&gt;&lt;b&gt;CASTING&lt;/b&gt;&lt;/h5&gt;&lt;/div&gt;&lt;hr/&gt;&lt;div&gt;&lt;h5&gt;&lt;b&gt;Casting Time &lt;/b&gt;1 standard action&lt;/h5&gt;&lt;h5&gt;&lt;b&gt;Components &lt;/b&gt;V, S, M (diamond dust worth 100 gp)&lt;/h5&gt;&lt;/div&gt;&lt;hr/&gt;&lt;div&gt;&lt;h5&gt;&lt;b&gt;EFFECT&lt;/b&gt;&lt;/h5&gt;&lt;/div&gt;&lt;hr/&gt;&lt;div&gt;&lt;h5&gt;&lt;b&gt;Range &lt;/b&gt;touch&lt;/h5&gt;&lt;h5&gt;&lt;b&gt;Area &lt;/b&gt;living or undead creature touched&lt;/h5&gt;&lt;h5&gt;&lt;b&gt;Duration &lt;/b&gt;1 round/level&lt;/h5&gt;&lt;h5&gt;&lt;b&gt;Saving Throw &lt;/b&gt;Will negates; &lt;b&gt;Spell Resistance &lt;/b&gt;yes&lt;/h5&gt;&lt;/div&gt;&lt;hr/&gt;&lt;div&gt;&lt;h5&gt;&lt;b&gt;DESCRIPTION&lt;/b&gt;&lt;/h5&gt;&lt;/div&gt;&lt;hr/&gt;&lt;div&gt;&lt;h4&gt;&lt;p&gt;This spell-a favorite of fey spellcasters-is traditionally bestowed with a kiss, though all that's really required to gift someone with a &lt;i&gt;kiss of the First World&lt;/i&gt;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spell.&lt;/p&gt;&lt;p&gt;&lt;i&gt;Living Creature&lt;/i&gt;: A living creature gains a 20-foot increase to his base land speed and a +2 insight bonus on all Charismabased skill checks. In addition, the creature gains fast healing 2. Fire, acid, and negative energy cause this fast healing to stop functioning on the round following the attack.&lt;/p&gt;&lt;p&gt;&lt;i&gt;Undead Creature&lt;/i&gt;: An undead creature targeted by this spell is staggered for the duration of this spell. It does not gain the benefits of any channel resistance it might normally enjoy, and the save DCs for any of its special attacks (but not spell-like abilities or spells) are reduced by 2.&lt;/p&gt;&lt;/h4&gt;&lt;/div&gt;</t>
  </si>
  <si>
    <t>Light of Iomedae</t>
  </si>
  <si>
    <t>cleric/oracle 3, inquisitor 3, paladin 2</t>
  </si>
  <si>
    <t>medium (100 ft. +5 ft./level)</t>
  </si>
  <si>
    <t>all undead in a 10-foot-radius spread</t>
  </si>
  <si>
    <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  The light of Iomedae increases light levels by one step in a 5-foot radius around an affected undead creature. Once an undead is affected, it remains illuminated as long as remains within the spell's range, even if it leaves the spell's original radius, until the spell's duration ends.  Affected undead must also make a Will save when they are first illuminated by the light of Iomedae. Those who fail this save lose all benefits of channel resistance and take a -2 penalty on all saving throws made against positive energy effects.</t>
  </si>
  <si>
    <t>&lt;p&gt;With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invisibility).&lt;/p&gt;&lt;p&gt;The &lt;i&gt;light of Iomedae&lt;/i&gt; increases light levels by one step in a 5-foot radius around an affected undead creature. Once an undead is affected, it remains illuminated as long as remains within the spell's range, even if it leaves the spell's original radius, until the spell's duration ends.&lt;/p&gt;&lt;p&gt;Affected undead must also make a Will save when they are first illuminated by the &lt;i&gt;light of Iomedae&lt;/i&gt;. Those who fail this save lose all benefits of channel resistance and take a -2 penalty on all saving throws made against positive energy effects.&lt;/p&gt;</t>
  </si>
  <si>
    <t>&lt;link rel="stylesheet"href="PF.css"&gt;&lt;div class="heading"&gt;&lt;p class="alignleft"&gt;Light of Iomedae&lt;/p&gt;&lt;div style="clear: both;"&gt;&lt;/div&gt;&lt;/div&gt;&lt;div&gt;&lt;h5&gt;&lt;b&gt;School &lt;/b&gt;conjuration [good, light]; &lt;b&gt;Level &lt;/b&gt;cleric/oracle 3, inquisitor 3, paladin 2&lt;/h5&gt;&lt;/div&gt;&lt;hr/&gt;&lt;div&gt;&lt;h5&gt;&lt;b&gt;CASTING&lt;/b&gt;&lt;/h5&gt;&lt;/div&gt;&lt;hr/&gt;&lt;div&gt;&lt;h5&gt;&lt;b&gt;Casting Time &lt;/b&gt;1 minute&lt;/h5&gt;&lt;h5&gt;&lt;b&gt;Components &lt;/b&gt;V, S, DF&lt;/h5&gt;&lt;/div&gt;&lt;hr/&gt;&lt;div&gt;&lt;h5&gt;&lt;b&gt;EFFECT&lt;/b&gt;&lt;/h5&gt;&lt;/div&gt;&lt;hr/&gt;&lt;div&gt;&lt;h5&gt;&lt;b&gt;Range &lt;/b&gt;medium (100 ft. +5 ft./level)&lt;/h5&gt;&lt;h5&gt;&lt;b&gt;Targets &lt;/b&gt;all undead in a 10-foot-radius spread&lt;/h5&gt;&lt;h5&gt;&lt;b&gt;Duration &lt;/b&gt;1 minute/level&lt;/h5&gt;&lt;h5&gt;&lt;b&gt;Saving Throw &lt;/b&gt;Will partial; &lt;b&gt;Spell Resistance &lt;/b&gt;yes&lt;/h5&gt;&lt;/div&gt;&lt;hr/&gt;&lt;div&gt;&lt;h5&gt;&lt;b&gt;DESCRIPTION&lt;/b&gt;&lt;/h5&gt;&lt;/div&gt;&lt;hr/&gt;&lt;div&gt;&lt;h4&gt;&lt;p&gt;With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invisibility).&lt;/p&gt;&lt;p&gt;The &lt;i&gt;light of Iomedae&lt;/i&gt; increases light levels by one step in a 5-foot radius around an affected undead creature. Once an undead is affected, it remains illuminated as long as remains within the spell's range, even if it leaves the spell's original radius, until the spell's duration ends.&lt;/p&gt;&lt;p&gt;Affected undead must also make a Will save when they are first illuminated by the &lt;i&gt;light of Iomedae&lt;/i&gt;. Those who fail this save lose all benefits of channel resistance and take a -2 penalty on all saving throws made against positive energy effects.&lt;/p&gt;&lt;/h4&gt;&lt;/div&gt;</t>
  </si>
  <si>
    <t>Martial Marionette</t>
  </si>
  <si>
    <t>V, S, M (a marionette's crossbar)</t>
  </si>
  <si>
    <t>When you cast this spell, you take partial control of an opponent's limbs, making it difficult for him to attack you.  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  As long as the affected creature is adjacent to you, you can cause the creature's limbs to flail into the path of other attacks against you as an immediate action. This provides partial cover against that attack, granting you a +2 bonus to AC and a +1 bonus on Reflex saves.</t>
  </si>
  <si>
    <t>&lt;p&gt;When you cast this spell, you take partial control of an opponent's limbs, making it difficult for him to attack you.&lt;/p&gt;&lt;p&gt;Any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you.&lt;/p&gt;&lt;p&gt;As long as the affected creature is adjacent to you, you can cause the creature's limbs to flail into the path of other attacks against you as an immediate action. This provides partial cover against that attack, granting you a +2 bonus to AC and a +1 bonus on Reflex saves.&lt;/p&gt;</t>
  </si>
  <si>
    <t>&lt;link rel="stylesheet"href="PF.css"&gt;&lt;div class="heading"&gt;&lt;p class="alignleft"&gt;Martial Marionette&lt;/p&gt;&lt;div style="clear: both;"&gt;&lt;/div&gt;&lt;/div&gt;&lt;div&gt;&lt;h5&gt;&lt;b&gt;School &lt;/b&gt;enchantment (compulsion) [mind-affecting]; &lt;b&gt;Level &lt;/b&gt;bard 3&lt;/h5&gt;&lt;/div&gt;&lt;hr/&gt;&lt;div&gt;&lt;h5&gt;&lt;b&gt;CASTING&lt;/b&gt;&lt;/h5&gt;&lt;/div&gt;&lt;hr/&gt;&lt;div&gt;&lt;h5&gt;&lt;b&gt;Casting Time &lt;/b&gt;1 standard action&lt;/h5&gt;&lt;h5&gt;&lt;b&gt;Components &lt;/b&gt;V, S, M (a marionette's crossbar)&lt;/h5&gt;&lt;/div&gt;&lt;hr/&gt;&lt;div&gt;&lt;h5&gt;&lt;b&gt;EFFECT&lt;/b&gt;&lt;/h5&gt;&lt;/div&gt;&lt;hr/&gt;&lt;div&gt;&lt;h5&gt;&lt;b&gt;Range &lt;/b&gt;close (25 ft. + 5 ft./2 levels)&lt;/h5&gt;&lt;h5&gt;&lt;b&gt;Targets &lt;/b&gt;1 creature&lt;/h5&gt;&lt;h5&gt;&lt;b&gt;Duration &lt;/b&gt;1 round/level&lt;/h5&gt;&lt;h5&gt;&lt;b&gt;Saving Throw &lt;/b&gt;Will negates; &lt;b&gt;Spell Resistance &lt;/b&gt;yes&lt;/h5&gt;&lt;/div&gt;&lt;hr/&gt;&lt;div&gt;&lt;h5&gt;&lt;b&gt;DESCRIPTION&lt;/b&gt;&lt;/h5&gt;&lt;/div&gt;&lt;hr/&gt;&lt;div&gt;&lt;h4&gt;&lt;p&gt;When you cast this spell, you take partial control of an opponent's limbs, making it difficult for him to attack you.&lt;/p&gt;&lt;p&gt;Any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you.&lt;/p&gt;&lt;p&gt;As long as the affected creature is adjacent to you, you can cause the creature's limbs to flail into the path of other attacks against you as an immediate action. This provides partial cover against that attack, granting you a +2 bonus to AC and a +1 bonus on Reflex saves.&lt;/p&gt;&lt;/h4&gt;&lt;/div&gt;</t>
  </si>
  <si>
    <t>Martyr's Bargain</t>
  </si>
  <si>
    <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   You can be affected by only one martyr's bargain spell at a time. If you cast this spell while you are already under the effects of a previous martyr's bargain, the previous spell effect ends and you immediately take the damage it had delayed.</t>
  </si>
  <si>
    <t>&lt;p&gt;Among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sacrifice.&lt;/p&gt;&lt;p&gt;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level.&lt;/p&gt;&lt;p&gt;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you.&lt;/p&gt;&lt;p&gt; You can be affected by only one martyr's bargain spell at a time. If you cast this spell while you are already under the effects of a previous martyr's bargain, the previous spell effect ends and you immediately take the damage it had delayed.&lt;/p&gt;</t>
  </si>
  <si>
    <t>&lt;link rel="stylesheet"href="PF.css"&gt;&lt;div class="heading"&gt;&lt;p class="alignleft"&gt;Martyr's Bargain&lt;/p&gt;&lt;div style="clear: both;"&gt;&lt;/div&gt;&lt;/div&gt;&lt;div&gt;&lt;h5&gt;&lt;b&gt;School &lt;/b&gt;transmutation [good]; &lt;b&gt;Level &lt;/b&gt;cleric/oracle 2, paladin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sacrifice.&lt;/p&gt;&lt;p&gt;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level.&lt;/p&gt;&lt;p&gt;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you.&lt;/p&gt;&lt;p&gt; You can be affected by only one martyr's bargain spell at a time. If you cast this spell while you are already under the effects of a previous martyr's bargain, the previous spell effect ends and you immediately take the damage it had delayed.&lt;/p&gt;&lt;/h4&gt;&lt;/div&gt;</t>
  </si>
  <si>
    <t>Devotion (4)</t>
  </si>
  <si>
    <t>Music of the Spheres</t>
  </si>
  <si>
    <t>bard 5, cleric/oracle 6</t>
  </si>
  <si>
    <t>V, S, M (a stick of incense treated with special balms)</t>
  </si>
  <si>
    <t>20-ft.-radius spherical emanation, centered on you</t>
  </si>
  <si>
    <t>concentration, up to 1 round per level</t>
  </si>
  <si>
    <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  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t>
  </si>
  <si>
    <t>&lt;p&gt;As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strong.&lt;/p&gt;&lt;p&gt;With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spell.&lt;/p&gt;</t>
  </si>
  <si>
    <t>&lt;link rel="stylesheet"href="PF.css"&gt;&lt;div class="heading"&gt;&lt;p class="alignleft"&gt;Music of the Spheres&lt;/p&gt;&lt;div style="clear: both;"&gt;&lt;/div&gt;&lt;/div&gt;&lt;div&gt;&lt;h5&gt;&lt;b&gt;School &lt;/b&gt;conjuration (healing) [sonic]; &lt;b&gt;Level &lt;/b&gt;bard 5, cleric/oracle 6&lt;/h5&gt;&lt;/div&gt;&lt;hr/&gt;&lt;div&gt;&lt;h5&gt;&lt;b&gt;CASTING&lt;/b&gt;&lt;/h5&gt;&lt;/div&gt;&lt;hr/&gt;&lt;div&gt;&lt;h5&gt;&lt;b&gt;Casting Time &lt;/b&gt;1 standard action&lt;/h5&gt;&lt;h5&gt;&lt;b&gt;Components &lt;/b&gt;V, S, M (a stick of incense treated with special balms)&lt;/h5&gt;&lt;/div&gt;&lt;hr/&gt;&lt;div&gt;&lt;h5&gt;&lt;b&gt;EFFECT&lt;/b&gt;&lt;/h5&gt;&lt;/div&gt;&lt;hr/&gt;&lt;div&gt;&lt;h5&gt;&lt;b&gt;Range &lt;/b&gt;20 ft.&lt;/h5&gt;&lt;h5&gt;&lt;b&gt;Area &lt;/b&gt;20-ft.-radius spherical emanation, centered on you&lt;/h5&gt;&lt;h5&gt;&lt;b&gt;Duration &lt;/b&gt;concentration, up to 1 round per level&lt;/h5&gt;&lt;h5&gt;&lt;b&gt;Saving Throw &lt;/b&gt;none; &lt;b&gt;Spell Resistance &lt;/b&gt;yes (harmless)&lt;/h5&gt;&lt;/div&gt;&lt;hr/&gt;&lt;div&gt;&lt;h5&gt;&lt;b&gt;DESCRIPTION&lt;/b&gt;&lt;/h5&gt;&lt;/div&gt;&lt;hr/&gt;&lt;div&gt;&lt;h4&gt;&lt;p&gt;As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strong.&lt;/p&gt;&lt;p&gt;With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spell.&lt;/p&gt;&lt;/h4&gt;&lt;/div&gt;</t>
  </si>
  <si>
    <t>Orchid's Drop</t>
  </si>
  <si>
    <t>V, S, M (a much-diluted drop of sun orchid nectar worth 500 gp)</t>
  </si>
  <si>
    <t>Alchemists have tried for centuries to recreate Artokus Kirran's feat of genius that created the sun orchid elixir.  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  As long as you're under the effects of orchid's drop, drinking a dose of your mutagen heals you of 2d10 points of damage. For the spell's duration, you gain a +2 alchemical bonus on all saving throws.</t>
  </si>
  <si>
    <t>&lt;p&gt;Alchemists have tried for centuries to recreate Artokus Kirran's feat of genius that created the &lt;i&gt;sun orchid elixir&lt;/i&gt;.&lt;/p&gt;&lt;p&gt;Although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tonic.&lt;/p&gt;&lt;p&gt;As long as you're under the effects of orchid's drop, drinking a dose of your mutagen heals you of 2d10 points of damage. For the spell's duration, you gain a +2 alchemical bonus on all saving throws.&lt;/p&gt;</t>
  </si>
  <si>
    <t>&lt;link rel="stylesheet"href="PF.css"&gt;&lt;div class="heading"&gt;&lt;p class="alignleft"&gt;Orchid's Drop&lt;/p&gt;&lt;div style="clear: both;"&gt;&lt;/div&gt;&lt;/div&gt;&lt;div&gt;&lt;h5&gt;&lt;b&gt;School &lt;/b&gt;transmutation; &lt;b&gt;Level &lt;/b&gt;alchemist 3&lt;/h5&gt;&lt;/div&gt;&lt;hr/&gt;&lt;div&gt;&lt;h5&gt;&lt;b&gt;CASTING&lt;/b&gt;&lt;/h5&gt;&lt;/div&gt;&lt;hr/&gt;&lt;div&gt;&lt;h5&gt;&lt;b&gt;Casting Time &lt;/b&gt;1 standard action&lt;/h5&gt;&lt;h5&gt;&lt;b&gt;Components &lt;/b&gt;V, S, M (a much-diluted drop of sun orchid nectar worth 500 gp)&lt;/h5&gt;&lt;/div&gt;&lt;hr/&gt;&lt;div&gt;&lt;h5&gt;&lt;b&gt;EFFECT&lt;/b&gt;&lt;/h5&gt;&lt;/div&gt;&lt;hr/&gt;&lt;div&gt;&lt;h5&gt;&lt;b&gt;Range &lt;/b&gt;personal&lt;/h5&gt;&lt;h5&gt;&lt;b&gt;Targets &lt;/b&gt;you&lt;/h5&gt;&lt;h5&gt;&lt;b&gt;Duration &lt;/b&gt;1 hour/level&lt;/h5&gt;&lt;/div&gt;&lt;hr/&gt;&lt;div&gt;&lt;h5&gt;&lt;b&gt;DESCRIPTION&lt;/b&gt;&lt;/h5&gt;&lt;/div&gt;&lt;hr/&gt;&lt;div&gt;&lt;h4&gt;&lt;p&gt;Alchemists have tried for centuries to recreate Artokus Kirran's feat of genius that created the &lt;i&gt;sun orchid elixir&lt;/i&gt;.&lt;/p&gt;&lt;p&gt;Although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tonic.&lt;/p&gt;&lt;p&gt;As long as you're under the effects of orchid's drop, drinking a dose of your mutagen heals you of 2d10 points of damage. For the spell's duration, you gain a +2 alchemical bonus on all saving throws.&lt;/p&gt;&lt;/h4&gt;&lt;/div&gt;</t>
  </si>
  <si>
    <t>Pugwampi's Grace</t>
  </si>
  <si>
    <t>bard 2, sorcerer/wizard 3, witch 3</t>
  </si>
  <si>
    <t>V, S, M (a pugwampi's hair)</t>
  </si>
  <si>
    <t>short (25 ft. + 5 ft./2 levels)</t>
  </si>
  <si>
    <t>one creature (see below)</t>
  </si>
  <si>
    <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luckstone or divine favor), but the spell's duration is not impacted by these effects. If the luck bonus goes away before the pugwampi's grace effect ends, the unluck returns and remains until the spell's normal duration runs out.</t>
  </si>
  <si>
    <t>&lt;p&gt;Hated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&lt;i&gt;luckstone&lt;/i&gt; or &lt;i&gt;divine&lt;/i&gt; favor), but the spell's duration is not impacted by these effects. If the luck bonus goes away before the pugwampi's grace effect ends, the unluck returns and remains until the spell's normal duration runs out.&lt;/p&gt;</t>
  </si>
  <si>
    <t>&lt;link rel="stylesheet"href="PF.css"&gt;&lt;div class="heading"&gt;&lt;p class="alignleft"&gt;Pugwampi's Grace&lt;/p&gt;&lt;div style="clear: both;"&gt;&lt;/div&gt;&lt;/div&gt;&lt;div&gt;&lt;h5&gt;&lt;b&gt;School &lt;/b&gt;enchantment (compulsion) [mind-affecting]; &lt;b&gt;Level &lt;/b&gt;bard 2, sorcerer/wizard 3, witch 3&lt;/h5&gt;&lt;/div&gt;&lt;hr/&gt;&lt;div&gt;&lt;h5&gt;&lt;b&gt;CASTING&lt;/b&gt;&lt;/h5&gt;&lt;/div&gt;&lt;hr/&gt;&lt;div&gt;&lt;h5&gt;&lt;b&gt;Casting Time &lt;/b&gt;1 standard action&lt;/h5&gt;&lt;h5&gt;&lt;b&gt;Components &lt;/b&gt;V, S, M (a pugwampi's hair)&lt;/h5&gt;&lt;/div&gt;&lt;hr/&gt;&lt;div&gt;&lt;h5&gt;&lt;b&gt;EFFECT&lt;/b&gt;&lt;/h5&gt;&lt;/div&gt;&lt;hr/&gt;&lt;div&gt;&lt;h5&gt;&lt;b&gt;Range &lt;/b&gt;short (25 ft. + 5 ft./2 levels)&lt;/h5&gt;&lt;h5&gt;&lt;b&gt;Targets &lt;/b&gt;one creature (see below)&lt;/h5&gt;&lt;h5&gt;&lt;b&gt;Duration &lt;/b&gt;1 round/level&lt;/h5&gt;&lt;h5&gt;&lt;b&gt;Saving Throw &lt;/b&gt;Will negates; &lt;b&gt;Spell Resistance &lt;/b&gt;yes&lt;/h5&gt;&lt;/div&gt;&lt;hr/&gt;&lt;div&gt;&lt;h5&gt;&lt;b&gt;DESCRIPTION&lt;/b&gt;&lt;/h5&gt;&lt;/div&gt;&lt;hr/&gt;&lt;div&gt;&lt;h4&gt;&lt;p&gt;Hated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&lt;i&gt;luckstone&lt;/i&gt; or &lt;i&gt;divine&lt;/i&gt; favor), but the spell's duration is not impacted by these effects. If the luck bonus goes away before the pugwampi's grace effect ends, the unluck returns and remains until the spell's normal duration runs out.&lt;/p&gt;&lt;/h4&gt;&lt;/div&gt;</t>
  </si>
  <si>
    <t>Shadow Barbs</t>
  </si>
  <si>
    <t>cleric/oracle 4, inquisitor 4, sorcerer/wizard 4</t>
  </si>
  <si>
    <t>V, S, M (a single link from a spiked chain)</t>
  </si>
  <si>
    <t>spiked chain-like shadowy weapon</t>
  </si>
  <si>
    <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  When you cast this spell, you create a shadowy spiked chain that shimmers and pulses with darkness. The chain exists as long as you carry it; if you ever drop the chain, give it to another, or are disarmed, it immediately vanishes and the spell's duration ends.  The chain radiates darkness in a 10-foot-radius spread around you, reducing the illumination level in this area by one step, but not below the level of dim light.  You can wield the shadow barbs as a spiked chain as if you were fully proficient with spiked chains. Any additional abilities or feats that you possess that apply to spiked chains apply to the shadow barbs as well. The weapon functions as a +2 vicious spiked chain. Its enhancement bonus increases to +3 at caster level 11th, to +4 at caster level 15th, and finally to +5 at caster level 19th. When the spell effect ends, you can make a Will save against the spell-if successful, all of the damage caused to you by the shadow barbs' vicious weapon quality vanishes, unless you are dead or unconscious at the time the spell ends, in which case you automatically fail this Will save and the vicious weapon damage remains.</t>
  </si>
  <si>
    <t>&lt;p&gt;This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spellcasters.&lt;/p&gt;&lt;p&gt;When you cast this spell, you create a &lt;i&gt;shadow&lt;/i&gt;y spiked chain that shimmers and pulses with darkness. The chain exists as long as you carry it; if you ever drop the chain, give it to another, or are disarmed, it immediately vanishes and the spell's duration ends.&lt;/p&gt;&lt;p&gt;The chain radiates darkness in a 10-foot-radius spread around you, reducing the illumination level in this area by one step, but not below the level of dim light.&lt;/p&gt;&lt;p&gt;You can wield the &lt;i&gt;&lt;i&gt;shadow&lt;/i&gt; barbs&lt;/i&gt; as a spiked chain as if you were fully proficient with spiked chains. Any additional abilities or feats that you possess that apply to spiked chains apply to the &lt;i&gt;&lt;i&gt;shadow&lt;/i&gt; barbs&lt;/i&gt; as well. The weapon functions as a &lt;i&gt;+2 vicious spiked chain&lt;/i&gt;. Its enhancement bonus increases to +3 at caster level 11th, to +4 at caster level 15th, and finally to +5 at caster level 19th. When the spell effect ends, you can make a Will save against the spell-if successful, all of the damage caused to you by the &lt;i&gt;&lt;i&gt;shadow&lt;/i&gt; barbs&lt;/i&gt;' vicious weapon quality vanishes, unless you are dead or unconscious at the time the spell ends, in which case you automatically fail this Will save and the vicious weapon damage remains.&lt;/p&gt;</t>
  </si>
  <si>
    <t>&lt;link rel="stylesheet"href="PF.css"&gt;&lt;div class="heading"&gt;&lt;p class="alignleft"&gt;Shadow Barbs&lt;/p&gt;&lt;div style="clear: both;"&gt;&lt;/div&gt;&lt;/div&gt;&lt;div&gt;&lt;h5&gt;&lt;b&gt;School &lt;/b&gt;illusion (shadow) [darkness]; &lt;b&gt;Level &lt;/b&gt;cleric/oracle 4, inquisitor 4, sorcerer/wizard 4&lt;/h5&gt;&lt;/div&gt;&lt;hr/&gt;&lt;div&gt;&lt;h5&gt;&lt;b&gt;CASTING&lt;/b&gt;&lt;/h5&gt;&lt;/div&gt;&lt;hr/&gt;&lt;div&gt;&lt;h5&gt;&lt;b&gt;Casting Time &lt;/b&gt;1 standard action&lt;/h5&gt;&lt;h5&gt;&lt;b&gt;Components &lt;/b&gt;V, S, M (a single link from a spiked chain)&lt;/h5&gt;&lt;/div&gt;&lt;hr/&gt;&lt;div&gt;&lt;h5&gt;&lt;b&gt;EFFECT&lt;/b&gt;&lt;/h5&gt;&lt;/div&gt;&lt;hr/&gt;&lt;div&gt;&lt;h5&gt;&lt;b&gt;Range &lt;/b&gt;0 ft.&lt;/h5&gt;&lt;h5&gt;&lt;b&gt;Effect &lt;/b&gt;spiked chain-like shadowy weapon&lt;/h5&gt;&lt;h5&gt;&lt;b&gt;Duration &lt;/b&gt;1 round/level&lt;/h5&gt;&lt;h5&gt;&lt;b&gt;Saving Throw &lt;/b&gt;Will negates (see text); &lt;b&gt;Spell Resistance &lt;/b&gt;no&lt;/h5&gt;&lt;/div&gt;&lt;hr/&gt;&lt;div&gt;&lt;h5&gt;&lt;b&gt;DESCRIPTION&lt;/b&gt;&lt;/h5&gt;&lt;/div&gt;&lt;hr/&gt;&lt;div&gt;&lt;h4&gt;&lt;p&gt;This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spellcasters.&lt;/p&gt;&lt;p&gt;When you cast this spell, you create a &lt;i&gt;shadow&lt;/i&gt;y spiked chain that shimmers and pulses with darkness. The chain exists as long as you carry it; if you ever drop the chain, give it to another, or are disarmed, it immediately vanishes and the spell's duration ends.&lt;/p&gt;&lt;p&gt;The chain radiates darkness in a 10-foot-radius spread around you, reducing the illumination level in this area by one step, but not below the level of dim light.&lt;/p&gt;&lt;p&gt;You can wield the &lt;i&gt;&lt;i&gt;shadow&lt;/i&gt; barbs&lt;/i&gt; as a spiked chain as if you were fully proficient with spiked chains. Any additional abilities or feats that you possess that apply to spiked chains apply to the &lt;i&gt;&lt;i&gt;shadow&lt;/i&gt; barbs&lt;/i&gt; as well. The weapon functions as a &lt;i&gt;+2 vicious spiked chain&lt;/i&gt;. Its enhancement bonus increases to +3 at caster level 11th, to +4 at caster level 15th, and finally to +5 at caster level 19th. When the spell effect ends, you can make a Will save against the spell-if successful, all of the damage caused to you by the &lt;i&gt;&lt;i&gt;shadow&lt;/i&gt; barbs&lt;/i&gt;' vicious weapon quality vanishes, unless you are dead or unconscious at the time the spell ends, in which case you automatically fail this Will save and the vicious weapon damage remains.&lt;/p&gt;&lt;/h4&gt;&lt;/div&gt;</t>
  </si>
  <si>
    <t>Shining Cord</t>
  </si>
  <si>
    <t>magus 3</t>
  </si>
  <si>
    <t>V, S, M (a small length fine of silver chain worth 100 gp)</t>
  </si>
  <si>
    <t>1 round/level or instantaneous (see below)</t>
  </si>
  <si>
    <t>Fortitude partial (see below)</t>
  </si>
  <si>
    <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  You gain a +5 insight bonus on all Spellcraft checks made to identify your opponent's spell as part of a counterspelling attempt. Finally, you gain a +2 dodge bonus to your AC against attacks made against you by the target.  Lastly, if either you or the target moves more than 30 feet away from the other, the cord crackles with a surge of light and sends a blast of force along its length to the other end.  This blast deals 1d6 points of damage per two caster levels (maximum 10d6) and stuns the one who moved out of range for 1 round-a successful Fortitude save halves the damage and negates the stun effect. This blast ends the spell and severs the connection between you and your target.  Although the shining cord makes a visible connection between you and your target, creatures can move through it without ill effect. The cord even passes through solid objects as necessary to maintain the connection between you and the target.</t>
  </si>
  <si>
    <t>&lt;p&gt;When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target.&lt;/p&gt;&lt;p&gt;You gain a +5 insight bonus on all Spellcraft checks made to identify your opponent's spell as part of a counterspelling attempt. Finally, you gain a +2 dodge bonus to your AC against attacks made against you by the target.&lt;/p&gt;&lt;p&gt;Lastly, if either you or the target moves more than 30 feet away from the other, the cord crackles with a surge of light and sends a blast of force along its length to the other end.&lt;/p&gt;&lt;p&gt;This blast deals 1d6 points of damage per two caster levels (maximum 10d6) and stuns the one who moved out of range for 1 round-a successful Fortitude save halves the damage and negates the stun effect. This blast ends the spell and severs the connection between you and your target.&lt;/p&gt;&lt;p&gt;Although the &lt;i&gt;shining cord&lt;/i&gt; makes a visible connection between you and your target, creatures can move through it without ill effect. The cord even passes through solid objects as necessary to maintain the connection between you and the target.&lt;/p&gt;</t>
  </si>
  <si>
    <t>&lt;link rel="stylesheet"href="PF.css"&gt;&lt;div class="heading"&gt;&lt;p class="alignleft"&gt;Shining Cord&lt;/p&gt;&lt;div style="clear: both;"&gt;&lt;/div&gt;&lt;/div&gt;&lt;div&gt;&lt;h5&gt;&lt;b&gt;School &lt;/b&gt;evocation [force]; &lt;b&gt;Level &lt;/b&gt;magus 3&lt;/h5&gt;&lt;/div&gt;&lt;hr/&gt;&lt;div&gt;&lt;h5&gt;&lt;b&gt;CASTING&lt;/b&gt;&lt;/h5&gt;&lt;/div&gt;&lt;hr/&gt;&lt;div&gt;&lt;h5&gt;&lt;b&gt;Casting Time &lt;/b&gt;1 standard action&lt;/h5&gt;&lt;h5&gt;&lt;b&gt;Components &lt;/b&gt;V, S, M (a small length fine of silver chain worth 100 gp)&lt;/h5&gt;&lt;/div&gt;&lt;hr/&gt;&lt;div&gt;&lt;h5&gt;&lt;b&gt;EFFECT&lt;/b&gt;&lt;/h5&gt;&lt;/div&gt;&lt;hr/&gt;&lt;div&gt;&lt;h5&gt;&lt;b&gt;Range &lt;/b&gt;30 ft.&lt;/h5&gt;&lt;h5&gt;&lt;b&gt;Targets &lt;/b&gt;1 creature&lt;/h5&gt;&lt;h5&gt;&lt;b&gt;Duration &lt;/b&gt;1 round/level or instantaneous (see below)&lt;/h5&gt;&lt;h5&gt;&lt;b&gt;Saving Throw &lt;/b&gt;Fortitude partial (see below); &lt;b&gt;Spell Resistance &lt;/b&gt;yes&lt;/h5&gt;&lt;/div&gt;&lt;hr/&gt;&lt;div&gt;&lt;h5&gt;&lt;b&gt;DESCRIPTION&lt;/b&gt;&lt;/h5&gt;&lt;/div&gt;&lt;hr/&gt;&lt;div&gt;&lt;h4&gt;&lt;p&gt;When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target.&lt;/p&gt;&lt;p&gt;You gain a +5 insight bonus on all Spellcraft checks made to identify your opponent's spell as part of a counterspelling attempt. Finally, you gain a +2 dodge bonus to your AC against attacks made against you by the target.&lt;/p&gt;&lt;p&gt;Lastly, if either you or the target moves more than 30 feet away from the other, the cord crackles with a surge of light and sends a blast of force along its length to the other end.&lt;/p&gt;&lt;p&gt;This blast deals 1d6 points of damage per two caster levels (maximum 10d6) and stuns the one who moved out of range for 1 round-a successful Fortitude save halves the damage and negates the stun effect. This blast ends the spell and severs the connection between you and your target.&lt;/p&gt;&lt;p&gt;Although the &lt;i&gt;shining cord&lt;/i&gt; makes a visible connection between you and your target, creatures can move through it without ill effect. The cord even passes through solid objects as necessary to maintain the connection between you and the target.&lt;/p&gt;&lt;/h4&gt;&lt;/div&gt;</t>
  </si>
  <si>
    <t>Siphon Magic</t>
  </si>
  <si>
    <t>V, S, M (a coiled length of copper wire wrapped around the palm)</t>
  </si>
  <si>
    <t>This spell attempts to transfer a magical effect from a creature you touch to yourself. When you touch the creature, siphon magic attempts to end one ongoing spell that has been cast on that creature, as if via a targeted dispel magic. If you know the specific spell effect you wish to target, you can name that spell effect to target that specific spell; otherwise siphon magic begins with the highest-level spell in effect and works its way down through all spells affecting the target until it dispels one or runs out of effects, as per dispel magic.  If siphon magic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t>
  </si>
  <si>
    <t>&lt;p&gt;This spell attempts to transfer a magical effect from a creature you touch to yourself. When you touch the creature, &lt;i&gt;siphon magic&lt;/i&gt; attempts to end one ongoing spell that has been cast on that creature, as if via a targeted &lt;i&gt;dispel magic&lt;/i&gt;. If you know the specific spell effect you wish to target, you can name that spell effect to target that specific spell; otherwise &lt;i&gt;siphon magic&lt;/i&gt; begins with the highest-level spell in effect and works its way down through all spells affecting the target until it dispels one or runs out of effects, as per &lt;i&gt;dispel magic&lt;/i&gt;.&lt;/p&gt;&lt;p&gt;If &lt;i&gt;siphon magic&lt;/i&gt;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duration.&lt;/p&gt;</t>
  </si>
  <si>
    <t>&lt;link rel="stylesheet"href="PF.css"&gt;&lt;div class="heading"&gt;&lt;p class="alignleft"&gt;Siphon Magic&lt;/p&gt;&lt;div style="clear: both;"&gt;&lt;/div&gt;&lt;/div&gt;&lt;div&gt;&lt;h5&gt;&lt;b&gt;School &lt;/b&gt;abjuration; &lt;b&gt;Level &lt;/b&gt;cleric/oracle 5, sorcerer/wizard 5, witch 5&lt;/h5&gt;&lt;/div&gt;&lt;hr/&gt;&lt;div&gt;&lt;h5&gt;&lt;b&gt;CASTING&lt;/b&gt;&lt;/h5&gt;&lt;/div&gt;&lt;hr/&gt;&lt;div&gt;&lt;h5&gt;&lt;b&gt;Casting Time &lt;/b&gt;1 standard action&lt;/h5&gt;&lt;h5&gt;&lt;b&gt;Components &lt;/b&gt;V, S, M (a coiled length of copper wire wrapped around the palm)&lt;/h5&gt;&lt;/div&gt;&lt;hr/&gt;&lt;div&gt;&lt;h5&gt;&lt;b&gt;EFFECT&lt;/b&gt;&lt;/h5&gt;&lt;/div&gt;&lt;hr/&gt;&lt;div&gt;&lt;h5&gt;&lt;b&gt;Range &lt;/b&gt;touch&lt;/h5&gt;&lt;h5&gt;&lt;b&gt;Targets &lt;/b&gt;creature touched&lt;/h5&gt;&lt;h5&gt;&lt;b&gt;Duration &lt;/b&gt;instantaneous&lt;/h5&gt;&lt;h5&gt;&lt;b&gt;Saving Throw &lt;/b&gt;none; &lt;b&gt;Spell Resistance &lt;/b&gt;no&lt;/h5&gt;&lt;/div&gt;&lt;hr/&gt;&lt;div&gt;&lt;h5&gt;&lt;b&gt;DESCRIPTION&lt;/b&gt;&lt;/h5&gt;&lt;/div&gt;&lt;hr/&gt;&lt;div&gt;&lt;h4&gt;&lt;p&gt;This spell attempts to transfer a magical effect from a creature you touch to yourself. When you touch the creature, &lt;i&gt;siphon magic&lt;/i&gt; attempts to end one ongoing spell that has been cast on that creature, as if via a targeted &lt;i&gt;dispel magic&lt;/i&gt;. If you know the specific spell effect you wish to target, you can name that spell effect to target that specific spell; otherwise &lt;i&gt;siphon magic&lt;/i&gt; begins with the highest-level spell in effect and works its way down through all spells affecting the target until it dispels one or runs out of effects, as per &lt;i&gt;dispel magic&lt;/i&gt;.&lt;/p&gt;&lt;p&gt;If &lt;i&gt;siphon magic&lt;/i&gt;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duration.&lt;/p&gt;&lt;/h4&gt;&lt;/div&gt;</t>
  </si>
  <si>
    <t>Song of Kyonin</t>
  </si>
  <si>
    <t>1 round/level or until performance ends or changes (see text)</t>
  </si>
  <si>
    <t>Certain elven bards of Kyonin are known for the restorative power of their performances-mostly as a result of this spell. You must have a bardic performance in effect to cast this spell (although this spell is called song of Kyonin,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t>
  </si>
  <si>
    <t>&lt;p&gt;Certain elven bards of Kyonin are known for the restorative power of their performances-mostly as a result of this spell. You must have a bardic performance in effect to cast this spell (although this spell is called &lt;i&gt;song of Kyonin&lt;/i&gt;,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stunned.&lt;/p&gt;</t>
  </si>
  <si>
    <t>&lt;link rel="stylesheet"href="PF.css"&gt;&lt;div class="heading"&gt;&lt;p class="alignleft"&gt;Song of Kyonin&lt;/p&gt;&lt;div style="clear: both;"&gt;&lt;/div&gt;&lt;/div&gt;&lt;div&gt;&lt;h5&gt;&lt;b&gt;School &lt;/b&gt;conjuration (healing); &lt;b&gt;Level &lt;/b&gt;bard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&lt;/b&gt;1 round/level or until performance ends or changes (see text)&lt;/h5&gt;&lt;/div&gt;&lt;hr/&gt;&lt;div&gt;&lt;h5&gt;&lt;b&gt;DESCRIPTION&lt;/b&gt;&lt;/h5&gt;&lt;/div&gt;&lt;hr/&gt;&lt;div&gt;&lt;h4&gt;&lt;p&gt;Certain elven bards of Kyonin are known for the restorative power of their performances-mostly as a result of this spell. You must have a bardic performance in effect to cast this spell (although this spell is called &lt;i&gt;song of Kyonin&lt;/i&gt;,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stunned.&lt;/p&gt;&lt;/h4&gt;&lt;/div&gt;</t>
  </si>
  <si>
    <t>Spell Absorption</t>
  </si>
  <si>
    <t>V, S, M (a prism)</t>
  </si>
  <si>
    <t>If you successfully counterspell a 3rd-level or lower level spell (through either dispel magic or normal means) while spell absorption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t>
  </si>
  <si>
    <t>&lt;p&gt;If you successfully counterspell a 3rd-level or lower level spell (through either &lt;i&gt;dispel magic&lt;/i&gt; or normal means) while &lt;i&gt;spell absorption&lt;/i&gt;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counterspelled.&lt;/p&gt;</t>
  </si>
  <si>
    <t>&lt;link rel="stylesheet"href="PF.css"&gt;&lt;div class="heading"&gt;&lt;p class="alignleft"&gt;Spell Absorption&lt;/p&gt;&lt;div style="clear: both;"&gt;&lt;/div&gt;&lt;/div&gt;&lt;div&gt;&lt;h5&gt;&lt;b&gt;School &lt;/b&gt;abjuration; &lt;b&gt;Level &lt;/b&gt;sorcerer/wizard 5&lt;/h5&gt;&lt;/div&gt;&lt;hr/&gt;&lt;div&gt;&lt;h5&gt;&lt;b&gt;CASTING&lt;/b&gt;&lt;/h5&gt;&lt;/div&gt;&lt;hr/&gt;&lt;div&gt;&lt;h5&gt;&lt;b&gt;Casting Time &lt;/b&gt;1 round&lt;/h5&gt;&lt;h5&gt;&lt;b&gt;Components &lt;/b&gt;V, S, M (a prism)&lt;/h5&gt;&lt;/div&gt;&lt;hr/&gt;&lt;div&gt;&lt;h5&gt;&lt;b&gt;EFFECT&lt;/b&gt;&lt;/h5&gt;&lt;/div&gt;&lt;hr/&gt;&lt;div&gt;&lt;h5&gt;&lt;b&gt;Range &lt;/b&gt;personal&lt;/h5&gt;&lt;h5&gt;&lt;b&gt;Targets &lt;/b&gt;you&lt;/h5&gt;&lt;h5&gt;&lt;b&gt;Duration &lt;/b&gt;1 round/level&lt;/h5&gt;&lt;/div&gt;&lt;hr/&gt;&lt;div&gt;&lt;h5&gt;&lt;b&gt;DESCRIPTION&lt;/b&gt;&lt;/h5&gt;&lt;/div&gt;&lt;hr/&gt;&lt;div&gt;&lt;h4&gt;&lt;p&gt;If you successfully counterspell a 3rd-level or lower level spell (through either &lt;i&gt;dispel magic&lt;/i&gt; or normal means) while &lt;i&gt;spell absorption&lt;/i&gt;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counterspelled.&lt;/p&gt;&lt;/h4&gt;&lt;/div&gt;</t>
  </si>
  <si>
    <t>Spell Absorption, Greater</t>
  </si>
  <si>
    <t>This spell functions as spell absorption, save that you can absorb countered spells of 6th level or lower.</t>
  </si>
  <si>
    <t>&lt;p&gt;This spell functions as spell absorption, save that you can absorb countered spells of 6th level or lower.&lt;/p&gt;</t>
  </si>
  <si>
    <t>&lt;link rel="stylesheet"href="PF.css"&gt;&lt;div class="heading"&gt;&lt;p class="alignleft"&gt;Spell Absorption, Greater&lt;/p&gt;&lt;div style="clear: both;"&gt;&lt;/div&gt;&lt;/div&gt;&lt;div&gt;&lt;h5&gt;&lt;b&gt;School &lt;/b&gt;abjuration; &lt;b&gt;Level &lt;/b&gt;sorcerer/wizard 8&lt;/h5&gt;&lt;/div&gt;&lt;hr/&gt;&lt;div&gt;&lt;h5&gt;&lt;b&gt;CASTING&lt;/b&gt;&lt;/h5&gt;&lt;/div&gt;&lt;hr/&gt;&lt;div&gt;&lt;h5&gt;&lt;b&gt;Casting Time &lt;/b&gt;1 round&lt;/h5&gt;&lt;h5&gt;&lt;b&gt;Components &lt;/b&gt;V, S, M (a prism)&lt;/h5&gt;&lt;/div&gt;&lt;hr/&gt;&lt;div&gt;&lt;h5&gt;&lt;b&gt;EFFECT&lt;/b&gt;&lt;/h5&gt;&lt;/div&gt;&lt;hr/&gt;&lt;div&gt;&lt;h5&gt;&lt;b&gt;Range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as spell absorption, save that you can absorb countered spells of 6th level or lower.&lt;/p&gt;&lt;/h4&gt;&lt;/div&gt;</t>
  </si>
  <si>
    <t>Spellscar</t>
  </si>
  <si>
    <t>V, S, M (a pinch of sand from the Spellscar Desert)</t>
  </si>
  <si>
    <t>This potent spell invokes the same sort of magical devastation that created the Mana Wastes so long ago- albeit on a much more localized (and thankfully temporary) scale. Within the area you choose to affect with spellscar,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  You gain a +4 insight bonus on concentration checks made to avoid triggering primal magic events while within a spellscar you have created, and if you do trigger a primal magic event, you may roll d% twice and pick which of the two results you wish to have occur.</t>
  </si>
  <si>
    <t>&lt;p&gt;This potent spell invokes the same sort of magical devastation that created the Mana Wastes so long ago- albeit on a much more localized (and thankfully temporary) scale. Within the area you choose to affect with &lt;i&gt;spellscar&lt;/i&gt;,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option.&lt;/p&gt;&lt;p&gt;You gain a +4 insight bonus on concentration checks made to avoid triggering primal magic events while within a &lt;i&gt;spellscar&lt;/i&gt; you have created, and if you do trigger a primal magic event, you may roll d% twice and pick which of the two results you wish to have occur.&lt;/p&gt;</t>
  </si>
  <si>
    <t>&lt;link rel="stylesheet"href="PF.css"&gt;&lt;div class="heading"&gt;&lt;p class="alignleft"&gt;Spellscar&lt;/p&gt;&lt;div style="clear: both;"&gt;&lt;/div&gt;&lt;/div&gt;&lt;div&gt;&lt;h5&gt;&lt;b&gt;School &lt;/b&gt;abjuration; &lt;b&gt;Level &lt;/b&gt;cleric/oracle 8, sorcerer/wizard 8&lt;/h5&gt;&lt;/div&gt;&lt;hr/&gt;&lt;div&gt;&lt;h5&gt;&lt;b&gt;CASTING&lt;/b&gt;&lt;/h5&gt;&lt;/div&gt;&lt;hr/&gt;&lt;div&gt;&lt;h5&gt;&lt;b&gt;Casting Time &lt;/b&gt;1 standard action&lt;/h5&gt;&lt;h5&gt;&lt;b&gt;Components &lt;/b&gt;V, S, M (a pinch of sand from the Spellscar Desert)&lt;/h5&gt;&lt;/div&gt;&lt;hr/&gt;&lt;div&gt;&lt;h5&gt;&lt;b&gt;EFFECT&lt;/b&gt;&lt;/h5&gt;&lt;/div&gt;&lt;hr/&gt;&lt;div&gt;&lt;h5&gt;&lt;b&gt;Range &lt;/b&gt;medium (100 ft. + 10 ft./level)&lt;/h5&gt;&lt;h5&gt;&lt;b&gt;Area &lt;/b&gt;two 10-ft. cubes per level (S)&lt;/h5&gt;&lt;h5&gt;&lt;b&gt;Duration &lt;/b&gt;10 minutes/level (D)&lt;/h5&gt;&lt;/div&gt;&lt;hr/&gt;&lt;div&gt;&lt;h5&gt;&lt;b&gt;DESCRIPTION&lt;/b&gt;&lt;/h5&gt;&lt;/div&gt;&lt;hr/&gt;&lt;div&gt;&lt;h4&gt;&lt;p&gt;This potent spell invokes the same sort of magical devastation that created the Mana Wastes so long ago- albeit on a much more localized (and thankfully temporary) scale. Within the area you choose to affect with &lt;i&gt;spellscar&lt;/i&gt;,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option.&lt;/p&gt;&lt;p&gt;You gain a +4 insight bonus on concentration checks made to avoid triggering primal magic events while within a &lt;i&gt;spellscar&lt;/i&gt; you have created, and if you do trigger a primal magic event, you may roll d% twice and pick which of the two results you wish to have occur.&lt;/p&gt;&lt;/h4&gt;&lt;/div&gt;</t>
  </si>
  <si>
    <t>Suppress Primal Magic</t>
  </si>
  <si>
    <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  The emanation grants a +4 circumstance bonus on all saving throws against effects generated by primal magic outside of the spell's effect that expand into the area.  Unfortunately, suppressed primal magic tends to build up around the emanation created by this spell. When suppress primal magic's duration ends (or when the spell is dispelled), a primal magic event is immediately triggered at the center of the emanation if that point is still in an area where primal magic is active. The CR of this event is equal to the caster level of the recently ended suppress primal magic spell. The original caster of the suppress primal magic spell can attempt to negate this triggered primal magic event by making a DC 20 Will save-most spellcasters instead relocate to an area not affected by primal magic if they can so that they can end the spell's effect safely.</t>
  </si>
  <si>
    <t>&lt;p&gt;Nexian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triggered.&lt;/p&gt;&lt;p&gt;The emanation grants a +4 circumstance bonus on all saving throws against effects generated by primal magic outside of the spell's effect that expand into the area.&lt;/p&gt;&lt;p&gt;Unfortunately, suppressed primal magic tends to build up around the emanation created by this spell. When &lt;i&gt;suppress primal magic&lt;/i&gt;'s duration ends (or when the spell is dispelled), a primal magic event is immediately triggered at the center of the emanation if that point is still in an area where primal magic is active. The CR of this event is equal to the caster level of the recently ended &lt;i&gt;suppress primal magic&lt;/i&gt; spell. The original caster of the &lt;i&gt;suppress primal magic&lt;/i&gt; spell can attempt to negate this triggered primal magic event by making a DC 20 Will save-most spellcasters instead relocate to an area not affected by primal magic if they can so that they can end the spell's effect safely.&lt;/p&gt;</t>
  </si>
  <si>
    <t>&lt;link rel="stylesheet"href="PF.css"&gt;&lt;div class="heading"&gt;&lt;p class="alignleft"&gt;Suppress Primal Magic&lt;/p&gt;&lt;div style="clear: both;"&gt;&lt;/div&gt;&lt;/div&gt;&lt;div&gt;&lt;h5&gt;&lt;b&gt;School &lt;/b&gt;abjuration; &lt;b&gt;Level &lt;/b&gt;cleric/oracle 4, sorcerer/wizard 4&lt;/h5&gt;&lt;/div&gt;&lt;hr/&gt;&lt;div&gt;&lt;h5&gt;&lt;b&gt;CASTING&lt;/b&gt;&lt;/h5&gt;&lt;/div&gt;&lt;hr/&gt;&lt;div&gt;&lt;h5&gt;&lt;b&gt;Casting Time &lt;/b&gt;1 standard action&lt;/h5&gt;&lt;h5&gt;&lt;b&gt;Components &lt;/b&gt;V, S, M (a pinch of sand from the Spellscar Desert)&lt;/h5&gt;&lt;/div&gt;&lt;hr/&gt;&lt;div&gt;&lt;h5&gt;&lt;b&gt;EFFECT&lt;/b&gt;&lt;/h5&gt;&lt;/div&gt;&lt;hr/&gt;&lt;div&gt;&lt;h5&gt;&lt;b&gt;Range &lt;/b&gt;10 ft.&lt;/h5&gt;&lt;h5&gt;&lt;b&gt;Area &lt;/b&gt;10-ft.-radius emanation centered on you&lt;/h5&gt;&lt;h5&gt;&lt;b&gt;Duration &lt;/b&gt;1 round/level&lt;/h5&gt;&lt;/div&gt;&lt;hr/&gt;&lt;div&gt;&lt;h5&gt;&lt;b&gt;DESCRIPTION&lt;/b&gt;&lt;/h5&gt;&lt;/div&gt;&lt;hr/&gt;&lt;div&gt;&lt;h4&gt;&lt;p&gt;Nexian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triggered.&lt;/p&gt;&lt;p&gt;The emanation grants a +4 circumstance bonus on all saving throws against effects generated by primal magic outside of the spell's effect that expand into the area.&lt;/p&gt;&lt;p&gt;Unfortunately, suppressed primal magic tends to build up around the emanation created by this spell. When &lt;i&gt;suppress primal magic&lt;/i&gt;'s duration ends (or when the spell is dispelled), a primal magic event is immediately triggered at the center of the emanation if that point is still in an area where primal magic is active. The CR of this event is equal to the caster level of the recently ended &lt;i&gt;suppress primal magic&lt;/i&gt; spell. The original caster of the &lt;i&gt;suppress primal magic&lt;/i&gt; spell can attempt to negate this triggered primal magic event by making a DC 20 Will save-most spellcasters instead relocate to an area not affected by primal magic if they can so that they can end the spell's effect safely.&lt;/p&gt;&lt;/h4&gt;&lt;/div&gt;</t>
  </si>
  <si>
    <t>Tattoo Potion</t>
  </si>
  <si>
    <t>alchemist 2, bard 2, sorcerer/wizard 2, witch 2</t>
  </si>
  <si>
    <t>V, S, M (a potion to be tattooed, special inks worth 500 gp)</t>
  </si>
  <si>
    <t>one potion</t>
  </si>
  <si>
    <t>one spell tattoo</t>
  </si>
  <si>
    <t>When you cast this spell, you mix special tattoo inks into a potion of your choice. Once you finish casting tattoo potion, the potion begins bubbling and fizzing-if no one drinks the potion within 1 minute of the spell being cast, the potion bubbles away into vapor and is destroyed.  When a potion under the effects of tattoo potion is imbibed, the effects of the potion do not occur. Instead, the potion transforms into a spell tattoo (see page 16) on the drinker's chest tattoo slot-if the drinker already has a magic tattoo in this location, the tattoo potion is wasted. Once the potion transforms into a spell tattoo, it remains in place permanently until it is used as a spell tattoo.</t>
  </si>
  <si>
    <t>&lt;p&gt;When you cast this spell, you mix special tattoo inks into a potion of your choice. Once you finish casting &lt;i&gt;tattoo potion&lt;/i&gt;, the potion begins bubbling and fizzing-if no one drinks the potion within 1 minute of the spell being cast, the potion bubbles away into vapor and is destroyed.&lt;/p&gt;&lt;p&gt;When a potion under the effects of &lt;i&gt;tattoo potion&lt;/i&gt; is imbibed, the effects of the potion do not occur. Instead, the potion transforms into a &lt;i&gt;spell tattoo&lt;/i&gt; (see page 16) on the drinker's chest tattoo slot-if the drinker already has a magic tattoo in this location, the &lt;i&gt;tattoo potion&lt;/i&gt; is wasted. Once the potion transforms into a &lt;i&gt;spell tattoo&lt;/i&gt;, it remains in place permanently until it is used as a &lt;i&gt;spell tattoo&lt;/i&gt;.&lt;/p&gt;</t>
  </si>
  <si>
    <t>&lt;link rel="stylesheet"href="PF.css"&gt;&lt;div class="heading"&gt;&lt;p class="alignleft"&gt;Tattoo Potion&lt;/p&gt;&lt;div style="clear: both;"&gt;&lt;/div&gt;&lt;/div&gt;&lt;div&gt;&lt;h5&gt;&lt;b&gt;School &lt;/b&gt;transmutation; &lt;b&gt;Level &lt;/b&gt;alchemist 2, bard 2, sorcerer/wizard 2, witch 2&lt;/h5&gt;&lt;/div&gt;&lt;hr/&gt;&lt;div&gt;&lt;h5&gt;&lt;b&gt;CASTING&lt;/b&gt;&lt;/h5&gt;&lt;/div&gt;&lt;hr/&gt;&lt;div&gt;&lt;h5&gt;&lt;b&gt;Casting Time &lt;/b&gt;1 minute&lt;/h5&gt;&lt;h5&gt;&lt;b&gt;Components &lt;/b&gt;V, S, M (a potion to be tattooed, special inks worth 500 gp)&lt;/h5&gt;&lt;/div&gt;&lt;hr/&gt;&lt;div&gt;&lt;h5&gt;&lt;b&gt;EFFECT&lt;/b&gt;&lt;/h5&gt;&lt;/div&gt;&lt;hr/&gt;&lt;div&gt;&lt;h5&gt;&lt;b&gt;Range &lt;/b&gt;one potion&lt;/h5&gt;&lt;h5&gt;&lt;b&gt;Effect &lt;/b&gt;one spell tattoo&lt;/h5&gt;&lt;h5&gt;&lt;b&gt;Duration &lt;/b&gt;instantaneous&lt;/h5&gt;&lt;h5&gt;&lt;b&gt;Saving Throw &lt;/b&gt;none; &lt;b&gt;Spell Resistance &lt;/b&gt;no&lt;/h5&gt;&lt;/div&gt;&lt;hr/&gt;&lt;div&gt;&lt;h5&gt;&lt;b&gt;DESCRIPTION&lt;/b&gt;&lt;/h5&gt;&lt;/div&gt;&lt;hr/&gt;&lt;div&gt;&lt;h4&gt;&lt;p&gt;When you cast this spell, you mix special tattoo inks into a potion of your choice. Once you finish casting &lt;i&gt;tattoo potion&lt;/i&gt;, the potion begins bubbling and fizzing-if no one drinks the potion within 1 minute of the spell being cast, the potion bubbles away into vapor and is destroyed.&lt;/p&gt;&lt;p&gt;When a potion under the effects of &lt;i&gt;tattoo potion&lt;/i&gt; is imbibed, the effects of the potion do not occur. Instead, the potion transforms into a &lt;i&gt;spell tattoo&lt;/i&gt; (see page 16) on the drinker's chest tattoo slot-if the drinker already has a magic tattoo in this location, the &lt;i&gt;tattoo potion&lt;/i&gt; is wasted. Once the potion transforms into a &lt;i&gt;spell tattoo&lt;/i&gt;, it remains in place permanently until it is used as a &lt;i&gt;spell tattoo&lt;/i&gt;.&lt;/p&gt;&lt;/h4&gt;&lt;/div&gt;</t>
  </si>
  <si>
    <t>Transfer Tattoo</t>
  </si>
  <si>
    <t>bard 1, sorcerer/wizard 1, witch 1</t>
  </si>
  <si>
    <t>V, S, M (tattooing needle)</t>
  </si>
  <si>
    <t>one magic tattoo</t>
  </si>
  <si>
    <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t>
  </si>
  <si>
    <t>&lt;p&gt;With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level.&lt;/p&gt;</t>
  </si>
  <si>
    <t>&lt;link rel="stylesheet"href="PF.css"&gt;&lt;div class="heading"&gt;&lt;p class="alignleft"&gt;Transfer Tattoo&lt;/p&gt;&lt;div style="clear: both;"&gt;&lt;/div&gt;&lt;/div&gt;&lt;div&gt;&lt;h5&gt;&lt;b&gt;School &lt;/b&gt;transmutation; &lt;b&gt;Level &lt;/b&gt;bard 1, sorcerer/wizard 1, witch 1&lt;/h5&gt;&lt;/div&gt;&lt;hr/&gt;&lt;div&gt;&lt;h5&gt;&lt;b&gt;CASTING&lt;/b&gt;&lt;/h5&gt;&lt;/div&gt;&lt;hr/&gt;&lt;div&gt;&lt;h5&gt;&lt;b&gt;Casting Time &lt;/b&gt;1 standard action&lt;/h5&gt;&lt;h5&gt;&lt;b&gt;Components &lt;/b&gt;V, S, M (tattooing needle)&lt;/h5&gt;&lt;/div&gt;&lt;hr/&gt;&lt;div&gt;&lt;h5&gt;&lt;b&gt;EFFECT&lt;/b&gt;&lt;/h5&gt;&lt;/div&gt;&lt;hr/&gt;&lt;div&gt;&lt;h5&gt;&lt;b&gt;Range &lt;/b&gt;touch&lt;/h5&gt;&lt;h5&gt;&lt;b&gt;Targets &lt;/b&gt;one magic tattoo&lt;/h5&gt;&lt;h5&gt;&lt;b&gt;Duration &lt;/b&gt;instantaneous&lt;/h5&gt;&lt;h5&gt;&lt;b&gt;Saving Throw &lt;/b&gt;Fortitude negates; &lt;b&gt;Spell Resistance &lt;/b&gt;yes&lt;/h5&gt;&lt;/div&gt;&lt;hr/&gt;&lt;div&gt;&lt;h5&gt;&lt;b&gt;DESCRIPTION&lt;/b&gt;&lt;/h5&gt;&lt;/div&gt;&lt;hr/&gt;&lt;div&gt;&lt;h4&gt;&lt;p&gt;With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level.&lt;/p&gt;&lt;/h4&gt;&lt;/div&gt;</t>
  </si>
  <si>
    <t>Vengeful Comets</t>
  </si>
  <si>
    <t>1 comet per 4 levels</t>
  </si>
  <si>
    <t>1 round/level or until completely discharged (see below)</t>
  </si>
  <si>
    <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  The actual use for the comets, though, is to make vengeful strikes against foes who dare to target you with offensive spells. As an immediate action whenever you are affected by a spell cast by another creature, you can fire one of your vengeful comets as a bolt of icy retribution (provided the source of the offensive spell is within range of your vengeful comet,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t>
  </si>
  <si>
    <t>&lt;p&gt;This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effects.&lt;/p&gt;&lt;p&gt;The actual use for the comets, though, is to make vengeful strikes against foes who dare to target you with offensive spells. As an immediate action whenever you are affected by a spell cast by another creature, you can fire one of your &lt;i&gt;&lt;i&gt;vengeful comet&lt;/i&gt;s&lt;/i&gt; as a bolt of icy retribution (provided the source of the offensive spell is within range of your &lt;i&gt;vengeful comet&lt;/i&gt;,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one.&lt;/p&gt;</t>
  </si>
  <si>
    <t>&lt;link rel="stylesheet"href="PF.css"&gt;&lt;div class="heading"&gt;&lt;p class="alignleft"&gt;Vengeful Comets&lt;/p&gt;&lt;div style="clear: both;"&gt;&lt;/div&gt;&lt;/div&gt;&lt;div&gt;&lt;h5&gt;&lt;b&gt;School &lt;/b&gt;evocation [cold]; &lt;b&gt;Level &lt;/b&gt;druid 3, sorcerer/wizard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&lt;/b&gt;1 comet per 4 levels&lt;/h5&gt;&lt;h5&gt;&lt;b&gt;Duration &lt;/b&gt;1 round/level or until completely discharged (see below)&lt;/h5&gt;&lt;h5&gt;&lt;b&gt;Saving Throw &lt;/b&gt;none; &lt;b&gt;Spell Resistance &lt;/b&gt;yes&lt;/h5&gt;&lt;/div&gt;&lt;hr/&gt;&lt;div&gt;&lt;h5&gt;&lt;b&gt;DESCRIPTION&lt;/b&gt;&lt;/h5&gt;&lt;/div&gt;&lt;hr/&gt;&lt;div&gt;&lt;h4&gt;&lt;p&gt;This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effects.&lt;/p&gt;&lt;p&gt;The actual use for the comets, though, is to make vengeful strikes against foes who dare to target you with offensive spells. As an immediate action whenever you are affected by a spell cast by another creature, you can fire one of your &lt;i&gt;&lt;i&gt;vengeful comet&lt;/i&gt;s&lt;/i&gt; as a bolt of icy retribution (provided the source of the offensive spell is within range of your &lt;i&gt;vengeful comet&lt;/i&gt;,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one.&lt;/p&gt;&lt;/h4&gt;&lt;/div&gt;</t>
  </si>
  <si>
    <t>Vex Giant</t>
  </si>
  <si>
    <t>V, S, M (a fragment from a Large or larger weapon)</t>
  </si>
  <si>
    <t>1 round per level</t>
  </si>
  <si>
    <t>The giants and their kin have long plagued the peoples of Varisia, particularly the Shoanti of the Storval Plateau. Among the various tactics and methods the Shoanti have developed to fight against their enemies, this spell is one of the most widespread today.  When you cast vex giant,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vex giant, it works equally well on any foe that's at least one size category larger than you.  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t>
  </si>
  <si>
    <t>&lt;p&gt;The giants and their kin have long plagued the peoples of Varisia, particularly the Shoanti of the Storval Plateau. Among the various tactics and methods the Shoanti have developed to fight against their enemies, this spell is one of the most widespread today.&lt;/p&gt;&lt;p&gt;When you cast &lt;i&gt;vex giant&lt;/i&gt;,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&lt;i&gt;vex giant&lt;/i&gt;, it works equally well on any foe that's at least one size category larger than you.&lt;/p&gt;&lt;p&gt;Against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foe.&lt;/p&gt;</t>
  </si>
  <si>
    <t>&lt;link rel="stylesheet"href="PF.css"&gt;&lt;div class="heading"&gt;&lt;p class="alignleft"&gt;Vex Giant&lt;/p&gt;&lt;div style="clear: both;"&gt;&lt;/div&gt;&lt;/div&gt;&lt;div&gt;&lt;h5&gt;&lt;b&gt;School &lt;/b&gt;transmutation; &lt;b&gt;Level &lt;/b&gt;ranger 3&lt;/h5&gt;&lt;/div&gt;&lt;hr/&gt;&lt;div&gt;&lt;h5&gt;&lt;b&gt;CASTING&lt;/b&gt;&lt;/h5&gt;&lt;/div&gt;&lt;hr/&gt;&lt;div&gt;&lt;h5&gt;&lt;b&gt;Casting Time &lt;/b&gt;1 standard action&lt;/h5&gt;&lt;h5&gt;&lt;b&gt;Components &lt;/b&gt;V, S, M (a fragment from a Large or larger weapon)&lt;/h5&gt;&lt;/div&gt;&lt;hr/&gt;&lt;div&gt;&lt;h5&gt;&lt;b&gt;EFFECT&lt;/b&gt;&lt;/h5&gt;&lt;/div&gt;&lt;hr/&gt;&lt;div&gt;&lt;h5&gt;&lt;b&gt;Range &lt;/b&gt;personal&lt;/h5&gt;&lt;h5&gt;&lt;b&gt;Targets &lt;/b&gt;you&lt;/h5&gt;&lt;h5&gt;&lt;b&gt;Duration &lt;/b&gt;1 round per level&lt;/h5&gt;&lt;/div&gt;&lt;hr/&gt;&lt;div&gt;&lt;h5&gt;&lt;b&gt;DESCRIPTION&lt;/b&gt;&lt;/h5&gt;&lt;/div&gt;&lt;hr/&gt;&lt;div&gt;&lt;h4&gt;&lt;p&gt;The giants and their kin have long plagued the peoples of Varisia, particularly the Shoanti of the Storval Plateau. Among the various tactics and methods the Shoanti have developed to fight against their enemies, this spell is one of the most widespread today.&lt;/p&gt;&lt;p&gt;When you cast &lt;i&gt;vex giant&lt;/i&gt;,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&lt;i&gt;vex giant&lt;/i&gt;, it works equally well on any foe that's at least one size category larger than you.&lt;/p&gt;&lt;p&gt;Against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foe.&lt;/p&gt;&lt;/h4&gt;&lt;/div&gt;</t>
  </si>
  <si>
    <t>Weaponwand</t>
  </si>
  <si>
    <t>bard 1, cleric/oracle 1, inquisitor 1, magus 1</t>
  </si>
  <si>
    <t>V, S, F (a magic wand)</t>
  </si>
  <si>
    <t>one weapon</t>
  </si>
  <si>
    <t>When you cast this spell on a weapon, you cause a portion of the weapon to open like the skin of a partially peeled apple, revealing a space large enough to insert a single wand within.  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  At the end of the spell's duration, the encased wand is ejected from the weapon. If you have a free hand, you may catch the weapon as a free action; otherwise, the wand drops to the ground. If the weapon housing the wand is broken or destroyed during the duration of weaponwand, the encased wand is similarly broken or destroyed.</t>
  </si>
  <si>
    <t>&lt;p&gt;When you cast this spell on a weapon, you cause a portion of the weapon to open like the skin of a partially peeled apple, revealing a space large enough to insert a single wand within.&lt;/p&gt;&lt;p&gt;As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spell.&lt;/p&gt;&lt;p&gt;At the end of the spell's duration, the encased wand is ejected from the weapon. If you have a free hand, you may catch the weapon as a free action; otherwise, the wand drops to the ground. If the weapon housing the wand is broken or destroyed during the duration of &lt;i&gt;weaponwand&lt;/i&gt;, the encased wand is similarly broken or destroyed.&lt;/p&gt;</t>
  </si>
  <si>
    <t>&lt;link rel="stylesheet"href="PF.css"&gt;&lt;div class="heading"&gt;&lt;p class="alignleft"&gt;Weaponwand&lt;/p&gt;&lt;div style="clear: both;"&gt;&lt;/div&gt;&lt;/div&gt;&lt;div&gt;&lt;h5&gt;&lt;b&gt;School &lt;/b&gt;transmutation; &lt;b&gt;Level &lt;/b&gt;bard 1, cleric/oracle 1, inquisitor 1, magus 1&lt;/h5&gt;&lt;/div&gt;&lt;hr/&gt;&lt;div&gt;&lt;h5&gt;&lt;b&gt;CASTING&lt;/b&gt;&lt;/h5&gt;&lt;/div&gt;&lt;hr/&gt;&lt;div&gt;&lt;h5&gt;&lt;b&gt;Casting Time &lt;/b&gt;1 round&lt;/h5&gt;&lt;h5&gt;&lt;b&gt;Components &lt;/b&gt;V, S, F (a magic wand)&lt;/h5&gt;&lt;/div&gt;&lt;hr/&gt;&lt;div&gt;&lt;h5&gt;&lt;b&gt;EFFECT&lt;/b&gt;&lt;/h5&gt;&lt;/div&gt;&lt;hr/&gt;&lt;div&gt;&lt;h5&gt;&lt;b&gt;Range &lt;/b&gt;touch&lt;/h5&gt;&lt;h5&gt;&lt;b&gt;Targets &lt;/b&gt;one weapon&lt;/h5&gt;&lt;h5&gt;&lt;b&gt;Duration &lt;/b&gt;1 minute/level&lt;/h5&gt;&lt;h5&gt;&lt;b&gt;Saving Throw &lt;/b&gt;Will negates (harmless, object); &lt;b&gt;Spell Resistance &lt;/b&gt;yes (harmless, object)&lt;/h5&gt;&lt;/div&gt;&lt;hr/&gt;&lt;div&gt;&lt;h5&gt;&lt;b&gt;DESCRIPTION&lt;/b&gt;&lt;/h5&gt;&lt;/div&gt;&lt;hr/&gt;&lt;div&gt;&lt;h4&gt;&lt;p&gt;When you cast this spell on a weapon, you cause a portion of the weapon to open like the skin of a partially peeled apple, revealing a space large enough to insert a single wand within.&lt;/p&gt;&lt;p&gt;As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spell.&lt;/p&gt;&lt;p&gt;At the end of the spell's duration, the encased wand is ejected from the weapon. If you have a free hand, you may catch the weapon as a free action; otherwise, the wand drops to the ground. If the weapon housing the wand is broken or destroyed during the duration of &lt;i&gt;weaponwand&lt;/i&gt;, the encased wand is similarly broken or destroyed.&lt;/p&gt;&lt;/h4&gt;&lt;/div&gt;</t>
  </si>
  <si>
    <t>Zone of Foul Flames</t>
  </si>
  <si>
    <t>V, S, M (a sliver of tree bark from a burnt tree from the Uskwood)</t>
  </si>
  <si>
    <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zone of foul flames looks unremarkable to the casual observer, but a Perception check (DC = 20 + the caster's level) reveals a faint rippling effect in the area, as if of heat distortions in the air.  Whenever a creature casts a spell with the fire descriptor or activates a magical fire effect (as from a magic item or a special attack) while that creature is located in a zone of foul flames, that creature takes full fire damage from the effect.  If the effect allows a saving throw to reduce the damage, the victim may attempt the same saving throw to reduce the damage. All creatures in a zone of foul flames gain a +4 circumstance bonus on all saving throws against fire effects, except for those made by a creature attempting to save against fire damage from his own magic. Nonmagical fire in a zone of foul flames burns half as brightly but is otherwise not affected.</t>
  </si>
  <si>
    <t>&lt;p&gt;The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&lt;i&gt;zone of foul flames&lt;/i&gt; looks unremarkable to the casual observer, but a Perception check (DC = 20 + the caster's level) reveals a faint rippling effect in the area, as if of heat distortions in the air.&lt;/p&gt;&lt;p&gt;Whenever a creature casts a spell with the fire descriptor or activates a magical fire effect (as from a magic item or a special attack) while that creature is located in a &lt;i&gt;zone of foul flames&lt;/i&gt;, that creature takes full fire damage from the effect.&lt;/p&gt;&lt;p&gt;If the effect allows a saving throw to reduce the damage, the victim may attempt the same saving throw to reduce the damage. All creatures in a &lt;i&gt;zone of foul flames&lt;/i&gt; gain a +4 circumstance bonus on all saving throws against fire effects, except for those made by a creature attempting to save against fire damage from his own magic. Nonmagical fire in a &lt;i&gt;zone of foul flames&lt;/i&gt; burns half as brightly but is otherwise not affected.&lt;/p&gt;</t>
  </si>
  <si>
    <t>&lt;link rel="stylesheet"href="PF.css"&gt;&lt;div class="heading"&gt;&lt;p class="alignleft"&gt;Zone of Foul Flames&lt;/p&gt;&lt;div style="clear: both;"&gt;&lt;/div&gt;&lt;/div&gt;&lt;div&gt;&lt;h5&gt;&lt;b&gt;School &lt;/b&gt;transmutation; &lt;b&gt;Level &lt;/b&gt;druid 4&lt;/h5&gt;&lt;/div&gt;&lt;hr/&gt;&lt;div&gt;&lt;h5&gt;&lt;b&gt;CASTING&lt;/b&gt;&lt;/h5&gt;&lt;/div&gt;&lt;hr/&gt;&lt;div&gt;&lt;h5&gt;&lt;b&gt;Casting Time &lt;/b&gt;1 standard action&lt;/h5&gt;&lt;h5&gt;&lt;b&gt;Components &lt;/b&gt;V, S, M (a sliver of tree bark from a burnt tree from the Uskwood)&lt;/h5&gt;&lt;/div&gt;&lt;hr/&gt;&lt;div&gt;&lt;h5&gt;&lt;b&gt;EFFECT&lt;/b&gt;&lt;/h5&gt;&lt;/div&gt;&lt;hr/&gt;&lt;div&gt;&lt;h5&gt;&lt;b&gt;Range &lt;/b&gt;close (25 ft. + 5 ft./2 levels)&lt;/h5&gt;&lt;h5&gt;&lt;b&gt;Area &lt;/b&gt;20-ft.-radius spread&lt;/h5&gt;&lt;h5&gt;&lt;b&gt;Duration &lt;/b&gt;1 minute/level&lt;/h5&gt;&lt;h5&gt;&lt;b&gt;Saving Throw &lt;/b&gt;Will negates; &lt;b&gt;Spell Resistance &lt;/b&gt;yes&lt;/h5&gt;&lt;/div&gt;&lt;hr/&gt;&lt;div&gt;&lt;h5&gt;&lt;b&gt;DESCRIPTION&lt;/b&gt;&lt;/h5&gt;&lt;/div&gt;&lt;hr/&gt;&lt;div&gt;&lt;h4&gt;&lt;p&gt;The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&lt;i&gt;zone of foul flames&lt;/i&gt; looks unremarkable to the casual observer, but a Perception check (DC = 20 + the caster's level) reveals a faint rippling effect in the area, as if of heat distortions in the air.&lt;/p&gt;&lt;p&gt;Whenever a creature casts a spell with the fire descriptor or activates a magical fire effect (as from a magic item or a special attack) while that creature is located in a &lt;i&gt;zone of foul flames&lt;/i&gt;, that creature takes full fire damage from the effect.&lt;/p&gt;&lt;p&gt;If the effect allows a saving throw to reduce the damage, the victim may attempt the same saving throw to reduce the damage. All creatures in a &lt;i&gt;zone of foul flames&lt;/i&gt; gain a +4 circumstance bonus on all saving throws against fire effects, except for those made by a creature attempting to save against fire damage from his own magic. Nonmagical fire in a &lt;i&gt;zone of foul flames&lt;/i&gt; burns half as brightly but is otherwise not affected.&lt;/p&gt;&lt;/h4&gt;&lt;/div&gt;</t>
  </si>
  <si>
    <t>Ablative Barrier</t>
  </si>
  <si>
    <t>alchemist 2, magus 2, sorcerer/wizard 3, summoner 2, bloodrager 2, occultist 2, psychic 3</t>
  </si>
  <si>
    <t>V, S, M (a piece of metal cut from a shield)</t>
  </si>
  <si>
    <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t>
  </si>
  <si>
    <t>&lt;p&gt;Invisible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discharged.&lt;/p&gt;</t>
  </si>
  <si>
    <t>Ultimate Combat</t>
  </si>
  <si>
    <t>&lt;link rel="stylesheet"href="PF.css"&gt;&lt;div class="heading"&gt;&lt;p class="alignleft"&gt;Ablative Barrier&lt;/p&gt;&lt;div style="clear: both;"&gt;&lt;/div&gt;&lt;/div&gt;&lt;div&gt;&lt;h5&gt;&lt;b&gt;School &lt;/b&gt;conjuration (creation) [force]; &lt;b&gt;Level &lt;/b&gt;alchemist 2, magus 2, sorcerer/wizard 3, summoner 2, bloodrager 2, occultist 2, psychic 3&lt;/h5&gt;&lt;/div&gt;&lt;hr/&gt;&lt;div&gt;&lt;h5&gt;&lt;b&gt;CASTING&lt;/b&gt;&lt;/h5&gt;&lt;/div&gt;&lt;hr/&gt;&lt;div&gt;&lt;h5&gt;&lt;b&gt;Casting Time &lt;/b&gt;1 standard action&lt;/h5&gt;&lt;h5&gt;&lt;b&gt;Components &lt;/b&gt;V, S, M (a piece of metal cut from a shield)&lt;/h5&gt;&lt;/div&gt;&lt;hr/&gt;&lt;div&gt;&lt;h5&gt;&lt;b&gt;EFFECT&lt;/b&gt;&lt;/h5&gt;&lt;/div&gt;&lt;hr/&gt;&lt;div&gt;&lt;h5&gt;&lt;b&gt;Range &lt;/b&gt;touch&lt;/h5&gt;&lt;h5&gt;&lt;b&gt;Targets &lt;/b&gt;creature touched&lt;/h5&gt;&lt;h5&gt;&lt;b&gt;Duration &lt;/b&gt;1 hour/level or until discharged&lt;/h5&gt;&lt;h5&gt;&lt;b&gt;Saving Throw &lt;/b&gt;Will negates (harmless); &lt;b&gt;Spell Resistance &lt;/b&gt;no&lt;/h5&gt;&lt;/div&gt;&lt;hr/&gt;&lt;div&gt;&lt;h5&gt;&lt;b&gt;DESCRIPTION&lt;/b&gt;&lt;/h5&gt;&lt;/div&gt;&lt;hr/&gt;&lt;div&gt;&lt;h4&gt;&lt;p&gt;Invisible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discharged.&lt;/p&gt;&lt;/h4&gt;&lt;h5&gt;&lt;b&gt;Mythic: &lt;/b&gt;Add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discharged.&lt;/h5&gt;&lt;/div&gt;</t>
  </si>
  <si>
    <t>Surrounds the target with layers of force.</t>
  </si>
  <si>
    <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t>
  </si>
  <si>
    <t>Absorb Toxicity</t>
  </si>
  <si>
    <t>alchemist 3, druid 4, sorcerer/wizard 5, witch 4, psychic 5</t>
  </si>
  <si>
    <t>V, S, M (a thorn from a poisonous plant)</t>
  </si>
  <si>
    <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absorb toxicity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t>
  </si>
  <si>
    <t>&lt;p&gt;You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&lt;i&gt;absorb toxicity&lt;/i&gt;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disease.&lt;/p&gt;</t>
  </si>
  <si>
    <t>&lt;link rel="stylesheet"href="PF.css"&gt;&lt;div class="heading"&gt;&lt;p class="alignleft"&gt;Absorb Toxicity&lt;/p&gt;&lt;div style="clear: both;"&gt;&lt;/div&gt;&lt;/div&gt;&lt;div&gt;&lt;h5&gt;&lt;b&gt;School &lt;/b&gt;necromancy; &lt;b&gt;Level &lt;/b&gt;alchemist 3, druid 4, sorcerer/wizard 5, witch 4, psychic 5&lt;/h5&gt;&lt;/div&gt;&lt;hr/&gt;&lt;div&gt;&lt;h5&gt;&lt;b&gt;CASTING&lt;/b&gt;&lt;/h5&gt;&lt;/div&gt;&lt;hr/&gt;&lt;div&gt;&lt;h5&gt;&lt;b&gt;Casting Time &lt;/b&gt;1 standard action&lt;/h5&gt;&lt;h5&gt;&lt;b&gt;Components &lt;/b&gt;V, S, M (a thorn from a poisonous plant)&lt;/h5&gt;&lt;/div&gt;&lt;hr/&gt;&lt;div&gt;&lt;h5&gt;&lt;b&gt;EFFECT&lt;/b&gt;&lt;/h5&gt;&lt;/div&gt;&lt;hr/&gt;&lt;div&gt;&lt;h5&gt;&lt;b&gt;Range &lt;/b&gt;personal&lt;/h5&gt;&lt;h5&gt;&lt;b&gt;Targets &lt;/b&gt;you&lt;/h5&gt;&lt;h5&gt;&lt;b&gt;Duration &lt;/b&gt;10 minutes/level or until discharged&lt;/h5&gt;&lt;h5&gt;&lt;b&gt;Saving Throw &lt;/b&gt;see text; &lt;b&gt;Spell Resistance &lt;/b&gt;no&lt;/h5&gt;&lt;/div&gt;&lt;hr/&gt;&lt;div&gt;&lt;h5&gt;&lt;b&gt;DESCRIPTION&lt;/b&gt;&lt;/h5&gt;&lt;/div&gt;&lt;hr/&gt;&lt;div&gt;&lt;h4&gt;&lt;p&gt;You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&lt;i&gt;absorb toxicity&lt;/i&gt;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disease.&lt;/p&gt;&lt;/h4&gt;&lt;/div&gt;</t>
  </si>
  <si>
    <t>You become immune to diseases and toxins, absorb one, and then spread it to others.</t>
  </si>
  <si>
    <t>Abundant Ammunition</t>
  </si>
  <si>
    <t>bard 1, cleric/oracle 1, ranger 1, sorcerer/wizard 1, psychic 1</t>
  </si>
  <si>
    <t>V, S, M/DF (a single piece of ammunition)</t>
  </si>
  <si>
    <t>one container touched</t>
  </si>
  <si>
    <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align weapon or greater magic weapon, on the same container, all projectiles this spell conjures are affected by that spell.</t>
  </si>
  <si>
    <t>&lt;p&gt;When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&lt;i&gt;align weapon&lt;/i&gt; or &lt;i&gt;greater magic weapon&lt;/i&gt;, on the same container, all projectiles this spell conjures are affected by that spell.&lt;/p&gt;</t>
  </si>
  <si>
    <t>&lt;link rel="stylesheet"href="PF.css"&gt;&lt;div class="heading"&gt;&lt;p class="alignleft"&gt;Abundant Ammunition&lt;/p&gt;&lt;div style="clear: both;"&gt;&lt;/div&gt;&lt;/div&gt;&lt;div&gt;&lt;h5&gt;&lt;b&gt;School &lt;/b&gt;conjuration (summoning); &lt;b&gt;Level &lt;/b&gt;bard 1, cleric/oracle 1, ranger 1, sorcerer/wizard 1, psychic 1&lt;/h5&gt;&lt;/div&gt;&lt;hr/&gt;&lt;div&gt;&lt;h5&gt;&lt;b&gt;CASTING&lt;/b&gt;&lt;/h5&gt;&lt;/div&gt;&lt;hr/&gt;&lt;div&gt;&lt;h5&gt;&lt;b&gt;Casting Time &lt;/b&gt;1 standard action&lt;/h5&gt;&lt;h5&gt;&lt;b&gt;Components &lt;/b&gt;V, S, M/DF (a single piece of ammunition)&lt;/h5&gt;&lt;/div&gt;&lt;hr/&gt;&lt;div&gt;&lt;h5&gt;&lt;b&gt;EFFECT&lt;/b&gt;&lt;/h5&gt;&lt;/div&gt;&lt;hr/&gt;&lt;div&gt;&lt;h5&gt;&lt;b&gt;Targets &lt;/b&gt;one container touched&lt;/h5&gt;&lt;h5&gt;&lt;b&gt;Duration &lt;/b&gt;1 minute/level&lt;/h5&gt;&lt;h5&gt;&lt;b&gt;Saving Throw &lt;/b&gt;none; &lt;b&gt;Spell Resistance &lt;/b&gt;no&lt;/h5&gt;&lt;/div&gt;&lt;hr/&gt;&lt;div&gt;&lt;h5&gt;&lt;b&gt;DESCRIPTION&lt;/b&gt;&lt;/h5&gt;&lt;/div&gt;&lt;hr/&gt;&lt;div&gt;&lt;h4&gt;&lt;p&gt;When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&lt;i&gt;align weapon&lt;/i&gt; or &lt;i&gt;greater magic weapon&lt;/i&gt;, on the same container, all projectiles this spell conjures are affected by that spell.&lt;/p&gt;&lt;/h4&gt;&lt;/div&gt;</t>
  </si>
  <si>
    <t>Replaces nonmagical ammunition every round.</t>
  </si>
  <si>
    <t>Adjuring Step</t>
  </si>
  <si>
    <t>alchemist 1, bard 1, magus 1, sorcerer/wizard 1, occultist 1, psychic 1</t>
  </si>
  <si>
    <t>V, S, M (a rabbit's foot)</t>
  </si>
  <si>
    <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t>
  </si>
  <si>
    <t>&lt;p&gt;This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normal.&lt;/p&gt;</t>
  </si>
  <si>
    <t>&lt;link rel="stylesheet"href="PF.css"&gt;&lt;div class="heading"&gt;&lt;p class="alignleft"&gt;Adjuring Step&lt;/p&gt;&lt;div style="clear: both;"&gt;&lt;/div&gt;&lt;/div&gt;&lt;div&gt;&lt;h5&gt;&lt;b&gt;School &lt;/b&gt;abjuration [force]; &lt;b&gt;Level &lt;/b&gt;alchemist 1, bard 1, magus 1, sorcerer/wizard 1, occultist 1, psychic 1&lt;/h5&gt;&lt;/div&gt;&lt;hr/&gt;&lt;div&gt;&lt;h5&gt;&lt;b&gt;CASTING&lt;/b&gt;&lt;/h5&gt;&lt;/div&gt;&lt;hr/&gt;&lt;div&gt;&lt;h5&gt;&lt;b&gt;Casting Time &lt;/b&gt;1 standard action&lt;/h5&gt;&lt;h5&gt;&lt;b&gt;Components &lt;/b&gt;V, S, M (a rabbit's foot)&lt;/h5&gt;&lt;/div&gt;&lt;hr/&gt;&lt;div&gt;&lt;h5&gt;&lt;b&gt;EFFECT&lt;/b&gt;&lt;/h5&gt;&lt;/div&gt;&lt;hr/&gt;&lt;div&gt;&lt;h5&gt;&lt;b&gt;Range &lt;/b&gt;personal&lt;/h5&gt;&lt;h5&gt;&lt;b&gt;Targets &lt;/b&gt;you&lt;/h5&gt;&lt;h5&gt;&lt;b&gt;Duration &lt;/b&gt;1 round/level or until discharged&lt;/h5&gt;&lt;/div&gt;&lt;hr/&gt;&lt;div&gt;&lt;h5&gt;&lt;b&gt;DESCRIPTION&lt;/b&gt;&lt;/h5&gt;&lt;/div&gt;&lt;hr/&gt;&lt;div&gt;&lt;h4&gt;&lt;p&gt;This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normal.&lt;/p&gt;&lt;/h4&gt;&lt;/div&gt;</t>
  </si>
  <si>
    <t>You can move slowly and safely and still cast spells, until you move quickly, make an attack, or cast a harmful spell.</t>
  </si>
  <si>
    <t>Adoration</t>
  </si>
  <si>
    <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t>
  </si>
  <si>
    <t>&lt;p&gt;The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checks.&lt;/p&gt;</t>
  </si>
  <si>
    <t>&lt;link rel="stylesheet"href="PF.css"&gt;&lt;div class="heading"&gt;&lt;p class="alignleft"&gt;Adoration&lt;/p&gt;&lt;div style="clear: both;"&gt;&lt;/div&gt;&lt;/div&gt;&lt;div&gt;&lt;h5&gt;&lt;b&gt;School &lt;/b&gt;enchantment [emotion, mind-affecting]; &lt;b&gt;Level &lt;/b&gt;bard 1, sorcerer/wizard 2, witch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&lt;/b&gt;yes&lt;/h5&gt;&lt;/div&gt;&lt;hr/&gt;&lt;div&gt;&lt;h5&gt;&lt;b&gt;DESCRIPTION&lt;/b&gt;&lt;/h5&gt;&lt;/div&gt;&lt;hr/&gt;&lt;div&gt;&lt;h4&gt;&lt;p&gt;The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checks.&lt;/p&gt;&lt;/h4&gt;&lt;/div&gt;</t>
  </si>
  <si>
    <t>You gain a bonus on Diplomacy checks and performance combat checks.</t>
  </si>
  <si>
    <t>Air Bubble</t>
  </si>
  <si>
    <t>cleric/oracle 1, druid 1, ranger 1, sorcerer/wizard 1, witch 1, psychic 1</t>
  </si>
  <si>
    <t>S, M/DF (a small bladder filled with air)</t>
  </si>
  <si>
    <t>one creature or one object no larger than a Large two-handed weapon</t>
  </si>
  <si>
    <t>Air bubble creates a small pocket of breathable air that surrounds the touched creature's head or the touched object. The air bubble allows the creature touched to breathe underwater or in similar airless environments, or protects the object touched from water damage.  A firearm within an air bubble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air bubble explodes, the explosion occurs normally.</t>
  </si>
  <si>
    <t>&lt;p&gt;&lt;i&gt;Air bubble&lt;/i&gt; creates a small pocket of breathable air that surrounds the touched creature's head or the touched object. The &lt;i&gt;air bubble&lt;/i&gt; allows the creature touched to breathe underwater or in similar airless environments, or protects the object touched from water damage.  A firearm within an &lt;i&gt;air bubble&lt;/i&gt;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&lt;i&gt;air bubble&lt;/i&gt; explodes, the explosion occurs normally.&lt;/p&gt;</t>
  </si>
  <si>
    <t>&lt;link rel="stylesheet"href="PF.css"&gt;&lt;div class="heading"&gt;&lt;p class="alignleft"&gt;Air Bubble&lt;/p&gt;&lt;div style="clear: both;"&gt;&lt;/div&gt;&lt;/div&gt;&lt;div&gt;&lt;h5&gt;&lt;b&gt;School &lt;/b&gt;conjuration (creation); &lt;b&gt;Level &lt;/b&gt;cleric/oracle 1, druid 1, ranger 1, sorcerer/wizard 1, witch 1, psychic 1&lt;/h5&gt;&lt;/div&gt;&lt;hr/&gt;&lt;div&gt;&lt;h5&gt;&lt;b&gt;CASTING&lt;/b&gt;&lt;/h5&gt;&lt;/div&gt;&lt;hr/&gt;&lt;div&gt;&lt;h5&gt;&lt;b&gt;Casting Time &lt;/b&gt;1 standard action&lt;/h5&gt;&lt;h5&gt;&lt;b&gt;Components &lt;/b&gt;S, M/DF (a small bladder filled with air)&lt;/h5&gt;&lt;/div&gt;&lt;hr/&gt;&lt;div&gt;&lt;h5&gt;&lt;b&gt;EFFECT&lt;/b&gt;&lt;/h5&gt;&lt;/div&gt;&lt;hr/&gt;&lt;div&gt;&lt;h5&gt;&lt;b&gt;Range &lt;/b&gt;touch&lt;/h5&gt;&lt;h5&gt;&lt;b&gt;Targets &lt;/b&gt;one creature or one object no larger than a Large two-handed weapon&lt;/h5&gt;&lt;h5&gt;&lt;b&gt;Duration &lt;/b&gt;1 minute/level&lt;/h5&gt;&lt;h5&gt;&lt;b&gt;Saving Throw &lt;/b&gt;Will negates (harmless); &lt;b&gt;Spell Resistance &lt;/b&gt;yes (harmless)&lt;/h5&gt;&lt;/div&gt;&lt;hr/&gt;&lt;div&gt;&lt;h5&gt;&lt;b&gt;DESCRIPTION&lt;/b&gt;&lt;/h5&gt;&lt;/div&gt;&lt;hr/&gt;&lt;div&gt;&lt;h4&gt;&lt;p&gt;&lt;i&gt;Air bubble&lt;/i&gt; creates a small pocket of breathable air that surrounds the touched creature's head or the touched object. The &lt;i&gt;air bubble&lt;/i&gt; allows the creature touched to breathe underwater or in similar airless environments, or protects the object touched from water damage.  A firearm within an &lt;i&gt;air bubble&lt;/i&gt;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&lt;i&gt;air bubble&lt;/i&gt; explodes, the explosion occurs normally.&lt;/p&gt;&lt;/h4&gt;&lt;/div&gt;</t>
  </si>
  <si>
    <t>Creates a small pocket of air around your head or an object.</t>
  </si>
  <si>
    <t>Air Walk, Communal</t>
  </si>
  <si>
    <t>alchemist 5, cleric/oracle 5, druid 5, occultist 5</t>
  </si>
  <si>
    <t>creatures touched</t>
  </si>
  <si>
    <t>This spell functions like air walk, except divide the duration in 10-minute intervals among the creatures touched.</t>
  </si>
  <si>
    <t>&lt;p&gt;This spell functions like &lt;i&gt;air walk&lt;/i&gt;, except divide the duration in 10-minute intervals among the creatures touched.&lt;/p&gt;</t>
  </si>
  <si>
    <t>&lt;link rel="stylesheet"href="PF.css"&gt;&lt;div class="heading"&gt;&lt;p class="alignleft"&gt;Air Walk, Communal&lt;/p&gt;&lt;div style="clear: both;"&gt;&lt;/div&gt;&lt;/div&gt;&lt;div&gt;&lt;h5&gt;&lt;b&gt;School &lt;/b&gt;transmutation [air]; &lt;b&gt;Level &lt;/b&gt;alchemist 5, cleric/oracle 5, druid 5, occultist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&lt;/b&gt;none; &lt;b&gt;Spell Resistance &lt;/b&gt;yes (harmless)&lt;/h5&gt;&lt;/div&gt;&lt;hr/&gt;&lt;div&gt;&lt;h5&gt;&lt;b&gt;DESCRIPTION&lt;/b&gt;&lt;/h5&gt;&lt;/div&gt;&lt;hr/&gt;&lt;div&gt;&lt;h4&gt;&lt;p&gt;This spell functions like &lt;i&gt;air walk&lt;/i&gt;, except divide the duration in 10-minute intervals among the creatures touched.&lt;/p&gt;&lt;/h4&gt;&lt;/div&gt;</t>
  </si>
  <si>
    <t>As air walk, but you may divide the duration among creatures touched.</t>
  </si>
  <si>
    <t>Animal Aspect</t>
  </si>
  <si>
    <t>alchemist 2, magus 2, druid 2, ranger 2, sorcerer/wizard 2, bloodrager 2, psychic 2</t>
  </si>
  <si>
    <t>V, S, M/DF (a part of the animal)</t>
  </si>
  <si>
    <t>You gain some of the beneficial qualities of an animal. Your base form is largely unchanged and your size is unaltered, but some of your body parts are altered. Armor or gear you are wearing adjusts to your new shape for the duration of the spell. When you cast animal aspect, choose one of the following animals to gain the associated benefits. You can only have one animal aspect or greater animal aspect spell active on you at a time.  Frog: Your legs become elongated and muscular. You gain a +4 competence bonus on Acrobatics checks, and you always jump as if you had a running start.  Gorilla: Your arms become long, flexible, and strong like those of a great ape. Your unarmed damage die type increases by one step, and you gain a +4 competence bonus on combat maneuver checks when making the grapple or reposition combat maneuver.  Monkey: Your hands and arms become dexterous like those of a simian. You gain a +4 competence bonus on Climb checks, and you can throw objects as if you had the Throw Anything feat.  Otter: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Raccoon: Your hands become extremely dexterous, and your feet become padded. You gain a +2 competence bonus on Disable Device, Sleight of Hand, and Stealth checks.  Raptor: Your legs become built for running speed, like those of a deinonychus. You gain a enhancement bonus of +20 feet to your base speed.  Tree Lizard: Your hands and feet gain climbing claws and climbing pads. You gain a climb speed equal to half your normal speed and all the benefits of having a natural climb speed.</t>
  </si>
  <si>
    <t>&lt;p&gt;You gain some of the beneficial qualities of an animal. Your base form is largely unchanged and your size is unaltered, but some of your body parts are altered. Armor or gear you are wearing adjusts to your new shape for the duration of the spell. When you cast &lt;i&gt;animal aspect&lt;/i&gt;, choose one of the following animals to gain the associated benefits. You can only have one &lt;i&gt;animal aspect&lt;/i&gt; or greater &lt;i&gt;animal aspect&lt;/i&gt; spell active on you at a time.  &lt;br&gt;&lt;i&gt;Frog&lt;/i&gt;: Your legs become elongated and muscular. You gain a +4 competence bonus on Acrobatics checks, and you always jump as if you had a running start.  &lt;br&gt;&lt;i&gt;Gorilla&lt;/i&gt;: Your arms become long, flexible, and strong like those of a great ape. Your unarmed damage die type increases by one step, and you gain a +4 competence bonus on combat maneuver checks when making the grapple or reposition combat maneuver.  &lt;br&gt;&lt;i&gt;Monkey&lt;/i&gt;: Your hands and arms become dexterous like those of a simian. You gain a +4 competence bonus on Climb checks, and you can throw objects as if you had the Throw Anything feat.  &lt;br&gt;&lt;i&gt;Otter&lt;/i&gt;: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&lt;br&gt;&lt;i&gt;Raccoon&lt;/i&gt;: Your hands become extremely dexterous, and your feet become padded. You gain a +2 competence bonus on Disable Device, Sleight of Hand, and Stealth checks.  &lt;br&gt;&lt;i&gt;Raptor&lt;/i&gt;: Your legs become built for running speed, like those of a deinonychus. You gain a enhancement bonus of +20 feet to your base speed.  &lt;br&gt;&lt;i&gt;Tree Lizard&lt;/i&gt;: Your hands and feet gain climbing claws and climbing pads. You gain a climb speed equal to half your normal speed and all the benefits of having a natural climb speed.&lt;/p&gt;</t>
  </si>
  <si>
    <t>&lt;link rel="stylesheet"href="PF.css"&gt;&lt;div class="heading"&gt;&lt;p class="alignleft"&gt;Animal Aspect&lt;/p&gt;&lt;div style="clear: both;"&gt;&lt;/div&gt;&lt;/div&gt;&lt;div&gt;&lt;h5&gt;&lt;b&gt;School &lt;/b&gt;transmutation (polymorph); &lt;b&gt;Level &lt;/b&gt;alchemist 2, magus 2, druid 2, ranger 2, sorcerer/wizard 2, bloodrager 2, psychic 2&lt;/h5&gt;&lt;/div&gt;&lt;hr/&gt;&lt;div&gt;&lt;h5&gt;&lt;b&gt;CASTING&lt;/b&gt;&lt;/h5&gt;&lt;/div&gt;&lt;hr/&gt;&lt;div&gt;&lt;h5&gt;&lt;b&gt;Casting Time &lt;/b&gt;1 standard action&lt;/h5&gt;&lt;h5&gt;&lt;b&gt;Components &lt;/b&gt;V, S, M/DF (a part of the animal)&lt;/h5&gt;&lt;/div&gt;&lt;hr/&gt;&lt;div&gt;&lt;h5&gt;&lt;b&gt;EFFECT&lt;/b&gt;&lt;/h5&gt;&lt;/div&gt;&lt;hr/&gt;&lt;div&gt;&lt;h5&gt;&lt;b&gt;Range &lt;/b&gt;personal&lt;/h5&gt;&lt;h5&gt;&lt;b&gt;Targets &lt;/b&gt;you&lt;/h5&gt;&lt;h5&gt;&lt;b&gt;Duration &lt;/b&gt;1 minute/level (D)&lt;/h5&gt;&lt;h5&gt;&lt;b&gt;Saving Throw &lt;/b&gt;none; &lt;b&gt;Spell Resistance &lt;/b&gt;yes (harmless)&lt;/h5&gt;&lt;/div&gt;&lt;hr/&gt;&lt;div&gt;&lt;h5&gt;&lt;b&gt;DESCRIPTION&lt;/b&gt;&lt;/h5&gt;&lt;/div&gt;&lt;hr/&gt;&lt;div&gt;&lt;h4&gt;&lt;p&gt;You gain some of the beneficial qualities of an animal. Your base form is largely unchanged and your size is unaltered, but some of your body parts are altered. Armor or gear you are wearing adjusts to your new shape for the duration of the spell. When you cast &lt;i&gt;animal aspect&lt;/i&gt;, choose one of the following animals to gain the associated benefits. You can only have one &lt;i&gt;animal aspect&lt;/i&gt; or greater &lt;i&gt;animal aspect&lt;/i&gt; spell active on you at a time.  &lt;br&gt;&lt;i&gt;Frog&lt;/i&gt;: Your legs become elongated and muscular. You gain a +4 competence bonus on Acrobatics checks, and you always jump as if you had a running start.  &lt;br&gt;&lt;i&gt;Gorilla&lt;/i&gt;: Your arms become long, flexible, and strong like those of a great ape. Your unarmed damage die type increases by one step, and you gain a +4 competence bonus on combat maneuver checks when making the grapple or reposition combat maneuver.  &lt;br&gt;&lt;i&gt;Monkey&lt;/i&gt;: Your hands and arms become dexterous like those of a simian. You gain a +4 competence bonus on Climb checks, and you can throw objects as if you had the Throw Anything feat.  &lt;br&gt;&lt;i&gt;Otter&lt;/i&gt;: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&lt;br&gt;&lt;i&gt;Raccoon&lt;/i&gt;: Your hands become extremely dexterous, and your feet become padded. You gain a +2 competence bonus on Disable Device, Sleight of Hand, and Stealth checks.  &lt;br&gt;&lt;i&gt;Raptor&lt;/i&gt;: Your legs become built for running speed, like those of a deinonychus. You gain a enhancement bonus of +20 feet to your base speed.  &lt;br&gt;&lt;i&gt;Tree Lizard&lt;/i&gt;: Your hands and feet gain climbing claws and climbing pads. You gain a climb speed equal to half your normal speed and all the benefits of having a natural climb speed.&lt;/p&gt;&lt;/h4&gt;&lt;h5&gt;&lt;b&gt;Mythic: &lt;/b&gt;You gain low-light vision, a +2 size bonus to the physical ability score of your choice, and a +1 enhancement bonus to your natural armor. Alternatively, you may cast the non-mythic form of this spell on a touched willing creature.&lt;/h5&gt;&lt;/div&gt;</t>
  </si>
  <si>
    <t>You gain some of the beneficial qualities of an animal.</t>
  </si>
  <si>
    <t>You gain low-light vision, a +2 size bonus to the physical ability score of your choice, and a +1 enhancement bonus to your natural armor. Alternatively, you may cast the non-mythic form of this spell on a touched willing creature.</t>
  </si>
  <si>
    <t>Animal Aspect, Greater</t>
  </si>
  <si>
    <t>alchemist 3, magus 3, druid 3, ranger 3, sorcerer/wizard 4, bloodrager 3, psychic 4</t>
  </si>
  <si>
    <t>This spell functions like animal aspect, except you can either gain two aspects at once or one aspect that adds effects to the aspects that animal aspect grants, as described below.  Frog: You gain a Swim speed equal to half your normal speed, and all the benefits of having a swim speed.  Gorilla: You gain a +2 competence bonus on Perception checks, and a +1 competence bonus on Fortitude saves.  Monkey: You gain a +4 competence bonus on Acrobatics checks.  Otter: Your swim speed increases to your full normal speed, and you need not make concentration checks to cast spells underwater.  Raccoon: Your competence bonuses on Disable Device, Sleight of Hand, and Stealth checks increase to +4.  Raptor: Your enhancement bonus to speed increases to +30 feet, and you gain the benefit of the Run feat.  Tree Lizard: You gain a +4 competence bonus on Stealth checks.</t>
  </si>
  <si>
    <t>&lt;p&gt;This spell functions like &lt;i&gt;animal aspect&lt;/i&gt;, except you can either gain two aspects at once or one aspect that adds effects to the aspects that &lt;i&gt;animal aspect&lt;/i&gt; grants, as described below.  &lt;br&gt;&lt;i&gt;Frog&lt;/i&gt;: You gain a Swim speed equal to half your normal speed, and all the benefits of having a swim speed.  &lt;br&gt;&lt;i&gt;Gorilla&lt;/i&gt;: You gain a +2 competence bonus on Perception checks, and a +1 competence bonus on Fortitude saves.  &lt;br&gt;&lt;i&gt;Monkey&lt;/i&gt;: You gain a +4 competence bonus on Acrobatics checks.  &lt;br&gt;&lt;i&gt;Otter&lt;/i&gt;: Your swim speed increases to your full normal speed, and you need not make concentration checks to cast spells underwater.  &lt;br&gt;&lt;i&gt;Raccoon&lt;/i&gt;: Your competence bonuses on Disable Device, Sleight of Hand, and Stealth checks increase to +4.  &lt;br&gt;&lt;i&gt;Raptor&lt;/i&gt;: Your enhancement bonus to speed increases to +30 feet, and you gain the benefit of the Run feat.  &lt;br&gt;&lt;i&gt;Tree Lizard&lt;/i&gt;: You gain a +4 competence bonus on Stealth checks.&lt;/p&gt;</t>
  </si>
  <si>
    <t>&lt;link rel="stylesheet"href="PF.css"&gt;&lt;div class="heading"&gt;&lt;p class="alignleft"&gt;Animal Aspect, Greater&lt;/p&gt;&lt;div style="clear: both;"&gt;&lt;/div&gt;&lt;/div&gt;&lt;div&gt;&lt;h5&gt;&lt;b&gt;School &lt;/b&gt;transmutation (polymorph); &lt;b&gt;Level &lt;/b&gt;alchemist 3, magus 3, druid 3, ranger 3, sorcerer/wizard 4, bloodrager 3, psychic 4&lt;/h5&gt;&lt;/div&gt;&lt;hr/&gt;&lt;div&gt;&lt;h5&gt;&lt;b&gt;CASTING&lt;/b&gt;&lt;/h5&gt;&lt;/div&gt;&lt;hr/&gt;&lt;div&gt;&lt;h5&gt;&lt;b&gt;Casting Time &lt;/b&gt;1 standard action&lt;/h5&gt;&lt;h5&gt;&lt;b&gt;Components &lt;/b&gt;V, S, M/DF (a part of the animal)&lt;/h5&gt;&lt;/div&gt;&lt;hr/&gt;&lt;div&gt;&lt;h5&gt;&lt;b&gt;EFFECT&lt;/b&gt;&lt;/h5&gt;&lt;/div&gt;&lt;hr/&gt;&lt;div&gt;&lt;h5&gt;&lt;b&gt;Range &lt;/b&gt;personal&lt;/h5&gt;&lt;h5&gt;&lt;b&gt;Targets &lt;/b&gt;you&lt;/h5&gt;&lt;h5&gt;&lt;b&gt;Duration &lt;/b&gt;1 minute/level (D)&lt;/h5&gt;&lt;h5&gt;&lt;b&gt;Saving Throw &lt;/b&gt;none; &lt;b&gt;Spell Resistance &lt;/b&gt;yes (harmless)&lt;/h5&gt;&lt;/div&gt;&lt;hr/&gt;&lt;div&gt;&lt;h5&gt;&lt;b&gt;DESCRIPTION&lt;/b&gt;&lt;/h5&gt;&lt;/div&gt;&lt;hr/&gt;&lt;div&gt;&lt;h4&gt;&lt;p&gt;This spell functions like &lt;i&gt;animal aspect&lt;/i&gt;, except you can either gain two aspects at once or one aspect that adds effects to the aspects that &lt;i&gt;animal aspect&lt;/i&gt; grants, as described below.  &lt;br&gt;&lt;i&gt;Frog&lt;/i&gt;: You gain a Swim speed equal to half your normal speed, and all the benefits of having a swim speed.  &lt;br&gt;&lt;i&gt;Gorilla&lt;/i&gt;: You gain a +2 competence bonus on Perception checks, and a +1 competence bonus on Fortitude saves.  &lt;br&gt;&lt;i&gt;Monkey&lt;/i&gt;: You gain a +4 competence bonus on Acrobatics checks.  &lt;br&gt;&lt;i&gt;Otter&lt;/i&gt;: Your swim speed increases to your full normal speed, and you need not make concentration checks to cast spells underwater.  &lt;br&gt;&lt;i&gt;Raccoon&lt;/i&gt;: Your competence bonuses on Disable Device, Sleight of Hand, and Stealth checks increase to +4.  &lt;br&gt;&lt;i&gt;Raptor&lt;/i&gt;: Your enhancement bonus to speed increases to +30 feet, and you gain the benefit of the Run feat.  &lt;br&gt;&lt;i&gt;Tree Lizard&lt;/i&gt;: You gain a +4 competence bonus on Stealth checks.&lt;/p&gt;&lt;/h4&gt;&lt;/div&gt;</t>
  </si>
  <si>
    <t>Competition (3)</t>
  </si>
  <si>
    <t>As animal aspect, but you gain two animal qualities.</t>
  </si>
  <si>
    <t>Ant Haul, Communal</t>
  </si>
  <si>
    <t>alchemist 2, cleric/oracle 2, druid 2, ranger 2, sorcerer/wizard 2, summoner 2, occultist 2, psychic 2</t>
  </si>
  <si>
    <t>This spell functions like ant haul (see page 202 of the Pathfinder RPG Advanced Player's Guide), except you may divide the duration in 2-hour intervals among the creatures touched.</t>
  </si>
  <si>
    <t>&lt;p&gt;This spell functions like ant haul (see page 202 of the Pathfinder RPG Advanced Player's Guide), except you may divide the duration in 2-hour intervals among the creatures touched.&lt;/p&gt;</t>
  </si>
  <si>
    <t>&lt;link rel="stylesheet"href="PF.css"&gt;&lt;div class="heading"&gt;&lt;p class="alignleft"&gt;Ant Haul, Communal&lt;/p&gt;&lt;div style="clear: both;"&gt;&lt;/div&gt;&lt;/div&gt;&lt;div&gt;&lt;h5&gt;&lt;b&gt;School &lt;/b&gt;transmutation; &lt;b&gt;Level &lt;/b&gt;alchemist 2, cleric/oracle 2, druid 2, ranger 2, sorcerer/wizard 2, summoner 2, occultist 2, psychic 2&lt;/h5&gt;&lt;/div&gt;&lt;hr/&gt;&lt;div&gt;&lt;h5&gt;&lt;b&gt;CASTING&lt;/b&gt;&lt;/h5&gt;&lt;/div&gt;&lt;hr/&gt;&lt;div&gt;&lt;h5&gt;&lt;b&gt;Casting Time &lt;/b&gt;1 standard action&lt;/h5&gt;&lt;h5&gt;&lt;b&gt;Components &lt;/b&gt;V, S, M/DF (a small pulley)&lt;/h5&gt;&lt;/div&gt;&lt;hr/&gt;&lt;div&gt;&lt;h5&gt;&lt;b&gt;EFFECT&lt;/b&gt;&lt;/h5&gt;&lt;/div&gt;&lt;hr/&gt;&lt;div&gt;&lt;h5&gt;&lt;b&gt;Range &lt;/b&gt;touch&lt;/h5&gt;&lt;h5&gt;&lt;b&gt;Targets &lt;/b&gt;creatures touched&lt;/h5&gt;&lt;h5&gt;&lt;b&gt;Duration &lt;/b&gt;2 hours/level&lt;/h5&gt;&lt;h5&gt;&lt;b&gt;Saving Throw &lt;/b&gt;Fortitude negates (harmless); &lt;b&gt;Spell Resistance &lt;/b&gt;yes (harmless)&lt;/h5&gt;&lt;/div&gt;&lt;hr/&gt;&lt;div&gt;&lt;h5&gt;&lt;b&gt;DESCRIPTION&lt;/b&gt;&lt;/h5&gt;&lt;/div&gt;&lt;hr/&gt;&lt;div&gt;&lt;h4&gt;&lt;p&gt;This spell functions like ant haul (see page 202 of the Pathfinder RPG Advanced Player's Guide), except you may divide the duration in 2-hour intervals among the creatures touched.&lt;/p&gt;&lt;/h4&gt;&lt;/div&gt;</t>
  </si>
  <si>
    <t>As ant haul, but you may divide the duration among creatures touched.</t>
  </si>
  <si>
    <t>Arcane Cannon</t>
  </si>
  <si>
    <t>V, S, F (an ornate miniature cannon forged with a drop of your blood that costs 5,000 gp)</t>
  </si>
  <si>
    <t>one magically animated cannon</t>
  </si>
  <si>
    <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  On your turn, you can spend a move action to direct the cannon to wheel itself to a new location, moving the cannon up to 20 feet. If the arcane cannon ever leaves your line of sight, it winks out of existence, and the spell's duration ends.  The cannon has a range increment of 50 feet. It targets touch attack in the first range increment, and it has no misfire chance.  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  The cannon has AC 10, hardness 10, and 80 hit points. If the cannon is subject to a spell or effect that requires a save, it uses your saving throw modifiers. The cannon never provokes attacks of opportunity. If the cannon is destroyed, so is your focus.</t>
  </si>
  <si>
    <t>&lt;p&gt;Your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cannon.&lt;/p&gt;&lt;p&gt;On your turn, you can spend a move action to direct the cannon to wheel itself to a new location, moving the cannon up to 20 feet. If the arcane cannon ever leaves your line of sight, it winks out of existence, and the spell's duration ends.&lt;/p&gt;&lt;p&gt;The cannon has a range increment of 50 feet. It targets touch attack in the first range increment, and it has no misfire chance.&lt;/p&gt;&lt;p&gt;The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x4.&lt;/p&gt;&lt;p&gt;The cannon has AC 10, hardness 10, and 80 hit points. If the cannon is subject to a spell or effect that requires a save, it uses your saving throw modifiers. The cannon never provokes attacks of opportunity. If the cannon is destroyed, so is your focus.&lt;/p&gt;</t>
  </si>
  <si>
    <t>&lt;link rel="stylesheet"href="PF.css"&gt;&lt;div class="heading"&gt;&lt;p class="alignleft"&gt;Arcane Cannon&lt;/p&gt;&lt;div style="clear: both;"&gt;&lt;/div&gt;&lt;/div&gt;&lt;div&gt;&lt;h5&gt;&lt;b&gt;School &lt;/b&gt;transmutation; &lt;b&gt;Level &lt;/b&gt;sorcerer/wizard 7&lt;/h5&gt;&lt;/div&gt;&lt;hr/&gt;&lt;div&gt;&lt;h5&gt;&lt;b&gt;CASTING&lt;/b&gt;&lt;/h5&gt;&lt;/div&gt;&lt;hr/&gt;&lt;div&gt;&lt;h5&gt;&lt;b&gt;Casting Time &lt;/b&gt;1 round&lt;/h5&gt;&lt;h5&gt;&lt;b&gt;Components &lt;/b&gt;V, S, F (an ornate miniature cannon forged with a drop of your blood that costs 5,000 gp)&lt;/h5&gt;&lt;/div&gt;&lt;hr/&gt;&lt;div&gt;&lt;h5&gt;&lt;b&gt;EFFECT&lt;/b&gt;&lt;/h5&gt;&lt;/div&gt;&lt;hr/&gt;&lt;div&gt;&lt;h5&gt;&lt;b&gt;Range &lt;/b&gt;close (25 ft. + 5 ft./2 levels)&lt;/h5&gt;&lt;h5&gt;&lt;b&gt;Effect &lt;/b&gt;one magically animated cannon&lt;/h5&gt;&lt;h5&gt;&lt;b&gt;Duration &lt;/b&gt;1 round/level&lt;/h5&gt;&lt;h5&gt;&lt;b&gt;Saving Throw &lt;/b&gt;none; &lt;b&gt;Spell Resistance &lt;/b&gt;no&lt;/h5&gt;&lt;/div&gt;&lt;hr/&gt;&lt;div&gt;&lt;h5&gt;&lt;b&gt;DESCRIPTION&lt;/b&gt;&lt;/h5&gt;&lt;/div&gt;&lt;hr/&gt;&lt;div&gt;&lt;h4&gt;&lt;p&gt;Your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cannon.&lt;/p&gt;&lt;p&gt;On your turn, you can spend a move action to direct the cannon to wheel itself to a new location, moving the cannon up to 20 feet. If the arcane cannon ever leaves your line of sight, it winks out of existence, and the spell's duration ends.&lt;/p&gt;&lt;p&gt;The cannon has a range increment of 50 feet. It targets touch attack in the first range increment, and it has no misfire chance.&lt;/p&gt;&lt;p&gt;The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x4.&lt;/p&gt;&lt;p&gt;The cannon has AC 10, hardness 10, and 80 hit points. If the cannon is subject to a spell or effect that requires a save, it uses your saving throw modifiers. The cannon never provokes attacks of opportunity. If the cannon is destroyed, so is your focus.&lt;/p&gt;&lt;/h4&gt;&lt;/div&gt;</t>
  </si>
  <si>
    <t>Your focus becomes a magical cannon that fires on its own.</t>
  </si>
  <si>
    <t>Bestow Weapon Proficiency</t>
  </si>
  <si>
    <t>alchemist 2, antipaladin 2, cleric/oracle 2, magus 2, inquisitor 2, paladin 2, sorcerer/wizard 2, witch 2, occultist 2, psychic 2</t>
  </si>
  <si>
    <t>V, S, M (pieces of shaved metal)</t>
  </si>
  <si>
    <t>You bestow the subject with the ability to use a single type of weapon he is not proficient in as if he were proficient with that weapon. The weapon can be of any type, including an exotic weapon, but the subject of the spell must be holding the weapon.</t>
  </si>
  <si>
    <t>&lt;p&gt;You bestow the subject with the ability to use a single type of weapon he is not proficient in as if he were proficient with that weapon. The weapon can be of any type, including an exotic weapon, but the subject of the spell must be holding the weapon.&lt;/p&gt;</t>
  </si>
  <si>
    <t>&lt;link rel="stylesheet"href="PF.css"&gt;&lt;div class="heading"&gt;&lt;p class="alignleft"&gt;Bestow Weapon Proficiency&lt;/p&gt;&lt;div style="clear: both;"&gt;&lt;/div&gt;&lt;/div&gt;&lt;div&gt;&lt;h5&gt;&lt;b&gt;School &lt;/b&gt;enchantment (compulsion) [mind-affecting]; &lt;b&gt;Level &lt;/b&gt;alchemist 2, antipaladin 2, cleric/oracle 2, magus 2, inquisitor 2, paladin 2, sorcerer/wizard 2, witch 2, occultist 2, psychic 2&lt;/h5&gt;&lt;/div&gt;&lt;hr/&gt;&lt;div&gt;&lt;h5&gt;&lt;b&gt;CASTING&lt;/b&gt;&lt;/h5&gt;&lt;/div&gt;&lt;hr/&gt;&lt;div&gt;&lt;h5&gt;&lt;b&gt;Casting Time &lt;/b&gt;1 standard action&lt;/h5&gt;&lt;h5&gt;&lt;b&gt;Components &lt;/b&gt;V, S, M (pieces of shaved metal)&lt;/h5&gt;&lt;/div&gt;&lt;hr/&gt;&lt;div&gt;&lt;h5&gt;&lt;b&gt;EFFECT&lt;/b&gt;&lt;/h5&gt;&lt;/div&gt;&lt;hr/&gt;&lt;div&gt;&lt;h5&gt;&lt;b&gt;Range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(harmless)&lt;/h5&gt;&lt;/div&gt;&lt;hr/&gt;&lt;div&gt;&lt;h5&gt;&lt;b&gt;DESCRIPTION&lt;/b&gt;&lt;/h5&gt;&lt;/div&gt;&lt;hr/&gt;&lt;div&gt;&lt;h4&gt;&lt;p&gt;You bestow the subject with the ability to use a single type of weapon he is not proficient in as if he were proficient with that weapon. The weapon can be of any type, including an exotic weapon, but the subject of the spell must be holding the weapon.&lt;/p&gt;&lt;/h4&gt;&lt;/div&gt;</t>
  </si>
  <si>
    <t>Grants a creature proficiency in a single weapon for short period of time.</t>
  </si>
  <si>
    <t>Blistering Invective</t>
  </si>
  <si>
    <t>fire, language-dependent</t>
  </si>
  <si>
    <t>alchemist 2, bard 2, inquisitor 2, mesmerist 2</t>
  </si>
  <si>
    <t>30-ft. radius</t>
  </si>
  <si>
    <t>special, see below</t>
  </si>
  <si>
    <t>You unleash an insulting tirade so vicious and spiteful that enemies who hear it are physically scorched by your fury. When you cast this spell, make an Intimidate check to demoralize each enemy within 30 feet of you (see page 99 of the Pathfinder RPG Core Rulebook). Enemies that are demoralized this way take 1d10 points of fire damage and must succeed at a Reflex save or catch fire. Spell resistance can negate the fire damage caused by this spell, but does not protect the creature from the demoralizing effect.</t>
  </si>
  <si>
    <t>&lt;p&gt;You unleash an insulting tirade so vicious and spiteful that enemies who hear it are physically scorched by your fury. When you cast this spell, make an Intimidate check to demoralize each enemy within 30 feet of you (see page 99 of the &lt;i&gt;Pathfinder RPG Core&lt;/i&gt; Rulebook). Enemies that are demoralized this way take 1d10 points of fire damage and must succeed at a Reflex save or catch fire. Spell resistance can negate the fire damage caused by this spell, but does not protect the creature from the demoralizing effect.&lt;/p&gt;</t>
  </si>
  <si>
    <t>&lt;link rel="stylesheet"href="PF.css"&gt;&lt;div class="heading"&gt;&lt;p class="alignleft"&gt;Blistering Invective&lt;/p&gt;&lt;div style="clear: both;"&gt;&lt;/div&gt;&lt;/div&gt;&lt;div&gt;&lt;h5&gt;&lt;b&gt;School &lt;/b&gt;evocation [fire, language-dependent]; &lt;b&gt;Level &lt;/b&gt;alchemist 2, bard 2, inquisitor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&lt;/b&gt;30-ft. radius&lt;/h5&gt;&lt;h5&gt;&lt;b&gt;Duration &lt;/b&gt;instantaneous&lt;/h5&gt;&lt;h5&gt;&lt;b&gt;Saving Throw &lt;/b&gt;Reflex partial, see text; &lt;b&gt;Spell Resistance &lt;/b&gt;special, see below&lt;/h5&gt;&lt;/div&gt;&lt;hr/&gt;&lt;div&gt;&lt;h5&gt;&lt;b&gt;DESCRIPTION&lt;/b&gt;&lt;/h5&gt;&lt;/div&gt;&lt;hr/&gt;&lt;div&gt;&lt;h4&gt;&lt;p&gt;You unleash an insulting tirade so vicious and spiteful that enemies who hear it are physically scorched by your fury. When you cast this spell, make an Intimidate check to demoralize each enemy within 30 feet of you (see page 99 of the &lt;i&gt;Pathfinder RPG Core&lt;/i&gt; Rulebook). Enemies that are demoralized this way take 1d10 points of fire damage and must succeed at a Reflex save or catch fire. Spell resistance can negate the fire damage caused by this spell, but does not protect the creature from the demoralizing effect.&lt;/p&gt;&lt;/h4&gt;&lt;h5&gt;&lt;b&gt;Mythic: &lt;/b&gt;Enemies that are demoralized by your Intimidate check take 2d8 points of fire damage and catch fire (no saving throw). Any Reflex save attempted to extinguish the flames automatically fails as long as the creature remains demoralized by your Intimidate check.&lt;/h5&gt;&lt;h5&gt;&lt;b&gt;Augmented (5th)&lt;/b&gt;: If you expend two uses of mythic power, the spell doesn't have the language-dependent descriptor and you don't take a penalty on your Intimidate check to demoralize creatures that are larger than you.&lt;/h5&gt;&lt;/div&gt;</t>
  </si>
  <si>
    <t>Make an Intimidate check against all foes within 30 feet; those demoralized also take fire damage.</t>
  </si>
  <si>
    <t>Enemies that are demoralized by your Intimidate check take 2d8 points of fire damage and catch fire (no saving throw). Any Reflex save attempted to extinguish the flames automatically fails as long as the creature remains demoralized by your Intimidate check.</t>
  </si>
  <si>
    <t>Augmented (5th): If you expend two uses of mythic power, the spell doesn't have the language-dependent descriptor and you don't take a penalty on your Intimidate check to demoralize creatures that are larger than you.</t>
  </si>
  <si>
    <t>Bowstaff</t>
  </si>
  <si>
    <t>inquisitor 1, paladin 1, ranger 1, occultist 2</t>
  </si>
  <si>
    <t>one weapon (bow)</t>
  </si>
  <si>
    <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t>
  </si>
  <si>
    <t>&lt;p&gt;The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weapon.&lt;/p&gt;</t>
  </si>
  <si>
    <t>&lt;link rel="stylesheet"href="PF.css"&gt;&lt;div class="heading"&gt;&lt;p class="alignleft"&gt;Bowstaff&lt;/p&gt;&lt;div style="clear: both;"&gt;&lt;/div&gt;&lt;/div&gt;&lt;div&gt;&lt;h5&gt;&lt;b&gt;School &lt;/b&gt;transmutation; &lt;b&gt;Level &lt;/b&gt;inquisitor 1, paladin 1, ranger 1, occultist 2&lt;/h5&gt;&lt;/div&gt;&lt;hr/&gt;&lt;div&gt;&lt;h5&gt;&lt;b&gt;CASTING&lt;/b&gt;&lt;/h5&gt;&lt;/div&gt;&lt;hr/&gt;&lt;div&gt;&lt;h5&gt;&lt;b&gt;Casting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&lt;/b&gt;one weapon (bow)&lt;/h5&gt;&lt;h5&gt;&lt;b&gt;Duration &lt;/b&gt;1 round/level (D)&lt;/h5&gt;&lt;h5&gt;&lt;b&gt;Saving Throw &lt;/b&gt;Will negates (harmless, object); &lt;b&gt;Spell Resistance &lt;/b&gt;yes (harmless, object)&lt;/h5&gt;&lt;/div&gt;&lt;hr/&gt;&lt;div&gt;&lt;h5&gt;&lt;b&gt;DESCRIPTION&lt;/b&gt;&lt;/h5&gt;&lt;/div&gt;&lt;hr/&gt;&lt;div&gt;&lt;h4&gt;&lt;p&gt;The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weapon.&lt;/p&gt;&lt;/h4&gt;&lt;/div&gt;</t>
  </si>
  <si>
    <t>A shortbow may double as a club, or a longbow as a quarterstaff.</t>
  </si>
  <si>
    <t>Brow Gasher</t>
  </si>
  <si>
    <t>inquisitor 2, magus 2, ranger 2, sorcerer/wizard 2, bloodrager 2, occultist 2</t>
  </si>
  <si>
    <t>one slashing melee weapon touched</t>
  </si>
  <si>
    <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t>
  </si>
  <si>
    <t>&lt;p&gt;You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effects.&lt;/p&gt;</t>
  </si>
  <si>
    <t>&lt;link rel="stylesheet"href="PF.css"&gt;&lt;div class="heading"&gt;&lt;p class="alignleft"&gt;Brow Gasher&lt;/p&gt;&lt;div style="clear: both;"&gt;&lt;/div&gt;&lt;/div&gt;&lt;div&gt;&lt;h5&gt;&lt;b&gt;School &lt;/b&gt;necromancy; &lt;b&gt;Level &lt;/b&gt;inquisitor 2, magus 2, ranger 2, sorcerer/wizard 2, bloodrager 2, occultist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&lt;/b&gt;touch&lt;/h5&gt;&lt;h5&gt;&lt;b&gt;Area &lt;/b&gt;one slashing melee weapon touched&lt;/h5&gt;&lt;h5&gt;&lt;b&gt;Duration &lt;/b&gt;1 round/level or until discharged&lt;/h5&gt;&lt;h5&gt;&lt;b&gt;Saving Throw &lt;/b&gt;Will negates (harmless, object); &lt;b&gt;Spell Resistance &lt;/b&gt;yes (harmless, object)&lt;/h5&gt;&lt;/div&gt;&lt;hr/&gt;&lt;div&gt;&lt;h5&gt;&lt;b&gt;DESCRIPTION&lt;/b&gt;&lt;/h5&gt;&lt;/div&gt;&lt;hr/&gt;&lt;div&gt;&lt;h4&gt;&lt;p&gt;You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effects.&lt;/p&gt;&lt;/h4&gt;&lt;/div&gt;</t>
  </si>
  <si>
    <t>Slashing weapon deals bleed damage to an opponent's head.</t>
  </si>
  <si>
    <t>Bullet Shield</t>
  </si>
  <si>
    <t>alchemist 2, sorcerer/wizard 2, bloodrager 2, occultist 2, psychic 2</t>
  </si>
  <si>
    <t>V, S, M (a bullet)</t>
  </si>
  <si>
    <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t>
  </si>
  <si>
    <t>&lt;p&gt;The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quality.&lt;/p&gt;</t>
  </si>
  <si>
    <t>&lt;link rel="stylesheet"href="PF.css"&gt;&lt;div class="heading"&gt;&lt;p class="alignleft"&gt;Bullet Shield&lt;/p&gt;&lt;div style="clear: both;"&gt;&lt;/div&gt;&lt;/div&gt;&lt;div&gt;&lt;h5&gt;&lt;b&gt;School &lt;/b&gt;abjuration; &lt;b&gt;Level &lt;/b&gt;alchemist 2, sorcerer/wizard 2, bloodrager 2, occultist 2, psychic 2&lt;/h5&gt;&lt;/div&gt;&lt;hr/&gt;&lt;div&gt;&lt;h5&gt;&lt;b&gt;CASTING&lt;/b&gt;&lt;/h5&gt;&lt;/div&gt;&lt;hr/&gt;&lt;div&gt;&lt;h5&gt;&lt;b&gt;Casting Time &lt;/b&gt;1 standard action&lt;/h5&gt;&lt;h5&gt;&lt;b&gt;Components &lt;/b&gt;V, S, M (a bullet)&lt;/h5&gt;&lt;/div&gt;&lt;hr/&gt;&lt;div&gt;&lt;h5&gt;&lt;b&gt;EFFECT&lt;/b&gt;&lt;/h5&gt;&lt;/div&gt;&lt;hr/&gt;&lt;div&gt;&lt;h5&gt;&lt;b&gt;Range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quality.&lt;/p&gt;&lt;/h4&gt;&lt;/div&gt;</t>
  </si>
  <si>
    <t>You gain a +4 deflection bonus to AC against firearm attacks.</t>
  </si>
  <si>
    <t>Burst of Speed</t>
  </si>
  <si>
    <t>alchemist 3, antipaladin 3, magus 3, inquisitor 3, paladin 3, ranger 3, bloodrager 3, psychic 3</t>
  </si>
  <si>
    <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t>
  </si>
  <si>
    <t>&lt;p&gt;Until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creature.&lt;/p&gt;</t>
  </si>
  <si>
    <t>&lt;link rel="stylesheet"href="PF.css"&gt;&lt;div class="heading"&gt;&lt;p class="alignleft"&gt;Burst of Speed&lt;/p&gt;&lt;div style="clear: both;"&gt;&lt;/div&gt;&lt;/div&gt;&lt;div&gt;&lt;h5&gt;&lt;b&gt;School &lt;/b&gt;transmutation; &lt;b&gt;Level &lt;/b&gt;alchemist 3, antipaladin 3, magus 3, inquisitor 3, paladin 3, ranger 3, bloodrager 3, psychic 3&lt;/h5&gt;&lt;/div&gt;&lt;hr/&gt;&lt;div&gt;&lt;h5&gt;&lt;b&gt;CASTING&lt;/b&gt;&lt;/h5&gt;&lt;/div&gt;&lt;hr/&gt;&lt;div&gt;&lt;h5&gt;&lt;b&gt;Casting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creature.&lt;/p&gt;&lt;/h4&gt;&lt;/div&gt;</t>
  </si>
  <si>
    <t>You gain increased speed, and your movement ignores attacks of opportunity and allows you to move through the space of creatures larger than you are.</t>
  </si>
  <si>
    <t>Caging Bomb Admixture</t>
  </si>
  <si>
    <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  When you throw a bomb and hit a direct target, it creates an invisible cubical prison composed of a solid wall of force.  The prison is as large as the splash area of the bomb that you threw, and traps any creature that is entirely inside the area.  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  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  Contact with a sphere of annihilation or a rod of cancellation instantly destroys this cage.  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t>
  </si>
  <si>
    <t>&lt;p&gt;Upon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active.&lt;/p&gt;&lt;p&gt;When you throw a bomb and hit a direct target, it creates an invisible cubical prison composed of a solid wall of force.&lt;/p&gt;&lt;p&gt;The prison is as large as the splash area of the bomb that you threw, and traps any creature that is entirely inside the area.&lt;/p&gt;&lt;p&gt;Creatures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travel.&lt;/p&gt;&lt;p&gt;Like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level.&lt;/p&gt;&lt;p&gt;Contact with a sphere of annihilation or a rod of cancellation instantly destroys this cage.&lt;/p&gt;&lt;p&gt;When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effect.&lt;/p&gt;</t>
  </si>
  <si>
    <t>&lt;link rel="stylesheet"href="PF.css"&gt;&lt;div class="heading"&gt;&lt;p class="alignleft"&gt;Caging Bomb Admixture&lt;/p&gt;&lt;div style="clear: both;"&gt;&lt;/div&gt;&lt;/div&gt;&lt;div&gt;&lt;h5&gt;&lt;b&gt;School &lt;/b&gt;evocation [force]; &lt;b&gt;Level &lt;/b&gt;alchemist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active.&lt;/p&gt;&lt;p&gt;When you throw a bomb and hit a direct target, it creates an invisible cubical prison composed of a solid wall of force.&lt;/p&gt;&lt;p&gt;The prison is as large as the splash area of the bomb that you threw, and traps any creature that is entirely inside the area.&lt;/p&gt;&lt;p&gt;Creatures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travel.&lt;/p&gt;&lt;p&gt;Like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level.&lt;/p&gt;&lt;p&gt;Contact with a sphere of annihilation or a rod of cancellation instantly destroys this cage.&lt;/p&gt;&lt;p&gt;When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effect.&lt;/p&gt;&lt;/h4&gt;&lt;/div&gt;</t>
  </si>
  <si>
    <t>Your bombs create a cage of force that traps creatures inside the bomb's splash radius.</t>
  </si>
  <si>
    <t>Certain Grip</t>
  </si>
  <si>
    <t>alchemist 2, druid 2, sorcerer/wizard 2, bloodrager 2, occultist 2</t>
  </si>
  <si>
    <t>V, S, M/DF (a tiny ball of tar)</t>
  </si>
  <si>
    <t>The subject's grip and footing become sure, granting a +4 competence bonus on Climb checks, on Acrobatics checks to balance, and to CMD against bull rush, drag, reposition, and trip attempts. While affected by this spell, the target is also immune to the disarm combat maneuver.</t>
  </si>
  <si>
    <t>&lt;p&gt;The subject's grip and footing become sure, granting a +4 competence bonus on Climb checks, on Acrobatics checks to balance, and to CMD against bull rush, drag, reposition, and trip attempts. While affected by this spell, the target is also immune to the disarm combat maneuver.&lt;/p&gt;</t>
  </si>
  <si>
    <t>&lt;link rel="stylesheet"href="PF.css"&gt;&lt;div class="heading"&gt;&lt;p class="alignleft"&gt;Certain Grip&lt;/p&gt;&lt;div style="clear: both;"&gt;&lt;/div&gt;&lt;/div&gt;&lt;div&gt;&lt;h5&gt;&lt;b&gt;School &lt;/b&gt;transmutation; &lt;b&gt;Level &lt;/b&gt;alchemist 2, druid 2, sorcerer/wizard 2, bloodrager 2, occultist 2&lt;/h5&gt;&lt;/div&gt;&lt;hr/&gt;&lt;div&gt;&lt;h5&gt;&lt;b&gt;CASTING&lt;/b&gt;&lt;/h5&gt;&lt;/div&gt;&lt;hr/&gt;&lt;div&gt;&lt;h5&gt;&lt;b&gt;Casting Time &lt;/b&gt;1 standard action&lt;/h5&gt;&lt;h5&gt;&lt;b&gt;Components &lt;/b&gt;V, S, M/DF (a tiny ball of tar)&lt;/h5&gt;&lt;/div&gt;&lt;hr/&gt;&lt;div&gt;&lt;h5&gt;&lt;b&gt;EFFECT&lt;/b&gt;&lt;/h5&gt;&lt;/div&gt;&lt;hr/&gt;&lt;div&gt;&lt;h5&gt;&lt;b&gt;Range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(harmless)&lt;/h5&gt;&lt;/div&gt;&lt;hr/&gt;&lt;div&gt;&lt;h5&gt;&lt;b&gt;DESCRIPTION&lt;/b&gt;&lt;/h5&gt;&lt;/div&gt;&lt;hr/&gt;&lt;div&gt;&lt;h4&gt;&lt;p&gt;The subject's grip and footing become sure, granting a +4 competence bonus on Climb checks, on Acrobatics checks to balance, and to CMD against bull rush, drag, reposition, and trip attempts. While affected by this spell, the target is also immune to the disarm combat maneuver.&lt;/p&gt;&lt;/h4&gt;&lt;/div&gt;</t>
  </si>
  <si>
    <t>You gain a +4 competence bonus on Acrobatics and Climb checks and to CMD.</t>
  </si>
  <si>
    <t>Chain of Perdition</t>
  </si>
  <si>
    <t>cleric/oracle 3, sorcerer/wizard 3, bloodrager 3, psychic 3</t>
  </si>
  <si>
    <t>V, S, M/DF (chain link)</t>
  </si>
  <si>
    <t>10-ft. chain</t>
  </si>
  <si>
    <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  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  As a move action, you can move the chain up to 30 feet. If the chain goes beyond the spell's range or out of your sight, it returns to you.  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t>
  </si>
  <si>
    <t>&lt;p&gt;A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(cleric).&lt;/p&gt;&lt;p&gt;The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concealment.&lt;/p&gt;&lt;p&gt;As a move action, you can move the chain up to 30 feet. If the chain goes beyond the spell's range or out of your sight, it returns to you.&lt;/p&gt;&lt;p&gt;If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spell.&lt;/p&gt;</t>
  </si>
  <si>
    <t>&lt;link rel="stylesheet"href="PF.css"&gt;&lt;div class="heading"&gt;&lt;p class="alignleft"&gt;Chain of Perdition&lt;/p&gt;&lt;div style="clear: both;"&gt;&lt;/div&gt;&lt;/div&gt;&lt;div&gt;&lt;h5&gt;&lt;b&gt;School &lt;/b&gt;evocation [force]; &lt;b&gt;Level &lt;/b&gt;cleric/oracle 3, sorcerer/wizard 3, bloodrager 3, psychic 3&lt;/h5&gt;&lt;/div&gt;&lt;hr/&gt;&lt;div&gt;&lt;h5&gt;&lt;b&gt;CASTING&lt;/b&gt;&lt;/h5&gt;&lt;/div&gt;&lt;hr/&gt;&lt;div&gt;&lt;h5&gt;&lt;b&gt;Casting Time &lt;/b&gt;1 standard action&lt;/h5&gt;&lt;h5&gt;&lt;b&gt;Components &lt;/b&gt;V, S, M/DF (chain link)&lt;/h5&gt;&lt;/div&gt;&lt;hr/&gt;&lt;div&gt;&lt;h5&gt;&lt;b&gt;EFFECT&lt;/b&gt;&lt;/h5&gt;&lt;/div&gt;&lt;hr/&gt;&lt;div&gt;&lt;h5&gt;&lt;b&gt;Range &lt;/b&gt;close (25 ft. + 5 ft./2 levels)&lt;/h5&gt;&lt;h5&gt;&lt;b&gt;Effect &lt;/b&gt;10-ft. chain&lt;/h5&gt;&lt;h5&gt;&lt;b&gt;Duration &lt;/b&gt;1 round/level (D)&lt;/h5&gt;&lt;h5&gt;&lt;b&gt;Saving Throw &lt;/b&gt;none; &lt;b&gt;Spell Resistance &lt;/b&gt;yes&lt;/h5&gt;&lt;/div&gt;&lt;hr/&gt;&lt;div&gt;&lt;h5&gt;&lt;b&gt;DESCRIPTION&lt;/b&gt;&lt;/h5&gt;&lt;/div&gt;&lt;hr/&gt;&lt;div&gt;&lt;h4&gt;&lt;p&gt;A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(cleric).&lt;/p&gt;&lt;p&gt;The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concealment.&lt;/p&gt;&lt;p&gt;As a move action, you can move the chain up to 30 feet. If the chain goes beyond the spell's range or out of your sight, it returns to you.&lt;/p&gt;&lt;p&gt;If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spell.&lt;/p&gt;&lt;/h4&gt;&lt;/div&gt;</t>
  </si>
  <si>
    <t>Psychopomp (3)</t>
  </si>
  <si>
    <t>Creates a floating chain of force.</t>
  </si>
  <si>
    <t>Companion Mind Link</t>
  </si>
  <si>
    <t>your animal companion</t>
  </si>
  <si>
    <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t>
  </si>
  <si>
    <t>&lt;p&gt;The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succeed.&lt;/p&gt;</t>
  </si>
  <si>
    <t>&lt;link rel="stylesheet"href="PF.css"&gt;&lt;div class="heading"&gt;&lt;p class="alignleft"&gt;Companion Mind Link&lt;/p&gt;&lt;div style="clear: both;"&gt;&lt;/div&gt;&lt;/div&gt;&lt;div&gt;&lt;h5&gt;&lt;b&gt;School &lt;/b&gt;enchantment (charm) [mind-affecting]; &lt;b&gt;Level &lt;/b&gt;druid 3, ranger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&lt;/b&gt;your animal companion&lt;/h5&gt;&lt;h5&gt;&lt;b&gt;Duration &lt;/b&gt;1 minute/level&lt;/h5&gt;&lt;/div&gt;&lt;hr/&gt;&lt;div&gt;&lt;h5&gt;&lt;b&gt;DESCRIPTION&lt;/b&gt;&lt;/h5&gt;&lt;/div&gt;&lt;hr/&gt;&lt;div&gt;&lt;h4&gt;&lt;p&gt;The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succeed.&lt;/p&gt;&lt;/h4&gt;&lt;/div&gt;</t>
  </si>
  <si>
    <t>You can talk with your animal companion, and can handle it with supernatural ease.</t>
  </si>
  <si>
    <t>Compel Hostility</t>
  </si>
  <si>
    <t>bard 1, cleric/oracle 1, inquisitor 1, paladin 1, ranger 1, summoner 1, witch 1, psychic 1, mesmerist 1</t>
  </si>
  <si>
    <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  A summoner casting this spell can choose his eidolon as the target of the spell.</t>
  </si>
  <si>
    <t>&lt;p&gt;Whenever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compulsion.&lt;/p&gt;&lt;p&gt;A summoner casting this spell can choose his eidolon as the target of the spell.&lt;/p&gt;</t>
  </si>
  <si>
    <t>&lt;link rel="stylesheet"href="PF.css"&gt;&lt;div class="heading"&gt;&lt;p class="alignleft"&gt;Compel Hostility&lt;/p&gt;&lt;div style="clear: both;"&gt;&lt;/div&gt;&lt;/div&gt;&lt;div&gt;&lt;h5&gt;&lt;b&gt;School &lt;/b&gt;enchantment (compulsion) [mind-affecting]; &lt;b&gt;Level &lt;/b&gt;bard 1, cleric/oracle 1, inquisitor 1, paladin 1, ranger 1, summoner 1, witch 1, psychic 1, mesmerist 1&lt;/h5&gt;&lt;/div&gt;&lt;hr/&gt;&lt;div&gt;&lt;h5&gt;&lt;b&gt;CASTING&lt;/b&gt;&lt;/h5&gt;&lt;/div&gt;&lt;hr/&gt;&lt;div&gt;&lt;h5&gt;&lt;b&gt;Casting Time &lt;/b&gt;1 standard action&lt;/h5&gt;&lt;h5&gt;&lt;b&gt;Components &lt;/b&gt;V, S, M (a drop of your blood)&lt;/h5&gt;&lt;/div&gt;&lt;hr/&gt;&lt;div&gt;&lt;h5&gt;&lt;b&gt;EFFECT&lt;/b&gt;&lt;/h5&gt;&lt;/div&gt;&lt;hr/&gt;&lt;div&gt;&lt;h5&gt;&lt;b&gt;Range &lt;/b&gt;personal&lt;/h5&gt;&lt;h5&gt;&lt;b&gt;Targets &lt;/b&gt;you&lt;/h5&gt;&lt;h5&gt;&lt;b&gt;Duration &lt;/b&gt;1 round/level&lt;/h5&gt;&lt;h5&gt;&lt;b&gt;Saving Throw &lt;/b&gt;see text; &lt;b&gt;Spell Resistance &lt;/b&gt;see text&lt;/h5&gt;&lt;/div&gt;&lt;hr/&gt;&lt;div&gt;&lt;h5&gt;&lt;b&gt;DESCRIPTION&lt;/b&gt;&lt;/h5&gt;&lt;/div&gt;&lt;hr/&gt;&lt;div&gt;&lt;h4&gt;&lt;p&gt;Whenever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compulsion.&lt;/p&gt;&lt;p&gt;A summoner casting this spell can choose his eidolon as the target of the spell.&lt;/p&gt;&lt;/h4&gt;&lt;/div&gt;</t>
  </si>
  <si>
    <t>Compels opponents to attack you instead of your allies.</t>
  </si>
  <si>
    <t>Damp Powder</t>
  </si>
  <si>
    <t>druid 1, sorcerer/wizard 1, witch 1</t>
  </si>
  <si>
    <t>V, S, M/DF (a damp piece of cotton)</t>
  </si>
  <si>
    <t>1 loaded firearm</t>
  </si>
  <si>
    <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</si>
  <si>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</si>
  <si>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class="alignleft"&gt;Damp Powder&lt;/p&gt;&lt;div style="clear: both;"&gt;&lt;/div&gt;&lt;/div&gt;&lt;div&gt;&lt;h5&gt;&lt;b&gt;School &lt;/b&gt;transmutation; &lt;b&gt;Level &lt;/b&gt;druid 1, sorcerer/wizard 1, witch 1&lt;/h5&gt;&lt;/div&gt;&lt;hr/&gt;&lt;div&gt;&lt;h5&gt;&lt;b&gt;CASTING&lt;/b&gt;&lt;/h5&gt;&lt;/div&gt;&lt;hr/&gt;&lt;div&gt;&lt;h5&gt;&lt;b&gt;Casting Time &lt;/b&gt;1 standard action&lt;/h5&gt;&lt;h5&gt;&lt;b&gt;Components &lt;/b&gt;V, S, M/DF (a damp piece of cotton)&lt;/h5&gt;&lt;/div&gt;&lt;hr/&gt;&lt;div&gt;&lt;h5&gt;&lt;b&gt;EFFECT&lt;/b&gt;&lt;/h5&gt;&lt;/div&gt;&lt;hr/&gt;&lt;div&gt;&lt;h5&gt;&lt;b&gt;Range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ammunition.&lt;/p&gt;&lt;/h4&gt;&lt;/div&gt;</t>
  </si>
  <si>
    <t>Ruins ammunition loaded in the targeted firearm.</t>
  </si>
  <si>
    <t>Darkvision, Communal</t>
  </si>
  <si>
    <t>alchemist 3, antipaladin 3, ranger 4, sorcerer/wizard 3, occultist 3, psychic 3</t>
  </si>
  <si>
    <t>This spell functions like darkvision, except you may divide the duration in 1-hour intervals among the creatures touched.</t>
  </si>
  <si>
    <t>&lt;p&gt;This spell functions like darkvision, except you may divide the duration in 1-hour intervals among the creatures touched.&lt;/p&gt;</t>
  </si>
  <si>
    <t>&lt;link rel="stylesheet"href="PF.css"&gt;&lt;div class="heading"&gt;&lt;p class="alignleft"&gt;Darkvision, Communal&lt;/p&gt;&lt;div style="clear: both;"&gt;&lt;/div&gt;&lt;/div&gt;&lt;div&gt;&lt;h5&gt;&lt;b&gt;School &lt;/b&gt;transmutation; &lt;b&gt;Level &lt;/b&gt;alchemist 3, antipaladin 3, ranger 4, sorcerer/wizard 3, occultist 3, psychic 3&lt;/h5&gt;&lt;/div&gt;&lt;hr/&gt;&lt;div&gt;&lt;h5&gt;&lt;b&gt;CASTING&lt;/b&gt;&lt;/h5&gt;&lt;/div&gt;&lt;hr/&gt;&lt;div&gt;&lt;h5&gt;&lt;b&gt;Casting Time &lt;/b&gt;1 standard action&lt;/h5&gt;&lt;h5&gt;&lt;b&gt;Components &lt;/b&gt;V, S, M (either a pinch of dried carrot or an agate)&lt;/h5&gt;&lt;/div&gt;&lt;hr/&gt;&lt;div&gt;&lt;h5&gt;&lt;b&gt;EFFECT&lt;/b&gt;&lt;/h5&gt;&lt;/div&gt;&lt;hr/&gt;&lt;div&gt;&lt;h5&gt;&lt;b&gt;Range &lt;/b&gt;touch&lt;/h5&gt;&lt;h5&gt;&lt;b&gt;Targets &lt;/b&gt;creatures touched&lt;/h5&gt;&lt;h5&gt;&lt;b&gt;Duration &lt;/b&gt;1 hour/level&lt;/h5&gt;&lt;h5&gt;&lt;b&gt;Saving Throw &lt;/b&gt;Will negates (harmless); &lt;b&gt;Spell Resistance &lt;/b&gt;yes (harmless)&lt;/h5&gt;&lt;/div&gt;&lt;hr/&gt;&lt;div&gt;&lt;h5&gt;&lt;b&gt;DESCRIPTION&lt;/b&gt;&lt;/h5&gt;&lt;/div&gt;&lt;hr/&gt;&lt;div&gt;&lt;h4&gt;&lt;p&gt;This spell functions like darkvision, except you may divide the duration in 1-hour intervals among the creatures touched.&lt;/p&gt;&lt;/h4&gt;&lt;/div&gt;</t>
  </si>
  <si>
    <t>As darkvision, but you may divide the duration among creatures touched.</t>
  </si>
  <si>
    <t>Daybreak Arrow</t>
  </si>
  <si>
    <t>cleric/oracle 3, inquisitor 3, paladin 3, occultist 3</t>
  </si>
  <si>
    <t>up to 50 pieces of ammunition, all of which must be together at the time of casting</t>
  </si>
  <si>
    <t>Fortitude negates (harmless, object)</t>
  </si>
  <si>
    <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t>
  </si>
  <si>
    <t>&lt;p&gt;You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thrown.&lt;/p&gt;</t>
  </si>
  <si>
    <t>&lt;link rel="stylesheet"href="PF.css"&gt;&lt;div class="heading"&gt;&lt;p class="alignleft"&gt;Daybreak Arrow&lt;/p&gt;&lt;div style="clear: both;"&gt;&lt;/div&gt;&lt;/div&gt;&lt;div&gt;&lt;h5&gt;&lt;b&gt;School &lt;/b&gt;evocation [light]; &lt;b&gt;Level &lt;/b&gt;cleric/oracle 3, inquisitor 3, paladin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50 pieces of ammunition, all of which must be together at the time of casting&lt;/h5&gt;&lt;h5&gt;&lt;b&gt;Duration &lt;/b&gt;10 minutes/level&lt;/h5&gt;&lt;h5&gt;&lt;b&gt;Saving Throw &lt;/b&gt;Fortitude negates (harmless, object); &lt;b&gt;Spell Resistance &lt;/b&gt;yes (harmless, object)&lt;/h5&gt;&lt;/div&gt;&lt;hr/&gt;&lt;div&gt;&lt;h5&gt;&lt;b&gt;DESCRIPTION&lt;/b&gt;&lt;/h5&gt;&lt;/div&gt;&lt;hr/&gt;&lt;div&gt;&lt;h4&gt;&lt;p&gt;You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thrown.&lt;/p&gt;&lt;/h4&gt;&lt;h5&gt;&lt;b&gt;Mythic: &lt;/b&gt;The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minute.&lt;/h5&gt;&lt;/div&gt;</t>
  </si>
  <si>
    <t>Targeted ammunition exudes radiant energy.</t>
  </si>
  <si>
    <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t>
  </si>
  <si>
    <t>Deadly Juggernaut</t>
  </si>
  <si>
    <t>antipaladin 3, cleric/oracle 3, inquisitor 3, paladin 3</t>
  </si>
  <si>
    <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t>
  </si>
  <si>
    <t>&lt;p&gt;With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-4.&lt;/p&gt;</t>
  </si>
  <si>
    <t>&lt;link rel="stylesheet"href="PF.css"&gt;&lt;div class="heading"&gt;&lt;p class="alignleft"&gt;Deadly Juggernaut&lt;/p&gt;&lt;div style="clear: both;"&gt;&lt;/div&gt;&lt;/div&gt;&lt;div&gt;&lt;h5&gt;&lt;b&gt;School &lt;/b&gt;necromancy [death]; &lt;b&gt;Level &lt;/b&gt;antipaladin 3, cleric/oracle 3, inquisitor 3, paladin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-4.&lt;/p&gt;&lt;/h4&gt;&lt;/div&gt;</t>
  </si>
  <si>
    <t>Your might increases with every kill you make.</t>
  </si>
  <si>
    <t>Deadeye's Lore</t>
  </si>
  <si>
    <t>bard 1, cleric/oracle 1, druid 1, inquisitor 1, ranger 1</t>
  </si>
  <si>
    <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t>
  </si>
  <si>
    <t>&lt;p&gt;While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tracking.&lt;/p&gt;</t>
  </si>
  <si>
    <t>&lt;link rel="stylesheet"href="PF.css"&gt;&lt;div class="heading"&gt;&lt;p class="alignleft"&gt;Deadeye's Lore&lt;/p&gt;&lt;div style="clear: both;"&gt;&lt;/div&gt;&lt;/div&gt;&lt;div&gt;&lt;h5&gt;&lt;b&gt;School &lt;/b&gt;divination; &lt;b&gt;Level &lt;/b&gt;bard 1, cleric/oracle 1, druid 1, inquisitor 1, ranger 1&lt;/h5&gt;&lt;/div&gt;&lt;hr/&gt;&lt;div&gt;&lt;h5&gt;&lt;b&gt;CASTING&lt;/b&gt;&lt;/h5&gt;&lt;/div&gt;&lt;hr/&gt;&lt;div&gt;&lt;h5&gt;&lt;b&gt;Casting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tracking.&lt;/p&gt;&lt;/h4&gt;&lt;/div&gt;</t>
  </si>
  <si>
    <t>Gain a +4 bonus on Survival and move full speed while tracking.</t>
  </si>
  <si>
    <t>Debilitating Portent</t>
  </si>
  <si>
    <t>cleric/oracle 4, witch 4, psychic 4, spiritualist 4</t>
  </si>
  <si>
    <t>1 round/level (D) see text</t>
  </si>
  <si>
    <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t>
  </si>
  <si>
    <t>&lt;p&gt;The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damage.&lt;/p&gt;</t>
  </si>
  <si>
    <t>&lt;link rel="stylesheet"href="PF.css"&gt;&lt;div class="heading"&gt;&lt;p class="alignleft"&gt;Debilitating Portent&lt;/p&gt;&lt;div style="clear: both;"&gt;&lt;/div&gt;&lt;/div&gt;&lt;div&gt;&lt;h5&gt;&lt;b&gt;School &lt;/b&gt;enchantment (compulsion) [mind-affecting]; &lt;b&gt;Level &lt;/b&gt;cleric/oracle 4, witch 4, psychic 4, spiritualist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round/level (D) see text&lt;/h5&gt;&lt;h5&gt;&lt;b&gt;Saving Throw &lt;/b&gt;none; &lt;b&gt;Spell Resistance &lt;/b&gt;yes&lt;/h5&gt;&lt;/div&gt;&lt;hr/&gt;&lt;div&gt;&lt;h5&gt;&lt;b&gt;DESCRIPTION&lt;/b&gt;&lt;/h5&gt;&lt;/div&gt;&lt;hr/&gt;&lt;div&gt;&lt;h4&gt;&lt;p&gt;The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damage.&lt;/p&gt;&lt;/h4&gt;&lt;/div&gt;</t>
  </si>
  <si>
    <t>Inflicts an ill fate on a creature, halving its damage when it attacks or casts a spell</t>
  </si>
  <si>
    <t>Delay Poison, Communal</t>
  </si>
  <si>
    <t>alchemist 3, bard 3, cleric/oracle 3, druid 3, inquisitor 3, paladin 3, ranger 3, witch 3</t>
  </si>
  <si>
    <t>This spell functions like delay poison, except you divide the duration in 1-hour intervals among the creatures touched.</t>
  </si>
  <si>
    <t>&lt;p&gt;This spell functions like &lt;i&gt;delay poison&lt;/i&gt;, except you divide the duration in 1-hour intervals among the creatures touched.&lt;/p&gt;</t>
  </si>
  <si>
    <t>&lt;link rel="stylesheet"href="PF.css"&gt;&lt;div class="heading"&gt;&lt;p class="alignleft"&gt;Delay Poison, Communal&lt;/p&gt;&lt;div style="clear: both;"&gt;&lt;/div&gt;&lt;/div&gt;&lt;div&gt;&lt;h5&gt;&lt;b&gt;School &lt;/b&gt;conjuration (healing); &lt;b&gt;Level &lt;/b&gt;alchemist 3, bard 3, cleric/oracle 3, druid 3, inquisitor 3, paladin 3, ranger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 hour/level&lt;/h5&gt;&lt;h5&gt;&lt;b&gt;Saving Throw &lt;/b&gt;Fortitude negates (harmless); &lt;b&gt;Spell Resistance &lt;/b&gt;yes (harmless)&lt;/h5&gt;&lt;/div&gt;&lt;hr/&gt;&lt;div&gt;&lt;h5&gt;&lt;b&gt;DESCRIPTION&lt;/b&gt;&lt;/h5&gt;&lt;/div&gt;&lt;hr/&gt;&lt;div&gt;&lt;h4&gt;&lt;p&gt;This spell functions like &lt;i&gt;delay poison&lt;/i&gt;, except you divide the duration in 1-hour intervals among the creatures touched.&lt;/p&gt;&lt;/h4&gt;&lt;/div&gt;</t>
  </si>
  <si>
    <t>As delay poison, but you may divide the duration among creatures touched.</t>
  </si>
  <si>
    <t>Destabilize Powder</t>
  </si>
  <si>
    <t>V, S, M (a few drops of liquor)</t>
  </si>
  <si>
    <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t>
  </si>
  <si>
    <t>&lt;p&gt;This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</si>
  <si>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class="alignleft"&gt;Destabilize Powder&lt;/p&gt;&lt;div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few drops of liquor)&lt;/h5&gt;&lt;/div&gt;&lt;hr/&gt;&lt;div&gt;&lt;h5&gt;&lt;b&gt;EFFECT&lt;/b&gt;&lt;/h5&gt;&lt;/div&gt;&lt;hr/&gt;&lt;div&gt;&lt;h5&gt;&lt;b&gt;Range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ammunition.&lt;/p&gt;&lt;/h4&gt;&lt;/div&gt;</t>
  </si>
  <si>
    <t>Ammunition in the targeted firearm is prone to misfire.</t>
  </si>
  <si>
    <t>Discovery Torch</t>
  </si>
  <si>
    <t>bard 2, cleric/oracle 3, inquisitor 2</t>
  </si>
  <si>
    <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t>
  </si>
  <si>
    <t>&lt;p&gt;An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level.&lt;/p&gt;</t>
  </si>
  <si>
    <t>&lt;link rel="stylesheet"href="PF.css"&gt;&lt;div class="heading"&gt;&lt;p class="alignleft"&gt;Discovery Torch&lt;/p&gt;&lt;div style="clear: both;"&gt;&lt;/div&gt;&lt;/div&gt;&lt;div&gt;&lt;h5&gt;&lt;b&gt;School &lt;/b&gt;evocation [light]; &lt;b&gt;Level &lt;/b&gt;bard 2, cleric/oracle 3, inquisitor 2&lt;/h5&gt;&lt;/div&gt;&lt;hr/&gt;&lt;div&gt;&lt;h5&gt;&lt;b&gt;CASTING&lt;/b&gt;&lt;/h5&gt;&lt;/div&gt;&lt;hr/&gt;&lt;div&gt;&lt;h5&gt;&lt;b&gt;Casting Time &lt;/b&gt;1 round&lt;/h5&gt;&lt;h5&gt;&lt;b&gt;Components &lt;/b&gt;V, S&lt;/h5&gt;&lt;/div&gt;&lt;hr/&gt;&lt;div&gt;&lt;h5&gt;&lt;b&gt;EFFECT&lt;/b&gt;&lt;/h5&gt;&lt;/div&gt;&lt;hr/&gt;&lt;div&gt;&lt;h5&gt;&lt;b&gt;Range &lt;/b&gt;touch&lt;/h5&gt;&lt;h5&gt;&lt;b&gt;Targets &lt;/b&gt;object touched&lt;/h5&gt;&lt;h5&gt;&lt;b&gt;Duration &lt;/b&gt;10 minutes/level&lt;/h5&gt;&lt;h5&gt;&lt;b&gt;Saving Throw &lt;/b&gt;none; &lt;b&gt;Spell Resistance &lt;/b&gt;no&lt;/h5&gt;&lt;/div&gt;&lt;hr/&gt;&lt;div&gt;&lt;h5&gt;&lt;b&gt;DESCRIPTION&lt;/b&gt;&lt;/h5&gt;&lt;/div&gt;&lt;hr/&gt;&lt;div&gt;&lt;h4&gt;&lt;p&gt;An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level.&lt;/p&gt;&lt;/h4&gt;&lt;/div&gt;</t>
  </si>
  <si>
    <t>Object touched emanates bright light, granting Perception and Sense Motive bonuses.</t>
  </si>
  <si>
    <t>Divine Arrow</t>
  </si>
  <si>
    <t>one projectile</t>
  </si>
  <si>
    <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t>
  </si>
  <si>
    <t>&lt;p&gt;You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discharged.&lt;/p&gt;</t>
  </si>
  <si>
    <t>&lt;link rel="stylesheet"href="PF.css"&gt;&lt;div class="heading"&gt;&lt;p class="alignleft"&gt;Divine Arrow&lt;/p&gt;&lt;div style="clear: both;"&gt;&lt;/div&gt;&lt;/div&gt;&lt;div&gt;&lt;h5&gt;&lt;b&gt;School &lt;/b&gt;transmutation [good]; &lt;b&gt;Level &lt;/b&gt;paladin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projectile&lt;/h5&gt;&lt;h5&gt;&lt;b&gt;Duration &lt;/b&gt;1 round/level or until discharged&lt;/h5&gt;&lt;h5&gt;&lt;b&gt;Saving Throw &lt;/b&gt;none; &lt;b&gt;Spell Resistance &lt;/b&gt;no&lt;/h5&gt;&lt;/div&gt;&lt;hr/&gt;&lt;div&gt;&lt;h5&gt;&lt;b&gt;DESCRIPTION&lt;/b&gt;&lt;/h5&gt;&lt;/div&gt;&lt;hr/&gt;&lt;div&gt;&lt;h4&gt;&lt;p&gt;You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discharged.&lt;/p&gt;&lt;/h4&gt;&lt;/div&gt;</t>
  </si>
  <si>
    <t>Imbues a projectile with holy energy.</t>
  </si>
  <si>
    <t>Dust Form</t>
  </si>
  <si>
    <t>alchemist 5, cleric/oracle 6, druid 6, witch 6, psychic 6</t>
  </si>
  <si>
    <t>V, S, M (a pinch of dust gathered from a gravestone or sacred shrine)</t>
  </si>
  <si>
    <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t>
  </si>
  <si>
    <t>&lt;p&gt;Upon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occupy.&lt;/p&gt;</t>
  </si>
  <si>
    <t>&lt;link rel="stylesheet"href="PF.css"&gt;&lt;div class="heading"&gt;&lt;p class="alignleft"&gt;Dust Form&lt;/p&gt;&lt;div style="clear: both;"&gt;&lt;/div&gt;&lt;/div&gt;&lt;div&gt;&lt;h5&gt;&lt;b&gt;School &lt;/b&gt;transmutation (polymorph); &lt;b&gt;Level &lt;/b&gt;alchemist 5, cleric/oracle 6, druid 6, witch 6, psychic 6&lt;/h5&gt;&lt;/div&gt;&lt;hr/&gt;&lt;div&gt;&lt;h5&gt;&lt;b&gt;CASTING&lt;/b&gt;&lt;/h5&gt;&lt;/div&gt;&lt;hr/&gt;&lt;div&gt;&lt;h5&gt;&lt;b&gt;Casting Time &lt;/b&gt;1 standard action&lt;/h5&gt;&lt;h5&gt;&lt;b&gt;Components &lt;/b&gt;V, S, M (a pinch of dust gathered from a gravestone or sacred shrine)&lt;/h5&gt;&lt;/div&gt;&lt;hr/&gt;&lt;div&gt;&lt;h5&gt;&lt;b&gt;EFFECT&lt;/b&gt;&lt;/h5&gt;&lt;/div&gt;&lt;hr/&gt;&lt;div&gt;&lt;h5&gt;&lt;b&gt;Range &lt;/b&gt;personal&lt;/h5&gt;&lt;h5&gt;&lt;b&gt;Targets &lt;/b&gt;you&lt;/h5&gt;&lt;h5&gt;&lt;b&gt;Duration &lt;/b&gt;1 round/level&lt;/h5&gt;&lt;/div&gt;&lt;hr/&gt;&lt;div&gt;&lt;h5&gt;&lt;b&gt;DESCRIPTION&lt;/b&gt;&lt;/h5&gt;&lt;/div&gt;&lt;hr/&gt;&lt;div&gt;&lt;h4&gt;&lt;p&gt;Upon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occupy.&lt;/p&gt;&lt;/h4&gt;&lt;/div&gt;</t>
  </si>
  <si>
    <t>You become an incorporeal creature of dust for a short period of time.</t>
  </si>
  <si>
    <t>Effortless Armor</t>
  </si>
  <si>
    <t>cleric/oracle 2, inquisitor 2, magus 2, paladin 2, ranger 2, occultist 2, psychic 2</t>
  </si>
  <si>
    <t>Armor you wear no longer reduces your speed. You also reduce the armor's armor check penalty by 1 + 1 per five caster levels (maximum 5).</t>
  </si>
  <si>
    <t>&lt;p&gt;Armor you wear no longer reduces your speed. You also reduce the armor's armor check penalty by 1 + 1 per five caster levels (maximum 5).&lt;/p&gt;</t>
  </si>
  <si>
    <t>&lt;link rel="stylesheet"href="PF.css"&gt;&lt;div class="heading"&gt;&lt;p class="alignleft"&gt;Effortless Armor&lt;/p&gt;&lt;div style="clear: both;"&gt;&lt;/div&gt;&lt;/div&gt;&lt;div&gt;&lt;h5&gt;&lt;b&gt;School &lt;/b&gt;transmutation; &lt;b&gt;Level &lt;/b&gt;cleric/oracle 2, inquisitor 2, magus 2, paladin 2, ranger 2, occultist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minute/level&lt;/h5&gt;&lt;/div&gt;&lt;hr/&gt;&lt;div&gt;&lt;h5&gt;&lt;b&gt;DESCRIPTION&lt;/b&gt;&lt;/h5&gt;&lt;/div&gt;&lt;hr/&gt;&lt;div&gt;&lt;h4&gt;&lt;p&gt;Armor you wear no longer reduces your speed. You also reduce the armor's armor check penalty by 1 + 1 per five caster levels (maximum 5).&lt;/p&gt;&lt;/h4&gt;&lt;/div&gt;</t>
  </si>
  <si>
    <t>Armor you wear no longer slows your speed.</t>
  </si>
  <si>
    <t>Endure Elements, Communal</t>
  </si>
  <si>
    <t>alchemist 3, cleric/oracle 2, druid 2, paladin 2, ranger 2, sorcerer/wizard 2, psychic 2</t>
  </si>
  <si>
    <t>This spell functions like endure elements, except you divide the duration in 1-hour increments among the creatures touched.</t>
  </si>
  <si>
    <t>&lt;p&gt;This spell functions like &lt;i&gt;endure elements&lt;/i&gt;, except you divide the duration in 1-hour increments among the creatures touched.&lt;/p&gt;</t>
  </si>
  <si>
    <t>&lt;link rel="stylesheet"href="PF.css"&gt;&lt;div class="heading"&gt;&lt;p class="alignleft"&gt;Endure Elements, Communal&lt;/p&gt;&lt;div style="clear: both;"&gt;&lt;/div&gt;&lt;/div&gt;&lt;div&gt;&lt;h5&gt;&lt;b&gt;School &lt;/b&gt;abjuration; &lt;b&gt;Level &lt;/b&gt;alchemist 3, cleric/oracle 2, druid 2, paladin 2, ranger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&lt;/b&gt;creatures touched&lt;/h5&gt;&lt;h5&gt;&lt;b&gt;Duration &lt;/b&gt;24 hours&lt;/h5&gt;&lt;h5&gt;&lt;b&gt;Saving Throw &lt;/b&gt;Will negates (harmless); &lt;b&gt;Spell Resistance &lt;/b&gt;yes (harmless)&lt;/h5&gt;&lt;/div&gt;&lt;hr/&gt;&lt;div&gt;&lt;h5&gt;&lt;b&gt;DESCRIPTION&lt;/b&gt;&lt;/h5&gt;&lt;/div&gt;&lt;hr/&gt;&lt;div&gt;&lt;h4&gt;&lt;p&gt;This spell functions like &lt;i&gt;endure elements&lt;/i&gt;, except you divide the duration in 1-hour increments among the creatures touched.&lt;/p&gt;&lt;/h4&gt;&lt;/div&gt;</t>
  </si>
  <si>
    <t>As endure elements, but you may divide the duration among creatures touched.</t>
  </si>
  <si>
    <t>Energy Siege Shot</t>
  </si>
  <si>
    <t>variable</t>
  </si>
  <si>
    <t>sorcerer/wizard 5, summoner 5, occultist 5</t>
  </si>
  <si>
    <t>V, S, M (a ball of pitch)</t>
  </si>
  <si>
    <t>one Large siege engine</t>
  </si>
  <si>
    <t>yes (harmless/object)</t>
  </si>
  <si>
    <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Acid: The ammunition deals half its damage in a splash to all creatures and unattended objects within 15 feet of the target hit by the siege engine. Creatures can halve the splash damage with a Reflex saving throw. The DC of the splash is the same as the DC of the spell.  Cold: The ammunition creates an ice sheen within a 20-foot-radius burst around the target of the siege engine's attack. That sheen lasts 1d6 rounds. Creatures within the ice sheen are entangled. Any creature within the area of the ice sheen at the start of its turn takes 2d6 cold damage.  Electricity: Creatures hit by the siege engine attack or within 15 feet of the attack are staggered for 1 round.  Fire: Creatures and wood objects within 15 feet of the attack may catch on fire (Core Rulebook 444 and page 164 of this book).  Sonic: Creatures hit by the attack or within 20 feet of the attack must succeed at a Fortitude saving throw or be deafened for one hour. The DC of this effect is the same as the spell DC.  Force: No extra effect.</t>
  </si>
  <si>
    <t>&lt;p&gt;This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&lt;br&gt;&lt;i&gt;Acid&lt;/i&gt;: The ammunition deals half its damage in a splash to all creatures and unattended objects within 15 feet of the target hit by the siege engine. Creatures can halve the splash damage with a Reflex saving throw. The DC of the splash is the same as the DC of the spell. &lt;br&gt; &lt;i&gt;Cold&lt;/i&gt;: The ammunition creates an ice sheen within a 20-foot-radius burst around the target of the siege engine's attack. That sheen lasts 1d6 rounds. Creatures within the ice sheen are entangled. Any creature within the area of the ice sheen at the start of its turn takes 2d6 cold damage.  &lt;br&gt;&lt;i&gt;Electricity&lt;/i&gt;: Creatures hit by the siege engine attack or within 15 feet of the attack are staggered for 1 round.  &lt;br&gt;&lt;i&gt;Fire&lt;/i&gt;: Creatures and wood objects within 15 feet of the attack may catch on fire (&lt;i&gt;Core Rulebook&lt;/i&gt; 444 and page 164 of this book).  &lt;br&gt;&lt;i&gt;Sonic&lt;/i&gt;: Creatures hit by the attack or within 20 feet of the attack must succeed at a Fortitude saving throw or be deafened for one hour. The DC of this effect is the same as the spell DC.  &lt;br&gt;&lt;i&gt;Force&lt;/i&gt;: No extra effect.&lt;/p&gt;</t>
  </si>
  <si>
    <t>&lt;link rel="stylesheet"href="PF.css"&gt;&lt;div class="heading"&gt;&lt;p class="alignleft"&gt;Energy Siege Shot&lt;/p&gt;&lt;div style="clear: both;"&gt;&lt;/div&gt;&lt;/div&gt;&lt;div&gt;&lt;h5&gt;&lt;b&gt;School &lt;/b&gt;transmutation [variable]; &lt;b&gt;Level &lt;/b&gt;sorcerer/wizard 5, summoner 5, occultist 5&lt;/h5&gt;&lt;/div&gt;&lt;hr/&gt;&lt;div&gt;&lt;h5&gt;&lt;b&gt;CASTING&lt;/b&gt;&lt;/h5&gt;&lt;/div&gt;&lt;hr/&gt;&lt;div&gt;&lt;h5&gt;&lt;b&gt;Casting Time &lt;/b&gt;10 minutes&lt;/h5&gt;&lt;h5&gt;&lt;b&gt;Components &lt;/b&gt;V, S, M (a ball of pitch)&lt;/h5&gt;&lt;/div&gt;&lt;hr/&gt;&lt;div&gt;&lt;h5&gt;&lt;b&gt;EFFECT&lt;/b&gt;&lt;/h5&gt;&lt;/div&gt;&lt;hr/&gt;&lt;div&gt;&lt;h5&gt;&lt;b&gt;Range &lt;/b&gt;close (25 ft. + 5 ft./2 levels)&lt;/h5&gt;&lt;h5&gt;&lt;b&gt;Targets &lt;/b&gt;one Large siege engine&lt;/h5&gt;&lt;h5&gt;&lt;b&gt;Duration &lt;/b&gt;10 minute/level&lt;/h5&gt;&lt;h5&gt;&lt;b&gt;Saving Throw &lt;/b&gt;Fortitude negates (harmless, object); &lt;b&gt;Spell Resistance &lt;/b&gt;yes (harmless/object)&lt;/h5&gt;&lt;/div&gt;&lt;hr/&gt;&lt;div&gt;&lt;h5&gt;&lt;b&gt;DESCRIPTION&lt;/b&gt;&lt;/h5&gt;&lt;/div&gt;&lt;hr/&gt;&lt;div&gt;&lt;h4&gt;&lt;p&gt;This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&lt;br&gt;&lt;i&gt;Acid&lt;/i&gt;: The ammunition deals half its damage in a splash to all creatures and unattended objects within 15 feet of the target hit by the siege engine. Creatures can halve the splash damage with a Reflex saving throw. The DC of the splash is the same as the DC of the spell.  &lt;br&gt;&lt;i&gt;Cold&lt;/i&gt;: The ammunition creates an ice sheen within a 20-foot-radius burst around the target of the siege engine's attack. That sheen lasts 1d6 rounds. Creatures within the ice sheen are entangled. Any creature within the area of the ice sheen at the start of its turn takes 2d6 cold damage.  &lt;br&gt;&lt;i&gt;Electricity&lt;/i&gt;: Creatures hit by the siege engine attack or within 15 feet of the attack are staggered for 1 round.  &lt;br&gt;&lt;i&gt;Fire&lt;/i&gt;: Creatures and wood objects within 15 feet of the attack may catch on fire (&lt;i&gt;Core Rulebook&lt;/i&gt; 444 and page 164 of this book).  &lt;br&gt;&lt;i&gt;Sonic&lt;/i&gt;: Creatures hit by the attack or within 20 feet of the attack must succeed at a Fortitude saving throw or be deafened for one hour. The DC of this effect is the same as the spell DC.  &lt;br&gt;&lt;i&gt;Force&lt;/i&gt;: No extra effect.&lt;/p&gt;&lt;/h4&gt;&lt;/div&gt;</t>
  </si>
  <si>
    <t>A Large siege engine deals energy damage that you designate with other effects depending on the type of energy you choose.</t>
  </si>
  <si>
    <t>Energy Siege Shot, Greater</t>
  </si>
  <si>
    <t>sorcerer/wizard 6, summoner 6, occultist 6</t>
  </si>
  <si>
    <t>one siege engine of any size</t>
  </si>
  <si>
    <t>This spell functions like energy shot, except it can target siege engines of any size, not just Large siege engines.</t>
  </si>
  <si>
    <t>&lt;p&gt;This spell functions like energy shot, except it can target siege engines of any size, not just Large siege engines.&lt;/p&gt;</t>
  </si>
  <si>
    <t>&lt;link rel="stylesheet"href="PF.css"&gt;&lt;div class="heading"&gt;&lt;p class="alignleft"&gt;Energy Siege Shot, Greater&lt;/p&gt;&lt;div style="clear: both;"&gt;&lt;/div&gt;&lt;/div&gt;&lt;div&gt;&lt;h5&gt;&lt;b&gt;School &lt;/b&gt;transmutation [variable]; &lt;b&gt;Level &lt;/b&gt;sorcerer/wizard 6, summoner 6, occultist 6&lt;/h5&gt;&lt;/div&gt;&lt;hr/&gt;&lt;div&gt;&lt;h5&gt;&lt;b&gt;CASTING&lt;/b&gt;&lt;/h5&gt;&lt;/div&gt;&lt;hr/&gt;&lt;div&gt;&lt;h5&gt;&lt;b&gt;Casting Time &lt;/b&gt;10 minutes&lt;/h5&gt;&lt;h5&gt;&lt;b&gt;Components &lt;/b&gt;V, S, M (a ball of pitch)&lt;/h5&gt;&lt;/div&gt;&lt;hr/&gt;&lt;div&gt;&lt;h5&gt;&lt;b&gt;EFFECT&lt;/b&gt;&lt;/h5&gt;&lt;/div&gt;&lt;hr/&gt;&lt;div&gt;&lt;h5&gt;&lt;b&gt;Range &lt;/b&gt;close (25 ft. + 5 ft./2 levels)&lt;/h5&gt;&lt;h5&gt;&lt;b&gt;Targets &lt;/b&gt;one siege engine of any size&lt;/h5&gt;&lt;h5&gt;&lt;b&gt;Duration &lt;/b&gt;10 minute/level&lt;/h5&gt;&lt;h5&gt;&lt;b&gt;Saving Throw &lt;/b&gt;Fortitude negates (harmless, object); &lt;b&gt;Spell Resistance &lt;/b&gt;yes (harmless/object)&lt;/h5&gt;&lt;/div&gt;&lt;hr/&gt;&lt;div&gt;&lt;h5&gt;&lt;b&gt;DESCRIPTION&lt;/b&gt;&lt;/h5&gt;&lt;/div&gt;&lt;hr/&gt;&lt;div&gt;&lt;h4&gt;&lt;p&gt;This spell functions like energy shot, except it can target siege engines of any size, not just Large siege engines.&lt;/p&gt;&lt;/h4&gt;&lt;/div&gt;</t>
  </si>
  <si>
    <t>As energy siege shot, but you can affect any size siege engine.</t>
  </si>
  <si>
    <t>Fabricate Bullets</t>
  </si>
  <si>
    <t>V, S, M (1 pound of lead or other soft metal worth 2 gp)</t>
  </si>
  <si>
    <t>1 pound of soft metal</t>
  </si>
  <si>
    <t>You convert 1 pound of lead into bullets. When you cast this spell, you decide whether you create normal sling bullets, firearm bullets, or firearm pellets. The spell creates two sling bullets, 30 firearm bullets, or 10 uses of pellets.</t>
  </si>
  <si>
    <t>&lt;p&gt;You convert 1 pound of lead into bullets. When you cast this spell, you decide whether you create normal sling bullets, firearm bullets, or firearm pellets. The spell creates two sling bullets, 30 firearm bullets, or 10 uses of pellets.&lt;/p&gt;</t>
  </si>
  <si>
    <t>&lt;link rel="stylesheet"href="PF.css"&gt;&lt;div class="heading"&gt;&lt;p class="alignleft"&gt;Fabricate Bullets&lt;/p&gt;&lt;div style="clear: both;"&gt;&lt;/div&gt;&lt;/div&gt;&lt;div&gt;&lt;h5&gt;&lt;b&gt;School &lt;/b&gt;transmutation; &lt;b&gt;Level &lt;/b&gt;sorcerer/wizard 1&lt;/h5&gt;&lt;/div&gt;&lt;hr/&gt;&lt;div&gt;&lt;h5&gt;&lt;b&gt;CASTING&lt;/b&gt;&lt;/h5&gt;&lt;/div&gt;&lt;hr/&gt;&lt;div&gt;&lt;h5&gt;&lt;b&gt;Casting Time &lt;/b&gt;1 round&lt;/h5&gt;&lt;h5&gt;&lt;b&gt;Components &lt;/b&gt;V, S, M (1 pound of lead or other soft metal worth 2 gp)&lt;/h5&gt;&lt;/div&gt;&lt;hr/&gt;&lt;div&gt;&lt;h5&gt;&lt;b&gt;EFFECT&lt;/b&gt;&lt;/h5&gt;&lt;/div&gt;&lt;hr/&gt;&lt;div&gt;&lt;h5&gt;&lt;b&gt;Range &lt;/b&gt;touch&lt;/h5&gt;&lt;h5&gt;&lt;b&gt;Targets &lt;/b&gt;1 pound of soft metal&lt;/h5&gt;&lt;h5&gt;&lt;b&gt;Duration &lt;/b&gt;instantaneous&lt;/h5&gt;&lt;h5&gt;&lt;b&gt;Saving Throw &lt;/b&gt;none; &lt;b&gt;Spell Resistance &lt;/b&gt;no&lt;/h5&gt;&lt;/div&gt;&lt;hr/&gt;&lt;div&gt;&lt;h5&gt;&lt;b&gt;DESCRIPTION&lt;/b&gt;&lt;/h5&gt;&lt;/div&gt;&lt;hr/&gt;&lt;div&gt;&lt;h4&gt;&lt;p&gt;You convert 1 pound of lead into bullets. When you cast this spell, you decide whether you create normal sling bullets, firearm bullets, or firearm pellets. The spell creates two sling bullets, 30 firearm bullets, or 10 uses of pellets.&lt;/p&gt;&lt;/h4&gt;&lt;/div&gt;</t>
  </si>
  <si>
    <t>Converts 1 pound of metal into ammunition.</t>
  </si>
  <si>
    <t>Fiery Shuriken</t>
  </si>
  <si>
    <t>V, S, M (a pinch of sulfur and a single shuriken worth 2 sp)</t>
  </si>
  <si>
    <t>Two or more fiery shuriken</t>
  </si>
  <si>
    <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t>
  </si>
  <si>
    <t>&lt;p&gt;You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wasted.&lt;/p&gt;</t>
  </si>
  <si>
    <t>&lt;link rel="stylesheet"href="PF.css"&gt;&lt;div class="heading"&gt;&lt;p class="alignleft"&gt;Fiery Shuriken&lt;/p&gt;&lt;div style="clear: both;"&gt;&lt;/div&gt;&lt;/div&gt;&lt;div&gt;&lt;h5&gt;&lt;b&gt;School &lt;/b&gt;conjuration (creation) [fire]; &lt;b&gt;Level &lt;/b&gt;sorcerer/wizard 2&lt;/h5&gt;&lt;/div&gt;&lt;hr/&gt;&lt;div&gt;&lt;h5&gt;&lt;b&gt;CASTING&lt;/b&gt;&lt;/h5&gt;&lt;/div&gt;&lt;hr/&gt;&lt;div&gt;&lt;h5&gt;&lt;b&gt;Casting Time &lt;/b&gt;1 standard action&lt;/h5&gt;&lt;h5&gt;&lt;b&gt;Components &lt;/b&gt;V, S, M (a pinch of sulfur and a single shuriken worth 2 sp)&lt;/h5&gt;&lt;/div&gt;&lt;hr/&gt;&lt;div&gt;&lt;h5&gt;&lt;b&gt;EFFECT&lt;/b&gt;&lt;/h5&gt;&lt;/div&gt;&lt;hr/&gt;&lt;div&gt;&lt;h5&gt;&lt;b&gt;Range &lt;/b&gt;close (25 ft. + 5 ft./2 levels)&lt;/h5&gt;&lt;h5&gt;&lt;b&gt;Effect &lt;/b&gt;Two or more fiery shuriken&lt;/h5&gt;&lt;h5&gt;&lt;b&gt;Duration &lt;/b&gt;1 round/level (D)&lt;/h5&gt;&lt;h5&gt;&lt;b&gt;Saving Throw &lt;/b&gt;none; &lt;b&gt;Spell Resistance &lt;/b&gt;yes&lt;/h5&gt;&lt;/div&gt;&lt;hr/&gt;&lt;div&gt;&lt;h5&gt;&lt;b&gt;DESCRIPTION&lt;/b&gt;&lt;/h5&gt;&lt;/div&gt;&lt;hr/&gt;&lt;div&gt;&lt;h4&gt;&lt;p&gt;You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wasted.&lt;/p&gt;&lt;/h4&gt;&lt;/div&gt;</t>
  </si>
  <si>
    <t>Calls forth several fiery projectiles ready to be flung at opponents.</t>
  </si>
  <si>
    <t>Find Quarry</t>
  </si>
  <si>
    <t>inquisitor 4, ranger 4</t>
  </si>
  <si>
    <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locate creature from finding a creature also prevents find quarry from doing so.</t>
  </si>
  <si>
    <t>&lt;p&gt;You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&lt;i&gt;locate creature&lt;/i&gt; from finding a creature also prevents &lt;i&gt;find quarry&lt;/i&gt; from doing so.&lt;/p&gt;</t>
  </si>
  <si>
    <t>&lt;link rel="stylesheet"href="PF.css"&gt;&lt;div class="heading"&gt;&lt;p class="alignleft"&gt;Find Quarry&lt;/p&gt;&lt;div style="clear: both;"&gt;&lt;/div&gt;&lt;/div&gt;&lt;div&gt;&lt;h5&gt;&lt;b&gt;School &lt;/b&gt;divination; &lt;b&gt;Level &lt;/b&gt;inquisitor 4,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&lt;i&gt;locate creature&lt;/i&gt; from finding a creature also prevents &lt;i&gt;find quarry&lt;/i&gt; from doing so.&lt;/p&gt;&lt;/h4&gt;&lt;/div&gt;</t>
  </si>
  <si>
    <t>You can sense whether a particular creature is within 20 miles of your location.</t>
  </si>
  <si>
    <t>Flash Fire</t>
  </si>
  <si>
    <t>sorcerer/wizard 3, witch 3</t>
  </si>
  <si>
    <t>V, S, M (a pinch of powdered fool's gold)</t>
  </si>
  <si>
    <t>1 firearm</t>
  </si>
  <si>
    <t>Will negates (object); see text</t>
  </si>
  <si>
    <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t>
  </si>
  <si>
    <t>&lt;p&gt;The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wasted.&lt;/p&gt;</t>
  </si>
  <si>
    <t>&lt;link rel="stylesheet"href="PF.css"&gt;&lt;div class="heading"&gt;&lt;p class="alignleft"&gt;Flash Fire&lt;/p&gt;&lt;div style="clear: both;"&gt;&lt;/div&gt;&lt;/div&gt;&lt;div&gt;&lt;h5&gt;&lt;b&gt;School &lt;/b&gt;transmutation; &lt;b&gt;Level &lt;/b&gt;sorcerer/wizard 3, witch 3&lt;/h5&gt;&lt;/div&gt;&lt;hr/&gt;&lt;div&gt;&lt;h5&gt;&lt;b&gt;CASTING&lt;/b&gt;&lt;/h5&gt;&lt;/div&gt;&lt;hr/&gt;&lt;div&gt;&lt;h5&gt;&lt;b&gt;Casting Time &lt;/b&gt;1 standard action&lt;/h5&gt;&lt;h5&gt;&lt;b&gt;Components &lt;/b&gt;V, S, M (a pinch of powdered fool's gold)&lt;/h5&gt;&lt;/div&gt;&lt;hr/&gt;&lt;div&gt;&lt;h5&gt;&lt;b&gt;EFFECT&lt;/b&gt;&lt;/h5&gt;&lt;/div&gt;&lt;hr/&gt;&lt;div&gt;&lt;h5&gt;&lt;b&gt;Range &lt;/b&gt;close (25 ft. + 5 ft./2 levels)&lt;/h5&gt;&lt;h5&gt;&lt;b&gt;Targets &lt;/b&gt;1 firearm&lt;/h5&gt;&lt;h5&gt;&lt;b&gt;Duration &lt;/b&gt;instantaneous&lt;/h5&gt;&lt;h5&gt;&lt;b&gt;Saving Throw &lt;/b&gt;Will negates (object); see text; &lt;b&gt;Spell Resistance &lt;/b&gt;yes (object); see text&lt;/h5&gt;&lt;/div&gt;&lt;hr/&gt;&lt;div&gt;&lt;h5&gt;&lt;b&gt;DESCRIPTION&lt;/b&gt;&lt;/h5&gt;&lt;/div&gt;&lt;hr/&gt;&lt;div&gt;&lt;h4&gt;&lt;p&gt;The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wasted.&lt;/p&gt;&lt;/h4&gt;&lt;/div&gt;</t>
  </si>
  <si>
    <t>Ammunition in the targeted firearm creates a tremendous flash capable of blinding the weapon's bearer and those around him.</t>
  </si>
  <si>
    <t>Forest Friend</t>
  </si>
  <si>
    <t>V, S, M (a pinch of manure)</t>
  </si>
  <si>
    <t>one willing living creature per three levels, no two of which may be more than 30 ft. apart.</t>
  </si>
  <si>
    <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Rangers in their favored terrain can also add their favored terrain bonus on such Acrobatics and Climb checks.</t>
  </si>
  <si>
    <t>&lt;p&gt;While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&lt;b&gt;Range&lt;/b&gt;rs in their favored terrain can also add their favored terrain bonus on such Acrobatics and Climb checks.&lt;/p&gt;</t>
  </si>
  <si>
    <t>&lt;link rel="stylesheet"href="PF.css"&gt;&lt;div class="heading"&gt;&lt;p class="alignleft"&gt;Forest Friend&lt;/p&gt;&lt;div style="clear: both;"&gt;&lt;/div&gt;&lt;/div&gt;&lt;div&gt;&lt;h5&gt;&lt;b&gt;School &lt;/b&gt;abjuration; &lt;b&gt;Level &lt;/b&gt;druid 2, ranger 2&lt;/h5&gt;&lt;/div&gt;&lt;hr/&gt;&lt;div&gt;&lt;h5&gt;&lt;b&gt;CASTING&lt;/b&gt;&lt;/h5&gt;&lt;/div&gt;&lt;hr/&gt;&lt;div&gt;&lt;h5&gt;&lt;b&gt;Casting Time &lt;/b&gt;1 round&lt;/h5&gt;&lt;h5&gt;&lt;b&gt;Components &lt;/b&gt;V, S, M (a pinch of manure)&lt;/h5&gt;&lt;/div&gt;&lt;hr/&gt;&lt;div&gt;&lt;h5&gt;&lt;b&gt;EFFECT&lt;/b&gt;&lt;/h5&gt;&lt;/div&gt;&lt;hr/&gt;&lt;div&gt;&lt;h5&gt;&lt;b&gt;Range &lt;/b&gt;close (25 ft. + 5 ft./2 levels)&lt;/h5&gt;&lt;h5&gt;&lt;b&gt;Targets &lt;/b&gt;one willing living creature per three levels, no two of which may be more than 30 ft. apart.&lt;/h5&gt;&lt;h5&gt;&lt;b&gt;Duration &lt;/b&gt;1 minute/level&lt;/h5&gt;&lt;h5&gt;&lt;b&gt;Saving Throw &lt;/b&gt;none; &lt;b&gt;Spell Resistance &lt;/b&gt;no&lt;/h5&gt;&lt;/div&gt;&lt;hr/&gt;&lt;div&gt;&lt;h5&gt;&lt;b&gt;DESCRIPTION&lt;/b&gt;&lt;/h5&gt;&lt;/div&gt;&lt;hr/&gt;&lt;div&gt;&lt;h4&gt;&lt;p&gt;While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&lt;b&gt;Range&lt;/b&gt;rs in their favored terrain can also add their favored terrain bonus on such Acrobatics and Climb checks.&lt;/p&gt;&lt;/h4&gt;&lt;/div&gt;</t>
  </si>
  <si>
    <t>Plants in a forested area become helpful instead of hindering you and your allies.</t>
  </si>
  <si>
    <t>Frightful Aspect</t>
  </si>
  <si>
    <t>cleric/oracle 8, druid 8, sorcerer/wizard 8, witch 8, psychic 8</t>
  </si>
  <si>
    <t>V, S, M (the skin of a toad)</t>
  </si>
  <si>
    <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t>
  </si>
  <si>
    <t>&lt;p&gt;You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effect.&lt;/p&gt;</t>
  </si>
  <si>
    <t>&lt;link rel="stylesheet"href="PF.css"&gt;&lt;div class="heading"&gt;&lt;p class="alignleft"&gt;Frightful Aspect&lt;/p&gt;&lt;div style="clear: both;"&gt;&lt;/div&gt;&lt;/div&gt;&lt;div&gt;&lt;h5&gt;&lt;b&gt;School &lt;/b&gt;transmutation (polymorph); &lt;b&gt;Level &lt;/b&gt;cleric/oracle 8, druid 8, sorcerer/wizard 8, witch 8, psychic 8&lt;/h5&gt;&lt;/div&gt;&lt;hr/&gt;&lt;div&gt;&lt;h5&gt;&lt;b&gt;CASTING&lt;/b&gt;&lt;/h5&gt;&lt;/div&gt;&lt;hr/&gt;&lt;div&gt;&lt;h5&gt;&lt;b&gt;Casting Time &lt;/b&gt;1 standard action&lt;/h5&gt;&lt;h5&gt;&lt;b&gt;Components &lt;/b&gt;V, S, M (the skin of a toad)&lt;/h5&gt;&lt;/div&gt;&lt;hr/&gt;&lt;div&gt;&lt;h5&gt;&lt;b&gt;EFFECT&lt;/b&gt;&lt;/h5&gt;&lt;/div&gt;&lt;hr/&gt;&lt;div&gt;&lt;h5&gt;&lt;b&gt;Range &lt;/b&gt;personal&lt;/h5&gt;&lt;h5&gt;&lt;b&gt;Targets &lt;/b&gt;you&lt;/h5&gt;&lt;h5&gt;&lt;b&gt;Duration &lt;/b&gt;1 minute/level&lt;/h5&gt;&lt;/div&gt;&lt;hr/&gt;&lt;div&gt;&lt;h5&gt;&lt;b&gt;DESCRIPTION&lt;/b&gt;&lt;/h5&gt;&lt;/div&gt;&lt;hr/&gt;&lt;div&gt;&lt;h4&gt;&lt;p&gt;You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effect.&lt;/p&gt;&lt;/h4&gt;&lt;/div&gt;</t>
  </si>
  <si>
    <t>You take on a terrifying, Large-sized form of yourself and emit an aura that causes creatures to become shaken or frightened.</t>
  </si>
  <si>
    <t>Frost Fall</t>
  </si>
  <si>
    <t>druid 2, sorcerer/wizard 2, witch 2, occultist 2</t>
  </si>
  <si>
    <t>5-foot radius burst</t>
  </si>
  <si>
    <t>1 round/2 levels</t>
  </si>
  <si>
    <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t>
  </si>
  <si>
    <t>&lt;p&gt;The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throw.&lt;/p&gt;</t>
  </si>
  <si>
    <t>&lt;link rel="stylesheet"href="PF.css"&gt;&lt;div class="heading"&gt;&lt;p class="alignleft"&gt;Frost Fall&lt;/p&gt;&lt;div style="clear: both;"&gt;&lt;/div&gt;&lt;/div&gt;&lt;div&gt;&lt;h5&gt;&lt;b&gt;School &lt;/b&gt;evocation [cold]; &lt;b&gt;Level &lt;/b&gt;druid 2, sorcerer/wizard 2, witch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&lt;/b&gt;5-foot radius burst&lt;/h5&gt;&lt;h5&gt;&lt;b&gt;Duration &lt;/b&gt;1 round/2 levels&lt;/h5&gt;&lt;h5&gt;&lt;b&gt;Saving Throw &lt;/b&gt;Fortitude partial; &lt;b&gt;Spell Resistance &lt;/b&gt;yes&lt;/h5&gt;&lt;/div&gt;&lt;hr/&gt;&lt;div&gt;&lt;h5&gt;&lt;b&gt;DESCRIPTION&lt;/b&gt;&lt;/h5&gt;&lt;/div&gt;&lt;hr/&gt;&lt;div&gt;&lt;h4&gt;&lt;p&gt;The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throw.&lt;/p&gt;&lt;/h4&gt;&lt;/div&gt;</t>
  </si>
  <si>
    <t>The area is covered in a chilling frost.</t>
  </si>
  <si>
    <t>Haunted Fey Aspect</t>
  </si>
  <si>
    <t>bard 0, sorcerer/wizard 0, psychic 0, mesmerist 0</t>
  </si>
  <si>
    <t>Personal</t>
  </si>
  <si>
    <t>You</t>
  </si>
  <si>
    <t>You surround yourself with disturbing illusions, making you look and sound like a bizarre, insane fey creature. You gain DR 1/cold iron against a single opponent until the end of the spell, or until you take damage.</t>
  </si>
  <si>
    <t>&lt;p&gt;You surround yourself with disturbing illusions, making you look and sound like a bizarre, insane fey creature. You gain DR 1/cold iron against a single opponent until the end of the spell, or until you take damage.&lt;/p&gt;</t>
  </si>
  <si>
    <t>&lt;link rel="stylesheet"href="PF.css"&gt;&lt;div class="heading"&gt;&lt;p class="alignleft"&gt;Haunted Fey Aspect&lt;/p&gt;&lt;div style="clear: both;"&gt;&lt;/div&gt;&lt;/div&gt;&lt;div&gt;&lt;h5&gt;&lt;b&gt;School &lt;/b&gt;illusion (glamer); &lt;b&gt;Level &lt;/b&gt;bard 0, sorcerer/wizard 0, psychic 0, mesmerist 0&lt;/h5&gt;&lt;/div&gt;&lt;hr/&gt;&lt;div&gt;&lt;h5&gt;&lt;b&gt;CASTING&lt;/b&gt;&lt;/h5&gt;&lt;/div&gt;&lt;hr/&gt;&lt;div&gt;&lt;h5&gt;&lt;b&gt;Casting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 (D)&lt;/h5&gt;&lt;/div&gt;&lt;hr/&gt;&lt;div&gt;&lt;h5&gt;&lt;b&gt;DESCRIPTION&lt;/b&gt;&lt;/h5&gt;&lt;/div&gt;&lt;hr/&gt;&lt;div&gt;&lt;h4&gt;&lt;p&gt;You surround yourself with disturbing illusions, making you look and sound like a bizarre, insane fey creature. You gain DR 1/cold iron against a single opponent until the end of the spell, or until you take damage.&lt;/p&gt;&lt;/h4&gt;&lt;/div&gt;</t>
  </si>
  <si>
    <t>You surround yourself with disturbing illusions.</t>
  </si>
  <si>
    <t>Healing Thief</t>
  </si>
  <si>
    <t>sorcerer/wizard 3, witch 3, occultist 3, psychic 3, mesmerist 1</t>
  </si>
  <si>
    <t>V, S, M (a bit of sponge, damp with tears)</t>
  </si>
  <si>
    <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t>
  </si>
  <si>
    <t>&lt;p&gt;With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discharged.&lt;/p&gt;</t>
  </si>
  <si>
    <t>&lt;link rel="stylesheet"href="PF.css"&gt;&lt;div class="heading"&gt;&lt;p class="alignleft"&gt;Healing Thief&lt;/p&gt;&lt;div style="clear: both;"&gt;&lt;/div&gt;&lt;/div&gt;&lt;div&gt;&lt;h5&gt;&lt;b&gt;School &lt;/b&gt;necromancy; &lt;b&gt;Level &lt;/b&gt;sorcerer/wizard 3, witch 3, occultist 3, psychic 3, mesmerist 1&lt;/h5&gt;&lt;/div&gt;&lt;hr/&gt;&lt;div&gt;&lt;h5&gt;&lt;b&gt;CASTING&lt;/b&gt;&lt;/h5&gt;&lt;/div&gt;&lt;hr/&gt;&lt;div&gt;&lt;h5&gt;&lt;b&gt;Casting Time &lt;/b&gt;1 standard action&lt;/h5&gt;&lt;h5&gt;&lt;b&gt;Components &lt;/b&gt;V, S, M (a bit of sponge, damp with tears)&lt;/h5&gt;&lt;/div&gt;&lt;hr/&gt;&lt;div&gt;&lt;h5&gt;&lt;b&gt;EFFECT&lt;/b&gt;&lt;/h5&gt;&lt;/div&gt;&lt;hr/&gt;&lt;div&gt;&lt;h5&gt;&lt;b&gt;Range &lt;/b&gt;touch&lt;/h5&gt;&lt;h5&gt;&lt;b&gt;Targets &lt;/b&gt;creature touched&lt;/h5&gt;&lt;h5&gt;&lt;b&gt;Duration &lt;/b&gt;1 round/level or until discharged&lt;/h5&gt;&lt;h5&gt;&lt;b&gt;Saving Throw &lt;/b&gt;none; &lt;b&gt;Spell Resistance &lt;/b&gt;yes&lt;/h5&gt;&lt;/div&gt;&lt;hr/&gt;&lt;div&gt;&lt;h5&gt;&lt;b&gt;DESCRIPTION&lt;/b&gt;&lt;/h5&gt;&lt;/div&gt;&lt;hr/&gt;&lt;div&gt;&lt;h4&gt;&lt;p&gt;With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discharged.&lt;/p&gt;&lt;/h4&gt;&lt;h5&gt;&lt;b&gt;Mythic: &lt;/b&gt;Instead of stealing half the target's healing, you steal all of it. The amount of damage you steal before the spell is discharged increases to 10 points per caster level (maximum 100 points).&lt;/h5&gt;&lt;h5&gt;&lt;b&gt;Augmented (3rd)&lt;/b&gt;: If you expend two uses of mythic power, the range of the spell changes to close (25 feet + 5 feet per 2 caster levels). If the target has fast healing or regeneration, you steal half of its fast healing or regeneration. Healing from these abilities count toward the maximum healing stolen before the spell is discharged.&lt;/h5&gt;&lt;/div&gt;</t>
  </si>
  <si>
    <t>You siphon half of all magical healing that the targeted creature receives.</t>
  </si>
  <si>
    <t>Instead of stealing half the target's healing, you steal all of it. The amount of damage you steal before the spell is discharged increases to 10 points per caster level (maximum 100 points).</t>
  </si>
  <si>
    <t>Augmented (3rd): If you expend two uses of mythic power, the range of the spell changes to close (25 feet + 5 feet per 2 caster levels). If the target has fast healing or regeneration, you steal half of its fast healing or regeneration. Healing from these abilities count toward the maximum healing stolen before the spell is discharged.</t>
  </si>
  <si>
    <t>Heroic Invocation</t>
  </si>
  <si>
    <t>10 minutes /level</t>
  </si>
  <si>
    <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t>
  </si>
  <si>
    <t>&lt;p&gt;Using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fatigued.&lt;/p&gt;</t>
  </si>
  <si>
    <t>&lt;link rel="stylesheet"href="PF.css"&gt;&lt;div class="heading"&gt;&lt;p class="alignleft"&gt;Heroic Invocation&lt;/p&gt;&lt;div style="clear: both;"&gt;&lt;/div&gt;&lt;/div&gt;&lt;div&gt;&lt;h5&gt;&lt;b&gt;School &lt;/b&gt;enchantment (compulsion) [mind-affecting]; &lt;b&gt;Level &lt;/b&gt;sorcerer/wizard 9, witch 9, psychic 9&lt;/h5&gt;&lt;/div&gt;&lt;hr/&gt;&lt;div&gt;&lt;h5&gt;&lt;b&gt;CASTING&lt;/b&gt;&lt;/h5&gt;&lt;/div&gt;&lt;hr/&gt;&lt;div&gt;&lt;h5&gt;&lt;b&gt;Casting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or more creatures, no two of which can be more than 30 ft. apart&lt;/h5&gt;&lt;h5&gt;&lt;b&gt;Duration &lt;/b&gt;10 minutes /level&lt;/h5&gt;&lt;h5&gt;&lt;b&gt;Saving Throw &lt;/b&gt;Will negates (harmless); &lt;b&gt;Spell Resistance &lt;/b&gt;yes (harmless)&lt;/h5&gt;&lt;/div&gt;&lt;hr/&gt;&lt;div&gt;&lt;h5&gt;&lt;b&gt;DESCRIPTION&lt;/b&gt;&lt;/h5&gt;&lt;/div&gt;&lt;hr/&gt;&lt;div&gt;&lt;h4&gt;&lt;p&gt;Using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fatigued.&lt;/p&gt;&lt;/h4&gt;&lt;/div&gt;</t>
  </si>
  <si>
    <t>Grants a number of creatures bonuses on attacks and damage, temporary hit points, and immunity to fear and charm effects.</t>
  </si>
  <si>
    <t>Hostile Juxtaposition</t>
  </si>
  <si>
    <t>sorcerer/wizard 5, summoner 4, witch 5, psychic 5</t>
  </si>
  <si>
    <t>V, S, M (a coin)</t>
  </si>
  <si>
    <t>one creature of your size or smaller</t>
  </si>
  <si>
    <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t>
  </si>
  <si>
    <t>&lt;p&gt;You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discharged.&lt;/p&gt;</t>
  </si>
  <si>
    <t>&lt;link rel="stylesheet"href="PF.css"&gt;&lt;div class="heading"&gt;&lt;p class="alignleft"&gt;Hostile Juxtaposition&lt;/p&gt;&lt;div style="clear: both;"&gt;&lt;/div&gt;&lt;/div&gt;&lt;div&gt;&lt;h5&gt;&lt;b&gt;School &lt;/b&gt;conjuration (teleportation); &lt;b&gt;Level &lt;/b&gt;sorcerer/wizard 5, summoner 4, witch 5, psychic 5&lt;/h5&gt;&lt;/div&gt;&lt;hr/&gt;&lt;div&gt;&lt;h5&gt;&lt;b&gt;CASTING&lt;/b&gt;&lt;/h5&gt;&lt;/div&gt;&lt;hr/&gt;&lt;div&gt;&lt;h5&gt;&lt;b&gt;Casting Time &lt;/b&gt;1 standard action&lt;/h5&gt;&lt;h5&gt;&lt;b&gt;Components &lt;/b&gt;V, S, M (a coin)&lt;/h5&gt;&lt;/div&gt;&lt;hr/&gt;&lt;div&gt;&lt;h5&gt;&lt;b&gt;EFFECT&lt;/b&gt;&lt;/h5&gt;&lt;/div&gt;&lt;hr/&gt;&lt;div&gt;&lt;h5&gt;&lt;b&gt;Range &lt;/b&gt;close (25 ft. + 5 ft./2 levels)&lt;/h5&gt;&lt;h5&gt;&lt;b&gt;Targets &lt;/b&gt;one creature of your size or smaller&lt;/h5&gt;&lt;h5&gt;&lt;b&gt;Duration &lt;/b&gt;1 round/level or until discharged&lt;/h5&gt;&lt;h5&gt;&lt;b&gt;Saving Throw &lt;/b&gt;Will negates; &lt;b&gt;Spell Resistance &lt;/b&gt;yes&lt;/h5&gt;&lt;/div&gt;&lt;hr/&gt;&lt;div&gt;&lt;h5&gt;&lt;b&gt;DESCRIPTION&lt;/b&gt;&lt;/h5&gt;&lt;/div&gt;&lt;hr/&gt;&lt;div&gt;&lt;h4&gt;&lt;p&gt;You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discharged.&lt;/p&gt;&lt;/h4&gt;&lt;/div&gt;</t>
  </si>
  <si>
    <t>You create a dimensional link with a targeted creature, and switch spots with it.</t>
  </si>
  <si>
    <t>Hostile Juxtaposition, Greater</t>
  </si>
  <si>
    <t>sorcerer/wizard 7, summoner 6, witch 7, psychic 7, mesmerist 4</t>
  </si>
  <si>
    <t>one creature/4 levels</t>
  </si>
  <si>
    <t>This spell functions like hostile juxtaposition,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t>
  </si>
  <si>
    <t>&lt;p&gt;This spell functions like &lt;i&gt;hostile juxtaposition&lt;/i&gt;,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discharged.&lt;/p&gt;</t>
  </si>
  <si>
    <t>&lt;link rel="stylesheet"href="PF.css"&gt;&lt;div class="heading"&gt;&lt;p class="alignleft"&gt;Hostile Juxtaposition, Greater&lt;/p&gt;&lt;div style="clear: both;"&gt;&lt;/div&gt;&lt;/div&gt;&lt;div&gt;&lt;h5&gt;&lt;b&gt;School &lt;/b&gt;conjuration (teleportation); &lt;b&gt;Level &lt;/b&gt;sorcerer/wizard 7, summoner 6, witch 7, psychic 7, mesmerist 4&lt;/h5&gt;&lt;/div&gt;&lt;hr/&gt;&lt;div&gt;&lt;h5&gt;&lt;b&gt;CASTING&lt;/b&gt;&lt;/h5&gt;&lt;/div&gt;&lt;hr/&gt;&lt;div&gt;&lt;h5&gt;&lt;b&gt;Casting Time &lt;/b&gt;1 standard action&lt;/h5&gt;&lt;h5&gt;&lt;b&gt;Components &lt;/b&gt;V, S, M (a coin)&lt;/h5&gt;&lt;/div&gt;&lt;hr/&gt;&lt;div&gt;&lt;h5&gt;&lt;b&gt;EFFECT&lt;/b&gt;&lt;/h5&gt;&lt;/div&gt;&lt;hr/&gt;&lt;div&gt;&lt;h5&gt;&lt;b&gt;Range &lt;/b&gt;close (25 ft. + 5 ft./2 levels)&lt;/h5&gt;&lt;h5&gt;&lt;b&gt;Targets &lt;/b&gt;one creature/4 levels&lt;/h5&gt;&lt;h5&gt;&lt;b&gt;Duration &lt;/b&gt;1 round/level or until discharged&lt;/h5&gt;&lt;h5&gt;&lt;b&gt;Saving Throw &lt;/b&gt;Will negates; &lt;b&gt;Spell Resistance &lt;/b&gt;yes&lt;/h5&gt;&lt;/div&gt;&lt;hr/&gt;&lt;div&gt;&lt;h5&gt;&lt;b&gt;DESCRIPTION&lt;/b&gt;&lt;/h5&gt;&lt;/div&gt;&lt;hr/&gt;&lt;div&gt;&lt;h4&gt;&lt;p&gt;This spell functions like &lt;i&gt;hostile juxtaposition&lt;/i&gt;,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discharged.&lt;/p&gt;&lt;/h4&gt;&lt;/div&gt;</t>
  </si>
  <si>
    <t>You may target one creature for every four of your caster levels.</t>
  </si>
  <si>
    <t>Hostile Levitation</t>
  </si>
  <si>
    <t>sorcerer/wizard 3, witch 3, bloodrager 3, occultist 3, psychic 3, mesmerist 3, spiritualist 3</t>
  </si>
  <si>
    <t>V, S, M (a leather loop studded with lodestones)</t>
  </si>
  <si>
    <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t>
  </si>
  <si>
    <t>&lt;p&gt;You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creature.&lt;/p&gt;</t>
  </si>
  <si>
    <t>&lt;link rel="stylesheet"href="PF.css"&gt;&lt;div class="heading"&gt;&lt;p class="alignleft"&gt;Hostile Levitation&lt;/p&gt;&lt;div style="clear: both;"&gt;&lt;/div&gt;&lt;/div&gt;&lt;div&gt;&lt;h5&gt;&lt;b&gt;School &lt;/b&gt;transmutation; &lt;b&gt;Level &lt;/b&gt;sorcerer/wizard 3, witch 3, bloodrager 3, occultist 3, psychic 3, mesmerist 3, spiritualist 3&lt;/h5&gt;&lt;/div&gt;&lt;hr/&gt;&lt;div&gt;&lt;h5&gt;&lt;b&gt;CASTING&lt;/b&gt;&lt;/h5&gt;&lt;/div&gt;&lt;hr/&gt;&lt;div&gt;&lt;h5&gt;&lt;b&gt;Casting Time &lt;/b&gt;1 standard action&lt;/h5&gt;&lt;h5&gt;&lt;b&gt;Components &lt;/b&gt;V, S, M (a leather loop studded with lodestones)&lt;/h5&gt;&lt;/div&gt;&lt;hr/&gt;&lt;div&gt;&lt;h5&gt;&lt;b&gt;EFFECT&lt;/b&gt;&lt;/h5&gt;&lt;/div&gt;&lt;hr/&gt;&lt;div&gt;&lt;h5&gt;&lt;b&gt;Range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creature.&lt;/p&gt;&lt;/h4&gt;&lt;/div&gt;</t>
  </si>
  <si>
    <t>Levitates the targeted creature up off the ground.</t>
  </si>
  <si>
    <t>Illusion of Calm</t>
  </si>
  <si>
    <t>alchemist 1, magus 1, sorcerer/wizard 1, occultist 1, psychic 1, mesmerist 1</t>
  </si>
  <si>
    <t>Will disbelieve (on hit; see below)</t>
  </si>
  <si>
    <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t>
  </si>
  <si>
    <t>&lt;p&gt;When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creature.&lt;/p&gt;</t>
  </si>
  <si>
    <t>&lt;link rel="stylesheet"href="PF.css"&gt;&lt;div class="heading"&gt;&lt;p class="alignleft"&gt;Illusion of Calm&lt;/p&gt;&lt;div style="clear: both;"&gt;&lt;/div&gt;&lt;/div&gt;&lt;div&gt;&lt;h5&gt;&lt;b&gt;School &lt;/b&gt;illusion (figment); &lt;b&gt;Level &lt;/b&gt;alchemist 1, magus 1, sorcerer/wizard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disbelieve (on hit; see below); &lt;b&gt;Spell Resistance &lt;/b&gt;no&lt;/h5&gt;&lt;/div&gt;&lt;hr/&gt;&lt;div&gt;&lt;h5&gt;&lt;b&gt;DESCRIPTION&lt;/b&gt;&lt;/h5&gt;&lt;/div&gt;&lt;hr/&gt;&lt;div&gt;&lt;h4&gt;&lt;p&gt;When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creature.&lt;/p&gt;&lt;/h4&gt;&lt;/div&gt;</t>
  </si>
  <si>
    <t>You appear to be standing still, even when you take some actions.</t>
  </si>
  <si>
    <t>Instrument of Agony</t>
  </si>
  <si>
    <t>1 minutes/level</t>
  </si>
  <si>
    <t>Will negates (harmless, object), see text</t>
  </si>
  <si>
    <t>yes (harmless, object), see text</t>
  </si>
  <si>
    <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t>
  </si>
  <si>
    <t>&lt;p&gt;You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effect.&lt;/p&gt;</t>
  </si>
  <si>
    <t>&lt;link rel="stylesheet"href="PF.css"&gt;&lt;div class="heading"&gt;&lt;p class="alignleft"&gt;Instrument of Agony&lt;/p&gt;&lt;div style="clear: both;"&gt;&lt;/div&gt;&lt;/div&gt;&lt;div&gt;&lt;h5&gt;&lt;b&gt;School &lt;/b&gt;transmutation; &lt;b&gt;Level &lt;/b&gt;cleric/oracle 2, inquisitor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&lt;/b&gt;weapon touched&lt;/h5&gt;&lt;h5&gt;&lt;b&gt;Duration &lt;/b&gt;1 minutes/level&lt;/h5&gt;&lt;h5&gt;&lt;b&gt;Saving Throw &lt;/b&gt;Will negates (harmless, object), see text; &lt;b&gt;Spell Resistance &lt;/b&gt;yes (harmless, object), see text&lt;/h5&gt;&lt;/div&gt;&lt;hr/&gt;&lt;div&gt;&lt;h5&gt;&lt;b&gt;DESCRIPTION&lt;/b&gt;&lt;/h5&gt;&lt;/div&gt;&lt;hr/&gt;&lt;div&gt;&lt;h4&gt;&lt;p&gt;You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effect.&lt;/p&gt;&lt;/h4&gt;&lt;/div&gt;</t>
  </si>
  <si>
    <t>Kyton (2)</t>
  </si>
  <si>
    <t>Weapon exudes divine fury, granting a bonus on Intimidate checks.</t>
  </si>
  <si>
    <t>Jolting Portent</t>
  </si>
  <si>
    <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t>
  </si>
  <si>
    <t>&lt;p&gt;The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attack.&lt;/p&gt;</t>
  </si>
  <si>
    <t>&lt;link rel="stylesheet"href="PF.css"&gt;&lt;div class="heading"&gt;&lt;p class="alignleft"&gt;Jolting Portent&lt;/p&gt;&lt;div style="clear: both;"&gt;&lt;/div&gt;&lt;/div&gt;&lt;div&gt;&lt;h5&gt;&lt;b&gt;School &lt;/b&gt;evocation [electricity]; &lt;b&gt;Level &lt;/b&gt;cleric/oracle 7&lt;/h5&gt;&lt;/div&gt;&lt;hr/&gt;&lt;div&gt;&lt;h5&gt;&lt;b&gt;CASTING&lt;/b&gt;&lt;/h5&gt;&lt;/div&gt;&lt;hr/&gt;&lt;div&gt;&lt;h5&gt;&lt;b&gt;Casting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round/level (D) see text&lt;/h5&gt;&lt;h5&gt;&lt;b&gt;Saving Throw &lt;/b&gt;none; &lt;b&gt;Spell Resistance &lt;/b&gt;yes&lt;/h5&gt;&lt;/div&gt;&lt;hr/&gt;&lt;div&gt;&lt;h5&gt;&lt;b&gt;DESCRIPTION&lt;/b&gt;&lt;/h5&gt;&lt;/div&gt;&lt;hr/&gt;&lt;div&gt;&lt;h4&gt;&lt;p&gt;The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attack.&lt;/p&gt;&lt;/h4&gt;&lt;/div&gt;</t>
  </si>
  <si>
    <t>You inflict a vengeful fate on a creature, dealing electricity damage each time it attacks or casts a spell.</t>
  </si>
  <si>
    <t>Judgment Light</t>
  </si>
  <si>
    <t>instantaneous, see text</t>
  </si>
  <si>
    <t>An inquisitor may only cast this spell while she has a judgment active. When she does cast this spell, it causes one or more of the following effects based on the inquisitor's active judgments.  Destruction: Red light erupts from the caster. Enemies in the area take 4d8 points of damage and become shaken for 1d4 rounds. A successful Will saving throw halves the damage and negates the shaken effect.  Healing: Green light erupts from the caster. Allies in the area regain a number of hit points equal to 1d8 + the caster's Wisdom modifier.  Justice: Blue light erupts from the caster, revealing hidden and invisible creatures to all. The light outlines such creatures for 1 round per caster level, imposing a -20 penalty on Stealth checks on those creatures.  Piercing: Violet light erupts from the caster, reducing the spell resistance of enemies within the burst by 5 for 1 round per caster level.  Protection: Amber light erupts from the caster, granting allies in the burst a +2 sacred bonus to AC and CMD, and a +4 bonus to AC against critical confirmation attack rolls for 1 round per caster level.  Purity: White light erupts from the caster, allowing each ally within the burst to attempt a saving throw against a single effect that allows a saving throw with a +2 sacred bonus on the roll.  Resiliency: Golden light erupts from the caster, granting allies within the burst DR 3/magic or the alignment your judgment allows for 1 round per caster level.  Resistance: Copper light erupts from the caster, granting allies within the burst resistance 5 against the energy the judgment protects the inquisitor against when she casts this spell for 1 round per caster level.  Smiting: Silver light erupts from the caster, making allies' weapons within the burst count as magic, the alignment her weapon is, and adamantine for purposes of overcoming damage reduction for 1 round per caster level.</t>
  </si>
  <si>
    <t>&lt;p&gt;An inquisitor may only cast this spell while she has a judgment active. When she does cast this spell, it causes one or more of the following effects based on the inquisitor's active judgments.  &lt;i&gt;Destruction&lt;/i&gt;: Red light erupts from the caster. Enemies in the area take 4d8 points of damage and become shaken for 1d4 rounds. A successful Will saving throw halves the damage and negates the shaken effect.  &lt;i&gt;Healing&lt;/i&gt;: Green light erupts from the caster. Allies in the area regain a number of hit points equal to 1d8 + the caster's Wisdom modifier.  &lt;i&gt;Justice&lt;/i&gt;: Blue light erupts from the caster, revealing hidden and invisible creatures to all. The light outlines such creatures for 1 round per caster level, imposing a -20 penalty on Stealth checks on those creatures.  &lt;i&gt;Piercing&lt;/i&gt;: Violet light erupts from the caster, reducing the spell resistance of enemies within the burst by 5 for 1 round per caster level.  &lt;i&gt;Protection&lt;/i&gt;: Amber light erupts from the caster, granting allies in the burst a +2 sacred bonus to AC and CMD, and a +4 bonus to AC against critical confirmation attack rolls for 1 round per caster level.  &lt;i&gt;Purity&lt;/i&gt;: White light erupts from the caster, allowing each ally within the burst to attempt a saving throw against a single effect that allows a saving throw with a +2 sacred bonus on the roll.  &lt;i&gt;Resiliency&lt;/i&gt;: Golden light erupts from the caster, granting allies within the burst DR 3/magic or the alignment your judgment allows for 1 round per caster level.  &lt;i&gt;Resistance&lt;/i&gt;: Copper light erupts from the caster, granting allies within the burst resistance 5 against the energy the judgment protects the inquisitor against when she casts this spell for 1 round per caster level.  &lt;i&gt;Smiting&lt;/i&gt;: Silver light erupts from the caster, making allies' weapons within the burst count as magic, the alignment her weapon is, and adamantine for purposes of overcoming damage reduction for 1 round per caster level.&lt;/p&gt;</t>
  </si>
  <si>
    <t>&lt;link rel="stylesheet"href="PF.css"&gt;&lt;div class="heading"&gt;&lt;p class="alignleft"&gt;Judgment Light&lt;/p&gt;&lt;div style="clear: both;"&gt;&lt;/div&gt;&lt;/div&gt;&lt;div&gt;&lt;h5&gt;&lt;b&gt;School &lt;/b&gt;evocation [light]; &lt;b&gt;Level &lt;/b&gt;inquisitor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&lt;/b&gt;30-ft.-radius burst&lt;/h5&gt;&lt;h5&gt;&lt;b&gt;Duration &lt;/b&gt;instantaneous, see text&lt;/h5&gt;&lt;h5&gt;&lt;b&gt;Saving Throw &lt;/b&gt;see text; &lt;b&gt;Spell Resistance &lt;/b&gt;yes&lt;/h5&gt;&lt;/div&gt;&lt;hr/&gt;&lt;div&gt;&lt;h5&gt;&lt;b&gt;DESCRIPTION&lt;/b&gt;&lt;/h5&gt;&lt;/div&gt;&lt;hr/&gt;&lt;div&gt;&lt;h4&gt;&lt;p&gt;An inquisitor may only cast this spell while she has a judgment active. When she does cast this spell, it causes one or more of the following effects based on the inquisitor's active judgments.  &lt;i&gt;Destruction&lt;/i&gt;: Red light erupts from the caster. Enemies in the area take 4d8 points of damage and become shaken for 1d4 rounds. A successful Will saving throw halves the damage and negates the shaken effect.  &lt;i&gt;Healing&lt;/i&gt;: Green light erupts from the caster. Allies in the area regain a number of hit points equal to 1d8 + the caster's Wisdom modifier.  &lt;i&gt;Justice&lt;/i&gt;: Blue light erupts from the caster, revealing hidden and invisible creatures to all. The light outlines such creatures for 1 round per caster level, imposing a -20 penalty on Stealth checks on those creatures.  &lt;i&gt;Piercing&lt;/i&gt;: Violet light erupts from the caster, reducing the spell resistance of enemies within the burst by 5 for 1 round per caster level.  &lt;i&gt;Protection&lt;/i&gt;: Amber light erupts from the caster, granting allies in the burst a +2 sacred bonus to AC and CMD, and a +4 bonus to AC against critical confirmation attack rolls for 1 round per caster level.  &lt;i&gt;Purity&lt;/i&gt;: White light erupts from the caster, allowing each ally within the burst to attempt a saving throw against a single effect that allows a saving throw with a +2 sacred bonus on the roll.  &lt;i&gt;Resiliency&lt;/i&gt;: Golden light erupts from the caster, granting allies within the burst DR 3/magic or the alignment your judgment allows for 1 round per caster level.  &lt;i&gt;Resistance&lt;/i&gt;: Copper light erupts from the caster, granting allies within the burst resistance 5 against the energy the judgment protects the inquisitor against when she casts this spell for 1 round per caster level.  &lt;i&gt;Smiting&lt;/i&gt;: Silver light erupts from the caster, making allies' weapons within the burst count as magic, the alignment her weapon is, and adamantine for purposes of overcoming damage reduction for 1 round per caster level.&lt;/p&gt;&lt;/h4&gt;&lt;/div&gt;</t>
  </si>
  <si>
    <t>You gain an additional effect while a judgment is active.</t>
  </si>
  <si>
    <t>Jury-Rig</t>
  </si>
  <si>
    <t>bard 1, magus 1, sorcerer/wizard 1, summoner 1, witch 1, occultist 1, psychic 1</t>
  </si>
  <si>
    <t>V, S, M (a pinch of tree resin)</t>
  </si>
  <si>
    <t>one broken object of up to 2 lbs./level</t>
  </si>
  <si>
    <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t>
  </si>
  <si>
    <t>&lt;p&gt;When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object.&lt;/p&gt;</t>
  </si>
  <si>
    <t>&lt;link rel="stylesheet"href="PF.css"&gt;&lt;div class="heading"&gt;&lt;p class="alignleft"&gt;Jury-Rig&lt;/p&gt;&lt;div style="clear: both;"&gt;&lt;/div&gt;&lt;/div&gt;&lt;div&gt;&lt;h5&gt;&lt;b&gt;School &lt;/b&gt;transmutation; &lt;b&gt;Level &lt;/b&gt;bard 1, magus 1, sorcerer/wizard 1, summoner 1, witch 1, occultist 1, psychic 1&lt;/h5&gt;&lt;/div&gt;&lt;hr/&gt;&lt;div&gt;&lt;h5&gt;&lt;b&gt;CASTING&lt;/b&gt;&lt;/h5&gt;&lt;/div&gt;&lt;hr/&gt;&lt;div&gt;&lt;h5&gt;&lt;b&gt;Casting Time &lt;/b&gt;1 standard action&lt;/h5&gt;&lt;h5&gt;&lt;b&gt;Components &lt;/b&gt;V, S, M (a pinch of tree resin)&lt;/h5&gt;&lt;/div&gt;&lt;hr/&gt;&lt;div&gt;&lt;h5&gt;&lt;b&gt;EFFECT&lt;/b&gt;&lt;/h5&gt;&lt;/div&gt;&lt;hr/&gt;&lt;div&gt;&lt;h5&gt;&lt;b&gt;Range &lt;/b&gt;touch&lt;/h5&gt;&lt;h5&gt;&lt;b&gt;Targets &lt;/b&gt;one broken object of up to 2 lbs./level&lt;/h5&gt;&lt;h5&gt;&lt;b&gt;Duration &lt;/b&gt;1 round/level&lt;/h5&gt;&lt;h5&gt;&lt;b&gt;Saving Throw &lt;/b&gt;Will negates (harmless, object); &lt;b&gt;Spell Resistance &lt;/b&gt;yes (harmless, object)&lt;/h5&gt;&lt;/div&gt;&lt;hr/&gt;&lt;div&gt;&lt;h5&gt;&lt;b&gt;DESCRIPTION&lt;/b&gt;&lt;/h5&gt;&lt;/div&gt;&lt;hr/&gt;&lt;div&gt;&lt;h4&gt;&lt;p&gt;When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object.&lt;/p&gt;&lt;/h4&gt;&lt;/div&gt;</t>
  </si>
  <si>
    <t>Removes the broken condition from the targeted object.</t>
  </si>
  <si>
    <t>Kinetic Reverberation</t>
  </si>
  <si>
    <t>alchemist 2, sorcerer/wizard 2, psychic 2</t>
  </si>
  <si>
    <t>V, S, M (rubber tree sap)</t>
  </si>
  <si>
    <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t>
  </si>
  <si>
    <t>&lt;p&gt;This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spell.&lt;/p&gt;</t>
  </si>
  <si>
    <t>&lt;link rel="stylesheet"href="PF.css"&gt;&lt;div class="heading"&gt;&lt;p class="alignleft"&gt;Kinetic Reverberation&lt;/p&gt;&lt;div style="clear: both;"&gt;&lt;/div&gt;&lt;/div&gt;&lt;div&gt;&lt;h5&gt;&lt;b&gt;School &lt;/b&gt;transmutation; &lt;b&gt;Level &lt;/b&gt;alchemist 2, sorcerer/wizard 2, psychic 2&lt;/h5&gt;&lt;/div&gt;&lt;hr/&gt;&lt;div&gt;&lt;h5&gt;&lt;b&gt;CASTING&lt;/b&gt;&lt;/h5&gt;&lt;/div&gt;&lt;hr/&gt;&lt;div&gt;&lt;h5&gt;&lt;b&gt;Casting Time &lt;/b&gt;1 standard action&lt;/h5&gt;&lt;h5&gt;&lt;b&gt;Components &lt;/b&gt;V, S, M (rubber tree sap)&lt;/h5&gt;&lt;/div&gt;&lt;hr/&gt;&lt;div&gt;&lt;h5&gt;&lt;b&gt;EFFECT&lt;/b&gt;&lt;/h5&gt;&lt;/div&gt;&lt;hr/&gt;&lt;div&gt;&lt;h5&gt;&lt;b&gt;Range &lt;/b&gt;touch&lt;/h5&gt;&lt;h5&gt;&lt;b&gt;Targets &lt;/b&gt;creature touched&lt;/h5&gt;&lt;h5&gt;&lt;b&gt;Duration &lt;/b&gt;1 round/level&lt;/h5&gt;&lt;h5&gt;&lt;b&gt;Saving Throw &lt;/b&gt;Fortitude negates (object); &lt;b&gt;Spell Resistance &lt;/b&gt;yes (object)&lt;/h5&gt;&lt;/div&gt;&lt;hr/&gt;&lt;div&gt;&lt;h5&gt;&lt;b&gt;DESCRIPTION&lt;/b&gt;&lt;/h5&gt;&lt;/div&gt;&lt;hr/&gt;&lt;div&gt;&lt;h4&gt;&lt;p&gt;This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spell.&lt;/p&gt;&lt;/h4&gt;&lt;/div&gt;</t>
  </si>
  <si>
    <t>Channels the force of an enemy's attack back into its weapon.</t>
  </si>
  <si>
    <t>Languid Bomb Admixture</t>
  </si>
  <si>
    <t>Will negates (special, see below)</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</si>
  <si>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</si>
  <si>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fatigued.&lt;/p&gt;</t>
  </si>
  <si>
    <t>&lt;link rel="stylesheet"href="PF.css"&gt;&lt;div class="heading"&gt;&lt;p class="alignleft"&gt;Languid Bomb Admixture&lt;/p&gt;&lt;div style="clear: both;"&gt;&lt;/div&gt;&lt;/div&gt;&lt;div&gt;&lt;h5&gt;&lt;b&gt;School &lt;/b&gt;enchantment (compulsion) [mind-affecting]; &lt;b&gt;Level &lt;/b&gt;alchemist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&lt;/b&gt;Will negates (special, see below); &lt;b&gt;Spell Resistance &lt;/b&gt;yes&lt;/h5&gt;&lt;/div&gt;&lt;hr/&gt;&lt;div&gt;&lt;h5&gt;&lt;b&gt;DESCRIPTION&lt;/b&gt;&lt;/h5&gt;&lt;/div&gt;&lt;hr/&gt;&lt;div&gt;&lt;h4&gt;&lt;p&gt;Upon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fatigued.&lt;/p&gt;&lt;/h4&gt;&lt;/div&gt;</t>
  </si>
  <si>
    <t>Empowers bombs you throw to cause fatigue in those directly hit or splashed by the bomb.</t>
  </si>
  <si>
    <t>Liberating Command</t>
  </si>
  <si>
    <t>bard 1, cleric/oracle 1, druid 1, paladin 1, ranger 1, sorcerer/wizard 1, occultist 1, psychic 1</t>
  </si>
  <si>
    <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&lt;i&gt;hold person&lt;/i&gt; spell or paralyzed by Strength damage).&lt;/p&gt;</t>
  </si>
  <si>
    <t>&lt;link rel="stylesheet"href="PF.css"&gt;&lt;div class="heading"&gt;&lt;p class="alignleft"&gt;Liberating Command&lt;/p&gt;&lt;div style="clear: both;"&gt;&lt;/div&gt;&lt;/div&gt;&lt;div&gt;&lt;h5&gt;&lt;b&gt;School &lt;/b&gt;transmutation; &lt;b&gt;Level &lt;/b&gt;bard 1, cleric/oracle 1, druid 1, paladin 1, ranger 1, sorcerer/wizard 1, occultist 1, psychic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&lt;i&gt;hold person&lt;/i&gt; spell or paralyzed by Strength damage).&lt;/p&gt;&lt;/h4&gt;&lt;/div&gt;</t>
  </si>
  <si>
    <t>Target makes an Escape Artist check as an immediate action and gains a bonus on it.</t>
  </si>
  <si>
    <t>Life Conduit</t>
  </si>
  <si>
    <t>You utilize life conduit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t>
  </si>
  <si>
    <t>&lt;p&gt;You utilize &lt;i&gt;life conduit&lt;/i&gt;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ends.&lt;/p&gt;</t>
  </si>
  <si>
    <t>&lt;link rel="stylesheet"href="PF.css"&gt;&lt;div class="heading"&gt;&lt;p class="alignleft"&gt;Life Conduit&lt;/p&gt;&lt;div style="clear: both;"&gt;&lt;/div&gt;&lt;/div&gt;&lt;div&gt;&lt;h5&gt;&lt;b&gt;School &lt;/b&gt;conjuration (healing); &lt;b&gt;Level &lt;/b&gt;summoner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utilize &lt;i&gt;life conduit&lt;/i&gt;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ends.&lt;/p&gt;&lt;/h4&gt;&lt;/div&gt;</t>
  </si>
  <si>
    <t>You are bound even tighter to your eidolon than normal, and may share hit points with it through your life link ability.</t>
  </si>
  <si>
    <t>Life Conduit, Greater</t>
  </si>
  <si>
    <t>This spell functions like life conduit, except you can transfer 3d6 hit points as a swift action.</t>
  </si>
  <si>
    <t>&lt;p&gt;This spell functions like &lt;i&gt;life conduit&lt;/i&gt;, except you can transfer 3d6 hit points as a swift action.&lt;/p&gt;</t>
  </si>
  <si>
    <t>&lt;link rel="stylesheet"href="PF.css"&gt;&lt;div class="heading"&gt;&lt;p class="alignleft"&gt;Life Conduit, Greater&lt;/p&gt;&lt;div style="clear: both;"&gt;&lt;/div&gt;&lt;/div&gt;&lt;div&gt;&lt;h5&gt;&lt;b&gt;School &lt;/b&gt;conjuration (healing); &lt;b&gt;Level &lt;/b&gt;summoner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like &lt;i&gt;life conduit&lt;/i&gt;, except you can transfer 3d6 hit points as a swift action.&lt;/p&gt;&lt;/h4&gt;&lt;/div&gt;</t>
  </si>
  <si>
    <t>You transfer 3d6 hit points to your eidolon as a swift action.</t>
  </si>
  <si>
    <t>Life Conduit, Improved</t>
  </si>
  <si>
    <t>This spell functions like life conduit, except you can transfer 2d6 hit points as a swift action.</t>
  </si>
  <si>
    <t>&lt;p&gt;This spell functions like &lt;i&gt;life conduit&lt;/i&gt;, except you can transfer 2d6 hit points as a swift action.&lt;/p&gt;</t>
  </si>
  <si>
    <t>&lt;link rel="stylesheet"href="PF.css"&gt;&lt;div class="heading"&gt;&lt;p class="alignleft"&gt;Life Conduit, Improved&lt;/p&gt;&lt;div style="clear: both;"&gt;&lt;/div&gt;&lt;/div&gt;&lt;div&gt;&lt;h5&gt;&lt;b&gt;School &lt;/b&gt;conjuration (healing); &lt;b&gt;Level &lt;/b&gt;summoner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like &lt;i&gt;life conduit&lt;/i&gt;, except you can transfer 2d6 hit points as a swift action.&lt;/p&gt;&lt;/h4&gt;&lt;/div&gt;</t>
  </si>
  <si>
    <t>Transfers 2d6 hit points to your eidolon as a swift action.</t>
  </si>
  <si>
    <t>Lightning Lash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</si>
  <si>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</si>
  <si>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resistance.&lt;/p&gt;</t>
  </si>
  <si>
    <t>&lt;link rel="stylesheet"href="PF.css"&gt;&lt;div class="heading"&gt;&lt;p class="alignleft"&gt;Lightning Lash Bomb Admixture&lt;/p&gt;&lt;div style="clear: both;"&gt;&lt;/div&gt;&lt;/div&gt;&lt;div&gt;&lt;h5&gt;&lt;b&gt;School &lt;/b&gt;evocation [electricity]; &lt;b&gt;Level &lt;/b&gt;alchemist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&lt;/b&gt;special, see below; &lt;b&gt;Spell Resistance &lt;/b&gt;special, see below&lt;/h5&gt;&lt;/div&gt;&lt;hr/&gt;&lt;div&gt;&lt;h5&gt;&lt;b&gt;DESCRIPTION&lt;/b&gt;&lt;/h5&gt;&lt;/div&gt;&lt;hr/&gt;&lt;div&gt;&lt;h4&gt;&lt;p&gt;Upon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resistance.&lt;/p&gt;&lt;/h4&gt;&lt;/div&gt;</t>
  </si>
  <si>
    <t>Empowers bombs you throw with a ward that deals lightning damage each time those damaged by the bomb move more than 5 feet.</t>
  </si>
  <si>
    <t>Litany of Defense</t>
  </si>
  <si>
    <t>Invoking this litany strengthens your defenses. Any enhancement bonus your armor has is doubled and you are immune to fear.  While subject to this spell, the target cannot be the target of another spell that has the word "litany" in the title.</t>
  </si>
  <si>
    <t>&lt;p&gt;Invoking this litany strengthens your defenses. Any enhancement bonus your armor has is doubled and you are immune to fear.  While subject to this spell, the target cannot be the target of another spell that has the word "litany" in the title.&lt;/p&gt;</t>
  </si>
  <si>
    <t>&lt;link rel="stylesheet"href="PF.css"&gt;&lt;div class="heading"&gt;&lt;p class="alignleft"&gt;Litany of Defense&lt;/p&gt;&lt;div style="clear: both;"&gt;&lt;/div&gt;&lt;/div&gt;&lt;div&gt;&lt;h5&gt;&lt;b&gt;School &lt;/b&gt;transmutation; &lt;b&gt;Level &lt;/b&gt;antipaladin 2, inquisitor 2, paladin 2&lt;/h5&gt;&lt;/div&gt;&lt;hr/&gt;&lt;div&gt;&lt;h5&gt;&lt;b&gt;CASTING&lt;/b&gt;&lt;/h5&gt;&lt;/div&gt;&lt;hr/&gt;&lt;div&gt;&lt;h5&gt;&lt;b&gt;Casting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round&lt;/h5&gt;&lt;h5&gt;&lt;b&gt;Saving Throw &lt;/b&gt;no; &lt;b&gt;Spell Resistance &lt;/b&gt;yes&lt;/h5&gt;&lt;/div&gt;&lt;hr/&gt;&lt;div&gt;&lt;h5&gt;&lt;b&gt;DESCRIPTION&lt;/b&gt;&lt;/h5&gt;&lt;/div&gt;&lt;hr/&gt;&lt;div&gt;&lt;h4&gt;&lt;p&gt;Invoking this litany strengthens your defenses. Any enhancement bonus your armor has is doubled and you are immune to fear.  While subject to this spell, the target cannot be the target of another spell that has the word "litany" in the title.&lt;/p&gt;&lt;/h4&gt;&lt;/div&gt;</t>
  </si>
  <si>
    <t>Doubles armor's enhancement bonus.</t>
  </si>
  <si>
    <t>Litany Of Eloquence</t>
  </si>
  <si>
    <t>antipaladin 2, inquisitor 3, paladin 2</t>
  </si>
  <si>
    <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t>
  </si>
  <si>
    <t>&lt;p&gt;Your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title.&lt;/p&gt;</t>
  </si>
  <si>
    <t>&lt;link rel="stylesheet"href="PF.css"&gt;&lt;div class="heading"&gt;&lt;p class="alignleft"&gt;Litany Of Eloquence&lt;/p&gt;&lt;div style="clear: both;"&gt;&lt;/div&gt;&lt;/div&gt;&lt;div&gt;&lt;h5&gt;&lt;b&gt;School &lt;/b&gt;enchantment (charm) [language-dependent, mind-affecting];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title.&lt;/p&gt;&lt;/h4&gt;&lt;/div&gt;</t>
  </si>
  <si>
    <t>Fascinates a single creature for 1 round.</t>
  </si>
  <si>
    <t>Litany of Entanglement</t>
  </si>
  <si>
    <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t>
  </si>
  <si>
    <t>&lt;p&gt;Your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title.&lt;/p&gt;</t>
  </si>
  <si>
    <t>&lt;link rel="stylesheet"href="PF.css"&gt;&lt;div class="heading"&gt;&lt;p class="alignleft"&gt;Litany of Entanglement&lt;/p&gt;&lt;div style="clear: both;"&gt;&lt;/div&gt;&lt;/div&gt;&lt;div&gt;&lt;h5&gt;&lt;b&gt;School &lt;/b&gt;conjuration (calling) [language-dependent];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title.&lt;/p&gt;&lt;/h4&gt;&lt;/div&gt;</t>
  </si>
  <si>
    <t>Entangles a creature for 1 round.</t>
  </si>
  <si>
    <t>Litany Of Escape</t>
  </si>
  <si>
    <t>antipaladin 3, inquisitor 4, paladin 3</t>
  </si>
  <si>
    <t>one willing creature that is grappled</t>
  </si>
  <si>
    <t>With a powerful prayer, you call upon the servants of your god to whisk a friend out of a grapple. The target loses the grappled and pinned conditions and is teleported 10 feet. If there is no available space for the target to teleport to, the spell fails.</t>
  </si>
  <si>
    <t>&lt;p&gt;With a powerful prayer, you call upon the servants of your god to whisk a friend out of a grapple. The target loses the grappled and pinned conditions and is teleported 10 feet. If there is no available space for the target to teleport to, the spell fails.&lt;/p&gt;</t>
  </si>
  <si>
    <t>&lt;link rel="stylesheet"href="PF.css"&gt;&lt;div class="heading"&gt;&lt;p class="alignleft"&gt;Litany Of Escape&lt;/p&gt;&lt;div style="clear: both;"&gt;&lt;/div&gt;&lt;/div&gt;&lt;div&gt;&lt;h5&gt;&lt;b&gt;School &lt;/b&gt;conjuration (teleportation) [language-dependent]; &lt;b&gt;Level &lt;/b&gt;antipaladin 3, inquisitor 4, paladin 3&lt;/h5&gt;&lt;/div&gt;&lt;hr/&gt;&lt;div&gt;&lt;h5&gt;&lt;b&gt;CASTING&lt;/b&gt;&lt;/h5&gt;&lt;/div&gt;&lt;hr/&gt;&lt;div&gt;&lt;h5&gt;&lt;b&gt;Casting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willing creature that is grappled&lt;/h5&gt;&lt;h5&gt;&lt;b&gt;Duration &lt;/b&gt;instantaneous&lt;/h5&gt;&lt;h5&gt;&lt;b&gt;Saving Throw &lt;/b&gt;no; &lt;b&gt;Spell Resistance &lt;/b&gt;yes&lt;/h5&gt;&lt;/div&gt;&lt;hr/&gt;&lt;div&gt;&lt;h5&gt;&lt;b&gt;DESCRIPTION&lt;/b&gt;&lt;/h5&gt;&lt;/div&gt;&lt;hr/&gt;&lt;div&gt;&lt;h4&gt;&lt;p&gt;With a powerful prayer, you call upon the servants of your god to whisk a friend out of a grapple. The target loses the grappled and pinned conditions and is teleported 10 feet. If there is no available space for the target to teleport to, the spell fails.&lt;/p&gt;&lt;/h4&gt;&lt;/div&gt;</t>
  </si>
  <si>
    <t>Teleports a friend out of a grapple.</t>
  </si>
  <si>
    <t>Litany Of Madness</t>
  </si>
  <si>
    <t>antipaladin 4, inquisitor 6</t>
  </si>
  <si>
    <t>1 or more rounds (see below)</t>
  </si>
  <si>
    <t>no, see below</t>
  </si>
  <si>
    <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t>
  </si>
  <si>
    <t>&lt;p&gt;This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title.&lt;/p&gt;</t>
  </si>
  <si>
    <t>&lt;link rel="stylesheet"href="PF.css"&gt;&lt;div class="heading"&gt;&lt;p class="alignleft"&gt;Litany Of Madness&lt;/p&gt;&lt;div style="clear: both;"&gt;&lt;/div&gt;&lt;/div&gt;&lt;div&gt;&lt;h5&gt;&lt;b&gt;School &lt;/b&gt;enchantment (charm) [language-dependent, mind-affecting]; &lt;b&gt;Level &lt;/b&gt;antipaladin 4, inquisitor 6&lt;/h5&gt;&lt;/div&gt;&lt;hr/&gt;&lt;div&gt;&lt;h5&gt;&lt;b&gt;CASTING&lt;/b&gt;&lt;/h5&gt;&lt;/div&gt;&lt;hr/&gt;&lt;div&gt;&lt;h5&gt;&lt;b&gt;Casting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or more rounds (see below)&lt;/h5&gt;&lt;h5&gt;&lt;b&gt;Saving Throw &lt;/b&gt;no, see below; &lt;b&gt;Spell Resistance &lt;/b&gt;yes&lt;/h5&gt;&lt;/div&gt;&lt;hr/&gt;&lt;div&gt;&lt;h5&gt;&lt;b&gt;DESCRIPTION&lt;/b&gt;&lt;/h5&gt;&lt;/div&gt;&lt;hr/&gt;&lt;div&gt;&lt;h4&gt;&lt;p&gt;This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title.&lt;/p&gt;&lt;/h4&gt;&lt;/div&gt;</t>
  </si>
  <si>
    <t>A single target is confused for at least 1 round.</t>
  </si>
  <si>
    <t>Litany Of Righteousness</t>
  </si>
  <si>
    <t>good, language-dependent</t>
  </si>
  <si>
    <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t>
  </si>
  <si>
    <t>&lt;p&gt;Calling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title.&lt;/p&gt;</t>
  </si>
  <si>
    <t>&lt;link rel="stylesheet"href="PF.css"&gt;&lt;div class="heading"&gt;&lt;p class="alignleft"&gt;Litany Of Righteousness&lt;/p&gt;&lt;div style="clear: both;"&gt;&lt;/div&gt;&lt;/div&gt;&lt;div&gt;&lt;h5&gt;&lt;b&gt;School &lt;/b&gt;evocation [good, language-dependent]; &lt;b&gt;Level &lt;/b&gt;inquisitor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title.&lt;/p&gt;&lt;/h4&gt;&lt;/div&gt;</t>
  </si>
  <si>
    <t>A single evil creature takes more damage from creatures with a good aura.</t>
  </si>
  <si>
    <t>Litany of Sight</t>
  </si>
  <si>
    <t>This litany reveals the unseen to you. You can see invisible creatures and objects within 30 feet.  While subject to this spell, the target cannot be the target of another spell that has the word "litany" in the title.</t>
  </si>
  <si>
    <t>&lt;p&gt;This litany reveals the unseen to you. You can see invisible creatures and objects within 30 feet.  While subject to this spell, the target cannot be the target of another spell that has the word "litany" in the title.&lt;/p&gt;</t>
  </si>
  <si>
    <t>&lt;link rel="stylesheet"href="PF.css"&gt;&lt;div class="heading"&gt;&lt;p class="alignleft"&gt;Litany of Sight&lt;/p&gt;&lt;div style="clear: both;"&gt;&lt;/div&gt;&lt;/div&gt;&lt;div&gt;&lt;h5&gt;&lt;b&gt;School &lt;/b&gt;divination; &lt;b&gt;Level &lt;/b&gt;antipaladin 3, inquisitor 4, paladin 3&lt;/h5&gt;&lt;/div&gt;&lt;hr/&gt;&lt;div&gt;&lt;h5&gt;&lt;b&gt;CASTING&lt;/b&gt;&lt;/h5&gt;&lt;/div&gt;&lt;hr/&gt;&lt;div&gt;&lt;h5&gt;&lt;b&gt;Casting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round&lt;/h5&gt;&lt;h5&gt;&lt;b&gt;Saving Throw &lt;/b&gt;no; &lt;b&gt;Spell Resistance &lt;/b&gt;yes&lt;/h5&gt;&lt;/div&gt;&lt;hr/&gt;&lt;div&gt;&lt;h5&gt;&lt;b&gt;DESCRIPTION&lt;/b&gt;&lt;/h5&gt;&lt;/div&gt;&lt;hr/&gt;&lt;div&gt;&lt;h4&gt;&lt;p&gt;This litany reveals the unseen to you. You can see invisible creatures and objects within 30 feet.  While subject to this spell, the target cannot be the target of another spell that has the word "litany" in the title.&lt;/p&gt;&lt;/h4&gt;&lt;/div&gt;</t>
  </si>
  <si>
    <t>You can see invisible creatures and objects within 30 feet of you.</t>
  </si>
  <si>
    <t>Litany of Sloth</t>
  </si>
  <si>
    <t>antipaladin 1, inquisitor 1, paladin 1</t>
  </si>
  <si>
    <t>With a litany against the wages of sloth, you slow the target's defenses. The target cannot make attacks of opportunity or cast spells defensively.  While subject to this spell, the target cannot be the target of another spell that has the word "litany" in the title.</t>
  </si>
  <si>
    <t>&lt;p&gt;With a litany against the wages of sloth, you slow the target's defenses. The target cannot make attacks of opportunity or cast spells defensively.  While subject to this spell, the target cannot be the target of another spell that has the word "litany" in the title.&lt;/p&gt;</t>
  </si>
  <si>
    <t>&lt;link rel="stylesheet"href="PF.css"&gt;&lt;div class="heading"&gt;&lt;p class="alignleft"&gt;Litany of Sloth&lt;/p&gt;&lt;div style="clear: both;"&gt;&lt;/div&gt;&lt;/div&gt;&lt;div&gt;&lt;h5&gt;&lt;b&gt;School &lt;/b&gt;enchantment (compulsion) [language-dependent, mind-affecting]; &lt;b&gt;Level &lt;/b&gt;antipaladin 1, inquisitor 1, paladin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&lt;/b&gt;yes&lt;/h5&gt;&lt;/div&gt;&lt;hr/&gt;&lt;div&gt;&lt;h5&gt;&lt;b&gt;DESCRIPTION&lt;/b&gt;&lt;/h5&gt;&lt;/div&gt;&lt;hr/&gt;&lt;div&gt;&lt;h4&gt;&lt;p&gt;With a litany against the wages of sloth, you slow the target's defenses. The target cannot make attacks of opportunity or cast spells defensively.  While subject to this spell, the target cannot be the target of another spell that has the word "litany" in the title.&lt;/p&gt;&lt;/h4&gt;&lt;/div&gt;</t>
  </si>
  <si>
    <t>Single target cannot make attacks of opportunity for 1 round.</t>
  </si>
  <si>
    <t>Litany of Thunder</t>
  </si>
  <si>
    <t>language-dependent, sonic</t>
  </si>
  <si>
    <t>You call down a thunderous boom upon your enemy. The target becomes deafened until the condition is removed, and is confused for 1 round.  While subject to this spell, the target cannot be the target of another spell that has the word "litany" in the title.</t>
  </si>
  <si>
    <t>&lt;p&gt;You call down a thunderous boom upon your enemy. The target becomes deafened until the condition is removed, and is confused for 1 round.  While subject to this spell, the target cannot be the target of another spell that has the word "litany" in the title.&lt;/p&gt;</t>
  </si>
  <si>
    <t>&lt;link rel="stylesheet"href="PF.css"&gt;&lt;div class="heading"&gt;&lt;p class="alignleft"&gt;Litany of Thunder&lt;/p&gt;&lt;div style="clear: both;"&gt;&lt;/div&gt;&lt;/div&gt;&lt;div&gt;&lt;h5&gt;&lt;b&gt;School &lt;/b&gt;evocation [language-dependent, sonic]; &lt;b&gt;Level &lt;/b&gt;antipaladin 4, inquisitor 5,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&lt;/b&gt;Fortitude negates; &lt;b&gt;Spell Resistance &lt;/b&gt;yes&lt;/h5&gt;&lt;/div&gt;&lt;hr/&gt;&lt;div&gt;&lt;h5&gt;&lt;b&gt;DESCRIPTION&lt;/b&gt;&lt;/h5&gt;&lt;/div&gt;&lt;hr/&gt;&lt;div&gt;&lt;h4&gt;&lt;p&gt;You call down a thunderous boom upon your enemy. The target becomes deafened until the condition is removed, and is confused for 1 round.  While subject to this spell, the target cannot be the target of another spell that has the word "litany" in the title.&lt;/p&gt;&lt;/h4&gt;&lt;/div&gt;</t>
  </si>
  <si>
    <t>A single target is deafened until the condition is removed, and is confused for 1 round.</t>
  </si>
  <si>
    <t>Litany Of Vengeance</t>
  </si>
  <si>
    <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t>
  </si>
  <si>
    <t>&lt;p&gt;This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title.&lt;/p&gt;</t>
  </si>
  <si>
    <t>&lt;link rel="stylesheet"href="PF.css"&gt;&lt;div class="heading"&gt;&lt;p class="alignleft"&gt;Litany Of Vengeance&lt;/p&gt;&lt;div style="clear: both;"&gt;&lt;/div&gt;&lt;/div&gt;&lt;div&gt;&lt;h5&gt;&lt;b&gt;School &lt;/b&gt;transmutation [language-dependent]; &lt;b&gt;Level &lt;/b&gt;antipaladin 4, inquisitor 5,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title.&lt;/p&gt;&lt;/h4&gt;&lt;/div&gt;</t>
  </si>
  <si>
    <t>Allies attacking the target of the spell gain a +5 bonus on damage rolls for 1 round.</t>
  </si>
  <si>
    <t>Litany of Warding</t>
  </si>
  <si>
    <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t>
  </si>
  <si>
    <t>&lt;p&gt;With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title.&lt;/p&gt;</t>
  </si>
  <si>
    <t>&lt;link rel="stylesheet"href="PF.css"&gt;&lt;div class="heading"&gt;&lt;p class="alignleft"&gt;Litany of Warding&lt;/p&gt;&lt;div style="clear: both;"&gt;&lt;/div&gt;&lt;/div&gt;&lt;div&gt;&lt;h5&gt;&lt;b&gt;School &lt;/b&gt;transmutation;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round&lt;/h5&gt;&lt;/div&gt;&lt;hr/&gt;&lt;div&gt;&lt;h5&gt;&lt;b&gt;DESCRIPTION&lt;/b&gt;&lt;/h5&gt;&lt;/div&gt;&lt;hr/&gt;&lt;div&gt;&lt;h4&gt;&lt;p&gt;With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title.&lt;/p&gt;&lt;/h4&gt;&lt;/div&gt;</t>
  </si>
  <si>
    <t>You gain two additional attacks of opportunity for 1 round.</t>
  </si>
  <si>
    <t>Litany of Weakness</t>
  </si>
  <si>
    <t>antipaladin 1, inquisitor 1</t>
  </si>
  <si>
    <t>Your litany proclaims your target weak, sapping its strength. The target is fatigued for 1 round.  While subject to this spell, the target cannot be the target of another spell that has the word "litany" in the title.</t>
  </si>
  <si>
    <t>&lt;p&gt;Your litany proclaims your target weak, sapping its strength. The target is fatigued for 1 round.  While subject to this spell, the target cannot be the target of another spell that has the word "litany" in the title.&lt;/p&gt;</t>
  </si>
  <si>
    <t>&lt;link rel="stylesheet"href="PF.css"&gt;&lt;div class="heading"&gt;&lt;p class="alignleft"&gt;Litany of Weakness&lt;/p&gt;&lt;div style="clear: both;"&gt;&lt;/div&gt;&lt;/div&gt;&lt;div&gt;&lt;h5&gt;&lt;b&gt;School &lt;/b&gt;necromancy [language-dependent]; &lt;b&gt;Level &lt;/b&gt;antipaladin 1, inquisitor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&lt;/b&gt;yes&lt;/h5&gt;&lt;/div&gt;&lt;hr/&gt;&lt;div&gt;&lt;h5&gt;&lt;b&gt;DESCRIPTION&lt;/b&gt;&lt;/h5&gt;&lt;/div&gt;&lt;hr/&gt;&lt;div&gt;&lt;h4&gt;&lt;p&gt;Your litany proclaims your target weak, sapping its strength. The target is fatigued for 1 round.  While subject to this spell, the target cannot be the target of another spell that has the word "litany" in the title.&lt;/p&gt;&lt;/h4&gt;&lt;/div&gt;</t>
  </si>
  <si>
    <t>Single target is fatigued for 1 round.</t>
  </si>
  <si>
    <t>Locate Weakness</t>
  </si>
  <si>
    <t>inquisitor 3, magus 3, ranger 2, sorcerer/wizard 3, witch 3, bloodrager 3, occultist 3, psychic 3</t>
  </si>
  <si>
    <t>V, S, M/DF (a pickled predator's eye)</t>
  </si>
  <si>
    <t>You can sense your foes' weak points, granting you greater damage with critical hits. Whenever you score a critical hit, roll the attack's damage dice (but not extra or precision damage dice) twice and take the highest result.</t>
  </si>
  <si>
    <t>&lt;p&gt;You can sense your foes' weak points, granting you greater damage with critical hits. Whenever you score a critical hit, roll the attack's damage dice (but not extra or precision damage dice) twice and take the highest result.&lt;/p&gt;</t>
  </si>
  <si>
    <t>&lt;link rel="stylesheet"href="PF.css"&gt;&lt;div class="heading"&gt;&lt;p class="alignleft"&gt;Locate Weakness&lt;/p&gt;&lt;div style="clear: both;"&gt;&lt;/div&gt;&lt;/div&gt;&lt;div&gt;&lt;h5&gt;&lt;b&gt;School &lt;/b&gt;divination; &lt;b&gt;Level &lt;/b&gt;inquisitor 3, magus 3, ranger 2, sorcerer/wizard 3, witch 3, bloodrager 3, occultist 3, psychic 3&lt;/h5&gt;&lt;/div&gt;&lt;hr/&gt;&lt;div&gt;&lt;h5&gt;&lt;b&gt;CASTING&lt;/b&gt;&lt;/h5&gt;&lt;/div&gt;&lt;hr/&gt;&lt;div&gt;&lt;h5&gt;&lt;b&gt;Casting Time &lt;/b&gt;1 standard action&lt;/h5&gt;&lt;h5&gt;&lt;b&gt;Components &lt;/b&gt;V, S, M/DF (a pickled predator's eye)&lt;/h5&gt;&lt;/div&gt;&lt;hr/&gt;&lt;div&gt;&lt;h5&gt;&lt;b&gt;EFFECT&lt;/b&gt;&lt;/h5&gt;&lt;/div&gt;&lt;hr/&gt;&lt;div&gt;&lt;h5&gt;&lt;b&gt;Range &lt;/b&gt;personal&lt;/h5&gt;&lt;h5&gt;&lt;b&gt;Targets &lt;/b&gt;you&lt;/h5&gt;&lt;h5&gt;&lt;b&gt;Duration &lt;/b&gt;1 minute/level&lt;/h5&gt;&lt;/div&gt;&lt;hr/&gt;&lt;div&gt;&lt;h5&gt;&lt;b&gt;DESCRIPTION&lt;/b&gt;&lt;/h5&gt;&lt;/div&gt;&lt;hr/&gt;&lt;div&gt;&lt;h4&gt;&lt;p&gt;You can sense your foes' weak points, granting you greater damage with critical hits. Whenever you score a critical hit, roll the attack's damage dice (but not extra or precision damage dice) twice and take the highest result.&lt;/p&gt;&lt;/h4&gt;&lt;/div&gt;</t>
  </si>
  <si>
    <t>You roll damage twice when you roll damage for a critical hit and take the best damage.</t>
  </si>
  <si>
    <t>Lock Gaze</t>
  </si>
  <si>
    <t>bard 1, inquisitor 1, magus 1, sorcerer/wizard 1, witch 1, psychic 1, mesmerist 1</t>
  </si>
  <si>
    <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t>
  </si>
  <si>
    <t>&lt;p&gt;You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spell.&lt;/p&gt;</t>
  </si>
  <si>
    <t>&lt;link rel="stylesheet"href="PF.css"&gt;&lt;div class="heading"&gt;&lt;p class="alignleft"&gt;Lock Gaze&lt;/p&gt;&lt;div style="clear: both;"&gt;&lt;/div&gt;&lt;/div&gt;&lt;div&gt;&lt;h5&gt;&lt;b&gt;School &lt;/b&gt;enchantment (compulsion) [mind-affecting]; &lt;b&gt;Level &lt;/b&gt;bard 1, inquisitor 1, magus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spell.&lt;/p&gt;&lt;/h4&gt;&lt;/div&gt;</t>
  </si>
  <si>
    <t>Compels the target to look only at you for the duration of the spell.</t>
  </si>
  <si>
    <t>Longshot</t>
  </si>
  <si>
    <t>alchemist 1, antipaladin 1, inquisitor 1, magus 1, paladin 1, ranger 1, sorcerer/wizard 1, occultist 1, psychic 1</t>
  </si>
  <si>
    <t>V, S, M/DF (a piece of fletching)</t>
  </si>
  <si>
    <t>This spell reduces the effect of range, granting a +10-foot bonus to the range increment of any weapon used by the subject.</t>
  </si>
  <si>
    <t>&lt;p&gt;This spell reduces the effect of range, granting a +10-foot bonus to the range increment of any weapon used by the subject.&lt;/p&gt;</t>
  </si>
  <si>
    <t>&lt;link rel="stylesheet"href="PF.css"&gt;&lt;div class="heading"&gt;&lt;p class="alignleft"&gt;Longshot&lt;/p&gt;&lt;div style="clear: both;"&gt;&lt;/div&gt;&lt;/div&gt;&lt;div&gt;&lt;h5&gt;&lt;b&gt;School &lt;/b&gt;transmutation; &lt;b&gt;Level &lt;/b&gt;alchemist 1, antipaladin 1, inquisitor 1, magus 1, paladin 1, ranger 1, sorcerer/wizard 1, occultist 1, psychic 1&lt;/h5&gt;&lt;/div&gt;&lt;hr/&gt;&lt;div&gt;&lt;h5&gt;&lt;b&gt;CASTING&lt;/b&gt;&lt;/h5&gt;&lt;/div&gt;&lt;hr/&gt;&lt;div&gt;&lt;h5&gt;&lt;b&gt;Casting Time &lt;/b&gt;1 standard action&lt;/h5&gt;&lt;h5&gt;&lt;b&gt;Components &lt;/b&gt;V, S, M/DF (a piece of fletching)&lt;/h5&gt;&lt;/div&gt;&lt;hr/&gt;&lt;div&gt;&lt;h5&gt;&lt;b&gt;EFFECT&lt;/b&gt;&lt;/h5&gt;&lt;/div&gt;&lt;hr/&gt;&lt;div&gt;&lt;h5&gt;&lt;b&gt;Range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reduces the effect of range, granting a +10-foot bonus to the range increment of any weapon used by the subject.&lt;/p&gt;&lt;/h4&gt;&lt;/div&gt;</t>
  </si>
  <si>
    <t>Grants a +10 foot bonus to the range increment for any ranged weapon fired.</t>
  </si>
  <si>
    <t>Magic Siege Engine</t>
  </si>
  <si>
    <t>antipaladin 2, cleric/oracle 2, inquisitor 2, paladin 2, sorcerer/wizard 2, occultist 2</t>
  </si>
  <si>
    <t>one siege engine touched</t>
  </si>
  <si>
    <t>This spell permits an indirect fire siege engine to bombard its targets with greater accuracy, delivering more damage. The siege weapon receives a +1 enhancement bonus on targeting rolls and damage rolls. If used on a direct fire siege weapon, this spell acts a magic weapon.</t>
  </si>
  <si>
    <t>&lt;p&gt;This spell permits an indirect fire siege engine to bombard its targets with greater accuracy, delivering more damage. The siege weapon receives a +1 enhancement bonus on targeting rolls and damage rolls. If used on a direct fire siege weapon, this spell acts a &lt;i&gt;magic weapon&lt;/i&gt;.&lt;/p&gt;</t>
  </si>
  <si>
    <t>&lt;link rel="stylesheet"href="PF.css"&gt;&lt;div class="heading"&gt;&lt;p class="alignleft"&gt;Magic Siege Engine&lt;/p&gt;&lt;div style="clear: both;"&gt;&lt;/div&gt;&lt;/div&gt;&lt;div&gt;&lt;h5&gt;&lt;b&gt;School &lt;/b&gt;transmutation; &lt;b&gt;Level &lt;/b&gt;antipaladin 2, cleric/oracle 2, inquisitor 2, paladin 2, sorcerer/wizard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siege engine touched&lt;/h5&gt;&lt;h5&gt;&lt;b&gt;Duration &lt;/b&gt;1 minutes/level&lt;/h5&gt;&lt;h5&gt;&lt;b&gt;Saving Throw &lt;/b&gt;Will negates (harmless, object); &lt;b&gt;Spell Resistance &lt;/b&gt;yes (harmless, object)&lt;/h5&gt;&lt;/div&gt;&lt;hr/&gt;&lt;div&gt;&lt;h5&gt;&lt;b&gt;DESCRIPTION&lt;/b&gt;&lt;/h5&gt;&lt;/div&gt;&lt;hr/&gt;&lt;div&gt;&lt;h4&gt;&lt;p&gt;This spell permits an indirect fire siege engine to bombard its targets with greater accuracy, delivering more damage. The siege weapon receives a +1 enhancement bonus on targeting rolls and damage rolls. If used on a direct fire siege weapon, this spell acts a &lt;i&gt;magic weapon&lt;/i&gt;.&lt;/p&gt;&lt;/h4&gt;&lt;/div&gt;</t>
  </si>
  <si>
    <t>Siege engine gains +1 on targeting and damage rolls.</t>
  </si>
  <si>
    <t>Magic Siege Engine, Greater</t>
  </si>
  <si>
    <t>antipaladin 4, cleric/oracle 5, inquisitor 4, paladin 4, sorcerer/wizard 4, occultist 4</t>
  </si>
  <si>
    <t>V, S, M/DF (black powder)</t>
  </si>
  <si>
    <t>This spell functions like magic siege weapon, except it gives an indirect fire siege weapon an enhancement bonus on targeting and damage rolls of +1 per four caster levels (maximum +5). If used on a direct-fire siege weapon, this spell functions as greater magic weapon.</t>
  </si>
  <si>
    <t>&lt;p&gt;This spell functions like &lt;i&gt;magic siege weapon&lt;/i&gt;, except it gives an indirect fire siege weapon an enhancement bonus on targeting and damage rolls of +1 per four caster levels (maximum +5). If used on a direct-fire siege weapon, this spell functions as &lt;i&gt;greater magic weapon&lt;/i&gt;.&lt;/p&gt;</t>
  </si>
  <si>
    <t>&lt;link rel="stylesheet"href="PF.css"&gt;&lt;div class="heading"&gt;&lt;p class="alignleft"&gt;Magic Siege Engine, Greater&lt;/p&gt;&lt;div style="clear: both;"&gt;&lt;/div&gt;&lt;/div&gt;&lt;div&gt;&lt;h5&gt;&lt;b&gt;School &lt;/b&gt;transmutation; &lt;b&gt;Level &lt;/b&gt;antipaladin 4, cleric/oracle 5, inquisitor 4, paladin 4, sorcerer/wizard 4, occultist 4&lt;/h5&gt;&lt;/div&gt;&lt;hr/&gt;&lt;div&gt;&lt;h5&gt;&lt;b&gt;CASTING&lt;/b&gt;&lt;/h5&gt;&lt;/div&gt;&lt;hr/&gt;&lt;div&gt;&lt;h5&gt;&lt;b&gt;Casting Time &lt;/b&gt;1 standard action&lt;/h5&gt;&lt;h5&gt;&lt;b&gt;Components &lt;/b&gt;V, S, M/DF (black powder)&lt;/h5&gt;&lt;/div&gt;&lt;hr/&gt;&lt;div&gt;&lt;h5&gt;&lt;b&gt;EFFECT&lt;/b&gt;&lt;/h5&gt;&lt;/div&gt;&lt;hr/&gt;&lt;div&gt;&lt;h5&gt;&lt;b&gt;Range &lt;/b&gt;close (25 ft. + 5 ft./2 levels)&lt;/h5&gt;&lt;h5&gt;&lt;b&gt;Targets &lt;/b&gt;one siege engine touched&lt;/h5&gt;&lt;h5&gt;&lt;b&gt;Duration &lt;/b&gt;1 hour/level&lt;/h5&gt;&lt;h5&gt;&lt;b&gt;Saving Throw &lt;/b&gt;Will negates (harmless, object); &lt;b&gt;Spell Resistance &lt;/b&gt;yes (harmless, object)&lt;/h5&gt;&lt;/div&gt;&lt;hr/&gt;&lt;div&gt;&lt;h5&gt;&lt;b&gt;DESCRIPTION&lt;/b&gt;&lt;/h5&gt;&lt;/div&gt;&lt;hr/&gt;&lt;div&gt;&lt;h4&gt;&lt;p&gt;This spell functions like &lt;i&gt;magic siege weapon&lt;/i&gt;, except it gives an indirect fire siege weapon an enhancement bonus on targeting and damage rolls of +1 per four caster levels (maximum +5). If used on a direct-fire siege weapon, this spell functions as &lt;i&gt;greater magic weapon&lt;/i&gt;.&lt;/p&gt;&lt;/h4&gt;&lt;/div&gt;</t>
  </si>
  <si>
    <t>Siege engine gains +1 on targeting and damage rolls for every four caster levels.</t>
  </si>
  <si>
    <t>Mask Dweomer, Communal</t>
  </si>
  <si>
    <t>witch 2, occultist 2, psychic 2</t>
  </si>
  <si>
    <t>creatures or objects touched</t>
  </si>
  <si>
    <t>This spell functions like mask dweomer (Advanced Player's Guide 232), except you divide the duration in 1-day increments among the creatures or objects touched.</t>
  </si>
  <si>
    <t>&lt;p&gt;This spell functions like &lt;i&gt;mask dweomer&lt;/i&gt; (Advanced Player's Guide 232), except you divide the duration in 1-day increments among the creatures or objects touched.&lt;/p&gt;</t>
  </si>
  <si>
    <t>&lt;link rel="stylesheet"href="PF.css"&gt;&lt;div class="heading"&gt;&lt;p class="alignleft"&gt;Mask Dweomer, Communal&lt;/p&gt;&lt;div style="clear: both;"&gt;&lt;/div&gt;&lt;/div&gt;&lt;div&gt;&lt;h5&gt;&lt;b&gt;School &lt;/b&gt;illusion (glamer); &lt;b&gt;Level &lt;/b&gt;witch 2, occultist 2, psychic 2&lt;/h5&gt;&lt;/div&gt;&lt;hr/&gt;&lt;div&gt;&lt;h5&gt;&lt;b&gt;CASTING&lt;/b&gt;&lt;/h5&gt;&lt;/div&gt;&lt;hr/&gt;&lt;div&gt;&lt;h5&gt;&lt;b&gt;Casting Time &lt;/b&gt;1 standard action&lt;/h5&gt;&lt;h5&gt;&lt;b&gt;Components &lt;/b&gt;V, S, M (a piece of gauze)&lt;/h5&gt;&lt;/div&gt;&lt;hr/&gt;&lt;div&gt;&lt;h5&gt;&lt;b&gt;EFFECT&lt;/b&gt;&lt;/h5&gt;&lt;/div&gt;&lt;hr/&gt;&lt;div&gt;&lt;h5&gt;&lt;b&gt;Range &lt;/b&gt;touch&lt;/h5&gt;&lt;h5&gt;&lt;b&gt;Targets &lt;/b&gt;creatures or objects touched&lt;/h5&gt;&lt;h5&gt;&lt;b&gt;Duration &lt;/b&gt;1 day/level (D)&lt;/h5&gt;&lt;h5&gt;&lt;b&gt;Saving Throw &lt;/b&gt;none; see text; &lt;b&gt;Spell Resistance &lt;/b&gt;no&lt;/h5&gt;&lt;/div&gt;&lt;hr/&gt;&lt;div&gt;&lt;h5&gt;&lt;b&gt;DESCRIPTION&lt;/b&gt;&lt;/h5&gt;&lt;/div&gt;&lt;hr/&gt;&lt;div&gt;&lt;h4&gt;&lt;p&gt;This spell functions like &lt;i&gt;mask dweomer&lt;/i&gt; (Advanced Player's Guide 232), except you divide the duration in 1-day increments among the creatures or objects touched.&lt;/p&gt;&lt;/h4&gt;&lt;/div&gt;</t>
  </si>
  <si>
    <t>As mask dweomer, but you may divide the duration among creatures touched.</t>
  </si>
  <si>
    <t>Mind Blank, Communal</t>
  </si>
  <si>
    <t>sorcerer/wizard 9, witch 9, psychic 8</t>
  </si>
  <si>
    <t>This spell functions like mind blank, except you divide the duration in 1-hour increments among the creatures touched.</t>
  </si>
  <si>
    <t>&lt;p&gt;This spell functions like &lt;i&gt;mind blank&lt;/i&gt;, except you divide the duration in 1-hour increments among the creatures touched.&lt;/p&gt;</t>
  </si>
  <si>
    <t>&lt;link rel="stylesheet"href="PF.css"&gt;&lt;div class="heading"&gt;&lt;p class="alignleft"&gt;Mind Blank, Communal&lt;/p&gt;&lt;div style="clear: both;"&gt;&lt;/div&gt;&lt;/div&gt;&lt;div&gt;&lt;h5&gt;&lt;b&gt;School &lt;/b&gt;abjuration; &lt;b&gt;Level &lt;/b&gt;sorcerer/wizard 9, witch 9,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&lt;/b&gt;24 hours&lt;/h5&gt;&lt;h5&gt;&lt;b&gt;Saving Throw &lt;/b&gt;Will negates (harmless); &lt;b&gt;Spell Resistance &lt;/b&gt;yes (harmless)&lt;/h5&gt;&lt;/div&gt;&lt;hr/&gt;&lt;div&gt;&lt;h5&gt;&lt;b&gt;DESCRIPTION&lt;/b&gt;&lt;/h5&gt;&lt;/div&gt;&lt;hr/&gt;&lt;div&gt;&lt;h4&gt;&lt;p&gt;This spell functions like &lt;i&gt;mind blank&lt;/i&gt;, except you divide the duration in 1-hour increments among the creatures touched.&lt;/p&gt;&lt;/h4&gt;&lt;/div&gt;</t>
  </si>
  <si>
    <t>As mind blank, but you may divide the duration among creatures touched.</t>
  </si>
  <si>
    <t>Mirror Strike</t>
  </si>
  <si>
    <t>magus 1, sorcerer/wizard 1, bloodrager 1, psychic 1</t>
  </si>
  <si>
    <t>V, S, M (a shard of mirror)</t>
  </si>
  <si>
    <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t>
  </si>
  <si>
    <t>&lt;p&gt;You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ends.&lt;/p&gt;</t>
  </si>
  <si>
    <t>&lt;link rel="stylesheet"href="PF.css"&gt;&lt;div class="heading"&gt;&lt;p class="alignleft"&gt;Mirror Strike&lt;/p&gt;&lt;div style="clear: both;"&gt;&lt;/div&gt;&lt;/div&gt;&lt;div&gt;&lt;h5&gt;&lt;b&gt;School &lt;/b&gt;transmutation; &lt;b&gt;Level &lt;/b&gt;magus 1, sorcerer/wizard 1, bloodrager 1, psychic 1&lt;/h5&gt;&lt;/div&gt;&lt;hr/&gt;&lt;div&gt;&lt;h5&gt;&lt;b&gt;CASTING&lt;/b&gt;&lt;/h5&gt;&lt;/div&gt;&lt;hr/&gt;&lt;div&gt;&lt;h5&gt;&lt;b&gt;Casting Time &lt;/b&gt;1 standard action&lt;/h5&gt;&lt;h5&gt;&lt;b&gt;Components &lt;/b&gt;V, S, M (a shard of mirror)&lt;/h5&gt;&lt;/div&gt;&lt;hr/&gt;&lt;div&gt;&lt;h5&gt;&lt;b&gt;EFFECT&lt;/b&gt;&lt;/h5&gt;&lt;/div&gt;&lt;hr/&gt;&lt;div&gt;&lt;h5&gt;&lt;b&gt;Range &lt;/b&gt;personal&lt;/h5&gt;&lt;h5&gt;&lt;b&gt;Targets &lt;/b&gt;you&lt;/h5&gt;&lt;h5&gt;&lt;b&gt;Duration &lt;/b&gt;see text&lt;/h5&gt;&lt;/div&gt;&lt;hr/&gt;&lt;div&gt;&lt;h5&gt;&lt;b&gt;DESCRIPTION&lt;/b&gt;&lt;/h5&gt;&lt;/div&gt;&lt;hr/&gt;&lt;div&gt;&lt;h4&gt;&lt;p&gt;You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ends.&lt;/p&gt;&lt;/h4&gt;&lt;/div&gt;</t>
  </si>
  <si>
    <t>You may strike multiple opponents with a single attack.</t>
  </si>
  <si>
    <t>Moment of Greatness</t>
  </si>
  <si>
    <t>bard 1, cleric/oracle 1, sorcerer/wizard 1, psychic 1</t>
  </si>
  <si>
    <t>V, S, M/DF (rabbit fur)</t>
  </si>
  <si>
    <t>The caster and allies within a 50-ft. burst centered on the caster</t>
  </si>
  <si>
    <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t>
  </si>
  <si>
    <t>&lt;p&gt;Each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subject.&lt;/p&gt;</t>
  </si>
  <si>
    <t>&lt;link rel="stylesheet"href="PF.css"&gt;&lt;div class="heading"&gt;&lt;p class="alignleft"&gt;Moment of Greatness&lt;/p&gt;&lt;div style="clear: both;"&gt;&lt;/div&gt;&lt;/div&gt;&lt;div&gt;&lt;h5&gt;&lt;b&gt;School &lt;/b&gt;enchantment (compulsion) [mind-affecting]; &lt;b&gt;Level &lt;/b&gt;bard 1, cleric/oracle 1, sorcerer/wizard 1, psychic 1&lt;/h5&gt;&lt;/div&gt;&lt;hr/&gt;&lt;div&gt;&lt;h5&gt;&lt;b&gt;CASTING&lt;/b&gt;&lt;/h5&gt;&lt;/div&gt;&lt;hr/&gt;&lt;div&gt;&lt;h5&gt;&lt;b&gt;Casting Time &lt;/b&gt;1 standard action&lt;/h5&gt;&lt;h5&gt;&lt;b&gt;Components &lt;/b&gt;V, S, M/DF (rabbit fur)&lt;/h5&gt;&lt;/div&gt;&lt;hr/&gt;&lt;div&gt;&lt;h5&gt;&lt;b&gt;EFFECT&lt;/b&gt;&lt;/h5&gt;&lt;/div&gt;&lt;hr/&gt;&lt;div&gt;&lt;h5&gt;&lt;b&gt;Range &lt;/b&gt;50 ft.&lt;/h5&gt;&lt;h5&gt;&lt;b&gt;Targets &lt;/b&gt;The caster and allies within a 50-ft. burst centered on the caster&lt;/h5&gt;&lt;h5&gt;&lt;b&gt;Duration &lt;/b&gt;1 minute/level or until discharged&lt;/h5&gt;&lt;h5&gt;&lt;b&gt;Saving Throw &lt;/b&gt;none; &lt;b&gt;Spell Resistance &lt;/b&gt;yes (harmless)&lt;/h5&gt;&lt;/div&gt;&lt;hr/&gt;&lt;div&gt;&lt;h5&gt;&lt;b&gt;DESCRIPTION&lt;/b&gt;&lt;/h5&gt;&lt;/div&gt;&lt;hr/&gt;&lt;div&gt;&lt;h4&gt;&lt;p&gt;Each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subject.&lt;/p&gt;&lt;/h4&gt;&lt;/div&gt;</t>
  </si>
  <si>
    <t>Doubles a morale bonus.</t>
  </si>
  <si>
    <t>Imperious (3)</t>
  </si>
  <si>
    <t>Mount, Communal</t>
  </si>
  <si>
    <t>magus 2, sorcerer/wizard 2, summoner 2, witch 2, occultist 2</t>
  </si>
  <si>
    <t>up to six mounts</t>
  </si>
  <si>
    <t>This spell functions like mount, except you can summon up to six light horses or ponies, and you divide the duration in 2-hour increments among the steeds summoned.</t>
  </si>
  <si>
    <t>&lt;p&gt;This spell functions like &lt;i&gt;mount&lt;/i&gt;, except you can summon up to six light horses or ponies, and you divide the duration in 2-hour increments among the steeds summoned.&lt;/p&gt;</t>
  </si>
  <si>
    <t>&lt;link rel="stylesheet"href="PF.css"&gt;&lt;div class="heading"&gt;&lt;p class="alignleft"&gt;Mount, Communal&lt;/p&gt;&lt;div style="clear: both;"&gt;&lt;/div&gt;&lt;/div&gt;&lt;div&gt;&lt;h5&gt;&lt;b&gt;School &lt;/b&gt;conjuration (summoning); &lt;b&gt;Level &lt;/b&gt;magus 2, sorcerer/wizard 2, summoner 2, witch 2, occultist 2&lt;/h5&gt;&lt;/div&gt;&lt;hr/&gt;&lt;div&gt;&lt;h5&gt;&lt;b&gt;CASTING&lt;/b&gt;&lt;/h5&gt;&lt;/div&gt;&lt;hr/&gt;&lt;div&gt;&lt;h5&gt;&lt;b&gt;Casting Time &lt;/b&gt;1 round&lt;/h5&gt;&lt;h5&gt;&lt;b&gt;Components &lt;/b&gt;V, S, M (a bit of horse hair)&lt;/h5&gt;&lt;/div&gt;&lt;hr/&gt;&lt;div&gt;&lt;h5&gt;&lt;b&gt;EFFECT&lt;/b&gt;&lt;/h5&gt;&lt;/div&gt;&lt;hr/&gt;&lt;div&gt;&lt;h5&gt;&lt;b&gt;Range &lt;/b&gt;close (25 ft. + 5 ft./2 levels)&lt;/h5&gt;&lt;h5&gt;&lt;b&gt;Effect &lt;/b&gt;up to six mounts&lt;/h5&gt;&lt;h5&gt;&lt;b&gt;Duration &lt;/b&gt;2 hours/level (D)&lt;/h5&gt;&lt;h5&gt;&lt;b&gt;Saving Throw &lt;/b&gt;none; &lt;b&gt;Spell Resistance &lt;/b&gt;no&lt;/h5&gt;&lt;/div&gt;&lt;hr/&gt;&lt;div&gt;&lt;h5&gt;&lt;b&gt;DESCRIPTION&lt;/b&gt;&lt;/h5&gt;&lt;/div&gt;&lt;hr/&gt;&lt;div&gt;&lt;h4&gt;&lt;p&gt;This spell functions like &lt;i&gt;mount&lt;/i&gt;, except you can summon up to six light horses or ponies, and you divide the duration in 2-hour increments among the steeds summoned.&lt;/p&gt;&lt;/h4&gt;&lt;/div&gt;</t>
  </si>
  <si>
    <t>As mount, but you may divide the duration among creatures touched.</t>
  </si>
  <si>
    <t>Mutagenic Touch</t>
  </si>
  <si>
    <t>V, S, M (a whole fingernail)</t>
  </si>
  <si>
    <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t>
  </si>
  <si>
    <t>&lt;p&gt;When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score.&lt;/p&gt;</t>
  </si>
  <si>
    <t>&lt;link rel="stylesheet"href="PF.css"&gt;&lt;div class="heading"&gt;&lt;p class="alignleft"&gt;Mutagenic Touch&lt;/p&gt;&lt;div style="clear: both;"&gt;&lt;/div&gt;&lt;/div&gt;&lt;div&gt;&lt;h5&gt;&lt;b&gt;School &lt;/b&gt;transmutation; &lt;b&gt;Level &lt;/b&gt;alchemist 4&lt;/h5&gt;&lt;/div&gt;&lt;hr/&gt;&lt;div&gt;&lt;h5&gt;&lt;b&gt;CASTING&lt;/b&gt;&lt;/h5&gt;&lt;/div&gt;&lt;hr/&gt;&lt;div&gt;&lt;h5&gt;&lt;b&gt;Casting Time &lt;/b&gt;1 standard action&lt;/h5&gt;&lt;h5&gt;&lt;b&gt;Components &lt;/b&gt;V, S, M (a whole fingernail)&lt;/h5&gt;&lt;/div&gt;&lt;hr/&gt;&lt;div&gt;&lt;h5&gt;&lt;b&gt;EFFECT&lt;/b&gt;&lt;/h5&gt;&lt;/div&gt;&lt;hr/&gt;&lt;div&gt;&lt;h5&gt;&lt;b&gt;Range &lt;/b&gt;touch&lt;/h5&gt;&lt;h5&gt;&lt;b&gt;Targets &lt;/b&gt;creature touched&lt;/h5&gt;&lt;h5&gt;&lt;b&gt;Duration &lt;/b&gt;special (see below)&lt;/h5&gt;&lt;h5&gt;&lt;b&gt;Saving Throw &lt;/b&gt;Fortitude negates (harmless); &lt;b&gt;Spell Resistance &lt;/b&gt;yes (harmless)&lt;/h5&gt;&lt;/div&gt;&lt;hr/&gt;&lt;div&gt;&lt;h5&gt;&lt;b&gt;DESCRIPTION&lt;/b&gt;&lt;/h5&gt;&lt;/div&gt;&lt;hr/&gt;&lt;div&gt;&lt;h4&gt;&lt;p&gt;When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score.&lt;/p&gt;&lt;/h4&gt;&lt;/div&gt;</t>
  </si>
  <si>
    <t>You can pass a weaker version of your mutagen to another creature.</t>
  </si>
  <si>
    <t>Named Bullet</t>
  </si>
  <si>
    <t>inquisitor 4, ranger 3, sorcerer/wizard 4, witch 4, psychic 4</t>
  </si>
  <si>
    <t>V, S, M/DF (an item from the selected creature or creature type)</t>
  </si>
  <si>
    <t>one piece of ammunition or one thrown weapon</t>
  </si>
  <si>
    <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t>
  </si>
  <si>
    <t>&lt;p&gt;You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discharged.&lt;/p&gt;</t>
  </si>
  <si>
    <t>&lt;link rel="stylesheet"href="PF.css"&gt;&lt;div class="heading"&gt;&lt;p class="alignleft"&gt;Named Bullet&lt;/p&gt;&lt;div style="clear: both;"&gt;&lt;/div&gt;&lt;/div&gt;&lt;div&gt;&lt;h5&gt;&lt;b&gt;School &lt;/b&gt;divination; &lt;b&gt;Level &lt;/b&gt;inquisitor 4, ranger 3, sorcerer/wizard 4, witch 4, psychic 4&lt;/h5&gt;&lt;/div&gt;&lt;hr/&gt;&lt;div&gt;&lt;h5&gt;&lt;b&gt;CASTING&lt;/b&gt;&lt;/h5&gt;&lt;/div&gt;&lt;hr/&gt;&lt;div&gt;&lt;h5&gt;&lt;b&gt;Casting Time &lt;/b&gt;1 standard action&lt;/h5&gt;&lt;h5&gt;&lt;b&gt;Components &lt;/b&gt;V, S, M/DF (an item from the selected creature or creature type)&lt;/h5&gt;&lt;/div&gt;&lt;hr/&gt;&lt;div&gt;&lt;h5&gt;&lt;b&gt;EFFECT&lt;/b&gt;&lt;/h5&gt;&lt;/div&gt;&lt;hr/&gt;&lt;div&gt;&lt;h5&gt;&lt;b&gt;Range &lt;/b&gt;touch&lt;/h5&gt;&lt;h5&gt;&lt;b&gt;Targets &lt;/b&gt;one piece of ammunition or one thrown weapon&lt;/h5&gt;&lt;h5&gt;&lt;b&gt;Duration &lt;/b&gt;10 minutes/level or until discharged&lt;/h5&gt;&lt;h5&gt;&lt;b&gt;Saving Throw &lt;/b&gt;Will negates (harmless, object); &lt;b&gt;Spell Resistance &lt;/b&gt;yes (harmless, object)&lt;/h5&gt;&lt;/div&gt;&lt;hr/&gt;&lt;div&gt;&lt;h5&gt;&lt;b&gt;DESCRIPTION&lt;/b&gt;&lt;/h5&gt;&lt;/div&gt;&lt;hr/&gt;&lt;div&gt;&lt;h4&gt;&lt;p&gt;You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discharged.&lt;/p&gt;&lt;/h4&gt;&lt;h5&gt;&lt;b&gt;Mythic: &lt;/b&gt;Increase the critical multiplier of the target weapon by 1 (maximum x4).&lt;/h5&gt;&lt;h5&gt;&lt;b&gt;Augmented (2nd)&lt;/b&gt;: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return.&lt;/h5&gt;&lt;/div&gt;</t>
  </si>
  <si>
    <t>Imbues ammunition with accuracy against a specific creature type.</t>
  </si>
  <si>
    <t>Increase the critical multiplier of the target weapon by 1 (maximum x4).</t>
  </si>
  <si>
    <t>Augmented (2nd):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t>
  </si>
  <si>
    <t>Named Bullet, Greater</t>
  </si>
  <si>
    <t>inquisitor 6, ranger 4, sorcerer/wizard 6, witch 6, psychic 6</t>
  </si>
  <si>
    <t>This spell functions like named bullet, except it deals 2 extra points of damage per caster level (maximum 40).</t>
  </si>
  <si>
    <t>&lt;p&gt;This spell functions like &lt;i&gt;named bullet&lt;/i&gt;, except it deals 2 extra points of damage per caster level (maximum 40).&lt;/p&gt;</t>
  </si>
  <si>
    <t>&lt;link rel="stylesheet"href="PF.css"&gt;&lt;div class="heading"&gt;&lt;p class="alignleft"&gt;Named Bullet, Greater&lt;/p&gt;&lt;div style="clear: both;"&gt;&lt;/div&gt;&lt;/div&gt;&lt;div&gt;&lt;h5&gt;&lt;b&gt;School &lt;/b&gt;divination; &lt;b&gt;Level &lt;/b&gt;inquisitor 6, ranger 4, sorcerer/wizard 6, witch 6, psychic 6&lt;/h5&gt;&lt;/div&gt;&lt;hr/&gt;&lt;div&gt;&lt;h5&gt;&lt;b&gt;CASTING&lt;/b&gt;&lt;/h5&gt;&lt;/div&gt;&lt;hr/&gt;&lt;div&gt;&lt;h5&gt;&lt;b&gt;Casting Time &lt;/b&gt;1 standard action&lt;/h5&gt;&lt;h5&gt;&lt;b&gt;Components &lt;/b&gt;V, S, M/DF (an item from the selected creature or creature type)&lt;/h5&gt;&lt;/div&gt;&lt;hr/&gt;&lt;div&gt;&lt;h5&gt;&lt;b&gt;EFFECT&lt;/b&gt;&lt;/h5&gt;&lt;/div&gt;&lt;hr/&gt;&lt;div&gt;&lt;h5&gt;&lt;b&gt;Range &lt;/b&gt;touch&lt;/h5&gt;&lt;h5&gt;&lt;b&gt;Targets &lt;/b&gt;one piece of ammunition or one thrown weapon&lt;/h5&gt;&lt;h5&gt;&lt;b&gt;Duration &lt;/b&gt;10 minutes/level or until discharged&lt;/h5&gt;&lt;h5&gt;&lt;b&gt;Saving Throw &lt;/b&gt;Will negates (harmless, object); &lt;b&gt;Spell Resistance &lt;/b&gt;yes (harmless, object)&lt;/h5&gt;&lt;/div&gt;&lt;hr/&gt;&lt;div&gt;&lt;h5&gt;&lt;b&gt;DESCRIPTION&lt;/b&gt;&lt;/h5&gt;&lt;/div&gt;&lt;hr/&gt;&lt;div&gt;&lt;h4&gt;&lt;p&gt;This spell functions like &lt;i&gt;named bullet&lt;/i&gt;, except it deals 2 extra points of damage per caster level (maximum 40).&lt;/p&gt;&lt;/h4&gt;&lt;/div&gt;</t>
  </si>
  <si>
    <t>As named bullet, but deals 2 points of damage for every caster level.</t>
  </si>
  <si>
    <t>Negative Reaction</t>
  </si>
  <si>
    <t>bard 1, magus 1, sorcerer/wizard 1, witch 1, psychic 1</t>
  </si>
  <si>
    <t>The target's actions and words fail to impress. The target of this spell takes a -10 penalty on any Bluff, Diplomacy, and Intimidate checks as well as any performance combat checks it attempts.</t>
  </si>
  <si>
    <t>&lt;p&gt;The target's actions and words fail to impress. The target of this spell takes a -10 penalty on any Bluff, Diplomacy, and Intimidate checks as well as any performance combat checks it attempts.&lt;/p&gt;</t>
  </si>
  <si>
    <t>&lt;link rel="stylesheet"href="PF.css"&gt;&lt;div class="heading"&gt;&lt;p class="alignleft"&gt;Negative Reaction&lt;/p&gt;&lt;div style="clear: both;"&gt;&lt;/div&gt;&lt;/div&gt;&lt;div&gt;&lt;h5&gt;&lt;b&gt;School &lt;/b&gt;illusion (glamer); &lt;b&gt;Level &lt;/b&gt;bard 1, magus 1, sorcerer/wizard 1, witch 1, 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&lt;/b&gt;yes&lt;/h5&gt;&lt;/div&gt;&lt;hr/&gt;&lt;div&gt;&lt;h5&gt;&lt;b&gt;DESCRIPTION&lt;/b&gt;&lt;/h5&gt;&lt;/div&gt;&lt;hr/&gt;&lt;div&gt;&lt;h4&gt;&lt;p&gt;The target's actions and words fail to impress. The target of this spell takes a -10 penalty on any Bluff, Diplomacy, and Intimidate checks as well as any performance combat checks it attempts.&lt;/p&gt;&lt;/h4&gt;&lt;/div&gt;</t>
  </si>
  <si>
    <t>Targeted creature may not positively influence anyone.</t>
  </si>
  <si>
    <t>Nondetection, Communal</t>
  </si>
  <si>
    <t>antipaladin 4, sorcerer/wizard 4, occultist 4, psychic 4, mesmerist 4</t>
  </si>
  <si>
    <t>V, S, M (diamond dust worth 25 gp per target)</t>
  </si>
  <si>
    <t>This spell functions like nondetection, except you divide the duration in 1-hour increments among the creatures or objects touched.</t>
  </si>
  <si>
    <t>&lt;p&gt;This spell functions like &lt;i&gt;nondetection&lt;/i&gt;, except you divide the duration in 1-hour increments among the creatures or objects touched.&lt;/p&gt;</t>
  </si>
  <si>
    <t>&lt;link rel="stylesheet"href="PF.css"&gt;&lt;div class="heading"&gt;&lt;p class="alignleft"&gt;Nondetection, Communal&lt;/p&gt;&lt;div style="clear: both;"&gt;&lt;/div&gt;&lt;/div&gt;&lt;div&gt;&lt;h5&gt;&lt;b&gt;School &lt;/b&gt;abjuration; &lt;b&gt;Level &lt;/b&gt;antipaladin 4, sorcerer/wizard 4, occultist 4, psychic 4, mesmerist 4&lt;/h5&gt;&lt;/div&gt;&lt;hr/&gt;&lt;div&gt;&lt;h5&gt;&lt;b&gt;CASTING&lt;/b&gt;&lt;/h5&gt;&lt;/div&gt;&lt;hr/&gt;&lt;div&gt;&lt;h5&gt;&lt;b&gt;Casting Time &lt;/b&gt;1 standard action&lt;/h5&gt;&lt;h5&gt;&lt;b&gt;Components &lt;/b&gt;V, S, M (diamond dust worth 25 gp per target)&lt;/h5&gt;&lt;/div&gt;&lt;hr/&gt;&lt;div&gt;&lt;h5&gt;&lt;b&gt;EFFECT&lt;/b&gt;&lt;/h5&gt;&lt;/div&gt;&lt;hr/&gt;&lt;div&gt;&lt;h5&gt;&lt;b&gt;Range &lt;/b&gt;touch&lt;/h5&gt;&lt;h5&gt;&lt;b&gt;Targets &lt;/b&gt;creatures or objects touched&lt;/h5&gt;&lt;h5&gt;&lt;b&gt;Duration &lt;/b&gt;1 hour/level&lt;/h5&gt;&lt;h5&gt;&lt;b&gt;Saving Throw &lt;/b&gt;Will negates (harmless, object); &lt;b&gt;Spell Resistance &lt;/b&gt;yes (harmless, object)&lt;/h5&gt;&lt;/div&gt;&lt;hr/&gt;&lt;div&gt;&lt;h5&gt;&lt;b&gt;DESCRIPTION&lt;/b&gt;&lt;/h5&gt;&lt;/div&gt;&lt;hr/&gt;&lt;div&gt;&lt;h4&gt;&lt;p&gt;This spell functions like &lt;i&gt;nondetection&lt;/i&gt;, except you divide the duration in 1-hour increments among the creatures or objects touched.&lt;/p&gt;&lt;/h4&gt;&lt;/div&gt;</t>
  </si>
  <si>
    <t>As nondetection, but you may divide the duration among creatures touched.</t>
  </si>
  <si>
    <t>Obsidian Flow</t>
  </si>
  <si>
    <t>druid 4, sorcerer/wizard 4, summoner 3</t>
  </si>
  <si>
    <t>V, S, M/DF (a small piece of obsidian)</t>
  </si>
  <si>
    <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t>
  </si>
  <si>
    <t>&lt;p&gt;You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obsidian.&lt;/p&gt;</t>
  </si>
  <si>
    <t>&lt;link rel="stylesheet"href="PF.css"&gt;&lt;div class="heading"&gt;&lt;p class="alignleft"&gt;Obsidian Flow&lt;/p&gt;&lt;div style="clear: both;"&gt;&lt;/div&gt;&lt;/div&gt;&lt;div&gt;&lt;h5&gt;&lt;b&gt;School &lt;/b&gt;transmutation [earth, fire]; &lt;b&gt;Level &lt;/b&gt;druid 4, sorcerer/wizard 4, summoner 3&lt;/h5&gt;&lt;/div&gt;&lt;hr/&gt;&lt;div&gt;&lt;h5&gt;&lt;b&gt;CASTING&lt;/b&gt;&lt;/h5&gt;&lt;/div&gt;&lt;hr/&gt;&lt;div&gt;&lt;h5&gt;&lt;b&gt;Casting Time &lt;/b&gt;1 standard action&lt;/h5&gt;&lt;h5&gt;&lt;b&gt;Components &lt;/b&gt;V, S, M/DF (a small piece of obsidian)&lt;/h5&gt;&lt;/div&gt;&lt;hr/&gt;&lt;div&gt;&lt;h5&gt;&lt;b&gt;EFFECT&lt;/b&gt;&lt;/h5&gt;&lt;/div&gt;&lt;hr/&gt;&lt;div&gt;&lt;h5&gt;&lt;b&gt;Range &lt;/b&gt;close (25 ft. + 5 ft./2 levels)&lt;/h5&gt;&lt;h5&gt;&lt;b&gt;Area &lt;/b&gt;20-ft.-radius burst&lt;/h5&gt;&lt;h5&gt;&lt;b&gt;Duration &lt;/b&gt;instantaneous&lt;/h5&gt;&lt;h5&gt;&lt;b&gt;Saving Throw &lt;/b&gt;Reflex partial, see text; &lt;b&gt;Spell Resistance &lt;/b&gt;no&lt;/h5&gt;&lt;/div&gt;&lt;hr/&gt;&lt;div&gt;&lt;h5&gt;&lt;b&gt;DESCRIPTION&lt;/b&gt;&lt;/h5&gt;&lt;/div&gt;&lt;hr/&gt;&lt;div&gt;&lt;h4&gt;&lt;p&gt;You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obsidian.&lt;/p&gt;&lt;/h4&gt;&lt;/div&gt;</t>
  </si>
  <si>
    <t>Converts the surface of the ground into molten glass.</t>
  </si>
  <si>
    <t>Peacebond</t>
  </si>
  <si>
    <t>inquisitor 1, sorcerer/wizard 1, witch 1, occultist 1, psychic 1</t>
  </si>
  <si>
    <t>one sheathed or slung weapon</t>
  </si>
  <si>
    <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t>
  </si>
  <si>
    <t>&lt;p&gt;You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fails.&lt;/p&gt;</t>
  </si>
  <si>
    <t>&lt;link rel="stylesheet"href="PF.css"&gt;&lt;div class="heading"&gt;&lt;p class="alignleft"&gt;Peacebond&lt;/p&gt;&lt;div style="clear: both;"&gt;&lt;/div&gt;&lt;/div&gt;&lt;div&gt;&lt;h5&gt;&lt;b&gt;School &lt;/b&gt;abjuration; &lt;b&gt;Level &lt;/b&gt;inquisitor 1, sorcerer/wizard 1, witch 1, occultist 1, 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sheathed or slung weapon&lt;/h5&gt;&lt;h5&gt;&lt;b&gt;Duration &lt;/b&gt;1 minute/level&lt;/h5&gt;&lt;h5&gt;&lt;b&gt;Saving Throw &lt;/b&gt;Will negates (object); &lt;b&gt;Spell Resistance &lt;/b&gt;yes (object)&lt;/h5&gt;&lt;/div&gt;&lt;hr/&gt;&lt;div&gt;&lt;h5&gt;&lt;b&gt;DESCRIPTION&lt;/b&gt;&lt;/h5&gt;&lt;/div&gt;&lt;hr/&gt;&lt;div&gt;&lt;h4&gt;&lt;p&gt;You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fails.&lt;/p&gt;&lt;/h4&gt;&lt;/div&gt;</t>
  </si>
  <si>
    <t>Locks a weapon in place on the target's body.</t>
  </si>
  <si>
    <t>Pellet Blast</t>
  </si>
  <si>
    <t>magus 4, sorcerer/wizard 3, summoner 3, bloodrager 4, psychic 3</t>
  </si>
  <si>
    <t>V, S, M (a handful of metal pellets or handful of cold iron, silver, or adamantine pellets; see descriptions for cost)</t>
  </si>
  <si>
    <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t>
  </si>
  <si>
    <t>&lt;p&gt;This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dealt.&lt;/p&gt;</t>
  </si>
  <si>
    <t>&lt;link rel="stylesheet"href="PF.css"&gt;&lt;div class="heading"&gt;&lt;p class="alignleft"&gt;Pellet Blast&lt;/p&gt;&lt;div style="clear: both;"&gt;&lt;/div&gt;&lt;/div&gt;&lt;div&gt;&lt;h5&gt;&lt;b&gt;School &lt;/b&gt;conjuration (creation); &lt;b&gt;Level &lt;/b&gt;magus 4, sorcerer/wizard 3, summoner 3, bloodrager 4, psychic 3&lt;/h5&gt;&lt;/div&gt;&lt;hr/&gt;&lt;div&gt;&lt;h5&gt;&lt;b&gt;CASTING&lt;/b&gt;&lt;/h5&gt;&lt;/div&gt;&lt;hr/&gt;&lt;div&gt;&lt;h5&gt;&lt;b&gt;Casting Time &lt;/b&gt;1 standard action&lt;/h5&gt;&lt;h5&gt;&lt;b&gt;Components &lt;/b&gt;V, S, M (a handful of metal pellets or handful of cold iron, silver, or adamantine pellets; see descriptions for cost)&lt;/h5&gt;&lt;/div&gt;&lt;hr/&gt;&lt;div&gt;&lt;h5&gt;&lt;b&gt;EFFECT&lt;/b&gt;&lt;/h5&gt;&lt;/div&gt;&lt;hr/&gt;&lt;div&gt;&lt;h5&gt;&lt;b&gt;Range &lt;/b&gt;30 ft.&lt;/h5&gt;&lt;h5&gt;&lt;b&gt;Area &lt;/b&gt;cone-shaped burst&lt;/h5&gt;&lt;h5&gt;&lt;b&gt;Duration &lt;/b&gt;instantaneous&lt;/h5&gt;&lt;h5&gt;&lt;b&gt;Saving Throw &lt;/b&gt;Reflex half; &lt;b&gt;Spell Resistance &lt;/b&gt;no&lt;/h5&gt;&lt;/div&gt;&lt;hr/&gt;&lt;div&gt;&lt;h5&gt;&lt;b&gt;DESCRIPTION&lt;/b&gt;&lt;/h5&gt;&lt;/div&gt;&lt;hr/&gt;&lt;div&gt;&lt;h4&gt;&lt;p&gt;This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dealt.&lt;/p&gt;&lt;/h4&gt;&lt;/div&gt;</t>
  </si>
  <si>
    <t>Creates an explosion of conjured metal pellets.</t>
  </si>
  <si>
    <t>Phantom Chariot</t>
  </si>
  <si>
    <t>sorcerer/wizard 4, summoner 3, occultist 4, spiritualist 4</t>
  </si>
  <si>
    <t>one quasi-real chariot and draft team</t>
  </si>
  <si>
    <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phantom steed spell.</t>
  </si>
  <si>
    <t>&lt;p&gt;You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&lt;i&gt;phantom steed&lt;/i&gt; spell.&lt;/p&gt;</t>
  </si>
  <si>
    <t>&lt;link rel="stylesheet"href="PF.css"&gt;&lt;div class="heading"&gt;&lt;p class="alignleft"&gt;Phantom Chariot&lt;/p&gt;&lt;div style="clear: both;"&gt;&lt;/div&gt;&lt;/div&gt;&lt;div&gt;&lt;h5&gt;&lt;b&gt;School &lt;/b&gt;conjuration (creation); &lt;b&gt;Level &lt;/b&gt;sorcerer/wizard 4, summoner 3, occultist 4, spiritualist 4&lt;/h5&gt;&lt;/div&gt;&lt;hr/&gt;&lt;div&gt;&lt;h5&gt;&lt;b&gt;CASTING&lt;/b&gt;&lt;/h5&gt;&lt;/div&gt;&lt;hr/&gt;&lt;div&gt;&lt;h5&gt;&lt;b&gt;Casting Time &lt;/b&gt;10 minutes&lt;/h5&gt;&lt;h5&gt;&lt;b&gt;Components &lt;/b&gt;V, S&lt;/h5&gt;&lt;/div&gt;&lt;hr/&gt;&lt;div&gt;&lt;h5&gt;&lt;b&gt;EFFECT&lt;/b&gt;&lt;/h5&gt;&lt;/div&gt;&lt;hr/&gt;&lt;div&gt;&lt;h5&gt;&lt;b&gt;Range &lt;/b&gt;0 ft.&lt;/h5&gt;&lt;h5&gt;&lt;b&gt;Effect &lt;/b&gt;one quasi-real chariot and draft team&lt;/h5&gt;&lt;h5&gt;&lt;b&gt;Duration &lt;/b&gt;1 hour/level (D)&lt;/h5&gt;&lt;h5&gt;&lt;b&gt;Saving Throw &lt;/b&gt;none; &lt;b&gt;Spell Resistance &lt;/b&gt;no&lt;/h5&gt;&lt;/div&gt;&lt;hr/&gt;&lt;div&gt;&lt;h5&gt;&lt;b&gt;DESCRIPTION&lt;/b&gt;&lt;/h5&gt;&lt;/div&gt;&lt;hr/&gt;&lt;div&gt;&lt;h4&gt;&lt;p&gt;You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&lt;i&gt;phantom steed&lt;/i&gt; spell.&lt;/p&gt;&lt;/h4&gt;&lt;/div&gt;</t>
  </si>
  <si>
    <t>Conjures a quasi-real heavy chariot pulled by four horses.</t>
  </si>
  <si>
    <t>Phantom Driver</t>
  </si>
  <si>
    <t>bard 3, sorcerer/wizard 3, occultist 3, spiritualist 3</t>
  </si>
  <si>
    <t>one quasi-real, humanlike creature</t>
  </si>
  <si>
    <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t>
  </si>
  <si>
    <t>&lt;p&gt;You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modifier.&lt;/p&gt;</t>
  </si>
  <si>
    <t>&lt;link rel="stylesheet"href="PF.css"&gt;&lt;div class="heading"&gt;&lt;p class="alignleft"&gt;Phantom Driver&lt;/p&gt;&lt;div style="clear: both;"&gt;&lt;/div&gt;&lt;/div&gt;&lt;div&gt;&lt;h5&gt;&lt;b&gt;School &lt;/b&gt;conjuration (creation); &lt;b&gt;Level &lt;/b&gt;bard 3, sorcerer/wizard 3, occultist 3, spiritualist 3&lt;/h5&gt;&lt;/div&gt;&lt;hr/&gt;&lt;div&gt;&lt;h5&gt;&lt;b&gt;CASTING&lt;/b&gt;&lt;/h5&gt;&lt;/div&gt;&lt;hr/&gt;&lt;div&gt;&lt;h5&gt;&lt;b&gt;Casting Time &lt;/b&gt;10 minutes&lt;/h5&gt;&lt;h5&gt;&lt;b&gt;Components &lt;/b&gt;V, S&lt;/h5&gt;&lt;/div&gt;&lt;hr/&gt;&lt;div&gt;&lt;h5&gt;&lt;b&gt;EFFECT&lt;/b&gt;&lt;/h5&gt;&lt;/div&gt;&lt;hr/&gt;&lt;div&gt;&lt;h5&gt;&lt;b&gt;Range &lt;/b&gt;10 ft.&lt;/h5&gt;&lt;h5&gt;&lt;b&gt;Effect &lt;/b&gt;one quasi-real, humanlike creature&lt;/h5&gt;&lt;h5&gt;&lt;b&gt;Duration &lt;/b&gt;1 hour/level (D)&lt;/h5&gt;&lt;h5&gt;&lt;b&gt;Saving Throw &lt;/b&gt;none; &lt;b&gt;Spell Resistance &lt;/b&gt;no&lt;/h5&gt;&lt;/div&gt;&lt;hr/&gt;&lt;div&gt;&lt;h5&gt;&lt;b&gt;DESCRIPTION&lt;/b&gt;&lt;/h5&gt;&lt;/div&gt;&lt;hr/&gt;&lt;div&gt;&lt;h4&gt;&lt;p&gt;You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modifier.&lt;/p&gt;&lt;/h4&gt;&lt;/div&gt;</t>
  </si>
  <si>
    <t>Conjures a phantom to drive vehicles.</t>
  </si>
  <si>
    <t>Phantom Steed, Communal</t>
  </si>
  <si>
    <t>bard 4, sorcerer/wizard 4, summoner 3, occultist 4, spiritualist 4</t>
  </si>
  <si>
    <t>up to six quasi-real, horselike creatures</t>
  </si>
  <si>
    <t>This spell functions like phantom steed, except you can summon up to six steeds, and you divide the duration in 1-hour intervals among the steeds summoned.</t>
  </si>
  <si>
    <t>&lt;p&gt;This spell functions like &lt;i&gt;phantom steed&lt;/i&gt;, except you can summon up to six steeds, and you divide the duration in 1-hour intervals among the steeds summoned.&lt;/p&gt;</t>
  </si>
  <si>
    <t>&lt;link rel="stylesheet"href="PF.css"&gt;&lt;div class="heading"&gt;&lt;p class="alignleft"&gt;Phantom Steed, Communal&lt;/p&gt;&lt;div style="clear: both;"&gt;&lt;/div&gt;&lt;/div&gt;&lt;div&gt;&lt;h5&gt;&lt;b&gt;School &lt;/b&gt;conjuration (creation); &lt;b&gt;Level &lt;/b&gt;bard 4, sorcerer/wizard 4, summoner 3, occultist 4, spiritualist 4&lt;/h5&gt;&lt;/div&gt;&lt;hr/&gt;&lt;div&gt;&lt;h5&gt;&lt;b&gt;CASTING&lt;/b&gt;&lt;/h5&gt;&lt;/div&gt;&lt;hr/&gt;&lt;div&gt;&lt;h5&gt;&lt;b&gt;Casting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levels)&lt;/h5&gt;&lt;h5&gt;&lt;b&gt;Effect &lt;/b&gt;up to six quasi-real, horselike creatures&lt;/h5&gt;&lt;h5&gt;&lt;b&gt;Duration &lt;/b&gt;1 hour/level (D)&lt;/h5&gt;&lt;h5&gt;&lt;b&gt;Saving Throw &lt;/b&gt;none; &lt;b&gt;Spell Resistance &lt;/b&gt;no&lt;/h5&gt;&lt;/div&gt;&lt;hr/&gt;&lt;div&gt;&lt;h5&gt;&lt;b&gt;DESCRIPTION&lt;/b&gt;&lt;/h5&gt;&lt;/div&gt;&lt;hr/&gt;&lt;div&gt;&lt;h4&gt;&lt;p&gt;This spell functions like &lt;i&gt;phantom steed&lt;/i&gt;, except you can summon up to six steeds, and you divide the duration in 1-hour intervals among the steeds summoned.&lt;/p&gt;&lt;/h4&gt;&lt;/div&gt;</t>
  </si>
  <si>
    <t>As phantom steed, but you may divide the duration among creatures touched.</t>
  </si>
  <si>
    <t>Pilfering Hand</t>
  </si>
  <si>
    <t>bard 2, cleric/oracle 2, magus 2, sorcerer/wizard 2, occultist 2, psychic 2, mesmerist 2, spiritualist 2</t>
  </si>
  <si>
    <t>one object</t>
  </si>
  <si>
    <t>You create and control an invisible telekinetic force, manipulating it with either startling abruptness or careful deliberateness, allowing you to seize an object from an opponent or remotely manipulate an object. You can utilize this force to one of two ends.  Abrupt Maneuver: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Careful Maneuver: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t>
  </si>
  <si>
    <t>&lt;p&gt;You create and control an invisible telekinetic force, manipulating it with either startling abruptness or careful deliberateness, allowing you to seize an object from an opponent or remotely manipulate an object. You can utilize this force to one of two ends.  &lt;br&gt;&lt;i&gt;Abrupt Maneuver&lt;/i&gt;: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&lt;br&gt;&lt;i&gt;Careful Maneuver&lt;/i&gt;: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attempt.&lt;/p&gt;</t>
  </si>
  <si>
    <t>&lt;link rel="stylesheet"href="PF.css"&gt;&lt;div class="heading"&gt;&lt;p class="alignleft"&gt;Pilfering Hand&lt;/p&gt;&lt;div style="clear: both;"&gt;&lt;/div&gt;&lt;/div&gt;&lt;div&gt;&lt;h5&gt;&lt;b&gt;School &lt;/b&gt;evocation [force]; &lt;b&gt;Level &lt;/b&gt;bard 2, cleric/oracle 2, magus 2, sorcerer/wizard 2, occultist 2, psychic 2, mesmerist 2, spiritualist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object&lt;/h5&gt;&lt;h5&gt;&lt;b&gt;Duration &lt;/b&gt;see text&lt;/h5&gt;&lt;h5&gt;&lt;b&gt;Saving Throw &lt;/b&gt;none; &lt;b&gt;Spell Resistance &lt;/b&gt;yes (object)&lt;/h5&gt;&lt;/div&gt;&lt;hr/&gt;&lt;div&gt;&lt;h5&gt;&lt;b&gt;DESCRIPTION&lt;/b&gt;&lt;/h5&gt;&lt;/div&gt;&lt;hr/&gt;&lt;div&gt;&lt;h4&gt;&lt;p&gt;You create and control an invisible telekinetic force, manipulating it with either startling abruptness or careful deliberateness, allowing you to seize an object from an opponent or remotely manipulate an object. You can utilize this force to one of two ends.  &lt;br&gt;&lt;i&gt;Abrupt Maneuver&lt;/i&gt;: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&lt;br&gt;&lt;i&gt;Careful Maneuver&lt;/i&gt;: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attempt.&lt;/p&gt;&lt;/h4&gt;&lt;/div&gt;</t>
  </si>
  <si>
    <t>You may seize an object or manipulate it from afar.</t>
  </si>
  <si>
    <t>Protection from Arrows, Communal</t>
  </si>
  <si>
    <t>alchemist 3, sorcerer/wizard 3, summoner 3, psychic 3</t>
  </si>
  <si>
    <t>This spell functions like protection from arrows, except you divide the duration in 1-hour intervals among the creatures touched. Once the spell absorbs 10 points of damage per caster level (maximum 100 points) for a subject, the spell's effects end for that subject.</t>
  </si>
  <si>
    <t>&lt;p&gt;This spell functions like &lt;i&gt;protection from arrows&lt;/i&gt;, except you divide the duration in 1-hour intervals among the creatures touched. Once the spell absorbs 10 points of damage per caster level (maximum 100 points) for a subject, the spell's effects end for that subject.&lt;/p&gt;</t>
  </si>
  <si>
    <t>&lt;link rel="stylesheet"href="PF.css"&gt;&lt;div class="heading"&gt;&lt;p class="alignleft"&gt;Protection from Arrows, Communal&lt;/p&gt;&lt;div style="clear: both;"&gt;&lt;/div&gt;&lt;/div&gt;&lt;div&gt;&lt;h5&gt;&lt;b&gt;School &lt;/b&gt;abjuration; &lt;b&gt;Level &lt;/b&gt;alchemist 3, sorcerer/wizard 3, summoner 3, psychic 3&lt;/h5&gt;&lt;/div&gt;&lt;hr/&gt;&lt;div&gt;&lt;h5&gt;&lt;b&gt;CASTING&lt;/b&gt;&lt;/h5&gt;&lt;/div&gt;&lt;hr/&gt;&lt;div&gt;&lt;h5&gt;&lt;b&gt;Casting Time &lt;/b&gt;1 standard action&lt;/h5&gt;&lt;h5&gt;&lt;b&gt;Components &lt;/b&gt;V, S, F (a piece of tortoiseshell or turtle shell)&lt;/h5&gt;&lt;/div&gt;&lt;hr/&gt;&lt;div&gt;&lt;h5&gt;&lt;b&gt;EFFECT&lt;/b&gt;&lt;/h5&gt;&lt;/div&gt;&lt;hr/&gt;&lt;div&gt;&lt;h5&gt;&lt;b&gt;Range &lt;/b&gt;touch&lt;/h5&gt;&lt;h5&gt;&lt;b&gt;Targets &lt;/b&gt;creatures touched&lt;/h5&gt;&lt;h5&gt;&lt;b&gt;Duration &lt;/b&gt;1 hour/level or until discharged&lt;/h5&gt;&lt;h5&gt;&lt;b&gt;Saving Throw &lt;/b&gt;Will negates (harmless); &lt;b&gt;Spell Resistance &lt;/b&gt;yes (harmless)&lt;/h5&gt;&lt;/div&gt;&lt;hr/&gt;&lt;div&gt;&lt;h5&gt;&lt;b&gt;DESCRIPTION&lt;/b&gt;&lt;/h5&gt;&lt;/div&gt;&lt;hr/&gt;&lt;div&gt;&lt;h4&gt;&lt;p&gt;This spell functions like &lt;i&gt;protection from arrows&lt;/i&gt;, except you divide the duration in 1-hour intervals among the creatures touched. Once the spell absorbs 10 points of damage per caster level (maximum 100 points) for a subject, the spell's effects end for that subject.&lt;/p&gt;&lt;/h4&gt;&lt;/div&gt;</t>
  </si>
  <si>
    <t>As protection from arrows, but you may divide the duration among creatures touched.</t>
  </si>
  <si>
    <t>Protection from Chaos, Communal</t>
  </si>
  <si>
    <t>cleric/oracle 2, inquisitor 2, paladin 2, sorcerer/wizard 2, summoner 2</t>
  </si>
  <si>
    <t>This spell functions like protection from chaos, except you divide the duration in 1-minute intervals among the creatures touched.</t>
  </si>
  <si>
    <t>&lt;p&gt;This spell functions like &lt;i&gt;protection from chaos&lt;/i&gt;, except you divide the duration in 1-minute intervals among the creatures touched.&lt;/p&gt;</t>
  </si>
  <si>
    <t>&lt;link rel="stylesheet"href="PF.css"&gt;&lt;div class="heading"&gt;&lt;p class="alignleft"&gt;Protection from Chaos, Communal&lt;/p&gt;&lt;div style="clear: both;"&gt;&lt;/div&gt;&lt;/div&gt;&lt;div&gt;&lt;h5&gt;&lt;b&gt;School &lt;/b&gt;abjuration [lawful]; &lt;b&gt;Level &lt;/b&gt;cleric/oracle 2, inquisitor 2, paladin 2, sorcerer/wizard 2,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chaos&lt;/i&gt;, except you divide the duration in 1-minute intervals among the creatures touched.&lt;/p&gt;&lt;/h4&gt;&lt;/div&gt;</t>
  </si>
  <si>
    <t>As protection from chaos, but you may divide the duration among creatures touched.</t>
  </si>
  <si>
    <t>Protection from Energy, Communal</t>
  </si>
  <si>
    <t>cleric/oracle 4, druid 4, inquisitor 4, ranger 3, sorcerer/wizard 4, summoner 4, psychic 4</t>
  </si>
  <si>
    <t>This spell functions like protection from energy, except you divide the duration in 10-minute intervals among the creatures touched. Once the spell absorbs 12 points of energy damage per caster level (maximum 120 points) for a subject, the spell's effects end for that subject.</t>
  </si>
  <si>
    <t>&lt;p&gt;This spell functions like &lt;i&gt;protection from energy&lt;/i&gt;, except you divide the duration in 10-minute intervals among the creatures touched. Once the spell absorbs 12 points of energy damage per caster level (maximum 120 points) for a subject, the spell's effects end for that subject.&lt;/p&gt;</t>
  </si>
  <si>
    <t>&lt;link rel="stylesheet"href="PF.css"&gt;&lt;div class="heading"&gt;&lt;p class="alignleft"&gt;Protection from Energy, Communal&lt;/p&gt;&lt;div style="clear: both;"&gt;&lt;/div&gt;&lt;/div&gt;&lt;div&gt;&lt;h5&gt;&lt;b&gt;School &lt;/b&gt;abjuration; &lt;b&gt;Level &lt;/b&gt;cleric/oracle 4, druid 4, inquisitor 4, ranger 3, sorcerer/wizard 4, summoner 4,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 or until discharged&lt;/h5&gt;&lt;h5&gt;&lt;b&gt;Saving Throw &lt;/b&gt;Fortitude negates (harmless); &lt;b&gt;Spell Resistance &lt;/b&gt;yes (harmless)&lt;/h5&gt;&lt;/div&gt;&lt;hr/&gt;&lt;div&gt;&lt;h5&gt;&lt;b&gt;DESCRIPTION&lt;/b&gt;&lt;/h5&gt;&lt;/div&gt;&lt;hr/&gt;&lt;div&gt;&lt;h4&gt;&lt;p&gt;This spell functions like &lt;i&gt;protection from energy&lt;/i&gt;, except you divide the duration in 10-minute intervals among the creatures touched. Once the spell absorbs 12 points of energy damage per caster level (maximum 120 points) for a subject, the spell's effects end for that subject.&lt;/p&gt;&lt;/h4&gt;&lt;/div&gt;</t>
  </si>
  <si>
    <t>As protection from energy, but you may divide the duration among creatures touched.</t>
  </si>
  <si>
    <t>Protection from Evil, Communal</t>
  </si>
  <si>
    <t>This spell functions like protection from evil, except you divide the duration in 1-minute intervals among the creatures touched.</t>
  </si>
  <si>
    <t>&lt;p&gt;This spell functions like &lt;i&gt;protection from evil&lt;/i&gt;, except you divide the duration in 1-minute intervals among the creatures touched.&lt;/p&gt;</t>
  </si>
  <si>
    <t>&lt;link rel="stylesheet"href="PF.css"&gt;&lt;div class="heading"&gt;&lt;p class="alignleft"&gt;Protection from Evil, Communal&lt;/p&gt;&lt;div style="clear: both;"&gt;&lt;/div&gt;&lt;/div&gt;&lt;div&gt;&lt;h5&gt;&lt;b&gt;School &lt;/b&gt;abjuration [good]; &lt;b&gt;Level &lt;/b&gt;cleric/oracle 2, inquisitor 2, paladin 2, sorcerer/wizard 2,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you divide the duration in 1-minute intervals among the creatures touched.&lt;/p&gt;&lt;/h4&gt;&lt;/div&gt;</t>
  </si>
  <si>
    <t>As protection from evil, but you may divide the duration among creatures touched.</t>
  </si>
  <si>
    <t>Protection from Good, Communal</t>
  </si>
  <si>
    <t>antipaladin 2, cleric/oracle 2, inquisitor 2, sorcerer/wizard 2, summoner 2</t>
  </si>
  <si>
    <t>This spell functions like protection from good, except you divide the duration in 1-minute intervals among the creatures touched.</t>
  </si>
  <si>
    <t>&lt;p&gt;This spell functions like &lt;i&gt;protection from good&lt;/i&gt;, except you divide the duration in 1-minute intervals among the creatures touched.&lt;/p&gt;</t>
  </si>
  <si>
    <t>&lt;link rel="stylesheet"href="PF.css"&gt;&lt;div class="heading"&gt;&lt;p class="alignleft"&gt;Protection from Good, Communal&lt;/p&gt;&lt;div style="clear: both;"&gt;&lt;/div&gt;&lt;/div&gt;&lt;div&gt;&lt;h5&gt;&lt;b&gt;School &lt;/b&gt;abjuration [evil]; &lt;b&gt;Level &lt;/b&gt;antipaladin 2, cleric/oracle 2, inquisitor 2, sorcerer/wizard 2,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good&lt;/i&gt;, except you divide the duration in 1-minute intervals among the creatures touched.&lt;/p&gt;&lt;/h4&gt;&lt;/div&gt;</t>
  </si>
  <si>
    <t>As protection from good, but you may divide the duration among creatures touched.</t>
  </si>
  <si>
    <t>Protection from Law, Communal</t>
  </si>
  <si>
    <t>This spell functions like protection from law, except you divide the duration in 1-minute intervals among the creatures touched.</t>
  </si>
  <si>
    <t>&lt;p&gt;This spell functions like &lt;i&gt;protection from law&lt;/i&gt;, except you divide the duration in 1-minute intervals among the creatures touched.&lt;/p&gt;</t>
  </si>
  <si>
    <t>&lt;link rel="stylesheet"href="PF.css"&gt;&lt;div class="heading"&gt;&lt;p class="alignleft"&gt;Protection from Law, Communal&lt;/p&gt;&lt;div style="clear: both;"&gt;&lt;/div&gt;&lt;/div&gt;&lt;div&gt;&lt;h5&gt;&lt;b&gt;School &lt;/b&gt;abjuration [evil]; &lt;b&gt;Level &lt;/b&gt;antipaladin 2, cleric/oracle 2, inquisitor 2, sorcerer/wizard 2,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law&lt;/i&gt;, except you divide the duration in 1-minute intervals among the creatures touched.&lt;/p&gt;&lt;/h4&gt;&lt;/div&gt;</t>
  </si>
  <si>
    <t>As protection from law, but you may divide the duration among creatures touched.</t>
  </si>
  <si>
    <t>Pup Shape</t>
  </si>
  <si>
    <t>V, S, M (a rag doll)</t>
  </si>
  <si>
    <t>Fortitude negates (and Will special, see text)</t>
  </si>
  <si>
    <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t>
  </si>
  <si>
    <t>&lt;p&gt;You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harm.&lt;/p&gt;</t>
  </si>
  <si>
    <t>&lt;link rel="stylesheet"href="PF.css"&gt;&lt;div class="heading"&gt;&lt;p class="alignleft"&gt;Pup Shape&lt;/p&gt;&lt;div style="clear: both;"&gt;&lt;/div&gt;&lt;/div&gt;&lt;div&gt;&lt;h5&gt;&lt;b&gt;School &lt;/b&gt;transmutation (polymorph); &lt;b&gt;Level &lt;/b&gt;druid 3, sorcerer/wizard 3, witch 3&lt;/h5&gt;&lt;/div&gt;&lt;hr/&gt;&lt;div&gt;&lt;h5&gt;&lt;b&gt;CASTING&lt;/b&gt;&lt;/h5&gt;&lt;/div&gt;&lt;hr/&gt;&lt;div&gt;&lt;h5&gt;&lt;b&gt;Casting Time &lt;/b&gt;1 standard action&lt;/h5&gt;&lt;h5&gt;&lt;b&gt;Components &lt;/b&gt;V, S, M (a rag doll)&lt;/h5&gt;&lt;/div&gt;&lt;hr/&gt;&lt;div&gt;&lt;h5&gt;&lt;b&gt;EFFECT&lt;/b&gt;&lt;/h5&gt;&lt;/div&gt;&lt;hr/&gt;&lt;div&gt;&lt;h5&gt;&lt;b&gt;Range &lt;/b&gt;close (25 ft. + 5 ft./2 levels)&lt;/h5&gt;&lt;h5&gt;&lt;b&gt;Targets &lt;/b&gt;one animal&lt;/h5&gt;&lt;h5&gt;&lt;b&gt;Duration &lt;/b&gt;1 round/level&lt;/h5&gt;&lt;h5&gt;&lt;b&gt;Saving Throw &lt;/b&gt;Fortitude negates (and Will special, see text); &lt;b&gt;Spell Resistance &lt;/b&gt;yes&lt;/h5&gt;&lt;/div&gt;&lt;hr/&gt;&lt;div&gt;&lt;h5&gt;&lt;b&gt;DESCRIPTION&lt;/b&gt;&lt;/h5&gt;&lt;/div&gt;&lt;hr/&gt;&lt;div&gt;&lt;h4&gt;&lt;p&gt;You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harm.&lt;/p&gt;&lt;/h4&gt;&lt;/div&gt;</t>
  </si>
  <si>
    <t>Transforms a single animal or magical beast into a younger and cuter version of itself for a short time.</t>
  </si>
  <si>
    <t>Qualm</t>
  </si>
  <si>
    <t>bard 2, inquisitor 2, sorcerer/wizard 2, witch 2, psychic 2, mesmerist 2</t>
  </si>
  <si>
    <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t>
  </si>
  <si>
    <t>&lt;p&gt;The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spell.&lt;/p&gt;</t>
  </si>
  <si>
    <t>&lt;link rel="stylesheet"href="PF.css"&gt;&lt;div class="heading"&gt;&lt;p class="alignleft"&gt;Qualm&lt;/p&gt;&lt;div style="clear: both;"&gt;&lt;/div&gt;&lt;/div&gt;&lt;div&gt;&lt;h5&gt;&lt;b&gt;School &lt;/b&gt;enchantment (compulsion) [mind-affecting]; &lt;b&gt;Level &lt;/b&gt;bard 2, inquisitor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or until discharged&lt;/h5&gt;&lt;h5&gt;&lt;b&gt;Saving Throw &lt;/b&gt;Will negates; &lt;b&gt;Spell Resistance &lt;/b&gt;yes&lt;/h5&gt;&lt;/div&gt;&lt;hr/&gt;&lt;div&gt;&lt;h5&gt;&lt;b&gt;DESCRIPTION&lt;/b&gt;&lt;/h5&gt;&lt;/div&gt;&lt;hr/&gt;&lt;div&gt;&lt;h4&gt;&lt;p&gt;The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spell.&lt;/p&gt;&lt;/h4&gt;&lt;/div&gt;</t>
  </si>
  <si>
    <t>Redemption (2)</t>
  </si>
  <si>
    <t>Target gains penalties on ability checks, skill checks, and concentration checks until it spends an entire round doing nothing.</t>
  </si>
  <si>
    <t>Recoil Fire</t>
  </si>
  <si>
    <t>V, S, M (hoof shavings from a mule)</t>
  </si>
  <si>
    <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t>
  </si>
  <si>
    <t>&lt;p&gt;The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wasted.&lt;/p&gt;</t>
  </si>
  <si>
    <t>&lt;link rel="stylesheet"href="PF.css"&gt;&lt;div class="heading"&gt;&lt;p class="alignleft"&gt;Recoil Fire&lt;/p&gt;&lt;div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(hoof shavings from a mule)&lt;/h5&gt;&lt;/div&gt;&lt;hr/&gt;&lt;div&gt;&lt;h5&gt;&lt;b&gt;EFFECT&lt;/b&gt;&lt;/h5&gt;&lt;/div&gt;&lt;hr/&gt;&lt;div&gt;&lt;h5&gt;&lt;b&gt;Range &lt;/b&gt;close (25 ft. + 5 ft./2 levels)&lt;/h5&gt;&lt;h5&gt;&lt;b&gt;Targets &lt;/b&gt;1 firearm&lt;/h5&gt;&lt;h5&gt;&lt;b&gt;Duration &lt;/b&gt;instantaneous&lt;/h5&gt;&lt;h5&gt;&lt;b&gt;Saving Throw &lt;/b&gt;Will negates (object); &lt;b&gt;Spell Resistance &lt;/b&gt;yes (object)&lt;/h5&gt;&lt;/div&gt;&lt;hr/&gt;&lt;div&gt;&lt;h5&gt;&lt;b&gt;DESCRIPTION&lt;/b&gt;&lt;/h5&gt;&lt;/div&gt;&lt;hr/&gt;&lt;div&gt;&lt;h4&gt;&lt;p&gt;The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wasted.&lt;/p&gt;&lt;/h4&gt;&lt;/div&gt;</t>
  </si>
  <si>
    <t>Ammunition in the targeted firearm generates excessive recoil.</t>
  </si>
  <si>
    <t>Reinforce Armaments</t>
  </si>
  <si>
    <t>cleric/oracle 1, magus 1, sorcerer/wizard 1, witch 1, occultist 1</t>
  </si>
  <si>
    <t>V, S, M/DF (a metal pin)</t>
  </si>
  <si>
    <t>one armor suit or weapon touched</t>
  </si>
  <si>
    <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t>
  </si>
  <si>
    <t>&lt;p&gt;You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spell.&lt;/p&gt;</t>
  </si>
  <si>
    <t>&lt;link rel="stylesheet"href="PF.css"&gt;&lt;div class="heading"&gt;&lt;p class="alignleft"&gt;Reinforce Armaments&lt;/p&gt;&lt;div style="clear: both;"&gt;&lt;/div&gt;&lt;/div&gt;&lt;div&gt;&lt;h5&gt;&lt;b&gt;School &lt;/b&gt;transmutation; &lt;b&gt;Level &lt;/b&gt;cleric/oracle 1, magus 1, sorcerer/wizard 1, witch 1, occultist 1&lt;/h5&gt;&lt;/div&gt;&lt;hr/&gt;&lt;div&gt;&lt;h5&gt;&lt;b&gt;CASTING&lt;/b&gt;&lt;/h5&gt;&lt;/div&gt;&lt;hr/&gt;&lt;div&gt;&lt;h5&gt;&lt;b&gt;Casting Time &lt;/b&gt;1 standard action&lt;/h5&gt;&lt;h5&gt;&lt;b&gt;Components &lt;/b&gt;V, S, M/DF (a metal pin)&lt;/h5&gt;&lt;/div&gt;&lt;hr/&gt;&lt;div&gt;&lt;h5&gt;&lt;b&gt;EFFECT&lt;/b&gt;&lt;/h5&gt;&lt;/div&gt;&lt;hr/&gt;&lt;div&gt;&lt;h5&gt;&lt;b&gt;Range &lt;/b&gt;touch&lt;/h5&gt;&lt;h5&gt;&lt;b&gt;Targets &lt;/b&gt;one armor suit or weapon touched&lt;/h5&gt;&lt;h5&gt;&lt;b&gt;Duration &lt;/b&gt;10 minutes/level&lt;/h5&gt;&lt;h5&gt;&lt;b&gt;Saving Throw &lt;/b&gt;Will negates (harmless, object); &lt;b&gt;Spell Resistance &lt;/b&gt;yes (harmless, object)&lt;/h5&gt;&lt;/div&gt;&lt;hr/&gt;&lt;div&gt;&lt;h5&gt;&lt;b&gt;DESCRIPTION&lt;/b&gt;&lt;/h5&gt;&lt;/div&gt;&lt;hr/&gt;&lt;div&gt;&lt;h4&gt;&lt;p&gt;You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spell.&lt;/p&gt;&lt;/h4&gt;&lt;/div&gt;</t>
  </si>
  <si>
    <t>Temporarily mitigates the fragile quality in targeted weapon or armor.</t>
  </si>
  <si>
    <t>Reinforce Armaments, Communal</t>
  </si>
  <si>
    <t>cleric/oracle 2, magus 2, sorcerer/wizard 2, witch 2, occultist 2</t>
  </si>
  <si>
    <t>armor suits or weapons touched</t>
  </si>
  <si>
    <t>This spell functions like reinforce armaments, except you divide the duration in 10-minute intervals among the objects touched.</t>
  </si>
  <si>
    <t>&lt;p&gt;This spell functions like &lt;i&gt;reinforce armaments&lt;/i&gt;, except you divide the duration in 10-minute intervals among the objects touched.&lt;/p&gt;</t>
  </si>
  <si>
    <t>&lt;link rel="stylesheet"href="PF.css"&gt;&lt;div class="heading"&gt;&lt;p class="alignleft"&gt;Reinforce Armaments, Communal&lt;/p&gt;&lt;div style="clear: both;"&gt;&lt;/div&gt;&lt;/div&gt;&lt;div&gt;&lt;h5&gt;&lt;b&gt;School &lt;/b&gt;transmutation; &lt;b&gt;Level &lt;/b&gt;cleric/oracle 2, magus 2, sorcerer/wizard 2, witch 2, occultist 2&lt;/h5&gt;&lt;/div&gt;&lt;hr/&gt;&lt;div&gt;&lt;h5&gt;&lt;b&gt;CASTING&lt;/b&gt;&lt;/h5&gt;&lt;/div&gt;&lt;hr/&gt;&lt;div&gt;&lt;h5&gt;&lt;b&gt;Casting Time &lt;/b&gt;1 standard action&lt;/h5&gt;&lt;h5&gt;&lt;b&gt;Components &lt;/b&gt;V, S, M/DF (a metal pin)&lt;/h5&gt;&lt;/div&gt;&lt;hr/&gt;&lt;div&gt;&lt;h5&gt;&lt;b&gt;EFFECT&lt;/b&gt;&lt;/h5&gt;&lt;/div&gt;&lt;hr/&gt;&lt;div&gt;&lt;h5&gt;&lt;b&gt;Range &lt;/b&gt;touch&lt;/h5&gt;&lt;h5&gt;&lt;b&gt;Targets &lt;/b&gt;armor suits or weapons touched&lt;/h5&gt;&lt;h5&gt;&lt;b&gt;Duration &lt;/b&gt;10 minutes/level&lt;/h5&gt;&lt;h5&gt;&lt;b&gt;Saving Throw &lt;/b&gt;Will negates (harmless, object); &lt;b&gt;Spell Resistance &lt;/b&gt;yes (harmless, object)&lt;/h5&gt;&lt;/div&gt;&lt;hr/&gt;&lt;div&gt;&lt;h5&gt;&lt;b&gt;DESCRIPTION&lt;/b&gt;&lt;/h5&gt;&lt;/div&gt;&lt;hr/&gt;&lt;div&gt;&lt;h4&gt;&lt;p&gt;This spell functions like &lt;i&gt;reinforce armaments&lt;/i&gt;, except you divide the duration in 10-minute intervals among the objects touched.&lt;/p&gt;&lt;/h4&gt;&lt;/div&gt;</t>
  </si>
  <si>
    <t>As reinforce armaments, but you may divide the duration among objects touched.</t>
  </si>
  <si>
    <t>Reloading Hands</t>
  </si>
  <si>
    <t>magus 2, ranger 2, sorcerer/wizard 2</t>
  </si>
  <si>
    <t>projectile weapon touched</t>
  </si>
  <si>
    <t>1 round/caster level (D)</t>
  </si>
  <si>
    <t>Will negates (object, harmless)</t>
  </si>
  <si>
    <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t>
  </si>
  <si>
    <t>&lt;p&gt;Once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first.&lt;/p&gt;</t>
  </si>
  <si>
    <t>&lt;link rel="stylesheet"href="PF.css"&gt;&lt;div class="heading"&gt;&lt;p class="alignleft"&gt;Reloading Hands&lt;/p&gt;&lt;div style="clear: both;"&gt;&lt;/div&gt;&lt;/div&gt;&lt;div&gt;&lt;h5&gt;&lt;b&gt;School &lt;/b&gt;conjuration (creation); &lt;b&gt;Level &lt;/b&gt;magus 2, ranger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&lt;/b&gt;projectile weapon touched&lt;/h5&gt;&lt;h5&gt;&lt;b&gt;Duration &lt;/b&gt;1 round/caster level (D)&lt;/h5&gt;&lt;h5&gt;&lt;b&gt;Saving Throw &lt;/b&gt;Will negates (object, harmless); &lt;b&gt;Spell Resistance &lt;/b&gt;yes (object, harmless)&lt;/h5&gt;&lt;/div&gt;&lt;hr/&gt;&lt;div&gt;&lt;h5&gt;&lt;b&gt;DESCRIPTION&lt;/b&gt;&lt;/h5&gt;&lt;/div&gt;&lt;hr/&gt;&lt;div&gt;&lt;h4&gt;&lt;p&gt;Once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first.&lt;/p&gt;&lt;/h4&gt;&lt;/div&gt;</t>
  </si>
  <si>
    <t>Loads a single shot into your weapon every round.</t>
  </si>
  <si>
    <t>Resinous Skin</t>
  </si>
  <si>
    <t>alchemist 3, druid 3, sorcerer/wizard 3, bloodrager 3, psychic 3</t>
  </si>
  <si>
    <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t>
  </si>
  <si>
    <t>&lt;p&gt;You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weapons.&lt;/p&gt;</t>
  </si>
  <si>
    <t>&lt;link rel="stylesheet"href="PF.css"&gt;&lt;div class="heading"&gt;&lt;p class="alignleft"&gt;Resinous Skin&lt;/p&gt;&lt;div style="clear: both;"&gt;&lt;/div&gt;&lt;/div&gt;&lt;div&gt;&lt;h5&gt;&lt;b&gt;School &lt;/b&gt;transmutation; &lt;b&gt;Level &lt;/b&gt;alchemist 3, druid 3, sorcerer/wizard 3, bloodrager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minutes/level&lt;/h5&gt;&lt;h5&gt;&lt;b&gt;Saving Throw &lt;/b&gt;see text; &lt;b&gt;Spell Resistance &lt;/b&gt;no&lt;/h5&gt;&lt;/div&gt;&lt;hr/&gt;&lt;div&gt;&lt;h5&gt;&lt;b&gt;DESCRIPTION&lt;/b&gt;&lt;/h5&gt;&lt;/div&gt;&lt;hr/&gt;&lt;div&gt;&lt;h4&gt;&lt;p&gt;You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weapons.&lt;/p&gt;&lt;/h4&gt;&lt;/div&gt;</t>
  </si>
  <si>
    <t>You gain DR 5/piercing and +4 to CMD against disarm attempts.</t>
  </si>
  <si>
    <t>Resist Energy, Communal</t>
  </si>
  <si>
    <t>alchemist 3, cleric/oracle 3, druid 3, inquisitor 3, paladin 3, ranger 3, sorcerer/wizard 3, summoner 3, occultist 3, psychic 3</t>
  </si>
  <si>
    <t>This spell functions like resist energy, except you divide the duration in 10-minute intervals among the creatures touched.</t>
  </si>
  <si>
    <t>&lt;p&gt;This spell functions like &lt;i&gt;resist energy&lt;/i&gt;, except you divide the duration in 10-minute intervals among the creatures touched.&lt;/p&gt;</t>
  </si>
  <si>
    <t>&lt;link rel="stylesheet"href="PF.css"&gt;&lt;div class="heading"&gt;&lt;p class="alignleft"&gt;Resist Energy, Communal&lt;/p&gt;&lt;div style="clear: both;"&gt;&lt;/div&gt;&lt;/div&gt;&lt;div&gt;&lt;h5&gt;&lt;b&gt;School &lt;/b&gt;abjuration; &lt;b&gt;Level &lt;/b&gt;alchemist 3, cleric/oracle 3, druid 3, inquisitor 3, paladin 3, ranger 3, sorcerer/wizard 3, summoner 3, occultist 3, psychic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&lt;/b&gt;Fortitude negates (harmless); &lt;b&gt;Spell Resistance &lt;/b&gt;yes (harmless)&lt;/h5&gt;&lt;/div&gt;&lt;hr/&gt;&lt;div&gt;&lt;h5&gt;&lt;b&gt;DESCRIPTION&lt;/b&gt;&lt;/h5&gt;&lt;/div&gt;&lt;hr/&gt;&lt;div&gt;&lt;h4&gt;&lt;p&gt;This spell functions like &lt;i&gt;resist energy&lt;/i&gt;, except you divide the duration in 10-minute intervals among the creatures touched.&lt;/p&gt;&lt;/h4&gt;&lt;/div&gt;</t>
  </si>
  <si>
    <t>As resist energy, but you may divide the duration among creatures touched.</t>
  </si>
  <si>
    <t>Returning Weapon</t>
  </si>
  <si>
    <t>bard 2, cleric/oracle 2, inquisitor 1, magus 1, ranger 1, sorcerer/wizard 2, witch 2, bloodrager 1, occultist 1, psychic 2</t>
  </si>
  <si>
    <t>one weapon that can be thrown</t>
  </si>
  <si>
    <t>For the duration of the spell, the target weapon acts as if it had the returning weapon special ability (see page 471 of the Core Rulebook).  This spell can be used as the prerequisite for the returning weapon special ability.</t>
  </si>
  <si>
    <t>&lt;p&gt;For the duration of the spell, the target weapon acts as if it had the &lt;i&gt;returning&lt;/i&gt; weapon special ability (see page 471 of the &lt;i&gt;Core&lt;/i&gt; Rulebook).  This spell can be used as the prerequisite for the &lt;i&gt;returning&lt;/i&gt; weapon special ability.&lt;/p&gt;</t>
  </si>
  <si>
    <t>&lt;link rel="stylesheet"href="PF.css"&gt;&lt;div class="heading"&gt;&lt;p class="alignleft"&gt;Returning Weapon&lt;/p&gt;&lt;div style="clear: both;"&gt;&lt;/div&gt;&lt;/div&gt;&lt;div&gt;&lt;h5&gt;&lt;b&gt;School &lt;/b&gt;conjuration (teleportation); &lt;b&gt;Level &lt;/b&gt;bard 2, cleric/oracle 2, inquisitor 1, magus 1, ranger 1, sorcerer/wizard 2, witch 2, bloodrager 1, occultist 1, psychic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that can be thrown&lt;/h5&gt;&lt;h5&gt;&lt;b&gt;Duration &lt;/b&gt;1 minute/level&lt;/h5&gt;&lt;h5&gt;&lt;b&gt;Saving Throw &lt;/b&gt;Will negates (harmless, object); &lt;b&gt;Spell Resistance &lt;/b&gt;yes (harmless, object)&lt;/h5&gt;&lt;/div&gt;&lt;hr/&gt;&lt;div&gt;&lt;h5&gt;&lt;b&gt;DESCRIPTION&lt;/b&gt;&lt;/h5&gt;&lt;/div&gt;&lt;hr/&gt;&lt;div&gt;&lt;h4&gt;&lt;p&gt;For the duration of the spell, the target weapon acts as if it had the &lt;i&gt;returning&lt;/i&gt; weapon special ability (see page 471 of the &lt;i&gt;Core&lt;/i&gt; Rulebook).  This spell can be used as the prerequisite for the &lt;i&gt;returning&lt;/i&gt; weapon special ability.&lt;/p&gt;&lt;/h4&gt;&lt;/div&gt;</t>
  </si>
  <si>
    <t>Grants a weapon the returning special weapon quality.</t>
  </si>
  <si>
    <t>Returning Weapon, Communal</t>
  </si>
  <si>
    <t>bard 3, cleric/oracle 3, inquisitor 2, magus 2, ranger 2, sorcerer/wizard 3, witch 3, occultist 2, psychic 3</t>
  </si>
  <si>
    <t>weapons that can be thrown</t>
  </si>
  <si>
    <t>&lt;link rel="stylesheet"href="PF.css"&gt;&lt;div class="heading"&gt;&lt;p class="alignleft"&gt;Returning Weapon, Communal&lt;/p&gt;&lt;div style="clear: both;"&gt;&lt;/div&gt;&lt;/div&gt;&lt;div&gt;&lt;h5&gt;&lt;b&gt;School &lt;/b&gt;conjuration (teleportation); &lt;b&gt;Level &lt;/b&gt;bard 3, cleric/oracle 3, inquisitor 2, magus 2, ranger 2, sorcerer/wizard 3, witch 3, occultist 2,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&lt;/b&gt;weapons that can be thrown&lt;/h5&gt;&lt;h5&gt;&lt;b&gt;Duration &lt;/b&gt;1 minute/level&lt;/h5&gt;&lt;h5&gt;&lt;b&gt;Saving Throw &lt;/b&gt;Will negates (harmless, object); &lt;b&gt;Spell Resistance &lt;/b&gt;yes (harmless, object)&lt;/h5&gt;&lt;/div&gt;&lt;hr/&gt;&lt;div&gt;&lt;h5&gt;&lt;b&gt;DESCRIPTION&lt;/b&gt;&lt;/h5&gt;&lt;/div&gt;&lt;hr/&gt;&lt;div&gt;&lt;h4&gt;&lt;p&gt;For the duration of the spell, the target weapon acts as if it had the &lt;i&gt;returning&lt;/i&gt; weapon special ability (see page 471 of the &lt;i&gt;Core&lt;/i&gt; Rulebook).  This spell can be used as the prerequisite for the &lt;i&gt;returning&lt;/i&gt; weapon special ability.&lt;/p&gt;&lt;/h4&gt;&lt;/div&gt;</t>
  </si>
  <si>
    <t>As returning weapon, but you may divide the duration among weapons touched.</t>
  </si>
  <si>
    <t>Ricochet Shot</t>
  </si>
  <si>
    <t>V, S, M (a wishbone)</t>
  </si>
  <si>
    <t>one projectile weapon</t>
  </si>
  <si>
    <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t>
  </si>
  <si>
    <t>&lt;p&gt;You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wasted.&lt;/p&gt;</t>
  </si>
  <si>
    <t>&lt;link rel="stylesheet"href="PF.css"&gt;&lt;div class="heading"&gt;&lt;p class="alignleft"&gt;Ricochet Shot&lt;/p&gt;&lt;div style="clear: both;"&gt;&lt;/div&gt;&lt;/div&gt;&lt;div&gt;&lt;h5&gt;&lt;b&gt;School &lt;/b&gt;evocation; &lt;b&gt;Level &lt;/b&gt;ranger 2, sorcerer/wizard 2&lt;/h5&gt;&lt;/div&gt;&lt;hr/&gt;&lt;div&gt;&lt;h5&gt;&lt;b&gt;CASTING&lt;/b&gt;&lt;/h5&gt;&lt;/div&gt;&lt;hr/&gt;&lt;div&gt;&lt;h5&gt;&lt;b&gt;Casting Time &lt;/b&gt;1 standard action&lt;/h5&gt;&lt;h5&gt;&lt;b&gt;Components &lt;/b&gt;V, S, M (a wishbone)&lt;/h5&gt;&lt;/div&gt;&lt;hr/&gt;&lt;div&gt;&lt;h5&gt;&lt;b&gt;EFFECT&lt;/b&gt;&lt;/h5&gt;&lt;/div&gt;&lt;hr/&gt;&lt;div&gt;&lt;h5&gt;&lt;b&gt;Range &lt;/b&gt;close (25 ft. + 5 ft./2 levels)&lt;/h5&gt;&lt;h5&gt;&lt;b&gt;Targets &lt;/b&gt;one projectile weapon&lt;/h5&gt;&lt;h5&gt;&lt;b&gt;Duration &lt;/b&gt;1 round/level or until discharged&lt;/h5&gt;&lt;h5&gt;&lt;b&gt;Saving Throw &lt;/b&gt;Will negates (harmless, object); &lt;b&gt;Spell Resistance &lt;/b&gt;yes (harmless, object)&lt;/h5&gt;&lt;/div&gt;&lt;hr/&gt;&lt;div&gt;&lt;h5&gt;&lt;b&gt;DESCRIPTION&lt;/b&gt;&lt;/h5&gt;&lt;/div&gt;&lt;hr/&gt;&lt;div&gt;&lt;h4&gt;&lt;p&gt;You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wasted.&lt;/p&gt;&lt;/h4&gt;&lt;h5&gt;&lt;b&gt;Mythic: &lt;/b&gt;If the attack hits the secondary target, the wielder can select a tertiary target within 20 feet of the secondary target. This functions like a ricochet off the primary target. The tertiary target must be a different creature than the primary target.&lt;/h5&gt;&lt;h5&gt;&lt;b&gt;Augmented (3rd)&lt;/b&gt;: If you expend two uses of mythic power, the secondary and tertiary attacks gain the enhancement bonus and magic qualities of the attack against the primary target.&lt;/h5&gt;&lt;/div&gt;</t>
  </si>
  <si>
    <t>Imbues a projectile weapon to give its ammunition the ability to ricochet.</t>
  </si>
  <si>
    <t>If the attack hits the secondary target, the wielder can select a tertiary target within 20 feet of the secondary target. This functions like a ricochet off the primary target. The tertiary target must be a different creature than the primary target.</t>
  </si>
  <si>
    <t>Augmented (3rd): If you expend two uses of mythic power, the secondary and tertiary attacks gain the enhancement bonus and magic qualities of the attack against the primary target.</t>
  </si>
  <si>
    <t>See Alignment</t>
  </si>
  <si>
    <t>alchemist 1, bard 1, sorcerer/wizard 1, psychic 1</t>
  </si>
  <si>
    <t>V, S, M (eye of newt)</t>
  </si>
  <si>
    <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undetectable alignment, also obscure the effects of this spell.</t>
  </si>
  <si>
    <t>&lt;p&gt;When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&lt;i&gt;undetectable alignment&lt;/i&gt;, also obscure the effects of this spell.&lt;/p&gt;</t>
  </si>
  <si>
    <t>&lt;link rel="stylesheet"href="PF.css"&gt;&lt;div class="heading"&gt;&lt;p class="alignleft"&gt;See Alignment&lt;/p&gt;&lt;div style="clear: both;"&gt;&lt;/div&gt;&lt;/div&gt;&lt;div&gt;&lt;h5&gt;&lt;b&gt;School &lt;/b&gt;divination; &lt;b&gt;Level &lt;/b&gt;alchemist 1, bard 1, sorcerer/wizard 1, psychic 1&lt;/h5&gt;&lt;/div&gt;&lt;hr/&gt;&lt;div&gt;&lt;h5&gt;&lt;b&gt;CASTING&lt;/b&gt;&lt;/h5&gt;&lt;/div&gt;&lt;hr/&gt;&lt;div&gt;&lt;h5&gt;&lt;b&gt;Casting Time &lt;/b&gt;1 standard action&lt;/h5&gt;&lt;h5&gt;&lt;b&gt;Components &lt;/b&gt;V, S, M (eye of newt)&lt;/h5&gt;&lt;/div&gt;&lt;hr/&gt;&lt;div&gt;&lt;h5&gt;&lt;b&gt;EFFECT&lt;/b&gt;&lt;/h5&gt;&lt;/div&gt;&lt;hr/&gt;&lt;div&gt;&lt;h5&gt;&lt;b&gt;Range &lt;/b&gt;personal&lt;/h5&gt;&lt;h5&gt;&lt;b&gt;Targets &lt;/b&gt;you&lt;/h5&gt;&lt;h5&gt;&lt;b&gt;Duration &lt;/b&gt;1/round per level&lt;/h5&gt;&lt;/div&gt;&lt;hr/&gt;&lt;div&gt;&lt;h5&gt;&lt;b&gt;DESCRIPTION&lt;/b&gt;&lt;/h5&gt;&lt;/div&gt;&lt;hr/&gt;&lt;div&gt;&lt;h4&gt;&lt;p&gt;When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&lt;i&gt;undetectable alignment&lt;/i&gt;, also obscure the effects of this spell.&lt;/p&gt;&lt;/h4&gt;&lt;/div&gt;</t>
  </si>
  <si>
    <t>Pick an alignment; in your sight, creatures and items with that alignment emit a ghostly radiance.</t>
  </si>
  <si>
    <t>Shadow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</si>
  <si>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shadow bomb admixture.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</si>
  <si>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&lt;i&gt;shadow bomb admixture&lt;/i&gt;. This effect does not ignore spell resistance.&lt;/p&gt;</t>
  </si>
  <si>
    <t>&lt;link rel="stylesheet"href="PF.css"&gt;&lt;div class="heading"&gt;&lt;p class="alignleft"&gt;Shadow Bomb Admixture&lt;/p&gt;&lt;div style="clear: both;"&gt;&lt;/div&gt;&lt;/div&gt;&lt;div&gt;&lt;h5&gt;&lt;b&gt;School &lt;/b&gt;conjuration (creation); &lt;b&gt;Level &lt;/b&gt;alchemist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&lt;/b&gt;special, see below; &lt;b&gt;Spell Resistance &lt;/b&gt;special, see below&lt;/h5&gt;&lt;/div&gt;&lt;hr/&gt;&lt;div&gt;&lt;h5&gt;&lt;b&gt;DESCRIPTION&lt;/b&gt;&lt;/h5&gt;&lt;/div&gt;&lt;hr/&gt;&lt;div&gt;&lt;h4&gt;&lt;p&gt;Upon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&lt;i&gt;shadow bomb admixture&lt;/i&gt;. This effect does not ignore spell resistance.&lt;/p&gt;&lt;/h4&gt;&lt;/div&gt;</t>
  </si>
  <si>
    <t>Empowers bombs you throw to cover the target with a shadowy substance that grants it concealment and limits its vision.</t>
  </si>
  <si>
    <t>Share Language, Communal</t>
  </si>
  <si>
    <t>bard 2, cleric/oracle 3, druid 3, sorcerer/wizard 3, occultist 3, psychic 2, mesmerist 2</t>
  </si>
  <si>
    <t>This spell functions like share language (Advanced Player's Guide 243), except you divide the duration in 1-hour increments among the creatures touched.</t>
  </si>
  <si>
    <t>&lt;p&gt;This spell functions like &lt;i&gt;share language&lt;/i&gt; (Advanced Player's Guide 243), except you divide the duration in 1-hour increments among the creatures touched.&lt;/p&gt;</t>
  </si>
  <si>
    <t>&lt;link rel="stylesheet"href="PF.css"&gt;&lt;div class="heading"&gt;&lt;p class="alignleft"&gt;Share Language, Communal&lt;/p&gt;&lt;div style="clear: both;"&gt;&lt;/div&gt;&lt;/div&gt;&lt;div&gt;&lt;h5&gt;&lt;b&gt;School &lt;/b&gt;divination; &lt;b&gt;Level &lt;/b&gt;bard 2, cleric/oracle 3, druid 3, sorcerer/wizard 3, occultist 3, psychic 2, mesmerist 2&lt;/h5&gt;&lt;/div&gt;&lt;hr/&gt;&lt;div&gt;&lt;h5&gt;&lt;b&gt;CASTING&lt;/b&gt;&lt;/h5&gt;&lt;/div&gt;&lt;hr/&gt;&lt;div&gt;&lt;h5&gt;&lt;b&gt;Casting Time &lt;/b&gt;1 standard action&lt;/h5&gt;&lt;h5&gt;&lt;b&gt;Components &lt;/b&gt;V, S, M (a page from a dictionary)&lt;/h5&gt;&lt;/div&gt;&lt;hr/&gt;&lt;div&gt;&lt;h5&gt;&lt;b&gt;EFFECT&lt;/b&gt;&lt;/h5&gt;&lt;/div&gt;&lt;hr/&gt;&lt;div&gt;&lt;h5&gt;&lt;b&gt;Range &lt;/b&gt;touch&lt;/h5&gt;&lt;h5&gt;&lt;b&gt;Targets &lt;/b&gt;creatures touched&lt;/h5&gt;&lt;h5&gt;&lt;b&gt;Duration &lt;/b&gt;24 hours&lt;/h5&gt;&lt;h5&gt;&lt;b&gt;Saving Throw &lt;/b&gt;Will negates (harmless); &lt;b&gt;Spell Resistance &lt;/b&gt;yes (harmless)&lt;/h5&gt;&lt;/div&gt;&lt;hr/&gt;&lt;div&gt;&lt;h5&gt;&lt;b&gt;DESCRIPTION&lt;/b&gt;&lt;/h5&gt;&lt;/div&gt;&lt;hr/&gt;&lt;div&gt;&lt;h4&gt;&lt;p&gt;This spell functions like &lt;i&gt;share language&lt;/i&gt; (Advanced Player's Guide 243), except you divide the duration in 1-hour increments among the creatures touched.&lt;/p&gt;&lt;/h4&gt;&lt;/div&gt;</t>
  </si>
  <si>
    <t>As share language, but you may divide the duration among creatures touched.</t>
  </si>
  <si>
    <t>Shock Shield</t>
  </si>
  <si>
    <t>electricity, force</t>
  </si>
  <si>
    <t>alchemist 1, magus 1, sorcerer/wizard 1, bloodrager 1, occultist 1</t>
  </si>
  <si>
    <t>1 minutes/level (D)</t>
  </si>
  <si>
    <t>This spell creates an invisible shield similar to but not as strong as the shield spell. This shield hovers in front of you and negates magic missile attacks directed at you. The disk provides a +2 shield bonus to AC. This bonus applies against incorporeal touch attacks.  At any time, as a free action, you may dismiss your shield, at which point it deals 1d6 points of electrical damage to all creatures within a 5-foot burst, including you. A Reflex saving throw halves the damage.</t>
  </si>
  <si>
    <t>&lt;p&gt;This spell creates an invisible &lt;i&gt;shield&lt;/i&gt; similar to but not as strong as the &lt;i&gt;shield&lt;/i&gt; spell. This &lt;i&gt;shield&lt;/i&gt; hovers in front of you and negates &lt;i&gt;magic missile&lt;/i&gt; attacks directed at you. The disk provides a +2 &lt;i&gt;shield&lt;/i&gt; bonus to AC. This bonus applies against incorporeal touch attacks.  At any time, as a free action, you may dismiss your &lt;i&gt;shield&lt;/i&gt;, at which point it deals 1d6 points of electrical damage to all creatures within a 5-foot burst, including you. A Reflex saving throw halves the damage.&lt;/p&gt;</t>
  </si>
  <si>
    <t>&lt;link rel="stylesheet"href="PF.css"&gt;&lt;div class="heading"&gt;&lt;p class="alignleft"&gt;Shock Shield&lt;/p&gt;&lt;div style="clear: both;"&gt;&lt;/div&gt;&lt;/div&gt;&lt;div&gt;&lt;h5&gt;&lt;b&gt;School &lt;/b&gt;abjuration [electricity, force]; &lt;b&gt;Level &lt;/b&gt;alchemist 1, magus 1, sorcerer/wizard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minutes/level (D)&lt;/h5&gt;&lt;/div&gt;&lt;hr/&gt;&lt;div&gt;&lt;h5&gt;&lt;b&gt;DESCRIPTION&lt;/b&gt;&lt;/h5&gt;&lt;/div&gt;&lt;hr/&gt;&lt;div&gt;&lt;h4&gt;&lt;p&gt;This spell creates an invisible &lt;i&gt;shield&lt;/i&gt; similar to but not as strong as the &lt;i&gt;shield&lt;/i&gt; spell. This &lt;i&gt;shield&lt;/i&gt; hovers in front of you and negates &lt;i&gt;magic missile&lt;/i&gt; attacks directed at you. The disk provides a +2 &lt;i&gt;shield&lt;/i&gt; bonus to AC. This bonus applies against incorporeal touch attacks.  At any time, as a free action, you may dismiss your &lt;i&gt;shield&lt;/i&gt;, at which point it deals 1d6 points of electrical damage to all creatures within a 5-foot burst, including you. A Reflex saving throw halves the damage.&lt;/p&gt;&lt;/h4&gt;&lt;/div&gt;</t>
  </si>
  <si>
    <t>A shield of force protects you until you dismiss it in an explosion of electricity.</t>
  </si>
  <si>
    <t>Shocking Image</t>
  </si>
  <si>
    <t>bard 4, sorcerer/wizard 4, bloodrager 4, occultist 4, mesmerist 4</t>
  </si>
  <si>
    <t>This spell works like mirror image,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t>
  </si>
  <si>
    <t>&lt;p&gt;This spell works like &lt;i&gt;mirror image&lt;/i&gt;,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spell.&lt;/p&gt;</t>
  </si>
  <si>
    <t>&lt;link rel="stylesheet"href="PF.css"&gt;&lt;div class="heading"&gt;&lt;p class="alignleft"&gt;Shocking Image&lt;/p&gt;&lt;div style="clear: both;"&gt;&lt;/div&gt;&lt;/div&gt;&lt;div&gt;&lt;h5&gt;&lt;b&gt;School &lt;/b&gt;illusion (figment) [electricity]; &lt;b&gt;Level &lt;/b&gt;bard 4, sorcerer/wizard 4, bloodrager 4, occultist 4, mesmerist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&lt;/b&gt;none; &lt;b&gt;Spell Resistance &lt;/b&gt;see text&lt;/h5&gt;&lt;/div&gt;&lt;hr/&gt;&lt;div&gt;&lt;h5&gt;&lt;b&gt;DESCRIPTION&lt;/b&gt;&lt;/h5&gt;&lt;/div&gt;&lt;hr/&gt;&lt;div&gt;&lt;h4&gt;&lt;p&gt;This spell works like &lt;i&gt;mirror image&lt;/i&gt;,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spell.&lt;/p&gt;&lt;/h4&gt;&lt;/div&gt;</t>
  </si>
  <si>
    <t>As mirror image, but the duplicates emit electrical damage when destroyed.</t>
  </si>
  <si>
    <t>Siege Of Trees</t>
  </si>
  <si>
    <t>one Large plant per three caster levels</t>
  </si>
  <si>
    <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energy siege shot (see page 228) if the energy selected is fire.</t>
  </si>
  <si>
    <t>&lt;p&gt;You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&lt;i&gt;energy siege shot&lt;/i&gt; (see page 228) if the energy selected is fire.&lt;/p&gt;</t>
  </si>
  <si>
    <t>&lt;link rel="stylesheet"href="PF.css"&gt;&lt;div class="heading"&gt;&lt;p class="alignleft"&gt;Siege Of Trees&lt;/p&gt;&lt;div style="clear: both;"&gt;&lt;/div&gt;&lt;/div&gt;&lt;div&gt;&lt;h5&gt;&lt;b&gt;School &lt;/b&gt;transmutation; &lt;b&gt;Level &lt;/b&gt;druid 7&lt;/h5&gt;&lt;/div&gt;&lt;hr/&gt;&lt;div&gt;&lt;h5&gt;&lt;b&gt;CASTING&lt;/b&gt;&lt;/h5&gt;&lt;/div&gt;&lt;hr/&gt;&lt;div&gt;&lt;h5&gt;&lt;b&gt;Casting Time &lt;/b&gt;10 minutes&lt;/h5&gt;&lt;h5&gt;&lt;b&gt;Components &lt;/b&gt;V, S, DF&lt;/h5&gt;&lt;/div&gt;&lt;hr/&gt;&lt;div&gt;&lt;h5&gt;&lt;b&gt;EFFECT&lt;/b&gt;&lt;/h5&gt;&lt;/div&gt;&lt;hr/&gt;&lt;div&gt;&lt;h5&gt;&lt;b&gt;Range &lt;/b&gt;close (25 ft. + 5 ft./2 levels)&lt;/h5&gt;&lt;h5&gt;&lt;b&gt;Targets &lt;/b&gt;one Large plant per three caster levels&lt;/h5&gt;&lt;h5&gt;&lt;b&gt;Duration &lt;/b&gt;1 hour/level (D)&lt;/h5&gt;&lt;h5&gt;&lt;b&gt;Saving Throw &lt;/b&gt;none; &lt;b&gt;Spell Resistance &lt;/b&gt;no&lt;/h5&gt;&lt;/div&gt;&lt;hr/&gt;&lt;div&gt;&lt;h5&gt;&lt;b&gt;DESCRIPTION&lt;/b&gt;&lt;/h5&gt;&lt;/div&gt;&lt;hr/&gt;&lt;div&gt;&lt;h4&gt;&lt;p&gt;You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&lt;i&gt;energy siege shot&lt;/i&gt; (see page 228) if the energy selected is fire.&lt;/p&gt;&lt;/h4&gt;&lt;/div&gt;</t>
  </si>
  <si>
    <t>Transforms Large trees into arboreal catapults of the same size.</t>
  </si>
  <si>
    <t>Siege of Trees, Greater</t>
  </si>
  <si>
    <t>V,S</t>
  </si>
  <si>
    <t>one Gargantuan, Huge, or Large plant per three caster levels</t>
  </si>
  <si>
    <t>As siege of trees, but you can affect larger-sized plants. Each plant acts as a catapult of its size.</t>
  </si>
  <si>
    <t>&lt;p&gt;As &lt;i&gt;siege of trees&lt;/i&gt;, but you can affect larger-sized plants. Each plant acts as a catapult of its size.&lt;/p&gt;</t>
  </si>
  <si>
    <t>&lt;link rel="stylesheet"href="PF.css"&gt;&lt;div class="heading"&gt;&lt;p class="alignleft"&gt;Siege of Trees, Greater&lt;/p&gt;&lt;div style="clear: both;"&gt;&lt;/div&gt;&lt;/div&gt;&lt;div&gt;&lt;h5&gt;&lt;b&gt;School &lt;/b&gt;transmutation; &lt;b&gt;Level &lt;/b&gt;druid 9&lt;/h5&gt;&lt;/div&gt;&lt;hr/&gt;&lt;div&gt;&lt;h5&gt;&lt;b&gt;CASTING&lt;/b&gt;&lt;/h5&gt;&lt;/div&gt;&lt;hr/&gt;&lt;div&gt;&lt;h5&gt;&lt;b&gt;Casting Time &lt;/b&gt;10 minutes&lt;/h5&gt;&lt;h5&gt;&lt;b&gt;Components &lt;/b&gt;V,S&lt;/h5&gt;&lt;/div&gt;&lt;hr/&gt;&lt;div&gt;&lt;h5&gt;&lt;b&gt;EFFECT&lt;/b&gt;&lt;/h5&gt;&lt;/div&gt;&lt;hr/&gt;&lt;div&gt;&lt;h5&gt;&lt;b&gt;Range &lt;/b&gt;close (25 ft. + 5 ft./2 levels)&lt;/h5&gt;&lt;h5&gt;&lt;b&gt;Targets &lt;/b&gt;one Gargantuan, Huge, or Large plant per three caster levels&lt;/h5&gt;&lt;h5&gt;&lt;b&gt;Duration &lt;/b&gt;1 hour/level (D)&lt;/h5&gt;&lt;h5&gt;&lt;b&gt;Saving Throw &lt;/b&gt;none; &lt;b&gt;Spell Resistance &lt;/b&gt;no&lt;/h5&gt;&lt;/div&gt;&lt;hr/&gt;&lt;div&gt;&lt;h5&gt;&lt;b&gt;DESCRIPTION&lt;/b&gt;&lt;/h5&gt;&lt;/div&gt;&lt;hr/&gt;&lt;div&gt;&lt;h4&gt;&lt;p&gt;As &lt;i&gt;siege of trees&lt;/i&gt;, but you can affect larger-sized plants. Each plant acts as a catapult of its size.&lt;/p&gt;&lt;/h4&gt;&lt;/div&gt;</t>
  </si>
  <si>
    <t>As siege of trees, but can transform Huge and Gargantuan trees into arboreal catapults of the same size.</t>
  </si>
  <si>
    <t>Spell Immunity, Communal</t>
  </si>
  <si>
    <t>cleric/oracle 5, inquisitor 5, occultist 5, psychic 5</t>
  </si>
  <si>
    <t>This spell functions like spell immunity, except you divide the duration in 10-minute intervals among the creatures touched.</t>
  </si>
  <si>
    <t>&lt;p&gt;This spell functions like &lt;i&gt;spell immunity&lt;/i&gt;, except you divide the duration in 10-minute intervals among the creatures touched.&lt;/p&gt;</t>
  </si>
  <si>
    <t>&lt;link rel="stylesheet"href="PF.css"&gt;&lt;div class="heading"&gt;&lt;p class="alignleft"&gt;Spell Immunity, Communal&lt;/p&gt;&lt;div style="clear: both;"&gt;&lt;/div&gt;&lt;/div&gt;&lt;div&gt;&lt;h5&gt;&lt;b&gt;School &lt;/b&gt;abjuration; &lt;b&gt;Level &lt;/b&gt;cleric/oracle 5, inquisitor 5, occultist 5, psychic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&lt;i&gt;spell immunity&lt;/i&gt;, except you divide the duration in 10-minute intervals among the creatures touched.&lt;/p&gt;&lt;/h4&gt;&lt;/div&gt;</t>
  </si>
  <si>
    <t>As spell immunity, but you may divide the duration among creatures touched.</t>
  </si>
  <si>
    <t>Spell Immunity, Greater Communal</t>
  </si>
  <si>
    <t>This spell functions like greater spell immunity, except you divide the duration among the creatures in 10-minute intervals among the creatures touched.</t>
  </si>
  <si>
    <t>&lt;p&gt;This spell functions like &lt;i&gt;greater spell immunity&lt;/i&gt;, except you divide the duration among the creatures in 10-minute intervals among the creatures touched.&lt;/p&gt;</t>
  </si>
  <si>
    <t>&lt;link rel="stylesheet"href="PF.css"&gt;&lt;div class="heading"&gt;&lt;p class="alignleft"&gt;Spell Immunity, Greater Communal&lt;/p&gt;&lt;div style="clear: both;"&gt;&lt;/div&gt;&lt;/div&gt;&lt;div&gt;&lt;h5&gt;&lt;b&gt;School &lt;/b&gt;abjuration; &lt;b&gt;Level &lt;/b&gt;cleric/oracle 9, psychic 9&lt;/h5&gt;&lt;/div&gt;&lt;hr/&gt;&lt;div&gt;&lt;h5&gt;&lt;b&gt;CASTING&lt;/b&gt;&lt;/h5&gt;&lt;/div&gt;&lt;hr/&gt;&lt;div&gt;&lt;h5&gt;&lt;b&gt;Casting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&lt;i&gt;greater spell immunity&lt;/i&gt;, except you divide the duration among the creatures in 10-minute intervals among the creatures touched.&lt;/p&gt;&lt;/h4&gt;&lt;/div&gt;</t>
  </si>
  <si>
    <t>As greater spell immunity, but you may divide the duration among creatures touched.</t>
  </si>
  <si>
    <t>Spider Climb, Communal</t>
  </si>
  <si>
    <t>alchemist 3, druid 3, sorcerer/wizard 3, summoner 3, occultist 3, psychic 3</t>
  </si>
  <si>
    <t>This spell functions like spider climb, except you divide the duration in 10-minute intervals among the creatures touched.</t>
  </si>
  <si>
    <t>&lt;p&gt;This spell functions like &lt;i&gt;spider climb&lt;/i&gt;, except you divide the duration in 10-minute intervals among the creatures touched.&lt;/p&gt;</t>
  </si>
  <si>
    <t>&lt;link rel="stylesheet"href="PF.css"&gt;&lt;div class="heading"&gt;&lt;p class="alignleft"&gt;Spider Climb, Communal&lt;/p&gt;&lt;div style="clear: both;"&gt;&lt;/div&gt;&lt;/div&gt;&lt;div&gt;&lt;h5&gt;&lt;b&gt;School &lt;/b&gt;transmutation; &lt;b&gt;Level &lt;/b&gt;alchemist 3, druid 3, sorcerer/wizard 3, summoner 3, occultist 3, psychic 3&lt;/h5&gt;&lt;/div&gt;&lt;hr/&gt;&lt;div&gt;&lt;h5&gt;&lt;b&gt;CASTING&lt;/b&gt;&lt;/h5&gt;&lt;/div&gt;&lt;hr/&gt;&lt;div&gt;&lt;h5&gt;&lt;b&gt;Casting Time &lt;/b&gt;1 standard action&lt;/h5&gt;&lt;h5&gt;&lt;b&gt;Components &lt;/b&gt;V, S, M (a live spider)&lt;/h5&gt;&lt;/div&gt;&lt;hr/&gt;&lt;div&gt;&lt;h5&gt;&lt;b&gt;EFFECT&lt;/b&gt;&lt;/h5&gt;&lt;/div&gt;&lt;hr/&gt;&lt;div&gt;&lt;h5&gt;&lt;b&gt;Range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&lt;i&gt;spider climb&lt;/i&gt;, except you divide the duration in 10-minute intervals among the creatures touched.&lt;/p&gt;&lt;/h4&gt;&lt;/div&gt;</t>
  </si>
  <si>
    <t>As spider climb, but you may divide the duration among creatures touched.</t>
  </si>
  <si>
    <t>Spontaneous Immolation</t>
  </si>
  <si>
    <t>V, S, M (pinch of saltpeter)</t>
  </si>
  <si>
    <t>Fortitude half and Reflex (see description)</t>
  </si>
  <si>
    <t>You point your finger at a creature, causing it to spontaneously burst into flame. The target takes 3d6 points of fire damage and catches on fire (Pathfinder RPG Core Rulebook 444). A successful Fortitude save reduces this damage by half and prevents the target from catching on fire. Each round on your turn, a burning target can attempt a new save to extinguish the flames (DC equal to the DC of the spell); otherwise it takes another 1d6 fire damage.</t>
  </si>
  <si>
    <t>&lt;p&gt;You point your finger at a creature, causing it to spontaneously burst into flame. The target takes 3d6 points of fire damage and catches on fire (&lt;i&gt;Pathfinder RPG Core Rulebook&lt;/i&gt; 444). A successful Fortitude save reduces this damage by half and prevents the target from catching on fire. Each round on your turn, a burning target can attempt a new save to extinguish the flames (DC equal to the DC of the spell); otherwise it takes another 1d6 fire damage.&lt;/p&gt;</t>
  </si>
  <si>
    <t>&lt;link rel="stylesheet"href="PF.css"&gt;&lt;div class="heading"&gt;&lt;p class="alignleft"&gt;Spontaneous Immolation&lt;/p&gt;&lt;div style="clear: both;"&gt;&lt;/div&gt;&lt;/div&gt;&lt;div&gt;&lt;h5&gt;&lt;b&gt;School &lt;/b&gt;evocation [fire]; &lt;b&gt;Level &lt;/b&gt;sorcerer/wizard 2, psychic 2&lt;/h5&gt;&lt;/div&gt;&lt;hr/&gt;&lt;div&gt;&lt;h5&gt;&lt;b&gt;CASTING&lt;/b&gt;&lt;/h5&gt;&lt;/div&gt;&lt;hr/&gt;&lt;div&gt;&lt;h5&gt;&lt;b&gt;Casting Time &lt;/b&gt;1 standard action&lt;/h5&gt;&lt;h5&gt;&lt;b&gt;Components &lt;/b&gt;V, S, M (pinch of saltpeter)&lt;/h5&gt;&lt;/div&gt;&lt;hr/&gt;&lt;div&gt;&lt;h5&gt;&lt;b&gt;EFFECT&lt;/b&gt;&lt;/h5&gt;&lt;/div&gt;&lt;hr/&gt;&lt;div&gt;&lt;h5&gt;&lt;b&gt;Range &lt;/b&gt;medium (100 ft. + 10 ft./level)&lt;/h5&gt;&lt;h5&gt;&lt;b&gt;Targets &lt;/b&gt;one creature&lt;/h5&gt;&lt;h5&gt;&lt;b&gt;Duration &lt;/b&gt;instantaneous&lt;/h5&gt;&lt;h5&gt;&lt;b&gt;Saving Throw &lt;/b&gt;Fortitude half and Reflex (see description); &lt;b&gt;Spell Resistance &lt;/b&gt;yes&lt;/h5&gt;&lt;/div&gt;&lt;hr/&gt;&lt;div&gt;&lt;h5&gt;&lt;b&gt;DESCRIPTION&lt;/b&gt;&lt;/h5&gt;&lt;/div&gt;&lt;hr/&gt;&lt;div&gt;&lt;h4&gt;&lt;p&gt;You point your finger at a creature, causing it to spontaneously burst into flame. The target takes 3d6 points of fire damage and catches on fire (&lt;i&gt;Pathfinder RPG Core Rulebook&lt;/i&gt; 444). A successful Fortitude save reduces this damage by half and prevents the target from catching on fire. Each round on your turn, a burning target can attempt a new save to extinguish the flames (DC equal to the DC of the spell); otherwise it takes another 1d6 fire damage.&lt;/p&gt;&lt;/h4&gt;&lt;/div&gt;</t>
  </si>
  <si>
    <t>Target takes 3d6 points of fire damage and catches on fire.</t>
  </si>
  <si>
    <t>Stabilize Powder</t>
  </si>
  <si>
    <t>Ammunition currently loaded in the target firearm is less prone to misfire. Decrease the misfire range by 1 + 1 per five caster levels (maximum +5, minimum misfire 0) for the ammunition currently loaded into that firearm.</t>
  </si>
  <si>
    <t>&lt;p&gt;Ammunition currently loaded in the target firearm is less prone to misfire. Decrease the misfire range by 1 + 1 per five caster levels (maximum +5, minimum misfire 0) for the ammunition currently loaded into that firearm.&lt;/p&gt;</t>
  </si>
  <si>
    <t>&lt;link rel="stylesheet"href="PF.css"&gt;&lt;div class="heading"&gt;&lt;p class="alignleft"&gt;Stabilize Powder&lt;/p&gt;&lt;div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few drops of liquor)&lt;/h5&gt;&lt;/div&gt;&lt;hr/&gt;&lt;div&gt;&lt;h5&gt;&lt;b&gt;EFFECT&lt;/b&gt;&lt;/h5&gt;&lt;/div&gt;&lt;hr/&gt;&lt;div&gt;&lt;h5&gt;&lt;b&gt;Range &lt;/b&gt;close (25 ft. + 5 ft./2 levels)&lt;/h5&gt;&lt;h5&gt;&lt;b&gt;Targets &lt;/b&gt;1 loaded firearm&lt;/h5&gt;&lt;h5&gt;&lt;b&gt;Duration &lt;/b&gt;instantaneous&lt;/h5&gt;&lt;h5&gt;&lt;b&gt;Saving Throw &lt;/b&gt;Will negates (harmless, object); &lt;b&gt;Spell Resistance &lt;/b&gt;yes (harmless, object)&lt;/h5&gt;&lt;/div&gt;&lt;hr/&gt;&lt;div&gt;&lt;h5&gt;&lt;b&gt;DESCRIPTION&lt;/b&gt;&lt;/h5&gt;&lt;/div&gt;&lt;hr/&gt;&lt;div&gt;&lt;h4&gt;&lt;p&gt;Ammunition currently loaded in the target firearm is less prone to misfire. Decrease the misfire range by 1 + 1 per five caster levels (maximum +5, minimum misfire 0) for the ammunition currently loaded into that firearm.&lt;/p&gt;&lt;/h4&gt;&lt;/div&gt;</t>
  </si>
  <si>
    <t>Ammunition in the targeted firearm is less likely to misfire.</t>
  </si>
  <si>
    <t>Stoneskin, Communal</t>
  </si>
  <si>
    <t>alchemist 5, druid 6, inquisitor 5, sorcerer/wizard 5, summoner 4, psychic 5</t>
  </si>
  <si>
    <t>V, S, M (granite and diamond dust worth 250 gp per creature affected)</t>
  </si>
  <si>
    <t>This spell functions like stoneskin, except you divide the duration in 10 minute intervals among the creatures touched. Once the spell has prevented 10 points of damage per caster level (maximum 150 points) for a subject, the spell's effects end for that subject.</t>
  </si>
  <si>
    <t>&lt;p&gt;This spell functions like &lt;i&gt;stoneskin&lt;/i&gt;, except you divide the duration in 10 minute intervals among the creatures touched. Once the spell has prevented 10 points of damage per caster level (maximum 150 points) for a subject, the spell's effects end for that subject.&lt;/p&gt;</t>
  </si>
  <si>
    <t>&lt;link rel="stylesheet"href="PF.css"&gt;&lt;div class="heading"&gt;&lt;p class="alignleft"&gt;Stoneskin, Communal&lt;/p&gt;&lt;div style="clear: both;"&gt;&lt;/div&gt;&lt;/div&gt;&lt;div&gt;&lt;h5&gt;&lt;b&gt;School &lt;/b&gt;abjuration; &lt;b&gt;Level &lt;/b&gt;alchemist 5, druid 6, inquisitor 5, sorcerer/wizard 5, summoner 4, psychic 5&lt;/h5&gt;&lt;/div&gt;&lt;hr/&gt;&lt;div&gt;&lt;h5&gt;&lt;b&gt;CASTING&lt;/b&gt;&lt;/h5&gt;&lt;/div&gt;&lt;hr/&gt;&lt;div&gt;&lt;h5&gt;&lt;b&gt;Casting Time &lt;/b&gt;1 standard action&lt;/h5&gt;&lt;h5&gt;&lt;b&gt;Components &lt;/b&gt;V, S, M (granite and diamond dust worth 250 gp per creature affected)&lt;/h5&gt;&lt;/div&gt;&lt;hr/&gt;&lt;div&gt;&lt;h5&gt;&lt;b&gt;EFFECT&lt;/b&gt;&lt;/h5&gt;&lt;/div&gt;&lt;hr/&gt;&lt;div&gt;&lt;h5&gt;&lt;b&gt;Range &lt;/b&gt;touch&lt;/h5&gt;&lt;h5&gt;&lt;b&gt;Targets &lt;/b&gt;creatures touched&lt;/h5&gt;&lt;h5&gt;&lt;b&gt;Duration &lt;/b&gt;10 min./level or until discharged&lt;/h5&gt;&lt;h5&gt;&lt;b&gt;Saving Throw &lt;/b&gt;Will negates (harmless); &lt;b&gt;Spell Resistance &lt;/b&gt;yes (harmless)&lt;/h5&gt;&lt;/div&gt;&lt;hr/&gt;&lt;div&gt;&lt;h5&gt;&lt;b&gt;DESCRIPTION&lt;/b&gt;&lt;/h5&gt;&lt;/div&gt;&lt;hr/&gt;&lt;div&gt;&lt;h4&gt;&lt;p&gt;This spell functions like &lt;i&gt;stoneskin&lt;/i&gt;, except you divide the duration in 10 minute intervals among the creatures touched. Once the spell has prevented 10 points of damage per caster level (maximum 150 points) for a subject, the spell's effects end for that subject.&lt;/p&gt;&lt;/h4&gt;&lt;/div&gt;</t>
  </si>
  <si>
    <t>As stoneskin, but you may divide the duration among creatures touched.</t>
  </si>
  <si>
    <t>Summoner Conduit</t>
  </si>
  <si>
    <t>cleric/oracle 4, sorcerer/wizard 5, summoner 4, witch 5, occultist 4, psychic 5</t>
  </si>
  <si>
    <t>V, S, M (two flies)</t>
  </si>
  <si>
    <t>one summoned creature or eidolon</t>
  </si>
  <si>
    <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t>
  </si>
  <si>
    <t>&lt;p&gt;You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existence.&lt;/p&gt;</t>
  </si>
  <si>
    <t>&lt;link rel="stylesheet"href="PF.css"&gt;&lt;div class="heading"&gt;&lt;p class="alignleft"&gt;Summoner Conduit&lt;/p&gt;&lt;div style="clear: both;"&gt;&lt;/div&gt;&lt;/div&gt;&lt;div&gt;&lt;h5&gt;&lt;b&gt;School &lt;/b&gt;necromancy; &lt;b&gt;Level &lt;/b&gt;cleric/oracle 4, sorcerer/wizard 5, summoner 4, witch 5, occultist 4, psychic 5&lt;/h5&gt;&lt;/div&gt;&lt;hr/&gt;&lt;div&gt;&lt;h5&gt;&lt;b&gt;CASTING&lt;/b&gt;&lt;/h5&gt;&lt;/div&gt;&lt;hr/&gt;&lt;div&gt;&lt;h5&gt;&lt;b&gt;Casting Time &lt;/b&gt;1 standard action&lt;/h5&gt;&lt;h5&gt;&lt;b&gt;Components &lt;/b&gt;V, S, M (two flies)&lt;/h5&gt;&lt;/div&gt;&lt;hr/&gt;&lt;div&gt;&lt;h5&gt;&lt;b&gt;EFFECT&lt;/b&gt;&lt;/h5&gt;&lt;/div&gt;&lt;hr/&gt;&lt;div&gt;&lt;h5&gt;&lt;b&gt;Range &lt;/b&gt;close (25 ft. + 5 ft./2 levels)&lt;/h5&gt;&lt;h5&gt;&lt;b&gt;Targets &lt;/b&gt;one summoned creature or eidolon&lt;/h5&gt;&lt;h5&gt;&lt;b&gt;Duration &lt;/b&gt;1 minute/level&lt;/h5&gt;&lt;h5&gt;&lt;b&gt;Saving Throw &lt;/b&gt;Will negates; &lt;b&gt;Spell Resistance &lt;/b&gt;yes&lt;/h5&gt;&lt;/div&gt;&lt;hr/&gt;&lt;div&gt;&lt;h5&gt;&lt;b&gt;DESCRIPTION&lt;/b&gt;&lt;/h5&gt;&lt;/div&gt;&lt;hr/&gt;&lt;div&gt;&lt;h4&gt;&lt;p&gt;You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existence.&lt;/p&gt;&lt;/h4&gt;&lt;/div&gt;</t>
  </si>
  <si>
    <t>The target takes damage whenever its summoned creature does.</t>
  </si>
  <si>
    <t>Sun Metal</t>
  </si>
  <si>
    <t>cleric/oracle 1, paladin 1, ranger 1</t>
  </si>
  <si>
    <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flaming or flaming burst weapon special ability or any other effect that grants the weapon extra fire damage. It does not function on weapons with the frost or icy burst weapon special ability or any other effect that grants a weapon extra cold damage.</t>
  </si>
  <si>
    <t>&lt;p&gt;The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&lt;i&gt;flaming&lt;/i&gt; or &lt;i&gt;flaming&lt;/i&gt; burst weapon special ability or any other effect that grants the weapon extra fire damage. It does not function on weapons with the &lt;i&gt;frost&lt;/i&gt; or &lt;i&gt;icy burst&lt;/i&gt; weapon special ability or any other effect that grants a weapon extra cold damage.&lt;/p&gt;</t>
  </si>
  <si>
    <t>&lt;link rel="stylesheet"href="PF.css"&gt;&lt;div class="heading"&gt;&lt;p class="alignleft"&gt;Sun Metal&lt;/p&gt;&lt;div style="clear: both;"&gt;&lt;/div&gt;&lt;/div&gt;&lt;div&gt;&lt;h5&gt;&lt;b&gt;School &lt;/b&gt;transmutation [fire]; &lt;b&gt;Level &lt;/b&gt;cleric/oracle 1, paladin 1, ranger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melee weapon&lt;/h5&gt;&lt;h5&gt;&lt;b&gt;Duration &lt;/b&gt;1 round/level (see text)&lt;/h5&gt;&lt;h5&gt;&lt;b&gt;Saving Throw &lt;/b&gt;Fortitude negates (object); &lt;b&gt;Spell Resistance &lt;/b&gt;yes (object)&lt;/h5&gt;&lt;/div&gt;&lt;hr/&gt;&lt;div&gt;&lt;h5&gt;&lt;b&gt;DESCRIPTION&lt;/b&gt;&lt;/h5&gt;&lt;/div&gt;&lt;hr/&gt;&lt;div&gt;&lt;h4&gt;&lt;p&gt;The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&lt;i&gt;flaming&lt;/i&gt; or &lt;i&gt;flaming&lt;/i&gt; burst weapon special ability or any other effect that grants the weapon extra fire damage. It does not function on weapons with the &lt;i&gt;frost&lt;/i&gt; or &lt;i&gt;icy burst&lt;/i&gt; weapon special ability or any other effect that grants a weapon extra cold damage.&lt;/p&gt;&lt;/h4&gt;&lt;h5&gt;&lt;b&gt;Mythic: &lt;/b&gt;The additional damage dealt by the weapon increases to 1d6 points of fire damage. Any creature struck by the weapon is dazzled for 1 round (no saving throw). On a critical hit, the target is blinded for 1 round (Fortitude negates, DC equal to the DC of the spell).&lt;/h5&gt;&lt;/div&gt;</t>
  </si>
  <si>
    <t>Weapon touched bursts into flames.</t>
  </si>
  <si>
    <t>The additional damage dealt by the weapon increases to 1d6 points of fire damage. Any creature struck by the weapon is dazzled for 1 round (no saving throw). On a critical hit, the target is blinded for 1 round (Fortitude negates, DC equal to the DC of the spell).</t>
  </si>
  <si>
    <t>Symbol Of Striking</t>
  </si>
  <si>
    <t>cleric/oracle 5, magus 5, sorcerer/wizard 5, witch 5</t>
  </si>
  <si>
    <t>V, S, M (a masterwork melee weapon costing at least 300 gp)</t>
  </si>
  <si>
    <t>Will half, see text</t>
  </si>
  <si>
    <t>yes, see text</t>
  </si>
  <si>
    <t>This spell functions like symbol of death, except that using the material component, you scribe a symbol of striking so it fills a 5-foot square. Once triggered, the symbol of striking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Symbol of striking can be made permanent with a permanency spell by a caster of 13th level or higher for the cost of 10,000 gp.</t>
  </si>
  <si>
    <t>&lt;p&gt;This spell functions like &lt;i&gt;symbol of death&lt;/i&gt;, except that using the material component, you scribe a &lt;i&gt;symbol of striking&lt;/i&gt; so it fills a 5-foot square. Once triggered, the &lt;i&gt;symbol of striking&lt;/i&gt;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&lt;i&gt;Symbol of striking&lt;/i&gt; can be made permanent with a &lt;i&gt;permanency&lt;/i&gt; spell by a caster of 13th level or higher for the cost of 10,000 gp.&lt;/p&gt;</t>
  </si>
  <si>
    <t>&lt;link rel="stylesheet"href="PF.css"&gt;&lt;div class="heading"&gt;&lt;p class="alignleft"&gt;Symbol Of Striking&lt;/p&gt;&lt;div style="clear: both;"&gt;&lt;/div&gt;&lt;/div&gt;&lt;div&gt;&lt;h5&gt;&lt;b&gt;School &lt;/b&gt;illusion (shadow); &lt;b&gt;Level &lt;/b&gt;cleric/oracle 5, magus 5, sorcerer/wizard 5, witch 5&lt;/h5&gt;&lt;/div&gt;&lt;hr/&gt;&lt;div&gt;&lt;h5&gt;&lt;b&gt;CASTING&lt;/b&gt;&lt;/h5&gt;&lt;/div&gt;&lt;hr/&gt;&lt;div&gt;&lt;h5&gt;&lt;b&gt;Casting Time &lt;/b&gt;10 minutes&lt;/h5&gt;&lt;h5&gt;&lt;b&gt;Components &lt;/b&gt;V, S, M (a masterwork melee weapon costing at least 300 gp)&lt;/h5&gt;&lt;/div&gt;&lt;hr/&gt;&lt;div&gt;&lt;h5&gt;&lt;b&gt;EFFECT&lt;/b&gt;&lt;/h5&gt;&lt;/div&gt;&lt;hr/&gt;&lt;div&gt;&lt;h5&gt;&lt;b&gt;Range &lt;/b&gt;0 ft.; see text&lt;/h5&gt;&lt;h5&gt;&lt;b&gt;Effect &lt;/b&gt;one symbol&lt;/h5&gt;&lt;h5&gt;&lt;b&gt;Duration &lt;/b&gt;see text&lt;/h5&gt;&lt;h5&gt;&lt;b&gt;Saving Throw &lt;/b&gt;Will half, see text; &lt;b&gt;Spell Resistance &lt;/b&gt;yes, see text&lt;/h5&gt;&lt;/div&gt;&lt;hr/&gt;&lt;div&gt;&lt;h5&gt;&lt;b&gt;DESCRIPTION&lt;/b&gt;&lt;/h5&gt;&lt;/div&gt;&lt;hr/&gt;&lt;div&gt;&lt;h4&gt;&lt;p&gt;This spell functions like &lt;i&gt;symbol of death&lt;/i&gt;, except that using the material component, you scribe a &lt;i&gt;symbol of striking&lt;/i&gt; so it fills a 5-foot square. Once triggered, the &lt;i&gt;symbol of striking&lt;/i&gt;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&lt;i&gt;Symbol of striking&lt;/i&gt; can be made permanent with a &lt;i&gt;permanency&lt;/i&gt; spell by a caster of 13th level or higher for the cost of 10,000 gp.&lt;/p&gt;&lt;/h4&gt;&lt;/div&gt;</t>
  </si>
  <si>
    <t>As symbol of death, but fills a 5-foot square.</t>
  </si>
  <si>
    <t>Tactical Acumen</t>
  </si>
  <si>
    <t>bard 2, inquisitor 2, magus 2, paladin 1, sorcerer/wizard 2, occultist 2, psychic 2</t>
  </si>
  <si>
    <t>V, S, M/DF (a small piece of a map)</t>
  </si>
  <si>
    <t>The caster and all allies within a 30-ft.-radius burst, centered on the caster</t>
  </si>
  <si>
    <t>Tactical acumen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t>
  </si>
  <si>
    <t>&lt;p&gt;&lt;i&gt;Tactical acumen&lt;/i&gt;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+4).&lt;/p&gt;</t>
  </si>
  <si>
    <t>&lt;link rel="stylesheet"href="PF.css"&gt;&lt;div class="heading"&gt;&lt;p class="alignleft"&gt;Tactical Acumen&lt;/p&gt;&lt;div style="clear: both;"&gt;&lt;/div&gt;&lt;/div&gt;&lt;div&gt;&lt;h5&gt;&lt;b&gt;School &lt;/b&gt;enchantment (compulsion) [mind-affecting]; &lt;b&gt;Level &lt;/b&gt;bard 2, inquisitor 2, magus 2, paladin 1, sorcerer/wizard 2, occultist 2, psychic 2&lt;/h5&gt;&lt;/div&gt;&lt;hr/&gt;&lt;div&gt;&lt;h5&gt;&lt;b&gt;CASTING&lt;/b&gt;&lt;/h5&gt;&lt;/div&gt;&lt;hr/&gt;&lt;div&gt;&lt;h5&gt;&lt;b&gt;Casting Time &lt;/b&gt;1 standard action&lt;/h5&gt;&lt;h5&gt;&lt;b&gt;Components &lt;/b&gt;V, S, M/DF (a small piece of a map)&lt;/h5&gt;&lt;/div&gt;&lt;hr/&gt;&lt;div&gt;&lt;h5&gt;&lt;b&gt;EFFECT&lt;/b&gt;&lt;/h5&gt;&lt;/div&gt;&lt;hr/&gt;&lt;div&gt;&lt;h5&gt;&lt;b&gt;Range &lt;/b&gt;30 ft.&lt;/h5&gt;&lt;h5&gt;&lt;b&gt;Area &lt;/b&gt;The caster and all allies within a 30-ft.-radius burst, centered on the caster&lt;/h5&gt;&lt;h5&gt;&lt;b&gt;Duration &lt;/b&gt;1 round/level (D)&lt;/h5&gt;&lt;h5&gt;&lt;b&gt;Saving Throw &lt;/b&gt;Will negates (harmless); &lt;b&gt;Spell Resistance &lt;/b&gt;yes (harmless)&lt;/h5&gt;&lt;/div&gt;&lt;hr/&gt;&lt;div&gt;&lt;h5&gt;&lt;b&gt;DESCRIPTION&lt;/b&gt;&lt;/h5&gt;&lt;/div&gt;&lt;hr/&gt;&lt;div&gt;&lt;h4&gt;&lt;p&gt;&lt;i&gt;Tactical acumen&lt;/i&gt;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+4).&lt;/p&gt;&lt;/h4&gt;&lt;/div&gt;</t>
  </si>
  <si>
    <t>You gain an additional +1 on attack rolls or to AC due to battlefield positioning.</t>
  </si>
  <si>
    <t>Tar Pool</t>
  </si>
  <si>
    <t>druid 6, sorcerer/wizard 6, summoner 5</t>
  </si>
  <si>
    <t>V, S, M/DF (a ball of hardened tar)</t>
  </si>
  <si>
    <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t>
  </si>
  <si>
    <t>&lt;p&gt;You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appendages.&lt;/p&gt;</t>
  </si>
  <si>
    <t>&lt;link rel="stylesheet"href="PF.css"&gt;&lt;div class="heading"&gt;&lt;p class="alignleft"&gt;Tar Pool&lt;/p&gt;&lt;div style="clear: both;"&gt;&lt;/div&gt;&lt;/div&gt;&lt;div&gt;&lt;h5&gt;&lt;b&gt;School &lt;/b&gt;transmutation [earth, fire]; &lt;b&gt;Level &lt;/b&gt;druid 6, sorcerer/wizard 6, summoner 5&lt;/h5&gt;&lt;/div&gt;&lt;hr/&gt;&lt;div&gt;&lt;h5&gt;&lt;b&gt;CASTING&lt;/b&gt;&lt;/h5&gt;&lt;/div&gt;&lt;hr/&gt;&lt;div&gt;&lt;h5&gt;&lt;b&gt;Casting Time &lt;/b&gt;1 standard action&lt;/h5&gt;&lt;h5&gt;&lt;b&gt;Components &lt;/b&gt;V, S, M/DF (a ball of hardened tar)&lt;/h5&gt;&lt;/div&gt;&lt;hr/&gt;&lt;div&gt;&lt;h5&gt;&lt;b&gt;EFFECT&lt;/b&gt;&lt;/h5&gt;&lt;/div&gt;&lt;hr/&gt;&lt;div&gt;&lt;h5&gt;&lt;b&gt;Range &lt;/b&gt;close (25 ft. + 5 ft./2 levels)&lt;/h5&gt;&lt;h5&gt;&lt;b&gt;Area &lt;/b&gt;20-ft.-radius burst&lt;/h5&gt;&lt;h5&gt;&lt;b&gt;Duration &lt;/b&gt;1 round/level&lt;/h5&gt;&lt;h5&gt;&lt;b&gt;Saving Throw &lt;/b&gt;Reflex partial, see text; &lt;b&gt;Spell Resistance &lt;/b&gt;no&lt;/h5&gt;&lt;/div&gt;&lt;hr/&gt;&lt;div&gt;&lt;h5&gt;&lt;b&gt;DESCRIPTION&lt;/b&gt;&lt;/h5&gt;&lt;/div&gt;&lt;hr/&gt;&lt;div&gt;&lt;h4&gt;&lt;p&gt;You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appendages.&lt;/p&gt;&lt;/h4&gt;&lt;/div&gt;</t>
  </si>
  <si>
    <t>Converts the top layer of the ground into hot tar.</t>
  </si>
  <si>
    <t>Targeted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</si>
  <si>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</si>
  <si>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modifier.&lt;/p&gt;</t>
  </si>
  <si>
    <t>&lt;link rel="stylesheet"href="PF.css"&gt;&lt;div class="heading"&gt;&lt;p class="alignleft"&gt;Targeted Bomb Admixture&lt;/p&gt;&lt;div style="clear: both;"&gt;&lt;/div&gt;&lt;/div&gt;&lt;div&gt;&lt;h5&gt;&lt;b&gt;School &lt;/b&gt;transmutation; &lt;b&gt;Level &lt;/b&gt;alchemist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modifier.&lt;/p&gt;&lt;/h4&gt;&lt;/div&gt;</t>
  </si>
  <si>
    <t>Empowers bombs you throw to deal more damage to a single creature.</t>
  </si>
  <si>
    <t>Telekinetic Assembly</t>
  </si>
  <si>
    <t>magus 2, sorcerer/wizard 2, occultist 2, psychic 2</t>
  </si>
  <si>
    <t>Casting time 1 minute</t>
  </si>
  <si>
    <t>V, S, F (a miniature of the target siege engine, costing 10 gp)</t>
  </si>
  <si>
    <t>one disassembled siege engine</t>
  </si>
  <si>
    <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t>
  </si>
  <si>
    <t>&lt;p&gt;You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fails.&lt;/p&gt;</t>
  </si>
  <si>
    <t>&lt;link rel="stylesheet"href="PF.css"&gt;&lt;div class="heading"&gt;&lt;p class="alignleft"&gt;Telekinetic Assembly&lt;/p&gt;&lt;div style="clear: both;"&gt;&lt;/div&gt;&lt;/div&gt;&lt;div&gt;&lt;h5&gt;&lt;b&gt;School &lt;/b&gt;transmutation; &lt;b&gt;Level &lt;/b&gt;magus 2, sorcerer/wizard 2, occultist 2, psychic 2&lt;/h5&gt;&lt;/div&gt;&lt;hr/&gt;&lt;div&gt;&lt;h5&gt;&lt;b&gt;CASTING&lt;/b&gt;&lt;/h5&gt;&lt;/div&gt;&lt;hr/&gt;&lt;div&gt;&lt;h5&gt;&lt;b&gt;Casting Time &lt;/b&gt;Casting time 1 minute&lt;/h5&gt;&lt;h5&gt;&lt;b&gt;Components &lt;/b&gt;V, S, F (a miniature of the target siege engine, costing 10 gp)&lt;/h5&gt;&lt;/div&gt;&lt;hr/&gt;&lt;div&gt;&lt;h5&gt;&lt;b&gt;EFFECT&lt;/b&gt;&lt;/h5&gt;&lt;/div&gt;&lt;hr/&gt;&lt;div&gt;&lt;h5&gt;&lt;b&gt;Range &lt;/b&gt;close (25 ft + 5 ft./2 levels)&lt;/h5&gt;&lt;h5&gt;&lt;b&gt;Targets &lt;/b&gt;one disassembled siege engine&lt;/h5&gt;&lt;h5&gt;&lt;b&gt;Duration &lt;/b&gt;instantaneous&lt;/h5&gt;&lt;h5&gt;&lt;b&gt;Saving Throw &lt;/b&gt;none; &lt;b&gt;Spell Resistance &lt;/b&gt;no&lt;/h5&gt;&lt;/div&gt;&lt;hr/&gt;&lt;div&gt;&lt;h5&gt;&lt;b&gt;DESCRIPTION&lt;/b&gt;&lt;/h5&gt;&lt;/div&gt;&lt;hr/&gt;&lt;div&gt;&lt;h4&gt;&lt;p&gt;You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fails.&lt;/p&gt;&lt;/h4&gt;&lt;/div&gt;</t>
  </si>
  <si>
    <t>Assembles a siege engine using 1 fewer worker for every two caster levels.</t>
  </si>
  <si>
    <t>Telekinetic Charge</t>
  </si>
  <si>
    <t>sorcerer/wizard 4, bloodrager 4, psychic 4, spiritualist 4</t>
  </si>
  <si>
    <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t>
  </si>
  <si>
    <t>&lt;p&gt;You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roll.&lt;/p&gt;</t>
  </si>
  <si>
    <t>&lt;link rel="stylesheet"href="PF.css"&gt;&lt;div class="heading"&gt;&lt;p class="alignleft"&gt;Telekinetic Charge&lt;/p&gt;&lt;div style="clear: both;"&gt;&lt;/div&gt;&lt;/div&gt;&lt;div&gt;&lt;h5&gt;&lt;b&gt;School &lt;/b&gt;evocation [force]; &lt;b&gt;Level &lt;/b&gt;sorcerer/wizard 4, bloodrager 4, psychic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willing creature&lt;/h5&gt;&lt;h5&gt;&lt;b&gt;Duration &lt;/b&gt;instantaneous&lt;/h5&gt;&lt;h5&gt;&lt;b&gt;Saving Throw &lt;/b&gt;Will negates (harmless); &lt;b&gt;Spell Resistance &lt;/b&gt;yes (harmless)&lt;/h5&gt;&lt;/div&gt;&lt;hr/&gt;&lt;div&gt;&lt;h5&gt;&lt;b&gt;DESCRIPTION&lt;/b&gt;&lt;/h5&gt;&lt;/div&gt;&lt;hr/&gt;&lt;div&gt;&lt;h4&gt;&lt;p&gt;You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roll.&lt;/p&gt;&lt;/h4&gt;&lt;/div&gt;</t>
  </si>
  <si>
    <t>Launches an ally through the air.</t>
  </si>
  <si>
    <t>Terrain Bond</t>
  </si>
  <si>
    <t>V, S, M (a pinch of earth taken from your most favored terrain)</t>
  </si>
  <si>
    <t>1 hour/2 levels (D)</t>
  </si>
  <si>
    <t>You call upon the spirits of nature to help you adapt to your environment. You treat the terrain you are in as your most favored terrain until this spell ends.  If you do not have the favored terrain class feature, you gain no benefit from this spell.</t>
  </si>
  <si>
    <t>&lt;p&gt;You call upon the spirits of nature to help you adapt to your environment. You treat the terrain you are in as your most favored terrain until this spell ends.  If you do not have the favored terrain class feature, you gain no benefit from this spell.&lt;/p&gt;</t>
  </si>
  <si>
    <t>&lt;link rel="stylesheet"href="PF.css"&gt;&lt;div class="heading"&gt;&lt;p class="alignleft"&gt;Terrain Bond&lt;/p&gt;&lt;div style="clear: both;"&gt;&lt;/div&gt;&lt;/div&gt;&lt;div&gt;&lt;h5&gt;&lt;b&gt;School &lt;/b&gt;enchantment (compulsion) [mind-affecting]; &lt;b&gt;Level &lt;/b&gt;ranger 4&lt;/h5&gt;&lt;/div&gt;&lt;hr/&gt;&lt;div&gt;&lt;h5&gt;&lt;b&gt;CASTING&lt;/b&gt;&lt;/h5&gt;&lt;/div&gt;&lt;hr/&gt;&lt;div&gt;&lt;h5&gt;&lt;b&gt;Casting Time &lt;/b&gt;1 standard action&lt;/h5&gt;&lt;h5&gt;&lt;b&gt;Components &lt;/b&gt;V, S, M (a pinch of earth taken from your most favored terrain)&lt;/h5&gt;&lt;/div&gt;&lt;hr/&gt;&lt;div&gt;&lt;h5&gt;&lt;b&gt;EFFECT&lt;/b&gt;&lt;/h5&gt;&lt;/div&gt;&lt;hr/&gt;&lt;div&gt;&lt;h5&gt;&lt;b&gt;Range &lt;/b&gt;personal&lt;/h5&gt;&lt;h5&gt;&lt;b&gt;Targets &lt;/b&gt;you&lt;/h5&gt;&lt;h5&gt;&lt;b&gt;Duration &lt;/b&gt;1 hour/2 levels (D)&lt;/h5&gt;&lt;/div&gt;&lt;hr/&gt;&lt;div&gt;&lt;h5&gt;&lt;b&gt;DESCRIPTION&lt;/b&gt;&lt;/h5&gt;&lt;/div&gt;&lt;hr/&gt;&lt;div&gt;&lt;h4&gt;&lt;p&gt;You call upon the spirits of nature to help you adapt to your environment. You treat the terrain you are in as your most favored terrain until this spell ends.  If you do not have the favored terrain class feature, you gain no benefit from this spell.&lt;/p&gt;&lt;/h4&gt;&lt;/div&gt;</t>
  </si>
  <si>
    <t>Treat the terrain you are in as a favored terrain for the spell's duration.</t>
  </si>
  <si>
    <t>Thunder Fire</t>
  </si>
  <si>
    <t>bard 2, sorcerer/wizard 2, witch 2</t>
  </si>
  <si>
    <t>V, S, M (a piece of spent thunderstone)</t>
  </si>
  <si>
    <t>Will negates (object), see text</t>
  </si>
  <si>
    <t>yes (object), see text</t>
  </si>
  <si>
    <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t>
  </si>
  <si>
    <t>&lt;p&gt;The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wasted.&lt;/p&gt;</t>
  </si>
  <si>
    <t>&lt;link rel="stylesheet"href="PF.css"&gt;&lt;div class="heading"&gt;&lt;p class="alignleft"&gt;Thunder Fire&lt;/p&gt;&lt;div style="clear: both;"&gt;&lt;/div&gt;&lt;/div&gt;&lt;div&gt;&lt;h5&gt;&lt;b&gt;School &lt;/b&gt;transmutation; &lt;b&gt;Level &lt;/b&gt;bard 2, sorcerer/wizard 2, witch 2&lt;/h5&gt;&lt;/div&gt;&lt;hr/&gt;&lt;div&gt;&lt;h5&gt;&lt;b&gt;CASTING&lt;/b&gt;&lt;/h5&gt;&lt;/div&gt;&lt;hr/&gt;&lt;div&gt;&lt;h5&gt;&lt;b&gt;Casting Time &lt;/b&gt;1 standard action&lt;/h5&gt;&lt;h5&gt;&lt;b&gt;Components &lt;/b&gt;V, S, M (a piece of spent thunderstone)&lt;/h5&gt;&lt;/div&gt;&lt;hr/&gt;&lt;div&gt;&lt;h5&gt;&lt;b&gt;EFFECT&lt;/b&gt;&lt;/h5&gt;&lt;/div&gt;&lt;hr/&gt;&lt;div&gt;&lt;h5&gt;&lt;b&gt;Range &lt;/b&gt;close (25 ft. + 5 ft./2 levels)&lt;/h5&gt;&lt;h5&gt;&lt;b&gt;Targets &lt;/b&gt;1 loaded firearm&lt;/h5&gt;&lt;h5&gt;&lt;b&gt;Duration &lt;/b&gt;instantaneous&lt;/h5&gt;&lt;h5&gt;&lt;b&gt;Saving Throw &lt;/b&gt;Will negates (object), see text; &lt;b&gt;Spell Resistance &lt;/b&gt;yes (object), see text&lt;/h5&gt;&lt;/div&gt;&lt;hr/&gt;&lt;div&gt;&lt;h5&gt;&lt;b&gt;DESCRIPTION&lt;/b&gt;&lt;/h5&gt;&lt;/div&gt;&lt;hr/&gt;&lt;div&gt;&lt;h4&gt;&lt;p&gt;The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wasted.&lt;/p&gt;&lt;/h4&gt;&lt;/div&gt;</t>
  </si>
  <si>
    <t>Ammunition in the targeted firearm deafens opponents.</t>
  </si>
  <si>
    <t>Tongues, Communal</t>
  </si>
  <si>
    <t>alchemist 4, bard 3, cleric/oracle 5, sorcerer/wizard 4, summoner 4, witch 4, psychic 4, mesmerist 3</t>
  </si>
  <si>
    <t>This spell functions like tongues, except you divide the duration in 10-minute intervals among the creatures touched.</t>
  </si>
  <si>
    <t>&lt;p&gt;This spell functions like &lt;i&gt;tongues&lt;/i&gt;, except you divide the duration in 10-minute intervals among the creatures touched.&lt;/p&gt;</t>
  </si>
  <si>
    <t>&lt;link rel="stylesheet"href="PF.css"&gt;&lt;div class="heading"&gt;&lt;p class="alignleft"&gt;Tongues, Communal&lt;/p&gt;&lt;div style="clear: both;"&gt;&lt;/div&gt;&lt;/div&gt;&lt;div&gt;&lt;h5&gt;&lt;b&gt;School &lt;/b&gt;divination; &lt;b&gt;Level &lt;/b&gt;alchemist 4, bard 3, cleric/oracle 5, sorcerer/wizard 4, summoner 4, witch 4, psychic 4, mesmerist 3&lt;/h5&gt;&lt;/div&gt;&lt;hr/&gt;&lt;div&gt;&lt;h5&gt;&lt;b&gt;CASTING&lt;/b&gt;&lt;/h5&gt;&lt;/div&gt;&lt;hr/&gt;&lt;div&gt;&lt;h5&gt;&lt;b&gt;Casting Time &lt;/b&gt;1 standard action&lt;/h5&gt;&lt;h5&gt;&lt;b&gt;Components &lt;/b&gt;V, M/DF (a clay model of a ziggurat)&lt;/h5&gt;&lt;/div&gt;&lt;hr/&gt;&lt;div&gt;&lt;h5&gt;&lt;b&gt;EFFECT&lt;/b&gt;&lt;/h5&gt;&lt;/div&gt;&lt;hr/&gt;&lt;div&gt;&lt;h5&gt;&lt;b&gt;Range &lt;/b&gt;touch&lt;/h5&gt;&lt;h5&gt;&lt;b&gt;Targets &lt;/b&gt;creatures touched&lt;/h5&gt;&lt;h5&gt;&lt;b&gt;Duration &lt;/b&gt;10 min./level&lt;/h5&gt;&lt;h5&gt;&lt;b&gt;Saving Throw &lt;/b&gt;Will negates (harmless); &lt;b&gt;Spell Resistance &lt;/b&gt;no&lt;/h5&gt;&lt;/div&gt;&lt;hr/&gt;&lt;div&gt;&lt;h5&gt;&lt;b&gt;DESCRIPTION&lt;/b&gt;&lt;/h5&gt;&lt;/div&gt;&lt;hr/&gt;&lt;div&gt;&lt;h4&gt;&lt;p&gt;This spell functions like &lt;i&gt;tongues&lt;/i&gt;, except you divide the duration in 10-minute intervals among the creatures touched.&lt;/p&gt;&lt;/h4&gt;&lt;/div&gt;</t>
  </si>
  <si>
    <t>As tongues, but you may divide the duration among creatures touched.</t>
  </si>
  <si>
    <t>Touch Injection</t>
  </si>
  <si>
    <t>alchemist 2, sorcerer/wizard 3, psychic 3</t>
  </si>
  <si>
    <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t>
  </si>
  <si>
    <t>&lt;p&gt;You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it.&lt;/p&gt;</t>
  </si>
  <si>
    <t>&lt;link rel="stylesheet"href="PF.css"&gt;&lt;div class="heading"&gt;&lt;p class="alignleft"&gt;Touch Injection&lt;/p&gt;&lt;div style="clear: both;"&gt;&lt;/div&gt;&lt;/div&gt;&lt;div&gt;&lt;h5&gt;&lt;b&gt;School &lt;/b&gt;transmutation; &lt;b&gt;Level &lt;/b&gt;alchemist 2,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hour/level&lt;/h5&gt;&lt;h5&gt;&lt;b&gt;Saving Throw &lt;/b&gt;none; &lt;b&gt;Spell Resistance &lt;/b&gt;no&lt;/h5&gt;&lt;/div&gt;&lt;hr/&gt;&lt;div&gt;&lt;h5&gt;&lt;b&gt;DESCRIPTION&lt;/b&gt;&lt;/h5&gt;&lt;/div&gt;&lt;hr/&gt;&lt;div&gt;&lt;h4&gt;&lt;p&gt;You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it.&lt;/p&gt;&lt;/h4&gt;&lt;/div&gt;</t>
  </si>
  <si>
    <t>You can deliver an infusion, elixir, poison, or potion as a touch attack.</t>
  </si>
  <si>
    <t>Twisted Space</t>
  </si>
  <si>
    <t>magus 2, sorcerer/wizard 2, summoner 2, psychic 2</t>
  </si>
  <si>
    <t>V, S, M (a length of wire bent into a circle)</t>
  </si>
  <si>
    <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t>
  </si>
  <si>
    <t>&lt;p&gt;You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target.&lt;/p&gt;</t>
  </si>
  <si>
    <t>&lt;link rel="stylesheet"href="PF.css"&gt;&lt;div class="heading"&gt;&lt;p class="alignleft"&gt;Twisted Space&lt;/p&gt;&lt;div style="clear: both;"&gt;&lt;/div&gt;&lt;/div&gt;&lt;div&gt;&lt;h5&gt;&lt;b&gt;School &lt;/b&gt;transmutation; &lt;b&gt;Level &lt;/b&gt;magus 2, sorcerer/wizard 2, summoner 2, psychic 2&lt;/h5&gt;&lt;/div&gt;&lt;hr/&gt;&lt;div&gt;&lt;h5&gt;&lt;b&gt;CASTING&lt;/b&gt;&lt;/h5&gt;&lt;/div&gt;&lt;hr/&gt;&lt;div&gt;&lt;h5&gt;&lt;b&gt;Casting Time &lt;/b&gt;1 standard action&lt;/h5&gt;&lt;h5&gt;&lt;b&gt;Components &lt;/b&gt;V, S, M (a length of wire bent into a circle)&lt;/h5&gt;&lt;/div&gt;&lt;hr/&gt;&lt;div&gt;&lt;h5&gt;&lt;b&gt;EFFECT&lt;/b&gt;&lt;/h5&gt;&lt;/div&gt;&lt;hr/&gt;&lt;div&gt;&lt;h5&gt;&lt;b&gt;Range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target.&lt;/p&gt;&lt;/h4&gt;&lt;/div&gt;</t>
  </si>
  <si>
    <t>Targeted creature's attacks target a random square instead of the intended target.</t>
  </si>
  <si>
    <t>Unerring Weapon</t>
  </si>
  <si>
    <t>inquisitor 1, magus 1, sorcerer/wizard 1, witch 1, bloodrager 1, occultist 2, psychic 1</t>
  </si>
  <si>
    <t>one weapon or 20 projectiles, all of which must be together at the time of casting</t>
  </si>
  <si>
    <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t>
  </si>
  <si>
    <t>&lt;p&gt;This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projectiles.&lt;/p&gt;</t>
  </si>
  <si>
    <t>&lt;link rel="stylesheet"href="PF.css"&gt;&lt;div class="heading"&gt;&lt;p class="alignleft"&gt;Unerring Weapon&lt;/p&gt;&lt;div style="clear: both;"&gt;&lt;/div&gt;&lt;/div&gt;&lt;div&gt;&lt;h5&gt;&lt;b&gt;School &lt;/b&gt;transmutation; &lt;b&gt;Level &lt;/b&gt;inquisitor 1, magus 1, sorcerer/wizard 1, witch 1, bloodrager 1, occultist 2,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or 20 projectiles, all of which must be together at the time of casting&lt;/h5&gt;&lt;h5&gt;&lt;b&gt;Duration &lt;/b&gt;1 round/level&lt;/h5&gt;&lt;h5&gt;&lt;b&gt;Saving Throw &lt;/b&gt;Will negates (harmless, object); &lt;b&gt;Spell Resistance &lt;/b&gt;yes (harmless, object)&lt;/h5&gt;&lt;/div&gt;&lt;hr/&gt;&lt;div&gt;&lt;h5&gt;&lt;b&gt;DESCRIPTION&lt;/b&gt;&lt;/h5&gt;&lt;/div&gt;&lt;hr/&gt;&lt;div&gt;&lt;h4&gt;&lt;p&gt;This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projectiles.&lt;/p&gt;&lt;/h4&gt;&lt;/div&gt;</t>
  </si>
  <si>
    <t>Grants a +2 bonus, +1 per four caster levels, on attack rolls to confirm a critical hit.</t>
  </si>
  <si>
    <t>Viper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</si>
  <si>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(Pathfinder RPG Bestiary 255). Hit or miss, the conjured vipers disappear after they make the attack. The conjured snakes are not damaged or adversely affected by the bombs you throw.</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</si>
  <si>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(&lt;i&gt;Pathfinder RPG Bestiary&lt;/i&gt; 255). Hit or miss, the conjured vipers disappear after they make the attack. The conjured snakes are not damaged or adversely affected by the bombs you throw.&lt;/p&gt;</t>
  </si>
  <si>
    <t>&lt;link rel="stylesheet"href="PF.css"&gt;&lt;div class="heading"&gt;&lt;p class="alignleft"&gt;Viper Bomb Admixture&lt;/p&gt;&lt;div style="clear: both;"&gt;&lt;/div&gt;&lt;/div&gt;&lt;div&gt;&lt;h5&gt;&lt;b&gt;School &lt;/b&gt;conjuration (creation); &lt;b&gt;Level &lt;/b&gt;alchemist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(&lt;i&gt;Pathfinder RPG Bestiary&lt;/i&gt; 255). Hit or miss, the conjured vipers disappear after they make the attack. The conjured snakes are not damaged or adversely affected by the bombs you throw.&lt;/p&gt;&lt;/h4&gt;&lt;/div&gt;</t>
  </si>
  <si>
    <t>Empowers bombs you throw to summon poisonous biting vipers that bite those hit or splashed by the bomb.</t>
  </si>
  <si>
    <t>Walk Through Space</t>
  </si>
  <si>
    <t>alchemist 6, magus 6, sorcerer/wizard 7, summoner 6, witch 7, psychic 7</t>
  </si>
  <si>
    <t>V, S, M (a wren's egg)</t>
  </si>
  <si>
    <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t>
  </si>
  <si>
    <t>&lt;p&gt;When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opportunity.&lt;/p&gt;</t>
  </si>
  <si>
    <t>&lt;link rel="stylesheet"href="PF.css"&gt;&lt;div class="heading"&gt;&lt;p class="alignleft"&gt;Walk Through Space&lt;/p&gt;&lt;div style="clear: both;"&gt;&lt;/div&gt;&lt;/div&gt;&lt;div&gt;&lt;h5&gt;&lt;b&gt;School &lt;/b&gt;conjuration (teleportation); &lt;b&gt;Level &lt;/b&gt;alchemist 6, magus 6, sorcerer/wizard 7, summoner 6, witch 7, psychic 7&lt;/h5&gt;&lt;/div&gt;&lt;hr/&gt;&lt;div&gt;&lt;h5&gt;&lt;b&gt;CASTING&lt;/b&gt;&lt;/h5&gt;&lt;/div&gt;&lt;hr/&gt;&lt;div&gt;&lt;h5&gt;&lt;b&gt;Casting Time &lt;/b&gt;1 standard action&lt;/h5&gt;&lt;h5&gt;&lt;b&gt;Components &lt;/b&gt;V, S, M (a wren's egg)&lt;/h5&gt;&lt;/div&gt;&lt;hr/&gt;&lt;div&gt;&lt;h5&gt;&lt;b&gt;EFFECT&lt;/b&gt;&lt;/h5&gt;&lt;/div&gt;&lt;hr/&gt;&lt;div&gt;&lt;h5&gt;&lt;b&gt;Range &lt;/b&gt;personal&lt;/h5&gt;&lt;h5&gt;&lt;b&gt;Targets &lt;/b&gt;you&lt;/h5&gt;&lt;h5&gt;&lt;b&gt;Duration &lt;/b&gt;1 round/level&lt;/h5&gt;&lt;/div&gt;&lt;hr/&gt;&lt;div&gt;&lt;h5&gt;&lt;b&gt;DESCRIPTION&lt;/b&gt;&lt;/h5&gt;&lt;/div&gt;&lt;hr/&gt;&lt;div&gt;&lt;h4&gt;&lt;p&gt;When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opportunity.&lt;/p&gt;&lt;/h4&gt;&lt;/div&gt;</t>
  </si>
  <si>
    <t>You can spend a move action to teleport 30 feet or to stand while prone without provoking attacks of opportunity.</t>
  </si>
  <si>
    <t>Warding Weapon</t>
  </si>
  <si>
    <t>magus 1, sorcerer/wizard 2, summoner 2, bloodrager 1, occultist 1, psychic 2</t>
  </si>
  <si>
    <t>V, S, F (one melee weapon you are proficient in and you are holding)</t>
  </si>
  <si>
    <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(Core Rulebook 122) can easily bypass this spell's defenses. You provoke attacks of opportunity for casting spells against these creatures even when subject to this spell, though you can still choose to cast defensively.</t>
  </si>
  <si>
    <t>&lt;p&gt;The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(&lt;i&gt;Core Rulebook&lt;/i&gt; 122) can easily bypass this spell's defenses. You provoke attacks of opportunity for casting spells against these creatures even when subject to this spell, though you can still choose to cast defensively.&lt;/p&gt;</t>
  </si>
  <si>
    <t>&lt;link rel="stylesheet"href="PF.css"&gt;&lt;div class="heading"&gt;&lt;p class="alignleft"&gt;Warding Weapon&lt;/p&gt;&lt;div style="clear: both;"&gt;&lt;/div&gt;&lt;/div&gt;&lt;div&gt;&lt;h5&gt;&lt;b&gt;School &lt;/b&gt;abjuration; &lt;b&gt;Level &lt;/b&gt;magus 1, sorcerer/wizard 2, summoner 2, bloodrager 1, occultist 1, psychic 2&lt;/h5&gt;&lt;/div&gt;&lt;hr/&gt;&lt;div&gt;&lt;h5&gt;&lt;b&gt;CASTING&lt;/b&gt;&lt;/h5&gt;&lt;/div&gt;&lt;hr/&gt;&lt;div&gt;&lt;h5&gt;&lt;b&gt;Casting Time &lt;/b&gt;1 standard action&lt;/h5&gt;&lt;h5&gt;&lt;b&gt;Components &lt;/b&gt;V, S, F (one melee weapon you are proficient in and you are holding)&lt;/h5&gt;&lt;/div&gt;&lt;hr/&gt;&lt;div&gt;&lt;h5&gt;&lt;b&gt;EFFECT&lt;/b&gt;&lt;/h5&gt;&lt;/div&gt;&lt;hr/&gt;&lt;div&gt;&lt;h5&gt;&lt;b&gt;Range &lt;/b&gt;personal&lt;/h5&gt;&lt;h5&gt;&lt;b&gt;Targets &lt;/b&gt;you&lt;/h5&gt;&lt;h5&gt;&lt;b&gt;Duration &lt;/b&gt;1 round/level&lt;/h5&gt;&lt;/div&gt;&lt;hr/&gt;&lt;div&gt;&lt;h5&gt;&lt;b&gt;DESCRIPTION&lt;/b&gt;&lt;/h5&gt;&lt;/div&gt;&lt;hr/&gt;&lt;div&gt;&lt;h4&gt;&lt;p&gt;The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(&lt;i&gt;Core Rulebook&lt;/i&gt; 122) can easily bypass this spell's defenses. You provoke attacks of opportunity for casting spells against these creatures even when subject to this spell, though you can still choose to cast defensively.&lt;/p&gt;&lt;/h4&gt;&lt;/div&gt;</t>
  </si>
  <si>
    <t>Duels (2)</t>
  </si>
  <si>
    <t>The weapon you use for the focus of this spell defends you, allowing you to cast spells without provoking attacks of opportunity.</t>
  </si>
  <si>
    <t>Water Walk, Communal</t>
  </si>
  <si>
    <t>cleric/oracle 2, ranger 2, psychic 4</t>
  </si>
  <si>
    <t>This spell functions like water walk, except you divide the duration in 10-minute intervals among the creatures touched.</t>
  </si>
  <si>
    <t>&lt;p&gt;This spell functions like &lt;i&gt;water walk&lt;/i&gt;, except you divide the duration in 10-minute intervals among the creatures touched.&lt;/p&gt;</t>
  </si>
  <si>
    <t>&lt;link rel="stylesheet"href="PF.css"&gt;&lt;div class="heading"&gt;&lt;p class="alignleft"&gt;Water Walk, Communal&lt;/p&gt;&lt;div style="clear: both;"&gt;&lt;/div&gt;&lt;/div&gt;&lt;div&gt;&lt;h5&gt;&lt;b&gt;School &lt;/b&gt;transmutation [water]; &lt;b&gt;Level &lt;/b&gt;cleric/oracle 2, ranger 2,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 (D)&lt;/h5&gt;&lt;h5&gt;&lt;b&gt;Saving Throw &lt;/b&gt;Will negates (harmless); &lt;b&gt;Spell Resistance &lt;/b&gt;yes (harmless)&lt;/h5&gt;&lt;/div&gt;&lt;hr/&gt;&lt;div&gt;&lt;h5&gt;&lt;b&gt;DESCRIPTION&lt;/b&gt;&lt;/h5&gt;&lt;/div&gt;&lt;hr/&gt;&lt;div&gt;&lt;h4&gt;&lt;p&gt;This spell functions like &lt;i&gt;water walk&lt;/i&gt;, except you divide the duration in 10-minute intervals among the creatures touched.&lt;/p&gt;&lt;/h4&gt;&lt;/div&gt;</t>
  </si>
  <si>
    <t>As water walk, but you may divide the duration among creatures touched.</t>
  </si>
  <si>
    <t>Weaken Powder</t>
  </si>
  <si>
    <t>V, S, M/DF (an empty paper cartridge)</t>
  </si>
  <si>
    <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</si>
  <si>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</si>
  <si>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class="alignleft"&gt;Weaken Powder&lt;/p&gt;&lt;div style="clear: both;"&gt;&lt;/div&gt;&lt;/div&gt;&lt;div&gt;&lt;h5&gt;&lt;b&gt;School &lt;/b&gt;transmutation; &lt;b&gt;Level &lt;/b&gt;druid 1, sorcerer/wizard 1, witch 1&lt;/h5&gt;&lt;/div&gt;&lt;hr/&gt;&lt;div&gt;&lt;h5&gt;&lt;b&gt;CASTING&lt;/b&gt;&lt;/h5&gt;&lt;/div&gt;&lt;hr/&gt;&lt;div&gt;&lt;h5&gt;&lt;b&gt;Casting Time &lt;/b&gt;1 standard action&lt;/h5&gt;&lt;h5&gt;&lt;b&gt;Components &lt;/b&gt;V, S, M/DF (an empty paper cartridge)&lt;/h5&gt;&lt;/div&gt;&lt;hr/&gt;&lt;div&gt;&lt;h5&gt;&lt;b&gt;EFFECT&lt;/b&gt;&lt;/h5&gt;&lt;/div&gt;&lt;hr/&gt;&lt;div&gt;&lt;h5&gt;&lt;b&gt;Range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ammunition.&lt;/p&gt;&lt;/h4&gt;&lt;/div&gt;</t>
  </si>
  <si>
    <t>Targeted firearm's ammunition halves the firearm's range and imposes a –2 penalty on damage rolls.</t>
  </si>
  <si>
    <t>Wilderness Soldiers</t>
  </si>
  <si>
    <t>30-ft.-radius emanation, centered on you</t>
  </si>
  <si>
    <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wilderness soldiers never provoke attacks of opportunity, and they do not count as allies for flanking or other purposes.  Tree: A tree makes a melee attack with a 10-foot reach from its trunk. A hit deals an amount of damage equal to 1d8 points + your Wisdom modifier. The tree can instead attempt a bull rush, drag, or reposition combat maneuver with the same reach, but the tree cannot move itself.  Undergrowth or Hedgerow: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t>
  </si>
  <si>
    <t>&lt;p&gt;You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&lt;i&gt;wilderness soldiers&lt;/i&gt; never provoke attacks of opportunity, and they do not count as allies for flanking or other purposes.  &lt;br&gt;&lt;i&gt;Tree&lt;/i&gt;: A tree makes a melee attack with a 10-foot reach from its trunk. A hit deals an amount of damage equal to 1d8 points + your Wisdom modifier. The tree can instead attempt a bull rush, drag, or reposition combat maneuver with the same reach, but the tree cannot move itself.  &lt;br&gt;&lt;i&gt;Undergrowth or Hedgerow&lt;/i&gt;: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opponent.&lt;/p&gt;</t>
  </si>
  <si>
    <t>&lt;link rel="stylesheet"href="PF.css"&gt;&lt;div class="heading"&gt;&lt;p class="alignleft"&gt;Wilderness Soldiers&lt;/p&gt;&lt;div style="clear: both;"&gt;&lt;/div&gt;&lt;/div&gt;&lt;div&gt;&lt;h5&gt;&lt;b&gt;School &lt;/b&gt;transmutation; &lt;b&gt;Level &lt;/b&gt;druid 2, ranger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 centered on you&lt;/h5&gt;&lt;h5&gt;&lt;b&gt;Duration &lt;/b&gt;1 round/level&lt;/h5&gt;&lt;h5&gt;&lt;b&gt;Saving Throw &lt;/b&gt;none; &lt;b&gt;Spell Resistance &lt;/b&gt;no&lt;/h5&gt;&lt;/div&gt;&lt;hr/&gt;&lt;div&gt;&lt;h5&gt;&lt;b&gt;DESCRIPTION&lt;/b&gt;&lt;/h5&gt;&lt;/div&gt;&lt;hr/&gt;&lt;div&gt;&lt;h4&gt;&lt;p&gt;You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&lt;i&gt;wilderness soldiers&lt;/i&gt; never provoke attacks of opportunity, and they do not count as allies for flanking or other purposes.  &lt;br&gt;&lt;i&gt;Tree&lt;/i&gt;: A tree makes a melee attack with a 10-foot reach from its trunk. A hit deals an amount of damage equal to 1d8 points + your Wisdom modifier. The tree can instead attempt a bull rush, drag, or reposition combat maneuver with the same reach, but the tree cannot move itself.  &lt;br&gt;&lt;i&gt;Undergrowth or Hedgerow&lt;/i&gt;: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opponent.&lt;/p&gt;&lt;/h4&gt;&lt;/div&gt;</t>
  </si>
  <si>
    <t>Nearby plants aid you in combat.</t>
  </si>
  <si>
    <t>Wreath of Blades</t>
  </si>
  <si>
    <t>magus 4, sorcerer/wizard 5, summoner 5, witch 5, bloodrager 4, occultist 4, psychic 5</t>
  </si>
  <si>
    <t>V, S, F (four mithral daggers, each worth at least 502 gp each)</t>
  </si>
  <si>
    <t>5-foot-radius emanation centered on you</t>
  </si>
  <si>
    <t>Reflex half (special, see below)</t>
  </si>
  <si>
    <t>no (special, see below)</t>
  </si>
  <si>
    <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warding weapon spell (see page 48). While subject to this spell, you do not provoke attacks of opportunity for casting spells, even from creatures with the Disruptive feat. Creatures with the Spellbreaker feat (Core Rulebook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+1 frost mithral daggers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t>
  </si>
  <si>
    <t>&lt;p&gt;The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&lt;i&gt;warding weapon&lt;/i&gt; spell (see page 48). While subject to this spell, you do not provoke attacks of opportunity for casting spells, even from creatures with the Disruptive feat. Creatures with the Spellbreaker feat (&lt;i&gt;Core Rulebook&lt;/i&gt;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&lt;i&gt;+1 frost mithral daggers&lt;/i&gt;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spell.&lt;/p&gt;</t>
  </si>
  <si>
    <t>&lt;link rel="stylesheet"href="PF.css"&gt;&lt;div class="heading"&gt;&lt;p class="alignleft"&gt;Wreath of Blades&lt;/p&gt;&lt;div style="clear: both;"&gt;&lt;/div&gt;&lt;/div&gt;&lt;div&gt;&lt;h5&gt;&lt;b&gt;School &lt;/b&gt;abjuration; &lt;b&gt;Level &lt;/b&gt;magus 4, sorcerer/wizard 5, summoner 5, witch 5, bloodrager 4, occultist 4, psychic 5&lt;/h5&gt;&lt;/div&gt;&lt;hr/&gt;&lt;div&gt;&lt;h5&gt;&lt;b&gt;CASTING&lt;/b&gt;&lt;/h5&gt;&lt;/div&gt;&lt;hr/&gt;&lt;div&gt;&lt;h5&gt;&lt;b&gt;Casting Time &lt;/b&gt;1 standard action&lt;/h5&gt;&lt;h5&gt;&lt;b&gt;Components &lt;/b&gt;V, S, F (four mithral daggers, each worth at least 502 gp each)&lt;/h5&gt;&lt;/div&gt;&lt;hr/&gt;&lt;div&gt;&lt;h5&gt;&lt;b&gt;EFFECT&lt;/b&gt;&lt;/h5&gt;&lt;/div&gt;&lt;hr/&gt;&lt;div&gt;&lt;h5&gt;&lt;b&gt;Range &lt;/b&gt;personal&lt;/h5&gt;&lt;h5&gt;&lt;b&gt;Area &lt;/b&gt;5-foot-radius emanation centered on you&lt;/h5&gt;&lt;h5&gt;&lt;b&gt;Targets &lt;/b&gt;you&lt;/h5&gt;&lt;h5&gt;&lt;b&gt;Duration &lt;/b&gt;1 round/level&lt;/h5&gt;&lt;h5&gt;&lt;b&gt;Saving Throw &lt;/b&gt;Reflex half (special, see below); &lt;b&gt;Spell Resistance &lt;/b&gt;no (special, see below)&lt;/h5&gt;&lt;/div&gt;&lt;hr/&gt;&lt;div&gt;&lt;h5&gt;&lt;b&gt;DESCRIPTION&lt;/b&gt;&lt;/h5&gt;&lt;/div&gt;&lt;hr/&gt;&lt;div&gt;&lt;h4&gt;&lt;p&gt;The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&lt;i&gt;warding weapon&lt;/i&gt; spell (see page 48). While subject to this spell, you do not provoke attacks of opportunity for casting spells, even from creatures with the Disruptive feat. Creatures with the Spellbreaker feat (&lt;i&gt;Core Rulebook&lt;/i&gt;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&lt;i&gt;+1 frost mithral daggers&lt;/i&gt;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spell.&lt;/p&gt;&lt;/h4&gt;&lt;/div&gt;</t>
  </si>
  <si>
    <t>Four mithral daggers speed around you, attacking nearby creatures and protecting your spellcasting from attacks of opportunity.</t>
  </si>
  <si>
    <t>Aspect of the Nightingale</t>
  </si>
  <si>
    <t>bard 1, cleric/oracle 1, druid 1, paladin 1, ranger 1</t>
  </si>
  <si>
    <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t>
  </si>
  <si>
    <t>&lt;p&gt;You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result.&lt;/p&gt;</t>
  </si>
  <si>
    <t>AP 50</t>
  </si>
  <si>
    <t>&lt;link rel="stylesheet"href="PF.css"&gt;&lt;div class="heading"&gt;&lt;p class="alignleft"&gt;Aspect of the Nightingale&lt;/p&gt;&lt;div style="clear: both;"&gt;&lt;/div&gt;&lt;/div&gt;&lt;div&gt;&lt;h5&gt;&lt;b&gt;School &lt;/b&gt;transmutation (polymorph); &lt;b&gt;Level &lt;/b&gt;bard 1, cleric/oracle 1, druid 1, paladin 1, ranger 1 (Shelyn)&lt;/h5&gt;&lt;/div&gt;&lt;hr/&gt;&lt;div&gt;&lt;h5&gt;&lt;b&gt;CASTING&lt;/b&gt;&lt;/h5&gt;&lt;/div&gt;&lt;hr/&gt;&lt;div&gt;&lt;h5&gt;&lt;b&gt;Casting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result.&lt;/p&gt;&lt;/h4&gt;&lt;/div&gt;</t>
  </si>
  <si>
    <t>Vampiric Hunger</t>
  </si>
  <si>
    <t>antipaladin 3, cleric/oracle 3, druid 3, sorcerer/wizard 3, witch 3</t>
  </si>
  <si>
    <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t>
  </si>
  <si>
    <t>&lt;p&gt;The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duration.&lt;/p&gt;</t>
  </si>
  <si>
    <t>Faiths Of Corruption</t>
  </si>
  <si>
    <t>&lt;link rel="stylesheet"href="PF.css"&gt;&lt;div class="heading"&gt;&lt;p class="alignleft"&gt;Vampiric Hunger&lt;/p&gt;&lt;div style="clear: both;"&gt;&lt;/div&gt;&lt;/div&gt;&lt;div&gt;&lt;h5&gt;&lt;b&gt;School &lt;/b&gt;necromancy (polymorph) [evil]; &lt;b&gt;Level &lt;/b&gt;antipaladin 3, cleric/oracle 3, druid 3, sorcerer/wizard 3, witch 3 (Urgathoa)&lt;/h5&gt;&lt;/div&gt;&lt;hr/&gt;&lt;div&gt;&lt;h5&gt;&lt;b&gt;CASTING&lt;/b&gt;&lt;/h5&gt;&lt;/div&gt;&lt;hr/&gt;&lt;div&gt;&lt;h5&gt;&lt;b&gt;Casting Time &lt;/b&gt;1 round&lt;/h5&gt;&lt;h5&gt;&lt;b&gt;Components &lt;/b&gt;V, S&lt;/h5&gt;&lt;/div&gt;&lt;hr/&gt;&lt;div&gt;&lt;h5&gt;&lt;b&gt;EFFECT&lt;/b&gt;&lt;/h5&gt;&lt;/div&gt;&lt;hr/&gt;&lt;div&gt;&lt;h5&gt;&lt;b&gt;Range &lt;/b&gt;touch&lt;/h5&gt;&lt;h5&gt;&lt;b&gt;Targets &lt;/b&gt;one creature&lt;/h5&gt;&lt;h5&gt;&lt;b&gt;Duration &lt;/b&gt;1 minute/level&lt;/h5&gt;&lt;h5&gt;&lt;b&gt;Saving Throw &lt;/b&gt;Will negates; &lt;b&gt;Spell Resistance &lt;/b&gt;yes&lt;/h5&gt;&lt;/div&gt;&lt;hr/&gt;&lt;div&gt;&lt;h5&gt;&lt;b&gt;DESCRIPTION&lt;/b&gt;&lt;/h5&gt;&lt;/div&gt;&lt;hr/&gt;&lt;div&gt;&lt;h4&gt;&lt;p&gt;The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duration.&lt;/p&gt;&lt;/h4&gt;&lt;/div&gt;</t>
  </si>
  <si>
    <t>Urgathoa</t>
  </si>
  <si>
    <t>Awaken the Devoured</t>
  </si>
  <si>
    <t>cleric/oracle 5, inquisitor 4, sorcerer/wizard 5, witch 5</t>
  </si>
  <si>
    <t>one daemon</t>
  </si>
  <si>
    <t>instantaneous and 1 round/level</t>
  </si>
  <si>
    <t>You awaken the broken, anguished memories of the countless souls that the target daemon has consumed. These fragmented memories haunt and afflict the daemon, dealing 1d8 points of nonlethal damage per caster level (maximum 15d8) and making it confused for 1 round/level. A successful Will save halves the damage and negates the confusion effect.</t>
  </si>
  <si>
    <t>&lt;p&gt;You awaken the broken, anguished memories of the countless souls that the target daemon has consumed. These fragmented memories haunt and afflict the daemon, dealing 1d8 points of nonlethal damage per caster level (maximum 15d8) and making it confused for 1 round/level. A successful Will save halves the damage and negates the confusion effect.&lt;/p&gt;</t>
  </si>
  <si>
    <t>Horsemen Of The Apocalypse</t>
  </si>
  <si>
    <t>&lt;link rel="stylesheet"href="PF.css"&gt;&lt;div class="heading"&gt;&lt;p class="alignleft"&gt;Awaken the Devoured&lt;/p&gt;&lt;div style="clear: both;"&gt;&lt;/div&gt;&lt;/div&gt;&lt;div&gt;&lt;h5&gt;&lt;b&gt;School &lt;/b&gt;divination [pain]; &lt;b&gt;Level &lt;/b&gt;cleric/oracle 5, inquisitor 4, sorcerer/wizard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daemon&lt;/h5&gt;&lt;h5&gt;&lt;b&gt;Duration &lt;/b&gt;instantaneous and 1 round/level&lt;/h5&gt;&lt;h5&gt;&lt;b&gt;Saving Throw &lt;/b&gt;Will partial (see text); &lt;b&gt;Spell Resistance &lt;/b&gt;Yes&lt;/h5&gt;&lt;/div&gt;&lt;hr/&gt;&lt;div&gt;&lt;h5&gt;&lt;b&gt;DESCRIPTION&lt;/b&gt;&lt;/h5&gt;&lt;/div&gt;&lt;hr/&gt;&lt;div&gt;&lt;h4&gt;&lt;p&gt;You awaken the broken, anguished memories of the countless souls that the target daemon has consumed. These fragmented memories haunt and afflict the daemon, dealing 1d8 points of nonlethal damage per caster level (maximum 15d8) and making it confused for 1 round/level. A successful Will save halves the damage and negates the confusion effect.&lt;/p&gt;&lt;/h4&gt;&lt;/div&gt;</t>
  </si>
  <si>
    <t>Charon's Dispensation</t>
  </si>
  <si>
    <t>cleric/oracle 4, inquisitor 4, sorcerer/wizard 4, witch 4</t>
  </si>
  <si>
    <t>V, S, M (2 silver coins)</t>
  </si>
  <si>
    <t>The target of this spell gains immunity to the harmful effects of touching or drinking from the River Styx, including its poison, memory-stealing, and soul-leaching powers. This does not grant the target the ability to breathe water, nor does it grant any protection against creatures or mundane hazards such as rapids.</t>
  </si>
  <si>
    <t>&lt;p&gt;The target of this spell gains immunity to the harmful effects of touching or drinking from the River Styx, including its poison, memory-stealing, and soul-leaching powers. This does not grant the target the ability to breathe water, nor does it grant any protection against creatures or mundane hazards such as rapids.&lt;/p&gt;</t>
  </si>
  <si>
    <t>&lt;link rel="stylesheet"href="PF.css"&gt;&lt;div class="heading"&gt;&lt;p class="alignleft"&gt;Charon's Dispensation&lt;/p&gt;&lt;div style="clear: both;"&gt;&lt;/div&gt;&lt;/div&gt;&lt;div&gt;&lt;h5&gt;&lt;b&gt;School &lt;/b&gt;abjuration; &lt;b&gt;Level &lt;/b&gt;cleric/oracle 4, inquisitor 4, sorcerer/wizard 4, witch 4&lt;/h5&gt;&lt;/div&gt;&lt;hr/&gt;&lt;div&gt;&lt;h5&gt;&lt;b&gt;CASTING&lt;/b&gt;&lt;/h5&gt;&lt;/div&gt;&lt;hr/&gt;&lt;div&gt;&lt;h5&gt;&lt;b&gt;Casting Time &lt;/b&gt;1 standard action&lt;/h5&gt;&lt;h5&gt;&lt;b&gt;Components &lt;/b&gt;V, S, M (2 silver coins)&lt;/h5&gt;&lt;/div&gt;&lt;hr/&gt;&lt;div&gt;&lt;h5&gt;&lt;b&gt;EFFECT&lt;/b&gt;&lt;/h5&gt;&lt;/div&gt;&lt;hr/&gt;&lt;div&gt;&lt;h5&gt;&lt;b&gt;Range &lt;/b&gt;close (25 ft. + 5 ft./2 levels)&lt;/h5&gt;&lt;h5&gt;&lt;b&gt;Targets &lt;/b&gt;one creature/level&lt;/h5&gt;&lt;h5&gt;&lt;b&gt;Duration &lt;/b&gt;1 minute/level&lt;/h5&gt;&lt;h5&gt;&lt;b&gt;Saving Throw &lt;/b&gt;Will negates (harmless); &lt;b&gt;Spell Resistance &lt;/b&gt;yes (harmless)&lt;/h5&gt;&lt;/div&gt;&lt;hr/&gt;&lt;div&gt;&lt;h5&gt;&lt;b&gt;DESCRIPTION&lt;/b&gt;&lt;/h5&gt;&lt;/div&gt;&lt;hr/&gt;&lt;div&gt;&lt;h4&gt;&lt;p&gt;The target of this spell gains immunity to the harmful effects of touching or drinking from the River Styx, including its poison, memory-stealing, and soul-leaching powers. This does not grant the target the ability to breathe water, nor does it grant any protection against creatures or mundane hazards such as rapids.&lt;/p&gt;&lt;/h4&gt;&lt;/div&gt;</t>
  </si>
  <si>
    <t>Create Soul Gem</t>
  </si>
  <si>
    <t>cleric/oracle 3, sorcerer/wizard 3, witch 3</t>
  </si>
  <si>
    <t>V, S, F (crystal or gem receptacle worth at least 25 gp)</t>
  </si>
  <si>
    <t>one dying or recently dead creature</t>
  </si>
  <si>
    <t>You draw forth the ebbing life force of a dying creature or one that has died in the past round, forcing it into a crystal or gem receptacle and creating a soul gem. If the creature is alive and  fails its saving throw, it dies and you capture its soul in the gem. If the creature is dead, you automatically capture the soul. The value of the soul gem depends on the nature of the creature it is made from (see The Soul Trade on page 30).  If you are a souldrinker (see page 34), you may cast this spell and expend 5 soul points to fill the gem with the equivalent of one basic soul.  Only one soul gem can be created from a particular dying creature. Any attempt to resurrect a body whose soul is trapped in a soul gem requires a caster check against a DC of 11 + your caster level at the time you cast this spell. Failure results in the spell having no effect, while success shatters the target's soul gem and returns the creature to life as normal. If the soul gem resides in an unholy location, such as that created by the unhallow spell, the DC of this check increases by +2.</t>
  </si>
  <si>
    <t>&lt;p&gt;You draw forth the ebbing life force of a dying creature or one that has died in the past round, forcing it into a crystal or gem receptacle and creating a &lt;i&gt;soul gem&lt;/i&gt;. If the creature is alive and  fails its saving throw, it dies and you capture its soul in the gem. If the creature is dead, you automatically capture the soul. The value of the &lt;i&gt;soul gem&lt;/i&gt; depends on the nature of the creature it is made from (see The Soul Trade on page 30).  If you are a souldrinker (see page 34), you may cast this spell and expend 5 soul points to fill the gem with the equivalent of one basic soul.  Only one &lt;i&gt;soul gem&lt;/i&gt; can be created from a particular dying creature. Any attempt to resurrect a body whose soul is trapped in a &lt;i&gt;soul gem&lt;/i&gt; requires a caster check against a DC of 11 + your caster level at the time you cast this spell. Failure results in the spell having no effect, while success shatters the target's &lt;i&gt;soul gem&lt;/i&gt; and returns the creature to life as normal. If the &lt;i&gt;soul gem&lt;/i&gt; resides in an unholy location, such as that created by the &lt;i&gt;unhallow&lt;/i&gt; spell, the DC of this check increases by +2.&lt;/p&gt;</t>
  </si>
  <si>
    <t>&lt;link rel="stylesheet"href="PF.css"&gt;&lt;div class="heading"&gt;&lt;p class="alignleft"&gt;Create Soul Gem&lt;/p&gt;&lt;div style="clear: both;"&gt;&lt;/div&gt;&lt;/div&gt;&lt;div&gt;&lt;h5&gt;&lt;b&gt;School &lt;/b&gt;necromancy [death, evil]; &lt;b&gt;Level &lt;/b&gt;cleric/oracle 3, sorcerer/wizard 3, witch 3&lt;/h5&gt;&lt;/div&gt;&lt;hr/&gt;&lt;div&gt;&lt;h5&gt;&lt;b&gt;CASTING&lt;/b&gt;&lt;/h5&gt;&lt;/div&gt;&lt;hr/&gt;&lt;div&gt;&lt;h5&gt;&lt;b&gt;Casting Time &lt;/b&gt;1 round&lt;/h5&gt;&lt;h5&gt;&lt;b&gt;Components &lt;/b&gt;V, S, F (crystal or gem receptacle worth at least 25 gp)&lt;/h5&gt;&lt;/div&gt;&lt;hr/&gt;&lt;div&gt;&lt;h5&gt;&lt;b&gt;EFFECT&lt;/b&gt;&lt;/h5&gt;&lt;/div&gt;&lt;hr/&gt;&lt;div&gt;&lt;h5&gt;&lt;b&gt;Range &lt;/b&gt;close (25 ft. + 5 ft./2 levels)&lt;/h5&gt;&lt;h5&gt;&lt;b&gt;Targets &lt;/b&gt;one dying or recently dead creature&lt;/h5&gt;&lt;h5&gt;&lt;b&gt;Duration &lt;/b&gt;instantaneous&lt;/h5&gt;&lt;h5&gt;&lt;b&gt;Saving Throw &lt;/b&gt;Will negates; &lt;b&gt;Spell Resistance &lt;/b&gt;yes&lt;/h5&gt;&lt;/div&gt;&lt;hr/&gt;&lt;div&gt;&lt;h5&gt;&lt;b&gt;DESCRIPTION&lt;/b&gt;&lt;/h5&gt;&lt;/div&gt;&lt;hr/&gt;&lt;div&gt;&lt;h4&gt;&lt;p&gt;You draw forth the ebbing life force of a dying creature or one that has died in the past round, forcing it into a crystal or gem receptacle and creating a &lt;i&gt;soul gem&lt;/i&gt;. If the creature is alive and  fails its saving throw, it dies and you capture its soul in the gem. If the creature is dead, you automatically capture the soul. The value of the &lt;i&gt;soul gem&lt;/i&gt; depends on the nature of the creature it is made from (see The Soul Trade on page 30).  If you are a souldrinker (see page 34), you may cast this spell and expend 5 soul points to fill the gem with the equivalent of one basic soul.  Only one &lt;i&gt;soul gem&lt;/i&gt; can be created from a particular dying creature. Any attempt to resurrect a body whose soul is trapped in a &lt;i&gt;soul gem&lt;/i&gt; requires a caster check against a DC of 11 + your caster level at the time you cast this spell. Failure results in the spell having no effect, while success shatters the target's &lt;i&gt;soul gem&lt;/i&gt; and returns the creature to life as normal. If the &lt;i&gt;soul gem&lt;/i&gt; resides in an unholy location, such as that created by the &lt;i&gt;unhallow&lt;/i&gt; spell, the DC of this check increases by +2.&lt;/p&gt;&lt;/h4&gt;&lt;/div&gt;</t>
  </si>
  <si>
    <t>Daemon Ward</t>
  </si>
  <si>
    <t>cleric/oracle 4, druid 5, paladin 4, sorcerer/wizard 4, witch 4</t>
  </si>
  <si>
    <t>V, S, M (50 gp worth of powdered silver)</t>
  </si>
  <si>
    <t>This spell functions like death ward, except as noted above and it only protects against these attacks from daemons.</t>
  </si>
  <si>
    <t>&lt;p&gt;This spell functions like &lt;i&gt;death ward&lt;/i&gt;, except as noted above and it only protects against these attacks from daemons.&lt;/p&gt;</t>
  </si>
  <si>
    <t>&lt;link rel="stylesheet"href="PF.css"&gt;&lt;div class="heading"&gt;&lt;p class="alignleft"&gt;Daemon Ward&lt;/p&gt;&lt;div style="clear: both;"&gt;&lt;/div&gt;&lt;/div&gt;&lt;div&gt;&lt;h5&gt;&lt;b&gt;School &lt;/b&gt;necromancy; &lt;b&gt;Level &lt;/b&gt;cleric/oracle 4, druid 5, paladin 4, sorcerer/wizard 4, witch 4&lt;/h5&gt;&lt;/div&gt;&lt;hr/&gt;&lt;div&gt;&lt;h5&gt;&lt;b&gt;CASTING&lt;/b&gt;&lt;/h5&gt;&lt;/div&gt;&lt;hr/&gt;&lt;div&gt;&lt;h5&gt;&lt;b&gt;Casting Time &lt;/b&gt;1 standard action&lt;/h5&gt;&lt;h5&gt;&lt;b&gt;Components &lt;/b&gt;V, S, M (50 gp worth of powdered silver)&lt;/h5&gt;&lt;/div&gt;&lt;hr/&gt;&lt;div&gt;&lt;h5&gt;&lt;b&gt;EFFECT&lt;/b&gt;&lt;/h5&gt;&lt;/div&gt;&lt;hr/&gt;&lt;div&gt;&lt;h5&gt;&lt;b&gt;Range &lt;/b&gt;touch&lt;/h5&gt;&lt;h5&gt;&lt;b&gt;Targets &lt;/b&gt;living creature touched&lt;/h5&gt;&lt;h5&gt;&lt;b&gt;Duration &lt;/b&gt;1 min./level&lt;/h5&gt;&lt;h5&gt;&lt;b&gt;Saving Throw &lt;/b&gt;Will negates (harmless); &lt;b&gt;Spell Resistance &lt;/b&gt;yes (harmless)&lt;/h5&gt;&lt;/div&gt;&lt;hr/&gt;&lt;div&gt;&lt;h5&gt;&lt;b&gt;DESCRIPTION&lt;/b&gt;&lt;/h5&gt;&lt;/div&gt;&lt;hr/&gt;&lt;div&gt;&lt;h4&gt;&lt;p&gt;This spell functions like &lt;i&gt;death ward&lt;/i&gt;, except as noted above and it only protects against these attacks from daemons.&lt;/p&gt;&lt;/h4&gt;&lt;/div&gt;</t>
  </si>
  <si>
    <t>Death Knell Aura</t>
  </si>
  <si>
    <t>20-ft.-radius emanation, centered on you</t>
  </si>
  <si>
    <t>You gain a shimmering gray aura that feeds on the souls of creatures who die within it. The aura sheds light as a candle. If a creature at -1 or fewer hit points is within the aura at the start of its turn, it must save or die, granting you the benefits of death knell.</t>
  </si>
  <si>
    <t>&lt;p&gt;You gain a shimmering gray aura that feeds on the souls of creatures who die within it. The aura sheds light as a candle. If a creature at -1 or fewer hit points is within the aura at the start of its turn, it must save or die, granting you the benefits of &lt;i&gt;death knell&lt;/i&gt;.&lt;/p&gt;</t>
  </si>
  <si>
    <t>&lt;link rel="stylesheet"href="PF.css"&gt;&lt;div class="heading"&gt;&lt;p class="alignleft"&gt;Death Knell Aura&lt;/p&gt;&lt;div style="clear: both;"&gt;&lt;/div&gt;&lt;/div&gt;&lt;div&gt;&lt;h5&gt;&lt;b&gt;School &lt;/b&gt;necromancy [death, evil]; &lt;b&gt;Level &lt;/b&gt;cleric/oracle 4, inquisitor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emanation, centered on you&lt;/h5&gt;&lt;h5&gt;&lt;b&gt;Duration &lt;/b&gt;1 round/level (D)&lt;/h5&gt;&lt;h5&gt;&lt;b&gt;Saving Throw &lt;/b&gt;Will negates; &lt;b&gt;Spell Resistance &lt;/b&gt;yes&lt;/h5&gt;&lt;/div&gt;&lt;hr/&gt;&lt;div&gt;&lt;h5&gt;&lt;b&gt;DESCRIPTION&lt;/b&gt;&lt;/h5&gt;&lt;/div&gt;&lt;hr/&gt;&lt;div&gt;&lt;h4&gt;&lt;p&gt;You gain a shimmering gray aura that feeds on the souls of creatures who die within it. The aura sheds light as a candle. If a creature at -1 or fewer hit points is within the aura at the start of its turn, it must save or die, granting you the benefits of &lt;i&gt;death knell&lt;/i&gt;.&lt;/p&gt;&lt;/h4&gt;&lt;/div&gt;</t>
  </si>
  <si>
    <t>Death Knell Aura, Greater</t>
  </si>
  <si>
    <t>cleric/oracle 6, inquisitor 6, sorcerer/wizard 6, witch 6</t>
  </si>
  <si>
    <t>This spell functions as death knell aura, except a dying creature in the area cannot stabilize on its own and automatically takes 1 point of bleed damage on its turn each round. An incorporeal undead or living spirit traveling outside the body (such as a person using astral projection or magic jar) within the aura at the start of its turn takes 1d8 points of damage.</t>
  </si>
  <si>
    <t>&lt;p&gt;This spell functions as &lt;i&gt;death knell aura&lt;/i&gt;, except a dying creature in the area cannot stabilize on its own and automatically takes 1 point of bleed damage on its turn each round. An incorporeal undead or living spirit traveling outside the body (such as a person using &lt;i&gt;astral projection&lt;/i&gt; or &lt;i&gt;magic&lt;/i&gt; jar) within the aura at the start of its turn takes 1d8 points of damage.&lt;/p&gt;</t>
  </si>
  <si>
    <t>&lt;link rel="stylesheet"href="PF.css"&gt;&lt;div class="heading"&gt;&lt;p class="alignleft"&gt;Death Knell Aura, Greater&lt;/p&gt;&lt;div style="clear: both;"&gt;&lt;/div&gt;&lt;/div&gt;&lt;div&gt;&lt;h5&gt;&lt;b&gt;School &lt;/b&gt;necromancy [death, evil]; &lt;b&gt;Level &lt;/b&gt;cleric/oracle 6, inquisitor 6, sorcerer/wizard 6, witch 6&lt;/h5&gt;&lt;/div&gt;&lt;hr/&gt;&lt;div&gt;&lt;h5&gt;&lt;b&gt;CASTING&lt;/b&gt;&lt;/h5&gt;&lt;/div&gt;&lt;hr/&gt;&lt;div&gt;&lt;h5&gt;&lt;b&gt;Casting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emanation, centered on you&lt;/h5&gt;&lt;h5&gt;&lt;b&gt;Duration &lt;/b&gt;1 round/level (D)&lt;/h5&gt;&lt;h5&gt;&lt;b&gt;Saving Throw &lt;/b&gt;Will negates; &lt;b&gt;Spell Resistance &lt;/b&gt;yes&lt;/h5&gt;&lt;/div&gt;&lt;hr/&gt;&lt;div&gt;&lt;h5&gt;&lt;b&gt;DESCRIPTION&lt;/b&gt;&lt;/h5&gt;&lt;/div&gt;&lt;hr/&gt;&lt;div&gt;&lt;h4&gt;&lt;p&gt;This spell functions as &lt;i&gt;death knell aura&lt;/i&gt;, except a dying creature in the area cannot stabilize on its own and automatically takes 1 point of bleed damage on its turn each round. An incorporeal undead or living spirit traveling outside the body (such as a person using &lt;i&gt;astral projection&lt;/i&gt; or &lt;i&gt;magic&lt;/i&gt; jar) within the aura at the start of its turn takes 1d8 points of damage.&lt;/p&gt;&lt;/h4&gt;&lt;/div&gt;</t>
  </si>
  <si>
    <t>Lash of the Astradaemon</t>
  </si>
  <si>
    <t>cleric/oracle 6, magus 5, sorcerer/wizard 6, witch 6</t>
  </si>
  <si>
    <t>Drawing on the essence of astradaemons, your hands elongate and sprout fearsome, translucent claws that radiate a cold phosphorescent light, giving you two claw attacks per round (1d6 each if you are Medium creature, or 1d4 if you are Small). Each hit with a claw bestows 1 negative level on your target, and you gain 5 temporary hit points for 1 hour. The DC to overcome these negative levels is equal to the DC of this spell. The claws do not interfere with your ability to cast spells or perform other actions that require hands.</t>
  </si>
  <si>
    <t>&lt;p&gt;Drawing on the essence of astradaemons, your hands elongate and sprout fearsome, translucent claws that radiate a cold phosphorescent light, giving you two claw attacks per round (1d6 each if you are Medium creature, or 1d4 if you are Small). Each hit with a claw bestows 1 negative level on your target, and you gain 5 temporary hit points for 1 hour. The DC to overcome these negative levels is equal to the DC of this spell. The claws do not interfere with your ability to cast spells or perform other actions that require hands.&lt;/p&gt;</t>
  </si>
  <si>
    <t>&lt;link rel="stylesheet"href="PF.css"&gt;&lt;div class="heading"&gt;&lt;p class="alignleft"&gt;Lash of the Astradaemon&lt;/p&gt;&lt;div style="clear: both;"&gt;&lt;/div&gt;&lt;/div&gt;&lt;div&gt;&lt;h5&gt;&lt;b&gt;School &lt;/b&gt;necromancy [evil]; &lt;b&gt;Level &lt;/b&gt;cleric/oracle 6, magus 5, sorcerer/wizard 6, witch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round/level&lt;/h5&gt;&lt;/div&gt;&lt;hr/&gt;&lt;div&gt;&lt;h5&gt;&lt;b&gt;DESCRIPTION&lt;/b&gt;&lt;/h5&gt;&lt;/div&gt;&lt;hr/&gt;&lt;div&gt;&lt;h4&gt;&lt;p&gt;Drawing on the essence of astradaemons, your hands elongate and sprout fearsome, translucent claws that radiate a cold phosphorescent light, giving you two claw attacks per round (1d6 each if you are Medium creature, or 1d4 if you are Small). Each hit with a claw bestows 1 negative level on your target, and you gain 5 temporary hit points for 1 hour. The DC to overcome these negative levels is equal to the DC of this spell. The claws do not interfere with your ability to cast spells or perform other actions that require hands.&lt;/p&gt;&lt;/h4&gt;&lt;/div&gt;</t>
  </si>
  <si>
    <t>Parasitic Soul</t>
  </si>
  <si>
    <t>This spell functions like magic jar except as noted above, and instead of your own soul, you may transfer a trapped soul (such as one trapped with soul bind or trap the soul) from the receptacle into an unwilling target's body. If the target creature fails its saving throw, it dies, and the trapped soul in the receptacle inhabits the body as if using magic jar. The trapped soul does not get a saving throw to resist this transfer. To dismiss the spell, you must be within range of the possessed body.</t>
  </si>
  <si>
    <t>&lt;p&gt;This spell functions like &lt;i&gt;magic jar&lt;/i&gt; except as noted above, and instead of your own soul, you may transfer a trapped soul (such as one trapped with &lt;i&gt;soul bind&lt;/i&gt; or &lt;i&gt;trap the&lt;/i&gt; soul) from the receptacle into an unwilling target's body. If the target creature fails its saving throw, it dies, and the trapped soul in the receptacle inhabits the body as if using &lt;i&gt;magic jar&lt;/i&gt;. The trapped soul does not get a saving throw to resist this transfer. To dismiss the spell, you must be within range of the possessed body.&lt;/p&gt;</t>
  </si>
  <si>
    <t>&lt;link rel="stylesheet"href="PF.css"&gt;&lt;div class="heading"&gt;&lt;p class="alignleft"&gt;Parasitic Soul&lt;/p&gt;&lt;div style="clear: both;"&gt;&lt;/div&gt;&lt;/div&gt;&lt;div&gt;&lt;h5&gt;&lt;b&gt;School &lt;/b&gt;necromancy [death, evil]; &lt;b&gt;Level &lt;/b&gt;cleric/oracle 9, sorcerer/wizard 9, witch 9&lt;/h5&gt;&lt;/div&gt;&lt;hr/&gt;&lt;div&gt;&lt;h5&gt;&lt;b&gt;CASTING&lt;/b&gt;&lt;/h5&gt;&lt;/div&gt;&lt;hr/&gt;&lt;div&gt;&lt;h5&gt;&lt;b&gt;Casting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creature&lt;/h5&gt;&lt;h5&gt;&lt;b&gt;Duration &lt;/b&gt;permanent (D)&lt;/h5&gt;&lt;h5&gt;&lt;b&gt;Saving Throw &lt;/b&gt;Will negates; &lt;b&gt;Spell Resistance &lt;/b&gt;yes&lt;/h5&gt;&lt;/div&gt;&lt;hr/&gt;&lt;div&gt;&lt;h5&gt;&lt;b&gt;DESCRIPTION&lt;/b&gt;&lt;/h5&gt;&lt;/div&gt;&lt;hr/&gt;&lt;div&gt;&lt;h4&gt;&lt;p&gt;This spell functions like &lt;i&gt;magic jar&lt;/i&gt; except as noted above, and instead of your own soul, you may transfer a trapped soul (such as one trapped with &lt;i&gt;soul bind&lt;/i&gt; or &lt;i&gt;trap the&lt;/i&gt; soul) from the receptacle into an unwilling target's body. If the target creature fails its saving throw, it dies, and the trapped soul in the receptacle inhabits the body as if using &lt;i&gt;magic jar&lt;/i&gt;. The trapped soul does not get a saving throw to resist this transfer. To dismiss the spell, you must be within range of the possessed body.&lt;/p&gt;&lt;/h4&gt;&lt;/div&gt;</t>
  </si>
  <si>
    <t>Scourge of the Horsemen</t>
  </si>
  <si>
    <t>acid, evil</t>
  </si>
  <si>
    <t>30-ft. burst</t>
  </si>
  <si>
    <t>This spell blasts the area with a horrific combination of soul-rending energy and physical corrosion. Creatures in the area of effect gain 1d4 negative levels, and take 1d6 points of acid damage per caster level (maximum 20d6).</t>
  </si>
  <si>
    <t>&lt;p&gt;This spell blasts the area with a horrific combination of soul-rending energy and physical corrosion. Creatures in the area of effect gain 1d4 negative levels, and take 1d6 points of acid damage per caster level (maximum 20d6).&lt;/p&gt;</t>
  </si>
  <si>
    <t>&lt;link rel="stylesheet"href="PF.css"&gt;&lt;div class="heading"&gt;&lt;p class="alignleft"&gt;Scourge of the Horsemen&lt;/p&gt;&lt;div style="clear: both;"&gt;&lt;/div&gt;&lt;/div&gt;&lt;div&gt;&lt;h5&gt;&lt;b&gt;School &lt;/b&gt;necromancy [acid, evil]; &lt;b&gt;Level &lt;/b&gt;cleric/oracle 9, sorcerer/wizard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&lt;/b&gt;30-ft. burst&lt;/h5&gt;&lt;h5&gt;&lt;b&gt;Duration &lt;/b&gt;instantaneous&lt;/h5&gt;&lt;h5&gt;&lt;b&gt;Saving Throw &lt;/b&gt;Fortitude half; &lt;b&gt;Spell Resistance &lt;/b&gt;yes&lt;/h5&gt;&lt;/div&gt;&lt;hr/&gt;&lt;div&gt;&lt;h5&gt;&lt;b&gt;DESCRIPTION&lt;/b&gt;&lt;/h5&gt;&lt;/div&gt;&lt;hr/&gt;&lt;div&gt;&lt;h4&gt;&lt;p&gt;This spell blasts the area with a horrific combination of soul-rending energy and physical corrosion. Creatures in the area of effect gain 1d4 negative levels, and take 1d6 points of acid damage per caster level (maximum 20d6).&lt;/p&gt;&lt;/h4&gt;&lt;/div&gt;</t>
  </si>
  <si>
    <t>Soul Transfer</t>
  </si>
  <si>
    <t>cleric/oracle 7, sorcerer/wizard 7, witch 7</t>
  </si>
  <si>
    <t>one petitioner, incorporeal soul, or similar creature</t>
  </si>
  <si>
    <t>This spell functions like the spell completion option of trap the soul, except it only works on bodiless souls (such as incorporeal undead or a soul trapped in a gem) or creatures whose substance is a physical incarnation of a soul (such as a petitioner), but not on creatures formed from souls and planar material (such as most outsiders). It is mainly used to transfer souls from one receptacle to another, but may also be used to capture vulnerable souls that aren't bound to mortal flesh (such as incorporeal creatures and petitioners).</t>
  </si>
  <si>
    <t>&lt;p&gt;This spell functions like the spell completion option of &lt;i&gt;trap the soul&lt;/i&gt;, except it only works on bodiless souls (such as incorporeal undead or a soul trapped in a gem) or creatures whose substance is a physical incarnation of a soul (such as a petitioner), but not on creatures formed from souls and planar material (such as most outsiders). It is mainly used to transfer souls from one receptacle to another, but may also be used to capture vulnerable souls that aren't bound to mortal flesh (such as incorporeal creatures and petitioners).&lt;/p&gt;</t>
  </si>
  <si>
    <t>&lt;link rel="stylesheet"href="PF.css"&gt;&lt;div class="heading"&gt;&lt;p class="alignleft"&gt;Soul Transfer&lt;/p&gt;&lt;div style="clear: both;"&gt;&lt;/div&gt;&lt;/div&gt;&lt;div&gt;&lt;h5&gt;&lt;b&gt;School &lt;/b&gt;conjuration (summoning); &lt;b&gt;Level &lt;/b&gt;cleric/oracle 7, sorcerer/wizard 7, witch 7&lt;/h5&gt;&lt;/div&gt;&lt;hr/&gt;&lt;div&gt;&lt;h5&gt;&lt;b&gt;CASTING&lt;/b&gt;&lt;/h5&gt;&lt;/div&gt;&lt;hr/&gt;&lt;div&gt;&lt;h5&gt;&lt;b&gt;Casting Time &lt;/b&gt;1 standard action or see text&lt;/h5&gt;&lt;h5&gt;&lt;b&gt;Components &lt;/b&gt;V, S, M (gem worth 1,000 gp per HD of the trapped creature)&lt;/h5&gt;&lt;/div&gt;&lt;hr/&gt;&lt;div&gt;&lt;h5&gt;&lt;b&gt;EFFECT&lt;/b&gt;&lt;/h5&gt;&lt;/div&gt;&lt;hr/&gt;&lt;div&gt;&lt;h5&gt;&lt;b&gt;Range &lt;/b&gt;close (25 ft. + 5 ft./2 levels)&lt;/h5&gt;&lt;h5&gt;&lt;b&gt;Targets &lt;/b&gt;one petitioner, incorporeal soul, or similar creature&lt;/h5&gt;&lt;h5&gt;&lt;b&gt;Duration &lt;/b&gt;permanent; see text&lt;/h5&gt;&lt;h5&gt;&lt;b&gt;Saving Throw &lt;/b&gt;Will negates; &lt;b&gt;Spell Resistance &lt;/b&gt;yes; see text&lt;/h5&gt;&lt;/div&gt;&lt;hr/&gt;&lt;div&gt;&lt;h5&gt;&lt;b&gt;DESCRIPTION&lt;/b&gt;&lt;/h5&gt;&lt;/div&gt;&lt;hr/&gt;&lt;div&gt;&lt;h4&gt;&lt;p&gt;This spell functions like the spell completion option of &lt;i&gt;trap the soul&lt;/i&gt;, except it only works on bodiless souls (such as incorporeal undead or a soul trapped in a gem) or creatures whose substance is a physical incarnation of a soul (such as a petitioner), but not on creatures formed from souls and planar material (such as most outsiders). It is mainly used to transfer souls from one receptacle to another, but may also be used to capture vulnerable souls that aren't bound to mortal flesh (such as incorporeal creatures and petitioners).&lt;/p&gt;&lt;/h4&gt;&lt;/div&gt;</t>
  </si>
  <si>
    <t>Summon Cacodaemon</t>
  </si>
  <si>
    <t>cleric/oracle 2, sorcerer/wizard 2, summoner 2, witch 2</t>
  </si>
  <si>
    <t>V, S, F (a silver hook)</t>
  </si>
  <si>
    <t>This spell functions like summon monster, except it summons a single cacodaemon.</t>
  </si>
  <si>
    <t>&lt;p&gt;This spell functions like &lt;i&gt;summon monster&lt;/i&gt;, except it summons a single cacodaemon.&lt;/p&gt;</t>
  </si>
  <si>
    <t>&lt;link rel="stylesheet"href="PF.css"&gt;&lt;div class="heading"&gt;&lt;p class="alignleft"&gt;Summon Cacodaemon&lt;/p&gt;&lt;div style="clear: both;"&gt;&lt;/div&gt;&lt;/div&gt;&lt;div&gt;&lt;h5&gt;&lt;b&gt;School &lt;/b&gt;conjuration (summoning) [evil]; &lt;b&gt;Level &lt;/b&gt;cleric/oracle 2, sorcerer/wizard 2, summoner 2, witch 2&lt;/h5&gt;&lt;/div&gt;&lt;hr/&gt;&lt;div&gt;&lt;h5&gt;&lt;b&gt;CASTING&lt;/b&gt;&lt;/h5&gt;&lt;/div&gt;&lt;hr/&gt;&lt;div&gt;&lt;h5&gt;&lt;b&gt;Casting Time &lt;/b&gt;1 round&lt;/h5&gt;&lt;h5&gt;&lt;b&gt;Components &lt;/b&gt;V, S, F (a silver hook)&lt;/h5&gt;&lt;/div&gt;&lt;hr/&gt;&lt;div&gt;&lt;h5&gt;&lt;b&gt;EFFECT&lt;/b&gt;&lt;/h5&gt;&lt;/div&gt;&lt;hr/&gt;&lt;div&gt;&lt;h5&gt;&lt;b&gt;Range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cacodaemon.&lt;/p&gt;&lt;/h4&gt;&lt;/div&gt;</t>
  </si>
  <si>
    <t>Summon Cacodaemon, Greater</t>
  </si>
  <si>
    <t>cleric/oracle 4, sorcerer/wizard 4, summoner 3, witch 4</t>
  </si>
  <si>
    <t>This spell functions like summon cacodaemon, except it summons 1d4+1 cacodaemons.</t>
  </si>
  <si>
    <t>&lt;p&gt;This spell functions like &lt;i&gt;summon cacodaemon&lt;/i&gt;, except it summons 1d4+1 cacodaemons.&lt;/p&gt;</t>
  </si>
  <si>
    <t>&lt;link rel="stylesheet"href="PF.css"&gt;&lt;div class="heading"&gt;&lt;p class="alignleft"&gt;Summon Cacodaemon, Greater&lt;/p&gt;&lt;div style="clear: both;"&gt;&lt;/div&gt;&lt;/div&gt;&lt;div&gt;&lt;h5&gt;&lt;b&gt;School &lt;/b&gt;conjuration (summoning) [evil]; &lt;b&gt;Level &lt;/b&gt;cleric/oracle 4, sorcerer/wizard 4, summoner 3, witch 4&lt;/h5&gt;&lt;/div&gt;&lt;hr/&gt;&lt;div&gt;&lt;h5&gt;&lt;b&gt;CASTING&lt;/b&gt;&lt;/h5&gt;&lt;/div&gt;&lt;hr/&gt;&lt;div&gt;&lt;h5&gt;&lt;b&gt;Casting Time &lt;/b&gt;1 round&lt;/h5&gt;&lt;h5&gt;&lt;b&gt;Components &lt;/b&gt;V, S, F (a silver hook)&lt;/h5&gt;&lt;/div&gt;&lt;hr/&gt;&lt;div&gt;&lt;h5&gt;&lt;b&gt;EFFECT&lt;/b&gt;&lt;/h5&gt;&lt;/div&gt;&lt;hr/&gt;&lt;div&gt;&lt;h5&gt;&lt;b&gt;Range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cacodaemon&lt;/i&gt;, except it summons 1d4+1 cacodaemons.&lt;/p&gt;&lt;/h4&gt;&lt;/div&gt;</t>
  </si>
  <si>
    <t>Summon Ceustodaemon</t>
  </si>
  <si>
    <t>cleric/oracle 5, sorcerer/wizard 5, summoner 4, witch 5</t>
  </si>
  <si>
    <t>V, S, F (ashes of a dead animal)</t>
  </si>
  <si>
    <t>This spell functions like summon monster, except it summons a single ceustodaemon.</t>
  </si>
  <si>
    <t>&lt;p&gt;This spell functions like &lt;i&gt;summon monster&lt;/i&gt;, except it summons a single ceustodaemon.&lt;/p&gt;</t>
  </si>
  <si>
    <t>&lt;link rel="stylesheet"href="PF.css"&gt;&lt;div class="heading"&gt;&lt;p class="alignleft"&gt;Summon Ceustodaemon&lt;/p&gt;&lt;div style="clear: both;"&gt;&lt;/div&gt;&lt;/div&gt;&lt;div&gt;&lt;h5&gt;&lt;b&gt;School &lt;/b&gt;conjuration (summoning) [evil]; &lt;b&gt;Level &lt;/b&gt;cleric/oracle 5, sorcerer/wizard 5, summoner 4, witch 5&lt;/h5&gt;&lt;/div&gt;&lt;hr/&gt;&lt;div&gt;&lt;h5&gt;&lt;b&gt;CASTING&lt;/b&gt;&lt;/h5&gt;&lt;/div&gt;&lt;hr/&gt;&lt;div&gt;&lt;h5&gt;&lt;b&gt;Casting Time &lt;/b&gt;1 round&lt;/h5&gt;&lt;h5&gt;&lt;b&gt;Components &lt;/b&gt;V, S, F (ashes of a dead animal)&lt;/h5&gt;&lt;/div&gt;&lt;hr/&gt;&lt;div&gt;&lt;h5&gt;&lt;b&gt;EFFECT&lt;/b&gt;&lt;/h5&gt;&lt;/div&gt;&lt;hr/&gt;&lt;div&gt;&lt;h5&gt;&lt;b&gt;Range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ceustodaemon.&lt;/p&gt;&lt;/h4&gt;&lt;/div&gt;</t>
  </si>
  <si>
    <t>Summon Derghodaemon</t>
  </si>
  <si>
    <t>V, S, F (a handful of bug carapaces)</t>
  </si>
  <si>
    <t>This spell functions like summon monster, except it summons a single derghodaemon.</t>
  </si>
  <si>
    <t>&lt;p&gt;This spell functions like &lt;i&gt;summon monster&lt;/i&gt;, except it summons a single derghodaemon.&lt;/p&gt;</t>
  </si>
  <si>
    <t>&lt;link rel="stylesheet"href="PF.css"&gt;&lt;div class="heading"&gt;&lt;p class="alignleft"&gt;Summon Derghodaemon&lt;/p&gt;&lt;div style="clear: both;"&gt;&lt;/div&gt;&lt;/div&gt;&lt;div&gt;&lt;h5&gt;&lt;b&gt;School &lt;/b&gt;conjuration (summoning) [evil]; &lt;b&gt;Level &lt;/b&gt;cleric/oracle 9, sorcerer/wizard 9, witch 9&lt;/h5&gt;&lt;/div&gt;&lt;hr/&gt;&lt;div&gt;&lt;h5&gt;&lt;b&gt;CASTING&lt;/b&gt;&lt;/h5&gt;&lt;/div&gt;&lt;hr/&gt;&lt;div&gt;&lt;h5&gt;&lt;b&gt;Casting Time &lt;/b&gt;1 round&lt;/h5&gt;&lt;h5&gt;&lt;b&gt;Components &lt;/b&gt;V, S, F (a handful of bug carapaces)&lt;/h5&gt;&lt;/div&gt;&lt;hr/&gt;&lt;div&gt;&lt;h5&gt;&lt;b&gt;EFFECT&lt;/b&gt;&lt;/h5&gt;&lt;/div&gt;&lt;hr/&gt;&lt;div&gt;&lt;h5&gt;&lt;b&gt;Range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derghodaemon.&lt;/p&gt;&lt;/h4&gt;&lt;/div&gt;</t>
  </si>
  <si>
    <t>Summon Erodaemon</t>
  </si>
  <si>
    <t>cleric/oracle 8, sorcerer/wizard 8, summoner 6, witch 8</t>
  </si>
  <si>
    <t>V, S, F (a bent or tarnished wedding band)</t>
  </si>
  <si>
    <t>This spell functions like summon monster, except it summons a single erodaemon.</t>
  </si>
  <si>
    <t>&lt;p&gt;This spell functions like &lt;i&gt;summon monster&lt;/i&gt;, except it summons a single erodaemon.&lt;/p&gt;</t>
  </si>
  <si>
    <t>&lt;link rel="stylesheet"href="PF.css"&gt;&lt;div class="heading"&gt;&lt;p class="alignleft"&gt;Summon Erodaemon&lt;/p&gt;&lt;div style="clear: both;"&gt;&lt;/div&gt;&lt;/div&gt;&lt;div&gt;&lt;h5&gt;&lt;b&gt;School &lt;/b&gt;conjuration (summoning) [evil]; &lt;b&gt;Level &lt;/b&gt;cleric/oracle 8, sorcerer/wizard 8, summoner 6, witch 8&lt;/h5&gt;&lt;/div&gt;&lt;hr/&gt;&lt;div&gt;&lt;h5&gt;&lt;b&gt;CASTING&lt;/b&gt;&lt;/h5&gt;&lt;/div&gt;&lt;hr/&gt;&lt;div&gt;&lt;h5&gt;&lt;b&gt;Casting Time &lt;/b&gt;1 round&lt;/h5&gt;&lt;h5&gt;&lt;b&gt;Components &lt;/b&gt;V, S, F (a bent or tarnished wedding band)&lt;/h5&gt;&lt;/div&gt;&lt;hr/&gt;&lt;div&gt;&lt;h5&gt;&lt;b&gt;EFFECT&lt;/b&gt;&lt;/h5&gt;&lt;/div&gt;&lt;hr/&gt;&lt;div&gt;&lt;h5&gt;&lt;b&gt;Range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erodaemon.&lt;/p&gt;&lt;/h4&gt;&lt;/div&gt;</t>
  </si>
  <si>
    <t>Summon Meladaemon</t>
  </si>
  <si>
    <t>V, S, F (an empty wooden bowl)</t>
  </si>
  <si>
    <t>This spell functions like summon monster, except it summons a single meladaemon.</t>
  </si>
  <si>
    <t>&lt;p&gt;This spell functions like &lt;i&gt;summon monster&lt;/i&gt;, except it summons a single meladaemon.&lt;/p&gt;</t>
  </si>
  <si>
    <t>&lt;link rel="stylesheet"href="PF.css"&gt;&lt;div class="heading"&gt;&lt;p class="alignleft"&gt;Summon Meladaemon&lt;/p&gt;&lt;div style="clear: both;"&gt;&lt;/div&gt;&lt;/div&gt;&lt;div&gt;&lt;h5&gt;&lt;b&gt;School &lt;/b&gt;conjuration (summoning) [evil]; &lt;b&gt;Level &lt;/b&gt;cleric/oracle 8, sorcerer/wizard 8, summoner 6, witch 8&lt;/h5&gt;&lt;/div&gt;&lt;hr/&gt;&lt;div&gt;&lt;h5&gt;&lt;b&gt;CASTING&lt;/b&gt;&lt;/h5&gt;&lt;/div&gt;&lt;hr/&gt;&lt;div&gt;&lt;h5&gt;&lt;b&gt;Casting Time &lt;/b&gt;1 round&lt;/h5&gt;&lt;h5&gt;&lt;b&gt;Components &lt;/b&gt;V, S, F (an empty wooden bowl)&lt;/h5&gt;&lt;/div&gt;&lt;hr/&gt;&lt;div&gt;&lt;h5&gt;&lt;b&gt;EFFECT&lt;/b&gt;&lt;/h5&gt;&lt;/div&gt;&lt;hr/&gt;&lt;div&gt;&lt;h5&gt;&lt;b&gt;Range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meladaemon.&lt;/p&gt;&lt;/h4&gt;&lt;/div&gt;</t>
  </si>
  <si>
    <t>Summon Thanadaemon</t>
  </si>
  <si>
    <t>V, S, F (two silver coins)</t>
  </si>
  <si>
    <t>This spell functions like summon monster, except it summons a single thanadaemon. You can only use this spell in an area with enough open water to accommodate the daemon's skiff, or when on the Astral Plane or Ethereal Plane.</t>
  </si>
  <si>
    <t>&lt;p&gt;This spell functions like &lt;i&gt;summon monster&lt;/i&gt;, except it summons a single thanadaemon. You can only use this spell in an area with enough open water to accommodate the daemon's skiff, or when on the Astral Plane or Ethereal Plane.&lt;/p&gt;</t>
  </si>
  <si>
    <t>&lt;link rel="stylesheet"href="PF.css"&gt;&lt;div class="heading"&gt;&lt;p class="alignleft"&gt;Summon Thanadaemon&lt;/p&gt;&lt;div style="clear: both;"&gt;&lt;/div&gt;&lt;/div&gt;&lt;div&gt;&lt;h5&gt;&lt;b&gt;School &lt;/b&gt;conjuration (summoning) [evil]; &lt;b&gt;Level &lt;/b&gt;cleric/oracle 9, sorcerer/wizard 9, witch 9&lt;/h5&gt;&lt;/div&gt;&lt;hr/&gt;&lt;div&gt;&lt;h5&gt;&lt;b&gt;CASTING&lt;/b&gt;&lt;/h5&gt;&lt;/div&gt;&lt;hr/&gt;&lt;div&gt;&lt;h5&gt;&lt;b&gt;Casting Time &lt;/b&gt;1 round&lt;/h5&gt;&lt;h5&gt;&lt;b&gt;Components &lt;/b&gt;V, S, F (two silver coins)&lt;/h5&gt;&lt;/div&gt;&lt;hr/&gt;&lt;div&gt;&lt;h5&gt;&lt;b&gt;EFFECT&lt;/b&gt;&lt;/h5&gt;&lt;/div&gt;&lt;hr/&gt;&lt;div&gt;&lt;h5&gt;&lt;b&gt;Range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thanadaemon. You can only use this spell in an area with enough open water to accommodate the daemon's skiff, or when on the Astral Plane or Ethereal Plane.&lt;/p&gt;&lt;/h4&gt;&lt;/div&gt;</t>
  </si>
  <si>
    <t>Call the Void</t>
  </si>
  <si>
    <t>Reflex for half; see text</t>
  </si>
  <si>
    <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t>
  </si>
  <si>
    <t>&lt;p&gt;This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you.&lt;/p&gt;</t>
  </si>
  <si>
    <t>Dragon Empires Primer</t>
  </si>
  <si>
    <t>&lt;link rel="stylesheet"href="PF.css"&gt;&lt;div class="heading"&gt;&lt;p class="alignleft"&gt;Call the Void&lt;/p&gt;&lt;div style="clear: both;"&gt;&lt;/div&gt;&lt;/div&gt;&lt;div&gt;&lt;h5&gt;&lt;b&gt;School &lt;/b&gt;evocation; &lt;b&gt;Level &lt;/b&gt;sorcerer/wizard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&lt;/b&gt;Reflex for half; see text; &lt;b&gt;Spell Resistance &lt;/b&gt;yes&lt;/h5&gt;&lt;/div&gt;&lt;hr/&gt;&lt;div&gt;&lt;h5&gt;&lt;b&gt;DESCRIPTION&lt;/b&gt;&lt;/h5&gt;&lt;/div&gt;&lt;hr/&gt;&lt;div&gt;&lt;h4&gt;&lt;p&gt;This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you.&lt;/p&gt;&lt;/h4&gt;&lt;/div&gt;</t>
  </si>
  <si>
    <t>Black Spot</t>
  </si>
  <si>
    <t>cleric/oracle 4, sorcerer/wizard 5, witch 4</t>
  </si>
  <si>
    <t>The black spot is a specific and feared pirate curse. An intangible, illusory black spot manifests above the target's head and remains until the target dies or the curse is lifted. The black spot cannot be covered or hidden by any means, including other illusions.  The black spot radiates a cursed aura in a 10-foot radius around its target. Anyone within the aura gains a +2 bonus on weapon attack and damage rolls against the target. In addition, the target has a -4 penalty on saving throws against death effects.  Every day in which a creature bears a black spot, it must make a Fortitude save. On a failed save, the creature takes 1 point of Constitution damage. The damage cannot be healed until the black spot is removed. If the creature's Constitution reaches 0, it dies. Pirates killed by this spell often return as ghosts, but that is not a direct effect of this spell.  The black spot cannot be dispelled, but it can be removed with break enchantment, limited wish, miracle, remove curse, or wish.</t>
  </si>
  <si>
    <t>&lt;p&gt;The &lt;i&gt;black spot&lt;/i&gt; is a specific and feared pirate curse. An intangible, illusory &lt;i&gt;black spot&lt;/i&gt; manifests above the target's head and remains until the target dies or the curse is lifted. The &lt;i&gt;black spot&lt;/i&gt; cannot be covered or hidden by any means, including other illusions.&lt;/p&gt;&lt;p&gt;The &lt;i&gt;black spot&lt;/i&gt; radiates a cursed aura in a 10-foot radius around its target. Anyone within the aura gains a +2 bonus on weapon attack and damage rolls against the target. In addition, the target has a -4 penalty on saving throws against death effects.&lt;/p&gt;&lt;p&gt;Every day in which a creature bears a &lt;i&gt;black spot&lt;/i&gt;, it must make a Fortitude save. On a failed save, the creature takes 1 point of Constitution damage. The damage cannot be healed until the &lt;i&gt;black spot&lt;/i&gt; is removed. If the creature's Constitution reaches 0, it dies. Pirates killed by this spell often return as ghosts, but that is not a direct effect of this spell.&lt;/p&gt;&lt;p&gt;The &lt;i&gt;black spot&lt;/i&gt; cannot be dispelled, but it can be removed with &lt;i&gt;break enchantment&lt;/i&gt;, &lt;i&gt;limited &lt;i&gt;wish&lt;/i&gt;&lt;/i&gt;, &lt;i&gt;miracle&lt;/i&gt;, &lt;i&gt;remove curse&lt;/i&gt;, or &lt;i&gt;wish&lt;/i&gt;.&lt;/p&gt;</t>
  </si>
  <si>
    <t>Pirates Of The Inner Sea</t>
  </si>
  <si>
    <t>&lt;link rel="stylesheet"href="PF.css"&gt;&lt;div class="heading"&gt;&lt;p class="alignleft"&gt;Black Spot&lt;/p&gt;&lt;div style="clear: both;"&gt;&lt;/div&gt;&lt;/div&gt;&lt;div&gt;&lt;h5&gt;&lt;b&gt;School &lt;/b&gt;necromancy; &lt;b&gt;Level &lt;/b&gt;cleric/oracle 4, sorcerer/wizard 5,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&lt;/b&gt;yes&lt;/h5&gt;&lt;/div&gt;&lt;hr/&gt;&lt;div&gt;&lt;h5&gt;&lt;b&gt;DESCRIPTION&lt;/b&gt;&lt;/h5&gt;&lt;/div&gt;&lt;hr/&gt;&lt;div&gt;&lt;h4&gt;&lt;p&gt;The &lt;i&gt;black spot&lt;/i&gt; is a specific and feared pirate curse. An intangible, illusory &lt;i&gt;black spot&lt;/i&gt; manifests above the target's head and remains until the target dies or the curse is lifted. The &lt;i&gt;black spot&lt;/i&gt; cannot be covered or hidden by any means, including other illusions.&lt;/p&gt;&lt;p&gt;The &lt;i&gt;black spot&lt;/i&gt; radiates a cursed aura in a 10-foot radius around its target. Anyone within the aura gains a +2 bonus on weapon attack and damage rolls against the target. In addition, the target has a -4 penalty on saving throws against death effects.&lt;/p&gt;&lt;p&gt;Every day in which a creature bears a &lt;i&gt;black spot&lt;/i&gt;, it must make a Fortitude save. On a failed save, the creature takes 1 point of Constitution damage. The damage cannot be healed until the &lt;i&gt;black spot&lt;/i&gt; is removed. If the creature's Constitution reaches 0, it dies. Pirates killed by this spell often return as ghosts, but that is not a direct effect of this spell.&lt;/p&gt;&lt;p&gt;The &lt;i&gt;black spot&lt;/i&gt; cannot be dispelled, but it can be removed with &lt;i&gt;break enchantment&lt;/i&gt;, &lt;i&gt;limited &lt;i&gt;wish&lt;/i&gt;&lt;/i&gt;, &lt;i&gt;miracle&lt;/i&gt;, &lt;i&gt;remove curse&lt;/i&gt;, or &lt;i&gt;wish&lt;/i&gt;.&lt;/p&gt;&lt;/h4&gt;&lt;/div&gt;</t>
  </si>
  <si>
    <t>Salvage</t>
  </si>
  <si>
    <t>one shipwreck</t>
  </si>
  <si>
    <t>An invisible force pulls together the remains of a shipwreck. Bits of hull, tattered sails, broken masts, and smashed figureheads knit themselves back together. Rotten wood turns solid once more, and sails re-weave themselves as the rigging snakes across the masts. It takes a variable amount of time for the ship to rebuild itself, depending on its size. Size Duration Raft 1 minute Rowboat 1 minute Keelboat 10 minutes Longship 1 hour Sailing ship 2 hours Warship 3 hours Galleon 4 hours At the end of the duration, an air bubble forms around the repaired ship. If submerged, the ship shoots to the surface, erupting with a great splash before settling on the water. Though the spell requires time to repair the ship, its effects are instantaneous. A salvaged ship cannot be dispelled to return it to a shipwreck. However, before the spell's duration ends and while the ship is still being repaired, salvage can be dispelled to interrupt the repair process. The ship remains in the condition it was in when the spell was interrupted until a new salvage spell is cast (but continues to age normally and suffers the effects of its environments). A new salvage spell's duration is modified by any repairs already begun.</t>
  </si>
  <si>
    <t>&lt;p&gt;An invisible force pulls together the remains of a shipwreck.&lt;/p&gt;&lt;p&gt;Bits of hull, tattered sails, broken masts, and smashed figureheads knit themselves back together. Rotten wood turns solid once more, and sails re-weave themselves as the rigging snakes across the masts.&lt;/p&gt;&lt;p&gt;It takes a variable amount of time for the ship to rebuild itself, depending on its size.&lt;/p&gt;&lt;p&gt; &lt;table&gt;&lt;tr&gt;&lt;th&gt;Size&lt;/th&gt;&lt;th&gt;Duration&lt;/th&gt;&lt;/tr&gt;&lt;tr&gt;&lt;td&gt;Raft&lt;/td&gt;&lt;td&gt;1 minute&lt;/td&gt;&lt;/tr&gt;&lt;tr&gt;&lt;td&gt;Rowboat&lt;/td&gt;&lt;td&gt;1 minute&lt;/td&gt;&lt;/tr&gt;&lt;tr&gt;&lt;td&gt;Keelboat&lt;/td&gt;&lt;td&gt;10 minutes&lt;/td&gt;&lt;/tr&gt;&lt;tr&gt;&lt;td&gt;Longship&lt;/td&gt;&lt;td&gt;1 hour&lt;/td&gt;&lt;/tr&gt;&lt;tr&gt;&lt;td&gt;Sailing ship&lt;/td&gt;&lt;td&gt;2 hours&lt;/td&gt;&lt;/tr&gt;&lt;tr&gt;&lt;td&gt;Warship&lt;/td&gt;&lt;td&gt;3 hours&lt;/td&gt;&lt;/tr&gt;&lt;tr&gt;&lt;td&gt;Galleon&lt;/td&gt;&lt;td&gt;4 hours&lt;/td&gt;&lt;/tr&gt;&lt;/table&gt;  At the end of the duration, an air bubble forms around the repaired ship. If submerged, the ship shoots to the surface, erupting with a great splash before settling on the water.&lt;/p&gt;&lt;p&gt;Though the spell requires time to repair the ship, its effects are instantaneous. A &lt;i&gt;&lt;i&gt;salvage&lt;/i&gt;d&lt;/i&gt; ship cannot be dispelled to return it to a shipwreck. However, before the spell's duration ends and while the ship is still being repaired, &lt;i&gt;salvage&lt;/i&gt; can be dispelled to interrupt the repair process. The ship remains in the condition it was in when the spell was interrupted until a new &lt;i&gt;salvage&lt;/i&gt; spell is cast (but continues to age normally and suffers the effects of its environments). A new &lt;i&gt;salvage&lt;/i&gt; spell's duration is modified by any repairs already begun.&lt;/p&gt;</t>
  </si>
  <si>
    <t>&lt;link rel="stylesheet"href="PF.css"&gt;&lt;div class="heading"&gt;&lt;p class="alignleft"&gt;Salvage&lt;/p&gt;&lt;div style="clear: both;"&gt;&lt;/div&gt;&lt;/div&gt;&lt;div&gt;&lt;h5&gt;&lt;b&gt;School &lt;/b&gt;transmutation; &lt;b&gt;Level &lt;/b&gt;cleric/oracle 9, sorcerer/wizard 9&lt;/h5&gt;&lt;/div&gt;&lt;hr/&gt;&lt;div&gt;&lt;h5&gt;&lt;b&gt;CASTING&lt;/b&gt;&lt;/h5&gt;&lt;/div&gt;&lt;hr/&gt;&lt;div&gt;&lt;h5&gt;&lt;b&gt;Casting Time &lt;/b&gt;1 standard action&lt;/h5&gt;&lt;h5&gt;&lt;b&gt;Components &lt;/b&gt;V, S, M&lt;/h5&gt;&lt;/div&gt;&lt;hr/&gt;&lt;div&gt;&lt;h5&gt;&lt;b&gt;EFFECT&lt;/b&gt;&lt;/h5&gt;&lt;/div&gt;&lt;hr/&gt;&lt;div&gt;&lt;h5&gt;&lt;b&gt;Range &lt;/b&gt;long (400 ft. + 40 ft./level)&lt;/h5&gt;&lt;h5&gt;&lt;b&gt;Targets &lt;/b&gt;one shipwreck&lt;/h5&gt;&lt;h5&gt;&lt;b&gt;Duration &lt;/b&gt;see text&lt;/h5&gt;&lt;h5&gt;&lt;b&gt;Saving Throw &lt;/b&gt;Fortitude negates (object); &lt;b&gt;Spell Resistance &lt;/b&gt;yes (object)&lt;/h5&gt;&lt;/div&gt;&lt;hr/&gt;&lt;div&gt;&lt;h5&gt;&lt;b&gt;DESCRIPTION&lt;/b&gt;&lt;/h5&gt;&lt;/div&gt;&lt;hr/&gt;&lt;div&gt;&lt;h4&gt;&lt;p&gt;An invisible force pulls together the remains of a shipwreck.&lt;/p&gt;&lt;p&gt;Bits of hull, tattered sails, broken masts, and smashed figureheads knit themselves back together. Rotten wood turns solid once more, and sails re-weave themselves as the rigging snakes across the masts.&lt;/p&gt;&lt;p&gt;It takes a variable amount of time for the ship to rebuild itself, depending on its size.&lt;/p&gt;&lt;p&gt; &lt;table&gt;&lt;tr&gt;&lt;th&gt;Size&lt;/th&gt;&lt;th&gt;Duration&lt;/th&gt;&lt;/tr&gt;&lt;tr&gt;&lt;td&gt;Raft&lt;/td&gt;&lt;td&gt;1 minute&lt;/td&gt;&lt;/tr&gt;&lt;tr&gt;&lt;td&gt;Rowboat&lt;/td&gt;&lt;td&gt;1 minute&lt;/td&gt;&lt;/tr&gt;&lt;tr&gt;&lt;td&gt;Keelboat&lt;/td&gt;&lt;td&gt;10 minutes&lt;/td&gt;&lt;/tr&gt;&lt;tr&gt;&lt;td&gt;Longship&lt;/td&gt;&lt;td&gt;1 hour&lt;/td&gt;&lt;/tr&gt;&lt;tr&gt;&lt;td&gt;Sailing ship&lt;/td&gt;&lt;td&gt;2 hours&lt;/td&gt;&lt;/tr&gt;&lt;tr&gt;&lt;td&gt;Warship&lt;/td&gt;&lt;td&gt;3 hours&lt;/td&gt;&lt;/tr&gt;&lt;tr&gt;&lt;td&gt;Galleon&lt;/td&gt;&lt;td&gt;4 hours&lt;/td&gt;&lt;/tr&gt;&lt;/table&gt;  At the end of the duration, an air bubble forms around the repaired ship. If submerged, the ship shoots to the surface, erupting with a great splash before settling on the water.&lt;/p&gt;&lt;p&gt;Though the spell requires time to repair the ship, its effects are instantaneous. A &lt;i&gt;&lt;i&gt;salvage&lt;/i&gt;d&lt;/i&gt; ship cannot be dispelled to return it to a shipwreck. However, before the spell's duration ends and while the ship is still being repaired, &lt;i&gt;salvage&lt;/i&gt; can be dispelled to interrupt the repair process. The ship remains in the condition it was in when the spell was interrupted until a new &lt;i&gt;salvage&lt;/i&gt; spell is cast (but continues to age normally and suffers the effects of its environments). A new &lt;i&gt;salvage&lt;/i&gt; spell's duration is modified by any repairs already begun.&lt;/p&gt;&lt;/h4&gt;&lt;/div&gt;</t>
  </si>
  <si>
    <t>Skeleton Crew</t>
  </si>
  <si>
    <t>cleric/oracle 3, sorcerer/wizard 4, summoner 4, witch 4</t>
  </si>
  <si>
    <t>one or more humanoid corpses touched</t>
  </si>
  <si>
    <t>This spell turns corpses into skeletons (Pathfinder RPG Bestiary 250) that act as crew and obey your commands to the extent of their abilities.  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  You can't create more Hit Dice of skeletal crew members than twice your caster level with a single casting of skeleton crew. The desecrate spell doubles this limit.  The undead you create by casting skeleton crew remain under your control for the duration of the spell, and do not count against your limit of total Hit Dice worth of undead creatures you can control.  A skeletal crew member can only be created from a mostly intact humanoid corpse. The corpse must have bones. When you cast this spell, any flesh left on the corpses melts away into fog.</t>
  </si>
  <si>
    <t>&lt;p&gt;This spell turns corpses into skeletons (&lt;i&gt;Pathfinder RPG Bestiary&lt;/i&gt; 250) that act as crew and obey your commands to the extent of their abilities.&lt;/p&gt;&lt;p&gt;The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armor.&lt;/p&gt;&lt;p&gt;You can't create more Hit Dice of skeletal crew members than twice your caster level with a single casting of &lt;i&gt;skeleton crew&lt;/i&gt;. The &lt;i&gt;desecrate&lt;/i&gt; spell doubles this limit.&lt;/p&gt;&lt;p&gt;The undead you create by casting &lt;i&gt;skeleton crew&lt;/i&gt; remain under your control for the duration of the spell, and do not count against your limit of total Hit Dice worth of undead creatures you can control.&lt;/p&gt;&lt;p&gt;A skeletal crew member can only be created from a mostly intact humanoid corpse. The corpse must have bones. When you cast this spell, any flesh left on the corpses melts away into fog.&lt;/p&gt;</t>
  </si>
  <si>
    <t>&lt;link rel="stylesheet"href="PF.css"&gt;&lt;div class="heading"&gt;&lt;p class="alignleft"&gt;Skeleton Crew&lt;/p&gt;&lt;div style="clear: both;"&gt;&lt;/div&gt;&lt;/div&gt;&lt;div&gt;&lt;h5&gt;&lt;b&gt;School &lt;/b&gt;necromancy; &lt;b&gt;Level &lt;/b&gt;cleric/oracle 3, sorcerer/wizard 4, summoner 4, witch 4&lt;/h5&gt;&lt;/div&gt;&lt;hr/&gt;&lt;div&gt;&lt;h5&gt;&lt;b&gt;CASTING&lt;/b&gt;&lt;/h5&gt;&lt;/div&gt;&lt;hr/&gt;&lt;div&gt;&lt;h5&gt;&lt;b&gt;Casting Time &lt;/b&gt;1 standard action&lt;/h5&gt;&lt;h5&gt;&lt;b&gt;Components &lt;/b&gt;V, S, M&lt;/h5&gt;&lt;/div&gt;&lt;hr/&gt;&lt;div&gt;&lt;h5&gt;&lt;b&gt;EFFECT&lt;/b&gt;&lt;/h5&gt;&lt;/div&gt;&lt;hr/&gt;&lt;div&gt;&lt;h5&gt;&lt;b&gt;Range &lt;/b&gt;touch&lt;/h5&gt;&lt;h5&gt;&lt;b&gt;Targets &lt;/b&gt;one or more humanoid corpses touched&lt;/h5&gt;&lt;h5&gt;&lt;b&gt;Duration &lt;/b&gt;1 day/level&lt;/h5&gt;&lt;h5&gt;&lt;b&gt;Saving Throw &lt;/b&gt;none; &lt;b&gt;Spell Resistance &lt;/b&gt;no&lt;/h5&gt;&lt;/div&gt;&lt;hr/&gt;&lt;div&gt;&lt;h5&gt;&lt;b&gt;DESCRIPTION&lt;/b&gt;&lt;/h5&gt;&lt;/div&gt;&lt;hr/&gt;&lt;div&gt;&lt;h4&gt;&lt;p&gt;This spell turns corpses into skeletons (&lt;i&gt;Pathfinder RPG Bestiary&lt;/i&gt; 250) that act as crew and obey your commands to the extent of their abilities.&lt;/p&gt;&lt;p&gt;The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armor.&lt;/p&gt;&lt;p&gt;You can't create more Hit Dice of skeletal crew members than twice your caster level with a single casting of &lt;i&gt;skeleton crew&lt;/i&gt;. The &lt;i&gt;desecrate&lt;/i&gt; spell doubles this limit.&lt;/p&gt;&lt;p&gt;The undead you create by casting &lt;i&gt;skeleton crew&lt;/i&gt; remain under your control for the duration of the spell, and do not count against your limit of total Hit Dice worth of undead creatures you can control.&lt;/p&gt;&lt;p&gt;A skeletal crew member can only be created from a mostly intact humanoid corpse. The corpse must have bones. When you cast this spell, any flesh left on the corpses melts away into fog.&lt;/p&gt;&lt;/h4&gt;&lt;/div&gt;</t>
  </si>
  <si>
    <t>Track Ship</t>
  </si>
  <si>
    <t>travel</t>
  </si>
  <si>
    <t>bard 2, cleric/oracle 2, sorcerer/wizard 2</t>
  </si>
  <si>
    <t>V, S, F (piece of ship)</t>
  </si>
  <si>
    <t>magical icon</t>
  </si>
  <si>
    <t>In order to cast this spell, you must have a piece of the ship you wish to track. Merchants often preserve slivers from their trade ships specifically for this purpose. You also need a nautical chart.  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t>
  </si>
  <si>
    <t>&lt;p&gt;In order to cast this spell, you must have a piece of the ship you wish to track. Merchants often preserve slivers from their trade ships specifically for this purpose. You also need a nautical chart.&lt;/p&gt;&lt;p&gt;When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crossbones.&lt;/p&gt;</t>
  </si>
  <si>
    <t>&lt;link rel="stylesheet"href="PF.css"&gt;&lt;div class="heading"&gt;&lt;p class="alignleft"&gt;Track Ship&lt;/p&gt;&lt;div style="clear: both;"&gt;&lt;/div&gt;&lt;/div&gt;&lt;div&gt;&lt;h5&gt;&lt;b&gt;School &lt;/b&gt;divination (scrying) [travel]; &lt;b&gt;Level &lt;/b&gt;bard 2, cleric/oracle 2, sorcerer/wizard 2&lt;/h5&gt;&lt;/div&gt;&lt;hr/&gt;&lt;div&gt;&lt;h5&gt;&lt;b&gt;CASTING&lt;/b&gt;&lt;/h5&gt;&lt;/div&gt;&lt;hr/&gt;&lt;div&gt;&lt;h5&gt;&lt;b&gt;Casting Time &lt;/b&gt;1 standard action&lt;/h5&gt;&lt;h5&gt;&lt;b&gt;Components &lt;/b&gt;V, S, F (piece of ship)&lt;/h5&gt;&lt;/div&gt;&lt;hr/&gt;&lt;div&gt;&lt;h5&gt;&lt;b&gt;EFFECT&lt;/b&gt;&lt;/h5&gt;&lt;/div&gt;&lt;hr/&gt;&lt;div&gt;&lt;h5&gt;&lt;b&gt;Range &lt;/b&gt;see text&lt;/h5&gt;&lt;h5&gt;&lt;b&gt;Effect &lt;/b&gt;magical icon&lt;/h5&gt;&lt;h5&gt;&lt;b&gt;Duration &lt;/b&gt;1 hour/level&lt;/h5&gt;&lt;h5&gt;&lt;b&gt;Saving Throw &lt;/b&gt;Will negates (object); &lt;b&gt;Spell Resistance &lt;/b&gt;yes (object)&lt;/h5&gt;&lt;/div&gt;&lt;hr/&gt;&lt;div&gt;&lt;h5&gt;&lt;b&gt;DESCRIPTION&lt;/b&gt;&lt;/h5&gt;&lt;/div&gt;&lt;hr/&gt;&lt;div&gt;&lt;h4&gt;&lt;p&gt;In order to cast this spell, you must have a piece of the ship you wish to track. Merchants often preserve slivers from their trade ships specifically for this purpose. You also need a nautical chart.&lt;/p&gt;&lt;p&gt;When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crossbones.&lt;/p&gt;&lt;/h4&gt;&lt;/div&gt;</t>
  </si>
  <si>
    <t>Unseen Crew</t>
  </si>
  <si>
    <t>bard 4, sorcerer/wizard 5, summoner 5, witch 5</t>
  </si>
  <si>
    <t>one invisible sailor per level</t>
  </si>
  <si>
    <t>An unseen crew member is an invisible, shapeless force that performs the duties of one crew member. It can tie off ropes, hoist sails, swab decks, and other such duties. An unseen crew member possesses no other skills. It cannot fight, speak, or even defend itself.  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  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t>
  </si>
  <si>
    <t>&lt;p&gt;An unseen crew member is an invisible, shapeless force that performs the duties of one crew member. It can tie off ropes, hoist sails, swab decks, and other such duties. An unseen crew member possesses no other skills. It cannot fight, speak, or even defend itself.&lt;/p&gt;&lt;p&gt;An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feet.&lt;/p&gt;&lt;p&gt;An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exist.&lt;/p&gt;</t>
  </si>
  <si>
    <t>&lt;link rel="stylesheet"href="PF.css"&gt;&lt;div class="heading"&gt;&lt;p class="alignleft"&gt;Unseen Crew&lt;/p&gt;&lt;div style="clear: both;"&gt;&lt;/div&gt;&lt;/div&gt;&lt;div&gt;&lt;h5&gt;&lt;b&gt;School &lt;/b&gt;conjuration (creation); &lt;b&gt;Level &lt;/b&gt;bard 4, sorcerer/wizard 5, summoner 5, witch 5&lt;/h5&gt;&lt;/div&gt;&lt;hr/&gt;&lt;div&gt;&lt;h5&gt;&lt;b&gt;CASTING&lt;/b&gt;&lt;/h5&gt;&lt;/div&gt;&lt;hr/&gt;&lt;div&gt;&lt;h5&gt;&lt;b&gt;Casting Time &lt;/b&gt;1 standard action&lt;/h5&gt;&lt;h5&gt;&lt;b&gt;Components &lt;/b&gt;V, S, M&lt;/h5&gt;&lt;/div&gt;&lt;hr/&gt;&lt;div&gt;&lt;h5&gt;&lt;b&gt;EFFECT&lt;/b&gt;&lt;/h5&gt;&lt;/div&gt;&lt;hr/&gt;&lt;div&gt;&lt;h5&gt;&lt;b&gt;Range &lt;/b&gt;long (400 ft. + 40 ft./level)&lt;/h5&gt;&lt;h5&gt;&lt;b&gt;Effect &lt;/b&gt;one invisible sailor per level&lt;/h5&gt;&lt;h5&gt;&lt;b&gt;Duration &lt;/b&gt;1 day/level&lt;/h5&gt;&lt;h5&gt;&lt;b&gt;Saving Throw &lt;/b&gt;none; &lt;b&gt;Spell Resistance &lt;/b&gt;no&lt;/h5&gt;&lt;/div&gt;&lt;hr/&gt;&lt;div&gt;&lt;h5&gt;&lt;b&gt;DESCRIPTION&lt;/b&gt;&lt;/h5&gt;&lt;/div&gt;&lt;hr/&gt;&lt;div&gt;&lt;h4&gt;&lt;p&gt;An unseen crew member is an invisible, shapeless force that performs the duties of one crew member. It can tie off ropes, hoist sails, swab decks, and other such duties. An unseen crew member possesses no other skills. It cannot fight, speak, or even defend itself.&lt;/p&gt;&lt;p&gt;An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feet.&lt;/p&gt;&lt;p&gt;An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exist.&lt;/p&gt;&lt;/h4&gt;&lt;/div&gt;</t>
  </si>
  <si>
    <t>Advanced Scurvy</t>
  </si>
  <si>
    <t>cleric/oracle 1, druid 1</t>
  </si>
  <si>
    <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t>
  </si>
  <si>
    <t>&lt;p&gt;The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that.&lt;/p&gt;</t>
  </si>
  <si>
    <t>AP 55</t>
  </si>
  <si>
    <t>&lt;link rel="stylesheet"href="PF.css"&gt;&lt;div class="heading"&gt;&lt;p class="alignleft"&gt;Advanced Scurvy&lt;/p&gt;&lt;div style="clear: both;"&gt;&lt;/div&gt;&lt;/div&gt;&lt;div&gt;&lt;h5&gt;&lt;b&gt;School &lt;/b&gt;necromancy [disease, evil]; &lt;b&gt;Level &lt;/b&gt;cleric/oracle 1, druid 1 (Besmara)&lt;/h5&gt;&lt;/div&gt;&lt;hr/&gt;&lt;div&gt;&lt;h5&gt;&lt;b&gt;CASTING&lt;/b&gt;&lt;/h5&gt;&lt;/div&gt;&lt;hr/&gt;&lt;div&gt;&lt;h5&gt;&lt;b&gt;Casting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that.&lt;/p&gt;&lt;/h4&gt;&lt;/div&gt;</t>
  </si>
  <si>
    <t>Besmara</t>
  </si>
  <si>
    <t>Cloud Of Seasickness</t>
  </si>
  <si>
    <t>cleric/oracle 2, druid 2, sorcerer/wizard 2</t>
  </si>
  <si>
    <t>V, S, M (a piece of seaweed)</t>
  </si>
  <si>
    <t>This spell functions like stinking cloud, except as noted above and that the vapors make creatures sickened instead of nauseated.  Cloud of seasickness can be made permanent with a permanency spell (requiring a 9th-level caster and costing 2,500 gp). A permanent cloud of seasickness dispersed by wind reforms in 10 minutes.</t>
  </si>
  <si>
    <t>&lt;p&gt;This spell functions like &lt;i&gt;stinking cloud&lt;/i&gt;, except as noted above and that the vapors make creatures sickened instead of nauseated.  &lt;i&gt;Cloud of seasickness&lt;/i&gt; can be made permanent with a &lt;i&gt;permanency&lt;/i&gt; spell (requiring a 9th-level caster and costing 2,500 gp). A permanent &lt;i&gt;cloud of seasickness&lt;/i&gt; dispersed by wind reforms in 10 minutes.&lt;/p&gt;</t>
  </si>
  <si>
    <t>&lt;link rel="stylesheet"href="PF.css"&gt;&lt;div class="heading"&gt;&lt;p class="alignleft"&gt;Cloud Of Seasickness&lt;/p&gt;&lt;div style="clear: both;"&gt;&lt;/div&gt;&lt;/div&gt;&lt;div&gt;&lt;h5&gt;&lt;b&gt;School &lt;/b&gt;conjuration (creation) [poison]; &lt;b&gt;Level &lt;/b&gt;cleric/oracle 2, druid 2, sorcerer/wizard 2 (Besmara)&lt;/h5&gt;&lt;/div&gt;&lt;hr/&gt;&lt;div&gt;&lt;h5&gt;&lt;b&gt;CASTING&lt;/b&gt;&lt;/h5&gt;&lt;/div&gt;&lt;hr/&gt;&lt;div&gt;&lt;h5&gt;&lt;b&gt;Casting Time &lt;/b&gt;1 standard action&lt;/h5&gt;&lt;h5&gt;&lt;b&gt;Components &lt;/b&gt;V, S, M (a piece of seaweed)&lt;/h5&gt;&lt;/div&gt;&lt;hr/&gt;&lt;div&gt;&lt;h5&gt;&lt;b&gt;EFFECT&lt;/b&gt;&lt;/h5&gt;&lt;/div&gt;&lt;hr/&gt;&lt;div&gt;&lt;h5&gt;&lt;b&gt;Range &lt;/b&gt;close (25 ft. + 5 ft./2 levels)&lt;/h5&gt;&lt;h5&gt;&lt;b&gt;Effect &lt;/b&gt;cloud spreads in 20-ft. radius, 20 ft. high&lt;/h5&gt;&lt;h5&gt;&lt;b&gt;Duration &lt;/b&gt;1 round/level&lt;/h5&gt;&lt;h5&gt;&lt;b&gt;Saving Throw &lt;/b&gt;Fortitude negates; see text; &lt;b&gt;Spell Resistance &lt;/b&gt;no&lt;/h5&gt;&lt;/div&gt;&lt;hr/&gt;&lt;div&gt;&lt;h5&gt;&lt;b&gt;DESCRIPTION&lt;/b&gt;&lt;/h5&gt;&lt;/div&gt;&lt;hr/&gt;&lt;div&gt;&lt;h4&gt;&lt;p&gt;This spell functions like &lt;i&gt;stinking cloud&lt;/i&gt;, except as noted above and that the vapors make creatures sickened instead of nauseated.  &lt;i&gt;Cloud of seasickness&lt;/i&gt; can be made permanent with a &lt;i&gt;permanency&lt;/i&gt; spell (requiring a 9th-level caster and costing 2,500 gp). A permanent &lt;i&gt;cloud of seasickness&lt;/i&gt; dispersed by wind reforms in 10 minutes.&lt;/p&gt;&lt;/h4&gt;&lt;/div&gt;</t>
  </si>
  <si>
    <t>Submerge Ship</t>
  </si>
  <si>
    <t>V, S, M/DF (a glass marble or piece of soap)</t>
  </si>
  <si>
    <t>1 sailing vessel</t>
  </si>
  <si>
    <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t>
  </si>
  <si>
    <t>&lt;p&gt;When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effect.&lt;/p&gt;</t>
  </si>
  <si>
    <t>AP 56</t>
  </si>
  <si>
    <t>&lt;link rel="stylesheet"href="PF.css"&gt;&lt;div class="heading"&gt;&lt;p class="alignleft"&gt;Submerge Ship&lt;/p&gt;&lt;div style="clear: both;"&gt;&lt;/div&gt;&lt;/div&gt;&lt;div&gt;&lt;h5&gt;&lt;b&gt;School &lt;/b&gt;transmutation; &lt;b&gt;Level &lt;/b&gt;cleric/oracle 7, sorcerer/wizard 7&lt;/h5&gt;&lt;/div&gt;&lt;hr/&gt;&lt;div&gt;&lt;h5&gt;&lt;b&gt;CASTING&lt;/b&gt;&lt;/h5&gt;&lt;/div&gt;&lt;hr/&gt;&lt;div&gt;&lt;h5&gt;&lt;b&gt;Casting Time &lt;/b&gt;1 minute&lt;/h5&gt;&lt;h5&gt;&lt;b&gt;Components &lt;/b&gt;V, S, M/DF (a glass marble or piece of soap)&lt;/h5&gt;&lt;/div&gt;&lt;hr/&gt;&lt;div&gt;&lt;h5&gt;&lt;b&gt;EFFECT&lt;/b&gt;&lt;/h5&gt;&lt;/div&gt;&lt;hr/&gt;&lt;div&gt;&lt;h5&gt;&lt;b&gt;Range &lt;/b&gt;touch&lt;/h5&gt;&lt;h5&gt;&lt;b&gt;Targets &lt;/b&gt;1 sailing vessel&lt;/h5&gt;&lt;h5&gt;&lt;b&gt;Duration &lt;/b&gt;10 minutes/level&lt;/h5&gt;&lt;h5&gt;&lt;b&gt;Saving Throw &lt;/b&gt;Will negates (harmless); &lt;b&gt;Spell Resistance &lt;/b&gt;no&lt;/h5&gt;&lt;/div&gt;&lt;hr/&gt;&lt;div&gt;&lt;h5&gt;&lt;b&gt;DESCRIPTION&lt;/b&gt;&lt;/h5&gt;&lt;/div&gt;&lt;hr/&gt;&lt;div&gt;&lt;h4&gt;&lt;p&gt;When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effect.&lt;/p&gt;&lt;/h4&gt;&lt;/div&gt;</t>
  </si>
  <si>
    <t>Heroic Fortune</t>
  </si>
  <si>
    <t>alchemist 2, bard 2, cleric/oracle 2, paladin 3</t>
  </si>
  <si>
    <t>V, S, DF, M (diamond dust worth 100 gp)</t>
  </si>
  <si>
    <t>This spell grants 1 hero point to the target. This hero point must be spent before the duration expires, or it is lost. The bonus hero point is spent before any other hero points the target might possess.</t>
  </si>
  <si>
    <t>&lt;p&gt;This spell grants 1 hero point to the target. This hero point must be spent before the duration expires, or it is lost. The bonus hero point is spent before any other hero points the target might possess.&lt;/p&gt;</t>
  </si>
  <si>
    <t>&lt;link rel="stylesheet"href="PF.css"&gt;&lt;div class="heading"&gt;&lt;p class="alignleft"&gt;Heroic Fortune&lt;/p&gt;&lt;div style="clear: both;"&gt;&lt;/div&gt;&lt;/div&gt;&lt;div&gt;&lt;h5&gt;&lt;b&gt;School &lt;/b&gt;evocation; &lt;b&gt;Level &lt;/b&gt;alchemist 2, bard 2, cleric/oracle 2, paladin 3&lt;/h5&gt;&lt;/div&gt;&lt;hr/&gt;&lt;div&gt;&lt;h5&gt;&lt;b&gt;CASTING&lt;/b&gt;&lt;/h5&gt;&lt;/div&gt;&lt;hr/&gt;&lt;div&gt;&lt;h5&gt;&lt;b&gt;Casting Time &lt;/b&gt;1 standard action&lt;/h5&gt;&lt;h5&gt;&lt;b&gt;Components &lt;/b&gt;V, S, DF, M (diamond dust worth 100 gp)&lt;/h5&gt;&lt;/div&gt;&lt;hr/&gt;&lt;div&gt;&lt;h5&gt;&lt;b&gt;EFFECT&lt;/b&gt;&lt;/h5&gt;&lt;/div&gt;&lt;hr/&gt;&lt;div&gt;&lt;h5&gt;&lt;b&gt;Range &lt;/b&gt;touch&lt;/h5&gt;&lt;h5&gt;&lt;b&gt;Targets &lt;/b&gt;creature touched&lt;/h5&gt;&lt;h5&gt;&lt;b&gt;Duration &lt;/b&gt;1 round/level&lt;/h5&gt;&lt;h5&gt;&lt;b&gt;Saving Throw &lt;/b&gt;Will negates (harmless); &lt;b&gt;Spell Resistance &lt;/b&gt;no&lt;/h5&gt;&lt;/div&gt;&lt;hr/&gt;&lt;div&gt;&lt;h5&gt;&lt;b&gt;DESCRIPTION&lt;/b&gt;&lt;/h5&gt;&lt;/div&gt;&lt;hr/&gt;&lt;div&gt;&lt;h4&gt;&lt;p&gt;This spell grants 1 hero point to the target. This hero point must be spent before the duration expires, or it is lost. The bonus hero point is spent before any other hero points the target might possess.&lt;/p&gt;&lt;/h4&gt;&lt;/div&gt;</t>
  </si>
  <si>
    <t>Heroic Fortune, Mass</t>
  </si>
  <si>
    <t>bard 4, cleric/oracle 5</t>
  </si>
  <si>
    <t>V, S, DF, M (diamond dust worth 1,000 gp)</t>
  </si>
  <si>
    <t>one or more creatures, no two of which can be more  than 30 ft. apart</t>
  </si>
  <si>
    <t>This spell functions like heroic fortune, except as noted above.</t>
  </si>
  <si>
    <t>&lt;p&gt;This spell functions like &lt;i&gt;heroic fortune&lt;/i&gt;, except as noted above.&lt;/p&gt;</t>
  </si>
  <si>
    <t>&lt;link rel="stylesheet"href="PF.css"&gt;&lt;div class="heading"&gt;&lt;p class="alignleft"&gt;Heroic Fortune, Mass&lt;/p&gt;&lt;div style="clear: both;"&gt;&lt;/div&gt;&lt;/div&gt;&lt;div&gt;&lt;h5&gt;&lt;b&gt;School &lt;/b&gt;evocation; &lt;b&gt;Level &lt;/b&gt;bard 4, cleric/oracle 5&lt;/h5&gt;&lt;/div&gt;&lt;hr/&gt;&lt;div&gt;&lt;h5&gt;&lt;b&gt;CASTING&lt;/b&gt;&lt;/h5&gt;&lt;/div&gt;&lt;hr/&gt;&lt;div&gt;&lt;h5&gt;&lt;b&gt;Casting Time &lt;/b&gt;1 standard action&lt;/h5&gt;&lt;h5&gt;&lt;b&gt;Components &lt;/b&gt;V, S, DF, M (diamond dust worth 1,000 gp)&lt;/h5&gt;&lt;/div&gt;&lt;hr/&gt;&lt;div&gt;&lt;h5&gt;&lt;b&gt;EFFECT&lt;/b&gt;&lt;/h5&gt;&lt;/div&gt;&lt;hr/&gt;&lt;div&gt;&lt;h5&gt;&lt;b&gt;Range &lt;/b&gt;close (25 ft. + 5 ft./2 levels)&lt;/h5&gt;&lt;h5&gt;&lt;b&gt;Targets &lt;/b&gt;one or more creatures, no two of which can be more  than 30 ft. apart&lt;/h5&gt;&lt;h5&gt;&lt;b&gt;Duration &lt;/b&gt;1 round/level&lt;/h5&gt;&lt;h5&gt;&lt;b&gt;Saving Throw &lt;/b&gt;Will negates (harmless); &lt;b&gt;Spell Resistance &lt;/b&gt;no&lt;/h5&gt;&lt;/div&gt;&lt;hr/&gt;&lt;div&gt;&lt;h5&gt;&lt;b&gt;DESCRIPTION&lt;/b&gt;&lt;/h5&gt;&lt;/div&gt;&lt;hr/&gt;&lt;div&gt;&lt;h4&gt;&lt;p&gt;This spell functions like &lt;i&gt;heroic fortune&lt;/i&gt;, except as noted above.&lt;/p&gt;&lt;/h4&gt;&lt;/div&gt;</t>
  </si>
  <si>
    <t>Malediction</t>
  </si>
  <si>
    <t>V, S, F (onyx dust worth 500 gp)</t>
  </si>
  <si>
    <t>instantaneous/1 minute per HD of the target; see text</t>
  </si>
  <si>
    <t>You utter a dire curse over the body of a dying creature, allowing you to consume its waning life force. Upon this spell, you touch a living creature that has -1 or fewer hit points. If the target fails its saving throw, it dies and you gain 1 hero point for every 5 Hit Dice possessed by the target (minimum 1, maximum 3). These hero points last for a number of minutes equal to the target's Hit Dice. Any hero points remaining when this spell ends are lost.</t>
  </si>
  <si>
    <t>&lt;p&gt;You utter a dire curse over the body of a dying creature, allowing you to consume its waning life force. Upon this spell, you touch a living creature that has -1 or fewer hit points. If the target fails its saving throw, it dies and you gain 1 hero point for every 5 Hit Dice possessed by the target (minimum 1, maximum 3). These hero points last for a number of minutes equal to the target's Hit Dice. Any hero points remaining when this spell ends are lost.&lt;/p&gt;</t>
  </si>
  <si>
    <t>&lt;link rel="stylesheet"href="PF.css"&gt;&lt;div class="heading"&gt;&lt;p class="alignleft"&gt;Malediction&lt;/p&gt;&lt;div style="clear: both;"&gt;&lt;/div&gt;&lt;/div&gt;&lt;div&gt;&lt;h5&gt;&lt;b&gt;School &lt;/b&gt;necromancy [death, evil]; &lt;b&gt;Level &lt;/b&gt;sorcerer/wizard 3, witch 3&lt;/h5&gt;&lt;/div&gt;&lt;hr/&gt;&lt;div&gt;&lt;h5&gt;&lt;b&gt;CASTING&lt;/b&gt;&lt;/h5&gt;&lt;/div&gt;&lt;hr/&gt;&lt;div&gt;&lt;h5&gt;&lt;b&gt;Casting Time &lt;/b&gt;1 standard action&lt;/h5&gt;&lt;h5&gt;&lt;b&gt;Components &lt;/b&gt;V, S, F (onyx dust worth 500 gp)&lt;/h5&gt;&lt;/div&gt;&lt;hr/&gt;&lt;div&gt;&lt;h5&gt;&lt;b&gt;EFFECT&lt;/b&gt;&lt;/h5&gt;&lt;/div&gt;&lt;hr/&gt;&lt;div&gt;&lt;h5&gt;&lt;b&gt;Range &lt;/b&gt;touch&lt;/h5&gt;&lt;h5&gt;&lt;b&gt;Targets &lt;/b&gt;living creature touched&lt;/h5&gt;&lt;h5&gt;&lt;b&gt;Duration &lt;/b&gt;instantaneous/1 minute per HD of the target; see text&lt;/h5&gt;&lt;h5&gt;&lt;b&gt;Saving Throw &lt;/b&gt;Will negates; &lt;b&gt;Spell Resistance &lt;/b&gt;yes&lt;/h5&gt;&lt;/div&gt;&lt;hr/&gt;&lt;div&gt;&lt;h5&gt;&lt;b&gt;DESCRIPTION&lt;/b&gt;&lt;/h5&gt;&lt;/div&gt;&lt;hr/&gt;&lt;div&gt;&lt;h4&gt;&lt;p&gt;You utter a dire curse over the body of a dying creature, allowing you to consume its waning life force. Upon this spell, you touch a living creature that has -1 or fewer hit points. If the target fails its saving throw, it dies and you gain 1 hero point for every 5 Hit Dice possessed by the target (minimum 1, maximum 3). These hero points last for a number of minutes equal to the target's Hit Dice. Any hero points remaining when this spell ends are lost.&lt;/p&gt;&lt;/h4&gt;&lt;/div&gt;</t>
  </si>
  <si>
    <t>Severed Fate</t>
  </si>
  <si>
    <t>cleric/oracle 3, witch 2</t>
  </si>
  <si>
    <t>You curse the target, preventing it from drawing upon the powers of destiny. The target is shaken and cannot use hero points for the duration of the spell. This effect can be removed by dispel magic, remove curse, or other similar effects.</t>
  </si>
  <si>
    <t>&lt;p&gt;You curse the target, preventing it from drawing upon the powers of destiny. The target is shaken and cannot use hero points for the duration of the spell. This effect can be removed by &lt;i&gt;dispel magic&lt;/i&gt;, &lt;i&gt;remove curse&lt;/i&gt;, or other similar effects.&lt;/p&gt;</t>
  </si>
  <si>
    <t>&lt;link rel="stylesheet"href="PF.css"&gt;&lt;div class="heading"&gt;&lt;p class="alignleft"&gt;Severed Fate&lt;/p&gt;&lt;div style="clear: both;"&gt;&lt;/div&gt;&lt;/div&gt;&lt;div&gt;&lt;h5&gt;&lt;b&gt;School &lt;/b&gt;enchantment; &lt;b&gt;Level &lt;/b&gt;cleric/oracle 3,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&lt;/b&gt;10 minutes/level&lt;/h5&gt;&lt;h5&gt;&lt;b&gt;Saving Throw &lt;/b&gt;Will negates; &lt;b&gt;Spell Resistance &lt;/b&gt;yes&lt;/h5&gt;&lt;/div&gt;&lt;hr/&gt;&lt;div&gt;&lt;h5&gt;&lt;b&gt;DESCRIPTION&lt;/b&gt;&lt;/h5&gt;&lt;/div&gt;&lt;hr/&gt;&lt;div&gt;&lt;h4&gt;&lt;p&gt;You curse the target, preventing it from drawing upon the powers of destiny. The target is shaken and cannot use hero points for the duration of the spell. This effect can be removed by &lt;i&gt;dispel magic&lt;/i&gt;, &lt;i&gt;remove curse&lt;/i&gt;, or other similar effects.&lt;/p&gt;&lt;/h4&gt;&lt;/div&gt;</t>
  </si>
  <si>
    <t>Unravel Destiny</t>
  </si>
  <si>
    <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t>
  </si>
  <si>
    <t>&lt;p&gt;You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effect.&lt;/p&gt;</t>
  </si>
  <si>
    <t>&lt;link rel="stylesheet"href="PF.css"&gt;&lt;div class="heading"&gt;&lt;p class="alignleft"&gt;Unravel Destiny&lt;/p&gt;&lt;div style="clear: both;"&gt;&lt;/div&gt;&lt;/div&gt;&lt;div&gt;&lt;h5&gt;&lt;b&gt;School &lt;/b&gt;divination; &lt;b&gt;Level &lt;/b&gt;cleric/oracle 3, sorcerer/wizard 3, witch 3&lt;/h5&gt;&lt;/div&gt;&lt;hr/&gt;&lt;div&gt;&lt;h5&gt;&lt;b&gt;CASTING&lt;/b&gt;&lt;/h5&gt;&lt;/div&gt;&lt;hr/&gt;&lt;div&gt;&lt;h5&gt;&lt;b&gt;Casting Time &lt;/b&gt;1 standard action&lt;/h5&gt;&lt;h5&gt;&lt;b&gt;Components &lt;/b&gt;V, S, DF&lt;/h5&gt;&lt;/div&gt;&lt;hr/&gt;&lt;div&gt;&lt;h5&gt;&lt;b&gt;EFFECT&lt;/b&gt;&lt;/h5&gt;&lt;/div&gt;&lt;hr/&gt;&lt;div&gt;&lt;h5&gt;&lt;b&gt;Range &lt;/b&gt;short (25 ft. + 5 ft./2 levels)&lt;/h5&gt;&lt;h5&gt;&lt;b&gt;Targets &lt;/b&gt;one creature&lt;/h5&gt;&lt;h5&gt;&lt;b&gt;Duration &lt;/b&gt;1 round/level&lt;/h5&gt;&lt;h5&gt;&lt;b&gt;Saving Throw &lt;/b&gt;Will negates; &lt;b&gt;Spell Resistance &lt;/b&gt;yes&lt;/h5&gt;&lt;/div&gt;&lt;hr/&gt;&lt;div&gt;&lt;h5&gt;&lt;b&gt;DESCRIPTION&lt;/b&gt;&lt;/h5&gt;&lt;/div&gt;&lt;hr/&gt;&lt;div&gt;&lt;h4&gt;&lt;p&gt;You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effect.&lt;/p&gt;&lt;/h4&gt;&lt;/div&gt;</t>
  </si>
  <si>
    <t>Embrace Destiny</t>
  </si>
  <si>
    <t>oracle 1, sorcerer/wizard 2, witch 2</t>
  </si>
  <si>
    <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embrace destiny active on you at the same time.</t>
  </si>
  <si>
    <t>&lt;p&gt;Upon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&lt;i&gt;embrace destiny&lt;/i&gt; active on you at the same time.&lt;/p&gt;</t>
  </si>
  <si>
    <t>Lost Kingdoms</t>
  </si>
  <si>
    <t>&lt;link rel="stylesheet"href="PF.css"&gt;&lt;div class="heading"&gt;&lt;p class="alignleft"&gt;Embrace Destiny&lt;/p&gt;&lt;div style="clear: both;"&gt;&lt;/div&gt;&lt;/div&gt;&lt;div&gt;&lt;h5&gt;&lt;b&gt;School &lt;/b&gt;divination; &lt;b&gt;Level &lt;/b&gt;oracle 1,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(see text)&lt;/h5&gt;&lt;/div&gt;&lt;hr/&gt;&lt;div&gt;&lt;h5&gt;&lt;b&gt;DESCRIPTION&lt;/b&gt;&lt;/h5&gt;&lt;/div&gt;&lt;hr/&gt;&lt;div&gt;&lt;h4&gt;&lt;p&gt;Upon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&lt;i&gt;embrace destiny&lt;/i&gt; active on you at the same time.&lt;/p&gt;&lt;/h4&gt;&lt;/div&gt;</t>
  </si>
  <si>
    <t>Groundswell</t>
  </si>
  <si>
    <t>cleric/oracle 2, druid 2, magus 2, ranger 2</t>
  </si>
  <si>
    <t>This spell allows the target to cause the ground to rise up beneath him. As a swift action, the target can cause the ground to rise 5 feet, while all adjacent squares are treated as steep slopes (Core Rulebook 428). The groundswell precludes flanking from creatures standing at lower elevations than the target. If the target moves after creating a groundswell, the ground returns to its normal elevation at the end of his turn; otherwise, it remains in place until the target moves or uses a swift action to return the ground to normal. A groundswell cannot increase elevation of the ground beyond 5 feet.</t>
  </si>
  <si>
    <t>&lt;p&gt;This spell allows the target to cause the ground to rise up beneath him. As a swift action, the target can cause the ground to rise 5 feet, while all adjacent squares are treated as steep slopes (&lt;i&gt;Core Rulebook&lt;/i&gt; 428). The &lt;i&gt;groundswell&lt;/i&gt; precludes flanking from creatures standing at lower elevations than the target. If the target moves after creating a &lt;i&gt;groundswell&lt;/i&gt;, the ground returns to its normal elevation at the end of his turn; otherwise, it remains in place until the target moves or uses a swift action to return the ground to normal. A &lt;i&gt;groundswell&lt;/i&gt; cannot increase elevation of the ground beyond 5 feet.&lt;/p&gt;</t>
  </si>
  <si>
    <t>Advanced Race Guide</t>
  </si>
  <si>
    <t>&lt;link rel="stylesheet"href="PF.css"&gt;&lt;div class="heading"&gt;&lt;p class="alignleft"&gt;Groundswell&lt;/p&gt;&lt;div style="clear: both;"&gt;&lt;/div&gt;&lt;/div&gt;&lt;div&gt;&lt;h5&gt;&lt;b&gt;School &lt;/b&gt;transmutation [earth]; &lt;b&gt;Level &lt;/b&gt;cleric/oracle 2, druid 2, magus 2, ranger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allows the target to cause the ground to rise up beneath him. As a swift action, the target can cause the ground to rise 5 feet, while all adjacent squares are treated as steep slopes (&lt;i&gt;Core Rulebook&lt;/i&gt; 428). The &lt;i&gt;groundswell&lt;/i&gt; precludes flanking from creatures standing at lower elevations than the target. If the target moves after creating a &lt;i&gt;groundswell&lt;/i&gt;, the ground returns to its normal elevation at the end of his turn; otherwise, it remains in place until the target moves or uses a swift action to return the ground to normal. A &lt;i&gt;groundswell&lt;/i&gt; cannot increase elevation of the ground beyond 5 feet.&lt;/p&gt;&lt;/h4&gt;&lt;/div&gt;</t>
  </si>
  <si>
    <t>Ironbeard</t>
  </si>
  <si>
    <t>antipaladin 1, cleric/oracle 1, magus 1, paladin 1, ranger 1</t>
  </si>
  <si>
    <t>This spell causes a brushy beard of stiff iron to erupt from the face of a willing target. The ironbeard grants a +1 armor bonus to AC, and this bonus stacks with any armor worn by the creature. The ironbeard may also be used as a weapon equivalent to cold iron armor spikes. The ironbeard makes it difficult to speak, so any spellcasting with a verbal component has a 20% spell failure chance.</t>
  </si>
  <si>
    <t>&lt;p&gt;This spell causes a brushy beard of stiff iron to erupt from the face of a willing target. The &lt;i&gt;ironbeard&lt;/i&gt; grants a +1 armor bonus to AC, and this bonus stacks with any armor worn by the creature. The &lt;i&gt;ironbeard&lt;/i&gt; may also be used as a weapon equivalent to cold iron armor spikes. The &lt;i&gt;ironbeard&lt;/i&gt; makes it difficult to speak, so any spellcasting with a verbal component has a 20% spell failure chance.&lt;/p&gt;</t>
  </si>
  <si>
    <t>&lt;link rel="stylesheet"href="PF.css"&gt;&lt;div class="heading"&gt;&lt;p class="alignleft"&gt;Ironbeard&lt;/p&gt;&lt;div style="clear: both;"&gt;&lt;/div&gt;&lt;/div&gt;&lt;div&gt;&lt;h5&gt;&lt;b&gt;School &lt;/b&gt;transmutation; &lt;b&gt;Level &lt;/b&gt;antipaladin 1, cleric/oracle 1, magus 1, paladin 1, ranger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causes a brushy beard of stiff iron to erupt from the face of a willing target. The &lt;i&gt;ironbeard&lt;/i&gt; grants a +1 armor bonus to AC, and this bonus stacks with any armor worn by the creature. The &lt;i&gt;ironbeard&lt;/i&gt; may also be used as a weapon equivalent to cold iron armor spikes. The &lt;i&gt;ironbeard&lt;/i&gt; makes it difficult to speak, so any spellcasting with a verbal component has a 20% spell failure chance.&lt;/p&gt;&lt;/h4&gt;&lt;/div&gt;</t>
  </si>
  <si>
    <t>Toilsome Chant</t>
  </si>
  <si>
    <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t>
  </si>
  <si>
    <t>&lt;p&gt;You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performance.&lt;/p&gt;</t>
  </si>
  <si>
    <t>&lt;link rel="stylesheet"href="PF.css"&gt;&lt;div class="heading"&gt;&lt;p class="alignleft"&gt;Toilsome Chant&lt;/p&gt;&lt;div style="clear: both;"&gt;&lt;/div&gt;&lt;/div&gt;&lt;div&gt;&lt;h5&gt;&lt;b&gt;School &lt;/b&gt;enchantment (compulsion) [mind-affecting]; &lt;b&gt;Level &lt;/b&gt;bard 1&lt;/h5&gt;&lt;/div&gt;&lt;hr/&gt;&lt;div&gt;&lt;h5&gt;&lt;b&gt;CASTING&lt;/b&gt;&lt;/h5&gt;&lt;/div&gt;&lt;hr/&gt;&lt;div&gt;&lt;h5&gt;&lt;b&gt;Casting Time &lt;/b&gt;see text&lt;/h5&gt;&lt;h5&gt;&lt;b&gt;Components &lt;/b&gt;V, S&lt;/h5&gt;&lt;/div&gt;&lt;hr/&gt;&lt;div&gt;&lt;h5&gt;&lt;b&gt;EFFECT&lt;/b&gt;&lt;/h5&gt;&lt;/div&gt;&lt;hr/&gt;&lt;div&gt;&lt;h5&gt;&lt;b&gt;Range &lt;/b&gt;close (25 ft. + 5 ft./2 levels)&lt;/h5&gt;&lt;h5&gt;&lt;b&gt;Targets &lt;/b&gt;one living creature&lt;/h5&gt;&lt;h5&gt;&lt;b&gt;Duration &lt;/b&gt;see text&lt;/h5&gt;&lt;h5&gt;&lt;b&gt;Saving Throw &lt;/b&gt;Will negates (harmless); &lt;b&gt;Spell Resistance &lt;/b&gt;yes (harmless)&lt;/h5&gt;&lt;/div&gt;&lt;hr/&gt;&lt;div&gt;&lt;h5&gt;&lt;b&gt;DESCRIPTION&lt;/b&gt;&lt;/h5&gt;&lt;/div&gt;&lt;hr/&gt;&lt;div&gt;&lt;h4&gt;&lt;p&gt;You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performance.&lt;/p&gt;&lt;/h4&gt;&lt;/div&gt;</t>
  </si>
  <si>
    <t>Blend</t>
  </si>
  <si>
    <t>alchemist 1, druid 1, magus 1, ranger 1, sorcerer/wizard 1, witch 1, shaman 1, psychic 1, mesmerist 1</t>
  </si>
  <si>
    <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t>
  </si>
  <si>
    <t>&lt;p&gt;You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invisibility).&lt;/p&gt;</t>
  </si>
  <si>
    <t>&lt;link rel="stylesheet"href="PF.css"&gt;&lt;div class="heading"&gt;&lt;p class="alignleft"&gt;Blend&lt;/p&gt;&lt;div style="clear: both;"&gt;&lt;/div&gt;&lt;/div&gt;&lt;div&gt;&lt;h5&gt;&lt;b&gt;School &lt;/b&gt;illusion (glamer); &lt;b&gt;Level &lt;/b&gt;alchemist 1, druid 1, magus 1, ranger 1, sorcerer/wizard 1, witch 1, shaman 1, psychic 1, mesmerist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&lt;/b&gt;10 minutes/level&lt;/h5&gt;&lt;/div&gt;&lt;hr/&gt;&lt;div&gt;&lt;h5&gt;&lt;b&gt;DESCRIPTION&lt;/b&gt;&lt;/h5&gt;&lt;/div&gt;&lt;hr/&gt;&lt;div&gt;&lt;h4&gt;&lt;p&gt;You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invisibility).&lt;/p&gt;&lt;/h4&gt;&lt;/div&gt;</t>
  </si>
  <si>
    <t>Ward Of The Season</t>
  </si>
  <si>
    <t>cleric/oracle 4, druid 3, ranger 3, witch 3, shaman 3</t>
  </si>
  <si>
    <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Spring: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Summer: The target is surrounded by tiny motes of light. While the spell remains in effect, the target's base speed increases 10 feet. The target may instead increase its base speed by 30 feet for 1 round by reducing the spell's total remaining duration by 1 hour.  Fall: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Winter: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t>
  </si>
  <si>
    <t>&lt;p&gt;This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&lt;i&gt;Spring&lt;/i&gt;: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&lt;i&gt;Summer&lt;/i&gt;: The target is surrounded by tiny motes of light. While the spell remains in effect, the target's base speed increases 10 feet. The target may instead increase its base speed by 30 feet for 1 round by reducing the spell's total remaining duration by 1 hour.  &lt;i&gt;Fall&lt;/i&gt;: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&lt;i&gt;Winter&lt;/i&gt;: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normally.&lt;/p&gt;</t>
  </si>
  <si>
    <t>&lt;link rel="stylesheet"href="PF.css"&gt;&lt;div class="heading"&gt;&lt;p class="alignleft"&gt;Ward Of The Season&lt;/p&gt;&lt;div style="clear: both;"&gt;&lt;/div&gt;&lt;/div&gt;&lt;div&gt;&lt;h5&gt;&lt;b&gt;School &lt;/b&gt;abjuration; &lt;b&gt;Level &lt;/b&gt;cleric/oracle 4, druid 3, ranger 3, witch 3, shaman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&lt;/b&gt;1 hour/level&lt;/h5&gt;&lt;h5&gt;&lt;b&gt;Saving Throw &lt;/b&gt;Will negates (harmless); &lt;b&gt;Spell Resistance &lt;/b&gt;no&lt;/h5&gt;&lt;/div&gt;&lt;hr/&gt;&lt;div&gt;&lt;h5&gt;&lt;b&gt;DESCRIPTION&lt;/b&gt;&lt;/h5&gt;&lt;/div&gt;&lt;hr/&gt;&lt;div&gt;&lt;h4&gt;&lt;p&gt;This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&lt;i&gt;Spring&lt;/i&gt;: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&lt;i&gt;Summer&lt;/i&gt;: The target is surrounded by tiny motes of light. While the spell remains in effect, the target's base speed increases 10 feet. The target may instead increase its base speed by 30 feet for 1 round by reducing the spell's total remaining duration by 1 hour.  &lt;i&gt;Fall&lt;/i&gt;: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&lt;i&gt;Winter&lt;/i&gt;: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normally.&lt;/p&gt;&lt;/h4&gt;&lt;/div&gt;</t>
  </si>
  <si>
    <t>Whispering Lore</t>
  </si>
  <si>
    <t>cleric/oracle 2, druid 1, ranger 1, witch 1, psychic 1</t>
  </si>
  <si>
    <t>1 full-round action</t>
  </si>
  <si>
    <t>V, S, M/DF (an owl's beak)</t>
  </si>
  <si>
    <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t>
  </si>
  <si>
    <t>&lt;p&gt;Upon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bonus.&lt;/p&gt;</t>
  </si>
  <si>
    <t>&lt;link rel="stylesheet"href="PF.css"&gt;&lt;div class="heading"&gt;&lt;p class="alignleft"&gt;Whispering Lore&lt;/p&gt;&lt;div style="clear: both;"&gt;&lt;/div&gt;&lt;/div&gt;&lt;div&gt;&lt;h5&gt;&lt;b&gt;School &lt;/b&gt;divination; &lt;b&gt;Level &lt;/b&gt;cleric/oracle 2, druid 1, ranger 1, witch 1, psychic 1&lt;/h5&gt;&lt;/div&gt;&lt;hr/&gt;&lt;div&gt;&lt;h5&gt;&lt;b&gt;CASTING&lt;/b&gt;&lt;/h5&gt;&lt;/div&gt;&lt;hr/&gt;&lt;div&gt;&lt;h5&gt;&lt;b&gt;Casting Time &lt;/b&gt;1 full-round action&lt;/h5&gt;&lt;h5&gt;&lt;b&gt;Components &lt;/b&gt;V, S, M/DF (an owl's beak)&lt;/h5&gt;&lt;/div&gt;&lt;hr/&gt;&lt;div&gt;&lt;h5&gt;&lt;b&gt;EFFECT&lt;/b&gt;&lt;/h5&gt;&lt;/div&gt;&lt;hr/&gt;&lt;div&gt;&lt;h5&gt;&lt;b&gt;Range &lt;/b&gt;personal&lt;/h5&gt;&lt;h5&gt;&lt;b&gt;Targets &lt;/b&gt;you&lt;/h5&gt;&lt;h5&gt;&lt;b&gt;Duration &lt;/b&gt;10 minutes/level (D)&lt;/h5&gt;&lt;/div&gt;&lt;hr/&gt;&lt;div&gt;&lt;h5&gt;&lt;b&gt;DESCRIPTION&lt;/b&gt;&lt;/h5&gt;&lt;/div&gt;&lt;hr/&gt;&lt;div&gt;&lt;h4&gt;&lt;p&gt;Upon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bonus.&lt;/p&gt;&lt;/h4&gt;&lt;/div&gt;</t>
  </si>
  <si>
    <t>Death From Below</t>
  </si>
  <si>
    <t>bard 3, sorcerer/wizard 2, bloodrager 2</t>
  </si>
  <si>
    <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t>
  </si>
  <si>
    <t>&lt;p&gt;You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levels.&lt;/p&gt;</t>
  </si>
  <si>
    <t>&lt;link rel="stylesheet"href="PF.css"&gt;&lt;div class="heading"&gt;&lt;p class="alignleft"&gt;Death From Below&lt;/p&gt;&lt;div style="clear: both;"&gt;&lt;/div&gt;&lt;/div&gt;&lt;div&gt;&lt;h5&gt;&lt;b&gt;School &lt;/b&gt;abjuration; &lt;b&gt;Level &lt;/b&gt;bard 3,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levels.&lt;/p&gt;&lt;/h4&gt;&lt;/div&gt;</t>
  </si>
  <si>
    <t>Jitterbugs</t>
  </si>
  <si>
    <t>short (25 ft. +5 ft. 2/levels)</t>
  </si>
  <si>
    <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t>
  </si>
  <si>
    <t>&lt;p&gt;You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actions.&lt;/p&gt;</t>
  </si>
  <si>
    <t>&lt;link rel="stylesheet"href="PF.css"&gt;&lt;div class="heading"&gt;&lt;p class="alignleft"&gt;Jitterbugs&lt;/p&gt;&lt;div style="clear: both;"&gt;&lt;/div&gt;&lt;/div&gt;&lt;div&gt;&lt;h5&gt;&lt;b&gt;School &lt;/b&gt;illusion (figment) [mind-affecting]; &lt;b&gt;Level &lt;/b&gt;bard 1, sorcerer/wizard 2, psychic 2, mesmerist 1&lt;/h5&gt;&lt;/div&gt;&lt;hr/&gt;&lt;div&gt;&lt;h5&gt;&lt;b&gt;CASTING&lt;/b&gt;&lt;/h5&gt;&lt;/div&gt;&lt;hr/&gt;&lt;div&gt;&lt;h5&gt;&lt;b&gt;Casting Time &lt;/b&gt;1 standard action&lt;/h5&gt;&lt;h5&gt;&lt;b&gt;Components &lt;/b&gt;V, S&lt;/h5&gt;&lt;/div&gt;&lt;hr/&gt;&lt;div&gt;&lt;h5&gt;&lt;b&gt;EFFECT&lt;/b&gt;&lt;/h5&gt;&lt;/div&gt;&lt;hr/&gt;&lt;div&gt;&lt;h5&gt;&lt;b&gt;Range &lt;/b&gt;short (25 ft. +5 ft. 2/levels)&lt;/h5&gt;&lt;h5&gt;&lt;b&gt;Targets &lt;/b&gt;one creature&lt;/h5&gt;&lt;h5&gt;&lt;b&gt;Duration &lt;/b&gt;1 round/level&lt;/h5&gt;&lt;h5&gt;&lt;b&gt;Saving Throw &lt;/b&gt;Will negates; &lt;b&gt;Spell Resistance &lt;/b&gt;yes&lt;/h5&gt;&lt;/div&gt;&lt;hr/&gt;&lt;div&gt;&lt;h5&gt;&lt;b&gt;DESCRIPTION&lt;/b&gt;&lt;/h5&gt;&lt;/div&gt;&lt;hr/&gt;&lt;div&gt;&lt;h4&gt;&lt;p&gt;You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actions.&lt;/p&gt;&lt;/h4&gt;&lt;h5&gt;&lt;b&gt;Mythic: &lt;/b&gt;Starting on the second round of the spell, the affected target must succeed at a Fortitude save on your turn or be nauseated for 1 round, as if distracted by an actual swarm.&lt;/h5&gt;&lt;/div&gt;</t>
  </si>
  <si>
    <t>Starting on the second round of the spell, the affected target must succeed at a Fortitude save on your turn or be nauseated for 1 round, as if distracted by an actual swarm.</t>
  </si>
  <si>
    <t>Major Phantom Object</t>
  </si>
  <si>
    <t>illusory, unattended, nonmagical object, up to 1 cu. ft./level</t>
  </si>
  <si>
    <t>This spell functions as the major creation spell,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</si>
  <si>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&lt;i&gt;major creation spell&lt;/i&gt;,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</si>
  <si>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&lt;link rel="stylesheet"href="PF.css"&gt;&lt;div class="heading"&gt;&lt;p class="alignleft"&gt;Major Phantom Object&lt;/p&gt;&lt;div style="clear: both;"&gt;&lt;/div&gt;&lt;/div&gt;&lt;div&gt;&lt;h5&gt;&lt;b&gt;School &lt;/b&gt;illusion (shadow) [shadow]; &lt;b&gt;Level &lt;/b&gt;sorcerer/wizard 5, psychic 5, mesmerist 5&lt;/h5&gt;&lt;/div&gt;&lt;hr/&gt;&lt;div&gt;&lt;h5&gt;&lt;b&gt;CASTING&lt;/b&gt;&lt;/h5&gt;&lt;/div&gt;&lt;hr/&gt;&lt;div&gt;&lt;h5&gt;&lt;b&gt;Casting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levels)&lt;/h5&gt;&lt;h5&gt;&lt;b&gt;Effect &lt;/b&gt;illusory, unattended, nonmagical object, up to 1 cu. ft./level&lt;/h5&gt;&lt;h5&gt;&lt;b&gt;Duration &lt;/b&gt;10 minutes/level (D)&lt;/h5&gt;&lt;h5&gt;&lt;b&gt;Saving Throw &lt;/b&gt;Will negates; &lt;b&gt;Spell Resistance &lt;/b&gt;yes&lt;/h5&gt;&lt;/div&gt;&lt;hr/&gt;&lt;div&gt;&lt;h5&gt;&lt;b&gt;DESCRIPTION&lt;/b&gt;&lt;/h5&gt;&lt;/div&gt;&lt;hr/&gt;&lt;div&gt;&lt;h4&gt;&lt;p&gt;This spell functions as the &lt;i&gt;major creation spell&lt;/i&gt;,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item.&lt;/p&gt;&lt;/h4&gt;&lt;/div&gt;</t>
  </si>
  <si>
    <t>Minor Dream</t>
  </si>
  <si>
    <t>alchemist 2, bard 3, sorcerer/wizard 3, witch 2, psychic 3, mesmerist 3</t>
  </si>
  <si>
    <t>you or one gnome touched</t>
  </si>
  <si>
    <t>This spell functions as the dream spell, except as follows. The messenger must be yourself or a gnome touched. The message can be no longer than 20 words. If the recipient of the message is not asleep when the spell is cast, the spell automatically fails.</t>
  </si>
  <si>
    <t>&lt;p&gt;This spell functions as the &lt;i&gt;dream&lt;/i&gt; spell, except as follows. The messenger must be yourself or a gnome touched. The message can be no longer than 20 words. If the recipient of the message is not asleep when the spell is cast, the spell automatically fails.&lt;/p&gt;</t>
  </si>
  <si>
    <t>&lt;link rel="stylesheet"href="PF.css"&gt;&lt;div class="heading"&gt;&lt;p class="alignleft"&gt;Minor Dream&lt;/p&gt;&lt;div style="clear: both;"&gt;&lt;/div&gt;&lt;/div&gt;&lt;div&gt;&lt;h5&gt;&lt;b&gt;School &lt;/b&gt;illusion (figment) [mind-affecting]; &lt;b&gt;Level &lt;/b&gt;alchemist 2, bard 3, sorcerer/wizard 3, witch 2, psychic 3, mesmerist 3&lt;/h5&gt;&lt;/div&gt;&lt;hr/&gt;&lt;div&gt;&lt;h5&gt;&lt;b&gt;CASTING&lt;/b&gt;&lt;/h5&gt;&lt;/div&gt;&lt;hr/&gt;&lt;div&gt;&lt;h5&gt;&lt;b&gt;Casting Time &lt;/b&gt;1 minute&lt;/h5&gt;&lt;h5&gt;&lt;b&gt;Components &lt;/b&gt;V, S&lt;/h5&gt;&lt;/div&gt;&lt;hr/&gt;&lt;div&gt;&lt;h5&gt;&lt;b&gt;EFFECT&lt;/b&gt;&lt;/h5&gt;&lt;/div&gt;&lt;hr/&gt;&lt;div&gt;&lt;h5&gt;&lt;b&gt;Range &lt;/b&gt;unlimited&lt;/h5&gt;&lt;h5&gt;&lt;b&gt;Targets &lt;/b&gt;you or one gnome touched&lt;/h5&gt;&lt;h5&gt;&lt;b&gt;Duration &lt;/b&gt;see text&lt;/h5&gt;&lt;h5&gt;&lt;b&gt;Saving Throw &lt;/b&gt;none; &lt;b&gt;Spell Resistance &lt;/b&gt;yes&lt;/h5&gt;&lt;/div&gt;&lt;hr/&gt;&lt;div&gt;&lt;h5&gt;&lt;b&gt;DESCRIPTION&lt;/b&gt;&lt;/h5&gt;&lt;/div&gt;&lt;hr/&gt;&lt;div&gt;&lt;h4&gt;&lt;p&gt;This spell functions as the &lt;i&gt;dream&lt;/i&gt; spell, except as follows. The messenger must be yourself or a gnome touched. The message can be no longer than 20 words. If the recipient of the message is not asleep when the spell is cast, the spell automatically fails.&lt;/p&gt;&lt;/h4&gt;&lt;/div&gt;</t>
  </si>
  <si>
    <t>Minor Phantom Object</t>
  </si>
  <si>
    <t>sorcerer/wizard 4, psychic 4, mesmerist 4</t>
  </si>
  <si>
    <t>illusory, unattended, nonmagical object of nonliving plant matter, up to 1 cu. ft./level</t>
  </si>
  <si>
    <t>This spell functions as the minor creation spell, except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</si>
  <si>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&lt;i&gt;minor creation spell&lt;/i&gt;, except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</si>
  <si>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&lt;link rel="stylesheet"href="PF.css"&gt;&lt;div class="heading"&gt;&lt;p class="alignleft"&gt;Minor Phantom Object&lt;/p&gt;&lt;div style="clear: both;"&gt;&lt;/div&gt;&lt;/div&gt;&lt;div&gt;&lt;h5&gt;&lt;b&gt;School &lt;/b&gt;illusion (figment) [mind-affecting]; &lt;b&gt;Level &lt;/b&gt;sorcerer/wizard 4, psychic 4, mesmerist 4&lt;/h5&gt;&lt;/div&gt;&lt;hr/&gt;&lt;div&gt;&lt;h5&gt;&lt;b&gt;CASTING&lt;/b&gt;&lt;/h5&gt;&lt;/div&gt;&lt;hr/&gt;&lt;div&gt;&lt;h5&gt;&lt;b&gt;Casting Time &lt;/b&gt;1 minute&lt;/h5&gt;&lt;h5&gt;&lt;b&gt;Components &lt;/b&gt;V, S&lt;/h5&gt;&lt;/div&gt;&lt;hr/&gt;&lt;div&gt;&lt;h5&gt;&lt;b&gt;EFFECT&lt;/b&gt;&lt;/h5&gt;&lt;/div&gt;&lt;hr/&gt;&lt;div&gt;&lt;h5&gt;&lt;b&gt;Range &lt;/b&gt;0 ft.&lt;/h5&gt;&lt;h5&gt;&lt;b&gt;Effect &lt;/b&gt;illusory, unattended, nonmagical object of nonliving plant matter, up to 1 cu. ft./level&lt;/h5&gt;&lt;h5&gt;&lt;b&gt;Duration &lt;/b&gt;10 minutes/level (D)&lt;/h5&gt;&lt;h5&gt;&lt;b&gt;Saving Throw &lt;/b&gt;Will negates; &lt;b&gt;Spell Resistance &lt;/b&gt;yes&lt;/h5&gt;&lt;/div&gt;&lt;hr/&gt;&lt;div&gt;&lt;h5&gt;&lt;b&gt;DESCRIPTION&lt;/b&gt;&lt;/h5&gt;&lt;/div&gt;&lt;hr/&gt;&lt;div&gt;&lt;h4&gt;&lt;p&gt;This spell functions as the &lt;i&gt;minor creation spell&lt;/i&gt;, except the object created is a semi-real illusion. Any creature that interacts with the object may make a Will save, with success causing the object to cease to exist. A gnome casting this spell may make a Spellcraft check in place of any Craft check required to make a complex item.&lt;/p&gt;&lt;/h4&gt;&lt;/div&gt;</t>
  </si>
  <si>
    <t>Recharge Innate Magic</t>
  </si>
  <si>
    <t>alchemist 1, bard 1, cleric/oracle 1, druid 1, inquisitor 1, magus 1, sorcerer/wizard 1, witch 1, psychic 1, mesmerist 1</t>
  </si>
  <si>
    <t>You channel magic energy into your own aura, recharging your innate magic abilities. You regain one use of all 0-level and 1st-level spell-like abilities you can use as a result of a racial trait.</t>
  </si>
  <si>
    <t>&lt;p&gt;You channel magic energy into your own aura, recharging your innate magic abilities. You regain one use of all 0-level and 1st-level spell-like abilities you can use as a result of a racial trait.&lt;/p&gt;</t>
  </si>
  <si>
    <t>&lt;link rel="stylesheet"href="PF.css"&gt;&lt;div class="heading"&gt;&lt;p class="alignleft"&gt;Recharge Innate Magic&lt;/p&gt;&lt;div style="clear: both;"&gt;&lt;/div&gt;&lt;/div&gt;&lt;div&gt;&lt;h5&gt;&lt;b&gt;School &lt;/b&gt;transmutation; &lt;b&gt;Level &lt;/b&gt;alchemist 1, bard 1, cleric/oracle 1, druid 1, inquisitor 1, magus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channel magic energy into your own aura, recharging your innate magic abilities. You regain one use of all 0-level and 1st-level spell-like abilities you can use as a result of a racial trait.&lt;/p&gt;&lt;/h4&gt;&lt;/div&gt;</t>
  </si>
  <si>
    <t>Forgetful Slumber</t>
  </si>
  <si>
    <t>bard 4, sorcerer/wizard 4, witch 4, psychic 4, mesmerist 4</t>
  </si>
  <si>
    <t>V, S, M (a few drops of river water)</t>
  </si>
  <si>
    <t>This spell acts as the deeper slumber spell, but only affects one creature of 10 Hit Dice or fewer. In addition, a creature affected by this spell awakens with no knowledge of the events that led to the spell's casting. The target loses all memory from the 5 minutes prior to falling asleep. No effect short of a miracle or wish can restore memories lost by this spell.</t>
  </si>
  <si>
    <t>&lt;p&gt;This spell acts as the &lt;i&gt;deeper slumber&lt;/i&gt; spell, but only affects one creature of 10 Hit Dice or fewer. In addition, a creature affected by this spell awakens with no knowledge of the events that led to the spell's casting. The target loses all memory from the 5 minutes prior to falling asleep. No effect short of a &lt;i&gt;miracle&lt;/i&gt; or &lt;i&gt;wish&lt;/i&gt; can restore memories lost by this spell.&lt;/p&gt;</t>
  </si>
  <si>
    <t>&lt;link rel="stylesheet"href="PF.css"&gt;&lt;div class="heading"&gt;&lt;p class="alignleft"&gt;Forgetful Slumber&lt;/p&gt;&lt;div style="clear: both;"&gt;&lt;/div&gt;&lt;/div&gt;&lt;div&gt;&lt;h5&gt;&lt;b&gt;School &lt;/b&gt;enchantment (compulsion) [mind-affecting]; &lt;b&gt;Level &lt;/b&gt;bard 4, sorcerer/wizard 4, witch 4, psychic 4, mesmerist 4&lt;/h5&gt;&lt;/div&gt;&lt;hr/&gt;&lt;div&gt;&lt;h5&gt;&lt;b&gt;CASTING&lt;/b&gt;&lt;/h5&gt;&lt;/div&gt;&lt;hr/&gt;&lt;div&gt;&lt;h5&gt;&lt;b&gt;Casting Time &lt;/b&gt;1 round&lt;/h5&gt;&lt;h5&gt;&lt;b&gt;Components &lt;/b&gt;V, S, M (a few drops of river water)&lt;/h5&gt;&lt;/div&gt;&lt;hr/&gt;&lt;div&gt;&lt;h5&gt;&lt;b&gt;EFFECT&lt;/b&gt;&lt;/h5&gt;&lt;/div&gt;&lt;hr/&gt;&lt;div&gt;&lt;h5&gt;&lt;b&gt;Range &lt;/b&gt;close (25 ft. + 5 ft./2 levels)&lt;/h5&gt;&lt;h5&gt;&lt;b&gt;Targets &lt;/b&gt;one living creature&lt;/h5&gt;&lt;h5&gt;&lt;b&gt;Duration &lt;/b&gt;1 minute/level&lt;/h5&gt;&lt;h5&gt;&lt;b&gt;Saving Throw &lt;/b&gt;Will negates; &lt;b&gt;Spell Resistance &lt;/b&gt;yes&lt;/h5&gt;&lt;/div&gt;&lt;hr/&gt;&lt;div&gt;&lt;h5&gt;&lt;b&gt;DESCRIPTION&lt;/b&gt;&lt;/h5&gt;&lt;/div&gt;&lt;hr/&gt;&lt;div&gt;&lt;h4&gt;&lt;p&gt;This spell acts as the &lt;i&gt;deeper slumber&lt;/i&gt; spell, but only affects one creature of 10 Hit Dice or fewer. In addition, a creature affected by this spell awakens with no knowledge of the events that led to the spell's casting. The target loses all memory from the 5 minutes prior to falling asleep. No effect short of a &lt;i&gt;miracle&lt;/i&gt; or &lt;i&gt;wish&lt;/i&gt; can restore memories lost by this spell.&lt;/p&gt;&lt;/h4&gt;&lt;/div&gt;</t>
  </si>
  <si>
    <t>Paragon Surge</t>
  </si>
  <si>
    <t>alchemist 3, cleric/oracle 3, magus 4, paladin 4, sorcerer/wizard 3, witch 3</t>
  </si>
  <si>
    <t>personal (half-elf only)</t>
  </si>
  <si>
    <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t>
  </si>
  <si>
    <t>&lt;p&gt;You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decisions.&lt;/p&gt;</t>
  </si>
  <si>
    <t>&lt;link rel="stylesheet"href="PF.css"&gt;&lt;div class="heading"&gt;&lt;p class="alignleft"&gt;Paragon Surge&lt;/p&gt;&lt;div style="clear: both;"&gt;&lt;/div&gt;&lt;/div&gt;&lt;div&gt;&lt;h5&gt;&lt;b&gt;School &lt;/b&gt;transmutation (polymorph); &lt;b&gt;Level &lt;/b&gt;alchemist 3, cleric/oracle 3, magus 4, paladin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 (half-elf only)&lt;/h5&gt;&lt;h5&gt;&lt;b&gt;Targets &lt;/b&gt;you&lt;/h5&gt;&lt;h5&gt;&lt;b&gt;Duration &lt;/b&gt;1 minute/level&lt;/h5&gt;&lt;/div&gt;&lt;hr/&gt;&lt;div&gt;&lt;h5&gt;&lt;b&gt;DESCRIPTION&lt;/b&gt;&lt;/h5&gt;&lt;/div&gt;&lt;hr/&gt;&lt;div&gt;&lt;h4&gt;&lt;p&gt;You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decisions.&lt;/p&gt;&lt;/h4&gt;&lt;/div&gt;</t>
  </si>
  <si>
    <t>Resilient Reservoir</t>
  </si>
  <si>
    <t>magus 3, paladin 3, sorcerer/wizard 4, witch 4, psychic 4, mesmerist 3</t>
  </si>
  <si>
    <t>special, see text</t>
  </si>
  <si>
    <t>1 round/ level</t>
  </si>
  <si>
    <t>none (see below)</t>
  </si>
  <si>
    <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t>
  </si>
  <si>
    <t>&lt;p&gt;This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effect.&lt;/p&gt;</t>
  </si>
  <si>
    <t>&lt;link rel="stylesheet"href="PF.css"&gt;&lt;div class="heading"&gt;&lt;p class="alignleft"&gt;Resilient Reservoir&lt;/p&gt;&lt;div style="clear: both;"&gt;&lt;/div&gt;&lt;/div&gt;&lt;div&gt;&lt;h5&gt;&lt;b&gt;School &lt;/b&gt;transmutation; &lt;b&gt;Level &lt;/b&gt;magus 3, paladin 3, sorcerer/wizard 4, witch 4, psychic 4,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&lt;/b&gt;special, see text&lt;/h5&gt;&lt;h5&gt;&lt;b&gt;Duration &lt;/b&gt;1 round/ level&lt;/h5&gt;&lt;h5&gt;&lt;b&gt;Saving Throw &lt;/b&gt;none (see below); &lt;b&gt;Spell Resistance &lt;/b&gt;yes&lt;/h5&gt;&lt;/div&gt;&lt;hr/&gt;&lt;div&gt;&lt;h5&gt;&lt;b&gt;DESCRIPTION&lt;/b&gt;&lt;/h5&gt;&lt;/div&gt;&lt;hr/&gt;&lt;div&gt;&lt;h4&gt;&lt;p&gt;This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effect.&lt;/p&gt;&lt;/h4&gt;&lt;/div&gt;</t>
  </si>
  <si>
    <t>Urban Grace</t>
  </si>
  <si>
    <t>alchemist 1, bard 1, ranger 1, sorcerer/wizard 1, witch 1</t>
  </si>
  <si>
    <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t>
  </si>
  <si>
    <t>&lt;p&gt;You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traveled.&lt;/p&gt;</t>
  </si>
  <si>
    <t>&lt;link rel="stylesheet"href="PF.css"&gt;&lt;div class="heading"&gt;&lt;p class="alignleft"&gt;Urban Grace&lt;/p&gt;&lt;div style="clear: both;"&gt;&lt;/div&gt;&lt;/div&gt;&lt;div&gt;&lt;h5&gt;&lt;b&gt;School &lt;/b&gt;transmutation; &lt;b&gt;Level &lt;/b&gt;alchemist 1, bard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minute/level&lt;/h5&gt;&lt;/div&gt;&lt;hr/&gt;&lt;div&gt;&lt;h5&gt;&lt;b&gt;DESCRIPTION&lt;/b&gt;&lt;/h5&gt;&lt;/div&gt;&lt;hr/&gt;&lt;div&gt;&lt;h4&gt;&lt;p&gt;You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traveled.&lt;/p&gt;&lt;/h4&gt;&lt;/div&gt;</t>
  </si>
  <si>
    <t>Battle Trance</t>
  </si>
  <si>
    <t>alchemist 3, antipaladin 3, cleric/oracle 4, inquisitor 3, ranger 3, witch 4</t>
  </si>
  <si>
    <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t>
  </si>
  <si>
    <t>&lt;p&gt;You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penalty.&lt;/p&gt;</t>
  </si>
  <si>
    <t>&lt;link rel="stylesheet"href="PF.css"&gt;&lt;div class="heading"&gt;&lt;p class="alignleft"&gt;Battle Trance&lt;/p&gt;&lt;div style="clear: both;"&gt;&lt;/div&gt;&lt;/div&gt;&lt;div&gt;&lt;h5&gt;&lt;b&gt;School &lt;/b&gt;enchantment (compulsion) [emotion, mind-affecting]; &lt;b&gt;Level &lt;/b&gt;alchemist 3, antipaladin 3, cleric/oracle 4, inquisitor 3, ranger 3,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negates; &lt;b&gt;Spell Resistance &lt;/b&gt;yes&lt;/h5&gt;&lt;/div&gt;&lt;hr/&gt;&lt;div&gt;&lt;h5&gt;&lt;b&gt;DESCRIPTION&lt;/b&gt;&lt;/h5&gt;&lt;/div&gt;&lt;hr/&gt;&lt;div&gt;&lt;h4&gt;&lt;p&gt;You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penalty.&lt;/p&gt;&lt;/h4&gt;&lt;h5&gt;&lt;b&gt;Mythic: &lt;/b&gt;The number of temporary hit points you gain increases to 2d6 + your caster level (maximum +10) + your tier. The morale bonus on saving throws against mind-affecting effects increases to +6.&lt;/h5&gt;&lt;h5&gt;&lt;b&gt;Augmented (5th)&lt;/b&gt;: If you expend two uses of mythic power, you gain a +4 morale bonus to Strength, immunity to non-mythic mind-affecting effects, and DR 5/epic.&lt;/h5&gt;&lt;/div&gt;</t>
  </si>
  <si>
    <t>The number of temporary hit points you gain increases to 2d6 + your caster level (maximum +10) + your tier. The morale bonus on saving throws against mind-affecting effects increases to +6.</t>
  </si>
  <si>
    <t>Augmented (5th): If you expend two uses of mythic power, you gain a +4 morale bonus to Strength, immunity to non-mythic mind-affecting effects, and DR 5/epic.</t>
  </si>
  <si>
    <t>Ghost Wolf</t>
  </si>
  <si>
    <t>sorcerer/wizard 4, summoner 2, bloodrager 4, psychic 4</t>
  </si>
  <si>
    <t>V, S, F (dire wolf tooth)</t>
  </si>
  <si>
    <t>one quasi-real wolflike creature</t>
  </si>
  <si>
    <t>1 hour/level (D) or 1 round/level; see text</t>
  </si>
  <si>
    <t>none (see description)</t>
  </si>
  <si>
    <t>This spell conjures a Large, quasi-real, wolflike creature made of roiling black smoke. It functions as phantom steed,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t>
  </si>
  <si>
    <t>&lt;p&gt;This spell conjures a Large, quasi-real, wolflike creature made of roiling black smoke. It functions as &lt;i&gt;phantom steed&lt;/i&gt;,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thereafter.&lt;/p&gt;</t>
  </si>
  <si>
    <t>&lt;link rel="stylesheet"href="PF.css"&gt;&lt;div class="heading"&gt;&lt;p class="alignleft"&gt;Ghost Wolf&lt;/p&gt;&lt;div style="clear: both;"&gt;&lt;/div&gt;&lt;/div&gt;&lt;div&gt;&lt;h5&gt;&lt;b&gt;School &lt;/b&gt;conjuration (creation); &lt;b&gt;Level &lt;/b&gt;sorcerer/wizard 4, summoner 2, bloodrager 4, psychic 4&lt;/h5&gt;&lt;/div&gt;&lt;hr/&gt;&lt;div&gt;&lt;h5&gt;&lt;b&gt;CASTING&lt;/b&gt;&lt;/h5&gt;&lt;/div&gt;&lt;hr/&gt;&lt;div&gt;&lt;h5&gt;&lt;b&gt;Casting Time &lt;/b&gt;10 minutes&lt;/h5&gt;&lt;h5&gt;&lt;b&gt;Components &lt;/b&gt;V, S, F (dire wolf tooth)&lt;/h5&gt;&lt;/div&gt;&lt;hr/&gt;&lt;div&gt;&lt;h5&gt;&lt;b&gt;EFFECT&lt;/b&gt;&lt;/h5&gt;&lt;/div&gt;&lt;hr/&gt;&lt;div&gt;&lt;h5&gt;&lt;b&gt;Range &lt;/b&gt;0 ft.&lt;/h5&gt;&lt;h5&gt;&lt;b&gt;Targets &lt;/b&gt;one quasi-real wolflike creature&lt;/h5&gt;&lt;h5&gt;&lt;b&gt;Duration &lt;/b&gt;1 hour/level (D) or 1 round/level; see text&lt;/h5&gt;&lt;h5&gt;&lt;b&gt;Saving Throw &lt;/b&gt;none (see description); &lt;b&gt;Spell Resistance &lt;/b&gt;no&lt;/h5&gt;&lt;/div&gt;&lt;hr/&gt;&lt;div&gt;&lt;h5&gt;&lt;b&gt;DESCRIPTION&lt;/b&gt;&lt;/h5&gt;&lt;/div&gt;&lt;hr/&gt;&lt;div&gt;&lt;h4&gt;&lt;p&gt;This spell conjures a Large, quasi-real, wolflike creature made of roiling black smoke. It functions as &lt;i&gt;phantom steed&lt;/i&gt;,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thereafter.&lt;/p&gt;&lt;/h4&gt;&lt;/div&gt;</t>
  </si>
  <si>
    <t>Half-Blood Extraction</t>
  </si>
  <si>
    <t>alchemist 5, cleric/oracle 5, druid 5, sorcerer/wizard 5, witch 5, psychic 5</t>
  </si>
  <si>
    <t>V, S, M (oils and poisons worth 3,000 gp), DF</t>
  </si>
  <si>
    <t>willing half-orc touched</t>
  </si>
  <si>
    <t>You transform the target half-orc into a full-blooded orc. The target loses all of its half-orc racial traits and gains the orc racial traits.</t>
  </si>
  <si>
    <t>&lt;p&gt;You transform the target half-orc into a full-blooded orc. The target loses all of its half-orc racial traits and gains the orc racial traits.&lt;/p&gt;</t>
  </si>
  <si>
    <t>&lt;link rel="stylesheet"href="PF.css"&gt;&lt;div class="heading"&gt;&lt;p class="alignleft"&gt;Half-Blood Extraction&lt;/p&gt;&lt;div style="clear: both;"&gt;&lt;/div&gt;&lt;/div&gt;&lt;div&gt;&lt;h5&gt;&lt;b&gt;School &lt;/b&gt;transmutation; &lt;b&gt;Level &lt;/b&gt;alchemist 5, cleric/oracle 5, druid 5, sorcerer/wizard 5, witch 5, psychic 5&lt;/h5&gt;&lt;/div&gt;&lt;hr/&gt;&lt;div&gt;&lt;h5&gt;&lt;b&gt;CASTING&lt;/b&gt;&lt;/h5&gt;&lt;/div&gt;&lt;hr/&gt;&lt;div&gt;&lt;h5&gt;&lt;b&gt;Casting Time &lt;/b&gt;1 hour&lt;/h5&gt;&lt;h5&gt;&lt;b&gt;Components &lt;/b&gt;V, S, M (oils and poisons worth 3,000 gp), DF&lt;/h5&gt;&lt;/div&gt;&lt;hr/&gt;&lt;div&gt;&lt;h5&gt;&lt;b&gt;EFFECT&lt;/b&gt;&lt;/h5&gt;&lt;/div&gt;&lt;hr/&gt;&lt;div&gt;&lt;h5&gt;&lt;b&gt;Range &lt;/b&gt;touch&lt;/h5&gt;&lt;h5&gt;&lt;b&gt;Targets &lt;/b&gt;willing half-orc touched&lt;/h5&gt;&lt;h5&gt;&lt;b&gt;Duration &lt;/b&gt;instantaneous&lt;/h5&gt;&lt;h5&gt;&lt;b&gt;Saving Throw &lt;/b&gt;none; &lt;b&gt;Spell Resistance &lt;/b&gt;no&lt;/h5&gt;&lt;/div&gt;&lt;hr/&gt;&lt;div&gt;&lt;h5&gt;&lt;b&gt;DESCRIPTION&lt;/b&gt;&lt;/h5&gt;&lt;/div&gt;&lt;hr/&gt;&lt;div&gt;&lt;h4&gt;&lt;p&gt;You transform the target half-orc into a full-blooded orc. The target loses all of its half-orc racial traits and gains the orc racial traits.&lt;/p&gt;&lt;/h4&gt;&lt;/div&gt;</t>
  </si>
  <si>
    <t>Linebreaker</t>
  </si>
  <si>
    <t>alchemist 1, antipaladin 1, inquisitor 1, magus 1, paladin 1, ranger 1</t>
  </si>
  <si>
    <t>You gain a +20 foot bonus to your base speed when charging and a +2 bonus on combat maneuver checks made to bull rush or overrun.</t>
  </si>
  <si>
    <t>&lt;p&gt;You gain a +20 foot bonus to your base speed when charging and a +2 bonus on combat maneuver checks made to bull rush or overrun.&lt;/p&gt;</t>
  </si>
  <si>
    <t>&lt;link rel="stylesheet"href="PF.css"&gt;&lt;div class="heading"&gt;&lt;p class="alignleft"&gt;Linebreaker&lt;/p&gt;&lt;div style="clear: both;"&gt;&lt;/div&gt;&lt;/div&gt;&lt;div&gt;&lt;h5&gt;&lt;b&gt;School &lt;/b&gt;transmutation; &lt;b&gt;Level &lt;/b&gt;alchemist 1, antipaladin 1, inquisitor 1, magus 1, paladin 1, ranger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+20 foot bonus to your base speed when charging and a +2 bonus on combat maneuver checks made to bull rush or overrun.&lt;/p&gt;&lt;/h4&gt;&lt;/div&gt;</t>
  </si>
  <si>
    <t>Savage Maw</t>
  </si>
  <si>
    <t>antipaladin 1, cleric/oracle 2, druid 2, inquisitor 2, magus 2, ranger 1, psychic 2</t>
  </si>
  <si>
    <t>1 minute/level (D), special (see below)</t>
  </si>
  <si>
    <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t>
  </si>
  <si>
    <t>&lt;p&gt;Your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roar.&lt;/p&gt;</t>
  </si>
  <si>
    <t>&lt;link rel="stylesheet"href="PF.css"&gt;&lt;div class="heading"&gt;&lt;p class="alignleft"&gt;Savage Maw&lt;/p&gt;&lt;div style="clear: both;"&gt;&lt;/div&gt;&lt;/div&gt;&lt;div&gt;&lt;h5&gt;&lt;b&gt;School &lt;/b&gt;transmutation; &lt;b&gt;Level &lt;/b&gt;antipaladin 1, cleric/oracle 2, druid 2, inquisitor 2, magus 2, ranger 1,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 special (see below)&lt;/h5&gt;&lt;/div&gt;&lt;hr/&gt;&lt;div&gt;&lt;h5&gt;&lt;b&gt;DESCRIPTION&lt;/b&gt;&lt;/h5&gt;&lt;/div&gt;&lt;hr/&gt;&lt;div&gt;&lt;h4&gt;&lt;p&gt;Your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roar.&lt;/p&gt;&lt;/h4&gt;&lt;/div&gt;</t>
  </si>
  <si>
    <t>Blessing Of Luck And Resolve</t>
  </si>
  <si>
    <t>cleric/oracle 2, inquisitor 2, paladin 2</t>
  </si>
  <si>
    <t>1 minute/level (D), special see below</t>
  </si>
  <si>
    <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t>
  </si>
  <si>
    <t>&lt;p&gt;A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worse.&lt;/p&gt;</t>
  </si>
  <si>
    <t>&lt;link rel="stylesheet"href="PF.css"&gt;&lt;div class="heading"&gt;&lt;p class="alignleft"&gt;Blessing Of Luck And Resolve&lt;/p&gt;&lt;div style="clear: both;"&gt;&lt;/div&gt;&lt;/div&gt;&lt;div&gt;&lt;h5&gt;&lt;b&gt;School &lt;/b&gt;enchantment (compulsion) [mind-affecting]; &lt;b&gt;Level &lt;/b&gt;cleric/oracle 2, inquisitor 2, 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 touched&lt;/h5&gt;&lt;h5&gt;&lt;b&gt;Duration &lt;/b&gt;1 minute/level (D), special see below&lt;/h5&gt;&lt;h5&gt;&lt;b&gt;Saving Throw &lt;/b&gt;Will negates (harmless); &lt;b&gt;Spell Resistance &lt;/b&gt;yes (harmless)&lt;/h5&gt;&lt;/div&gt;&lt;hr/&gt;&lt;div&gt;&lt;h5&gt;&lt;b&gt;DESCRIPTION&lt;/b&gt;&lt;/h5&gt;&lt;/div&gt;&lt;hr/&gt;&lt;div&gt;&lt;h4&gt;&lt;p&gt;A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worse.&lt;/p&gt;&lt;/h4&gt;&lt;/div&gt;</t>
  </si>
  <si>
    <t>Blessing Of Luck And Resolve, Mass</t>
  </si>
  <si>
    <t>cleric/oracle 6, inquisitor 6, paladin 4</t>
  </si>
  <si>
    <t>This spell functions like blessing of luck and resolve, except that it affects multiple creatures.</t>
  </si>
  <si>
    <t>&lt;p&gt;This spell functions like &lt;i&gt;blessing of luck and resolve&lt;/i&gt;, except that it affects multiple creatures.&lt;/p&gt;</t>
  </si>
  <si>
    <t>&lt;link rel="stylesheet"href="PF.css"&gt;&lt;div class="heading"&gt;&lt;p class="alignleft"&gt;Blessing Of Luck And Resolve, Mass&lt;/p&gt;&lt;div style="clear: both;"&gt;&lt;/div&gt;&lt;/div&gt;&lt;div&gt;&lt;h5&gt;&lt;b&gt;School &lt;/b&gt;enchantment (compulsion) [mind-affecting]; &lt;b&gt;Level &lt;/b&gt;cleric/oracle 6, inquisitor 6, paladin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minute/level (D), special see below&lt;/h5&gt;&lt;h5&gt;&lt;b&gt;Saving Throw &lt;/b&gt;Will negates (harmless); &lt;b&gt;Spell Resistance &lt;/b&gt;yes (harmless)&lt;/h5&gt;&lt;/div&gt;&lt;hr/&gt;&lt;div&gt;&lt;h5&gt;&lt;b&gt;DESCRIPTION&lt;/b&gt;&lt;/h5&gt;&lt;/div&gt;&lt;hr/&gt;&lt;div&gt;&lt;h4&gt;&lt;p&gt;This spell functions like &lt;i&gt;blessing of luck and resolve&lt;/i&gt;, except that it affects multiple creatures.&lt;/p&gt;&lt;/h4&gt;&lt;/div&gt;</t>
  </si>
  <si>
    <t>Escaping Ward</t>
  </si>
  <si>
    <t>bard 2, inquisitor 2, magus 2, ranger 2, sorcerer/wizard 2</t>
  </si>
  <si>
    <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t>
  </si>
  <si>
    <t>&lt;p&gt;This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opportunity.&lt;/p&gt;</t>
  </si>
  <si>
    <t>&lt;link rel="stylesheet"href="PF.css"&gt;&lt;div class="heading"&gt;&lt;p class="alignleft"&gt;Escaping Ward&lt;/p&gt;&lt;div style="clear: both;"&gt;&lt;/div&gt;&lt;/div&gt;&lt;div&gt;&lt;h5&gt;&lt;b&gt;School &lt;/b&gt;abjuration; &lt;b&gt;Level &lt;/b&gt;bard 2, inquisitor 2, magus 2, ranger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opportunity.&lt;/p&gt;&lt;/h4&gt;&lt;/div&gt;</t>
  </si>
  <si>
    <t>Fearsome Duplicate</t>
  </si>
  <si>
    <t>bard 3, inquisitor 3, sorcerer/wizard 3, witch 3, psychic 3, mesmerist 3</t>
  </si>
  <si>
    <t>monstrously distorted duplicate of you</t>
  </si>
  <si>
    <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t>
  </si>
  <si>
    <t>&lt;p&gt;You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spell.&lt;/p&gt;</t>
  </si>
  <si>
    <t>&lt;link rel="stylesheet"href="PF.css"&gt;&lt;div class="heading"&gt;&lt;p class="alignleft"&gt;Fearsome Duplicate&lt;/p&gt;&lt;div style="clear: both;"&gt;&lt;/div&gt;&lt;/div&gt;&lt;div&gt;&lt;h5&gt;&lt;b&gt;School &lt;/b&gt;illusion (figment); &lt;b&gt;Level &lt;/b&gt;bard 3, inquisitor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&lt;/b&gt;monstrously distorted duplicate of you&lt;/h5&gt;&lt;h5&gt;&lt;b&gt;Duration &lt;/b&gt;1 minute/level (D)&lt;/h5&gt;&lt;h5&gt;&lt;b&gt;Saving Throw &lt;/b&gt;Will disbelief (if interacted with); &lt;b&gt;Spell Resistance &lt;/b&gt;no&lt;/h5&gt;&lt;/div&gt;&lt;hr/&gt;&lt;div&gt;&lt;h5&gt;&lt;b&gt;DESCRIPTION&lt;/b&gt;&lt;/h5&gt;&lt;/div&gt;&lt;hr/&gt;&lt;div&gt;&lt;h4&gt;&lt;p&gt;You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spell.&lt;/p&gt;&lt;/h4&gt;&lt;/div&gt;</t>
  </si>
  <si>
    <t>Village Veil</t>
  </si>
  <si>
    <t>bard 5, cleric/oracle 5, sorcerer/wizard 5, witch 5, psychic 5, mesmerist 5</t>
  </si>
  <si>
    <t>one 10-ft. cube per level</t>
  </si>
  <si>
    <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t>
  </si>
  <si>
    <t>&lt;p&gt;You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disappears.&lt;/p&gt;</t>
  </si>
  <si>
    <t>&lt;link rel="stylesheet"href="PF.css"&gt;&lt;div class="heading"&gt;&lt;p class="alignleft"&gt;Village Veil&lt;/p&gt;&lt;div style="clear: both;"&gt;&lt;/div&gt;&lt;/div&gt;&lt;div&gt;&lt;h5&gt;&lt;b&gt;School &lt;/b&gt;illusion (figment) [mind-affecting]; &lt;b&gt;Level &lt;/b&gt;bard 5, cleric/oracle 5, sorcerer/wizard 5, witch 5, psychic 5, mesmerist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10-ft. cube per level&lt;/h5&gt;&lt;h5&gt;&lt;b&gt;Duration &lt;/b&gt;1 day/level&lt;/h5&gt;&lt;h5&gt;&lt;b&gt;Saving Throw &lt;/b&gt;Will disbelief; &lt;b&gt;Spell Resistance &lt;/b&gt;yes&lt;/h5&gt;&lt;/div&gt;&lt;hr/&gt;&lt;div&gt;&lt;h5&gt;&lt;b&gt;DESCRIPTION&lt;/b&gt;&lt;/h5&gt;&lt;/div&gt;&lt;hr/&gt;&lt;div&gt;&lt;h4&gt;&lt;p&gt;You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disappears.&lt;/p&gt;&lt;/h4&gt;&lt;/div&gt;</t>
  </si>
  <si>
    <t>Bestow Insight</t>
  </si>
  <si>
    <t>bard 2, cleric/oracle 3, inquisitor 2, sorcerer/wizard 2, witch 2, psychic 2, mesmerist 2</t>
  </si>
  <si>
    <t>one creature touched</t>
  </si>
  <si>
    <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t>
  </si>
  <si>
    <t>&lt;p&gt;When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effects.&lt;/p&gt;</t>
  </si>
  <si>
    <t>&lt;link rel="stylesheet"href="PF.css"&gt;&lt;div class="heading"&gt;&lt;p class="alignleft"&gt;Bestow Insight&lt;/p&gt;&lt;div style="clear: both;"&gt;&lt;/div&gt;&lt;/div&gt;&lt;div&gt;&lt;h5&gt;&lt;b&gt;School &lt;/b&gt;enchantment (compulsion); &lt;b&gt;Level &lt;/b&gt;bard 2, cleric/oracle 3, inquisitor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touched&lt;/h5&gt;&lt;h5&gt;&lt;b&gt;Duration &lt;/b&gt;1 minute/level&lt;/h5&gt;&lt;h5&gt;&lt;b&gt;Saving Throw &lt;/b&gt;Will negates (harmless); &lt;b&gt;Spell Resistance &lt;/b&gt;yes (harmless)&lt;/h5&gt;&lt;/div&gt;&lt;hr/&gt;&lt;div&gt;&lt;h5&gt;&lt;b&gt;DESCRIPTION&lt;/b&gt;&lt;/h5&gt;&lt;/div&gt;&lt;hr/&gt;&lt;div&gt;&lt;h4&gt;&lt;p&gt;When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effects.&lt;/p&gt;&lt;/h4&gt;&lt;/div&gt;</t>
  </si>
  <si>
    <t>Black Mark</t>
  </si>
  <si>
    <t>curse, fear</t>
  </si>
  <si>
    <t>druid 7, witch 7</t>
  </si>
  <si>
    <t>V, S, M (a flask of seawater)</t>
  </si>
  <si>
    <t>You mark the target with a black marking on its skin; the mark's exact appearance determined by you, but can be no larger than your hand. The black mark functions as a mark of justice, and when the mark is activated, the target becomes shaken anytime it is on or in the water more than a 5 feet from shore. In addition, as long as the black mark is active, the target is affected as if subject to nature's exile (Advanced Player's Guide 233), but all creatures with the aquatic or water subtype or with a swim speed are made hostile, even those not of the animal type, though non-aquatic animals are not.</t>
  </si>
  <si>
    <t>&lt;p&gt;You mark the target with a &lt;i&gt;black mark&lt;/i&gt;ing on its skin; the mark's exact appearance determined by you, but can be no larger than your hand. The &lt;i&gt;black mark&lt;/i&gt; functions as a &lt;i&gt;mark of justice&lt;/i&gt;, and when the mark is activated, the target becomes shaken anytime it is on or in the water more than a 5 feet from shore. In addition, as long as the &lt;i&gt;black mark&lt;/i&gt; is active, the target is affected as if subject to nature's exile (Advanced Player's Guide 233), but all creatures with the aquatic or water subtype or with a swim speed are made hostile, even those not of the animal type, though non-aquatic animals are not.&lt;/p&gt;</t>
  </si>
  <si>
    <t>&lt;link rel="stylesheet"href="PF.css"&gt;&lt;div class="heading"&gt;&lt;p class="alignleft"&gt;Black Mark&lt;/p&gt;&lt;div style="clear: both;"&gt;&lt;/div&gt;&lt;/div&gt;&lt;div&gt;&lt;h5&gt;&lt;b&gt;School &lt;/b&gt;necromancy [curse, fear]; &lt;b&gt;Level &lt;/b&gt;druid 7, witch 7&lt;/h5&gt;&lt;/div&gt;&lt;hr/&gt;&lt;div&gt;&lt;h5&gt;&lt;b&gt;CASTING&lt;/b&gt;&lt;/h5&gt;&lt;/div&gt;&lt;hr/&gt;&lt;div&gt;&lt;h5&gt;&lt;b&gt;Casting Time &lt;/b&gt;1 standard action&lt;/h5&gt;&lt;h5&gt;&lt;b&gt;Components &lt;/b&gt;V, S, M (a flask of seawater)&lt;/h5&gt;&lt;/div&gt;&lt;hr/&gt;&lt;div&gt;&lt;h5&gt;&lt;b&gt;EFFECT&lt;/b&gt;&lt;/h5&gt;&lt;/div&gt;&lt;hr/&gt;&lt;div&gt;&lt;h5&gt;&lt;b&gt;Range &lt;/b&gt;touch&lt;/h5&gt;&lt;h5&gt;&lt;b&gt;Targets &lt;/b&gt;one creature&lt;/h5&gt;&lt;h5&gt;&lt;b&gt;Duration &lt;/b&gt;permanent&lt;/h5&gt;&lt;h5&gt;&lt;b&gt;Saving Throw &lt;/b&gt;Will negates; &lt;b&gt;Spell Resistance &lt;/b&gt;yes&lt;/h5&gt;&lt;/div&gt;&lt;hr/&gt;&lt;div&gt;&lt;h5&gt;&lt;b&gt;DESCRIPTION&lt;/b&gt;&lt;/h5&gt;&lt;/div&gt;&lt;hr/&gt;&lt;div&gt;&lt;h4&gt;&lt;p&gt;You mark the target with a &lt;i&gt;black mark&lt;/i&gt;ing on its skin; the mark's exact appearance determined by you, but can be no larger than your hand. The &lt;i&gt;black mark&lt;/i&gt; functions as a &lt;i&gt;mark of justice&lt;/i&gt;, and when the mark is activated, the target becomes shaken anytime it is on or in the water more than a 5 feet from shore. In addition, as long as the &lt;i&gt;black mark&lt;/i&gt; is active, the target is affected as if subject to nature's exile (Advanced Player's Guide 233), but all creatures with the aquatic or water subtype or with a swim speed are made hostile, even those not of the animal type, though non-aquatic animals are not.&lt;/p&gt;&lt;/h4&gt;&lt;h5&gt;&lt;b&gt;Mythic: &lt;/b&gt;Any time the cursed creature travels on or in the water more than 1 mile from shore, each day it (or the vessel it's on) is attacked by one or more aquatic or water monsters, as if summoned by summon nature's ally VII (caster level 13th).&lt;/h5&gt;&lt;/div&gt;</t>
  </si>
  <si>
    <t>Any time the cursed creature travels on or in the water more than 1 mile from shore, each day it (or the vessel it's on) is attacked by one or more aquatic or water monsters, as if summoned by summon nature's ally VII (caster level 13th).</t>
  </si>
  <si>
    <t>Old Salt's Curse</t>
  </si>
  <si>
    <t>druid 5, witch 5, mesmerist 4</t>
  </si>
  <si>
    <t>You inflict a curse of the roiling sea upon the target, making it permanently sickened. Anytime the target is on or in the water more than a mile from shore, it also becomes staggered with seasickness. This curse cannot be dispelled, though remove curse or break enchantment can negate it.</t>
  </si>
  <si>
    <t>&lt;p&gt;You inflict a curse of the roiling sea upon the target, making it permanently sickened. Anytime the target is on or in the water more than a mile from shore, it also becomes staggered with seasickness. This curse cannot be dispelled, though &lt;i&gt;remove curse&lt;/i&gt; or &lt;i&gt;break enchantment&lt;/i&gt; can negate it.&lt;/p&gt;</t>
  </si>
  <si>
    <t>&lt;link rel="stylesheet"href="PF.css"&gt;&lt;div class="heading"&gt;&lt;p class="alignleft"&gt;Old Salt's Curse&lt;/p&gt;&lt;div style="clear: both;"&gt;&lt;/div&gt;&lt;/div&gt;&lt;div&gt;&lt;h5&gt;&lt;b&gt;School &lt;/b&gt;necromancy [curse]; &lt;b&gt;Level &lt;/b&gt;druid 5, witch 5, mesmerist 4&lt;/h5&gt;&lt;/div&gt;&lt;hr/&gt;&lt;div&gt;&lt;h5&gt;&lt;b&gt;CASTING&lt;/b&gt;&lt;/h5&gt;&lt;/div&gt;&lt;hr/&gt;&lt;div&gt;&lt;h5&gt;&lt;b&gt;Casting Time &lt;/b&gt;1 standard action&lt;/h5&gt;&lt;h5&gt;&lt;b&gt;Components &lt;/b&gt;V, S, M (a flask of seawater)&lt;/h5&gt;&lt;/div&gt;&lt;hr/&gt;&lt;div&gt;&lt;h5&gt;&lt;b&gt;EFFECT&lt;/b&gt;&lt;/h5&gt;&lt;/div&gt;&lt;hr/&gt;&lt;div&gt;&lt;h5&gt;&lt;b&gt;Range &lt;/b&gt;touch&lt;/h5&gt;&lt;h5&gt;&lt;b&gt;Targets &lt;/b&gt;one creature&lt;/h5&gt;&lt;h5&gt;&lt;b&gt;Duration &lt;/b&gt;permanent&lt;/h5&gt;&lt;h5&gt;&lt;b&gt;Saving Throw &lt;/b&gt;Will negates; &lt;b&gt;Spell Resistance &lt;/b&gt;yes&lt;/h5&gt;&lt;/div&gt;&lt;hr/&gt;&lt;div&gt;&lt;h5&gt;&lt;b&gt;DESCRIPTION&lt;/b&gt;&lt;/h5&gt;&lt;/div&gt;&lt;hr/&gt;&lt;div&gt;&lt;h4&gt;&lt;p&gt;You inflict a curse of the roiling sea upon the target, making it permanently sickened. Anytime the target is on or in the water more than a mile from shore, it also becomes staggered with seasickness. This curse cannot be dispelled, though &lt;i&gt;remove curse&lt;/i&gt; or &lt;i&gt;break enchantment&lt;/i&gt; can negate it.&lt;/p&gt;&lt;/h4&gt;&lt;/div&gt;</t>
  </si>
  <si>
    <t>Sacred Space</t>
  </si>
  <si>
    <t>V, S, M (a vial of ambrosia)</t>
  </si>
  <si>
    <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sacred space. If the sacred space contains an altar, shrine, or other permanent fixture dedicated to your deity, pantheon, or good-aligned higher power, the modifiers given above are doubled. You cannot cast sacred space in an area with a permanent fixture dedicated to a deity other than yours.</t>
  </si>
  <si>
    <t>&lt;p&gt;This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&lt;i&gt;sacred space&lt;/i&gt;. If the &lt;i&gt;sacred space&lt;/i&gt; contains an altar, shrine, or other permanent fixture dedicated to your deity, pantheon, or good-aligned higher power, the modifiers given above are doubled. You cannot cast &lt;i&gt;sacred space&lt;/i&gt; in an area with a permanent fixture dedicated to a deity other than yours.&lt;/p&gt;</t>
  </si>
  <si>
    <t>&lt;link rel="stylesheet"href="PF.css"&gt;&lt;div class="heading"&gt;&lt;p class="alignleft"&gt;Sacred Space&lt;/p&gt;&lt;div style="clear: both;"&gt;&lt;/div&gt;&lt;/div&gt;&lt;div&gt;&lt;h5&gt;&lt;b&gt;School &lt;/b&gt;evocation [good]; &lt;b&gt;Level &lt;/b&gt;cleric/oracle 2, paladin 2&lt;/h5&gt;&lt;/div&gt;&lt;hr/&gt;&lt;div&gt;&lt;h5&gt;&lt;b&gt;CASTING&lt;/b&gt;&lt;/h5&gt;&lt;/div&gt;&lt;hr/&gt;&lt;div&gt;&lt;h5&gt;&lt;b&gt;Casting Time &lt;/b&gt;1 standard action&lt;/h5&gt;&lt;h5&gt;&lt;b&gt;Components &lt;/b&gt;V, S, M (a vial of ambrosia)&lt;/h5&gt;&lt;/div&gt;&lt;hr/&gt;&lt;div&gt;&lt;h5&gt;&lt;b&gt;EFFECT&lt;/b&gt;&lt;/h5&gt;&lt;/div&gt;&lt;hr/&gt;&lt;div&gt;&lt;h5&gt;&lt;b&gt;Range &lt;/b&gt;close (25 ft. + 5 ft./2 levels)&lt;/h5&gt;&lt;h5&gt;&lt;b&gt;Area &lt;/b&gt;20-ft.-radius emanation&lt;/h5&gt;&lt;h5&gt;&lt;b&gt;Duration &lt;/b&gt;2 hours/level&lt;/h5&gt;&lt;h5&gt;&lt;b&gt;Saving Throw &lt;/b&gt;none; &lt;b&gt;Spell Resistance &lt;/b&gt;no&lt;/h5&gt;&lt;/div&gt;&lt;hr/&gt;&lt;div&gt;&lt;h5&gt;&lt;b&gt;DESCRIPTION&lt;/b&gt;&lt;/h5&gt;&lt;/div&gt;&lt;hr/&gt;&lt;div&gt;&lt;h4&gt;&lt;p&gt;This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&lt;i&gt;sacred space&lt;/i&gt;. If the &lt;i&gt;sacred space&lt;/i&gt; contains an altar, shrine, or other permanent fixture dedicated to your deity, pantheon, or good-aligned higher power, the modifiers given above are doubled. You cannot cast &lt;i&gt;sacred space&lt;/i&gt; in an area with a permanent fixture dedicated to a deity other than yours.&lt;/p&gt;&lt;/h4&gt;&lt;/div&gt;</t>
  </si>
  <si>
    <t>Truespeak</t>
  </si>
  <si>
    <t>bard 4, cleric/oracle 6, sorcerer/wizard 5, witch 5, psychic 5, mesmerist 4</t>
  </si>
  <si>
    <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truespeak, your language-dependent effects can affect any creature that is not mindless.</t>
  </si>
  <si>
    <t>&lt;p&gt;You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&lt;i&gt;truespeak&lt;/i&gt;, your language-dependent effects can affect any creature that is not mindless.&lt;/p&gt;</t>
  </si>
  <si>
    <t>&lt;link rel="stylesheet"href="PF.css"&gt;&lt;div class="heading"&gt;&lt;p class="alignleft"&gt;Truespeak&lt;/p&gt;&lt;div style="clear: both;"&gt;&lt;/div&gt;&lt;/div&gt;&lt;div&gt;&lt;h5&gt;&lt;b&gt;School &lt;/b&gt;divination; &lt;b&gt;Level &lt;/b&gt;bard 4, cleric/oracle 6, sorcerer/wizard 5, witch 5, psychic 5, mesmerist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&lt;i&gt;truespeak&lt;/i&gt;, your language-dependent effects can affect any creature that is not mindless.&lt;/p&gt;&lt;/h4&gt;&lt;/div&gt;</t>
  </si>
  <si>
    <t>Veil Of Heaven</t>
  </si>
  <si>
    <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t>
  </si>
  <si>
    <t>&lt;p&gt;You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damage.&lt;/p&gt;</t>
  </si>
  <si>
    <t>&lt;link rel="stylesheet"href="PF.css"&gt;&lt;div class="heading"&gt;&lt;p class="alignleft"&gt;Veil Of Heaven&lt;/p&gt;&lt;div style="clear: both;"&gt;&lt;/div&gt;&lt;/div&gt;&lt;div&gt;&lt;h5&gt;&lt;b&gt;School &lt;/b&gt;abjuration [good];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&lt;/b&gt;personal or 5 ft.; see text&lt;/h5&gt;&lt;h5&gt;&lt;b&gt;Targets &lt;/b&gt;you or all creatures within 5 ft.; see text&lt;/h5&gt;&lt;h5&gt;&lt;b&gt;Duration &lt;/b&gt;10 minutes/level (D)&lt;/h5&gt;&lt;h5&gt;&lt;b&gt;Saving Throw &lt;/b&gt;Will half; &lt;b&gt;Spell Resistance &lt;/b&gt;none&lt;/h5&gt;&lt;/div&gt;&lt;hr/&gt;&lt;div&gt;&lt;h5&gt;&lt;b&gt;DESCRIPTION&lt;/b&gt;&lt;/h5&gt;&lt;/div&gt;&lt;hr/&gt;&lt;div&gt;&lt;h4&gt;&lt;p&gt;You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damage.&lt;/p&gt;&lt;/h4&gt;&lt;/div&gt;</t>
  </si>
  <si>
    <t>Nine Lives</t>
  </si>
  <si>
    <t>cleric/oracle 8, witch 8</t>
  </si>
  <si>
    <t>V, S, M/DF (a cat's whisker)</t>
  </si>
  <si>
    <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Fortitude: The target uses this ability when a critical hit or sneak attack is scored against it. The critical hit or sneak attack is negated and the damage is instead rolled normally.  Rejuvenate: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Shake Off: The target uses this ability when it is under the effects of any of the following conditions: blinded, confused, cowering, dazed, dazzled, entangled, exhausted, fatigued, frightened, nauseated, panicked, shaken, sickened, or staggered. Using this ability ends one of those conditions.  Shimmy Out: The target uses this ability when it is grappled or pinned. The target automatically escapes the grapple as if it had succeeded at an Escape Artist check to escape the grapple.  Stay Up: The target uses this ability when it is tripped or otherwise knocked prone. The target steadies itself and stays upright.</t>
  </si>
  <si>
    <t>&lt;p&gt;Despite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&lt;i&gt;Fortitude&lt;/i&gt;: The target uses this ability when a critical hit or sneak attack is scored against it. The critical hit or sneak attack is negated and the damage is instead rolled normally.  &lt;i&gt;Rejuvenate&lt;/i&gt;: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&lt;i&gt;Shake Off&lt;/i&gt;: The target uses this ability when it is under the effects of any of the following conditions: blinded, confused, cowering, dazed, dazzled, entangled, exhausted, fatigued, frightened, nauseated, panicked, shaken, sickened, or staggered. Using this ability ends one of those conditions.  &lt;i&gt;Shimmy Out&lt;/i&gt;: The target uses this ability when it is grappled or pinned. The target automatically escapes the grapple as if it had succeeded at an Escape Artist check to escape the grapple.  &lt;i&gt;Stay Up&lt;/i&gt;: The target uses this ability when it is tripped or otherwise knocked prone. The target steadies itself and stays upright.&lt;/p&gt;</t>
  </si>
  <si>
    <t>&lt;link rel="stylesheet"href="PF.css"&gt;&lt;div class="heading"&gt;&lt;p class="alignleft"&gt;Nine Lives&lt;/p&gt;&lt;div style="clear: both;"&gt;&lt;/div&gt;&lt;/div&gt;&lt;div&gt;&lt;h5&gt;&lt;b&gt;School &lt;/b&gt;abjuration; &lt;b&gt;Level &lt;/b&gt;cleric/oracle 8, witch 8&lt;/h5&gt;&lt;/div&gt;&lt;hr/&gt;&lt;div&gt;&lt;h5&gt;&lt;b&gt;CASTING&lt;/b&gt;&lt;/h5&gt;&lt;/div&gt;&lt;hr/&gt;&lt;div&gt;&lt;h5&gt;&lt;b&gt;Casting Time &lt;/b&gt;1 standard action&lt;/h5&gt;&lt;h5&gt;&lt;b&gt;Components &lt;/b&gt;V, S, M/DF (a cat's whisker)&lt;/h5&gt;&lt;/div&gt;&lt;hr/&gt;&lt;div&gt;&lt;h5&gt;&lt;b&gt;EFFECT&lt;/b&gt;&lt;/h5&gt;&lt;/div&gt;&lt;hr/&gt;&lt;div&gt;&lt;h5&gt;&lt;b&gt;Range &lt;/b&gt;touch&lt;/h5&gt;&lt;h5&gt;&lt;b&gt;Targets &lt;/b&gt;one creature touched&lt;/h5&gt;&lt;h5&gt;&lt;b&gt;Duration &lt;/b&gt;1 hour/level&lt;/h5&gt;&lt;h5&gt;&lt;b&gt;Saving Throw &lt;/b&gt;Will negates (harmless); &lt;b&gt;Spell Resistance &lt;/b&gt;yes (harmless)&lt;/h5&gt;&lt;/div&gt;&lt;hr/&gt;&lt;div&gt;&lt;h5&gt;&lt;b&gt;DESCRIPTION&lt;/b&gt;&lt;/h5&gt;&lt;/div&gt;&lt;hr/&gt;&lt;div&gt;&lt;h4&gt;&lt;p&gt;Despite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&lt;i&gt;Fortitude&lt;/i&gt;: The target uses this ability when a critical hit or sneak attack is scored against it. The critical hit or sneak attack is negated and the damage is instead rolled normally.  &lt;i&gt;Rejuvenate&lt;/i&gt;: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&lt;i&gt;Shake Off&lt;/i&gt;: The target uses this ability when it is under the effects of any of the following conditions: blinded, confused, cowering, dazed, dazzled, entangled, exhausted, fatigued, frightened, nauseated, panicked, shaken, sickened, or staggered. Using this ability ends one of those conditions.  &lt;i&gt;Shimmy Out&lt;/i&gt;: The target uses this ability when it is grappled or pinned. The target automatically escapes the grapple as if it had succeeded at an Escape Artist check to escape the grapple.  &lt;i&gt;Stay Up&lt;/i&gt;: The target uses this ability when it is tripped or otherwise knocked prone. The target steadies itself and stays upright.&lt;/p&gt;&lt;/h4&gt;&lt;/div&gt;</t>
  </si>
  <si>
    <t>Steal Breath</t>
  </si>
  <si>
    <t>bard 2, druid 2, sorcerer/wizard 2, witch 2, bloodrager 2, psychic 2, mesmerist 2</t>
  </si>
  <si>
    <t>1 round (see text)</t>
  </si>
  <si>
    <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t>
  </si>
  <si>
    <t>&lt;p&gt;You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air.&lt;/p&gt;</t>
  </si>
  <si>
    <t>&lt;link rel="stylesheet"href="PF.css"&gt;&lt;div class="heading"&gt;&lt;p class="alignleft"&gt;Steal Breath&lt;/p&gt;&lt;div style="clear: both;"&gt;&lt;/div&gt;&lt;/div&gt;&lt;div&gt;&lt;h5&gt;&lt;b&gt;School &lt;/b&gt;transmutation [air]; &lt;b&gt;Level &lt;/b&gt;bard 2, druid 2, sorcerer/wizard 2, witch 2, bloodrager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 (see text)&lt;/h5&gt;&lt;h5&gt;&lt;b&gt;Saving Throw &lt;/b&gt;Fortitude negates; see text; &lt;b&gt;Spell Resistance &lt;/b&gt;yes&lt;/h5&gt;&lt;/div&gt;&lt;hr/&gt;&lt;div&gt;&lt;h5&gt;&lt;b&gt;DESCRIPTION&lt;/b&gt;&lt;/h5&gt;&lt;/div&gt;&lt;hr/&gt;&lt;div&gt;&lt;h4&gt;&lt;p&gt;You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air.&lt;/p&gt;&lt;/h4&gt;&lt;/div&gt;</t>
  </si>
  <si>
    <t>Blinding Ray</t>
  </si>
  <si>
    <t>cleric/oracle 2, inquisitor 3, paladin 2</t>
  </si>
  <si>
    <t>one or more rays of light</t>
  </si>
  <si>
    <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t>
  </si>
  <si>
    <t>&lt;p&gt;You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simultaneously.&lt;/p&gt;</t>
  </si>
  <si>
    <t>&lt;link rel="stylesheet"href="PF.css"&gt;&lt;div class="heading"&gt;&lt;p class="alignleft"&gt;Blinding Ray&lt;/p&gt;&lt;div style="clear: both;"&gt;&lt;/div&gt;&lt;/div&gt;&lt;div&gt;&lt;h5&gt;&lt;b&gt;School &lt;/b&gt;evocation [good, light]; &lt;b&gt;Level &lt;/b&gt;cleric/oracle 2, inquisitor 3, paladin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&lt;/b&gt;one or more rays of light&lt;/h5&gt;&lt;h5&gt;&lt;b&gt;Duration &lt;/b&gt;instantaneous (see text)&lt;/h5&gt;&lt;h5&gt;&lt;b&gt;Saving Throw &lt;/b&gt;Fortitude negates; &lt;b&gt;Spell Resistance &lt;/b&gt;yes&lt;/h5&gt;&lt;/div&gt;&lt;hr/&gt;&lt;div&gt;&lt;h5&gt;&lt;b&gt;DESCRIPTION&lt;/b&gt;&lt;/h5&gt;&lt;/div&gt;&lt;hr/&gt;&lt;div&gt;&lt;h4&gt;&lt;p&gt;You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simultaneously.&lt;/p&gt;&lt;/h4&gt;&lt;h5&gt;&lt;b&gt;Mythic: &lt;/b&gt;On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throw.&lt;/h5&gt;&lt;/div&gt;</t>
  </si>
  <si>
    <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t>
  </si>
  <si>
    <t>Life Channel</t>
  </si>
  <si>
    <t>one touched creature with negative energy affinity</t>
  </si>
  <si>
    <t>When cast on a creature with negative energy affinity, the target is able to convert channeled positive energy into temporary hit points. When subject to an effect that heals hit points only to living creatures (such as cure light wounds or channel positive energy), the target gains a number of temporary hit points equal to half the number of hit points that the positive energy would normally heal. These temporary hit points go away at the end of this spell's duration.</t>
  </si>
  <si>
    <t>&lt;p&gt;When cast on a creature with negative energy affinity, the target is able to convert channeled positive energy into temporary hit points. When subject to an effect that heals hit points only to living creatures (such as &lt;i&gt;cure light wounds&lt;/i&gt; or channel positive energy), the target gains a number of temporary hit points equal to half the number of hit points that the positive energy would normally heal. These temporary hit points go away at the end of this spell's duration.&lt;/p&gt;</t>
  </si>
  <si>
    <t>&lt;link rel="stylesheet"href="PF.css"&gt;&lt;div class="heading"&gt;&lt;p class="alignleft"&gt;Life Channel&lt;/p&gt;&lt;div style="clear: both;"&gt;&lt;/div&gt;&lt;/div&gt;&lt;div&gt;&lt;h5&gt;&lt;b&gt;School &lt;/b&gt;transmutation; &lt;b&gt;Level &lt;/b&gt;cleric/oracle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creature with negative energy affinity&lt;/h5&gt;&lt;h5&gt;&lt;b&gt;Duration &lt;/b&gt;1 minute/level&lt;/h5&gt;&lt;h5&gt;&lt;b&gt;Saving Throw &lt;/b&gt;Fortitude negates (harmless); &lt;b&gt;Spell Resistance &lt;/b&gt;yes (harmless)&lt;/h5&gt;&lt;/div&gt;&lt;hr/&gt;&lt;div&gt;&lt;h5&gt;&lt;b&gt;DESCRIPTION&lt;/b&gt;&lt;/h5&gt;&lt;/div&gt;&lt;hr/&gt;&lt;div&gt;&lt;h4&gt;&lt;p&gt;When cast on a creature with negative energy affinity, the target is able to convert channeled positive energy into temporary hit points. When subject to an effect that heals hit points only to living creatures (such as &lt;i&gt;cure light wounds&lt;/i&gt; or channel positive energy), the target gains a number of temporary hit points equal to half the number of hit points that the positive energy would normally heal. These temporary hit points go away at the end of this spell's duration.&lt;/p&gt;&lt;/h4&gt;&lt;/div&gt;</t>
  </si>
  <si>
    <t>Spawn Ward</t>
  </si>
  <si>
    <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t>
  </si>
  <si>
    <t>&lt;p&gt;The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attacks.&lt;/p&gt;</t>
  </si>
  <si>
    <t>&lt;link rel="stylesheet"href="PF.css"&gt;&lt;div class="heading"&gt;&lt;p class="alignleft"&gt;Spawn Ward&lt;/p&gt;&lt;div style="clear: both;"&gt;&lt;/div&gt;&lt;/div&gt;&lt;div&gt;&lt;h5&gt;&lt;b&gt;School &lt;/b&gt;necromancy; &lt;b&gt;Level &lt;/b&gt;cleric/oracle 5, inquisitor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attacks.&lt;/p&gt;&lt;/h4&gt;&lt;/div&gt;</t>
  </si>
  <si>
    <t>Ancestral Regression</t>
  </si>
  <si>
    <t>alchemist 2, antipaladin 3, cleric/oracle 2, sorcerer/wizard 3, witch 2, psychic 2</t>
  </si>
  <si>
    <t>willing drow touched</t>
  </si>
  <si>
    <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undetectable alignment spell. The spell grants the target a +10 bonus on Disguise checks to pass as an elf, though she appears to be an elven analog of herself and can be recognized as such by other drow who know her.</t>
  </si>
  <si>
    <t>&lt;p&gt;The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&lt;i&gt;undetectable alignment&lt;/i&gt; spell. The spell grants the target a +10 bonus on Disguise checks to pass as an elf, though she appears to be an elven analog of herself and can be recognized as such by other drow who know her.&lt;/p&gt;</t>
  </si>
  <si>
    <t>&lt;link rel="stylesheet"href="PF.css"&gt;&lt;div class="heading"&gt;&lt;p class="alignleft"&gt;Ancestral Regression&lt;/p&gt;&lt;div style="clear: both;"&gt;&lt;/div&gt;&lt;/div&gt;&lt;div&gt;&lt;h5&gt;&lt;b&gt;School &lt;/b&gt;transmutation (polymorph); &lt;b&gt;Level &lt;/b&gt;alchemist 2, antipaladin 3, cleric/oracle 2, sorcerer/wizard 3, witch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drow touched&lt;/h5&gt;&lt;h5&gt;&lt;b&gt;Duration &lt;/b&gt;24 hours (D)&lt;/h5&gt;&lt;h5&gt;&lt;b&gt;Saving Throw &lt;/b&gt;Will negates (harmless); &lt;b&gt;Spell Resistance &lt;/b&gt;yes (harmless)&lt;/h5&gt;&lt;/div&gt;&lt;hr/&gt;&lt;div&gt;&lt;h5&gt;&lt;b&gt;DESCRIPTION&lt;/b&gt;&lt;/h5&gt;&lt;/div&gt;&lt;hr/&gt;&lt;div&gt;&lt;h4&gt;&lt;p&gt;The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&lt;i&gt;undetectable alignment&lt;/i&gt; spell. The spell grants the target a +10 bonus on Disguise checks to pass as an elf, though she appears to be an elven analog of herself and can be recognized as such by other drow who know her.&lt;/p&gt;&lt;/h4&gt;&lt;/div&gt;</t>
  </si>
  <si>
    <t>Web Bolt</t>
  </si>
  <si>
    <t>magus 1, sorcerer/wizard 1, witch 1, bloodrager 1</t>
  </si>
  <si>
    <t>fist-sized blob of webbing</t>
  </si>
  <si>
    <t>You launch a ball of webbing at a target, which must make a save or be affected as if by a web spell occupying only the creature's space. If the creature saves or breaks free of the webbing, the remaining webs dissolve and the square is not considered difficult terrain. The spell has no effect if the target is not on or adjacent to a solid surface that can support the webbing.</t>
  </si>
  <si>
    <t>&lt;p&gt;You launch a ball of &lt;i&gt;web&lt;/i&gt;bing at a target, which must make a save or be affected as if by a &lt;i&gt;web&lt;/i&gt; spell occupying only the creature's space. If the creature saves or breaks free of the &lt;i&gt;web&lt;/i&gt;bing, the remaining &lt;i&gt;web&lt;/i&gt;s dissolve and the square is not considered difficult terrain. The spell has no effect if the target is not on or adjacent to a solid surface that can support the &lt;i&gt;web&lt;/i&gt;bing.&lt;/p&gt;</t>
  </si>
  <si>
    <t>&lt;link rel="stylesheet"href="PF.css"&gt;&lt;div class="heading"&gt;&lt;p class="alignleft"&gt;Web Bolt&lt;/p&gt;&lt;div style="clear: both;"&gt;&lt;/div&gt;&lt;/div&gt;&lt;div&gt;&lt;h5&gt;&lt;b&gt;School &lt;/b&gt;conjuration (creation); &lt;b&gt;Level &lt;/b&gt;magus 1, sorcerer/wizard 1, witch 1, bloodrager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&lt;/b&gt;fist-sized blob of webbing&lt;/h5&gt;&lt;h5&gt;&lt;b&gt;Duration &lt;/b&gt;1 min./level&lt;/h5&gt;&lt;h5&gt;&lt;b&gt;Saving Throw &lt;/b&gt;Reflex negates; see text; &lt;b&gt;Spell Resistance &lt;/b&gt;no&lt;/h5&gt;&lt;/div&gt;&lt;hr/&gt;&lt;div&gt;&lt;h5&gt;&lt;b&gt;DESCRIPTION&lt;/b&gt;&lt;/h5&gt;&lt;/div&gt;&lt;hr/&gt;&lt;div&gt;&lt;h4&gt;&lt;p&gt;You launch a ball of &lt;i&gt;web&lt;/i&gt;bing at a target, which must make a save or be affected as if by a &lt;i&gt;web&lt;/i&gt; spell occupying only the creature's space. If the creature saves or breaks free of the &lt;i&gt;web&lt;/i&gt;bing, the remaining &lt;i&gt;web&lt;/i&gt;s dissolve and the square is not considered difficult terrain. The spell has no effect if the target is not on or adjacent to a solid surface that can support the &lt;i&gt;web&lt;/i&gt;bing.&lt;/p&gt;&lt;/h4&gt;&lt;/div&gt;</t>
  </si>
  <si>
    <t>Web Cloud</t>
  </si>
  <si>
    <t>You create a cloud of flame-resistant strands of adhesive webbing that billows and flows much like a cloudkill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web spell. A creature in the cloud at the start of its turn must save against the cloud or be affected. The webbing of this spell is flammable (see the web spell), but has fire resistance 5.</t>
  </si>
  <si>
    <t>&lt;p&gt;You create a cloud of flame-resistant strands of adhesive &lt;i&gt;web&lt;/i&gt;bing that billows and flows much like a &lt;i&gt;cloudkill&lt;/i&gt;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&lt;i&gt;web&lt;/i&gt;bing remain trapped even after the cloud passes, but the area the cloud leaves behind does not count as difficult terrain.  Because the &lt;i&gt;web&lt;/i&gt;bing is heavier than air, it sinks to the lowest level of the land, even pouring down den or sinkhole openings. The cloud of &lt;i&gt;web&lt;/i&gt;bing cannot penetrate liquids, nor can it be cast underwater.  The cloud otherwise acts like a &lt;i&gt;web&lt;/i&gt; spell. A creature in the cloud at the start of its turn must save against the cloud or be affected. The &lt;i&gt;web&lt;/i&gt;bing of this spell is flammable (see the &lt;i&gt;web&lt;/i&gt; spell), but has fire resistance 5.&lt;/p&gt;</t>
  </si>
  <si>
    <t>&lt;link rel="stylesheet"href="PF.css"&gt;&lt;div class="heading"&gt;&lt;p class="alignleft"&gt;Web Cloud&lt;/p&gt;&lt;div style="clear: both;"&gt;&lt;/div&gt;&lt;/div&gt;&lt;div&gt;&lt;h5&gt;&lt;b&gt;School &lt;/b&gt;conjuration (creation); &lt;b&gt;Level &lt;/b&gt;sorcerer/wizard 4,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minute/level&lt;/h5&gt;&lt;h5&gt;&lt;b&gt;Saving Throw &lt;/b&gt;Reflex partial; see text; &lt;b&gt;Spell Resistance &lt;/b&gt;no&lt;/h5&gt;&lt;/div&gt;&lt;hr/&gt;&lt;div&gt;&lt;h5&gt;&lt;b&gt;DESCRIPTION&lt;/b&gt;&lt;/h5&gt;&lt;/div&gt;&lt;hr/&gt;&lt;div&gt;&lt;h4&gt;&lt;p&gt;You create a cloud of flame-resistant strands of adhesive webbing that billows and flows much like a &lt;i&gt;cloudkill&lt;/i&gt;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&lt;i&gt;web&lt;/i&gt; spell. A creature in the cloud at the start of its turn must save against the cloud or be affected. The webbing of this spell is flammable (see the &lt;i&gt;web&lt;/i&gt; spell), but has fire resistance 5.&lt;/p&gt;&lt;/h4&gt;&lt;/div&gt;</t>
  </si>
  <si>
    <t>Gloomblind Bolts</t>
  </si>
  <si>
    <t>magus 3, sorcerer/wizard 3, witch 3, bloodrager 3</t>
  </si>
  <si>
    <t>one or more bolts of energy</t>
  </si>
  <si>
    <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t>
  </si>
  <si>
    <t>&lt;p&gt;You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round.&lt;/p&gt;</t>
  </si>
  <si>
    <t>&lt;link rel="stylesheet"href="PF.css"&gt;&lt;div class="heading"&gt;&lt;p class="alignleft"&gt;Gloomblind Bolts&lt;/p&gt;&lt;div style="clear: both;"&gt;&lt;/div&gt;&lt;/div&gt;&lt;div&gt;&lt;h5&gt;&lt;b&gt;School &lt;/b&gt;conjuration (creation) [shadow]; &lt;b&gt;Level &lt;/b&gt;magus 3, sorcerer/wizard 3, witch 3, bloodrager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or more bolts of energy&lt;/h5&gt;&lt;h5&gt;&lt;b&gt;Duration &lt;/b&gt;instantaneous&lt;/h5&gt;&lt;h5&gt;&lt;b&gt;Saving Throw &lt;/b&gt;Reflex negates; see text; &lt;b&gt;Spell Resistance &lt;/b&gt;yes&lt;/h5&gt;&lt;/div&gt;&lt;hr/&gt;&lt;div&gt;&lt;h5&gt;&lt;b&gt;DESCRIPTION&lt;/b&gt;&lt;/h5&gt;&lt;/div&gt;&lt;hr/&gt;&lt;div&gt;&lt;h4&gt;&lt;p&gt;You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round.&lt;/p&gt;&lt;/h4&gt;&lt;/div&gt;</t>
  </si>
  <si>
    <t>Shadowy Haven</t>
  </si>
  <si>
    <t>V, S, M (a small black silk bag)</t>
  </si>
  <si>
    <t>one 5-foot square of floor touched</t>
  </si>
  <si>
    <t>This spell functions like rope trick,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shadow walk spell or similar effect that allows travel to the Shadow Plane is more accurate, reducing the distance creatures arrive off-target by half.</t>
  </si>
  <si>
    <t>&lt;p&gt;This spell functions like &lt;i&gt;rope trick&lt;/i&gt;,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&lt;i&gt;shadow walk&lt;/i&gt; spell or similar effect that allows travel to the Shadow Plane is more accurate, reducing the distance creatures arrive off-target by half.&lt;/p&gt;</t>
  </si>
  <si>
    <t>&lt;link rel="stylesheet"href="PF.css"&gt;&lt;div class="heading"&gt;&lt;p class="alignleft"&gt;Shadowy Haven&lt;/p&gt;&lt;div style="clear: both;"&gt;&lt;/div&gt;&lt;/div&gt;&lt;div&gt;&lt;h5&gt;&lt;b&gt;School &lt;/b&gt;transmutation; &lt;b&gt;Level &lt;/b&gt;sorcerer/wizard 4, psychic 4&lt;/h5&gt;&lt;/div&gt;&lt;hr/&gt;&lt;div&gt;&lt;h5&gt;&lt;b&gt;CASTING&lt;/b&gt;&lt;/h5&gt;&lt;/div&gt;&lt;hr/&gt;&lt;div&gt;&lt;h5&gt;&lt;b&gt;Casting Time &lt;/b&gt;1 standard action&lt;/h5&gt;&lt;h5&gt;&lt;b&gt;Components &lt;/b&gt;V, S, M (a small black silk bag)&lt;/h5&gt;&lt;/div&gt;&lt;hr/&gt;&lt;div&gt;&lt;h5&gt;&lt;b&gt;EFFECT&lt;/b&gt;&lt;/h5&gt;&lt;/div&gt;&lt;hr/&gt;&lt;div&gt;&lt;h5&gt;&lt;b&gt;Range &lt;/b&gt;touch&lt;/h5&gt;&lt;h5&gt;&lt;b&gt;Targets &lt;/b&gt;one 5-foot square of floor touched&lt;/h5&gt;&lt;h5&gt;&lt;b&gt;Duration &lt;/b&gt;2 hours/level (D)&lt;/h5&gt;&lt;h5&gt;&lt;b&gt;Saving Throw &lt;/b&gt;none; &lt;b&gt;Spell Resistance &lt;/b&gt;no&lt;/h5&gt;&lt;/div&gt;&lt;hr/&gt;&lt;div&gt;&lt;h5&gt;&lt;b&gt;DESCRIPTION&lt;/b&gt;&lt;/h5&gt;&lt;/div&gt;&lt;hr/&gt;&lt;div&gt;&lt;h4&gt;&lt;p&gt;This spell functions like &lt;i&gt;rope trick&lt;/i&gt;,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&lt;i&gt;shadow walk&lt;/i&gt; spell or similar effect that allows travel to the Shadow Plane is more accurate, reducing the distance creatures arrive off-target by half.&lt;/p&gt;&lt;/h4&gt;&lt;/div&gt;</t>
  </si>
  <si>
    <t>Fire Trail</t>
  </si>
  <si>
    <t>trail of flame that follows the caster's movements; see text</t>
  </si>
  <si>
    <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t>
  </si>
  <si>
    <t>&lt;p&gt;When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fire.&lt;/p&gt;</t>
  </si>
  <si>
    <t>&lt;link rel="stylesheet"href="PF.css"&gt;&lt;div class="heading"&gt;&lt;p class="alignleft"&gt;Fire Trail&lt;/p&gt;&lt;div style="clear: both;"&gt;&lt;/div&gt;&lt;/div&gt;&lt;div&gt;&lt;h5&gt;&lt;b&gt;School &lt;/b&gt;transmutation [fire]; &lt;b&gt;Level &lt;/b&gt;alchemist 3, magus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&lt;/b&gt;trail of flame that follows the caster's movements; see text&lt;/h5&gt;&lt;h5&gt;&lt;b&gt;Duration &lt;/b&gt;1 round/level&lt;/h5&gt;&lt;h5&gt;&lt;b&gt;Saving Throw &lt;/b&gt;none; &lt;b&gt;Spell Resistance &lt;/b&gt;yes&lt;/h5&gt;&lt;/div&gt;&lt;hr/&gt;&lt;div&gt;&lt;h5&gt;&lt;b&gt;DESCRIPTION&lt;/b&gt;&lt;/h5&gt;&lt;/div&gt;&lt;hr/&gt;&lt;div&gt;&lt;h4&gt;&lt;p&gt;When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fire.&lt;/p&gt;&lt;/h4&gt;&lt;/div&gt;</t>
  </si>
  <si>
    <t>Mudball</t>
  </si>
  <si>
    <t>druid 1, magus 1, sorcerer/wizard 1, witch 1</t>
  </si>
  <si>
    <t>single fist-sized blob of sticky mud</t>
  </si>
  <si>
    <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t>
  </si>
  <si>
    <t>&lt;p&gt;When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action.&lt;/p&gt;</t>
  </si>
  <si>
    <t>&lt;link rel="stylesheet"href="PF.css"&gt;&lt;div class="heading"&gt;&lt;p class="alignleft"&gt;Mudball&lt;/p&gt;&lt;div style="clear: both;"&gt;&lt;/div&gt;&lt;/div&gt;&lt;div&gt;&lt;h5&gt;&lt;b&gt;School &lt;/b&gt;conjuration (creation) [earth]; &lt;b&gt;Level &lt;/b&gt;druid 1, magus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&lt;/b&gt;single fist-sized blob of sticky mud&lt;/h5&gt;&lt;h5&gt;&lt;b&gt;Duration &lt;/b&gt;instantaneous&lt;/h5&gt;&lt;h5&gt;&lt;b&gt;Saving Throw &lt;/b&gt;Reflex negates; see text; &lt;b&gt;Spell Resistance &lt;/b&gt;no&lt;/h5&gt;&lt;/div&gt;&lt;hr/&gt;&lt;div&gt;&lt;h5&gt;&lt;b&gt;DESCRIPTION&lt;/b&gt;&lt;/h5&gt;&lt;/div&gt;&lt;hr/&gt;&lt;div&gt;&lt;h4&gt;&lt;p&gt;When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action.&lt;/p&gt;&lt;/h4&gt;&lt;/div&gt;</t>
  </si>
  <si>
    <t>Vomit Twin</t>
  </si>
  <si>
    <t>creation, teleportation</t>
  </si>
  <si>
    <t>alchemist 3, magus 3, sorcerer/wizard 4, summoner 3, psychic 4</t>
  </si>
  <si>
    <t>creates one ooze duplicate of the caster</t>
  </si>
  <si>
    <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teleport.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t>
  </si>
  <si>
    <t>&lt;p&gt;Upon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&lt;i&gt;teleport&lt;/i&gt;.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time.&lt;/p&gt;</t>
  </si>
  <si>
    <t>&lt;link rel="stylesheet"href="PF.css"&gt;&lt;div class="heading"&gt;&lt;p class="alignleft"&gt;Vomit Twin&lt;/p&gt;&lt;div style="clear: both;"&gt;&lt;/div&gt;&lt;/div&gt;&lt;div&gt;&lt;h5&gt;&lt;b&gt;School &lt;/b&gt;conjuration (creation, teleportation); &lt;b&gt;Level &lt;/b&gt;alchemist 3, magus 3, sorcerer/wizard 4, summoner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&lt;/b&gt;creates one ooze duplicate of the caster&lt;/h5&gt;&lt;h5&gt;&lt;b&gt;Duration &lt;/b&gt;1 round/level&lt;/h5&gt;&lt;/div&gt;&lt;hr/&gt;&lt;div&gt;&lt;h5&gt;&lt;b&gt;DESCRIPTION&lt;/b&gt;&lt;/h5&gt;&lt;/div&gt;&lt;hr/&gt;&lt;div&gt;&lt;h4&gt;&lt;p&gt;Upon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&lt;i&gt;teleport&lt;/i&gt;.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time.&lt;/p&gt;&lt;/h4&gt;&lt;h5&gt;&lt;b&gt;Mythic: &lt;/b&gt;Any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type.&lt;/h5&gt;&lt;h5&gt;&lt;b&gt;Augmented (5th)&lt;/b&gt;: If you expend two uses of mythic power, you create two copies when you cast the spell, and both can be active at the same time. If you instead expend three uses of mythic power, you create three copies when you cast the spell, and all three can be active at the same time.&lt;/h5&gt;&lt;/div&gt;</t>
  </si>
  <si>
    <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t>
  </si>
  <si>
    <t>Augmented (5th): If you expend two uses of mythic power, you create two copies when you cast the spell, and both can be active at the same time. If you instead expend three uses of mythic power, you create three copies when you cast the spell, and all three can be active at the same time.</t>
  </si>
  <si>
    <t>Agonizing Rebuke</t>
  </si>
  <si>
    <t>emotion, mind-affecting, pain</t>
  </si>
  <si>
    <t>antipaladin 2, cleric/oracle 3, inquisitor 3, witch 3, psychic 3, mesmerist 2</t>
  </si>
  <si>
    <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t>
  </si>
  <si>
    <t>&lt;p&gt;With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damage.&lt;/p&gt;</t>
  </si>
  <si>
    <t>&lt;link rel="stylesheet"href="PF.css"&gt;&lt;div class="heading"&gt;&lt;p class="alignleft"&gt;Agonizing Rebuke&lt;/p&gt;&lt;div style="clear: both;"&gt;&lt;/div&gt;&lt;/div&gt;&lt;div&gt;&lt;h5&gt;&lt;b&gt;School &lt;/b&gt;illusion (phantasm) [emotion, mind-affecting, pain]; &lt;b&gt;Level &lt;/b&gt;antipaladin 2, cleric/oracle 3, inquisitor 3, witch 3, psychic 3,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level)&lt;/h5&gt;&lt;h5&gt;&lt;b&gt;Targets &lt;/b&gt;one living creature&lt;/h5&gt;&lt;h5&gt;&lt;b&gt;Duration &lt;/b&gt;1 round/level&lt;/h5&gt;&lt;h5&gt;&lt;b&gt;Saving Throw &lt;/b&gt;Will negates; &lt;b&gt;Spell Resistance &lt;/b&gt;yes&lt;/h5&gt;&lt;/div&gt;&lt;hr/&gt;&lt;div&gt;&lt;h5&gt;&lt;b&gt;DESCRIPTION&lt;/b&gt;&lt;/h5&gt;&lt;/div&gt;&lt;hr/&gt;&lt;div&gt;&lt;h4&gt;&lt;p&gt;With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damage.&lt;/p&gt;&lt;/h4&gt;&lt;/div&gt;</t>
  </si>
  <si>
    <t>Chains Of Fire</t>
  </si>
  <si>
    <t>magus 6, sorcerer/wizard 6</t>
  </si>
  <si>
    <t>V, S, F (a drop of oil and a small piece of flint)</t>
  </si>
  <si>
    <t>This spell functions like chain lightning, except as noted above, and the spell deals fire damage instead of electricity damage.</t>
  </si>
  <si>
    <t>&lt;p&gt;This spell functions like &lt;i&gt;chain lightning&lt;/i&gt;, except as noted above, and the spell deals fire damage instead of electricity damage.&lt;/p&gt;</t>
  </si>
  <si>
    <t>&lt;link rel="stylesheet"href="PF.css"&gt;&lt;div class="heading"&gt;&lt;p class="alignleft"&gt;Chains Of Fire&lt;/p&gt;&lt;div style="clear: both;"&gt;&lt;/div&gt;&lt;/div&gt;&lt;div&gt;&lt;h5&gt;&lt;b&gt;School &lt;/b&gt;evocation [fire]; &lt;b&gt;Level &lt;/b&gt;magus 6, sorcerer/wizard 6&lt;/h5&gt;&lt;/div&gt;&lt;hr/&gt;&lt;div&gt;&lt;h5&gt;&lt;b&gt;CASTING&lt;/b&gt;&lt;/h5&gt;&lt;/div&gt;&lt;hr/&gt;&lt;div&gt;&lt;h5&gt;&lt;b&gt;Casting Time &lt;/b&gt;1 standard action&lt;/h5&gt;&lt;h5&gt;&lt;b&gt;Components &lt;/b&gt;V, S, F (a drop of oil and a small piece of flint)&lt;/h5&gt;&lt;/div&gt;&lt;hr/&gt;&lt;div&gt;&lt;h5&gt;&lt;b&gt;EFFECT&lt;/b&gt;&lt;/h5&gt;&lt;/div&gt;&lt;hr/&gt;&lt;div&gt;&lt;h5&gt;&lt;b&gt;Range &lt;/b&gt;medium (100 ft. + 10 ft./level)&lt;/h5&gt;&lt;h5&gt;&lt;b&gt;Targets &lt;/b&gt;one primary target, plus one secondary target/level (each of which must be within 30 ft. of the primary target)&lt;/h5&gt;&lt;h5&gt;&lt;b&gt;Duration &lt;/b&gt;instantaneous&lt;/h5&gt;&lt;h5&gt;&lt;b&gt;Saving Throw &lt;/b&gt;Reflex half; &lt;b&gt;Spell Resistance &lt;/b&gt;yes&lt;/h5&gt;&lt;/div&gt;&lt;hr/&gt;&lt;div&gt;&lt;h5&gt;&lt;b&gt;DESCRIPTION&lt;/b&gt;&lt;/h5&gt;&lt;/div&gt;&lt;hr/&gt;&lt;div&gt;&lt;h4&gt;&lt;p&gt;This spell functions like &lt;i&gt;chain lightning&lt;/i&gt;, except as noted above, and the spell deals fire damage instead of electricity damage.&lt;/p&gt;&lt;/h4&gt;&lt;/div&gt;</t>
  </si>
  <si>
    <t>Death Candle</t>
  </si>
  <si>
    <t>death, evil, fire</t>
  </si>
  <si>
    <t>antipaladin 1, cleric/oracle 2, inquisitor 2, witch 2</t>
  </si>
  <si>
    <t>instantaneous/1 round per HD of subject; see text</t>
  </si>
  <si>
    <t>This spell functions like death knell, except instead of using the slain target's life energy to enhance yourself, you use it to summon a Small fire elemental resembling a burning, howling version of the slain creature. The elemental acts immediately on your turn and otherwise behaves as if you had summoned it with summon monster II. The elemental remains for a number of rounds equal to the Hit Dice of the slain creature.</t>
  </si>
  <si>
    <t>&lt;p&gt;This spell functions like &lt;i&gt;death knell&lt;/i&gt;, except instead of using the slain target's life energy to enhance yourself, you use it to summon a Small fire elemental resembling a burning, howling version of the slain creature. The elemental acts immediately on your turn and otherwise behaves as if you had summoned it with &lt;i&gt;summon monster II&lt;/i&gt;. The elemental remains for a number of rounds equal to the Hit Dice of the slain creature.&lt;/p&gt;</t>
  </si>
  <si>
    <t>&lt;link rel="stylesheet"href="PF.css"&gt;&lt;div class="heading"&gt;&lt;p class="alignleft"&gt;Death Candle&lt;/p&gt;&lt;div style="clear: both;"&gt;&lt;/div&gt;&lt;/div&gt;&lt;div&gt;&lt;h5&gt;&lt;b&gt;School &lt;/b&gt;necromancy [death, evil, fire]; &lt;b&gt;Level &lt;/b&gt;antipaladin 1, cleric/oracle 2, inquisitor 2, witch 2&lt;/h5&gt;&lt;/div&gt;&lt;hr/&gt;&lt;div&gt;&lt;h5&gt;&lt;b&gt;CASTING&lt;/b&gt;&lt;/h5&gt;&lt;/div&gt;&lt;hr/&gt;&lt;div&gt;&lt;h5&gt;&lt;b&gt;Casting Time &lt;/b&gt;1 round&lt;/h5&gt;&lt;h5&gt;&lt;b&gt;Components &lt;/b&gt;V, S&lt;/h5&gt;&lt;/div&gt;&lt;hr/&gt;&lt;div&gt;&lt;h5&gt;&lt;b&gt;EFFECT&lt;/b&gt;&lt;/h5&gt;&lt;/div&gt;&lt;hr/&gt;&lt;div&gt;&lt;h5&gt;&lt;b&gt;Duration &lt;/b&gt;instantaneous/1 round per HD of subject; see text&lt;/h5&gt;&lt;h5&gt;&lt;b&gt;Saving Throw &lt;/b&gt;Fortitude negates; &lt;b&gt;Spell Resistance &lt;/b&gt;yes&lt;/h5&gt;&lt;/div&gt;&lt;hr/&gt;&lt;div&gt;&lt;h5&gt;&lt;b&gt;DESCRIPTION&lt;/b&gt;&lt;/h5&gt;&lt;/div&gt;&lt;hr/&gt;&lt;div&gt;&lt;h4&gt;&lt;p&gt;This spell functions like &lt;i&gt;death knell&lt;/i&gt;, except instead of using the slain target's life energy to enhance yourself, you use it to summon a Small fire elemental resembling a burning, howling version of the slain creature. The elemental acts immediately on your turn and otherwise behaves as if you had summoned it with &lt;i&gt;summon monster II&lt;/i&gt;. The elemental remains for a number of rounds equal to the Hit Dice of the slain creature.&lt;/p&gt;&lt;/h4&gt;&lt;/div&gt;</t>
  </si>
  <si>
    <t>Firestream</t>
  </si>
  <si>
    <t>magus 3, sorcerer/wizard 3, bloodrager 3</t>
  </si>
  <si>
    <t>20-ft. line</t>
  </si>
  <si>
    <t>concentration, up to 1 round/level; see text</t>
  </si>
  <si>
    <t>A rushing stream of fire sprays from your outstretched hand, dealing 2d6 points of fire damage to every creature in the area. Each round you continue to concentrate on the spell, you can select a new area for it to affect.  Firestream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t>
  </si>
  <si>
    <t>&lt;p&gt;A rushing stream of fire sprays from your outstretched hand, dealing 2d6 points of fire damage to every creature in the area. Each round you continue to concentrate on the spell, you can select a new area for it to affect.  &lt;i&gt;Firestream&lt;/i&gt;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does.&lt;/p&gt;</t>
  </si>
  <si>
    <t>&lt;link rel="stylesheet"href="PF.css"&gt;&lt;div class="heading"&gt;&lt;p class="alignleft"&gt;Firestream&lt;/p&gt;&lt;div style="clear: both;"&gt;&lt;/div&gt;&lt;/div&gt;&lt;div&gt;&lt;h5&gt;&lt;b&gt;School &lt;/b&gt;evocation [fire]; &lt;b&gt;Level &lt;/b&gt;magus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 line&lt;/h5&gt;&lt;h5&gt;&lt;b&gt;Duration &lt;/b&gt;concentration, up to 1 round/level; see text&lt;/h5&gt;&lt;h5&gt;&lt;b&gt;Saving Throw &lt;/b&gt;Reflex half; &lt;b&gt;Spell Resistance &lt;/b&gt;yes&lt;/h5&gt;&lt;/div&gt;&lt;hr/&gt;&lt;div&gt;&lt;h5&gt;&lt;b&gt;DESCRIPTION&lt;/b&gt;&lt;/h5&gt;&lt;/div&gt;&lt;hr/&gt;&lt;div&gt;&lt;h4&gt;&lt;p&gt;A rushing stream of fire sprays from your outstretched hand, dealing 2d6 points of fire damage to every creature in the area. Each round you continue to concentrate on the spell, you can select a new area for it to affect.  &lt;i&gt;Firestream&lt;/i&gt;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does.&lt;/p&gt;&lt;/h4&gt;&lt;h5&gt;&lt;b&gt;Mythic: &lt;/b&gt;The damage dealt increases to 2d10 points of fire damage. Any creature that fails its saving throw also catches fire (Core Rulebook 444). The continuous line of fire pushes against all creatures, making them treat the spell's area as difficult terrain.&lt;/h5&gt;&lt;h5&gt;&lt;b&gt;Augmented (4th)&lt;/b&gt;: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it.&lt;/h5&gt;&lt;/div&gt;</t>
  </si>
  <si>
    <t>The damage dealt increases to 2d10 points of fire damage. Any creature that fails its saving throw also catches fire (Core Rulebook 444). The continuous line of fire pushes against all creatures, making them treat the spell's area as difficult terrain.</t>
  </si>
  <si>
    <t>Augmented (4th):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t>
  </si>
  <si>
    <t>Fury Of The Sun</t>
  </si>
  <si>
    <t>curse, fire</t>
  </si>
  <si>
    <t>You curse the target to suffer unbearable heat. On a failed saving throw, the target is immediately subjected to severe heat (Core Rulebook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t>
  </si>
  <si>
    <t>&lt;p&gt;You curse the target to suffer unbearable heat. On a failed saving throw, the target is immediately subjected to severe heat (&lt;i&gt;Core Rulebook&lt;/i&gt;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shade.&lt;/p&gt;</t>
  </si>
  <si>
    <t>&lt;link rel="stylesheet"href="PF.css"&gt;&lt;div class="heading"&gt;&lt;p class="alignleft"&gt;Fury Of The Sun&lt;/p&gt;&lt;div style="clear: both;"&gt;&lt;/div&gt;&lt;/div&gt;&lt;div&gt;&lt;h5&gt;&lt;b&gt;School &lt;/b&gt;transmutation [curse, fire]; &lt;b&gt;Level &lt;/b&gt;druid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minutes/level&lt;/h5&gt;&lt;h5&gt;&lt;b&gt;Saving Throw &lt;/b&gt;Fortitude negates; &lt;b&gt;Spell Resistance &lt;/b&gt;yes&lt;/h5&gt;&lt;/div&gt;&lt;hr/&gt;&lt;div&gt;&lt;h5&gt;&lt;b&gt;DESCRIPTION&lt;/b&gt;&lt;/h5&gt;&lt;/div&gt;&lt;hr/&gt;&lt;div&gt;&lt;h4&gt;&lt;p&gt;You curse the target to suffer unbearable heat. On a failed saving throw, the target is immediately subjected to severe heat (&lt;i&gt;Core Rulebook&lt;/i&gt;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shade.&lt;/p&gt;&lt;/h4&gt;&lt;/div&gt;</t>
  </si>
  <si>
    <t>Healing Warmth</t>
  </si>
  <si>
    <t>alchemist 4, cleric/oracle 4, druid 4, inquisitor 4, psychic 4</t>
  </si>
  <si>
    <t>This spell grants you temporary immunity to fire damage as protection from energy.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t>
  </si>
  <si>
    <t>&lt;p&gt;This spell grants you temporary immunity to fire damage as &lt;i&gt;protection from energy&lt;/i&gt;.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discharged.&lt;/p&gt;</t>
  </si>
  <si>
    <t>&lt;link rel="stylesheet"href="PF.css"&gt;&lt;div class="heading"&gt;&lt;p class="alignleft"&gt;Healing Warmth&lt;/p&gt;&lt;div style="clear: both;"&gt;&lt;/div&gt;&lt;/div&gt;&lt;div&gt;&lt;h5&gt;&lt;b&gt;School &lt;/b&gt;abjuration; &lt;b&gt;Level &lt;/b&gt;alchemist 4, cleric/oracle 4, druid 4, inquisitor 4,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grants you temporary immunity to fire damage as &lt;i&gt;protection from energy&lt;/i&gt;.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discharged.&lt;/p&gt;&lt;/h4&gt;&lt;/div&gt;</t>
  </si>
  <si>
    <t>Scorching Ash Form</t>
  </si>
  <si>
    <t>alchemist 4, sorcerer/wizard 4</t>
  </si>
  <si>
    <t>S, M (a bit of gauze and a handful of ashes)</t>
  </si>
  <si>
    <t>This spell functions like gaseous form,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(Core Rulebook 444).</t>
  </si>
  <si>
    <t>&lt;p&gt;This spell functions like &lt;i&gt;gaseous form&lt;/i&gt;,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(&lt;i&gt;Core Rulebook&lt;/i&gt; 444).&lt;/p&gt;</t>
  </si>
  <si>
    <t>&lt;link rel="stylesheet"href="PF.css"&gt;&lt;div class="heading"&gt;&lt;p class="alignleft"&gt;Scorching Ash Form&lt;/p&gt;&lt;div style="clear: both;"&gt;&lt;/div&gt;&lt;/div&gt;&lt;div&gt;&lt;h5&gt;&lt;b&gt;School &lt;/b&gt;transmutation [fire]; &lt;b&gt;Level &lt;/b&gt;alchemist 4, sorcerer/wizard 4&lt;/h5&gt;&lt;/div&gt;&lt;hr/&gt;&lt;div&gt;&lt;h5&gt;&lt;b&gt;CASTING&lt;/b&gt;&lt;/h5&gt;&lt;/div&gt;&lt;hr/&gt;&lt;div&gt;&lt;h5&gt;&lt;b&gt;Casting Time &lt;/b&gt;1 standard action&lt;/h5&gt;&lt;h5&gt;&lt;b&gt;Components &lt;/b&gt;S, M (a bit of gauze and a handful of ashes)&lt;/h5&gt;&lt;/div&gt;&lt;hr/&gt;&lt;div&gt;&lt;h5&gt;&lt;b&gt;EFFECT&lt;/b&gt;&lt;/h5&gt;&lt;/div&gt;&lt;hr/&gt;&lt;div&gt;&lt;h5&gt;&lt;b&gt;Range &lt;/b&gt;touch&lt;/h5&gt;&lt;h5&gt;&lt;b&gt;Targets &lt;/b&gt;willing corporeal creature touched&lt;/h5&gt;&lt;h5&gt;&lt;b&gt;Duration &lt;/b&gt;1 minute/level&lt;/h5&gt;&lt;h5&gt;&lt;b&gt;Saving Throw &lt;/b&gt;none; &lt;b&gt;Spell Resistance &lt;/b&gt;no&lt;/h5&gt;&lt;/div&gt;&lt;hr/&gt;&lt;div&gt;&lt;h5&gt;&lt;b&gt;DESCRIPTION&lt;/b&gt;&lt;/h5&gt;&lt;/div&gt;&lt;hr/&gt;&lt;div&gt;&lt;h4&gt;&lt;p&gt;This spell functions like &lt;i&gt;gaseous form&lt;/i&gt;,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(&lt;i&gt;Core Rulebook&lt;/i&gt; 444).&lt;/p&gt;&lt;/h4&gt;&lt;h5&gt;&lt;b&gt;Mythic: &lt;/b&gt;The damage dealt increases to 3d6 points of fire damage. This otherwise makes the same changes as mythic gaseous form.&lt;/h5&gt;&lt;h5&gt;&lt;b&gt;Augmented&lt;/b&gt;: If you expend two uses of mythic power, the target can shift into or out of scorching ash form as a move action.&lt;/h5&gt;&lt;/div&gt;</t>
  </si>
  <si>
    <t>The damage dealt increases to 3d6 points of fire damage. This otherwise makes the same changes as mythic gaseous form.</t>
  </si>
  <si>
    <t>Augmented: If you expend two uses of mythic power, the target can shift into or out of scorching ash form as a move action.</t>
  </si>
  <si>
    <t>Touch Of Combustion</t>
  </si>
  <si>
    <t>druid 1, inquisitor 1, magus 1, sorcerer/wizard 1, witch 1, bloodrager 1, psychic 1</t>
  </si>
  <si>
    <t>Your successful melee touch attack causes the target to ignite in a violent burst of flame, dealing 1d6 points of fire damage. If it fails its saving throw, the target also catches on fire (Core Rulebook 444). If the target catches fire, on the first round thereafter, creatures adjacent to it (including you) must each succeed at a Reflex save or take 1d4 points of fire damage.</t>
  </si>
  <si>
    <t>&lt;p&gt;Your successful melee touch attack causes the target to ignite in a violent burst of flame, dealing 1d6 points of fire damage. If it fails its saving throw, the target also catches on fire (&lt;i&gt;Core Rulebook&lt;/i&gt; 444). If the target catches fire, on the first round thereafter, creatures adjacent to it (including you) must each succeed at a Reflex save or take 1d4 points of fire damage.&lt;/p&gt;</t>
  </si>
  <si>
    <t>&lt;link rel="stylesheet"href="PF.css"&gt;&lt;div class="heading"&gt;&lt;p class="alignleft"&gt;Touch Of Combustion&lt;/p&gt;&lt;div style="clear: both;"&gt;&lt;/div&gt;&lt;/div&gt;&lt;div&gt;&lt;h5&gt;&lt;b&gt;School &lt;/b&gt;evocation [fire]; &lt;b&gt;Level &lt;/b&gt;druid 1, inquisitor 1, magus 1, sorcerer/wizard 1, witch 1, bloodrager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&lt;/b&gt;Reflex negates; see text; &lt;b&gt;Spell Resistance &lt;/b&gt;yes&lt;/h5&gt;&lt;/div&gt;&lt;hr/&gt;&lt;div&gt;&lt;h5&gt;&lt;b&gt;DESCRIPTION&lt;/b&gt;&lt;/h5&gt;&lt;/div&gt;&lt;hr/&gt;&lt;div&gt;&lt;h4&gt;&lt;p&gt;Your successful melee touch attack causes the target to ignite in a violent burst of flame, dealing 1d6 points of fire damage. If it fails its saving throw, the target also catches on fire (&lt;i&gt;Core Rulebook&lt;/i&gt; 444). If the target catches fire, on the first round thereafter, creatures adjacent to it (including you) must each succeed at a Reflex save or take 1d4 points of fire damage.&lt;/p&gt;&lt;/h4&gt;&lt;/div&gt;</t>
  </si>
  <si>
    <t>Improve Trap</t>
  </si>
  <si>
    <t>antipaladin 2, druid 3, inquisitor 3, ranger 2, sorcerer/wizard 3, witch 3</t>
  </si>
  <si>
    <t>one trap</t>
  </si>
  <si>
    <t>When this spell is cast upon a trap, it improves one specific element of the trap chosen at the time of casting. The caster can improve the trap in any of the following ways (each one raises the trap's CR by +1).  • Increase DC of the Perception check required to locate the trap by +5.  • Increase DC of the Disable Device check required to disarm trap by +5.  •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t>
  </si>
  <si>
    <t>&lt;p&gt;When this spell is cast upon a trap, it improves one specific element of the trap chosen at the time of casting. The caster can improve the trap in any of the following ways (each one raises the trap's CR by +1).  &lt;ul&gt;&lt;li&gt; Increase DC of the Perception check required to locate the trap by +5.  &lt;li&gt; Increase DC of the Disable Device check required to disarm trap by +5.  &lt;li&gt;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improvement.&lt;/ul&gt;&lt;/p&gt;</t>
  </si>
  <si>
    <t>&lt;link rel="stylesheet"href="PF.css"&gt;&lt;div class="heading"&gt;&lt;p class="alignleft"&gt;Improve Trap&lt;/p&gt;&lt;div style="clear: both;"&gt;&lt;/div&gt;&lt;/div&gt;&lt;div&gt;&lt;h5&gt;&lt;b&gt;School &lt;/b&gt;transmutation; &lt;b&gt;Level &lt;/b&gt;antipaladin 2, druid 3, inquisitor 3, ranger 2, sorcerer/wizard 3, witch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trap&lt;/h5&gt;&lt;h5&gt;&lt;b&gt;Duration &lt;/b&gt;instantaneous&lt;/h5&gt;&lt;h5&gt;&lt;b&gt;Saving Throw &lt;/b&gt;Will negates (object); &lt;b&gt;Spell Resistance &lt;/b&gt;yes (object)&lt;/h5&gt;&lt;/div&gt;&lt;hr/&gt;&lt;div&gt;&lt;h5&gt;&lt;b&gt;DESCRIPTION&lt;/b&gt;&lt;/h5&gt;&lt;/div&gt;&lt;hr/&gt;&lt;div&gt;&lt;h4&gt;&lt;p&gt;When this spell is cast upon a trap, it improves one specific element of the trap chosen at the time of casting. The caster can improve the trap in any of the following ways (each one raises the trap's CR by +1).  &lt;ul&gt;&lt;li&gt; Increase DC of the Perception check required to locate the trap by +5.  &lt;li&gt; Increase DC of the Disable Device check required to disarm trap by +5.  &lt;li&gt; Increase the trap's attack bonus or saving throw by +2.&lt;/ul&gt;  To cast this on a trap, you must know that the trap exists and its precise location. A trap can only have one improvement from this spell at a time. A second casting changes the improvement on the trap, but does not add another improvement.&lt;/p&gt;&lt;/h4&gt;&lt;/div&gt;</t>
  </si>
  <si>
    <t>Trap (3)</t>
  </si>
  <si>
    <t>Blood Blaze</t>
  </si>
  <si>
    <t>alchemist 2, antipaladin 1, cleric/oracle 2, magus 2, sorcerer/wizard 2, witch 2, bloodrager 2, psychic 2</t>
  </si>
  <si>
    <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t>
  </si>
  <si>
    <t>&lt;p&gt;The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attacked.&lt;/p&gt;</t>
  </si>
  <si>
    <t>&lt;link rel="stylesheet"href="PF.css"&gt;&lt;div class="heading"&gt;&lt;p class="alignleft"&gt;Blood Blaze&lt;/p&gt;&lt;div style="clear: both;"&gt;&lt;/div&gt;&lt;/div&gt;&lt;div&gt;&lt;h5&gt;&lt;b&gt;School &lt;/b&gt;transmutation [fire]; &lt;b&gt;Level &lt;/b&gt;alchemist 2, antipaladin 1, cleric/oracle 2, magus 2, sorcerer/wizard 2, witch 2, bloodrager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attacked.&lt;/p&gt;&lt;/h4&gt;&lt;/div&gt;</t>
  </si>
  <si>
    <t>Blood Scent</t>
  </si>
  <si>
    <t>alchemist 3, antipaladin 2, cleric/oracle 3, druid 3, inquisitor 3, ranger 2, sorcerer/wizard 3, witch 3, bloodrager 3, psychic 3</t>
  </si>
  <si>
    <t>one creature/2 levels, no two of which can be more than 30 ft. apart</t>
  </si>
  <si>
    <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t>
  </si>
  <si>
    <t>&lt;p&gt;You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scent.&lt;/p&gt;</t>
  </si>
  <si>
    <t>&lt;link rel="stylesheet"href="PF.css"&gt;&lt;div class="heading"&gt;&lt;p class="alignleft"&gt;Blood Scent&lt;/p&gt;&lt;div style="clear: both;"&gt;&lt;/div&gt;&lt;/div&gt;&lt;div&gt;&lt;h5&gt;&lt;b&gt;School &lt;/b&gt;transmutation; &lt;b&gt;Level &lt;/b&gt;alchemist 3, antipaladin 2, cleric/oracle 3, druid 3, inquisitor 3, ranger 2, sorcerer/wizard 3, witch 3, bloodrager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creature/2 levels, no two of which can be more than 30 ft. apart&lt;/h5&gt;&lt;h5&gt;&lt;b&gt;Duration &lt;/b&gt;1 minute/level (D)&lt;/h5&gt;&lt;h5&gt;&lt;b&gt;Saving Throw &lt;/b&gt;Will negates (harmless); &lt;b&gt;Spell Resistance &lt;/b&gt;yes (harmless)&lt;/h5&gt;&lt;/div&gt;&lt;hr/&gt;&lt;div&gt;&lt;h5&gt;&lt;b&gt;DESCRIPTION&lt;/b&gt;&lt;/h5&gt;&lt;/div&gt;&lt;hr/&gt;&lt;div&gt;&lt;h4&gt;&lt;p&gt;You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scent.&lt;/p&gt;&lt;/h4&gt;&lt;/div&gt;</t>
  </si>
  <si>
    <t>Enemy's Heart</t>
  </si>
  <si>
    <t>adept 2, antipaladin 2, cleric/oracle 2, witch 2</t>
  </si>
  <si>
    <t>1 full-round action, special see below</t>
  </si>
  <si>
    <t>V, S, M (target creature's heart)</t>
  </si>
  <si>
    <t>concentration/1 minute per HD of the subject; see text</t>
  </si>
  <si>
    <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death knell spell, except you gain 1d8 temporary hit points +1 per Hit Die of the target, and the bonus to Strength is a profane bonus.</t>
  </si>
  <si>
    <t>&lt;p&gt;You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&lt;i&gt;death knell&lt;/i&gt; spell, except you gain 1d8 temporary hit points +1 per Hit Die of the target, and the bonus to Strength is a profane bonus.&lt;/p&gt;</t>
  </si>
  <si>
    <t>&lt;link rel="stylesheet"href="PF.css"&gt;&lt;div class="heading"&gt;&lt;p class="alignleft"&gt;Enemy's Heart&lt;/p&gt;&lt;div style="clear: both;"&gt;&lt;/div&gt;&lt;/div&gt;&lt;div&gt;&lt;h5&gt;&lt;b&gt;School &lt;/b&gt;necromancy [death, evil]; &lt;b&gt;Level &lt;/b&gt;adept 2, antipaladin 2, cleric/oracle 2, witch 2&lt;/h5&gt;&lt;/div&gt;&lt;hr/&gt;&lt;div&gt;&lt;h5&gt;&lt;b&gt;CASTING&lt;/b&gt;&lt;/h5&gt;&lt;/div&gt;&lt;hr/&gt;&lt;div&gt;&lt;h5&gt;&lt;b&gt;Casting Time &lt;/b&gt;1 full-round action, special see below&lt;/h5&gt;&lt;h5&gt;&lt;b&gt;Components &lt;/b&gt;V, S, M (target creature's heart)&lt;/h5&gt;&lt;/div&gt;&lt;hr/&gt;&lt;div&gt;&lt;h5&gt;&lt;b&gt;EFFECT&lt;/b&gt;&lt;/h5&gt;&lt;/div&gt;&lt;hr/&gt;&lt;div&gt;&lt;h5&gt;&lt;b&gt;Range &lt;/b&gt;touch&lt;/h5&gt;&lt;h5&gt;&lt;b&gt;Targets &lt;/b&gt;living creature touched&lt;/h5&gt;&lt;h5&gt;&lt;b&gt;Duration &lt;/b&gt;concentration/1 minute per HD of the subject; see text&lt;/h5&gt;&lt;h5&gt;&lt;b&gt;Saving Throw &lt;/b&gt;none; &lt;b&gt;Spell Resistance &lt;/b&gt;yes&lt;/h5&gt;&lt;/div&gt;&lt;hr/&gt;&lt;div&gt;&lt;h5&gt;&lt;b&gt;DESCRIPTION&lt;/b&gt;&lt;/h5&gt;&lt;/div&gt;&lt;hr/&gt;&lt;div&gt;&lt;h4&gt;&lt;p&gt;You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&lt;i&gt;death knell&lt;/i&gt; spell, except you gain 1d8 temporary hit points +1 per Hit Die of the target, and the bonus to Strength is a profane bonus.&lt;/p&gt;&lt;/h4&gt;&lt;/div&gt;</t>
  </si>
  <si>
    <t>Cannibalism (2)</t>
  </si>
  <si>
    <t>Sentry Skull</t>
  </si>
  <si>
    <t>antipaladin 1, cleric/oracle 2, sorcerer/wizard 2, witch 2</t>
  </si>
  <si>
    <t>V, S, M (an onyx gem worth at least 10 gp)</t>
  </si>
  <si>
    <t>severed head touched</t>
  </si>
  <si>
    <t>permanent (D); see text</t>
  </si>
  <si>
    <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magic mouth. Once this triggering condition is set, it can never be changed. If you are within 30 feet of the head, you immediately know if it is triggered (if you have multiple active sentry skulls, you also know which one was triggered). This wakens you from normal sleep but does not otherwise disturb your concentration. For example, you could have a sentry skull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magic mouth.</t>
  </si>
  <si>
    <t>&lt;p&gt;You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&lt;i&gt;magic mouth&lt;/i&gt;. Once this triggering condition is set, it can never be changed. If you are within 30 feet of the head, you immediately know if it is triggered (if you have multiple active &lt;i&gt;&lt;i&gt;sentry skull&lt;/i&gt;s&lt;/i&gt;, you also know which one was triggered). This wakens you from normal sleep but does not otherwise disturb your concentration. For example, you could have a &lt;i&gt;sentry skull&lt;/i&gt;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&lt;i&gt;magic mouth&lt;/i&gt;.&lt;/p&gt;</t>
  </si>
  <si>
    <t>&lt;link rel="stylesheet"href="PF.css"&gt;&lt;div class="heading"&gt;&lt;p class="alignleft"&gt;Sentry Skull&lt;/p&gt;&lt;div style="clear: both;"&gt;&lt;/div&gt;&lt;/div&gt;&lt;div&gt;&lt;h5&gt;&lt;b&gt;School &lt;/b&gt;necromancy [evil]; &lt;b&gt;Level &lt;/b&gt;antipaladin 1, cleric/oracle 2, sorcerer/wizard 2, witch 2&lt;/h5&gt;&lt;/div&gt;&lt;hr/&gt;&lt;div&gt;&lt;h5&gt;&lt;b&gt;CASTING&lt;/b&gt;&lt;/h5&gt;&lt;/div&gt;&lt;hr/&gt;&lt;div&gt;&lt;h5&gt;&lt;b&gt;Casting Time &lt;/b&gt;1 hour&lt;/h5&gt;&lt;h5&gt;&lt;b&gt;Components &lt;/b&gt;V, S, M (an onyx gem worth at least 10 gp)&lt;/h5&gt;&lt;/div&gt;&lt;hr/&gt;&lt;div&gt;&lt;h5&gt;&lt;b&gt;EFFECT&lt;/b&gt;&lt;/h5&gt;&lt;/div&gt;&lt;hr/&gt;&lt;div&gt;&lt;h5&gt;&lt;b&gt;Range &lt;/b&gt;touch&lt;/h5&gt;&lt;h5&gt;&lt;b&gt;Targets &lt;/b&gt;severed head touched&lt;/h5&gt;&lt;h5&gt;&lt;b&gt;Duration &lt;/b&gt;permanent (D); see text&lt;/h5&gt;&lt;h5&gt;&lt;b&gt;Saving Throw &lt;/b&gt;none; &lt;b&gt;Spell Resistance &lt;/b&gt;no&lt;/h5&gt;&lt;/div&gt;&lt;hr/&gt;&lt;div&gt;&lt;h5&gt;&lt;b&gt;DESCRIPTION&lt;/b&gt;&lt;/h5&gt;&lt;/div&gt;&lt;hr/&gt;&lt;div&gt;&lt;h4&gt;&lt;p&gt;You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&lt;i&gt;magic mouth&lt;/i&gt;. Once this triggering condition is set, it can never be changed. If you are within 30 feet of the head, you immediately know if it is triggered (if you have multiple active &lt;i&gt;&lt;i&gt;sentry skull&lt;/i&gt;s&lt;/i&gt;, you also know which one was triggered). This wakens you from normal sleep but does not otherwise disturb your concentration. For example, you could have a &lt;i&gt;sentry skull&lt;/i&gt;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&lt;i&gt;magic mouth&lt;/i&gt;.&lt;/p&gt;&lt;/h4&gt;&lt;/div&gt;</t>
  </si>
  <si>
    <t>Binding Earth</t>
  </si>
  <si>
    <t>one creature or unattended object (see text)</t>
  </si>
  <si>
    <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binding earth.  If cast on an unattended object resting on an area of stone or earth, the stone or earth warps and wraps around it, pulling it firmly to the ground. A DC 15 Strength check is required to pull the object free from snapping earth or stone.</t>
  </si>
  <si>
    <t>&lt;p&gt;If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&lt;i&gt;binding earth&lt;/i&gt;.  If cast on an unattended object resting on an area of stone or earth, the stone or earth warps and wraps around it, pulling it firmly to the ground. A DC 15 Strength check is required to pull the object free from snapping earth or stone.&lt;/p&gt;</t>
  </si>
  <si>
    <t>&lt;link rel="stylesheet"href="PF.css"&gt;&lt;div class="heading"&gt;&lt;p class="alignleft"&gt;Binding Earth&lt;/p&gt;&lt;div style="clear: both;"&gt;&lt;/div&gt;&lt;/div&gt;&lt;div&gt;&lt;h5&gt;&lt;b&gt;School &lt;/b&gt;transmutation [earth]; &lt;b&gt;Level &lt;/b&gt;druid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or unattended object (see text)&lt;/h5&gt;&lt;h5&gt;&lt;b&gt;Duration &lt;/b&gt;1 round/level&lt;/h5&gt;&lt;h5&gt;&lt;b&gt;Saving Throw &lt;/b&gt;Fortitude negates; &lt;b&gt;Spell Resistance &lt;/b&gt;yes&lt;/h5&gt;&lt;/div&gt;&lt;hr/&gt;&lt;div&gt;&lt;h5&gt;&lt;b&gt;DESCRIPTION&lt;/b&gt;&lt;/h5&gt;&lt;/div&gt;&lt;hr/&gt;&lt;div&gt;&lt;h4&gt;&lt;p&gt;If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&lt;i&gt;binding earth&lt;/i&gt;.  If cast on an unattended object resting on an area of stone or earth, the stone or earth warps and wraps around it, pulling it firmly to the ground. A DC 15 Strength check is required to pull the object free from snapping earth or stone.&lt;/p&gt;&lt;/h4&gt;&lt;/div&gt;</t>
  </si>
  <si>
    <t>Binding Earth, Mass</t>
  </si>
  <si>
    <t>This spell functions as binding earth, except as noted above.</t>
  </si>
  <si>
    <t>&lt;p&gt;This spell functions as &lt;i&gt;binding earth&lt;/i&gt;, except as noted above.&lt;/p&gt;</t>
  </si>
  <si>
    <t>&lt;link rel="stylesheet"href="PF.css"&gt;&lt;div class="heading"&gt;&lt;p class="alignleft"&gt;Binding Earth, Mass&lt;/p&gt;&lt;div style="clear: both;"&gt;&lt;/div&gt;&lt;/div&gt;&lt;div&gt;&lt;h5&gt;&lt;b&gt;School &lt;/b&gt;transmutation [earth]; &lt;b&gt;Level &lt;/b&gt;druid 6, witch 6&lt;/h5&gt;&lt;/div&gt;&lt;hr/&gt;&lt;div&gt;&lt;h5&gt;&lt;b&gt;CASTING&lt;/b&gt;&lt;/h5&gt;&lt;/div&gt;&lt;hr/&gt;&lt;div&gt;&lt;h5&gt;&lt;b&gt;Casting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or object/level, no two of which can be more than 30 ft. apart&lt;/h5&gt;&lt;h5&gt;&lt;b&gt;Duration &lt;/b&gt;1 round/level&lt;/h5&gt;&lt;h5&gt;&lt;b&gt;Saving Throw &lt;/b&gt;Fortitude negates; &lt;b&gt;Spell Resistance &lt;/b&gt;yes&lt;/h5&gt;&lt;/div&gt;&lt;hr/&gt;&lt;div&gt;&lt;h5&gt;&lt;b&gt;DESCRIPTION&lt;/b&gt;&lt;/h5&gt;&lt;/div&gt;&lt;hr/&gt;&lt;div&gt;&lt;h4&gt;&lt;p&gt;This spell functions as &lt;i&gt;binding earth&lt;/i&gt;, except as noted above.&lt;/p&gt;&lt;/h4&gt;&lt;/div&gt;</t>
  </si>
  <si>
    <t>Mighty Fist Of The Earth</t>
  </si>
  <si>
    <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ki pool, as long as you have at least 1 point in your ki pool, the rock counts as a ki strike.  At 4th level, a qinggong monk (Ultimate Magic 51) may select this spell as a ki power costing 1 ki point to activate (if the monk has 0 ki points after activating this ki power, the rock does not count as a ki strike).</t>
  </si>
  <si>
    <t>&lt;p&gt;You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&lt;i&gt;ki&lt;/i&gt; pool, as long as you have at least 1 point in your &lt;i&gt;ki&lt;/i&gt; pool, the rock counts as a &lt;i&gt;ki&lt;/i&gt; strike.  At 4th level, a qinggong monk (&lt;i&gt;Ultimate Magic&lt;/i&gt; 51) may select this spell as a &lt;i&gt;ki&lt;/i&gt; power costing 1 &lt;i&gt;ki&lt;/i&gt; point to activate (if the monk has 0 &lt;i&gt;ki&lt;/i&gt; points after activating this &lt;i&gt;ki&lt;/i&gt; power, the rock does not count as a &lt;i&gt;ki&lt;/i&gt; strike).&lt;/p&gt;</t>
  </si>
  <si>
    <t>&lt;link rel="stylesheet"href="PF.css"&gt;&lt;div class="heading"&gt;&lt;p class="alignleft"&gt;Mighty Fist Of The Earth&lt;/p&gt;&lt;div style="clear: both;"&gt;&lt;/div&gt;&lt;/div&gt;&lt;div&gt;&lt;h5&gt;&lt;b&gt;School &lt;/b&gt;conjuration (creation) [earth]; &lt;b&gt;Level &lt;/b&gt;cleric/oracle 1, druid 1&lt;/h5&gt;&lt;/div&gt;&lt;hr/&gt;&lt;div&gt;&lt;h5&gt;&lt;b&gt;CASTING&lt;/b&gt;&lt;/h5&gt;&lt;/div&gt;&lt;hr/&gt;&lt;div&gt;&lt;h5&gt;&lt;b&gt;Casting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&lt;i&gt;ki&lt;/i&gt; pool, as long as you have at least 1 point in your &lt;i&gt;ki&lt;/i&gt; pool, the rock counts as a &lt;i&gt;ki&lt;/i&gt; strike.  At 4th level, a qinggong monk (&lt;i&gt;Ultimate Magic&lt;/i&gt; 51) may select this spell as a &lt;i&gt;ki&lt;/i&gt; power costing 1 &lt;i&gt;ki&lt;/i&gt; point to activate (if the monk has 0 &lt;i&gt;ki&lt;/i&gt; points after activating this &lt;i&gt;ki&lt;/i&gt; power, the rock does not count as a &lt;i&gt;ki&lt;/i&gt; strike).&lt;/p&gt;&lt;/h4&gt;&lt;h5&gt;&lt;b&gt;Mythic: &lt;/b&gt;Add your tier to the rock's attack roll and damage roll. Increase the critical multiplier of the attack by 1 (maximum x4).&lt;/h5&gt;&lt;/div&gt;</t>
  </si>
  <si>
    <t>Add your tier to the rock's attack roll and damage roll. Increase the critical multiplier of the attack by 1 (maximum x4).</t>
  </si>
  <si>
    <t>Raging Rubble</t>
  </si>
  <si>
    <t>bard 3, cleric/oracle 3, druid 3, sorcerer/wizard 3, witch 3, bloodrager 3</t>
  </si>
  <si>
    <t>one swarm of stones</t>
  </si>
  <si>
    <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t>
  </si>
  <si>
    <t>&lt;p&gt;You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subtype.&lt;/p&gt;</t>
  </si>
  <si>
    <t>&lt;link rel="stylesheet"href="PF.css"&gt;&lt;div class="heading"&gt;&lt;p class="alignleft"&gt;Raging Rubble&lt;/p&gt;&lt;div style="clear: both;"&gt;&lt;/div&gt;&lt;/div&gt;&lt;div&gt;&lt;h5&gt;&lt;b&gt;School &lt;/b&gt;transmutation [earth]; &lt;b&gt;Level &lt;/b&gt;bard 3, cleric/oracle 3, druid 3, sorcerer/wizard 3, witch 3, bloodrager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swarm of stones&lt;/h5&gt;&lt;h5&gt;&lt;b&gt;Duration &lt;/b&gt;concentration + 2 rounds&lt;/h5&gt;&lt;h5&gt;&lt;b&gt;Saving Throw &lt;/b&gt;none; &lt;b&gt;Spell Resistance &lt;/b&gt;yes&lt;/h5&gt;&lt;/div&gt;&lt;hr/&gt;&lt;div&gt;&lt;h5&gt;&lt;b&gt;DESCRIPTION&lt;/b&gt;&lt;/h5&gt;&lt;/div&gt;&lt;hr/&gt;&lt;div&gt;&lt;h4&gt;&lt;p&gt;You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subtype.&lt;/p&gt;&lt;/h4&gt;&lt;/div&gt;</t>
  </si>
  <si>
    <t>Stone Shield</t>
  </si>
  <si>
    <t>cleric/oracle 1, druid 1, magus 2, sorcerer/wizard 1, summoner 1</t>
  </si>
  <si>
    <t>stone wall whose area is one 5-ft. square</t>
  </si>
  <si>
    <t>A 1-inch-thick slab of stone springs up from the ground, interposing itself between you and an opponent of your choice. The stone shield provides you with cover from that enemy (Core Rulebook 195) until the beginning of your next turn, granting you a +4 bonus to Armor Class and a +2 bonus on Reflex saving throws. If the opponent's attack misses you by 4 or less, the attack strikes the shield instead. The stone shield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(Ultimate Magic) may select this spell as a ki power costing 1 ki point to activate.</t>
  </si>
  <si>
    <t>&lt;p&gt;A 1-inch-thick slab of stone springs up from the ground, interposing itself between you and an opponent of your choice. The &lt;i&gt;stone shield&lt;/i&gt; provides you with cover from that enemy (&lt;i&gt;Core Rulebook&lt;/i&gt; 195) until the beginning of your next turn, granting you a +4 bonus to Armor Class and a +2 bonus on Reflex saving throws. If the opponent's attack misses you by 4 or less, the attack strikes the shield instead. The &lt;i&gt;stone shield&lt;/i&gt;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(&lt;i&gt;Ultimate&lt;/i&gt; Magic) may select this spell as a ki power costing 1 ki point to activate.&lt;/p&gt;</t>
  </si>
  <si>
    <t>&lt;link rel="stylesheet"href="PF.css"&gt;&lt;div class="heading"&gt;&lt;p class="alignleft"&gt;Stone Shield&lt;/p&gt;&lt;div style="clear: both;"&gt;&lt;/div&gt;&lt;/div&gt;&lt;div&gt;&lt;h5&gt;&lt;b&gt;School &lt;/b&gt;conjuration (creation) [earth]; &lt;b&gt;Level &lt;/b&gt;cleric/oracle 1, druid 1, magus 2, sorcerer/wizard 1, summoner 1&lt;/h5&gt;&lt;/div&gt;&lt;hr/&gt;&lt;div&gt;&lt;h5&gt;&lt;b&gt;CASTING&lt;/b&gt;&lt;/h5&gt;&lt;/div&gt;&lt;hr/&gt;&lt;div&gt;&lt;h5&gt;&lt;b&gt;Casting Time &lt;/b&gt;1 immediate action&lt;/h5&gt;&lt;h5&gt;&lt;b&gt;Components &lt;/b&gt;V, S, DF&lt;/h5&gt;&lt;/div&gt;&lt;hr/&gt;&lt;div&gt;&lt;h5&gt;&lt;b&gt;EFFECT&lt;/b&gt;&lt;/h5&gt;&lt;/div&gt;&lt;hr/&gt;&lt;div&gt;&lt;h5&gt;&lt;b&gt;Range &lt;/b&gt;0 ft.&lt;/h5&gt;&lt;h5&gt;&lt;b&gt;Effect &lt;/b&gt;stone wall whose area is one 5-ft. square&lt;/h5&gt;&lt;h5&gt;&lt;b&gt;Duration &lt;/b&gt;1 round&lt;/h5&gt;&lt;h5&gt;&lt;b&gt;Saving Throw &lt;/b&gt;none; &lt;b&gt;Spell Resistance &lt;/b&gt;no&lt;/h5&gt;&lt;/div&gt;&lt;hr/&gt;&lt;div&gt;&lt;h5&gt;&lt;b&gt;DESCRIPTION&lt;/b&gt;&lt;/h5&gt;&lt;/div&gt;&lt;hr/&gt;&lt;div&gt;&lt;h4&gt;&lt;p&gt;A 1-inch-thick slab of stone springs up from the ground, interposing itself between you and an opponent of your choice. The &lt;i&gt;stone shield&lt;/i&gt; provides you with cover from that enemy (&lt;i&gt;Core Rulebook&lt;/i&gt; 195) until the beginning of your next turn, granting you a +4 bonus to Armor Class and a +2 bonus on Reflex saving throws. If the opponent's attack misses you by 4 or less, the attack strikes the shield instead. The &lt;i&gt;stone shield&lt;/i&gt;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(&lt;i&gt;Ultimate&lt;/i&gt; Magic) may select this spell as a ki power costing 1 ki point to activate.&lt;/p&gt;&lt;/h4&gt;&lt;/div&gt;</t>
  </si>
  <si>
    <t>Alchemical Tinkering</t>
  </si>
  <si>
    <t>cleric/oracle 2, sorcerer/wizard 1, witch 1</t>
  </si>
  <si>
    <t>firearm or alchemical item touched</t>
  </si>
  <si>
    <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t>
  </si>
  <si>
    <t>&lt;p&gt;You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type.&lt;/p&gt;</t>
  </si>
  <si>
    <t>&lt;link rel="stylesheet"href="PF.css"&gt;&lt;div class="heading"&gt;&lt;p class="alignleft"&gt;Alchemical Tinkering&lt;/p&gt;&lt;div style="clear: both;"&gt;&lt;/div&gt;&lt;/div&gt;&lt;div&gt;&lt;h5&gt;&lt;b&gt;School &lt;/b&gt;transmutation; &lt;b&gt;Level &lt;/b&gt;cleric/oracle 2,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&lt;/b&gt;firearm or alchemical item touched&lt;/h5&gt;&lt;h5&gt;&lt;b&gt;Duration &lt;/b&gt;1 minute/level&lt;/h5&gt;&lt;h5&gt;&lt;b&gt;Saving Throw &lt;/b&gt;Fortitude negates (object); &lt;b&gt;Spell Resistance &lt;/b&gt;yes&lt;/h5&gt;&lt;/div&gt;&lt;hr/&gt;&lt;div&gt;&lt;h5&gt;&lt;b&gt;DESCRIPTION&lt;/b&gt;&lt;/h5&gt;&lt;/div&gt;&lt;hr/&gt;&lt;div&gt;&lt;h4&gt;&lt;p&gt;You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type.&lt;/p&gt;&lt;/h4&gt;&lt;/div&gt;</t>
  </si>
  <si>
    <t>Delay Disease</t>
  </si>
  <si>
    <t>alchemist 2, cleric/oracle 2, druid 2, inquisitor 2, paladin 2, ranger 2, witch 1, mesmerist 2</t>
  </si>
  <si>
    <t>1 day</t>
  </si>
  <si>
    <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Delay disease does not cure any damage a disease may have already done.</t>
  </si>
  <si>
    <t>&lt;p&gt;The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&lt;i&gt;Delay disease&lt;/i&gt; does not cure any damage a disease may have already done.&lt;/p&gt;</t>
  </si>
  <si>
    <t>&lt;link rel="stylesheet"href="PF.css"&gt;&lt;div class="heading"&gt;&lt;p class="alignleft"&gt;Delay Disease&lt;/p&gt;&lt;div style="clear: both;"&gt;&lt;/div&gt;&lt;/div&gt;&lt;div&gt;&lt;h5&gt;&lt;b&gt;School &lt;/b&gt;conjuration (healing); &lt;b&gt;Level &lt;/b&gt;alchemist 2, cleric/oracle 2, druid 2, inquisitor 2, paladin 2, ranger 2, witch 1, mesmerist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day&lt;/h5&gt;&lt;h5&gt;&lt;b&gt;Saving Throw &lt;/b&gt;Fortitude negates (harmless); &lt;b&gt;Spell Resistance &lt;/b&gt;yes (harmless)&lt;/h5&gt;&lt;/div&gt;&lt;hr/&gt;&lt;div&gt;&lt;h5&gt;&lt;b&gt;DESCRIPTION&lt;/b&gt;&lt;/h5&gt;&lt;/div&gt;&lt;hr/&gt;&lt;div&gt;&lt;h4&gt;&lt;p&gt;The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&lt;i&gt;Delay disease&lt;/i&gt; does not cure any damage a disease may have already done.&lt;/p&gt;&lt;/h4&gt;&lt;/div&gt;</t>
  </si>
  <si>
    <t>Sickening Strikes</t>
  </si>
  <si>
    <t>alchemist 2, antipaladin 2, druid 2, magus 3, ranger 4, witch 2</t>
  </si>
  <si>
    <t>You are imbued with disease, and any creature you strike with a melee attack must make a Fortitude save or be sickened for 1 minute. Creatures that are immune to disease are immune to this sickened effect.</t>
  </si>
  <si>
    <t>&lt;p&gt;You are imbued with disease, and any creature you strike with a melee attack must make a Fortitude save or be sickened for 1 minute. Creatures that are immune to disease are immune to this sickened effect.&lt;/p&gt;</t>
  </si>
  <si>
    <t>&lt;link rel="stylesheet"href="PF.css"&gt;&lt;div class="heading"&gt;&lt;p class="alignleft"&gt;Sickening Strikes&lt;/p&gt;&lt;div style="clear: both;"&gt;&lt;/div&gt;&lt;/div&gt;&lt;div&gt;&lt;h5&gt;&lt;b&gt;School &lt;/b&gt;transmutation [disease]; &lt;b&gt;Level &lt;/b&gt;alchemist 2, antipaladin 2, druid 2, magus 3, ranger 4,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&lt;/b&gt;Fortitude negates; see text; &lt;b&gt;Spell Resistance &lt;/b&gt;yes&lt;/h5&gt;&lt;/div&gt;&lt;hr/&gt;&lt;div&gt;&lt;h5&gt;&lt;b&gt;DESCRIPTION&lt;/b&gt;&lt;/h5&gt;&lt;/div&gt;&lt;hr/&gt;&lt;div&gt;&lt;h4&gt;&lt;p&gt;You are imbued with disease, and any creature you strike with a melee attack must make a Fortitude save or be sickened for 1 minute. Creatures that are immune to disease are immune to this sickened effect.&lt;/p&gt;&lt;/h4&gt;&lt;/div&gt;</t>
  </si>
  <si>
    <t>Absorbing Inhalation</t>
  </si>
  <si>
    <t>alchemist 4, druid 4, sorcerer/wizard 4, bloodrager 4</t>
  </si>
  <si>
    <t>one cloud-like effect, up to one 10-ft. cube/level</t>
  </si>
  <si>
    <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t>
  </si>
  <si>
    <t>&lt;p&gt;You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it.&lt;/p&gt;</t>
  </si>
  <si>
    <t>&lt;link rel="stylesheet"href="PF.css"&gt;&lt;div class="heading"&gt;&lt;p class="alignleft"&gt;Absorbing Inhalation&lt;/p&gt;&lt;div style="clear: both;"&gt;&lt;/div&gt;&lt;/div&gt;&lt;div&gt;&lt;h5&gt;&lt;b&gt;School &lt;/b&gt;transmutation [air]; &lt;b&gt;Level &lt;/b&gt;alchemist 4, druid 4, sorcerer/wizard 4, bloodrager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cloud-like effect, up to one 10-ft. cube/level&lt;/h5&gt;&lt;h5&gt;&lt;b&gt;Duration &lt;/b&gt;1 round/level; see text&lt;/h5&gt;&lt;h5&gt;&lt;b&gt;Saving Throw &lt;/b&gt;see text; &lt;b&gt;Spell Resistance &lt;/b&gt;no&lt;/h5&gt;&lt;/div&gt;&lt;hr/&gt;&lt;div&gt;&lt;h5&gt;&lt;b&gt;DESCRIPTION&lt;/b&gt;&lt;/h5&gt;&lt;/div&gt;&lt;hr/&gt;&lt;div&gt;&lt;h4&gt;&lt;p&gt;You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it.&lt;/p&gt;&lt;/h4&gt;&lt;/div&gt;</t>
  </si>
  <si>
    <t>Cloud Shape</t>
  </si>
  <si>
    <t>druid 4, ranger 4, sorcerer/wizard 4</t>
  </si>
  <si>
    <t>This spell functions like gaseous form,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detect magic spell reveals a moderate transmutation aura on the cloud. Your fly speed in cloud form is 30 feet.</t>
  </si>
  <si>
    <t>&lt;p&gt;This spell functions like &lt;i&gt;gaseous form&lt;/i&gt;,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&lt;i&gt;detect magic&lt;/i&gt; spell reveals a moderate transmutation aura on the cloud. Your fly speed in cloud form is 30 feet.&lt;/p&gt;</t>
  </si>
  <si>
    <t>&lt;link rel="stylesheet"href="PF.css"&gt;&lt;div class="heading"&gt;&lt;p class="alignleft"&gt;Cloud Shape&lt;/p&gt;&lt;div style="clear: both;"&gt;&lt;/div&gt;&lt;/div&gt;&lt;div&gt;&lt;h5&gt;&lt;b&gt;School &lt;/b&gt;transmutation [air]; &lt;b&gt;Level &lt;/b&gt;druid 4, ranger 4, sorcerer/wizard 4&lt;/h5&gt;&lt;/div&gt;&lt;hr/&gt;&lt;div&gt;&lt;h5&gt;&lt;b&gt;CASTING&lt;/b&gt;&lt;/h5&gt;&lt;/div&gt;&lt;hr/&gt;&lt;div&gt;&lt;h5&gt;&lt;b&gt;Casting Time &lt;/b&gt;1 standard action&lt;/h5&gt;&lt;h5&gt;&lt;b&gt;Components &lt;/b&gt;S, M/DF (a bit of gauze and a wisp of smoke)&lt;/h5&gt;&lt;/div&gt;&lt;hr/&gt;&lt;div&gt;&lt;h5&gt;&lt;b&gt;EFFECT&lt;/b&gt;&lt;/h5&gt;&lt;/div&gt;&lt;hr/&gt;&lt;div&gt;&lt;h5&gt;&lt;b&gt;Range &lt;/b&gt;personal&lt;/h5&gt;&lt;h5&gt;&lt;b&gt;Targets &lt;/b&gt;you&lt;/h5&gt;&lt;h5&gt;&lt;b&gt;Duration &lt;/b&gt;10 minutes/level (D)&lt;/h5&gt;&lt;h5&gt;&lt;b&gt;Saving Throw &lt;/b&gt;none; &lt;b&gt;Spell Resistance &lt;/b&gt;no&lt;/h5&gt;&lt;/div&gt;&lt;hr/&gt;&lt;div&gt;&lt;h5&gt;&lt;b&gt;DESCRIPTION&lt;/b&gt;&lt;/h5&gt;&lt;/div&gt;&lt;hr/&gt;&lt;div&gt;&lt;h4&gt;&lt;p&gt;This spell functions like &lt;i&gt;gaseous form&lt;/i&gt;,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&lt;i&gt;detect magic&lt;/i&gt; spell reveals a moderate transmutation aura on the cloud. Your fly speed in cloud form is 30 feet.&lt;/p&gt;&lt;/h4&gt;&lt;/div&gt;</t>
  </si>
  <si>
    <t>Gusting Sphere</t>
  </si>
  <si>
    <t>5-ft.-diameter sphere of air</t>
  </si>
  <si>
    <t>Fortitude negates (object) or Reflex negates; see text</t>
  </si>
  <si>
    <t>A swirling ball of wind rolls in whichever direction you point, hurling those it strikes with great force. The sphere is treated in all ways as an area of severe wind (Core Rulebook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gusting sphere rolls over objects or barriers that are less than 4 feet tall.  The sphere moves as long as you actively direct it (a move action for you); otherwise, it merely stays at rest. A gusting sphere immediately dissipates if it exceeds the spell's range.</t>
  </si>
  <si>
    <t>&lt;p&gt;A swirling ball of wind rolls in whichever direction you point, hurling those it strikes with great force. The sphere is treated in all ways as an area of severe wind (&lt;i&gt;Core Rulebook&lt;/i&gt;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&lt;i&gt;gusting sphere&lt;/i&gt; rolls over objects or barriers that are less than 4 feet tall.  The sphere moves as long as you actively direct it (a move action for you); otherwise, it merely stays at rest. A &lt;i&gt;gusting sphere&lt;/i&gt; immediately dissipates if it exceeds the spell's range.&lt;/p&gt;</t>
  </si>
  <si>
    <t>&lt;link rel="stylesheet"href="PF.css"&gt;&lt;div class="heading"&gt;&lt;p class="alignleft"&gt;Gusting Sphere&lt;/p&gt;&lt;div style="clear: both;"&gt;&lt;/div&gt;&lt;/div&gt;&lt;div&gt;&lt;h5&gt;&lt;b&gt;School &lt;/b&gt;evocation [air]; &lt;b&gt;Level &lt;/b&gt;druid 2, magus 2,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&lt;/b&gt;5-ft.-diameter sphere of air&lt;/h5&gt;&lt;h5&gt;&lt;b&gt;Duration &lt;/b&gt;1 round/level&lt;/h5&gt;&lt;h5&gt;&lt;b&gt;Saving Throw &lt;/b&gt;Fortitude negates (object) or Reflex negates; see text; &lt;b&gt;Spell Resistance &lt;/b&gt;yes&lt;/h5&gt;&lt;/div&gt;&lt;hr/&gt;&lt;div&gt;&lt;h5&gt;&lt;b&gt;DESCRIPTION&lt;/b&gt;&lt;/h5&gt;&lt;/div&gt;&lt;hr/&gt;&lt;div&gt;&lt;h4&gt;&lt;p&gt;A swirling ball of wind rolls in whichever direction you point, hurling those it strikes with great force. The sphere is treated in all ways as an area of severe wind (&lt;i&gt;Core Rulebook&lt;/i&gt;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&lt;i&gt;gusting sphere&lt;/i&gt; rolls over objects or barriers that are less than 4 feet tall.  The sphere moves as long as you actively direct it (a move action for you); otherwise, it merely stays at rest. A &lt;i&gt;gusting sphere&lt;/i&gt; immediately dissipates if it exceeds the spell's range.&lt;/p&gt;&lt;/h4&gt;&lt;/div&gt;</t>
  </si>
  <si>
    <t>Miasmatic Form</t>
  </si>
  <si>
    <t>air, poison</t>
  </si>
  <si>
    <t>S, M (contact or inhaled poison worth 100 gp)</t>
  </si>
  <si>
    <t>This spell functions like gaseous form, except the target's vaporous body is dangerous to creatures that touch it. A creature can make a Fortitude save (DC 14 + your Intelligence modifier) on its turn to resist the vapors. When you cast this spell, you select one of the following options.  Stinking cloud: The target's body nauseates creatures that fail their saving throws, as stinking cloud (Fortitude negates, see text). This form of the spell does not require a material component.  Poisonous cloud: The target's body is deadly poison, dealing 1d2 points of Constitution damage to creatures that fail their saves (Fortitude halves). This form of the spell requires a material component.</t>
  </si>
  <si>
    <t>&lt;p&gt;This spell functions like &lt;i&gt;gaseous form&lt;/i&gt;, except the target's vaporous body is dangerous to creatures that touch it. A creature can make a Fortitude save (DC 14 + your Intelligence modifier) on its turn to resist the vapors. When you cast this spell, you select one of the following options.  &lt;i&gt;Stinking cloud&lt;/i&gt;: The target's body nauseates creatures that fail their saving throws, as &lt;i&gt;stinking cloud&lt;/i&gt; (Fortitude negates, see text). This form of the spell does not require a material component.  &lt;i&gt;Poisonous cloud&lt;/i&gt;: The target's body is deadly poison, dealing 1d2 points of Constitution damage to creatures that fail their saves (Fortitude halves). This form of the spell requires a material component.&lt;/p&gt;</t>
  </si>
  <si>
    <t>&lt;link rel="stylesheet"href="PF.css"&gt;&lt;div class="heading"&gt;&lt;p class="alignleft"&gt;Miasmatic Form&lt;/p&gt;&lt;div style="clear: both;"&gt;&lt;/div&gt;&lt;/div&gt;&lt;div&gt;&lt;h5&gt;&lt;b&gt;School &lt;/b&gt;transmutation [air, poison]; &lt;b&gt;Level &lt;/b&gt;alchemist 4, sorcerer/wizard 4&lt;/h5&gt;&lt;/div&gt;&lt;hr/&gt;&lt;div&gt;&lt;h5&gt;&lt;b&gt;CASTING&lt;/b&gt;&lt;/h5&gt;&lt;/div&gt;&lt;hr/&gt;&lt;div&gt;&lt;h5&gt;&lt;b&gt;Casting Time &lt;/b&gt;1 standard action&lt;/h5&gt;&lt;h5&gt;&lt;b&gt;Components &lt;/b&gt;S, M (contact or inhaled poison worth 100 gp)&lt;/h5&gt;&lt;/div&gt;&lt;hr/&gt;&lt;div&gt;&lt;h5&gt;&lt;b&gt;EFFECT&lt;/b&gt;&lt;/h5&gt;&lt;/div&gt;&lt;hr/&gt;&lt;div&gt;&lt;h5&gt;&lt;b&gt;Range &lt;/b&gt;touch&lt;/h5&gt;&lt;h5&gt;&lt;b&gt;Targets &lt;/b&gt;willing corporeal creature touched&lt;/h5&gt;&lt;h5&gt;&lt;b&gt;Duration &lt;/b&gt;1 minute/level&lt;/h5&gt;&lt;h5&gt;&lt;b&gt;Saving Throw &lt;/b&gt;none; see text; &lt;b&gt;Spell Resistance &lt;/b&gt;no&lt;/h5&gt;&lt;/div&gt;&lt;hr/&gt;&lt;div&gt;&lt;h5&gt;&lt;b&gt;DESCRIPTION&lt;/b&gt;&lt;/h5&gt;&lt;/div&gt;&lt;hr/&gt;&lt;div&gt;&lt;h4&gt;&lt;p&gt;This spell functions like &lt;i&gt;gaseous form&lt;/i&gt;, except the target's vaporous body is dangerous to creatures that touch it. A creature can make a Fortitude save (DC 14 + your Intelligence modifier) on its turn to resist the vapors. When you cast this spell, you select one of the following options.  &lt;i&gt;Stinking cloud&lt;/i&gt;: The target's body nauseates creatures that fail their saving throws, as &lt;i&gt;stinking cloud&lt;/i&gt; (Fortitude negates, see text). This form of the spell does not require a material component.  &lt;i&gt;Poisonous cloud&lt;/i&gt;: The target's body is deadly poison, dealing 1d2 points of Constitution damage to creatures that fail their saves (Fortitude halves). This form of the spell requires a material component.&lt;/p&gt;&lt;/h4&gt;&lt;/div&gt;</t>
  </si>
  <si>
    <t>Nanite (9)</t>
  </si>
  <si>
    <t>Path Of The Winds</t>
  </si>
  <si>
    <t>100 ft.</t>
  </si>
  <si>
    <t>40-ft.-high downdraft of wind in a 100-foot line</t>
  </si>
  <si>
    <t>concentration + 1 round</t>
  </si>
  <si>
    <t>With a sweeping gesture, you call forth mighty winds to clear a path ahead of you. The winds are the equivalent of a windstorm (Core Rulebook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t>
  </si>
  <si>
    <t>&lt;p&gt;With a sweeping gesture, you call forth mighty winds to clear a path ahead of you. The winds are the equivalent of a windstorm (&lt;i&gt;Core Rulebook&lt;/i&gt;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you).&lt;/p&gt;</t>
  </si>
  <si>
    <t>&lt;link rel="stylesheet"href="PF.css"&gt;&lt;div class="heading"&gt;&lt;p class="alignleft"&gt;Path Of The Winds&lt;/p&gt;&lt;div style="clear: both;"&gt;&lt;/div&gt;&lt;/div&gt;&lt;div&gt;&lt;h5&gt;&lt;b&gt;School &lt;/b&gt;evocation [air]; &lt;b&gt;Level &lt;/b&gt;druid 6, sorcerer/wizard 6&lt;/h5&gt;&lt;/div&gt;&lt;hr/&gt;&lt;div&gt;&lt;h5&gt;&lt;b&gt;CASTING&lt;/b&gt;&lt;/h5&gt;&lt;/div&gt;&lt;hr/&gt;&lt;div&gt;&lt;h5&gt;&lt;b&gt;Casting Time &lt;/b&gt;1 standard action&lt;/h5&gt;&lt;h5&gt;&lt;b&gt;Components &lt;/b&gt;V, S,&lt;/h5&gt;&lt;/div&gt;&lt;hr/&gt;&lt;div&gt;&lt;h5&gt;&lt;b&gt;EFFECT&lt;/b&gt;&lt;/h5&gt;&lt;/div&gt;&lt;hr/&gt;&lt;div&gt;&lt;h5&gt;&lt;b&gt;Range &lt;/b&gt;100 ft.&lt;/h5&gt;&lt;h5&gt;&lt;b&gt;Effect &lt;/b&gt;40-ft.-high downdraft of wind in a 100-foot line&lt;/h5&gt;&lt;h5&gt;&lt;b&gt;Duration &lt;/b&gt;concentration + 1 round&lt;/h5&gt;&lt;h5&gt;&lt;b&gt;Saving Throw &lt;/b&gt;Fortitude negates; &lt;b&gt;Spell Resistance &lt;/b&gt;yes&lt;/h5&gt;&lt;/div&gt;&lt;hr/&gt;&lt;div&gt;&lt;h5&gt;&lt;b&gt;DESCRIPTION&lt;/b&gt;&lt;/h5&gt;&lt;/div&gt;&lt;hr/&gt;&lt;div&gt;&lt;h4&gt;&lt;p&gt;With a sweeping gesture, you call forth mighty winds to clear a path ahead of you. The winds are the equivalent of a windstorm (&lt;i&gt;Core Rulebook&lt;/i&gt;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you).&lt;/p&gt;&lt;/h4&gt;&lt;/div&gt;</t>
  </si>
  <si>
    <t>Wind Blades</t>
  </si>
  <si>
    <t>druid 5, magus 5, sorcerer/wizard 5, witch 5</t>
  </si>
  <si>
    <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(Core Rulebook 439), the target takes damage on its turn, even if it doesn't move. The wind deals 1d8 points of slashing damage for strong wind, plus 1d8 for every wind category above strong. This extra damage does not occur from instantaneous wind effects (such as gust of wind), only from wind effects that last at least 1 round.</t>
  </si>
  <si>
    <t>&lt;p&gt;You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(&lt;i&gt;Core Rulebook&lt;/i&gt; 439), the target takes damage on its turn, even if it doesn't move. The wind deals 1d8 points of slashing damage for strong wind, plus 1d8 for every wind category above strong. This extra damage does not occur from instantaneous wind effects (such as &lt;i&gt;gust of&lt;/i&gt; wind), only from wind effects that last at least 1 round.&lt;/p&gt;</t>
  </si>
  <si>
    <t>&lt;link rel="stylesheet"href="PF.css"&gt;&lt;div class="heading"&gt;&lt;p class="alignleft"&gt;Wind Blades&lt;/p&gt;&lt;div style="clear: both;"&gt;&lt;/div&gt;&lt;/div&gt;&lt;div&gt;&lt;h5&gt;&lt;b&gt;School &lt;/b&gt;transmutation [air]; &lt;b&gt;Level &lt;/b&gt;druid 5, magus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&lt;b&gt;Spell Resistance &lt;/b&gt;yes&lt;/h5&gt;&lt;/div&gt;&lt;hr/&gt;&lt;div&gt;&lt;h5&gt;&lt;b&gt;DESCRIPTION&lt;/b&gt;&lt;/h5&gt;&lt;/div&gt;&lt;hr/&gt;&lt;div&gt;&lt;h4&gt;&lt;p&gt;You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(&lt;i&gt;Core Rulebook&lt;/i&gt; 439), the target takes damage on its turn, even if it doesn't move. The wind deals 1d8 points of slashing damage for strong wind, plus 1d8 for every wind category above strong. This extra damage does not occur from instantaneous wind effects (such as &lt;i&gt;gust of&lt;/i&gt; wind), only from wind effects that last at least 1 round.&lt;/p&gt;&lt;/h4&gt;&lt;/div&gt;</t>
  </si>
  <si>
    <t>Windy Escape</t>
  </si>
  <si>
    <t>bard 1, druid 1, magus 1, sorcerer/wizard 1, bloodrager 1</t>
  </si>
  <si>
    <t>You respond to an attack by briefly becoming vaporous and insubstantial, allowing the attack to pass harmlessly through you. You gain DR 10/magic against this attack and are immune to any poison, sneak attacks, or critical hit effect from that attack.  You cannot use windy escape against an attack of opportunity you provoked by casting a spell, using a spell-like ability, or using any other magical ability that provokes an attack of opportunity when used.</t>
  </si>
  <si>
    <t>&lt;p&gt;You respond to an attack by briefly becoming vaporous and insubstantial, allowing the attack to pass harmlessly through you. You gain DR 10/magic against this attack and are immune to any poison, sneak attacks, or critical hit effect from that attack.  You cannot use &lt;i&gt;windy escape&lt;/i&gt; against an attack of opportunity you provoked by casting a spell, using a spell-like ability, or using any other magical ability that provokes an attack of opportunity when used.&lt;/p&gt;</t>
  </si>
  <si>
    <t>&lt;link rel="stylesheet"href="PF.css"&gt;&lt;div class="heading"&gt;&lt;p class="alignleft"&gt;Windy Escape&lt;/p&gt;&lt;div style="clear: both;"&gt;&lt;/div&gt;&lt;/div&gt;&lt;div&gt;&lt;h5&gt;&lt;b&gt;School &lt;/b&gt;transmutation [air]; &lt;b&gt;Level &lt;/b&gt;bard 1, druid 1, magus 1, sorcerer/wizard 1, bloodrager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respond to an attack by briefly becoming vaporous and insubstantial, allowing the attack to pass harmlessly through you. You gain DR 10/magic against this attack and are immune to any poison, sneak attacks, or critical hit effect from that attack.  You cannot use &lt;i&gt;windy escape&lt;/i&gt; against an attack of opportunity you provoked by casting a spell, using a spell-like ability, or using any other magical ability that provokes an attack of opportunity when used.&lt;/p&gt;&lt;/h4&gt;&lt;/div&gt;</t>
  </si>
  <si>
    <t>Commune With Birds</t>
  </si>
  <si>
    <t>bard 2, druid 1, ranger 1, sorcerer/wizard 2, witch 2, shaman 2, psychic 2, mesmerist 2</t>
  </si>
  <si>
    <t>You utter a question in the form of a low-pitched bird call that can be heard up to a mile away, and can understand the responses given by birds in the area. Over the next 10 minutes, the birds reply as if you had asked them the question using speak with animals,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speak with animals (or a similar ability) who hears this bird call can understand your question, though it may not be able to reply in a way you can hear.</t>
  </si>
  <si>
    <t>&lt;p&gt;You utter a question in the form of a low-pitched bird call that can be heard up to a mile away, and can understand the responses given by birds in the area. Over the next 10 minutes, the birds reply as if you had asked them the question using &lt;i&gt;speak with animals&lt;/i&gt;,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&lt;i&gt;speak with animals&lt;/i&gt; (or a similar ability) who hears this bird call can understand your question, though it may not be able to reply in a way you can hear.&lt;/p&gt;</t>
  </si>
  <si>
    <t>&lt;link rel="stylesheet"href="PF.css"&gt;&lt;div class="heading"&gt;&lt;p class="alignleft"&gt;Commune With Birds&lt;/p&gt;&lt;div style="clear: both;"&gt;&lt;/div&gt;&lt;/div&gt;&lt;div&gt;&lt;h5&gt;&lt;b&gt;School &lt;/b&gt;divination; &lt;b&gt;Level &lt;/b&gt;bard 2, druid 1, ranger 1, sorcerer/wizard 2, witch 2, shaman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 see text&lt;/h5&gt;&lt;/div&gt;&lt;hr/&gt;&lt;div&gt;&lt;h5&gt;&lt;b&gt;DESCRIPTION&lt;/b&gt;&lt;/h5&gt;&lt;/div&gt;&lt;hr/&gt;&lt;div&gt;&lt;h4&gt;&lt;p&gt;You utter a question in the form of a low-pitched bird call that can be heard up to a mile away, and can understand the responses given by birds in the area. Over the next 10 minutes, the birds reply as if you had asked them the question using &lt;i&gt;speak with animals&lt;/i&gt;,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&lt;i&gt;speak with animals&lt;/i&gt; (or a similar ability) who hears this bird call can understand your question, though it may not be able to reply in a way you can hear.&lt;/p&gt;&lt;/h4&gt;&lt;/div&gt;</t>
  </si>
  <si>
    <t>Theft Ward</t>
  </si>
  <si>
    <t>cleric/oracle 1, inquisitor 1, sorcerer/wizard 1, witch 1, mesmerist 1</t>
  </si>
  <si>
    <t>You ward a single object in your possession against theft. You gain a +10 bonus on Perception checks to notice someone trying to take the object from you.</t>
  </si>
  <si>
    <t>&lt;p&gt;You ward a single object in your possession against theft. You gain a +10 bonus on Perception checks to notice someone trying to take the object from you.&lt;/p&gt;</t>
  </si>
  <si>
    <t>&lt;link rel="stylesheet"href="PF.css"&gt;&lt;div class="heading"&gt;&lt;p class="alignleft"&gt;Theft Ward&lt;/p&gt;&lt;div style="clear: both;"&gt;&lt;/div&gt;&lt;/div&gt;&lt;div&gt;&lt;h5&gt;&lt;b&gt;School &lt;/b&gt;abjuration; &lt;b&gt;Level &lt;/b&gt;cleric/oracle 1, inquisitor 1, sorcerer/wizard 1, witch 1, mesmerist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&lt;/b&gt;1 day&lt;/h5&gt;&lt;h5&gt;&lt;b&gt;Saving Throw &lt;/b&gt;Will negates (harmless, object); &lt;b&gt;Spell Resistance &lt;/b&gt;yes (harmless, object)&lt;/h5&gt;&lt;/div&gt;&lt;hr/&gt;&lt;div&gt;&lt;h5&gt;&lt;b&gt;DESCRIPTION&lt;/b&gt;&lt;/h5&gt;&lt;/div&gt;&lt;hr/&gt;&lt;div&gt;&lt;h4&gt;&lt;p&gt;You ward a single object in your possession against theft. You gain a +10 bonus on Perception checks to notice someone trying to take the object from you.&lt;/p&gt;&lt;/h4&gt;&lt;/div&gt;</t>
  </si>
  <si>
    <t>Winter Feathers</t>
  </si>
  <si>
    <t>cleric/oracle 1, druid 1, inquisitor 1, ranger 1, sorcerer/wizard 1, bloodrager 1</t>
  </si>
  <si>
    <t>feathered creature touched</t>
  </si>
  <si>
    <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t>
  </si>
  <si>
    <t>&lt;p&gt;The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snow.&lt;/p&gt;</t>
  </si>
  <si>
    <t>&lt;link rel="stylesheet"href="PF.css"&gt;&lt;div class="heading"&gt;&lt;p class="alignleft"&gt;Winter Feathers&lt;/p&gt;&lt;div style="clear: both;"&gt;&lt;/div&gt;&lt;/div&gt;&lt;div&gt;&lt;h5&gt;&lt;b&gt;School &lt;/b&gt;abjuration; &lt;b&gt;Level &lt;/b&gt;cleric/oracle 1, druid 1, inquisitor 1, ranger 1, sorcerer/wizard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&lt;/b&gt;feathered creature touched&lt;/h5&gt;&lt;h5&gt;&lt;b&gt;Duration &lt;/b&gt;24 hours&lt;/h5&gt;&lt;h5&gt;&lt;b&gt;Saving Throw &lt;/b&gt;Will negates (harmless); &lt;b&gt;Spell Resistance &lt;/b&gt;yes (harmless)&lt;/h5&gt;&lt;/div&gt;&lt;hr/&gt;&lt;div&gt;&lt;h5&gt;&lt;b&gt;DESCRIPTION&lt;/b&gt;&lt;/h5&gt;&lt;/div&gt;&lt;hr/&gt;&lt;div&gt;&lt;h4&gt;&lt;p&gt;The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snow.&lt;/p&gt;&lt;/h4&gt;&lt;/div&gt;</t>
  </si>
  <si>
    <t>Damnation Stride</t>
  </si>
  <si>
    <t>sorcerer/wizard 5, summoner 4, witch 5</t>
  </si>
  <si>
    <t>you (teleportation) and creatures within a 10-foot-radius burst (burst of flame) (see text)</t>
  </si>
  <si>
    <t>Reflex half, see text</t>
  </si>
  <si>
    <t>This spell functions like dimension door, except you leave behind a burst of fire. Choose one corner of your starting square. A 10-foot-radius burst of flame explodes from that corner the moment you leave, dealing 4d6 points of fire damage.</t>
  </si>
  <si>
    <t>&lt;p&gt;This spell functions like &lt;i&gt;dimension door&lt;/i&gt;, except you leave behind a burst of fire. Choose one corner of your starting square. A 10-foot-radius burst of flame explodes from that corner the moment you leave, dealing 4d6 points of fire damage.&lt;/p&gt;</t>
  </si>
  <si>
    <t>&lt;link rel="stylesheet"href="PF.css"&gt;&lt;div class="heading"&gt;&lt;p class="alignleft"&gt;Damnation Stride&lt;/p&gt;&lt;div style="clear: both;"&gt;&lt;/div&gt;&lt;/div&gt;&lt;div&gt;&lt;h5&gt;&lt;b&gt;School &lt;/b&gt;conjuration (teleportation) [fire]; &lt;b&gt;Level &lt;/b&gt;sorcerer/wizard 5, summoner 4, witch 5&lt;/h5&gt;&lt;/div&gt;&lt;hr/&gt;&lt;div&gt;&lt;h5&gt;&lt;b&gt;CASTING&lt;/b&gt;&lt;/h5&gt;&lt;/div&gt;&lt;hr/&gt;&lt;div&gt;&lt;h5&gt;&lt;b&gt;Casting Time &lt;/b&gt;1 standard action&lt;/h5&gt;&lt;h5&gt;&lt;b&gt;Components &lt;/b&gt;V&lt;/h5&gt;&lt;/div&gt;&lt;hr/&gt;&lt;div&gt;&lt;h5&gt;&lt;b&gt;EFFECT&lt;/b&gt;&lt;/h5&gt;&lt;/div&gt;&lt;hr/&gt;&lt;div&gt;&lt;h5&gt;&lt;b&gt;Targets &lt;/b&gt;you (teleportation) and creatures within a 10-foot-radius burst (burst of flame) (see text)&lt;/h5&gt;&lt;h5&gt;&lt;b&gt;Duration &lt;/b&gt;instantaneous&lt;/h5&gt;&lt;h5&gt;&lt;b&gt;Saving Throw &lt;/b&gt;Reflex half, see text; &lt;b&gt;Spell Resistance &lt;/b&gt;no&lt;/h5&gt;&lt;/div&gt;&lt;hr/&gt;&lt;div&gt;&lt;h5&gt;&lt;b&gt;DESCRIPTION&lt;/b&gt;&lt;/h5&gt;&lt;/div&gt;&lt;hr/&gt;&lt;div&gt;&lt;h4&gt;&lt;p&gt;This spell functions like &lt;i&gt;dimension door&lt;/i&gt;, except you leave behind a burst of fire. Choose one corner of your starting square. A 10-foot-radius burst of flame explodes from that corner the moment you leave, dealing 4d6 points of fire damage.&lt;/p&gt;&lt;/h4&gt;&lt;/div&gt;</t>
  </si>
  <si>
    <t>Hellmouth Lash</t>
  </si>
  <si>
    <t>acid, electricity, or fire</t>
  </si>
  <si>
    <t>sorcerer/wizard 4, witch 4, bloodrager 4</t>
  </si>
  <si>
    <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t>
  </si>
  <si>
    <t>&lt;p&gt;Upon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it.&lt;/p&gt;</t>
  </si>
  <si>
    <t>&lt;link rel="stylesheet"href="PF.css"&gt;&lt;div class="heading"&gt;&lt;p class="alignleft"&gt;Hellmouth Lash&lt;/p&gt;&lt;div style="clear: both;"&gt;&lt;/div&gt;&lt;/div&gt;&lt;div&gt;&lt;h5&gt;&lt;b&gt;School &lt;/b&gt;transmutation [acid, electricity, or fire]; &lt;b&gt;Level &lt;/b&gt;sorcerer/wizard 4, witch 4, bloodrager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it.&lt;/p&gt;&lt;/h4&gt;&lt;/div&gt;</t>
  </si>
  <si>
    <t>Marid's Mastery</t>
  </si>
  <si>
    <t>cleric/oracle 1, druid 1, ranger 1, sorcerer/wizard 1, witch 1</t>
  </si>
  <si>
    <t>The target gains a +1 bonus on attack and damage rolls if it and its opponent are touching water. If the opponent or the target is touching the ground, the target takes a -4 penalty on attack and damage rolls.</t>
  </si>
  <si>
    <t>&lt;p&gt;The target gains a +1 bonus on attack and damage rolls if it and its opponent are touching water. If the opponent or the target is touching the ground, the target takes a -4 penalty on attack and damage rolls.&lt;/p&gt;</t>
  </si>
  <si>
    <t>&lt;link rel="stylesheet"href="PF.css"&gt;&lt;div class="heading"&gt;&lt;p class="alignleft"&gt;Marid's Mastery&lt;/p&gt;&lt;div style="clear: both;"&gt;&lt;/div&gt;&lt;/div&gt;&lt;div&gt;&lt;h5&gt;&lt;b&gt;School &lt;/b&gt;transmutation [water]; &lt;b&gt;Level &lt;/b&gt;cleric/oracle 1, druid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creature touched&lt;/h5&gt;&lt;h5&gt;&lt;b&gt;Duration &lt;/b&gt;1 minute/level&lt;/h5&gt;&lt;h5&gt;&lt;b&gt;Saving Throw &lt;/b&gt;Will negates (harmless); &lt;b&gt;Spell Resistance &lt;/b&gt;yes (harmless)&lt;/h5&gt;&lt;/div&gt;&lt;hr/&gt;&lt;div&gt;&lt;h5&gt;&lt;b&gt;DESCRIPTION&lt;/b&gt;&lt;/h5&gt;&lt;/div&gt;&lt;hr/&gt;&lt;div&gt;&lt;h4&gt;&lt;p&gt;The target gains a +1 bonus on attack and damage rolls if it and its opponent are touching water. If the opponent or the target is touching the ground, the target takes a -4 penalty on attack and damage rolls.&lt;/p&gt;&lt;/h4&gt;&lt;/div&gt;</t>
  </si>
  <si>
    <t>Nereid's Grace</t>
  </si>
  <si>
    <t>druid 1, witch 1</t>
  </si>
  <si>
    <t>You radiate the unearthly grace of a nereid. If you're not wearing armor, you gain a deflection bonus to your AC and CMD equal to your Charisma bonus (maximum +3). The maximum increases by 1 for every 6 levels you possess (maximum +6 at 18th level).</t>
  </si>
  <si>
    <t>&lt;p&gt;You radiate the unearthly grace of a nereid. If you're not wearing armor, you gain a deflection bonus to your AC and CMD equal to your Charisma bonus (maximum +3). The maximum increases by 1 for every 6 levels you possess (maximum +6 at 18th level).&lt;/p&gt;</t>
  </si>
  <si>
    <t>&lt;link rel="stylesheet"href="PF.css"&gt;&lt;div class="heading"&gt;&lt;p class="alignleft"&gt;Nereid's Grace&lt;/p&gt;&lt;div style="clear: both;"&gt;&lt;/div&gt;&lt;/div&gt;&lt;div&gt;&lt;h5&gt;&lt;b&gt;School &lt;/b&gt;abjuration; &lt;b&gt;Level &lt;/b&gt;druid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radiate the unearthly grace of a nereid. If you're not wearing armor, you gain a deflection bonus to your AC and CMD equal to your Charisma bonus (maximum +3). The maximum increases by 1 for every 6 levels you possess (maximum +6 at 18th level).&lt;/p&gt;&lt;/h4&gt;&lt;/div&gt;</t>
  </si>
  <si>
    <t>Nixie's Lure</t>
  </si>
  <si>
    <t>bard 3, druid 4, sorcerer/wizard 4, summoner 4, witch 4, psychic 3, mesmerist 3</t>
  </si>
  <si>
    <t>300 ft.</t>
  </si>
  <si>
    <t>all creatures within a 300-ft.-radius burst centered on you</t>
  </si>
  <si>
    <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t>
  </si>
  <si>
    <t>&lt;p&gt;This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fascinated.&lt;/p&gt;</t>
  </si>
  <si>
    <t>&lt;link rel="stylesheet"href="PF.css"&gt;&lt;div class="heading"&gt;&lt;p class="alignleft"&gt;Nixie's Lure&lt;/p&gt;&lt;div style="clear: both;"&gt;&lt;/div&gt;&lt;/div&gt;&lt;div&gt;&lt;h5&gt;&lt;b&gt;School &lt;/b&gt;enchantment (charm) [mind-affecting, sonic]; &lt;b&gt;Level &lt;/b&gt;bard 3, druid 4, sorcerer/wizard 4, summoner 4, witch 4, psychic 3, mesmerist 3&lt;/h5&gt;&lt;/div&gt;&lt;hr/&gt;&lt;div&gt;&lt;h5&gt;&lt;b&gt;CASTING&lt;/b&gt;&lt;/h5&gt;&lt;/div&gt;&lt;hr/&gt;&lt;div&gt;&lt;h5&gt;&lt;b&gt;Casting Time &lt;/b&gt;1 standard action&lt;/h5&gt;&lt;h5&gt;&lt;b&gt;Components &lt;/b&gt;V, S&lt;/h5&gt;&lt;/div&gt;&lt;hr/&gt;&lt;div&gt;&lt;h5&gt;&lt;b&gt;EFFECT&lt;/b&gt;&lt;/h5&gt;&lt;/div&gt;&lt;hr/&gt;&lt;div&gt;&lt;h5&gt;&lt;b&gt;Range &lt;/b&gt;300 ft.&lt;/h5&gt;&lt;h5&gt;&lt;b&gt;Targets &lt;/b&gt;all creatures within a 300-ft.-radius burst centered on you&lt;/h5&gt;&lt;h5&gt;&lt;b&gt;Duration &lt;/b&gt;concentration + 1 round/level (D)&lt;/h5&gt;&lt;h5&gt;&lt;b&gt;Saving Throw &lt;/b&gt;Will negates; &lt;b&gt;Spell Resistance &lt;/b&gt;yes&lt;/h5&gt;&lt;/div&gt;&lt;hr/&gt;&lt;div&gt;&lt;h5&gt;&lt;b&gt;DESCRIPTION&lt;/b&gt;&lt;/h5&gt;&lt;/div&gt;&lt;hr/&gt;&lt;div&gt;&lt;h4&gt;&lt;p&gt;This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fascinated.&lt;/p&gt;&lt;/h4&gt;&lt;/div&gt;</t>
  </si>
  <si>
    <t>Undine's Curse</t>
  </si>
  <si>
    <t>curse, evil</t>
  </si>
  <si>
    <t>sorcerer/wizard 1, witch 1</t>
  </si>
  <si>
    <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t>
  </si>
  <si>
    <t>&lt;p&gt;The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spell.&lt;/p&gt;</t>
  </si>
  <si>
    <t>&lt;link rel="stylesheet"href="PF.css"&gt;&lt;div class="heading"&gt;&lt;p class="alignleft"&gt;Undine's Curse&lt;/p&gt;&lt;div style="clear: both;"&gt;&lt;/div&gt;&lt;/div&gt;&lt;div&gt;&lt;h5&gt;&lt;b&gt;School &lt;/b&gt;necromancy [curse, evil]; &lt;b&gt;Level &lt;/b&gt;sorcerer/wizard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spell.&lt;/p&gt;&lt;/h4&gt;&lt;/div&gt;</t>
  </si>
  <si>
    <t>Sow Thought</t>
  </si>
  <si>
    <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t>
  </si>
  <si>
    <t>&lt;p&gt;You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ideas.&lt;/p&gt;</t>
  </si>
  <si>
    <t>&lt;link rel="stylesheet"href="PF.css"&gt;&lt;div class="heading"&gt;&lt;p class="alignleft"&gt;Sow Thought&lt;/p&gt;&lt;div style="clear: both;"&gt;&lt;/div&gt;&lt;/div&gt;&lt;div&gt;&lt;h5&gt;&lt;b&gt;School &lt;/b&gt;enchantment (compulsion) [mind-affecting]; &lt;b&gt;Level &lt;/b&gt;bard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ideas.&lt;/p&gt;&lt;/h4&gt;&lt;/div&gt;</t>
  </si>
  <si>
    <t>Innuendo (1)</t>
  </si>
  <si>
    <t>Aboleth's Lung</t>
  </si>
  <si>
    <t>cleric/oracle 2, druid 2, sorcerer/wizard 2, witch 2</t>
  </si>
  <si>
    <t>V, S, M/DF (piece of seaweed)</t>
  </si>
  <si>
    <t>The targets are able to breathe water, freely. However, they can no longer breathe air. Divide the duration evenly among all the creatures you touch. This spell has no effect on creatures that can already breathe water.</t>
  </si>
  <si>
    <t>&lt;p&gt;The targets are able to breathe water, freely. However, they can no longer breathe air. Divide the duration evenly among all the creatures you touch. This spell has no effect on creatures that can already breathe water.&lt;/p&gt;</t>
  </si>
  <si>
    <t>&lt;link rel="stylesheet"href="PF.css"&gt;&lt;div class="heading"&gt;&lt;p class="alignleft"&gt;Aboleth's Lung&lt;/p&gt;&lt;div style="clear: both;"&gt;&lt;/div&gt;&lt;/div&gt;&lt;div&gt;&lt;h5&gt;&lt;b&gt;School &lt;/b&gt;transmutation; &lt;b&gt;Level &lt;/b&gt;cleric/oracle 2, druid 2, sorcerer/wizard 2, witch 2&lt;/h5&gt;&lt;/div&gt;&lt;hr/&gt;&lt;div&gt;&lt;h5&gt;&lt;b&gt;CASTING&lt;/b&gt;&lt;/h5&gt;&lt;/div&gt;&lt;hr/&gt;&lt;div&gt;&lt;h5&gt;&lt;b&gt;Casting Time &lt;/b&gt;1 standard action&lt;/h5&gt;&lt;h5&gt;&lt;b&gt;Components &lt;/b&gt;V, S, M/DF (piece of seaweed)&lt;/h5&gt;&lt;/div&gt;&lt;hr/&gt;&lt;div&gt;&lt;h5&gt;&lt;b&gt;EFFECT&lt;/b&gt;&lt;/h5&gt;&lt;/div&gt;&lt;hr/&gt;&lt;div&gt;&lt;h5&gt;&lt;b&gt;Range &lt;/b&gt;touch&lt;/h5&gt;&lt;h5&gt;&lt;b&gt;Targets &lt;/b&gt;living creatures touched&lt;/h5&gt;&lt;h5&gt;&lt;b&gt;Duration &lt;/b&gt;1 hour/level; see text&lt;/h5&gt;&lt;h5&gt;&lt;b&gt;Saving Throw &lt;/b&gt;Will negates; &lt;b&gt;Spell Resistance &lt;/b&gt;yes&lt;/h5&gt;&lt;/div&gt;&lt;hr/&gt;&lt;div&gt;&lt;h5&gt;&lt;b&gt;DESCRIPTION&lt;/b&gt;&lt;/h5&gt;&lt;/div&gt;&lt;hr/&gt;&lt;div&gt;&lt;h4&gt;&lt;p&gt;The targets are able to breathe water, freely. However, they can no longer breathe air. Divide the duration evenly among all the creatures you touch. This spell has no effect on creatures that can already breathe water.&lt;/p&gt;&lt;/h4&gt;&lt;/div&gt;</t>
  </si>
  <si>
    <t>Fins To Feet</t>
  </si>
  <si>
    <t>druid 3, sorcerer/wizard 3, witch 3, shaman 3</t>
  </si>
  <si>
    <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t>
  </si>
  <si>
    <t>&lt;p&gt;You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air.&lt;/p&gt;</t>
  </si>
  <si>
    <t>&lt;link rel="stylesheet"href="PF.css"&gt;&lt;div class="heading"&gt;&lt;p class="alignleft"&gt;Fins To Feet&lt;/p&gt;&lt;div style="clear: both;"&gt;&lt;/div&gt;&lt;/div&gt;&lt;div&gt;&lt;h5&gt;&lt;b&gt;School &lt;/b&gt;transmutation (polymorph); &lt;b&gt;Level &lt;/b&gt;druid 3, sorcerer/wizard 3, witch 3, shaman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creature touched&lt;/h5&gt;&lt;h5&gt;&lt;b&gt;Duration &lt;/b&gt;1 hour/level (D)&lt;/h5&gt;&lt;h5&gt;&lt;b&gt;Saving Throw &lt;/b&gt;none; &lt;b&gt;Spell Resistance &lt;/b&gt;yes&lt;/h5&gt;&lt;/div&gt;&lt;hr/&gt;&lt;div&gt;&lt;h5&gt;&lt;b&gt;DESCRIPTION&lt;/b&gt;&lt;/h5&gt;&lt;/div&gt;&lt;hr/&gt;&lt;div&gt;&lt;h4&gt;&lt;p&gt;You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air.&lt;/p&gt;&lt;/h4&gt;&lt;/div&gt;</t>
  </si>
  <si>
    <t>Karmic Blessing</t>
  </si>
  <si>
    <t>cleric/oracle 1, witch 1</t>
  </si>
  <si>
    <t>The target treats one skill of your choice as a class skill.</t>
  </si>
  <si>
    <t>&lt;p&gt;The target treats one skill of your choice as a class skill.&lt;/p&gt;</t>
  </si>
  <si>
    <t>&lt;link rel="stylesheet"href="PF.css"&gt;&lt;div class="heading"&gt;&lt;p class="alignleft"&gt;Karmic Blessing&lt;/p&gt;&lt;div style="clear: both;"&gt;&lt;/div&gt;&lt;/div&gt;&lt;div&gt;&lt;h5&gt;&lt;b&gt;School &lt;/b&gt;divination [good]; &lt;b&gt;Level &lt;/b&gt;cleric/oracle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(harmless)&lt;/h5&gt;&lt;/div&gt;&lt;hr/&gt;&lt;div&gt;&lt;h5&gt;&lt;b&gt;DESCRIPTION&lt;/b&gt;&lt;/h5&gt;&lt;/div&gt;&lt;hr/&gt;&lt;div&gt;&lt;h4&gt;&lt;p&gt;The target treats one skill of your choice as a class skill.&lt;/p&gt;&lt;/h4&gt;&lt;/div&gt;</t>
  </si>
  <si>
    <t>Strong Wings</t>
  </si>
  <si>
    <t>druid 1, ranger 1, sorcerer/wizard 1, witch 1, bloodrager 1</t>
  </si>
  <si>
    <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t>
  </si>
  <si>
    <t>&lt;p&gt;The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ly.&lt;/p&gt;</t>
  </si>
  <si>
    <t>&lt;link rel="stylesheet"href="PF.css"&gt;&lt;div class="heading"&gt;&lt;p class="alignleft"&gt;Strong Wings&lt;/p&gt;&lt;div style="clear: both;"&gt;&lt;/div&gt;&lt;/div&gt;&lt;div&gt;&lt;h5&gt;&lt;b&gt;School &lt;/b&gt;transmutation; &lt;b&gt;Level &lt;/b&gt;druid 1, ranger 1, sorcerer/wizard 1, witch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ly.&lt;/p&gt;&lt;/h4&gt;&lt;/div&gt;</t>
  </si>
  <si>
    <t>Imbue With Elemental Might</t>
  </si>
  <si>
    <t>cleric/oracle 2, magus 2, sorcerer/wizard 2, bloodrager 2, shaman 2</t>
  </si>
  <si>
    <t>24 hours or until discharged (D)</t>
  </si>
  <si>
    <t>This spell functions like imbue with spell ability,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t>
  </si>
  <si>
    <t>&lt;p&gt;This spell functions like &lt;i&gt;imbue with spell ability&lt;/i&gt;,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over.&lt;/p&gt;</t>
  </si>
  <si>
    <t>&lt;link rel="stylesheet"href="PF.css"&gt;&lt;div class="heading"&gt;&lt;p class="alignleft"&gt;Imbue With Elemental Might&lt;/p&gt;&lt;div style="clear: both;"&gt;&lt;/div&gt;&lt;/div&gt;&lt;div&gt;&lt;h5&gt;&lt;b&gt;School &lt;/b&gt;evocation [see text]; &lt;b&gt;Level &lt;/b&gt;cleric/oracle 2, magus 2, sorcerer/wizard 2, bloodrager 2, shaman 2&lt;/h5&gt;&lt;/div&gt;&lt;hr/&gt;&lt;div&gt;&lt;h5&gt;&lt;b&gt;CASTING&lt;/b&gt;&lt;/h5&gt;&lt;/div&gt;&lt;hr/&gt;&lt;div&gt;&lt;h5&gt;&lt;b&gt;Casting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&lt;/b&gt;creature touched; see text&lt;/h5&gt;&lt;h5&gt;&lt;b&gt;Duration &lt;/b&gt;24 hours or until discharged (D)&lt;/h5&gt;&lt;h5&gt;&lt;b&gt;Saving Throw &lt;/b&gt;Will negates (harmless); &lt;b&gt;Spell Resistance &lt;/b&gt;yes (harmless)&lt;/h5&gt;&lt;/div&gt;&lt;hr/&gt;&lt;div&gt;&lt;h5&gt;&lt;b&gt;DESCRIPTION&lt;/b&gt;&lt;/h5&gt;&lt;/div&gt;&lt;hr/&gt;&lt;div&gt;&lt;h4&gt;&lt;p&gt;This spell functions like &lt;i&gt;imbue with spell ability&lt;/i&gt;,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over.&lt;/p&gt;&lt;/h4&gt;&lt;/div&gt;</t>
  </si>
  <si>
    <t>Earth Glide</t>
  </si>
  <si>
    <t>alchemist 4, druid 4, sorcerer/wizard 4, bloodrager 4, shaman 4</t>
  </si>
  <si>
    <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move earth on an area containing the target flings the target back 30 feet, stunning it for 1 round (DC 15 Fortitude negates). This spell does not give the target the ability to breathe underground, so when passing through solid material, the creature must hold its breath.</t>
  </si>
  <si>
    <t>&lt;p&gt;The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&lt;i&gt;move earth&lt;/i&gt; on an area containing the target flings the target back 30 feet, stunning it for 1 round (DC 15 Fortitude negates). This spell does not give the target the ability to breathe underground, so when passing through solid material, the creature must hold its breath.&lt;/p&gt;</t>
  </si>
  <si>
    <t>&lt;link rel="stylesheet"href="PF.css"&gt;&lt;div class="heading"&gt;&lt;p class="alignleft"&gt;Earth Glide&lt;/p&gt;&lt;div style="clear: both;"&gt;&lt;/div&gt;&lt;/div&gt;&lt;div&gt;&lt;h5&gt;&lt;b&gt;School &lt;/b&gt;transmutation [earth]; &lt;b&gt;Level &lt;/b&gt;alchemist 4, druid 4, sorcerer/wizard 4, bloodrager 4, shaman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&lt;i&gt;move earth&lt;/i&gt; on an area containing the target flings the target back 30 feet, stunning it for 1 round (DC 15 Fortitude negates). This spell does not give the target the ability to breathe underground, so when passing through solid material, the creature must hold its breath.&lt;/p&gt;&lt;/h4&gt;&lt;/div&gt;</t>
  </si>
  <si>
    <t>Prehensile Pilfer</t>
  </si>
  <si>
    <t>alchemist 3, bard 3, magus 3, sorcerer/wizard 3</t>
  </si>
  <si>
    <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haste or a similar effect, this spell only allows the tail to make dirty trick and steal combat maneuvers, but does not grant an extra attack.</t>
  </si>
  <si>
    <t>&lt;p&gt;The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&lt;i&gt;haste&lt;/i&gt; or a similar effect, this spell only allows the tail to make dirty trick and steal combat maneuvers, but does not grant an extra attack.&lt;/p&gt;</t>
  </si>
  <si>
    <t>&lt;link rel="stylesheet"href="PF.css"&gt;&lt;div class="heading"&gt;&lt;p class="alignleft"&gt;Prehensile Pilfer&lt;/p&gt;&lt;div style="clear: both;"&gt;&lt;/div&gt;&lt;/div&gt;&lt;div&gt;&lt;h5&gt;&lt;b&gt;School &lt;/b&gt;transmutation; &lt;b&gt;Level &lt;/b&gt;alchemist 3, bard 3, magus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&lt;i&gt;haste&lt;/i&gt; or a similar effect, this spell only allows the tail to make dirty trick and steal combat maneuvers, but does not grant an extra attack.&lt;/p&gt;&lt;/h4&gt;&lt;/div&gt;</t>
  </si>
  <si>
    <t>Squeeze</t>
  </si>
  <si>
    <t>alchemist 2, sorcerer/wizard 2, witch 2</t>
  </si>
  <si>
    <t>The target becomes flexible regardless of its actual size and mass. It can move through areas at least half its size with no penalty for squeezing. It can move through a space at least one-quarter its width using the penalties for squeezing through a space at least half its width.</t>
  </si>
  <si>
    <t>&lt;p&gt;The target becomes flexible regardless of its actual size and mass. It can move through areas at least half its size with no penalty for squeezing. It can move through a space at least one-quarter its width using the penalties for squeezing through a space at least half its width.&lt;/p&gt;</t>
  </si>
  <si>
    <t>&lt;link rel="stylesheet"href="PF.css"&gt;&lt;div class="heading"&gt;&lt;p class="alignleft"&gt;Squeeze&lt;/p&gt;&lt;div style="clear: both;"&gt;&lt;/div&gt;&lt;/div&gt;&lt;div&gt;&lt;h5&gt;&lt;b&gt;School &lt;/b&gt;transmutation (polymorph); &lt;b&gt;Level &lt;/b&gt;alchemist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target becomes flexible regardless of its actual size and mass. It can move through areas at least half its size with no penalty for squeezing. It can move through a space at least one-quarter its width using the penalties for squeezing through a space at least half its width.&lt;/p&gt;&lt;/h4&gt;&lt;/div&gt;</t>
  </si>
  <si>
    <t>Shadow Anchor</t>
  </si>
  <si>
    <t>a shadowy shadow tether</t>
  </si>
  <si>
    <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t>
  </si>
  <si>
    <t>&lt;p&gt;The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ends.&lt;/p&gt;</t>
  </si>
  <si>
    <t>&lt;link rel="stylesheet"href="PF.css"&gt;&lt;div class="heading"&gt;&lt;p class="alignleft"&gt;Shadow Anchor&lt;/p&gt;&lt;div style="clear: both;"&gt;&lt;/div&gt;&lt;/div&gt;&lt;div&gt;&lt;h5&gt;&lt;b&gt;School &lt;/b&gt;illusion (shadow) [shadow]; &lt;b&gt;Level &lt;/b&gt;bard 2, sorcerer/wizard 2, witch 2, psychic 2, mesmerist 2&lt;/h5&gt;&lt;/div&gt;&lt;hr/&gt;&lt;div&gt;&lt;h5&gt;&lt;b&gt;CASTING&lt;/b&gt;&lt;/h5&gt;&lt;/div&gt;&lt;hr/&gt;&lt;div&gt;&lt;h5&gt;&lt;b&gt;Casting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touched&lt;/h5&gt;&lt;h5&gt;&lt;b&gt;Effect &lt;/b&gt;a shadowy shadow tether&lt;/h5&gt;&lt;h5&gt;&lt;b&gt;Duration &lt;/b&gt;1 round/level (D); see text&lt;/h5&gt;&lt;h5&gt;&lt;b&gt;Saving Throw &lt;/b&gt;Will negates; &lt;b&gt;Spell Resistance &lt;/b&gt;yes&lt;/h5&gt;&lt;/div&gt;&lt;hr/&gt;&lt;div&gt;&lt;h5&gt;&lt;b&gt;DESCRIPTION&lt;/b&gt;&lt;/h5&gt;&lt;/div&gt;&lt;hr/&gt;&lt;div&gt;&lt;h4&gt;&lt;p&gt;The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ends.&lt;/p&gt;&lt;/h4&gt;&lt;h5&gt;&lt;b&gt;Mythic: &lt;/b&gt;Add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effect).&lt;/h5&gt;&lt;/div&gt;</t>
  </si>
  <si>
    <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t>
  </si>
  <si>
    <t>Blood Money</t>
  </si>
  <si>
    <t>magus 1, sorcerer/wizard 1, witch 1</t>
  </si>
  <si>
    <t>1 material component</t>
  </si>
  <si>
    <t>You cast blood money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blood money.  For example, a sorcerer with the spell stoneskin prepared could cast blood money to create the 250 gp worth of diamond dust required by that spell, taking 1d6 points of damage and 1 point of Strength damage in the process.  Material components created by blood money transform back into blood at the end of the round if they have not been used as a material component. Spellcasters who do not have blood cannot cast blood money, and those who are immune to Strength damage (such as undead spellcasters) cannot use blood money to create valuable material components.</t>
  </si>
  <si>
    <t>&lt;p&gt;You cast &lt;i&gt;blood money&lt;/i&gt;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&lt;i&gt;blood money&lt;/i&gt;.  For example, a sorcerer with the spell &lt;i&gt;stoneskin&lt;/i&gt; prepared could cast &lt;i&gt;blood money&lt;/i&gt; to create the 250 gp worth of diamond dust required by that spell, taking 1d6 points of damage and 1 point of Strength damage in the process.  Material components created by &lt;i&gt;blood money&lt;/i&gt; transform back into blood at the end of the round if they have not been used as a material component. Spellcasters who do not have blood cannot cast &lt;i&gt;blood money&lt;/i&gt;, and those who are immune to Strength damage (such as undead spellcasters) cannot use &lt;i&gt;blood money&lt;/i&gt; to create valuable material components.&lt;/p&gt;</t>
  </si>
  <si>
    <t>RotRL-AE-Appendix</t>
  </si>
  <si>
    <t>&lt;link rel="stylesheet"href="PF.css"&gt;&lt;div class="heading"&gt;&lt;p class="alignleft"&gt;Blood Money&lt;/p&gt;&lt;div style="clear: both;"&gt;&lt;/div&gt;&lt;/div&gt;&lt;div&gt;&lt;h5&gt;&lt;b&gt;School &lt;/b&gt;transmutation; &lt;b&gt;Level &lt;/b&gt;magus 1, sorcerer/wizard 1, witch 1&lt;/h5&gt;&lt;/div&gt;&lt;hr/&gt;&lt;div&gt;&lt;h5&gt;&lt;b&gt;CASTING&lt;/b&gt;&lt;/h5&gt;&lt;/div&gt;&lt;hr/&gt;&lt;div&gt;&lt;h5&gt;&lt;b&gt;Casting Time &lt;/b&gt;1 swift action&lt;/h5&gt;&lt;h5&gt;&lt;b&gt;Components &lt;/b&gt;V, S&lt;/h5&gt;&lt;/div&gt;&lt;hr/&gt;&lt;div&gt;&lt;h5&gt;&lt;b&gt;EFFECT&lt;/b&gt;&lt;/h5&gt;&lt;/div&gt;&lt;hr/&gt;&lt;div&gt;&lt;h5&gt;&lt;b&gt;Range &lt;/b&gt;0 ft.&lt;/h5&gt;&lt;h5&gt;&lt;b&gt;Effect &lt;/b&gt;1 material component&lt;/h5&gt;&lt;h5&gt;&lt;b&gt;Duration &lt;/b&gt;Instantaneous&lt;/h5&gt;&lt;/div&gt;&lt;hr/&gt;&lt;div&gt;&lt;h5&gt;&lt;b&gt;DESCRIPTION&lt;/b&gt;&lt;/h5&gt;&lt;/div&gt;&lt;hr/&gt;&lt;div&gt;&lt;h4&gt;&lt;p&gt;You cast &lt;i&gt;blood money&lt;/i&gt;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&lt;i&gt;blood money&lt;/i&gt;.  For example, a sorcerer with the spell &lt;i&gt;stoneskin&lt;/i&gt; prepared could cast &lt;i&gt;blood money&lt;/i&gt; to create the 250 gp worth of diamond dust required by that spell, taking 1d6 points of damage and 1 point of Strength damage in the process.  Material components created by &lt;i&gt;blood money&lt;/i&gt; transform back into blood at the end of the round if they have not been used as a material component. Spellcasters who do not have blood cannot cast &lt;i&gt;blood money&lt;/i&gt;, and those who are immune to Strength damage (such as undead spellcasters) cannot use &lt;i&gt;blood money&lt;/i&gt; to create valuable material components.&lt;/p&gt;&lt;/h4&gt;&lt;/div&gt;</t>
  </si>
  <si>
    <t>Covetous Aura</t>
  </si>
  <si>
    <t>bard 5, sorcerer/wizard 5</t>
  </si>
  <si>
    <t>25-ft.-radius emanation centered on you</t>
  </si>
  <si>
    <t>Anytime a harmless (so noted by a spell's saving throw description) spell of 3rd level or lower is cast within a covetous aura's area of effect, you may choose to immediately gain the benefit of that spell as if it had also targeted you. The intended target still gains the effect of the spell. You gain the benefits of this duplicated spell only if the caster is in range of the covetous aura. You are considered the caster of the additional spell effect. If the effect allows for multiple targets other than yourself, you cannot use the stolen spell effect to target other creatures-a covetous aura only aids you. Once you choose to gain the benefit of another spell, the covetous aura immediately ends. Rumors hold that this unusual spell was invented thousands of years ago by Runelord Belimarius, who was constantly jealous of other spellcasters' abilities.</t>
  </si>
  <si>
    <t>&lt;p&gt;Anytime a harmless (so noted by a spell's saving throw description) spell of 3rd level or lower is cast within a &lt;i&gt;covetous&lt;/i&gt; aura's area of effect, you may choose to immediately gain the benefit of that spell as if it had also targeted you. The intended target still gains the effect of the spell. You gain the benefits of this duplicated spell only if the caster is in range of the &lt;i&gt;covetous&lt;/i&gt; aura. You are considered the caster of the additional spell effect. If the effect allows for multiple targets other than yourself, you cannot use the stolen spell effect to target other creatures-a &lt;i&gt;covetous&lt;/i&gt; aura only aids you. Once you choose to gain the benefit of another spell, the &lt;i&gt;covetous&lt;/i&gt; aura immediately ends. Rumors hold that this unusual spell was invented thousands of years ago by Runelord Belimarius, who was constantly jealous of other spellcasters' abilities.&lt;/p&gt;</t>
  </si>
  <si>
    <t>&lt;link rel="stylesheet"href="PF.css"&gt;&lt;div class="heading"&gt;&lt;p class="alignleft"&gt;Covetous Aura&lt;/p&gt;&lt;div style="clear: both;"&gt;&lt;/div&gt;&lt;/div&gt;&lt;div&gt;&lt;h5&gt;&lt;b&gt;School &lt;/b&gt;abjuration; &lt;b&gt;Level &lt;/b&gt;bard 5,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&lt;/b&gt;25-ft.-radius emanation centered on you&lt;/h5&gt;&lt;h5&gt;&lt;b&gt;Duration &lt;/b&gt;1 round/level or until discharged&lt;/h5&gt;&lt;h5&gt;&lt;b&gt;Saving Throw &lt;/b&gt;none; &lt;b&gt;Spell Resistance &lt;/b&gt;no&lt;/h5&gt;&lt;/div&gt;&lt;hr/&gt;&lt;div&gt;&lt;h5&gt;&lt;b&gt;DESCRIPTION&lt;/b&gt;&lt;/h5&gt;&lt;/div&gt;&lt;hr/&gt;&lt;div&gt;&lt;h4&gt;&lt;p&gt;Anytime a harmless (so noted by a spell's saving throw description) spell of 3rd level or lower is cast within a &lt;i&gt;covetous&lt;/i&gt; aura's area of effect, you may choose to immediately gain the benefit of that spell as if it had also targeted you. The intended target still gains the effect of the spell. You gain the benefits of this duplicated spell only if the caster is in range of the &lt;i&gt;covetous&lt;/i&gt; aura. You are considered the caster of the additional spell effect. If the effect allows for multiple targets other than yourself, you cannot use the stolen spell effect to target other creatures-a &lt;i&gt;covetous&lt;/i&gt; aura only aids you. Once you choose to gain the benefit of another spell, the &lt;i&gt;covetous&lt;/i&gt; aura immediately ends. Rumors hold that this unusual spell was invented thousands of years ago by Runelord Belimarius, who was constantly jealous of other spellcasters' abilities.&lt;/p&gt;&lt;/h4&gt;&lt;h5&gt;&lt;b&gt;Mythic: &lt;/b&gt;The duration of the covetous aura increases to 1 minute perlevel or until discharged. You may gain the benefits of spells of5th level or lower cast within the aura's area of effect. You cangain the effects of two separate spells, after which the mythiccovetous aura ends.&lt;/h5&gt;&lt;h5&gt;&lt;b&gt;Augmented (6th)&lt;/b&gt;: If you expend two uses of mythicpower, the duration increases to 10 minutes per 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aura.&lt;/h5&gt;&lt;/div&gt;</t>
  </si>
  <si>
    <t>The duration of the covetous aura increases to 1 minute perlevel or until discharged. You may gain the benefits of spells of5th level or lower cast within the aura's area of effect. You cangain the effects of two separate spells, after which the mythiccovetous aura ends.</t>
  </si>
  <si>
    <t>Augmented (6th): If you expend two uses of mythicpower, the duration increases to 10 minutes per 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t>
  </si>
  <si>
    <t>Deathwine</t>
  </si>
  <si>
    <t>alchemist 2, cleric/oracle 2, sorcerer/wizard 3, witch 3</t>
  </si>
  <si>
    <t>1 potion touched/level</t>
  </si>
  <si>
    <t>none (object)</t>
  </si>
  <si>
    <t>no (object)</t>
  </si>
  <si>
    <t>This spell allows you to turn a potion into a temporary pool of necromantic energy. Only a potion created using a conjuration (healing) spell can be affected by this spell. An affected potion turns dark red and reveals a necromantic aura if detect magic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deathwine affects. For example, a 5th-level wizard who drinks deathwine made from a potion of cure serious wounds would cast his next necromancy spell as an 8th-level caster, as cure serious wounds i s a 3 rd-level spell.  In addition, any undead creature (or other creature healed by negative energy) that drinks a potion affected by deathwine is healed of 1d8 points of damage. Any potion not imbibed before this spell's duration expires is destroyed at the end of the deathwine's duration.</t>
  </si>
  <si>
    <t>&lt;p&gt;This spell allows you to turn a potion into a temporary pool of necromantic energy. Only a potion created using a conjuration (healing) spell can be affected by this spell. An affected potion turns dark red and reveals a necromantic aura if &lt;i&gt;detect magic&lt;/i&gt;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&lt;i&gt;deathwine&lt;/i&gt; affects. For example, a 5th-level wizard who drinks &lt;i&gt;deathwine&lt;/i&gt; made from a &lt;i&gt;potion of &lt;i&gt;cure serious wounds&lt;/i&gt;&lt;/i&gt; would cast his next necromancy spell as an 8th-level caster, as &lt;i&gt;cure serious wounds&lt;/i&gt; i s a 3 rd-level spell.  In addition, any undead creature (or other creature healed by negative energy) that drinks a potion affected by &lt;i&gt;deathwine&lt;/i&gt; is healed of 1d8 points of damage. Any potion not imbibed before this spell's duration expires is destroyed at the end of the &lt;i&gt;deathwine&lt;/i&gt;'s duration.&lt;/p&gt;</t>
  </si>
  <si>
    <t>&lt;link rel="stylesheet"href="PF.css"&gt;&lt;div class="heading"&gt;&lt;p class="alignleft"&gt;Deathwine&lt;/p&gt;&lt;div style="clear: both;"&gt;&lt;/div&gt;&lt;/div&gt;&lt;div&gt;&lt;h5&gt;&lt;b&gt;School &lt;/b&gt;necromancy; &lt;b&gt;Level &lt;/b&gt;alchemist 2, cleric/oracle 2, sorcerer/wizard 3, witch 3&lt;/h5&gt;&lt;/div&gt;&lt;hr/&gt;&lt;div&gt;&lt;h5&gt;&lt;b&gt;CASTING&lt;/b&gt;&lt;/h5&gt;&lt;/div&gt;&lt;hr/&gt;&lt;div&gt;&lt;h5&gt;&lt;b&gt;Casting Time &lt;/b&gt;1 minute&lt;/h5&gt;&lt;h5&gt;&lt;b&gt;Components &lt;/b&gt;V, S&lt;/h5&gt;&lt;/div&gt;&lt;hr/&gt;&lt;div&gt;&lt;h5&gt;&lt;b&gt;EFFECT&lt;/b&gt;&lt;/h5&gt;&lt;/div&gt;&lt;hr/&gt;&lt;div&gt;&lt;h5&gt;&lt;b&gt;Range &lt;/b&gt;touch&lt;/h5&gt;&lt;h5&gt;&lt;b&gt;Targets &lt;/b&gt;1 potion touched/level&lt;/h5&gt;&lt;h5&gt;&lt;b&gt;Duration &lt;/b&gt;1 hour/level&lt;/h5&gt;&lt;h5&gt;&lt;b&gt;Saving Throw &lt;/b&gt;none (object); &lt;b&gt;Spell Resistance &lt;/b&gt;no (object)&lt;/h5&gt;&lt;/div&gt;&lt;hr/&gt;&lt;div&gt;&lt;h5&gt;&lt;b&gt;DESCRIPTION&lt;/b&gt;&lt;/h5&gt;&lt;/div&gt;&lt;hr/&gt;&lt;div&gt;&lt;h4&gt;&lt;p&gt;This spell allows you to turn a potion into a temporary pool of necromantic energy. Only a potion created using a conjuration (healing) spell can be affected by this spell. An affected potion turns dark red and reveals a necromantic aura if &lt;i&gt;detect magic&lt;/i&gt;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&lt;i&gt;deathwine&lt;/i&gt; affects. For example, a 5th-level wizard who drinks &lt;i&gt;deathwine&lt;/i&gt; made from a &lt;i&gt;potion of &lt;i&gt;cure serious wounds&lt;/i&gt;&lt;/i&gt; would cast his next necromancy spell as an 8th-level caster, as &lt;i&gt;cure serious wounds&lt;/i&gt; i s a 3 rd-level spell.  In addition, any undead creature (or other creature healed by negative energy) that drinks a potion affected by &lt;i&gt;deathwine&lt;/i&gt; is healed of 1d8 points of damage. Any potion not imbibed before this spell's duration expires is destroyed at the end of the &lt;i&gt;deathwine&lt;/i&gt;'s duration.&lt;/p&gt;&lt;/h4&gt;&lt;/div&gt;</t>
  </si>
  <si>
    <t>Sign Of Wrath</t>
  </si>
  <si>
    <t>V, S, F (a gem worth 1,000 gp inscribed with the Thassilonian symbol of wrath)</t>
  </si>
  <si>
    <t>25-ft.-radius burst centered on you</t>
  </si>
  <si>
    <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t>
  </si>
  <si>
    <t>&lt;p&gt;A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effects.&lt;/p&gt;</t>
  </si>
  <si>
    <t>&lt;link rel="stylesheet"href="PF.css"&gt;&lt;div class="heading"&gt;&lt;p class="alignleft"&gt;Sign Of Wrath&lt;/p&gt;&lt;div style="clear: both;"&gt;&lt;/div&gt;&lt;/div&gt;&lt;div&gt;&lt;h5&gt;&lt;b&gt;School &lt;/b&gt;evocation [force]; &lt;b&gt;Level &lt;/b&gt;cleric/oracle 6, sorcerer/wizard 6&lt;/h5&gt;&lt;/div&gt;&lt;hr/&gt;&lt;div&gt;&lt;h5&gt;&lt;b&gt;CASTING&lt;/b&gt;&lt;/h5&gt;&lt;/div&gt;&lt;hr/&gt;&lt;div&gt;&lt;h5&gt;&lt;b&gt;Casting Time &lt;/b&gt;1 standard action&lt;/h5&gt;&lt;h5&gt;&lt;b&gt;Components &lt;/b&gt;V, S, F (a gem worth 1,000 gp inscribed with the Thassilonian symbol of wrath)&lt;/h5&gt;&lt;/div&gt;&lt;hr/&gt;&lt;div&gt;&lt;h5&gt;&lt;b&gt;EFFECT&lt;/b&gt;&lt;/h5&gt;&lt;/div&gt;&lt;hr/&gt;&lt;div&gt;&lt;h5&gt;&lt;b&gt;Range &lt;/b&gt;personal&lt;/h5&gt;&lt;h5&gt;&lt;b&gt;Area &lt;/b&gt;25-ft.-radius burst centered on you&lt;/h5&gt;&lt;h5&gt;&lt;b&gt;Duration &lt;/b&gt;instantaneous&lt;/h5&gt;&lt;h5&gt;&lt;b&gt;Saving Throw &lt;/b&gt;Reflex half; &lt;b&gt;Spell Resistance &lt;/b&gt;yes&lt;/h5&gt;&lt;/div&gt;&lt;hr/&gt;&lt;div&gt;&lt;h5&gt;&lt;b&gt;DESCRIPTION&lt;/b&gt;&lt;/h5&gt;&lt;/div&gt;&lt;hr/&gt;&lt;div&gt;&lt;h4&gt;&lt;p&gt;A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effects.&lt;/p&gt;&lt;/h4&gt;&lt;/div&gt;</t>
  </si>
  <si>
    <t>Swipe</t>
  </si>
  <si>
    <t>bard 2, sorcerer/wizard 3</t>
  </si>
  <si>
    <t>one held item</t>
  </si>
  <si>
    <t>instant</t>
  </si>
  <si>
    <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t>
  </si>
  <si>
    <t>&lt;p&gt;By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feet.&lt;/p&gt;</t>
  </si>
  <si>
    <t>&lt;link rel="stylesheet"href="PF.css"&gt;&lt;div class="heading"&gt;&lt;p class="alignleft"&gt;Swipe&lt;/p&gt;&lt;div style="clear: both;"&gt;&lt;/div&gt;&lt;/div&gt;&lt;div&gt;&lt;h5&gt;&lt;b&gt;School &lt;/b&gt;conjuration (teleportation); &lt;b&gt;Level &lt;/b&gt;bard 2,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held item&lt;/h5&gt;&lt;h5&gt;&lt;b&gt;Duration &lt;/b&gt;instant&lt;/h5&gt;&lt;h5&gt;&lt;b&gt;Saving Throw &lt;/b&gt;none; &lt;b&gt;Spell Resistance &lt;/b&gt;no&lt;/h5&gt;&lt;/div&gt;&lt;hr/&gt;&lt;div&gt;&lt;h5&gt;&lt;b&gt;DESCRIPTION&lt;/b&gt;&lt;/h5&gt;&lt;/div&gt;&lt;hr/&gt;&lt;div&gt;&lt;h4&gt;&lt;p&gt;By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feet.&lt;/p&gt;&lt;/h4&gt;&lt;/div&gt;</t>
  </si>
  <si>
    <t>Unconscious Agenda</t>
  </si>
  <si>
    <t>bard 6, inquisitor 6, sorcerer/wizard 6, witch 6</t>
  </si>
  <si>
    <t>Close (25 ft. + 5 ft./2 levels)</t>
  </si>
  <si>
    <t>One humanoid</t>
  </si>
  <si>
    <t>One week/level or until discharged (D)</t>
  </si>
  <si>
    <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wish the target to take. This course of action must be described in 20 words or fewer. You must then state the condition under which you wish the target to take this action, also describing it in 20 or fewer words. Actions or conditions more elaborate than 20 words cause the spell to fail. Unconscious agenda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wishes until the events you detailed as the condition take place. Upon experiencing the prerequisite condition, the target is forced to perform the course of action you described as per the spell dominate person.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unconscious agenda before the spell is triggered. Casting detect magic on one affected by it only reveals an aura of enchantment if the caster of detect magic has a higher caster level then the caster of unconscious agenda. Even if the spell is detected, it can only be removed by break enchantment, limited wish, remove curse, miracle, or wish. Dispel magic does not affect unconscious agenda.</t>
  </si>
  <si>
    <t>&lt;p&gt;This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&lt;i&gt;wish&lt;/i&gt; the target to take. This course of action must be described in 20 words or fewer. You must then state the condition under which you &lt;i&gt;wish&lt;/i&gt; the target to take this action, also describing it in 20 or fewer words. Actions or conditions more elaborate than 20 words cause the spell to fail. &lt;i&gt;Unconscious agenda&lt;/i&gt;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&lt;i&gt;wish&lt;/i&gt;es until the events you detailed as the condition take place. Upon experiencing the prerequisite condition, the target is forced to perform the course of action you described as per the spell &lt;i&gt;dominate person&lt;/i&gt;.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&lt;i&gt;unconscious agenda&lt;/i&gt; before the spell is triggered. Casting &lt;i&gt;detect magic&lt;/i&gt; on one affected by it only reveals an aura of enchantment if the caster of &lt;i&gt;detect magic&lt;/i&gt; has a higher caster level then the caster of &lt;i&gt;unconscious agenda&lt;/i&gt;. Even if the spell is detected, it can only be removed by &lt;i&gt;break enchantment&lt;/i&gt;, &lt;i&gt;limited &lt;i&gt;wish&lt;/i&gt;&lt;/i&gt;, &lt;i&gt;remove curse&lt;/i&gt;, &lt;i&gt;miracle&lt;/i&gt;, or &lt;i&gt;wish&lt;/i&gt;. &lt;i&gt;Dispel magic&lt;/i&gt; does not affect &lt;i&gt;unconscious agenda&lt;/i&gt;.&lt;/p&gt;</t>
  </si>
  <si>
    <t>&lt;link rel="stylesheet"href="PF.css"&gt;&lt;div class="heading"&gt;&lt;p class="alignleft"&gt;Unconscious Agenda&lt;/p&gt;&lt;div style="clear: both;"&gt;&lt;/div&gt;&lt;/div&gt;&lt;div&gt;&lt;h5&gt;&lt;b&gt;School &lt;/b&gt;enchantment (compulsion) [language-dependent, mind-affecting]; &lt;b&gt;Level &lt;/b&gt;bard 6, inquisitor 6, sorcerer/wizard 6, witch 6&lt;/h5&gt;&lt;/div&gt;&lt;hr/&gt;&lt;div&gt;&lt;h5&gt;&lt;b&gt;CASTING&lt;/b&gt;&lt;/h5&gt;&lt;/div&gt;&lt;hr/&gt;&lt;div&gt;&lt;h5&gt;&lt;b&gt;Casting Time &lt;/b&gt;10 minutes&lt;/h5&gt;&lt;h5&gt;&lt;b&gt;Components &lt;/b&gt;V&lt;/h5&gt;&lt;/div&gt;&lt;hr/&gt;&lt;div&gt;&lt;h5&gt;&lt;b&gt;EFFECT&lt;/b&gt;&lt;/h5&gt;&lt;/div&gt;&lt;hr/&gt;&lt;div&gt;&lt;h5&gt;&lt;b&gt;Range &lt;/b&gt;Close (25 ft. + 5 ft./2 levels)&lt;/h5&gt;&lt;h5&gt;&lt;b&gt;Targets &lt;/b&gt;One humanoid&lt;/h5&gt;&lt;h5&gt;&lt;b&gt;Duration &lt;/b&gt;One week/level or until discharged (D)&lt;/h5&gt;&lt;h5&gt;&lt;b&gt;Saving Throw &lt;/b&gt;Will negates; &lt;b&gt;Spell Resistance &lt;/b&gt;yes&lt;/h5&gt;&lt;/div&gt;&lt;hr/&gt;&lt;div&gt;&lt;h5&gt;&lt;b&gt;DESCRIPTION&lt;/b&gt;&lt;/h5&gt;&lt;/div&gt;&lt;hr/&gt;&lt;div&gt;&lt;h4&gt;&lt;p&gt;This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&lt;i&gt;wish&lt;/i&gt; the target to take. This course of action must be described in 20 words or fewer. You must then state the condition under which you &lt;i&gt;wish&lt;/i&gt; the target to take this action, also describing it in 20 or fewer words. Actions or conditions more elaborate than 20 words cause the spell to fail. &lt;i&gt;Unconscious agenda&lt;/i&gt;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&lt;i&gt;wish&lt;/i&gt;es until the events you detailed as the condition take place. Upon experiencing the prerequisite condition, the target is forced to perform the course of action you described as per the spell &lt;i&gt;dominate person&lt;/i&gt;.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&lt;i&gt;unconscious agenda&lt;/i&gt; before the spell is triggered. Casting &lt;i&gt;detect magic&lt;/i&gt; on one affected by it only reveals an aura of enchantment if the caster of &lt;i&gt;detect magic&lt;/i&gt; has a higher caster level then the caster of &lt;i&gt;unconscious agenda&lt;/i&gt;. Even if the spell is detected, it can only be removed by &lt;i&gt;break enchantment&lt;/i&gt;, &lt;i&gt;limited &lt;i&gt;wish&lt;/i&gt;&lt;/i&gt;, &lt;i&gt;remove curse&lt;/i&gt;, &lt;i&gt;miracle&lt;/i&gt;, or &lt;i&gt;wish&lt;/i&gt;. &lt;i&gt;Dispel magic&lt;/i&gt; does not affect &lt;i&gt;unconscious agenda&lt;/i&gt;.&lt;/p&gt;&lt;/h4&gt;&lt;/div&gt;</t>
  </si>
  <si>
    <t>Ironbloom Sprouts</t>
  </si>
  <si>
    <t>V, S, DF, M (1 gp worth of powdered iron)</t>
  </si>
  <si>
    <t>2d4 fresh mushrooms touched</t>
  </si>
  <si>
    <t>This spell functions like goodberry, except as noted above and that it transforms 2d4 mushrooms into magical ironbloom mushrooms rather than transforming common berries into magical berries. Alternatively, you may create twice as many mushrooms, but each only has the nourishment ability of a goodberry and not the healing properties.</t>
  </si>
  <si>
    <t>&lt;p&gt;This spell functions like &lt;i&gt;goodberry&lt;/i&gt;, except as noted above and that it transforms 2d4 mushrooms into magical ironbloom mushrooms rather than transforming common berries into magical berries. Alternatively, you may create twice as many mushrooms, but each only has the nourishment ability of a &lt;i&gt;goodberry&lt;/i&gt; and not the healing properties.&lt;/p&gt;</t>
  </si>
  <si>
    <t>AP 62</t>
  </si>
  <si>
    <t>&lt;link rel="stylesheet"href="PF.css"&gt;&lt;div class="heading"&gt;&lt;p class="alignleft"&gt;Ironbloom Sprouts&lt;/p&gt;&lt;div style="clear: both;"&gt;&lt;/div&gt;&lt;/div&gt;&lt;div&gt;&lt;h5&gt;&lt;b&gt;School &lt;/b&gt;transmutation; &lt;b&gt;Level &lt;/b&gt;cleric/oracle 1, druid 1 (Torag)&lt;/h5&gt;&lt;/div&gt;&lt;hr/&gt;&lt;div&gt;&lt;h5&gt;&lt;b&gt;CASTING&lt;/b&gt;&lt;/h5&gt;&lt;/div&gt;&lt;hr/&gt;&lt;div&gt;&lt;h5&gt;&lt;b&gt;Casting Time &lt;/b&gt;1 standard action&lt;/h5&gt;&lt;h5&gt;&lt;b&gt;Components &lt;/b&gt;V, S, DF, M (1 gp worth of powdered iron)&lt;/h5&gt;&lt;/div&gt;&lt;hr/&gt;&lt;div&gt;&lt;h5&gt;&lt;b&gt;EFFECT&lt;/b&gt;&lt;/h5&gt;&lt;/div&gt;&lt;hr/&gt;&lt;div&gt;&lt;h5&gt;&lt;b&gt;Range &lt;/b&gt;touch&lt;/h5&gt;&lt;h5&gt;&lt;b&gt;Targets &lt;/b&gt;2d4 fresh mushrooms touched&lt;/h5&gt;&lt;h5&gt;&lt;b&gt;Duration &lt;/b&gt;1 day/level&lt;/h5&gt;&lt;h5&gt;&lt;b&gt;Saving Throw &lt;/b&gt;none; &lt;b&gt;Spell Resistance &lt;/b&gt;yes&lt;/h5&gt;&lt;/div&gt;&lt;hr/&gt;&lt;div&gt;&lt;h5&gt;&lt;b&gt;DESCRIPTION&lt;/b&gt;&lt;/h5&gt;&lt;/div&gt;&lt;hr/&gt;&lt;div&gt;&lt;h4&gt;&lt;p&gt;This spell functions like &lt;i&gt;goodberry&lt;/i&gt;, except as noted above and that it transforms 2d4 mushrooms into magical ironbloom mushrooms rather than transforming common berries into magical berries. Alternatively, you may create twice as many mushrooms, but each only has the nourishment ability of a &lt;i&gt;goodberry&lt;/i&gt; and not the healing properties.&lt;/p&gt;&lt;/h4&gt;&lt;/div&gt;</t>
  </si>
  <si>
    <t>Torag</t>
  </si>
  <si>
    <t>Bed Of Iron</t>
  </si>
  <si>
    <t>inquisitor 1, magus 1, paladin 1, sorcerer/wizard 1</t>
  </si>
  <si>
    <t>V, S, M (a feather or swatch of soft fabric)</t>
  </si>
  <si>
    <t>This spell makes even the clunkiest armor feel soft as silk to the wearer. The subjects of this spell are able to sleep comfortably in medium or heavy armor without suffering from fatigue the following day.</t>
  </si>
  <si>
    <t>&lt;p&gt;This spell makes even the clunkiest armor feel soft as silk to the wearer. The subjects of this spell are able to sleep comfortably in medium or heavy armor without suffering from fatigue the following day.&lt;/p&gt;</t>
  </si>
  <si>
    <t>Knights Of The Inner Sea</t>
  </si>
  <si>
    <t>&lt;link rel="stylesheet"href="PF.css"&gt;&lt;div class="heading"&gt;&lt;p class="alignleft"&gt;Bed Of Iron&lt;/p&gt;&lt;div style="clear: both;"&gt;&lt;/div&gt;&lt;/div&gt;&lt;div&gt;&lt;h5&gt;&lt;b&gt;School &lt;/b&gt;necromancy; &lt;b&gt;Level &lt;/b&gt;inquisitor 1, magus 1, paladin 1, sorcerer/wizard 1&lt;/h5&gt;&lt;/div&gt;&lt;hr/&gt;&lt;div&gt;&lt;h5&gt;&lt;b&gt;CASTING&lt;/b&gt;&lt;/h5&gt;&lt;/div&gt;&lt;hr/&gt;&lt;div&gt;&lt;h5&gt;&lt;b&gt;Casting Time &lt;/b&gt;1 standard action&lt;/h5&gt;&lt;h5&gt;&lt;b&gt;Components &lt;/b&gt;V, S, M (a feather or swatch of soft fabric)&lt;/h5&gt;&lt;/div&gt;&lt;hr/&gt;&lt;div&gt;&lt;h5&gt;&lt;b&gt;EFFECT&lt;/b&gt;&lt;/h5&gt;&lt;/div&gt;&lt;hr/&gt;&lt;div&gt;&lt;h5&gt;&lt;b&gt;Range &lt;/b&gt;touch&lt;/h5&gt;&lt;h5&gt;&lt;b&gt;Targets &lt;/b&gt;one creature touched/level&lt;/h5&gt;&lt;h5&gt;&lt;b&gt;Duration &lt;/b&gt;8 hours&lt;/h5&gt;&lt;h5&gt;&lt;b&gt;Saving Throw &lt;/b&gt;Fortitude negates (harmless); &lt;b&gt;Spell Resistance &lt;/b&gt;yes (harmless)&lt;/h5&gt;&lt;/div&gt;&lt;hr/&gt;&lt;div&gt;&lt;h5&gt;&lt;b&gt;DESCRIPTION&lt;/b&gt;&lt;/h5&gt;&lt;/div&gt;&lt;hr/&gt;&lt;div&gt;&lt;h4&gt;&lt;p&gt;This spell makes even the clunkiest armor feel soft as silk to the wearer. The subjects of this spell are able to sleep comfortably in medium or heavy armor without suffering from fatigue the following day.&lt;/p&gt;&lt;/h4&gt;&lt;/div&gt;</t>
  </si>
  <si>
    <t>Carry Companion</t>
  </si>
  <si>
    <t>druid 2, paladin 2, ranger 2, sorcerer/wizard 2, witch 2</t>
  </si>
  <si>
    <t>V, S, M (a pinch of sand or limestone dust)</t>
  </si>
  <si>
    <t>one willing creature touched</t>
  </si>
  <si>
    <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flesh to stone spell: It is mindless and inert, and does not seem alive when viewed with spells like deathwatch. However, you may return the creature to its normal form at any time simply by placing the figurine on the ground, touching it, and uttering a word of command. Otherwise, the creature remains in miniature form unless the spell is broken, such as by dispel magic or stronger magic. Unlike a flesh to stone spell, a creature affected by carry companion is unaffected by stone to flesh. If the miniature figurine is broken or damaged, the creature (if returned to its original state) has similar damage or deformities.</t>
  </si>
  <si>
    <t>&lt;p&gt;You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&lt;i&gt;flesh to stone&lt;/i&gt; spell: It is mindless and inert, and does not seem alive when viewed with spells like &lt;i&gt;deathwatch&lt;/i&gt;. However, you may return the creature to its normal form at any time simply by placing the figurine on the ground, touching it, and uttering a word of command. Otherwise, the creature remains in miniature form unless the spell is broken, such as by &lt;i&gt;dispel magic&lt;/i&gt; or stronger magic. Unlike a &lt;i&gt;flesh to stone&lt;/i&gt; spell, a creature affected by &lt;i&gt;carry companion&lt;/i&gt; is unaffected by &lt;i&gt;stone to flesh&lt;/i&gt;. If the miniature figurine is broken or damaged, the creature (if returned to its original state) has similar damage or deformities.&lt;/p&gt;</t>
  </si>
  <si>
    <t>&lt;link rel="stylesheet"href="PF.css"&gt;&lt;div class="heading"&gt;&lt;p class="alignleft"&gt;Carry Companion&lt;/p&gt;&lt;div style="clear: both;"&gt;&lt;/div&gt;&lt;/div&gt;&lt;div&gt;&lt;h5&gt;&lt;b&gt;School &lt;/b&gt;transmutation; &lt;b&gt;Level &lt;/b&gt;druid 2, paladin 2, ranger 2, sorcerer/wizard 2, witch 2&lt;/h5&gt;&lt;/div&gt;&lt;hr/&gt;&lt;div&gt;&lt;h5&gt;&lt;b&gt;CASTING&lt;/b&gt;&lt;/h5&gt;&lt;/div&gt;&lt;hr/&gt;&lt;div&gt;&lt;h5&gt;&lt;b&gt;Casting Time &lt;/b&gt;1 standard action&lt;/h5&gt;&lt;h5&gt;&lt;b&gt;Components &lt;/b&gt;V, S, M (a pinch of sand or limestone dust)&lt;/h5&gt;&lt;/div&gt;&lt;hr/&gt;&lt;div&gt;&lt;h5&gt;&lt;b&gt;EFFECT&lt;/b&gt;&lt;/h5&gt;&lt;/div&gt;&lt;hr/&gt;&lt;div&gt;&lt;h5&gt;&lt;b&gt;Range &lt;/b&gt;touch&lt;/h5&gt;&lt;h5&gt;&lt;b&gt;Targets &lt;/b&gt;one willing creature touched&lt;/h5&gt;&lt;h5&gt;&lt;b&gt;Duration &lt;/b&gt;permanent; see text&lt;/h5&gt;&lt;h5&gt;&lt;b&gt;Saving Throw &lt;/b&gt;none; &lt;b&gt;Spell Resistance &lt;/b&gt;yes (harmless)&lt;/h5&gt;&lt;/div&gt;&lt;hr/&gt;&lt;div&gt;&lt;h5&gt;&lt;b&gt;DESCRIPTION&lt;/b&gt;&lt;/h5&gt;&lt;/div&gt;&lt;hr/&gt;&lt;div&gt;&lt;h4&gt;&lt;p&gt;You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&lt;i&gt;flesh to stone&lt;/i&gt; spell: It is mindless and inert, and does not seem alive when viewed with spells like &lt;i&gt;deathwatch&lt;/i&gt;. However, you may return the creature to its normal form at any time simply by placing the figurine on the ground, touching it, and uttering a word of command. Otherwise, the creature remains in miniature form unless the spell is broken, such as by &lt;i&gt;dispel magic&lt;/i&gt; or stronger magic. Unlike a &lt;i&gt;flesh to stone&lt;/i&gt; spell, a creature affected by &lt;i&gt;carry companion&lt;/i&gt; is unaffected by &lt;i&gt;stone to flesh&lt;/i&gt;. If the miniature figurine is broken or damaged, the creature (if returned to its original state) has similar damage or deformities.&lt;/p&gt;&lt;/h4&gt;&lt;/div&gt;</t>
  </si>
  <si>
    <t>Clarion Call</t>
  </si>
  <si>
    <t>bard 1, cleric/oracle 1, magus 1, sorcerer/wizard 1</t>
  </si>
  <si>
    <t>V, S, M (a piece of brass)</t>
  </si>
  <si>
    <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t>
  </si>
  <si>
    <t>&lt;p&gt;The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foes.&lt;/p&gt;</t>
  </si>
  <si>
    <t>&lt;link rel="stylesheet"href="PF.css"&gt;&lt;div class="heading"&gt;&lt;p class="alignleft"&gt;Clarion Call&lt;/p&gt;&lt;div style="clear: both;"&gt;&lt;/div&gt;&lt;/div&gt;&lt;div&gt;&lt;h5&gt;&lt;b&gt;School &lt;/b&gt;illusion; &lt;b&gt;Level &lt;/b&gt;bard 1, cleric/oracle 1, magus 1, sorcerer/wizard 1&lt;/h5&gt;&lt;/div&gt;&lt;hr/&gt;&lt;div&gt;&lt;h5&gt;&lt;b&gt;CASTING&lt;/b&gt;&lt;/h5&gt;&lt;/div&gt;&lt;hr/&gt;&lt;div&gt;&lt;h5&gt;&lt;b&gt;Casting Time &lt;/b&gt;1 standard action&lt;/h5&gt;&lt;h5&gt;&lt;b&gt;Components &lt;/b&gt;V, S, M (a piece of brass)&lt;/h5&gt;&lt;/div&gt;&lt;hr/&gt;&lt;div&gt;&lt;h5&gt;&lt;b&gt;EFFECT&lt;/b&gt;&lt;/h5&gt;&lt;/div&gt;&lt;hr/&gt;&lt;div&gt;&lt;h5&gt;&lt;b&gt;Range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foes.&lt;/p&gt;&lt;/h4&gt;&lt;/div&gt;</t>
  </si>
  <si>
    <t>Emblazon Crest</t>
  </si>
  <si>
    <t>magus 1, paladin 1, sorcerer/wizard 1</t>
  </si>
  <si>
    <t>S, F (an example of the crest or coat of arms)</t>
  </si>
  <si>
    <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t>
  </si>
  <si>
    <t>&lt;p&gt;This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appearance.&lt;/p&gt;</t>
  </si>
  <si>
    <t>&lt;link rel="stylesheet"href="PF.css"&gt;&lt;div class="heading"&gt;&lt;p class="alignleft"&gt;Emblazon Crest&lt;/p&gt;&lt;div style="clear: both;"&gt;&lt;/div&gt;&lt;/div&gt;&lt;div&gt;&lt;h5&gt;&lt;b&gt;School &lt;/b&gt;transmutation; &lt;b&gt;Level &lt;/b&gt;magus 1, paladin 1, sorcerer/wizard 1&lt;/h5&gt;&lt;/div&gt;&lt;hr/&gt;&lt;div&gt;&lt;h5&gt;&lt;b&gt;CASTING&lt;/b&gt;&lt;/h5&gt;&lt;/div&gt;&lt;hr/&gt;&lt;div&gt;&lt;h5&gt;&lt;b&gt;Casting Time &lt;/b&gt;1 standard action&lt;/h5&gt;&lt;h5&gt;&lt;b&gt;Components &lt;/b&gt;S, F (an example of the crest or coat of arms)&lt;/h5&gt;&lt;/div&gt;&lt;hr/&gt;&lt;div&gt;&lt;h5&gt;&lt;b&gt;EFFECT&lt;/b&gt;&lt;/h5&gt;&lt;/div&gt;&lt;hr/&gt;&lt;div&gt;&lt;h5&gt;&lt;b&gt;Range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appearance.&lt;/p&gt;&lt;/h4&gt;&lt;/div&gt;</t>
  </si>
  <si>
    <t>Keep Watch</t>
  </si>
  <si>
    <t>inquisitor 1, magus 1, paladin 1, ranger 1, sorcerer/wizard 1</t>
  </si>
  <si>
    <t>one creature touched/2 levels</t>
  </si>
  <si>
    <t>8 hours or less; see text</t>
  </si>
  <si>
    <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sleep or dreaming are ineffective, though the subjects are still susceptible to effects that would put them to sleep, such as sleep or deep slumber. Any vigorous activity, including fighting, immediately ends the effect, and the affected creatures must either have the spell cast on them again or sleep for the remaining hours to avoid fatigue and gain the benefits of a full night's rest.</t>
  </si>
  <si>
    <t>&lt;p&gt;This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&lt;i&gt;sleep&lt;/i&gt; or dreaming are ineffective, though the subjects are still susceptible to effects that would put them to &lt;i&gt;sleep&lt;/i&gt;, such as &lt;i&gt;sleep&lt;/i&gt; or &lt;i&gt;deep slumber&lt;/i&gt;. Any vigorous activity, including fighting, immediately ends the effect, and the affected creatures must either have the spell cast on them again or &lt;i&gt;sleep&lt;/i&gt; for the remaining hours to avoid fatigue and gain the benefits of a full night's rest.&lt;/p&gt;</t>
  </si>
  <si>
    <t>&lt;link rel="stylesheet"href="PF.css"&gt;&lt;div class="heading"&gt;&lt;p class="alignleft"&gt;Keep Watch&lt;/p&gt;&lt;div style="clear: both;"&gt;&lt;/div&gt;&lt;/div&gt;&lt;div&gt;&lt;h5&gt;&lt;b&gt;School &lt;/b&gt;enchantment; &lt;b&gt;Level &lt;/b&gt;inquisitor 1, magus 1, paladin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touched/2 levels&lt;/h5&gt;&lt;h5&gt;&lt;b&gt;Duration &lt;/b&gt;8 hours or less; see text&lt;/h5&gt;&lt;h5&gt;&lt;b&gt;Saving Throw &lt;/b&gt;Will negates (harmless); &lt;b&gt;Spell Resistance &lt;/b&gt;yes (harmless)&lt;/h5&gt;&lt;/div&gt;&lt;hr/&gt;&lt;div&gt;&lt;h5&gt;&lt;b&gt;DESCRIPTION&lt;/b&gt;&lt;/h5&gt;&lt;/div&gt;&lt;hr/&gt;&lt;div&gt;&lt;h4&gt;&lt;p&gt;This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&lt;i&gt;sleep&lt;/i&gt; or dreaming are ineffective, though the subjects are still susceptible to effects that would put them to &lt;i&gt;sleep&lt;/i&gt;, such as &lt;i&gt;sleep&lt;/i&gt; or &lt;i&gt;deep slumber&lt;/i&gt;. Any vigorous activity, including fighting, immediately ends the effect, and the affected creatures must either have the spell cast on them again or &lt;i&gt;sleep&lt;/i&gt; for the remaining hours to avoid fatigue and gain the benefits of a full night's rest.&lt;/p&gt;&lt;/h4&gt;&lt;/div&gt;</t>
  </si>
  <si>
    <t>Serren's Armor Lock</t>
  </si>
  <si>
    <t>magus 2, sorcerer/wizard 3, witch 3</t>
  </si>
  <si>
    <t>V, S, M (a pinch of rust)</t>
  </si>
  <si>
    <t>one armored creature</t>
  </si>
  <si>
    <t>Upon pointing at an armored foe, you cause all of the joints of the target's armor to stiffen as otherworldly chains wrap around the target. On a failed Reflex save, a target in heavy metal armor becomes staggered. A target in light or medium metal armor instead becomes entangled. Targets wearing no armor or nonmetallic armor are unaffected. If the target is wearing heavy metal armor and succeeds at its Reflex save, it becomes entangled instead of staggered; a target in light or medium metal armor that succeeds at its saving throw is unaffected by the spell.</t>
  </si>
  <si>
    <t>&lt;p&gt;Upon pointing at an armored foe, you cause all of the joints of the target's armor to stiffen as otherworldly chains wrap around the target. On a failed Reflex save, a target in heavy metal armor becomes staggered. A target in light or medium metal armor instead becomes entangled. &lt;b&gt;Target&lt;/b&gt;s wearing no armor or nonmetallic armor are unaffected. If the target is wearing heavy metal armor and succeeds at its Reflex save, it becomes entangled instead of staggered; a target in light or medium metal armor that succeeds at its saving throw is unaffected by the spell.&lt;/p&gt;</t>
  </si>
  <si>
    <t>&lt;link rel="stylesheet"href="PF.css"&gt;&lt;div class="heading"&gt;&lt;p class="alignleft"&gt;Serren's Armor Lock&lt;/p&gt;&lt;div style="clear: both;"&gt;&lt;/div&gt;&lt;/div&gt;&lt;div&gt;&lt;h5&gt;&lt;b&gt;School &lt;/b&gt;transmutation; &lt;b&gt;Level &lt;/b&gt;magus 2, sorcerer/wizard 3, witch 3&lt;/h5&gt;&lt;/div&gt;&lt;hr/&gt;&lt;div&gt;&lt;h5&gt;&lt;b&gt;CASTING&lt;/b&gt;&lt;/h5&gt;&lt;/div&gt;&lt;hr/&gt;&lt;div&gt;&lt;h5&gt;&lt;b&gt;Casting Time &lt;/b&gt;1 standard action&lt;/h5&gt;&lt;h5&gt;&lt;b&gt;Components &lt;/b&gt;V, S, M (a pinch of rust)&lt;/h5&gt;&lt;/div&gt;&lt;hr/&gt;&lt;div&gt;&lt;h5&gt;&lt;b&gt;EFFECT&lt;/b&gt;&lt;/h5&gt;&lt;/div&gt;&lt;hr/&gt;&lt;div&gt;&lt;h5&gt;&lt;b&gt;Range &lt;/b&gt;medium (100 ft. + 10 ft./level)&lt;/h5&gt;&lt;h5&gt;&lt;b&gt;Targets &lt;/b&gt;one armored creature&lt;/h5&gt;&lt;h5&gt;&lt;b&gt;Duration &lt;/b&gt;1 round/level (D)&lt;/h5&gt;&lt;h5&gt;&lt;b&gt;Saving Throw &lt;/b&gt;Reflex partial; see text; &lt;b&gt;Spell Resistance &lt;/b&gt;yes&lt;/h5&gt;&lt;/div&gt;&lt;hr/&gt;&lt;div&gt;&lt;h5&gt;&lt;b&gt;DESCRIPTION&lt;/b&gt;&lt;/h5&gt;&lt;/div&gt;&lt;hr/&gt;&lt;div&gt;&lt;h4&gt;&lt;p&gt;Upon pointing at an armored foe, you cause all of the joints of the target's armor to stiffen as otherworldly chains wrap around the target. On a failed Reflex save, a target in heavy metal armor becomes staggered. A target in light or medium metal armor instead becomes entangled. &lt;b&gt;Target&lt;/b&gt;s wearing no armor or nonmetallic armor are unaffected. If the target is wearing heavy metal armor and succeeds at its Reflex save, it becomes entangled instead of staggered; a target in light or medium metal armor that succeeds at its saving throw is unaffected by the spell.&lt;/p&gt;&lt;/h4&gt;&lt;/div&gt;</t>
  </si>
  <si>
    <t>Serren's Swift Girding</t>
  </si>
  <si>
    <t>V, S, M (the armor to be worn)</t>
  </si>
  <si>
    <t>close (25 feet + 5 feet/level)</t>
  </si>
  <si>
    <t>one willing creature/level</t>
  </si>
  <si>
    <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t>
  </si>
  <si>
    <t>&lt;p&gt;With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properly.&lt;/p&gt;</t>
  </si>
  <si>
    <t>&lt;link rel="stylesheet"href="PF.css"&gt;&lt;div class="heading"&gt;&lt;p class="alignleft"&gt;Serren's Swift Girding&lt;/p&gt;&lt;div style="clear: both;"&gt;&lt;/div&gt;&lt;/div&gt;&lt;div&gt;&lt;h5&gt;&lt;b&gt;School &lt;/b&gt;transmutation; &lt;b&gt;Level &lt;/b&gt;magus 1, paladin 1, sorcerer/wizard 1&lt;/h5&gt;&lt;/div&gt;&lt;hr/&gt;&lt;div&gt;&lt;h5&gt;&lt;b&gt;CASTING&lt;/b&gt;&lt;/h5&gt;&lt;/div&gt;&lt;hr/&gt;&lt;div&gt;&lt;h5&gt;&lt;b&gt;Casting Time &lt;/b&gt;1 standard action&lt;/h5&gt;&lt;h5&gt;&lt;b&gt;Components &lt;/b&gt;V, S, M (the armor to be worn)&lt;/h5&gt;&lt;/div&gt;&lt;hr/&gt;&lt;div&gt;&lt;h5&gt;&lt;b&gt;EFFECT&lt;/b&gt;&lt;/h5&gt;&lt;/div&gt;&lt;hr/&gt;&lt;div&gt;&lt;h5&gt;&lt;b&gt;Range &lt;/b&gt;close (25 feet + 5 feet/level)&lt;/h5&gt;&lt;h5&gt;&lt;b&gt;Targets &lt;/b&gt;one willing creature/level&lt;/h5&gt;&lt;h5&gt;&lt;b&gt;Duration &lt;/b&gt;instantaneous&lt;/h5&gt;&lt;h5&gt;&lt;b&gt;Saving Throw &lt;/b&gt;none; &lt;b&gt;Spell Resistance &lt;/b&gt;yes (harmless)&lt;/h5&gt;&lt;/div&gt;&lt;hr/&gt;&lt;div&gt;&lt;h5&gt;&lt;b&gt;DESCRIPTION&lt;/b&gt;&lt;/h5&gt;&lt;/div&gt;&lt;hr/&gt;&lt;div&gt;&lt;h4&gt;&lt;p&gt;With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properly.&lt;/p&gt;&lt;/h4&gt;&lt;/div&gt;</t>
  </si>
  <si>
    <t>Ward Shield</t>
  </si>
  <si>
    <t>cleric/oracle 4, inquisitor 4, magus 4, sorcerer/wizard 4</t>
  </si>
  <si>
    <t>shield touched</t>
  </si>
  <si>
    <t>With a touch, you enchant a shield and enable it to protect its wielder from hostile spells. The shield grants spell resistance 10 + your caster level against spells so long as the shield can be interposed between the wielder and the spell effect. A spell shield does not provide spell resistance against area effect spells such as fireball, but does provide a +5 bonus on Reflex saving throws against such spells.</t>
  </si>
  <si>
    <t>&lt;p&gt;With a touch, you enchant a shield and enable it to protect its wielder from hostile spells. The shield grants spell resistance 10 + your caster level against spells so long as the shield can be interposed between the wielder and the spell effect. A &lt;i&gt;spell shield&lt;/i&gt; does not provide spell resistance against area effect spells such as &lt;i&gt;fireball&lt;/i&gt;, but does provide a +5 bonus on Reflex saving throws against such spells.&lt;/p&gt;</t>
  </si>
  <si>
    <t>&lt;link rel="stylesheet"href="PF.css"&gt;&lt;div class="heading"&gt;&lt;p class="alignleft"&gt;Ward Shield&lt;/p&gt;&lt;div style="clear: both;"&gt;&lt;/div&gt;&lt;/div&gt;&lt;div&gt;&lt;h5&gt;&lt;b&gt;School &lt;/b&gt;abjuration; &lt;b&gt;Level &lt;/b&gt;cleric/oracle 4, inquisitor 4, magus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&lt;/b&gt;shield touched&lt;/h5&gt;&lt;h5&gt;&lt;b&gt;Duration &lt;/b&gt;1 minute/level&lt;/h5&gt;&lt;h5&gt;&lt;b&gt;Saving Throw &lt;/b&gt;Will negates (harmless); &lt;b&gt;Spell Resistance &lt;/b&gt;yes (harmless)&lt;/h5&gt;&lt;/div&gt;&lt;hr/&gt;&lt;div&gt;&lt;h5&gt;&lt;b&gt;DESCRIPTION&lt;/b&gt;&lt;/h5&gt;&lt;/div&gt;&lt;hr/&gt;&lt;div&gt;&lt;h4&gt;&lt;p&gt;With a touch, you enchant a shield and enable it to protect its wielder from hostile spells. The shield grants spell resistance 10 + your caster level against spells so long as the shield can be interposed between the wielder and the spell effect. A &lt;i&gt;spell shield&lt;/i&gt; does not provide spell resistance against area effect spells such as &lt;i&gt;fireball&lt;/i&gt;, but does provide a +5 bonus on Reflex saving throws against such spells.&lt;/p&gt;&lt;/h4&gt;&lt;/div&gt;</t>
  </si>
  <si>
    <t>Curse Item</t>
  </si>
  <si>
    <t>The object becomes flawed and prone to failure. The effects of this spell depend on the nature of the object.  Magic Item: The item functions intermittently, gaining either an unreliable curse or a random dependent curse (Pathfinder RPG Core Rulebook 536).  Nonmagical Armor or Shield: The item gains the fragile armor quality (Pathfinder RPG Ultimate Equipment 8).  Nonmagical Weapon: The item gains the fragile weapon quality (Ultimate Equipment 22).  Tool: The item gains the broken condition if a creature rolls a natural 1 while making a skill check with the tool.  Other Item: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t>
  </si>
  <si>
    <t>&lt;p&gt;The object becomes flawed and prone to failure. The effects of this spell depend on the nature of the object.  &lt;i&gt;Magic Item&lt;/i&gt;: The item functions intermittently, gaining either an unreliable curse or a random dependent curse (&lt;i&gt;Pathfinder RPG Core Rulebook&lt;/i&gt; 536).  &lt;i&gt;Nonmagical Armor or Shield&lt;/i&gt;: The item gains the fragile armor quality (&lt;i&gt;Pathfinder RPG &lt;i&gt;Ultimate Equipment&lt;/i&gt;&lt;/i&gt; 8).  &lt;i&gt;Nonmagical Weapon&lt;/i&gt;: The item gains the fragile weapon quality (&lt;i&gt;Ultimate Equipment&lt;/i&gt; 22).  &lt;i&gt;Tool&lt;/i&gt;: The item gains the broken condition if a creature rolls a natural 1 while making a skill check with the tool.  &lt;i&gt;Other Item&lt;/i&gt;: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cursed).&lt;/p&gt;</t>
  </si>
  <si>
    <t>AP 64</t>
  </si>
  <si>
    <t>&lt;link rel="stylesheet"href="PF.css"&gt;&lt;div class="heading"&gt;&lt;p class="alignleft"&gt;Curse Item&lt;/p&gt;&lt;div style="clear: both;"&gt;&lt;/div&gt;&lt;/div&gt;&lt;div&gt;&lt;h5&gt;&lt;b&gt;School &lt;/b&gt;necromancy [curse]; &lt;b&gt;Level &lt;/b&gt;cleric/oracle 2 (Groetus)&lt;/h5&gt;&lt;/div&gt;&lt;hr/&gt;&lt;div&gt;&lt;h5&gt;&lt;b&gt;CASTING&lt;/b&gt;&lt;/h5&gt;&lt;/div&gt;&lt;hr/&gt;&lt;div&gt;&lt;h5&gt;&lt;b&gt;Casting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&lt;/b&gt;object touched&lt;/h5&gt;&lt;h5&gt;&lt;b&gt;Duration &lt;/b&gt;instantaneous&lt;/h5&gt;&lt;h5&gt;&lt;b&gt;Saving Throw &lt;/b&gt;Will negates (object); &lt;b&gt;Spell Resistance &lt;/b&gt;yes (object)&lt;/h5&gt;&lt;/div&gt;&lt;hr/&gt;&lt;div&gt;&lt;h5&gt;&lt;b&gt;DESCRIPTION&lt;/b&gt;&lt;/h5&gt;&lt;/div&gt;&lt;hr/&gt;&lt;div&gt;&lt;h4&gt;&lt;p&gt;The object becomes flawed and prone to failure. The effects of this spell depend on the nature of the object.  &lt;i&gt;Magic Item&lt;/i&gt;: The item functions intermittently, gaining either an unreliable curse or a random dependent curse (&lt;i&gt;Pathfinder RPG Core Rulebook&lt;/i&gt; 536).  &lt;i&gt;Nonmagical Armor or Shield&lt;/i&gt;: The item gains the fragile armor quality (&lt;i&gt;Pathfinder RPG &lt;i&gt;Ultimate Equipment&lt;/i&gt;&lt;/i&gt; 8).  &lt;i&gt;Nonmagical Weapon&lt;/i&gt;: The item gains the fragile weapon quality (&lt;i&gt;Ultimate Equipment&lt;/i&gt; 22).  &lt;i&gt;Tool&lt;/i&gt;: The item gains the broken condition if a creature rolls a natural 1 while making a skill check with the tool.  &lt;i&gt;Other Item&lt;/i&gt;: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cursed).&lt;/p&gt;&lt;/h4&gt;&lt;/div&gt;</t>
  </si>
  <si>
    <t>Groetus</t>
  </si>
  <si>
    <t>Lissalan Snake Sigil</t>
  </si>
  <si>
    <t>cleric/oracle 3, sorcerer/wizard 3</t>
  </si>
  <si>
    <t>permanent until discharged; 1 day/level; see text</t>
  </si>
  <si>
    <t>There are seven variants of this spell, one for each of the Thassilonian schools of magic. Each functions like sepia snake sigil (and counts as that spell for the purpose of combining other spells that hide or garble text), except instead of trapping the subject, the triggered sigil's effect depends on this spell's school. This effect lasts for 1 day/level. This is a curse effect that can be removed via remove curse.  Abjuration: All beneficial magical effects on the target last half as long as normal.  Conjuration: The target is nauseated. This is a poison effect.  Enchantment: The target takes a 1d6 penalty to Intelligence, Wisdom, and Charisma. This is a compulsion effect.  Evocation: The target gains vulnerability to an energy type, chosen randomly from the following: acid, cold, electricity, or fire. This is an acid, cold, electricity, or fire effect.  Illusion: The target's vision is blurred, giving it a -4 penalty on Perception checks relating to vision, and the target treats all other creatures as having displacement. This is a glamer effect.  Necromancy: The target is exhausted. This condition cannot be removed with rest.  Transmutation: Target is affected by slow.</t>
  </si>
  <si>
    <t>&lt;p&gt;There are seven variants of this spell, one for each of the Thassilonian schools of magic. Each functions like &lt;i&gt;sepia snake sigil&lt;/i&gt; (and counts as that spell for the purpose of combining other spells that hide or garble text), except instead of trapping the subject, the triggered sigil's effect depends on this spell's school. This effect lasts for 1 day/level. This is a curse effect that can be removed via &lt;i&gt;remove curse&lt;/i&gt;.  &lt;i&gt;Abjuration&lt;/i&gt;: All beneficial magical effects on the target last half as long as normal.  &lt;i&gt;Conjuration&lt;/i&gt;: The target is nauseated. This is a poison effect.  &lt;i&gt;Enchantment&lt;/i&gt;: The target takes a 1d6 penalty to Intelligence, Wisdom, and Charisma. This is a compulsion effect.  &lt;i&gt;Evocation&lt;/i&gt;: The target gains vulnerability to an energy type, chosen randomly from the following: acid, cold, electricity, or fire. This is an acid, cold, electricity, or fire effect.  &lt;i&gt;Illusion&lt;/i&gt;: The target's vision is blurred, giving it a -4 penalty on Perception checks relating to vision, and the target treats all other creatures as having &lt;i&gt;displacement&lt;/i&gt;. This is a glamer effect.  &lt;i&gt;Necromancy&lt;/i&gt;: The target is exhausted. This condition cannot be removed with rest.  &lt;i&gt;Transmutation&lt;/i&gt;: Target is affected by &lt;i&gt;slow&lt;/i&gt;.&lt;/p&gt;</t>
  </si>
  <si>
    <t>AP 65</t>
  </si>
  <si>
    <t>&lt;link rel="stylesheet"href="PF.css"&gt;&lt;div class="heading"&gt;&lt;p class="alignleft"&gt;Lissalan Snake Sigil&lt;/p&gt;&lt;div style="clear: both;"&gt;&lt;/div&gt;&lt;/div&gt;&lt;div&gt;&lt;h5&gt;&lt;b&gt;School &lt;/b&gt;see text; &lt;b&gt;Level &lt;/b&gt;cleric/oracle 3, sorcerer/wizard 3 (Lissala)&lt;/h5&gt;&lt;/div&gt;&lt;hr/&gt;&lt;div&gt;&lt;h5&gt;&lt;b&gt;CASTING&lt;/b&gt;&lt;/h5&gt;&lt;/div&gt;&lt;hr/&gt;&lt;div&gt;&lt;h5&gt;&lt;b&gt;Casting Time &lt;/b&gt;10 minutes&lt;/h5&gt;&lt;h5&gt;&lt;b&gt;Components &lt;/b&gt;V, S, M (powdered amber worth 500 gp and a snake scale)&lt;/h5&gt;&lt;/div&gt;&lt;hr/&gt;&lt;div&gt;&lt;h5&gt;&lt;b&gt;EFFECT&lt;/b&gt;&lt;/h5&gt;&lt;/div&gt;&lt;hr/&gt;&lt;div&gt;&lt;h5&gt;&lt;b&gt;Range &lt;/b&gt;touch&lt;/h5&gt;&lt;h5&gt;&lt;b&gt;Targets &lt;/b&gt;one touched book or written work&lt;/h5&gt;&lt;h5&gt;&lt;b&gt;Duration &lt;/b&gt;permanent until discharged; 1 day/level; see text&lt;/h5&gt;&lt;h5&gt;&lt;b&gt;Saving Throw &lt;/b&gt;Reflex negates; &lt;b&gt;Spell Resistance &lt;/b&gt;no&lt;/h5&gt;&lt;/div&gt;&lt;hr/&gt;&lt;div&gt;&lt;h5&gt;&lt;b&gt;DESCRIPTION&lt;/b&gt;&lt;/h5&gt;&lt;/div&gt;&lt;hr/&gt;&lt;div&gt;&lt;h4&gt;&lt;p&gt;There are seven variants of this spell, one for each of the Thassilonian schools of magic. Each functions like &lt;i&gt;sepia snake sigil&lt;/i&gt; (and counts as that spell for the purpose of combining other spells that hide or garble text), except instead of trapping the subject, the triggered sigil's effect depends on this spell's school. This effect lasts for 1 day/level. This is a curse effect that can be removed via &lt;i&gt;remove curse&lt;/i&gt;.  &lt;i&gt;Abjuration&lt;/i&gt;: All beneficial magical effects on the target last half as long as normal.  &lt;i&gt;Conjuration&lt;/i&gt;: The target is nauseated. This is a poison effect.  &lt;i&gt;Enchantment&lt;/i&gt;: The target takes a 1d6 penalty to Intelligence, Wisdom, and Charisma. This is a compulsion effect.  &lt;i&gt;Evocation&lt;/i&gt;: The target gains vulnerability to an energy type, chosen randomly from the following: acid, cold, electricity, or fire. This is an acid, cold, electricity, or fire effect.  &lt;i&gt;Illusion&lt;/i&gt;: The target's vision is blurred, giving it a -4 penalty on Perception checks relating to vision, and the target treats all other creatures as having &lt;i&gt;displacement&lt;/i&gt;. This is a glamer effect.  &lt;i&gt;Necromancy&lt;/i&gt;: The target is exhausted. This condition cannot be removed with rest.  &lt;i&gt;Transmutation&lt;/i&gt;: Target is affected by &lt;i&gt;slow&lt;/i&gt;.&lt;/p&gt;&lt;/h4&gt;&lt;/div&gt;</t>
  </si>
  <si>
    <t>Lissala</t>
  </si>
  <si>
    <t>Display Aversion</t>
  </si>
  <si>
    <t>bard 2, cleric/oracle 2, inquisitor 2, sorcerer/wizard 3, witch 2</t>
  </si>
  <si>
    <t>V, S, M (a drop of holy water)</t>
  </si>
  <si>
    <t>concentration + 1d4 rounds</t>
  </si>
  <si>
    <t>This spell functions like minor image,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t>
  </si>
  <si>
    <t>&lt;p&gt;This spell functions like &lt;i&gt;minor image&lt;/i&gt;,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creatures.&lt;/p&gt;</t>
  </si>
  <si>
    <t>Blood Of The Night</t>
  </si>
  <si>
    <t>&lt;link rel="stylesheet"href="PF.css"&gt;&lt;div class="heading"&gt;&lt;p class="alignleft"&gt;Display Aversion&lt;/p&gt;&lt;div style="clear: both;"&gt;&lt;/div&gt;&lt;/div&gt;&lt;div&gt;&lt;h5&gt;&lt;b&gt;School &lt;/b&gt;illusion (shadow); &lt;b&gt;Level &lt;/b&gt;bard 2, cleric/oracle 2, inquisitor 2, sorcerer/wizard 3, witch 2&lt;/h5&gt;&lt;/div&gt;&lt;hr/&gt;&lt;div&gt;&lt;h5&gt;&lt;b&gt;CASTING&lt;/b&gt;&lt;/h5&gt;&lt;/div&gt;&lt;hr/&gt;&lt;div&gt;&lt;h5&gt;&lt;b&gt;Casting Time &lt;/b&gt;1 standard action&lt;/h5&gt;&lt;h5&gt;&lt;b&gt;Components &lt;/b&gt;V, S, M (a drop of holy water)&lt;/h5&gt;&lt;/div&gt;&lt;hr/&gt;&lt;div&gt;&lt;h5&gt;&lt;b&gt;EFFECT&lt;/b&gt;&lt;/h5&gt;&lt;/div&gt;&lt;hr/&gt;&lt;div&gt;&lt;h5&gt;&lt;b&gt;Range &lt;/b&gt;personal&lt;/h5&gt;&lt;h5&gt;&lt;b&gt;Targets &lt;/b&gt;you&lt;/h5&gt;&lt;h5&gt;&lt;b&gt;Duration &lt;/b&gt;concentration + 1d4 rounds&lt;/h5&gt;&lt;/div&gt;&lt;hr/&gt;&lt;div&gt;&lt;h5&gt;&lt;b&gt;DESCRIPTION&lt;/b&gt;&lt;/h5&gt;&lt;/div&gt;&lt;hr/&gt;&lt;div&gt;&lt;h4&gt;&lt;p&gt;This spell functions like &lt;i&gt;minor image&lt;/i&gt;,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creatures.&lt;/p&gt;&lt;/h4&gt;&lt;/div&gt;</t>
  </si>
  <si>
    <t>Domination Link</t>
  </si>
  <si>
    <t>bard 3, inquisitor 3, sorcerer/wizard 3, witch 3</t>
  </si>
  <si>
    <t>concentration, up to 1 min./level (D)</t>
  </si>
  <si>
    <t>This spell functions like detect thoughts,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Direction: The controller's general direction and distance.  Emotion: The controller's emotional state (gloating, sated, frightened, angry, and so on).  Image: A powerful iconic image relevant to the controller or its connection to the target, such as a symbol on a door or a name on a gravestone.  Location: The controller's general location, such as "in a large city" or "on a ship."  Name: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t>
  </si>
  <si>
    <t>&lt;p&gt;This spell functions like &lt;i&gt;detect thoughts&lt;/i&gt;,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&lt;i&gt;Direction&lt;/i&gt;: The controller's general direction and distance.  &lt;i&gt;Emotion&lt;/i&gt;: The controller's emotional state (gloating, sated, frightened, angry, and so on).  &lt;i&gt;Image&lt;/i&gt;: A powerful iconic image relevant to the controller or its connection to the target, such as a symbol on a door or a name on a gravestone.  &lt;i&gt;Location&lt;/i&gt;: The controller's general location, such as "in a large city" or "on a ship."  &lt;i&gt;Name&lt;/i&gt;: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then.&lt;/p&gt;</t>
  </si>
  <si>
    <t>&lt;link rel="stylesheet"href="PF.css"&gt;&lt;div class="heading"&gt;&lt;p class="alignleft"&gt;Domination Link&lt;/p&gt;&lt;div style="clear: both;"&gt;&lt;/div&gt;&lt;/div&gt;&lt;div&gt;&lt;h5&gt;&lt;b&gt;School &lt;/b&gt;divination [mind-affecting]; &lt;b&gt;Level &lt;/b&gt;bard 3, inquisitor 3, sorcerer/wizard 3, witch 3&lt;/h5&gt;&lt;/div&gt;&lt;hr/&gt;&lt;div&gt;&lt;h5&gt;&lt;b&gt;CASTING&lt;/b&gt;&lt;/h5&gt;&lt;/div&gt;&lt;hr/&gt;&lt;div&gt;&lt;h5&gt;&lt;b&gt;Casting Time &lt;/b&gt;1 standard action&lt;/h5&gt;&lt;h5&gt;&lt;b&gt;Components &lt;/b&gt;V, S, F/DF (a copper piece)&lt;/h5&gt;&lt;/div&gt;&lt;hr/&gt;&lt;div&gt;&lt;h5&gt;&lt;b&gt;EFFECT&lt;/b&gt;&lt;/h5&gt;&lt;/div&gt;&lt;hr/&gt;&lt;div&gt;&lt;h5&gt;&lt;b&gt;Range &lt;/b&gt;60 ft.&lt;/h5&gt;&lt;h5&gt;&lt;b&gt;Area &lt;/b&gt;cone-shaped emanation&lt;/h5&gt;&lt;h5&gt;&lt;b&gt;Duration &lt;/b&gt;concentration, up to 1 min./level (D)&lt;/h5&gt;&lt;h5&gt;&lt;b&gt;Saving Throw &lt;/b&gt;Will negates; see text; &lt;b&gt;Spell Resistance &lt;/b&gt;no&lt;/h5&gt;&lt;/div&gt;&lt;hr/&gt;&lt;div&gt;&lt;h5&gt;&lt;b&gt;DESCRIPTION&lt;/b&gt;&lt;/h5&gt;&lt;/div&gt;&lt;hr/&gt;&lt;div&gt;&lt;h4&gt;&lt;p&gt;This spell functions like &lt;i&gt;detect thoughts&lt;/i&gt;,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&lt;i&gt;Direction&lt;/i&gt;: The controller's general direction and distance.  &lt;i&gt;Emotion&lt;/i&gt;: The controller's emotional state (gloating, sated, frightened, angry, and so on).  &lt;i&gt;Image&lt;/i&gt;: A powerful iconic image relevant to the controller or its connection to the target, such as a symbol on a door or a name on a gravestone.  &lt;i&gt;Location&lt;/i&gt;: The controller's general location, such as "in a large city" or "on a ship."  &lt;i&gt;Name&lt;/i&gt;: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then.&lt;/p&gt;&lt;/h4&gt;&lt;/div&gt;</t>
  </si>
  <si>
    <t>Project Weakness</t>
  </si>
  <si>
    <t>cleric/oracle 3, sorcerer/wizard 4, witch 3</t>
  </si>
  <si>
    <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t>
  </si>
  <si>
    <t>&lt;p&gt;You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penalties.&lt;/p&gt;</t>
  </si>
  <si>
    <t>&lt;link rel="stylesheet"href="PF.css"&gt;&lt;div class="heading"&gt;&lt;p class="alignleft"&gt;Project Weakness&lt;/p&gt;&lt;div style="clear: both;"&gt;&lt;/div&gt;&lt;/div&gt;&lt;div&gt;&lt;h5&gt;&lt;b&gt;School &lt;/b&gt;necromancy [curse, evil]; &lt;b&gt;Level &lt;/b&gt;cleric/oracle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&lt;/b&gt;permanent&lt;/h5&gt;&lt;h5&gt;&lt;b&gt;Saving Throw &lt;/b&gt;Will negates; &lt;b&gt;Spell Resistance &lt;/b&gt;yes&lt;/h5&gt;&lt;/div&gt;&lt;hr/&gt;&lt;div&gt;&lt;h5&gt;&lt;b&gt;DESCRIPTION&lt;/b&gt;&lt;/h5&gt;&lt;/div&gt;&lt;hr/&gt;&lt;div&gt;&lt;h4&gt;&lt;p&gt;You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penalties.&lt;/p&gt;&lt;/h4&gt;&lt;/div&gt;</t>
  </si>
  <si>
    <t>Steal Years</t>
  </si>
  <si>
    <t>cleric/oracle 3, druid 3, sorcerer/wizard 3, witch 3</t>
  </si>
  <si>
    <t>V, S, M (a handful of ash)</t>
  </si>
  <si>
    <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Core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t>
  </si>
  <si>
    <t>&lt;p&gt;You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&lt;i&gt;Core&lt;/i&gt;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hours.&lt;/p&gt;</t>
  </si>
  <si>
    <t>&lt;link rel="stylesheet"href="PF.css"&gt;&lt;div class="heading"&gt;&lt;p class="alignleft"&gt;Steal Years&lt;/p&gt;&lt;div style="clear: both;"&gt;&lt;/div&gt;&lt;/div&gt;&lt;div&gt;&lt;h5&gt;&lt;b&gt;School &lt;/b&gt;transmutation; &lt;b&gt;Level &lt;/b&gt;cleric/oracle 3, druid 3, sorcerer/wizard 3, witch 3&lt;/h5&gt;&lt;/div&gt;&lt;hr/&gt;&lt;div&gt;&lt;h5&gt;&lt;b&gt;CASTING&lt;/b&gt;&lt;/h5&gt;&lt;/div&gt;&lt;hr/&gt;&lt;div&gt;&lt;h5&gt;&lt;b&gt;Casting Time &lt;/b&gt;1 standard action&lt;/h5&gt;&lt;h5&gt;&lt;b&gt;Components &lt;/b&gt;V, S, M (a handful of ash)&lt;/h5&gt;&lt;/div&gt;&lt;hr/&gt;&lt;div&gt;&lt;h5&gt;&lt;b&gt;EFFECT&lt;/b&gt;&lt;/h5&gt;&lt;/div&gt;&lt;hr/&gt;&lt;div&gt;&lt;h5&gt;&lt;b&gt;Range &lt;/b&gt;touch&lt;/h5&gt;&lt;h5&gt;&lt;b&gt;Targets &lt;/b&gt;creature touched&lt;/h5&gt;&lt;h5&gt;&lt;b&gt;Duration &lt;/b&gt;24 hours&lt;/h5&gt;&lt;h5&gt;&lt;b&gt;Saving Throw &lt;/b&gt;Fortitude negates; &lt;b&gt;Spell Resistance &lt;/b&gt;yes&lt;/h5&gt;&lt;/div&gt;&lt;hr/&gt;&lt;div&gt;&lt;h5&gt;&lt;b&gt;DESCRIPTION&lt;/b&gt;&lt;/h5&gt;&lt;/div&gt;&lt;hr/&gt;&lt;div&gt;&lt;h4&gt;&lt;p&gt;You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&lt;i&gt;Core&lt;/i&gt;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hours.&lt;/p&gt;&lt;/h4&gt;&lt;/div&gt;</t>
  </si>
  <si>
    <t>Steal Years, Greater</t>
  </si>
  <si>
    <t>cleric/oracle 5, druid 5, sorcerer/wizard 5, witch 5</t>
  </si>
  <si>
    <t>This spell functions like steal years, except you drain 1d6 years per two caster levels (maximum 10d6).</t>
  </si>
  <si>
    <t>&lt;p&gt;This spell functions like &lt;i&gt;steal years&lt;/i&gt;, except you drain 1d6 years per two caster levels (maximum 10d6).&lt;/p&gt;</t>
  </si>
  <si>
    <t>&lt;link rel="stylesheet"href="PF.css"&gt;&lt;div class="heading"&gt;&lt;p class="alignleft"&gt;Steal Years, Greater&lt;/p&gt;&lt;div style="clear: both;"&gt;&lt;/div&gt;&lt;/div&gt;&lt;div&gt;&lt;h5&gt;&lt;b&gt;School &lt;/b&gt;transmutation; &lt;b&gt;Level &lt;/b&gt;cleric/oracle 5, druid 5, sorcerer/wizard 5, witch 5&lt;/h5&gt;&lt;/div&gt;&lt;hr/&gt;&lt;div&gt;&lt;h5&gt;&lt;b&gt;CASTING&lt;/b&gt;&lt;/h5&gt;&lt;/div&gt;&lt;hr/&gt;&lt;div&gt;&lt;h5&gt;&lt;b&gt;Casting Time &lt;/b&gt;1 standard action&lt;/h5&gt;&lt;h5&gt;&lt;b&gt;Components &lt;/b&gt;V, S, M (a handful of ash)&lt;/h5&gt;&lt;/div&gt;&lt;hr/&gt;&lt;div&gt;&lt;h5&gt;&lt;b&gt;EFFECT&lt;/b&gt;&lt;/h5&gt;&lt;/div&gt;&lt;hr/&gt;&lt;div&gt;&lt;h5&gt;&lt;b&gt;Range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functions like &lt;i&gt;steal years&lt;/i&gt;, except you drain 1d6 years per two caster levels (maximum 10d6).&lt;/p&gt;&lt;/h4&gt;&lt;/div&gt;</t>
  </si>
  <si>
    <t>Transmute Wine To Blood</t>
  </si>
  <si>
    <t>V, S, M (drop of animal blood)</t>
  </si>
  <si>
    <t>bottle of wine worth at least 10 gp</t>
  </si>
  <si>
    <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t>
  </si>
  <si>
    <t>&lt;p&gt;You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rate.&lt;/p&gt;</t>
  </si>
  <si>
    <t>&lt;link rel="stylesheet"href="PF.css"&gt;&lt;div class="heading"&gt;&lt;p class="alignleft"&gt;Transmute Wine To Blood&lt;/p&gt;&lt;div style="clear: both;"&gt;&lt;/div&gt;&lt;/div&gt;&lt;div&gt;&lt;h5&gt;&lt;b&gt;School &lt;/b&gt;transmutation; &lt;b&gt;Level &lt;/b&gt;cleric/oracle 2, sorcerer/wizard 2, witch 2&lt;/h5&gt;&lt;/div&gt;&lt;hr/&gt;&lt;div&gt;&lt;h5&gt;&lt;b&gt;CASTING&lt;/b&gt;&lt;/h5&gt;&lt;/div&gt;&lt;hr/&gt;&lt;div&gt;&lt;h5&gt;&lt;b&gt;Casting Time &lt;/b&gt;1 standard action&lt;/h5&gt;&lt;h5&gt;&lt;b&gt;Components &lt;/b&gt;V, S, M (drop of animal blood)&lt;/h5&gt;&lt;/div&gt;&lt;hr/&gt;&lt;div&gt;&lt;h5&gt;&lt;b&gt;EFFECT&lt;/b&gt;&lt;/h5&gt;&lt;/div&gt;&lt;hr/&gt;&lt;div&gt;&lt;h5&gt;&lt;b&gt;Range &lt;/b&gt;touch&lt;/h5&gt;&lt;h5&gt;&lt;b&gt;Targets &lt;/b&gt;bottle of wine worth at least 10 gp&lt;/h5&gt;&lt;h5&gt;&lt;b&gt;Duration &lt;/b&gt;instantaneous&lt;/h5&gt;&lt;h5&gt;&lt;b&gt;Saving Throw &lt;/b&gt;Fortitude negates (object); &lt;b&gt;Spell Resistance &lt;/b&gt;yes (object)&lt;/h5&gt;&lt;/div&gt;&lt;hr/&gt;&lt;div&gt;&lt;h5&gt;&lt;b&gt;DESCRIPTION&lt;/b&gt;&lt;/h5&gt;&lt;/div&gt;&lt;hr/&gt;&lt;div&gt;&lt;h4&gt;&lt;p&gt;You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rate.&lt;/p&gt;&lt;/h4&gt;&lt;/div&gt;</t>
  </si>
  <si>
    <t>Winter's Grasp</t>
  </si>
  <si>
    <t>V, S, M/DF (ground glass)</t>
  </si>
  <si>
    <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t>
  </si>
  <si>
    <t>&lt;p&gt;Ice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round.&lt;/p&gt;</t>
  </si>
  <si>
    <t>People Of The North</t>
  </si>
  <si>
    <t>&lt;link rel="stylesheet"href="PF.css"&gt;&lt;div class="heading"&gt;&lt;p class="alignleft"&gt;Winter's Grasp&lt;/p&gt;&lt;div style="clear: both;"&gt;&lt;/div&gt;&lt;/div&gt;&lt;div&gt;&lt;h5&gt;&lt;b&gt;School &lt;/b&gt;conjuration (creation) [cold]; &lt;b&gt;Level &lt;/b&gt;druid 2, witch 2&lt;/h5&gt;&lt;/div&gt;&lt;hr/&gt;&lt;div&gt;&lt;h5&gt;&lt;b&gt;CASTING&lt;/b&gt;&lt;/h5&gt;&lt;/div&gt;&lt;hr/&gt;&lt;div&gt;&lt;h5&gt;&lt;b&gt;Casting Time &lt;/b&gt;1 standard action&lt;/h5&gt;&lt;h5&gt;&lt;b&gt;Components &lt;/b&gt;V, S, M/DF (ground glass)&lt;/h5&gt;&lt;/div&gt;&lt;hr/&gt;&lt;div&gt;&lt;h5&gt;&lt;b&gt;EFFECT&lt;/b&gt;&lt;/h5&gt;&lt;/div&gt;&lt;hr/&gt;&lt;div&gt;&lt;h5&gt;&lt;b&gt;Range &lt;/b&gt;medium (100 ft. + 10 ft./level)&lt;/h5&gt;&lt;h5&gt;&lt;b&gt;Area &lt;/b&gt;20-ft.-radius spread&lt;/h5&gt;&lt;h5&gt;&lt;b&gt;Duration &lt;/b&gt;1 round/level&lt;/h5&gt;&lt;h5&gt;&lt;b&gt;Saving Throw &lt;/b&gt;none; &lt;b&gt;Spell Resistance &lt;/b&gt;no&lt;/h5&gt;&lt;/div&gt;&lt;hr/&gt;&lt;div&gt;&lt;h5&gt;&lt;b&gt;DESCRIPTION&lt;/b&gt;&lt;/h5&gt;&lt;/div&gt;&lt;hr/&gt;&lt;div&gt;&lt;h4&gt;&lt;p&gt;Ice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round.&lt;/p&gt;&lt;/h4&gt;&lt;/div&gt;</t>
  </si>
  <si>
    <t>Irriseni Mirror Sight</t>
  </si>
  <si>
    <t>V, S, F (a mirror)</t>
  </si>
  <si>
    <t>This spell lets you look into a mirror near you and see an image that is reflected in another specific mirror (chosen by you) or an individual reflected in any other mirror. This works like a scrying spell, except you can only view creatures on the same plane as you. Each time you cast the spell, you can choose to see one of three types of reflections in your mirror.  Known Mirror: The current reflection in another mirror with which you are familiar.  Known Person: The current reflection of a person you know well, assuming that person is near a mirror.  Known Place: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scrying block this spell.</t>
  </si>
  <si>
    <t>&lt;p&gt;This spell lets you look into a mirror near you and see an image that is reflected in another specific mirror (chosen by you) or an individual reflected in any other mirror. This works like a &lt;i&gt;scrying&lt;/i&gt; spell, except you can only view creatures on the same plane as you. Each time you cast the spell, you can choose to see one of three types of reflections in your mirror.  &lt;i&gt;Known Mirror&lt;/i&gt;: The current reflection in another mirror with which you are familiar.  &lt;i&gt;Known Person&lt;/i&gt;: The current reflection of a person you know well, assuming that person is near a mirror.  &lt;i&gt;Known Place&lt;/i&gt;: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&lt;b&gt;Effect&lt;/b&gt;s that block &lt;i&gt;scrying&lt;/i&gt; block this spell.&lt;/p&gt;</t>
  </si>
  <si>
    <t>AP 67</t>
  </si>
  <si>
    <t>&lt;link rel="stylesheet"href="PF.css"&gt;&lt;div class="heading"&gt;&lt;p class="alignleft"&gt;Irriseni Mirror Sight&lt;/p&gt;&lt;div style="clear: both;"&gt;&lt;/div&gt;&lt;/div&gt;&lt;div&gt;&lt;h5&gt;&lt;b&gt;School &lt;/b&gt;divination (scrying); &lt;b&gt;Level &lt;/b&gt;sorcerer/wizard 3, witch 3&lt;/h5&gt;&lt;/div&gt;&lt;hr/&gt;&lt;div&gt;&lt;h5&gt;&lt;b&gt;CASTING&lt;/b&gt;&lt;/h5&gt;&lt;/div&gt;&lt;hr/&gt;&lt;div&gt;&lt;h5&gt;&lt;b&gt;Casting Time &lt;/b&gt;10 minutes&lt;/h5&gt;&lt;h5&gt;&lt;b&gt;Components &lt;/b&gt;V, S, F (a mirror)&lt;/h5&gt;&lt;/div&gt;&lt;hr/&gt;&lt;div&gt;&lt;h5&gt;&lt;b&gt;EFFECT&lt;/b&gt;&lt;/h5&gt;&lt;/div&gt;&lt;hr/&gt;&lt;div&gt;&lt;h5&gt;&lt;b&gt;Range &lt;/b&gt;see text&lt;/h5&gt;&lt;h5&gt;&lt;b&gt;Effect &lt;/b&gt;magical sensor&lt;/h5&gt;&lt;h5&gt;&lt;b&gt;Duration &lt;/b&gt;1 minute/level&lt;/h5&gt;&lt;h5&gt;&lt;b&gt;Saving Throw &lt;/b&gt;none; &lt;b&gt;Spell Resistance &lt;/b&gt;no&lt;/h5&gt;&lt;/div&gt;&lt;hr/&gt;&lt;div&gt;&lt;h5&gt;&lt;b&gt;DESCRIPTION&lt;/b&gt;&lt;/h5&gt;&lt;/div&gt;&lt;hr/&gt;&lt;div&gt;&lt;h4&gt;&lt;p&gt;This spell lets you look into a mirror near you and see an image that is reflected in another specific mirror (chosen by you) or an individual reflected in any other mirror. This works like a &lt;i&gt;scrying&lt;/i&gt; spell, except you can only view creatures on the same plane as you. Each time you cast the spell, you can choose to see one of three types of reflections in your mirror.  &lt;i&gt;Known Mirror&lt;/i&gt;: The current reflection in another mirror with which you are familiar.  &lt;i&gt;Known Person&lt;/i&gt;: The current reflection of a person you know well, assuming that person is near a mirror.  &lt;i&gt;Known Place&lt;/i&gt;: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&lt;i&gt;scrying&lt;/i&gt; block this spell.&lt;/p&gt;&lt;/h4&gt;&lt;/div&gt;</t>
  </si>
  <si>
    <t>Bleed For Your Master</t>
  </si>
  <si>
    <t>antipaladin 2, druid 3, ranger 3, sorcerer/wizard 3, witch 3</t>
  </si>
  <si>
    <t>your animal companion, familiar, or fiendish servant</t>
  </si>
  <si>
    <t>When you would be hit by an attack that requires an attack roll, you may cast this spell to compel the target to throw itself in front of the blow, taking damage from the attack instead of you. After taking damage, the target is shaken for 1 minute. If you target your animal companion, familiar, or fiendish servant with this spell while it is already shaken, it becomes frightened after intercepting the attack.  If the attack involves multiple attack rolls from a single effect (e.g., scorching ray), the target intercepts all attacks. If the attack involves multiple attack rolls from natural attacks or iterative attacks, it intercepts only one attack.  If the spell affects an area, the target instead grants you cover against the effect (+2 bonus on Reflex saves) if it is your size or smaller, or improved cover (+4 on Reflex saves and improved evasion against the effect) if it is larger than you. The target automatically fails its Reflex save against the effect, but may still benefit from effects such as improved evasion.  This spell has no effect on attacks that do not require an attack roll or affect an area. Your animal companion, familiar, or fiendish servant must be adjacent to you at the time of casting or this spell has no effect.</t>
  </si>
  <si>
    <t>&lt;p&gt;When you would be hit by an attack that requires an attack roll, you may cast this spell to compel the target to throw itself in front of the blow, taking damage from the attack instead of you. After taking damage, the target is shaken for 1 minute. If you target your animal companion, familiar, or fiendish servant with this spell while it is already shaken, it becomes frightened after intercepting the attack.  If the attack involves multiple attack rolls from a single effect (e.g., &lt;i&gt;scorching&lt;/i&gt; ray), the target intercepts all attacks. If the attack involves multiple attack rolls from natural attacks or iterative attacks, it intercepts only one attack.  If the spell affects an area, the target instead grants you cover against the effect (+2 bonus on Reflex saves) if it is your size or smaller, or improved cover (+4 on Reflex saves and improved evasion against the effect) if it is larger than you. The target automatically fails its Reflex save against the effect, but may still benefit from effects such as improved evasion.  This spell has no effect on attacks that do not require an attack roll or affect an area. Your animal companion, familiar, or fiendish servant must be adjacent to you at the time of casting or this spell has no effect.&lt;/p&gt;</t>
  </si>
  <si>
    <t>Animal Archive</t>
  </si>
  <si>
    <t>&lt;link rel="stylesheet"href="PF.css"&gt;&lt;div class="heading"&gt;&lt;p class="alignleft"&gt;Bleed For Your Master&lt;/p&gt;&lt;div style="clear: both;"&gt;&lt;/div&gt;&lt;/div&gt;&lt;div&gt;&lt;h5&gt;&lt;b&gt;School &lt;/b&gt;enchantment (compulsion); &lt;b&gt;Level &lt;/b&gt;antipaladin 2, druid 3, ranger 3, sorcerer/wizard 3, witch 3&lt;/h5&gt;&lt;/div&gt;&lt;hr/&gt;&lt;div&gt;&lt;h5&gt;&lt;b&gt;CASTING&lt;/b&gt;&lt;/h5&gt;&lt;/div&gt;&lt;hr/&gt;&lt;div&gt;&lt;h5&gt;&lt;b&gt;Casting Time &lt;/b&gt;1 immediate action&lt;/h5&gt;&lt;h5&gt;&lt;b&gt;Components &lt;/b&gt;V, S&lt;/h5&gt;&lt;/div&gt;&lt;hr/&gt;&lt;div&gt;&lt;h5&gt;&lt;b&gt;EFFECT&lt;/b&gt;&lt;/h5&gt;&lt;/div&gt;&lt;hr/&gt;&lt;div&gt;&lt;h5&gt;&lt;b&gt;Range &lt;/b&gt;touch&lt;/h5&gt;&lt;h5&gt;&lt;b&gt;Targets &lt;/b&gt;your animal companion, familiar, or fiendish servant&lt;/h5&gt;&lt;h5&gt;&lt;b&gt;Duration &lt;/b&gt;instantaneous&lt;/h5&gt;&lt;h5&gt;&lt;b&gt;Saving Throw &lt;/b&gt;none; &lt;b&gt;Spell Resistance &lt;/b&gt;no&lt;/h5&gt;&lt;/div&gt;&lt;hr/&gt;&lt;div&gt;&lt;h5&gt;&lt;b&gt;DESCRIPTION&lt;/b&gt;&lt;/h5&gt;&lt;/div&gt;&lt;hr/&gt;&lt;div&gt;&lt;h4&gt;&lt;p&gt;When you would be hit by an attack that requires an attack roll, you may cast this spell to compel the target to throw itself in front of the blow, taking damage from the attack instead of you. After taking damage, the target is shaken for 1 minute. If you target your animal companion, familiar, or fiendish servant with this spell while it is already shaken, it becomes frightened after intercepting the attack.  If the attack involves multiple attack rolls from a single effect (e.g., &lt;i&gt;scorching&lt;/i&gt; ray), the target intercepts all attacks. If the attack involves multiple attack rolls from natural attacks or iterative attacks, it intercepts only one attack.  If the spell affects an area, the target instead grants you cover against the effect (+2 bonus on Reflex saves) if it is your size or smaller, or improved cover (+4 on Reflex saves and improved evasion against the effect) if it is larger than you. The target automatically fails its Reflex save against the effect, but may still benefit from effects such as improved evasion.  This spell has no effect on attacks that do not require an attack roll or affect an area. Your animal companion, familiar, or fiendish servant must be adjacent to you at the time of casting or this spell has no effect.&lt;/p&gt;&lt;/h4&gt;&lt;/div&gt;</t>
  </si>
  <si>
    <t>Die For Your Master</t>
  </si>
  <si>
    <t>antipaladin 4, druid 5, sorcerer/wizard 5, witch 5</t>
  </si>
  <si>
    <t>This spell functions as bleed for your master, but it allows your companion or familiar to intercept any attack that targets you, including those that do not require attack rolls (e.g., chain lightning, hold monster, and magic missile). Your companion or familiar cannot intercept effects that do not affect creatures of its type (e.g., dominate person).</t>
  </si>
  <si>
    <t>&lt;p&gt;This spell functions as &lt;i&gt;bleed for your master&lt;/i&gt;, but it allows your companion or familiar to intercept any attack that targets you, including those that do not require attack rolls (e.g., &lt;i&gt;chain lightning&lt;/i&gt;, &lt;i&gt;hold monster&lt;/i&gt;, and &lt;i&gt;magic&lt;/i&gt; missile). Your companion or familiar cannot intercept effects that do not affect creatures of its type (e.g., &lt;i&gt;dominate&lt;/i&gt; person).&lt;/p&gt;</t>
  </si>
  <si>
    <t>&lt;link rel="stylesheet"href="PF.css"&gt;&lt;div class="heading"&gt;&lt;p class="alignleft"&gt;Die For Your Master&lt;/p&gt;&lt;div style="clear: both;"&gt;&lt;/div&gt;&lt;/div&gt;&lt;div&gt;&lt;h5&gt;&lt;b&gt;School &lt;/b&gt;enchantment (compulsion); &lt;b&gt;Level &lt;/b&gt;antipaladin 4, druid 5, sorcerer/wizard 5, witch 5&lt;/h5&gt;&lt;/div&gt;&lt;hr/&gt;&lt;div&gt;&lt;h5&gt;&lt;b&gt;CASTING&lt;/b&gt;&lt;/h5&gt;&lt;/div&gt;&lt;hr/&gt;&lt;div&gt;&lt;h5&gt;&lt;b&gt;Casting Time &lt;/b&gt;1 immediate action&lt;/h5&gt;&lt;h5&gt;&lt;b&gt;Components &lt;/b&gt;V, S&lt;/h5&gt;&lt;/div&gt;&lt;hr/&gt;&lt;div&gt;&lt;h5&gt;&lt;b&gt;EFFECT&lt;/b&gt;&lt;/h5&gt;&lt;/div&gt;&lt;hr/&gt;&lt;div&gt;&lt;h5&gt;&lt;b&gt;Range &lt;/b&gt;touch&lt;/h5&gt;&lt;h5&gt;&lt;b&gt;Targets &lt;/b&gt;your animal companion, familiar, or fiendish servant&lt;/h5&gt;&lt;h5&gt;&lt;b&gt;Duration &lt;/b&gt;instantaneous&lt;/h5&gt;&lt;h5&gt;&lt;b&gt;Saving Throw &lt;/b&gt;none; &lt;b&gt;Spell Resistance &lt;/b&gt;no&lt;/h5&gt;&lt;/div&gt;&lt;hr/&gt;&lt;div&gt;&lt;h5&gt;&lt;b&gt;DESCRIPTION&lt;/b&gt;&lt;/h5&gt;&lt;/div&gt;&lt;hr/&gt;&lt;div&gt;&lt;h4&gt;&lt;p&gt;This spell functions as &lt;i&gt;bleed for your master&lt;/i&gt;, but it allows your companion or familiar to intercept any attack that targets you, including those that do not require attack rolls (e.g., &lt;i&gt;chain lightning&lt;/i&gt;, &lt;i&gt;hold monster&lt;/i&gt;, and &lt;i&gt;magic&lt;/i&gt; missile). Your companion or familiar cannot intercept effects that do not affect creatures of its type (e.g., &lt;i&gt;dominate&lt;/i&gt; person).&lt;/p&gt;&lt;/h4&gt;&lt;/div&gt;</t>
  </si>
  <si>
    <t>Familiar Figment</t>
  </si>
  <si>
    <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mirror image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t>
  </si>
  <si>
    <t>&lt;p&gt;You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&lt;i&gt;mirror image&lt;/i&gt;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turn.&lt;/p&gt;</t>
  </si>
  <si>
    <t>&lt;link rel="stylesheet"href="PF.css"&gt;&lt;div class="heading"&gt;&lt;p class="alignleft"&gt;Familiar Figment&lt;/p&gt;&lt;div style="clear: both;"&gt;&lt;/div&gt;&lt;/div&gt;&lt;div&gt;&lt;h5&gt;&lt;b&gt;School &lt;/b&gt;illusion (figment); &lt;b&gt;Level &lt;/b&gt;sorcerer/wizard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familiar&lt;/h5&gt;&lt;h5&gt;&lt;b&gt;Duration &lt;/b&gt;1 round/level (D)&lt;/h5&gt;&lt;h5&gt;&lt;b&gt;Saving Throw &lt;/b&gt;none; &lt;b&gt;Spell Resistance &lt;/b&gt;no&lt;/h5&gt;&lt;/div&gt;&lt;hr/&gt;&lt;div&gt;&lt;h5&gt;&lt;b&gt;DESCRIPTION&lt;/b&gt;&lt;/h5&gt;&lt;/div&gt;&lt;hr/&gt;&lt;div&gt;&lt;h4&gt;&lt;p&gt;You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&lt;i&gt;mirror image&lt;/i&gt;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turn.&lt;/p&gt;&lt;/h4&gt;&lt;/div&gt;</t>
  </si>
  <si>
    <t>Hunter's Friend</t>
  </si>
  <si>
    <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t>
  </si>
  <si>
    <t>&lt;p&gt;Your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druidAPG.&lt;/p&gt;</t>
  </si>
  <si>
    <t>&lt;link rel="stylesheet"href="PF.css"&gt;&lt;div class="heading"&gt;&lt;p class="alignleft"&gt;Hunter's Friend&lt;/p&gt;&lt;div style="clear: both;"&gt;&lt;/div&gt;&lt;/div&gt;&lt;div&gt;&lt;h5&gt;&lt;b&gt;School &lt;/b&gt;transmutation; &lt;b&gt;Level &lt;/b&gt;druid 3, ranger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animal companion&lt;/h5&gt;&lt;h5&gt;&lt;b&gt;Duration &lt;/b&gt;1 hour/level (D)&lt;/h5&gt;&lt;h5&gt;&lt;b&gt;Saving Throw &lt;/b&gt;Will negates (harmless); &lt;b&gt;Spell Resistance &lt;/b&gt;no&lt;/h5&gt;&lt;/div&gt;&lt;hr/&gt;&lt;div&gt;&lt;h5&gt;&lt;b&gt;DESCRIPTION&lt;/b&gt;&lt;/h5&gt;&lt;/div&gt;&lt;hr/&gt;&lt;div&gt;&lt;h4&gt;&lt;p&gt;Your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druidAPG.&lt;/p&gt;&lt;/h4&gt;&lt;/div&gt;</t>
  </si>
  <si>
    <t>Scamper</t>
  </si>
  <si>
    <t>Your animal companion moves with astonishing agility and speed until the end of its turn. It can move at full speed while using Acrobatics, and it gains a competence bonus equal to twice your caster level (maximum +20 at 10th level) on Acrobatics checks made to avoid attacks of opportunity or move through a square occupied by an enemy.</t>
  </si>
  <si>
    <t>&lt;p&gt;Your animal companion moves with astonishing agility and speed until the end of its turn. It can move at full speed while using Acrobatics, and it gains a competence bonus equal to twice your caster level (maximum +20 at 10th level) on Acrobatics checks made to avoid attacks of opportunity or move through a square occupied by an enemy.&lt;/p&gt;</t>
  </si>
  <si>
    <t>&lt;link rel="stylesheet"href="PF.css"&gt;&lt;div class="heading"&gt;&lt;p class="alignleft"&gt;Scamper&lt;/p&gt;&lt;div style="clear: both;"&gt;&lt;/div&gt;&lt;/div&gt;&lt;div&gt;&lt;h5&gt;&lt;b&gt;School &lt;/b&gt;transmutation; &lt;b&gt;Level &lt;/b&gt;druid 2, ranger 2&lt;/h5&gt;&lt;/div&gt;&lt;hr/&gt;&lt;div&gt;&lt;h5&gt;&lt;b&gt;CASTING&lt;/b&gt;&lt;/h5&gt;&lt;/div&gt;&lt;hr/&gt;&lt;div&gt;&lt;h5&gt;&lt;b&gt;Casting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&lt;/b&gt;your animal companion&lt;/h5&gt;&lt;h5&gt;&lt;b&gt;Duration &lt;/b&gt;1 round&lt;/h5&gt;&lt;h5&gt;&lt;b&gt;Saving Throw &lt;/b&gt;none; &lt;b&gt;Spell Resistance &lt;/b&gt;no&lt;/h5&gt;&lt;/div&gt;&lt;hr/&gt;&lt;div&gt;&lt;h5&gt;&lt;b&gt;DESCRIPTION&lt;/b&gt;&lt;/h5&gt;&lt;/div&gt;&lt;hr/&gt;&lt;div&gt;&lt;h4&gt;&lt;p&gt;Your animal companion moves with astonishing agility and speed until the end of its turn. It can move at full speed while using Acrobatics, and it gains a competence bonus equal to twice your caster level (maximum +20 at 10th level) on Acrobatics checks made to avoid attacks of opportunity or move through a square occupied by an enemy.&lt;/p&gt;&lt;/h4&gt;&lt;/div&gt;</t>
  </si>
  <si>
    <t>Sea Steed</t>
  </si>
  <si>
    <t>druid 2, paladin 2, ranger 2</t>
  </si>
  <si>
    <t>your mount</t>
  </si>
  <si>
    <t>Your animal companion or mount adapts to life in the water, gaining scales that cover its body and fins in place of feet. Your mount gains the aquatic subtype, the amphibious quality, and a swim speed equal to its normal speed, though its land speed is reduced to 10 feet (if its land speed is normally greater than 10 feet-otherwise, its land speed is unaffected) while this spell is in effect.</t>
  </si>
  <si>
    <t>&lt;p&gt;Your animal companion or mount adapts to life in the water, gaining scales that cover its body and fins in place of feet. Your mount gains the aquatic subtype, the amphibious quality, and a swim speed equal to its normal speed, though its land speed is reduced to 10 feet (if its land speed is normally greater than 10 feet-otherwise, its land speed is unaffected) while this spell is in effect.&lt;/p&gt;</t>
  </si>
  <si>
    <t>&lt;link rel="stylesheet"href="PF.css"&gt;&lt;div class="heading"&gt;&lt;p class="alignleft"&gt;Sea Steed&lt;/p&gt;&lt;div style="clear: both;"&gt;&lt;/div&gt;&lt;/div&gt;&lt;div&gt;&lt;h5&gt;&lt;b&gt;School &lt;/b&gt;transmutation (polymorph); &lt;b&gt;Level &lt;/b&gt;druid 2, paladin 2, ranger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mount&lt;/h5&gt;&lt;h5&gt;&lt;b&gt;Duration &lt;/b&gt;10 minutes/level (D)&lt;/h5&gt;&lt;h5&gt;&lt;b&gt;Saving Throw &lt;/b&gt;Will negates (harmless); &lt;b&gt;Spell Resistance &lt;/b&gt;no&lt;/h5&gt;&lt;/div&gt;&lt;hr/&gt;&lt;div&gt;&lt;h5&gt;&lt;b&gt;DESCRIPTION&lt;/b&gt;&lt;/h5&gt;&lt;/div&gt;&lt;hr/&gt;&lt;div&gt;&lt;h4&gt;&lt;p&gt;Your animal companion or mount adapts to life in the water, gaining scales that cover its body and fins in place of feet. Your mount gains the aquatic subtype, the amphibious quality, and a swim speed equal to its normal speed, though its land speed is reduced to 10 feet (if its land speed is normally greater than 10 feet-otherwise, its land speed is unaffected) while this spell is in effect.&lt;/p&gt;&lt;/h4&gt;&lt;/div&gt;</t>
  </si>
  <si>
    <t>Sea Stallion</t>
  </si>
  <si>
    <t>druid 4, paladin 4, ranger 4</t>
  </si>
  <si>
    <t>This spell functions as sea steed, but as long as you are mounted on the affected creature, you also gain the amphibious quality and your melee attacks function as if you were using freedom of movement. If you are dismounted, you retain the amphibious quality for 1 minute; if you remount before this time, the spell continues. If not, your mount retains the effects but you do not. If your mount is dropped to 0 or fewer hit points, the spell ends for both of you.</t>
  </si>
  <si>
    <t>&lt;p&gt;This spell functions as &lt;i&gt;sea steed&lt;/i&gt;, but as long as you are mounted on the affected creature, you also gain the amphibious quality and your melee attacks function as if you were using &lt;i&gt;freedom of movement&lt;/i&gt;. If you are dismounted, you retain the amphibious quality for 1 minute; if you remount before this time, the spell continues. If not, your mount retains the effects but you do not. If your mount is dropped to 0 or fewer hit points, the spell ends for both of you.&lt;/p&gt;</t>
  </si>
  <si>
    <t>&lt;link rel="stylesheet"href="PF.css"&gt;&lt;div class="heading"&gt;&lt;p class="alignleft"&gt;Sea Stallion&lt;/p&gt;&lt;div style="clear: both;"&gt;&lt;/div&gt;&lt;/div&gt;&lt;div&gt;&lt;h5&gt;&lt;b&gt;School &lt;/b&gt;transmutation; &lt;b&gt;Level &lt;/b&gt;druid 4, paladin 4, ranger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mount&lt;/h5&gt;&lt;h5&gt;&lt;b&gt;Duration &lt;/b&gt;10 minutes/level (D)&lt;/h5&gt;&lt;h5&gt;&lt;b&gt;Saving Throw &lt;/b&gt;Will negates (harmless); &lt;b&gt;Spell Resistance &lt;/b&gt;no&lt;/h5&gt;&lt;/div&gt;&lt;hr/&gt;&lt;div&gt;&lt;h5&gt;&lt;b&gt;DESCRIPTION&lt;/b&gt;&lt;/h5&gt;&lt;/div&gt;&lt;hr/&gt;&lt;div&gt;&lt;h4&gt;&lt;p&gt;This spell functions as &lt;i&gt;sea steed&lt;/i&gt;, but as long as you are mounted on the affected creature, you also gain the amphibious quality and your melee attacks function as if you were using &lt;i&gt;freedom of movement&lt;/i&gt;. If you are dismounted, you retain the amphibious quality for 1 minute; if you remount before this time, the spell continues. If not, your mount retains the effects but you do not. If your mount is dropped to 0 or fewer hit points, the spell ends for both of you.&lt;/p&gt;&lt;/h4&gt;&lt;/div&gt;</t>
  </si>
  <si>
    <t>Share Shape</t>
  </si>
  <si>
    <t>ranger 3, sorcerer/wizard 4, witch 4</t>
  </si>
  <si>
    <t>This spell functions as beast shape II, but you may only assume the form of an animal of a type identical to your animal companion or familiar. If your familiar or companion is not an animal, this spell has no effect.</t>
  </si>
  <si>
    <t>&lt;p&gt;This spell functions as &lt;i&gt;beast shape II&lt;/i&gt;, but you may only assume the form of an animal of a type identical to your animal companion or familiar. If your familiar or companion is not an animal, this spell has no effect.&lt;/p&gt;</t>
  </si>
  <si>
    <t>&lt;link rel="stylesheet"href="PF.css"&gt;&lt;div class="heading"&gt;&lt;p class="alignleft"&gt;Share Shape&lt;/p&gt;&lt;div style="clear: both;"&gt;&lt;/div&gt;&lt;/div&gt;&lt;div&gt;&lt;h5&gt;&lt;b&gt;School &lt;/b&gt;transmutation (polymorph); &lt;b&gt;Level &lt;/b&gt;ranger 3, sorcerer/wizard 4,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&lt;/b&gt;personal&lt;/h5&gt;&lt;h5&gt;&lt;b&gt;Duration &lt;/b&gt;1 hour/level (D)&lt;/h5&gt;&lt;/div&gt;&lt;hr/&gt;&lt;div&gt;&lt;h5&gt;&lt;b&gt;DESCRIPTION&lt;/b&gt;&lt;/h5&gt;&lt;/div&gt;&lt;hr/&gt;&lt;div&gt;&lt;h4&gt;&lt;p&gt;This spell functions as &lt;i&gt;beast shape II&lt;/i&gt;, but you may only assume the form of an animal of a type identical to your animal companion or familiar. If your familiar or companion is not an animal, this spell has no effect.&lt;/p&gt;&lt;/h4&gt;&lt;/div&gt;</t>
  </si>
  <si>
    <t>Sky Steed</t>
  </si>
  <si>
    <t>Your mount sprouts angelic wings and gains a fly speed equal to its land speed with average maneuverability and a bonus on Fly checks equal to your caster level.</t>
  </si>
  <si>
    <t>&lt;p&gt;Your mount sprouts angelic wings and gains a fly speed equal to its land speed with average maneuverability and a bonus on Fly checks equal to your caster level.&lt;/p&gt;</t>
  </si>
  <si>
    <t>&lt;link rel="stylesheet"href="PF.css"&gt;&lt;div class="heading"&gt;&lt;p class="alignleft"&gt;Sky Steed&lt;/p&gt;&lt;div style="clear: both;"&gt;&lt;/div&gt;&lt;/div&gt;&lt;div&gt;&lt;h5&gt;&lt;b&gt;School &lt;/b&gt;transmutation; &lt;b&gt;Level &lt;/b&gt;paladin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mount&lt;/h5&gt;&lt;h5&gt;&lt;b&gt;Duration &lt;/b&gt;1 minute/level (D)&lt;/h5&gt;&lt;h5&gt;&lt;b&gt;Saving Throw &lt;/b&gt;Will negates (harmless); &lt;b&gt;Spell Resistance &lt;/b&gt;no&lt;/h5&gt;&lt;/div&gt;&lt;hr/&gt;&lt;div&gt;&lt;h5&gt;&lt;b&gt;DESCRIPTION&lt;/b&gt;&lt;/h5&gt;&lt;/div&gt;&lt;hr/&gt;&lt;div&gt;&lt;h4&gt;&lt;p&gt;Your mount sprouts angelic wings and gains a fly speed equal to its land speed with average maneuverability and a bonus on Fly checks equal to your caster level.&lt;/p&gt;&lt;/h4&gt;&lt;/div&gt;</t>
  </si>
  <si>
    <t>Flurry Of Snowballs</t>
  </si>
  <si>
    <t>cold, water</t>
  </si>
  <si>
    <t>druid 2, magus 2, sorcerer/wizard 2, witch 2</t>
  </si>
  <si>
    <t>You send a flurry of snowballs hurtling at your foes. Any creature in the area takes 4d6 points of cold damage from being pelted with the icy spheres.</t>
  </si>
  <si>
    <t>&lt;p&gt;You send a flurry of snowballs hurtling at your foes. Any creature in the area takes 4d6 points of cold damage from being pelted with the icy spheres.&lt;/p&gt;</t>
  </si>
  <si>
    <t>&lt;link rel="stylesheet"href="PF.css"&gt;&lt;div class="heading"&gt;&lt;p class="alignleft"&gt;Flurry Of Snowballs&lt;/p&gt;&lt;div style="clear: both;"&gt;&lt;/div&gt;&lt;/div&gt;&lt;div&gt;&lt;h5&gt;&lt;b&gt;School &lt;/b&gt;evocation [cold, water]; &lt;b&gt;Level &lt;/b&gt;druid 2, 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&lt;/b&gt;Reflex half; &lt;b&gt;Spell Resistance &lt;/b&gt;no&lt;/h5&gt;&lt;/div&gt;&lt;hr/&gt;&lt;div&gt;&lt;h5&gt;&lt;b&gt;DESCRIPTION&lt;/b&gt;&lt;/h5&gt;&lt;/div&gt;&lt;hr/&gt;&lt;div&gt;&lt;h4&gt;&lt;p&gt;You send a flurry of snowballs hurtling at your foes. Any creature in the area takes 4d6 points of cold damage from being pelted with the icy spheres.&lt;/p&gt;&lt;/h4&gt;&lt;/div&gt;</t>
  </si>
  <si>
    <t>Snowball</t>
  </si>
  <si>
    <t>druid 1, magus 1, sorcerer/wizard 1, summoner 1, witch 1</t>
  </si>
  <si>
    <t>one ball of ice and snow</t>
  </si>
  <si>
    <t>You conjure a ball of packed ice and snow that you can throw at a single target as a ranged touch attack. On a successful hit, the snowball deals 1d6 points of cold damage per caster level (maximum 5d6), and the target must make a successful Fortitude saving throw or be staggered for 1 round.</t>
  </si>
  <si>
    <t>&lt;p&gt;You conjure a ball of packed ice and snow that you can throw at a single target as a ranged touch attack. On a successful hit, the snowball deals 1d6 points of cold damage per caster level (maximum 5d6), and the target must make a successful Fortitude saving throw or be staggered for 1 round.&lt;/p&gt;</t>
  </si>
  <si>
    <t>&lt;link rel="stylesheet"href="PF.css"&gt;&lt;div class="heading"&gt;&lt;p class="alignleft"&gt;Snowball&lt;/p&gt;&lt;div style="clear: both;"&gt;&lt;/div&gt;&lt;/div&gt;&lt;div&gt;&lt;h5&gt;&lt;b&gt;School &lt;/b&gt;conjuration (creation) [cold, water]; &lt;b&gt;Level &lt;/b&gt;druid 1, magus 1, sorcerer/wizard 1, summoner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ball of ice and snow&lt;/h5&gt;&lt;h5&gt;&lt;b&gt;Duration &lt;/b&gt;instantaneous&lt;/h5&gt;&lt;h5&gt;&lt;b&gt;Saving Throw &lt;/b&gt;Fortitude partial (see text); &lt;b&gt;Spell Resistance &lt;/b&gt;no&lt;/h5&gt;&lt;/div&gt;&lt;hr/&gt;&lt;div&gt;&lt;h5&gt;&lt;b&gt;DESCRIPTION&lt;/b&gt;&lt;/h5&gt;&lt;/div&gt;&lt;hr/&gt;&lt;div&gt;&lt;h4&gt;&lt;p&gt;You conjure a ball of packed ice and snow that you can throw at a single target as a ranged touch attack. On a successful hit, the snowball deals 1d6 points of cold damage per caster level (maximum 5d6), and the target must make a successful Fortitude saving throw or be staggered for 1 round.&lt;/p&gt;&lt;/h4&gt;&lt;/div&gt;</t>
  </si>
  <si>
    <t>Ice Spears</t>
  </si>
  <si>
    <t>V, S, M (a small stalagmite-shaped crystal)</t>
  </si>
  <si>
    <t>1 ice spear/4 levels</t>
  </si>
  <si>
    <t>Reflex half and see below</t>
  </si>
  <si>
    <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ice spears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ice spear beyond the first that strikes a single foe grants a +10 bonus on this combat maneuver check. If the check is successful, the ice spears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Ice spears created by this spell remain after they do their damage. They melt as normal depending on the surrounding environment. They no longer damage foes in their square, but can provide cover. An ice spear has hardness 5 and 30 hit points.</t>
  </si>
  <si>
    <t>&lt;p&gt;Favored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&lt;i&gt;&lt;i&gt;ice spear&lt;/i&gt;s&lt;/i&gt;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&lt;i&gt;ice spear&lt;/i&gt; beyond the first that strikes a single foe grants a +10 bonus on this combat maneuver check. If the check is successful, the &lt;i&gt;&lt;i&gt;ice spear&lt;/i&gt;s&lt;/i&gt;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&lt;i&gt;Ice spears&lt;/i&gt; created by this spell remain after they do their damage. They melt as normal depending on the surrounding environment. They no longer damage foes in their square, but can provide cover. An &lt;i&gt;ice spear&lt;/i&gt; has hardness 5 and 30 hit points.&lt;/p&gt;</t>
  </si>
  <si>
    <t>&lt;link rel="stylesheet"href="PF.css"&gt;&lt;div class="heading"&gt;&lt;p class="alignleft"&gt;Ice Spears&lt;/p&gt;&lt;div style="clear: both;"&gt;&lt;/div&gt;&lt;/div&gt;&lt;div&gt;&lt;h5&gt;&lt;b&gt;School &lt;/b&gt;conjuration [cold]; &lt;b&gt;Level &lt;/b&gt;druid 3, sorcerer/wizard 3, witch 3&lt;/h5&gt;&lt;/div&gt;&lt;hr/&gt;&lt;div&gt;&lt;h5&gt;&lt;b&gt;CASTING&lt;/b&gt;&lt;/h5&gt;&lt;/div&gt;&lt;hr/&gt;&lt;div&gt;&lt;h5&gt;&lt;b&gt;Casting Time &lt;/b&gt;1 standard action&lt;/h5&gt;&lt;h5&gt;&lt;b&gt;Components &lt;/b&gt;V, S, M (a small stalagmite-shaped crystal)&lt;/h5&gt;&lt;/div&gt;&lt;hr/&gt;&lt;div&gt;&lt;h5&gt;&lt;b&gt;EFFECT&lt;/b&gt;&lt;/h5&gt;&lt;/div&gt;&lt;hr/&gt;&lt;div&gt;&lt;h5&gt;&lt;b&gt;Range &lt;/b&gt;close (25 ft. + 5 ft./2 levels)&lt;/h5&gt;&lt;h5&gt;&lt;b&gt;Effect &lt;/b&gt;1 ice spear/4 levels&lt;/h5&gt;&lt;h5&gt;&lt;b&gt;Duration &lt;/b&gt;instantaneous&lt;/h5&gt;&lt;h5&gt;&lt;b&gt;Saving Throw &lt;/b&gt;Reflex half and see below; &lt;b&gt;Spell Resistance &lt;/b&gt;no&lt;/h5&gt;&lt;/div&gt;&lt;hr/&gt;&lt;div&gt;&lt;h5&gt;&lt;b&gt;DESCRIPTION&lt;/b&gt;&lt;/h5&gt;&lt;/div&gt;&lt;hr/&gt;&lt;div&gt;&lt;h4&gt;&lt;p&gt;Favored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&lt;i&gt;&lt;i&gt;ice spear&lt;/i&gt;s&lt;/i&gt;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&lt;i&gt;ice spear&lt;/i&gt; beyond the first that strikes a single foe grants a +10 bonus on this combat maneuver check. If the check is successful, the &lt;i&gt;&lt;i&gt;ice spear&lt;/i&gt;s&lt;/i&gt;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&lt;i&gt;Ice spears&lt;/i&gt; created by this spell remain after they do their damage. They melt as normal depending on the surrounding environment. They no longer damage foes in their square, but can provide cover. An &lt;i&gt;ice spear&lt;/i&gt; has hardness 5 and 30 hit points.&lt;/p&gt;&lt;/h4&gt;&lt;/div&gt;</t>
  </si>
  <si>
    <t>Martyr's Last Blessing</t>
  </si>
  <si>
    <t>cleric/oracle 3, ranger 3</t>
  </si>
  <si>
    <t>personal (see text)</t>
  </si>
  <si>
    <t>you and one ally/level, no two of which can be more than 30 ft. apart (see text)</t>
  </si>
  <si>
    <t>1 hour/level or instantaneous (see text)</t>
  </si>
  <si>
    <t>Will half (harmless, see text)</t>
  </si>
  <si>
    <t>You charge your body with healing energy, which erupts from you if you are dying or are killed before 1 hour per level has passed. If you're brought below 0 hit points or killed (including by effects that kill without dealing damage, such as phantasmal killer and power word kill), the eruption of healing energy acts as mass cure light wounds on allies (other than you). Allies with the fewest Hit Dice are affected first. Among allies with equal HD, those closest to you are affected first. If the duration ends, the stored healing energy dissipates with no effect.</t>
  </si>
  <si>
    <t>&lt;p&gt;You charge your body with healing energy, which erupts from you if you are dying or are killed before 1 hour per level has passed. If you're brought below 0 hit points or killed (including by effects that kill without dealing damage, such as &lt;i&gt;phantasmal killer&lt;/i&gt; and &lt;i&gt;power word&lt;/i&gt; kill), the eruption of healing energy acts as &lt;i&gt;mass cure light wounds&lt;/i&gt; on allies (other than you). Allies with the fewest Hit Dice are affected first. Among allies with equal HD, those closest to you are affected first. If the duration ends, the stored healing energy dissipates with no effect.&lt;/p&gt;</t>
  </si>
  <si>
    <t>AP 68</t>
  </si>
  <si>
    <t>&lt;link rel="stylesheet"href="PF.css"&gt;&lt;div class="heading"&gt;&lt;p class="alignleft"&gt;Martyr's Last Blessing&lt;/p&gt;&lt;div style="clear: both;"&gt;&lt;/div&gt;&lt;/div&gt;&lt;div&gt;&lt;h5&gt;&lt;b&gt;School &lt;/b&gt;conjuration (healing); &lt;b&gt;Level &lt;/b&gt;cleric/oracle 3, ranger 3 (Milani)&lt;/h5&gt;&lt;/div&gt;&lt;hr/&gt;&lt;div&gt;&lt;h5&gt;&lt;b&gt;CASTING&lt;/b&gt;&lt;/h5&gt;&lt;/div&gt;&lt;hr/&gt;&lt;div&gt;&lt;h5&gt;&lt;b&gt;Casting Time &lt;/b&gt;1 minute&lt;/h5&gt;&lt;h5&gt;&lt;b&gt;Components &lt;/b&gt;V, S, DF&lt;/h5&gt;&lt;/div&gt;&lt;hr/&gt;&lt;div&gt;&lt;h5&gt;&lt;b&gt;EFFECT&lt;/b&gt;&lt;/h5&gt;&lt;/div&gt;&lt;hr/&gt;&lt;div&gt;&lt;h5&gt;&lt;b&gt;Range &lt;/b&gt;personal (see text)&lt;/h5&gt;&lt;h5&gt;&lt;b&gt;Targets &lt;/b&gt;you and one ally/level, no two of which can be more than 30 ft. apart (see text)&lt;/h5&gt;&lt;h5&gt;&lt;b&gt;Duration &lt;/b&gt;1 hour/level or instantaneous (see text)&lt;/h5&gt;&lt;h5&gt;&lt;b&gt;Saving Throw &lt;/b&gt;Will half (harmless, see text); &lt;b&gt;Spell Resistance &lt;/b&gt;yes (harmless)&lt;/h5&gt;&lt;/div&gt;&lt;hr/&gt;&lt;div&gt;&lt;h5&gt;&lt;b&gt;DESCRIPTION&lt;/b&gt;&lt;/h5&gt;&lt;/div&gt;&lt;hr/&gt;&lt;div&gt;&lt;h4&gt;&lt;p&gt;You charge your body with healing energy, which erupts from you if you are dying or are killed before 1 hour per level has passed. If you're brought below 0 hit points or killed (including by effects that kill without dealing damage, such as &lt;i&gt;phantasmal killer&lt;/i&gt; and &lt;i&gt;power word&lt;/i&gt; kill), the eruption of healing energy acts as &lt;i&gt;mass cure light wounds&lt;/i&gt; on allies (other than you). Allies with the fewest Hit Dice are affected first. Among allies with equal HD, those closest to you are affected first. If the duration ends, the stored healing energy dissipates with no effect.&lt;/p&gt;&lt;/h4&gt;&lt;/div&gt;</t>
  </si>
  <si>
    <t>Milani</t>
  </si>
  <si>
    <t>Peasant Armaments</t>
  </si>
  <si>
    <t>cleric/oracle 1, inquisitor 1, ranger 1, sorcerer/wizard 1</t>
  </si>
  <si>
    <t>1 improvised weapon/level</t>
  </si>
  <si>
    <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t>
  </si>
  <si>
    <t>&lt;p&gt;You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it.&lt;/p&gt;</t>
  </si>
  <si>
    <t>&lt;link rel="stylesheet"href="PF.css"&gt;&lt;div class="heading"&gt;&lt;p class="alignleft"&gt;Peasant Armaments&lt;/p&gt;&lt;div style="clear: both;"&gt;&lt;/div&gt;&lt;/div&gt;&lt;div&gt;&lt;h5&gt;&lt;b&gt;School &lt;/b&gt;transmutation; &lt;b&gt;Level &lt;/b&gt;cleric/oracle 1, inquisitor 1, ranger 1, sorcerer/wizard 1 (Milani)&lt;/h5&gt;&lt;/div&gt;&lt;hr/&gt;&lt;div&gt;&lt;h5&gt;&lt;b&gt;CASTING&lt;/b&gt;&lt;/h5&gt;&lt;/div&gt;&lt;hr/&gt;&lt;div&gt;&lt;h5&gt;&lt;b&gt;Casting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&lt;/b&gt;1 improvised weapon/level&lt;/h5&gt;&lt;h5&gt;&lt;b&gt;Duration &lt;/b&gt;1 minute/level (D)&lt;/h5&gt;&lt;h5&gt;&lt;b&gt;Saving Throw &lt;/b&gt;Will negates (harmless, object); &lt;b&gt;Spell Resistance &lt;/b&gt;yes (harmless, object)&lt;/h5&gt;&lt;/div&gt;&lt;hr/&gt;&lt;div&gt;&lt;h5&gt;&lt;b&gt;DESCRIPTION&lt;/b&gt;&lt;/h5&gt;&lt;/div&gt;&lt;hr/&gt;&lt;div&gt;&lt;h4&gt;&lt;p&gt;You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it.&lt;/p&gt;&lt;/h4&gt;&lt;/div&gt;</t>
  </si>
  <si>
    <t>Conjure Deadfall</t>
  </si>
  <si>
    <t>magus 5, sorcerer/wizard 4</t>
  </si>
  <si>
    <t>V, S, M (fistful of mithral tacks)</t>
  </si>
  <si>
    <t>one spiked, falling block</t>
  </si>
  <si>
    <t>Reflex negates (see text)</t>
  </si>
  <si>
    <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conjure deadfall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t>
  </si>
  <si>
    <t>&lt;p&gt;You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&lt;i&gt;conjure deadfall&lt;/i&gt;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ground.&lt;/p&gt;</t>
  </si>
  <si>
    <t>Dungeoneers Handbook</t>
  </si>
  <si>
    <t>&lt;link rel="stylesheet"href="PF.css"&gt;&lt;div class="heading"&gt;&lt;p class="alignleft"&gt;Conjure Deadfall&lt;/p&gt;&lt;div style="clear: both;"&gt;&lt;/div&gt;&lt;/div&gt;&lt;div&gt;&lt;h5&gt;&lt;b&gt;School &lt;/b&gt;conjuration (creation); &lt;b&gt;Level &lt;/b&gt;magus 5, sorcerer/wizard 4&lt;/h5&gt;&lt;/div&gt;&lt;hr/&gt;&lt;div&gt;&lt;h5&gt;&lt;b&gt;CASTING&lt;/b&gt;&lt;/h5&gt;&lt;/div&gt;&lt;hr/&gt;&lt;div&gt;&lt;h5&gt;&lt;b&gt;Casting Time &lt;/b&gt;1 standard action&lt;/h5&gt;&lt;h5&gt;&lt;b&gt;Components &lt;/b&gt;V, S, M (fistful of mithral tacks)&lt;/h5&gt;&lt;/div&gt;&lt;hr/&gt;&lt;div&gt;&lt;h5&gt;&lt;b&gt;EFFECT&lt;/b&gt;&lt;/h5&gt;&lt;/div&gt;&lt;hr/&gt;&lt;div&gt;&lt;h5&gt;&lt;b&gt;Range &lt;/b&gt;medium (100 ft. + 10 ft./level)&lt;/h5&gt;&lt;h5&gt;&lt;b&gt;Area &lt;/b&gt;see text&lt;/h5&gt;&lt;h5&gt;&lt;b&gt;Effect &lt;/b&gt;one spiked, falling block&lt;/h5&gt;&lt;h5&gt;&lt;b&gt;Duration &lt;/b&gt;instantaneous&lt;/h5&gt;&lt;h5&gt;&lt;b&gt;Saving Throw &lt;/b&gt;Reflex negates (see text); &lt;b&gt;Spell Resistance &lt;/b&gt;yes&lt;/h5&gt;&lt;/div&gt;&lt;hr/&gt;&lt;div&gt;&lt;h5&gt;&lt;b&gt;DESCRIPTION&lt;/b&gt;&lt;/h5&gt;&lt;/div&gt;&lt;hr/&gt;&lt;div&gt;&lt;h4&gt;&lt;p&gt;You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&lt;i&gt;conjure deadfall&lt;/i&gt;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ground.&lt;/p&gt;&lt;/h4&gt;&lt;/div&gt;</t>
  </si>
  <si>
    <t>Create Holds</t>
  </si>
  <si>
    <t>druid 4, ranger 3, sorcerer/wizard 4</t>
  </si>
  <si>
    <t>V, S, M (handful of pebbles)</t>
  </si>
  <si>
    <t>path of handholds</t>
  </si>
  <si>
    <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t>
  </si>
  <si>
    <t>&lt;p&gt;You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fall.&lt;/p&gt;</t>
  </si>
  <si>
    <t>&lt;link rel="stylesheet"href="PF.css"&gt;&lt;div class="heading"&gt;&lt;p class="alignleft"&gt;Create Holds&lt;/p&gt;&lt;div style="clear: both;"&gt;&lt;/div&gt;&lt;/div&gt;&lt;div&gt;&lt;h5&gt;&lt;b&gt;School &lt;/b&gt;transmutation; &lt;b&gt;Level &lt;/b&gt;druid 4, ranger 3, sorcerer/wizard 4&lt;/h5&gt;&lt;/div&gt;&lt;hr/&gt;&lt;div&gt;&lt;h5&gt;&lt;b&gt;CASTING&lt;/b&gt;&lt;/h5&gt;&lt;/div&gt;&lt;hr/&gt;&lt;div&gt;&lt;h5&gt;&lt;b&gt;Casting Time &lt;/b&gt;1 standard action&lt;/h5&gt;&lt;h5&gt;&lt;b&gt;Components &lt;/b&gt;V, S, M (handful of pebbles)&lt;/h5&gt;&lt;/div&gt;&lt;hr/&gt;&lt;div&gt;&lt;h5&gt;&lt;b&gt;EFFECT&lt;/b&gt;&lt;/h5&gt;&lt;/div&gt;&lt;hr/&gt;&lt;div&gt;&lt;h5&gt;&lt;b&gt;Range &lt;/b&gt;medium (100 ft. + 10 ft./level)&lt;/h5&gt;&lt;h5&gt;&lt;b&gt;Effect &lt;/b&gt;path of handholds&lt;/h5&gt;&lt;h5&gt;&lt;b&gt;Duration &lt;/b&gt;1 hour/level (D)&lt;/h5&gt;&lt;h5&gt;&lt;b&gt;Saving Throw &lt;/b&gt;none; &lt;b&gt;Spell Resistance &lt;/b&gt;no&lt;/h5&gt;&lt;/div&gt;&lt;hr/&gt;&lt;div&gt;&lt;h5&gt;&lt;b&gt;DESCRIPTION&lt;/b&gt;&lt;/h5&gt;&lt;/div&gt;&lt;hr/&gt;&lt;div&gt;&lt;h4&gt;&lt;p&gt;You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fall.&lt;/p&gt;&lt;/h4&gt;&lt;/div&gt;</t>
  </si>
  <si>
    <t>Determine Depth</t>
  </si>
  <si>
    <t>bard 2, druid 2, sorcerer/wizard 2</t>
  </si>
  <si>
    <t>solid surface touched</t>
  </si>
  <si>
    <t>concentration, up to 1 round/level (D)</t>
  </si>
  <si>
    <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Determine depth can be used on earthen, plaster, stone, or wooden surfaces, but not on walls made of metal or other, harder materials. This spell is useful to casters who want to get an idea of their surroundings, and as a preliminary measure to casting spells such as passwall or dimension door.</t>
  </si>
  <si>
    <t>&lt;p&gt;With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&lt;i&gt;&lt;b&gt;Determine&lt;/b&gt; depth&lt;/i&gt; can be used on earthen, plaster, stone, or wooden surfaces, but not on walls made of metal or other, harder materials. This spell is useful to casters who want to get an idea of their surroundings, and as a preliminary measure to casting spells such as &lt;i&gt;passwall&lt;/i&gt; or &lt;i&gt;dimension door&lt;/i&gt;.&lt;/p&gt;</t>
  </si>
  <si>
    <t>&lt;link rel="stylesheet"href="PF.css"&gt;&lt;div class="heading"&gt;&lt;p class="alignleft"&gt;Determine Depth&lt;/p&gt;&lt;div style="clear: both;"&gt;&lt;/div&gt;&lt;/div&gt;&lt;div&gt;&lt;h5&gt;&lt;b&gt;School &lt;/b&gt;divination; &lt;b&gt;Level &lt;/b&gt;bard 2, druid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&lt;/b&gt;solid surface touched&lt;/h5&gt;&lt;h5&gt;&lt;b&gt;Duration &lt;/b&gt;concentration, up to 1 round/level (D)&lt;/h5&gt;&lt;h5&gt;&lt;b&gt;Saving Throw &lt;/b&gt;none; &lt;b&gt;Spell Resistance &lt;/b&gt;no&lt;/h5&gt;&lt;/div&gt;&lt;hr/&gt;&lt;div&gt;&lt;h5&gt;&lt;b&gt;DESCRIPTION&lt;/b&gt;&lt;/h5&gt;&lt;/div&gt;&lt;hr/&gt;&lt;div&gt;&lt;h4&gt;&lt;p&gt;With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&lt;i&gt;&lt;b&gt;Determine&lt;/b&gt; depth&lt;/i&gt; can be used on earthen, plaster, stone, or wooden surfaces, but not on walls made of metal or other, harder materials. This spell is useful to casters who want to get an idea of their surroundings, and as a preliminary measure to casting spells such as &lt;i&gt;passwall&lt;/i&gt; or &lt;i&gt;dimension door&lt;/i&gt;.&lt;/p&gt;&lt;/h4&gt;&lt;/div&gt;</t>
  </si>
  <si>
    <t>Discern Value</t>
  </si>
  <si>
    <t>V, S, F (platinum monocle worth 100 gp)</t>
  </si>
  <si>
    <t>concentration, up to 1 minute/level (D)</t>
  </si>
  <si>
    <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1st Round: Presence or absence of objects worth at least the specified amount.  2nd Round: The most valuable object in range glows brighter than all of the others. If an aura is outside your line of sight, then you discern its direction but not its exact location.  3rd Round: Objects whose values are within 10% of the most valuable item in range glow slightly.  The spell's effect does not indicate whether an item has magical properties and does not detect artifacts or items that are priceless.</t>
  </si>
  <si>
    <t>&lt;p&gt;You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&lt;i&gt;1st Round&lt;/i&gt;: Presence or absence of objects worth at least the specified amount.  &lt;i&gt;2nd Round&lt;/i&gt;: The most valuable object in range glows brighter than all of the others. If an aura is outside your line of sight, then you discern its direction but not its exact location.  &lt;i&gt;3rd Round&lt;/i&gt;: Objects whose values are within 10% of the most valuable item in range glow slightly.  The spell's effect does not indicate whether an item has magical properties and does not detect artifacts or items that are priceless.&lt;/p&gt;</t>
  </si>
  <si>
    <t>&lt;link rel="stylesheet"href="PF.css"&gt;&lt;div class="heading"&gt;&lt;p class="alignleft"&gt;Discern Value&lt;/p&gt;&lt;div style="clear: both;"&gt;&lt;/div&gt;&lt;/div&gt;&lt;div&gt;&lt;h5&gt;&lt;b&gt;School &lt;/b&gt;divination; &lt;b&gt;Level &lt;/b&gt;bard 3, sorcerer/wizard 3&lt;/h5&gt;&lt;/div&gt;&lt;hr/&gt;&lt;div&gt;&lt;h5&gt;&lt;b&gt;CASTING&lt;/b&gt;&lt;/h5&gt;&lt;/div&gt;&lt;hr/&gt;&lt;div&gt;&lt;h5&gt;&lt;b&gt;Casting Time &lt;/b&gt;1 standard action&lt;/h5&gt;&lt;h5&gt;&lt;b&gt;Components &lt;/b&gt;V, S, F (platinum monocle worth 100 gp)&lt;/h5&gt;&lt;/div&gt;&lt;hr/&gt;&lt;div&gt;&lt;h5&gt;&lt;b&gt;EFFECT&lt;/b&gt;&lt;/h5&gt;&lt;/div&gt;&lt;hr/&gt;&lt;div&gt;&lt;h5&gt;&lt;b&gt;Range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&lt;i&gt;1st Round&lt;/i&gt;: Presence or absence of objects worth at least the specified amount.  &lt;i&gt;2nd Round&lt;/i&gt;: The most valuable object in range glows brighter than all of the others. If an aura is outside your line of sight, then you discern its direction but not its exact location.  &lt;i&gt;3rd Round&lt;/i&gt;: Objects whose values are within 10% of the most valuable item in range glow slightly.  The spell's effect does not indicate whether an item has magical properties and does not detect artifacts or items that are priceless.&lt;/p&gt;&lt;/h4&gt;&lt;/div&gt;</t>
  </si>
  <si>
    <t>Nature's Ravages</t>
  </si>
  <si>
    <t>cleric/oracle 4, witch 3</t>
  </si>
  <si>
    <t>1 minute/HD of target</t>
  </si>
  <si>
    <t>V, S, M/DF (dried maggots)</t>
  </si>
  <si>
    <t>corpse of creature whose total number of HD does not exceed your caster level</t>
  </si>
  <si>
    <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raise dead on the target, though more powerful magic such as resurrection or true resurrection may still work.</t>
  </si>
  <si>
    <t>&lt;p&gt;You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&lt;i&gt;raise dead&lt;/i&gt; on the target, though more powerful magic such as &lt;i&gt;resurrection&lt;/i&gt; or true &lt;i&gt;resurrection&lt;/i&gt; may still work.&lt;/p&gt;</t>
  </si>
  <si>
    <t>&lt;link rel="stylesheet"href="PF.css"&gt;&lt;div class="heading"&gt;&lt;p class="alignleft"&gt;Nature's Ravages&lt;/p&gt;&lt;div style="clear: both;"&gt;&lt;/div&gt;&lt;/div&gt;&lt;div&gt;&lt;h5&gt;&lt;b&gt;School &lt;/b&gt;necromancy; &lt;b&gt;Level &lt;/b&gt;cleric/oracle 4, witch 3&lt;/h5&gt;&lt;/div&gt;&lt;hr/&gt;&lt;div&gt;&lt;h5&gt;&lt;b&gt;CASTING&lt;/b&gt;&lt;/h5&gt;&lt;/div&gt;&lt;hr/&gt;&lt;div&gt;&lt;h5&gt;&lt;b&gt;Casting Time &lt;/b&gt;1 minute/HD of target&lt;/h5&gt;&lt;h5&gt;&lt;b&gt;Components &lt;/b&gt;V, S, M/DF (dried maggots)&lt;/h5&gt;&lt;/div&gt;&lt;hr/&gt;&lt;div&gt;&lt;h5&gt;&lt;b&gt;EFFECT&lt;/b&gt;&lt;/h5&gt;&lt;/div&gt;&lt;hr/&gt;&lt;div&gt;&lt;h5&gt;&lt;b&gt;Range &lt;/b&gt;close (25 ft. + 5 ft./level)&lt;/h5&gt;&lt;h5&gt;&lt;b&gt;Targets &lt;/b&gt;corpse of creature whose total number of HD does not exceed your caster level&lt;/h5&gt;&lt;h5&gt;&lt;b&gt;Duration &lt;/b&gt;instantaneous&lt;/h5&gt;&lt;h5&gt;&lt;b&gt;Saving Throw &lt;/b&gt;none; &lt;b&gt;Spell Resistance &lt;/b&gt;no&lt;/h5&gt;&lt;/div&gt;&lt;hr/&gt;&lt;div&gt;&lt;h5&gt;&lt;b&gt;DESCRIPTION&lt;/b&gt;&lt;/h5&gt;&lt;/div&gt;&lt;hr/&gt;&lt;div&gt;&lt;h4&gt;&lt;p&gt;You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&lt;i&gt;raise dead&lt;/i&gt; on the target, though more powerful magic such as &lt;i&gt;resurrection&lt;/i&gt; or true &lt;i&gt;resurrection&lt;/i&gt; may still work.&lt;/p&gt;&lt;/h4&gt;&lt;/div&gt;</t>
  </si>
  <si>
    <t>Nature's Ravages, Greater</t>
  </si>
  <si>
    <t>cleric/oracle 8, witch 7</t>
  </si>
  <si>
    <t>10 minute/HD of target</t>
  </si>
  <si>
    <t>This spell functions like nature's ravages, except the target corpse ages a number of years equal to up to 1 year per caster level (maximum 20 years at 20th level).</t>
  </si>
  <si>
    <t>&lt;p&gt;This spell functions like nature's ravages, except the target corpse ages a number of years equal to up to 1 year per caster level (maximum 20 years at 20th level).&lt;/p&gt;</t>
  </si>
  <si>
    <t>&lt;link rel="stylesheet"href="PF.css"&gt;&lt;div class="heading"&gt;&lt;p class="alignleft"&gt;Nature's Ravages, Greater&lt;/p&gt;&lt;div style="clear: both;"&gt;&lt;/div&gt;&lt;/div&gt;&lt;div&gt;&lt;h5&gt;&lt;b&gt;School &lt;/b&gt;necromancy; &lt;b&gt;Level &lt;/b&gt;cleric/oracle 8, witch 7&lt;/h5&gt;&lt;/div&gt;&lt;hr/&gt;&lt;div&gt;&lt;h5&gt;&lt;b&gt;CASTING&lt;/b&gt;&lt;/h5&gt;&lt;/div&gt;&lt;hr/&gt;&lt;div&gt;&lt;h5&gt;&lt;b&gt;Casting Time &lt;/b&gt;10 minute/HD of target&lt;/h5&gt;&lt;h5&gt;&lt;b&gt;Components &lt;/b&gt;V, S, M/DF (dried maggots)&lt;/h5&gt;&lt;/div&gt;&lt;hr/&gt;&lt;div&gt;&lt;h5&gt;&lt;b&gt;EFFECT&lt;/b&gt;&lt;/h5&gt;&lt;/div&gt;&lt;hr/&gt;&lt;div&gt;&lt;h5&gt;&lt;b&gt;Range &lt;/b&gt;close (25 ft. + 5 ft./level)&lt;/h5&gt;&lt;h5&gt;&lt;b&gt;Targets &lt;/b&gt;corpse of creature whose total number of HD does not exceed your caster level&lt;/h5&gt;&lt;h5&gt;&lt;b&gt;Duration &lt;/b&gt;instantaneous&lt;/h5&gt;&lt;h5&gt;&lt;b&gt;Saving Throw &lt;/b&gt;none; &lt;b&gt;Spell Resistance &lt;/b&gt;no&lt;/h5&gt;&lt;/div&gt;&lt;hr/&gt;&lt;div&gt;&lt;h5&gt;&lt;b&gt;DESCRIPTION&lt;/b&gt;&lt;/h5&gt;&lt;/div&gt;&lt;hr/&gt;&lt;div&gt;&lt;h4&gt;&lt;p&gt;This spell functions like nature's ravages, except the target corpse ages a number of years equal to up to 1 year per caster level (maximum 20 years at 20th level).&lt;/p&gt;&lt;/h4&gt;&lt;/div&gt;</t>
  </si>
  <si>
    <t>Corpse Hammer</t>
  </si>
  <si>
    <t>When you cast this spell, you draw the remains of nearby destroyed undead together and fuse them into a mass of flesh and bone you can then hurl at any foes within range.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   Undead that have been destroyed by positive energy or a similar effect that does not leave a corpse, like a disintegrate spell, cannot be used to form a corpse hammer.</t>
  </si>
  <si>
    <t>&lt;p&gt;When you cast this spell, you draw the remains of nearby destroyed undead together and fuse them into a mass of flesh and bone you can then hurl at any foes within range.&lt;/p&gt;&lt;p&gt;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&lt;i&gt;corpse hammer&lt;/i&gt; deals 1d6 points of damage per three caster levels (to a maximum of 6d6 points of damage).&lt;/p&gt;&lt;p&gt;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x3.&lt;/p&gt;&lt;p&gt; Undead that have been destroyed by positive energy or a similar effect that does not leave a corpse, like a &lt;i&gt;disintegrate&lt;/i&gt; spell, cannot be used to form a &lt;i&gt;corpse hammer&lt;/i&gt;.&lt;/p&gt;</t>
  </si>
  <si>
    <t>&lt;link rel="stylesheet"href="PF.css"&gt;&lt;div class="heading"&gt;&lt;p class="alignleft"&gt;Corpse Hammer&lt;/p&gt;&lt;div style="clear: both;"&gt;&lt;/div&gt;&lt;/div&gt;&lt;div&gt;&lt;h5&gt;&lt;b&gt;School &lt;/b&gt;necromancy; &lt;b&gt;Level &lt;/b&gt;sorcerer/wizard 4, witch 4&lt;/h5&gt;&lt;/div&gt;&lt;hr/&gt;&lt;div&gt;&lt;h5&gt;&lt;b&gt;CASTING&lt;/b&gt;&lt;/h5&gt;&lt;/div&gt;&lt;hr/&gt;&lt;div&gt;&lt;h5&gt;&lt;b&gt;Casting Time &lt;/b&gt;1 standard action&lt;/h5&gt;&lt;h5&gt;&lt;b&gt;Components &lt;/b&gt;V, S, M (a leather glove coated in dried embalming herbs)&lt;/h5&gt;&lt;/div&gt;&lt;hr/&gt;&lt;div&gt;&lt;h5&gt;&lt;b&gt;EFFECT&lt;/b&gt;&lt;/h5&gt;&lt;/div&gt;&lt;hr/&gt;&lt;div&gt;&lt;h5&gt;&lt;b&gt;Range &lt;/b&gt;close (25 ft. + 5 ft./2 levels)&lt;/h5&gt;&lt;h5&gt;&lt;b&gt;Effect &lt;/b&gt;sphere of undead remains composed of 3 or more destroyed undead&lt;/h5&gt;&lt;h5&gt;&lt;b&gt;Duration &lt;/b&gt;1 round/level&lt;/h5&gt;&lt;h5&gt;&lt;b&gt;Saving Throw &lt;/b&gt;none; &lt;b&gt;Spell Resistance &lt;/b&gt;yes&lt;/h5&gt;&lt;/div&gt;&lt;hr/&gt;&lt;div&gt;&lt;h5&gt;&lt;b&gt;DESCRIPTION&lt;/b&gt;&lt;/h5&gt;&lt;/div&gt;&lt;hr/&gt;&lt;div&gt;&lt;h4&gt;&lt;p&gt;When you cast this spell, you draw the remains of nearby destroyed undead together and fuse them into a mass of flesh and bone you can then hurl at any foes within range.&lt;/p&gt;&lt;p&gt;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&lt;i&gt;corpse hammer&lt;/i&gt; deals 1d6 points of damage per three caster levels (to a maximum of 6d6 points of damage).&lt;/p&gt;&lt;p&gt;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x3.&lt;/p&gt;&lt;p&gt; Undead that have been destroyed by positive energy or a similar effect that does not leave a corpse, like a &lt;i&gt;disintegrate&lt;/i&gt; spell, cannot be used to form a &lt;i&gt;corpse hammer&lt;/i&gt;.&lt;/p&gt;&lt;/h4&gt;&lt;/div&gt;</t>
  </si>
  <si>
    <t>Oath Of Justice</t>
  </si>
  <si>
    <t>cleric/oracle 3, paladin 2</t>
  </si>
  <si>
    <t>two creatures touched</t>
  </si>
  <si>
    <t>permanent (see text)</t>
  </si>
  <si>
    <t>This spell seals a solemn vow between two creatures. When this spell is cast, the targets must clasp hands and swear their oath in Kols's name. The spell functions like mark of justice, except as noted above and rather than being cursed, the oath-breaker gains a mark on the face indicating to all dwarves who see it that the target has broken a sacred oath, which gives the oath-breaker a -4 penalty to influence dwarves. The mark can be removed as described in the mark of justicespell, or the other target can forgive the oath- breaker, which causes the mark to vanish.</t>
  </si>
  <si>
    <t>&lt;p&gt;This spell seals a solemn vow between two creatures. When this spell is cast, the targets must clasp hands and swear their oath in Kols's name. The spell functions like &lt;i&gt;&lt;i&gt;mark of&lt;/i&gt; justice&lt;/i&gt;, except as noted above and rather than being cursed, the oath-breaker gains a mark on the face indicating to all dwarves who see it that the target has broken a sacred oath, which gives the oath-breaker a -4 penalty to influence dwarves. The mark can be removed as described in the &lt;i&gt;&lt;i&gt;mark of&lt;/i&gt; justice&lt;/i&gt;spell, or the other target can forgive the oath- breaker, which causes the mark to vanish.&lt;/p&gt;</t>
  </si>
  <si>
    <t>&lt;link rel="stylesheet"href="PF.css"&gt;&lt;div class="heading"&gt;&lt;p class="alignleft"&gt;Oath Of Justice&lt;/p&gt;&lt;div style="clear: both;"&gt;&lt;/div&gt;&lt;/div&gt;&lt;div&gt;&lt;h5&gt;&lt;b&gt;School &lt;/b&gt;necromancy; &lt;b&gt;Level &lt;/b&gt;cleric/oracle 3, paladin 2 (Kols)&lt;/h5&gt;&lt;/div&gt;&lt;hr/&gt;&lt;div&gt;&lt;h5&gt;&lt;b&gt;CASTING&lt;/b&gt;&lt;/h5&gt;&lt;/div&gt;&lt;hr/&gt;&lt;div&gt;&lt;h5&gt;&lt;b&gt;Casting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&lt;/b&gt;two creatures touched&lt;/h5&gt;&lt;h5&gt;&lt;b&gt;Duration &lt;/b&gt;permanent (see text)&lt;/h5&gt;&lt;h5&gt;&lt;b&gt;Saving Throw &lt;/b&gt;none; &lt;b&gt;Spell Resistance &lt;/b&gt;no&lt;/h5&gt;&lt;/div&gt;&lt;hr/&gt;&lt;div&gt;&lt;h5&gt;&lt;b&gt;DESCRIPTION&lt;/b&gt;&lt;/h5&gt;&lt;/div&gt;&lt;hr/&gt;&lt;div&gt;&lt;h4&gt;&lt;p&gt;This spell seals a solemn vow between two creatures. When this spell is cast, the targets must clasp hands and swear their oath in Kols's name. The spell functions like &lt;i&gt;&lt;i&gt;mark of&lt;/i&gt; justice&lt;/i&gt;, except as noted above and rather than being cursed, the oath-breaker gains a mark on the face indicating to all dwarves who see it that the target has broken a sacred oath, which gives the oath-breaker a -4 penalty to influence dwarves. The mark can be removed as described in the &lt;i&gt;&lt;i&gt;mark of&lt;/i&gt; justice&lt;/i&gt;spell, or the other target can forgive the oath- breaker, which causes the mark to vanish.&lt;/p&gt;&lt;/h4&gt;&lt;/div&gt;</t>
  </si>
  <si>
    <t>Kols</t>
  </si>
  <si>
    <t>Tactical Formation</t>
  </si>
  <si>
    <t>cleric/oracle 3, paladin 3, ranger 4</t>
  </si>
  <si>
    <t>up to one creature/level, no two of which may be more than 30 ft. apart</t>
  </si>
  <si>
    <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t>
  </si>
  <si>
    <t>&lt;p&gt;This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them.&lt;/p&gt;</t>
  </si>
  <si>
    <t>&lt;link rel="stylesheet"href="PF.css"&gt;&lt;div class="heading"&gt;&lt;p class="alignleft"&gt;Tactical Formation&lt;/p&gt;&lt;div style="clear: both;"&gt;&lt;/div&gt;&lt;/div&gt;&lt;div&gt;&lt;h5&gt;&lt;b&gt;School &lt;/b&gt;abjuration; &lt;b&gt;Level &lt;/b&gt;cleric/oracle 3, paladin 3, ranger 4 (Torag)&lt;/h5&gt;&lt;/div&gt;&lt;hr/&gt;&lt;div&gt;&lt;h5&gt;&lt;b&gt;CASTING&lt;/b&gt;&lt;/h5&gt;&lt;/div&gt;&lt;hr/&gt;&lt;div&gt;&lt;h5&gt;&lt;b&gt;Casting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&lt;/b&gt;up to one creature/level, no two of which may be more than 30 ft. apart&lt;/h5&gt;&lt;h5&gt;&lt;b&gt;Duration &lt;/b&gt;10 minutes/level&lt;/h5&gt;&lt;h5&gt;&lt;b&gt;Saving Throw &lt;/b&gt;Will negates (harmless); &lt;b&gt;Spell Resistance &lt;/b&gt;yes (harmless)&lt;/h5&gt;&lt;/div&gt;&lt;hr/&gt;&lt;div&gt;&lt;h5&gt;&lt;b&gt;DESCRIPTION&lt;/b&gt;&lt;/h5&gt;&lt;/div&gt;&lt;hr/&gt;&lt;div&gt;&lt;h4&gt;&lt;p&gt;This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them.&lt;/p&gt;&lt;/h4&gt;&lt;/div&gt;</t>
  </si>
  <si>
    <t>Soothing Word</t>
  </si>
  <si>
    <t>cleric/oracle 2, druid 2, inquisitor 2, paladin 2, ranger 3, witch 2</t>
  </si>
  <si>
    <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t>
  </si>
  <si>
    <t>&lt;p&gt;The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above.&lt;/p&gt;</t>
  </si>
  <si>
    <t>Condition Cards</t>
  </si>
  <si>
    <t>&lt;link rel="stylesheet"href="PF.css"&gt;&lt;div class="heading"&gt;&lt;p class="alignleft"&gt;Soothing Word&lt;/p&gt;&lt;div style="clear: both;"&gt;&lt;/div&gt;&lt;/div&gt;&lt;div&gt;&lt;h5&gt;&lt;b&gt;School &lt;/b&gt;conjuration (healing); &lt;b&gt;Level &lt;/b&gt;cleric/oracle 2, druid 2, inquisitor 2, paladin 2, ranger 3,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creature&lt;/h5&gt;&lt;h5&gt;&lt;b&gt;Duration &lt;/b&gt;instantaneous&lt;/h5&gt;&lt;h5&gt;&lt;b&gt;Saving Throw &lt;/b&gt;Will negates (harmless); &lt;b&gt;Spell Resistance &lt;/b&gt;yes (harmless)&lt;/h5&gt;&lt;/div&gt;&lt;hr/&gt;&lt;div&gt;&lt;h5&gt;&lt;b&gt;DESCRIPTION&lt;/b&gt;&lt;/h5&gt;&lt;/div&gt;&lt;hr/&gt;&lt;div&gt;&lt;h4&gt;&lt;p&gt;The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above.&lt;/p&gt;&lt;/h4&gt;&lt;/div&gt;</t>
  </si>
  <si>
    <t>Frosthammer</t>
  </si>
  <si>
    <t>antipaladin 3, cleric 3, inquisitor 3, ranger 3</t>
  </si>
  <si>
    <t>Medium (100 ft. + 10 ft./level)</t>
  </si>
  <si>
    <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frosthammer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t>
  </si>
  <si>
    <t>&lt;p&gt;You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&lt;i&gt;frosthammer&lt;/i&gt;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modifier.&lt;/p&gt;</t>
  </si>
  <si>
    <t>AP 69</t>
  </si>
  <si>
    <t>&lt;link rel="stylesheet"href="PF.css"&gt;&lt;div class="heading"&gt;&lt;p class="alignleft"&gt;Frosthammer&lt;/p&gt;&lt;div style="clear: both;"&gt;&lt;/div&gt;&lt;/div&gt;&lt;div&gt;&lt;h5&gt;&lt;b&gt;School &lt;/b&gt;evocation [cold]; &lt;b&gt;Level &lt;/b&gt;antipaladin 3, cleric 3, inquisitor 3, ranger 3 (Kostchtchie)&lt;/h5&gt;&lt;/div&gt;&lt;hr/&gt;&lt;div&gt;&lt;h5&gt;&lt;b&gt;CASTING&lt;/b&gt;&lt;/h5&gt;&lt;/div&gt;&lt;hr/&gt;&lt;div&gt;&lt;h5&gt;&lt;b&gt;Casting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&lt;/b&gt;instantaneous&lt;/h5&gt;&lt;h5&gt;&lt;b&gt;Saving Throw &lt;/b&gt;none; &lt;b&gt;Spell Resistance &lt;/b&gt;yes&lt;/h5&gt;&lt;/div&gt;&lt;hr/&gt;&lt;div&gt;&lt;h5&gt;&lt;b&gt;DESCRIPTION&lt;/b&gt;&lt;/h5&gt;&lt;/div&gt;&lt;hr/&gt;&lt;div&gt;&lt;h4&gt;&lt;p&gt;You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&lt;i&gt;frosthammer&lt;/i&gt;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modifier.&lt;/p&gt;&lt;/h4&gt;&lt;/div&gt;</t>
  </si>
  <si>
    <t>Kostchtchie</t>
  </si>
  <si>
    <t>Accept Affliction</t>
  </si>
  <si>
    <t>bard 3, cleric/oracle 3, druid 3, paladin 3, witch 3</t>
  </si>
  <si>
    <t>V, S, M/DF (dove's heart)</t>
  </si>
  <si>
    <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t>
  </si>
  <si>
    <t>&lt;p&gt;The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can.&lt;/p&gt;</t>
  </si>
  <si>
    <t>Champions Of Purity</t>
  </si>
  <si>
    <t>&lt;link rel="stylesheet"href="PF.css"&gt;&lt;div class="heading"&gt;&lt;p class="alignleft"&gt;Accept Affliction&lt;/p&gt;&lt;div style="clear: both;"&gt;&lt;/div&gt;&lt;/div&gt;&lt;div&gt;&lt;h5&gt;&lt;b&gt;School &lt;/b&gt;conjuration (healing) [good]; &lt;b&gt;Level &lt;/b&gt;bard 3, cleric/oracle 3, druid 3, paladin 3, witch 3&lt;/h5&gt;&lt;/div&gt;&lt;hr/&gt;&lt;div&gt;&lt;h5&gt;&lt;b&gt;CASTING&lt;/b&gt;&lt;/h5&gt;&lt;/div&gt;&lt;hr/&gt;&lt;div&gt;&lt;h5&gt;&lt;b&gt;Casting Time &lt;/b&gt;1 standard action&lt;/h5&gt;&lt;h5&gt;&lt;b&gt;Components &lt;/b&gt;V, S, M/DF (dove's heart)&lt;/h5&gt;&lt;/div&gt;&lt;hr/&gt;&lt;div&gt;&lt;h5&gt;&lt;b&gt;EFFECT&lt;/b&gt;&lt;/h5&gt;&lt;/div&gt;&lt;hr/&gt;&lt;div&gt;&lt;h5&gt;&lt;b&gt;Range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can.&lt;/p&gt;&lt;/h4&gt;&lt;/div&gt;</t>
  </si>
  <si>
    <t>Angelic Aspect, Lesser</t>
  </si>
  <si>
    <t>cleric/oracle 2, paladin 2, sorcerer/wizard 2</t>
  </si>
  <si>
    <t>You take on an aspect of an angelic being, including some of its physical characteristics. You gain low-light vision, resistance to acid 5, resistance to cold 5, and the benefits of protection from evil.</t>
  </si>
  <si>
    <t>&lt;p&gt;You take on an aspect of an angelic being, including some of its physical characteristics. You gain low-light vision, resistance to acid 5, resistance to cold 5, and the benefits of &lt;i&gt;protection from evil&lt;/i&gt;.&lt;/p&gt;</t>
  </si>
  <si>
    <t>&lt;link rel="stylesheet"href="PF.css"&gt;&lt;div class="heading"&gt;&lt;p class="alignleft"&gt;Angelic Aspect, Lesser&lt;/p&gt;&lt;div style="clear: both;"&gt;&lt;/div&gt;&lt;/div&gt;&lt;div&gt;&lt;h5&gt;&lt;b&gt;School &lt;/b&gt;transmutation [good]; &lt;b&gt;Level &lt;/b&gt;cleric/oracle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&lt;/b&gt;no&lt;/h5&gt;&lt;/div&gt;&lt;hr/&gt;&lt;div&gt;&lt;h5&gt;&lt;b&gt;DESCRIPTION&lt;/b&gt;&lt;/h5&gt;&lt;/div&gt;&lt;hr/&gt;&lt;div&gt;&lt;h4&gt;&lt;p&gt;You take on an aspect of an angelic being, including some of its physical characteristics. You gain low-light vision, resistance to acid 5, resistance to cold 5, and the benefits of &lt;i&gt;protection from evil&lt;/i&gt;.&lt;/p&gt;&lt;/h4&gt;&lt;/div&gt;</t>
  </si>
  <si>
    <t>Angelic Aspect, Greater</t>
  </si>
  <si>
    <t>cleric/oracle 8, paladin 4, sorcerer/wizard 8</t>
  </si>
  <si>
    <t>This spell functions like lesser angelic aspect,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magic circle against evil and a lesser globe of invulnerability, both with a radius of 20 feet.  Truespeech allows you to speak with any creature that has a language, as though using the tongues spell.</t>
  </si>
  <si>
    <t>&lt;p&gt;This spell functions like &lt;i&gt;lesser angelic aspect&lt;/i&gt;,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&lt;i&gt;magic circle against evil&lt;/i&gt; and a &lt;i&gt;lesser globe of invulnerability&lt;/i&gt;, both with a radius of 20 feet.  Truespeech allows you to speak with any creature that has a language, as though using the &lt;i&gt;tongues&lt;/i&gt; spell.&lt;/p&gt;</t>
  </si>
  <si>
    <t>&lt;link rel="stylesheet"href="PF.css"&gt;&lt;div class="heading"&gt;&lt;p class="alignleft"&gt;Angelic Aspect, Greater&lt;/p&gt;&lt;div style="clear: both;"&gt;&lt;/div&gt;&lt;/div&gt;&lt;div&gt;&lt;h5&gt;&lt;b&gt;School &lt;/b&gt;transmutation [good]; &lt;b&gt;Level &lt;/b&gt;cleric/oracle 8, paladin 4, sorcerer/wizard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&lt;/b&gt;no&lt;/h5&gt;&lt;/div&gt;&lt;hr/&gt;&lt;div&gt;&lt;h5&gt;&lt;b&gt;DESCRIPTION&lt;/b&gt;&lt;/h5&gt;&lt;/div&gt;&lt;hr/&gt;&lt;div&gt;&lt;h4&gt;&lt;p&gt;This spell functions like &lt;i&gt;lesser angelic aspect&lt;/i&gt;,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&lt;i&gt;magic circle against evil&lt;/i&gt; and a &lt;i&gt;lesser globe of invulnerability&lt;/i&gt;, both with a radius of 20 feet.  Truespeech allows you to speak with any creature that has a language, as though using the &lt;i&gt;tongues&lt;/i&gt; spell.&lt;/p&gt;&lt;/h4&gt;&lt;/div&gt;</t>
  </si>
  <si>
    <t>Angelic Aspect</t>
  </si>
  <si>
    <t>cleric/oracle 5, paladin 3, sorcerer/wizard 5</t>
  </si>
  <si>
    <t>This spell functions like lesser angelic aspect,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t>
  </si>
  <si>
    <t>&lt;p&gt;This spell functions like &lt;i&gt;lesser angelic aspect&lt;/i&gt;,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reduction.&lt;/p&gt;</t>
  </si>
  <si>
    <t>&lt;link rel="stylesheet"href="PF.css"&gt;&lt;div class="heading"&gt;&lt;p class="alignleft"&gt;Angelic Aspect&lt;/p&gt;&lt;div style="clear: both;"&gt;&lt;/div&gt;&lt;/div&gt;&lt;div&gt;&lt;h5&gt;&lt;b&gt;School &lt;/b&gt;transmutation [good]; &lt;b&gt;Level &lt;/b&gt;cleric/oracle 5, paladin 3,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&lt;/b&gt;no&lt;/h5&gt;&lt;/div&gt;&lt;hr/&gt;&lt;div&gt;&lt;h5&gt;&lt;b&gt;DESCRIPTION&lt;/b&gt;&lt;/h5&gt;&lt;/div&gt;&lt;hr/&gt;&lt;div&gt;&lt;h4&gt;&lt;p&gt;This spell functions like &lt;i&gt;lesser angelic aspect&lt;/i&gt;,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reduction.&lt;/p&gt;&lt;/h4&gt;&lt;/div&gt;</t>
  </si>
  <si>
    <t>Archon's Trumpet</t>
  </si>
  <si>
    <t>bard 5, cleric/oracle 7, paladin 4, sorcerer/wizard 7</t>
  </si>
  <si>
    <t>Upon hearing a booming report, as if from a trumpet archon's mighty horn, all creatures in the area of the burst are paralyzed for 1d4 rounds.</t>
  </si>
  <si>
    <t>&lt;p&gt;Upon hearing a booming report, as if from a trumpet archon's mighty horn, all creatures in the area of the burst are paralyzed for 1d4 rounds.&lt;/p&gt;</t>
  </si>
  <si>
    <t>&lt;link rel="stylesheet"href="PF.css"&gt;&lt;div class="heading"&gt;&lt;p class="alignleft"&gt;Archon's Trumpet&lt;/p&gt;&lt;div style="clear: both;"&gt;&lt;/div&gt;&lt;/div&gt;&lt;div&gt;&lt;h5&gt;&lt;b&gt;School &lt;/b&gt;evocation [good, sonic]; &lt;b&gt;Level &lt;/b&gt;bard 5, cleric/oracle 7, paladin 4, sorcerer/wizard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&lt;/b&gt;Fortitude negates; &lt;b&gt;Spell Resistance &lt;/b&gt;yes&lt;/h5&gt;&lt;/div&gt;&lt;hr/&gt;&lt;div&gt;&lt;h5&gt;&lt;b&gt;DESCRIPTION&lt;/b&gt;&lt;/h5&gt;&lt;/div&gt;&lt;hr/&gt;&lt;div&gt;&lt;h4&gt;&lt;p&gt;Upon hearing a booming report, as if from a trumpet archon's mighty horn, all creatures in the area of the burst are paralyzed for 1d4 rounds.&lt;/p&gt;&lt;/h4&gt;&lt;/div&gt;</t>
  </si>
  <si>
    <t>Burst Of Radiance</t>
  </si>
  <si>
    <t>V, S, M/DF (a piece of flint and a pinch of silver dust)</t>
  </si>
  <si>
    <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t>
  </si>
  <si>
    <t>&lt;p&gt;This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not.&lt;/p&gt;</t>
  </si>
  <si>
    <t>&lt;link rel="stylesheet"href="PF.css"&gt;&lt;div class="heading"&gt;&lt;p class="alignleft"&gt;Burst Of Radiance&lt;/p&gt;&lt;div style="clear: both;"&gt;&lt;/div&gt;&lt;/div&gt;&lt;div&gt;&lt;h5&gt;&lt;b&gt;School &lt;/b&gt;evocation [good, light]; &lt;b&gt;Level &lt;/b&gt;cleric/oracle 2, druid 2, sorcerer/wizard 2&lt;/h5&gt;&lt;/div&gt;&lt;hr/&gt;&lt;div&gt;&lt;h5&gt;&lt;b&gt;CASTING&lt;/b&gt;&lt;/h5&gt;&lt;/div&gt;&lt;hr/&gt;&lt;div&gt;&lt;h5&gt;&lt;b&gt;Casting Time &lt;/b&gt;1 standard action&lt;/h5&gt;&lt;h5&gt;&lt;b&gt;Components &lt;/b&gt;V, S, M/DF (a piece of flint and a pinch of silver dust)&lt;/h5&gt;&lt;/div&gt;&lt;hr/&gt;&lt;div&gt;&lt;h5&gt;&lt;b&gt;EFFECT&lt;/b&gt;&lt;/h5&gt;&lt;/div&gt;&lt;hr/&gt;&lt;div&gt;&lt;h5&gt;&lt;b&gt;Range &lt;/b&gt;long (400 ft. + 40 ft./level)&lt;/h5&gt;&lt;h5&gt;&lt;b&gt;Area &lt;/b&gt;10-ft.-radius burst&lt;/h5&gt;&lt;h5&gt;&lt;b&gt;Duration &lt;/b&gt;instantaneous&lt;/h5&gt;&lt;h5&gt;&lt;b&gt;Saving Throw &lt;/b&gt;Reflex partial; &lt;b&gt;Spell Resistance &lt;/b&gt;yes&lt;/h5&gt;&lt;/div&gt;&lt;hr/&gt;&lt;div&gt;&lt;h5&gt;&lt;b&gt;DESCRIPTION&lt;/b&gt;&lt;/h5&gt;&lt;/div&gt;&lt;hr/&gt;&lt;div&gt;&lt;h4&gt;&lt;p&gt;This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not.&lt;/p&gt;&lt;/h4&gt;&lt;/div&gt;</t>
  </si>
  <si>
    <t>Chains Of Light</t>
  </si>
  <si>
    <t>cleric/oracle 6, inquisitor 5, paladin 4, sorcerer/wizard 6</t>
  </si>
  <si>
    <t>V, S, F (a length of fine golden chain)</t>
  </si>
  <si>
    <t>short (25 ft. + 5 ft./level)</t>
  </si>
  <si>
    <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astral projection, blink, dimension door, ethereal jaunt, etherealness, gate, maze, plane shift, shadow walk, teleport, and similar spells and spell-like abilities. The spell does not affect creatures that are already in ethereal or astral form when the spell is cast.</t>
  </si>
  <si>
    <t>&lt;p&gt;A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&lt;i&gt;astral projection&lt;/i&gt;, &lt;i&gt;blink&lt;/i&gt;, &lt;i&gt;dimension door&lt;/i&gt;, &lt;i&gt;ethereal jaunt&lt;/i&gt;, &lt;i&gt;etherealness&lt;/i&gt;, &lt;i&gt;gate&lt;/i&gt;, &lt;i&gt;maze&lt;/i&gt;, &lt;i&gt;plane shift&lt;/i&gt;, &lt;i&gt;shadow walk&lt;/i&gt;, &lt;i&gt;teleport&lt;/i&gt;, and similar spells and spell-like abilities. The spell does not affect creatures that are already in ethereal or astral form when the spell is cast.&lt;/p&gt;</t>
  </si>
  <si>
    <t>&lt;link rel="stylesheet"href="PF.css"&gt;&lt;div class="heading"&gt;&lt;p class="alignleft"&gt;Chains Of Light&lt;/p&gt;&lt;div style="clear: both;"&gt;&lt;/div&gt;&lt;/div&gt;&lt;div&gt;&lt;h5&gt;&lt;b&gt;School &lt;/b&gt;conjuration (creation) [good]; &lt;b&gt;Level &lt;/b&gt;cleric/oracle 6, inquisitor 5, paladin 4, sorcerer/wizard 6&lt;/h5&gt;&lt;/div&gt;&lt;hr/&gt;&lt;div&gt;&lt;h5&gt;&lt;b&gt;CASTING&lt;/b&gt;&lt;/h5&gt;&lt;/div&gt;&lt;hr/&gt;&lt;div&gt;&lt;h5&gt;&lt;b&gt;Casting Time &lt;/b&gt;1 standard action&lt;/h5&gt;&lt;h5&gt;&lt;b&gt;Components &lt;/b&gt;V, S, F (a length of fine golden chain)&lt;/h5&gt;&lt;/div&gt;&lt;hr/&gt;&lt;div&gt;&lt;h5&gt;&lt;b&gt;EFFECT&lt;/b&gt;&lt;/h5&gt;&lt;/div&gt;&lt;hr/&gt;&lt;div&gt;&lt;h5&gt;&lt;b&gt;Range &lt;/b&gt;short (25 ft. + 5 ft./level)&lt;/h5&gt;&lt;h5&gt;&lt;b&gt;Targets &lt;/b&gt;one creature&lt;/h5&gt;&lt;h5&gt;&lt;b&gt;Duration &lt;/b&gt;1 round/level (D)&lt;/h5&gt;&lt;h5&gt;&lt;b&gt;Saving Throw &lt;/b&gt;Reflex negates; &lt;b&gt;Spell Resistance &lt;/b&gt;no&lt;/h5&gt;&lt;/div&gt;&lt;hr/&gt;&lt;div&gt;&lt;h5&gt;&lt;b&gt;DESCRIPTION&lt;/b&gt;&lt;/h5&gt;&lt;/div&gt;&lt;hr/&gt;&lt;div&gt;&lt;h4&gt;&lt;p&gt;A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&lt;i&gt;astral projection&lt;/i&gt;, &lt;i&gt;blink&lt;/i&gt;, &lt;i&gt;dimension door&lt;/i&gt;, &lt;i&gt;ethereal jaunt&lt;/i&gt;, &lt;i&gt;etherealness&lt;/i&gt;, &lt;i&gt;gate&lt;/i&gt;, &lt;i&gt;maze&lt;/i&gt;, &lt;i&gt;plane shift&lt;/i&gt;, &lt;i&gt;shadow walk&lt;/i&gt;, &lt;i&gt;teleport&lt;/i&gt;, and similar spells and spell-like abilities. The spell does not affect creatures that are already in ethereal or astral form when the spell is cast.&lt;/p&gt;&lt;/h4&gt;&lt;/div&gt;</t>
  </si>
  <si>
    <t>Touch Of Mercy</t>
  </si>
  <si>
    <t>The target creature deals only nonlethal damage with all of its weapon attacks. Damage taken by creatures or objects that are not subject to nonlethal damage is not converted to nonlethal and remains lethal damage. The weapon retains all of its other normal properties.</t>
  </si>
  <si>
    <t>&lt;p&gt;The target creature deals only nonlethal damage with all of its weapon attacks. Damage taken by creatures or objects that are not subject to nonlethal damage is not converted to nonlethal and remains lethal damage. The weapon retains all of its other normal properties.&lt;/p&gt;</t>
  </si>
  <si>
    <t>&lt;link rel="stylesheet"href="PF.css"&gt;&lt;div class="heading"&gt;&lt;p class="alignleft"&gt;Touch Of Mercy&lt;/p&gt;&lt;div style="clear: both;"&gt;&lt;/div&gt;&lt;/div&gt;&lt;div&gt;&lt;h5&gt;&lt;b&gt;School &lt;/b&gt;enchantment (compulsion) [good, mind-affecting]; &lt;b&gt;Level &lt;/b&gt;bard 2, cleric/oracle 2, sorcerer/wizard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creature&lt;/h5&gt;&lt;h5&gt;&lt;b&gt;Duration &lt;/b&gt;1 round/level (D)&lt;/h5&gt;&lt;h5&gt;&lt;b&gt;Saving Throw &lt;/b&gt;Will negates; &lt;b&gt;Spell Resistance &lt;/b&gt;yes&lt;/h5&gt;&lt;/div&gt;&lt;hr/&gt;&lt;div&gt;&lt;h5&gt;&lt;b&gt;DESCRIPTION&lt;/b&gt;&lt;/h5&gt;&lt;/div&gt;&lt;hr/&gt;&lt;div&gt;&lt;h4&gt;&lt;p&gt;The target creature deals only nonlethal damage with all of its weapon attacks. Damage taken by creatures or objects that are not subject to nonlethal damage is not converted to nonlethal and remains lethal damage. The weapon retains all of its other normal properties.&lt;/p&gt;&lt;/h4&gt;&lt;/div&gt;</t>
  </si>
  <si>
    <t>Hymn Of Mercy</t>
  </si>
  <si>
    <t>bard 5, cleric/oracle 5</t>
  </si>
  <si>
    <t>This spell functions like touch of mercy, except as noted above.</t>
  </si>
  <si>
    <t>&lt;p&gt;This spell functions like &lt;i&gt;touch of mercy&lt;/i&gt;, except as noted above.&lt;/p&gt;</t>
  </si>
  <si>
    <t>&lt;link rel="stylesheet"href="PF.css"&gt;&lt;div class="heading"&gt;&lt;p class="alignleft"&gt;Hymn Of Mercy&lt;/p&gt;&lt;div style="clear: both;"&gt;&lt;/div&gt;&lt;/div&gt;&lt;div&gt;&lt;h5&gt;&lt;b&gt;School &lt;/b&gt;enchantment (compulsion) [good, mind-affecting]; &lt;b&gt;Level &lt;/b&gt;bard 5, cleric/oracle 5&lt;/h5&gt;&lt;/div&gt;&lt;hr/&gt;&lt;div&gt;&lt;h5&gt;&lt;b&gt;CASTING&lt;/b&gt;&lt;/h5&gt;&lt;/div&gt;&lt;hr/&gt;&lt;div&gt;&lt;h5&gt;&lt;b&gt;Casting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burst centered on you&lt;/h5&gt;&lt;h5&gt;&lt;b&gt;Duration &lt;/b&gt;1 round/level (D)&lt;/h5&gt;&lt;h5&gt;&lt;b&gt;Saving Throw &lt;/b&gt;Will negates; &lt;b&gt;Spell Resistance &lt;/b&gt;yes&lt;/h5&gt;&lt;/div&gt;&lt;hr/&gt;&lt;div&gt;&lt;h5&gt;&lt;b&gt;DESCRIPTION&lt;/b&gt;&lt;/h5&gt;&lt;/div&gt;&lt;hr/&gt;&lt;div&gt;&lt;h4&gt;&lt;p&gt;This spell functions like &lt;i&gt;touch of mercy&lt;/i&gt;, except as noted above.&lt;/p&gt;&lt;/h4&gt;&lt;/div&gt;</t>
  </si>
  <si>
    <t>Hymn Of Peace</t>
  </si>
  <si>
    <t>bard 6, cleric/oracle 7</t>
  </si>
  <si>
    <t>40-ft.-radius burst centered on you</t>
  </si>
  <si>
    <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t>
  </si>
  <si>
    <t>&lt;p&gt;Each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spell.&lt;/p&gt;</t>
  </si>
  <si>
    <t>&lt;link rel="stylesheet"href="PF.css"&gt;&lt;div class="heading"&gt;&lt;p class="alignleft"&gt;Hymn Of Peace&lt;/p&gt;&lt;div style="clear: both;"&gt;&lt;/div&gt;&lt;/div&gt;&lt;div&gt;&lt;h5&gt;&lt;b&gt;School &lt;/b&gt;abjuration [good]; &lt;b&gt;Level &lt;/b&gt;bard 6, cleric/oracle 7&lt;/h5&gt;&lt;/div&gt;&lt;hr/&gt;&lt;div&gt;&lt;h5&gt;&lt;b&gt;CASTING&lt;/b&gt;&lt;/h5&gt;&lt;/div&gt;&lt;hr/&gt;&lt;div&gt;&lt;h5&gt;&lt;b&gt;Casting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&lt;/b&gt;40-ft.-radius burst centered on you&lt;/h5&gt;&lt;h5&gt;&lt;b&gt;Duration &lt;/b&gt;1 round/level (D)&lt;/h5&gt;&lt;h5&gt;&lt;b&gt;Saving Throw &lt;/b&gt;Will negates; &lt;b&gt;Spell Resistance &lt;/b&gt;yes&lt;/h5&gt;&lt;/div&gt;&lt;hr/&gt;&lt;div&gt;&lt;h5&gt;&lt;b&gt;DESCRIPTION&lt;/b&gt;&lt;/h5&gt;&lt;/div&gt;&lt;hr/&gt;&lt;div&gt;&lt;h4&gt;&lt;p&gt;Each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spell.&lt;/p&gt;&lt;/h4&gt;&lt;/div&gt;</t>
  </si>
  <si>
    <t>Blood Of The Martyr</t>
  </si>
  <si>
    <t>cleric/oracle 2, inquisitor 3</t>
  </si>
  <si>
    <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t>
  </si>
  <si>
    <t>&lt;p&gt;You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check.&lt;/p&gt;</t>
  </si>
  <si>
    <t>Chronicle Of The Righteous</t>
  </si>
  <si>
    <t>&lt;link rel="stylesheet"href="PF.css"&gt;&lt;div class="heading"&gt;&lt;p class="alignleft"&gt;Blood Of The Martyr&lt;/p&gt;&lt;div style="clear: both;"&gt;&lt;/div&gt;&lt;/div&gt;&lt;div&gt;&lt;h5&gt;&lt;b&gt;School &lt;/b&gt;necromancy; &lt;b&gt;Level &lt;/b&gt;cleric/oracle 2, inquisitor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round/level&lt;/h5&gt;&lt;h5&gt;&lt;b&gt;Saving Throw &lt;/b&gt;Fortitude negates; &lt;b&gt;Spell Resistance &lt;/b&gt;yes&lt;/h5&gt;&lt;/div&gt;&lt;hr/&gt;&lt;div&gt;&lt;h5&gt;&lt;b&gt;DESCRIPTION&lt;/b&gt;&lt;/h5&gt;&lt;/div&gt;&lt;hr/&gt;&lt;div&gt;&lt;h4&gt;&lt;p&gt;You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check.&lt;/p&gt;&lt;/h4&gt;&lt;/div&gt;</t>
  </si>
  <si>
    <t>Charitable Impulse</t>
  </si>
  <si>
    <t>bard 2, cleric/oracle 3, sorcerer/wizard 3, witch 3</t>
  </si>
  <si>
    <t>V, S, F/DF (a miniature collection plate)</t>
  </si>
  <si>
    <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1st Priority: Heal injured creatures within 30 feet, beginning with the closest creatures and using whatever methods the subject has at hand (including potions, spells, and so on).  2nd Priority: The subject gives his weapon away to the nearest creature within 30 feet who will accept it. If no creature accepts the weapon, the subject drops the weapon on the ground.  3rd Priority: Cast beneficial spells and/or use beneficial magic items (including potions, wands, and so on) on creatures within 30 feet, starting with the closest creatures.  4th Priority: The subject gives away his non-worn possessions-the contents of a backpack or similar item count as one item each, as does the container itself-to creatures within 30 feet. If no creature accepts the items, the subject drops the items on the ground.  5th Priority: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t>
  </si>
  <si>
    <t>&lt;p&gt;This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&lt;i&gt;1st Priority&lt;/i&gt;: Heal injured creatures within 30 feet, beginning with the closest creatures and using whatever methods the subject has at hand (including potions, spells, and so on).  &lt;i&gt;2nd Priority&lt;/i&gt;: The subject gives his weapon away to the nearest creature within 30 feet who will accept it. If no creature accepts the weapon, the subject drops the weapon on the ground.  &lt;i&gt;3rd Priority&lt;/i&gt;: Cast beneficial spells and/or use beneficial magic items (including potions, wands, and so on) on creatures within 30 feet, starting with the closest creatures.  &lt;i&gt;4th Priority&lt;/i&gt;: The subject gives away his non-worn possessions-the contents of a backpack or similar item count as one item each, as does the container itself-to creatures within 30 feet. If no creature accepts the items, the subject drops the items on the ground.  &lt;i&gt;5th Priority&lt;/i&gt;: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ends.&lt;/p&gt;</t>
  </si>
  <si>
    <t>&lt;link rel="stylesheet"href="PF.css"&gt;&lt;div class="heading"&gt;&lt;p class="alignleft"&gt;Charitable Impulse&lt;/p&gt;&lt;div style="clear: both;"&gt;&lt;/div&gt;&lt;/div&gt;&lt;div&gt;&lt;h5&gt;&lt;b&gt;School &lt;/b&gt;enchantment (compulsion) [mind-affecting]; &lt;b&gt;Level &lt;/b&gt;bard 2, cleric/oracle 3, sorcerer/wizard 3, witch 3&lt;/h5&gt;&lt;/div&gt;&lt;hr/&gt;&lt;div&gt;&lt;h5&gt;&lt;b&gt;CASTING&lt;/b&gt;&lt;/h5&gt;&lt;/div&gt;&lt;hr/&gt;&lt;div&gt;&lt;h5&gt;&lt;b&gt;Casting Time &lt;/b&gt;1 standard action&lt;/h5&gt;&lt;h5&gt;&lt;b&gt;Components &lt;/b&gt;V, S, F/DF (a miniature collection plate)&lt;/h5&gt;&lt;/div&gt;&lt;hr/&gt;&lt;div&gt;&lt;h5&gt;&lt;b&gt;EFFECT&lt;/b&gt;&lt;/h5&gt;&lt;/div&gt;&lt;hr/&gt;&lt;div&gt;&lt;h5&gt;&lt;b&gt;Range &lt;/b&gt;close (25 ft. + 5 ft./2 levels)&lt;/h5&gt;&lt;h5&gt;&lt;b&gt;Targets &lt;/b&gt;one humanoid creature&lt;/h5&gt;&lt;h5&gt;&lt;b&gt;Duration &lt;/b&gt;1 round/level&lt;/h5&gt;&lt;h5&gt;&lt;b&gt;Saving Throw &lt;/b&gt;Will negates; &lt;b&gt;Spell Resistance &lt;/b&gt;yes&lt;/h5&gt;&lt;/div&gt;&lt;hr/&gt;&lt;div&gt;&lt;h5&gt;&lt;b&gt;DESCRIPTION&lt;/b&gt;&lt;/h5&gt;&lt;/div&gt;&lt;hr/&gt;&lt;div&gt;&lt;h4&gt;&lt;p&gt;This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&lt;i&gt;1st Priority&lt;/i&gt;: Heal injured creatures within 30 feet, beginning with the closest creatures and using whatever methods the subject has at hand (including potions, spells, and so on).  &lt;i&gt;2nd Priority&lt;/i&gt;: The subject gives his weapon away to the nearest creature within 30 feet who will accept it. If no creature accepts the weapon, the subject drops the weapon on the ground.  &lt;i&gt;3rd Priority&lt;/i&gt;: Cast beneficial spells and/or use beneficial magic items (including potions, wands, and so on) on creatures within 30 feet, starting with the closest creatures.  &lt;i&gt;4th Priority&lt;/i&gt;: The subject gives away his non-worn possessions-the contents of a backpack or similar item count as one item each, as does the container itself-to creatures within 30 feet. If no creature accepts the items, the subject drops the items on the ground.  &lt;i&gt;5th Priority&lt;/i&gt;: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ends.&lt;/p&gt;&lt;/h4&gt;&lt;/div&gt;</t>
  </si>
  <si>
    <t>Elemental Assessor</t>
  </si>
  <si>
    <t>acid, cold, electricity, fire</t>
  </si>
  <si>
    <t>V, S, M/DF (four needles)</t>
  </si>
  <si>
    <t>one elemental ray</t>
  </si>
  <si>
    <t>1d4+1 rounds (see text)</t>
  </si>
  <si>
    <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t>
  </si>
  <si>
    <t>&lt;p&gt;Azata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rounds.&lt;/p&gt;</t>
  </si>
  <si>
    <t>&lt;link rel="stylesheet"href="PF.css"&gt;&lt;div class="heading"&gt;&lt;p class="alignleft"&gt;Elemental Assessor&lt;/p&gt;&lt;div style="clear: both;"&gt;&lt;/div&gt;&lt;/div&gt;&lt;div&gt;&lt;h5&gt;&lt;b&gt;School &lt;/b&gt;evocation [acid, cold, electricity, fire]; &lt;b&gt;Level &lt;/b&gt;cleric/oracle 6, sorcerer/wizard 6&lt;/h5&gt;&lt;/div&gt;&lt;hr/&gt;&lt;div&gt;&lt;h5&gt;&lt;b&gt;CASTING&lt;/b&gt;&lt;/h5&gt;&lt;/div&gt;&lt;hr/&gt;&lt;div&gt;&lt;h5&gt;&lt;b&gt;Casting Time &lt;/b&gt;1 standard action&lt;/h5&gt;&lt;h5&gt;&lt;b&gt;Components &lt;/b&gt;V, S, M/DF (four needles)&lt;/h5&gt;&lt;/div&gt;&lt;hr/&gt;&lt;div&gt;&lt;h5&gt;&lt;b&gt;EFFECT&lt;/b&gt;&lt;/h5&gt;&lt;/div&gt;&lt;hr/&gt;&lt;div&gt;&lt;h5&gt;&lt;b&gt;Range &lt;/b&gt;close (25 ft. + 5 ft./2 levels)&lt;/h5&gt;&lt;h5&gt;&lt;b&gt;Effect &lt;/b&gt;one elemental ray&lt;/h5&gt;&lt;h5&gt;&lt;b&gt;Duration &lt;/b&gt;1d4+1 rounds (see text)&lt;/h5&gt;&lt;h5&gt;&lt;b&gt;Saving Throw &lt;/b&gt;none; &lt;b&gt;Spell Resistance &lt;/b&gt;yes&lt;/h5&gt;&lt;/div&gt;&lt;hr/&gt;&lt;div&gt;&lt;h5&gt;&lt;b&gt;DESCRIPTION&lt;/b&gt;&lt;/h5&gt;&lt;/div&gt;&lt;hr/&gt;&lt;div&gt;&lt;h4&gt;&lt;p&gt;Azata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rounds.&lt;/p&gt;&lt;/h4&gt;&lt;/div&gt;</t>
  </si>
  <si>
    <t>Sanctify Weapons</t>
  </si>
  <si>
    <t>cleric/oracle 5, paladin 3</t>
  </si>
  <si>
    <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t>
  </si>
  <si>
    <t>&lt;p&gt;This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composition.&lt;/p&gt;</t>
  </si>
  <si>
    <t>&lt;link rel="stylesheet"href="PF.css"&gt;&lt;div class="heading"&gt;&lt;p class="alignleft"&gt;Sanctify Weapons&lt;/p&gt;&lt;div style="clear: both;"&gt;&lt;/div&gt;&lt;/div&gt;&lt;div&gt;&lt;h5&gt;&lt;b&gt;School &lt;/b&gt;transmutation; &lt;b&gt;Level &lt;/b&gt;cleric/oracle 5, paladin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&lt;/b&gt;20-ft.-radius spread&lt;/h5&gt;&lt;h5&gt;&lt;b&gt;Duration &lt;/b&gt;1 round/level&lt;/h5&gt;&lt;h5&gt;&lt;b&gt;Saving Throw &lt;/b&gt;Will negates (harmless, object); &lt;b&gt;Spell Resistance &lt;/b&gt;yes (harmless, object)&lt;/h5&gt;&lt;/div&gt;&lt;hr/&gt;&lt;div&gt;&lt;h5&gt;&lt;b&gt;DESCRIPTION&lt;/b&gt;&lt;/h5&gt;&lt;/div&gt;&lt;hr/&gt;&lt;div&gt;&lt;h4&gt;&lt;p&gt;This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composition.&lt;/p&gt;&lt;/h4&gt;&lt;/div&gt;</t>
  </si>
  <si>
    <t>Summon Stampede</t>
  </si>
  <si>
    <t>cleric/oracle 6, druid 6, summoner 4</t>
  </si>
  <si>
    <t>V, S, M (piece of fur from a herd animal)</t>
  </si>
  <si>
    <t>20-ft.-radius herd of animals</t>
  </si>
  <si>
    <t>Reflex halves (see text)</t>
  </si>
  <si>
    <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t>
  </si>
  <si>
    <t>&lt;p&gt;You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ends.&lt;/p&gt;</t>
  </si>
  <si>
    <t>&lt;link rel="stylesheet"href="PF.css"&gt;&lt;div class="heading"&gt;&lt;p class="alignleft"&gt;Summon Stampede&lt;/p&gt;&lt;div style="clear: both;"&gt;&lt;/div&gt;&lt;/div&gt;&lt;div&gt;&lt;h5&gt;&lt;b&gt;School &lt;/b&gt;conjuration (summoning); &lt;b&gt;Level &lt;/b&gt;cleric/oracle 6, druid 6, summoner 4&lt;/h5&gt;&lt;/div&gt;&lt;hr/&gt;&lt;div&gt;&lt;h5&gt;&lt;b&gt;CASTING&lt;/b&gt;&lt;/h5&gt;&lt;/div&gt;&lt;hr/&gt;&lt;div&gt;&lt;h5&gt;&lt;b&gt;Casting Time &lt;/b&gt;1 round&lt;/h5&gt;&lt;h5&gt;&lt;b&gt;Components &lt;/b&gt;V, S, M (piece of fur from a herd animal)&lt;/h5&gt;&lt;/div&gt;&lt;hr/&gt;&lt;div&gt;&lt;h5&gt;&lt;b&gt;EFFECT&lt;/b&gt;&lt;/h5&gt;&lt;/div&gt;&lt;hr/&gt;&lt;div&gt;&lt;h5&gt;&lt;b&gt;Range &lt;/b&gt;medium (100 ft. + 10 ft./level)&lt;/h5&gt;&lt;h5&gt;&lt;b&gt;Effect &lt;/b&gt;20-ft.-radius herd of animals&lt;/h5&gt;&lt;h5&gt;&lt;b&gt;Duration &lt;/b&gt;1 round/level&lt;/h5&gt;&lt;h5&gt;&lt;b&gt;Saving Throw &lt;/b&gt;Reflex halves (see text); &lt;b&gt;Spell Resistance &lt;/b&gt;no&lt;/h5&gt;&lt;/div&gt;&lt;hr/&gt;&lt;div&gt;&lt;h5&gt;&lt;b&gt;DESCRIPTION&lt;/b&gt;&lt;/h5&gt;&lt;/div&gt;&lt;hr/&gt;&lt;div&gt;&lt;h4&gt;&lt;p&gt;You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ends.&lt;/p&gt;&lt;/h4&gt;&lt;/div&gt;</t>
  </si>
  <si>
    <t>Vinetrap</t>
  </si>
  <si>
    <t>cleric/oracle 8, druid 8</t>
  </si>
  <si>
    <t>radius spread of up to 10 ft./level, 90 ft. high</t>
  </si>
  <si>
    <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Blessed Thorns: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Noxious Vines: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Swift Vines: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t>
  </si>
  <si>
    <t>&lt;p&gt;Vines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&lt;i&gt;Blessed Thorns&lt;/i&gt;: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&lt;i&gt;Noxious Vines&lt;/i&gt;: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&lt;i&gt;Swift Vines&lt;/i&gt;: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ends.&lt;/p&gt;</t>
  </si>
  <si>
    <t>&lt;link rel="stylesheet"href="PF.css"&gt;&lt;div class="heading"&gt;&lt;p class="alignleft"&gt;Vinetrap&lt;/p&gt;&lt;div style="clear: both;"&gt;&lt;/div&gt;&lt;/div&gt;&lt;div&gt;&lt;h5&gt;&lt;b&gt;School &lt;/b&gt;conjuration; &lt;b&gt;Level &lt;/b&gt;cleric/oracle 8, druid 8&lt;/h5&gt;&lt;/div&gt;&lt;hr/&gt;&lt;div&gt;&lt;h5&gt;&lt;b&gt;CASTING&lt;/b&gt;&lt;/h5&gt;&lt;/div&gt;&lt;hr/&gt;&lt;div&gt;&lt;h5&gt;&lt;b&gt;Casting Time &lt;/b&gt;10 minutes&lt;/h5&gt;&lt;h5&gt;&lt;b&gt;Components &lt;/b&gt;V, S, DF&lt;/h5&gt;&lt;/div&gt;&lt;hr/&gt;&lt;div&gt;&lt;h5&gt;&lt;b&gt;EFFECT&lt;/b&gt;&lt;/h5&gt;&lt;/div&gt;&lt;hr/&gt;&lt;div&gt;&lt;h5&gt;&lt;b&gt;Range &lt;/b&gt;long (400 ft. + 40 ft./level)&lt;/h5&gt;&lt;h5&gt;&lt;b&gt;Area &lt;/b&gt;radius spread of up to 10 ft./level, 90 ft. high&lt;/h5&gt;&lt;h5&gt;&lt;b&gt;Duration &lt;/b&gt;1 hour/level (D)&lt;/h5&gt;&lt;h5&gt;&lt;b&gt;Saving Throw &lt;/b&gt;Reflex negates (see text); &lt;b&gt;Spell Resistance &lt;/b&gt;yes&lt;/h5&gt;&lt;/div&gt;&lt;hr/&gt;&lt;div&gt;&lt;h5&gt;&lt;b&gt;DESCRIPTION&lt;/b&gt;&lt;/h5&gt;&lt;/div&gt;&lt;hr/&gt;&lt;div&gt;&lt;h4&gt;&lt;p&gt;Vines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&lt;br&gt;&lt;i&gt;Blessed Thorns&lt;/i&gt;: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&lt;br&gt;&lt;i&gt;Noxious Vines&lt;/i&gt;: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&lt;br&gt;&lt;i&gt;Swift Vines&lt;/i&gt;: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ends.&lt;/p&gt;&lt;/h4&gt;&lt;/div&gt;</t>
  </si>
  <si>
    <t>Black Sword Of War</t>
  </si>
  <si>
    <t>antipaladin 3, cleric/oracle 3, ranger 3, sorcerer/wizard 3</t>
  </si>
  <si>
    <t>V, S, F</t>
  </si>
  <si>
    <t>piercing or slashing manufactured weapon touched</t>
  </si>
  <si>
    <t>The target weapon turns a glossy black color and deals bleed damage if it deals hit point damage to a creature. The amount of bleed damage is equal to 1/2 your caster level (maximum bleed 5).</t>
  </si>
  <si>
    <t>&lt;p&gt;The target weapon turns a glossy black color and deals bleed damage if it deals hit point damage to a creature. The amount of bleed damage is equal to 1/2 your caster level (maximum bleed 5).&lt;/p&gt;</t>
  </si>
  <si>
    <t>AP 71</t>
  </si>
  <si>
    <t>&lt;link rel="stylesheet"href="PF.css"&gt;&lt;div class="heading"&gt;&lt;p class="alignleft"&gt;Black Sword Of War&lt;/p&gt;&lt;div style="clear: both;"&gt;&lt;/div&gt;&lt;/div&gt;&lt;div&gt;&lt;h5&gt;&lt;b&gt;School &lt;/b&gt;necromancy; &lt;b&gt;Level &lt;/b&gt;antipaladin 3, cleric/oracle 3, ranger 3, sorcerer/wizard 3 (Szuriel)&lt;/h5&gt;&lt;/div&gt;&lt;hr/&gt;&lt;div&gt;&lt;h5&gt;&lt;b&gt;CASTING&lt;/b&gt;&lt;/h5&gt;&lt;/div&gt;&lt;hr/&gt;&lt;div&gt;&lt;h5&gt;&lt;b&gt;Casting Time &lt;/b&gt;1 standard action&lt;/h5&gt;&lt;h5&gt;&lt;b&gt;Components &lt;/b&gt;V, S, F&lt;/h5&gt;&lt;/div&gt;&lt;hr/&gt;&lt;div&gt;&lt;h5&gt;&lt;b&gt;EFFECT&lt;/b&gt;&lt;/h5&gt;&lt;/div&gt;&lt;hr/&gt;&lt;div&gt;&lt;h5&gt;&lt;b&gt;Range &lt;/b&gt;touch&lt;/h5&gt;&lt;h5&gt;&lt;b&gt;Targets &lt;/b&gt;piercing or slashing manufactured weapon touched&lt;/h5&gt;&lt;h5&gt;&lt;b&gt;Duration &lt;/b&gt;1 minute/level (D)&lt;/h5&gt;&lt;h5&gt;&lt;b&gt;Saving Throw &lt;/b&gt;Will negates (harmless, object); &lt;b&gt;Spell Resistance &lt;/b&gt;yes (harmless, object)&lt;/h5&gt;&lt;/div&gt;&lt;hr/&gt;&lt;div&gt;&lt;h5&gt;&lt;b&gt;DESCRIPTION&lt;/b&gt;&lt;/h5&gt;&lt;/div&gt;&lt;hr/&gt;&lt;div&gt;&lt;h4&gt;&lt;p&gt;The target weapon turns a glossy black color and deals bleed damage if it deals hit point damage to a creature. The amount of bleed damage is equal to 1/2 your caster level (maximum bleed 5).&lt;/p&gt;&lt;/h4&gt;&lt;/div&gt;</t>
  </si>
  <si>
    <t>Szuriel</t>
  </si>
  <si>
    <t>Bloody Tears And Jagged Smile</t>
  </si>
  <si>
    <t>cleric/oracle 2, sorcerer/wizard 2</t>
  </si>
  <si>
    <t>personal and see text</t>
  </si>
  <si>
    <t>you and see text</t>
  </si>
  <si>
    <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deathwatch.</t>
  </si>
  <si>
    <t>&lt;p&gt;Your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&lt;i&gt;deathwatch&lt;/i&gt;.&lt;/p&gt;</t>
  </si>
  <si>
    <t>&lt;link rel="stylesheet"href="PF.css"&gt;&lt;div class="heading"&gt;&lt;p class="alignleft"&gt;Bloody Tears And Jagged Smile&lt;/p&gt;&lt;div style="clear: both;"&gt;&lt;/div&gt;&lt;/div&gt;&lt;div&gt;&lt;h5&gt;&lt;b&gt;School &lt;/b&gt;necromancy; &lt;b&gt;Level &lt;/b&gt;cleric/oracle 2, sorcerer/wizard 2 (Szuriel)&lt;/h5&gt;&lt;/div&gt;&lt;hr/&gt;&lt;div&gt;&lt;h5&gt;&lt;b&gt;CASTING&lt;/b&gt;&lt;/h5&gt;&lt;/div&gt;&lt;hr/&gt;&lt;div&gt;&lt;h5&gt;&lt;b&gt;Casting Time &lt;/b&gt;1 standard action&lt;/h5&gt;&lt;h5&gt;&lt;b&gt;Components &lt;/b&gt;V, S&lt;/h5&gt;&lt;/div&gt;&lt;hr/&gt;&lt;div&gt;&lt;h5&gt;&lt;b&gt;EFFECT&lt;/b&gt;&lt;/h5&gt;&lt;/div&gt;&lt;hr/&gt;&lt;div&gt;&lt;h5&gt;&lt;b&gt;Range &lt;/b&gt;personal and see text&lt;/h5&gt;&lt;h5&gt;&lt;b&gt;Targets &lt;/b&gt;you and see text&lt;/h5&gt;&lt;h5&gt;&lt;b&gt;Duration &lt;/b&gt;10 minutes/level&lt;/h5&gt;&lt;h5&gt;&lt;b&gt;Saving Throw &lt;/b&gt;none; &lt;b&gt;Spell Resistance &lt;/b&gt;yes&lt;/h5&gt;&lt;/div&gt;&lt;hr/&gt;&lt;div&gt;&lt;h5&gt;&lt;b&gt;DESCRIPTION&lt;/b&gt;&lt;/h5&gt;&lt;/div&gt;&lt;hr/&gt;&lt;div&gt;&lt;h4&gt;&lt;p&gt;Your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&lt;i&gt;deathwatch&lt;/i&gt;.&lt;/p&gt;&lt;/h4&gt;&lt;/div&gt;</t>
  </si>
  <si>
    <t>Blightburn Weapon</t>
  </si>
  <si>
    <t>alchemist 4, inquisitor 4, magus 4, sorcerer/wizard 5, witch 5</t>
  </si>
  <si>
    <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t>
  </si>
  <si>
    <t>&lt;p&gt;You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DC.&lt;/p&gt;</t>
  </si>
  <si>
    <t>Kobolds Of Golarion</t>
  </si>
  <si>
    <t>&lt;link rel="stylesheet"href="PF.css"&gt;&lt;div class="heading"&gt;&lt;p class="alignleft"&gt;Blightburn Weapon&lt;/p&gt;&lt;div style="clear: both;"&gt;&lt;/div&gt;&lt;/div&gt;&lt;div&gt;&lt;h5&gt;&lt;b&gt;School &lt;/b&gt;transmutation; &lt;b&gt;Level &lt;/b&gt;alchemist 4, inquisitor 4, magus 4, sorcerer/wizard 5, witch 5&lt;/h5&gt;&lt;/div&gt;&lt;hr/&gt;&lt;div&gt;&lt;h5&gt;&lt;b&gt;CASTING&lt;/b&gt;&lt;/h5&gt;&lt;/div&gt;&lt;hr/&gt;&lt;div&gt;&lt;h5&gt;&lt;b&gt;Casting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weapon&lt;/h5&gt;&lt;h5&gt;&lt;b&gt;Duration &lt;/b&gt;1 round/level (D)&lt;/h5&gt;&lt;h5&gt;&lt;b&gt;Saving Throw &lt;/b&gt;Will negates (object); &lt;b&gt;Spell Resistance &lt;/b&gt;yes (object)&lt;/h5&gt;&lt;/div&gt;&lt;hr/&gt;&lt;div&gt;&lt;h5&gt;&lt;b&gt;DESCRIPTION&lt;/b&gt;&lt;/h5&gt;&lt;/div&gt;&lt;hr/&gt;&lt;div&gt;&lt;h4&gt;&lt;p&gt;You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DC.&lt;/p&gt;&lt;/h4&gt;&lt;/div&gt;</t>
  </si>
  <si>
    <t>Chameleon Scales</t>
  </si>
  <si>
    <t>alchemist 1, druid 0, ranger 1, sorcerer/wizard 0</t>
  </si>
  <si>
    <t>You temporarily alter the color of your skin, hide, or scales to another option legal for your race. You take no penalty for using Disguise to appear as a member of a different race as long as that race has the same type and color of skin, hide, or scales as you.</t>
  </si>
  <si>
    <t>&lt;p&gt;You temporarily alter the color of your skin, hide, or scales to another option legal for your race. You take no penalty for using Disguise to appear as a member of a different race as long as that race has the same type and color of skin, hide, or scales as you.&lt;/p&gt;</t>
  </si>
  <si>
    <t>&lt;link rel="stylesheet"href="PF.css"&gt;&lt;div class="heading"&gt;&lt;p class="alignleft"&gt;Chameleon Scales&lt;/p&gt;&lt;div style="clear: both;"&gt;&lt;/div&gt;&lt;/div&gt;&lt;div&gt;&lt;h5&gt;&lt;b&gt;School &lt;/b&gt;transmutation; &lt;b&gt;Level &lt;/b&gt;alchemist 1, druid 0, ranger 1, sorcerer/wizard 0&lt;/h5&gt;&lt;/div&gt;&lt;hr/&gt;&lt;div&gt;&lt;h5&gt;&lt;b&gt;CASTING&lt;/b&gt;&lt;/h5&gt;&lt;/div&gt;&lt;hr/&gt;&lt;div&gt;&lt;h5&gt;&lt;b&gt;Casting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(D)&lt;/h5&gt;&lt;/div&gt;&lt;hr/&gt;&lt;div&gt;&lt;h5&gt;&lt;b&gt;DESCRIPTION&lt;/b&gt;&lt;/h5&gt;&lt;/div&gt;&lt;hr/&gt;&lt;div&gt;&lt;h4&gt;&lt;p&gt;You temporarily alter the color of your skin, hide, or scales to another option legal for your race. You take no penalty for using Disguise to appear as a member of a different race as long as that race has the same type and color of skin, hide, or scales as you.&lt;/p&gt;&lt;/h4&gt;&lt;/div&gt;</t>
  </si>
  <si>
    <t>Dark-Light</t>
  </si>
  <si>
    <t>cleric/oracle 3, druid 3, sorcerer/wizard 3</t>
  </si>
  <si>
    <t>V, S, M/DF (a pinch of Darklands earth)</t>
  </si>
  <si>
    <t>Target living creatures without light sensitivity   20-ft.-radius burst</t>
  </si>
  <si>
    <t>You evoke a powerful light that affects all sighted creatures that do not posses light sensitivity. Those that succeed on their saves are dazzled for 1 round per level; those who fail are blinded for the same duration.</t>
  </si>
  <si>
    <t>&lt;p&gt;You evoke a powerful light that affects all sighted creatures that do not posses light sensitivity. Those that succeed on their saves are dazzled for 1 round per level; those who fail are blinded for the same duration.&lt;/p&gt;</t>
  </si>
  <si>
    <t>&lt;link rel="stylesheet"href="PF.css"&gt;&lt;div class="heading"&gt;&lt;p class="alignleft"&gt;Dark-Light&lt;/p&gt;&lt;div style="clear: both;"&gt;&lt;/div&gt;&lt;/div&gt;&lt;div&gt;&lt;h5&gt;&lt;b&gt;School &lt;/b&gt;evocation [light]; &lt;b&gt;Level &lt;/b&gt;cleric/oracle 3, druid 3, sorcerer/wizard 3&lt;/h5&gt;&lt;/div&gt;&lt;hr/&gt;&lt;div&gt;&lt;h5&gt;&lt;b&gt;CASTING&lt;/b&gt;&lt;/h5&gt;&lt;/div&gt;&lt;hr/&gt;&lt;div&gt;&lt;h5&gt;&lt;b&gt;Casting Time &lt;/b&gt;1 standard action&lt;/h5&gt;&lt;h5&gt;&lt;b&gt;Components &lt;/b&gt;V, S, M/DF (a pinch of Darklands earth)&lt;/h5&gt;&lt;/div&gt;&lt;hr/&gt;&lt;div&gt;&lt;h5&gt;&lt;b&gt;EFFECT&lt;/b&gt;&lt;/h5&gt;&lt;/div&gt;&lt;hr/&gt;&lt;div&gt;&lt;h5&gt;&lt;b&gt;Range &lt;/b&gt;medium (100 ft. + 10 ft./level)&lt;/h5&gt;&lt;h5&gt;&lt;b&gt;Area &lt;/b&gt;Target living creatures without light sensitivity   20-ft.-radius burst&lt;/h5&gt;&lt;h5&gt;&lt;b&gt;Duration &lt;/b&gt;instantaneous&lt;/h5&gt;&lt;h5&gt;&lt;b&gt;Saving Throw &lt;/b&gt;Fortitude partial; &lt;b&gt;Spell Resistance &lt;/b&gt;yes&lt;/h5&gt;&lt;/div&gt;&lt;hr/&gt;&lt;div&gt;&lt;h5&gt;&lt;b&gt;DESCRIPTION&lt;/b&gt;&lt;/h5&gt;&lt;/div&gt;&lt;hr/&gt;&lt;div&gt;&lt;h4&gt;&lt;p&gt;You evoke a powerful light that affects all sighted creatures that do not posses light sensitivity. Those that succeed on their saves are dazzled for 1 round per level; those who fail are blinded for the same duration.&lt;/p&gt;&lt;/h4&gt;&lt;/div&gt;</t>
  </si>
  <si>
    <t>Enlarge Tail</t>
  </si>
  <si>
    <t>alchemist 1, antipaladin 1, druid 1, magus 1, sorcerer/wizard 1, summoner 1, witch 1</t>
  </si>
  <si>
    <t>your tail</t>
  </si>
  <si>
    <t>When attacking with your tail or tail weapons, you gain 5 feet of reach, a +1 bonus on attack rolls, and a +2 bonus on damage rolls.</t>
  </si>
  <si>
    <t>&lt;p&gt;When attacking with your tail or tail weapons, you gain 5 feet of reach, a +1 bonus on attack rolls, and a +2 bonus on damage rolls.&lt;/p&gt;</t>
  </si>
  <si>
    <t>&lt;link rel="stylesheet"href="PF.css"&gt;&lt;div class="heading"&gt;&lt;p class="alignleft"&gt;Enlarge Tail&lt;/p&gt;&lt;div style="clear: both;"&gt;&lt;/div&gt;&lt;/div&gt;&lt;div&gt;&lt;h5&gt;&lt;b&gt;School &lt;/b&gt;transmutation; &lt;b&gt;Level &lt;/b&gt;alchemist 1, antipaladin 1, druid 1, magus 1, sorcerer/wizard 1, summoner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&lt;/b&gt;your tail&lt;/h5&gt;&lt;h5&gt;&lt;b&gt;Duration &lt;/b&gt;1 hour/level&lt;/h5&gt;&lt;/div&gt;&lt;hr/&gt;&lt;div&gt;&lt;h5&gt;&lt;b&gt;DESCRIPTION&lt;/b&gt;&lt;/h5&gt;&lt;/div&gt;&lt;hr/&gt;&lt;div&gt;&lt;h4&gt;&lt;p&gt;When attacking with your tail or tail weapons, you gain 5 feet of reach, a +1 bonus on attack rolls, and a +2 bonus on damage rolls.&lt;/p&gt;&lt;/h4&gt;&lt;/div&gt;</t>
  </si>
  <si>
    <t>Lead Plating</t>
  </si>
  <si>
    <t>alchemist 3, cleric/oracle 2, druid 2, ranger 2, sorcerer/wizard 2, witch 2</t>
  </si>
  <si>
    <t>V, S, F (an ounce of lead)</t>
  </si>
  <si>
    <t>a creature or object weighing up to 100 lbs./level</t>
  </si>
  <si>
    <t>You enclose the target in a thin sheath of lead. This doesn't restrict the target's movement or functionality, but protects it from the effects of radiation and prevents the penetration of many divination spells. The lead doesn't coat the target's equipment.</t>
  </si>
  <si>
    <t>&lt;p&gt;You enclose the target in a thin sheath of lead. This doesn't restrict the target's movement or functionality, but protects it from the effects of radiation and prevents the penetration of many divination spells. The lead doesn't coat the target's equipment.&lt;/p&gt;</t>
  </si>
  <si>
    <t>&lt;link rel="stylesheet"href="PF.css"&gt;&lt;div class="heading"&gt;&lt;p class="alignleft"&gt;Lead Plating&lt;/p&gt;&lt;div style="clear: both;"&gt;&lt;/div&gt;&lt;/div&gt;&lt;div&gt;&lt;h5&gt;&lt;b&gt;School &lt;/b&gt;conjuration (creation); &lt;b&gt;Level &lt;/b&gt;alchemist 3, cleric/oracle 2, druid 2, ranger 2, sorcerer/wizard 2, witch 2&lt;/h5&gt;&lt;/div&gt;&lt;hr/&gt;&lt;div&gt;&lt;h5&gt;&lt;b&gt;CASTING&lt;/b&gt;&lt;/h5&gt;&lt;/div&gt;&lt;hr/&gt;&lt;div&gt;&lt;h5&gt;&lt;b&gt;Casting Time &lt;/b&gt;1 standard action&lt;/h5&gt;&lt;h5&gt;&lt;b&gt;Components &lt;/b&gt;V, S, F (an ounce of lead)&lt;/h5&gt;&lt;/div&gt;&lt;hr/&gt;&lt;div&gt;&lt;h5&gt;&lt;b&gt;EFFECT&lt;/b&gt;&lt;/h5&gt;&lt;/div&gt;&lt;hr/&gt;&lt;div&gt;&lt;h5&gt;&lt;b&gt;Range &lt;/b&gt;touch&lt;/h5&gt;&lt;h5&gt;&lt;b&gt;Targets &lt;/b&gt;a creature or object weighing up to 100 lbs./level&lt;/h5&gt;&lt;h5&gt;&lt;b&gt;Duration &lt;/b&gt;1 minute/level (D)&lt;/h5&gt;&lt;h5&gt;&lt;b&gt;Saving Throw &lt;/b&gt;Will negates (harmless, object); &lt;b&gt;Spell Resistance &lt;/b&gt;yes (harmless, object)&lt;/h5&gt;&lt;/div&gt;&lt;hr/&gt;&lt;div&gt;&lt;h5&gt;&lt;b&gt;DESCRIPTION&lt;/b&gt;&lt;/h5&gt;&lt;/div&gt;&lt;hr/&gt;&lt;div&gt;&lt;h4&gt;&lt;p&gt;You enclose the target in a thin sheath of lead. This doesn't restrict the target's movement or functionality, but protects it from the effects of radiation and prevents the penetration of many divination spells. The lead doesn't coat the target's equipment.&lt;/p&gt;&lt;/h4&gt;&lt;/div&gt;</t>
  </si>
  <si>
    <t>Shadow Dragon Aspect</t>
  </si>
  <si>
    <t>bard 4, sorcerer/wizard 4</t>
  </si>
  <si>
    <t>Will disbelief (if interacted with), see text</t>
  </si>
  <si>
    <t>yes, see text;</t>
  </si>
  <si>
    <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t>
  </si>
  <si>
    <t>&lt;p&gt;You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immune.&lt;/p&gt;</t>
  </si>
  <si>
    <t>&lt;link rel="stylesheet"href="PF.css"&gt;&lt;div class="heading"&gt;&lt;p class="alignleft"&gt;Shadow Dragon Aspect&lt;/p&gt;&lt;div style="clear: both;"&gt;&lt;/div&gt;&lt;/div&gt;&lt;div&gt;&lt;h5&gt;&lt;b&gt;School &lt;/b&gt;illusion (shadow) [shadow]; &lt;b&gt;Level &lt;/b&gt;bard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round/level&lt;/h5&gt;&lt;h5&gt;&lt;b&gt;Saving Throw &lt;/b&gt;Will disbelief (if interacted with), see text; &lt;b&gt;Spell Resistance &lt;/b&gt;yes, see text;&lt;/h5&gt;&lt;/div&gt;&lt;hr/&gt;&lt;div&gt;&lt;h5&gt;&lt;b&gt;DESCRIPTION&lt;/b&gt;&lt;/h5&gt;&lt;/div&gt;&lt;hr/&gt;&lt;div&gt;&lt;h4&gt;&lt;p&gt;You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immune.&lt;/p&gt;&lt;/h4&gt;&lt;/div&gt;</t>
  </si>
  <si>
    <t>Strip Scales</t>
  </si>
  <si>
    <t>druid 4, sorcerer/wizard 5, witch 5</t>
  </si>
  <si>
    <t>V, S, M/DF (a single reptile scale)</t>
  </si>
  <si>
    <t>Fortitude</t>
  </si>
  <si>
    <t>You reduce the target's racial natural armor bonus by 1 point per 3 caster levels.</t>
  </si>
  <si>
    <t>&lt;p&gt;You reduce the target's racial natural armor bonus by 1 point per 3 caster levels.&lt;/p&gt;</t>
  </si>
  <si>
    <t>&lt;link rel="stylesheet"href="PF.css"&gt;&lt;div class="heading"&gt;&lt;p class="alignleft"&gt;Strip Scales&lt;/p&gt;&lt;div style="clear: both;"&gt;&lt;/div&gt;&lt;/div&gt;&lt;div&gt;&lt;h5&gt;&lt;b&gt;School &lt;/b&gt;transmutation; &lt;b&gt;Level &lt;/b&gt;druid 4, sorcerer/wizard 5, witch 5&lt;/h5&gt;&lt;/div&gt;&lt;hr/&gt;&lt;div&gt;&lt;h5&gt;&lt;b&gt;CASTING&lt;/b&gt;&lt;/h5&gt;&lt;/div&gt;&lt;hr/&gt;&lt;div&gt;&lt;h5&gt;&lt;b&gt;Casting Time &lt;/b&gt;1 standard action&lt;/h5&gt;&lt;h5&gt;&lt;b&gt;Components &lt;/b&gt;V, S, M/DF (a single reptile scale)&lt;/h5&gt;&lt;/div&gt;&lt;hr/&gt;&lt;div&gt;&lt;h5&gt;&lt;b&gt;EFFECT&lt;/b&gt;&lt;/h5&gt;&lt;/div&gt;&lt;hr/&gt;&lt;div&gt;&lt;h5&gt;&lt;b&gt;Range &lt;/b&gt;close (25 ft. + 5 ft./2 levels)&lt;/h5&gt;&lt;h5&gt;&lt;b&gt;Targets &lt;/b&gt;one living creature&lt;/h5&gt;&lt;h5&gt;&lt;b&gt;Duration &lt;/b&gt;1 minute/level&lt;/h5&gt;&lt;h5&gt;&lt;b&gt;Saving Throw &lt;/b&gt;Fortitude; &lt;b&gt;Spell Resistance &lt;/b&gt;yes&lt;/h5&gt;&lt;/div&gt;&lt;hr/&gt;&lt;div&gt;&lt;h5&gt;&lt;b&gt;DESCRIPTION&lt;/b&gt;&lt;/h5&gt;&lt;/div&gt;&lt;hr/&gt;&lt;div&gt;&lt;h4&gt;&lt;p&gt;You reduce the target's racial natural armor bonus by 1 point per 3 caster levels.&lt;/p&gt;&lt;/h4&gt;&lt;/div&gt;</t>
  </si>
  <si>
    <t>Unseen Engineers</t>
  </si>
  <si>
    <t>sorcerer/wizard 3, summoner 2, witch 3</t>
  </si>
  <si>
    <t>V, S, M (materials required to construct the trap)</t>
  </si>
  <si>
    <t>long (400 ft. + 40 ft. level)</t>
  </si>
  <si>
    <t>a team of tiny, invisible engineers</t>
  </si>
  <si>
    <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t>
  </si>
  <si>
    <t>&lt;p&gt;You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attacks).&lt;/p&gt;</t>
  </si>
  <si>
    <t>&lt;link rel="stylesheet"href="PF.css"&gt;&lt;div class="heading"&gt;&lt;p class="alignleft"&gt;Unseen Engineers&lt;/p&gt;&lt;div style="clear: both;"&gt;&lt;/div&gt;&lt;/div&gt;&lt;div&gt;&lt;h5&gt;&lt;b&gt;School &lt;/b&gt;conjuration (creation); &lt;b&gt;Level &lt;/b&gt;sorcerer/wizard 3, summoner 2, witch 3&lt;/h5&gt;&lt;/div&gt;&lt;hr/&gt;&lt;div&gt;&lt;h5&gt;&lt;b&gt;CASTING&lt;/b&gt;&lt;/h5&gt;&lt;/div&gt;&lt;hr/&gt;&lt;div&gt;&lt;h5&gt;&lt;b&gt;Casting Time &lt;/b&gt;1 standard action&lt;/h5&gt;&lt;h5&gt;&lt;b&gt;Components &lt;/b&gt;V, S, M (materials required to construct the trap)&lt;/h5&gt;&lt;/div&gt;&lt;hr/&gt;&lt;div&gt;&lt;h5&gt;&lt;b&gt;EFFECT&lt;/b&gt;&lt;/h5&gt;&lt;/div&gt;&lt;hr/&gt;&lt;div&gt;&lt;h5&gt;&lt;b&gt;Range &lt;/b&gt;long (400 ft. + 40 ft. level)&lt;/h5&gt;&lt;h5&gt;&lt;b&gt;Effect &lt;/b&gt;a team of tiny, invisible engineers&lt;/h5&gt;&lt;h5&gt;&lt;b&gt;Duration &lt;/b&gt;1 minute/level&lt;/h5&gt;&lt;h5&gt;&lt;b&gt;Saving Throw &lt;/b&gt;none; &lt;b&gt;Spell Resistance &lt;/b&gt;no&lt;/h5&gt;&lt;/div&gt;&lt;hr/&gt;&lt;div&gt;&lt;h5&gt;&lt;b&gt;DESCRIPTION&lt;/b&gt;&lt;/h5&gt;&lt;/div&gt;&lt;hr/&gt;&lt;div&gt;&lt;h4&gt;&lt;p&gt;You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attacks).&lt;/p&gt;&lt;/h4&gt;&lt;/div&gt;</t>
  </si>
  <si>
    <t>Detect Relations</t>
  </si>
  <si>
    <t>bard 2, cleric/oracle 2, inquisitor 2, witch 2</t>
  </si>
  <si>
    <t>V, S, F/DF (a seed)</t>
  </si>
  <si>
    <t>one creature per level, no two of which can be more than 30 ft. apart</t>
  </si>
  <si>
    <t>You can determine whether or not two or more creatures are related by blood. The amount of information gleaned depends on how long you study a particular area or set of subjects.  1st round: Whether or not the subjects are related by blood.  2nd round: Number of related subjects and their general relation to one another (for example, this would reveal that one subject is a descendant of the other, but it would not specify "mother" or "grandmother").  3rd round: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t>
  </si>
  <si>
    <t>&lt;p&gt;You can determine whether or not two or more creatures are related by blood. The amount of information gleaned depends on how long you study a particular area or set of subjects.  &lt;i&gt;1st round&lt;/i&gt;: Whether or not the subjects are related by blood.  &lt;i&gt;2nd round&lt;/i&gt;: Number of related subjects and their general relation to one another (for example, this would reveal that one subject is a descendant of the other, but it would not specify "mother" or "grandmother").  &lt;i&gt;3rd round&lt;/i&gt;: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blood.&lt;/p&gt;</t>
  </si>
  <si>
    <t>Quests and Campaigns</t>
  </si>
  <si>
    <t>&lt;link rel="stylesheet"href="PF.css"&gt;&lt;div class="heading"&gt;&lt;p class="alignleft"&gt;Detect Relations&lt;/p&gt;&lt;div style="clear: both;"&gt;&lt;/div&gt;&lt;/div&gt;&lt;div&gt;&lt;h5&gt;&lt;b&gt;School &lt;/b&gt;divination; &lt;b&gt;Level &lt;/b&gt;bard 2, cleric/oracle 2, inquisitor 2, witch 2&lt;/h5&gt;&lt;/div&gt;&lt;hr/&gt;&lt;div&gt;&lt;h5&gt;&lt;b&gt;CASTING&lt;/b&gt;&lt;/h5&gt;&lt;/div&gt;&lt;hr/&gt;&lt;div&gt;&lt;h5&gt;&lt;b&gt;Casting Time &lt;/b&gt;1 standard action&lt;/h5&gt;&lt;h5&gt;&lt;b&gt;Components &lt;/b&gt;V, S, F/DF (a seed)&lt;/h5&gt;&lt;/div&gt;&lt;hr/&gt;&lt;div&gt;&lt;h5&gt;&lt;b&gt;EFFECT&lt;/b&gt;&lt;/h5&gt;&lt;/div&gt;&lt;hr/&gt;&lt;div&gt;&lt;h5&gt;&lt;b&gt;Targets &lt;/b&gt;one creature per level, no two of which can be more than 30 ft. apart&lt;/h5&gt;&lt;h5&gt;&lt;b&gt;Duration &lt;/b&gt;concentration, up to 1 min./level (D)&lt;/h5&gt;&lt;h5&gt;&lt;b&gt;Saving Throw &lt;/b&gt;Will negates; see text; &lt;b&gt;Spell Resistance &lt;/b&gt;no&lt;/h5&gt;&lt;/div&gt;&lt;hr/&gt;&lt;div&gt;&lt;h5&gt;&lt;b&gt;DESCRIPTION&lt;/b&gt;&lt;/h5&gt;&lt;/div&gt;&lt;hr/&gt;&lt;div&gt;&lt;h4&gt;&lt;p&gt;You can determine whether or not two or more creatures are related by blood. The amount of information gleaned depends on how long you study a particular area or set of subjects.  &lt;i&gt;1st round&lt;/i&gt;: Whether or not the subjects are related by blood.  &lt;i&gt;2nd round&lt;/i&gt;: Number of related subjects and their general relation to one another (for example, this would reveal that one subject is a descendant of the other, but it would not specify "mother" or "grandmother").  &lt;i&gt;3rd round&lt;/i&gt;: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blood.&lt;/p&gt;&lt;/h4&gt;&lt;/div&gt;</t>
  </si>
  <si>
    <t>Business Booms</t>
  </si>
  <si>
    <t>V, S, M (promotional materials such as flyers and posters worth 10 gp)</t>
  </si>
  <si>
    <t>one building</t>
  </si>
  <si>
    <t>see text (D)</t>
  </si>
  <si>
    <t>You may cast this spell immediately prior to spending 1 day of downtime to promote a business (see page 85 of Ultimate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t>
  </si>
  <si>
    <t>&lt;p&gt;You may cast this spell immediately prior to spending 1 day of downtime to promote a business (see page 85 of &lt;i&gt;Ultimate&lt;/i&gt;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ends.&lt;/p&gt;</t>
  </si>
  <si>
    <t>&lt;link rel="stylesheet"href="PF.css"&gt;&lt;div class="heading"&gt;&lt;p class="alignleft"&gt;Business Booms&lt;/p&gt;&lt;div style="clear: both;"&gt;&lt;/div&gt;&lt;/div&gt;&lt;div&gt;&lt;h5&gt;&lt;b&gt;School &lt;/b&gt;enchantment; &lt;b&gt;Level &lt;/b&gt;bard 3, sorcerer/wizard 3&lt;/h5&gt;&lt;/div&gt;&lt;hr/&gt;&lt;div&gt;&lt;h5&gt;&lt;b&gt;CASTING&lt;/b&gt;&lt;/h5&gt;&lt;/div&gt;&lt;hr/&gt;&lt;div&gt;&lt;h5&gt;&lt;b&gt;Casting Time &lt;/b&gt;1 standard action&lt;/h5&gt;&lt;h5&gt;&lt;b&gt;Components &lt;/b&gt;V, S, M (promotional materials such as flyers and posters worth 10 gp)&lt;/h5&gt;&lt;/div&gt;&lt;hr/&gt;&lt;div&gt;&lt;h5&gt;&lt;b&gt;EFFECT&lt;/b&gt;&lt;/h5&gt;&lt;/div&gt;&lt;hr/&gt;&lt;div&gt;&lt;h5&gt;&lt;b&gt;Range &lt;/b&gt;touch&lt;/h5&gt;&lt;h5&gt;&lt;b&gt;Targets &lt;/b&gt;one building&lt;/h5&gt;&lt;h5&gt;&lt;b&gt;Duration &lt;/b&gt;see text (D)&lt;/h5&gt;&lt;h5&gt;&lt;b&gt;Saving Throw &lt;/b&gt;none; &lt;b&gt;Spell Resistance &lt;/b&gt;no&lt;/h5&gt;&lt;/div&gt;&lt;hr/&gt;&lt;div&gt;&lt;h5&gt;&lt;b&gt;DESCRIPTION&lt;/b&gt;&lt;/h5&gt;&lt;/div&gt;&lt;hr/&gt;&lt;div&gt;&lt;h4&gt;&lt;p&gt;You may cast this spell immediately prior to spending 1 day of downtime to promote a business (see page 85 of &lt;i&gt;Ultimate&lt;/i&gt;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ends.&lt;/p&gt;&lt;/h4&gt;&lt;/div&gt;</t>
  </si>
  <si>
    <t>Prosperous Room</t>
  </si>
  <si>
    <t>room you own; see text</t>
  </si>
  <si>
    <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t>
  </si>
  <si>
    <t>&lt;p&gt;The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normally.&lt;/p&gt;</t>
  </si>
  <si>
    <t>&lt;link rel="stylesheet"href="PF.css"&gt;&lt;div class="heading"&gt;&lt;p class="alignleft"&gt;Prosperous Room&lt;/p&gt;&lt;div style="clear: both;"&gt;&lt;/div&gt;&lt;/div&gt;&lt;div&gt;&lt;h5&gt;&lt;b&gt;School &lt;/b&gt;enchantment; &lt;b&gt;Level &lt;/b&gt;bard 3, sorcerer/wizard 3&lt;/h5&gt;&lt;/div&gt;&lt;hr/&gt;&lt;div&gt;&lt;h5&gt;&lt;b&gt;CASTING&lt;/b&gt;&lt;/h5&gt;&lt;/div&gt;&lt;hr/&gt;&lt;div&gt;&lt;h5&gt;&lt;b&gt;Casting Time &lt;/b&gt;1 day&lt;/h5&gt;&lt;h5&gt;&lt;b&gt;Components &lt;/b&gt;V, S&lt;/h5&gt;&lt;/div&gt;&lt;hr/&gt;&lt;div&gt;&lt;h5&gt;&lt;b&gt;EFFECT&lt;/b&gt;&lt;/h5&gt;&lt;/div&gt;&lt;hr/&gt;&lt;div&gt;&lt;h5&gt;&lt;b&gt;Range &lt;/b&gt;touch&lt;/h5&gt;&lt;h5&gt;&lt;b&gt;Targets &lt;/b&gt;room you own; see text&lt;/h5&gt;&lt;h5&gt;&lt;b&gt;Duration &lt;/b&gt;1 day/level (D)&lt;/h5&gt;&lt;h5&gt;&lt;b&gt;Saving Throw &lt;/b&gt;none; &lt;b&gt;Spell Resistance &lt;/b&gt;yes&lt;/h5&gt;&lt;/div&gt;&lt;hr/&gt;&lt;div&gt;&lt;h5&gt;&lt;b&gt;DESCRIPTION&lt;/b&gt;&lt;/h5&gt;&lt;/div&gt;&lt;hr/&gt;&lt;div&gt;&lt;h4&gt;&lt;p&gt;The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normally.&lt;/p&gt;&lt;/h4&gt;&lt;/div&gt;</t>
  </si>
  <si>
    <t>Renovation</t>
  </si>
  <si>
    <t>bard 5, sorcerer/wizard 4</t>
  </si>
  <si>
    <t>V, S, M (silver dust worth 1,000 gp)</t>
  </si>
  <si>
    <t>one unoccupied structure</t>
  </si>
  <si>
    <t>none (object; see text)</t>
  </si>
  <si>
    <t>Upon casting this spell, you permanently rearrange and resize the rooms in a building you constructed as a downtime activity (see page 84 of Ultimate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t>
  </si>
  <si>
    <t>&lt;p&gt;Upon casting this spell, you permanently rearrange and resize the rooms in a building you constructed as a downtime activity (see page 84 of &lt;i&gt;Ultimate&lt;/i&gt;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immediately.&lt;/p&gt;</t>
  </si>
  <si>
    <t>&lt;link rel="stylesheet"href="PF.css"&gt;&lt;div class="heading"&gt;&lt;p class="alignleft"&gt;Renovation&lt;/p&gt;&lt;div style="clear: both;"&gt;&lt;/div&gt;&lt;/div&gt;&lt;div&gt;&lt;h5&gt;&lt;b&gt;School &lt;/b&gt;transmutation; &lt;b&gt;Level &lt;/b&gt;bard 5, sorcerer/wizard 4&lt;/h5&gt;&lt;/div&gt;&lt;hr/&gt;&lt;div&gt;&lt;h5&gt;&lt;b&gt;CASTING&lt;/b&gt;&lt;/h5&gt;&lt;/div&gt;&lt;hr/&gt;&lt;div&gt;&lt;h5&gt;&lt;b&gt;Casting Time &lt;/b&gt;8 hours&lt;/h5&gt;&lt;h5&gt;&lt;b&gt;Components &lt;/b&gt;V, S, M (silver dust worth 1,000 gp)&lt;/h5&gt;&lt;/div&gt;&lt;hr/&gt;&lt;div&gt;&lt;h5&gt;&lt;b&gt;EFFECT&lt;/b&gt;&lt;/h5&gt;&lt;/div&gt;&lt;hr/&gt;&lt;div&gt;&lt;h5&gt;&lt;b&gt;Range &lt;/b&gt;touch&lt;/h5&gt;&lt;h5&gt;&lt;b&gt;Targets &lt;/b&gt;one unoccupied structure&lt;/h5&gt;&lt;h5&gt;&lt;b&gt;Duration &lt;/b&gt;instantaneous&lt;/h5&gt;&lt;h5&gt;&lt;b&gt;Saving Throw &lt;/b&gt;none (object; see text); &lt;b&gt;Spell Resistance &lt;/b&gt;no&lt;/h5&gt;&lt;/div&gt;&lt;hr/&gt;&lt;div&gt;&lt;h5&gt;&lt;b&gt;DESCRIPTION&lt;/b&gt;&lt;/h5&gt;&lt;/div&gt;&lt;hr/&gt;&lt;div&gt;&lt;h4&gt;&lt;p&gt;Upon casting this spell, you permanently rearrange and resize the rooms in a building you constructed as a downtime activity (see page 84 of &lt;i&gt;Ultimate&lt;/i&gt;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immediately.&lt;/p&gt;&lt;/h4&gt;&lt;/div&gt;</t>
  </si>
  <si>
    <t>Teleport Structure</t>
  </si>
  <si>
    <t>sorcerer/wizard 6</t>
  </si>
  <si>
    <t>V, M (gold dust worth 50 gp)</t>
  </si>
  <si>
    <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t>
  </si>
  <si>
    <t>&lt;p&gt;You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lots).&lt;/p&gt;</t>
  </si>
  <si>
    <t>&lt;link rel="stylesheet"href="PF.css"&gt;&lt;div class="heading"&gt;&lt;p class="alignleft"&gt;Teleport Structure&lt;/p&gt;&lt;div style="clear: both;"&gt;&lt;/div&gt;&lt;/div&gt;&lt;div&gt;&lt;h5&gt;&lt;b&gt;School &lt;/b&gt;conjuration (teleportation); &lt;b&gt;Level &lt;/b&gt;sorcerer/wizard 6&lt;/h5&gt;&lt;/div&gt;&lt;hr/&gt;&lt;div&gt;&lt;h5&gt;&lt;b&gt;CASTING&lt;/b&gt;&lt;/h5&gt;&lt;/div&gt;&lt;hr/&gt;&lt;div&gt;&lt;h5&gt;&lt;b&gt;Casting Time &lt;/b&gt;8 hours&lt;/h5&gt;&lt;h5&gt;&lt;b&gt;Components &lt;/b&gt;V, M (gold dust worth 50 gp)&lt;/h5&gt;&lt;/div&gt;&lt;hr/&gt;&lt;div&gt;&lt;h5&gt;&lt;b&gt;EFFECT&lt;/b&gt;&lt;/h5&gt;&lt;/div&gt;&lt;hr/&gt;&lt;div&gt;&lt;h5&gt;&lt;b&gt;Range &lt;/b&gt;touch&lt;/h5&gt;&lt;h5&gt;&lt;b&gt;Targets &lt;/b&gt;one building&lt;/h5&gt;&lt;h5&gt;&lt;b&gt;Duration &lt;/b&gt;instantaneous&lt;/h5&gt;&lt;h5&gt;&lt;b&gt;Saving Throw &lt;/b&gt;Will negates (object); &lt;b&gt;Spell Resistance &lt;/b&gt;yes (object)&lt;/h5&gt;&lt;/div&gt;&lt;hr/&gt;&lt;div&gt;&lt;h5&gt;&lt;b&gt;DESCRIPTION&lt;/b&gt;&lt;/h5&gt;&lt;/div&gt;&lt;hr/&gt;&lt;div&gt;&lt;h4&gt;&lt;p&gt;You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lots).&lt;/p&gt;&lt;/h4&gt;&lt;/div&gt;</t>
  </si>
  <si>
    <t>Bless Army</t>
  </si>
  <si>
    <t>1 hex</t>
  </si>
  <si>
    <t>one army</t>
  </si>
  <si>
    <t>1 battle</t>
  </si>
  <si>
    <t>Bless army fills an army with courage. The army gains a +1 bonus on OM and Morale checks.</t>
  </si>
  <si>
    <t>&lt;p&gt;&lt;i&gt;Bless army&lt;/i&gt; fills an army with courage. The army gains a +1 bonus on OM and Morale checks.&lt;/p&gt;</t>
  </si>
  <si>
    <t>&lt;link rel="stylesheet"href="PF.css"&gt;&lt;div class="heading"&gt;&lt;p class="alignleft"&gt;Bless Army&lt;/p&gt;&lt;div style="clear: both;"&gt;&lt;/div&gt;&lt;/div&gt;&lt;div&gt;&lt;h5&gt;&lt;b&gt;School &lt;/b&gt;enchantment (compulsion) [mind-affecting]; &lt;b&gt;Level &lt;/b&gt;cleric/oracle 6&lt;/h5&gt;&lt;/div&gt;&lt;hr/&gt;&lt;div&gt;&lt;h5&gt;&lt;b&gt;CASTING&lt;/b&gt;&lt;/h5&gt;&lt;/div&gt;&lt;hr/&gt;&lt;div&gt;&lt;h5&gt;&lt;b&gt;Casting Time &lt;/b&gt;1 standard action&lt;/h5&gt;&lt;h5&gt;&lt;b&gt;Components &lt;/b&gt;V, S, DF&lt;/h5&gt;&lt;/div&gt;&lt;hr/&gt;&lt;div&gt;&lt;h5&gt;&lt;b&gt;EFFECT&lt;/b&gt;&lt;/h5&gt;&lt;/div&gt;&lt;hr/&gt;&lt;div&gt;&lt;h5&gt;&lt;b&gt;Range &lt;/b&gt;1 hex&lt;/h5&gt;&lt;h5&gt;&lt;b&gt;Targets &lt;/b&gt;one army&lt;/h5&gt;&lt;h5&gt;&lt;b&gt;Duration &lt;/b&gt;1 battle&lt;/h5&gt;&lt;h5&gt;&lt;b&gt;Saving Throw &lt;/b&gt;none; &lt;b&gt;Spell Resistance &lt;/b&gt;yes (harmless)&lt;/h5&gt;&lt;/div&gt;&lt;hr/&gt;&lt;div&gt;&lt;h5&gt;&lt;b&gt;DESCRIPTION&lt;/b&gt;&lt;/h5&gt;&lt;/div&gt;&lt;hr/&gt;&lt;div&gt;&lt;h4&gt;&lt;p&gt;&lt;i&gt;Bless army&lt;/i&gt; fills an army with courage. The army gains a +1 bonus on OM and Morale checks.&lt;/p&gt;&lt;/h4&gt;&lt;/div&gt;</t>
  </si>
  <si>
    <t>Imbue Army Special Ability</t>
  </si>
  <si>
    <t>V, S, F (a silver mirror worth 100 gp)</t>
  </si>
  <si>
    <t>You imbue the target with an army special ability (see page 242 of Ultimate Campaign) possessed by the army's commander. The army is treated as if it consists of units who all possess the chosen special ability. This special ability is in addition to any special abilities the army inherently possessed prior to the casting of the spell.</t>
  </si>
  <si>
    <t>&lt;p&gt;You imbue the target with an army special ability (see page 242 of &lt;i&gt;Ultimate&lt;/i&gt; Campaign) possessed by the army's commander. The army is treated as if it consists of units who all possess the chosen special ability. This special ability is in addition to any special abilities the army inherently possessed prior to the casting of the spell.&lt;/p&gt;</t>
  </si>
  <si>
    <t>&lt;link rel="stylesheet"href="PF.css"&gt;&lt;div class="heading"&gt;&lt;p class="alignleft"&gt;Imbue Army Special Ability&lt;/p&gt;&lt;div style="clear: both;"&gt;&lt;/div&gt;&lt;/div&gt;&lt;div&gt;&lt;h5&gt;&lt;b&gt;School &lt;/b&gt;evocation; &lt;b&gt;Level &lt;/b&gt;cleric/oracle 9&lt;/h5&gt;&lt;/div&gt;&lt;hr/&gt;&lt;div&gt;&lt;h5&gt;&lt;b&gt;CASTING&lt;/b&gt;&lt;/h5&gt;&lt;/div&gt;&lt;hr/&gt;&lt;div&gt;&lt;h5&gt;&lt;b&gt;Casting Time &lt;/b&gt;10 minutes&lt;/h5&gt;&lt;h5&gt;&lt;b&gt;Components &lt;/b&gt;V, S, F (a silver mirror worth 100 gp)&lt;/h5&gt;&lt;/div&gt;&lt;hr/&gt;&lt;div&gt;&lt;h5&gt;&lt;b&gt;EFFECT&lt;/b&gt;&lt;/h5&gt;&lt;/div&gt;&lt;hr/&gt;&lt;div&gt;&lt;h5&gt;&lt;b&gt;Range &lt;/b&gt;1 hex&lt;/h5&gt;&lt;h5&gt;&lt;b&gt;Targets &lt;/b&gt;one army&lt;/h5&gt;&lt;h5&gt;&lt;b&gt;Duration &lt;/b&gt;1 battle&lt;/h5&gt;&lt;h5&gt;&lt;b&gt;Saving Throw &lt;/b&gt;none or Will negates (harmless); &lt;b&gt;Spell Resistance &lt;/b&gt;yes&lt;/h5&gt;&lt;/div&gt;&lt;hr/&gt;&lt;div&gt;&lt;h5&gt;&lt;b&gt;DESCRIPTION&lt;/b&gt;&lt;/h5&gt;&lt;/div&gt;&lt;hr/&gt;&lt;div&gt;&lt;h4&gt;&lt;p&gt;You imbue the target with an army special ability (see page 242 of &lt;i&gt;Ultimate&lt;/i&gt; Campaign) possessed by the army's commander. The army is treated as if it consists of units who all possess the chosen special ability. This special ability is in addition to any special abilities the army inherently possessed prior to the casting of the spell.&lt;/p&gt;&lt;/h4&gt;&lt;/div&gt;</t>
  </si>
  <si>
    <t>Tactical Insight</t>
  </si>
  <si>
    <t>bard 6, inquisitor 6</t>
  </si>
  <si>
    <t>Choose a single army tactic. You grant mastery of this tactic to the target army for the spell's duration. This tactic may bring an army's total known tactics to a number greater than normally allowed.</t>
  </si>
  <si>
    <t>&lt;p&gt;Choose a single army tactic. You grant mastery of this tactic to the target army for the spell's duration. This tactic may bring an army's total known tactics to a number greater than normally allowed.&lt;/p&gt;</t>
  </si>
  <si>
    <t>&lt;link rel="stylesheet"href="PF.css"&gt;&lt;div class="heading"&gt;&lt;p class="alignleft"&gt;Tactical Insight&lt;/p&gt;&lt;div style="clear: both;"&gt;&lt;/div&gt;&lt;/div&gt;&lt;div&gt;&lt;h5&gt;&lt;b&gt;School &lt;/b&gt;divination; &lt;b&gt;Level &lt;/b&gt;bard 6, inquisitor 6&lt;/h5&gt;&lt;/div&gt;&lt;hr/&gt;&lt;div&gt;&lt;h5&gt;&lt;b&gt;CASTING&lt;/b&gt;&lt;/h5&gt;&lt;/div&gt;&lt;hr/&gt;&lt;div&gt;&lt;h5&gt;&lt;b&gt;Casting Time &lt;/b&gt;1 standard action&lt;/h5&gt;&lt;h5&gt;&lt;b&gt;Components &lt;/b&gt;V, S&lt;/h5&gt;&lt;/div&gt;&lt;hr/&gt;&lt;div&gt;&lt;h5&gt;&lt;b&gt;EFFECT&lt;/b&gt;&lt;/h5&gt;&lt;/div&gt;&lt;hr/&gt;&lt;div&gt;&lt;h5&gt;&lt;b&gt;Range &lt;/b&gt;1 hex&lt;/h5&gt;&lt;h5&gt;&lt;b&gt;Targets &lt;/b&gt;one army&lt;/h5&gt;&lt;h5&gt;&lt;b&gt;Duration &lt;/b&gt;1 battle&lt;/h5&gt;&lt;h5&gt;&lt;b&gt;Saving Throw &lt;/b&gt;none; &lt;b&gt;Spell Resistance &lt;/b&gt;no&lt;/h5&gt;&lt;/div&gt;&lt;hr/&gt;&lt;div&gt;&lt;h5&gt;&lt;b&gt;DESCRIPTION&lt;/b&gt;&lt;/h5&gt;&lt;/div&gt;&lt;hr/&gt;&lt;div&gt;&lt;h4&gt;&lt;p&gt;Choose a single army tactic. You grant mastery of this tactic to the target army for the spell's duration. This tactic may bring an army's total known tactics to a number greater than normally allowed.&lt;/p&gt;&lt;/h4&gt;&lt;/div&gt;</t>
  </si>
  <si>
    <t>Ceremony</t>
  </si>
  <si>
    <t>cleric/oracle 1</t>
  </si>
  <si>
    <t>touch or medium (100 ft. + 10 ft./level) (see text)</t>
  </si>
  <si>
    <t>willing, living creature or creatures touched or one creature/level (see text)</t>
  </si>
  <si>
    <t>1 hour/level or 1 day/level (see text)</t>
  </si>
  <si>
    <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Pathfinder RPG Ultimate Campaign,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Augmented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Funeral: A funeral service must involve a corpse and at least one willing companion or next of kin. The subject gains a +2 sacred bonus against death effects.  Holiday Fete: A holiday fete may involve up to two willing creatures. The subject gains a +1 sacred bonus on Fortitude saves.  Marriage: A marriage must involve two willing creatures. The subject gains a +1 sacred bonus on saves against fear and emotion effects.  Naming: A naming must involve a willing parent or parents and a newborn (who is touched but unaffected). The subject can use sanctuary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Air: Celebration of Storms. The subject can use feather fall once. Augmented: The subject gains a +4 sacred bonus on saves against effects with the air descriptor.  Animal: Ritual of Beasts. The subject can use speak with animals once (this effect lasts 3 rounds). Augmented: The subject can use charm animal once.  Artifice: Apparatus's Observance. The subject can heal a construct creature with a touch, healing 1d3 points of damage. Augmented: The subject can heal a construct creature 1d6 points of damage.  Chaos: Anarchic Revelry. The subject can force a lawful-aligned foe within 30 feet to roll an attack roll twice and take the less favorable result. This ability must be announced before the first attack roll is made. Augmented: The first time the subject deals damage to a foe with a melee attack, the attack is treated as chaotic for the purpose of overcoming DR.  Charm: Jubilee of Delight. The subject gains a +2 sacred bonus on his next Bluff, Diplomacy, or Intimidate check. Augmented: The subject gains a +2 sacred bonus on saving throws against charm and compulsion effects.  Community: Celebration of Bonding. As a standard action, the subject can heal a touched creature 1d6 points of nonlethal damage. Augmented: The subject is cured of the fatigued, shaken, and sickened conditions.  Darkness: Glorify Shadows. The subject gains darkvision to a range of 30 feet (or increases current range of darkvision by 10 feet). Augmented: The subject increases range of darkvision by 30 feet.  Death: Dance of the Dead. The subject can use bleed up to three times. Augmented: The subject can use cause fear once.  Destruction: Day of Dismantling. The subject gains a +1 sacred bonus on attacks and damage rolls against inanimate objects. Augmented: The bonus becomes +2.  Earth: Festival of Soil. The subject can cast plant growth (enrichment) once. Augmented: The subject gains a +4 sacred bonus on saves against effects with the earth descriptor.  Evil: Unholy Gala. The subject can cause a good-aligned foe to become sickened for 1 round as a melee touch attack. Augmented: This boon can be used three times.  Fire: Fire Calling. Nonmagical fires the subject makes cannot be extinguished by nonmagical means, though spells and other magical effects function as normal. Augmented: The subject gains a +4 sacred bonus on saves against effects with the fire descriptor.  Glory: Resplendent Feast. The subject receives a +2 bonus on a single Charisma-based skill check. Augmented: This boon can be used three times.  Good: Festival of Benevolence. The subject gains a +1 sacred bonus on melee attacks and melee damage rolls against evil-aligned foes. Augmented: The bonus becomes +2.  Healing: Touch of Assuagement. The subject can heal a dying creature 1d4 hit points as a standard action. Augmented: This boon can be used three times.  Knowledge: Liturgy of Learning. The subject can attempt any Knowledge skill check untrained. Augmented: This boon can be used three times.  Law: Observance of Order. The subject gains a +5 sacred bonus on the next combat maneuver check she makes against a chaotic-aligned foe. Augmented: The subject gains a +2 sacred bonus to CMD against chaotic-aligned foes.  Liberation: Freedom Festival. The subject can use remove fear once. Augmented: The subject gains a +2 sacred bonus to CMD.  Luck: Fete of Fortune. The next time the subject rolls a d20, he may roll twice and take the more favorable result. Augmented: The subject may use this ability on any single d20 roll, not just the next one.  Madness: Rite of Insanity. The subject can, as a melee touch attack, cause a foe to become confused for 1d4 rounds (DC 13 Will negates). Augmented: This boon can be used twice.  Magic: Arcane Obeisance. The subject gains a +2 sacred bonus on Spellcraft checks made while researching a spell or crafting a magic item. Augmented: The subject gains a +2 sacred bonus on Knowledge (arcana) or (religion) checks made while researching a spell.  Nobility: Knighting Ceremony. The subject receives a +1 sacred bonus on attack and damage rolls with one weapon of her choice. Augmented: The bonus becomes +2.  Plant: Harvest Festival. The subject can use speak with plants once, but the duration is 1 minute. Augmented: This boon can be used three times.  Protection: Ceremony of Sanctuary. The subject can use sanctuary once. Augmented: The subject gains a +2 sacred bonus to AC.  Repose: Spirit Ward. The subject can attempt a melee touch attack against a flat-footed foe to put him to sleep for 1d4 rounds. Augmented: This boon can be used three times.  Rune: Ancestral Observance. The subject gains a +2 sacred bonus on saves against language-dependent effects. Augmented: The subject gains a +2 sacred bonus on Linguistics checks.  Scalykind: Song of Serpents. The subject gains a +2 sacred bonus on saves against gaze attacks. Augmented: The subject gains a +4 sacred bonus to AC against the distraction attack of swarms.  Strength: Ritual of Might. The subject gains a +1 sacred bonus on Strength-based skill checks and Strength checks. Augmented: The bonus becomes +2.  Sun: Solstice Celebration. The illumination radius of any torch or other mundane light source held by the subject increases by 10 feet. Augmented: The subject gains a +4 sacred bonus against effects with the light descriptor.  Travel: Festival of Journeys. The subject can choose to ignore the effects of difficult terrain for 1 round. Augmented: This boon may be used three times.  Trickery: Communion of Liars. The subject gains a +2 sacred bonus to AC the first time he is attacked while flanked. Augmented: This boon functions the first three times the subject is attacked while flanked.  Void: Celestial Observance. The subject knows the direction of north from her current position for the duration of this spell. Augmented: The subject is immune to confusion effects.  War: Call to Battle. The subject gains a +1 sacred bonus on attack rolls. Augmented: The subject gains a +1 sacred bonus on damage rolls.  Water: Water Blessing. The subject can use water breathing. Augmented: The subject gains a +4 sacred bonus on saves against effects with the water descriptor.  Weather: Song of the Tempest. The subject can call one 10-foot-by-10-foot rain cloud in an area within 30 feet, requiring creatures in the affected area attempting to cast spells to first succeed at DC 13 concentration checks for 1 round. Augmented: The DC is 15 for 3 rounds.</t>
  </si>
  <si>
    <t>&lt;p&gt;You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&lt;i&gt;Pathfinder RPG Ultimate Campaign&lt;/i&gt;,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&lt;i&gt;Augmented&lt;/i&gt;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&lt;br&gt;&lt;b&gt;Funeral:&lt;/b&gt; A funeral service must involve a corpse and at least one willing companion or next of kin. The subject gains a +2 sacred bonus against death effects.  &lt;br&gt;&lt;b&gt;Holiday Fete:&lt;/b&gt; A holiday fete may involve up to two willing creatures. The subject gains a +1 sacred bonus on Fortitude saves.  &lt;br&gt;&lt;b&gt;Marriage:&lt;/b&gt; A marriage must involve two willing creatures. The subject gains a +1 sacred bonus on saves against fear and emotion effects.  &lt;br&gt;&lt;b&gt;Naming:&lt;/b&gt; A naming must involve a willing parent or parents and a newborn (who is touched but unaffected). The subject can use &lt;i&gt;sanctuary&lt;/i&gt;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&lt;br&gt;&lt;b&gt;Air:&lt;/b&gt; Celebration of Storms. The subject can use &lt;i&gt;feather fall&lt;/i&gt; once. &lt;i&gt;Augmented&lt;/i&gt;: The subject gains a +4 sacred bonus on saves against effects with the air descriptor.  &lt;br&gt;&lt;b&gt;Animal:&lt;/b&gt; Ritual of Beasts. The subject can use &lt;i&gt;speak with animals&lt;/i&gt; once (this effect lasts 3 rounds). &lt;i&gt;Augmented&lt;/i&gt;: The subject can use &lt;i&gt;charm animal&lt;/i&gt; once.  &lt;br&gt;&lt;b&gt;Artifice:&lt;/b&gt; Apparatus's Observance. The subject can heal a construct creature with a touch, healing 1d3 points of damage. &lt;i&gt;Augmented&lt;/i&gt;: The subject can heal a construct creature 1d6 points of damage.  &lt;br&gt;&lt;b&gt;Chaos:&lt;/b&gt; Anarchic Revelry. The subject can force a lawful-aligned foe within 30 feet to roll an attack roll twice and take the less favorable result. This ability must be announced before the first attack roll is made. &lt;i&gt;Augmented&lt;/i&gt;: The first time the subject deals damage to a foe with a melee attack, the attack is treated as chaotic for the purpose of overcoming DR.  &lt;br&gt;&lt;b&gt;Charm:&lt;/b&gt; Jubilee of Delight. The subject gains a +2 sacred bonus on his next Bluff, Diplomacy, or Intimidate check. &lt;i&gt;Augmented&lt;/i&gt;: The subject gains a +2 sacred bonus on saving throws against charm and compulsion effects.  &lt;br&gt;&lt;b&gt;Community:&lt;/b&gt; Celebration of Bonding. As a standard action, the subject can heal a touched creature 1d6 points of nonlethal damage. &lt;i&gt;Augmented&lt;/i&gt;: The subject is cured of the fatigued, shaken, and sickened conditions.  &lt;br&gt;&lt;b&gt;Darkness:&lt;/b&gt; Glorify Shadows. The subject gains darkvision to a range of 30 feet (or increases current range of darkvision by 10 feet). &lt;i&gt;Augmented&lt;/i&gt;: The subject increases range of darkvision by 30 feet.  &lt;br&gt;&lt;b&gt;Death:&lt;/b&gt; Dance of the Dead. The subject can use &lt;i&gt;bleed&lt;/i&gt; up to three times. &lt;i&gt;Augmented&lt;/i&gt;: The subject can use &lt;i&gt;cause fear&lt;/i&gt; once.  &lt;br&gt;&lt;b&gt;Destruction:&lt;/b&gt; Day of Dismantling. The subject gains a +1 sacred bonus on attacks and damage rolls against inanimate objects. &lt;i&gt;Augmented&lt;/i&gt;: The bonus becomes +2.  &lt;br&gt;&lt;b&gt;Earth:&lt;/b&gt; Festival of Soil. The subject can cast &lt;i&gt;plant growth&lt;/i&gt; (enrichment) once. &lt;i&gt;Augmented&lt;/i&gt;: The subject gains a +4 sacred bonus on saves against effects with the earth descriptor.  &lt;br&gt;&lt;b&gt;Evil:&lt;/b&gt; Unholy Gala. The subject can cause a good-aligned foe to become sickened for 1 round as a melee touch attack. &lt;i&gt;Augmented&lt;/i&gt;: This boon can be used three times.  &lt;br&gt;&lt;b&gt;Fire:&lt;/b&gt; Fire Calling. Nonmagical fires the subject makes cannot be extinguished by nonmagical means, though spells and other magical effects function as normal. &lt;i&gt;Augmented&lt;/i&gt;: The subject gains a +4 sacred bonus on saves against effects with the fire descriptor.  &lt;br&gt;&lt;b&gt;Glory:&lt;/b&gt; Resplendent Feast. The subject receives a +2 bonus on a single Charisma-based skill check. &lt;i&gt;Augmented&lt;/i&gt;: This boon can be used three times.  &lt;br&gt;&lt;b&gt;Good:&lt;/b&gt; Festival of Benevolence. The subject gains a +1 sacred bonus on melee attacks and melee damage rolls against evil-aligned foes. &lt;i&gt;Augmented&lt;/i&gt;: The bonus becomes +2.  &lt;br&gt;&lt;b&gt;Healing:&lt;/b&gt; Touch of Assuagement. The subject can heal a dying creature 1d4 hit points as a standard action. &lt;i&gt;Augmented&lt;/i&gt;: This boon can be used three times.  &lt;br&gt;&lt;b&gt;Knowledge:&lt;/b&gt; Liturgy of Learning. The subject can attempt any Knowledge skill check untrained. &lt;i&gt;Augmented&lt;/i&gt;: This boon can be used three times.  &lt;br&gt;&lt;b&gt;Law:&lt;/b&gt; Observance of Order. The subject gains a +5 sacred bonus on the next combat maneuver check she makes against a chaotic-aligned foe. &lt;i&gt;Augmented&lt;/i&gt;: The subject gains a +2 sacred bonus to CMD against chaotic-aligned foes.  &lt;br&gt;&lt;b&gt;Liberation:&lt;/b&gt; Freedom Festival. The subject can use &lt;i&gt;remove fear&lt;/i&gt; once. &lt;i&gt;Augmented&lt;/i&gt;: The subject gains a +2 sacred bonus to CMD.  &lt;br&gt;&lt;b&gt;Luck:&lt;/b&gt; Fete of Fortune. The next time the subject rolls a d20, he may roll twice and take the more favorable result. &lt;i&gt;Augmented&lt;/i&gt;: The subject may use this ability on any single d20 roll, not just the next one.  &lt;br&gt;&lt;b&gt;Madness:&lt;/b&gt; Rite of Insanity. The subject can, as a melee touch attack, cause a foe to become confused for 1d4 rounds (DC 13 Will negates). &lt;i&gt;Augmented&lt;/i&gt;: This boon can be used twice.  &lt;br&gt;&lt;b&gt;Magic:&lt;/b&gt; Arcane Obeisance. The subject gains a +2 sacred bonus on Spellcraft checks made while researching a spell or crafting a magic item. &lt;i&gt;Augmented&lt;/i&gt;: The subject gains a +2 sacred bonus on Knowledge (arcana) or (religion) checks made while researching a spell.  &lt;br&gt;&lt;b&gt;Nobility:&lt;/b&gt; Knighting Ceremony. The subject receives a +1 sacred bonus on attack and damage rolls with one weapon of her choice. &lt;i&gt;Augmented&lt;/i&gt;: The bonus becomes +2.  &lt;br&gt;&lt;b&gt;Plant:&lt;/b&gt; Harvest Festival. The subject can use &lt;i&gt;speak with plants&lt;/i&gt; once, but the duration is 1 minute. &lt;i&gt;Augmented&lt;/i&gt;: This boon can be used three times.  &lt;br&gt;&lt;b&gt;Protection:&lt;/b&gt; Ceremony of Sanctuary. The subject can use &lt;i&gt;sanctuary&lt;/i&gt; once. &lt;i&gt;Augmented&lt;/i&gt;: The subject gains a +2 sacred bonus to AC.  &lt;br&gt;&lt;b&gt;Repose:&lt;/b&gt; Spirit Ward. The subject can attempt a melee touch attack against a flat-footed foe to put him to sleep for 1d4 rounds. &lt;i&gt;Augmented&lt;/i&gt;: This boon can be used three times.  &lt;br&gt;&lt;b&gt;Rune:&lt;/b&gt; Ancestral Observance. The subject gains a +2 sacred bonus on saves against language-dependent effects. &lt;i&gt;Augmented&lt;/i&gt;: The subject gains a +2 sacred bonus on Linguistics checks.  &lt;br&gt;&lt;b&gt;Scalykind:&lt;/b&gt; Song of Serpents. The subject gains a +2 sacred bonus on saves against gaze attacks. &lt;i&gt;Augmented&lt;/i&gt;: The subject gains a +4 sacred bonus to AC against the distraction attack of swarms.  &lt;br&gt;&lt;b&gt;Strength:&lt;/b&gt; Ritual of Might. The subject gains a +1 sacred bonus on Strength-based skill checks and Strength checks. &lt;i&gt;Augmented&lt;/i&gt;: The bonus becomes +2.  &lt;br&gt;&lt;b&gt;Sun:&lt;/b&gt; Solstice Celebration. The illumination radius of any torch or other mundane light source held by the subject increases by 10 feet. &lt;i&gt;Augmented&lt;/i&gt;: The subject gains a +4 sacred bonus against effects with the light descriptor.  &lt;br&gt;&lt;b&gt;Travel:&lt;/b&gt; Festival of Journeys. The subject can choose to ignore the effects of difficult terrain for 1 round. &lt;i&gt;Augmented&lt;/i&gt;: This boon may be used three times.  &lt;br&gt;&lt;b&gt;Trickery:&lt;/b&gt; Communion of Liars. The subject gains a +2 sacred bonus to AC the first time he is attacked while flanked. &lt;i&gt;Augmented&lt;/i&gt;: This boon functions the first three times the subject is attacked while flanked.  &lt;br&gt;&lt;b&gt;Void:&lt;/b&gt; Celestial Observance. The subject knows the direction of north from her current position for the duration of this spell. &lt;i&gt;Augmented&lt;/i&gt;: The subject is immune to confusion effects.  &lt;br&gt;&lt;b&gt;War:&lt;/b&gt; Call to Battle. The subject gains a +1 sacred bonus on attack rolls. &lt;i&gt;Augmented&lt;/i&gt;: The subject gains a +1 sacred bonus on damage rolls.  &lt;br&gt;&lt;b&gt;Water:&lt;/b&gt; Water Blessing. The subject can use &lt;i&gt;water breathing&lt;/i&gt;. &lt;i&gt;Augmented&lt;/i&gt;: The subject gains a +4 sacred bonus on saves against effects with the water descriptor.  &lt;br&gt;&lt;b&gt;Weather:&lt;/b&gt; Song of the Tempest. The subject can call one 10-foot-by-10-foot rain cloud in an area within 30 feet, requiring creatures in the affected area attempting to cast spells to first succeed at DC 13 concentration checks for 1 round. &lt;i&gt;Augmented&lt;/i&gt;: The DC is 15 for 3 rounds.&lt;/p&gt;</t>
  </si>
  <si>
    <t>&lt;link rel="stylesheet"href="PF.css"&gt;&lt;div class="heading"&gt;&lt;p class="alignleft"&gt;Ceremony&lt;/p&gt;&lt;div style="clear: both;"&gt;&lt;/div&gt;&lt;/div&gt;&lt;div&gt;&lt;h5&gt;&lt;b&gt;School &lt;/b&gt;transmutation; &lt;b&gt;Level &lt;/b&gt;cleric/oracle 1&lt;/h5&gt;&lt;/div&gt;&lt;hr/&gt;&lt;div&gt;&lt;h5&gt;&lt;b&gt;CASTING&lt;/b&gt;&lt;/h5&gt;&lt;/div&gt;&lt;hr/&gt;&lt;div&gt;&lt;h5&gt;&lt;b&gt;Casting Time &lt;/b&gt;8 hours&lt;/h5&gt;&lt;h5&gt;&lt;b&gt;Components &lt;/b&gt;V, S, DF&lt;/h5&gt;&lt;/div&gt;&lt;hr/&gt;&lt;div&gt;&lt;h5&gt;&lt;b&gt;EFFECT&lt;/b&gt;&lt;/h5&gt;&lt;/div&gt;&lt;hr/&gt;&lt;div&gt;&lt;h5&gt;&lt;b&gt;Range &lt;/b&gt;touch or medium (100 ft. + 10 ft./level) (see text)&lt;/h5&gt;&lt;h5&gt;&lt;b&gt;Targets &lt;/b&gt;willing, living creature or creatures touched or one creature/level (see text)&lt;/h5&gt;&lt;h5&gt;&lt;b&gt;Duration &lt;/b&gt;1 hour/level or 1 day/level (see text)&lt;/h5&gt;&lt;h5&gt;&lt;b&gt;Saving Throw &lt;/b&gt;Will negates (see text); &lt;b&gt;Spell Resistance &lt;/b&gt;yes&lt;/h5&gt;&lt;/div&gt;&lt;hr/&gt;&lt;div&gt;&lt;h5&gt;&lt;b&gt;DESCRIPTION&lt;/b&gt;&lt;/h5&gt;&lt;/div&gt;&lt;hr/&gt;&lt;div&gt;&lt;h4&gt;&lt;p&gt;You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&lt;i&gt;Pathfinder RPG Ultimate Campaign&lt;/i&gt;,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&lt;i&gt;Augmented&lt;/i&gt;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&lt;br&gt;&lt;b&gt;Funeral:&lt;/b&gt; A funeral service must involve a corpse and at least one willing companion or next of kin. The subject gains a +2 sacred bonus against death effects.  &lt;br&gt;&lt;b&gt;Holiday Fete:&lt;/b&gt; A holiday fete may involve up to two willing creatures. The subject gains a +1 sacred bonus on Fortitude saves.  &lt;br&gt;&lt;b&gt;Marriage:&lt;/b&gt; A marriage must involve two willing creatures. The subject gains a +1 sacred bonus on saves against fear and emotion effects.  &lt;br&gt;&lt;b&gt;Naming:&lt;/b&gt; A naming must involve a willing parent or parents and a newborn (who is touched but unaffected). The subject can use &lt;i&gt;sanctuary&lt;/i&gt;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&lt;br&gt;&lt;b&gt;Air:&lt;/b&gt; Celebration of Storms. The subject can use &lt;i&gt;feather fall&lt;/i&gt; once. &lt;i&gt;Augmented&lt;/i&gt;: The subject gains a +4 sacred bonus on saves against effects with the air descriptor.  &lt;br&gt;&lt;b&gt;Animal:&lt;/b&gt; Ritual of Beasts. The subject can use &lt;i&gt;speak with animals&lt;/i&gt; once (this effect lasts 3 rounds). &lt;i&gt;Augmented&lt;/i&gt;: The subject can use &lt;i&gt;charm animal&lt;/i&gt; once.  &lt;br&gt;&lt;b&gt;Artifice:&lt;/b&gt; Apparatus's Observance. The subject can heal a construct creature with a touch, healing 1d3 points of damage. &lt;i&gt;Augmented&lt;/i&gt;: The subject can heal a construct creature 1d6 points of damage.  &lt;br&gt;&lt;b&gt;Chaos:&lt;/b&gt; Anarchic Revelry. The subject can force a lawful-aligned foe within 30 feet to roll an attack roll twice and take the less favorable result. This ability must be announced before the first attack roll is made. &lt;i&gt;Augmented&lt;/i&gt;: The first time the subject deals damage to a foe with a melee attack, the attack is treated as chaotic for the purpose of overcoming DR.  &lt;br&gt;&lt;b&gt;Charm:&lt;/b&gt; Jubilee of Delight. The subject gains a +2 sacred bonus on his next Bluff, Diplomacy, or Intimidate check. &lt;i&gt;Augmented&lt;/i&gt;: The subject gains a +2 sacred bonus on saving throws against charm and compulsion effects.  &lt;br&gt;&lt;b&gt;Community:&lt;/b&gt; Celebration of Bonding. As a standard action, the subject can heal a touched creature 1d6 points of nonlethal damage. &lt;i&gt;Augmented&lt;/i&gt;: The subject is cured of the fatigued, shaken, and sickened conditions.  &lt;br&gt;&lt;b&gt;Darkness:&lt;/b&gt; Glorify Shadows. The subject gains darkvision to a range of 30 feet (or increases current range of darkvision by 10 feet). &lt;i&gt;Augmented&lt;/i&gt;: The subject increases range of darkvision by 30 feet.  &lt;br&gt;&lt;b&gt;Death:&lt;/b&gt; Dance of the Dead. The subject can use &lt;i&gt;bleed&lt;/i&gt; up to three times. &lt;i&gt;Augmented&lt;/i&gt;: The subject can use &lt;i&gt;cause fear&lt;/i&gt; once.  &lt;br&gt;&lt;b&gt;Destruction:&lt;/b&gt; Day of Dismantling. The subject gains a +1 sacred bonus on attacks and damage rolls against inanimate objects. &lt;i&gt;Augmented&lt;/i&gt;: The bonus becomes +2.  &lt;br&gt;&lt;b&gt;Earth:&lt;/b&gt; Festival of Soil. The subject can cast &lt;i&gt;plant growth&lt;/i&gt; (enrichment) once. &lt;i&gt;Augmented&lt;/i&gt;: The subject gains a +4 sacred bonus on saves against effects with the earth descriptor.  &lt;br&gt;&lt;b&gt;Evil:&lt;/b&gt; Unholy Gala. The subject can cause a good-aligned foe to become sickened for 1 round as a melee touch attack. &lt;i&gt;Augmented&lt;/i&gt;: This boon can be used three times.  &lt;br&gt;&lt;b&gt;Fire:&lt;/b&gt; Fire Calling. Nonmagical fires the subject makes cannot be extinguished by nonmagical means, though spells and other magical effects function as normal. &lt;i&gt;Augmented&lt;/i&gt;: The subject gains a +4 sacred bonus on saves against effects with the fire descriptor.  &lt;br&gt;&lt;b&gt;Glory:&lt;/b&gt; Resplendent Feast. The subject receives a +2 bonus on a single Charisma-based skill check. &lt;i&gt;Augmented&lt;/i&gt;: This boon can be used three times.  &lt;br&gt;&lt;b&gt;Good:&lt;/b&gt; Festival of Benevolence. The subject gains a +1 sacred bonus on melee attacks and melee damage rolls against evil-aligned foes. &lt;i&gt;Augmented&lt;/i&gt;: The bonus becomes +2.  &lt;br&gt;&lt;b&gt;Healing:&lt;/b&gt; Touch of Assuagement. The subject can heal a dying creature 1d4 hit points as a standard action. &lt;i&gt;Augmented&lt;/i&gt;: This boon can be used three times.  &lt;br&gt;&lt;b&gt;Knowledge:&lt;/b&gt; Liturgy of Learning. The subject can attempt any &lt;br&gt;&lt;b&gt;Knowledge&lt;/b&gt; skill check untrained. &lt;i&gt;Augmented&lt;/i&gt;: This boon can be used three times.  &lt;br&gt;&lt;b&gt;Law:&lt;/b&gt; Observance of Order. The subject gains a +5 sacred bonus on the next combat maneuver check she makes against a chaotic-aligned foe. &lt;i&gt;Augmented&lt;/i&gt;: The subject gains a +2 sacred bonus to CMD against chaotic-aligned foes.  &lt;br&gt;&lt;b&gt;Liberation:&lt;/b&gt; Freedom Festival. The subject can use &lt;i&gt;remove fear&lt;/i&gt; once. &lt;i&gt;Augmented&lt;/i&gt;: The subject gains a +2 sacred bonus to CMD.  &lt;br&gt;&lt;b&gt;Luck:&lt;/b&gt; Fete of Fortune. The next time the subject rolls a d20, he may roll twice and take the more favorable result. &lt;i&gt;Augmented&lt;/i&gt;: The subject may use this ability on any single d20 roll, not just the next one.  &lt;br&gt;&lt;b&gt;Madness:&lt;/b&gt; Rite of Insanity. The subject can, as a melee touch attack, cause a foe to become confused for 1d4 rounds (DC 13 Will negates). &lt;i&gt;Augmented&lt;/i&gt;: This boon can be used twice.  &lt;br&gt;&lt;b&gt;Magic:&lt;/b&gt; Arcane Obeisance. The subject gains a +2 sacred bonus on Spellcraft checks made while researching a spell or crafting a magic item. &lt;i&gt;Augmented&lt;/i&gt;: The subject gains a +2 sacred bonus on Knowledge (arcana) or (religion) checks made while researching a spell.  &lt;br&gt;&lt;b&gt;Nobility:&lt;/b&gt; Knighting Ceremony. The subject receives a +1 sacred bonus on attack and damage rolls with one weapon of her choice. &lt;i&gt;Augmented&lt;/i&gt;: The bonus becomes +2.  &lt;br&gt;&lt;b&gt;Plant:&lt;/b&gt; Harvest Festival. The subject can use &lt;i&gt;speak with plants&lt;/i&gt; once, but the duration is 1 minute. &lt;i&gt;Augmented&lt;/i&gt;: This boon can be used three times.  &lt;br&gt;&lt;b&gt;Protection:&lt;/b&gt; Ceremony of Sanctuary. The subject can use &lt;i&gt;sanctuary&lt;/i&gt; once. &lt;i&gt;Augmented&lt;/i&gt;: The subject gains a +2 sacred bonus to AC.  &lt;br&gt;&lt;b&gt;Repose:&lt;/b&gt; Spirit Ward. The subject can attempt a melee touch attack against a flat-footed foe to put him to sleep for 1d4 rounds. &lt;i&gt;Augmented&lt;/i&gt;: This boon can be used three times.  &lt;br&gt;&lt;b&gt;Rune:&lt;/b&gt; Ancestral Observance. The subject gains a +2 sacred bonus on saves against language-dependent effects. &lt;i&gt;Augmented&lt;/i&gt;: The subject gains a +2 sacred bonus on Linguistics checks.  &lt;br&gt;&lt;b&gt;Scalykind:&lt;/b&gt; Song of Serpents. The subject gains a +2 sacred bonus on saves against gaze attacks. &lt;i&gt;Augmented&lt;/i&gt;: The subject gains a +4 sacred bonus to AC against the distraction attack of swarms.  &lt;br&gt;&lt;b&gt;Strength:&lt;/b&gt; Ritual of Might. The subject gains a +1 sacred bonus on Strength-based skill checks and Strength checks. &lt;i&gt;Augmented&lt;/i&gt;: The bonus becomes +2.  &lt;br&gt;&lt;b&gt;Sun:&lt;/b&gt; Solstice Celebration. The illumination radius of any torch or other mundane light source held by the subject increases by 10 feet. &lt;i&gt;Augmented&lt;/i&gt;: The subject gains a +4 sacred bonus against effects with the light descriptor.  &lt;br&gt;&lt;b&gt;Travel:&lt;/b&gt; Festival of Journeys. The subject can choose to ignore the effects of difficult terrain for 1 round. &lt;i&gt;Augmented&lt;/i&gt;: This boon may be used three times.  &lt;br&gt;&lt;b&gt;Trickery:&lt;/b&gt; Communion of Liars. The subject gains a +2 sacred bonus to AC the first time he is attacked while flanked. &lt;i&gt;Augmented&lt;/i&gt;: This boon functions the first three times the subject is attacked while flanked.  &lt;br&gt;&lt;b&gt;Void:&lt;/b&gt; Celestial Observance. The subject knows the direction of north from her current position for the duration of this spell. &lt;i&gt;Augmented&lt;/i&gt;: The subject is immune to confusion effects.  &lt;br&gt;&lt;b&gt;War:&lt;/b&gt; Call to Battle. The subject gains a +1 sacred bonus on attack rolls. &lt;i&gt;Augmented&lt;/i&gt;: The subject gains a +1 sacred bonus on damage rolls.  &lt;br&gt;&lt;b&gt;Water:&lt;/b&gt; Water Blessing. The subject can use &lt;i&gt;water breathing&lt;/i&gt;. &lt;i&gt;Augmented&lt;/i&gt;: The subject gains a +4 sacred bonus on saves against effects with the water descriptor.  &lt;br&gt;&lt;b&gt;Weather:&lt;/b&gt; Song of the Tempest. The subject can call one 10-foot-by-10-foot rain cloud in an area within 30 feet, requiring creatures in the affected area attempting to cast spells to first succeed at DC 13 concentration checks for 1 round. &lt;i&gt;Augmented&lt;/i&gt;: The DC is 15 for 3 rounds.&lt;/p&gt;&lt;/h4&gt;&lt;/div&gt;</t>
  </si>
  <si>
    <t>Dragon Turtle Shell</t>
  </si>
  <si>
    <t>alchemist 3, cleric/oracle 3, druid 2, sorcerer/wizard 3</t>
  </si>
  <si>
    <t>V, S, M (a piece of turtle shell)</t>
  </si>
  <si>
    <t>When you are struck by an opponent's natural attacks, the damage is resolved as if the attack came from a creature one size smaller per 5 caster levels (maximum of four size categories smaller at CL 20th). Refer to Table 3-1 in the Pathfinder RPG Bestiary to determine an attack's altered base damage. If the creature's natural attack deals nonstandard damage, refer instead to the Improved Natural Attack feat on page 315 of the Bestiary. It is not possible to reduce the base damage of a creature's natural attack below 1d2 with this spell.</t>
  </si>
  <si>
    <t>&lt;p&gt;When you are struck by an opponent's natural attacks, the damage is resolved as if the attack came from a creature one size smaller per 5 caster levels (maximum of four size categories smaller at CL 20th). Refer to Table 3-1 in the &lt;i&gt;Pathfinder RPG &lt;i&gt;Bestiary&lt;/i&gt;&lt;/i&gt; to determine an attack's altered base damage. If the creature's natural attack deals nonstandard damage, refer instead to the Improved Natural Attack feat on page 315 of the &lt;i&gt;Bestiary&lt;/i&gt;. It is not possible to reduce the base damage of a creature's natural attack below 1d2 with this spell.&lt;/p&gt;</t>
  </si>
  <si>
    <t>Dragonslayer's Handbook</t>
  </si>
  <si>
    <t>&lt;link rel="stylesheet"href="PF.css"&gt;&lt;div class="heading"&gt;&lt;p class="alignleft"&gt;Dragon Turtle Shell&lt;/p&gt;&lt;div style="clear: both;"&gt;&lt;/div&gt;&lt;/div&gt;&lt;div&gt;&lt;h5&gt;&lt;b&gt;School &lt;/b&gt;abjuration; &lt;b&gt;Level &lt;/b&gt;alchemist 3, cleric/oracle 3, druid 2, sorcerer/wizard 3&lt;/h5&gt;&lt;/div&gt;&lt;hr/&gt;&lt;div&gt;&lt;h5&gt;&lt;b&gt;CASTING&lt;/b&gt;&lt;/h5&gt;&lt;/div&gt;&lt;hr/&gt;&lt;div&gt;&lt;h5&gt;&lt;b&gt;Casting Time &lt;/b&gt;1 standard action&lt;/h5&gt;&lt;h5&gt;&lt;b&gt;Components &lt;/b&gt;V, S, M (a piece of turtle shell)&lt;/h5&gt;&lt;/div&gt;&lt;hr/&gt;&lt;div&gt;&lt;h5&gt;&lt;b&gt;EFFECT&lt;/b&gt;&lt;/h5&gt;&lt;/div&gt;&lt;hr/&gt;&lt;div&gt;&lt;h5&gt;&lt;b&gt;Range &lt;/b&gt;personal&lt;/h5&gt;&lt;h5&gt;&lt;b&gt;Targets &lt;/b&gt;you&lt;/h5&gt;&lt;h5&gt;&lt;b&gt;Duration &lt;/b&gt;1 round/level&lt;/h5&gt;&lt;/div&gt;&lt;hr/&gt;&lt;div&gt;&lt;h5&gt;&lt;b&gt;DESCRIPTION&lt;/b&gt;&lt;/h5&gt;&lt;/div&gt;&lt;hr/&gt;&lt;div&gt;&lt;h4&gt;&lt;p&gt;When you are struck by an opponent's natural attacks, the damage is resolved as if the attack came from a creature one size smaller per 5 caster levels (maximum of four size categories smaller at CL 20th). Refer to Table 3-1 in the &lt;i&gt;Pathfinder RPG &lt;i&gt;Bestiary&lt;/i&gt;&lt;/i&gt; to determine an attack's altered base damage. If the creature's natural attack deals nonstandard damage, refer instead to the Improved Natural Attack feat on page 315 of the &lt;i&gt;Bestiary&lt;/i&gt;. It is not possible to reduce the base damage of a creature's natural attack below 1d2 with this spell.&lt;/p&gt;&lt;/h4&gt;&lt;/div&gt;</t>
  </si>
  <si>
    <t>Draconic Suppression</t>
  </si>
  <si>
    <t>one dragon</t>
  </si>
  <si>
    <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dominate person spell-like ability. This spell has no effect on a dragon's armor class, feats, frightful presence, hit points, physical attacks, saving throws, senses, size, skills, spellcasting, or statistics.</t>
  </si>
  <si>
    <t>&lt;p&gt;A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&lt;i&gt;dominate person&lt;/i&gt; spell-like ability. This spell has no effect on a dragon's armor class, feats, frightful presence, hit points, physical attacks, saving throws, senses, size, skills, spellcasting, or statistics.&lt;/p&gt;</t>
  </si>
  <si>
    <t>&lt;link rel="stylesheet"href="PF.css"&gt;&lt;div class="heading"&gt;&lt;p class="alignleft"&gt;Draconic Suppression&lt;/p&gt;&lt;div style="clear: both;"&gt;&lt;/div&gt;&lt;/div&gt;&lt;div&gt;&lt;h5&gt;&lt;b&gt;School &lt;/b&gt;abjuration; &lt;b&gt;Level &lt;/b&gt;sorcerer/wizard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dragon&lt;/h5&gt;&lt;h5&gt;&lt;b&gt;Duration &lt;/b&gt;1 round/level (D)&lt;/h5&gt;&lt;h5&gt;&lt;b&gt;Saving Throw &lt;/b&gt;Fortitude negates; &lt;b&gt;Spell Resistance &lt;/b&gt;yes&lt;/h5&gt;&lt;/div&gt;&lt;hr/&gt;&lt;div&gt;&lt;h5&gt;&lt;b&gt;DESCRIPTION&lt;/b&gt;&lt;/h5&gt;&lt;/div&gt;&lt;hr/&gt;&lt;div&gt;&lt;h4&gt;&lt;p&gt;A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&lt;i&gt;dominate person&lt;/i&gt; spell-like ability. This spell has no effect on a dragon's armor class, feats, frightful presence, hit points, physical attacks, saving throws, senses, size, skills, spellcasting, or statistics.&lt;/p&gt;&lt;/h4&gt;&lt;/div&gt;</t>
  </si>
  <si>
    <t>Dragonvoice</t>
  </si>
  <si>
    <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t>
  </si>
  <si>
    <t>&lt;p&gt;By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on.&lt;/p&gt;</t>
  </si>
  <si>
    <t>&lt;link rel="stylesheet"href="PF.css"&gt;&lt;div class="heading"&gt;&lt;p class="alignleft"&gt;Dragonvoice&lt;/p&gt;&lt;div style="clear: both;"&gt;&lt;/div&gt;&lt;/div&gt;&lt;div&gt;&lt;h5&gt;&lt;b&gt;School &lt;/b&gt;transmutation; &lt;b&gt;Level &lt;/b&gt;alchemist 2, bard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on.&lt;/p&gt;&lt;/h4&gt;&lt;/div&gt;</t>
  </si>
  <si>
    <t>Dungeonsight</t>
  </si>
  <si>
    <t>bard 4, cleric/oracle 5, inquisitor 4, sorcerer/wizard 5</t>
  </si>
  <si>
    <t>V, S, F (a small glass orb worth 150 gp)</t>
  </si>
  <si>
    <t>60-ft.-radius emanation</t>
  </si>
  <si>
    <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t>
  </si>
  <si>
    <t>&lt;p&gt;You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them.&lt;/p&gt;</t>
  </si>
  <si>
    <t>&lt;link rel="stylesheet"href="PF.css"&gt;&lt;div class="heading"&gt;&lt;p class="alignleft"&gt;Dungeonsight&lt;/p&gt;&lt;div style="clear: both;"&gt;&lt;/div&gt;&lt;/div&gt;&lt;div&gt;&lt;h5&gt;&lt;b&gt;School &lt;/b&gt;divination; &lt;b&gt;Level &lt;/b&gt;bard 4, cleric/oracle 5, inquisitor 4, sorcerer/wizard 5&lt;/h5&gt;&lt;/div&gt;&lt;hr/&gt;&lt;div&gt;&lt;h5&gt;&lt;b&gt;CASTING&lt;/b&gt;&lt;/h5&gt;&lt;/div&gt;&lt;hr/&gt;&lt;div&gt;&lt;h5&gt;&lt;b&gt;Casting Time &lt;/b&gt;1 standard action&lt;/h5&gt;&lt;h5&gt;&lt;b&gt;Components &lt;/b&gt;V, S, F (a small glass orb worth 150 gp)&lt;/h5&gt;&lt;/div&gt;&lt;hr/&gt;&lt;div&gt;&lt;h5&gt;&lt;b&gt;EFFECT&lt;/b&gt;&lt;/h5&gt;&lt;/div&gt;&lt;hr/&gt;&lt;div&gt;&lt;h5&gt;&lt;b&gt;Range &lt;/b&gt;personal&lt;/h5&gt;&lt;h5&gt;&lt;b&gt;Area &lt;/b&gt;60-ft.-radius emanation&lt;/h5&gt;&lt;h5&gt;&lt;b&gt;Duration &lt;/b&gt;instantaneous&lt;/h5&gt;&lt;/div&gt;&lt;hr/&gt;&lt;div&gt;&lt;h5&gt;&lt;b&gt;DESCRIPTION&lt;/b&gt;&lt;/h5&gt;&lt;/div&gt;&lt;hr/&gt;&lt;div&gt;&lt;h4&gt;&lt;p&gt;You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them.&lt;/p&gt;&lt;/h4&gt;&lt;/div&gt;</t>
  </si>
  <si>
    <t>Erode Defenses</t>
  </si>
  <si>
    <t>Fortitude negates (see below)</t>
  </si>
  <si>
    <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erode defenses spell can affect a particular target at any one time.</t>
  </si>
  <si>
    <t>&lt;p&gt;Your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&lt;i&gt;erode defenses&lt;/i&gt; spell can affect a particular target at any one time.&lt;/p&gt;</t>
  </si>
  <si>
    <t>&lt;link rel="stylesheet"href="PF.css"&gt;&lt;div class="heading"&gt;&lt;p class="alignleft"&gt;Erode Defenses&lt;/p&gt;&lt;div style="clear: both;"&gt;&lt;/div&gt;&lt;/div&gt;&lt;div&gt;&lt;h5&gt;&lt;b&gt;School &lt;/b&gt;transmutation; &lt;b&gt;Level &lt;/b&gt;magus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round/level&lt;/h5&gt;&lt;h5&gt;&lt;b&gt;Saving Throw &lt;/b&gt;Fortitude negates (see below); &lt;b&gt;Spell Resistance &lt;/b&gt;yes&lt;/h5&gt;&lt;/div&gt;&lt;hr/&gt;&lt;div&gt;&lt;h5&gt;&lt;b&gt;DESCRIPTION&lt;/b&gt;&lt;/h5&gt;&lt;/div&gt;&lt;hr/&gt;&lt;div&gt;&lt;h4&gt;&lt;p&gt;Your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&lt;i&gt;erode defenses&lt;/i&gt; spell can affect a particular target at any one time.&lt;/p&gt;&lt;/h4&gt;&lt;/div&gt;</t>
  </si>
  <si>
    <t>Gravity Well</t>
  </si>
  <si>
    <t>druid 6, sorcerer/wizard 5</t>
  </si>
  <si>
    <t>V, S, M (a small lead weight)</t>
  </si>
  <si>
    <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Freedom of movement negates the effects of this spell. A creature targeted by gravity well behaves normally in the area of a reverse gravity spell.</t>
  </si>
  <si>
    <t>&lt;p&gt;You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&lt;i&gt;Freedom of movement&lt;/i&gt; negates the effects of this spell. A creature targeted by &lt;i&gt;gravity well&lt;/i&gt; behaves normally in the area of a &lt;i&gt;reverse gravity&lt;/i&gt; spell.&lt;/p&gt;</t>
  </si>
  <si>
    <t>&lt;link rel="stylesheet"href="PF.css"&gt;&lt;div class="heading"&gt;&lt;p class="alignleft"&gt;Gravity Well&lt;/p&gt;&lt;div style="clear: both;"&gt;&lt;/div&gt;&lt;/div&gt;&lt;div&gt;&lt;h5&gt;&lt;b&gt;School &lt;/b&gt;transmutation; &lt;b&gt;Level &lt;/b&gt;druid 6, sorcerer/wizard 5&lt;/h5&gt;&lt;/div&gt;&lt;hr/&gt;&lt;div&gt;&lt;h5&gt;&lt;b&gt;CASTING&lt;/b&gt;&lt;/h5&gt;&lt;/div&gt;&lt;hr/&gt;&lt;div&gt;&lt;h5&gt;&lt;b&gt;Casting Time &lt;/b&gt;1 standard action&lt;/h5&gt;&lt;h5&gt;&lt;b&gt;Components &lt;/b&gt;V, S, M (a small lead weight)&lt;/h5&gt;&lt;/div&gt;&lt;hr/&gt;&lt;div&gt;&lt;h5&gt;&lt;b&gt;EFFECT&lt;/b&gt;&lt;/h5&gt;&lt;/div&gt;&lt;hr/&gt;&lt;div&gt;&lt;h5&gt;&lt;b&gt;Range &lt;/b&gt;medium (100 ft. + 10 ft./level)&lt;/h5&gt;&lt;h5&gt;&lt;b&gt;Targets &lt;/b&gt;one creature&lt;/h5&gt;&lt;h5&gt;&lt;b&gt;Duration &lt;/b&gt;1 round/level (D)&lt;/h5&gt;&lt;h5&gt;&lt;b&gt;Saving Throw &lt;/b&gt;Fortitude negates; &lt;b&gt;Spell Resistance &lt;/b&gt;no&lt;/h5&gt;&lt;/div&gt;&lt;hr/&gt;&lt;div&gt;&lt;h5&gt;&lt;b&gt;DESCRIPTION&lt;/b&gt;&lt;/h5&gt;&lt;/div&gt;&lt;hr/&gt;&lt;div&gt;&lt;h4&gt;&lt;p&gt;You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&lt;i&gt;Freedom of movement&lt;/i&gt; negates the effects of this spell. A creature targeted by &lt;i&gt;gravity well&lt;/i&gt; behaves normally in the area of a &lt;i&gt;reverse gravity&lt;/i&gt; spell.&lt;/p&gt;&lt;/h4&gt;&lt;/div&gt;</t>
  </si>
  <si>
    <t>Heart Of The Mammoth</t>
  </si>
  <si>
    <t>cleric/oracle 8, druid 8, sorcerer/wizard 8, witch 8</t>
  </si>
  <si>
    <t>V, S, F (a fetish of mammoth hair soaked in dragon's blood)</t>
  </si>
  <si>
    <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keen edge, or similar effects).</t>
  </si>
  <si>
    <t>&lt;p&gt;The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&lt;i&gt;keen edge&lt;/i&gt;, or similar effects).&lt;/p&gt;</t>
  </si>
  <si>
    <t>&lt;link rel="stylesheet"href="PF.css"&gt;&lt;div class="heading"&gt;&lt;p class="alignleft"&gt;Heart Of The Mammoth&lt;/p&gt;&lt;div style="clear: both;"&gt;&lt;/div&gt;&lt;/div&gt;&lt;div&gt;&lt;h5&gt;&lt;b&gt;School &lt;/b&gt;transmutation; &lt;b&gt;Level &lt;/b&gt;cleric/oracle 8, druid 8, sorcerer/wizard 8, witch 8&lt;/h5&gt;&lt;/div&gt;&lt;hr/&gt;&lt;div&gt;&lt;h5&gt;&lt;b&gt;CASTING&lt;/b&gt;&lt;/h5&gt;&lt;/div&gt;&lt;hr/&gt;&lt;div&gt;&lt;h5&gt;&lt;b&gt;Casting Time &lt;/b&gt;1 standard action&lt;/h5&gt;&lt;h5&gt;&lt;b&gt;Components &lt;/b&gt;V, S, F (a fetish of mammoth hair soaked in dragon's blood)&lt;/h5&gt;&lt;/div&gt;&lt;hr/&gt;&lt;div&gt;&lt;h5&gt;&lt;b&gt;EFFECT&lt;/b&gt;&lt;/h5&gt;&lt;/div&gt;&lt;hr/&gt;&lt;div&gt;&lt;h5&gt;&lt;b&gt;Range &lt;/b&gt;touch&lt;/h5&gt;&lt;h5&gt;&lt;b&gt;Targets &lt;/b&gt;creature touched&lt;/h5&gt;&lt;h5&gt;&lt;b&gt;Duration &lt;/b&gt;1 round/level&lt;/h5&gt;&lt;h5&gt;&lt;b&gt;Saving Throw &lt;/b&gt;Will (harmless); &lt;b&gt;Spell Resistance &lt;/b&gt;no&lt;/h5&gt;&lt;/div&gt;&lt;hr/&gt;&lt;div&gt;&lt;h5&gt;&lt;b&gt;DESCRIPTION&lt;/b&gt;&lt;/h5&gt;&lt;/div&gt;&lt;hr/&gt;&lt;div&gt;&lt;h4&gt;&lt;p&gt;The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&lt;i&gt;keen edge&lt;/i&gt;, or similar effects).&lt;/p&gt;&lt;/h4&gt;&lt;/div&gt;</t>
  </si>
  <si>
    <t>Illusory Hoard</t>
  </si>
  <si>
    <t>bard 4, sorcerer/wizard 5</t>
  </si>
  <si>
    <t>S, M (an item from the hoard, see below)</t>
  </si>
  <si>
    <t>Will negates (and see below)</t>
  </si>
  <si>
    <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bags of holding or portable holes, such as a dragon's hoard, a king's treasury, a merchant's strongbox, or a thief's hidden cache.  The material component is any item worth 10 gp or more taken from the original hoard. This item is consumed by the spell.</t>
  </si>
  <si>
    <t>&lt;p&gt;The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&lt;i&gt;bags of holding&lt;/i&gt; or &lt;i&gt;portable holes&lt;/i&gt;, such as a dragon's hoard, a king's treasury, a merchant's strongbox, or a thief's hidden cache.  The material component is any item worth 10 gp or more taken from the original hoard. This item is consumed by the spell.&lt;/p&gt;</t>
  </si>
  <si>
    <t>&lt;link rel="stylesheet"href="PF.css"&gt;&lt;div class="heading"&gt;&lt;p class="alignleft"&gt;Illusory Hoard&lt;/p&gt;&lt;div style="clear: both;"&gt;&lt;/div&gt;&lt;/div&gt;&lt;div&gt;&lt;h5&gt;&lt;b&gt;School &lt;/b&gt;illusion (phantasm) [mind-affecting]; &lt;b&gt;Level &lt;/b&gt;bard 4, sorcerer/wizard 5&lt;/h5&gt;&lt;/div&gt;&lt;hr/&gt;&lt;div&gt;&lt;h5&gt;&lt;b&gt;CASTING&lt;/b&gt;&lt;/h5&gt;&lt;/div&gt;&lt;hr/&gt;&lt;div&gt;&lt;h5&gt;&lt;b&gt;Casting Time &lt;/b&gt;1 standard action&lt;/h5&gt;&lt;h5&gt;&lt;b&gt;Components &lt;/b&gt;S, M (an item from the hoard, see below)&lt;/h5&gt;&lt;/div&gt;&lt;hr/&gt;&lt;div&gt;&lt;h5&gt;&lt;b&gt;EFFECT&lt;/b&gt;&lt;/h5&gt;&lt;/div&gt;&lt;hr/&gt;&lt;div&gt;&lt;h5&gt;&lt;b&gt;Range &lt;/b&gt;medium (100 ft. + 10 ft./level)&lt;/h5&gt;&lt;h5&gt;&lt;b&gt;Targets &lt;/b&gt;one creature&lt;/h5&gt;&lt;h5&gt;&lt;b&gt;Duration &lt;/b&gt;1 hour/level (D)&lt;/h5&gt;&lt;h5&gt;&lt;b&gt;Saving Throw &lt;/b&gt;Will negates (and see below); &lt;b&gt;Spell Resistance &lt;/b&gt;yes&lt;/h5&gt;&lt;/div&gt;&lt;hr/&gt;&lt;div&gt;&lt;h5&gt;&lt;b&gt;DESCRIPTION&lt;/b&gt;&lt;/h5&gt;&lt;/div&gt;&lt;hr/&gt;&lt;div&gt;&lt;h4&gt;&lt;p&gt;The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&lt;i&gt;bags of holding&lt;/i&gt; or &lt;i&gt;portable holes&lt;/i&gt;, such as a dragon's hoard, a king's treasury, a merchant's strongbox, or a thief's hidden cache.  The material component is any item worth 10 gp or more taken from the original hoard. This item is consumed by the spell.&lt;/p&gt;&lt;/h4&gt;&lt;/div&gt;</t>
  </si>
  <si>
    <t>Kreighton's Perusal</t>
  </si>
  <si>
    <t>book touched</t>
  </si>
  <si>
    <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Pathfinder Chronicles; see pages 26-27).</t>
  </si>
  <si>
    <t>&lt;p&gt;You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&lt;i&gt;Pathfinder Chronicles&lt;/i&gt;; see pages 26-27).&lt;/p&gt;</t>
  </si>
  <si>
    <t>Pathfinder Society Primer</t>
  </si>
  <si>
    <t>&lt;link rel="stylesheet"href="PF.css"&gt;&lt;div class="heading"&gt;&lt;p class="alignleft"&gt;Kreighton's Perusal&lt;/p&gt;&lt;div style="clear: both;"&gt;&lt;/div&gt;&lt;/div&gt;&lt;div&gt;&lt;h5&gt;&lt;b&gt;School &lt;/b&gt;divination; &lt;b&gt;Level &lt;/b&gt;bard 1, cleric/oracle 1, magus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&lt;/b&gt;book touched&lt;/h5&gt;&lt;h5&gt;&lt;b&gt;Duration &lt;/b&gt;instantaneous&lt;/h5&gt;&lt;h5&gt;&lt;b&gt;Saving Throw &lt;/b&gt;Will negates (harmless, object); &lt;b&gt;Spell Resistance &lt;/b&gt;yes (harmless, object)&lt;/h5&gt;&lt;/div&gt;&lt;hr/&gt;&lt;div&gt;&lt;h5&gt;&lt;b&gt;DESCRIPTION&lt;/b&gt;&lt;/h5&gt;&lt;/div&gt;&lt;hr/&gt;&lt;div&gt;&lt;h4&gt;&lt;p&gt;You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&lt;i&gt;Pathfinder Chronicles&lt;/i&gt;; see pages 26-27).&lt;/p&gt;&lt;/h4&gt;&lt;/div&gt;</t>
  </si>
  <si>
    <t>Page-Bound Epiphany</t>
  </si>
  <si>
    <t>bard 2, cleric/oracle 2, magus 2, sorcerer/wizard 2</t>
  </si>
  <si>
    <t>V, S, F (a book with blank pages)</t>
  </si>
  <si>
    <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t>
  </si>
  <si>
    <t>&lt;p&gt;You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spell.&lt;/p&gt;</t>
  </si>
  <si>
    <t>&lt;link rel="stylesheet"href="PF.css"&gt;&lt;div class="heading"&gt;&lt;p class="alignleft"&gt;Page-Bound Epiphany&lt;/p&gt;&lt;div style="clear: both;"&gt;&lt;/div&gt;&lt;/div&gt;&lt;div&gt;&lt;h5&gt;&lt;b&gt;School &lt;/b&gt;divination; &lt;b&gt;Level &lt;/b&gt;bard 2, cleric/oracle 2, magus 2, sorcerer/wizard 2&lt;/h5&gt;&lt;/div&gt;&lt;hr/&gt;&lt;div&gt;&lt;h5&gt;&lt;b&gt;CASTING&lt;/b&gt;&lt;/h5&gt;&lt;/div&gt;&lt;hr/&gt;&lt;div&gt;&lt;h5&gt;&lt;b&gt;Casting Time &lt;/b&gt;1 round&lt;/h5&gt;&lt;h5&gt;&lt;b&gt;Components &lt;/b&gt;V, S, F (a book with blank pages)&lt;/h5&gt;&lt;/div&gt;&lt;hr/&gt;&lt;div&gt;&lt;h5&gt;&lt;b&gt;EFFECT&lt;/b&gt;&lt;/h5&gt;&lt;/div&gt;&lt;hr/&gt;&lt;div&gt;&lt;h5&gt;&lt;b&gt;Range &lt;/b&gt;personal&lt;/h5&gt;&lt;h5&gt;&lt;b&gt;Duration &lt;/b&gt;1 round/level (see text)&lt;/h5&gt;&lt;h5&gt;&lt;b&gt;Saving Throw &lt;/b&gt;none; &lt;b&gt;Spell Resistance &lt;/b&gt;no&lt;/h5&gt;&lt;/div&gt;&lt;hr/&gt;&lt;div&gt;&lt;h5&gt;&lt;b&gt;DESCRIPTION&lt;/b&gt;&lt;/h5&gt;&lt;/div&gt;&lt;hr/&gt;&lt;div&gt;&lt;h4&gt;&lt;p&gt;You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spell.&lt;/p&gt;&lt;/h4&gt;&lt;/div&gt;</t>
  </si>
  <si>
    <t>Collaborative Thaumaturgy</t>
  </si>
  <si>
    <t>bard 3, cleric/oracle 3, druid 3, magus 3, summoner 3, sorcerer/wizard 3, witch 3</t>
  </si>
  <si>
    <t>V, S, F (a bronze tuning fork)</t>
  </si>
  <si>
    <t>You tap into the magical resonance between you and your allies to enhance one another's magic. Cast this spell when an ally casts a spell at least 1 level lower than the highest-level spell she can cast.  The ally casts her spell as if one of the following metamagic feats were applied to it without increasing the spell level or casting time: Enlarge Spell, Extend Spell, Silent Spell, or Still Spell. If the ally is the target of two collaborative thaumaturgy spells when casting a spell, the ally can instead apply the Empower Spell metamagic feat to a spell at least 2 levels lower than the highest-level spell she can cast. Finally, if the ally is the target of three collaborative thaumaturgy spells when casting a spell, she can instead apply the Maximize Spell or Widen Spell metamagic feat to a spell at least 3 levels lower than the highest-level spell she can cast. You can't target yourself with collaborative thaumaturgy.</t>
  </si>
  <si>
    <t>&lt;p&gt;You tap into the magical resonance between you and your allies to enhance one another's magic. Cast this spell when an ally casts a spell at least 1 level lower than the highest-level spell she can cast.&lt;/p&gt;&lt;p&gt;The ally casts her spell as if one of the following metamagic feats were applied to it without increasing the spell level or casting time: Enlarge Spell, Extend Spell, Silent Spell, or Still Spell. If the ally is the target of two &lt;i&gt;collaborative thaumaturgy&lt;/i&gt; spells when casting a spell, the ally can instead apply the Empower Spell metamagic feat to a spell at least 2 levels lower than the highest-level spell she can cast. Finally, if the ally is the target of three &lt;i&gt;collaborative thaumaturgy&lt;/i&gt; spells when casting a spell, she can instead apply the Maximize Spell or Widen Spell metamagic feat to a spell at least 3 levels lower than the highest-level spell she can cast. You can't target yourself with &lt;i&gt;collaborative thaumaturgy&lt;/i&gt;.&lt;/p&gt;</t>
  </si>
  <si>
    <t>&lt;link rel="stylesheet"href="PF.css"&gt;&lt;div class="heading"&gt;&lt;p class="alignleft"&gt;Collaborative Thaumaturgy&lt;/p&gt;&lt;div style="clear: both;"&gt;&lt;/div&gt;&lt;/div&gt;&lt;div&gt;&lt;h5&gt;&lt;b&gt;School &lt;/b&gt;universal; &lt;b&gt;Level &lt;/b&gt;bard 3, cleric/oracle 3, druid 3, magus 3, summoner 3, sorcerer/wizard 3, witch 3&lt;/h5&gt;&lt;/div&gt;&lt;hr/&gt;&lt;div&gt;&lt;h5&gt;&lt;b&gt;CASTING&lt;/b&gt;&lt;/h5&gt;&lt;/div&gt;&lt;hr/&gt;&lt;div&gt;&lt;h5&gt;&lt;b&gt;Casting Time &lt;/b&gt;1 immediate action&lt;/h5&gt;&lt;h5&gt;&lt;b&gt;Components &lt;/b&gt;V, S, F (a bronze tuning fork)&lt;/h5&gt;&lt;/div&gt;&lt;hr/&gt;&lt;div&gt;&lt;h5&gt;&lt;b&gt;EFFECT&lt;/b&gt;&lt;/h5&gt;&lt;/div&gt;&lt;hr/&gt;&lt;div&gt;&lt;h5&gt;&lt;b&gt;Range &lt;/b&gt;close (25 ft. + 5 ft./2 levels)&lt;/h5&gt;&lt;h5&gt;&lt;b&gt;Targets &lt;/b&gt;one creature&lt;/h5&gt;&lt;h5&gt;&lt;b&gt;Duration &lt;/b&gt;instantaneous&lt;/h5&gt;&lt;/div&gt;&lt;hr/&gt;&lt;div&gt;&lt;h5&gt;&lt;b&gt;DESCRIPTION&lt;/b&gt;&lt;/h5&gt;&lt;/div&gt;&lt;hr/&gt;&lt;div&gt;&lt;h4&gt;&lt;p&gt;You tap into the magical resonance between you and your allies to enhance one another's magic. Cast this spell when an ally casts a spell at least 1 level lower than the highest-level spell she can cast.&lt;/p&gt;&lt;p&gt;The ally casts her spell as if one of the following metamagic feats were applied to it without increasing the spell level or casting time: Enlarge Spell, Extend Spell, Silent Spell, or Still Spell. If the ally is the target of two &lt;i&gt;collaborative thaumaturgy&lt;/i&gt; spells when casting a spell, the ally can instead apply the Empower Spell metamagic feat to a spell at least 2 levels lower than the highest-level spell she can cast. Finally, if the ally is the target of three &lt;i&gt;collaborative thaumaturgy&lt;/i&gt; spells when casting a spell, she can instead apply the Maximize Spell or Widen Spell metamagic feat to a spell at least 3 levels lower than the highest-level spell she can cast. You can't target yourself with &lt;i&gt;collaborative thaumaturgy&lt;/i&gt;.&lt;/p&gt;&lt;/h4&gt;&lt;/div&gt;</t>
  </si>
  <si>
    <t>Sure Casting</t>
  </si>
  <si>
    <t>bard 1, cleric/oracle 1, inquisitor 1, sorcerer/wizard 1, witch 1</t>
  </si>
  <si>
    <t>V, F (a square of cloth and a needle)</t>
  </si>
  <si>
    <t>You gain temporary insight into your enemies' magical defenses.  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sure casting.</t>
  </si>
  <si>
    <t>&lt;p&gt;You gain temporary insight into your enemies' magical defenses.&lt;/p&gt;&lt;p&gt;When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&lt;i&gt;sure casting&lt;/i&gt;.&lt;/p&gt;</t>
  </si>
  <si>
    <t>&lt;link rel="stylesheet"href="PF.css"&gt;&lt;div class="heading"&gt;&lt;p class="alignleft"&gt;Sure Casting&lt;/p&gt;&lt;div style="clear: both;"&gt;&lt;/div&gt;&lt;/div&gt;&lt;div&gt;&lt;h5&gt;&lt;b&gt;School &lt;/b&gt;divination; &lt;b&gt;Level &lt;/b&gt;bard 1, cleric/oracle 1, inquisitor 1, sorcerer/wizard 1, witch 1&lt;/h5&gt;&lt;/div&gt;&lt;hr/&gt;&lt;div&gt;&lt;h5&gt;&lt;b&gt;CASTING&lt;/b&gt;&lt;/h5&gt;&lt;/div&gt;&lt;hr/&gt;&lt;div&gt;&lt;h5&gt;&lt;b&gt;Casting Time &lt;/b&gt;1 standard action&lt;/h5&gt;&lt;h5&gt;&lt;b&gt;Components &lt;/b&gt;V, F (a square of cloth and a needle)&lt;/h5&gt;&lt;/div&gt;&lt;hr/&gt;&lt;div&gt;&lt;h5&gt;&lt;b&gt;EFFECT&lt;/b&gt;&lt;/h5&gt;&lt;/div&gt;&lt;hr/&gt;&lt;div&gt;&lt;h5&gt;&lt;b&gt;Range &lt;/b&gt;personal&lt;/h5&gt;&lt;h5&gt;&lt;b&gt;Targets &lt;/b&gt;you&lt;/h5&gt;&lt;h5&gt;&lt;b&gt;Duration &lt;/b&gt;1 round (see text)&lt;/h5&gt;&lt;/div&gt;&lt;hr/&gt;&lt;div&gt;&lt;h5&gt;&lt;b&gt;DESCRIPTION&lt;/b&gt;&lt;/h5&gt;&lt;/div&gt;&lt;hr/&gt;&lt;div&gt;&lt;h4&gt;&lt;p&gt;You gain temporary insight into your enemies' magical defenses.&lt;/p&gt;&lt;p&gt;When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&lt;i&gt;sure casting&lt;/i&gt;.&lt;/p&gt;&lt;/h4&gt;&lt;/div&gt;</t>
  </si>
  <si>
    <t>Cauterizing Weapon</t>
  </si>
  <si>
    <t>bard 2, magus 2, ranger 2, sorcerer/wizard 3</t>
  </si>
  <si>
    <t>V, S, M (a gobbet of melted wax)</t>
  </si>
  <si>
    <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t>
  </si>
  <si>
    <t>&lt;p&gt;You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regeneration.&lt;/p&gt;</t>
  </si>
  <si>
    <t>&lt;link rel="stylesheet"href="PF.css"&gt;&lt;div class="heading"&gt;&lt;p class="alignleft"&gt;Cauterizing Weapon&lt;/p&gt;&lt;div style="clear: both;"&gt;&lt;/div&gt;&lt;/div&gt;&lt;div&gt;&lt;h5&gt;&lt;b&gt;School &lt;/b&gt;transmutation; &lt;b&gt;Level &lt;/b&gt;bard 2, magus 2, ranger 2, sorcerer/wizard 3&lt;/h5&gt;&lt;/div&gt;&lt;hr/&gt;&lt;div&gt;&lt;h5&gt;&lt;b&gt;CASTING&lt;/b&gt;&lt;/h5&gt;&lt;/div&gt;&lt;hr/&gt;&lt;div&gt;&lt;h5&gt;&lt;b&gt;Casting Time &lt;/b&gt;1 standard action&lt;/h5&gt;&lt;h5&gt;&lt;b&gt;Components &lt;/b&gt;V, S, M (a gobbet of melted wax)&lt;/h5&gt;&lt;/div&gt;&lt;hr/&gt;&lt;div&gt;&lt;h5&gt;&lt;b&gt;EFFECT&lt;/b&gt;&lt;/h5&gt;&lt;/div&gt;&lt;hr/&gt;&lt;div&gt;&lt;h5&gt;&lt;b&gt;Range &lt;/b&gt;close (25 ft. + 5 ft./2 levels)&lt;/h5&gt;&lt;h5&gt;&lt;b&gt;Targets &lt;/b&gt;one weapon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regeneration.&lt;/p&gt;&lt;/h4&gt;&lt;/div&gt;</t>
  </si>
  <si>
    <t>Tactical Miscalculation</t>
  </si>
  <si>
    <t>bard 2, inquisitor 2, ranger 2</t>
  </si>
  <si>
    <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t>
  </si>
  <si>
    <t>&lt;p&gt;The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creature.&lt;/p&gt;</t>
  </si>
  <si>
    <t>&lt;link rel="stylesheet"href="PF.css"&gt;&lt;div class="heading"&gt;&lt;p class="alignleft"&gt;Tactical Miscalculation&lt;/p&gt;&lt;div style="clear: both;"&gt;&lt;/div&gt;&lt;/div&gt;&lt;div&gt;&lt;h5&gt;&lt;b&gt;School &lt;/b&gt;enchantment (compulsion) [emotion, mind-affecting]; &lt;b&gt;Level &lt;/b&gt;bard 2, inquisitor 2, ranger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&lt;/b&gt;see text; &lt;b&gt;Spell Resistance &lt;/b&gt;yes&lt;/h5&gt;&lt;/div&gt;&lt;hr/&gt;&lt;div&gt;&lt;h5&gt;&lt;b&gt;DESCRIPTION&lt;/b&gt;&lt;/h5&gt;&lt;/div&gt;&lt;hr/&gt;&lt;div&gt;&lt;h4&gt;&lt;p&gt;The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creature.&lt;/p&gt;&lt;/h4&gt;&lt;/div&gt;</t>
  </si>
  <si>
    <t>Wall Of Light</t>
  </si>
  <si>
    <t>druid 5, sorcerer/wizard 5</t>
  </si>
  <si>
    <t>10-ft.-high vertical sheet of light up to 5 ft. long/level</t>
  </si>
  <si>
    <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Wall of light can be made permanent with permanency (with a minimum caster level of 13th and cost of 11,000 gp).</t>
  </si>
  <si>
    <t>&lt;p&gt;An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&lt;i&gt;Wall of light&lt;/i&gt; can be made permanent with &lt;i&gt;permanency&lt;/i&gt; (with a minimum caster level of 13th and cost of 11,000 gp).&lt;/p&gt;</t>
  </si>
  <si>
    <t>The Dragon's Demand</t>
  </si>
  <si>
    <t>&lt;link rel="stylesheet"href="PF.css"&gt;&lt;div class="heading"&gt;&lt;p class="alignleft"&gt;Wall Of Light&lt;/p&gt;&lt;div style="clear: both;"&gt;&lt;/div&gt;&lt;/div&gt;&lt;div&gt;&lt;h5&gt;&lt;b&gt;School &lt;/b&gt;evocation [light]; &lt;b&gt;Level &lt;/b&gt;druid 5, sorcerer/wizard 5&lt;/h5&gt;&lt;/div&gt;&lt;hr/&gt;&lt;div&gt;&lt;h5&gt;&lt;b&gt;CASTING&lt;/b&gt;&lt;/h5&gt;&lt;/div&gt;&lt;hr/&gt;&lt;div&gt;&lt;h5&gt;&lt;b&gt;Casting Time &lt;/b&gt;1 standard action&lt;/h5&gt;&lt;h5&gt;&lt;b&gt;Components &lt;/b&gt;V, S, M/DF (a chip of mica)&lt;/h5&gt;&lt;/div&gt;&lt;hr/&gt;&lt;div&gt;&lt;h5&gt;&lt;b&gt;EFFECT&lt;/b&gt;&lt;/h5&gt;&lt;/div&gt;&lt;hr/&gt;&lt;div&gt;&lt;h5&gt;&lt;b&gt;Range &lt;/b&gt;medium (100 ft. + 10 ft./level)&lt;/h5&gt;&lt;h5&gt;&lt;b&gt;Effect &lt;/b&gt;10-ft.-high vertical sheet of light up to 5 ft. long/level&lt;/h5&gt;&lt;h5&gt;&lt;b&gt;Duration &lt;/b&gt;1 minute/level (D)&lt;/h5&gt;&lt;h5&gt;&lt;b&gt;Saving Throw &lt;/b&gt;Fortitude partial, see text; &lt;b&gt;Spell Resistance &lt;/b&gt;yes&lt;/h5&gt;&lt;/div&gt;&lt;hr/&gt;&lt;div&gt;&lt;h5&gt;&lt;b&gt;DESCRIPTION&lt;/b&gt;&lt;/h5&gt;&lt;/div&gt;&lt;hr/&gt;&lt;div&gt;&lt;h4&gt;&lt;p&gt;An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&lt;i&gt;Wall of light&lt;/i&gt; can be made permanent with &lt;i&gt;permanency&lt;/i&gt; (with a minimum caster level of 13th and cost of 11,000 gp).&lt;/p&gt;&lt;/h4&gt;&lt;/div&gt;</t>
  </si>
  <si>
    <t>Blood Song</t>
  </si>
  <si>
    <t>2 minutes</t>
  </si>
  <si>
    <t>V, S, M (the caster's blood)</t>
  </si>
  <si>
    <t>1 day or until discharged (D)</t>
  </si>
  <si>
    <t>This spell functions as imbue with spell ability,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blood song. For each spell that is imbued using blood song, the caster loses 5 hit points, which can't be regained by any means until the spell ends or is discharged.</t>
  </si>
  <si>
    <t>&lt;p&gt;This spell functions as &lt;i&gt;imbue with spell ability&lt;/i&gt;,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&lt;i&gt;blood song&lt;/i&gt;. For each spell that is imbued using &lt;i&gt;blood song&lt;/i&gt;, the caster loses 5 hit points, which can't be regained by any means until the spell ends or is discharged.&lt;/p&gt;</t>
  </si>
  <si>
    <t>Faiths &amp; Philosophies</t>
  </si>
  <si>
    <t>&lt;link rel="stylesheet"href="PF.css"&gt;&lt;div class="heading"&gt;&lt;p class="alignleft"&gt;Blood Song&lt;/p&gt;&lt;div style="clear: both;"&gt;&lt;/div&gt;&lt;/div&gt;&lt;div&gt;&lt;h5&gt;&lt;b&gt;School &lt;/b&gt;evocation; &lt;b&gt;Level &lt;/b&gt;bard 4&lt;/h5&gt;&lt;/div&gt;&lt;hr/&gt;&lt;div&gt;&lt;h5&gt;&lt;b&gt;CASTING&lt;/b&gt;&lt;/h5&gt;&lt;/div&gt;&lt;hr/&gt;&lt;div&gt;&lt;h5&gt;&lt;b&gt;Casting Time &lt;/b&gt;2 minutes&lt;/h5&gt;&lt;h5&gt;&lt;b&gt;Components &lt;/b&gt;V, S, M (the caster's blood)&lt;/h5&gt;&lt;/div&gt;&lt;hr/&gt;&lt;div&gt;&lt;h5&gt;&lt;b&gt;EFFECT&lt;/b&gt;&lt;/h5&gt;&lt;/div&gt;&lt;hr/&gt;&lt;div&gt;&lt;h5&gt;&lt;b&gt;Range &lt;/b&gt;touch&lt;/h5&gt;&lt;h5&gt;&lt;b&gt;Targets &lt;/b&gt;creature touched; see text&lt;/h5&gt;&lt;h5&gt;&lt;b&gt;Duration &lt;/b&gt;1 day or until discharged (D)&lt;/h5&gt;&lt;h5&gt;&lt;b&gt;Saving Throw &lt;/b&gt;Will negates (harmless); &lt;b&gt;Spell Resistance &lt;/b&gt;yes (harmless)&lt;/h5&gt;&lt;/div&gt;&lt;hr/&gt;&lt;div&gt;&lt;h5&gt;&lt;b&gt;DESCRIPTION&lt;/b&gt;&lt;/h5&gt;&lt;/div&gt;&lt;hr/&gt;&lt;div&gt;&lt;h4&gt;&lt;p&gt;This spell functions as &lt;i&gt;imbue with spell ability&lt;/i&gt;,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&lt;i&gt;blood song&lt;/i&gt;. For each spell that is imbued using &lt;i&gt;blood song&lt;/i&gt;, the caster loses 5 hit points, which can't be regained by any means until the spell ends or is discharged.&lt;/p&gt;&lt;/h4&gt;&lt;/div&gt;</t>
  </si>
  <si>
    <t>Hallucinogenic Smoke</t>
  </si>
  <si>
    <t>cleric/oracle 4, witch 4</t>
  </si>
  <si>
    <t>S, M (tobacco leaves, ingested)</t>
  </si>
  <si>
    <t>3 rounds/level or until discharged; see text</t>
  </si>
  <si>
    <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augury during the duration of hallucinogenic smoke, treat your caster level as 5 higher when determining the chance for a meaningful reply. Additionally, you know whether a result of "nothing" resulted from a failed or successful augury.</t>
  </si>
  <si>
    <t>&lt;p&gt;Dark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&lt;i&gt;augury&lt;/i&gt; during the duration of &lt;i&gt;hallucinogenic smoke&lt;/i&gt;, treat your caster level as 5 higher when determining the chance for a meaningful reply. Additionally, you know whether a result of "nothing" resulted from a failed or successful &lt;i&gt;augury&lt;/i&gt;.&lt;/p&gt;</t>
  </si>
  <si>
    <t>&lt;link rel="stylesheet"href="PF.css"&gt;&lt;div class="heading"&gt;&lt;p class="alignleft"&gt;Hallucinogenic Smoke&lt;/p&gt;&lt;div style="clear: both;"&gt;&lt;/div&gt;&lt;/div&gt;&lt;div&gt;&lt;h5&gt;&lt;b&gt;School &lt;/b&gt;conjuration [poison]; &lt;b&gt;Level &lt;/b&gt;cleric/oracle 4, witch 4&lt;/h5&gt;&lt;/div&gt;&lt;hr/&gt;&lt;div&gt;&lt;h5&gt;&lt;b&gt;CASTING&lt;/b&gt;&lt;/h5&gt;&lt;/div&gt;&lt;hr/&gt;&lt;div&gt;&lt;h5&gt;&lt;b&gt;Casting Time &lt;/b&gt;1 standard action&lt;/h5&gt;&lt;h5&gt;&lt;b&gt;Components &lt;/b&gt;S, M (tobacco leaves, ingested)&lt;/h5&gt;&lt;/div&gt;&lt;hr/&gt;&lt;div&gt;&lt;h5&gt;&lt;b&gt;EFFECT&lt;/b&gt;&lt;/h5&gt;&lt;/div&gt;&lt;hr/&gt;&lt;div&gt;&lt;h5&gt;&lt;b&gt;Range &lt;/b&gt;personal&lt;/h5&gt;&lt;h5&gt;&lt;b&gt;Targets &lt;/b&gt;you&lt;/h5&gt;&lt;h5&gt;&lt;b&gt;Duration &lt;/b&gt;3 rounds/level or until discharged; see text&lt;/h5&gt;&lt;h5&gt;&lt;b&gt;Saving Throw &lt;/b&gt;Fortitude partial; &lt;b&gt;Spell Resistance &lt;/b&gt;yes&lt;/h5&gt;&lt;/div&gt;&lt;hr/&gt;&lt;div&gt;&lt;h5&gt;&lt;b&gt;DESCRIPTION&lt;/b&gt;&lt;/h5&gt;&lt;/div&gt;&lt;hr/&gt;&lt;div&gt;&lt;h4&gt;&lt;p&gt;Dark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&lt;i&gt;augury&lt;/i&gt; during the duration of &lt;i&gt;hallucinogenic smoke&lt;/i&gt;, treat your caster level as 5 higher when determining the chance for a meaningful reply. Additionally, you know whether a result of "nothing" resulted from a failed or successful &lt;i&gt;augury&lt;/i&gt;.&lt;/p&gt;&lt;/h4&gt;&lt;/div&gt;</t>
  </si>
  <si>
    <t>Jungle Mind</t>
  </si>
  <si>
    <t>druid 5, oracle 5, ranger 4</t>
  </si>
  <si>
    <t>You merge your mind into the jungle's social hierarchy, mystically establishing yourself as a master of wild beasts and an apex predator. You attain knowledge about the general animal population in a radius of 1 mile as commune with nature,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detect thoughts,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jungle mind functions within any terrain.</t>
  </si>
  <si>
    <t>&lt;p&gt;You merge your mind into the jungle's social hierarchy, mystically establishing yourself as a master of wild beasts and an apex predator. You attain knowledge about the general animal population in a radius of 1 mile as &lt;i&gt;commune with nature&lt;/i&gt;,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&lt;i&gt;detect thoughts&lt;/i&gt;,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&lt;i&gt;jungle mind&lt;/i&gt; functions within any terrain.&lt;/p&gt;</t>
  </si>
  <si>
    <t>&lt;link rel="stylesheet"href="PF.css"&gt;&lt;div class="heading"&gt;&lt;p class="alignleft"&gt;Jungle Mind&lt;/p&gt;&lt;div style="clear: both;"&gt;&lt;/div&gt;&lt;/div&gt;&lt;div&gt;&lt;h5&gt;&lt;b&gt;School &lt;/b&gt;divination (scrying); &lt;b&gt;Level &lt;/b&gt;druid 5, oracle 5, ranger 4&lt;/h5&gt;&lt;/div&gt;&lt;hr/&gt;&lt;div&gt;&lt;h5&gt;&lt;b&gt;CASTING&lt;/b&gt;&lt;/h5&gt;&lt;/div&gt;&lt;hr/&gt;&lt;div&gt;&lt;h5&gt;&lt;b&gt;Casting Time &lt;/b&gt;1 minute&lt;/h5&gt;&lt;h5&gt;&lt;b&gt;Components &lt;/b&gt;V, S, DF&lt;/h5&gt;&lt;/div&gt;&lt;hr/&gt;&lt;div&gt;&lt;h5&gt;&lt;b&gt;EFFECT&lt;/b&gt;&lt;/h5&gt;&lt;/div&gt;&lt;hr/&gt;&lt;div&gt;&lt;h5&gt;&lt;b&gt;Range &lt;/b&gt;personal&lt;/h5&gt;&lt;h5&gt;&lt;b&gt;Targets &lt;/b&gt;you&lt;/h5&gt;&lt;h5&gt;&lt;b&gt;Duration &lt;/b&gt;10 minutes/level&lt;/h5&gt;&lt;h5&gt;&lt;b&gt;Saving Throw &lt;/b&gt;Will negates (see text); &lt;b&gt;Spell Resistance &lt;/b&gt;no&lt;/h5&gt;&lt;/div&gt;&lt;hr/&gt;&lt;div&gt;&lt;h5&gt;&lt;b&gt;DESCRIPTION&lt;/b&gt;&lt;/h5&gt;&lt;/div&gt;&lt;hr/&gt;&lt;div&gt;&lt;h4&gt;&lt;p&gt;You merge your mind into the jungle's social hierarchy, mystically establishing yourself as a master of wild beasts and an apex predator. You attain knowledge about the general animal population in a radius of 1 mile as &lt;i&gt;commune with nature&lt;/i&gt;,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&lt;i&gt;detect thoughts&lt;/i&gt;,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&lt;i&gt;jungle mind&lt;/i&gt; functions within any terrain.&lt;/p&gt;&lt;/h4&gt;&lt;/div&gt;</t>
  </si>
  <si>
    <t>Lay Of The Land</t>
  </si>
  <si>
    <t>cleric/oracle 2, bard 2, druid 2, ranger 2, witch 2</t>
  </si>
  <si>
    <t>V, S, M (a piece of soil from the land to be memorized)</t>
  </si>
  <si>
    <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t>
  </si>
  <si>
    <t>&lt;p&gt;In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skill.&lt;/p&gt;</t>
  </si>
  <si>
    <t>&lt;link rel="stylesheet"href="PF.css"&gt;&lt;div class="heading"&gt;&lt;p class="alignleft"&gt;Lay Of The Land&lt;/p&gt;&lt;div style="clear: both;"&gt;&lt;/div&gt;&lt;/div&gt;&lt;div&gt;&lt;h5&gt;&lt;b&gt;School &lt;/b&gt;divination; &lt;b&gt;Level &lt;/b&gt;cleric/oracle 2, bard 2, druid 2, ranger 2, witch 2&lt;/h5&gt;&lt;/div&gt;&lt;hr/&gt;&lt;div&gt;&lt;h5&gt;&lt;b&gt;CASTING&lt;/b&gt;&lt;/h5&gt;&lt;/div&gt;&lt;hr/&gt;&lt;div&gt;&lt;h5&gt;&lt;b&gt;Casting Time &lt;/b&gt;1 minute&lt;/h5&gt;&lt;h5&gt;&lt;b&gt;Components &lt;/b&gt;V, S, M (a piece of soil from the land to be memorized)&lt;/h5&gt;&lt;/div&gt;&lt;hr/&gt;&lt;div&gt;&lt;h5&gt;&lt;b&gt;EFFECT&lt;/b&gt;&lt;/h5&gt;&lt;/div&gt;&lt;hr/&gt;&lt;div&gt;&lt;h5&gt;&lt;b&gt;Range &lt;/b&gt;personal&lt;/h5&gt;&lt;h5&gt;&lt;b&gt;Targets &lt;/b&gt;you&lt;/h5&gt;&lt;h5&gt;&lt;b&gt;Duration &lt;/b&gt;1 day&lt;/h5&gt;&lt;h5&gt;&lt;b&gt;Saving Throw &lt;/b&gt;none; &lt;b&gt;Spell Resistance &lt;/b&gt;yes&lt;/h5&gt;&lt;/div&gt;&lt;hr/&gt;&lt;div&gt;&lt;h5&gt;&lt;b&gt;DESCRIPTION&lt;/b&gt;&lt;/h5&gt;&lt;/div&gt;&lt;hr/&gt;&lt;div&gt;&lt;h4&gt;&lt;p&gt;In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skill.&lt;/p&gt;&lt;/h4&gt;&lt;/div&gt;</t>
  </si>
  <si>
    <t>Source Severance</t>
  </si>
  <si>
    <t>cleric/oracle 6, druid 6, witch 6</t>
  </si>
  <si>
    <t>V, S, M (an unworked lodestone)</t>
  </si>
  <si>
    <t>5-ft.-radius emanation, centered on you</t>
  </si>
  <si>
    <t>You create an invisible barrier that surrounds you and moves with you, inhibiting one category of magic. When you cast this spell, choose either arcane or divine magic. This spell functions like antimagic field,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t>
  </si>
  <si>
    <t>&lt;p&gt;You create an invisible barrier that surrounds you and moves with you, inhibiting one category of magic. When you cast this spell, choose either arcane or divine magic. This spell functions like &lt;i&gt;antimagic field&lt;/i&gt;,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effect.&lt;/p&gt;</t>
  </si>
  <si>
    <t>&lt;link rel="stylesheet"href="PF.css"&gt;&lt;div class="heading"&gt;&lt;p class="alignleft"&gt;Source Severance&lt;/p&gt;&lt;div style="clear: both;"&gt;&lt;/div&gt;&lt;/div&gt;&lt;div&gt;&lt;h5&gt;&lt;b&gt;School &lt;/b&gt;abjuration; &lt;b&gt;Level &lt;/b&gt;cleric/oracle 6, druid 6, witch 6&lt;/h5&gt;&lt;/div&gt;&lt;hr/&gt;&lt;div&gt;&lt;h5&gt;&lt;b&gt;CASTING&lt;/b&gt;&lt;/h5&gt;&lt;/div&gt;&lt;hr/&gt;&lt;div&gt;&lt;h5&gt;&lt;b&gt;Casting Time &lt;/b&gt;1 standard action&lt;/h5&gt;&lt;h5&gt;&lt;b&gt;Components &lt;/b&gt;V, S, M (an unworked lodestone)&lt;/h5&gt;&lt;/div&gt;&lt;hr/&gt;&lt;div&gt;&lt;h5&gt;&lt;b&gt;EFFECT&lt;/b&gt;&lt;/h5&gt;&lt;/div&gt;&lt;hr/&gt;&lt;div&gt;&lt;h5&gt;&lt;b&gt;Range &lt;/b&gt;5 feet&lt;/h5&gt;&lt;h5&gt;&lt;b&gt;Area &lt;/b&gt;5-ft.-radius emanation, centered on you&lt;/h5&gt;&lt;h5&gt;&lt;b&gt;Duration &lt;/b&gt;10 minutes/level (D)&lt;/h5&gt;&lt;h5&gt;&lt;b&gt;Saving Throw &lt;/b&gt;none; &lt;b&gt;Spell Resistance &lt;/b&gt;see text&lt;/h5&gt;&lt;/div&gt;&lt;hr/&gt;&lt;div&gt;&lt;h5&gt;&lt;b&gt;DESCRIPTION&lt;/b&gt;&lt;/h5&gt;&lt;/div&gt;&lt;hr/&gt;&lt;div&gt;&lt;h4&gt;&lt;p&gt;You create an invisible barrier that surrounds you and moves with you, inhibiting one category of magic. When you cast this spell, choose either arcane or divine magic. This spell functions like &lt;i&gt;antimagic field&lt;/i&gt;,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effect.&lt;/p&gt;&lt;/h4&gt;&lt;/div&gt;</t>
  </si>
  <si>
    <t>Tectonic Communion</t>
  </si>
  <si>
    <t>Tectonic communion functions as commune with nature with an even greater range. In outdoor or natural underground settings, the spell operates on a radius of 100 miles per caster level, extending even underground without penalty.  For every 2 caster levels above 13th, you may glean an additional fact from the list presented in commune with nature. Communities, dungeons, and signs of civilization (such as roads, farms or other constructions and settlements) exist as dark and unknowable blots in your perception of the spell's area; you're aware of their location and existence, but can't discern any information regarding them.</t>
  </si>
  <si>
    <t>&lt;p&gt;&lt;i&gt;Tectonic communion&lt;/i&gt; functions as &lt;i&gt;commune with nature&lt;/i&gt; with an even greater range. In outdoor or natural underground settings, the spell operates on a radius of 100 miles per caster level, extending even underground without penalty.  For every 2 caster levels above 13th, you may glean an additional fact from the list presented in &lt;i&gt;commune with nature&lt;/i&gt;. Communities, dungeons, and signs of civilization (such as roads, farms or other constructions and settlements) exist as dark and unknowable blots in your perception of the spell's area; you're aware of their location and existence, but can't discern any information regarding them.&lt;/p&gt;</t>
  </si>
  <si>
    <t>&lt;link rel="stylesheet"href="PF.css"&gt;&lt;div class="heading"&gt;&lt;p class="alignleft"&gt;Tectonic Communion&lt;/p&gt;&lt;div style="clear: both;"&gt;&lt;/div&gt;&lt;/div&gt;&lt;div&gt;&lt;h5&gt;&lt;b&gt;School &lt;/b&gt;divination; &lt;b&gt;Level &lt;/b&gt;druid 7&lt;/h5&gt;&lt;/div&gt;&lt;hr/&gt;&lt;div&gt;&lt;h5&gt;&lt;b&gt;CASTING&lt;/b&gt;&lt;/h5&gt;&lt;/div&gt;&lt;hr/&gt;&lt;div&gt;&lt;h5&gt;&lt;b&gt;Casting Time &lt;/b&gt;1 hour&lt;/h5&gt;&lt;h5&gt;&lt;b&gt;Components &lt;/b&gt;V, S, DF&lt;/h5&gt;&lt;/div&gt;&lt;hr/&gt;&lt;div&gt;&lt;h5&gt;&lt;b&gt;EFFECT&lt;/b&gt;&lt;/h5&gt;&lt;/div&gt;&lt;hr/&gt;&lt;div&gt;&lt;h5&gt;&lt;b&gt;Range &lt;/b&gt;personal&lt;/h5&gt;&lt;h5&gt;&lt;b&gt;Targets &lt;/b&gt;you&lt;/h5&gt;&lt;h5&gt;&lt;b&gt;Duration &lt;/b&gt;Instantaneous&lt;/h5&gt;&lt;/div&gt;&lt;hr/&gt;&lt;div&gt;&lt;h5&gt;&lt;b&gt;DESCRIPTION&lt;/b&gt;&lt;/h5&gt;&lt;/div&gt;&lt;hr/&gt;&lt;div&gt;&lt;h4&gt;&lt;p&gt;&lt;i&gt;Tectonic communion&lt;/i&gt; functions as &lt;i&gt;commune with nature&lt;/i&gt; with an even greater range. In outdoor or natural underground settings, the spell operates on a radius of 100 miles per caster level, extending even underground without penalty.  For every 2 caster levels above 13th, you may glean an additional fact from the list presented in &lt;i&gt;commune with nature&lt;/i&gt;. Communities, dungeons, and signs of civilization (such as roads, farms or other constructions and settlements) exist as dark and unknowable blots in your perception of the spell's area; you're aware of their location and existence, but can't discern any information regarding them.&lt;/p&gt;&lt;/h4&gt;&lt;/div&gt;</t>
  </si>
  <si>
    <t>Anti-Summoning Shield</t>
  </si>
  <si>
    <t>bard 2, inquisitor 3, sorcerer/wizard 2, summoner 2</t>
  </si>
  <si>
    <t>50-ft.-radius</t>
  </si>
  <si>
    <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t>
  </si>
  <si>
    <t>&lt;p&gt;Within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spells.&lt;/p&gt;</t>
  </si>
  <si>
    <t>Demon Hunter's Handbook</t>
  </si>
  <si>
    <t>&lt;link rel="stylesheet"href="PF.css"&gt;&lt;div class="heading"&gt;&lt;p class="alignleft"&gt;Anti-Summoning Shield&lt;/p&gt;&lt;div style="clear: both;"&gt;&lt;/div&gt;&lt;/div&gt;&lt;div&gt;&lt;h5&gt;&lt;b&gt;School &lt;/b&gt;abjuration; &lt;b&gt;Level &lt;/b&gt;bard 2, inquisitor 3, sorcerer/wizard 2, summoner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ft./level)&lt;/h5&gt;&lt;h5&gt;&lt;b&gt;Area &lt;/b&gt;50-ft.-radius&lt;/h5&gt;&lt;h5&gt;&lt;b&gt;Duration &lt;/b&gt;1 minute/level (D)&lt;/h5&gt;&lt;h5&gt;&lt;b&gt;Saving Throw &lt;/b&gt;Will negates; &lt;b&gt;Spell Resistance &lt;/b&gt;yes&lt;/h5&gt;&lt;/div&gt;&lt;hr/&gt;&lt;div&gt;&lt;h5&gt;&lt;b&gt;DESCRIPTION&lt;/b&gt;&lt;/h5&gt;&lt;/div&gt;&lt;hr/&gt;&lt;div&gt;&lt;h4&gt;&lt;p&gt;Within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spells.&lt;/p&gt;&lt;/h4&gt;&lt;/div&gt;</t>
  </si>
  <si>
    <t>Burst With Light</t>
  </si>
  <si>
    <t>cleric/oracle 4, paladin 4</t>
  </si>
  <si>
    <t>1 round/4 levels</t>
  </si>
  <si>
    <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t>
  </si>
  <si>
    <t>&lt;p&gt;The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effect.&lt;/p&gt;</t>
  </si>
  <si>
    <t>&lt;link rel="stylesheet"href="PF.css"&gt;&lt;div class="heading"&gt;&lt;p class="alignleft"&gt;Burst With Light&lt;/p&gt;&lt;div style="clear: both;"&gt;&lt;/div&gt;&lt;/div&gt;&lt;div&gt;&lt;h5&gt;&lt;b&gt;School &lt;/b&gt;evocation [light]; &lt;b&gt;Level &lt;/b&gt;cleric/oracle 4, paladin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round/4 levels&lt;/h5&gt;&lt;h5&gt;&lt;b&gt;Saving Throw &lt;/b&gt;see text; &lt;b&gt;Spell Resistance &lt;/b&gt;yes&lt;/h5&gt;&lt;/div&gt;&lt;hr/&gt;&lt;div&gt;&lt;h5&gt;&lt;b&gt;DESCRIPTION&lt;/b&gt;&lt;/h5&gt;&lt;/div&gt;&lt;hr/&gt;&lt;div&gt;&lt;h4&gt;&lt;p&gt;The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effect.&lt;/p&gt;&lt;/h4&gt;&lt;/div&gt;</t>
  </si>
  <si>
    <t>Detect Demon</t>
  </si>
  <si>
    <t>cleric/oracle 1, inquisitor 1, paladin 1</t>
  </si>
  <si>
    <t>You sense the presence of a specific kind of evil-that of demons, their servants, and the Abyss. The amount of information revealed depends on how long you study a particular area or subject.  1st Round: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Pathfinder Campaign Setting: Lords of Chaos, Book of the Damned, Vol. 2), or creatures who have the Demonic Obedience feat (Lords of Chaos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2nd Round: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3rd Round: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detect evil in terms of aura power, lingering auras, overwhelming auras, and so forth.</t>
  </si>
  <si>
    <t>&lt;p&gt;You sense the presence of a specific kind of evil-that of demons, their servants, and the Abyss. The amount of information revealed depends on how long you study a particular area or subject.  &lt;br&gt;&lt;i&gt;1st Round&lt;/i&gt;: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&lt;i&gt;Pathfinder Campaign Setting&lt;/i&gt;: &lt;i&gt;Lords of Chaos&lt;/i&gt;, &lt;i&gt;Book of the&lt;/i&gt; &lt;i&gt;Damned&lt;/i&gt;, &lt;i&gt;Vol&lt;/i&gt;. 2), or creatures who have the Demonic Obedience feat (&lt;i&gt;Lords of Chaos&lt;/i&gt;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&lt;br&gt;&lt;i&gt;2nd Round&lt;/i&gt;: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&lt;br&gt;&lt;i&gt;3rd Round&lt;/i&gt;: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&lt;i&gt;detect evil&lt;/i&gt; in terms of aura power, lingering auras, overwhelming auras, and so forth.&lt;/p&gt;</t>
  </si>
  <si>
    <t>&lt;link rel="stylesheet"href="PF.css"&gt;&lt;div class="heading"&gt;&lt;p class="alignleft"&gt;Detect Demon&lt;/p&gt;&lt;div style="clear: both;"&gt;&lt;/div&gt;&lt;/div&gt;&lt;div&gt;&lt;h5&gt;&lt;b&gt;School &lt;/b&gt;divination; &lt;b&gt;Level &lt;/b&gt;cleric/oracle 1, inquisitor 1, paladin 1&lt;/h5&gt;&lt;/div&gt;&lt;hr/&gt;&lt;div&gt;&lt;h5&gt;&lt;b&gt;CASTING&lt;/b&gt;&lt;/h5&gt;&lt;/div&gt;&lt;hr/&gt;&lt;div&gt;&lt;h5&gt;&lt;b&gt;Casting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&lt;/b&gt;cone-shaped emanation&lt;/h5&gt;&lt;h5&gt;&lt;b&gt;Duration &lt;/b&gt;concentration, up to 10 minutes/level (D)&lt;/h5&gt;&lt;h5&gt;&lt;b&gt;Saving Throw &lt;/b&gt;none (see text); &lt;b&gt;Spell Resistance &lt;/b&gt;no&lt;/h5&gt;&lt;/div&gt;&lt;hr/&gt;&lt;div&gt;&lt;h5&gt;&lt;b&gt;DESCRIPTION&lt;/b&gt;&lt;/h5&gt;&lt;/div&gt;&lt;hr/&gt;&lt;div&gt;&lt;h4&gt;&lt;p&gt;You sense the presence of a specific kind of evil-that of demons, their servants, and the Abyss. The amount of information revealed depends on how long you study a particular area or subject.  &lt;br&gt;&lt;i&gt;1st Round&lt;/i&gt;: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&lt;i&gt;Pathfinder Campaign Setting&lt;/i&gt;: &lt;i&gt;Lords of Chaos&lt;/i&gt;, &lt;i&gt;Book of the&lt;/i&gt; &lt;i&gt;Damned&lt;/i&gt;, &lt;i&gt;Vol&lt;/i&gt;. 2), or creatures who have the Demonic Obedience feat (&lt;i&gt;Lords of Chaos&lt;/i&gt;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&lt;br&gt;&lt;i&gt;2nd Round&lt;/i&gt;: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&lt;br&gt;&lt;i&gt;3rd Round&lt;/i&gt;: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&lt;i&gt;detect evil&lt;/i&gt; in terms of aura power, lingering auras, overwhelming auras, and so forth.&lt;/p&gt;&lt;/h4&gt;&lt;/div&gt;</t>
  </si>
  <si>
    <t>Protection From Outsiders</t>
  </si>
  <si>
    <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protection from evil,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protection from evil.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t>
  </si>
  <si>
    <t>&lt;p&gt;This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&lt;i&gt;protection from evil&lt;/i&gt;,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&lt;i&gt;protection from evil&lt;/i&gt;.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neutral.&lt;/p&gt;</t>
  </si>
  <si>
    <t>&lt;link rel="stylesheet"href="PF.css"&gt;&lt;div class="heading"&gt;&lt;p class="alignleft"&gt;Protection From Outsiders&lt;/p&gt;&lt;div style="clear: both;"&gt;&lt;/div&gt;&lt;/div&gt;&lt;div&gt;&lt;h5&gt;&lt;b&gt;School &lt;/b&gt;abjuration [see text]; &lt;b&gt;Level &lt;/b&gt;cleric/oracle 2, 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 (D)&lt;/h5&gt;&lt;h5&gt;&lt;b&gt;Saving Throw &lt;/b&gt;Will negates (harmless); &lt;b&gt;Spell Resistance &lt;/b&gt;no; see text&lt;/h5&gt;&lt;/div&gt;&lt;hr/&gt;&lt;div&gt;&lt;h5&gt;&lt;b&gt;DESCRIPTION&lt;/b&gt;&lt;/h5&gt;&lt;/div&gt;&lt;hr/&gt;&lt;div&gt;&lt;h4&gt;&lt;p&gt;This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&lt;i&gt;protection from evil&lt;/i&gt;,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&lt;i&gt;protection from evil&lt;/i&gt;.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neutral.&lt;/p&gt;&lt;/h4&gt;&lt;/div&gt;</t>
  </si>
  <si>
    <t>Righteous Blood</t>
  </si>
  <si>
    <t>inquisitor 2, paladin 2</t>
  </si>
  <si>
    <t>one creature of good alignment</t>
  </si>
  <si>
    <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t>
  </si>
  <si>
    <t>&lt;p&gt;The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damage.&lt;/p&gt;</t>
  </si>
  <si>
    <t>&lt;link rel="stylesheet"href="PF.css"&gt;&lt;div class="heading"&gt;&lt;p class="alignleft"&gt;Righteous Blood&lt;/p&gt;&lt;div style="clear: both;"&gt;&lt;/div&gt;&lt;/div&gt;&lt;div&gt;&lt;h5&gt;&lt;b&gt;School &lt;/b&gt;abjuration [good]; &lt;b&gt;Level &lt;/b&gt;inquisitor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 of good alignment&lt;/h5&gt;&lt;h5&gt;&lt;b&gt;Duration &lt;/b&gt;10 minutes/level (D)&lt;/h5&gt;&lt;h5&gt;&lt;b&gt;Saving Throw &lt;/b&gt;Will negates (harmless); &lt;b&gt;Spell Resistance &lt;/b&gt;yes (harmless)&lt;/h5&gt;&lt;/div&gt;&lt;hr/&gt;&lt;div&gt;&lt;h5&gt;&lt;b&gt;DESCRIPTION&lt;/b&gt;&lt;/h5&gt;&lt;/div&gt;&lt;hr/&gt;&lt;div&gt;&lt;h4&gt;&lt;p&gt;The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damage.&lt;/p&gt;&lt;/h4&gt;&lt;/div&gt;</t>
  </si>
  <si>
    <t>Telepathic Censure</t>
  </si>
  <si>
    <t>one creature (see text)</t>
  </si>
  <si>
    <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telepathic bond or telepathic messages sent by a helm of telepathy, but not attacks and effects unrelated to communication like detect thoughts or a neothelid's psychic crush.</t>
  </si>
  <si>
    <t>&lt;p&gt;This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&lt;i&gt;telepathic bond&lt;/i&gt; or telepathic messages sent by a &lt;i&gt;helm of telepathy&lt;/i&gt;, but not attacks and effects unrelated to communication like &lt;i&gt;detect thoughts&lt;/i&gt; or a neothelid's psychic crush.&lt;/p&gt;</t>
  </si>
  <si>
    <t>&lt;link rel="stylesheet"href="PF.css"&gt;&lt;div class="heading"&gt;&lt;p class="alignleft"&gt;Telepathic Censure&lt;/p&gt;&lt;div style="clear: both;"&gt;&lt;/div&gt;&lt;/div&gt;&lt;div&gt;&lt;h5&gt;&lt;b&gt;School &lt;/b&gt;abjuration; &lt;b&gt;Level &lt;/b&gt;bard 2, inquisitor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 (see text)&lt;/h5&gt;&lt;h5&gt;&lt;b&gt;Duration &lt;/b&gt;1 minute/level (D)&lt;/h5&gt;&lt;h5&gt;&lt;b&gt;Saving Throw &lt;/b&gt;Will negates; &lt;b&gt;Spell Resistance &lt;/b&gt;yes&lt;/h5&gt;&lt;/div&gt;&lt;hr/&gt;&lt;div&gt;&lt;h5&gt;&lt;b&gt;DESCRIPTION&lt;/b&gt;&lt;/h5&gt;&lt;/div&gt;&lt;hr/&gt;&lt;div&gt;&lt;h4&gt;&lt;p&gt;This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&lt;i&gt;telepathic bond&lt;/i&gt; or telepathic messages sent by a &lt;i&gt;helm of telepathy&lt;/i&gt;, but not attacks and effects unrelated to communication like &lt;i&gt;detect thoughts&lt;/i&gt; or a neothelid's psychic crush.&lt;/p&gt;&lt;/h4&gt;&lt;/div&gt;</t>
  </si>
  <si>
    <t>Contact Nalfeshnee</t>
  </si>
  <si>
    <t>cleric/oracle 6, sorcerer/wizard 6, witch 6</t>
  </si>
  <si>
    <t>V, S, M (powdered sapphire worth 250 gp), F (bejeweled cold iron mirror worth at least 2,000 gp)</t>
  </si>
  <si>
    <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t>
  </si>
  <si>
    <t>&lt;p&gt;When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throw.&lt;/p&gt;</t>
  </si>
  <si>
    <t>Demons Revisited</t>
  </si>
  <si>
    <t>&lt;link rel="stylesheet"href="PF.css"&gt;&lt;div class="heading"&gt;&lt;p class="alignleft"&gt;Contact Nalfeshnee&lt;/p&gt;&lt;div style="clear: both;"&gt;&lt;/div&gt;&lt;/div&gt;&lt;div&gt;&lt;h5&gt;&lt;b&gt;School &lt;/b&gt;divination; &lt;b&gt;Level &lt;/b&gt;cleric/oracle 6, sorcerer/wizard 6, witch 6&lt;/h5&gt;&lt;/div&gt;&lt;hr/&gt;&lt;div&gt;&lt;h5&gt;&lt;b&gt;CASTING&lt;/b&gt;&lt;/h5&gt;&lt;/div&gt;&lt;hr/&gt;&lt;div&gt;&lt;h5&gt;&lt;b&gt;Casting Time &lt;/b&gt;1 round&lt;/h5&gt;&lt;h5&gt;&lt;b&gt;Components &lt;/b&gt;V, S, M (powdered sapphire worth 250 gp), F (bejeweled cold iron mirror worth at least 2,000 gp)&lt;/h5&gt;&lt;/div&gt;&lt;hr/&gt;&lt;div&gt;&lt;h5&gt;&lt;b&gt;EFFECT&lt;/b&gt;&lt;/h5&gt;&lt;/div&gt;&lt;hr/&gt;&lt;div&gt;&lt;h5&gt;&lt;b&gt;Range &lt;/b&gt;personal&lt;/h5&gt;&lt;h5&gt;&lt;b&gt;Targets &lt;/b&gt;you&lt;/h5&gt;&lt;h5&gt;&lt;b&gt;Duration &lt;/b&gt;concentration&lt;/h5&gt;&lt;/div&gt;&lt;hr/&gt;&lt;div&gt;&lt;h5&gt;&lt;b&gt;DESCRIPTION&lt;/b&gt;&lt;/h5&gt;&lt;/div&gt;&lt;hr/&gt;&lt;div&gt;&lt;h4&gt;&lt;p&gt;When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throw.&lt;/p&gt;&lt;/h4&gt;&lt;/div&gt;</t>
  </si>
  <si>
    <t>Ascension</t>
  </si>
  <si>
    <t>cleric/oracle 9, druid 9, sorcerer/wizard 9, witch 9, psychic 9</t>
  </si>
  <si>
    <t>V, S, F (minor artifact), M (10,000 gp in rare herbs, gems, and other exotic materials)</t>
  </si>
  <si>
    <t>one non-mythic creature/3 levels</t>
  </si>
  <si>
    <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t>
  </si>
  <si>
    <t>&lt;p&gt;You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levels.&lt;/p&gt;</t>
  </si>
  <si>
    <t>Mythic Adventures</t>
  </si>
  <si>
    <t>&lt;link rel="stylesheet"href="PF.css"&gt;&lt;div class="heading"&gt;&lt;p class="alignleft"&gt;Ascension&lt;/p&gt;&lt;div style="clear: both;"&gt;&lt;/div&gt;&lt;/div&gt;&lt;div&gt;&lt;h5&gt;&lt;b&gt;School &lt;/b&gt;universal; &lt;b&gt;Level &lt;/b&gt;cleric/oracle 9, druid 9, sorcerer/wizard 9, witch 9, psychic 9&lt;/h5&gt;&lt;/div&gt;&lt;hr/&gt;&lt;div&gt;&lt;h5&gt;&lt;b&gt;CASTING&lt;/b&gt;&lt;/h5&gt;&lt;/div&gt;&lt;hr/&gt;&lt;div&gt;&lt;h5&gt;&lt;b&gt;Casting Time &lt;/b&gt;1 hour&lt;/h5&gt;&lt;h5&gt;&lt;b&gt;Components &lt;/b&gt;V, S, F (minor artifact), M (10,000 gp in rare herbs, gems, and other exotic materials)&lt;/h5&gt;&lt;/div&gt;&lt;hr/&gt;&lt;div&gt;&lt;h5&gt;&lt;b&gt;EFFECT&lt;/b&gt;&lt;/h5&gt;&lt;/div&gt;&lt;hr/&gt;&lt;div&gt;&lt;h5&gt;&lt;b&gt;Range &lt;/b&gt;close (25 ft. + 5 ft./2 levels)&lt;/h5&gt;&lt;h5&gt;&lt;b&gt;Targets &lt;/b&gt;one non-mythic creature/3 levels&lt;/h5&gt;&lt;h5&gt;&lt;b&gt;Duration &lt;/b&gt;2 hours/level; see text&lt;/h5&gt;&lt;h5&gt;&lt;b&gt;Saving Throw &lt;/b&gt;Will negates (harmless); &lt;b&gt;Spell Resistance &lt;/b&gt;yes (harmless)&lt;/h5&gt;&lt;/div&gt;&lt;hr/&gt;&lt;div&gt;&lt;h5&gt;&lt;b&gt;DESCRIPTION&lt;/b&gt;&lt;/h5&gt;&lt;/div&gt;&lt;hr/&gt;&lt;div&gt;&lt;h4&gt;&lt;p&gt;You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levels.&lt;/p&gt;&lt;/h4&gt;&lt;h5&gt;&lt;b&gt;Mythic: &lt;/b&gt;If you expend one use of mythic power when casting this spell, the duration increases to 1 day per level, and you can use yourself as the focus for this spell instead of a lesser artifact. If you're the focus, the targets retain their mythic tier only while they're within 100 feet of you, and if you die, the spell immediately ends and all targets gain 1d4 permanent negative levels.&lt;/h5&gt;&lt;/div&gt;</t>
  </si>
  <si>
    <t>If you expend one use of mythic power when casting this spell, the duration increases to 1 day per level, and you can use yourself as the focus for this spell instead of a lesser artifact. If you're the focus, the targets retain their mythic tier only while they're within 100 feet of you, and if you die, the spell immediately ends and all targets gain 1d4 permanent negative levels.</t>
  </si>
  <si>
    <t>Bleed Glory</t>
  </si>
  <si>
    <t>cleric/oracle 3, sorcerer/wizard 3, witch 3, psychic 3, mesmerist 3</t>
  </si>
  <si>
    <t>one mythic creature</t>
  </si>
  <si>
    <t>The mythic power cost for all path abilities, feats, spells, and other effects used by the target increases by 1.</t>
  </si>
  <si>
    <t>&lt;p&gt;The mythic power cost for all path abilities, feats, spells, and other effects used by the target increases by 1.&lt;/p&gt;</t>
  </si>
  <si>
    <t>&lt;link rel="stylesheet"href="PF.css"&gt;&lt;div class="heading"&gt;&lt;p class="alignleft"&gt;Bleed Glory&lt;/p&gt;&lt;div style="clear: both;"&gt;&lt;/div&gt;&lt;/div&gt;&lt;div&gt;&lt;h5&gt;&lt;b&gt;School &lt;/b&gt;necromancy [curse]; &lt;b&gt;Level &lt;/b&gt;cleric/oracle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mythic creature&lt;/h5&gt;&lt;h5&gt;&lt;b&gt;Duration &lt;/b&gt;1 minute/level&lt;/h5&gt;&lt;h5&gt;&lt;b&gt;Saving Throw &lt;/b&gt;Will negates; &lt;b&gt;Spell Resistance &lt;/b&gt;yes&lt;/h5&gt;&lt;/div&gt;&lt;hr/&gt;&lt;div&gt;&lt;h5&gt;&lt;b&gt;DESCRIPTION&lt;/b&gt;&lt;/h5&gt;&lt;/div&gt;&lt;hr/&gt;&lt;div&gt;&lt;h4&gt;&lt;p&gt;The mythic power cost for all path abilities, feats, spells, and other effects used by the target increases by 1.&lt;/p&gt;&lt;/h4&gt;&lt;/div&gt;</t>
  </si>
  <si>
    <t>Deathless</t>
  </si>
  <si>
    <t>alchemist 4, cleric/oracle 4, inquisitor 4, sorcerer/wizard 4, witch 4, psychic 4</t>
  </si>
  <si>
    <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t>
  </si>
  <si>
    <t>&lt;p&gt;The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normally.&lt;/p&gt;</t>
  </si>
  <si>
    <t>&lt;link rel="stylesheet"href="PF.css"&gt;&lt;div class="heading"&gt;&lt;p class="alignleft"&gt;Deathless&lt;/p&gt;&lt;div style="clear: both;"&gt;&lt;/div&gt;&lt;/div&gt;&lt;div&gt;&lt;h5&gt;&lt;b&gt;School &lt;/b&gt;necromancy; &lt;b&gt;Level &lt;/b&gt;alchemist 4, cleric/oracle 4, inquisitor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&lt;/b&gt;Fortitude negates (harmless); &lt;b&gt;Spell Resistance &lt;/b&gt;yes (harmless)&lt;/h5&gt;&lt;/div&gt;&lt;hr/&gt;&lt;div&gt;&lt;h5&gt;&lt;b&gt;DESCRIPTION&lt;/b&gt;&lt;/h5&gt;&lt;/div&gt;&lt;hr/&gt;&lt;div&gt;&lt;h4&gt;&lt;p&gt;The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normally.&lt;/p&gt;&lt;/h4&gt;&lt;h5&gt;&lt;b&gt;Mythic: &lt;/b&gt;If you expend one use of mythic power when you cast the spell, you become an anchor for the souls of you and your cohorts. The range increases to 30 feet, and instead of affecting one creature, it affects all allies within a 30-foot-radius emanation centered on you.&lt;/h5&gt;&lt;h5&gt;&lt;b&gt;Augmented (8th)&lt;/b&gt;: If you expend three uses of mythic power, the range increases to 1 mile, and the area to a 1-mile-radius emanation centered on you.&lt;/h5&gt;&lt;/div&gt;</t>
  </si>
  <si>
    <t>If you expend one use of mythic power when you cast the spell, you become an anchor for the souls of you and your cohorts. The range increases to 30 feet, and instead of affecting one creature, it affects all allies within a 30-foot-radius emanation centered on you.</t>
  </si>
  <si>
    <t>Augmented (8th): If you expend three uses of mythic power, the range increases to 1 mile, and the area to a 1-mile-radius emanation centered on you.</t>
  </si>
  <si>
    <t>Lend Path</t>
  </si>
  <si>
    <t>bard 4, cleric/oracle 5, druid 5, magus 4, sorcerer/wizard 5, summoner 4, witch 5, psychic 5</t>
  </si>
  <si>
    <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t>
  </si>
  <si>
    <t>&lt;p&gt;You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power).&lt;/p&gt;</t>
  </si>
  <si>
    <t>&lt;link rel="stylesheet"href="PF.css"&gt;&lt;div class="heading"&gt;&lt;p class="alignleft"&gt;Lend Path&lt;/p&gt;&lt;div style="clear: both;"&gt;&lt;/div&gt;&lt;/div&gt;&lt;div&gt;&lt;h5&gt;&lt;b&gt;School &lt;/b&gt;transmutation; &lt;b&gt;Level &lt;/b&gt;bard 4, cleric/oracle 5, druid 5, magus 4, sorcerer/wizard 5, summoner 4, witch 5, psychic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power).&lt;/p&gt;&lt;/h4&gt;&lt;/div&gt;</t>
  </si>
  <si>
    <t>Mythic Severance</t>
  </si>
  <si>
    <t>cleric/oracle 4, inquisitor 3, sorcerer/wizard 4, witch 4, psychic 4, mesmerist 3</t>
  </si>
  <si>
    <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t>
  </si>
  <si>
    <t>&lt;p&gt;You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power.&lt;/p&gt;</t>
  </si>
  <si>
    <t>&lt;link rel="stylesheet"href="PF.css"&gt;&lt;div class="heading"&gt;&lt;p class="alignleft"&gt;Mythic Severance&lt;/p&gt;&lt;div style="clear: both;"&gt;&lt;/div&gt;&lt;/div&gt;&lt;div&gt;&lt;h5&gt;&lt;b&gt;School &lt;/b&gt;necromancy [curse]; &lt;b&gt;Level &lt;/b&gt;cleric/oracle 4, inquisitor 3, sorcerer/wizard 4, witch 4,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power.&lt;/p&gt;&lt;/h4&gt;&lt;/div&gt;</t>
  </si>
  <si>
    <t>Restore Mythic Power</t>
  </si>
  <si>
    <t>bard 3, cleric/oracle 3, sorcerer/wizard 3, witch 3, psychic 3</t>
  </si>
  <si>
    <t>you and one mythic creature</t>
  </si>
  <si>
    <t>By laying your hands on the target, you're able to transfer some of your mythic essence to the target. You expend three uses of your mythic power to restore one use of the target's mythic power.</t>
  </si>
  <si>
    <t>&lt;p&gt;By laying your hands on the target, you're able to transfer some of your mythic essence to the target. You expend three uses of your mythic power to restore one use of the target's mythic power.&lt;/p&gt;</t>
  </si>
  <si>
    <t>&lt;link rel="stylesheet"href="PF.css"&gt;&lt;div class="heading"&gt;&lt;p class="alignleft"&gt;Restore Mythic Power&lt;/p&gt;&lt;div style="clear: both;"&gt;&lt;/div&gt;&lt;/div&gt;&lt;div&gt;&lt;h5&gt;&lt;b&gt;School &lt;/b&gt;transmutation; &lt;b&gt;Level &lt;/b&gt;bard 3, cleric/oracle 3, 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mythic creature&lt;/h5&gt;&lt;h5&gt;&lt;b&gt;Duration &lt;/b&gt;instantaneous&lt;/h5&gt;&lt;h5&gt;&lt;b&gt;Saving Throw &lt;/b&gt;Will negates (harmless); &lt;b&gt;Spell Resistance &lt;/b&gt;yes (harmless)&lt;/h5&gt;&lt;/div&gt;&lt;hr/&gt;&lt;div&gt;&lt;h5&gt;&lt;b&gt;DESCRIPTION&lt;/b&gt;&lt;/h5&gt;&lt;/div&gt;&lt;hr/&gt;&lt;div&gt;&lt;h4&gt;&lt;p&gt;By laying your hands on the target, you're able to transfer some of your mythic essence to the target. You expend three uses of your mythic power to restore one use of the target's mythic power.&lt;/p&gt;&lt;/h4&gt;&lt;/div&gt;</t>
  </si>
  <si>
    <t>Share Glory</t>
  </si>
  <si>
    <t>bard 2, cleric/oracle 3, druid 3, sorcerer/wizard 3, summoner 2, witch 3, psychic 3</t>
  </si>
  <si>
    <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t>
  </si>
  <si>
    <t>&lt;p&gt;You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spell.&lt;/p&gt;</t>
  </si>
  <si>
    <t>&lt;link rel="stylesheet"href="PF.css"&gt;&lt;div class="heading"&gt;&lt;p class="alignleft"&gt;Share Glory&lt;/p&gt;&lt;div style="clear: both;"&gt;&lt;/div&gt;&lt;/div&gt;&lt;div&gt;&lt;h5&gt;&lt;b&gt;School &lt;/b&gt;transmutation; &lt;b&gt;Level &lt;/b&gt;bard 2, cleric/oracle 3, druid 3, sorcerer/wizard 3, summoner 2,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non-mythic creature/3 levels&lt;/h5&gt;&lt;h5&gt;&lt;b&gt;Duration &lt;/b&gt;1 minute/level&lt;/h5&gt;&lt;h5&gt;&lt;b&gt;Saving Throw &lt;/b&gt;Will negates (harmless); &lt;b&gt;Spell Resistance &lt;/b&gt;yes (harmless)&lt;/h5&gt;&lt;/div&gt;&lt;hr/&gt;&lt;div&gt;&lt;h5&gt;&lt;b&gt;DESCRIPTION&lt;/b&gt;&lt;/h5&gt;&lt;/div&gt;&lt;hr/&gt;&lt;div&gt;&lt;h4&gt;&lt;p&gt;You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spell.&lt;/p&gt;&lt;/h4&gt;&lt;/div&gt;</t>
  </si>
  <si>
    <t>Steal Power</t>
  </si>
  <si>
    <t>cleric/oracle 5, sorcerer/wizard 5, witch 5, psychic 5, mesmerist 4</t>
  </si>
  <si>
    <t>You sap the power from a mythic creature, using it to restore your own. The target loses 1d4 uses of mythic power. If you have the ability to expend mythic power, you regain one use for each use the target loses.</t>
  </si>
  <si>
    <t>&lt;p&gt;You sap the power from a mythic creature, using it to restore your own. The target loses 1d4 uses of mythic power. If you have the ability to expend mythic power, you regain one use for each use the target loses.&lt;/p&gt;</t>
  </si>
  <si>
    <t>&lt;link rel="stylesheet"href="PF.css"&gt;&lt;div class="heading"&gt;&lt;p class="alignleft"&gt;Steal Power&lt;/p&gt;&lt;div style="clear: both;"&gt;&lt;/div&gt;&lt;/div&gt;&lt;div&gt;&lt;h5&gt;&lt;b&gt;School &lt;/b&gt;necromancy; &lt;b&gt;Level &lt;/b&gt;cleric/oracle 5, sorcerer/wizard 5, witch 5, psychic 5, mesmerist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mythic creature&lt;/h5&gt;&lt;h5&gt;&lt;b&gt;Duration &lt;/b&gt;instantaneous&lt;/h5&gt;&lt;h5&gt;&lt;b&gt;Saving Throw &lt;/b&gt;Will negates; &lt;b&gt;Spell Resistance &lt;/b&gt;yes&lt;/h5&gt;&lt;/div&gt;&lt;hr/&gt;&lt;div&gt;&lt;h5&gt;&lt;b&gt;DESCRIPTION&lt;/b&gt;&lt;/h5&gt;&lt;/div&gt;&lt;hr/&gt;&lt;div&gt;&lt;h4&gt;&lt;p&gt;You sap the power from a mythic creature, using it to restore your own. The target loses 1d4 uses of mythic power. If you have the ability to expend mythic power, you regain one use for each use the target loses.&lt;/p&gt;&lt;/h4&gt;&lt;/div&gt;</t>
  </si>
  <si>
    <t>Terraform</t>
  </si>
  <si>
    <t>cleric/oracle 7, druid 6, sorcerer/wizard 7, witch 7, psychic 7</t>
  </si>
  <si>
    <t>V, S, M (10,000 gp worth of precious minerals, see text)</t>
  </si>
  <si>
    <t>100 feet</t>
  </si>
  <si>
    <t>100-foot-radius emanation, centered on you</t>
  </si>
  <si>
    <t>1 day/level (see text)</t>
  </si>
  <si>
    <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t>
  </si>
  <si>
    <t>&lt;p&gt;You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level.&lt;/p&gt;</t>
  </si>
  <si>
    <t>&lt;link rel="stylesheet"href="PF.css"&gt;&lt;div class="heading"&gt;&lt;p class="alignleft"&gt;Terraform&lt;/p&gt;&lt;div style="clear: both;"&gt;&lt;/div&gt;&lt;/div&gt;&lt;div&gt;&lt;h5&gt;&lt;b&gt;School &lt;/b&gt;transmutation; &lt;b&gt;Level &lt;/b&gt;cleric/oracle 7, druid 6, sorcerer/wizard 7, witch 7, psychic 7&lt;/h5&gt;&lt;/div&gt;&lt;hr/&gt;&lt;div&gt;&lt;h5&gt;&lt;b&gt;CASTING&lt;/b&gt;&lt;/h5&gt;&lt;/div&gt;&lt;hr/&gt;&lt;div&gt;&lt;h5&gt;&lt;b&gt;Casting Time &lt;/b&gt;1 hour&lt;/h5&gt;&lt;h5&gt;&lt;b&gt;Components &lt;/b&gt;V, S, M (10,000 gp worth of precious minerals, see text)&lt;/h5&gt;&lt;/div&gt;&lt;hr/&gt;&lt;div&gt;&lt;h5&gt;&lt;b&gt;EFFECT&lt;/b&gt;&lt;/h5&gt;&lt;/div&gt;&lt;hr/&gt;&lt;div&gt;&lt;h5&gt;&lt;b&gt;Range &lt;/b&gt;100 feet&lt;/h5&gt;&lt;h5&gt;&lt;b&gt;Area &lt;/b&gt;100-foot-radius emanation, centered on you&lt;/h5&gt;&lt;h5&gt;&lt;b&gt;Duration &lt;/b&gt;1 day/level (see text)&lt;/h5&gt;&lt;h5&gt;&lt;b&gt;Saving Throw &lt;/b&gt;none; &lt;b&gt;Spell Resistance &lt;/b&gt;no&lt;/h5&gt;&lt;/div&gt;&lt;hr/&gt;&lt;div&gt;&lt;h5&gt;&lt;b&gt;DESCRIPTION&lt;/b&gt;&lt;/h5&gt;&lt;/div&gt;&lt;hr/&gt;&lt;div&gt;&lt;h4&gt;&lt;p&gt;You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level.&lt;/p&gt;&lt;/h4&gt;&lt;/div&gt;</t>
  </si>
  <si>
    <t>Apparent Treachery</t>
  </si>
  <si>
    <t>bard 3, inquisitor 3, sorcerer/wizard 4</t>
  </si>
  <si>
    <t>You shroud a number of creatures in an aura of suspicion and fill them with extreme paranoia regarding their allies. Affected targets believe their companions are behaving erratically, nervously, and seemingly with an eye towards betrayal.  Creatures under the effect of apparent treachery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t>
  </si>
  <si>
    <t>&lt;p&gt;You shroud a number of creatures in an aura of suspicion and fill them with extreme paranoia regarding their allies. Affected targets believe their companions are behaving erratically, nervously, and seemingly with an eye towards betrayal.  Creatures under the effect of &lt;i&gt;apparent treachery&lt;/i&gt;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effects.&lt;/p&gt;</t>
  </si>
  <si>
    <t>AP 74</t>
  </si>
  <si>
    <t>&lt;link rel="stylesheet"href="PF.css"&gt;&lt;div class="heading"&gt;&lt;p class="alignleft"&gt;Apparent Treachery&lt;/p&gt;&lt;div style="clear: both;"&gt;&lt;/div&gt;&lt;/div&gt;&lt;div&gt;&lt;h5&gt;&lt;b&gt;School &lt;/b&gt;enchantment (compulsion) [mind-affecting]; &lt;b&gt;Level &lt;/b&gt;bard 3, inquisitor 3, sorcerer/wizard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 (D)&lt;/h5&gt;&lt;h5&gt;&lt;b&gt;Saving Throw &lt;/b&gt;Will negates; &lt;b&gt;Spell Resistance &lt;/b&gt;yes&lt;/h5&gt;&lt;/div&gt;&lt;hr/&gt;&lt;div&gt;&lt;h5&gt;&lt;b&gt;DESCRIPTION&lt;/b&gt;&lt;/h5&gt;&lt;/div&gt;&lt;hr/&gt;&lt;div&gt;&lt;h4&gt;&lt;p&gt;You shroud a number of creatures in an aura of suspicion and fill them with extreme paranoia regarding their allies. Affected targets believe their companions are behaving erratically, nervously, and seemingly with an eye towards betrayal.  Creatures under the effect of &lt;i&gt;apparent treachery&lt;/i&gt;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effects.&lt;/p&gt;&lt;/h4&gt;&lt;/div&gt;</t>
  </si>
  <si>
    <t>Film Of Filth</t>
  </si>
  <si>
    <t>cleric/oracle 4, druid 4, ranger 3, sorcerer/wizard 4</t>
  </si>
  <si>
    <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t>
  </si>
  <si>
    <t>&lt;p&gt;You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unaffected.&lt;/p&gt;</t>
  </si>
  <si>
    <t>&lt;link rel="stylesheet"href="PF.css"&gt;&lt;div class="heading"&gt;&lt;p class="alignleft"&gt;Film Of Filth&lt;/p&gt;&lt;div style="clear: both;"&gt;&lt;/div&gt;&lt;/div&gt;&lt;div&gt;&lt;h5&gt;&lt;b&gt;School &lt;/b&gt;transmutation [poison]; &lt;b&gt;Level &lt;/b&gt;cleric/oracle 4, druid 4, ranger 3,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&lt;b&gt;Spell Resistance &lt;/b&gt;yes&lt;/h5&gt;&lt;/div&gt;&lt;hr/&gt;&lt;div&gt;&lt;h5&gt;&lt;b&gt;DESCRIPTION&lt;/b&gt;&lt;/h5&gt;&lt;/div&gt;&lt;hr/&gt;&lt;div&gt;&lt;h4&gt;&lt;p&gt;You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unaffected.&lt;/p&gt;&lt;/h4&gt;&lt;/div&gt;</t>
  </si>
  <si>
    <t>Lightning Lash</t>
  </si>
  <si>
    <t>cleric/oracle 3, inquisitor 3, ranger 2, witch 3</t>
  </si>
  <si>
    <t>20-foot-radius spread</t>
  </si>
  <si>
    <t>You create a crackling lash of unholy lightning that flickers and flashes in your hand like a whip, shifting color in response to your mood and will. Once per round, you can make a melee touch attack with the lightning lash against a target within 15 feet. If the attack is successful, it deals 1d6 points of electricity damage and 1d6 points of damage from divine power (similar to flame strike), and allows you to attempt a trip combat maneuver check as a free action against your target (using your caster level as your CMB).</t>
  </si>
  <si>
    <t>&lt;p&gt;You create a crackling lash of unholy lightning that flickers and flashes in your hand like a whip, shifting color in response to your mood and will. Once per round, you can make a melee touch attack with the &lt;i&gt;lightning lash&lt;/i&gt; against a target within 15 feet. If the attack is successful, it deals 1d6 points of electricity damage and 1d6 points of damage from divine power (similar to &lt;i&gt;flame&lt;/i&gt; strike), and allows you to attempt a trip combat maneuver check as a free action against your target (using your caster level as your CMB).&lt;/p&gt;</t>
  </si>
  <si>
    <t>&lt;link rel="stylesheet"href="PF.css"&gt;&lt;div class="heading"&gt;&lt;p class="alignleft"&gt;Lightning Lash&lt;/p&gt;&lt;div style="clear: both;"&gt;&lt;/div&gt;&lt;/div&gt;&lt;div&gt;&lt;h5&gt;&lt;b&gt;School &lt;/b&gt;evocation [electricity]; &lt;b&gt;Level &lt;/b&gt;cleric/oracle 3, inquisitor 3, ranger 2,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&lt;/b&gt;20-foot-radius spread&lt;/h5&gt;&lt;h5&gt;&lt;b&gt;Duration &lt;/b&gt;1 round/level (D)&lt;/h5&gt;&lt;h5&gt;&lt;b&gt;Saving Throw &lt;/b&gt;Fortitude negates (harmless); &lt;b&gt;Spell Resistance &lt;/b&gt;yes&lt;/h5&gt;&lt;/div&gt;&lt;hr/&gt;&lt;div&gt;&lt;h5&gt;&lt;b&gt;DESCRIPTION&lt;/b&gt;&lt;/h5&gt;&lt;/div&gt;&lt;hr/&gt;&lt;div&gt;&lt;h4&gt;&lt;p&gt;You create a crackling lash of unholy lightning that flickers and flashes in your hand like a whip, shifting color in response to your mood and will. Once per round, you can make a melee touch attack with the &lt;i&gt;lightning lash&lt;/i&gt; against a target within 15 feet. If the attack is successful, it deals 1d6 points of electricity damage and 1d6 points of damage from divine power (similar to &lt;i&gt;flame&lt;/i&gt; strike), and allows you to attempt a trip combat maneuver check as a free action against your target (using your caster level as your CMB).&lt;/p&gt;&lt;/h4&gt;&lt;/div&gt;</t>
  </si>
  <si>
    <t>Maw Of Chaos</t>
  </si>
  <si>
    <t>V, S, F/DF (a gold-plated, cold iron ring that was forged in the Abyss)</t>
  </si>
  <si>
    <t>5-foot-radius spread</t>
  </si>
  <si>
    <t>concentration (maximum 1 round/level)</t>
  </si>
  <si>
    <t>This spell creates a rip in reality that plunges into the interspatial vortices that constantly churn with the raw destructive chaos of the Abyss. Each round at the beginning of your turn, the maw of chaos attempts a drag combat maneuver check against every creature within 40 feet, using your caster level plus your primary spellcasting ability modifier in place of a CMB. If a creature is dragged into a maw of chaos, the area erupts in a surge of chaotic energy and the creature takes 1d6 points of damage per caster level. Only one such eruption can occur per round.  Creatures dragged adjacent to the maw of chaos become entangled by the frayed strands of reality being torn apart at the rim of the maw of chaos. Escape requires a successful Escape Artist check or grapple check against a DC equal to 10 plus the spell's save DC. Every creature without the chaotic subtype that ends its turn adjacent to a maw of chaos takes 2 points of damage to each ability score. Creatures with the lawful subtype take double this amount of damage; creatures with the chaotic subtype take no damage.  Calling, summoning, and teleportation effects used within 30 feet of the maw of chaos or that cause a creature to appear within 30 feet of a maw of chaos are redirected, causing the creature to arrive adjacent to the maw of chaos rather than at its intended destination. Unattended objects (including dead bodies) adjacent to the maw of chaos are drawn into it and affected as by disintegrate at the beginning of the caster's next turn.</t>
  </si>
  <si>
    <t>&lt;p&gt;This spell creates a rip in reality that plunges into the interspatial vortices that constantly churn with the raw destructive chaos of the Abyss. Each round at the beginning of your turn, the &lt;i&gt;maw of chaos&lt;/i&gt; attempts a drag combat maneuver check against every creature within 40 feet, using your caster level plus your primary spellcasting ability modifier in place of a CMB. If a creature is dragged into a &lt;i&gt;maw of chaos&lt;/i&gt;, the area erupts in a surge of chaotic energy and the creature takes 1d6 points of damage per caster level. Only one such eruption can occur per round.  Creatures dragged adjacent to the &lt;i&gt;maw of chaos&lt;/i&gt; become entangled by the frayed strands of reality being torn apart at the rim of the &lt;i&gt;maw of chaos&lt;/i&gt;. Escape requires a successful Escape Artist check or grapple check against a DC equal to 10 plus the spell's save DC. Every creature without the chaotic subtype that ends its turn adjacent to a &lt;i&gt;maw of chaos&lt;/i&gt; takes 2 points of damage to each ability score. Creatures with the lawful subtype take double this amount of damage; creatures with the chaotic subtype take no damage.  Calling, summoning, and teleportation effects used within 30 feet of the &lt;i&gt;maw of chaos&lt;/i&gt; or that cause a creature to appear within 30 feet of a &lt;i&gt;maw of chaos&lt;/i&gt; are redirected, causing the creature to arrive adjacent to the &lt;i&gt;maw of chaos&lt;/i&gt; rather than at its intended destination. Unattended objects (including dead bodies) adjacent to the &lt;i&gt;maw of chaos&lt;/i&gt; are drawn into it and affected as by &lt;i&gt;disintegrate&lt;/i&gt; at the beginning of the caster's next turn.&lt;/p&gt;</t>
  </si>
  <si>
    <t>&lt;link rel="stylesheet"href="PF.css"&gt;&lt;div class="heading"&gt;&lt;p class="alignleft"&gt;Maw Of Chaos&lt;/p&gt;&lt;div style="clear: both;"&gt;&lt;/div&gt;&lt;/div&gt;&lt;div&gt;&lt;h5&gt;&lt;b&gt;School &lt;/b&gt;conjuration (teleportation) [chaotic]; &lt;b&gt;Level &lt;/b&gt;cleric/oracle 8, sorcerer/wizard 8&lt;/h5&gt;&lt;/div&gt;&lt;hr/&gt;&lt;div&gt;&lt;h5&gt;&lt;b&gt;CASTING&lt;/b&gt;&lt;/h5&gt;&lt;/div&gt;&lt;hr/&gt;&lt;div&gt;&lt;h5&gt;&lt;b&gt;Casting Time &lt;/b&gt;1 standard action&lt;/h5&gt;&lt;h5&gt;&lt;b&gt;Components &lt;/b&gt;V, S, F/DF (a gold-plated, cold iron ring that was forged in the Abyss)&lt;/h5&gt;&lt;/div&gt;&lt;hr/&gt;&lt;div&gt;&lt;h5&gt;&lt;b&gt;EFFECT&lt;/b&gt;&lt;/h5&gt;&lt;/div&gt;&lt;hr/&gt;&lt;div&gt;&lt;h5&gt;&lt;b&gt;Range &lt;/b&gt;close (25 ft. + 5 ft./2 levels)&lt;/h5&gt;&lt;h5&gt;&lt;b&gt;Area &lt;/b&gt;5-foot-radius spread&lt;/h5&gt;&lt;h5&gt;&lt;b&gt;Duration &lt;/b&gt;concentration (maximum 1 round/level)&lt;/h5&gt;&lt;h5&gt;&lt;b&gt;Saving Throw &lt;/b&gt;see text; &lt;b&gt;Spell Resistance &lt;/b&gt;yes; see text&lt;/h5&gt;&lt;/div&gt;&lt;hr/&gt;&lt;div&gt;&lt;h5&gt;&lt;b&gt;DESCRIPTION&lt;/b&gt;&lt;/h5&gt;&lt;/div&gt;&lt;hr/&gt;&lt;div&gt;&lt;h4&gt;&lt;p&gt;This spell creates a rip in reality that plunges into the interspatial vortices that constantly churn with the raw destructive chaos of the Abyss. Each round at the beginning of your turn, the &lt;i&gt;maw of chaos&lt;/i&gt; attempts a drag combat maneuver check against every creature within 40 feet, using your caster level plus your primary spellcasting ability modifier in place of a CMB. If a creature is dragged into a &lt;i&gt;maw of chaos&lt;/i&gt;, the area erupts in a surge of chaotic energy and the creature takes 1d6 points of damage per caster level. Only one such eruption can occur per round.  Creatures dragged adjacent to the &lt;i&gt;maw of chaos&lt;/i&gt; become entangled by the frayed strands of reality being torn apart at the rim of the &lt;i&gt;maw of chaos&lt;/i&gt;. Escape requires a successful Escape Artist check or grapple check against a DC equal to 10 plus the spell's save DC. Every creature without the chaotic subtype that ends its turn adjacent to a &lt;i&gt;maw of chaos&lt;/i&gt; takes 2 points of damage to each ability score. Creatures with the lawful subtype take double this amount of damage; creatures with the chaotic subtype take no damage.  Calling, summoning, and teleportation effects used within 30 feet of the &lt;i&gt;maw of chaos&lt;/i&gt; or that cause a creature to appear within 30 feet of a &lt;i&gt;maw of chaos&lt;/i&gt; are redirected, causing the creature to arrive adjacent to the &lt;i&gt;maw of chaos&lt;/i&gt; rather than at its intended destination. Unattended objects (including dead bodies) adjacent to the &lt;i&gt;maw of chaos&lt;/i&gt; are drawn into it and affected as by &lt;i&gt;disintegrate&lt;/i&gt; at the beginning of the caster's next turn.&lt;/p&gt;&lt;/h4&gt;&lt;/div&gt;</t>
  </si>
  <si>
    <t>Summon Greater Demon</t>
  </si>
  <si>
    <t>This spell functions like summon monster, except it allows you to summon a single coloxus (Pathfinder RPG Bestiary 3 72), an omox demon (Pathfinder RPG Bestiary 2 79), or 1d3 kalavakus demons (Bestiary 2 78).</t>
  </si>
  <si>
    <t>&lt;p&gt;This spell functions like &lt;i&gt;summon monster&lt;/i&gt;, except it allows you to summon a single coloxus (&lt;i&gt;Pathfinder RPG Bestiary 3&lt;/i&gt; 72), an omox demon (&lt;i&gt;Pathfinder RPG &lt;i&gt;Bestiary 2&lt;/i&gt;&lt;/i&gt; 79), or 1d3 kalavakus demons (&lt;i&gt;Bestiary 2&lt;/i&gt; 78).&lt;/p&gt;</t>
  </si>
  <si>
    <t>&lt;link rel="stylesheet"href="PF.css"&gt;&lt;div class="heading"&gt;&lt;p class="alignleft"&gt;Summon Greater Demon&lt;/p&gt;&lt;div style="clear: both;"&gt;&lt;/div&gt;&lt;/div&gt;&lt;div&gt;&lt;h5&gt;&lt;b&gt;School &lt;/b&gt;conjuration (summoning) [chaotic, evil]; &lt;b&gt;Level &lt;/b&gt;cleric/oracle 9, sorcerer/wizard 9, witch 9&lt;/h5&gt;&lt;/div&gt;&lt;hr/&gt;&lt;div&gt;&lt;h5&gt;&lt;b&gt;CASTING&lt;/b&gt;&lt;/h5&gt;&lt;/div&gt;&lt;hr/&gt;&lt;div&gt;&lt;h5&gt;&lt;b&gt;Casting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allows you to summon a single coloxus (&lt;i&gt;Pathfinder RPG Bestiary 3&lt;/i&gt; 72), an omox demon (&lt;i&gt;Pathfinder RPG &lt;i&gt;Bestiary 2&lt;/i&gt;&lt;/i&gt; 79), or 1d3 kalavakus demons (&lt;i&gt;Bestiary 2&lt;/i&gt; 78).&lt;/p&gt;&lt;/h4&gt;&lt;/div&gt;</t>
  </si>
  <si>
    <t>Summon Lesser Demon</t>
  </si>
  <si>
    <t>This spell functions like summon monster, except it allows you to summon a single brimorak (Lords of Chaos 56), one incubus (Bestiary 3 73), one thoxel demon (see page 86), 1d3 schir demons (Bestiary 3 74), or 1d4+1 vermlek demons (Lords of Chaos 54).</t>
  </si>
  <si>
    <t>&lt;p&gt;This spell functions like &lt;i&gt;summon monster&lt;/i&gt;, except it allows you to summon a single brimorak (&lt;i&gt;Lords of Chaos&lt;/i&gt; 56), one incubus (&lt;i&gt;Bestiary 3&lt;/i&gt; 73), one thoxel demon (see page 86), 1d3 schir demons (&lt;i&gt;Bestiary 3&lt;/i&gt; 74), or 1d4+1 vermlek demons (&lt;i&gt;Lords of Chaos&lt;/i&gt; 54).&lt;/p&gt;</t>
  </si>
  <si>
    <t>&lt;link rel="stylesheet"href="PF.css"&gt;&lt;div class="heading"&gt;&lt;p class="alignleft"&gt;Summon Lesser Demon&lt;/p&gt;&lt;div style="clear: both;"&gt;&lt;/div&gt;&lt;/div&gt;&lt;div&gt;&lt;h5&gt;&lt;b&gt;School &lt;/b&gt;conjuration (summoning) [chaotic, evil]; &lt;b&gt;Level &lt;/b&gt;cleric/oracle 5, sorcerer/wizard 5, summoner 4, witch 5&lt;/h5&gt;&lt;/div&gt;&lt;hr/&gt;&lt;div&gt;&lt;h5&gt;&lt;b&gt;CASTING&lt;/b&gt;&lt;/h5&gt;&lt;/div&gt;&lt;hr/&gt;&lt;div&gt;&lt;h5&gt;&lt;b&gt;Casting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allows you to summon a single brimorak (&lt;i&gt;Lords of Chaos&lt;/i&gt; 56), one incubus (&lt;i&gt;Bestiary 3&lt;/i&gt; 73), one thoxel demon (see page 86), 1d3 schir demons (&lt;i&gt;Bestiary 3&lt;/i&gt; 74), or 1d4+1 vermlek demons (&lt;i&gt;Lords of Chaos&lt;/i&gt; 54).&lt;/p&gt;&lt;/h4&gt;&lt;/div&gt;</t>
  </si>
  <si>
    <t>Unleash Pandemonium</t>
  </si>
  <si>
    <t>cleric/oracle 5, summoner 5, witch 5</t>
  </si>
  <si>
    <t>30-foot-radius spread</t>
  </si>
  <si>
    <t>concentration (maximum 1 round/level) +1 round (D)</t>
  </si>
  <si>
    <t>You call upon the wild winds of the Abyssal atmosphere, howling with the screams of damned and demented souls in torment. The area is filled with winds of windstorm strength (Core Rulebook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t>
  </si>
  <si>
    <t>&lt;p&gt;You call upon the wild winds of the Abyssal atmosphere, howling with the screams of damned and demented souls in torment. The area is filled with winds of windstorm strength (&lt;i&gt;Core Rulebook&lt;/i&gt;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deafness.&lt;/p&gt;</t>
  </si>
  <si>
    <t>&lt;link rel="stylesheet"href="PF.css"&gt;&lt;div class="heading"&gt;&lt;p class="alignleft"&gt;Unleash Pandemonium&lt;/p&gt;&lt;div style="clear: both;"&gt;&lt;/div&gt;&lt;/div&gt;&lt;div&gt;&lt;h5&gt;&lt;b&gt;School &lt;/b&gt;conjuration [chaotic]; &lt;b&gt;Level &lt;/b&gt;cleric/oracle 5, summoner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&lt;/b&gt;30-foot-radius spread&lt;/h5&gt;&lt;h5&gt;&lt;b&gt;Duration &lt;/b&gt;concentration (maximum 1 round/level) +1 round (D)&lt;/h5&gt;&lt;h5&gt;&lt;b&gt;Saving Throw &lt;/b&gt;Will partial; see text; &lt;b&gt;Spell Resistance &lt;/b&gt;no&lt;/h5&gt;&lt;/div&gt;&lt;hr/&gt;&lt;div&gt;&lt;h5&gt;&lt;b&gt;DESCRIPTION&lt;/b&gt;&lt;/h5&gt;&lt;/div&gt;&lt;hr/&gt;&lt;div&gt;&lt;h4&gt;&lt;p&gt;You call upon the wild winds of the Abyssal atmosphere, howling with the screams of damned and demented souls in torment. The area is filled with winds of windstorm strength (&lt;i&gt;Core Rulebook&lt;/i&gt;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deafness.&lt;/p&gt;&lt;/h4&gt;&lt;/div&gt;</t>
  </si>
  <si>
    <t>Vermicious Assumption</t>
  </si>
  <si>
    <t>cleric/oracle 6, summoner 6</t>
  </si>
  <si>
    <t>V, S, M (a handful of worms)</t>
  </si>
  <si>
    <t>one Medium humanoid corpse</t>
  </si>
  <si>
    <t>You call a single vermlek demon (Lords of Chaos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t>
  </si>
  <si>
    <t>&lt;p&gt;You call a single vermlek demon (&lt;i&gt;Lords of Chaos&lt;/i&gt;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inhabit.&lt;/p&gt;</t>
  </si>
  <si>
    <t>&lt;link rel="stylesheet"href="PF.css"&gt;&lt;div class="heading"&gt;&lt;p class="alignleft"&gt;Vermicious Assumption&lt;/p&gt;&lt;div style="clear: both;"&gt;&lt;/div&gt;&lt;/div&gt;&lt;div&gt;&lt;h5&gt;&lt;b&gt;School &lt;/b&gt;conjuration (calling) [chaotic, evil]; &lt;b&gt;Level &lt;/b&gt;cleric/oracle 6, summoner 6&lt;/h5&gt;&lt;/div&gt;&lt;hr/&gt;&lt;div&gt;&lt;h5&gt;&lt;b&gt;CASTING&lt;/b&gt;&lt;/h5&gt;&lt;/div&gt;&lt;hr/&gt;&lt;div&gt;&lt;h5&gt;&lt;b&gt;Casting Time &lt;/b&gt;10 minutes&lt;/h5&gt;&lt;h5&gt;&lt;b&gt;Components &lt;/b&gt;V, S, M (a handful of worms)&lt;/h5&gt;&lt;/div&gt;&lt;hr/&gt;&lt;div&gt;&lt;h5&gt;&lt;b&gt;EFFECT&lt;/b&gt;&lt;/h5&gt;&lt;/div&gt;&lt;hr/&gt;&lt;div&gt;&lt;h5&gt;&lt;b&gt;Range &lt;/b&gt;touch&lt;/h5&gt;&lt;h5&gt;&lt;b&gt;Targets &lt;/b&gt;one Medium humanoid corpse&lt;/h5&gt;&lt;h5&gt;&lt;b&gt;Duration &lt;/b&gt;instantaneous&lt;/h5&gt;&lt;h5&gt;&lt;b&gt;Saving Throw &lt;/b&gt;none; &lt;b&gt;Spell Resistance &lt;/b&gt;no&lt;/h5&gt;&lt;/div&gt;&lt;hr/&gt;&lt;div&gt;&lt;h5&gt;&lt;b&gt;DESCRIPTION&lt;/b&gt;&lt;/h5&gt;&lt;/div&gt;&lt;hr/&gt;&lt;div&gt;&lt;h4&gt;&lt;p&gt;You call a single vermlek demon (&lt;i&gt;Lords of Chaos&lt;/i&gt;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inhabit.&lt;/p&gt;&lt;/h4&gt;&lt;/div&gt;</t>
  </si>
  <si>
    <t>Borrowed Time</t>
  </si>
  <si>
    <t>alchemist 6, bard 6, magus 6, sorcerer/wizard 6</t>
  </si>
  <si>
    <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  When the spell ends, you are staggered for 1d4+1 rounds from the temporal backlash.</t>
  </si>
  <si>
    <t>&lt;p&gt;A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instead.&lt;/p&gt;&lt;p&gt;When the spell ends, you are staggered for 1d4+1 rounds from the temporal backlash.&lt;/p&gt;</t>
  </si>
  <si>
    <t>Mythic Origins</t>
  </si>
  <si>
    <t>&lt;link rel="stylesheet"href="PF.css"&gt;&lt;div class="heading"&gt;&lt;p class="alignleft"&gt;Borrowed Time&lt;/p&gt;&lt;div style="clear: both;"&gt;&lt;/div&gt;&lt;/div&gt;&lt;div&gt;&lt;h5&gt;&lt;b&gt;School &lt;/b&gt;transmutation; &lt;b&gt;Level &lt;/b&gt;alchemist 6, bard 6, magus 6, sorcerer/wizard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instead.&lt;/p&gt;&lt;p&gt;When the spell ends, you are staggered for 1d4+1 rounds from the temporal backlash.&lt;/p&gt;&lt;/h4&gt;&lt;h5&gt;&lt;b&gt;Mythic: &lt;/b&gt;If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above.&lt;/h5&gt;&lt;/div&gt;</t>
  </si>
  <si>
    <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t>
  </si>
  <si>
    <t>Elemental Bombardment</t>
  </si>
  <si>
    <t>long (400 ft. + 100 ft./level)</t>
  </si>
  <si>
    <t>one or more summoned elementals</t>
  </si>
  <si>
    <t>1 round/2 levels (D)</t>
  </si>
  <si>
    <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 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 You must select one type of elemental to summon when casting this spell (see the table). When you use a summoning spell to summon a creature with an elemental subtype, it is a spell of that type. Elemental Size D amage Medium 6d6 Large 8d6 Huge or larger 12d6 Elemental Type D amage Type Air Half slashing, half electricity Earth Bludgeoning and earth mastery* Fire Fire and burn* IceB2 Half bludgeoning, half cold Lightning B2 Electricity and metal mastery* Magma B2 Half bludgeoning, half fire Mud B2 Bludgeoning and entrap* Water Bludgeoning and drench*</t>
  </si>
  <si>
    <t>&lt;p&gt;You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target.&lt;/p&gt;&lt;p&gt;Each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target.&lt;/p&gt;&lt;p&gt;You must select one type of elemental to summon when casting this spell (see the table).&lt;/p&gt;&lt;p&gt;When you use a summoning spell to summon a creature with an elemental subtype, it is a spell of that type.&lt;/p&gt;   &lt;table border ='1'&gt;&lt;tr&gt;&lt;th&gt;Elemental Size&lt;/th&gt;&lt;th&gt;Damage&lt;/th&gt;&lt;/tr&gt;&lt;tr&gt;&lt;td&gt;Medium&lt;/td&gt;&lt;td&gt;6d6&lt;/td&gt;&lt;/tr&gt;&lt;tr&gt;&lt;td&gt;Large&lt;/td&gt;&lt;td&gt;8d6&lt;/td&gt;&lt;/tr&gt;&lt;tr&gt;&lt;td&gt;Huge or larger&lt;/td&gt;&lt;td&gt;12d6&lt;/td&gt;&lt;/tr&gt;&lt;/table&gt;   &lt;table border ='1'&gt;&lt;tr&gt;&lt;th&gt;Elemental Type&lt;/th&gt;&lt;th&gt;Damage Type&lt;/th&gt;&lt;/tr&gt;&lt;tr&gt;&lt;td&gt;Air&lt;/td&gt;&lt;td&gt;Half slashing, half electricity&lt;/td&gt;&lt;/tr&gt;&lt;tr&gt;&lt;td&gt;Earth&lt;/td&gt;&lt;td&gt;Bludgeoning and earth mastery*&lt;/td&gt;&lt;/tr&gt;&lt;tr&gt;&lt;td&gt;Fire&lt;/td&gt;&lt;td&gt;Fire and burn*&lt;/td&gt;&lt;/tr&gt;&lt;tr&gt;&lt;td&gt;IceB2&lt;/td&gt;&lt;td&gt;Half bludgeoning, half cold&lt;/td&gt;&lt;/tr&gt;&lt;tr&gt;&lt;td&gt;Lightning B2&lt;/td&gt;&lt;td&gt;Electricity and metal mastery*&lt;/td&gt;&lt;/tr&gt;&lt;tr&gt;&lt;td&gt;Magma B2&lt;/td&gt;&lt;td&gt;Half bludgeoning, half fire&lt;/td&gt;&lt;/tr&gt;&lt;tr&gt;&lt;td&gt;Mud B2&lt;/td&gt;&lt;td&gt;Bludgeoning and entrap*&lt;/td&gt;&lt;/tr&gt;&lt;tr&gt;&lt;td&gt;Water&lt;/td&gt;&lt;td&gt;Bludgeoning and drench*&lt;/td&gt;&lt;/tr&gt;&lt;/table&gt;   &lt;/p&gt;</t>
  </si>
  <si>
    <t>&lt;link rel="stylesheet"href="PF.css"&gt;&lt;div class="heading"&gt;&lt;p class="alignleft"&gt;Elemental Bombardment&lt;/p&gt;&lt;div style="clear: both;"&gt;&lt;/div&gt;&lt;/div&gt;&lt;div&gt;&lt;h5&gt;&lt;b&gt;School &lt;/b&gt;conjuration (summoning) [see text]; &lt;b&gt;Level &lt;/b&gt;druid 7, sorcerer/wizard 7&lt;/h5&gt;&lt;/div&gt;&lt;hr/&gt;&lt;div&gt;&lt;h5&gt;&lt;b&gt;CASTING&lt;/b&gt;&lt;/h5&gt;&lt;/div&gt;&lt;hr/&gt;&lt;div&gt;&lt;h5&gt;&lt;b&gt;Casting Time &lt;/b&gt;1 round&lt;/h5&gt;&lt;h5&gt;&lt;b&gt;Components &lt;/b&gt;V, S&lt;/h5&gt;&lt;/div&gt;&lt;hr/&gt;&lt;div&gt;&lt;h5&gt;&lt;b&gt;EFFECT&lt;/b&gt;&lt;/h5&gt;&lt;/div&gt;&lt;hr/&gt;&lt;div&gt;&lt;h5&gt;&lt;b&gt;Range &lt;/b&gt;long (400 ft. + 100 ft./level)&lt;/h5&gt;&lt;h5&gt;&lt;b&gt;Effect &lt;/b&gt;one or more summoned elementals&lt;/h5&gt;&lt;h5&gt;&lt;b&gt;Duration &lt;/b&gt;1 round/2 levels (D)&lt;/h5&gt;&lt;h5&gt;&lt;b&gt;Saving Throw &lt;/b&gt;none; &lt;b&gt;Spell Resistance &lt;/b&gt;no&lt;/h5&gt;&lt;/div&gt;&lt;hr/&gt;&lt;div&gt;&lt;h5&gt;&lt;b&gt;DESCRIPTION&lt;/b&gt;&lt;/h5&gt;&lt;/div&gt;&lt;hr/&gt;&lt;div&gt;&lt;h4&gt;&lt;p&gt;You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target.&lt;/p&gt;&lt;p&gt;Each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target.&lt;/p&gt;&lt;p&gt;You must select one type of elemental to summon when casting this spell (see the table).&lt;/p&gt;&lt;p&gt;When you use a summoning spell to summon a creature with an elemental subtype, it is a spell of that type.&lt;/p&gt;   &lt;table border ='1'&gt;&lt;tr&gt;&lt;th&gt;Elemental Size&lt;/th&gt;&lt;th&gt;Damage&lt;/th&gt;&lt;/tr&gt;&lt;tr&gt;&lt;td&gt;Medium&lt;/td&gt;&lt;td&gt;6d6&lt;/td&gt;&lt;/tr&gt;&lt;tr&gt;&lt;td&gt;Large&lt;/td&gt;&lt;td&gt;8d6&lt;/td&gt;&lt;/tr&gt;&lt;tr&gt;&lt;td&gt;Huge or larger&lt;/td&gt;&lt;td&gt;12d6&lt;/td&gt;&lt;/tr&gt;&lt;/table&gt;    &lt;table border ='1'&gt;&lt;tr&gt;&lt;th&gt;Elemental Type&lt;/th&gt;&lt;th&gt;Damage Type&lt;/th&gt;&lt;/tr&gt;&lt;tr&gt;&lt;td&gt;Air&lt;/td&gt;&lt;td&gt;Half slashing, half electricity&lt;/td&gt;&lt;/tr&gt;&lt;tr&gt;&lt;td&gt;Earth&lt;/td&gt;&lt;td&gt;Bludgeoning and earth mastery*&lt;/td&gt;&lt;/tr&gt;&lt;tr&gt;&lt;td&gt;Fire&lt;/td&gt;&lt;td&gt;Fire and burn*&lt;/td&gt;&lt;/tr&gt;&lt;tr&gt;&lt;td&gt;IceB2&lt;/td&gt;&lt;td&gt;Half bludgeoning, half cold&lt;/td&gt;&lt;/tr&gt;&lt;tr&gt;&lt;td&gt;Lightning B2&lt;/td&gt;&lt;td&gt;Electricity and metal mastery*&lt;/td&gt;&lt;/tr&gt;&lt;tr&gt;&lt;td&gt;Magma B2&lt;/td&gt;&lt;td&gt;Half bludgeoning, half fire&lt;/td&gt;&lt;/tr&gt;&lt;tr&gt;&lt;td&gt;Mud B2&lt;/td&gt;&lt;td&gt;Bludgeoning and entrap*&lt;/td&gt;&lt;/tr&gt;&lt;tr&gt;&lt;td&gt;Water&lt;/td&gt;&lt;td&gt;Bludgeoning and drench*&lt;/td&gt;&lt;/tr&gt;&lt;/table&gt;   &lt;/h4&gt;&lt;h5&gt;&lt;b&gt;Mythic: &lt;/b&gt;If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elementals.&lt;/h5&gt;&lt;h5&gt;&lt;b&gt;Augmented (9th)&lt;/b&gt;: If you expend three uses of mythic power,you summon twice as many elementals as normal, each withthe advanced simple template.&lt;/h5&gt;&lt;/div&gt;</t>
  </si>
  <si>
    <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t>
  </si>
  <si>
    <t>Augmented (9th): If you expend three uses of mythic power,you summon twice as many elementals as normal, each withthe advanced simple template.</t>
  </si>
  <si>
    <t>Imbue With Flight</t>
  </si>
  <si>
    <t>V, M (handful of down)</t>
  </si>
  <si>
    <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t>
  </si>
  <si>
    <t>&lt;p&gt;You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pounds).&lt;/p&gt;</t>
  </si>
  <si>
    <t>&lt;link rel="stylesheet"href="PF.css"&gt;&lt;div class="heading"&gt;&lt;p class="alignleft"&gt;Imbue With Flight&lt;/p&gt;&lt;div style="clear: both;"&gt;&lt;/div&gt;&lt;/div&gt;&lt;div&gt;&lt;h5&gt;&lt;b&gt;School &lt;/b&gt;transmutation; &lt;b&gt;Level &lt;/b&gt;sorcerer/wizard 4&lt;/h5&gt;&lt;/div&gt;&lt;hr/&gt;&lt;div&gt;&lt;h5&gt;&lt;b&gt;CASTING&lt;/b&gt;&lt;/h5&gt;&lt;/div&gt;&lt;hr/&gt;&lt;div&gt;&lt;h5&gt;&lt;b&gt;Casting Time &lt;/b&gt;1 standard action&lt;/h5&gt;&lt;h5&gt;&lt;b&gt;Components &lt;/b&gt;V, M (handful of down)&lt;/h5&gt;&lt;/div&gt;&lt;hr/&gt;&lt;div&gt;&lt;h5&gt;&lt;b&gt;EFFECT&lt;/b&gt;&lt;/h5&gt;&lt;/div&gt;&lt;hr/&gt;&lt;div&gt;&lt;h5&gt;&lt;b&gt;Range &lt;/b&gt;touch&lt;/h5&gt;&lt;h5&gt;&lt;b&gt;Targets &lt;/b&gt;object touched&lt;/h5&gt;&lt;h5&gt;&lt;b&gt;Duration &lt;/b&gt;1 hour/level (D)&lt;/h5&gt;&lt;h5&gt;&lt;b&gt;Saving Throw &lt;/b&gt;Will negates (harmless, object); &lt;b&gt;Spell Resistance &lt;/b&gt;yes (harmless, object)&lt;/h5&gt;&lt;/div&gt;&lt;hr/&gt;&lt;div&gt;&lt;h5&gt;&lt;b&gt;DESCRIPTION&lt;/b&gt;&lt;/h5&gt;&lt;/div&gt;&lt;hr/&gt;&lt;div&gt;&lt;h4&gt;&lt;p&gt;You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pounds).&lt;/p&gt;&lt;/h4&gt;&lt;h5&gt;&lt;b&gt;Mythic: &lt;/b&gt;If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spell.&lt;/h5&gt;&lt;/div&gt;</t>
  </si>
  <si>
    <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t>
  </si>
  <si>
    <t>Soulreaver</t>
  </si>
  <si>
    <t>cleric/oracle 8, sorcerer/wizard 8, witch 8</t>
  </si>
  <si>
    <t>living creatures in a 20-ft.-radius spread</t>
  </si>
  <si>
    <t>Favored by the necromancer Geb as a tool to turn his enemies' armies against themselves, this potent death spell deals 1d6 points of damage per caster level (maximum 20d6) to living creatures in the area of effect.</t>
  </si>
  <si>
    <t>&lt;p&gt;Favored by the necromancer Geb as a tool to turn his enemies' armies against themselves, this potent death spell deals 1d6 points of damage per caster level (maximum 20d6) to living creatures in the area of effect.&lt;/p&gt;</t>
  </si>
  <si>
    <t>&lt;link rel="stylesheet"href="PF.css"&gt;&lt;div class="heading"&gt;&lt;p class="alignleft"&gt;Soulreaver&lt;/p&gt;&lt;div style="clear: both;"&gt;&lt;/div&gt;&lt;/div&gt;&lt;div&gt;&lt;h5&gt;&lt;b&gt;School &lt;/b&gt;necromancy [death];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creatures in a 20-ft.-radius spread&lt;/h5&gt;&lt;h5&gt;&lt;b&gt;Duration &lt;/b&gt;instantaneous&lt;/h5&gt;&lt;h5&gt;&lt;b&gt;Saving Throw &lt;/b&gt;Fortitude half; &lt;b&gt;Spell Resistance &lt;/b&gt;yes&lt;/h5&gt;&lt;/div&gt;&lt;hr/&gt;&lt;div&gt;&lt;h5&gt;&lt;b&gt;DESCRIPTION&lt;/b&gt;&lt;/h5&gt;&lt;/div&gt;&lt;hr/&gt;&lt;div&gt;&lt;h4&gt;&lt;p&gt;Favored by the necromancer Geb as a tool to turn his enemies' armies against themselves, this potent death spell deals 1d6 points of damage per caster level (maximum 20d6) to living creatures in the area of effect.&lt;/p&gt;&lt;/h4&gt;&lt;h5&gt;&lt;b&gt;Mythic: &lt;/b&gt;You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control.&lt;/h5&gt;&lt;h5&gt;&lt;b&gt;Augmented (8th)&lt;/b&gt;: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form.&lt;/h5&gt;&lt;/div&gt;</t>
  </si>
  <si>
    <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t>
  </si>
  <si>
    <t>Augmented (8th):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t>
  </si>
  <si>
    <t>Sustaining Legend</t>
  </si>
  <si>
    <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 • Remove any one of the following conditions: dazzled, fatigued, shaken, sickened, or staggered. • Reduce the dazed or stunned condition to staggered. • Reduce the exhausted condition to fatigued. • Reduce the frightened condition to shaken, or the panicked condition to frightened. • Reduce the nauseated condition to sickened. A target can benefit from the effects of sustaining legend only once per round, even if the target expends multiple uses of mythic power during that time.</t>
  </si>
  <si>
    <t>&lt;p&gt;The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effects.&lt;/p&gt;&lt;p&gt;&lt;ul&gt;&lt;li&gt; Remove any one of the following conditions: dazzled, fatigued, shaken, sickened, or staggered.&lt;/p&gt;&lt;p&gt;&lt;li&gt; Reduce the dazed or stunned condition to staggered.&lt;/p&gt;&lt;p&gt;&lt;li&gt; Reduce the exhausted condition to fatigued.&lt;/p&gt;&lt;p&gt;&lt;li&gt; Reduce the frightened condition to shaken, or the panicked condition to frightened.&lt;/p&gt;&lt;p&gt;&lt;li&gt; Reduce the nauseated condition to sickened.&lt;/ul&gt;&lt;/p&gt;&lt;p&gt;A target can benefit from the effects of &lt;i&gt;sustaining legend&lt;/i&gt; only once per round, even if the target expends multiple uses of mythic power during that time.&lt;/p&gt;</t>
  </si>
  <si>
    <t>&lt;link rel="stylesheet"href="PF.css"&gt;&lt;div class="heading"&gt;&lt;p class="alignleft"&gt;Sustaining Legend&lt;/p&gt;&lt;div style="clear: both;"&gt;&lt;/div&gt;&lt;/div&gt;&lt;div&gt;&lt;h5&gt;&lt;b&gt;School &lt;/b&gt;conjuration (healing); &lt;b&gt;Level &lt;/b&gt;bard 5, cleric/oracle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negates (harmless); &lt;b&gt;Spell Resistance &lt;/b&gt;yes&lt;/h5&gt;&lt;/div&gt;&lt;hr/&gt;&lt;div&gt;&lt;h5&gt;&lt;b&gt;DESCRIPTION&lt;/b&gt;&lt;/h5&gt;&lt;/div&gt;&lt;hr/&gt;&lt;div&gt;&lt;h4&gt;&lt;p&gt;The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effects.&lt;/p&gt;&lt;p&gt;&lt;ul&gt;&lt;li&gt; Remove any one of the following conditions: dazzled, fatigued, shaken, sickened, or staggered.&lt;/p&gt;&lt;p&gt;&lt;li&gt; Reduce the dazed or stunned condition to staggered.&lt;/p&gt;&lt;p&gt;&lt;li&gt; Reduce the exhausted condition to fatigued.&lt;/p&gt;&lt;p&gt;&lt;li&gt; Reduce the frightened condition to shaken, or the panicked condition to frightened.&lt;/p&gt;&lt;p&gt;&lt;li&gt; Reduce the nauseated condition to sickened.&lt;/ul&gt;&lt;/p&gt;&lt;p&gt;A target can benefit from the effects of &lt;i&gt;sustaining legend&lt;/i&gt; only once per round, even if the target expends multiple uses of mythic power during that time.&lt;/p&gt;&lt;/h4&gt;&lt;/div&gt;</t>
  </si>
  <si>
    <t>Accursed Glare</t>
  </si>
  <si>
    <t>antipaladin 3, sorcerer/wizard 3, witch 3</t>
  </si>
  <si>
    <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t>
  </si>
  <si>
    <t>&lt;p&gt;You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stacks.&lt;/p&gt;</t>
  </si>
  <si>
    <t>Blood Of The Moon</t>
  </si>
  <si>
    <t>&lt;link rel="stylesheet"href="PF.css"&gt;&lt;div class="heading"&gt;&lt;p class="alignleft"&gt;Accursed Glare&lt;/p&gt;&lt;div style="clear: both;"&gt;&lt;/div&gt;&lt;/div&gt;&lt;div&gt;&lt;h5&gt;&lt;b&gt;School &lt;/b&gt;necromancy [curse]; &lt;b&gt;Level &lt;/b&gt;antipaladin 3, sorcerer/wizard 3, witch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stacks.&lt;/p&gt;&lt;/h4&gt;&lt;/div&gt;</t>
  </si>
  <si>
    <t>Share Skin</t>
  </si>
  <si>
    <t>one animal touched</t>
  </si>
  <si>
    <t>Duration 1 minute/level or until you return to your body You can possess an animal's body in a manner that functions like magic jar, except as noted here. Your body vanishes while the effect lasts and you don't require a receptacle.</t>
  </si>
  <si>
    <t>&lt;p&gt;&lt;b&gt;Duration&lt;/b&gt; 1 minute/level or until you return to your body You can possess an animal's body in a manner that functions like &lt;i&gt;magic jar&lt;/i&gt;, except as noted here. Your body vanishes while the effect lasts and you don't require a receptacle.&lt;/p&gt;</t>
  </si>
  <si>
    <t>&lt;link rel="stylesheet"href="PF.css"&gt;&lt;div class="heading"&gt;&lt;p class="alignleft"&gt;Share Skin&lt;/p&gt;&lt;div style="clear: both;"&gt;&lt;/div&gt;&lt;/div&gt;&lt;div&gt;&lt;h5&gt;&lt;b&gt;School &lt;/b&gt;necromancy; &lt;b&gt;Level &lt;/b&gt;druid 6,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animal touched&lt;/h5&gt;&lt;h5&gt;&lt;b&gt;Duration &lt;/b&gt;1 hour/level or until you return to your body&lt;/h5&gt;&lt;h5&gt;&lt;b&gt;Saving Throw &lt;/b&gt;Will negates; see text; &lt;b&gt;Spell Resistance &lt;/b&gt;yes&lt;/h5&gt;&lt;/div&gt;&lt;hr/&gt;&lt;div&gt;&lt;h5&gt;&lt;b&gt;DESCRIPTION&lt;/b&gt;&lt;/h5&gt;&lt;/div&gt;&lt;hr/&gt;&lt;div&gt;&lt;h4&gt;&lt;p&gt;&lt;b&gt;Duration&lt;/b&gt; 1 minute/level or until you return to your body You can possess an animal's body in a manner that functions like &lt;i&gt;magic jar&lt;/i&gt;, except as noted here. Your body vanishes while the effect lasts and you don't require a receptacle.&lt;/p&gt;&lt;/h4&gt;&lt;/div&gt;</t>
  </si>
  <si>
    <t>Share Skin, Greater</t>
  </si>
  <si>
    <t>witch 8</t>
  </si>
  <si>
    <t>This spell functions like share skin, except as noted here.</t>
  </si>
  <si>
    <t>&lt;p&gt;This spell functions like &lt;i&gt;share skin&lt;/i&gt;, except as noted here.&lt;/p&gt;</t>
  </si>
  <si>
    <t>&lt;link rel="stylesheet"href="PF.css"&gt;&lt;div class="heading"&gt;&lt;p class="alignleft"&gt;Share Skin, Greater&lt;/p&gt;&lt;div style="clear: both;"&gt;&lt;/div&gt;&lt;/div&gt;&lt;div&gt;&lt;h5&gt;&lt;b&gt;School &lt;/b&gt;necromancy; &lt;b&gt;Level &lt;/b&gt;witch 8&lt;/h5&gt;&lt;/div&gt;&lt;hr/&gt;&lt;div&gt;&lt;h5&gt;&lt;b&gt;CASTING&lt;/b&gt;&lt;/h5&gt;&lt;/div&gt;&lt;hr/&gt;&lt;div&gt;&lt;h5&gt;&lt;b&gt;Casting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touched&lt;/h5&gt;&lt;h5&gt;&lt;b&gt;Duration &lt;/b&gt;1 hour/level or until you return to your body&lt;/h5&gt;&lt;h5&gt;&lt;b&gt;Saving Throw &lt;/b&gt;Will negates; see text; &lt;b&gt;Spell Resistance &lt;/b&gt;yes&lt;/h5&gt;&lt;/div&gt;&lt;hr/&gt;&lt;div&gt;&lt;h5&gt;&lt;b&gt;DESCRIPTION&lt;/b&gt;&lt;/h5&gt;&lt;/div&gt;&lt;hr/&gt;&lt;div&gt;&lt;h4&gt;&lt;p&gt;This spell functions like &lt;i&gt;share skin&lt;/i&gt;, except as noted here.&lt;/p&gt;&lt;/h4&gt;&lt;/div&gt;</t>
  </si>
  <si>
    <t>Heavy Water</t>
  </si>
  <si>
    <t>cleric/oracle 4, druid 4, ranger 4</t>
  </si>
  <si>
    <t>cylinder of water (5-ft. radius/level, 30 ft. deep)</t>
  </si>
  <si>
    <t>You cause a volume of water to become heavier than normal.  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heavy water. If a creature fails its Swim check by 4 or less, it makes no progress.  If it fails by 5 or more, it goes underwater.  All Perception checks to see through the affected water take a -10 penalty. All ships sailing through an area of heavy water move at half speed.</t>
  </si>
  <si>
    <t>&lt;p&gt;You cause a volume of water to become heavier than normal.&lt;/p&gt;&lt;p&gt;Swimming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&lt;i&gt;heavy water&lt;/i&gt;. If a creature fails its Swim check by 4 or less, it makes no progress.&lt;/p&gt;&lt;p&gt;If it fails by 5 or more, it goes underwater.&lt;/p&gt;&lt;p&gt;All Perception checks to see through the affected water take a -10 penalty. All ships sailing through an area of &lt;i&gt;heavy water&lt;/i&gt; move at half speed.&lt;/p&gt;</t>
  </si>
  <si>
    <t>Magical Marketplace</t>
  </si>
  <si>
    <t>&lt;link rel="stylesheet"href="PF.css"&gt;&lt;div class="heading"&gt;&lt;p class="alignleft"&gt;Heavy Water&lt;/p&gt;&lt;div style="clear: both;"&gt;&lt;/div&gt;&lt;/div&gt;&lt;div&gt;&lt;h5&gt;&lt;b&gt;School &lt;/b&gt;transmutation [water]; &lt;b&gt;Level &lt;/b&gt;cleric/oracle 4, druid 4, ranger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of water (5-ft. radius/level, 30 ft. deep)&lt;/h5&gt;&lt;h5&gt;&lt;b&gt;Duration &lt;/b&gt;1 minute/level (D)&lt;/h5&gt;&lt;h5&gt;&lt;b&gt;Saving Throw &lt;/b&gt;none (see text); &lt;b&gt;Spell Resistance &lt;/b&gt;no&lt;/h5&gt;&lt;/div&gt;&lt;hr/&gt;&lt;div&gt;&lt;h5&gt;&lt;b&gt;DESCRIPTION&lt;/b&gt;&lt;/h5&gt;&lt;/div&gt;&lt;hr/&gt;&lt;div&gt;&lt;h4&gt;&lt;p&gt;You cause a volume of water to become heavier than normal.&lt;/p&gt;&lt;p&gt;Swimming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&lt;i&gt;heavy water&lt;/i&gt;. If a creature fails its Swim check by 4 or less, it makes no progress.&lt;/p&gt;&lt;p&gt;If it fails by 5 or more, it goes underwater.&lt;/p&gt;&lt;p&gt;All Perception checks to see through the affected water take a -10 penalty. All ships sailing through an area of &lt;i&gt;heavy water&lt;/i&gt; move at half speed.&lt;/p&gt;&lt;/h4&gt;&lt;/div&gt;</t>
  </si>
  <si>
    <t>Hydrophobia</t>
  </si>
  <si>
    <t>bard 2, cleric/oracle 3, druid 3, sorcerer/wizard 3, witch 3</t>
  </si>
  <si>
    <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t>
  </si>
  <si>
    <t>&lt;p&gt;Targets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spell.&lt;/p&gt;</t>
  </si>
  <si>
    <t>&lt;link rel="stylesheet"href="PF.css"&gt;&lt;div class="heading"&gt;&lt;p class="alignleft"&gt;Hydrophobia&lt;/p&gt;&lt;div style="clear: both;"&gt;&lt;/div&gt;&lt;/div&gt;&lt;div&gt;&lt;h5&gt;&lt;b&gt;School &lt;/b&gt;necromancy [emotion, fear, mind-affecting]; &lt;b&gt;Level &lt;/b&gt;bard 2, cleric/oracle 3, druid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&lt;/b&gt;30-ft.-radius burst&lt;/h5&gt;&lt;h5&gt;&lt;b&gt;Duration &lt;/b&gt;1 round/level&lt;/h5&gt;&lt;h5&gt;&lt;b&gt;Saving Throw &lt;/b&gt;Will negates; &lt;b&gt;Spell Resistance &lt;/b&gt;yes&lt;/h5&gt;&lt;/div&gt;&lt;hr/&gt;&lt;div&gt;&lt;h5&gt;&lt;b&gt;DESCRIPTION&lt;/b&gt;&lt;/h5&gt;&lt;/div&gt;&lt;hr/&gt;&lt;div&gt;&lt;h4&gt;&lt;p&gt;Targets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spell.&lt;/p&gt;&lt;/h4&gt;&lt;/div&gt;</t>
  </si>
  <si>
    <t>Blood Boil</t>
  </si>
  <si>
    <t>magus 5, sorcerer/wizard 5, witch 5</t>
  </si>
  <si>
    <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t>
  </si>
  <si>
    <t>&lt;p&gt;The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fatigued.&lt;/p&gt;</t>
  </si>
  <si>
    <t>&lt;link rel="stylesheet"href="PF.css"&gt;&lt;div class="heading"&gt;&lt;p class="alignleft"&gt;Blood Boil&lt;/p&gt;&lt;div style="clear: both;"&gt;&lt;/div&gt;&lt;/div&gt;&lt;div&gt;&lt;h5&gt;&lt;b&gt;School &lt;/b&gt;necromancy; &lt;b&gt;Level &lt;/b&gt;magus 5, sorcerer/wizard 5, witch 5&lt;/h5&gt;&lt;/div&gt;&lt;hr/&gt;&lt;div&gt;&lt;h5&gt;&lt;b&gt;CASTING&lt;/b&gt;&lt;/h5&gt;&lt;/div&gt;&lt;hr/&gt;&lt;div&gt;&lt;h5&gt;&lt;b&gt;Casting Time &lt;/b&gt;1 standard action&lt;/h5&gt;&lt;h5&gt;&lt;b&gt;Components &lt;/b&gt;V, S, M (a drop of mercury)&lt;/h5&gt;&lt;/div&gt;&lt;hr/&gt;&lt;div&gt;&lt;h5&gt;&lt;b&gt;EFFECT&lt;/b&gt;&lt;/h5&gt;&lt;/div&gt;&lt;hr/&gt;&lt;div&gt;&lt;h5&gt;&lt;b&gt;Range &lt;/b&gt;touch&lt;/h5&gt;&lt;h5&gt;&lt;b&gt;Targets &lt;/b&gt;one living creature&lt;/h5&gt;&lt;h5&gt;&lt;b&gt;Duration &lt;/b&gt;3 rounds&lt;/h5&gt;&lt;h5&gt;&lt;b&gt;Saving Throw &lt;/b&gt;Fortitude negates (see text); &lt;b&gt;Spell Resistance &lt;/b&gt;yes&lt;/h5&gt;&lt;/div&gt;&lt;hr/&gt;&lt;div&gt;&lt;h5&gt;&lt;b&gt;DESCRIPTION&lt;/b&gt;&lt;/h5&gt;&lt;/div&gt;&lt;hr/&gt;&lt;div&gt;&lt;h4&gt;&lt;p&gt;The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fatigued.&lt;/p&gt;&lt;/h4&gt;&lt;/div&gt;</t>
  </si>
  <si>
    <t>Rune Of Jandelay</t>
  </si>
  <si>
    <t>sorcerer/wizard 9, witch 9</t>
  </si>
  <si>
    <t>V, S, M (cold iron, powdered diamond, and ground adamantine worth a total of 5,000 gp)</t>
  </si>
  <si>
    <t>one rune</t>
  </si>
  <si>
    <t>You scribe a potent rune of power upon a surface, similar to the way in which a symbol spell is cast. When inscribed, the rune of Jandelay manifests as a shape that evokes the face of a monstrous elephantine creature-the legendary Oliphant of Jandelay itself. The rune is 5 feet across when created, and the surface on which it is to be inscribed must be large enough to bear it.  The rune of Jandelay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Earthquake, transmute rock to mud, stone shape, spike stones,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rune of Jandelay must save against the spell or gain 2 negative levels for as long as they remain in the area. A creature that saves and leaves the area must save again upon reentering the area. These negative levels can never result in permanent level loss but cannot be restored by restoration or similar magic.</t>
  </si>
  <si>
    <t>&lt;p&gt;You scribe a potent rune of power upon a surface, similar to the way in which a &lt;i&gt;symbol&lt;/i&gt; spell is cast. When inscribed, the &lt;i&gt;rune of Jandelay&lt;/i&gt; manifests as a shape that evokes the face of a monstrous elephantine creature-the legendary Oliphant of Jandelay itself. The rune is 5 feet across when created, and the surface on which it is to be inscribed must be large enough to bear it.  The &lt;i&gt;rune of Jandelay&lt;/i&gt;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&lt;i&gt;Earthquake&lt;/i&gt;, &lt;i&gt;transmute rock to mud&lt;/i&gt;, &lt;i&gt;stone shape&lt;/i&gt;, &lt;i&gt;spike stones&lt;/i&gt;,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&lt;i&gt;rune of Jandelay&lt;/i&gt; must save against the spell or gain 2 negative levels for as long as they remain in the area. A creature that saves and leaves the area must save again upon reentering the area. These negative levels can never result in permanent level loss but cannot be restored by &lt;i&gt;restoration&lt;/i&gt; or similar magic.&lt;/p&gt;</t>
  </si>
  <si>
    <t>AP 77</t>
  </si>
  <si>
    <t>&lt;link rel="stylesheet"href="PF.css"&gt;&lt;div class="heading"&gt;&lt;p class="alignleft"&gt;Rune Of Jandelay&lt;/p&gt;&lt;div style="clear: both;"&gt;&lt;/div&gt;&lt;/div&gt;&lt;div&gt;&lt;h5&gt;&lt;b&gt;School &lt;/b&gt;transmutation; &lt;b&gt;Level &lt;/b&gt;sorcerer/wizard 9, witch 9&lt;/h5&gt;&lt;/div&gt;&lt;hr/&gt;&lt;div&gt;&lt;h5&gt;&lt;b&gt;CASTING&lt;/b&gt;&lt;/h5&gt;&lt;/div&gt;&lt;hr/&gt;&lt;div&gt;&lt;h5&gt;&lt;b&gt;Casting Time &lt;/b&gt;3 rounds&lt;/h5&gt;&lt;h5&gt;&lt;b&gt;Components &lt;/b&gt;V, S, M (cold iron, powdered diamond, and ground adamantine worth a total of 5,000 gp)&lt;/h5&gt;&lt;/div&gt;&lt;hr/&gt;&lt;div&gt;&lt;h5&gt;&lt;b&gt;EFFECT&lt;/b&gt;&lt;/h5&gt;&lt;/div&gt;&lt;hr/&gt;&lt;div&gt;&lt;h5&gt;&lt;b&gt;Range &lt;/b&gt;0 ft.; see text&lt;/h5&gt;&lt;h5&gt;&lt;b&gt;Area &lt;/b&gt;one rune&lt;/h5&gt;&lt;h5&gt;&lt;b&gt;Duration &lt;/b&gt;10 minutes/level&lt;/h5&gt;&lt;h5&gt;&lt;b&gt;Saving Throw &lt;/b&gt;see below; &lt;b&gt;Spell Resistance &lt;/b&gt;no&lt;/h5&gt;&lt;/div&gt;&lt;hr/&gt;&lt;div&gt;&lt;h5&gt;&lt;b&gt;DESCRIPTION&lt;/b&gt;&lt;/h5&gt;&lt;/div&gt;&lt;hr/&gt;&lt;div&gt;&lt;h4&gt;&lt;p&gt;You scribe a potent rune of power upon a surface, similar to the way in which a &lt;i&gt;symbol&lt;/i&gt; spell is cast. When inscribed, the &lt;i&gt;rune of Jandelay&lt;/i&gt; manifests as a shape that evokes the face of a monstrous elephantine creature-the legendary Oliphant of Jandelay itself. The rune is 5 feet across when created, and the surface on which it is to be inscribed must be large enough to bear it.  The &lt;i&gt;rune of Jandelay&lt;/i&gt;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&lt;i&gt;Earthquake&lt;/i&gt;, &lt;i&gt;transmute rock to mud&lt;/i&gt;, &lt;i&gt;stone shape&lt;/i&gt;, &lt;i&gt;spike stones&lt;/i&gt;,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&lt;i&gt;rune of Jandelay&lt;/i&gt; must save against the spell or gain 2 negative levels for as long as they remain in the area. A creature that saves and leaves the area must save again upon reentering the area. These negative levels can never result in permanent level loss but cannot be restored by &lt;i&gt;restoration&lt;/i&gt; or similar magic.&lt;/p&gt;&lt;/h4&gt;&lt;/div&gt;</t>
  </si>
  <si>
    <t>Bleeding Strike</t>
  </si>
  <si>
    <t>antipaladin 1, cleric/oracle 1, ranger 1, witch 1</t>
  </si>
  <si>
    <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t>
  </si>
  <si>
    <t>&lt;p&gt;You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bleeding.&lt;/p&gt;</t>
  </si>
  <si>
    <t>&lt;link rel="stylesheet"href="PF.css"&gt;&lt;div class="heading"&gt;&lt;p class="alignleft"&gt;Bleeding Strike&lt;/p&gt;&lt;div style="clear: both;"&gt;&lt;/div&gt;&lt;/div&gt;&lt;div&gt;&lt;h5&gt;&lt;b&gt;School &lt;/b&gt;necromancy; &lt;b&gt;Level &lt;/b&gt;antipaladin 1, cleric/oracle 1, ranger 1, witch 1 (Baphomet)&lt;/h5&gt;&lt;/div&gt;&lt;hr/&gt;&lt;div&gt;&lt;h5&gt;&lt;b&gt;CASTING&lt;/b&gt;&lt;/h5&gt;&lt;/div&gt;&lt;hr/&gt;&lt;div&gt;&lt;h5&gt;&lt;b&gt;Casting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&lt;/b&gt;one slashing melee weapon touched&lt;/h5&gt;&lt;h5&gt;&lt;b&gt;Duration &lt;/b&gt;1 round/level or until discharged&lt;/h5&gt;&lt;h5&gt;&lt;b&gt;Saving Throw &lt;/b&gt;Will negates (harmless, object); &lt;b&gt;Spell Resistance &lt;/b&gt;yes (harmless, object)&lt;/h5&gt;&lt;/div&gt;&lt;hr/&gt;&lt;div&gt;&lt;h5&gt;&lt;b&gt;DESCRIPTION&lt;/b&gt;&lt;/h5&gt;&lt;/div&gt;&lt;hr/&gt;&lt;div&gt;&lt;h4&gt;&lt;p&gt;You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bleeding.&lt;/p&gt;&lt;/h4&gt;&lt;/div&gt;</t>
  </si>
  <si>
    <t>Baphomet</t>
  </si>
  <si>
    <t>Reveal Mirage</t>
  </si>
  <si>
    <t>cleric/oracle 3, druid 2, ranger 1, sorcerer/wizard 3, witch 3</t>
  </si>
  <si>
    <t>V, S, F (a small prism)</t>
  </si>
  <si>
    <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hallucinatory terrain and mirage arcana, this spell also allows you to disbelieve naturally occurring mirages.</t>
  </si>
  <si>
    <t>&lt;p&gt;You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&lt;i&gt;hallucinatory terrain&lt;/i&gt; and &lt;i&gt;mirage arcana&lt;/i&gt;, this spell also allows you to disbelieve naturally occurring mirages.&lt;/p&gt;</t>
  </si>
  <si>
    <t>Osirion, Legacy Of Pharaohs</t>
  </si>
  <si>
    <t>&lt;link rel="stylesheet"href="PF.css"&gt;&lt;div class="heading"&gt;&lt;p class="alignleft"&gt;Reveal Mirage&lt;/p&gt;&lt;div style="clear: both;"&gt;&lt;/div&gt;&lt;/div&gt;&lt;div&gt;&lt;h5&gt;&lt;b&gt;School &lt;/b&gt;divination; &lt;b&gt;Level &lt;/b&gt;cleric/oracle 3, druid 2, ranger 1, sorcerer/wizard 3, witch 3&lt;/h5&gt;&lt;/div&gt;&lt;hr/&gt;&lt;div&gt;&lt;h5&gt;&lt;b&gt;CASTING&lt;/b&gt;&lt;/h5&gt;&lt;/div&gt;&lt;hr/&gt;&lt;div&gt;&lt;h5&gt;&lt;b&gt;Casting Time &lt;/b&gt;1 standard action&lt;/h5&gt;&lt;h5&gt;&lt;b&gt;Components &lt;/b&gt;V, S, F (a small prism)&lt;/h5&gt;&lt;/div&gt;&lt;hr/&gt;&lt;div&gt;&lt;h5&gt;&lt;b&gt;EFFECT&lt;/b&gt;&lt;/h5&gt;&lt;/div&gt;&lt;hr/&gt;&lt;div&gt;&lt;h5&gt;&lt;b&gt;Range &lt;/b&gt;personal&lt;/h5&gt;&lt;h5&gt;&lt;b&gt;Targets &lt;/b&gt;you&lt;/h5&gt;&lt;h5&gt;&lt;b&gt;Duration &lt;/b&gt;1 round&lt;/h5&gt;&lt;/div&gt;&lt;hr/&gt;&lt;div&gt;&lt;h5&gt;&lt;b&gt;DESCRIPTION&lt;/b&gt;&lt;/h5&gt;&lt;/div&gt;&lt;hr/&gt;&lt;div&gt;&lt;h4&gt;&lt;p&gt;You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&lt;i&gt;hallucinatory terrain&lt;/i&gt; and &lt;i&gt;mirage arcana&lt;/i&gt;, this spell also allows you to disbelieve naturally occurring mirages.&lt;/p&gt;&lt;/h4&gt;&lt;/div&gt;</t>
  </si>
  <si>
    <t>Storm Of Blades</t>
  </si>
  <si>
    <t>cleric/oracle 3, magusUM 2, sorcerer/wizard 2</t>
  </si>
  <si>
    <t>V, S, M (a sword)</t>
  </si>
  <si>
    <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t>
  </si>
  <si>
    <t>&lt;p&gt;You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targets.&lt;/p&gt;</t>
  </si>
  <si>
    <t>People Of The Sands</t>
  </si>
  <si>
    <t>&lt;link rel="stylesheet"href="PF.css"&gt;&lt;div class="heading"&gt;&lt;p class="alignleft"&gt;Storm Of Blades&lt;/p&gt;&lt;div style="clear: both;"&gt;&lt;/div&gt;&lt;/div&gt;&lt;div&gt;&lt;h5&gt;&lt;b&gt;School &lt;/b&gt;conjuration (creation); &lt;b&gt;Level &lt;/b&gt;cleric/oracle 3, magus&lt;sup&gt;UM&lt;/sup&gt; 2, sorcerer/wizard 2&lt;/h5&gt;&lt;/div&gt;&lt;hr/&gt;&lt;div&gt;&lt;h5&gt;&lt;b&gt;CASTING&lt;/b&gt;&lt;/h5&gt;&lt;/div&gt;&lt;hr/&gt;&lt;div&gt;&lt;h5&gt;&lt;b&gt;Casting Time &lt;/b&gt;1 standard action&lt;/h5&gt;&lt;h5&gt;&lt;b&gt;Components &lt;/b&gt;V, S, M (a sword)&lt;/h5&gt;&lt;/div&gt;&lt;hr/&gt;&lt;div&gt;&lt;h5&gt;&lt;b&gt;EFFECT&lt;/b&gt;&lt;/h5&gt;&lt;/div&gt;&lt;hr/&gt;&lt;div&gt;&lt;h5&gt;&lt;b&gt;Range &lt;/b&gt;close (25 ft. + 5 ft./2 levels)&lt;/h5&gt;&lt;h5&gt;&lt;b&gt;Targets &lt;/b&gt;one creature&lt;/h5&gt;&lt;h5&gt;&lt;b&gt;Duration &lt;/b&gt;instantaneous&lt;/h5&gt;&lt;h5&gt;&lt;b&gt;Saving Throw &lt;/b&gt;none; &lt;b&gt;Spell Resistance &lt;/b&gt;no&lt;/h5&gt;&lt;/div&gt;&lt;hr/&gt;&lt;div&gt;&lt;h5&gt;&lt;b&gt;DESCRIPTION&lt;/b&gt;&lt;/h5&gt;&lt;/div&gt;&lt;hr/&gt;&lt;div&gt;&lt;h4&gt;&lt;p&gt;You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targets.&lt;/p&gt;&lt;/h4&gt;&lt;/div&gt;</t>
  </si>
  <si>
    <t>Summon Genie, Lesser</t>
  </si>
  <si>
    <t>V, S, F/DF (an oil lamp worth at least 50 gp)</t>
  </si>
  <si>
    <t>one summoned genie</t>
  </si>
  <si>
    <t>This spell functions like summon monster I, except you can summon one janni.</t>
  </si>
  <si>
    <t>&lt;p&gt;This spell functions like &lt;i&gt;summon monster I&lt;/i&gt;, except you can summon one janni.&lt;/p&gt;</t>
  </si>
  <si>
    <t>&lt;link rel="stylesheet"href="PF.css"&gt;&lt;div class="heading"&gt;&lt;p class="alignleft"&gt;Summon Genie, Lesser&lt;/p&gt;&lt;div style="clear: both;"&gt;&lt;/div&gt;&lt;/div&gt;&lt;div&gt;&lt;h5&gt;&lt;b&gt;School &lt;/b&gt;conjuration (summoning); &lt;b&gt;Level &lt;/b&gt;cleric/oracle 4, sorcerer/wizard 4, summoner 3, witch 4&lt;/h5&gt;&lt;/div&gt;&lt;hr/&gt;&lt;div&gt;&lt;h5&gt;&lt;b&gt;CASTING&lt;/b&gt;&lt;/h5&gt;&lt;/div&gt;&lt;hr/&gt;&lt;div&gt;&lt;h5&gt;&lt;b&gt;Casting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&lt;i&gt;summon monster I&lt;/i&gt;, except you can summon one janni.&lt;/p&gt;&lt;/h4&gt;&lt;/div&gt;</t>
  </si>
  <si>
    <t>Summon Genie</t>
  </si>
  <si>
    <t>This spell functions like lesser summon genie, except you can summon one djinni or 1d3 jann.</t>
  </si>
  <si>
    <t>&lt;p&gt;This spell functions like &lt;i&gt;lesser summon genie&lt;/i&gt;, except you can summon one djinni or 1d3 jann.&lt;/p&gt;</t>
  </si>
  <si>
    <t>&lt;link rel="stylesheet"href="PF.css"&gt;&lt;div class="heading"&gt;&lt;p class="alignleft"&gt;Summon Genie&lt;/p&gt;&lt;div style="clear: both;"&gt;&lt;/div&gt;&lt;/div&gt;&lt;div&gt;&lt;h5&gt;&lt;b&gt;School &lt;/b&gt;conjuration (summoning); &lt;b&gt;Level &lt;/b&gt;cleric/oracle 5, sorcerer/wizard 5, summoner 4, witch 5&lt;/h5&gt;&lt;/div&gt;&lt;hr/&gt;&lt;div&gt;&lt;h5&gt;&lt;b&gt;CASTING&lt;/b&gt;&lt;/h5&gt;&lt;/div&gt;&lt;hr/&gt;&lt;div&gt;&lt;h5&gt;&lt;b&gt;Casting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&lt;i&gt;lesser summon genie&lt;/i&gt;, except you can summon one djinni or 1d3 jann.&lt;/p&gt;&lt;/h4&gt;&lt;/div&gt;</t>
  </si>
  <si>
    <t>Summon Genie, Greater</t>
  </si>
  <si>
    <t>cleric/oracle 6, sorcerer/wizard 6, summoner 5, witch 6</t>
  </si>
  <si>
    <t>This spell functions like lesser summon genie, except you can summon one shaitan, 1d3 djinn, or 1d4+1 jann.</t>
  </si>
  <si>
    <t>&lt;p&gt;This spell functions like &lt;i&gt;lesser summon genie&lt;/i&gt;, except you can summon one shaitan, 1d3 djinn, or 1d4+1 jann.&lt;/p&gt;</t>
  </si>
  <si>
    <t>&lt;link rel="stylesheet"href="PF.css"&gt;&lt;div class="heading"&gt;&lt;p class="alignleft"&gt;Summon Genie, Greater&lt;/p&gt;&lt;div style="clear: both;"&gt;&lt;/div&gt;&lt;/div&gt;&lt;div&gt;&lt;h5&gt;&lt;b&gt;School &lt;/b&gt;conjuration (summoning); &lt;b&gt;Level &lt;/b&gt;cleric/oracle 6, sorcerer/wizard 6, summoner 5, witch 6&lt;/h5&gt;&lt;/div&gt;&lt;hr/&gt;&lt;div&gt;&lt;h5&gt;&lt;b&gt;CASTING&lt;/b&gt;&lt;/h5&gt;&lt;/div&gt;&lt;hr/&gt;&lt;div&gt;&lt;h5&gt;&lt;b&gt;Casting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&lt;i&gt;lesser summon genie&lt;/i&gt;, except you can summon one shaitan, 1d3 djinn, or 1d4+1 jann.&lt;/p&gt;&lt;/h4&gt;&lt;/div&gt;</t>
  </si>
  <si>
    <t>Inner Focus</t>
  </si>
  <si>
    <t>adept 2, antipaladin 1, cleric/oracle 2, druid 2, inquisitor 2, paladin 1, ranger 1</t>
  </si>
  <si>
    <t>For the duration of this spell, you may ignore any divine focus components of your spells, allowing you to cast such spells without holding or revealing your holy or unholy symbol.</t>
  </si>
  <si>
    <t>&lt;p&gt;For the duration of this spell, you may ignore any divine focus components of your spells, allowing you to cast such spells without holding or revealing your holy or unholy symbol.&lt;/p&gt;</t>
  </si>
  <si>
    <t>&lt;link rel="stylesheet"href="PF.css"&gt;&lt;div class="heading"&gt;&lt;p class="alignleft"&gt;Inner Focus&lt;/p&gt;&lt;div style="clear: both;"&gt;&lt;/div&gt;&lt;/div&gt;&lt;div&gt;&lt;h5&gt;&lt;b&gt;School &lt;/b&gt;illusion (glamer); &lt;b&gt;Level &lt;/b&gt;adept 2, antipaladin 1, cleric/oracle 2, druid 2, inquisitor 2, paladin 1, ranger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minutes/level&lt;/h5&gt;&lt;h5&gt;&lt;b&gt;Saving Throw &lt;/b&gt;none (harmless); &lt;b&gt;Spell Resistance &lt;/b&gt;no&lt;/h5&gt;&lt;/div&gt;&lt;hr/&gt;&lt;div&gt;&lt;h5&gt;&lt;b&gt;DESCRIPTION&lt;/b&gt;&lt;/h5&gt;&lt;/div&gt;&lt;hr/&gt;&lt;div&gt;&lt;h4&gt;&lt;p&gt;For the duration of this spell, you may ignore any divine focus components of your spells, allowing you to cast such spells without holding or revealing your holy or unholy symbol.&lt;/p&gt;&lt;/h4&gt;&lt;/div&gt;</t>
  </si>
  <si>
    <t>Abyssal Vermin</t>
  </si>
  <si>
    <t>antipaladin 2, cleric/oracle 4, sorcerer/wizard 4, witch 4</t>
  </si>
  <si>
    <t>one vermin or vermin swarm</t>
  </si>
  <si>
    <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t>
  </si>
  <si>
    <t>&lt;p&gt;You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template.&lt;/p&gt;</t>
  </si>
  <si>
    <t>AP 78</t>
  </si>
  <si>
    <t>&lt;link rel="stylesheet"href="PF.css"&gt;&lt;div class="heading"&gt;&lt;p class="alignleft"&gt;Abyssal Vermin&lt;/p&gt;&lt;div style="clear: both;"&gt;&lt;/div&gt;&lt;/div&gt;&lt;div&gt;&lt;h5&gt;&lt;b&gt;School &lt;/b&gt;transmutation; &lt;b&gt;Level &lt;/b&gt;antipaladin 2, cleric/oracle 4, sorcerer/wizard 4, witch 4 (Deskari)&lt;/h5&gt;&lt;/div&gt;&lt;hr/&gt;&lt;div&gt;&lt;h5&gt;&lt;b&gt;CASTING&lt;/b&gt;&lt;/h5&gt;&lt;/div&gt;&lt;hr/&gt;&lt;div&gt;&lt;h5&gt;&lt;b&gt;Casting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vermin or vermin swarm&lt;/h5&gt;&lt;h5&gt;&lt;b&gt;Duration &lt;/b&gt;1 minute/level&lt;/h5&gt;&lt;h5&gt;&lt;b&gt;Saving Throw &lt;/b&gt;Fortitude negates (see text); &lt;b&gt;Spell Resistance &lt;/b&gt;yes&lt;/h5&gt;&lt;/div&gt;&lt;hr/&gt;&lt;div&gt;&lt;h5&gt;&lt;b&gt;DESCRIPTION&lt;/b&gt;&lt;/h5&gt;&lt;/div&gt;&lt;hr/&gt;&lt;div&gt;&lt;h4&gt;&lt;p&gt;You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template.&lt;/p&gt;&lt;/h4&gt;&lt;/div&gt;</t>
  </si>
  <si>
    <t>Deskari</t>
  </si>
  <si>
    <t>Explosion Of Rot</t>
  </si>
  <si>
    <t>V, S, M (a rotting flower)</t>
  </si>
  <si>
    <t>You call forth a burst of decay that ravages all creatures in the area. Even nonliving creatures, such as constructs or undead, wither in this malignant eruption of rotting energy. Creatures in the area of effect take 1d6 points of damage per caster level (maximum 15d6) and are staggered for 1d4 rounds. A successful Reflex saving throw halves the damage taken and negates the staggered effect. Plant creatures are particularly susceptible to this rotting effect; any plant creatures caught in the burst are staggered for 1d4 rounds even on a successful saving throw.</t>
  </si>
  <si>
    <t>&lt;p&gt;You call forth a burst of decay that ravages all creatures in the area. Even nonliving creatures, such as constructs or undead, wither in this malignant eruption of rotting energy. Creatures in the area of effect take 1d6 points of damage per caster level (maximum 15d6) and are staggered for 1d4 rounds. A successful Reflex saving throw halves the damage taken and negates the staggered effect. Plant creatures are particularly susceptible to this rotting effect; any plant creatures caught in the burst are staggered for 1d4 rounds even on a successful saving throw.&lt;/p&gt;</t>
  </si>
  <si>
    <t>Champions Of Balance</t>
  </si>
  <si>
    <t>&lt;link rel="stylesheet"href="PF.css"&gt;&lt;div class="heading"&gt;&lt;p class="alignleft"&gt;Explosion Of Rot&lt;/p&gt;&lt;div style="clear: both;"&gt;&lt;/div&gt;&lt;/div&gt;&lt;div&gt;&lt;h5&gt;&lt;b&gt;School &lt;/b&gt;necromancy; &lt;b&gt;Level &lt;/b&gt;druid 4&lt;/h5&gt;&lt;/div&gt;&lt;hr/&gt;&lt;div&gt;&lt;h5&gt;&lt;b&gt;CASTING&lt;/b&gt;&lt;/h5&gt;&lt;/div&gt;&lt;hr/&gt;&lt;div&gt;&lt;h5&gt;&lt;b&gt;Casting Time &lt;/b&gt;1 standard action&lt;/h5&gt;&lt;h5&gt;&lt;b&gt;Components &lt;/b&gt;V, S, M (a rotting flower)&lt;/h5&gt;&lt;/div&gt;&lt;hr/&gt;&lt;div&gt;&lt;h5&gt;&lt;b&gt;EFFECT&lt;/b&gt;&lt;/h5&gt;&lt;/div&gt;&lt;hr/&gt;&lt;div&gt;&lt;h5&gt;&lt;b&gt;Range &lt;/b&gt;close (25 ft. + 5 ft./2 levels)&lt;/h5&gt;&lt;h5&gt;&lt;b&gt;Area &lt;/b&gt;10-ft.-radius burst&lt;/h5&gt;&lt;h5&gt;&lt;b&gt;Duration &lt;/b&gt;instantaneous&lt;/h5&gt;&lt;h5&gt;&lt;b&gt;Saving Throw &lt;/b&gt;Reflex half; see text; &lt;b&gt;Spell Resistance &lt;/b&gt;yes&lt;/h5&gt;&lt;/div&gt;&lt;hr/&gt;&lt;div&gt;&lt;h5&gt;&lt;b&gt;DESCRIPTION&lt;/b&gt;&lt;/h5&gt;&lt;/div&gt;&lt;hr/&gt;&lt;div&gt;&lt;h4&gt;&lt;p&gt;You call forth a burst of decay that ravages all creatures in the area. Even nonliving creatures, such as constructs or undead, wither in this malignant eruption of rotting energy. Creatures in the area of effect take 1d6 points of damage per caster level (maximum 15d6) and are staggered for 1d4 rounds. A successful Reflex saving throw halves the damage taken and negates the staggered effect. Plant creatures are particularly susceptible to this rotting effect; any plant creatures caught in the burst are staggered for 1d4 rounds even on a successful saving throw.&lt;/p&gt;&lt;/h4&gt;&lt;/div&gt;</t>
  </si>
  <si>
    <t>Antithetical Constraint</t>
  </si>
  <si>
    <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antithetical constraint,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magic missile.</t>
  </si>
  <si>
    <t>&lt;p&gt;You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&lt;i&gt;antithetical constraint&lt;/i&gt;,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&lt;i&gt;magic missile&lt;/i&gt;.&lt;/p&gt;</t>
  </si>
  <si>
    <t>&lt;link rel="stylesheet"href="PF.css"&gt;&lt;div class="heading"&gt;&lt;p class="alignleft"&gt;Antithetical Constraint&lt;/p&gt;&lt;div style="clear: both;"&gt;&lt;/div&gt;&lt;/div&gt;&lt;div&gt;&lt;h5&gt;&lt;b&gt;School &lt;/b&gt;enchantment (compulsion) [mind-affecting]; &lt;b&gt;Level &lt;/b&gt;bard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&lt;i&gt;antithetical constraint&lt;/i&gt;,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&lt;i&gt;magic missile&lt;/i&gt;.&lt;/p&gt;&lt;/h4&gt;&lt;/div&gt;</t>
  </si>
  <si>
    <t>Arbitrament</t>
  </si>
  <si>
    <t>non-neutral creatures in a 40-ft.-radius spread centered on you</t>
  </si>
  <si>
    <t>Any chaotic evil, chaotic good, lawful evil, or lawful good creatures within the area of this spell suffer the following ill effects, based on their Hit Dice. Hit Dice Effect Equal to caster level Sickened Up to caster level - 1 Staggered, sickened Up to caster level - 5 Nauseated, staggered, sickened Up to caster level - 10 Killed, nauseated, staggered, sickened The effects are cumulative and concurrent. A successful Will save reduces or eliminates these effects. Creatures affected by multiple effects can attempt only one saving throw and apply the result to all the effects. Sickened: The creature is sickened for 1d4 rounds. A successful Will save negates the effect. Staggered: The creature is staggered for 2d4 rounds. A successful Will save reduces the staggered effect to 1d4 rounds. Nauseated: The creature is nauseated for 1d10 minutes. A successful Will save reduces the nauseated effect to 1d4 rounds. Killed: Living creatures die. Undead creatures are destroyed. A successful Will save negates this effect. If the save is successful, the creature instead takes 3d6 points of damage + 1 point per caster level (maximum +25). Furthermore, if you are on your home plane when you cast this spell, all chaotic evil, chaotic good, lawful evil, and lawful good extraplanar creatures within the area are banished back to their home planes (Will negates, at a -4 penalty). Creatures so banished cannot return for at least 24 hours. This effect takes place regardless of whether the creatures hear the arbitrament. Creatures whose Hit Dice exceed your caster level are unaffected by arbitrament.</t>
  </si>
  <si>
    <t>&lt;p&gt;Any chaotic evil, chaotic good, lawful evil, or lawful good creatures within the area of this spell suffer the following ill effects, based on their Hit Dice.&lt;/p&gt;   &lt;table border ='1'&gt;&lt;tr&gt;&lt;th&gt;Hit Dice&lt;/th&gt;&lt;th&gt;Effect&lt;/th&gt;&lt;/tr&gt;&lt;tr&gt;&lt;td&gt;Equal to caster level&lt;/td&gt;&lt;td&gt;Sickened&lt;/td&gt;&lt;/tr&gt;&lt;tr&gt;&lt;td&gt;Up to caster level - 1&lt;/td&gt;&lt;td&gt;Staggered, sickened&lt;/td&gt;&lt;/tr&gt;&lt;tr&gt;&lt;td&gt;Up to caster level - 5&lt;/td&gt;&lt;td&gt;Nauseated, staggered, sickened&lt;/td&gt;&lt;/tr&gt;&lt;tr&gt;&lt;td&gt;Up to caster level - 10&lt;/td&gt;&lt;td&gt;Killed, nauseated, staggered, sickened&lt;/td&gt;&lt;/tr&gt;&lt;/table&gt;   The effects are cumulative and concurrent. A successful Will save reduces or eliminates these effects. Creatures affected by multiple effects can attempt only one saving throw and apply the result to all the effects.&lt;/p&gt;&lt;p&gt;&lt;i&gt;Sickened&lt;/i&gt;: The creature is sickened for 1d4 rounds. A successful Will save negates the effect.&lt;/p&gt;&lt;p&gt;&lt;i&gt;Staggered&lt;/i&gt;: The creature is staggered for 2d4 rounds. A successful Will save reduces the staggered effect to 1d4 rounds.&lt;/p&gt;&lt;p&gt;&lt;i&gt;Nauseated&lt;/i&gt;: The creature is nauseated for 1d10 minutes. A successful Will save reduces the nauseated effect to 1d4 rounds.&lt;/p&gt;&lt;p&gt;&lt;i&gt;Killed&lt;/i&gt;: Living creatures die. Undead creatures are destroyed. A successful Will save negates this effect. If the save is successful, the creature instead takes 3d6 points of damage + 1 point per caster level (maximum +25).&lt;/p&gt;&lt;p&gt;Furthermore, if you are on your home plane when you cast this spell, all chaotic evil, chaotic good, lawful evil, and lawful good extraplanar creatures within the area are banished back to their home planes (Will negates, at a -4 penalty).&lt;/p&gt;&lt;p&gt;Creatures so banished cannot return for at least 24 hours. This effect takes place regardless of whether the creatures hear the &lt;i&gt;arbitrament&lt;/i&gt;.&lt;/p&gt;&lt;p&gt;Creatures whose Hit Dice exceed your caster level are unaffected by &lt;i&gt;arbitrament&lt;/i&gt;.&lt;/p&gt;</t>
  </si>
  <si>
    <t>&lt;link rel="stylesheet"href="PF.css"&gt;&lt;div class="heading"&gt;&lt;p class="alignleft"&gt;Arbitrament&lt;/p&gt;&lt;div style="clear: both;"&gt;&lt;/div&gt;&lt;/div&gt;&lt;div&gt;&lt;h5&gt;&lt;b&gt;School &lt;/b&gt;evocation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&lt;/b&gt;non-neutral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chaotic evil, chaotic good, lawful evil, or lawful good creatures within the area of this spell suffer the following ill effects, based on their Hit Dice.&lt;/p&gt;   &lt;table border ='1'&gt;&lt;tr&gt;&lt;th&gt;Hit Dice&lt;/th&gt;&lt;th&gt;Effect&lt;/th&gt;&lt;/tr&gt;&lt;tr&gt;&lt;td&gt;Equal to caster level&lt;/td&gt;&lt;td&gt;Sickened&lt;/td&gt;&lt;/tr&gt;&lt;tr&gt;&lt;td&gt;Up to caster level - 1&lt;/td&gt;&lt;td&gt;Staggered, sickened&lt;/td&gt;&lt;/tr&gt;&lt;tr&gt;&lt;td&gt;Up to caster level - 5&lt;/td&gt;&lt;td&gt;Nauseated, staggered, sickened&lt;/td&gt;&lt;/tr&gt;&lt;tr&gt;&lt;td&gt;Up to caster level - 10&lt;/td&gt;&lt;td&gt;Killed, nauseated, staggered, sickened&lt;/td&gt;&lt;/tr&gt;&lt;/table&gt;    The effects are cumulative and concurrent. A successful Will save reduces or eliminates these effects. Creatures affected by multiple effects can attempt only one saving throw and apply the result to all the effects.&lt;/p&gt;&lt;p&gt;&lt;i&gt;Sickened&lt;/i&gt;: The creature is sickened for 1d4 rounds. A successful Will save negates the effect.&lt;/p&gt;&lt;p&gt;&lt;i&gt;Staggered&lt;/i&gt;: The creature is staggered for 2d4 rounds. A successful Will save reduces the staggered effect to 1d4 rounds.&lt;/p&gt;&lt;p&gt;&lt;i&gt;Nauseated&lt;/i&gt;: The creature is nauseated for 1d10 minutes. A successful Will save reduces the nauseated effect to 1d4 rounds.&lt;/p&gt;&lt;p&gt;&lt;i&gt;Killed&lt;/i&gt;: Living creatures die. Undead creatures are destroyed. A successful Will save negates this effect. If the save is successful, the creature instead takes 3d6 points of damage + 1 point per caster level (maximum +25).&lt;/p&gt;&lt;p&gt;Furthermore, if you are on your home plane when you cast this spell, all chaotic evil, chaotic good, lawful evil, and lawful good extraplanar creatures within the area are banished back to their home planes (Will negates, at a -4 penalty).&lt;/p&gt;&lt;p&gt;Creatures so banished cannot return for at least 24 hours. This effect takes place regardless of whether the creatures hear the &lt;i&gt;arbitrament&lt;/i&gt;.&lt;/p&gt;&lt;p&gt;Creatures whose Hit Dice exceed your caster level are unaffected by &lt;i&gt;arbitrament&lt;/i&gt;.&lt;/p&gt;&lt;/h4&gt;&lt;/div&gt;</t>
  </si>
  <si>
    <t>Ardor's Onslaught</t>
  </si>
  <si>
    <t>You unleash the power of zealous conviction to smite your enemies. The power takes the form of a burst of metallic, pulsing energy. Only creatures with a neutral alignment component are harmed by the spell; chaotic evil, chaotic good, lawful evil, and lawful good creatures are unaffected.  The spell deals 1d8 points of damage per 2 caster levels (maximum 5d8) to neutral creatures (with the exception of neutral outsiders, who take 1d6 points of damage per caster level, maximum 10d6). Neutral outsiders are also nauseated for 1d6 rounds. A successful Will save halves the damage and negates the nauseated effect.  The spell deals half damage against creatures that are chaotic neutral, lawful neutral, neutral evil, or neutral good, and they are not nauseated. With a successful Will save, the damage is reduced by half again (down to one-quarter).</t>
  </si>
  <si>
    <t>&lt;p&gt;You unleash the power of zealous conviction to smite your enemies. The power takes the form of a burst of metallic, pulsing energy. Only creatures with a neutral alignment component are harmed by the spell; chaotic evil, chaotic good, lawful evil, and lawful good creatures are unaffected.&lt;/p&gt;&lt;p&gt;The spell deals 1d8 points of damage per 2 caster levels (maximum 5d8) to neutral creatures (with the exception of neutral outsiders, who take 1d6 points of damage per caster level, maximum 10d6). Neutral outsiders are also nauseated for 1d6 rounds. A successful Will save halves the damage and negates the nauseated effect.&lt;/p&gt;&lt;p&gt;The spell deals half damage against creatures that are chaotic neutral, lawful neutral, neutral evil, or neutral good, and they are not nauseated. With a successful Will save, the damage is reduced by half again (down to one-quarter).&lt;/p&gt;</t>
  </si>
  <si>
    <t>&lt;link rel="stylesheet"href="PF.css"&gt;&lt;div class="heading"&gt;&lt;p class="alignleft"&gt;Ardor's Onslaught&lt;/p&gt;&lt;div style="clear: both;"&gt;&lt;/div&gt;&lt;/div&gt;&lt;div&gt;&lt;h5&gt;&lt;b&gt;School &lt;/b&gt;evocation;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(1d6 rounds); see text&lt;/h5&gt;&lt;h5&gt;&lt;b&gt;Saving Throw &lt;/b&gt;Will partial; see text; &lt;b&gt;Spell Resistance &lt;/b&gt;yes&lt;/h5&gt;&lt;/div&gt;&lt;hr/&gt;&lt;div&gt;&lt;h5&gt;&lt;b&gt;DESCRIPTION&lt;/b&gt;&lt;/h5&gt;&lt;/div&gt;&lt;hr/&gt;&lt;div&gt;&lt;h4&gt;&lt;p&gt;You unleash the power of zealous conviction to smite your enemies. The power takes the form of a burst of metallic, pulsing energy. Only creatures with a neutral alignment component are harmed by the spell; chaotic evil, chaotic good, lawful evil, and lawful good creatures are unaffected.&lt;/p&gt;&lt;p&gt;The spell deals 1d8 points of damage per 2 caster levels (maximum 5d8) to neutral creatures (with the exception of neutral outsiders, who take 1d6 points of damage per caster level, maximum 10d6). Neutral outsiders are also nauseated for 1d6 rounds. A successful Will save halves the damage and negates the nauseated effect.&lt;/p&gt;&lt;p&gt;The spell deals half damage against creatures that are chaotic neutral, lawful neutral, neutral evil, or neutral good, and they are not nauseated. With a successful Will save, the damage is reduced by half again (down to one-quarter).&lt;/p&gt;&lt;/h4&gt;&lt;/div&gt;</t>
  </si>
  <si>
    <t>Counterbalancing Aura</t>
  </si>
  <si>
    <t>V, S, F (a set of scales worth 500 gp)</t>
  </si>
  <si>
    <t>one creature/level in a 20-ft.-radius burst centered  on you</t>
  </si>
  <si>
    <t>A pulsing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saves. This benefit applies against all attacks, not just against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abjuration protects warded creatures from possession and mental influence, just as protection from evil does.  Finally, if a chaotic neutral, lawful neutral, neutral evil, or neutral good creature succeeds at a melee attack against a warded creature, the attacker is sickened for 1d6 rounds (Fortitude negates). If a neutral creature succeeds at a melee attack against a warded creature, the attacker is instead nauseated for 1d6 rounds (Fortitude negates).</t>
  </si>
  <si>
    <t>&lt;p&gt;A pulsing bronze glow surrounds the targets, protecting them from attacks, granting them resistance to spells cast by neutral creatures, and sickening or nauseating neutral creatures that strike the targets. This abjuration has four effects.&lt;/p&gt;&lt;p&gt;First, each warded creature gains a +4 deflection bonus to AC and a +4 resistance bonus on saves. This benefit applies against all attacks, not just against attacks by neutral creatures.&lt;/p&gt;&lt;p&gt;Second, a warded creature gains spell resistance 23 against spells cast by chaotic neutral, lawful neutral, neutral evil, and neutral good creatures, and spell resistance 27 against spells cast by neutral creatures with no other alignment components.&lt;/p&gt;&lt;p&gt;Third, the abjuration protects warded creatures from possession and mental influence, just as &lt;i&gt;protection from evil&lt;/i&gt; does.&lt;/p&gt;&lt;p&gt;Finally, if a chaotic neutral, lawful neutral, neutral evil, or neutral good creature succeeds at a melee attack against a warded creature, the attacker is sickened for 1d6 rounds (Fortitude negates). If a neutral creature succeeds at a melee attack against a warded creature, the attacker is instead nauseated for 1d6 rounds (Fortitude negates).&lt;/p&gt;</t>
  </si>
  <si>
    <t>&lt;link rel="stylesheet"href="PF.css"&gt;&lt;div class="heading"&gt;&lt;p class="alignleft"&gt;Counterbalancing Aura&lt;/p&gt;&lt;div style="clear: both;"&gt;&lt;/div&gt;&lt;/div&gt;&lt;div&gt;&lt;h5&gt;&lt;b&gt;School &lt;/b&gt;abjuration; &lt;b&gt;Level &lt;/b&gt;cleric/oracle 8&lt;/h5&gt;&lt;/div&gt;&lt;hr/&gt;&lt;div&gt;&lt;h5&gt;&lt;b&gt;CASTING&lt;/b&gt;&lt;/h5&gt;&lt;/div&gt;&lt;hr/&gt;&lt;div&gt;&lt;h5&gt;&lt;b&gt;Casting Time &lt;/b&gt;1 standard action&lt;/h5&gt;&lt;h5&gt;&lt;b&gt;Components &lt;/b&gt;V, S, F (a set of scales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pulsing bronze glow surrounds the targets, protecting them from attacks, granting them resistance to spells cast by neutral creatures, and sickening or nauseating neutral creatures that strike the targets. This abjuration has four effects.&lt;/p&gt;&lt;p&gt;First, each warded creature gains a +4 deflection bonus to AC and a +4 resistance bonus on saves. This benefit applies against all attacks, not just against attacks by neutral creatures.&lt;/p&gt;&lt;p&gt;Second, a warded creature gains spell resistance 23 against spells cast by chaotic neutral, lawful neutral, neutral evil, and neutral good creatures, and spell resistance 27 against spells cast by neutral creatures with no other alignment components.&lt;/p&gt;&lt;p&gt;Third, the abjuration protects warded creatures from possession and mental influence, just as &lt;i&gt;protection from evil&lt;/i&gt; does.&lt;/p&gt;&lt;p&gt;Finally, if a chaotic neutral, lawful neutral, neutral evil, or neutral good creature succeeds at a melee attack against a warded creature, the attacker is sickened for 1d6 rounds (Fortitude negates). If a neutral creature succeeds at a melee attack against a warded creature, the attacker is instead nauseated for 1d6 rounds (Fortitude negates).&lt;/p&gt;&lt;/h4&gt;&lt;/div&gt;</t>
  </si>
  <si>
    <t>Dispel Balance</t>
  </si>
  <si>
    <t>you and a touched neutral creature from another plane, or you and an enchantment on a touched creature or object</t>
  </si>
  <si>
    <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choose to banish that creature back to its home plane. The creature can negate this effect with a successful Will save (spell resistance applies). If the creature's alignment is neutral with no other alignment components, this saving throw is made at a -2 penalty. This use discharges and ends the spell. Third, with a touch, you can automatically dispel any one enchantment spell cast by a creature with a neutral component to its alignment. Spells that can't be dispelled by dispel magic also can't be dispelled by dispel balance. Saving Throws and spell resistance do not apply to this effect. This use discharges and ends the spell.</t>
  </si>
  <si>
    <t>&lt;p&gt;Pulsing, bronze energy surrounds you, bestowing three effects.&lt;/p&gt;&lt;p&gt;First, you gain a +3 deflection bonus to AC against attacks by chaotic neutral, lawful neutral, neutral evil, and neutral good creatures. Against attacks by creatures whose alignment is neutral with no other alignment components, this deflection bonus is instead +5.&lt;/p&gt;&lt;p&gt;Second, upon making a successful melee touch attack against a creature from another plane with a neutral component to its alignment, you can choose to banish that creature back to its home plane. The creature can negate this effect with a successful Will save (spell resistance applies). If the creature's alignment is neutral with no other alignment components, this saving throw is made at a -2 penalty. This use discharges and ends the spell.&lt;/p&gt;&lt;p&gt;Third, with a touch, you can automatically dispel any one enchantment spell cast by a creature with a neutral component to its alignment. Spells that can't be dispelled by &lt;i&gt;dispel magic&lt;/i&gt; also can't be dispelled by &lt;i&gt;dispel balance&lt;/i&gt;. Saving Throws and spell resistance do not apply to this effect. This use discharges and ends the spell.&lt;/p&gt;</t>
  </si>
  <si>
    <t>&lt;link rel="stylesheet"href="PF.css"&gt;&lt;div class="heading"&gt;&lt;p class="alignleft"&gt;Dispel Balance&lt;/p&gt;&lt;div style="clear: both;"&gt;&lt;/div&gt;&lt;/div&gt;&lt;div&gt;&lt;h5&gt;&lt;b&gt;School &lt;/b&gt;abjuration; &lt;b&gt;Level &lt;/b&gt;cleric/oracle 5, druid 5, inquisitor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 and a touched neutral creature from another plane, or you and an enchantment on a touched creature or object&lt;/h5&gt;&lt;h5&gt;&lt;b&gt;Duration &lt;/b&gt;1 round/level or until discharged, whichever comes first&lt;/h5&gt;&lt;h5&gt;&lt;b&gt;Saving Throw &lt;/b&gt;see text; &lt;b&gt;Spell Resistance &lt;/b&gt;see text&lt;/h5&gt;&lt;/div&gt;&lt;hr/&gt;&lt;div&gt;&lt;h5&gt;&lt;b&gt;DESCRIPTION&lt;/b&gt;&lt;/h5&gt;&lt;/div&gt;&lt;hr/&gt;&lt;div&gt;&lt;h4&gt;&lt;p&gt;Pulsing, bronze energy surrounds you, bestowing three effects.&lt;/p&gt;&lt;p&gt;First, you gain a +3 deflection bonus to AC against attacks by chaotic neutral, lawful neutral, neutral evil, and neutral good creatures. Against attacks by creatures whose alignment is neutral with no other alignment components, this deflection bonus is instead +5.&lt;/p&gt;&lt;p&gt;Second, upon making a successful melee touch attack against a creature from another plane with a neutral component to its alignment, you can choose to banish that creature back to its home plane. The creature can negate this effect with a successful Will save (spell resistance applies). If the creature's alignment is neutral with no other alignment components, this saving throw is made at a -2 penalty. This use discharges and ends the spell.&lt;/p&gt;&lt;p&gt;Third, with a touch, you can automatically dispel any one enchantment spell cast by a creature with a neutral component to its alignment. Spells that can't be dispelled by &lt;i&gt;dispel magic&lt;/i&gt; also can't be dispelled by &lt;i&gt;dispel balance&lt;/i&gt;. Saving Throws and spell resistance do not apply to this effect. This use discharges and ends the spell.&lt;/p&gt;&lt;/h4&gt;&lt;/div&gt;</t>
  </si>
  <si>
    <t>Recentering Drone</t>
  </si>
  <si>
    <t>cleric/oracle 2, druid 2</t>
  </si>
  <si>
    <t>one creature/2 levels (no two of which may be more than 30 ft. apart)</t>
  </si>
  <si>
    <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 Condition Lesser Condition Blinded Dazzled Exhausted Fatigued Frightened Shaken Nauseated Sickened At the end of the spell's duration, the targets are again subject to the appropriate penalties if the original conditions affecting the target are still in effect.</t>
  </si>
  <si>
    <t>&lt;p&gt;You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table.&lt;/p&gt;&lt;p&gt;   &lt;table border ='1'&gt;&lt;tr&gt;&lt;th&gt;Condition&lt;/th&gt;&lt;th&gt;Lesser Condition&lt;/th&gt;&lt;/tr&gt;&lt;tr&gt;&lt;td&gt;Blinded&lt;/td&gt;&lt;td&gt;Dazzled&lt;/td&gt;&lt;/tr&gt;&lt;tr&gt;&lt;td&gt;Exhausted&lt;/td&gt;&lt;td&gt;Fatigued&lt;/td&gt;&lt;/tr&gt;&lt;tr&gt;&lt;td&gt;Frightened&lt;/td&gt;&lt;td&gt;Shaken&lt;/td&gt;&lt;/tr&gt;&lt;tr&gt;&lt;td&gt;Nauseated&lt;/td&gt;&lt;td&gt;Sickened&lt;/td&gt;&lt;/tr&gt;&lt;/table&gt;    At the end of the spell's duration, the targets are again subject to the appropriate penalties if the original conditions affecting the target are still in effect.&lt;/p&gt;</t>
  </si>
  <si>
    <t>&lt;link rel="stylesheet"href="PF.css"&gt;&lt;div class="heading"&gt;&lt;p class="alignleft"&gt;Recentering Drone&lt;/p&gt;&lt;div style="clear: both;"&gt;&lt;/div&gt;&lt;/div&gt;&lt;div&gt;&lt;h5&gt;&lt;b&gt;School &lt;/b&gt;abjuration; &lt;b&gt;Level &lt;/b&gt;cleric/oracle 2, druid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creature/2 levels (no two of which may be more than 30 ft. apart)&lt;/h5&gt;&lt;h5&gt;&lt;b&gt;Duration &lt;/b&gt;concentration&lt;/h5&gt;&lt;h5&gt;&lt;b&gt;Saving Throw &lt;/b&gt;Will negates (harmless); &lt;b&gt;Spell Resistance &lt;/b&gt;yes (harmless)&lt;/h5&gt;&lt;/div&gt;&lt;hr/&gt;&lt;div&gt;&lt;h5&gt;&lt;b&gt;DESCRIPTION&lt;/b&gt;&lt;/h5&gt;&lt;/div&gt;&lt;hr/&gt;&lt;div&gt;&lt;h4&gt;&lt;p&gt;You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table.&lt;/p&gt;&lt;p&gt;   &lt;table border ='1'&gt;&lt;tr&gt;&lt;th&gt;Condition&lt;/th&gt;&lt;th&gt;Lesser Condition&lt;/th&gt;&lt;/tr&gt;&lt;tr&gt;&lt;td&gt;Blinded&lt;/td&gt;&lt;td&gt;Dazzled&lt;/td&gt;&lt;/tr&gt;&lt;tr&gt;&lt;td&gt;Exhausted&lt;/td&gt;&lt;td&gt;Fatigued&lt;/td&gt;&lt;/tr&gt;&lt;tr&gt;&lt;td&gt;Frightened&lt;/td&gt;&lt;td&gt;Shaken&lt;/td&gt;&lt;/tr&gt;&lt;tr&gt;&lt;td&gt;Nauseated&lt;/td&gt;&lt;td&gt;Sickened&lt;/td&gt;&lt;/tr&gt;&lt;/table&gt;   At the end of the spell's duration, the targets are again subject to the appropriate penalties if the original conditions affecting the target are still in effect.&lt;/p&gt;&lt;/h4&gt;&lt;/div&gt;</t>
  </si>
  <si>
    <t>Steal Book</t>
  </si>
  <si>
    <t>one book touched</t>
  </si>
  <si>
    <t>Often used by bards, spies, and arcane scholars to steal important texts without alerting their owners, steal book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  This spell cannot transfer magical writing (such as a wizard's spellbook or a magical scroll). At GM's discretion, the spell can restore lost information, such as a page obscured by spill wine, text erased by magic or mundane means, or even pages lost to fire or another type of damage.  When steal book is cast from a scroll, the beginning of the stolen text appears on the steal book scroll until you select a target book for the text to appear in. The stolen text glitters and sparkles while it remains on the scroll.</t>
  </si>
  <si>
    <t>&lt;p&gt;Often used by bards, spies, and arcane scholars to steal important texts without alerting their owners, &lt;i&gt;steal book&lt;/i&gt;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forever.&lt;/p&gt;&lt;p&gt;This spell cannot transfer magical writing (such as a wizard's spellbook or a magical scroll). At GM's discretion, the spell can restore lost information, such as a page obscured by spill wine, text erased by magic or mundane means, or even pages lost to fire or another type of damage.&lt;/p&gt;&lt;p&gt;When &lt;i&gt;steal book&lt;/i&gt; is cast from a scroll, the beginning of the stolen text appears on the &lt;i&gt;steal book&lt;/i&gt; scroll until you select a target book for the text to appear in. The stolen text glitters and sparkles while it remains on the scroll.&lt;/p&gt;</t>
  </si>
  <si>
    <t>PFS S3-09</t>
  </si>
  <si>
    <t>&lt;link rel="stylesheet"href="PF.css"&gt;&lt;div class="heading"&gt;&lt;p class="alignleft"&gt;Steal Book&lt;/p&gt;&lt;div style="clear: both;"&gt;&lt;/div&gt;&lt;/div&gt;&lt;div&gt;&lt;h5&gt;&lt;b&gt;School &lt;/b&gt;divination; &lt;b&gt;Level &lt;/b&gt;bard 3, inquisitor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book touched&lt;/h5&gt;&lt;h5&gt;&lt;b&gt;Duration &lt;/b&gt;permanent&lt;/h5&gt;&lt;h5&gt;&lt;b&gt;Saving Throw &lt;/b&gt;Fortitude negates (object); &lt;b&gt;Spell Resistance &lt;/b&gt;yes (object)&lt;/h5&gt;&lt;/div&gt;&lt;hr/&gt;&lt;div&gt;&lt;h5&gt;&lt;b&gt;DESCRIPTION&lt;/b&gt;&lt;/h5&gt;&lt;/div&gt;&lt;hr/&gt;&lt;div&gt;&lt;h4&gt;&lt;p&gt;Often used by bards, spies, and arcane scholars to steal important texts without alerting their owners, &lt;i&gt;steal book&lt;/i&gt;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forever.&lt;/p&gt;&lt;p&gt;This spell cannot transfer magical writing (such as a wizard's spellbook or a magical scroll). At GM's discretion, the spell can restore lost information, such as a page obscured by spill wine, text erased by magic or mundane means, or even pages lost to fire or another type of damage.&lt;/p&gt;&lt;p&gt;When &lt;i&gt;steal book&lt;/i&gt; is cast from a scroll, the beginning of the stolen text appears on the &lt;i&gt;steal book&lt;/i&gt; scroll until you select a target book for the text to appear in. The stolen text glitters and sparkles while it remains on the scroll.&lt;/p&gt;&lt;/h4&gt;&lt;/div&gt;</t>
  </si>
  <si>
    <t>Summon Lesser Psychopomp</t>
  </si>
  <si>
    <t>V, S, F/DF (a crocodile skull funerary mask)</t>
  </si>
  <si>
    <t>one or more summoned psychopomps (see text)</t>
  </si>
  <si>
    <t>This spell functions like summon monster, except that it summons 1d3 esobok psychopomps or 1d4+1 nosoi psychopomps. Esobok psychopomps are detailed on page 84. Nosoi psychopomps are detailed on page 220 of Pathfinder RPG Bestiary 4.</t>
  </si>
  <si>
    <t>&lt;p&gt;This spell functions like &lt;i&gt;summon monster&lt;/i&gt;, except that it summons 1d3 esobok psychopomps or 1d4+1 nosoi psychopomps. Esobok psychopomps are detailed on page 84. Nosoi psychopomps are detailed on page 220 of &lt;i&gt;Pathfinder RPG Bestiary 4&lt;/i&gt;.&lt;/p&gt;</t>
  </si>
  <si>
    <t>AP 80</t>
  </si>
  <si>
    <t>&lt;link rel="stylesheet"href="PF.css"&gt;&lt;div class="heading"&gt;&lt;p class="alignleft"&gt;Summon Lesser Psychopomp&lt;/p&gt;&lt;div style="clear: both;"&gt;&lt;/div&gt;&lt;/div&gt;&lt;div&gt;&lt;h5&gt;&lt;b&gt;School &lt;/b&gt;conjuration (summoning); &lt;b&gt;Level &lt;/b&gt;cleric/oracle 5, sorcerer/wizard 5, summoner 4, witch 5&lt;/h5&gt;&lt;/div&gt;&lt;hr/&gt;&lt;div&gt;&lt;h5&gt;&lt;b&gt;CASTING&lt;/b&gt;&lt;/h5&gt;&lt;/div&gt;&lt;hr/&gt;&lt;div&gt;&lt;h5&gt;&lt;b&gt;Casting Time &lt;/b&gt;1 round&lt;/h5&gt;&lt;h5&gt;&lt;b&gt;Components &lt;/b&gt;V, S, F/DF (a crocodile skull funerary mask)&lt;/h5&gt;&lt;/div&gt;&lt;hr/&gt;&lt;div&gt;&lt;h5&gt;&lt;b&gt;EFFECT&lt;/b&gt;&lt;/h5&gt;&lt;/div&gt;&lt;hr/&gt;&lt;div&gt;&lt;h5&gt;&lt;b&gt;Range &lt;/b&gt;close (25 ft. + 5 ft./2 levels)&lt;/h5&gt;&lt;h5&gt;&lt;b&gt;Effect &lt;/b&gt;one or more summoned psychopomps (see text)&lt;/h5&gt;&lt;h5&gt;&lt;b&gt;Duration &lt;/b&gt;1 round/level (D)&lt;/h5&gt;&lt;h5&gt;&lt;b&gt;Saving Throw &lt;/b&gt;none; &lt;b&gt;Spell Resistance &lt;/b&gt;no&lt;/h5&gt;&lt;/div&gt;&lt;hr/&gt;&lt;div&gt;&lt;h5&gt;&lt;b&gt;DESCRIPTION&lt;/b&gt;&lt;/h5&gt;&lt;/div&gt;&lt;hr/&gt;&lt;div&gt;&lt;h4&gt;&lt;p&gt;This spell functions like &lt;i&gt;summon monster&lt;/i&gt;, except that it summons 1d3 esobok psychopomps or 1d4+1 nosoi psychopomps. Esobok psychopomps are detailed on page 84. Nosoi psychopomps are detailed on page 220 of &lt;i&gt;Pathfinder RPG Bestiary 4&lt;/i&gt;.&lt;/p&gt;&lt;/h4&gt;&lt;/div&gt;</t>
  </si>
  <si>
    <t>Summon Vanth</t>
  </si>
  <si>
    <t>V, S, F/DF (a vulture skull funerary mask)</t>
  </si>
  <si>
    <t>one summoned vanth psychopomp</t>
  </si>
  <si>
    <t>This spell functions like summon monster, except that it summons a single vanth psychopomp. Vanth psychopomps are detailed on page 221 of Pathfinder RPG Bestiary 4.</t>
  </si>
  <si>
    <t>&lt;p&gt;This spell functions like &lt;i&gt;summon monster&lt;/i&gt;, except that it summons a single vanth psychopomp. Vanth psychopomps are detailed on page 221 of &lt;i&gt;Pathfinder RPG Bestiary 4&lt;/i&gt;.&lt;/p&gt;</t>
  </si>
  <si>
    <t>&lt;link rel="stylesheet"href="PF.css"&gt;&lt;div class="heading"&gt;&lt;p class="alignleft"&gt;Summon Vanth&lt;/p&gt;&lt;div style="clear: both;"&gt;&lt;/div&gt;&lt;/div&gt;&lt;div&gt;&lt;h5&gt;&lt;b&gt;School &lt;/b&gt;conjuration (summoning); &lt;b&gt;Level &lt;/b&gt;cleric/oracle 6, sorcerer/wizard 6, summoner 5, witch 6&lt;/h5&gt;&lt;/div&gt;&lt;hr/&gt;&lt;div&gt;&lt;h5&gt;&lt;b&gt;CASTING&lt;/b&gt;&lt;/h5&gt;&lt;/div&gt;&lt;hr/&gt;&lt;div&gt;&lt;h5&gt;&lt;b&gt;Casting Time &lt;/b&gt;1 round&lt;/h5&gt;&lt;h5&gt;&lt;b&gt;Components &lt;/b&gt;V, S, F/DF (a vulture skull funerary mask)&lt;/h5&gt;&lt;/div&gt;&lt;hr/&gt;&lt;div&gt;&lt;h5&gt;&lt;b&gt;EFFECT&lt;/b&gt;&lt;/h5&gt;&lt;/div&gt;&lt;hr/&gt;&lt;div&gt;&lt;h5&gt;&lt;b&gt;Range &lt;/b&gt;close (25 ft. + 5 ft./2 levels)&lt;/h5&gt;&lt;h5&gt;&lt;b&gt;Effect &lt;/b&gt;one summoned vanth psychopomp&lt;/h5&gt;&lt;h5&gt;&lt;b&gt;Duration &lt;/b&gt;1 round/level (D)&lt;/h5&gt;&lt;h5&gt;&lt;b&gt;Saving Throw &lt;/b&gt;none; &lt;b&gt;Spell Resistance &lt;/b&gt;no&lt;/h5&gt;&lt;/div&gt;&lt;hr/&gt;&lt;div&gt;&lt;h5&gt;&lt;b&gt;DESCRIPTION&lt;/b&gt;&lt;/h5&gt;&lt;/div&gt;&lt;hr/&gt;&lt;div&gt;&lt;h4&gt;&lt;p&gt;This spell functions like &lt;i&gt;summon monster&lt;/i&gt;, except that it summons a single vanth psychopomp. Vanth psychopomps are detailed on page 221 of &lt;i&gt;Pathfinder RPG Bestiary 4&lt;/i&gt;.&lt;/p&gt;&lt;/h4&gt;&lt;/div&gt;</t>
  </si>
  <si>
    <t>Possession Trap</t>
  </si>
  <si>
    <t>V, S, F (a gem or crystal worth at least 500 gp)</t>
  </si>
  <si>
    <t>24 hours or until activated (see text); 1 round/level</t>
  </si>
  <si>
    <t>You place a protective ward over your spirit that ensnares creatures attempting to possess you. Should a creature attempt to possess you (such as via magic jar or a similar effect) while you are under the effects of possession trap, that creature must first succeed at a Will save or its possession attempt is ruined and its spirit is shunted into this spell's focus gem. The trapped creature is contained within the focus gem for 1 round per caster level, acting as though it were trapped in a magic jar for the duration of this effect. This effect fails if you are not carrying the focus gem during the time of the possession attempt.  If the possessor's Will save is successful, you are affected by its possession attempt as normal, and may attempt a saving throw against this possession attempt if one is normally allowed. Regardless of whether the possessor fails or succeeds at its save against possession trap, you immediately become aware of the possession attempt and whether or not a creature is trapped in the focus gem. If the focus gem is destroyed while it contains a creature, the creature is immediately released.  Once this spell is triggered, it offers no further protection, and a trapped creature can attempt to possess you again once it's free of the focus gem.</t>
  </si>
  <si>
    <t>&lt;p&gt;You place a protective ward over your spirit that ensnares creatures attempting to possess you. Should a creature attempt to possess you (such as via &lt;i&gt;magic jar&lt;/i&gt; or a similar effect) while you are under the effects of &lt;i&gt;possession trap&lt;/i&gt;, that creature must first succeed at a Will save or its possession attempt is ruined and its spirit is shunted into this spell's focus gem. The trapped creature is contained within the focus gem for 1 round per caster level, acting as though it were trapped in a &lt;i&gt;magic jar&lt;/i&gt; for the duration of this effect. This effect fails if you are not carrying the focus gem during the time of the possession attempt.&lt;/p&gt;&lt;p&gt;If the possessor's Will save is successful, you are affected by its possession attempt as normal, and may attempt a saving throw against this possession attempt if one is normally allowed. Regardless of whether the possessor fails or succeeds at its save against &lt;i&gt;possession trap&lt;/i&gt;, you immediately become aware of the possession attempt and whether or not a creature is trapped in the focus gem. If the focus gem is destroyed while it contains a creature, the creature is immediately released.&lt;/p&gt;&lt;p&gt;Once this spell is triggered, it offers no further protection, and a trapped creature can attempt to possess you again once it's free of the focus gem.&lt;/p&gt;</t>
  </si>
  <si>
    <t>Undead Slayer's Handbook</t>
  </si>
  <si>
    <t>&lt;link rel="stylesheet"href="PF.css"&gt;&lt;div class="heading"&gt;&lt;p class="alignleft"&gt;Possession Trap&lt;/p&gt;&lt;div style="clear: both;"&gt;&lt;/div&gt;&lt;/div&gt;&lt;div&gt;&lt;h5&gt;&lt;b&gt;School &lt;/b&gt;necromancy; &lt;b&gt;Level &lt;/b&gt;sorcerer/wizard 5, witch 5&lt;/h5&gt;&lt;/div&gt;&lt;hr/&gt;&lt;div&gt;&lt;h5&gt;&lt;b&gt;CASTING&lt;/b&gt;&lt;/h5&gt;&lt;/div&gt;&lt;hr/&gt;&lt;div&gt;&lt;h5&gt;&lt;b&gt;Casting Time &lt;/b&gt;1 standard action&lt;/h5&gt;&lt;h5&gt;&lt;b&gt;Components &lt;/b&gt;V, S, F (a gem or crystal worth at least 500 gp)&lt;/h5&gt;&lt;/div&gt;&lt;hr/&gt;&lt;div&gt;&lt;h5&gt;&lt;b&gt;EFFECT&lt;/b&gt;&lt;/h5&gt;&lt;/div&gt;&lt;hr/&gt;&lt;div&gt;&lt;h5&gt;&lt;b&gt;Range &lt;/b&gt;personal&lt;/h5&gt;&lt;h5&gt;&lt;b&gt;Targets &lt;/b&gt;you&lt;/h5&gt;&lt;h5&gt;&lt;b&gt;Duration &lt;/b&gt;24 hours or until activated (see text); 1 round/level&lt;/h5&gt;&lt;/div&gt;&lt;hr/&gt;&lt;div&gt;&lt;h5&gt;&lt;b&gt;DESCRIPTION&lt;/b&gt;&lt;/h5&gt;&lt;/div&gt;&lt;hr/&gt;&lt;div&gt;&lt;h4&gt;&lt;p&gt;You place a protective ward over your spirit that ensnares creatures attempting to possess you. Should a creature attempt to possess you (such as via &lt;i&gt;magic jar&lt;/i&gt; or a similar effect) while you are under the effects of &lt;i&gt;possession trap&lt;/i&gt;, that creature must first succeed at a Will save or its possession attempt is ruined and its spirit is shunted into this spell's focus gem. The trapped creature is contained within the focus gem for 1 round per caster level, acting as though it were trapped in a &lt;i&gt;magic jar&lt;/i&gt; for the duration of this effect. This effect fails if you are not carrying the focus gem during the time of the possession attempt.&lt;/p&gt;&lt;p&gt;If the possessor's Will save is successful, you are affected by its possession attempt as normal, and may attempt a saving throw against this possession attempt if one is normally allowed. Regardless of whether the possessor fails or succeeds at its save against &lt;i&gt;possession trap&lt;/i&gt;, you immediately become aware of the possession attempt and whether or not a creature is trapped in the focus gem. If the focus gem is destroyed while it contains a creature, the creature is immediately released.&lt;/p&gt;&lt;p&gt;Once this spell is triggered, it offers no further protection, and a trapped creature can attempt to possess you again once it's free of the focus gem.&lt;/p&gt;&lt;/h4&gt;&lt;/div&gt;</t>
  </si>
  <si>
    <t>Sphere Of Warding</t>
  </si>
  <si>
    <t>cleric/oracle 5, inquisitor 4, witch 5</t>
  </si>
  <si>
    <t>10-ft.-radius sphere emanating from point touched</t>
  </si>
  <si>
    <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wall of force. If the incorporeal creature succeeds, it may pass through the sphere at will, though if it ends its turn within the sphere, it takes a number of points of force damage equal to 1d6 + 1 per caster level (maximum +10).  If a creature possessing another creature's body (via either magic jar or a similar effect) enters a sphere of warding,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t>
  </si>
  <si>
    <t>&lt;p&gt;You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&lt;i&gt;wall of force&lt;/i&gt;. If the incorporeal creature succeeds, it may pass through the sphere at will, though if it ends its turn within the sphere, it takes a number of points of force damage equal to 1d6 + 1 per caster level (maximum +10).&lt;/p&gt;&lt;p&gt;If a creature possessing another creature's body (via either &lt;i&gt;magic jar&lt;/i&gt; or a similar effect) enters a &lt;i&gt;sphere of warding&lt;/i&gt;,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sphere.&lt;/p&gt;</t>
  </si>
  <si>
    <t>&lt;link rel="stylesheet"href="PF.css"&gt;&lt;div class="heading"&gt;&lt;p class="alignleft"&gt;Sphere Of Warding&lt;/p&gt;&lt;div style="clear: both;"&gt;&lt;/div&gt;&lt;/div&gt;&lt;div&gt;&lt;h5&gt;&lt;b&gt;School &lt;/b&gt;abjuration; &lt;b&gt;Level &lt;/b&gt;cleric/oracle 5, inquisitor 4, witch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&lt;/b&gt;touch&lt;/h5&gt;&lt;h5&gt;&lt;b&gt;Effect &lt;/b&gt;10-ft.-radius sphere emanating from point touched&lt;/h5&gt;&lt;h5&gt;&lt;b&gt;Duration &lt;/b&gt;1 hour/level&lt;/h5&gt;&lt;h5&gt;&lt;b&gt;Saving Throw &lt;/b&gt;Will negates (see text); &lt;b&gt;Spell Resistance &lt;/b&gt;yes&lt;/h5&gt;&lt;/div&gt;&lt;hr/&gt;&lt;div&gt;&lt;h5&gt;&lt;b&gt;DESCRIPTION&lt;/b&gt;&lt;/h5&gt;&lt;/div&gt;&lt;hr/&gt;&lt;div&gt;&lt;h4&gt;&lt;p&gt;You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&lt;i&gt;wall of force&lt;/i&gt;. If the incorporeal creature succeeds, it may pass through the sphere at will, though if it ends its turn within the sphere, it takes a number of points of force damage equal to 1d6 + 1 per caster level (maximum +10).&lt;/p&gt;&lt;p&gt;If a creature possessing another creature's body (via either &lt;i&gt;magic jar&lt;/i&gt; or a similar effect) enters a &lt;i&gt;sphere of warding&lt;/i&gt;,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sphere.&lt;/p&gt;&lt;/h4&gt;&lt;/div&gt;</t>
  </si>
  <si>
    <t>Carrion Compass</t>
  </si>
  <si>
    <t>cleric/oracle 1, ranger 1, sorcerer/wizard 2, witch 1</t>
  </si>
  <si>
    <t>You animate one of the target's fetid organs so that it leads you to the undead creature's most recent controller or the cause of the creature's undeath.  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  If the undead was animated by an effect or event at a particular location, the organ leads you to that location.  If the creature was animated by none of the methods above, if it was self-created, or if the creature's most recent controller no longer exists, the spell fails. Once the organ is within 10 feet of its intended destination, the spell ends, and the organ falls to the ground.  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t>
  </si>
  <si>
    <t>&lt;p&gt;You animate one of the target's fetid organs so that it leads you to the undead creature's most recent controller or the cause of the creature's undeath.&lt;/p&gt;&lt;p&gt;The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creator.&lt;/p&gt;&lt;p&gt;If the undead was animated by an effect or event at a particular location, the organ leads you to that location.&lt;/p&gt;&lt;p&gt;If the creature was animated by none of the methods above, if it was self-created, or if the creature's most recent controller no longer exists, the spell fails. Once the organ is within 10 feet of its intended destination, the spell ends, and the organ falls to the ground.&lt;/p&gt;&lt;p&gt;The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ground.&lt;/p&gt;</t>
  </si>
  <si>
    <t>&lt;link rel="stylesheet"href="PF.css"&gt;&lt;div class="heading"&gt;&lt;p class="alignleft"&gt;Carrion Compass&lt;/p&gt;&lt;div style="clear: both;"&gt;&lt;/div&gt;&lt;/div&gt;&lt;div&gt;&lt;h5&gt;&lt;b&gt;School &lt;/b&gt;divination; &lt;b&gt;Level &lt;/b&gt;cleric/oracle 1, ranger 1, sorcerer/wizard 2,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undead creature&lt;/h5&gt;&lt;h5&gt;&lt;b&gt;Duration &lt;/b&gt;10 minutes/level&lt;/h5&gt;&lt;h5&gt;&lt;b&gt;Saving Throw &lt;/b&gt;Will negates; &lt;b&gt;Spell Resistance &lt;/b&gt;no&lt;/h5&gt;&lt;/div&gt;&lt;hr/&gt;&lt;div&gt;&lt;h5&gt;&lt;b&gt;DESCRIPTION&lt;/b&gt;&lt;/h5&gt;&lt;/div&gt;&lt;hr/&gt;&lt;div&gt;&lt;h4&gt;&lt;p&gt;You animate one of the target's fetid organs so that it leads you to the undead creature's most recent controller or the cause of the creature's undeath.&lt;/p&gt;&lt;p&gt;The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creator.&lt;/p&gt;&lt;p&gt;If the undead was animated by an effect or event at a particular location, the organ leads you to that location.&lt;/p&gt;&lt;p&gt;If the creature was animated by none of the methods above, if it was self-created, or if the creature's most recent controller no longer exists, the spell fails. Once the organ is within 10 feet of its intended destination, the spell ends, and the organ falls to the ground.&lt;/p&gt;&lt;p&gt;The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ground.&lt;/p&gt;&lt;/h4&gt;&lt;/div&gt;</t>
  </si>
  <si>
    <t>Empower Holy Water</t>
  </si>
  <si>
    <t>alchemist 2, bard 2, paladin 1</t>
  </si>
  <si>
    <t>one or more vials of holy water</t>
  </si>
  <si>
    <t>You empower a vial of holy water to deal additional damage to undead creatures. You can empower one vial of holy water at 4th level, two at 8th level, and three at 12th level.  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t>
  </si>
  <si>
    <t>&lt;p&gt;You empower a vial of holy water to deal additional damage to undead creatures. You can empower one vial of holy water at 4th level, two at 8th level, and three at 12th level.&lt;/p&gt;&lt;p&gt;When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creatures.&lt;/p&gt;</t>
  </si>
  <si>
    <t>&lt;link rel="stylesheet"href="PF.css"&gt;&lt;div class="heading"&gt;&lt;p class="alignleft"&gt;Empower Holy Water&lt;/p&gt;&lt;div style="clear: both;"&gt;&lt;/div&gt;&lt;/div&gt;&lt;div&gt;&lt;h5&gt;&lt;b&gt;School &lt;/b&gt;transmutation [good]; &lt;b&gt;Level &lt;/b&gt;alchemist 2, bard 2, paladin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or more vials of holy water&lt;/h5&gt;&lt;h5&gt;&lt;b&gt;Duration &lt;/b&gt;1 minute/level&lt;/h5&gt;&lt;h5&gt;&lt;b&gt;Saving Throw &lt;/b&gt;none (object); &lt;b&gt;Spell Resistance &lt;/b&gt;no&lt;/h5&gt;&lt;/div&gt;&lt;hr/&gt;&lt;div&gt;&lt;h5&gt;&lt;b&gt;DESCRIPTION&lt;/b&gt;&lt;/h5&gt;&lt;/div&gt;&lt;hr/&gt;&lt;div&gt;&lt;h4&gt;&lt;p&gt;You empower a vial of holy water to deal additional damage to undead creatures. You can empower one vial of holy water at 4th level, two at 8th level, and three at 12th level.&lt;/p&gt;&lt;p&gt;When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creatures.&lt;/p&gt;&lt;/h4&gt;&lt;/div&gt;</t>
  </si>
  <si>
    <t>Force Anchor</t>
  </si>
  <si>
    <t>inquisitor 2, magus 2, sorcerer/wizard 3, summoner 2</t>
  </si>
  <si>
    <t>V, S, M (a twisted nail)</t>
  </si>
  <si>
    <t>one anchor of force</t>
  </si>
  <si>
    <t>You conjure an anchor of pure force that immediately skewers your target on a successful ranged touch attack. If it hits, the attack deals the target 1d4 points of force damage per 2 caster levels (max 5d4) and the anchor becomes firmly lodged in the target's torso.  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t>
  </si>
  <si>
    <t>&lt;p&gt;You conjure an anchor of pure force that immediately skewers your target on a successful ranged touch attack. If it hits, the attack deals the target 1d4 points of force damage per 2 caster levels (max 5d4) and the anchor becomes firmly lodged in the target's torso.&lt;/p&gt;&lt;p&gt;The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ally.&lt;/p&gt;</t>
  </si>
  <si>
    <t>&lt;link rel="stylesheet"href="PF.css"&gt;&lt;div class="heading"&gt;&lt;p class="alignleft"&gt;Force Anchor&lt;/p&gt;&lt;div style="clear: both;"&gt;&lt;/div&gt;&lt;/div&gt;&lt;div&gt;&lt;h5&gt;&lt;b&gt;School &lt;/b&gt;conjuration (creation) [force]; &lt;b&gt;Level &lt;/b&gt;inquisitor 2, magus 2, sorcerer/wizard 3, summoner 2&lt;/h5&gt;&lt;/div&gt;&lt;hr/&gt;&lt;div&gt;&lt;h5&gt;&lt;b&gt;CASTING&lt;/b&gt;&lt;/h5&gt;&lt;/div&gt;&lt;hr/&gt;&lt;div&gt;&lt;h5&gt;&lt;b&gt;Casting Time &lt;/b&gt;1 standard action&lt;/h5&gt;&lt;h5&gt;&lt;b&gt;Components &lt;/b&gt;V, S, M (a twisted nail)&lt;/h5&gt;&lt;/div&gt;&lt;hr/&gt;&lt;div&gt;&lt;h5&gt;&lt;b&gt;EFFECT&lt;/b&gt;&lt;/h5&gt;&lt;/div&gt;&lt;hr/&gt;&lt;div&gt;&lt;h5&gt;&lt;b&gt;Range &lt;/b&gt;medium (100 ft. + 10 ft./level)&lt;/h5&gt;&lt;h5&gt;&lt;b&gt;Effect &lt;/b&gt;one anchor of force&lt;/h5&gt;&lt;h5&gt;&lt;b&gt;Duration &lt;/b&gt;1 round/level&lt;/h5&gt;&lt;h5&gt;&lt;b&gt;Saving Throw &lt;/b&gt;none; &lt;b&gt;Spell Resistance &lt;/b&gt;yes&lt;/h5&gt;&lt;/div&gt;&lt;hr/&gt;&lt;div&gt;&lt;h5&gt;&lt;b&gt;DESCRIPTION&lt;/b&gt;&lt;/h5&gt;&lt;/div&gt;&lt;hr/&gt;&lt;div&gt;&lt;h4&gt;&lt;p&gt;You conjure an anchor of pure force that immediately skewers your target on a successful ranged touch attack. If it hits, the attack deals the target 1d4 points of force damage per 2 caster levels (max 5d4) and the anchor becomes firmly lodged in the target's torso.&lt;/p&gt;&lt;p&gt;The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ally.&lt;/p&gt;&lt;/h4&gt;&lt;/div&gt;</t>
  </si>
  <si>
    <t>Life Shield</t>
  </si>
  <si>
    <t>cleric/oracle 3, druid 3, paladin 2</t>
  </si>
  <si>
    <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t>
  </si>
  <si>
    <t>&lt;p&gt;You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discharged.&lt;/p&gt;</t>
  </si>
  <si>
    <t>&lt;link rel="stylesheet"href="PF.css"&gt;&lt;div class="heading"&gt;&lt;p class="alignleft"&gt;Life Shield&lt;/p&gt;&lt;div style="clear: both;"&gt;&lt;/div&gt;&lt;/div&gt;&lt;div&gt;&lt;h5&gt;&lt;b&gt;School &lt;/b&gt;conjuration (healing); &lt;b&gt;Level &lt;/b&gt;cleric/oracle 3, druid 3, paladin 2&lt;/h5&gt;&lt;/div&gt;&lt;hr/&gt;&lt;div&gt;&lt;h5&gt;&lt;b&gt;CASTING&lt;/b&gt;&lt;/h5&gt;&lt;/div&gt;&lt;hr/&gt;&lt;div&gt;&lt;h5&gt;&lt;b&gt;Casting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&lt;/b&gt;1 minute/level or until discharged&lt;/h5&gt;&lt;/div&gt;&lt;hr/&gt;&lt;div&gt;&lt;h5&gt;&lt;b&gt;DESCRIPTION&lt;/b&gt;&lt;/h5&gt;&lt;/div&gt;&lt;hr/&gt;&lt;div&gt;&lt;h4&gt;&lt;p&gt;You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discharged.&lt;/p&gt;&lt;/h4&gt;&lt;/div&gt;</t>
  </si>
  <si>
    <t>Necromantic Burden</t>
  </si>
  <si>
    <t>cleric/oracle 2, sorcerer/wizard 3, witch 3</t>
  </si>
  <si>
    <t>V, S, M/DF (a handful of knucklebones)</t>
  </si>
  <si>
    <t>You make an undead creature more difficult for necromancers and clerics to control via effects such as Command Undead or control undead. If the target fails its Will save, the target's effective number of Hit Dice is doubled for the purposes of determining whether it remains under the control of another creature.  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t>
  </si>
  <si>
    <t>&lt;p&gt;You make an undead creature more difficult for necromancers and clerics to control via effects such as Command Undead or &lt;i&gt;control undead&lt;/i&gt;. If the target fails its Will save, the target's effective number of Hit Dice is doubled for the purposes of determining whether it remains under the control of another creature.&lt;/p&gt;&lt;p&gt;Regardless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HD).&lt;/p&gt;</t>
  </si>
  <si>
    <t>&lt;link rel="stylesheet"href="PF.css"&gt;&lt;div class="heading"&gt;&lt;p class="alignleft"&gt;Necromantic Burden&lt;/p&gt;&lt;div style="clear: both;"&gt;&lt;/div&gt;&lt;/div&gt;&lt;div&gt;&lt;h5&gt;&lt;b&gt;School &lt;/b&gt;necromancy; &lt;b&gt;Level &lt;/b&gt;cleric/oracle 2, sorcerer/wizard 3, witch 3&lt;/h5&gt;&lt;/div&gt;&lt;hr/&gt;&lt;div&gt;&lt;h5&gt;&lt;b&gt;CASTING&lt;/b&gt;&lt;/h5&gt;&lt;/div&gt;&lt;hr/&gt;&lt;div&gt;&lt;h5&gt;&lt;b&gt;Casting Time &lt;/b&gt;1 round&lt;/h5&gt;&lt;h5&gt;&lt;b&gt;Components &lt;/b&gt;V, S, M/DF (a handful of knucklebones)&lt;/h5&gt;&lt;/div&gt;&lt;hr/&gt;&lt;div&gt;&lt;h5&gt;&lt;b&gt;EFFECT&lt;/b&gt;&lt;/h5&gt;&lt;/div&gt;&lt;hr/&gt;&lt;div&gt;&lt;h5&gt;&lt;b&gt;Range &lt;/b&gt;close (25 ft. + 5 ft./2 levels)&lt;/h5&gt;&lt;h5&gt;&lt;b&gt;Targets &lt;/b&gt;one undead creature&lt;/h5&gt;&lt;h5&gt;&lt;b&gt;Duration &lt;/b&gt;1 hour/level&lt;/h5&gt;&lt;h5&gt;&lt;b&gt;Saving Throw &lt;/b&gt;Will negates; &lt;b&gt;Spell Resistance &lt;/b&gt;yes&lt;/h5&gt;&lt;/div&gt;&lt;hr/&gt;&lt;div&gt;&lt;h5&gt;&lt;b&gt;DESCRIPTION&lt;/b&gt;&lt;/h5&gt;&lt;/div&gt;&lt;hr/&gt;&lt;div&gt;&lt;h4&gt;&lt;p&gt;You make an undead creature more difficult for necromancers and clerics to control via effects such as Command Undead or &lt;i&gt;control undead&lt;/i&gt;. If the target fails its Will save, the target's effective number of Hit Dice is doubled for the purposes of determining whether it remains under the control of another creature.&lt;/p&gt;&lt;p&gt;Regardless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HD).&lt;/p&gt;&lt;/h4&gt;&lt;/div&gt;</t>
  </si>
  <si>
    <t>Undeath Inversion</t>
  </si>
  <si>
    <t>cleric/oracle 4, sorcerer/wizard 4, witch 4</t>
  </si>
  <si>
    <t>V, S, F/DF (a gold piece with one scratched face)</t>
  </si>
  <si>
    <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t>
  </si>
  <si>
    <t>&lt;p&gt;You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opportunity.&lt;/p&gt;</t>
  </si>
  <si>
    <t>&lt;link rel="stylesheet"href="PF.css"&gt;&lt;div class="heading"&gt;&lt;p class="alignleft"&gt;Undeath Inversion&lt;/p&gt;&lt;div style="clear: both;"&gt;&lt;/div&gt;&lt;/div&gt;&lt;div&gt;&lt;h5&gt;&lt;b&gt;School &lt;/b&gt;necromancy; &lt;b&gt;Level &lt;/b&gt;cleric/oracle 4, sorcerer/wizard 4, witch 4&lt;/h5&gt;&lt;/div&gt;&lt;hr/&gt;&lt;div&gt;&lt;h5&gt;&lt;b&gt;CASTING&lt;/b&gt;&lt;/h5&gt;&lt;/div&gt;&lt;hr/&gt;&lt;div&gt;&lt;h5&gt;&lt;b&gt;Casting Time &lt;/b&gt;1 standard action&lt;/h5&gt;&lt;h5&gt;&lt;b&gt;Components &lt;/b&gt;V, S, F/DF (a gold piece with one scratched face)&lt;/h5&gt;&lt;/div&gt;&lt;hr/&gt;&lt;div&gt;&lt;h5&gt;&lt;b&gt;EFFECT&lt;/b&gt;&lt;/h5&gt;&lt;/div&gt;&lt;hr/&gt;&lt;div&gt;&lt;h5&gt;&lt;b&gt;Range &lt;/b&gt;close (25 ft. + 5 ft./2 levels)&lt;/h5&gt;&lt;h5&gt;&lt;b&gt;Targets &lt;/b&gt;one undead creature&lt;/h5&gt;&lt;h5&gt;&lt;b&gt;Duration &lt;/b&gt;1 round/level (D); see text&lt;/h5&gt;&lt;h5&gt;&lt;b&gt;Saving Throw &lt;/b&gt;Will negates; see text; &lt;b&gt;Spell Resistance &lt;/b&gt;yes&lt;/h5&gt;&lt;/div&gt;&lt;hr/&gt;&lt;div&gt;&lt;h5&gt;&lt;b&gt;DESCRIPTION&lt;/b&gt;&lt;/h5&gt;&lt;/div&gt;&lt;hr/&gt;&lt;div&gt;&lt;h4&gt;&lt;p&gt;You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opportunity.&lt;/p&gt;&lt;/h4&gt;&lt;/div&gt;</t>
  </si>
  <si>
    <t>Abadar's Truthtelling</t>
  </si>
  <si>
    <t>This spell functions identically to the spell zone of truth,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t>
  </si>
  <si>
    <t>&lt;p&gt;This spell functions identically to the spell &lt;i&gt;zone of truth&lt;/i&gt;,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race.&lt;/p&gt;</t>
  </si>
  <si>
    <t>Inner Sea Gods</t>
  </si>
  <si>
    <t>&lt;link rel="stylesheet"href="PF.css"&gt;&lt;div class="heading"&gt;&lt;p class="alignleft"&gt;Abadar's Truthtelling&lt;/p&gt;&lt;div style="clear: both;"&gt;&lt;/div&gt;&lt;/div&gt;&lt;div&gt;&lt;h5&gt;&lt;b&gt;School &lt;/b&gt;enchantment (compulsion) [mind-affecting]; &lt;b&gt;Level &lt;/b&gt;cleric/oracle 1, inquisitor 1, paladin 1 (Abadar)&lt;/h5&gt;&lt;/div&gt;&lt;hr/&gt;&lt;div&gt;&lt;h5&gt;&lt;b&gt;CASTING&lt;/b&gt;&lt;/h5&gt;&lt;/div&gt;&lt;hr/&gt;&lt;div&gt;&lt;h5&gt;&lt;b&gt;Casting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min./level&lt;/h5&gt;&lt;h5&gt;&lt;b&gt;Saving Throw &lt;/b&gt;Will negates; &lt;b&gt;Spell Resistance &lt;/b&gt;yes&lt;/h5&gt;&lt;/div&gt;&lt;hr/&gt;&lt;div&gt;&lt;h5&gt;&lt;b&gt;DESCRIPTION&lt;/b&gt;&lt;/h5&gt;&lt;/div&gt;&lt;hr/&gt;&lt;div&gt;&lt;h4&gt;&lt;p&gt;This spell functions identically to the spell &lt;i&gt;zone of truth&lt;/i&gt;,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race.&lt;/p&gt;&lt;/h4&gt;&lt;/div&gt;</t>
  </si>
  <si>
    <t>Abadar</t>
  </si>
  <si>
    <t>Abstemiousness</t>
  </si>
  <si>
    <t>bard 1, cleric/oracle 1, druid 1, witch 1</t>
  </si>
  <si>
    <t>a handful of berries, grains, nuts, or rice</t>
  </si>
  <si>
    <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t>
  </si>
  <si>
    <t>&lt;p&gt;Sometimes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periods.&lt;/p&gt;</t>
  </si>
  <si>
    <t>&lt;link rel="stylesheet"href="PF.css"&gt;&lt;div class="heading"&gt;&lt;p class="alignleft"&gt;Abstemiousness&lt;/p&gt;&lt;div style="clear: both;"&gt;&lt;/div&gt;&lt;/div&gt;&lt;div&gt;&lt;h5&gt;&lt;b&gt;School &lt;/b&gt;transmutation; &lt;b&gt;Level &lt;/b&gt;bard 1, cleric/oracle 1, druid 1, witch 1 (Irori)&lt;/h5&gt;&lt;/div&gt;&lt;hr/&gt;&lt;div&gt;&lt;h5&gt;&lt;b&gt;CASTING&lt;/b&gt;&lt;/h5&gt;&lt;/div&gt;&lt;hr/&gt;&lt;div&gt;&lt;h5&gt;&lt;b&gt;Casting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&lt;/b&gt;a handful of berries, grains, nuts, or rice&lt;/h5&gt;&lt;h5&gt;&lt;b&gt;Duration &lt;/b&gt;1 hour&lt;/h5&gt;&lt;h5&gt;&lt;b&gt;Saving Throw &lt;/b&gt;Fortitude negates (harmless); &lt;b&gt;Spell Resistance &lt;/b&gt;yes (harmless)&lt;/h5&gt;&lt;/div&gt;&lt;hr/&gt;&lt;div&gt;&lt;h5&gt;&lt;b&gt;DESCRIPTION&lt;/b&gt;&lt;/h5&gt;&lt;/div&gt;&lt;hr/&gt;&lt;div&gt;&lt;h4&gt;&lt;p&gt;Sometimes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periods.&lt;/p&gt;&lt;/h4&gt;&lt;/div&gt;</t>
  </si>
  <si>
    <t>Irori</t>
  </si>
  <si>
    <t>Baphomet's Blessing</t>
  </si>
  <si>
    <t>cleric/oracle 4, druid 4, sorcerer/wizard 4, summoner 4, witch 4</t>
  </si>
  <si>
    <t>V, M/DF (powdered bull's horn)</t>
  </si>
  <si>
    <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  The gore attack deals a number of points of damage equal to 1d6 + Strength modifier if the target is Small, 1d8 + Strength modifier if the target is Medium, and 2d6 + Strength modifier if the target is Large or larger.  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  If the target fails to resist Baphomet's blessing, it also becomes immune to polymorph spells (except for this one) for the duration of the spell's effect. Undead, incorporeal, or gaseous creatures are immune to Baphomet's blessing.</t>
  </si>
  <si>
    <t>&lt;p&gt;You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attack.&lt;/p&gt;&lt;p&gt;The gore attack deals a number of points of damage equal to 1d6 + Strength modifier if the target is Small, 1d8 + Strength modifier if the target is Medium, and 2d6 + Strength modifier if the target is Large or larger.&lt;/p&gt;&lt;p&gt;The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spell.&lt;/p&gt;&lt;p&gt;If the target fails to resist Baphomet's blessing, it also becomes immune to polymorph spells (except for this one) for the duration of the spell's effect. Undead, incorporeal, or gaseous creatures are immune to Baphomet's blessing.&lt;/p&gt;</t>
  </si>
  <si>
    <t>&lt;link rel="stylesheet"href="PF.css"&gt;&lt;div class="heading"&gt;&lt;p class="alignleft"&gt;Baphomet's Blessing&lt;/p&gt;&lt;div style="clear: both;"&gt;&lt;/div&gt;&lt;/div&gt;&lt;div&gt;&lt;h5&gt;&lt;b&gt;School &lt;/b&gt;transmutation (polymorph); &lt;b&gt;Level &lt;/b&gt;cleric/oracle 4, druid 4, sorcerer/wizard 4, summoner 4, witch 4&lt;/h5&gt;&lt;/div&gt;&lt;hr/&gt;&lt;div&gt;&lt;h5&gt;&lt;b&gt;CASTING&lt;/b&gt;&lt;/h5&gt;&lt;/div&gt;&lt;hr/&gt;&lt;div&gt;&lt;h5&gt;&lt;b&gt;Casting Time &lt;/b&gt;1 standard action&lt;/h5&gt;&lt;h5&gt;&lt;b&gt;Components &lt;/b&gt;V, M/DF (powdered bull's horn)&lt;/h5&gt;&lt;/div&gt;&lt;hr/&gt;&lt;div&gt;&lt;h5&gt;&lt;b&gt;EFFECT&lt;/b&gt;&lt;/h5&gt;&lt;/div&gt;&lt;hr/&gt;&lt;div&gt;&lt;h5&gt;&lt;b&gt;Range &lt;/b&gt;touch&lt;/h5&gt;&lt;h5&gt;&lt;b&gt;Targets &lt;/b&gt;one living creature&lt;/h5&gt;&lt;h5&gt;&lt;b&gt;Duration &lt;/b&gt;1 round/level&lt;/h5&gt;&lt;h5&gt;&lt;b&gt;Saving Throw &lt;/b&gt;Fortitude negates; &lt;b&gt;Spell Resistance &lt;/b&gt;yes&lt;/h5&gt;&lt;/div&gt;&lt;hr/&gt;&lt;div&gt;&lt;h5&gt;&lt;b&gt;DESCRIPTION&lt;/b&gt;&lt;/h5&gt;&lt;/div&gt;&lt;hr/&gt;&lt;div&gt;&lt;h4&gt;&lt;p&gt;You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attack.&lt;/p&gt;&lt;p&gt;The gore attack deals a number of points of damage equal to 1d6 + Strength modifier if the target is Small, 1d8 + Strength modifier if the target is Medium, and 2d6 + Strength modifier if the target is Large or larger.&lt;/p&gt;&lt;p&gt;The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spell.&lt;/p&gt;&lt;p&gt;If the target fails to resist Baphomet's blessing, it also becomes immune to polymorph spells (except for this one) for the duration of the spell's effect. Undead, incorporeal, or gaseous creatures are immune to Baphomet's blessing.&lt;/p&gt;&lt;/h4&gt;&lt;/div&gt;</t>
  </si>
  <si>
    <t>Beacon Of Luck</t>
  </si>
  <si>
    <t>bard 3, cleric/oracle 3, inquisitor 4, paladin 4</t>
  </si>
  <si>
    <t>V, S, M/DF (a tuft of rabbit fur)</t>
  </si>
  <si>
    <t>personal; see text</t>
  </si>
  <si>
    <t>You send out a burst of luck with a 30-foot radius centered around you. While the beacon of luck  is in effect, you gain a +2 sacred bonus on all saving throws. As an immediate action before a saving throw is made, allies within the area can choose to benefit from this luck, rolling twice for a saving throw and taking the better result. Once a creature benefits from the beacon of luck in this way, it cannot gain the benefit of this spell for 24 hours.</t>
  </si>
  <si>
    <t>&lt;p&gt;You send out a burst of luck with a 30-foot radius centered around you. While the &lt;i&gt;beacon of luck&lt;/i&gt;  is in effect, you gain a +2 sacred bonus on all saving throws. As an immediate action before a saving throw is made, allies within the area can choose to benefit from this luck, rolling twice for a saving throw and taking the better result. Once a creature benefits from the &lt;i&gt;beacon of luck&lt;/i&gt; in this way, it cannot gain the benefit of this spell for 24 hours.&lt;/p&gt;</t>
  </si>
  <si>
    <t>&lt;link rel="stylesheet"href="PF.css"&gt;&lt;div class="heading"&gt;&lt;p class="alignleft"&gt;Beacon Of Luck&lt;/p&gt;&lt;div style="clear: both;"&gt;&lt;/div&gt;&lt;/div&gt;&lt;div&gt;&lt;h5&gt;&lt;b&gt;School &lt;/b&gt;divination; &lt;b&gt;Level &lt;/b&gt;bard 3, cleric/oracle 3, inquisitor 4, paladin 4 (Desna)&lt;/h5&gt;&lt;/div&gt;&lt;hr/&gt;&lt;div&gt;&lt;h5&gt;&lt;b&gt;CASTING&lt;/b&gt;&lt;/h5&gt;&lt;/div&gt;&lt;hr/&gt;&lt;div&gt;&lt;h5&gt;&lt;b&gt;Casting Time &lt;/b&gt;1 standard action&lt;/h5&gt;&lt;h5&gt;&lt;b&gt;Components &lt;/b&gt;V, S, M/DF (a tuft of rabbit fur)&lt;/h5&gt;&lt;/div&gt;&lt;hr/&gt;&lt;div&gt;&lt;h5&gt;&lt;b&gt;EFFECT&lt;/b&gt;&lt;/h5&gt;&lt;/div&gt;&lt;hr/&gt;&lt;div&gt;&lt;h5&gt;&lt;b&gt;Range &lt;/b&gt;personal; see text&lt;/h5&gt;&lt;h5&gt;&lt;b&gt;Targets &lt;/b&gt;you&lt;/h5&gt;&lt;h5&gt;&lt;b&gt;Duration &lt;/b&gt;1 minute/level (D)&lt;/h5&gt;&lt;/div&gt;&lt;hr/&gt;&lt;div&gt;&lt;h5&gt;&lt;b&gt;DESCRIPTION&lt;/b&gt;&lt;/h5&gt;&lt;/div&gt;&lt;hr/&gt;&lt;div&gt;&lt;h4&gt;&lt;p&gt;You send out a burst of luck with a 30-foot radius centered around you. While the &lt;i&gt;beacon of luck&lt;/i&gt;  is in effect, you gain a +2 sacred bonus on all saving throws. As an immediate action before a saving throw is made, allies within the area can choose to benefit from this luck, rolling twice for a saving throw and taking the better result. Once a creature benefits from the &lt;i&gt;beacon of luck&lt;/i&gt; in this way, it cannot gain the benefit of this spell for 24 hours.&lt;/p&gt;&lt;/h4&gt;&lt;/div&gt;</t>
  </si>
  <si>
    <t>Desna</t>
  </si>
  <si>
    <t>Blade Snare</t>
  </si>
  <si>
    <t>druid 3, magus 3, ranger 3, sorcerer/wizard 3</t>
  </si>
  <si>
    <t>This spell creates an invisible magic field that does not stop weapons (whether manufactured or natural) from moving toward you, but impedes their motion when they are retracted.  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  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  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  While blade snare is active, you may make melee attacks and cast spells as normal, though you may not make ranged weapon attacks; the magic field thwarts such attacks. You may not snare more than one limb or weapon in the field at a time.  If you already have an opponent's weapon or limb stuck in the field and you are hit by a second melee attack, you must choose which weapon or limb to snare. The other limb or weapon is unaffected by the spell.</t>
  </si>
  <si>
    <t>&lt;p&gt;This spell creates an invisible magic field that does not stop weapons (whether manufactured or natural) from moving toward you, but impedes their motion when they are retracted.&lt;/p&gt;&lt;p&gt;When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weapon.&lt;/p&gt;&lt;p&gt;If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condition.&lt;/p&gt;&lt;p&gt;Once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throw.&lt;/p&gt;&lt;p&gt;While &lt;i&gt;blade snare&lt;/i&gt; is active, you may make melee attacks and cast spells as normal, though you may not make ranged weapon attacks; the magic field thwarts such attacks. You may not snare more than one limb or weapon in the field at a time.&lt;/p&gt;&lt;p&gt;If you already have an opponent's weapon or limb stuck in the field and you are hit by a second melee attack, you must choose which weapon or limb to snare. The other limb or weapon is unaffected by the spell.&lt;/p&gt;</t>
  </si>
  <si>
    <t>&lt;link rel="stylesheet"href="PF.css"&gt;&lt;div class="heading"&gt;&lt;p class="alignleft"&gt;Blade Snare&lt;/p&gt;&lt;div style="clear: both;"&gt;&lt;/div&gt;&lt;/div&gt;&lt;div&gt;&lt;h5&gt;&lt;b&gt;School &lt;/b&gt;abjuration; &lt;b&gt;Level &lt;/b&gt;druid 3, magus 3, ranger 3, sorcerer/wizard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&lt;/b&gt;no&lt;/h5&gt;&lt;/div&gt;&lt;hr/&gt;&lt;div&gt;&lt;h5&gt;&lt;b&gt;DESCRIPTION&lt;/b&gt;&lt;/h5&gt;&lt;/div&gt;&lt;hr/&gt;&lt;div&gt;&lt;h4&gt;&lt;p&gt;This spell creates an invisible magic field that does not stop weapons (whether manufactured or natural) from moving toward you, but impedes their motion when they are retracted.&lt;/p&gt;&lt;p&gt;When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weapon.&lt;/p&gt;&lt;p&gt;If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condition.&lt;/p&gt;&lt;p&gt;Once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throw.&lt;/p&gt;&lt;p&gt;While &lt;i&gt;blade snare&lt;/i&gt; is active, you may make melee attacks and cast spells as normal, though you may not make ranged weapon attacks; the magic field thwarts such attacks. You may not snare more than one limb or weapon in the field at a time.&lt;/p&gt;&lt;p&gt;If you already have an opponent's weapon or limb stuck in the field and you are hit by a second melee attack, you must choose which weapon or limb to snare. The other limb or weapon is unaffected by the spell.&lt;/p&gt;&lt;/h4&gt;&lt;/div&gt;</t>
  </si>
  <si>
    <t>Blessing Of The Watch</t>
  </si>
  <si>
    <t>This spell functions like bless,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t>
  </si>
  <si>
    <t>&lt;p&gt;This spell functions like &lt;i&gt;bless&lt;/i&gt;,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latter.&lt;/p&gt;</t>
  </si>
  <si>
    <t>&lt;link rel="stylesheet"href="PF.css"&gt;&lt;div class="heading"&gt;&lt;p class="alignleft"&gt;Blessing Of The Watch&lt;/p&gt;&lt;div style="clear: both;"&gt;&lt;/div&gt;&lt;/div&gt;&lt;div&gt;&lt;h5&gt;&lt;b&gt;School &lt;/b&gt;enchantment (compulsion) [mind-affecting]; &lt;b&gt;Level &lt;/b&gt;cleric/oracle 1, inquisitor 1, paladin 1 (Abadar)&lt;/h5&gt;&lt;/div&gt;&lt;hr/&gt;&lt;div&gt;&lt;h5&gt;&lt;b&gt;CASTING&lt;/b&gt;&lt;/h5&gt;&lt;/div&gt;&lt;hr/&gt;&lt;div&gt;&lt;h5&gt;&lt;b&gt;Casting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&lt;/b&gt;The caster and all allies within a 50-ft. burst, centered on the caster&lt;/h5&gt;&lt;h5&gt;&lt;b&gt;Duration &lt;/b&gt;1 hour/level&lt;/h5&gt;&lt;h5&gt;&lt;b&gt;Saving Throw &lt;/b&gt;none; &lt;b&gt;Spell Resistance &lt;/b&gt;yes (harmless)&lt;/h5&gt;&lt;/div&gt;&lt;hr/&gt;&lt;div&gt;&lt;h5&gt;&lt;b&gt;DESCRIPTION&lt;/b&gt;&lt;/h5&gt;&lt;/div&gt;&lt;hr/&gt;&lt;div&gt;&lt;h4&gt;&lt;p&gt;This spell functions like &lt;i&gt;bless&lt;/i&gt;,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latter.&lt;/p&gt;&lt;/h4&gt;&lt;/div&gt;</t>
  </si>
  <si>
    <t>Brittle Portal</t>
  </si>
  <si>
    <t>antipaladin 2, cleric/oracle 2, druid 2, inquisitor 2, sorcerer/wizard 2, witch 2</t>
  </si>
  <si>
    <t>5-ft.-radius spread</t>
  </si>
  <si>
    <t>This spell weakens the bonds of existence, and reduces the hardness of any nonmagical surface within its area of effect by 2 per caster level. The spell is centered on a flat surface chosen by the caster, and the hardness reduction effect persists for the duration of the spell.</t>
  </si>
  <si>
    <t>&lt;p&gt;This spell weakens the bonds of existence, and reduces the hardness of any nonmagical surface within its area of effect by 2 per caster level. The spell is centered on a flat surface chosen by the caster, and the hardness reduction effect persists for the duration of the spell.&lt;/p&gt;</t>
  </si>
  <si>
    <t>&lt;link rel="stylesheet"href="PF.css"&gt;&lt;div class="heading"&gt;&lt;p class="alignleft"&gt;Brittle Portal&lt;/p&gt;&lt;div style="clear: both;"&gt;&lt;/div&gt;&lt;/div&gt;&lt;div&gt;&lt;h5&gt;&lt;b&gt;School &lt;/b&gt;transmutation; &lt;b&gt;Level &lt;/b&gt;antipaladin 2, cleric/oracle 2, druid 2, inquisitor 2, sorcerer/wizard 2, witch 2 (Rovagug)&lt;/h5&gt;&lt;/div&gt;&lt;hr/&gt;&lt;div&gt;&lt;h5&gt;&lt;b&gt;CASTING&lt;/b&gt;&lt;/h5&gt;&lt;/div&gt;&lt;hr/&gt;&lt;div&gt;&lt;h5&gt;&lt;b&gt;Casting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spread&lt;/h5&gt;&lt;h5&gt;&lt;b&gt;Duration &lt;/b&gt;1 round/level&lt;/h5&gt;&lt;h5&gt;&lt;b&gt;Saving Throw &lt;/b&gt;Will negates (object); &lt;b&gt;Spell Resistance &lt;/b&gt;yes (object)&lt;/h5&gt;&lt;/div&gt;&lt;hr/&gt;&lt;div&gt;&lt;h5&gt;&lt;b&gt;DESCRIPTION&lt;/b&gt;&lt;/h5&gt;&lt;/div&gt;&lt;hr/&gt;&lt;div&gt;&lt;h4&gt;&lt;p&gt;This spell weakens the bonds of existence, and reduces the hardness of any nonmagical surface within its area of effect by 2 per caster level. The spell is centered on a flat surface chosen by the caster, and the hardness reduction effect persists for the duration of the spell.&lt;/p&gt;&lt;/h4&gt;&lt;/div&gt;</t>
  </si>
  <si>
    <t>Rovagug</t>
  </si>
  <si>
    <t>Burst Of Glory</t>
  </si>
  <si>
    <t>cleric/oracle 5, inquisitor 4, paladin 4</t>
  </si>
  <si>
    <t>10-ft.-radius burst, centered on you</t>
  </si>
  <si>
    <t>1 round/level (D; see text)</t>
  </si>
  <si>
    <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t>
  </si>
  <si>
    <t>&lt;p&gt;Allies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action.&lt;/p&gt;</t>
  </si>
  <si>
    <t>&lt;link rel="stylesheet"href="PF.css"&gt;&lt;div class="heading"&gt;&lt;p class="alignleft"&gt;Burst Of Glory&lt;/p&gt;&lt;div style="clear: both;"&gt;&lt;/div&gt;&lt;/div&gt;&lt;div&gt;&lt;h5&gt;&lt;b&gt;School &lt;/b&gt;enchantment (compulsion) [mind-affecting]; &lt;b&gt;Level &lt;/b&gt;cleric/oracle 5, inquisitor 4, paladin 4 (Iomedae)&lt;/h5&gt;&lt;/div&gt;&lt;hr/&gt;&lt;div&gt;&lt;h5&gt;&lt;b&gt;CASTING&lt;/b&gt;&lt;/h5&gt;&lt;/div&gt;&lt;hr/&gt;&lt;div&gt;&lt;h5&gt;&lt;b&gt;Casting Time &lt;/b&gt;1 standard action&lt;/h5&gt;&lt;h5&gt;&lt;b&gt;Components &lt;/b&gt;V, S, DF&lt;/h5&gt;&lt;/div&gt;&lt;hr/&gt;&lt;div&gt;&lt;h5&gt;&lt;b&gt;EFFECT&lt;/b&gt;&lt;/h5&gt;&lt;/div&gt;&lt;hr/&gt;&lt;div&gt;&lt;h5&gt;&lt;b&gt;Area &lt;/b&gt;10-ft.-radius burst, centered on you&lt;/h5&gt;&lt;h5&gt;&lt;b&gt;Duration &lt;/b&gt;1 round/level (D; see text)&lt;/h5&gt;&lt;h5&gt;&lt;b&gt;Saving Throw &lt;/b&gt;Will negates (harmless); &lt;b&gt;Spell Resistance &lt;/b&gt;yes (harmless)&lt;/h5&gt;&lt;/div&gt;&lt;hr/&gt;&lt;div&gt;&lt;h5&gt;&lt;b&gt;DESCRIPTION&lt;/b&gt;&lt;/h5&gt;&lt;/div&gt;&lt;hr/&gt;&lt;div&gt;&lt;h4&gt;&lt;p&gt;Allies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action.&lt;/p&gt;&lt;/h4&gt;&lt;/div&gt;</t>
  </si>
  <si>
    <t>Iomedae</t>
  </si>
  <si>
    <t>Caustic Blood</t>
  </si>
  <si>
    <t>alchemist 4, cleric/oracle 5, druid 4, magus 4, sorcerer/wizard 5, summoner 4</t>
  </si>
  <si>
    <t>V, S, M (vial of black adder venom)</t>
  </si>
  <si>
    <t>Reflex half or negates; see text</t>
  </si>
  <si>
    <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t>
  </si>
  <si>
    <t>&lt;p&gt;You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damage.&lt;/p&gt;</t>
  </si>
  <si>
    <t>&lt;link rel="stylesheet"href="PF.css"&gt;&lt;div class="heading"&gt;&lt;p class="alignleft"&gt;Caustic Blood&lt;/p&gt;&lt;div style="clear: both;"&gt;&lt;/div&gt;&lt;/div&gt;&lt;div&gt;&lt;h5&gt;&lt;b&gt;School &lt;/b&gt;transmutation [acid]; &lt;b&gt;Level &lt;/b&gt;alchemist 4, cleric/oracle 5, druid 4, magus 4, sorcerer/wizard 5, summoner 4&lt;/h5&gt;&lt;/div&gt;&lt;hr/&gt;&lt;div&gt;&lt;h5&gt;&lt;b&gt;CASTING&lt;/b&gt;&lt;/h5&gt;&lt;/div&gt;&lt;hr/&gt;&lt;div&gt;&lt;h5&gt;&lt;b&gt;Casting Time &lt;/b&gt;1 standard action&lt;/h5&gt;&lt;h5&gt;&lt;b&gt;Components &lt;/b&gt;V, S, M (vial of black adder venom)&lt;/h5&gt;&lt;/div&gt;&lt;hr/&gt;&lt;div&gt;&lt;h5&gt;&lt;b&gt;EFFECT&lt;/b&gt;&lt;/h5&gt;&lt;/div&gt;&lt;hr/&gt;&lt;div&gt;&lt;h5&gt;&lt;b&gt;Range &lt;/b&gt;personal&lt;/h5&gt;&lt;h5&gt;&lt;b&gt;Targets &lt;/b&gt;you&lt;/h5&gt;&lt;h5&gt;&lt;b&gt;Duration &lt;/b&gt;1 round/level&lt;/h5&gt;&lt;h5&gt;&lt;b&gt;Saving Throw &lt;/b&gt;Reflex half or negates; see text; &lt;b&gt;Spell Resistance &lt;/b&gt;no&lt;/h5&gt;&lt;/div&gt;&lt;hr/&gt;&lt;div&gt;&lt;h5&gt;&lt;b&gt;DESCRIPTION&lt;/b&gt;&lt;/h5&gt;&lt;/div&gt;&lt;hr/&gt;&lt;div&gt;&lt;h4&gt;&lt;p&gt;You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damage.&lt;/p&gt;&lt;/h4&gt;&lt;/div&gt;</t>
  </si>
  <si>
    <t>Channel The Gift</t>
  </si>
  <si>
    <t>bard 3, cleric/oracle 3, druid 3, ranger 3, sorcerer/wizard 3, witch 3</t>
  </si>
  <si>
    <t>ally spellcaster touched</t>
  </si>
  <si>
    <t>1 round or see text</t>
  </si>
  <si>
    <t>Will negates (harmless) or none</t>
  </si>
  <si>
    <t>yes (harmless) or no</t>
  </si>
  <si>
    <t>You channel your magical power to fuel the target's spellcasting.  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  If you target yourself with this spell, you may spontaneously cast any prepared spell of 3rd level or lower without expending its spell slot on your next turn (this aspect of the spell has no effect if you are a spontaneous caster). The spell that's cast after channel the gift cannot have a casting time longer than 1 full round.</t>
  </si>
  <si>
    <t>&lt;p&gt;You channel your magical power to fuel the target's spellcasting.&lt;/p&gt;&lt;p&gt;The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spell.&lt;/p&gt;&lt;p&gt;If you target yourself with this spell, you may spontaneously cast any prepared spell of 3rd level or lower without expending its spell slot on your next turn (this aspect of the spell has no effect if you are a spontaneous caster). The spell that's cast after &lt;i&gt;channel the gift&lt;/i&gt; cannot have a casting time longer than 1 full round.&lt;/p&gt;</t>
  </si>
  <si>
    <t>&lt;link rel="stylesheet"href="PF.css"&gt;&lt;div class="heading"&gt;&lt;p class="alignleft"&gt;Channel The Gift&lt;/p&gt;&lt;div style="clear: both;"&gt;&lt;/div&gt;&lt;/div&gt;&lt;div&gt;&lt;h5&gt;&lt;b&gt;School &lt;/b&gt;evocation; &lt;b&gt;Level &lt;/b&gt;bard 3, cleric/oracle 3, druid 3, ranger 3, sorcerer/wizard 3, witch 3 (Nethys)&lt;/h5&gt;&lt;/div&gt;&lt;hr/&gt;&lt;div&gt;&lt;h5&gt;&lt;b&gt;CASTING&lt;/b&gt;&lt;/h5&gt;&lt;/div&gt;&lt;hr/&gt;&lt;div&gt;&lt;h5&gt;&lt;b&gt;Casting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&lt;/b&gt;ally spellcaster touched&lt;/h5&gt;&lt;h5&gt;&lt;b&gt;Duration &lt;/b&gt;1 round or see text&lt;/h5&gt;&lt;h5&gt;&lt;b&gt;Saving Throw &lt;/b&gt;Will negates (harmless) or none; &lt;b&gt;Spell Resistance &lt;/b&gt;yes (harmless) or no&lt;/h5&gt;&lt;/div&gt;&lt;hr/&gt;&lt;div&gt;&lt;h5&gt;&lt;b&gt;DESCRIPTION&lt;/b&gt;&lt;/h5&gt;&lt;/div&gt;&lt;hr/&gt;&lt;div&gt;&lt;h4&gt;&lt;p&gt;You channel your magical power to fuel the target's spellcasting.&lt;/p&gt;&lt;p&gt;The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spell.&lt;/p&gt;&lt;p&gt;If you target yourself with this spell, you may spontaneously cast any prepared spell of 3rd level or lower without expending its spell slot on your next turn (this aspect of the spell has no effect if you are a spontaneous caster). The spell that's cast after &lt;i&gt;channel the gift&lt;/i&gt; cannot have a casting time longer than 1 full round.&lt;/p&gt;&lt;/h4&gt;&lt;/div&gt;</t>
  </si>
  <si>
    <t>Nethys</t>
  </si>
  <si>
    <t>Channel Vigor</t>
  </si>
  <si>
    <t>alchemist 3, cleric/oracle 3, inquisitor 3, magus 3</t>
  </si>
  <si>
    <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channel vigor spell at a time.  Limbs: You gain the benefits of a haste spell.  Mind: You gain a +4 competence bonus on Knowledge and Perception skill checks and on ranged attack rolls.  Spirit: You gain a +6 competence bonus on Will saving throws and Bluff and Intimidate checks.  Torso: You gain a +6 competence bonus on Fortitude saving throws and concentration checks.</t>
  </si>
  <si>
    <t>&lt;p&gt;You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&lt;i&gt;channel vigor&lt;/i&gt; spell at a time.&lt;/p&gt;&lt;p&gt;&lt;i&gt;Limbs&lt;/i&gt;: You gain the benefits of a &lt;i&gt;haste&lt;/i&gt; spell.&lt;/p&gt;&lt;p&gt;&lt;i&gt;Mind&lt;/i&gt;: You gain a +4 competence bonus on Knowledge and Perception skill checks and on ranged attack rolls.&lt;/p&gt;&lt;p&gt;&lt;i&gt;Spirit&lt;/i&gt;: You gain a +6 competence bonus on Will saving throws and Bluff and Intimidate checks.&lt;/p&gt;&lt;p&gt;&lt;i&gt;Torso&lt;/i&gt;: You gain a +6 competence bonus on Fortitude saving throws and concentration checks.&lt;/p&gt;</t>
  </si>
  <si>
    <t>&lt;link rel="stylesheet"href="PF.css"&gt;&lt;div class="heading"&gt;&lt;p class="alignleft"&gt;Channel Vigor&lt;/p&gt;&lt;div style="clear: both;"&gt;&lt;/div&gt;&lt;/div&gt;&lt;div&gt;&lt;h5&gt;&lt;b&gt;School &lt;/b&gt;transmutation; &lt;b&gt;Level &lt;/b&gt;alchemist 3, cleric/oracle 3, inquisitor 3, magus 3 (Irori)&lt;/h5&gt;&lt;/div&gt;&lt;hr/&gt;&lt;div&gt;&lt;h5&gt;&lt;b&gt;CASTING&lt;/b&gt;&lt;/h5&gt;&lt;/div&gt;&lt;hr/&gt;&lt;div&gt;&lt;h5&gt;&lt;b&gt;Casting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&lt;i&gt;channel vigor&lt;/i&gt; spell at a time.&lt;/p&gt;&lt;p&gt;&lt;i&gt;Limbs&lt;/i&gt;: You gain the benefits of a &lt;i&gt;haste&lt;/i&gt; spell.&lt;/p&gt;&lt;p&gt;&lt;i&gt;Mind&lt;/i&gt;: You gain a +4 competence bonus on Knowledge and Perception skill checks and on ranged attack rolls.&lt;/p&gt;&lt;p&gt;&lt;i&gt;Spirit&lt;/i&gt;: You gain a +6 competence bonus on Will saving throws and Bluff and Intimidate checks.&lt;/p&gt;&lt;p&gt;&lt;i&gt;Torso&lt;/i&gt;: You gain a +6 competence bonus on Fortitude saving throws and concentration checks.&lt;/p&gt;&lt;/h4&gt;&lt;/div&gt;</t>
  </si>
  <si>
    <t>Dead Eye's Arrow</t>
  </si>
  <si>
    <t>cleric/oracle 2, inquisitor 1, druid 1, magus 1, paladin 1, ranger 1</t>
  </si>
  <si>
    <t>V, S, M (one arrow)</t>
  </si>
  <si>
    <t>Medium (100 ft. + 10 ft./level) or see text</t>
  </si>
  <si>
    <t>arrow of electricity</t>
  </si>
  <si>
    <t>instantaneous or 1 round (see text)</t>
  </si>
  <si>
    <t>You create an arrow made of crackling electricity, which you may use for one of two effects.  Attack: You may throw the arrow up to Medium range or fire it from a bow up to the bow's maximum range. Either use is a ranged touch attack. The arrow deals 1d6 points of electricity damage + 1 point per level (maximum +5).  Beacon: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t>
  </si>
  <si>
    <t>&lt;p&gt;You create an arrow made of crackling electricity, which you may use for one of two effects.&lt;/p&gt;&lt;p&gt;&lt;i&gt;Attack&lt;/i&gt;: You may throw the arrow up to Medium range or fire it from a bow up to the bow's maximum range. Either use is a ranged touch attack. The arrow deals 1d6 points of electricity damage + 1 point per level (maximum +5).&lt;/p&gt;&lt;p&gt;&lt;i&gt;Beacon&lt;/i&gt;: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creatures.&lt;/p&gt;</t>
  </si>
  <si>
    <t>&lt;link rel="stylesheet"href="PF.css"&gt;&lt;div class="heading"&gt;&lt;p class="alignleft"&gt;Dead Eye's Arrow&lt;/p&gt;&lt;div style="clear: both;"&gt;&lt;/div&gt;&lt;/div&gt;&lt;div&gt;&lt;h5&gt;&lt;b&gt;School &lt;/b&gt;evocation [electricity]; &lt;b&gt;Level &lt;/b&gt;cleric/oracle 2, inquisitor 1, druid 1, magus 1, paladin 1, ranger 1 (Erastil)&lt;/h5&gt;&lt;/div&gt;&lt;hr/&gt;&lt;div&gt;&lt;h5&gt;&lt;b&gt;CASTING&lt;/b&gt;&lt;/h5&gt;&lt;/div&gt;&lt;hr/&gt;&lt;div&gt;&lt;h5&gt;&lt;b&gt;Casting Time &lt;/b&gt;1 standard action&lt;/h5&gt;&lt;h5&gt;&lt;b&gt;Components &lt;/b&gt;V, S, M (one arrow)&lt;/h5&gt;&lt;/div&gt;&lt;hr/&gt;&lt;div&gt;&lt;h5&gt;&lt;b&gt;EFFECT&lt;/b&gt;&lt;/h5&gt;&lt;/div&gt;&lt;hr/&gt;&lt;div&gt;&lt;h5&gt;&lt;b&gt;Range &lt;/b&gt;Medium (100 ft. + 10 ft./level) or see text&lt;/h5&gt;&lt;h5&gt;&lt;b&gt;Effect &lt;/b&gt;arrow of electricity&lt;/h5&gt;&lt;h5&gt;&lt;b&gt;Duration &lt;/b&gt;instantaneous or 1 round (see text)&lt;/h5&gt;&lt;h5&gt;&lt;b&gt;Saving Throw &lt;/b&gt;none; &lt;b&gt;Spell Resistance &lt;/b&gt;yes&lt;/h5&gt;&lt;/div&gt;&lt;hr/&gt;&lt;div&gt;&lt;h5&gt;&lt;b&gt;DESCRIPTION&lt;/b&gt;&lt;/h5&gt;&lt;/div&gt;&lt;hr/&gt;&lt;div&gt;&lt;h4&gt;&lt;p&gt;You create an arrow made of crackling electricity, which you may use for one of two effects.&lt;/p&gt;&lt;p&gt;&lt;i&gt;Attack&lt;/i&gt;: You may throw the arrow up to Medium range or fire it from a bow up to the bow's maximum range. Either use is a ranged touch attack. The arrow deals 1d6 points of electricity damage + 1 point per level (maximum +5).&lt;/p&gt;&lt;p&gt;&lt;i&gt;Beacon&lt;/i&gt;: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creatures.&lt;/p&gt;&lt;/h4&gt;&lt;/div&gt;</t>
  </si>
  <si>
    <t>Erastil</t>
  </si>
  <si>
    <t>Defending Bone</t>
  </si>
  <si>
    <t>cleric/oracle 2, inquisitor 2, magus 2, sorcerer/wizard 2, witch 2</t>
  </si>
  <si>
    <t>V, S, F (a Medium creature's skull or femur), DF</t>
  </si>
  <si>
    <t>You animate a bone with necromantic energy, giving it the power to float near your body and interpose itself against physical attacks. This gives you damage reduction 5/bludgeoning.  Once the bone has prevented a total of 5 points of damage per caster level (maximum 50 points), it is destroyed and the spell is discharged. This spell has no effect if you have damage reduction from another source.</t>
  </si>
  <si>
    <t>&lt;p&gt;You animate a bone with necromantic energy, giving it the power to float near your body and interpose itself against physical attacks. This gives you damage reduction 5/bludgeoning.&lt;/p&gt;&lt;p&gt;Once the bone has prevented a total of 5 points of damage per caster level (maximum 50 points), it is destroyed and the spell is discharged. This spell has no effect if you have damage reduction from another source.&lt;/p&gt;</t>
  </si>
  <si>
    <t>&lt;link rel="stylesheet"href="PF.css"&gt;&lt;div class="heading"&gt;&lt;p class="alignleft"&gt;Defending Bone&lt;/p&gt;&lt;div style="clear: both;"&gt;&lt;/div&gt;&lt;/div&gt;&lt;div&gt;&lt;h5&gt;&lt;b&gt;School &lt;/b&gt;necromancy; &lt;b&gt;Level &lt;/b&gt;cleric/oracle 2, inquisitor 2, magus 2, sorcerer/wizard 2, witch 2 (Pharasma)&lt;/h5&gt;&lt;/div&gt;&lt;hr/&gt;&lt;div&gt;&lt;h5&gt;&lt;b&gt;CASTING&lt;/b&gt;&lt;/h5&gt;&lt;/div&gt;&lt;hr/&gt;&lt;div&gt;&lt;h5&gt;&lt;b&gt;Casting Time &lt;/b&gt;1 standard action&lt;/h5&gt;&lt;h5&gt;&lt;b&gt;Components &lt;/b&gt;V, S, F (a Medium creature's skull or femur), DF&lt;/h5&gt;&lt;/div&gt;&lt;hr/&gt;&lt;div&gt;&lt;h5&gt;&lt;b&gt;EFFECT&lt;/b&gt;&lt;/h5&gt;&lt;/div&gt;&lt;hr/&gt;&lt;div&gt;&lt;h5&gt;&lt;b&gt;Range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discharged&lt;/h5&gt;&lt;/div&gt;&lt;hr/&gt;&lt;div&gt;&lt;h5&gt;&lt;b&gt;DESCRIPTION&lt;/b&gt;&lt;/h5&gt;&lt;/div&gt;&lt;hr/&gt;&lt;div&gt;&lt;h4&gt;&lt;p&gt;You animate a bone with necromantic energy, giving it the power to float near your body and interpose itself against physical attacks. This gives you damage reduction 5/bludgeoning.&lt;/p&gt;&lt;p&gt;Once the bone has prevented a total of 5 points of damage per caster level (maximum 50 points), it is destroyed and the spell is discharged. This spell has no effect if you have damage reduction from another source.&lt;/p&gt;&lt;/h4&gt;&lt;/div&gt;</t>
  </si>
  <si>
    <t>Pharasma</t>
  </si>
  <si>
    <t>Dream Feast</t>
  </si>
  <si>
    <t>cleric/oracle 1, druid 1, ranger 1</t>
  </si>
  <si>
    <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  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t>
  </si>
  <si>
    <t>&lt;p&gt;The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effects.&lt;/p&gt;&lt;p&gt;If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morning).&lt;/p&gt;</t>
  </si>
  <si>
    <t>&lt;link rel="stylesheet"href="PF.css"&gt;&lt;div class="heading"&gt;&lt;p class="alignleft"&gt;Dream Feast&lt;/p&gt;&lt;div style="clear: both;"&gt;&lt;/div&gt;&lt;/div&gt;&lt;div&gt;&lt;h5&gt;&lt;b&gt;School &lt;/b&gt;conjuration (creation); &lt;b&gt;Level &lt;/b&gt;cleric/oracle 1, druid 1, ranger 1 (Desna)&lt;/h5&gt;&lt;/div&gt;&lt;hr/&gt;&lt;div&gt;&lt;h5&gt;&lt;b&gt;CASTING&lt;/b&gt;&lt;/h5&gt;&lt;/div&gt;&lt;hr/&gt;&lt;div&gt;&lt;h5&gt;&lt;b&gt;Casting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effects.&lt;/p&gt;&lt;p&gt;If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morning).&lt;/p&gt;&lt;/h4&gt;&lt;/div&gt;</t>
  </si>
  <si>
    <t>Early Judgment</t>
  </si>
  <si>
    <t>cleric/oracle 2, inquisitor 2, witch 1</t>
  </si>
  <si>
    <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t>
  </si>
  <si>
    <t>&lt;p&gt;You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save.&lt;/p&gt;</t>
  </si>
  <si>
    <t>&lt;link rel="stylesheet"href="PF.css"&gt;&lt;div class="heading"&gt;&lt;p class="alignleft"&gt;Early Judgment&lt;/p&gt;&lt;div style="clear: both;"&gt;&lt;/div&gt;&lt;/div&gt;&lt;div&gt;&lt;h5&gt;&lt;b&gt;School &lt;/b&gt;divination; &lt;b&gt;Level &lt;/b&gt;cleric/oracle 2, inquisitor 2, witch 1 (Pharasma)&lt;/h5&gt;&lt;/div&gt;&lt;hr/&gt;&lt;div&gt;&lt;h5&gt;&lt;b&gt;CASTING&lt;/b&gt;&lt;/h5&gt;&lt;/div&gt;&lt;hr/&gt;&lt;div&gt;&lt;h5&gt;&lt;b&gt;Casting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humanoid creature&lt;/h5&gt;&lt;h5&gt;&lt;b&gt;Duration &lt;/b&gt;1d4 rounds&lt;/h5&gt;&lt;h5&gt;&lt;b&gt;Saving Throw &lt;/b&gt;Will negates; &lt;b&gt;Spell Resistance &lt;/b&gt;yes&lt;/h5&gt;&lt;/div&gt;&lt;hr/&gt;&lt;div&gt;&lt;h5&gt;&lt;b&gt;DESCRIPTION&lt;/b&gt;&lt;/h5&gt;&lt;/div&gt;&lt;hr/&gt;&lt;div&gt;&lt;h4&gt;&lt;p&gt;You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save.&lt;/p&gt;&lt;/h4&gt;&lt;/div&gt;</t>
  </si>
  <si>
    <t>Enhance Water</t>
  </si>
  <si>
    <t>bard 1, cleric/oracle 1, paladin 1</t>
  </si>
  <si>
    <t>1 pint of water/level</t>
  </si>
  <si>
    <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  This spell does not work on unholy water, potions, or other liquids with magical power.</t>
  </si>
  <si>
    <t>&lt;p&gt;This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contaminants.&lt;/p&gt;&lt;p&gt;This spell does not work on unholy water, potions, or other liquids with magical power.&lt;/p&gt;</t>
  </si>
  <si>
    <t>&lt;link rel="stylesheet"href="PF.css"&gt;&lt;div class="heading"&gt;&lt;p class="alignleft"&gt;Enhance Water&lt;/p&gt;&lt;div style="clear: both;"&gt;&lt;/div&gt;&lt;/div&gt;&lt;div&gt;&lt;h5&gt;&lt;b&gt;School &lt;/b&gt;transmutation; &lt;b&gt;Level &lt;/b&gt;bard 1, cleric/oracle 1, paladin 1 (Cayden Cailean)&lt;/h5&gt;&lt;/div&gt;&lt;hr/&gt;&lt;div&gt;&lt;h5&gt;&lt;b&gt;CASTING&lt;/b&gt;&lt;/h5&gt;&lt;/div&gt;&lt;hr/&gt;&lt;div&gt;&lt;h5&gt;&lt;b&gt;Casting Time &lt;/b&gt;1 round&lt;/h5&gt;&lt;h5&gt;&lt;b&gt;Components &lt;/b&gt;V, S&lt;/h5&gt;&lt;/div&gt;&lt;hr/&gt;&lt;div&gt;&lt;h5&gt;&lt;b&gt;EFFECT&lt;/b&gt;&lt;/h5&gt;&lt;/div&gt;&lt;hr/&gt;&lt;div&gt;&lt;h5&gt;&lt;b&gt;Range &lt;/b&gt;touch&lt;/h5&gt;&lt;h5&gt;&lt;b&gt;Targets &lt;/b&gt;1 pint of water/level&lt;/h5&gt;&lt;h5&gt;&lt;b&gt;Duration &lt;/b&gt;instantaneous&lt;/h5&gt;&lt;h5&gt;&lt;b&gt;Saving Throw &lt;/b&gt;Fortitude negates (harmless, object); &lt;b&gt;Spell Resistance &lt;/b&gt;yes (harmless, object)&lt;/h5&gt;&lt;/div&gt;&lt;hr/&gt;&lt;div&gt;&lt;h5&gt;&lt;b&gt;DESCRIPTION&lt;/b&gt;&lt;/h5&gt;&lt;/div&gt;&lt;hr/&gt;&lt;div&gt;&lt;h4&gt;&lt;p&gt;This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contaminants.&lt;/p&gt;&lt;p&gt;This spell does not work on unholy water, potions, or other liquids with magical power.&lt;/p&gt;&lt;/h4&gt;&lt;/div&gt;</t>
  </si>
  <si>
    <t>Cayden Cailean</t>
  </si>
  <si>
    <t>Face Of The Devourer</t>
  </si>
  <si>
    <t>adept 1, antipaladin 1, cleric/oracle 1, druid 1, sorcerer/wizard 1</t>
  </si>
  <si>
    <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  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t>
  </si>
  <si>
    <t>&lt;p&gt;You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checks.&lt;/p&gt;&lt;p&gt;If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attack.&lt;/p&gt;</t>
  </si>
  <si>
    <t>&lt;link rel="stylesheet"href="PF.css"&gt;&lt;div class="heading"&gt;&lt;p class="alignleft"&gt;Face Of The Devourer&lt;/p&gt;&lt;div style="clear: both;"&gt;&lt;/div&gt;&lt;/div&gt;&lt;div&gt;&lt;h5&gt;&lt;b&gt;School &lt;/b&gt;transmutation (polymorph); &lt;b&gt;Level &lt;/b&gt;adept 1, antipaladin 1, cleric/oracle 1, druid 1, sorcerer/wizard 1 (Rovagug)&lt;/h5&gt;&lt;/div&gt;&lt;hr/&gt;&lt;div&gt;&lt;h5&gt;&lt;b&gt;CASTING&lt;/b&gt;&lt;/h5&gt;&lt;/div&gt;&lt;hr/&gt;&lt;div&gt;&lt;h5&gt;&lt;b&gt;Casting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checks.&lt;/p&gt;&lt;p&gt;If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attack.&lt;/p&gt;&lt;/h4&gt;&lt;/div&gt;</t>
  </si>
  <si>
    <t>Fairness</t>
  </si>
  <si>
    <t>cleric/oracle 1, inquisitor 2, paladin 2</t>
  </si>
  <si>
    <t>one humanoid creature per level</t>
  </si>
  <si>
    <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t>
  </si>
  <si>
    <t>&lt;p&gt;Humanoid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apparent.&lt;/p&gt;</t>
  </si>
  <si>
    <t>&lt;link rel="stylesheet"href="PF.css"&gt;&lt;div class="heading"&gt;&lt;p class="alignleft"&gt;Fairness&lt;/p&gt;&lt;div style="clear: both;"&gt;&lt;/div&gt;&lt;/div&gt;&lt;div&gt;&lt;h5&gt;&lt;b&gt;School &lt;/b&gt;enchantment (compulsion) [mind-affecting]; &lt;b&gt;Level &lt;/b&gt;cleric/oracle 1, inquisitor 2, paladin 2 (Abadar)&lt;/h5&gt;&lt;/div&gt;&lt;hr/&gt;&lt;div&gt;&lt;h5&gt;&lt;b&gt;CASTING&lt;/b&gt;&lt;/h5&gt;&lt;/div&gt;&lt;hr/&gt;&lt;div&gt;&lt;h5&gt;&lt;b&gt;Casting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levels)&lt;/h5&gt;&lt;h5&gt;&lt;b&gt;Targets &lt;/b&gt;one humanoid creature per level&lt;/h5&gt;&lt;h5&gt;&lt;b&gt;Duration &lt;/b&gt;1 minute/level&lt;/h5&gt;&lt;h5&gt;&lt;b&gt;Saving Throw &lt;/b&gt;Will negates; &lt;b&gt;Spell Resistance &lt;/b&gt;yes&lt;/h5&gt;&lt;/div&gt;&lt;hr/&gt;&lt;div&gt;&lt;h5&gt;&lt;b&gt;DESCRIPTION&lt;/b&gt;&lt;/h5&gt;&lt;/div&gt;&lt;hr/&gt;&lt;div&gt;&lt;h4&gt;&lt;p&gt;Humanoid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apparent.&lt;/p&gt;&lt;/h4&gt;&lt;/div&gt;</t>
  </si>
  <si>
    <t>Fallback Strategy</t>
  </si>
  <si>
    <t>cleric/oracle 1, inquisitor 1, paladin 1, magus 1</t>
  </si>
  <si>
    <t>1 minute/level or until discharged; see text</t>
  </si>
  <si>
    <t>While this spell is active, you may reroll one attack roll, combat maneuver check, or skill check before the result of the roll or check is known. You must take the result of the reroll, even if it's worse than the original roll. Once the reroll is used, the spell ends.  You can have no more than one fallback strategy active on you at the same time.</t>
  </si>
  <si>
    <t>&lt;p&gt;While this spell is active, you may reroll one attack roll, combat maneuver check, or skill check before the result of the roll or check is known. You must take the result of the reroll, even if it's worse than the original roll. Once the reroll is used, the spell ends.&lt;/p&gt;&lt;p&gt;You can have no more than one &lt;i&gt;fallback strategy&lt;/i&gt; active on you at the same time.&lt;/p&gt;</t>
  </si>
  <si>
    <t>&lt;link rel="stylesheet"href="PF.css"&gt;&lt;div class="heading"&gt;&lt;p class="alignleft"&gt;Fallback Strategy&lt;/p&gt;&lt;div style="clear: both;"&gt;&lt;/div&gt;&lt;/div&gt;&lt;div&gt;&lt;h5&gt;&lt;b&gt;School &lt;/b&gt;abjuration; &lt;b&gt;Level &lt;/b&gt;cleric/oracle 1, inquisitor 1, paladin 1, magus 1 (Torag)&lt;/h5&gt;&lt;/div&gt;&lt;hr/&gt;&lt;div&gt;&lt;h5&gt;&lt;b&gt;CASTING&lt;/b&gt;&lt;/h5&gt;&lt;/div&gt;&lt;hr/&gt;&lt;div&gt;&lt;h5&gt;&lt;b&gt;Casting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text&lt;/h5&gt;&lt;/div&gt;&lt;hr/&gt;&lt;div&gt;&lt;h5&gt;&lt;b&gt;DESCRIPTION&lt;/b&gt;&lt;/h5&gt;&lt;/div&gt;&lt;hr/&gt;&lt;div&gt;&lt;h4&gt;&lt;p&gt;While this spell is active, you may reroll one attack roll, combat maneuver check, or skill check before the result of the roll or check is known. You must take the result of the reroll, even if it's worse than the original roll. Once the reroll is used, the spell ends.&lt;/p&gt;&lt;p&gt;You can have no more than one &lt;i&gt;fallback strategy&lt;/i&gt; active on you at the same time.&lt;/p&gt;&lt;/h4&gt;&lt;/div&gt;</t>
  </si>
  <si>
    <t>False Alibi</t>
  </si>
  <si>
    <t>bard 3, cleric/oracle 3, inquisitor 3</t>
  </si>
  <si>
    <t>V, S, M (emerald dust worth 100 gp)</t>
  </si>
  <si>
    <t>This spell functions similarly to modify memory,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false alibi affects a creature only until the specified condition has been triggered; once a condition has been triggered and the target's memory altered, that condition no longer triggers this spell unless the victim is subject to another casting of false alibi that specifies the same trigger.</t>
  </si>
  <si>
    <t>&lt;p&gt;This spell functions similarly to &lt;i&gt;modify memory&lt;/i&gt;,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&lt;i&gt;false alibi&lt;/i&gt; affects a creature only until the specified condition has been triggered; once a condition has been triggered and the target's memory altered, that condition no longer triggers this spell unless the victim is subject to another casting of &lt;i&gt;false alibi&lt;/i&gt; that specifies the same trigger.&lt;/p&gt;</t>
  </si>
  <si>
    <t>&lt;link rel="stylesheet"href="PF.css"&gt;&lt;div class="heading"&gt;&lt;p class="alignleft"&gt;False Alibi&lt;/p&gt;&lt;div style="clear: both;"&gt;&lt;/div&gt;&lt;/div&gt;&lt;div&gt;&lt;h5&gt;&lt;b&gt;School &lt;/b&gt;enchantment (compulsion) [mind-affecting]; &lt;b&gt;Level &lt;/b&gt;bard 3, cleric/oracle 3, inquisitor 3 (Norgorber)&lt;/h5&gt;&lt;/div&gt;&lt;hr/&gt;&lt;div&gt;&lt;h5&gt;&lt;b&gt;CASTING&lt;/b&gt;&lt;/h5&gt;&lt;/div&gt;&lt;hr/&gt;&lt;div&gt;&lt;h5&gt;&lt;b&gt;Casting Time &lt;/b&gt;1 round&lt;/h5&gt;&lt;h5&gt;&lt;b&gt;Components &lt;/b&gt;V, S, M (emerald dust worth 100 gp)&lt;/h5&gt;&lt;/div&gt;&lt;hr/&gt;&lt;div&gt;&lt;h5&gt;&lt;b&gt;EFFECT&lt;/b&gt;&lt;/h5&gt;&lt;/div&gt;&lt;hr/&gt;&lt;div&gt;&lt;h5&gt;&lt;b&gt;Range &lt;/b&gt;close (25 ft. + 5 ft./2 levels)&lt;/h5&gt;&lt;h5&gt;&lt;b&gt;Targets &lt;/b&gt;one living creature&lt;/h5&gt;&lt;h5&gt;&lt;b&gt;Duration &lt;/b&gt;permanent; see text&lt;/h5&gt;&lt;h5&gt;&lt;b&gt;Saving Throw &lt;/b&gt;Will negates; &lt;b&gt;Spell Resistance &lt;/b&gt;yes&lt;/h5&gt;&lt;/div&gt;&lt;hr/&gt;&lt;div&gt;&lt;h5&gt;&lt;b&gt;DESCRIPTION&lt;/b&gt;&lt;/h5&gt;&lt;/div&gt;&lt;hr/&gt;&lt;div&gt;&lt;h4&gt;&lt;p&gt;This spell functions similarly to &lt;i&gt;modify memory&lt;/i&gt;,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&lt;i&gt;false alibi&lt;/i&gt; affects a creature only until the specified condition has been triggered; once a condition has been triggered and the target's memory altered, that condition no longer triggers this spell unless the victim is subject to another casting of &lt;i&gt;false alibi&lt;/i&gt; that specifies the same trigger.&lt;/p&gt;&lt;/h4&gt;&lt;/div&gt;</t>
  </si>
  <si>
    <t>Norgorber</t>
  </si>
  <si>
    <t>Firebelly</t>
  </si>
  <si>
    <t>alchemist 1, cleric/oracle 1, druid 1, paladin 1</t>
  </si>
  <si>
    <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t>
  </si>
  <si>
    <t>&lt;p&gt;A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minute.&lt;/p&gt;</t>
  </si>
  <si>
    <t>&lt;link rel="stylesheet"href="PF.css"&gt;&lt;div class="heading"&gt;&lt;p class="alignleft"&gt;Firebelly&lt;/p&gt;&lt;div style="clear: both;"&gt;&lt;/div&gt;&lt;/div&gt;&lt;div&gt;&lt;h5&gt;&lt;b&gt;School &lt;/b&gt;abjuration; &lt;b&gt;Level &lt;/b&gt;alchemist 1, cleric/oracle 1, druid 1, paladin 1 (Torag)&lt;/h5&gt;&lt;/div&gt;&lt;hr/&gt;&lt;div&gt;&lt;h5&gt;&lt;b&gt;CASTING&lt;/b&gt;&lt;/h5&gt;&lt;/div&gt;&lt;hr/&gt;&lt;div&gt;&lt;h5&gt;&lt;b&gt;Casting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minute/level&lt;/h5&gt;&lt;h5&gt;&lt;b&gt;Saving Throw &lt;/b&gt;Reflex half; see text; &lt;b&gt;Spell Resistance &lt;/b&gt;yes; see text&lt;/h5&gt;&lt;/div&gt;&lt;hr/&gt;&lt;div&gt;&lt;h5&gt;&lt;b&gt;DESCRIPTION&lt;/b&gt;&lt;/h5&gt;&lt;/div&gt;&lt;hr/&gt;&lt;div&gt;&lt;h4&gt;&lt;p&gt;A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minute.&lt;/p&gt;&lt;/h4&gt;&lt;/div&gt;</t>
  </si>
  <si>
    <t>Fractions Of Heal And Harm</t>
  </si>
  <si>
    <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fireball that would normally deal 40 hit points of damage, the fireball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t>
  </si>
  <si>
    <t>&lt;p&gt;This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&lt;i&gt;fireball&lt;/i&gt; that would normally deal 40 hit points of damage, the &lt;i&gt;fireball&lt;/i&gt;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spells.&lt;/p&gt;</t>
  </si>
  <si>
    <t>&lt;link rel="stylesheet"href="PF.css"&gt;&lt;div class="heading"&gt;&lt;p class="alignleft"&gt;Fractions Of Heal And Harm&lt;/p&gt;&lt;div style="clear: both;"&gt;&lt;/div&gt;&lt;/div&gt;&lt;div&gt;&lt;h5&gt;&lt;b&gt;School &lt;/b&gt;transmutation; &lt;b&gt;Level &lt;/b&gt;bard 3, cleric/oracle 3, sorcerer/wizard 3 (Nethys)&lt;/h5&gt;&lt;/div&gt;&lt;hr/&gt;&lt;div&gt;&lt;h5&gt;&lt;b&gt;CASTING&lt;/b&gt;&lt;/h5&gt;&lt;/div&gt;&lt;hr/&gt;&lt;div&gt;&lt;h5&gt;&lt;b&gt;Casting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&lt;i&gt;fireball&lt;/i&gt; that would normally deal 40 hit points of damage, the &lt;i&gt;fireball&lt;/i&gt;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spells.&lt;/p&gt;&lt;/h4&gt;&lt;/div&gt;</t>
  </si>
  <si>
    <t>Freedom's Toast</t>
  </si>
  <si>
    <t>bard 5, cleric/oracle 5, inquisitor 5, sorcerer/wizard 4</t>
  </si>
  <si>
    <t>V, S, M/DF (a small amount of ale in a flagon)</t>
  </si>
  <si>
    <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t>
  </si>
  <si>
    <t>&lt;p&gt;When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level).&lt;/p&gt;</t>
  </si>
  <si>
    <t>&lt;link rel="stylesheet"href="PF.css"&gt;&lt;div class="heading"&gt;&lt;p class="alignleft"&gt;Freedom's Toast&lt;/p&gt;&lt;div style="clear: both;"&gt;&lt;/div&gt;&lt;/div&gt;&lt;div&gt;&lt;h5&gt;&lt;b&gt;School &lt;/b&gt;conjuration (teleportation); &lt;b&gt;Level &lt;/b&gt;bard 5, cleric/oracle 5, inquisitor 5, sorcerer/wizard 4 (Cayden Cailean)&lt;/h5&gt;&lt;/div&gt;&lt;hr/&gt;&lt;div&gt;&lt;h5&gt;&lt;b&gt;CASTING&lt;/b&gt;&lt;/h5&gt;&lt;/div&gt;&lt;hr/&gt;&lt;div&gt;&lt;h5&gt;&lt;b&gt;Casting Time &lt;/b&gt;1 standard action&lt;/h5&gt;&lt;h5&gt;&lt;b&gt;Components &lt;/b&gt;V, S, M/DF (a small amount of ale in a flagon)&lt;/h5&gt;&lt;/div&gt;&lt;hr/&gt;&lt;div&gt;&lt;h5&gt;&lt;b&gt;EFFECT&lt;/b&gt;&lt;/h5&gt;&lt;/div&gt;&lt;hr/&gt;&lt;div&gt;&lt;h5&gt;&lt;b&gt;Range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level).&lt;/p&gt;&lt;/h4&gt;&lt;/div&gt;</t>
  </si>
  <si>
    <t>Ghoul Hunger</t>
  </si>
  <si>
    <t>evil, mind-affecting</t>
  </si>
  <si>
    <t>antipaladin 2, cleric/oracle 2, sorcerer/wizard 2, witch 2</t>
  </si>
  <si>
    <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t>
  </si>
  <si>
    <t>&lt;p&gt;You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effect.&lt;/p&gt;</t>
  </si>
  <si>
    <t>&lt;link rel="stylesheet"href="PF.css"&gt;&lt;div class="heading"&gt;&lt;p class="alignleft"&gt;Ghoul Hunger&lt;/p&gt;&lt;div style="clear: both;"&gt;&lt;/div&gt;&lt;/div&gt;&lt;div&gt;&lt;h5&gt;&lt;b&gt;School &lt;/b&gt;necromancy [evil, mind-affecting]; &lt;b&gt;Level &lt;/b&gt;antipaladin 2, cleric/oracle 2, sorcerer/wizard 2, witch 2 (Urgathoa)&lt;/h5&gt;&lt;/div&gt;&lt;hr/&gt;&lt;div&gt;&lt;h5&gt;&lt;b&gt;CASTING&lt;/b&gt;&lt;/h5&gt;&lt;/div&gt;&lt;hr/&gt;&lt;div&gt;&lt;h5&gt;&lt;b&gt;Casting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 creature&lt;/h5&gt;&lt;h5&gt;&lt;b&gt;Duration &lt;/b&gt;1 round/level; see text&lt;/h5&gt;&lt;h5&gt;&lt;b&gt;Saving Throw &lt;/b&gt;Will negates; see text; &lt;b&gt;Spell Resistance &lt;/b&gt;yes&lt;/h5&gt;&lt;/div&gt;&lt;hr/&gt;&lt;div&gt;&lt;h5&gt;&lt;b&gt;DESCRIPTION&lt;/b&gt;&lt;/h5&gt;&lt;/div&gt;&lt;hr/&gt;&lt;div&gt;&lt;h4&gt;&lt;p&gt;You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effect.&lt;/p&gt;&lt;/h4&gt;&lt;/div&gt;</t>
  </si>
  <si>
    <t>Gozreh's Trident</t>
  </si>
  <si>
    <t>cleric/oracle 2, druid 2, witch 2</t>
  </si>
  <si>
    <t>trident-like bolt of electricity</t>
  </si>
  <si>
    <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t>
  </si>
  <si>
    <t>&lt;p&gt;A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cloth.&lt;/p&gt;</t>
  </si>
  <si>
    <t>&lt;link rel="stylesheet"href="PF.css"&gt;&lt;div class="heading"&gt;&lt;p class="alignleft"&gt;Gozreh's Trident&lt;/p&gt;&lt;div style="clear: both;"&gt;&lt;/div&gt;&lt;/div&gt;&lt;div&gt;&lt;h5&gt;&lt;b&gt;School &lt;/b&gt;evocation [electricity]; &lt;b&gt;Level &lt;/b&gt;cleric/oracle 2, druid 2, witch 2 (Gozreh)&lt;/h5&gt;&lt;/div&gt;&lt;hr/&gt;&lt;div&gt;&lt;h5&gt;&lt;b&gt;CASTING&lt;/b&gt;&lt;/h5&gt;&lt;/div&gt;&lt;hr/&gt;&lt;div&gt;&lt;h5&gt;&lt;b&gt;Casting Time &lt;/b&gt;1 standard action&lt;/h5&gt;&lt;h5&gt;&lt;b&gt;Components &lt;/b&gt;V, S, DF&lt;/h5&gt;&lt;/div&gt;&lt;hr/&gt;&lt;div&gt;&lt;h5&gt;&lt;b&gt;EFFECT&lt;/b&gt;&lt;/h5&gt;&lt;/div&gt;&lt;hr/&gt;&lt;div&gt;&lt;h5&gt;&lt;b&gt;Range &lt;/b&gt;0 ft.&lt;/h5&gt;&lt;h5&gt;&lt;b&gt;Effect &lt;/b&gt;trident-like bolt of electricity&lt;/h5&gt;&lt;h5&gt;&lt;b&gt;Duration &lt;/b&gt;1 minute/level (D)&lt;/h5&gt;&lt;h5&gt;&lt;b&gt;Saving Throw &lt;/b&gt;none; &lt;b&gt;Spell Resistance &lt;/b&gt;yes&lt;/h5&gt;&lt;/div&gt;&lt;hr/&gt;&lt;div&gt;&lt;h5&gt;&lt;b&gt;DESCRIPTION&lt;/b&gt;&lt;/h5&gt;&lt;/div&gt;&lt;hr/&gt;&lt;div&gt;&lt;h4&gt;&lt;p&gt;A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cloth.&lt;/p&gt;&lt;/h4&gt;&lt;/div&gt;</t>
  </si>
  <si>
    <t>Gozreh</t>
  </si>
  <si>
    <t>Hairline Fractures</t>
  </si>
  <si>
    <t>cleric/oracle 1, druid 1, witch 1</t>
  </si>
  <si>
    <t>V, S, M (a broken twig)</t>
  </si>
  <si>
    <t>5-foot-square section of stone or a creature with the  earth subtype</t>
  </si>
  <si>
    <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Make whole reverses this spell's effect.</t>
  </si>
  <si>
    <t>&lt;p&gt;With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&lt;i&gt;Make whole&lt;/i&gt; reverses this spell's effect.&lt;/p&gt;</t>
  </si>
  <si>
    <t>&lt;link rel="stylesheet"href="PF.css"&gt;&lt;div class="heading"&gt;&lt;p class="alignleft"&gt;Hairline Fractures&lt;/p&gt;&lt;div style="clear: both;"&gt;&lt;/div&gt;&lt;/div&gt;&lt;div&gt;&lt;h5&gt;&lt;b&gt;School &lt;/b&gt;transmutation [earth]; &lt;b&gt;Level &lt;/b&gt;cleric/oracle 1, druid 1, witch 1 (Torag)&lt;/h5&gt;&lt;/div&gt;&lt;hr/&gt;&lt;div&gt;&lt;h5&gt;&lt;b&gt;CASTING&lt;/b&gt;&lt;/h5&gt;&lt;/div&gt;&lt;hr/&gt;&lt;div&gt;&lt;h5&gt;&lt;b&gt;Casting Time &lt;/b&gt;1 standard action&lt;/h5&gt;&lt;h5&gt;&lt;b&gt;Components &lt;/b&gt;V, S, M (a broken twig)&lt;/h5&gt;&lt;/div&gt;&lt;hr/&gt;&lt;div&gt;&lt;h5&gt;&lt;b&gt;EFFECT&lt;/b&gt;&lt;/h5&gt;&lt;/div&gt;&lt;hr/&gt;&lt;div&gt;&lt;h5&gt;&lt;b&gt;Range &lt;/b&gt;touch&lt;/h5&gt;&lt;h5&gt;&lt;b&gt;Targets &lt;/b&gt;5-foot-square section of stone or a creature with the  earth subtype&lt;/h5&gt;&lt;h5&gt;&lt;b&gt;Duration &lt;/b&gt;1 round/level&lt;/h5&gt;&lt;h5&gt;&lt;b&gt;Saving Throw &lt;/b&gt;Fortitude negates (object); &lt;b&gt;Spell Resistance &lt;/b&gt;yes (object)&lt;/h5&gt;&lt;/div&gt;&lt;hr/&gt;&lt;div&gt;&lt;h5&gt;&lt;b&gt;DESCRIPTION&lt;/b&gt;&lt;/h5&gt;&lt;/div&gt;&lt;hr/&gt;&lt;div&gt;&lt;h4&gt;&lt;p&gt;With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&lt;i&gt;Make whole&lt;/i&gt; reverses this spell's effect.&lt;/p&gt;&lt;/h4&gt;&lt;/div&gt;</t>
  </si>
  <si>
    <t>Hammer Of Mending</t>
  </si>
  <si>
    <t>cleric/oracle 6, sorcerer/wizard 5, summoner 5</t>
  </si>
  <si>
    <t>V, S, F (a small mithral hammer worth 300 gp), DF</t>
  </si>
  <si>
    <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  Hammer of mending can fix destroyed magic items (items with 0 hit points or fewer), and restores the magic properties of the item if your caster level is at least twice that of the item.  Items with charges (such as wands) and single-use items (such as potions and scrolls) cannot be repaired in this way.</t>
  </si>
  <si>
    <t>&lt;p&gt;Upon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resistance.&lt;/p&gt;&lt;p&gt;&lt;i&gt;Hammer of mending&lt;/i&gt; can fix destroyed magic items (items with 0 hit points or fewer), and restores the magic properties of the item if your caster level is at least twice that of the item.&lt;/p&gt;&lt;p&gt;Items with charges (such as wands) and single-use items (such as potions and scrolls) cannot be repaired in this way.&lt;/p&gt;</t>
  </si>
  <si>
    <t>&lt;link rel="stylesheet"href="PF.css"&gt;&lt;div class="heading"&gt;&lt;p class="alignleft"&gt;Hammer Of Mending&lt;/p&gt;&lt;div style="clear: both;"&gt;&lt;/div&gt;&lt;/div&gt;&lt;div&gt;&lt;h5&gt;&lt;b&gt;School &lt;/b&gt;transmutation; &lt;b&gt;Level &lt;/b&gt;cleric/oracle 6, sorcerer/wizard 5, summoner 5 (Torag)&lt;/h5&gt;&lt;/div&gt;&lt;hr/&gt;&lt;div&gt;&lt;h5&gt;&lt;b&gt;CASTING&lt;/b&gt;&lt;/h5&gt;&lt;/div&gt;&lt;hr/&gt;&lt;div&gt;&lt;h5&gt;&lt;b&gt;Casting Time &lt;/b&gt;1 standard action&lt;/h5&gt;&lt;h5&gt;&lt;b&gt;Components &lt;/b&gt;V, S, F (a small mithral hammer worth 300 gp), DF&lt;/h5&gt;&lt;/div&gt;&lt;hr/&gt;&lt;div&gt;&lt;h5&gt;&lt;b&gt;EFFECT&lt;/b&gt;&lt;/h5&gt;&lt;/div&gt;&lt;hr/&gt;&lt;div&gt;&lt;h5&gt;&lt;b&gt;Area &lt;/b&gt;30-ft.-radius burst centered on you&lt;/h5&gt;&lt;h5&gt;&lt;b&gt;Duration &lt;/b&gt;instantaneous&lt;/h5&gt;&lt;h5&gt;&lt;b&gt;Saving Throw &lt;/b&gt;Fortitude negates (harmless); &lt;b&gt;Spell Resistance &lt;/b&gt;yes (harmless)&lt;/h5&gt;&lt;/div&gt;&lt;hr/&gt;&lt;div&gt;&lt;h5&gt;&lt;b&gt;DESCRIPTION&lt;/b&gt;&lt;/h5&gt;&lt;/div&gt;&lt;hr/&gt;&lt;div&gt;&lt;h4&gt;&lt;p&gt;Upon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resistance.&lt;/p&gt;&lt;p&gt;&lt;i&gt;Hammer of mending&lt;/i&gt; can fix destroyed magic items (items with 0 hit points or fewer), and restores the magic properties of the item if your caster level is at least twice that of the item.&lt;/p&gt;&lt;p&gt;Items with charges (such as wands) and single-use items (such as potions and scrolls) cannot be repaired in this way.&lt;/p&gt;&lt;/h4&gt;&lt;/div&gt;</t>
  </si>
  <si>
    <t>Haze Of Dreams</t>
  </si>
  <si>
    <t>bard 1, cleric/oracle 1, inquisitor 1, paladin 1, witch 1</t>
  </si>
  <si>
    <t>V, M (pinch of sand)</t>
  </si>
  <si>
    <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  Multiple haze of dreams effects do not stack, nor does this spell's effect stack with slow.</t>
  </si>
  <si>
    <t>&lt;p&gt;You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speed.&lt;/p&gt;&lt;p&gt;Multiple &lt;i&gt;haze of dreams&lt;/i&gt; effects do not stack, nor does this spell's effect stack with &lt;i&gt;slow&lt;/i&gt;.&lt;/p&gt;</t>
  </si>
  <si>
    <t>&lt;link rel="stylesheet"href="PF.css"&gt;&lt;div class="heading"&gt;&lt;p class="alignleft"&gt;Haze Of Dreams&lt;/p&gt;&lt;div style="clear: both;"&gt;&lt;/div&gt;&lt;/div&gt;&lt;div&gt;&lt;h5&gt;&lt;b&gt;School &lt;/b&gt;enchantment (charm) [emotion, mind-affecting]; &lt;b&gt;Level &lt;/b&gt;bard 1, cleric/oracle 1, inquisitor 1, paladin 1, witch 1 (Desna)&lt;/h5&gt;&lt;/div&gt;&lt;hr/&gt;&lt;div&gt;&lt;h5&gt;&lt;b&gt;CASTING&lt;/b&gt;&lt;/h5&gt;&lt;/div&gt;&lt;hr/&gt;&lt;div&gt;&lt;h5&gt;&lt;b&gt;Casting Time &lt;/b&gt;1 standard action&lt;/h5&gt;&lt;h5&gt;&lt;b&gt;Components &lt;/b&gt;V, M (pinch of sand)&lt;/h5&gt;&lt;/div&gt;&lt;hr/&gt;&lt;div&gt;&lt;h5&gt;&lt;b&gt;EFFECT&lt;/b&gt;&lt;/h5&gt;&lt;/div&gt;&lt;hr/&gt;&lt;div&gt;&lt;h5&gt;&lt;b&gt;Range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speed.&lt;/p&gt;&lt;p&gt;Multiple &lt;i&gt;haze of dreams&lt;/i&gt; effects do not stack, nor does this spell's effect stack with &lt;i&gt;slow&lt;/i&gt;.&lt;/p&gt;&lt;/h4&gt;&lt;/div&gt;</t>
  </si>
  <si>
    <t>Hunter's Blessing</t>
  </si>
  <si>
    <t>When casting this spell, you designate a type or type and subtype of creature (using the ranger's favored enemy categories; Pathfinder RPG Core Rulebook 6 4) and a type of terrain (using the list of ranger's favored terrain categories, Core Rulebook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t>
  </si>
  <si>
    <t>&lt;p&gt;When casting this spell, you designate a type or type and subtype of creature (using the ranger's favored enemy categories; &lt;i&gt;Pathfinder RPG &lt;i&gt;Core Rulebook&lt;/i&gt;&lt;/i&gt; 6 4) and a type of terrain (using the list of ranger's favored terrain categories, &lt;i&gt;Core Rulebook&lt;/i&gt; 65). &lt;b&gt;Target&lt;/b&gt;s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higher.&lt;/p&gt;</t>
  </si>
  <si>
    <t>&lt;link rel="stylesheet"href="PF.css"&gt;&lt;div class="heading"&gt;&lt;p class="alignleft"&gt;Hunter's Blessing&lt;/p&gt;&lt;div style="clear: both;"&gt;&lt;/div&gt;&lt;/div&gt;&lt;div&gt;&lt;h5&gt;&lt;b&gt;School &lt;/b&gt;transmutation; &lt;b&gt;Level &lt;/b&gt;cleric/oracle 5, druid 5, inquisitor 5 (Erastil)&lt;/h5&gt;&lt;/div&gt;&lt;hr/&gt;&lt;div&gt;&lt;h5&gt;&lt;b&gt;CASTING&lt;/b&gt;&lt;/h5&gt;&lt;/div&gt;&lt;hr/&gt;&lt;div&gt;&lt;h5&gt;&lt;b&gt;Casting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&lt;/b&gt;Will negates (harmless); &lt;b&gt;Spell Resistance &lt;/b&gt;yes (harmless)&lt;/h5&gt;&lt;/div&gt;&lt;hr/&gt;&lt;div&gt;&lt;h5&gt;&lt;b&gt;DESCRIPTION&lt;/b&gt;&lt;/h5&gt;&lt;/div&gt;&lt;hr/&gt;&lt;div&gt;&lt;h4&gt;&lt;p&gt;When casting this spell, you designate a type or type and subtype of creature (using the ranger's favored enemy categories; &lt;i&gt;Pathfinder RPG &lt;i&gt;Core Rulebook&lt;/i&gt;&lt;/i&gt; 6 4) and a type of terrain (using the list of ranger's favored terrain categories, &lt;i&gt;Core Rulebook&lt;/i&gt;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higher.&lt;/p&gt;&lt;/h4&gt;&lt;/div&gt;</t>
  </si>
  <si>
    <t>Ice Armor</t>
  </si>
  <si>
    <t>V, S, F (5 gallons of water)</t>
  </si>
  <si>
    <t>a suit of armor made of ice</t>
  </si>
  <si>
    <t>1 hour/level or until destroyed</t>
  </si>
  <si>
    <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ice armor without penalty.</t>
  </si>
  <si>
    <t>&lt;p&gt;You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&lt;i&gt;ice armor&lt;/i&gt; without penalty.&lt;/p&gt;</t>
  </si>
  <si>
    <t>&lt;link rel="stylesheet"href="PF.css"&gt;&lt;div class="heading"&gt;&lt;p class="alignleft"&gt;Ice Armor&lt;/p&gt;&lt;div style="clear: both;"&gt;&lt;/div&gt;&lt;/div&gt;&lt;div&gt;&lt;h5&gt;&lt;b&gt;School &lt;/b&gt;transmutation [cold, water]; &lt;b&gt;Level &lt;/b&gt;cleric/oracle 1, druid 1 (Gozreh)&lt;/h5&gt;&lt;/div&gt;&lt;hr/&gt;&lt;div&gt;&lt;h5&gt;&lt;b&gt;CASTING&lt;/b&gt;&lt;/h5&gt;&lt;/div&gt;&lt;hr/&gt;&lt;div&gt;&lt;h5&gt;&lt;b&gt;Casting Time &lt;/b&gt;1 minute&lt;/h5&gt;&lt;h5&gt;&lt;b&gt;Components &lt;/b&gt;V, S, F (5 gallons of water)&lt;/h5&gt;&lt;/div&gt;&lt;hr/&gt;&lt;div&gt;&lt;h5&gt;&lt;b&gt;EFFECT&lt;/b&gt;&lt;/h5&gt;&lt;/div&gt;&lt;hr/&gt;&lt;div&gt;&lt;h5&gt;&lt;b&gt;Range &lt;/b&gt;0 ft.; see text&lt;/h5&gt;&lt;h5&gt;&lt;b&gt;Effect &lt;/b&gt;a suit of armor made of ice&lt;/h5&gt;&lt;h5&gt;&lt;b&gt;Duration &lt;/b&gt;1 hour/level or until destroyed&lt;/h5&gt;&lt;h5&gt;&lt;b&gt;Saving Throw &lt;/b&gt;none; &lt;b&gt;Spell Resistance &lt;/b&gt;no&lt;/h5&gt;&lt;/div&gt;&lt;hr/&gt;&lt;div&gt;&lt;h5&gt;&lt;b&gt;DESCRIPTION&lt;/b&gt;&lt;/h5&gt;&lt;/div&gt;&lt;hr/&gt;&lt;div&gt;&lt;h4&gt;&lt;p&gt;You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&lt;i&gt;ice armor&lt;/i&gt; without penalty.&lt;/p&gt;&lt;/h4&gt;&lt;/div&gt;</t>
  </si>
  <si>
    <t>Inheritor's Smite</t>
  </si>
  <si>
    <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t>
  </si>
  <si>
    <t>&lt;p&gt;You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feet.&lt;/p&gt;</t>
  </si>
  <si>
    <t>&lt;link rel="stylesheet"href="PF.css"&gt;&lt;div class="heading"&gt;&lt;p class="alignleft"&gt;Inheritor's Smite&lt;/p&gt;&lt;div style="clear: both;"&gt;&lt;/div&gt;&lt;/div&gt;&lt;div&gt;&lt;h5&gt;&lt;b&gt;School &lt;/b&gt;transmutation; &lt;b&gt;Level &lt;/b&gt;cleric/oracle 2, inquisitor 2, paladin 2 (Iomedae)&lt;/h5&gt;&lt;/div&gt;&lt;hr/&gt;&lt;div&gt;&lt;h5&gt;&lt;b&gt;CASTING&lt;/b&gt;&lt;/h5&gt;&lt;/div&gt;&lt;hr/&gt;&lt;div&gt;&lt;h5&gt;&lt;b&gt;Casting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&lt;/b&gt;see text&lt;/h5&gt;&lt;/div&gt;&lt;hr/&gt;&lt;div&gt;&lt;h5&gt;&lt;b&gt;DESCRIPTION&lt;/b&gt;&lt;/h5&gt;&lt;/div&gt;&lt;hr/&gt;&lt;div&gt;&lt;h4&gt;&lt;p&gt;You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feet.&lt;/p&gt;&lt;/h4&gt;&lt;/div&gt;</t>
  </si>
  <si>
    <t>Light Prison</t>
  </si>
  <si>
    <t>bard 2, cleric/oracle 2, inquisitor 2, magus 2, sorcerer/wizard 2</t>
  </si>
  <si>
    <t>one creature/2 levels</t>
  </si>
  <si>
    <t>Rays of light burst forth from your outstretched hand, encircling each target's space with a cage of light. If a target fails its Reflex save, it becomes enclosed in the light prison. A creature enclosed in a light prison can attack, cast spells, and otherwise act normally as long as it stays within the light prison. However, if a creature passes through the walls of a light prison enclosing it, it takes 1d6 points of damage and is blinded for 1 round.  Creatures do not receive saves to negate these effects. Once a creature passes through the walls of a light prison surrounding it, the effect ends for that creature.</t>
  </si>
  <si>
    <t>&lt;p&gt;Rays of light burst forth from your outstretched hand, encircling each target's space with a cage of light. If a target fails its Reflex save, it becomes enclosed in the &lt;i&gt;light prison&lt;/i&gt;. A creature enclosed in a &lt;i&gt;light prison&lt;/i&gt; can attack, cast spells, and otherwise act normally as long as it stays within the &lt;i&gt;light prison&lt;/i&gt;. However, if a creature passes through the walls of a &lt;i&gt;light prison&lt;/i&gt; enclosing it, it takes 1d6 points of damage and is blinded for 1 round.&lt;/p&gt;&lt;p&gt;Creatures do not receive saves to negate these effects. Once a creature passes through the walls of a &lt;i&gt;light prison&lt;/i&gt; surrounding it, the effect ends for that creature.&lt;/p&gt;</t>
  </si>
  <si>
    <t>&lt;link rel="stylesheet"href="PF.css"&gt;&lt;div class="heading"&gt;&lt;p class="alignleft"&gt;Light Prison&lt;/p&gt;&lt;div style="clear: both;"&gt;&lt;/div&gt;&lt;/div&gt;&lt;div&gt;&lt;h5&gt;&lt;b&gt;School &lt;/b&gt;evocation [light]; &lt;b&gt;Level &lt;/b&gt;bard 2, cleric/oracle 2, inquisitor 2, magus 2, sorcerer/wizard 2 (Iomedae)&lt;/h5&gt;&lt;/div&gt;&lt;hr/&gt;&lt;div&gt;&lt;h5&gt;&lt;b&gt;CASTING&lt;/b&gt;&lt;/h5&gt;&lt;/div&gt;&lt;hr/&gt;&lt;div&gt;&lt;h5&gt;&lt;b&gt;Casting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creature/2 levels&lt;/h5&gt;&lt;h5&gt;&lt;b&gt;Duration &lt;/b&gt;1 round/level (D)&lt;/h5&gt;&lt;h5&gt;&lt;b&gt;Saving Throw &lt;/b&gt;Reflex negates; &lt;b&gt;Spell Resistance &lt;/b&gt;yes&lt;/h5&gt;&lt;/div&gt;&lt;hr/&gt;&lt;div&gt;&lt;h5&gt;&lt;b&gt;DESCRIPTION&lt;/b&gt;&lt;/h5&gt;&lt;/div&gt;&lt;hr/&gt;&lt;div&gt;&lt;h4&gt;&lt;p&gt;Rays of light burst forth from your outstretched hand, encircling each target's space with a cage of light. If a target fails its Reflex save, it becomes enclosed in the &lt;i&gt;light prison&lt;/i&gt;. A creature enclosed in a &lt;i&gt;light prison&lt;/i&gt; can attack, cast spells, and otherwise act normally as long as it stays within the &lt;i&gt;light prison&lt;/i&gt;. However, if a creature passes through the walls of a &lt;i&gt;light prison&lt;/i&gt; enclosing it, it takes 1d6 points of damage and is blinded for 1 round.&lt;/p&gt;&lt;p&gt;Creatures do not receive saves to negate these effects. Once a creature passes through the walls of a &lt;i&gt;light prison&lt;/i&gt; surrounding it, the effect ends for that creature.&lt;/p&gt;&lt;/h4&gt;&lt;/div&gt;</t>
  </si>
  <si>
    <t>Lighten Object</t>
  </si>
  <si>
    <t>bard 1, cleric/oracle 1, magus 1, sorcerer/wizard 1, summoner 1</t>
  </si>
  <si>
    <t>V, M (goose down)</t>
  </si>
  <si>
    <t>1 object of up to 1 cubic ft./level</t>
  </si>
  <si>
    <t>The target's weight decreases by half. If this spell is cast on armor, the armor's armor check penalty decreases by 1, though its categorization as light, medium, or heavy does not change.</t>
  </si>
  <si>
    <t>&lt;p&gt;The target's weight decreases by half. If this spell is cast on armor, the armor's armor check penalty decreases by 1, though its categorization as light, medium, or heavy does not change.&lt;/p&gt;</t>
  </si>
  <si>
    <t>&lt;link rel="stylesheet"href="PF.css"&gt;&lt;div class="heading"&gt;&lt;p class="alignleft"&gt;Lighten Object&lt;/p&gt;&lt;div style="clear: both;"&gt;&lt;/div&gt;&lt;/div&gt;&lt;div&gt;&lt;h5&gt;&lt;b&gt;School &lt;/b&gt;transmutation; &lt;b&gt;Level &lt;/b&gt;bard 1, cleric/oracle 1, magus 1, sorcerer/wizard 1, summoner 1 (Gorum)&lt;/h5&gt;&lt;/div&gt;&lt;hr/&gt;&lt;div&gt;&lt;h5&gt;&lt;b&gt;CASTING&lt;/b&gt;&lt;/h5&gt;&lt;/div&gt;&lt;hr/&gt;&lt;div&gt;&lt;h5&gt;&lt;b&gt;Casting Time &lt;/b&gt;1 standard action&lt;/h5&gt;&lt;h5&gt;&lt;b&gt;Components &lt;/b&gt;V, M (goose down)&lt;/h5&gt;&lt;/div&gt;&lt;hr/&gt;&lt;div&gt;&lt;h5&gt;&lt;b&gt;EFFECT&lt;/b&gt;&lt;/h5&gt;&lt;/div&gt;&lt;hr/&gt;&lt;div&gt;&lt;h5&gt;&lt;b&gt;Range &lt;/b&gt;close (25 ft. + 5 ft./2 levels)&lt;/h5&gt;&lt;h5&gt;&lt;b&gt;Targets &lt;/b&gt;1 object of up to 1 cubic ft./level&lt;/h5&gt;&lt;h5&gt;&lt;b&gt;Duration &lt;/b&gt;1 minute/level&lt;/h5&gt;&lt;h5&gt;&lt;b&gt;Saving Throw &lt;/b&gt;Will negates (object); &lt;b&gt;Spell Resistance &lt;/b&gt;yes (object)&lt;/h5&gt;&lt;/div&gt;&lt;hr/&gt;&lt;div&gt;&lt;h5&gt;&lt;b&gt;DESCRIPTION&lt;/b&gt;&lt;/h5&gt;&lt;/div&gt;&lt;hr/&gt;&lt;div&gt;&lt;h4&gt;&lt;p&gt;The target's weight decreases by half. If this spell is cast on armor, the armor's armor check penalty decreases by 1, though its categorization as light, medium, or heavy does not change.&lt;/p&gt;&lt;/h4&gt;&lt;/div&gt;</t>
  </si>
  <si>
    <t>Gorum</t>
  </si>
  <si>
    <t>Lighten Object, Mass</t>
  </si>
  <si>
    <t>cleric/oracle 5, magus 5, sorcerer/wizard 5, summoner 5</t>
  </si>
  <si>
    <t>multiple objects totaling up to 1 cubic ft./level, no two of which can be more than 30 ft. apart</t>
  </si>
  <si>
    <t>This spell functions like lighten object, except that it affects a number of objects equal to half your caster level.</t>
  </si>
  <si>
    <t>&lt;p&gt;This spell functions like &lt;i&gt;lighten object&lt;/i&gt;, except that it affects a number of objects equal to half your caster level.&lt;/p&gt;</t>
  </si>
  <si>
    <t>&lt;link rel="stylesheet"href="PF.css"&gt;&lt;div class="heading"&gt;&lt;p class="alignleft"&gt;Lighten Object, Mass&lt;/p&gt;&lt;div style="clear: both;"&gt;&lt;/div&gt;&lt;/div&gt;&lt;div&gt;&lt;h5&gt;&lt;b&gt;School &lt;/b&gt;transmutation; &lt;b&gt;Level &lt;/b&gt;cleric/oracle 5, magus 5, sorcerer/wizard 5, summoner 5 (Gorum)&lt;/h5&gt;&lt;/div&gt;&lt;hr/&gt;&lt;div&gt;&lt;h5&gt;&lt;b&gt;CASTING&lt;/b&gt;&lt;/h5&gt;&lt;/div&gt;&lt;hr/&gt;&lt;div&gt;&lt;h5&gt;&lt;b&gt;Casting Time &lt;/b&gt;1 standard action&lt;/h5&gt;&lt;h5&gt;&lt;b&gt;Components &lt;/b&gt;V, M (goose down)&lt;/h5&gt;&lt;/div&gt;&lt;hr/&gt;&lt;div&gt;&lt;h5&gt;&lt;b&gt;EFFECT&lt;/b&gt;&lt;/h5&gt;&lt;/div&gt;&lt;hr/&gt;&lt;div&gt;&lt;h5&gt;&lt;b&gt;Range &lt;/b&gt;close (25 ft. + 5 ft./2 levels)&lt;/h5&gt;&lt;h5&gt;&lt;b&gt;Targets &lt;/b&gt;multiple objects totaling up to 1 cubic ft./level, no two of which can be more than 30 ft. apart&lt;/h5&gt;&lt;h5&gt;&lt;b&gt;Duration &lt;/b&gt;10 minutes/level&lt;/h5&gt;&lt;h5&gt;&lt;b&gt;Saving Throw &lt;/b&gt;Will negates (object); &lt;b&gt;Spell Resistance &lt;/b&gt;yes (object)&lt;/h5&gt;&lt;/div&gt;&lt;hr/&gt;&lt;div&gt;&lt;h5&gt;&lt;b&gt;DESCRIPTION&lt;/b&gt;&lt;/h5&gt;&lt;/div&gt;&lt;hr/&gt;&lt;div&gt;&lt;h4&gt;&lt;p&gt;This spell functions like &lt;i&gt;lighten object&lt;/i&gt;, except that it affects a number of objects equal to half your caster level.&lt;/p&gt;&lt;/h4&gt;&lt;/div&gt;</t>
  </si>
  <si>
    <t>Lose The Trail</t>
  </si>
  <si>
    <t>antipaladin 2, ranger 1, sorcerer/wizard 1</t>
  </si>
  <si>
    <t>The target or targets of this spell can obscure their tracks when fleeing from a pursuer. This increases the DC of any Survival checks made to track the spell's targets by 2 per level of the caster.</t>
  </si>
  <si>
    <t>&lt;p&gt;The target or targets of this spell can obscure their tracks when fleeing from a pursuer. This increases the DC of any Survival checks made to track the spell's targets by 2 per level of the caster.&lt;/p&gt;</t>
  </si>
  <si>
    <t>&lt;link rel="stylesheet"href="PF.css"&gt;&lt;div class="heading"&gt;&lt;p class="alignleft"&gt;Lose The Trail&lt;/p&gt;&lt;div style="clear: both;"&gt;&lt;/div&gt;&lt;/div&gt;&lt;div&gt;&lt;h5&gt;&lt;b&gt;School &lt;/b&gt;illusion (glamer); &lt;b&gt;Level &lt;/b&gt;antipaladin 2, ranger 1, sorcerer/wizard 1 (Norgorber)&lt;/h5&gt;&lt;/div&gt;&lt;hr/&gt;&lt;div&gt;&lt;h5&gt;&lt;b&gt;CASTING&lt;/b&gt;&lt;/h5&gt;&lt;/div&gt;&lt;hr/&gt;&lt;div&gt;&lt;h5&gt;&lt;b&gt;Casting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creature/level&lt;/h5&gt;&lt;h5&gt;&lt;b&gt;Duration &lt;/b&gt;1 hour/level (D)&lt;/h5&gt;&lt;h5&gt;&lt;b&gt;Saving Throw &lt;/b&gt;Will negates (harmless); &lt;b&gt;Spell Resistance &lt;/b&gt;yes (harmless)&lt;/h5&gt;&lt;/div&gt;&lt;hr/&gt;&lt;div&gt;&lt;h5&gt;&lt;b&gt;DESCRIPTION&lt;/b&gt;&lt;/h5&gt;&lt;/div&gt;&lt;hr/&gt;&lt;div&gt;&lt;h4&gt;&lt;p&gt;The target or targets of this spell can obscure their tracks when fleeing from a pursuer. This increases the DC of any Survival checks made to track the spell's targets by 2 per level of the caster.&lt;/p&gt;&lt;/h4&gt;&lt;/div&gt;</t>
  </si>
  <si>
    <t>Maddening Oubliette</t>
  </si>
  <si>
    <t>V, S, M (the powdered bones of a creature that died in prison)</t>
  </si>
  <si>
    <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insanity spell instead.</t>
  </si>
  <si>
    <t>&lt;p&gt;The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&lt;i&gt;insanity&lt;/i&gt; spell instead.&lt;/p&gt;</t>
  </si>
  <si>
    <t>&lt;link rel="stylesheet"href="PF.css"&gt;&lt;div class="heading"&gt;&lt;p class="alignleft"&gt;Maddening Oubliette&lt;/p&gt;&lt;div style="clear: both;"&gt;&lt;/div&gt;&lt;/div&gt;&lt;div&gt;&lt;h5&gt;&lt;b&gt;School &lt;/b&gt;conjuration (teleportation); &lt;b&gt;Level &lt;/b&gt;cleric/oracle 7, sorcerer/wizard 7, witch 7 (Zon-Kuthon)&lt;/h5&gt;&lt;/div&gt;&lt;hr/&gt;&lt;div&gt;&lt;h5&gt;&lt;b&gt;CASTING&lt;/b&gt;&lt;/h5&gt;&lt;/div&gt;&lt;hr/&gt;&lt;div&gt;&lt;h5&gt;&lt;b&gt;Casting Time &lt;/b&gt;1 round&lt;/h5&gt;&lt;h5&gt;&lt;b&gt;Components &lt;/b&gt;V, S, M (the powdered bones of a creature that died in prison)&lt;/h5&gt;&lt;/div&gt;&lt;hr/&gt;&lt;div&gt;&lt;h5&gt;&lt;b&gt;EFFECT&lt;/b&gt;&lt;/h5&gt;&lt;/div&gt;&lt;hr/&gt;&lt;div&gt;&lt;h5&gt;&lt;b&gt;Range &lt;/b&gt;close (25 ft. + 5 ft./2 levels)&lt;/h5&gt;&lt;h5&gt;&lt;b&gt;Targets &lt;/b&gt;one creature&lt;/h5&gt;&lt;h5&gt;&lt;b&gt;Duration &lt;/b&gt;special; see text&lt;/h5&gt;&lt;h5&gt;&lt;b&gt;Saving Throw &lt;/b&gt;Will negates; see text; &lt;b&gt;Spell Resistance &lt;/b&gt;yes&lt;/h5&gt;&lt;/div&gt;&lt;hr/&gt;&lt;div&gt;&lt;h5&gt;&lt;b&gt;DESCRIPTION&lt;/b&gt;&lt;/h5&gt;&lt;/div&gt;&lt;hr/&gt;&lt;div&gt;&lt;h4&gt;&lt;p&gt;The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&lt;i&gt;insanity&lt;/i&gt; spell instead.&lt;/p&gt;&lt;/h4&gt;&lt;/div&gt;</t>
  </si>
  <si>
    <t>Zon-Kuthon</t>
  </si>
  <si>
    <t>Monstrous Extremities</t>
  </si>
  <si>
    <t>cleric/oracle 3, sorcerer/wizard 3, witch 4</t>
  </si>
  <si>
    <t>You change one of the extremities of the creature touched-arms or legs only-into another shape of approximately the same size and mass. You can choose a tentacle, a hoof, or a wing.  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t>
  </si>
  <si>
    <t>&lt;p&gt;You change one of the extremities of the creature touched-arms or legs only-into another shape of approximately the same size and mass. You can choose a tentacle, a hoof, or a wing.&lt;/p&gt;&lt;p&gt;The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times.&lt;/p&gt;</t>
  </si>
  <si>
    <t>&lt;link rel="stylesheet"href="PF.css"&gt;&lt;div class="heading"&gt;&lt;p class="alignleft"&gt;Monstrous Extremities&lt;/p&gt;&lt;div style="clear: both;"&gt;&lt;/div&gt;&lt;/div&gt;&lt;div&gt;&lt;h5&gt;&lt;b&gt;School &lt;/b&gt;transmutation (polymorph); &lt;b&gt;Level &lt;/b&gt;cleric/oracle 3, sorcerer/wizard 3, witch 4 (Lamashtu)&lt;/h5&gt;&lt;/div&gt;&lt;hr/&gt;&lt;div&gt;&lt;h5&gt;&lt;b&gt;CASTING&lt;/b&gt;&lt;/h5&gt;&lt;/div&gt;&lt;hr/&gt;&lt;div&gt;&lt;h5&gt;&lt;b&gt;Casting Time &lt;/b&gt;1 minute&lt;/h5&gt;&lt;h5&gt;&lt;b&gt;Components &lt;/b&gt;V, S&lt;/h5&gt;&lt;/div&gt;&lt;hr/&gt;&lt;div&gt;&lt;h5&gt;&lt;b&gt;EFFECT&lt;/b&gt;&lt;/h5&gt;&lt;/div&gt;&lt;hr/&gt;&lt;div&gt;&lt;h5&gt;&lt;b&gt;Range &lt;/b&gt;touch&lt;/h5&gt;&lt;h5&gt;&lt;b&gt;Targets &lt;/b&gt;creature touched&lt;/h5&gt;&lt;h5&gt;&lt;b&gt;Duration &lt;/b&gt;1 hour/level&lt;/h5&gt;&lt;h5&gt;&lt;b&gt;Saving Throw &lt;/b&gt;Will negates; &lt;b&gt;Spell Resistance &lt;/b&gt;yes&lt;/h5&gt;&lt;/div&gt;&lt;hr/&gt;&lt;div&gt;&lt;h5&gt;&lt;b&gt;DESCRIPTION&lt;/b&gt;&lt;/h5&gt;&lt;/div&gt;&lt;hr/&gt;&lt;div&gt;&lt;h4&gt;&lt;p&gt;You change one of the extremities of the creature touched-arms or legs only-into another shape of approximately the same size and mass. You can choose a tentacle, a hoof, or a wing.&lt;/p&gt;&lt;p&gt;The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times.&lt;/p&gt;&lt;/h4&gt;&lt;/div&gt;</t>
  </si>
  <si>
    <t>Lamashtu</t>
  </si>
  <si>
    <t>Night Of Blades</t>
  </si>
  <si>
    <t>antipaladin 4, inquisitor 3, ranger 4, sorcerer/wizard 3, summoner 3</t>
  </si>
  <si>
    <t>wall of blades up to 10 ft. long/level and 10 ft. tall</t>
  </si>
  <si>
    <t>Useful primarily to those who skulk in the darkness, this spell is a temporary trap for the unwary. You create an immobile wall of tiny black blades that whirl and tear into creatures like a cyclone.  Anyone who enters this space takes 1d4 points of damage per caster level (maximum 10d4), though a successful Reflex save halves the damage. The spell cannot be cast so that it appears in a space already occupied by Small or larger creatures.</t>
  </si>
  <si>
    <t>&lt;p&gt;Useful primarily to those who skulk in the darkness, this spell is a temporary trap for the unwary. You create an immobile wall of tiny black blades that whirl and tear into creatures like a cyclone.&lt;/p&gt;&lt;p&gt;Anyone who enters this space takes 1d4 points of damage per caster level (maximum 10d4), though a successful Reflex save halves the damage. The spell cannot be cast so that it appears in a space already occupied by Small or larger creatures.&lt;/p&gt;</t>
  </si>
  <si>
    <t>&lt;link rel="stylesheet"href="PF.css"&gt;&lt;div class="heading"&gt;&lt;p class="alignleft"&gt;Night Of Blades&lt;/p&gt;&lt;div style="clear: both;"&gt;&lt;/div&gt;&lt;/div&gt;&lt;div&gt;&lt;h5&gt;&lt;b&gt;School &lt;/b&gt;evocation; &lt;b&gt;Level &lt;/b&gt;antipaladin 4, inquisitor 3, ranger 4, sorcerer/wizard 3, summoner 3 (Norgorber)&lt;/h5&gt;&lt;/div&gt;&lt;hr/&gt;&lt;div&gt;&lt;h5&gt;&lt;b&gt;CASTING&lt;/b&gt;&lt;/h5&gt;&lt;/div&gt;&lt;hr/&gt;&lt;div&gt;&lt;h5&gt;&lt;b&gt;Casting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&lt;/b&gt;wall of blades up to 10 ft. long/level and 10 ft. tall&lt;/h5&gt;&lt;h5&gt;&lt;b&gt;Duration &lt;/b&gt;1 minute/level (D)&lt;/h5&gt;&lt;h5&gt;&lt;b&gt;Saving Throw &lt;/b&gt;Reflex half; &lt;b&gt;Spell Resistance &lt;/b&gt;yes&lt;/h5&gt;&lt;/div&gt;&lt;hr/&gt;&lt;div&gt;&lt;h5&gt;&lt;b&gt;DESCRIPTION&lt;/b&gt;&lt;/h5&gt;&lt;/div&gt;&lt;hr/&gt;&lt;div&gt;&lt;h4&gt;&lt;p&gt;Useful primarily to those who skulk in the darkness, this spell is a temporary trap for the unwary. You create an immobile wall of tiny black blades that whirl and tear into creatures like a cyclone.&lt;/p&gt;&lt;p&gt;Anyone who enters this space takes 1d4 points of damage per caster level (maximum 10d4), though a successful Reflex save halves the damage. The spell cannot be cast so that it appears in a space already occupied by Small or larger creatures.&lt;/p&gt;&lt;/h4&gt;&lt;/div&gt;</t>
  </si>
  <si>
    <t>Pick Your Poison</t>
  </si>
  <si>
    <t>bard 1, cleric/oracle 1, inquisitor 1, witch 1</t>
  </si>
  <si>
    <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  When the spell's duration expires, the penalty ends and the poison's normal effects apply. Pick your poison does not affect any poison effects that occurred before the spell was cast.</t>
  </si>
  <si>
    <t>&lt;p&gt;This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spell.&lt;/p&gt;&lt;p&gt;When the spell's duration expires, the penalty ends and the poison's normal effects apply. &lt;i&gt;Pick your poison&lt;/i&gt; does not affect any poison effects that occurred before the spell was cast.&lt;/p&gt;</t>
  </si>
  <si>
    <t>&lt;link rel="stylesheet"href="PF.css"&gt;&lt;div class="heading"&gt;&lt;p class="alignleft"&gt;Pick Your Poison&lt;/p&gt;&lt;div style="clear: both;"&gt;&lt;/div&gt;&lt;/div&gt;&lt;div&gt;&lt;h5&gt;&lt;b&gt;School &lt;/b&gt;conjuration (healing) [mind-affecting]; &lt;b&gt;Level &lt;/b&gt;bard 1, cleric/oracle 1, inquisitor 1, witch 1 (Cayden Cailean)&lt;/h5&gt;&lt;/div&gt;&lt;hr/&gt;&lt;div&gt;&lt;h5&gt;&lt;b&gt;CASTING&lt;/b&gt;&lt;/h5&gt;&lt;/div&gt;&lt;hr/&gt;&lt;div&gt;&lt;h5&gt;&lt;b&gt;Casting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minute/level&lt;/h5&gt;&lt;h5&gt;&lt;b&gt;Saving Throw &lt;/b&gt;Fortitude negates (harmless); &lt;b&gt;Spell Resistance &lt;/b&gt;yes (harmless)&lt;/h5&gt;&lt;/div&gt;&lt;hr/&gt;&lt;div&gt;&lt;h5&gt;&lt;b&gt;DESCRIPTION&lt;/b&gt;&lt;/h5&gt;&lt;/div&gt;&lt;hr/&gt;&lt;div&gt;&lt;h4&gt;&lt;p&gt;This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spell.&lt;/p&gt;&lt;p&gt;When the spell's duration expires, the penalty ends and the poison's normal effects apply. &lt;i&gt;Pick your poison&lt;/i&gt; does not affect any poison effects that occurred before the spell was cast.&lt;/p&gt;&lt;/h4&gt;&lt;/div&gt;</t>
  </si>
  <si>
    <t>Plague Bearer</t>
  </si>
  <si>
    <t>alchemist 6, antipaladin 6, cleric/oracle 6, druid 6, inquisitor 6, sorcerer/wizard 7, witch 6</t>
  </si>
  <si>
    <t>You make the target an asymptomatic carrier for a host of virulent diseases. Creatures that end their turn adjacent to the target must succeed at a Fortitude save or be affected as if by the spell contagion. The target itself does not become diseased, and suffers no ill effects from this spell. Once plague bearer ends, the target is no longer contagious, though any creature it infected remains diseased.</t>
  </si>
  <si>
    <t>&lt;p&gt;You make the target an asymptomatic carrier for a host of virulent diseases. Creatures that end their turn adjacent to the target must succeed at a Fortitude save or be affected as if by the spell &lt;i&gt;contagion&lt;/i&gt;. The target itself does not become diseased, and suffers no ill effects from this spell. Once &lt;i&gt;plague bearer&lt;/i&gt; ends, the target is no longer contagious, though any creature it infected remains diseased.&lt;/p&gt;</t>
  </si>
  <si>
    <t>&lt;link rel="stylesheet"href="PF.css"&gt;&lt;div class="heading"&gt;&lt;p class="alignleft"&gt;Plague Bearer&lt;/p&gt;&lt;div style="clear: both;"&gt;&lt;/div&gt;&lt;/div&gt;&lt;div&gt;&lt;h5&gt;&lt;b&gt;School &lt;/b&gt;necromancy [disease, evil]; &lt;b&gt;Level &lt;/b&gt;alchemist 6, antipaladin 6, cleric/oracle 6, druid 6, inquisitor 6, sorcerer/wizard 7, witch 6 (Urgathoa)&lt;/h5&gt;&lt;/div&gt;&lt;hr/&gt;&lt;div&gt;&lt;h5&gt;&lt;b&gt;CASTING&lt;/b&gt;&lt;/h5&gt;&lt;/div&gt;&lt;hr/&gt;&lt;div&gt;&lt;h5&gt;&lt;b&gt;Casting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creature&lt;/h5&gt;&lt;h5&gt;&lt;b&gt;Duration &lt;/b&gt;1 round/level; see text&lt;/h5&gt;&lt;h5&gt;&lt;b&gt;Saving Throw &lt;/b&gt;Fortitude negates; see text; &lt;b&gt;Spell Resistance &lt;/b&gt;yes&lt;/h5&gt;&lt;/div&gt;&lt;hr/&gt;&lt;div&gt;&lt;h5&gt;&lt;b&gt;DESCRIPTION&lt;/b&gt;&lt;/h5&gt;&lt;/div&gt;&lt;hr/&gt;&lt;div&gt;&lt;h4&gt;&lt;p&gt;You make the target an asymptomatic carrier for a host of virulent diseases. Creatures that end their turn adjacent to the target must succeed at a Fortitude save or be affected as if by the spell &lt;i&gt;contagion&lt;/i&gt;. The target itself does not become diseased, and suffers no ill effects from this spell. Once &lt;i&gt;plague bearer&lt;/i&gt; ends, the target is no longer contagious, though any creature it infected remains diseased.&lt;/p&gt;&lt;/h4&gt;&lt;/div&gt;</t>
  </si>
  <si>
    <t>Poisoned Egg</t>
  </si>
  <si>
    <t>bard 1, cleric/oracle 1, inquisitor 1, magus 1, sorcerer/wizard 1, witch 1</t>
  </si>
  <si>
    <t>one egg</t>
  </si>
  <si>
    <t>You transform the contents of a normal egg into a single dose of small centipede poison (injury; save DC 11; frequency 1/round for 4 rounds; effect 1 Dex; cure 1 save).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t>
  </si>
  <si>
    <t>&lt;p&gt;You transform the contents of a normal egg into a single dose of small centipede poison (injury; &lt;i&gt;save&lt;/i&gt; DC 11; &lt;i&gt;frequency&lt;/i&gt; 1/round for 4 rounds; &lt;i&gt;effect&lt;/i&gt; 1 Dex; &lt;i&gt;cure&lt;/i&gt; 1 &lt;i&gt;save&lt;/i&gt;).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feature.&lt;/p&gt;</t>
  </si>
  <si>
    <t>&lt;link rel="stylesheet"href="PF.css"&gt;&lt;div class="heading"&gt;&lt;p class="alignleft"&gt;Poisoned Egg&lt;/p&gt;&lt;div style="clear: both;"&gt;&lt;/div&gt;&lt;/div&gt;&lt;div&gt;&lt;h5&gt;&lt;b&gt;School &lt;/b&gt;transmutation [poison]; &lt;b&gt;Level &lt;/b&gt;bard 1, cleric/oracle 1, inquisitor 1, magus 1, sorcerer/wizard 1, witch 1 (Norgorber)&lt;/h5&gt;&lt;/div&gt;&lt;hr/&gt;&lt;div&gt;&lt;h5&gt;&lt;b&gt;CASTING&lt;/b&gt;&lt;/h5&gt;&lt;/div&gt;&lt;hr/&gt;&lt;div&gt;&lt;h5&gt;&lt;b&gt;Casting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egg&lt;/h5&gt;&lt;h5&gt;&lt;b&gt;Duration &lt;/b&gt;1 minute/level&lt;/h5&gt;&lt;h5&gt;&lt;b&gt;Saving Throw &lt;/b&gt;none (object); &lt;b&gt;Spell Resistance &lt;/b&gt;no (object)&lt;/h5&gt;&lt;/div&gt;&lt;hr/&gt;&lt;div&gt;&lt;h5&gt;&lt;b&gt;DESCRIPTION&lt;/b&gt;&lt;/h5&gt;&lt;/div&gt;&lt;hr/&gt;&lt;div&gt;&lt;h4&gt;&lt;p&gt;You transform the contents of a normal egg into a single dose of small centipede poison (injury; &lt;i&gt;save&lt;/i&gt; DC 11; &lt;i&gt;frequency&lt;/i&gt; 1/round for 4 rounds; &lt;i&gt;effect&lt;/i&gt; 1 Dex; &lt;i&gt;cure&lt;/i&gt; 1 &lt;i&gt;save&lt;/i&gt;).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feature.&lt;/p&gt;&lt;/h4&gt;&lt;/div&gt;</t>
  </si>
  <si>
    <t>Read Weather</t>
  </si>
  <si>
    <t>bard 1, cleric/oracle 1, druid 1, ranger 1, witch 1</t>
  </si>
  <si>
    <t>V, S, F (a set of marked sticks or bones worth at least 25 gp)</t>
  </si>
  <si>
    <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t>
  </si>
  <si>
    <t>&lt;p&gt;This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weather.&lt;/p&gt;</t>
  </si>
  <si>
    <t>&lt;link rel="stylesheet"href="PF.css"&gt;&lt;div class="heading"&gt;&lt;p class="alignleft"&gt;Read Weather&lt;/p&gt;&lt;div style="clear: both;"&gt;&lt;/div&gt;&lt;/div&gt;&lt;div&gt;&lt;h5&gt;&lt;b&gt;School &lt;/b&gt;divination; &lt;b&gt;Level &lt;/b&gt;bard 1, cleric/oracle 1, druid 1, ranger 1, witch 1 (Gozreh)&lt;/h5&gt;&lt;/div&gt;&lt;hr/&gt;&lt;div&gt;&lt;h5&gt;&lt;b&gt;CASTING&lt;/b&gt;&lt;/h5&gt;&lt;/div&gt;&lt;hr/&gt;&lt;div&gt;&lt;h5&gt;&lt;b&gt;Casting Time &lt;/b&gt;1 minute&lt;/h5&gt;&lt;h5&gt;&lt;b&gt;Components &lt;/b&gt;V, S, F (a set of marked sticks or bones worth at least 25 gp)&lt;/h5&gt;&lt;/div&gt;&lt;hr/&gt;&lt;div&gt;&lt;h5&gt;&lt;b&gt;EFFECT&lt;/b&gt;&lt;/h5&gt;&lt;/div&gt;&lt;hr/&gt;&lt;div&gt;&lt;h5&gt;&lt;b&gt;Range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weather.&lt;/p&gt;&lt;/h4&gt;&lt;/div&gt;</t>
  </si>
  <si>
    <t>Replenish Ki</t>
  </si>
  <si>
    <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t>
  </si>
  <si>
    <t>&lt;p&gt;You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pool.&lt;/p&gt;</t>
  </si>
  <si>
    <t>&lt;link rel="stylesheet"href="PF.css"&gt;&lt;div class="heading"&gt;&lt;p class="alignleft"&gt;Replenish Ki&lt;/p&gt;&lt;div style="clear: both;"&gt;&lt;/div&gt;&lt;/div&gt;&lt;div&gt;&lt;h5&gt;&lt;b&gt;School &lt;/b&gt;conjuration (healing); &lt;b&gt;Level &lt;/b&gt;cleric/oracle 4 (Irori)&lt;/h5&gt;&lt;/div&gt;&lt;hr/&gt;&lt;div&gt;&lt;h5&gt;&lt;b&gt;CASTING&lt;/b&gt;&lt;/h5&gt;&lt;/div&gt;&lt;hr/&gt;&lt;div&gt;&lt;h5&gt;&lt;b&gt;Casting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pool.&lt;/p&gt;&lt;/h4&gt;&lt;/div&gt;</t>
  </si>
  <si>
    <t>Rovagug's Fury</t>
  </si>
  <si>
    <t>adept 2, cleric/oracle 2, inquisitor 2, sorcerer/wizard 2, witch 2</t>
  </si>
  <si>
    <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t>
  </si>
  <si>
    <t>&lt;p&gt;You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discretion.&lt;/p&gt;</t>
  </si>
  <si>
    <t>&lt;link rel="stylesheet"href="PF.css"&gt;&lt;div class="heading"&gt;&lt;p class="alignleft"&gt;Rovagug's Fury&lt;/p&gt;&lt;div style="clear: both;"&gt;&lt;/div&gt;&lt;/div&gt;&lt;div&gt;&lt;h5&gt;&lt;b&gt;School &lt;/b&gt;transmutation; &lt;b&gt;Level &lt;/b&gt;adept 2, cleric/oracle 2, inquisitor 2, sorcerer/wizard 2, witch 2 (Rovagug)&lt;/h5&gt;&lt;/div&gt;&lt;hr/&gt;&lt;div&gt;&lt;h5&gt;&lt;b&gt;CASTING&lt;/b&gt;&lt;/h5&gt;&lt;/div&gt;&lt;hr/&gt;&lt;div&gt;&lt;h5&gt;&lt;b&gt;Casting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&lt;/b&gt;none; &lt;b&gt;Spell Resistance &lt;/b&gt;yes&lt;/h5&gt;&lt;/div&gt;&lt;hr/&gt;&lt;div&gt;&lt;h5&gt;&lt;b&gt;DESCRIPTION&lt;/b&gt;&lt;/h5&gt;&lt;/div&gt;&lt;hr/&gt;&lt;div&gt;&lt;h4&gt;&lt;p&gt;You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discretion.&lt;/p&gt;&lt;/h4&gt;&lt;/div&gt;</t>
  </si>
  <si>
    <t>Secret Speech</t>
  </si>
  <si>
    <t>bard 1, cleric/oracle 2, inquisitor 1, sorcerer/wizard 2</t>
  </si>
  <si>
    <t>no (harmless)</t>
  </si>
  <si>
    <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  The secret message is considered to be in the same language the target is speaking, and intended recipients hear and understand both the actual speech and the secret message. The target can make itself understood as far as its voice carries.  For example, at a fancy noble's wedding, a jealous former suitor casts this spell on himself before making a speech.  Everyone hears his glowing words of praise, but only his allies hear his secret message instructing them to attack the groom.</t>
  </si>
  <si>
    <t>&lt;p&gt;This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listeners.&lt;/p&gt;&lt;p&gt;The secret message is considered to be in the same language the target is speaking, and intended recipients hear and understand both the actual speech and the secret message. The target can make itself understood as far as its voice carries.&lt;/p&gt;&lt;p&gt;For example, at a fancy noble's wedding, a jealous former suitor casts this spell on himself before making a speech.&lt;/p&gt;&lt;p&gt;Everyone hears his glowing words of praise, but only his allies hear his secret message instructing them to attack the groom.&lt;/p&gt;</t>
  </si>
  <si>
    <t>&lt;link rel="stylesheet"href="PF.css"&gt;&lt;div class="heading"&gt;&lt;p class="alignleft"&gt;Secret Speech&lt;/p&gt;&lt;div style="clear: both;"&gt;&lt;/div&gt;&lt;/div&gt;&lt;div&gt;&lt;h5&gt;&lt;b&gt;School &lt;/b&gt;divination; &lt;b&gt;Level &lt;/b&gt;bard 1, cleric/oracle 2, inquisitor 1, sorcerer/wizard 2 (Calistria)&lt;/h5&gt;&lt;/div&gt;&lt;hr/&gt;&lt;div&gt;&lt;h5&gt;&lt;b&gt;CASTING&lt;/b&gt;&lt;/h5&gt;&lt;/div&gt;&lt;hr/&gt;&lt;div&gt;&lt;h5&gt;&lt;b&gt;Casting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&lt;/b&gt;Will negates (harmless); &lt;b&gt;Spell Resistance &lt;/b&gt;no (harmless)&lt;/h5&gt;&lt;/div&gt;&lt;hr/&gt;&lt;div&gt;&lt;h5&gt;&lt;b&gt;DESCRIPTION&lt;/b&gt;&lt;/h5&gt;&lt;/div&gt;&lt;hr/&gt;&lt;div&gt;&lt;h4&gt;&lt;p&gt;This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listeners.&lt;/p&gt;&lt;p&gt;The secret message is considered to be in the same language the target is speaking, and intended recipients hear and understand both the actual speech and the secret message. The target can make itself understood as far as its voice carries.&lt;/p&gt;&lt;p&gt;For example, at a fancy noble's wedding, a jealous former suitor casts this spell on himself before making a speech.&lt;/p&gt;&lt;p&gt;Everyone hears his glowing words of praise, but only his allies hear his secret message instructing them to attack the groom.&lt;/p&gt;&lt;/h4&gt;&lt;/div&gt;</t>
  </si>
  <si>
    <t>Calistria</t>
  </si>
  <si>
    <t>Seducer's Eyes</t>
  </si>
  <si>
    <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t>
  </si>
  <si>
    <t>&lt;p&gt;You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threatening.&lt;/p&gt;</t>
  </si>
  <si>
    <t>&lt;link rel="stylesheet"href="PF.css"&gt;&lt;div class="heading"&gt;&lt;p class="alignleft"&gt;Seducer's Eyes&lt;/p&gt;&lt;div style="clear: both;"&gt;&lt;/div&gt;&lt;/div&gt;&lt;div&gt;&lt;h5&gt;&lt;b&gt;School &lt;/b&gt;enchantment (charm) [mind-affecting]; &lt;b&gt;Level &lt;/b&gt;bard 2, sorcerer/wizard 2, witch 2 (Calistria)&lt;/h5&gt;&lt;/div&gt;&lt;hr/&gt;&lt;div&gt;&lt;h5&gt;&lt;b&gt;CASTING&lt;/b&gt;&lt;/h5&gt;&lt;/div&gt;&lt;hr/&gt;&lt;div&gt;&lt;h5&gt;&lt;b&gt;Casting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threatening.&lt;/p&gt;&lt;/h4&gt;&lt;/div&gt;</t>
  </si>
  <si>
    <t>Shared Sacrifice</t>
  </si>
  <si>
    <t>antipaladin 3, cleric/oracle 2, summoner 3, witch 2</t>
  </si>
  <si>
    <t>You create a link to a target and can direct pain and damage through this link. You take only half damage from effects and attacks that deal hit point damage.  The target of this spell takes the remainder of the damage.  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  If you and the target of the spell move out of range of each other, the spell immediately ends.</t>
  </si>
  <si>
    <t>&lt;p&gt;You create a link to a target and can direct pain and damage through this link. You take only half damage from effects and attacks that deal hit point damage.&lt;/p&gt;&lt;p&gt;The target of this spell takes the remainder of the damage.&lt;/p&gt;&lt;p&gt;Forms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you.&lt;/p&gt;&lt;p&gt;If you and the target of the spell move out of range of each other, the spell immediately ends.&lt;/p&gt;</t>
  </si>
  <si>
    <t>&lt;link rel="stylesheet"href="PF.css"&gt;&lt;div class="heading"&gt;&lt;p class="alignleft"&gt;Shared Sacrifice&lt;/p&gt;&lt;div style="clear: both;"&gt;&lt;/div&gt;&lt;/div&gt;&lt;div&gt;&lt;h5&gt;&lt;b&gt;School &lt;/b&gt;necromancy [evil]; &lt;b&gt;Level &lt;/b&gt;antipaladin 3, cleric/oracle 2, summoner 3, witch 2 (Asmodeus)&lt;/h5&gt;&lt;/div&gt;&lt;hr/&gt;&lt;div&gt;&lt;h5&gt;&lt;b&gt;CASTING&lt;/b&gt;&lt;/h5&gt;&lt;/div&gt;&lt;hr/&gt;&lt;div&gt;&lt;h5&gt;&lt;b&gt;Casting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 link to a target and can direct pain and damage through this link. You take only half damage from effects and attacks that deal hit point damage.&lt;/p&gt;&lt;p&gt;The target of this spell takes the remainder of the damage.&lt;/p&gt;&lt;p&gt;Forms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you.&lt;/p&gt;&lt;p&gt;If you and the target of the spell move out of range of each other, the spell immediately ends.&lt;/p&gt;&lt;/h4&gt;&lt;/div&gt;</t>
  </si>
  <si>
    <t>Shield Of The Dawnflower, Greater</t>
  </si>
  <si>
    <t>bard 6, cleric/oracle 6, magus 6</t>
  </si>
  <si>
    <t>You create a disk of sunlight on one arm. Any creature that strikes you with a melee attack deals normal damage, but also takes 1d6 points of damage + 1 point per caster level. Half of this damage is fire damage and half is holy damage (as the spell flame strike). An undead creature or a creature particularly vulnerable to light that hits you instead takes 2d6 points of damage +1 point per caster level. Creatures with reach weapons are not subject to this damage if they attack you. The shield provides illumination equivalent to a daylight spell. You can have only one instance of this spell in effect at a time. It does not stack with similar damaging aura spells such as fire shield or shield of the Dawnflower (The Inner Sea World Guide 296).</t>
  </si>
  <si>
    <t>&lt;p&gt;You create a disk of sunlight on one arm. Any creature that strikes you with a melee attack deals normal damage, but also takes 1d6 points of damage + 1 point per caster level. Half of this damage is fire damage and half is holy damage (as the spell &lt;i&gt;flame&lt;/i&gt; strike). An undead creature or a creature particularly vulnerable to light that hits you instead takes 2d6 points of damage +1 point per caster level. Creatures with reach weapons are not subject to this damage if they attack you. The shield provides illumination equivalent to a &lt;i&gt;daylight&lt;/i&gt; spell. You can have only one instance of this spell in effect at a time. It does not stack with similar damaging aura spells such as &lt;i&gt;fire shield&lt;/i&gt; or &lt;i&gt;shield of the&lt;/i&gt; &lt;i&gt;&lt;b&gt;Dawnflower&lt;/b&gt;&lt;/i&gt; (The &lt;i&gt;Inner Sea World Guide&lt;/i&gt; 296).&lt;/p&gt;</t>
  </si>
  <si>
    <t>&lt;link rel="stylesheet"href="PF.css"&gt;&lt;div class="heading"&gt;&lt;p class="alignleft"&gt;Shield Of The Dawnflower, Greater&lt;/p&gt;&lt;div style="clear: both;"&gt;&lt;/div&gt;&lt;/div&gt;&lt;div&gt;&lt;h5&gt;&lt;b&gt;School &lt;/b&gt;evocation [fire, good, light]; &lt;b&gt;Level &lt;/b&gt;bard 6, cleric/oracle 6, magus 6 (Sarenrae)&lt;/h5&gt;&lt;/div&gt;&lt;hr/&gt;&lt;div&gt;&lt;h5&gt;&lt;b&gt;CASTING&lt;/b&gt;&lt;/h5&gt;&lt;/div&gt;&lt;hr/&gt;&lt;div&gt;&lt;h5&gt;&lt;b&gt;Casting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round/level&lt;/h5&gt;&lt;/div&gt;&lt;hr/&gt;&lt;div&gt;&lt;h5&gt;&lt;b&gt;DESCRIPTION&lt;/b&gt;&lt;/h5&gt;&lt;/div&gt;&lt;hr/&gt;&lt;div&gt;&lt;h4&gt;&lt;p&gt;You create a disk of sunlight on one arm. Any creature that strikes you with a melee attack deals normal damage, but also takes 1d6 points of damage + 1 point per caster level. Half of this damage is fire damage and half is holy damage (as the spell &lt;i&gt;flame&lt;/i&gt; strike). An undead creature or a creature particularly vulnerable to light that hits you instead takes 2d6 points of damage +1 point per caster level. Creatures with reach weapons are not subject to this damage if they attack you. The shield provides illumination equivalent to a &lt;i&gt;daylight&lt;/i&gt; spell. You can have only one instance of this spell in effect at a time. It does not stack with similar damaging aura spells such as &lt;i&gt;fire shield&lt;/i&gt; or &lt;i&gt;shield of the Dawnflower&lt;/i&gt; (The &lt;i&gt;Inner Sea World Guide&lt;/i&gt; 296).&lt;/p&gt;&lt;/h4&gt;&lt;/div&gt;</t>
  </si>
  <si>
    <t>Sarenrae</t>
  </si>
  <si>
    <t>Sky Swim</t>
  </si>
  <si>
    <t>cleric/oracle 3, druid 3, witch 3</t>
  </si>
  <si>
    <t>Large or smaller creature touched</t>
  </si>
  <si>
    <t>This spell grants the target the ability to swim through the air.  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(Core Rulebook 439). This spell does not grant the ability to breathe air to creatures that normally can't.</t>
  </si>
  <si>
    <t>&lt;p&gt;This spell grants the target the ability to swim through the air.&lt;/p&gt;&lt;p&gt;If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(&lt;i&gt;Core Rulebook&lt;/i&gt; 439). This spell does not grant the ability to breathe air to creatures that normally can't.&lt;/p&gt;</t>
  </si>
  <si>
    <t>&lt;link rel="stylesheet"href="PF.css"&gt;&lt;div class="heading"&gt;&lt;p class="alignleft"&gt;Sky Swim&lt;/p&gt;&lt;div style="clear: both;"&gt;&lt;/div&gt;&lt;/div&gt;&lt;div&gt;&lt;h5&gt;&lt;b&gt;School &lt;/b&gt;transmutation [air]; &lt;b&gt;Level &lt;/b&gt;cleric/oracle 3, druid 3, witch 3 (Gozreh)&lt;/h5&gt;&lt;/div&gt;&lt;hr/&gt;&lt;div&gt;&lt;h5&gt;&lt;b&gt;CASTING&lt;/b&gt;&lt;/h5&gt;&lt;/div&gt;&lt;hr/&gt;&lt;div&gt;&lt;h5&gt;&lt;b&gt;Casting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&lt;/b&gt;Large or smaller creature touched&lt;/h5&gt;&lt;h5&gt;&lt;b&gt;Duration &lt;/b&gt;1 minute/level&lt;/h5&gt;&lt;h5&gt;&lt;b&gt;Saving Throw &lt;/b&gt;none (harmless); &lt;b&gt;Spell Resistance &lt;/b&gt;yes (harmless)&lt;/h5&gt;&lt;/div&gt;&lt;hr/&gt;&lt;div&gt;&lt;h5&gt;&lt;b&gt;DESCRIPTION&lt;/b&gt;&lt;/h5&gt;&lt;/div&gt;&lt;hr/&gt;&lt;div&gt;&lt;h4&gt;&lt;p&gt;This spell grants the target the ability to swim through the air.&lt;/p&gt;&lt;p&gt;If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(&lt;i&gt;Core Rulebook&lt;/i&gt; 439). This spell does not grant the ability to breathe air to creatures that normally can't.&lt;/p&gt;&lt;/h4&gt;&lt;/div&gt;</t>
  </si>
  <si>
    <t>Smite Abomination</t>
  </si>
  <si>
    <t>cleric/oracle 5, inquisitor 4</t>
  </si>
  <si>
    <t>Drawing upon positive energy, you emulate some of a paladin's power to smite undead. Choose one undead creature as your target.  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t>
  </si>
  <si>
    <t>&lt;p&gt;Drawing upon positive energy, you emulate some of a paladin's power to smite undead. Choose one undead creature as your target.&lt;/p&gt;&lt;p&gt;Your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smite.&lt;/p&gt;</t>
  </si>
  <si>
    <t>&lt;link rel="stylesheet"href="PF.css"&gt;&lt;div class="heading"&gt;&lt;p class="alignleft"&gt;Smite Abomination&lt;/p&gt;&lt;div style="clear: both;"&gt;&lt;/div&gt;&lt;/div&gt;&lt;div&gt;&lt;h5&gt;&lt;b&gt;School &lt;/b&gt;evocation; &lt;b&gt;Level &lt;/b&gt;cleric/oracle 5, inquisitor 4 (Pharasma)&lt;/h5&gt;&lt;/div&gt;&lt;hr/&gt;&lt;div&gt;&lt;h5&gt;&lt;b&gt;CASTING&lt;/b&gt;&lt;/h5&gt;&lt;/div&gt;&lt;hr/&gt;&lt;div&gt;&lt;h5&gt;&lt;b&gt;Casting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round/level&lt;/h5&gt;&lt;/div&gt;&lt;hr/&gt;&lt;div&gt;&lt;h5&gt;&lt;b&gt;DESCRIPTION&lt;/b&gt;&lt;/h5&gt;&lt;/div&gt;&lt;hr/&gt;&lt;div&gt;&lt;h4&gt;&lt;p&gt;Drawing upon positive energy, you emulate some of a paladin's power to smite undead. Choose one undead creature as your target.&lt;/p&gt;&lt;p&gt;Your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smite.&lt;/p&gt;&lt;/h4&gt;&lt;/div&gt;</t>
  </si>
  <si>
    <t>Spawn Calling</t>
  </si>
  <si>
    <t>1 week</t>
  </si>
  <si>
    <t>V, S, M/DF (bull's blood, tallow, one or more humanoid victims totaling at least 15 Hit Dice)</t>
  </si>
  <si>
    <t>Having attained the highest and most profane form of magical achievement in the Great Destroyer's service, you are able to call forth his most dreaded creations: the Spawn of Rovagug.  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  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  At the beginning of your next turn, a massive fissure full of dark fire and shrieking cries appears at a point you designate within the spell's range, and a Spawn of Rovagug emerges.  This creature takes the form of a thunder behemoth (Pathfinder RPG Bestiary 3 39) with the advanced and entropic simple templates. Unlike with summon monster or similar spells, the caster has no control whatsoever over the called creature. The spawn immediately heads in a random direction or toward an obvious target such as a population center, destroying anything in its path, yourself and your allies included.  Any creature may attempt to control the called Spawn of Rovagug via spells like dominate monster or binding.  However, if such an attempt fails, it draws the spawn's attention, and the monster immediately tries to destroy the creature that attempted to control it.  Because the Spawn of Rovagug are all magical beasts native to the Material Plane, spells such as banishment or dismissal have no effect on the called spawn.</t>
  </si>
  <si>
    <t>&lt;p&gt;Having attained the highest and most profane form of magical achievement in the Great Destroyer's service, you are able to call forth his most dreaded creations: the Spawn of Rovagug.&lt;/p&gt;&lt;p&gt;Casting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sleep.&lt;/p&gt;&lt;p&gt;Upon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prone.&lt;/p&gt;&lt;p&gt;At the beginning of your next turn, a massive fissure full of dark fire and shrieking cries appears at a point you designate within the spell's range, and a Spawn of Rovagug emerges.&lt;/p&gt;&lt;p&gt;This creature takes the form of a thunder behemoth (&lt;i&gt;&lt;i&gt;Pathfinder RPG Bestiary&lt;/i&gt; 3&lt;/i&gt; 39) with the advanced and entropic simple templates. Unlike with &lt;i&gt;summon monster&lt;/i&gt; or similar spells, the caster has no control whatsoever over the called creature. The spawn immediately heads in a random direction or toward an obvious target such as a population center, destroying anything in its path, yourself and your allies included.&lt;/p&gt;&lt;p&gt;Any creature may attempt to control the called Spawn of Rovagug via spells like &lt;i&gt;dominate monster&lt;/i&gt; or &lt;i&gt;binding&lt;/i&gt;.&lt;/p&gt;&lt;p&gt;However, if such an attempt fails, it draws the spawn's attention, and the monster immediately tries to destroy the creature that attempted to control it.&lt;/p&gt;&lt;p&gt;Because the Spawn of Rovagug are all magical beasts native to the Material Plane, spells such as &lt;i&gt;banishment&lt;/i&gt; or &lt;i&gt;dismissal&lt;/i&gt; have no effect on the called spawn.&lt;/p&gt;</t>
  </si>
  <si>
    <t>&lt;link rel="stylesheet"href="PF.css"&gt;&lt;div class="heading"&gt;&lt;p class="alignleft"&gt;Spawn Calling&lt;/p&gt;&lt;div style="clear: both;"&gt;&lt;/div&gt;&lt;/div&gt;&lt;div&gt;&lt;h5&gt;&lt;b&gt;School &lt;/b&gt;conjuration (calling) [chaotic, evil]; &lt;b&gt;Level &lt;/b&gt;cleric/oracle 9, sorcerer/wizard 9, witch 9 (Rovagug)&lt;/h5&gt;&lt;/div&gt;&lt;hr/&gt;&lt;div&gt;&lt;h5&gt;&lt;b&gt;CASTING&lt;/b&gt;&lt;/h5&gt;&lt;/div&gt;&lt;hr/&gt;&lt;div&gt;&lt;h5&gt;&lt;b&gt;Casting Time &lt;/b&gt;1 week&lt;/h5&gt;&lt;h5&gt;&lt;b&gt;Components &lt;/b&gt;V, S, M/DF (bull's blood, tallow, one or more humanoid victims totaling at least 15 Hit Dice)&lt;/h5&gt;&lt;/div&gt;&lt;hr/&gt;&lt;div&gt;&lt;h5&gt;&lt;b&gt;EFFECT&lt;/b&gt;&lt;/h5&gt;&lt;/div&gt;&lt;hr/&gt;&lt;div&gt;&lt;h5&gt;&lt;b&gt;Range &lt;/b&gt;medium (100 ft. + 10 ft./level)&lt;/h5&gt;&lt;h5&gt;&lt;b&gt;Duration &lt;/b&gt;instantaneous&lt;/h5&gt;&lt;h5&gt;&lt;b&gt;Saving Throw &lt;/b&gt;none; &lt;b&gt;Spell Resistance &lt;/b&gt;no&lt;/h5&gt;&lt;/div&gt;&lt;hr/&gt;&lt;div&gt;&lt;h5&gt;&lt;b&gt;DESCRIPTION&lt;/b&gt;&lt;/h5&gt;&lt;/div&gt;&lt;hr/&gt;&lt;div&gt;&lt;h4&gt;&lt;p&gt;Having attained the highest and most profane form of magical achievement in the Great Destroyer's service, you are able to call forth his most dreaded creations: the Spawn of Rovagug.&lt;/p&gt;&lt;p&gt;Casting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sleep.&lt;/p&gt;&lt;p&gt;Upon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prone.&lt;/p&gt;&lt;p&gt;At the beginning of your next turn, a massive fissure full of dark fire and shrieking cries appears at a point you designate within the spell's range, and a Spawn of Rovagug emerges.&lt;/p&gt;&lt;p&gt;This creature takes the form of a thunder behemoth (&lt;i&gt;&lt;i&gt;Pathfinder RPG Bestiary&lt;/i&gt; 3&lt;/i&gt; 39) with the advanced and entropic simple templates. Unlike with &lt;i&gt;summon monster&lt;/i&gt; or similar spells, the caster has no control whatsoever over the called creature. The spawn immediately heads in a random direction or toward an obvious target such as a population center, destroying anything in its path, yourself and your allies included.&lt;/p&gt;&lt;p&gt;Any creature may attempt to control the called Spawn of Rovagug via spells like &lt;i&gt;dominate monster&lt;/i&gt; or &lt;i&gt;binding&lt;/i&gt;.&lt;/p&gt;&lt;p&gt;However, if such an attempt fails, it draws the spawn's attention, and the monster immediately tries to destroy the creature that attempted to control it.&lt;/p&gt;&lt;p&gt;Because the Spawn of Rovagug are all magical beasts native to the Material Plane, spells such as &lt;i&gt;banishment&lt;/i&gt; or &lt;i&gt;dismissal&lt;/i&gt; have no effect on the called spawn.&lt;/p&gt;&lt;/h4&gt;&lt;h5&gt;&lt;b&gt;Mythic: &lt;/b&gt;When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 per point of Challenge Rating thespecified spawn represents above CR 20. Thesemust be expended on the final day of the week-longritual to cast the spell.&lt;/h5&gt;&lt;/div&gt;</t>
  </si>
  <si>
    <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 per point of Challenge Rating thespecified spawn represents above CR 20. Thesemust be expended on the final day of the week-longritual to cast the spell.</t>
  </si>
  <si>
    <t>Spell Gauge</t>
  </si>
  <si>
    <t>bard 2, cleric/oracle 2, inquisitor 2, sorcerer/wizard 2, witch 2</t>
  </si>
  <si>
    <t>V, S, F (a silver piece)</t>
  </si>
  <si>
    <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t>
  </si>
  <si>
    <t>&lt;p&gt;You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effect.&lt;/p&gt;</t>
  </si>
  <si>
    <t>&lt;link rel="stylesheet"href="PF.css"&gt;&lt;div class="heading"&gt;&lt;p class="alignleft"&gt;Spell Gauge&lt;/p&gt;&lt;div style="clear: both;"&gt;&lt;/div&gt;&lt;/div&gt;&lt;div&gt;&lt;h5&gt;&lt;b&gt;School &lt;/b&gt;divination [mind-affecting]; &lt;b&gt;Level &lt;/b&gt;bard 2, cleric/oracle 2, inquisitor 2, sorcerer/wizard 2, witch 2 (Nethys)&lt;/h5&gt;&lt;/div&gt;&lt;hr/&gt;&lt;div&gt;&lt;h5&gt;&lt;b&gt;CASTING&lt;/b&gt;&lt;/h5&gt;&lt;/div&gt;&lt;hr/&gt;&lt;div&gt;&lt;h5&gt;&lt;b&gt;Casting Time &lt;/b&gt;1 standard action&lt;/h5&gt;&lt;h5&gt;&lt;b&gt;Components &lt;/b&gt;V, S, F (a silver piece)&lt;/h5&gt;&lt;/div&gt;&lt;hr/&gt;&lt;div&gt;&lt;h5&gt;&lt;b&gt;EFFECT&lt;/b&gt;&lt;/h5&gt;&lt;/div&gt;&lt;hr/&gt;&lt;div&gt;&lt;h5&gt;&lt;b&gt;Range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effect.&lt;/p&gt;&lt;/h4&gt;&lt;/div&gt;</t>
  </si>
  <si>
    <t>Spell Scourge</t>
  </si>
  <si>
    <t>instantaneous or 1d4 rounds; see text</t>
  </si>
  <si>
    <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t>
  </si>
  <si>
    <t>&lt;p&gt;A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rounds.&lt;/p&gt;</t>
  </si>
  <si>
    <t>&lt;link rel="stylesheet"href="PF.css"&gt;&lt;div class="heading"&gt;&lt;p class="alignleft"&gt;Spell Scourge&lt;/p&gt;&lt;div style="clear: both;"&gt;&lt;/div&gt;&lt;/div&gt;&lt;div&gt;&lt;h5&gt;&lt;b&gt;School &lt;/b&gt;abjuration; &lt;b&gt;Level &lt;/b&gt;cleric/oracle 7, sorcerer/wizard 7, witch 7 (Nethys)&lt;/h5&gt;&lt;/div&gt;&lt;hr/&gt;&lt;div&gt;&lt;h5&gt;&lt;b&gt;CASTING&lt;/b&gt;&lt;/h5&gt;&lt;/div&gt;&lt;hr/&gt;&lt;div&gt;&lt;h5&gt;&lt;b&gt;Casting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or 1d4 rounds; see text&lt;/h5&gt;&lt;h5&gt;&lt;b&gt;Saving Throw &lt;/b&gt;Will negates; &lt;b&gt;Spell Resistance &lt;/b&gt;yes&lt;/h5&gt;&lt;/div&gt;&lt;hr/&gt;&lt;div&gt;&lt;h5&gt;&lt;b&gt;DESCRIPTION&lt;/b&gt;&lt;/h5&gt;&lt;/div&gt;&lt;hr/&gt;&lt;div&gt;&lt;h4&gt;&lt;p&gt;A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rounds.&lt;/p&gt;&lt;/h4&gt;&lt;/div&gt;</t>
  </si>
  <si>
    <t>Symbol Of Debauchery</t>
  </si>
  <si>
    <t>bard 6, cleric/oracle 8, sorcerer/wizard 8, witch 8</t>
  </si>
  <si>
    <t>V, S, M (a set of bull genitals and powdered ruby worth 5,000 gp)</t>
  </si>
  <si>
    <t>You conjure a sizable symbol into being, a rune suggestive of bloated bodies, flung food, and flowing wine. This spell functions as symbol of death, except that all creatures within 60 feet of the symbol of debauchery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symbol of debauchery is triggered to negate the effect. If no other creatures are visible, an affected creature may act normally.</t>
  </si>
  <si>
    <t>&lt;p&gt;You conjure a sizable symbol into being, a rune suggestive of bloated bodies, flung food, and flowing wine. This spell functions as &lt;i&gt;symbol of death&lt;/i&gt;, except that all creatures within 60 feet of the &lt;i&gt;symbol of debauchery&lt;/i&gt;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&lt;i&gt;symbol of debauchery&lt;/i&gt; is triggered to negate the effect. If no other creatures are visible, an affected creature may act normally.&lt;/p&gt;</t>
  </si>
  <si>
    <t>&lt;link rel="stylesheet"href="PF.css"&gt;&lt;div class="heading"&gt;&lt;p class="alignleft"&gt;Symbol Of Debauchery&lt;/p&gt;&lt;div style="clear: both;"&gt;&lt;/div&gt;&lt;/div&gt;&lt;div&gt;&lt;h5&gt;&lt;b&gt;School &lt;/b&gt;enchantment (compulsion) [emotion, mind-affecting]; &lt;b&gt;Level &lt;/b&gt;bard 6, cleric/oracle 8, sorcerer/wizard 8, witch 8&lt;/h5&gt;&lt;/div&gt;&lt;hr/&gt;&lt;div&gt;&lt;h5&gt;&lt;b&gt;CASTING&lt;/b&gt;&lt;/h5&gt;&lt;/div&gt;&lt;hr/&gt;&lt;div&gt;&lt;h5&gt;&lt;b&gt;Casting Time &lt;/b&gt;10 minutes&lt;/h5&gt;&lt;h5&gt;&lt;b&gt;Components &lt;/b&gt;V, S, M (a set of bull genitals and powdered ruby worth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&lt;/b&gt;yes&lt;/h5&gt;&lt;/div&gt;&lt;hr/&gt;&lt;div&gt;&lt;h5&gt;&lt;b&gt;DESCRIPTION&lt;/b&gt;&lt;/h5&gt;&lt;/div&gt;&lt;hr/&gt;&lt;div&gt;&lt;h4&gt;&lt;p&gt;You conjure a sizable symbol into being, a rune suggestive of bloated bodies, flung food, and flowing wine. This spell functions as &lt;i&gt;symbol of death&lt;/i&gt;, except that all creatures within 60 feet of the &lt;i&gt;symbol of debauchery&lt;/i&gt;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&lt;i&gt;symbol of debauchery&lt;/i&gt; is triggered to negate the effect. If no other creatures are visible, an affected creature may act normally.&lt;/p&gt;&lt;/h4&gt;&lt;/div&gt;</t>
  </si>
  <si>
    <t>Symbol Of Dispelling</t>
  </si>
  <si>
    <t>V, S, M (pure grain alcohol and powdered diamond worth 5,000 gp)</t>
  </si>
  <si>
    <t>This spell functions as symbol of death, except that all creatures within 40 feet of the symbol of dispelling are instead affected as if by the area dispel function of greater dispel magic.  Attempt a dispel check when casting symbol of dispelling.  Once the symbol is triggered, apply the result of that check to each creature in the area, as well as each object that is the target of one or more spells. Unlike symbol of death, symbol of dispelling grants no saving throws, and it is not subject to spell resistance.</t>
  </si>
  <si>
    <t>&lt;p&gt;This spell functions as &lt;i&gt;symbol of death&lt;/i&gt;, except that all creatures within 40 feet of the &lt;i&gt;symbol of dispelling&lt;/i&gt; are instead affected as if by the area dispel function of &lt;i&gt;greater dispel magic&lt;/i&gt;.&lt;/p&gt;&lt;p&gt;Attempt a dispel check when casting &lt;i&gt;symbol of dispelling&lt;/i&gt;.&lt;/p&gt;&lt;p&gt;Once the symbol is triggered, apply the result of that check to each creature in the area, as well as each object that is the target of one or more spells. Unlike &lt;i&gt;symbol of death&lt;/i&gt;, &lt;i&gt;symbol of dispelling&lt;/i&gt; grants no saving throws, and it is not subject to spell resistance.&lt;/p&gt;</t>
  </si>
  <si>
    <t>&lt;link rel="stylesheet"href="PF.css"&gt;&lt;div class="heading"&gt;&lt;p class="alignleft"&gt;Symbol Of Dispelling&lt;/p&gt;&lt;div style="clear: both;"&gt;&lt;/div&gt;&lt;/div&gt;&lt;div&gt;&lt;h5&gt;&lt;b&gt;School &lt;/b&gt;abjuration; &lt;b&gt;Level &lt;/b&gt;cleric/oracle 8, sorcerer/wizard 8, witch 8&lt;/h5&gt;&lt;/div&gt;&lt;hr/&gt;&lt;div&gt;&lt;h5&gt;&lt;b&gt;CASTING&lt;/b&gt;&lt;/h5&gt;&lt;/div&gt;&lt;hr/&gt;&lt;div&gt;&lt;h5&gt;&lt;b&gt;Casting Time &lt;/b&gt;10 minutes&lt;/h5&gt;&lt;h5&gt;&lt;b&gt;Components &lt;/b&gt;V, S, M (pure grain alcohol and powdered diamond worth 5,000 gp)&lt;/h5&gt;&lt;/div&gt;&lt;hr/&gt;&lt;div&gt;&lt;h5&gt;&lt;b&gt;EFFECT&lt;/b&gt;&lt;/h5&gt;&lt;/div&gt;&lt;hr/&gt;&lt;div&gt;&lt;h5&gt;&lt;b&gt;Range &lt;/b&gt;0 ft.; see text&lt;/h5&gt;&lt;h5&gt;&lt;b&gt;Effect &lt;/b&gt;one symbol&lt;/h5&gt;&lt;h5&gt;&lt;b&gt;Duration &lt;/b&gt;instantaneous&lt;/h5&gt;&lt;h5&gt;&lt;b&gt;Saving Throw &lt;/b&gt;none; &lt;b&gt;Spell Resistance &lt;/b&gt;no&lt;/h5&gt;&lt;/div&gt;&lt;hr/&gt;&lt;div&gt;&lt;h5&gt;&lt;b&gt;DESCRIPTION&lt;/b&gt;&lt;/h5&gt;&lt;/div&gt;&lt;hr/&gt;&lt;div&gt;&lt;h4&gt;&lt;p&gt;This spell functions as &lt;i&gt;symbol of death&lt;/i&gt;, except that all creatures within 40 feet of the &lt;i&gt;symbol of dispelling&lt;/i&gt; are instead affected as if by the area dispel function of &lt;i&gt;greater dispel magic&lt;/i&gt;.&lt;/p&gt;&lt;p&gt;Attempt a dispel check when casting &lt;i&gt;symbol of dispelling&lt;/i&gt;.&lt;/p&gt;&lt;p&gt;Once the symbol is triggered, apply the result of that check to each creature in the area, as well as each object that is the target of one or more spells. Unlike &lt;i&gt;symbol of death&lt;/i&gt;, &lt;i&gt;symbol of dispelling&lt;/i&gt; grants no saving throws, and it is not subject to spell resistance.&lt;/p&gt;&lt;/h4&gt;&lt;/div&gt;</t>
  </si>
  <si>
    <t>Tap Inner Beauty</t>
  </si>
  <si>
    <t>bard 1, cleric/oracle 1, witch 1</t>
  </si>
  <si>
    <t>V, M (a tiny mirror)</t>
  </si>
  <si>
    <t>This spell allows you to tap into the natural beauty of your soul and let it shine from your eyes and your speech. While the spell is active, you gain a +2 insight bonus on all Charisma ability checks and Charisma-based skill checks.</t>
  </si>
  <si>
    <t>&lt;p&gt;This spell allows you to tap into the natural beauty of your soul and let it shine from your eyes and your speech. While the spell is active, you gain a +2 insight bonus on all Charisma ability checks and Charisma-based skill checks.&lt;/p&gt;</t>
  </si>
  <si>
    <t>&lt;link rel="stylesheet"href="PF.css"&gt;&lt;div class="heading"&gt;&lt;p class="alignleft"&gt;Tap Inner Beauty&lt;/p&gt;&lt;div style="clear: both;"&gt;&lt;/div&gt;&lt;/div&gt;&lt;div&gt;&lt;h5&gt;&lt;b&gt;School &lt;/b&gt;divination; &lt;b&gt;Level &lt;/b&gt;bard 1, cleric/oracle 1, witch 1 (Shelyn)&lt;/h5&gt;&lt;/div&gt;&lt;hr/&gt;&lt;div&gt;&lt;h5&gt;&lt;b&gt;CASTING&lt;/b&gt;&lt;/h5&gt;&lt;/div&gt;&lt;hr/&gt;&lt;div&gt;&lt;h5&gt;&lt;b&gt;Casting Time &lt;/b&gt;1 standard action&lt;/h5&gt;&lt;h5&gt;&lt;b&gt;Components &lt;/b&gt;V, M (a tiny mirror)&lt;/h5&gt;&lt;/div&gt;&lt;hr/&gt;&lt;div&gt;&lt;h5&gt;&lt;b&gt;EFFECT&lt;/b&gt;&lt;/h5&gt;&lt;/div&gt;&lt;hr/&gt;&lt;div&gt;&lt;h5&gt;&lt;b&gt;Range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allows you to tap into the natural beauty of your soul and let it shine from your eyes and your speech. While the spell is active, you gain a +2 insight bonus on all Charisma ability checks and Charisma-based skill checks.&lt;/p&gt;&lt;/h4&gt;&lt;/div&gt;</t>
  </si>
  <si>
    <t>Touch Of Bloodletting</t>
  </si>
  <si>
    <t>antipaladin 2, cleric/oracle 1, druid 1, sorcerer/wizard 2, witch 2</t>
  </si>
  <si>
    <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t>
  </si>
  <si>
    <t>&lt;p&gt;This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spell.&lt;/p&gt;</t>
  </si>
  <si>
    <t>&lt;link rel="stylesheet"href="PF.css"&gt;&lt;div class="heading"&gt;&lt;p class="alignleft"&gt;Touch Of Bloodletting&lt;/p&gt;&lt;div style="clear: both;"&gt;&lt;/div&gt;&lt;/div&gt;&lt;div&gt;&lt;h5&gt;&lt;b&gt;School &lt;/b&gt;necromancy; &lt;b&gt;Level &lt;/b&gt;antipaladin 2, cleric/oracle 1, druid 1, sorcerer/wizard 2, witch 2 (Zon-Kuthon)&lt;/h5&gt;&lt;/div&gt;&lt;hr/&gt;&lt;div&gt;&lt;h5&gt;&lt;b&gt;CASTING&lt;/b&gt;&lt;/h5&gt;&lt;/div&gt;&lt;hr/&gt;&lt;div&gt;&lt;h5&gt;&lt;b&gt;Casting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&lt;/b&gt;Will negates; &lt;b&gt;Spell Resistance &lt;/b&gt;yes&lt;/h5&gt;&lt;/div&gt;&lt;hr/&gt;&lt;div&gt;&lt;h5&gt;&lt;b&gt;DESCRIPTION&lt;/b&gt;&lt;/h5&gt;&lt;/div&gt;&lt;hr/&gt;&lt;div&gt;&lt;h4&gt;&lt;p&gt;This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spell.&lt;/p&gt;&lt;/h4&gt;&lt;/div&gt;</t>
  </si>
  <si>
    <t>Tracking Mark</t>
  </si>
  <si>
    <t>druid 1, cleric/oracle 1, paladin 1, ranger 1</t>
  </si>
  <si>
    <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t>
  </si>
  <si>
    <t>&lt;p&gt;You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Disguise.&lt;/p&gt;</t>
  </si>
  <si>
    <t>&lt;link rel="stylesheet"href="PF.css"&gt;&lt;div class="heading"&gt;&lt;p class="alignleft"&gt;Tracking Mark&lt;/p&gt;&lt;div style="clear: both;"&gt;&lt;/div&gt;&lt;/div&gt;&lt;div&gt;&lt;h5&gt;&lt;b&gt;School &lt;/b&gt;evocation; &lt;b&gt;Level &lt;/b&gt;druid 1, cleric/oracle 1, paladin 1, ranger 1 (Erastil)&lt;/h5&gt;&lt;/div&gt;&lt;hr/&gt;&lt;div&gt;&lt;h5&gt;&lt;b&gt;CASTING&lt;/b&gt;&lt;/h5&gt;&lt;/div&gt;&lt;hr/&gt;&lt;div&gt;&lt;h5&gt;&lt;b&gt;Casting Time &lt;/b&gt;1 standard action&lt;/h5&gt;&lt;h5&gt;&lt;b&gt;Components &lt;/b&gt;S, DF&lt;/h5&gt;&lt;/div&gt;&lt;hr/&gt;&lt;div&gt;&lt;h5&gt;&lt;b&gt;EFFECT&lt;/b&gt;&lt;/h5&gt;&lt;/div&gt;&lt;hr/&gt;&lt;div&gt;&lt;h5&gt;&lt;b&gt;Range &lt;/b&gt;long (400 ft. + 40 ft./level)&lt;/h5&gt;&lt;h5&gt;&lt;b&gt;Targets &lt;/b&gt;one creature&lt;/h5&gt;&lt;h5&gt;&lt;b&gt;Duration &lt;/b&gt;10 minutes/level (D)&lt;/h5&gt;&lt;h5&gt;&lt;b&gt;Saving Throw &lt;/b&gt;Will negates; &lt;b&gt;Spell Resistance &lt;/b&gt;yes&lt;/h5&gt;&lt;/div&gt;&lt;hr/&gt;&lt;div&gt;&lt;h5&gt;&lt;b&gt;DESCRIPTION&lt;/b&gt;&lt;/h5&gt;&lt;/div&gt;&lt;hr/&gt;&lt;div&gt;&lt;h4&gt;&lt;p&gt;You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Disguise.&lt;/p&gt;&lt;/h4&gt;&lt;/div&gt;</t>
  </si>
  <si>
    <t>Transplant Visage</t>
  </si>
  <si>
    <t>alchemist 5, antipaladin 4, cleric/oracle 4, inquisitor 4, magus 5, sorcerer/wizard 5, witch 5</t>
  </si>
  <si>
    <t>V, S, M (one corpse)</t>
  </si>
  <si>
    <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transplant visage, the creature's stolen skin magically melds with your own, making the expressions and eye color on your new face seem perfectly natural. Your new appearance grants you a +10 bonus on Disguise checks. Because the alteration made by transplant visage is permanent, there is no residual magical aura, and your new appearance is not recognized by detect spells. Transplant visage may be cast innumerable times, allowing a single caster to wear layers upon layers of stolen faces. However, only the topmost face is visible at any one time.  Transplant visage may also be used to remove a previously stolen face. This is the only way to remove a face short of using greater polymorph, miracle, or wish. When used in this way, transplant visage c auses t he t opmost f ace t o fl ake o ff a nd crumble into dust. A face so removed may not be reused. If the caster is wearing several stolen faces when the topmost face is removed, the next face down is revealed, and may be used as normal.</t>
  </si>
  <si>
    <t>&lt;p&gt;This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&lt;i&gt;transplant visage&lt;/i&gt;, the creature's stolen skin magically melds with your own, making the expressions and eye color on your new face seem perfectly natural. Your new appearance grants you a +10 bonus on Disguise checks. Because the alteration made by &lt;i&gt;transplant visage&lt;/i&gt; is permanent, there is no residual magical aura, and your new appearance is not recognized by &lt;i&gt;detect&lt;/i&gt; spells. &lt;i&gt;Transplant visage&lt;/i&gt; may be cast innumerable times, allowing a single caster to wear layers upon layers of stolen faces. However, only the topmost face is visible at any one time.&lt;/p&gt;&lt;p&gt;&lt;i&gt;Transplant visage&lt;/i&gt; may also be used to remove a previously stolen face. This is the only way to remove a face short of using &lt;i&gt;greater polymorph&lt;/i&gt;, &lt;i&gt;miracle&lt;/i&gt;, or &lt;i&gt;wish&lt;/i&gt;. When used in this way, &lt;i&gt;transplant visage&lt;/i&gt; c auses t he t opmost f ace t o fl ake o ff a nd crumble into dust. A face so removed may not be reused. If the caster is wearing several stolen faces when the topmost face is removed, the next face down is revealed, and may be used as normal.&lt;/p&gt;</t>
  </si>
  <si>
    <t>&lt;link rel="stylesheet"href="PF.css"&gt;&lt;div class="heading"&gt;&lt;p class="alignleft"&gt;Transplant Visage&lt;/p&gt;&lt;div style="clear: both;"&gt;&lt;/div&gt;&lt;/div&gt;&lt;div&gt;&lt;h5&gt;&lt;b&gt;School &lt;/b&gt;transmutation [evil]; &lt;b&gt;Level &lt;/b&gt;alchemist 5, antipaladin 4, cleric/oracle 4, inquisitor 4, magus 5, sorcerer/wizard 5, witch 5&lt;/h5&gt;&lt;/div&gt;&lt;hr/&gt;&lt;div&gt;&lt;h5&gt;&lt;b&gt;CASTING&lt;/b&gt;&lt;/h5&gt;&lt;/div&gt;&lt;hr/&gt;&lt;div&gt;&lt;h5&gt;&lt;b&gt;Casting Time &lt;/b&gt;1 round&lt;/h5&gt;&lt;h5&gt;&lt;b&gt;Components &lt;/b&gt;V, S, M (one corpse)&lt;/h5&gt;&lt;/div&gt;&lt;hr/&gt;&lt;div&gt;&lt;h5&gt;&lt;b&gt;EFFECT&lt;/b&gt;&lt;/h5&gt;&lt;/div&gt;&lt;hr/&gt;&lt;div&gt;&lt;h5&gt;&lt;b&gt;Range &lt;/b&gt;personal&lt;/h5&gt;&lt;h5&gt;&lt;b&gt;Targets &lt;/b&gt;you&lt;/h5&gt;&lt;h5&gt;&lt;b&gt;Duration &lt;/b&gt;permanent&lt;/h5&gt;&lt;/div&gt;&lt;hr/&gt;&lt;div&gt;&lt;h5&gt;&lt;b&gt;DESCRIPTION&lt;/b&gt;&lt;/h5&gt;&lt;/div&gt;&lt;hr/&gt;&lt;div&gt;&lt;h4&gt;&lt;p&gt;This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&lt;i&gt;transplant visage&lt;/i&gt;, the creature's stolen skin magically melds with your own, making the expressions and eye color on your new face seem perfectly natural. Your new appearance grants you a +10 bonus on Disguise checks. Because the alteration made by &lt;i&gt;transplant visage&lt;/i&gt; is permanent, there is no residual magical aura, and your new appearance is not recognized by &lt;i&gt;detect&lt;/i&gt; spells. &lt;i&gt;Transplant visage&lt;/i&gt; may be cast innumerable times, allowing a single caster to wear layers upon layers of stolen faces. However, only the topmost face is visible at any one time.&lt;/p&gt;&lt;p&gt;&lt;i&gt;Transplant visage&lt;/i&gt; may also be used to remove a previously stolen face. This is the only way to remove a face short of using &lt;i&gt;greater polymorph&lt;/i&gt;, &lt;i&gt;miracle&lt;/i&gt;, or &lt;i&gt;wish&lt;/i&gt;. When used in this way, &lt;i&gt;transplant visage&lt;/i&gt; c auses t he t opmost f ace t o fl ake o ff a nd crumble into dust. A face so removed may not be reused. If the caster is wearing several stolen faces when the topmost face is removed, the next face down is revealed, and may be used as normal.&lt;/p&gt;&lt;/h4&gt;&lt;/div&gt;</t>
  </si>
  <si>
    <t>Unwelcome Halo</t>
  </si>
  <si>
    <t>cleric/oracle 1, paladin 1, sorcerer/wizard 1</t>
  </si>
  <si>
    <t>one nongood creature</t>
  </si>
  <si>
    <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  If unwelcome halo is brought into an area of magical darkness (or vice versa), the effects of both spells are temporarily negated, so that the otherwise prevailing light conditions exist within the overlapping fields of effect.</t>
  </si>
  <si>
    <t>&lt;p&gt;This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sight.&lt;/p&gt;&lt;p&gt;If &lt;i&gt;unwelcome halo&lt;/i&gt; is brought into an area of magical darkness (or vice versa), the effects of both spells are temporarily negated, so that the otherwise prevailing light conditions exist within the overlapping fields of effect.&lt;/p&gt;</t>
  </si>
  <si>
    <t>&lt;link rel="stylesheet"href="PF.css"&gt;&lt;div class="heading"&gt;&lt;p class="alignleft"&gt;Unwelcome Halo&lt;/p&gt;&lt;div style="clear: both;"&gt;&lt;/div&gt;&lt;/div&gt;&lt;div&gt;&lt;h5&gt;&lt;b&gt;School &lt;/b&gt;evocation [light]; &lt;b&gt;Level &lt;/b&gt;cleric/oracle 1, paladin 1, sorcerer/wizard 1 (Sarenrae)&lt;/h5&gt;&lt;/div&gt;&lt;hr/&gt;&lt;div&gt;&lt;h5&gt;&lt;b&gt;CASTING&lt;/b&gt;&lt;/h5&gt;&lt;/div&gt;&lt;hr/&gt;&lt;div&gt;&lt;h5&gt;&lt;b&gt;Casting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nongood creature&lt;/h5&gt;&lt;h5&gt;&lt;b&gt;Duration &lt;/b&gt;1 minute/level&lt;/h5&gt;&lt;h5&gt;&lt;b&gt;Saving Throw &lt;/b&gt;Will negates; &lt;b&gt;Spell Resistance &lt;/b&gt;yes&lt;/h5&gt;&lt;/div&gt;&lt;hr/&gt;&lt;div&gt;&lt;h5&gt;&lt;b&gt;DESCRIPTION&lt;/b&gt;&lt;/h5&gt;&lt;/div&gt;&lt;hr/&gt;&lt;div&gt;&lt;h4&gt;&lt;p&gt;This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sight.&lt;/p&gt;&lt;p&gt;If &lt;i&gt;unwelcome halo&lt;/i&gt; is brought into an area of magical darkness (or vice versa), the effects of both spells are temporarily negated, so that the otherwise prevailing light conditions exist within the overlapping fields of effect.&lt;/p&gt;&lt;/h4&gt;&lt;/div&gt;</t>
  </si>
  <si>
    <t>Vengeful Stinger</t>
  </si>
  <si>
    <t>cleric/oracle 6, sorcerer/wizard 5, summoner 5, witch 5</t>
  </si>
  <si>
    <t>V, S, M (a living wasp), DF</t>
  </si>
  <si>
    <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  On a successful hit, the target takes 1d8 points of damage plus an amount of damage equal your Strength modifier and must succeed at a Fortitude save or it takes 1d4 points of Dexterity damage. This poison damage is also modified on a confirmed critical hit.</t>
  </si>
  <si>
    <t>&lt;p&gt;You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19-20/x2.&lt;/p&gt;&lt;p&gt;On a successful hit, the target takes 1d8 points of damage plus an amount of damage equal your Strength modifier and must succeed at a Fortitude save or it takes 1d4 points of Dexterity damage. This poison damage is also modified on a confirmed critical hit.&lt;/p&gt;</t>
  </si>
  <si>
    <t>&lt;link rel="stylesheet"href="PF.css"&gt;&lt;div class="heading"&gt;&lt;p class="alignleft"&gt;Vengeful Stinger&lt;/p&gt;&lt;div style="clear: both;"&gt;&lt;/div&gt;&lt;/div&gt;&lt;div&gt;&lt;h5&gt;&lt;b&gt;School &lt;/b&gt;transmutation (polymorph) [poison]; &lt;b&gt;Level &lt;/b&gt;cleric/oracle 6, sorcerer/wizard 5, summoner 5, witch 5 (Calistria)&lt;/h5&gt;&lt;/div&gt;&lt;hr/&gt;&lt;div&gt;&lt;h5&gt;&lt;b&gt;CASTING&lt;/b&gt;&lt;/h5&gt;&lt;/div&gt;&lt;hr/&gt;&lt;div&gt;&lt;h5&gt;&lt;b&gt;Casting Time &lt;/b&gt;1 standard action&lt;/h5&gt;&lt;h5&gt;&lt;b&gt;Components &lt;/b&gt;V, S, M (a living wasp), DF&lt;/h5&gt;&lt;/div&gt;&lt;hr/&gt;&lt;div&gt;&lt;h5&gt;&lt;b&gt;EFFECT&lt;/b&gt;&lt;/h5&gt;&lt;/div&gt;&lt;hr/&gt;&lt;div&gt;&lt;h5&gt;&lt;b&gt;Range &lt;/b&gt;personal&lt;/h5&gt;&lt;h5&gt;&lt;b&gt;Targets &lt;/b&gt;you&lt;/h5&gt;&lt;h5&gt;&lt;b&gt;Duration &lt;/b&gt;1 round/level&lt;/h5&gt;&lt;h5&gt;&lt;b&gt;Saving Throw &lt;/b&gt;Fortitude negates; see text; &lt;b&gt;Spell Resistance &lt;/b&gt;no&lt;/h5&gt;&lt;/div&gt;&lt;hr/&gt;&lt;div&gt;&lt;h5&gt;&lt;b&gt;DESCRIPTION&lt;/b&gt;&lt;/h5&gt;&lt;/div&gt;&lt;hr/&gt;&lt;div&gt;&lt;h4&gt;&lt;p&gt;You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19-20/x2.&lt;/p&gt;&lt;p&gt;On a successful hit, the target takes 1d8 points of damage plus an amount of damage equal your Strength modifier and must succeed at a Fortitude save or it takes 1d4 points of Dexterity damage. This poison damage is also modified on a confirmed critical hit.&lt;/p&gt;&lt;/h4&gt;&lt;/div&gt;</t>
  </si>
  <si>
    <t>Vexing Miscalculation</t>
  </si>
  <si>
    <t>cleric/oracle 2, inquisitor 2, witch 2</t>
  </si>
  <si>
    <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vexing miscalculation, the spell is discharged.</t>
  </si>
  <si>
    <t>&lt;p&gt;You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&lt;i&gt;vexing miscalculation&lt;/i&gt;, the spell is discharged.&lt;/p&gt;</t>
  </si>
  <si>
    <t>&lt;link rel="stylesheet"href="PF.css"&gt;&lt;div class="heading"&gt;&lt;p class="alignleft"&gt;Vexing Miscalculation&lt;/p&gt;&lt;div style="clear: both;"&gt;&lt;/div&gt;&lt;/div&gt;&lt;div&gt;&lt;h5&gt;&lt;b&gt;School &lt;/b&gt;enchantment (compulsion) [mind-affecting]; &lt;b&gt;Level &lt;/b&gt;cleric/oracle 2, inquisitor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or until discharged&lt;/h5&gt;&lt;h5&gt;&lt;b&gt;Saving Throw &lt;/b&gt;Will negates; &lt;b&gt;Spell Resistance &lt;/b&gt;yes&lt;/h5&gt;&lt;/div&gt;&lt;hr/&gt;&lt;div&gt;&lt;h5&gt;&lt;b&gt;DESCRIPTION&lt;/b&gt;&lt;/h5&gt;&lt;/div&gt;&lt;hr/&gt;&lt;div&gt;&lt;h4&gt;&lt;p&gt;You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&lt;i&gt;vexing miscalculation&lt;/i&gt;, the spell is discharged.&lt;/p&gt;&lt;/h4&gt;&lt;/div&gt;</t>
  </si>
  <si>
    <t>Weapons Against Evil</t>
  </si>
  <si>
    <t>one weapon/level, no two of which can be more than 20 ft. apart</t>
  </si>
  <si>
    <t>Each weapon this spell affects each shines with pale light that dimly illuminates a 5-foot square. These weapons also ignore the DR of evil creatures that have DR 5 or lower, as long as the damage reduction is not DR/epic.</t>
  </si>
  <si>
    <t>&lt;p&gt;Each weapon this spell affects each shines with pale light that dimly illuminates a 5-foot square. These weapons also ignore the DR of evil creatures that have DR 5 or lower, as long as the damage reduction is not DR/epic.&lt;/p&gt;</t>
  </si>
  <si>
    <t>&lt;link rel="stylesheet"href="PF.css"&gt;&lt;div class="heading"&gt;&lt;p class="alignleft"&gt;Weapons Against Evil&lt;/p&gt;&lt;div style="clear: both;"&gt;&lt;/div&gt;&lt;/div&gt;&lt;div&gt;&lt;h5&gt;&lt;b&gt;School &lt;/b&gt;transmutation; &lt;b&gt;Level &lt;/b&gt;cleric/oracle 1, inquisitor 1, paladin 1 (Iomedae)&lt;/h5&gt;&lt;/div&gt;&lt;hr/&gt;&lt;div&gt;&lt;h5&gt;&lt;b&gt;CASTING&lt;/b&gt;&lt;/h5&gt;&lt;/div&gt;&lt;hr/&gt;&lt;div&gt;&lt;h5&gt;&lt;b&gt;Casting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weapon/level, no two of which can be more than 20 ft. apart&lt;/h5&gt;&lt;h5&gt;&lt;b&gt;Duration &lt;/b&gt;1 round/level&lt;/h5&gt;&lt;h5&gt;&lt;b&gt;Saving Throw &lt;/b&gt;Fortitude negates (harmless, object); &lt;b&gt;Spell Resistance &lt;/b&gt;yes (harmless, object)&lt;/h5&gt;&lt;/div&gt;&lt;hr/&gt;&lt;div&gt;&lt;h5&gt;&lt;b&gt;DESCRIPTION&lt;/b&gt;&lt;/h5&gt;&lt;/div&gt;&lt;hr/&gt;&lt;div&gt;&lt;h4&gt;&lt;p&gt;Each weapon this spell affects each shines with pale light that dimly illuminates a 5-foot square. These weapons also ignore the DR of evil creatures that have DR 5 or lower, as long as the damage reduction is not DR/epic.&lt;/p&gt;&lt;/h4&gt;&lt;/div&gt;</t>
  </si>
  <si>
    <t>Create Variant Mummy</t>
  </si>
  <si>
    <t>V, S, M (onyx gems worth 50 gp per HD of the undead to be created)</t>
  </si>
  <si>
    <t>1 corpse steeped in a peat bog for at least 24 hours</t>
  </si>
  <si>
    <t>This spell functions as create undead (Pathfinder RPG Core Rulebook 262), except it creates one of the following variant mummies: bog mummy, ice mummy, or Osirian tomb guardian.</t>
  </si>
  <si>
    <t>&lt;p&gt;This spell functions as &lt;i&gt;create undead&lt;/i&gt; (Pathfinder &lt;i&gt;RPG Core Rulebook&lt;/i&gt; 262), except it creates one of the following variant mummies: bog mummy, ice mummy, or Osirian tomb guardian.&lt;/p&gt;</t>
  </si>
  <si>
    <t>AP 81</t>
  </si>
  <si>
    <t>&lt;link rel="stylesheet"href="PF.css"&gt;&lt;div class="heading"&gt;&lt;p class="alignleft"&gt;Create Variant Mummy&lt;/p&gt;&lt;div style="clear: both;"&gt;&lt;/div&gt;&lt;/div&gt;&lt;div&gt;&lt;h5&gt;&lt;b&gt;School &lt;/b&gt;necromancy [evil]; &lt;b&gt;Level &lt;/b&gt;cleric/oracle 7, sorcerer/wizard 7&lt;/h5&gt;&lt;/div&gt;&lt;hr/&gt;&lt;div&gt;&lt;h5&gt;&lt;b&gt;CASTING&lt;/b&gt;&lt;/h5&gt;&lt;/div&gt;&lt;hr/&gt;&lt;div&gt;&lt;h5&gt;&lt;b&gt;Casting Time &lt;/b&gt;1 hour&lt;/h5&gt;&lt;h5&gt;&lt;b&gt;Components &lt;/b&gt;V, S, M (onyx gems worth 50 gp per HD of the undead to be created)&lt;/h5&gt;&lt;/div&gt;&lt;hr/&gt;&lt;div&gt;&lt;h5&gt;&lt;b&gt;EFFECT&lt;/b&gt;&lt;/h5&gt;&lt;/div&gt;&lt;hr/&gt;&lt;div&gt;&lt;h5&gt;&lt;b&gt;Range &lt;/b&gt;close (25 ft. + 5 ft./2 levels)&lt;/h5&gt;&lt;h5&gt;&lt;b&gt;Targets &lt;/b&gt;1 corpse steeped in a peat bog for at least 24 hours&lt;/h5&gt;&lt;h5&gt;&lt;b&gt;Duration &lt;/b&gt;instantaneous&lt;/h5&gt;&lt;h5&gt;&lt;b&gt;Saving Throw &lt;/b&gt;none; &lt;b&gt;Spell Resistance &lt;/b&gt;no&lt;/h5&gt;&lt;/div&gt;&lt;hr/&gt;&lt;div&gt;&lt;h5&gt;&lt;b&gt;DESCRIPTION&lt;/b&gt;&lt;/h5&gt;&lt;/div&gt;&lt;hr/&gt;&lt;div&gt;&lt;h4&gt;&lt;p&gt;This spell functions as &lt;i&gt;create undead&lt;/i&gt; (Pathfinder &lt;i&gt;RPG Core Rulebook&lt;/i&gt; 262), except it creates one of the following variant mummies: bog mummy, ice mummy, or Osirian tomb guardian.&lt;/p&gt;&lt;/h4&gt;&lt;/div&gt;</t>
  </si>
  <si>
    <t>Virulence</t>
  </si>
  <si>
    <t>all living creatures within a 40-ft.-radius burst centered on you</t>
  </si>
  <si>
    <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t>
  </si>
  <si>
    <t>&lt;p&gt;All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affliction.&lt;/p&gt;</t>
  </si>
  <si>
    <t>&lt;link rel="stylesheet"href="PF.css"&gt;&lt;div class="heading"&gt;&lt;p class="alignleft"&gt;Virulence&lt;/p&gt;&lt;div style="clear: both;"&gt;&lt;/div&gt;&lt;/div&gt;&lt;div&gt;&lt;h5&gt;&lt;b&gt;School &lt;/b&gt;necromancy [evil]; &lt;b&gt;Level &lt;/b&gt;cleric/oracle 4, witch 4&lt;/h5&gt;&lt;/div&gt;&lt;hr/&gt;&lt;div&gt;&lt;h5&gt;&lt;b&gt;CASTING&lt;/b&gt;&lt;/h5&gt;&lt;/div&gt;&lt;hr/&gt;&lt;div&gt;&lt;h5&gt;&lt;b&gt;Casting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&lt;/b&gt;all living creatures within a 40-ft.-radius burst centered on you&lt;/h5&gt;&lt;h5&gt;&lt;b&gt;Duration &lt;/b&gt;instantaneous&lt;/h5&gt;&lt;h5&gt;&lt;b&gt;Saving Throw &lt;/b&gt;see text; &lt;b&gt;Spell Resistance &lt;/b&gt;yes&lt;/h5&gt;&lt;/div&gt;&lt;hr/&gt;&lt;div&gt;&lt;h5&gt;&lt;b&gt;DESCRIPTION&lt;/b&gt;&lt;/h5&gt;&lt;/div&gt;&lt;hr/&gt;&lt;div&gt;&lt;h4&gt;&lt;p&gt;All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affliction.&lt;/p&gt;&lt;/h4&gt;&lt;/div&gt;</t>
  </si>
  <si>
    <t>Calculated Luck</t>
  </si>
  <si>
    <t>cleric/oracle 3, witch 4</t>
  </si>
  <si>
    <t>You are able to use the Path of Numbers to substantially boost your combat preparedness, but your foresight comes at a price.  Roll 3d8 and refer to the Eight Basic Energies table on page 51.  After rolling ,assign each die to one of the following.  • Energy Type: You gain vulnerability to the energy type that matches the die's result for the duration of the spell. You take half again as much damage (+50%) from that energy type, regardless of whether you successfully saved against the damaging spell or effect.  • Magic School: For the spell's duration, you cast all spells from the school that matches the die's result at +1 caster level.  • d20 Roll Type: You receive a +2 luck bonus on the d20 roll that matches the die's result for the duration of the spell.</t>
  </si>
  <si>
    <t>&lt;p&gt;You are able to use the Path of Numbers to substantially boost your combat preparedness, but your foresight comes at a price.&lt;/p&gt;&lt;p&gt;Roll 3d8 and refer to the Eight Basic Energies table on page 51.&lt;/p&gt;&lt;p&gt;After rolling ,assign each die to one of the following.&lt;/p&gt;&lt;p&gt;&lt;ul&gt;&lt;li&gt; &lt;i&gt;Energy Type&lt;/i&gt;: You gain vulnerability to the energy type that matches the die's result for the duration of the spell. You take half again as much damage (+50%) from that energy type, regardless of whether you successfully saved against the damaging spell or effect.&lt;/p&gt;&lt;p&gt;&lt;li&gt; &lt;i&gt;Magic School&lt;/i&gt;: For the spell's duration, you cast all spells from the school that matches the die's result at +1 caster level.&lt;/p&gt;&lt;p&gt;&lt;li&gt; &lt;i&gt;d20 Roll Type&lt;/i&gt;: You receive a +2 luck bonus on the d20 roll that matches the die's result for the duration of the spell.&lt;/ul&gt;&lt;/p&gt;</t>
  </si>
  <si>
    <t>Occult Mysteries</t>
  </si>
  <si>
    <t>&lt;link rel="stylesheet"href="PF.css"&gt;&lt;div class="heading"&gt;&lt;p class="alignleft"&gt;Calculated Luck&lt;/p&gt;&lt;div style="clear: both;"&gt;&lt;/div&gt;&lt;/div&gt;&lt;div&gt;&lt;h5&gt;&lt;b&gt;School &lt;/b&gt;divination; &lt;b&gt;Level &lt;/b&gt;cleric/oracle 3,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&lt;/b&gt;none; &lt;b&gt;Spell Resistance &lt;/b&gt;no&lt;/h5&gt;&lt;/div&gt;&lt;hr/&gt;&lt;div&gt;&lt;h5&gt;&lt;b&gt;DESCRIPTION&lt;/b&gt;&lt;/h5&gt;&lt;/div&gt;&lt;hr/&gt;&lt;div&gt;&lt;h4&gt;&lt;p&gt;You are able to use the Path of Numbers to substantially boost your combat preparedness, but your foresight comes at a price.&lt;/p&gt;&lt;p&gt;Roll 3d8 and refer to the Eight Basic Energies table on page 51.&lt;/p&gt;&lt;p&gt;After rolling ,assign each die to one of the following.&lt;/p&gt;&lt;p&gt;&lt;ul&gt;&lt;li&gt; &lt;i&gt;Energy Type&lt;/i&gt;: You gain vulnerability to the energy type that matches the die's result for the duration of the spell. You take half again as much damage (+50%) from that energy type, regardless of whether you successfully saved against the damaging spell or effect.&lt;/p&gt;&lt;p&gt;&lt;li&gt; &lt;i&gt;Magic School&lt;/i&gt;: For the spell's duration, you cast all spells from the school that matches the die's result at +1 caster level.&lt;/p&gt;&lt;p&gt;&lt;li&gt; &lt;i&gt;d20 Roll Type&lt;/i&gt;: You receive a +2 luck bonus on the d20 roll that matches the die's result for the duration of the spell.&lt;/ul&gt;&lt;/p&gt;&lt;/h4&gt;&lt;/div&gt;</t>
  </si>
  <si>
    <t>Cleromancy</t>
  </si>
  <si>
    <t>cleric/oracle 2, druid 3, inquisitor 3, sorcerer/wizard 3</t>
  </si>
  <si>
    <t>full-round action</t>
  </si>
  <si>
    <t>V, S, F/DF (a set of 64 chicken bones)</t>
  </si>
  <si>
    <t>1 round/caster level</t>
  </si>
  <si>
    <t>Cleromancy involves casting bones and interpreting the results. Those able to arrive at the proper interpretation are granted knowledge of coming events. Roll 1d4 per caster level. Group the dice by like results, and choose one of the groups. For the duration of cleromancy, you can apply a luck bonus equal to the result of the selected dice to any d20 roll.  You can apply this bonus to a number of rolls equal to the number of dice in the group. If cleromancy expires before you are able to allocate the total number of allotted bonuses, the remaining bonuses are lost.</t>
  </si>
  <si>
    <t>&lt;p&gt;&lt;i&gt;Cleromancy&lt;/i&gt; involves casting bones and interpreting the results. Those able to arrive at the proper interpretation are granted knowledge of coming events. Roll 1d4 per caster level. Group the dice by like results, and choose one of the groups. For the duration of &lt;i&gt;cleromancy&lt;/i&gt;, you can apply a luck bonus equal to the result of the selected dice to any d20 roll.&lt;/p&gt;&lt;p&gt;You can apply this bonus to a number of rolls equal to the number of dice in the group. If &lt;i&gt;cleromancy&lt;/i&gt; expires before you are able to allocate the total number of allotted bonuses, the remaining bonuses are lost.&lt;/p&gt;</t>
  </si>
  <si>
    <t>&lt;link rel="stylesheet"href="PF.css"&gt;&lt;div class="heading"&gt;&lt;p class="alignleft"&gt;Cleromancy&lt;/p&gt;&lt;div style="clear: both;"&gt;&lt;/div&gt;&lt;/div&gt;&lt;div&gt;&lt;h5&gt;&lt;b&gt;School &lt;/b&gt;divination; &lt;b&gt;Level &lt;/b&gt;cleric/oracle 2, druid 3, inquisitor 3, sorcerer/wizard 3&lt;/h5&gt;&lt;/div&gt;&lt;hr/&gt;&lt;div&gt;&lt;h5&gt;&lt;b&gt;CASTING&lt;/b&gt;&lt;/h5&gt;&lt;/div&gt;&lt;hr/&gt;&lt;div&gt;&lt;h5&gt;&lt;b&gt;Casting Time &lt;/b&gt;full-round action&lt;/h5&gt;&lt;h5&gt;&lt;b&gt;Components &lt;/b&gt;V, S, F/DF (a set of 64 chicken bones)&lt;/h5&gt;&lt;/div&gt;&lt;hr/&gt;&lt;div&gt;&lt;h5&gt;&lt;b&gt;EFFECT&lt;/b&gt;&lt;/h5&gt;&lt;/div&gt;&lt;hr/&gt;&lt;div&gt;&lt;h5&gt;&lt;b&gt;Range &lt;/b&gt;personal&lt;/h5&gt;&lt;h5&gt;&lt;b&gt;Targets &lt;/b&gt;you&lt;/h5&gt;&lt;h5&gt;&lt;b&gt;Duration &lt;/b&gt;1 round/caster level&lt;/h5&gt;&lt;h5&gt;&lt;b&gt;Saving Throw &lt;/b&gt;none; &lt;b&gt;Spell Resistance &lt;/b&gt;no&lt;/h5&gt;&lt;/div&gt;&lt;hr/&gt;&lt;div&gt;&lt;h5&gt;&lt;b&gt;DESCRIPTION&lt;/b&gt;&lt;/h5&gt;&lt;/div&gt;&lt;hr/&gt;&lt;div&gt;&lt;h4&gt;&lt;p&gt;&lt;i&gt;Cleromancy&lt;/i&gt; involves casting bones and interpreting the results. Those able to arrive at the proper interpretation are granted knowledge of coming events. Roll 1d4 per caster level. Group the dice by like results, and choose one of the groups. For the duration of &lt;i&gt;cleromancy&lt;/i&gt;, you can apply a luck bonus equal to the result of the selected dice to any d20 roll.&lt;/p&gt;&lt;p&gt;You can apply this bonus to a number of rolls equal to the number of dice in the group. If &lt;i&gt;cleromancy&lt;/i&gt; expires before you are able to allocate the total number of allotted bonuses, the remaining bonuses are lost.&lt;/p&gt;&lt;/h4&gt;&lt;/div&gt;</t>
  </si>
  <si>
    <t>Lucky Number</t>
  </si>
  <si>
    <t>bard 1, cleric/oracle 1, druid 1, inquisitor 1, paladin 1, sorcerer/wizard 1, summoner 1, witch 1</t>
  </si>
  <si>
    <t>24 hours or until discharged</t>
  </si>
  <si>
    <t>You are able to tweak tiny variables affecting a creature's immediate future in order to grant the target a bit of luck at the right time. Roll a d20; once during the duration of lucky number,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lucky number at a time. If lucky number is cast on a creature already affected by that spell, the new number replaces the previous one.</t>
  </si>
  <si>
    <t>&lt;p&gt;You are able to tweak tiny variables affecting a creature's immediate future in order to grant the target a bit of luck at the right time. Roll a d20; once during the duration of &lt;i&gt;lucky number&lt;/i&gt;,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&lt;i&gt;lucky number&lt;/i&gt; at a time. If &lt;i&gt;lucky number&lt;/i&gt; is cast on a creature already affected by that spell, the new number replaces the previous one.&lt;/p&gt;</t>
  </si>
  <si>
    <t>&lt;link rel="stylesheet"href="PF.css"&gt;&lt;div class="heading"&gt;&lt;p class="alignleft"&gt;Lucky Number&lt;/p&gt;&lt;div style="clear: both;"&gt;&lt;/div&gt;&lt;/div&gt;&lt;div&gt;&lt;h5&gt;&lt;b&gt;School &lt;/b&gt;transmutation; &lt;b&gt;Level &lt;/b&gt;bard 1, cleric/oracle 1, druid 1, inquisitor 1, paladin 1, sorcerer/wizard 1, summoner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creature&lt;/h5&gt;&lt;h5&gt;&lt;b&gt;Duration &lt;/b&gt;24 hours or until discharged&lt;/h5&gt;&lt;h5&gt;&lt;b&gt;Saving Throw &lt;/b&gt;none; &lt;b&gt;Spell Resistance &lt;/b&gt;no&lt;/h5&gt;&lt;/div&gt;&lt;hr/&gt;&lt;div&gt;&lt;h5&gt;&lt;b&gt;DESCRIPTION&lt;/b&gt;&lt;/h5&gt;&lt;/div&gt;&lt;hr/&gt;&lt;div&gt;&lt;h4&gt;&lt;p&gt;You are able to tweak tiny variables affecting a creature's immediate future in order to grant the target a bit of luck at the right time. Roll a d20; once during the duration of &lt;i&gt;lucky number&lt;/i&gt;,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&lt;i&gt;lucky number&lt;/i&gt; at a time. If &lt;i&gt;lucky number&lt;/i&gt; is cast on a creature already affected by that spell, the new number replaces the previous one.&lt;/p&gt;&lt;/h4&gt;&lt;/div&gt;</t>
  </si>
  <si>
    <t>Mathematical Curse</t>
  </si>
  <si>
    <t>antipaladin 2, bard 2, cleric/oracle 3, sorcerer/wizard 2, witch 2</t>
  </si>
  <si>
    <t>V, S, M/DF (a full set of 10 fingernails)</t>
  </si>
  <si>
    <t>Using the Path of Numbers, you are able to influence the seemingly random elements in the environment around a creature, reducing that creature's efficacy. Roll 3d8 and choose one of the dice-this die's result is the penalty mathematical curse imparts. Next, choose either of the two remaining dice; the d20 roll corresponding to that result on the Eight Basic Energies table is the roll the spell's penalty applies to. The result of the final die represents the number of rounds that mathematical curse lasts. A creature can be under the influence of only one mathematical curse at a time. If mathematical curse is cast on a creature already affected by that spell, the new curse replaces the previous one.</t>
  </si>
  <si>
    <t>&lt;p&gt;Using the Path of Numbers, you are able to influence the seemingly random elements in the environment around a creature, reducing that creature's efficacy. Roll 3d8 and choose one of the dice-this die's result is the penalty &lt;i&gt;mathematical curse&lt;/i&gt; imparts. Next, choose either of the two remaining dice; the d20 roll corresponding to that result on the Eight Basic Energies table is the roll the spell's penalty applies to. The result of the final die represents the number of rounds that &lt;i&gt;mathematical curse&lt;/i&gt; lasts. A creature can be under the influence of only one &lt;i&gt;mathematical curse&lt;/i&gt; at a time. If &lt;i&gt;mathematical curse&lt;/i&gt; is cast on a creature already affected by that spell, the new curse replaces the previous one.&lt;/p&gt;</t>
  </si>
  <si>
    <t>&lt;link rel="stylesheet"href="PF.css"&gt;&lt;div class="heading"&gt;&lt;p class="alignleft"&gt;Mathematical Curse&lt;/p&gt;&lt;div style="clear: both;"&gt;&lt;/div&gt;&lt;/div&gt;&lt;div&gt;&lt;h5&gt;&lt;b&gt;School &lt;/b&gt;necromancy [curse]; &lt;b&gt;Level &lt;/b&gt;antipaladin 2, bard 2, cleric/oracle 3, sorcerer/wizard 2, witch 2&lt;/h5&gt;&lt;/div&gt;&lt;hr/&gt;&lt;div&gt;&lt;h5&gt;&lt;b&gt;CASTING&lt;/b&gt;&lt;/h5&gt;&lt;/div&gt;&lt;hr/&gt;&lt;div&gt;&lt;h5&gt;&lt;b&gt;Casting Time &lt;/b&gt;1 standard action&lt;/h5&gt;&lt;h5&gt;&lt;b&gt;Components &lt;/b&gt;V, S, M/DF (a full set of 10 fingernails)&lt;/h5&gt;&lt;/div&gt;&lt;hr/&gt;&lt;div&gt;&lt;h5&gt;&lt;b&gt;EFFECT&lt;/b&gt;&lt;/h5&gt;&lt;/div&gt;&lt;hr/&gt;&lt;div&gt;&lt;h5&gt;&lt;b&gt;Range &lt;/b&gt;touch&lt;/h5&gt;&lt;h5&gt;&lt;b&gt;Targets &lt;/b&gt;one living creature&lt;/h5&gt;&lt;h5&gt;&lt;b&gt;Duration &lt;/b&gt;see text&lt;/h5&gt;&lt;h5&gt;&lt;b&gt;Saving Throw &lt;/b&gt;Will negates; &lt;b&gt;Spell Resistance &lt;/b&gt;yes&lt;/h5&gt;&lt;/div&gt;&lt;hr/&gt;&lt;div&gt;&lt;h5&gt;&lt;b&gt;DESCRIPTION&lt;/b&gt;&lt;/h5&gt;&lt;/div&gt;&lt;hr/&gt;&lt;div&gt;&lt;h4&gt;&lt;p&gt;Using the Path of Numbers, you are able to influence the seemingly random elements in the environment around a creature, reducing that creature's efficacy. Roll 3d8 and choose one of the dice-this die's result is the penalty &lt;i&gt;mathematical curse&lt;/i&gt; imparts. Next, choose either of the two remaining dice; the d20 roll corresponding to that result on the Eight Basic Energies table is the roll the spell's penalty applies to. The result of the final die represents the number of rounds that &lt;i&gt;mathematical curse&lt;/i&gt; lasts. A creature can be under the influence of only one &lt;i&gt;mathematical curse&lt;/i&gt; at a time. If &lt;i&gt;mathematical curse&lt;/i&gt; is cast on a creature already affected by that spell, the new curse replaces the previous one.&lt;/p&gt;&lt;/h4&gt;&lt;/div&gt;</t>
  </si>
  <si>
    <t>Numerological Evocation</t>
  </si>
  <si>
    <t>magus 3, sorcerer/wizard 3, witch 4</t>
  </si>
  <si>
    <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numerological evocation.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  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numerological resistance. The range of the spell is 10 x the sum of the allocated dice. Finally, add up the results of the dice remaining in the pool. This is the amount of damage that numerological evocation deals to the first creature hit. A successful Reflex save halves this damage. Secondary targets take 50% of the damage dealt to the first creature hit (rounded up), and successful Reflex saves negate this damage.</t>
  </si>
  <si>
    <t>&lt;p&gt;You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&lt;i&gt;numerological evocation&lt;/i&gt;.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steps.&lt;/p&gt;&lt;p&gt;Next,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&lt;i&gt;numerological resistance&lt;/i&gt;. The range of the spell is 10 x the sum of the allocated dice. Finally, add up the results of the dice remaining in the pool. This is the amount of damage that &lt;i&gt;numerological evocation&lt;/i&gt; deals to the first creature hit. A successful Reflex save halves this damage. Secondary targets take 50% of the damage dealt to the first creature hit (rounded up), and successful Reflex saves negate this damage.&lt;/p&gt;</t>
  </si>
  <si>
    <t>&lt;link rel="stylesheet"href="PF.css"&gt;&lt;div class="heading"&gt;&lt;p class="alignleft"&gt;Numerological Evocation&lt;/p&gt;&lt;div style="clear: both;"&gt;&lt;/div&gt;&lt;/div&gt;&lt;div&gt;&lt;h5&gt;&lt;b&gt;School &lt;/b&gt;evocation; &lt;b&gt;Level &lt;/b&gt;magus 3, sorcerer/wizard 3, witch 4&lt;/h5&gt;&lt;/div&gt;&lt;hr/&gt;&lt;div&gt;&lt;h5&gt;&lt;b&gt;CASTING&lt;/b&gt;&lt;/h5&gt;&lt;/div&gt;&lt;hr/&gt;&lt;div&gt;&lt;h5&gt;&lt;b&gt;Casting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&lt;/b&gt;instantaneous&lt;/h5&gt;&lt;h5&gt;&lt;b&gt;Saving Throw &lt;/b&gt;Reflex half; &lt;b&gt;Spell Resistance &lt;/b&gt;yes&lt;/h5&gt;&lt;/div&gt;&lt;hr/&gt;&lt;div&gt;&lt;h5&gt;&lt;b&gt;DESCRIPTION&lt;/b&gt;&lt;/h5&gt;&lt;/div&gt;&lt;hr/&gt;&lt;div&gt;&lt;h4&gt;&lt;p&gt;You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&lt;i&gt;numerological evocation&lt;/i&gt;.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steps.&lt;/p&gt;&lt;p&gt;Next,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&lt;i&gt;numerological resistance&lt;/i&gt;. The range of the spell is 10 x the sum of the allocated dice. Finally, add up the results of the dice remaining in the pool. This is the amount of damage that &lt;i&gt;numerological evocation&lt;/i&gt; deals to the first creature hit. A successful Reflex save halves this damage. Secondary targets take 50% of the damage dealt to the first creature hit (rounded up), and successful Reflex saves negate this damage.&lt;/p&gt;&lt;/h4&gt;&lt;/div&gt;</t>
  </si>
  <si>
    <t>Numerological Resistance</t>
  </si>
  <si>
    <t>Numerological resistance allows numerologists to use the Path of Numbers to grant their allies resilience in the face of elemental dangers. Roll 5d8; this is your dice pool. You will use each die in the pool exactly once to customize numerological resistance.  Choose one of the dice, and match its result to the appropriate value in the first column of the Eight Basic Energies table to determine the type of energy to which numerological resistance grants resistance. Next, allocate one of the dice to represent the number of creatures you can affect with numerological resistance (including yourself). All of these creatures must be within the spell's range. Then allocate one of the dice to represent the number of rounds numerological resistance lasts. Finally, sum the remaining two dice. This is the number of points of resistance that numerological resistance grants.</t>
  </si>
  <si>
    <t>&lt;p&gt;&lt;i&gt;Numerological resistance&lt;/i&gt; allows numerologists to use the Path of Numbers to grant their allies resilience in the face of elemental dangers. Roll 5d8; this is your dice pool. You will use each die in the pool exactly once to customize &lt;i&gt;numerological resistance&lt;/i&gt;.&lt;/p&gt;&lt;p&gt;Choose one of the dice, and match its result to the appropriate value in the first column of the Eight Basic Energies table to determine the type of energy to which &lt;i&gt;numerological resistance&lt;/i&gt; grants resistance. Next, allocate one of the dice to represent the number of creatures you can affect with &lt;i&gt;numerological resistance&lt;/i&gt; (including yourself). All of these creatures must be within the spell's range. Then allocate one of the dice to represent the number of rounds &lt;i&gt;numerological resistance&lt;/i&gt; lasts. Finally, sum the remaining two dice. This is the number of points of resistance that &lt;i&gt;numerological resistance&lt;/i&gt; grants.&lt;/p&gt;</t>
  </si>
  <si>
    <t>&lt;link rel="stylesheet"href="PF.css"&gt;&lt;div class="heading"&gt;&lt;p class="alignleft"&gt;Numerological Resistance&lt;/p&gt;&lt;div style="clear: both;"&gt;&lt;/div&gt;&lt;/div&gt;&lt;div&gt;&lt;h5&gt;&lt;b&gt;School &lt;/b&gt;abjuration; &lt;b&gt;Level &lt;/b&gt;cleric/oracle 3,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&lt;/b&gt;see text&lt;/h5&gt;&lt;h5&gt;&lt;b&gt;Duration &lt;/b&gt;see text&lt;/h5&gt;&lt;h5&gt;&lt;b&gt;Saving Throw &lt;/b&gt;none; &lt;b&gt;Spell Resistance &lt;/b&gt;no&lt;/h5&gt;&lt;/div&gt;&lt;hr/&gt;&lt;div&gt;&lt;h5&gt;&lt;b&gt;DESCRIPTION&lt;/b&gt;&lt;/h5&gt;&lt;/div&gt;&lt;hr/&gt;&lt;div&gt;&lt;h4&gt;&lt;p&gt;&lt;i&gt;Numerological resistance&lt;/i&gt; allows numerologists to use the Path of Numbers to grant their allies resilience in the face of elemental dangers. Roll 5d8; this is your dice pool. You will use each die in the pool exactly once to customize &lt;i&gt;numerological resistance&lt;/i&gt;.&lt;/p&gt;&lt;p&gt;Choose one of the dice, and match its result to the appropriate value in the first column of the Eight Basic Energies table to determine the type of energy to which &lt;i&gt;numerological resistance&lt;/i&gt; grants resistance. Next, allocate one of the dice to represent the number of creatures you can affect with &lt;i&gt;numerological resistance&lt;/i&gt; (including yourself). All of these creatures must be within the spell's range. Then allocate one of the dice to represent the number of rounds &lt;i&gt;numerological resistance&lt;/i&gt; lasts. Finally, sum the remaining two dice. This is the number of points of resistance that &lt;i&gt;numerological resistance&lt;/i&gt; grants.&lt;/p&gt;&lt;/h4&gt;&lt;/div&gt;</t>
  </si>
  <si>
    <t>Spectral Saluqi</t>
  </si>
  <si>
    <t>V, S, F (a precious metal canine statue worth 100 gp)</t>
  </si>
  <si>
    <t>one spectral dog</t>
  </si>
  <si>
    <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(Pathfinder RPG Bestiary 286). It usually leaves no tracks because it prefers to fly an inch above the ground. You are immune to the hound's bay ability. The hound's bite is considered aligned to any single alignment you possess for the purposes of overcoming damage reduction.</t>
  </si>
  <si>
    <t>&lt;p&gt;This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(&lt;i&gt;Pathfinder RPG Bestiary&lt;/i&gt; 286). It usually leaves no tracks because it prefers to fly an inch above the ground. You are immune to the hound's bay ability. The hound's bite is considered aligned to any single alignment you possess for the purposes of overcoming damage reduction.&lt;/p&gt;</t>
  </si>
  <si>
    <t>&lt;link rel="stylesheet"href="PF.css"&gt;&lt;div class="heading"&gt;&lt;p class="alignleft"&gt;Spectral Saluqi&lt;/p&gt;&lt;div style="clear: both;"&gt;&lt;/div&gt;&lt;/div&gt;&lt;div&gt;&lt;h5&gt;&lt;b&gt;School &lt;/b&gt;necromancy; &lt;b&gt;Level &lt;/b&gt;sorcerer/wizard 6, witch 6&lt;/h5&gt;&lt;/div&gt;&lt;hr/&gt;&lt;div&gt;&lt;h5&gt;&lt;b&gt;CASTING&lt;/b&gt;&lt;/h5&gt;&lt;/div&gt;&lt;hr/&gt;&lt;div&gt;&lt;h5&gt;&lt;b&gt;Casting Time &lt;/b&gt;1 round&lt;/h5&gt;&lt;h5&gt;&lt;b&gt;Components &lt;/b&gt;V, S, F (a precious metal canine statue worth 100 gp)&lt;/h5&gt;&lt;/div&gt;&lt;hr/&gt;&lt;div&gt;&lt;h5&gt;&lt;b&gt;EFFECT&lt;/b&gt;&lt;/h5&gt;&lt;/div&gt;&lt;hr/&gt;&lt;div&gt;&lt;h5&gt;&lt;b&gt;Range &lt;/b&gt;close (25 ft. + 5 ft./2 levels)&lt;/h5&gt;&lt;h5&gt;&lt;b&gt;Effect &lt;/b&gt;one spectral dog&lt;/h5&gt;&lt;h5&gt;&lt;b&gt;Duration &lt;/b&gt;10 minutes/level (D)&lt;/h5&gt;&lt;h5&gt;&lt;b&gt;Saving Throw &lt;/b&gt;none; &lt;b&gt;Spell Resistance &lt;/b&gt;no&lt;/h5&gt;&lt;/div&gt;&lt;hr/&gt;&lt;div&gt;&lt;h5&gt;&lt;b&gt;DESCRIPTION&lt;/b&gt;&lt;/h5&gt;&lt;/div&gt;&lt;hr/&gt;&lt;div&gt;&lt;h4&gt;&lt;p&gt;This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(&lt;i&gt;Pathfinder RPG Bestiary&lt;/i&gt; 286). It usually leaves no tracks because it prefers to fly an inch above the ground. You are immune to the hound's bay ability. The hound's bite is considered aligned to any single alignment you possess for the purposes of overcoming damage reduction.&lt;/p&gt;&lt;/h4&gt;&lt;/div&gt;</t>
  </si>
  <si>
    <t>Harrowing, Greater</t>
  </si>
  <si>
    <t>bard 5, sorcerer/wizard 6, witch 6</t>
  </si>
  <si>
    <t>V, S, F (a harrow deck)</t>
  </si>
  <si>
    <t>one creature, plus one additional creature for every 3  caster levels</t>
  </si>
  <si>
    <t>This spell functions as harrowing, except it can affect an entire group of creatures and allows its subjects some measure of control over their destiny. Subjects of a greater harrowing spell record and spend their accumulated bonuses and penalties individually, according to their own alignment.  Each participant in a greater harrowing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  Hammers: As a standard action, you can grant yourself a +4 enhancement bonus to Strength for 1 minute. While this bonus persists, you can reroll any bull rush, grapple, or sunder combat maneuver checks. You must use the result of this second roll, even if it is worse.  Keys: As a standard action, you can grant yourself a +4 enhancement bonus to Dexterity for 1 minute. While this bonus persists, you gain evasion, as the rogue class feature. If you already possess evasion, you instead gain improved evasion, as the advanced rogue talent.  Shields: As a standard action, you can grant yourself a +4 enhancement bonus to Constitution for 1 minute. While this bonus persists, you gain fast healing 1 and don't die until you reach a number of negative hit points equal to double your Constitution.  Books: As a standard action, you can grant yourself a +4 enhancement bonus to Intelligence for 1 minute. While this bonus persists, you gain a +3 enhancement bonus on checks with all skills you have no ranks in, and you can use those skills even if they can't normally be used untrained.  Stars: As a standard action, you can grant yourself a +4 enhancement bonus to Wisdom for 1 minute. While this bonus persists, you gain immunity to one of the following (your choice): charm and compulsion effects, curse effects, or fear effects.  Crowns: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  A single creature can be under the effects of only one harrowing or greater harrowing at a time. If the subject is targeted with a second harrowing or greater harrowing spell while a previous harrowing or greater harrowing is s till a ffecting him, the new spell automatically fails for that subject.</t>
  </si>
  <si>
    <t>&lt;p&gt;This spell functions as &lt;i&gt;harrowing&lt;/i&gt;, except it can affect an entire group of creatures and allows its subjects some measure of control over their destiny. Subjects of a greater &lt;i&gt;harrowing&lt;/i&gt; spell record and spend their accumulated bonuses and penalties individually, according to their own alignment.&lt;/p&gt;&lt;p&gt;Each participant in a greater &lt;i&gt;harrowing&lt;/i&gt;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casting.&lt;/p&gt;&lt;p&gt;&lt;i&gt;Hammers&lt;/i&gt;: As a standard action, you can grant yourself a +4 enhancement bonus to Strength for 1 minute. While this bonus persists, you can reroll any bull rush, grapple, or sunder combat maneuver checks. You must use the result of this second roll, even if it is worse.&lt;/p&gt;&lt;p&gt;&lt;i&gt;Keys&lt;/i&gt;: As a standard action, you can grant yourself a +4 enhancement bonus to Dexterity for 1 minute. While this bonus persists, you gain evasion, as the rogue class feature. If you already possess evasion, you instead gain improved evasion, as the advanced rogue talent.&lt;/p&gt;&lt;p&gt;&lt;i&gt;Shields&lt;/i&gt;: As a standard action, you can grant yourself a +4 enhancement bonus to Constitution for 1 minute. While this bonus persists, you gain fast healing 1 and don't die until you reach a number of negative hit points equal to double your Constitution.&lt;/p&gt;&lt;p&gt;&lt;i&gt;Books&lt;/i&gt;: As a standard action, you can grant yourself a +4 enhancement bonus to Intelligence for 1 minute. While this bonus persists, you gain a +3 enhancement bonus on checks with all skills you have no ranks in, and you can use those skills even if they can't normally be used untrained.&lt;/p&gt;&lt;p&gt;&lt;i&gt;Stars&lt;/i&gt;: As a standard action, you can grant yourself a +4 enhancement bonus to Wisdom for 1 minute. While this bonus persists, you gain immunity to one of the following (your choice): charm and compulsion effects, curse effects, or fear effects.&lt;/p&gt;&lt;p&gt;&lt;i&gt;Crowns&lt;/i&gt;: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expires.&lt;/p&gt;&lt;p&gt;A single creature can be under the effects of only one &lt;i&gt;harrowing&lt;/i&gt; or greater &lt;i&gt;harrowing&lt;/i&gt; at a time. If the subject is targeted with a second &lt;i&gt;harrowing&lt;/i&gt; or greater &lt;i&gt;harrowing&lt;/i&gt; spell while a previous &lt;i&gt;harrowing&lt;/i&gt; or greater &lt;i&gt;harrowing&lt;/i&gt; is s till a ffecting him, the new spell automatically fails for that subject.&lt;/p&gt;</t>
  </si>
  <si>
    <t>The HarrowHandbook</t>
  </si>
  <si>
    <t>&lt;link rel="stylesheet"href="PF.css"&gt;&lt;div class="heading"&gt;&lt;p class="alignleft"&gt;Harrowing, Greater&lt;/p&gt;&lt;div style="clear: both;"&gt;&lt;/div&gt;&lt;/div&gt;&lt;div&gt;&lt;h5&gt;&lt;b&gt;School &lt;/b&gt;divination; &lt;b&gt;Level &lt;/b&gt;bard 5, sorcerer/wizard 6, witch 6&lt;/h5&gt;&lt;/div&gt;&lt;hr/&gt;&lt;div&gt;&lt;h5&gt;&lt;b&gt;CASTING&lt;/b&gt;&lt;/h5&gt;&lt;/div&gt;&lt;hr/&gt;&lt;div&gt;&lt;h5&gt;&lt;b&gt;Casting Time &lt;/b&gt;10 minutes&lt;/h5&gt;&lt;h5&gt;&lt;b&gt;Components &lt;/b&gt;V, S, F (a harrow deck)&lt;/h5&gt;&lt;/div&gt;&lt;hr/&gt;&lt;div&gt;&lt;h5&gt;&lt;b&gt;EFFECT&lt;/b&gt;&lt;/h5&gt;&lt;/div&gt;&lt;hr/&gt;&lt;div&gt;&lt;h5&gt;&lt;b&gt;Range &lt;/b&gt;touch&lt;/h5&gt;&lt;h5&gt;&lt;b&gt;Targets &lt;/b&gt;one creature, plus one additional creature for every 3  caster levels&lt;/h5&gt;&lt;h5&gt;&lt;b&gt;Duration &lt;/b&gt;1 day/level or until fulfilled&lt;/h5&gt;&lt;/div&gt;&lt;hr/&gt;&lt;div&gt;&lt;h5&gt;&lt;b&gt;DESCRIPTION&lt;/b&gt;&lt;/h5&gt;&lt;/div&gt;&lt;hr/&gt;&lt;div&gt;&lt;h4&gt;&lt;p&gt;This spell functions as &lt;i&gt;harrowing&lt;/i&gt;, except it can affect an entire group of creatures and allows its subjects some measure of control over their destiny. Subjects of a greater &lt;i&gt;harrowing&lt;/i&gt; spell record and spend their accumulated bonuses and penalties individually, according to their own alignment.&lt;/p&gt;&lt;p&gt;Each participant in a greater &lt;i&gt;harrowing&lt;/i&gt;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casting.&lt;/p&gt;&lt;p&gt;&lt;i&gt;Hammers&lt;/i&gt;: As a standard action, you can grant yourself a +4 enhancement bonus to Strength for 1 minute. While this bonus persists, you can reroll any bull rush, grapple, or sunder combat maneuver checks. You must use the result of this second roll, even if it is worse.&lt;/p&gt;&lt;p&gt;&lt;i&gt;Keys&lt;/i&gt;: As a standard action, you can grant yourself a +4 enhancement bonus to Dexterity for 1 minute. While this bonus persists, you gain evasion, as the rogue class feature. If you already possess evasion, you instead gain improved evasion, as the advanced rogue talent.&lt;/p&gt;&lt;p&gt;&lt;i&gt;Shields&lt;/i&gt;: As a standard action, you can grant yourself a +4 enhancement bonus to Constitution for 1 minute. While this bonus persists, you gain fast healing 1 and don't die until you reach a number of negative hit points equal to double your Constitution.&lt;/p&gt;&lt;p&gt;&lt;i&gt;Books&lt;/i&gt;: As a standard action, you can grant yourself a +4 enhancement bonus to Intelligence for 1 minute. While this bonus persists, you gain a +3 enhancement bonus on checks with all skills you have no ranks in, and you can use those skills even if they can't normally be used untrained.&lt;/p&gt;&lt;p&gt;&lt;i&gt;Stars&lt;/i&gt;: As a standard action, you can grant yourself a +4 enhancement bonus to Wisdom for 1 minute. While this bonus persists, you gain immunity to one of the following (your choice): charm and compulsion effects, curse effects, or fear effects.&lt;/p&gt;&lt;p&gt;&lt;i&gt;Crowns&lt;/i&gt;: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expires.&lt;/p&gt;&lt;p&gt;A single creature can be under the effects of only one &lt;i&gt;harrowing&lt;/i&gt; or greater &lt;i&gt;harrowing&lt;/i&gt; at a time. If the subject is targeted with a second &lt;i&gt;harrowing&lt;/i&gt; or greater &lt;i&gt;harrowing&lt;/i&gt; spell while a previous &lt;i&gt;harrowing&lt;/i&gt; or greater &lt;i&gt;harrowing&lt;/i&gt; is s till a ffecting him, the new spell automatically fails for that subject.&lt;/p&gt;&lt;/h4&gt;&lt;/div&gt;</t>
  </si>
  <si>
    <t>Harrow (15)</t>
  </si>
  <si>
    <t>Abeyance</t>
  </si>
  <si>
    <t>V, S, M (a flask of holy water worth 25 gp), DF</t>
  </si>
  <si>
    <t>Abeyance suppresses the effects of a single  curse on a creature. It does not restore any damage or drain that might have been caused by the curse. Abeyance cannot suppress curses that cannot be removed by remove curse, but it can suppress curses such as lycanthropy that require remove curse along with additional measures. An individual curse can be suppressed only once by abeyance, even if cast by a different caster.  Abeyance does not allow a creature to divest itself of cursed objects, though it can suppress a curse contracted from an object.</t>
  </si>
  <si>
    <t>&lt;p&gt;&lt;i&gt;Abeyance&lt;/i&gt; suppresses the effects of a single  curse on a creature. It does not restore any damage or drain that might have been caused by the curse. &lt;i&gt;Abeyance&lt;/i&gt; cannot suppress curses that cannot be removed by &lt;i&gt;remove curse&lt;/i&gt;, but it can suppress curses such as lycanthropy that require &lt;i&gt;remove curse&lt;/i&gt; along with additional measures. An individual curse can be suppressed only once by &lt;i&gt;abeyance&lt;/i&gt;, even if cast by a different caster.  &lt;i&gt;Abeyance&lt;/i&gt; does not allow a creature to divest itself of cursed objects, though it can suppress a curse contracted from an object.&lt;/p&gt;</t>
  </si>
  <si>
    <t>AP 82</t>
  </si>
  <si>
    <t>&lt;link rel="stylesheet"href="PF.css"&gt;&lt;div class="heading"&gt;&lt;p class="alignleft"&gt;Abeyance&lt;/p&gt;&lt;div style="clear: both;"&gt;&lt;/div&gt;&lt;/div&gt;&lt;div&gt;&lt;h5&gt;&lt;b&gt;School &lt;/b&gt;abjuration; &lt;b&gt;Level &lt;/b&gt;cleric/oracle 2, inquisitor 2, paladin 2&lt;/h5&gt;&lt;/div&gt;&lt;hr/&gt;&lt;div&gt;&lt;h5&gt;&lt;b&gt;CASTING&lt;/b&gt;&lt;/h5&gt;&lt;/div&gt;&lt;hr/&gt;&lt;div&gt;&lt;h5&gt;&lt;b&gt;Casting Time &lt;/b&gt;1 minute&lt;/h5&gt;&lt;h5&gt;&lt;b&gt;Components &lt;/b&gt;V, S, M (a flask of holy water worth 25 gp), DF&lt;/h5&gt;&lt;/div&gt;&lt;hr/&gt;&lt;div&gt;&lt;h5&gt;&lt;b&gt;EFFECT&lt;/b&gt;&lt;/h5&gt;&lt;/div&gt;&lt;hr/&gt;&lt;div&gt;&lt;h5&gt;&lt;b&gt;Range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(harmless)&lt;/h5&gt;&lt;/div&gt;&lt;hr/&gt;&lt;div&gt;&lt;h5&gt;&lt;b&gt;DESCRIPTION&lt;/b&gt;&lt;/h5&gt;&lt;/div&gt;&lt;hr/&gt;&lt;div&gt;&lt;h4&gt;&lt;p&gt;&lt;i&gt;Abeyance&lt;/i&gt; suppresses the effects of a single  curse on a creature. It does not restore any damage or drain that might have been caused by the curse. &lt;i&gt;Abeyance&lt;/i&gt; cannot suppress curses that cannot be removed by &lt;i&gt;remove curse&lt;/i&gt;, but it can suppress curses such as lycanthropy that require &lt;i&gt;remove curse&lt;/i&gt; along with additional measures. An individual curse can be suppressed only once by &lt;i&gt;abeyance&lt;/i&gt;, even if cast by a different caster.  &lt;i&gt;Abeyance&lt;/i&gt; does not allow a creature to divest itself of cursed objects, though it can suppress a curse contracted from an object.&lt;/p&gt;&lt;/h4&gt;&lt;/div&gt;</t>
  </si>
  <si>
    <t>Aggravate Affliction</t>
  </si>
  <si>
    <t>cleric/oracle 3, druid 3, sorcerer/wizard 4, witch 3</t>
  </si>
  <si>
    <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t>
  </si>
  <si>
    <t>&lt;p&gt;All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spell.&lt;/p&gt;</t>
  </si>
  <si>
    <t>&lt;link rel="stylesheet"href="PF.css"&gt;&lt;div class="heading"&gt;&lt;p class="alignleft"&gt;Aggravate Affliction&lt;/p&gt;&lt;div style="clear: both;"&gt;&lt;/div&gt;&lt;/div&gt;&lt;div&gt;&lt;h5&gt;&lt;b&gt;School &lt;/b&gt;necromancy; &lt;b&gt;Level &lt;/b&gt;cleric/oracle 3, druid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&lt;/b&gt;see text; &lt;b&gt;Spell Resistance &lt;/b&gt;yes&lt;/h5&gt;&lt;/div&gt;&lt;hr/&gt;&lt;div&gt;&lt;h5&gt;&lt;b&gt;DESCRIPTION&lt;/b&gt;&lt;/h5&gt;&lt;/div&gt;&lt;hr/&gt;&lt;div&gt;&lt;h4&gt;&lt;p&gt;All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spell.&lt;/p&gt;&lt;/h4&gt;&lt;/div&gt;</t>
  </si>
  <si>
    <t>Bestow Curse, Greater</t>
  </si>
  <si>
    <t>cleric/oracle 7, sorcerer/wizard 8, witch 7</t>
  </si>
  <si>
    <t>You place a curse on the subject. Choose one of the following.  • -12 penalty to an ability score, or -6 penalty to two ability scores (to a minimum ability score of 1).  • -8 penalty on attack rolls, saves, ability checks, and skill checks.  • Each turn, the target has a 25% chance to act normally; otherwise, it takes no actions.  • Bestow one of the curses or variants in this article.  • Bestow curse of the ages or unluck (Core Rulebook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break enchantment, limited wish, miracle, or wish spell. It cannot be removed with remove curse or suppressed with abeyance. The DC to remove the curse with break enchantment increases by 5.</t>
  </si>
  <si>
    <t>&lt;p&gt;You place a curse on the subject. Choose one of the following.  &lt;ul&gt;&lt;li&gt; -12 penalty to an ability score, or -6 penalty to two ability scores (to a minimum ability score of 1).  &lt;li&gt; -8 penalty on attack rolls, saves, ability checks, and skill checks.  &lt;li&gt; Each turn, the target has a 25% chance to act normally; otherwise, it takes no actions.  &lt;li&gt; Bestow one of the curses or variants in this article.  &lt;li&gt; Bestow curse of the ages or unluck (&lt;i&gt;Core Rulebook&lt;/i&gt;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&lt;i&gt;break enchantment&lt;/i&gt;, &lt;i&gt;limited &lt;i&gt;wish&lt;/i&gt;&lt;/i&gt;, &lt;i&gt;miracle&lt;/i&gt;, or &lt;i&gt;wish&lt;/i&gt; spell. It cannot be removed with &lt;i&gt;remove curse&lt;/i&gt; or suppressed with &lt;i&gt;abeyance&lt;/i&gt;. The DC to remove the curse with &lt;i&gt;break enchantment&lt;/i&gt; increases by 5.&lt;/ul&gt;&lt;/p&gt;</t>
  </si>
  <si>
    <t>&lt;link rel="stylesheet"href="PF.css"&gt;&lt;div class="heading"&gt;&lt;p class="alignleft"&gt;Bestow Curse, Greater&lt;/p&gt;&lt;div style="clear: both;"&gt;&lt;/div&gt;&lt;/div&gt;&lt;div&gt;&lt;h5&gt;&lt;b&gt;School &lt;/b&gt;necromancy; &lt;b&gt;Level &lt;/b&gt;cleric/oracle 7, sorcerer/wizard 8,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place a curse on the subject. Choose one of the following.  &lt;ul&gt;&lt;li&gt; -12 penalty to an ability score, or -6 penalty to two ability scores (to a minimum ability score of 1).  &lt;li&gt; -8 penalty on attack rolls, saves, ability checks, and skill checks.  &lt;li&gt; Each turn, the target has a 25% chance to act normally; otherwise, it takes no actions.  &lt;li&gt; Bestow one of the curses or variants in this article.  &lt;li&gt; Bestow curse of the ages or unluck (&lt;i&gt;Core Rulebook&lt;/i&gt; 557).&lt;/ul&gt;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&lt;i&gt;break enchantment&lt;/i&gt;, &lt;i&gt;limited &lt;i&gt;wish&lt;/i&gt;&lt;/i&gt;, &lt;i&gt;miracle&lt;/i&gt;, or &lt;i&gt;wish&lt;/i&gt; spell. It cannot be removed with &lt;i&gt;remove curse&lt;/i&gt; or suppressed with &lt;i&gt;abeyance&lt;/i&gt;. The DC to remove the curse with &lt;i&gt;break enchantment&lt;/i&gt; increases by 5.&lt;/p&gt;&lt;/h4&gt;&lt;/div&gt;</t>
  </si>
  <si>
    <t>Corruption (6)</t>
  </si>
  <si>
    <t>Storm Step</t>
  </si>
  <si>
    <t>magus 3, sorcerer/wizard 3, witch 3</t>
  </si>
  <si>
    <t>Reflex halves</t>
  </si>
  <si>
    <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  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t>
  </si>
  <si>
    <t>&lt;p&gt;You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damage.&lt;/p&gt;&lt;p&gt;If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ends.&lt;/p&gt;</t>
  </si>
  <si>
    <t>Blood Of The Elements</t>
  </si>
  <si>
    <t>&lt;link rel="stylesheet"href="PF.css"&gt;&lt;div class="heading"&gt;&lt;p class="alignleft"&gt;Storm Step&lt;/p&gt;&lt;div style="clear: both;"&gt;&lt;/div&gt;&lt;/div&gt;&lt;div&gt;&lt;h5&gt;&lt;b&gt;School &lt;/b&gt;conjuration (teleportation) [electricity]; &lt;b&gt;Level &lt;/b&gt;magus 3, sorcerer/wizard 3, witch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&lt;/b&gt;you&lt;/h5&gt;&lt;h5&gt;&lt;b&gt;Duration &lt;/b&gt;instantaneous&lt;/h5&gt;&lt;h5&gt;&lt;b&gt;Saving Throw &lt;/b&gt;Reflex halves; &lt;b&gt;Spell Resistance &lt;/b&gt;yes&lt;/h5&gt;&lt;/div&gt;&lt;hr/&gt;&lt;div&gt;&lt;h5&gt;&lt;b&gt;DESCRIPTION&lt;/b&gt;&lt;/h5&gt;&lt;/div&gt;&lt;hr/&gt;&lt;div&gt;&lt;h4&gt;&lt;p&gt;You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damage.&lt;/p&gt;&lt;p&gt;If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ends.&lt;/p&gt;&lt;/h4&gt;&lt;/div&gt;</t>
  </si>
  <si>
    <t>Boneshatter</t>
  </si>
  <si>
    <t>cleric/oracle 5, sorcerer/wizard 4</t>
  </si>
  <si>
    <t>V, S, M (a broken bone)</t>
  </si>
  <si>
    <t>close 25 ft. + 5 ft./2 levels)</t>
  </si>
  <si>
    <t>one corporeal creature or object</t>
  </si>
  <si>
    <t>instantaneous and 1 minute/level (see text)</t>
  </si>
  <si>
    <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t>
  </si>
  <si>
    <t>&lt;p&gt;The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carapace.&lt;/p&gt;</t>
  </si>
  <si>
    <t>AP 84</t>
  </si>
  <si>
    <t>&lt;link rel="stylesheet"href="PF.css"&gt;&lt;div class="heading"&gt;&lt;p class="alignleft"&gt;Boneshatter&lt;/p&gt;&lt;div style="clear: both;"&gt;&lt;/div&gt;&lt;/div&gt;&lt;div&gt;&lt;h5&gt;&lt;b&gt;School &lt;/b&gt;necromancy; &lt;b&gt;Level &lt;/b&gt;cleric/oracle 5, sorcerer/wizard 4&lt;/h5&gt;&lt;/div&gt;&lt;hr/&gt;&lt;div&gt;&lt;h5&gt;&lt;b&gt;CASTING&lt;/b&gt;&lt;/h5&gt;&lt;/div&gt;&lt;hr/&gt;&lt;div&gt;&lt;h5&gt;&lt;b&gt;Casting Time &lt;/b&gt;1 standard action&lt;/h5&gt;&lt;h5&gt;&lt;b&gt;Components &lt;/b&gt;V, S, M (a broken bone)&lt;/h5&gt;&lt;/div&gt;&lt;hr/&gt;&lt;div&gt;&lt;h5&gt;&lt;b&gt;EFFECT&lt;/b&gt;&lt;/h5&gt;&lt;/div&gt;&lt;hr/&gt;&lt;div&gt;&lt;h5&gt;&lt;b&gt;Range &lt;/b&gt;close 25 ft. + 5 ft./2 levels)&lt;/h5&gt;&lt;h5&gt;&lt;b&gt;Targets &lt;/b&gt;one corporeal creature or object&lt;/h5&gt;&lt;h5&gt;&lt;b&gt;Duration &lt;/b&gt;instantaneous and 1 minute/level (see text)&lt;/h5&gt;&lt;h5&gt;&lt;b&gt;Saving Throw &lt;/b&gt;Fortitude partial (see text); &lt;b&gt;Spell Resistance &lt;/b&gt;yes&lt;/h5&gt;&lt;/div&gt;&lt;hr/&gt;&lt;div&gt;&lt;h5&gt;&lt;b&gt;DESCRIPTION&lt;/b&gt;&lt;/h5&gt;&lt;/div&gt;&lt;hr/&gt;&lt;div&gt;&lt;h4&gt;&lt;p&gt;The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carapace.&lt;/p&gt;&lt;/h4&gt;&lt;/div&gt;</t>
  </si>
  <si>
    <t>Alter River</t>
  </si>
  <si>
    <t>cleric/oracle 4, druid 4, sorcerer/wizard 5</t>
  </si>
  <si>
    <t>S, V, M (silt from a dry riverbed)</t>
  </si>
  <si>
    <t>area of river up to 5 ft. wide/2 levels and 10 ft. long/level</t>
  </si>
  <si>
    <t>You alter the flow of water in a natural freshwater channel such as a river, stream, or waterfall. The first version of this spell alters the speed of a river's flow. The second diverts the course of the targeted river.  Alter Current: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  Divert River: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Core Rulebook for more details.  Alter river can be made permanent with a permanency spell.  Clever application of spells such as move earth can be combined with this spell to likewise make the river's new course permanent.</t>
  </si>
  <si>
    <t>&lt;p&gt;You alter the flow of water in a natural freshwater channel such as a river, stream, or waterfall. The first version of this spell alters the speed of a river's flow. The second diverts the course of the targeted river.&lt;/p&gt;&lt;p&gt;&lt;i&gt;Alter Current&lt;/i&gt;: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accordingly.&lt;/p&gt;&lt;p&gt;&lt;i&gt;Divert River&lt;/i&gt;: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&lt;i&gt;Core Rulebook&lt;/i&gt; for more details.&lt;/p&gt;&lt;p&gt;&lt;i&gt;Alter river&lt;/i&gt; can be made permanent with a &lt;i&gt;permanency&lt;/i&gt; spell.&lt;/p&gt;&lt;p&gt;Clever application of spells such as &lt;i&gt;move earth&lt;/i&gt; can be combined with this spell to likewise make the river's new course permanent.&lt;/p&gt;</t>
  </si>
  <si>
    <t>People Of The River</t>
  </si>
  <si>
    <t>&lt;link rel="stylesheet"href="PF.css"&gt;&lt;div class="heading"&gt;&lt;p class="alignleft"&gt;Alter River&lt;/p&gt;&lt;div style="clear: both;"&gt;&lt;/div&gt;&lt;/div&gt;&lt;div&gt;&lt;h5&gt;&lt;b&gt;School &lt;/b&gt;transmutation [water]; &lt;b&gt;Level &lt;/b&gt;cleric/oracle 4, druid 4, sorcerer/wizard 5&lt;/h5&gt;&lt;/div&gt;&lt;hr/&gt;&lt;div&gt;&lt;h5&gt;&lt;b&gt;CASTING&lt;/b&gt;&lt;/h5&gt;&lt;/div&gt;&lt;hr/&gt;&lt;div&gt;&lt;h5&gt;&lt;b&gt;Casting Time &lt;/b&gt;1 standard action&lt;/h5&gt;&lt;h5&gt;&lt;b&gt;Components &lt;/b&gt;S, V, M (silt from a dry riverbed)&lt;/h5&gt;&lt;/div&gt;&lt;hr/&gt;&lt;div&gt;&lt;h5&gt;&lt;b&gt;EFFECT&lt;/b&gt;&lt;/h5&gt;&lt;/div&gt;&lt;hr/&gt;&lt;div&gt;&lt;h5&gt;&lt;b&gt;Range &lt;/b&gt;medium (100 ft. + 10 ft./level)&lt;/h5&gt;&lt;h5&gt;&lt;b&gt;Targets &lt;/b&gt;area of river up to 5 ft. wide/2 levels and 10 ft. long/level&lt;/h5&gt;&lt;h5&gt;&lt;b&gt;Duration &lt;/b&gt;1 minute/level (D)&lt;/h5&gt;&lt;h5&gt;&lt;b&gt;Saving Throw &lt;/b&gt;none; &lt;b&gt;Spell Resistance &lt;/b&gt;no&lt;/h5&gt;&lt;/div&gt;&lt;hr/&gt;&lt;div&gt;&lt;h5&gt;&lt;b&gt;DESCRIPTION&lt;/b&gt;&lt;/h5&gt;&lt;/div&gt;&lt;hr/&gt;&lt;div&gt;&lt;h4&gt;&lt;p&gt;You alter the flow of water in a natural freshwater channel such as a river, stream, or waterfall. The first version of this spell alters the speed of a river's flow. The second diverts the course of the targeted river.&lt;/p&gt;&lt;p&gt;&lt;i&gt;Alter Current&lt;/i&gt;: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accordingly.&lt;/p&gt;&lt;p&gt;&lt;i&gt;Divert River&lt;/i&gt;: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&lt;i&gt;Core Rulebook&lt;/i&gt; for more details.&lt;/p&gt;&lt;p&gt;&lt;i&gt;Alter river&lt;/i&gt; can be made permanent with a &lt;i&gt;permanency&lt;/i&gt; spell.&lt;/p&gt;&lt;p&gt;Clever application of spells such as &lt;i&gt;move earth&lt;/i&gt; can be combined with this spell to likewise make the river's new course permanent.&lt;/p&gt;&lt;/h4&gt;&lt;/div&gt;</t>
  </si>
  <si>
    <t>Detect Metal</t>
  </si>
  <si>
    <t>alchemist 1, bard 1, sorcerer/wizard 1, summoner 1</t>
  </si>
  <si>
    <t>V, S, F (a magnetized nail or nugget of ore)</t>
  </si>
  <si>
    <t>You detect any metal objects or creatures within a 60-foot cone.  You can specify all metal objects or one or more specific types of metal (such as silver, cold iron, or a type of skymetal) when you cast this spell; in the case of the latter, you detect only objects or creatures made of the specified metal.</t>
  </si>
  <si>
    <t>&lt;p&gt;You detect any metal objects or creatures within a 60-foot cone.&lt;/p&gt;&lt;p&gt;You can specify all metal objects or one or more specific types of metal (such as silver, cold iron, or a type of skymetal) when you cast this spell; in the case of the latter, you detect only objects or creatures made of the specified metal.&lt;/p&gt;</t>
  </si>
  <si>
    <t>&lt;link rel="stylesheet"href="PF.css"&gt;&lt;div class="heading"&gt;&lt;p class="alignleft"&gt;Detect Metal&lt;/p&gt;&lt;div style="clear: both;"&gt;&lt;/div&gt;&lt;/div&gt;&lt;div&gt;&lt;h5&gt;&lt;b&gt;School &lt;/b&gt;divination; &lt;b&gt;Level &lt;/b&gt;alchemist 1, bard 1, sorcerer/wizard 1, summoner 1&lt;/h5&gt;&lt;/div&gt;&lt;hr/&gt;&lt;div&gt;&lt;h5&gt;&lt;b&gt;CASTING&lt;/b&gt;&lt;/h5&gt;&lt;/div&gt;&lt;hr/&gt;&lt;div&gt;&lt;h5&gt;&lt;b&gt;Casting Time &lt;/b&gt;1 standard action&lt;/h5&gt;&lt;h5&gt;&lt;b&gt;Components &lt;/b&gt;V, S, F (a magnetized nail or nugget of ore)&lt;/h5&gt;&lt;/div&gt;&lt;hr/&gt;&lt;div&gt;&lt;h5&gt;&lt;b&gt;EFFECT&lt;/b&gt;&lt;/h5&gt;&lt;/div&gt;&lt;hr/&gt;&lt;div&gt;&lt;h5&gt;&lt;b&gt;Range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detect any metal objects or creatures within a 60-foot cone.&lt;/p&gt;&lt;p&gt;You can specify all metal objects or one or more specific types of metal (such as silver, cold iron, or a type of skymetal) when you cast this spell; in the case of the latter, you detect only objects or creatures made of the specified metal.&lt;/p&gt;&lt;/h4&gt;&lt;/div&gt;</t>
  </si>
  <si>
    <t>Hanspur's Flotsam Vessel</t>
  </si>
  <si>
    <t>cleric/oracle 2, druid 2, ranger 1, summoner 1</t>
  </si>
  <si>
    <t>V, S, M (driftwood branch or river rat's tail)</t>
  </si>
  <si>
    <t>raft large enough for caster and one passenger/2 levels</t>
  </si>
  <si>
    <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t>
  </si>
  <si>
    <t>&lt;p&gt;This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direction.&lt;/p&gt;</t>
  </si>
  <si>
    <t>&lt;link rel="stylesheet"href="PF.css"&gt;&lt;div class="heading"&gt;&lt;p class="alignleft"&gt;Hanspur's Flotsam Vessel&lt;/p&gt;&lt;div style="clear: both;"&gt;&lt;/div&gt;&lt;/div&gt;&lt;div&gt;&lt;h5&gt;&lt;b&gt;School &lt;/b&gt;conjuration (creation); &lt;b&gt;Level &lt;/b&gt;cleric/oracle 2, druid 2, ranger 1, summoner 1&lt;/h5&gt;&lt;/div&gt;&lt;hr/&gt;&lt;div&gt;&lt;h5&gt;&lt;b&gt;CASTING&lt;/b&gt;&lt;/h5&gt;&lt;/div&gt;&lt;hr/&gt;&lt;div&gt;&lt;h5&gt;&lt;b&gt;Casting Time &lt;/b&gt;1 minute&lt;/h5&gt;&lt;h5&gt;&lt;b&gt;Components &lt;/b&gt;V, S, M (driftwood branch or river rat's tail)&lt;/h5&gt;&lt;/div&gt;&lt;hr/&gt;&lt;div&gt;&lt;h5&gt;&lt;b&gt;EFFECT&lt;/b&gt;&lt;/h5&gt;&lt;/div&gt;&lt;hr/&gt;&lt;div&gt;&lt;h5&gt;&lt;b&gt;Range &lt;/b&gt;close (25 ft. + 5 ft./2 levels)&lt;/h5&gt;&lt;h5&gt;&lt;b&gt;Effect &lt;/b&gt;raft large enough for caster and one passenger/2 levels&lt;/h5&gt;&lt;h5&gt;&lt;b&gt;Duration &lt;/b&gt;1 hour/level (D)&lt;/h5&gt;&lt;h5&gt;&lt;b&gt;Saving Throw &lt;/b&gt;none; &lt;b&gt;Spell Resistance &lt;/b&gt;no&lt;/h5&gt;&lt;/div&gt;&lt;hr/&gt;&lt;div&gt;&lt;h5&gt;&lt;b&gt;DESCRIPTION&lt;/b&gt;&lt;/h5&gt;&lt;/div&gt;&lt;hr/&gt;&lt;div&gt;&lt;h4&gt;&lt;p&gt;This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direction.&lt;/p&gt;&lt;/h4&gt;&lt;/div&gt;</t>
  </si>
  <si>
    <t>Magnetic Field</t>
  </si>
  <si>
    <t>alchemist 6, cleric/oracle 7, magus 6, sorcerer/wizard 7, summoner 6, witch 7</t>
  </si>
  <si>
    <t>Reflex negates (object; see text)</t>
  </si>
  <si>
    <t>You create a spherical magnetic field that surrounds you to a range of 30 feet and follows you for the duration of the spell.  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  A creature in the area wearing metal armor, wielding a metal weapon, or holding a metal object must succeed at a Reflex save or be dragged 5 feet closer to you in a straight line, as if affected by the pull universal monster rule (Bestiary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t>
  </si>
  <si>
    <t>&lt;p&gt;You create a spherical magnetic field that surrounds you to a range of 30 feet and follows you for the duration of the spell.&lt;/p&gt;&lt;p&gt;Unattended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discretion).&lt;/p&gt;&lt;p&gt;A creature in the area wearing metal armor, wielding a metal weapon, or holding a metal object must succeed at a Reflex save or be dragged 5 feet closer to you in a straight line, as if affected by the pull universal monster rule (&lt;i&gt;Bestiary&lt;/i&gt;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saves.&lt;/p&gt;</t>
  </si>
  <si>
    <t>&lt;link rel="stylesheet"href="PF.css"&gt;&lt;div class="heading"&gt;&lt;p class="alignleft"&gt;Magnetic Field&lt;/p&gt;&lt;div style="clear: both;"&gt;&lt;/div&gt;&lt;/div&gt;&lt;div&gt;&lt;h5&gt;&lt;b&gt;School &lt;/b&gt;abjuration; &lt;b&gt;Level &lt;/b&gt;alchemist 6, cleric/oracle 7, magus 6, sorcerer/wizard 7, summoner 6, witch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emanation&lt;/h5&gt;&lt;h5&gt;&lt;b&gt;Duration &lt;/b&gt;1 round/2 levels (D)&lt;/h5&gt;&lt;h5&gt;&lt;b&gt;Saving Throw &lt;/b&gt;Reflex negates (object; see text); &lt;b&gt;Spell Resistance &lt;/b&gt;yes (object)&lt;/h5&gt;&lt;/div&gt;&lt;hr/&gt;&lt;div&gt;&lt;h5&gt;&lt;b&gt;DESCRIPTION&lt;/b&gt;&lt;/h5&gt;&lt;/div&gt;&lt;hr/&gt;&lt;div&gt;&lt;h4&gt;&lt;p&gt;You create a spherical magnetic field that surrounds you to a range of 30 feet and follows you for the duration of the spell.&lt;/p&gt;&lt;p&gt;Unattended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discretion).&lt;/p&gt;&lt;p&gt;A creature in the area wearing metal armor, wielding a metal weapon, or holding a metal object must succeed at a Reflex save or be dragged 5 feet closer to you in a straight line, as if affected by the pull universal monster rule (&lt;i&gt;Bestiary&lt;/i&gt;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saves.&lt;/p&gt;&lt;/h4&gt;&lt;/div&gt;</t>
  </si>
  <si>
    <t>Nanite (15)</t>
  </si>
  <si>
    <t>Resounding Clang</t>
  </si>
  <si>
    <t>S, F (bell, chimes, gong, or cymbals)</t>
  </si>
  <si>
    <t>30-ft.-radius burst, centered on you</t>
  </si>
  <si>
    <t>You create a loud, resonating clangor that causes metallic objects to vibrate wildly. Affected creatures wielding metal weapons take a -1 penalty on attack rolls, while creatures using metallic tools take a -1 penalty on associated skill checks.  Creatures wearing metal armor increase the armor check penalty of their armor by 1. These penalties increase by 1 at 8th caster level and every 4 caster levels thereafter (to a maximum of -4 at 16th level).  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t>
  </si>
  <si>
    <t>&lt;p&gt;You create a loud, resonating clangor that causes metallic objects to vibrate wildly. Affected creatures wielding metal weapons take a -1 penalty on attack rolls, while creatures using metallic tools take a -1 penalty on associated skill checks.&lt;/p&gt;&lt;p&gt;Creatures wearing metal armor increase the armor check penalty of their armor by 1. These penalties increase by 1 at 8th caster level and every 4 caster levels thereafter (to a maximum of -4 at 16th level).&lt;/p&gt;&lt;p&gt;To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saves.&lt;/p&gt;</t>
  </si>
  <si>
    <t>&lt;link rel="stylesheet"href="PF.css"&gt;&lt;div class="heading"&gt;&lt;p class="alignleft"&gt;Resounding Clang&lt;/p&gt;&lt;div style="clear: both;"&gt;&lt;/div&gt;&lt;/div&gt;&lt;div&gt;&lt;h5&gt;&lt;b&gt;School &lt;/b&gt;transmutation; &lt;b&gt;Level &lt;/b&gt;bard 2&lt;/h5&gt;&lt;/div&gt;&lt;hr/&gt;&lt;div&gt;&lt;h5&gt;&lt;b&gt;CASTING&lt;/b&gt;&lt;/h5&gt;&lt;/div&gt;&lt;hr/&gt;&lt;div&gt;&lt;h5&gt;&lt;b&gt;Casting Time &lt;/b&gt;1 standard action&lt;/h5&gt;&lt;h5&gt;&lt;b&gt;Components &lt;/b&gt;S, F (bell, chimes, gong, or cymbals)&lt;/h5&gt;&lt;/div&gt;&lt;hr/&gt;&lt;div&gt;&lt;h5&gt;&lt;b&gt;EFFECT&lt;/b&gt;&lt;/h5&gt;&lt;/div&gt;&lt;hr/&gt;&lt;div&gt;&lt;h5&gt;&lt;b&gt;Range &lt;/b&gt;30 ft.&lt;/h5&gt;&lt;h5&gt;&lt;b&gt;Area &lt;/b&gt;30-ft.-radius burst, centered on you&lt;/h5&gt;&lt;h5&gt;&lt;b&gt;Duration &lt;/b&gt;1 round/level&lt;/h5&gt;&lt;h5&gt;&lt;b&gt;Saving Throw &lt;/b&gt;Reflex negates; &lt;b&gt;Spell Resistance &lt;/b&gt;yes (object)&lt;/h5&gt;&lt;/div&gt;&lt;hr/&gt;&lt;div&gt;&lt;h5&gt;&lt;b&gt;DESCRIPTION&lt;/b&gt;&lt;/h5&gt;&lt;/div&gt;&lt;hr/&gt;&lt;div&gt;&lt;h4&gt;&lt;p&gt;You create a loud, resonating clangor that causes metallic objects to vibrate wildly. Affected creatures wielding metal weapons take a -1 penalty on attack rolls, while creatures using metallic tools take a -1 penalty on associated skill checks.&lt;/p&gt;&lt;p&gt;Creatures wearing metal armor increase the armor check penalty of their armor by 1. These penalties increase by 1 at 8th caster level and every 4 caster levels thereafter (to a maximum of -4 at 16th level).&lt;/p&gt;&lt;p&gt;To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saves.&lt;/p&gt;&lt;/h4&gt;&lt;/div&gt;</t>
  </si>
  <si>
    <t>Riversight</t>
  </si>
  <si>
    <t>cleric/oracle 3, druid 2, inquisitor 3, ranger 2, witch 3</t>
  </si>
  <si>
    <t>V, S, F/DF (a smooth river stone)</t>
  </si>
  <si>
    <t>nonmagical freshwater waterway</t>
  </si>
  <si>
    <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  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t>
  </si>
  <si>
    <t>&lt;p&gt;You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action.&lt;/p&gt;&lt;p&gt;The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saltwater.&lt;/p&gt;</t>
  </si>
  <si>
    <t>&lt;link rel="stylesheet"href="PF.css"&gt;&lt;div class="heading"&gt;&lt;p class="alignleft"&gt;Riversight&lt;/p&gt;&lt;div style="clear: both;"&gt;&lt;/div&gt;&lt;/div&gt;&lt;div&gt;&lt;h5&gt;&lt;b&gt;School &lt;/b&gt;divination (scrying); &lt;b&gt;Level &lt;/b&gt;cleric/oracle 3, druid 2, inquisitor 3, ranger 2, witch 3&lt;/h5&gt;&lt;/div&gt;&lt;hr/&gt;&lt;div&gt;&lt;h5&gt;&lt;b&gt;CASTING&lt;/b&gt;&lt;/h5&gt;&lt;/div&gt;&lt;hr/&gt;&lt;div&gt;&lt;h5&gt;&lt;b&gt;Casting Time &lt;/b&gt;1 minute&lt;/h5&gt;&lt;h5&gt;&lt;b&gt;Components &lt;/b&gt;V, S, F/DF (a smooth river stone)&lt;/h5&gt;&lt;/div&gt;&lt;hr/&gt;&lt;div&gt;&lt;h5&gt;&lt;b&gt;EFFECT&lt;/b&gt;&lt;/h5&gt;&lt;/div&gt;&lt;hr/&gt;&lt;div&gt;&lt;h5&gt;&lt;b&gt;Range &lt;/b&gt;see text&lt;/h5&gt;&lt;h5&gt;&lt;b&gt;Targets &lt;/b&gt;nonmagical freshwater waterway&lt;/h5&gt;&lt;h5&gt;&lt;b&gt;Effect &lt;/b&gt;magical sensor&lt;/h5&gt;&lt;h5&gt;&lt;b&gt;Duration &lt;/b&gt;1 minute/level (D)&lt;/h5&gt;&lt;h5&gt;&lt;b&gt;Saving Throw &lt;/b&gt;none; &lt;b&gt;Spell Resistance &lt;/b&gt;no&lt;/h5&gt;&lt;/div&gt;&lt;hr/&gt;&lt;div&gt;&lt;h5&gt;&lt;b&gt;DESCRIPTION&lt;/b&gt;&lt;/h5&gt;&lt;/div&gt;&lt;hr/&gt;&lt;div&gt;&lt;h4&gt;&lt;p&gt;You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action.&lt;/p&gt;&lt;p&gt;The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saltwater.&lt;/p&gt;&lt;/h4&gt;&lt;/div&gt;</t>
  </si>
  <si>
    <t>Sabotage Construct</t>
  </si>
  <si>
    <t>bard 5, inquisitor 5, sorcerer/wizard 6, witch 6</t>
  </si>
  <si>
    <t>This spell functions as confusion, except that it affects only constructs. When you are rolling for a confused construct's behavior, a result of 26-50 indicates the construct twitches spasmodically. On a successful Will save, the construct is confused for only 1 round.</t>
  </si>
  <si>
    <t>&lt;p&gt;This spell functions as &lt;i&gt;confusion&lt;/i&gt;, except that it affects only constructs. When you are rolling for a confused construct's behavior, a result of 26-50 indicates the construct twitches spasmodically. On a successful Will save, the construct is confused for only 1 round.&lt;/p&gt;</t>
  </si>
  <si>
    <t>&lt;link rel="stylesheet"href="PF.css"&gt;&lt;div class="heading"&gt;&lt;p class="alignleft"&gt;Sabotage Construct&lt;/p&gt;&lt;div style="clear: both;"&gt;&lt;/div&gt;&lt;/div&gt;&lt;div&gt;&lt;h5&gt;&lt;b&gt;School &lt;/b&gt;transmutation; &lt;b&gt;Level &lt;/b&gt;bard 5, inquisitor 5, sorcerer/wizard 6, witch 6&lt;/h5&gt;&lt;/div&gt;&lt;hr/&gt;&lt;div&gt;&lt;h5&gt;&lt;b&gt;CASTING&lt;/b&gt;&lt;/h5&gt;&lt;/div&gt;&lt;hr/&gt;&lt;div&gt;&lt;h5&gt;&lt;b&gt;Casting Time &lt;/b&gt;1 standard action&lt;/h5&gt;&lt;h5&gt;&lt;b&gt;Components &lt;/b&gt;S, V&lt;/h5&gt;&lt;/div&gt;&lt;hr/&gt;&lt;div&gt;&lt;h5&gt;&lt;b&gt;EFFECT&lt;/b&gt;&lt;/h5&gt;&lt;/div&gt;&lt;hr/&gt;&lt;div&gt;&lt;h5&gt;&lt;b&gt;Range &lt;/b&gt;touch&lt;/h5&gt;&lt;h5&gt;&lt;b&gt;Duration &lt;/b&gt;1 round/level&lt;/h5&gt;&lt;h5&gt;&lt;b&gt;Saving Throw &lt;/b&gt;Will partial; &lt;b&gt;Spell Resistance &lt;/b&gt;yes&lt;/h5&gt;&lt;/div&gt;&lt;hr/&gt;&lt;div&gt;&lt;h5&gt;&lt;b&gt;DESCRIPTION&lt;/b&gt;&lt;/h5&gt;&lt;/div&gt;&lt;hr/&gt;&lt;div&gt;&lt;h4&gt;&lt;p&gt;This spell functions as &lt;i&gt;confusion&lt;/i&gt;, except that it affects only constructs. When you are rolling for a confused construct's behavior, a result of 26-50 indicates the construct twitches spasmodically. On a successful Will save, the construct is confused for only 1 round.&lt;/p&gt;&lt;/h4&gt;&lt;/div&gt;</t>
  </si>
  <si>
    <t>Antitech Field</t>
  </si>
  <si>
    <t>druid 6, sorcerer/wizard 7</t>
  </si>
  <si>
    <t>V, S, M/DF (pinch of rust)</t>
  </si>
  <si>
    <t>You bring into being a mobile, hemispherical energy field that prevents technological objects, signals, and creatures from entering. An antitech field suppresses any technological effect used within, brought into, or deployed into the area, but does not negate it. Time spent within an antitech field counts against the suppressed effect's duration. Robots and other technological constructs that come in contact with an antitech field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antitech field, and all benefits granted by such gear are suppressed. Non-technological creatures can enter the area, as can low-tech missiles like sling stones and arrows. High-tech missiles such as bullets and missiles immediately halt upon contacting the field, and either drop to the ground harmlessly or detonate. An antitech field doesn't stop rays created by magical sources, but does stop rays fired from beam weapons such as lasers. The antitech field does not offer any protection against explosions caused by technological explosives detonating against it-thus, creatures within the field could still take damage from a rocket that explodes against it. If a creature is larger than the area enclosed by the barrier, any part of the creature that lies outside the barrier is unaffected by the field. This spell can be used only defensively, not aggressively. Forcing an abjuration barrier against creatures that the spell keeps at bay collapses the barrier.</t>
  </si>
  <si>
    <t>&lt;p&gt;You bring into being a mobile, hemispherical energy field that prevents technological objects, signals, and creatures from entering.&lt;/p&gt;&lt;p&gt;An &lt;i&gt;antitech field&lt;/i&gt; suppresses any technological effect used within, brought into, or deployed into the area, but does not negate it. Time spent within an &lt;i&gt;antitech field&lt;/i&gt; counts against the suppressed effect's duration.&lt;/p&gt;&lt;p&gt;Robots and other technological constructs that come in contact with an &lt;i&gt;antitech field&lt;/i&gt;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&lt;i&gt;antitech field&lt;/i&gt;, and all benefits granted by such gear are suppressed.&lt;/p&gt;&lt;p&gt;Non-technological creatures can enter the area, as can low-tech missiles like sling stones and arrows. High-tech missiles such as bullets and missiles immediately halt upon contacting the field, and either drop to the ground harmlessly or detonate. An &lt;i&gt;antitech field&lt;/i&gt; doesn't stop rays created by magical sources, but does stop rays fired from beam weapons such as lasers. The &lt;i&gt;antitech field&lt;/i&gt; does not offer any protection against explosions caused by technological explosives detonating against it-thus, creatures within the field could still take damage from a rocket that explodes against it.&lt;/p&gt;&lt;p&gt;If a creature is larger than the area enclosed by the barrier, any part of the creature that lies outside the barrier is unaffected by the field.&lt;/p&gt;&lt;p&gt;This spell can be used only defensively, not aggressively.&lt;/p&gt;&lt;p&gt;Forcing an abjuration barrier against creatures that the spell keeps at bay collapses the barrier.&lt;/p&gt;</t>
  </si>
  <si>
    <t>Technology Guide</t>
  </si>
  <si>
    <t>&lt;link rel="stylesheet"href="PF.css"&gt;&lt;div class="heading"&gt;&lt;p class="alignleft"&gt;Antitech Field&lt;/p&gt;&lt;div style="clear: both;"&gt;&lt;/div&gt;&lt;/div&gt;&lt;div&gt;&lt;h5&gt;&lt;b&gt;School &lt;/b&gt;abjuration; &lt;b&gt;Level &lt;/b&gt;druid 6, sorcerer/wizard 7&lt;/h5&gt;&lt;/div&gt;&lt;hr/&gt;&lt;div&gt;&lt;h5&gt;&lt;b&gt;CASTING&lt;/b&gt;&lt;/h5&gt;&lt;/div&gt;&lt;hr/&gt;&lt;div&gt;&lt;h5&gt;&lt;b&gt;Casting Time &lt;/b&gt;1 standard action&lt;/h5&gt;&lt;h5&gt;&lt;b&gt;Components &lt;/b&gt;V, S, M/DF (pinch of rust)&lt;/h5&gt;&lt;/div&gt;&lt;hr/&gt;&lt;div&gt;&lt;h5&gt;&lt;b&gt;EFFECT&lt;/b&gt;&lt;/h5&gt;&lt;/div&gt;&lt;hr/&gt;&lt;div&gt;&lt;h5&gt;&lt;b&gt;Range &lt;/b&gt;10 ft.&lt;/h5&gt;&lt;h5&gt;&lt;b&gt;Targets &lt;/b&gt;10-ft.-radius emanation centered on you&lt;/h5&gt;&lt;h5&gt;&lt;b&gt;Duration &lt;/b&gt;1 minute/level (D)&lt;/h5&gt;&lt;h5&gt;&lt;b&gt;Saving Throw &lt;/b&gt;Fortitude partial (see text); &lt;b&gt;Spell Resistance &lt;/b&gt;yes&lt;/h5&gt;&lt;/div&gt;&lt;hr/&gt;&lt;div&gt;&lt;h5&gt;&lt;b&gt;DESCRIPTION&lt;/b&gt;&lt;/h5&gt;&lt;/div&gt;&lt;hr/&gt;&lt;div&gt;&lt;h4&gt;&lt;p&gt;You bring into being a mobile, hemispherical energy field that prevents technological objects, signals, and creatures from entering.&lt;/p&gt;&lt;p&gt;An &lt;i&gt;antitech field&lt;/i&gt; suppresses any technological effect used within, brought into, or deployed into the area, but does not negate it. Time spent within an &lt;i&gt;antitech field&lt;/i&gt; counts against the suppressed effect's duration.&lt;/p&gt;&lt;p&gt;Robots and other technological constructs that come in contact with an &lt;i&gt;antitech field&lt;/i&gt;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&lt;i&gt;antitech field&lt;/i&gt;, and all benefits granted by such gear are suppressed.&lt;/p&gt;&lt;p&gt;Non-technological creatures can enter the area, as can low-tech missiles like sling stones and arrows. High-tech missiles such as bullets and missiles immediately halt upon contacting the field, and either drop to the ground harmlessly or detonate. An &lt;i&gt;antitech field&lt;/i&gt; doesn't stop rays created by magical sources, but does stop rays fired from beam weapons such as lasers. The &lt;i&gt;antitech field&lt;/i&gt; does not offer any protection against explosions caused by technological explosives detonating against it-thus, creatures within the field could still take damage from a rocket that explodes against it.&lt;/p&gt;&lt;p&gt;If a creature is larger than the area enclosed by the barrier, any part of the creature that lies outside the barrier is unaffected by the field.&lt;/p&gt;&lt;p&gt;This spell can be used only defensively, not aggressively.&lt;/p&gt;&lt;p&gt;Forcing an abjuration barrier against creatures that the spell keeps at bay collapses the barrier.&lt;/p&gt;&lt;/h4&gt;&lt;/div&gt;</t>
  </si>
  <si>
    <t>Destroy Robot</t>
  </si>
  <si>
    <t>druid 5, sorcerer/wizard 6</t>
  </si>
  <si>
    <t>V, S, F/DF</t>
  </si>
  <si>
    <t>one robot (see below)</t>
  </si>
  <si>
    <t>You attempt to destroy any one robot in range. When you cast this spell, your hand crackles with electricity. You must succeed at a ranged touch attack to affect the target.  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t>
  </si>
  <si>
    <t>&lt;p&gt;You attempt to destroy any one robot in range. When you cast this spell, your hand crackles with electricity. You must succeed at a ranged touch attack to affect the target.&lt;/p&gt;&lt;p&gt;The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effects.&lt;/p&gt;</t>
  </si>
  <si>
    <t>&lt;link rel="stylesheet"href="PF.css"&gt;&lt;div class="heading"&gt;&lt;p class="alignleft"&gt;Destroy Robot&lt;/p&gt;&lt;div style="clear: both;"&gt;&lt;/div&gt;&lt;/div&gt;&lt;div&gt;&lt;h5&gt;&lt;b&gt;School &lt;/b&gt;transmutation; &lt;b&gt;Level &lt;/b&gt;druid 5, sorcerer/wizard 6&lt;/h5&gt;&lt;/div&gt;&lt;hr/&gt;&lt;div&gt;&lt;h5&gt;&lt;b&gt;CASTING&lt;/b&gt;&lt;/h5&gt;&lt;/div&gt;&lt;hr/&gt;&lt;div&gt;&lt;h5&gt;&lt;b&gt;Casting Time &lt;/b&gt;1 standard action&lt;/h5&gt;&lt;h5&gt;&lt;b&gt;Components &lt;/b&gt;V, S, F/DF&lt;/h5&gt;&lt;/div&gt;&lt;hr/&gt;&lt;div&gt;&lt;h5&gt;&lt;b&gt;EFFECT&lt;/b&gt;&lt;/h5&gt;&lt;/div&gt;&lt;hr/&gt;&lt;div&gt;&lt;h5&gt;&lt;b&gt;Range &lt;/b&gt;close (25 ft. + 5 ft./2 levels)&lt;/h5&gt;&lt;h5&gt;&lt;b&gt;Targets &lt;/b&gt;one robot (see below)&lt;/h5&gt;&lt;h5&gt;&lt;b&gt;Duration &lt;/b&gt;instantaneous&lt;/h5&gt;&lt;h5&gt;&lt;b&gt;Saving Throw &lt;/b&gt;Fortitude partial; &lt;b&gt;Spell Resistance &lt;/b&gt;yes&lt;/h5&gt;&lt;/div&gt;&lt;hr/&gt;&lt;div&gt;&lt;h5&gt;&lt;b&gt;DESCRIPTION&lt;/b&gt;&lt;/h5&gt;&lt;/div&gt;&lt;hr/&gt;&lt;div&gt;&lt;h4&gt;&lt;p&gt;You attempt to destroy any one robot in range. When you cast this spell, your hand crackles with electricity. You must succeed at a ranged touch attack to affect the target.&lt;/p&gt;&lt;p&gt;The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effects.&lt;/p&gt;&lt;/h4&gt;&lt;/div&gt;</t>
  </si>
  <si>
    <t>Detect Radiation</t>
  </si>
  <si>
    <t>bard 1, cleric/oracle 1, druid 1, ranger 1, sorcerer/wizard 1</t>
  </si>
  <si>
    <t>spherical emanation, centered on you</t>
  </si>
  <si>
    <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t>
  </si>
  <si>
    <t>&lt;p&gt;You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time.&lt;/p&gt;</t>
  </si>
  <si>
    <t>&lt;link rel="stylesheet"href="PF.css"&gt;&lt;div class="heading"&gt;&lt;p class="alignleft"&gt;Detect Radiation&lt;/p&gt;&lt;div style="clear: both;"&gt;&lt;/div&gt;&lt;/div&gt;&lt;div&gt;&lt;h5&gt;&lt;b&gt;School &lt;/b&gt;divination; &lt;b&gt;Level &lt;/b&gt;bard 1, cleric/oracle 1, druid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&lt;/b&gt;120 ft.&lt;/h5&gt;&lt;h5&gt;&lt;b&gt;Area &lt;/b&gt;spherical emanation, centered on you&lt;/h5&gt;&lt;h5&gt;&lt;b&gt;Duration &lt;/b&gt;10 minute/level&lt;/h5&gt;&lt;h5&gt;&lt;b&gt;Saving Throw &lt;/b&gt;none; &lt;b&gt;Spell Resistance &lt;/b&gt;no&lt;/h5&gt;&lt;/div&gt;&lt;hr/&gt;&lt;div&gt;&lt;h5&gt;&lt;b&gt;DESCRIPTION&lt;/b&gt;&lt;/h5&gt;&lt;/div&gt;&lt;hr/&gt;&lt;div&gt;&lt;h4&gt;&lt;p&gt;You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time.&lt;/p&gt;&lt;/h4&gt;&lt;/div&gt;</t>
  </si>
  <si>
    <t>Discharge</t>
  </si>
  <si>
    <t>bard 3, cleric/oracle 3, magus 3, sorcerer/wizard 3, witch 3</t>
  </si>
  <si>
    <t>one creature or technological object</t>
  </si>
  <si>
    <t>Discharge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t>
  </si>
  <si>
    <t>&lt;p&gt;&lt;i&gt;Discharge&lt;/i&gt;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effect.&lt;/p&gt;</t>
  </si>
  <si>
    <t>&lt;link rel="stylesheet"href="PF.css"&gt;&lt;div class="heading"&gt;&lt;p class="alignleft"&gt;Discharge&lt;/p&gt;&lt;div style="clear: both;"&gt;&lt;/div&gt;&lt;/div&gt;&lt;div&gt;&lt;h5&gt;&lt;b&gt;School &lt;/b&gt;abjuration; &lt;b&gt;Level &lt;/b&gt;bard 3, cleric/oracle 3, magus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technological object&lt;/h5&gt;&lt;h5&gt;&lt;b&gt;Duration &lt;/b&gt;instantaneous&lt;/h5&gt;&lt;h5&gt;&lt;b&gt;Saving Throw &lt;/b&gt;Fortitude negates; &lt;b&gt;Spell Resistance &lt;/b&gt;no&lt;/h5&gt;&lt;/div&gt;&lt;hr/&gt;&lt;div&gt;&lt;h5&gt;&lt;b&gt;DESCRIPTION&lt;/b&gt;&lt;/h5&gt;&lt;/div&gt;&lt;hr/&gt;&lt;div&gt;&lt;h4&gt;&lt;p&gt;&lt;i&gt;Discharge&lt;/i&gt;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effect.&lt;/p&gt;&lt;/h4&gt;&lt;/div&gt;</t>
  </si>
  <si>
    <t>Discharge, Greater</t>
  </si>
  <si>
    <t>bard 6, cleric/oracle 6, magus 6, sorcerer/wizard 6, witch 6</t>
  </si>
  <si>
    <t>one creature or technological object, or a 20-ft.-radius burst</t>
  </si>
  <si>
    <t>This spell functions as discharge, except it can discharge multiple technological objects and can be used to target an area. You choose to use greater discharge in one of two ways: an area discharge or a targeted discharge. Area Discharge: When greater discharge is used in this way, the spell affects everything within a 20-foot-radius burst. Each creature in the area is affected as though by discharge (affecting only one object in the creature's possession), and each unattended object is similarly affected. Targeted Discharge: This spell functions as discharge, but if the target is a creature, it can discharge one randomly determined object from the target's charged or electrically powered possessions for every 4 caster levels you possess.</t>
  </si>
  <si>
    <t>&lt;p&gt;This spell functions as &lt;i&gt;discharge&lt;/i&gt;, except it can &lt;i&gt;discharge&lt;/i&gt; multiple technological objects and can be used to target an area.&lt;/p&gt;&lt;p&gt;You choose to use greater &lt;i&gt;discharge&lt;/i&gt; in one of two ways: an area &lt;i&gt;discharge&lt;/i&gt; or a targeted &lt;i&gt;discharge&lt;/i&gt;.&lt;/p&gt;&lt;p&gt;&lt;i&gt;Area&lt;/i&gt; &lt;i&gt;&lt;b&gt;Discharge&lt;/b&gt;&lt;/i&gt;: When greater &lt;i&gt;discharge&lt;/i&gt; is used in this way, the spell affects everything within a 20-foot-radius burst.&lt;/p&gt;&lt;p&gt;Each creature in the area is affected as though by &lt;i&gt;discharge&lt;/i&gt; (affecting only one object in the creature's possession), and each unattended object is similarly affected.&lt;/p&gt;&lt;p&gt;&lt;i&gt;Targeted&lt;/i&gt; &lt;i&gt;&lt;b&gt;Discharge&lt;/b&gt;&lt;/i&gt;: This spell functions as &lt;i&gt;discharge&lt;/i&gt;, but if the target is a creature, it can &lt;i&gt;discharge&lt;/i&gt; one randomly determined object from the target's charged or electrically powered possessions for every 4 caster levels you possess.&lt;/p&gt;</t>
  </si>
  <si>
    <t>&lt;link rel="stylesheet"href="PF.css"&gt;&lt;div class="heading"&gt;&lt;p class="alignleft"&gt;Discharge, Greater&lt;/p&gt;&lt;div style="clear: both;"&gt;&lt;/div&gt;&lt;/div&gt;&lt;div&gt;&lt;h5&gt;&lt;b&gt;School &lt;/b&gt;abjuration; &lt;b&gt;Level &lt;/b&gt;bard 6, cleric/oracle 6, magus 6, sorcerer/wizard 6,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 or Area &lt;/b&gt;one creature or technological object, or a 20-ft.-radius burst&lt;h5&gt;&lt;b&gt;Duration &lt;/b&gt;instantaneous&lt;/h5&gt;&lt;h5&gt;&lt;b&gt;Saving Throw &lt;/b&gt;Fortitude negates; &lt;b&gt;Spell Resistance &lt;/b&gt;no&lt;/h5&gt;&lt;/div&gt;&lt;hr/&gt;&lt;div&gt;&lt;h5&gt;&lt;b&gt;DESCRIPTION&lt;/b&gt;&lt;/h5&gt;&lt;/div&gt;&lt;hr/&gt;&lt;div&gt;&lt;h4&gt;&lt;p&gt;This spell functions as &lt;i&gt;discharge&lt;/i&gt;, except it can &lt;i&gt;discharge&lt;/i&gt; multiple technological objects and can be used to target an area.&lt;/p&gt;&lt;p&gt;You choose to use greater &lt;i&gt;discharge&lt;/i&gt; in one of two ways: an area &lt;i&gt;discharge&lt;/i&gt; or a targeted &lt;i&gt;discharge&lt;/i&gt;.&lt;/p&gt;&lt;p&gt;&lt;i&gt;Area Discharge&lt;/i&gt;: When greater &lt;i&gt;discharge&lt;/i&gt; is used in this way, the spell affects everything within a 20-foot-radius burst.&lt;/p&gt;&lt;p&gt;Each creature in the area is affected as though by &lt;i&gt;discharge&lt;/i&gt; (affecting only one object in the creature's possession), and each unattended object is similarly affected.&lt;/p&gt;&lt;p&gt;&lt;i&gt;Targeted Discharge&lt;/i&gt;: This spell functions as &lt;i&gt;discharge&lt;/i&gt;, but if the target is a creature, it can &lt;i&gt;discharge&lt;/i&gt; one randomly determined object from the target's charged or electrically powered possessions for every 4 caster levels you possess.&lt;/p&gt;&lt;/h4&gt;&lt;/div&gt;</t>
  </si>
  <si>
    <t>Infuse Robot</t>
  </si>
  <si>
    <t>cleric/oracle 7, druid 7, sorcerer/wizard 7, witch 7</t>
  </si>
  <si>
    <t>one robot</t>
  </si>
  <si>
    <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t>
  </si>
  <si>
    <t>&lt;p&gt;If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rounds.&lt;/p&gt;</t>
  </si>
  <si>
    <t>&lt;link rel="stylesheet"href="PF.css"&gt;&lt;div class="heading"&gt;&lt;p class="alignleft"&gt;Infuse Robot&lt;/p&gt;&lt;div style="clear: both;"&gt;&lt;/div&gt;&lt;/div&gt;&lt;div&gt;&lt;h5&gt;&lt;b&gt;School &lt;/b&gt;transmutation; &lt;b&gt;Level &lt;/b&gt;cleric/oracle 7, druid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robot&lt;/h5&gt;&lt;h5&gt;&lt;b&gt;Duration &lt;/b&gt;10 minutes/level (D)&lt;/h5&gt;&lt;h5&gt;&lt;b&gt;Saving Throw &lt;/b&gt;Will negates; &lt;b&gt;Spell Resistance &lt;/b&gt;yes&lt;/h5&gt;&lt;/div&gt;&lt;hr/&gt;&lt;div&gt;&lt;h5&gt;&lt;b&gt;DESCRIPTION&lt;/b&gt;&lt;/h5&gt;&lt;/div&gt;&lt;hr/&gt;&lt;div&gt;&lt;h4&gt;&lt;p&gt;If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rounds.&lt;/p&gt;&lt;/h4&gt;&lt;/div&gt;</t>
  </si>
  <si>
    <t>Irradiate</t>
  </si>
  <si>
    <t>cleric/oracle 3, druid 4, magus 3, sorcerer/wizard 3, summoner 3, witch 3</t>
  </si>
  <si>
    <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 Caster Level Radiation Level 6th or lower Low 7th-9th Medium 10th-16th High 17th or higher Severe</t>
  </si>
  <si>
    <t>&lt;p&gt;The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radiation.&lt;/p&gt;&lt;p&gt;Caster &lt;b&gt;Level&lt;/b&gt; Radiation &lt;b&gt;Level&lt;/b&gt; 6th or lower Low 7th-9th Medium 10th-16th High 17th or higher Severe&lt;/p&gt;</t>
  </si>
  <si>
    <t>&lt;link rel="stylesheet"href="PF.css"&gt;&lt;div class="heading"&gt;&lt;p class="alignleft"&gt;Irradiate&lt;/p&gt;&lt;div style="clear: both;"&gt;&lt;/div&gt;&lt;/div&gt;&lt;div&gt;&lt;h5&gt;&lt;b&gt;School &lt;/b&gt;conjuration (creation); &lt;b&gt;Level &lt;/b&gt;cleric/oracle 3, druid 4, magus 3, sorcerer/wizard 3, summoner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&lt;/b&gt;special (see below)&lt;/h5&gt;&lt;h5&gt;&lt;b&gt;Duration &lt;/b&gt;instantaneous&lt;/h5&gt;&lt;h5&gt;&lt;b&gt;Saving Throw &lt;/b&gt;Fortitude partial (see below); &lt;b&gt;Spell Resistance &lt;/b&gt;no&lt;/h5&gt;&lt;/div&gt;&lt;hr/&gt;&lt;div&gt;&lt;h5&gt;&lt;b&gt;DESCRIPTION&lt;/b&gt;&lt;/h5&gt;&lt;/div&gt;&lt;hr/&gt;&lt;div&gt;&lt;h4&gt;&lt;p&gt;The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radiation.&lt;table border ='1'&gt;&lt;tr&gt;&lt;th&gt;Caster Level&lt;/th&gt;&lt;th&gt;Radiation Level&lt;/th&gt;&lt;/tr&gt;&lt;tr&gt;&lt;td&gt;6th or lower&lt;/td&gt;&lt;td&gt;Low&lt;/td&gt;&lt;/tr&gt;&lt;tr&gt;&lt;td&gt;7th-9th&lt;/td&gt;&lt;td&gt;Medium&lt;/td&gt;&lt;/tr&gt;&lt;tr&gt;&lt;td&gt;10th-16th&lt;/td&gt;&lt;td&gt;High&lt;/td&gt;&lt;/tr&gt;&lt;tr&gt;&lt;td&gt;17th or higher&lt;/td&gt;&lt;td&gt;Severe&lt;/td&gt;&lt;/tr&gt;&lt;/table&gt;&lt;/h4&gt;&lt;/div&gt;</t>
  </si>
  <si>
    <t>Magic Circle Against Technology</t>
  </si>
  <si>
    <t>V, S, M/DF (a 3-ft.-diameter circle of powdered copper)</t>
  </si>
  <si>
    <t>Will negates (harmless), see text</t>
  </si>
  <si>
    <t>All creatures within the area gain the effects of a protection from technology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  This spell is not cumulative with protection from technology and vice versa.</t>
  </si>
  <si>
    <t>&lt;p&gt;All creatures within the area gain the effects of a &lt;i&gt;protection from technology&lt;/i&gt;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area.&lt;/p&gt;&lt;p&gt;This spell is not cumulative with &lt;i&gt;protection from technology&lt;/i&gt; and vice versa.&lt;/p&gt;</t>
  </si>
  <si>
    <t>&lt;link rel="stylesheet"href="PF.css"&gt;&lt;div class="heading"&gt;&lt;p class="alignleft"&gt;Magic Circle Against Technology&lt;/p&gt;&lt;div style="clear: both;"&gt;&lt;/div&gt;&lt;/div&gt;&lt;div&gt;&lt;h5&gt;&lt;b&gt;School &lt;/b&gt;abjuration; &lt;b&gt;Level &lt;/b&gt;cleric/oracle 4, sorcerer/wizard 4&lt;/h5&gt;&lt;/div&gt;&lt;hr/&gt;&lt;div&gt;&lt;h5&gt;&lt;b&gt;CASTING&lt;/b&gt;&lt;/h5&gt;&lt;/div&gt;&lt;hr/&gt;&lt;div&gt;&lt;h5&gt;&lt;b&gt;Casting Time &lt;/b&gt;1 standard action&lt;/h5&gt;&lt;h5&gt;&lt;b&gt;Components &lt;/b&gt;V, S, M/DF (a 3-ft.-diameter circle of powdered copper)&lt;/h5&gt;&lt;/div&gt;&lt;hr/&gt;&lt;div&gt;&lt;h5&gt;&lt;b&gt;EFFECT&lt;/b&gt;&lt;/h5&gt;&lt;/div&gt;&lt;hr/&gt;&lt;div&gt;&lt;h5&gt;&lt;b&gt;Range &lt;/b&gt;touch&lt;/h5&gt;&lt;h5&gt;&lt;b&gt;Area &lt;/b&gt;10-ft.-radius emanation from touched creature&lt;/h5&gt;&lt;h5&gt;&lt;b&gt;Duration &lt;/b&gt;10 minute/level&lt;/h5&gt;&lt;h5&gt;&lt;b&gt;Saving Throw &lt;/b&gt;Will negates (harmless), see text; &lt;b&gt;Spell Resistance &lt;/b&gt;no; see text&lt;/h5&gt;&lt;/div&gt;&lt;hr/&gt;&lt;div&gt;&lt;h5&gt;&lt;b&gt;DESCRIPTION&lt;/b&gt;&lt;/h5&gt;&lt;/div&gt;&lt;hr/&gt;&lt;div&gt;&lt;h4&gt;&lt;p&gt;All creatures within the area gain the effects of a &lt;i&gt;protection from technology&lt;/i&gt;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area.&lt;/p&gt;&lt;p&gt;This spell is not cumulative with &lt;i&gt;protection from technology&lt;/i&gt; and vice versa.&lt;/p&gt;&lt;/h4&gt;&lt;/div&gt;</t>
  </si>
  <si>
    <t>Make Whole, Greater</t>
  </si>
  <si>
    <t>one object of up to 5 lb./level</t>
  </si>
  <si>
    <t>This spell repairs 1d6 points of damage plus 1 point per level when cast on a construct creature (maximum 10d6+10).  Greater make whole can fix destroyed magic items or technological items (items at 0 hit points or fewer), and restores the magic properties of the item if your caster level at least equal to that of the item. This spell otherwise functions as make whole.</t>
  </si>
  <si>
    <t>&lt;p&gt;This spell repairs 1d6 points of damage plus 1 point per level when cast on a construct creature (maximum 10d6+10).&lt;/p&gt;&lt;p&gt;&lt;i&gt;Greater &lt;i&gt;make whole&lt;/i&gt;&lt;/i&gt; can fix destroyed magic items or technological items (items at 0 hit points or fewer), and restores the magic properties of the item if your caster level at least equal to that of the item. This spell otherwise functions as &lt;i&gt;make whole&lt;/i&gt;.&lt;/p&gt;</t>
  </si>
  <si>
    <t>&lt;link rel="stylesheet"href="PF.css"&gt;&lt;div class="heading"&gt;&lt;p class="alignleft"&gt;Make Whole, Greater&lt;/p&gt;&lt;div style="clear: both;"&gt;&lt;/div&gt;&lt;/div&gt;&lt;div&gt;&lt;h5&gt;&lt;b&gt;School &lt;/b&gt;transmutation; &lt;b&gt;Level &lt;/b&gt;cleric/oracle 4, sorcerer/wizard 4&lt;/h5&gt;&lt;/div&gt;&lt;hr/&gt;&lt;div&gt;&lt;h5&gt;&lt;b&gt;CASTING&lt;/b&gt;&lt;/h5&gt;&lt;/div&gt;&lt;hr/&gt;&lt;div&gt;&lt;h5&gt;&lt;b&gt;Casting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&lt;/b&gt;one object of up to 5 lb./level&lt;/h5&gt;&lt;h5&gt;&lt;b&gt;Duration &lt;/b&gt;instantaneous&lt;/h5&gt;&lt;h5&gt;&lt;b&gt;Saving Throw &lt;/b&gt;Will negates (harmless, object); &lt;b&gt;Spell Resistance &lt;/b&gt;yes (harmless, object)&lt;/h5&gt;&lt;/div&gt;&lt;hr/&gt;&lt;div&gt;&lt;h5&gt;&lt;b&gt;DESCRIPTION&lt;/b&gt;&lt;/h5&gt;&lt;/div&gt;&lt;hr/&gt;&lt;div&gt;&lt;h4&gt;&lt;p&gt;This spell repairs 1d6 points of damage plus 1 point per level when cast on a construct creature (maximum 10d6+10).&lt;/p&gt;&lt;p&gt;&lt;i&gt;Greater &lt;i&gt;make whole&lt;/i&gt;&lt;/i&gt; can fix destroyed magic items or technological items (items at 0 hit points or fewer), and restores the magic properties of the item if your caster level at least equal to that of the item. This spell otherwise functions as &lt;i&gt;make whole&lt;/i&gt;.&lt;/p&gt;&lt;/h4&gt;&lt;/div&gt;</t>
  </si>
  <si>
    <t>Memory Of Function</t>
  </si>
  <si>
    <t>V, S, powdered skymetal worth 10,000 gp</t>
  </si>
  <si>
    <t>object or construct touched</t>
  </si>
  <si>
    <t>Even a broken object remembers what it means to be a functioning whole. You restore a broken object or damaged construct to a functional state, as if it were new and intact.  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  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  If you attempt to cast this spell on an object or a construct that has been destroyed for more than 10 years per caster level you possess, the spell fails.</t>
  </si>
  <si>
    <t>&lt;p&gt;Even a broken object remembers what it means to be a functioning whole. You restore a broken object or damaged construct to a functional state, as if it were new and intact.&lt;/p&gt;&lt;p&gt;Any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restored.&lt;/p&gt;&lt;p&gt;When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caster.&lt;/p&gt;&lt;p&gt;If you attempt to cast this spell on an object or a construct that has been destroyed for more than 10 years per caster level you possess, the spell fails.&lt;/p&gt;</t>
  </si>
  <si>
    <t>&lt;link rel="stylesheet"href="PF.css"&gt;&lt;div class="heading"&gt;&lt;p class="alignleft"&gt;Memory Of Function&lt;/p&gt;&lt;div style="clear: both;"&gt;&lt;/div&gt;&lt;/div&gt;&lt;div&gt;&lt;h5&gt;&lt;b&gt;School &lt;/b&gt;transmutation; &lt;b&gt;Level &lt;/b&gt;cleric/oracle 7, sorcerer/wizard 7&lt;/h5&gt;&lt;/div&gt;&lt;hr/&gt;&lt;div&gt;&lt;h5&gt;&lt;b&gt;CASTING&lt;/b&gt;&lt;/h5&gt;&lt;/div&gt;&lt;hr/&gt;&lt;div&gt;&lt;h5&gt;&lt;b&gt;Casting Time &lt;/b&gt;1 standard action&lt;/h5&gt;&lt;h5&gt;&lt;b&gt;Components &lt;/b&gt;V, S, powdered skymetal worth 10,000 gp&lt;/h5&gt;&lt;/div&gt;&lt;hr/&gt;&lt;div&gt;&lt;h5&gt;&lt;b&gt;EFFECT&lt;/b&gt;&lt;/h5&gt;&lt;/div&gt;&lt;hr/&gt;&lt;div&gt;&lt;h5&gt;&lt;b&gt;Range &lt;/b&gt;touch&lt;/h5&gt;&lt;h5&gt;&lt;b&gt;Targets &lt;/b&gt;object or construct touched&lt;/h5&gt;&lt;h5&gt;&lt;b&gt;Duration &lt;/b&gt;instantaneous&lt;/h5&gt;&lt;h5&gt;&lt;b&gt;Saving Throw &lt;/b&gt;Will negates; &lt;b&gt;Spell Resistance &lt;/b&gt;yes&lt;/h5&gt;&lt;/div&gt;&lt;hr/&gt;&lt;div&gt;&lt;h5&gt;&lt;b&gt;DESCRIPTION&lt;/b&gt;&lt;/h5&gt;&lt;/div&gt;&lt;hr/&gt;&lt;div&gt;&lt;h4&gt;&lt;p&gt;Even a broken object remembers what it means to be a functioning whole. You restore a broken object or damaged construct to a functional state, as if it were new and intact.&lt;/p&gt;&lt;p&gt;Any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restored.&lt;/p&gt;&lt;p&gt;When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caster.&lt;/p&gt;&lt;p&gt;If you attempt to cast this spell on an object or a construct that has been destroyed for more than 10 years per caster level you possess, the spell fails.&lt;/p&gt;&lt;/h4&gt;&lt;/div&gt;</t>
  </si>
  <si>
    <t>Protection From Technology</t>
  </si>
  <si>
    <t>V, S, M/DF (a pinch of powdered copper)</t>
  </si>
  <si>
    <t>no, see text</t>
  </si>
  <si>
    <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  First, the target gains a +2 deflection bonus to AC and a +2 resistance bonus on saving throws. Both of these bonuses apply against attacks made or effects caused by technological objects and creatures with the robot subtype.  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t>
  </si>
  <si>
    <t>&lt;p&gt;This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effects.&lt;/p&gt;&lt;p&gt;First, the target gains a +2 deflection bonus to AC and a +2 resistance bonus on saving throws. Both of these bonuses apply against attacks made or effects caused by technological objects and creatures with the robot subtype.&lt;/p&gt;&lt;p&gt;Second,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means.&lt;/p&gt;</t>
  </si>
  <si>
    <t>&lt;link rel="stylesheet"href="PF.css"&gt;&lt;div class="heading"&gt;&lt;p class="alignleft"&gt;Protection From Technology&lt;/p&gt;&lt;div style="clear: both;"&gt;&lt;/div&gt;&lt;/div&gt;&lt;div&gt;&lt;h5&gt;&lt;b&gt;School &lt;/b&gt;abjuration; &lt;b&gt;Level &lt;/b&gt;cleric/oracle 2, sorcerer/wizard 2&lt;/h5&gt;&lt;/div&gt;&lt;hr/&gt;&lt;div&gt;&lt;h5&gt;&lt;b&gt;CASTING&lt;/b&gt;&lt;/h5&gt;&lt;/div&gt;&lt;hr/&gt;&lt;div&gt;&lt;h5&gt;&lt;b&gt;Casting Time &lt;/b&gt;1 standard action&lt;/h5&gt;&lt;h5&gt;&lt;b&gt;Components &lt;/b&gt;V, S, M/DF (a pinch of powdered copper)&lt;/h5&gt;&lt;/div&gt;&lt;hr/&gt;&lt;div&gt;&lt;h5&gt;&lt;b&gt;EFFECT&lt;/b&gt;&lt;/h5&gt;&lt;/div&gt;&lt;hr/&gt;&lt;div&gt;&lt;h5&gt;&lt;b&gt;Range &lt;/b&gt;touch&lt;/h5&gt;&lt;h5&gt;&lt;b&gt;Targets &lt;/b&gt;creature touched&lt;/h5&gt;&lt;h5&gt;&lt;b&gt;Duration &lt;/b&gt;1 minute/level (D)&lt;/h5&gt;&lt;h5&gt;&lt;b&gt;Saving Throw &lt;/b&gt;Will negates (harmless), see text; &lt;b&gt;Spell Resistance &lt;/b&gt;no, see text&lt;/h5&gt;&lt;/div&gt;&lt;hr/&gt;&lt;div&gt;&lt;h5&gt;&lt;b&gt;DESCRIPTION&lt;/b&gt;&lt;/h5&gt;&lt;/div&gt;&lt;hr/&gt;&lt;div&gt;&lt;h4&gt;&lt;p&gt;This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effects.&lt;/p&gt;&lt;p&gt;First, the target gains a +2 deflection bonus to AC and a +2 resistance bonus on saving throws. Both of these bonuses apply against attacks made or effects caused by technological objects and creatures with the robot subtype.&lt;/p&gt;&lt;p&gt;Second,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means.&lt;/p&gt;&lt;/h4&gt;&lt;/div&gt;</t>
  </si>
  <si>
    <t>Rebuke Technology</t>
  </si>
  <si>
    <t>druid 4, sorcerer/wizard 4</t>
  </si>
  <si>
    <t>V, S, F/DF (powdered fragments of technology)</t>
  </si>
  <si>
    <t>one technological object or creature</t>
  </si>
  <si>
    <t>You shroud the targeted technological object or creature (such as a robot or a nanotech swarm) with magical energy.  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t>
  </si>
  <si>
    <t>&lt;p&gt;You shroud the targeted technological object or creature (such as a robot or a nanotech swarm) with magical energy.&lt;/p&gt;&lt;p&gt;If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spell.&lt;/p&gt;</t>
  </si>
  <si>
    <t>&lt;link rel="stylesheet"href="PF.css"&gt;&lt;div class="heading"&gt;&lt;p class="alignleft"&gt;Rebuke Technology&lt;/p&gt;&lt;div style="clear: both;"&gt;&lt;/div&gt;&lt;/div&gt;&lt;div&gt;&lt;h5&gt;&lt;b&gt;School &lt;/b&gt;abjuration; &lt;b&gt;Level &lt;/b&gt;druid 4, sorcerer/wizard 4&lt;/h5&gt;&lt;/div&gt;&lt;hr/&gt;&lt;div&gt;&lt;h5&gt;&lt;b&gt;CASTING&lt;/b&gt;&lt;/h5&gt;&lt;/div&gt;&lt;hr/&gt;&lt;div&gt;&lt;h5&gt;&lt;b&gt;Casting Time &lt;/b&gt;1 standard action&lt;/h5&gt;&lt;h5&gt;&lt;b&gt;Components &lt;/b&gt;V, S, F/DF (powdered fragments of technology)&lt;/h5&gt;&lt;/div&gt;&lt;hr/&gt;&lt;div&gt;&lt;h5&gt;&lt;b&gt;EFFECT&lt;/b&gt;&lt;/h5&gt;&lt;/div&gt;&lt;hr/&gt;&lt;div&gt;&lt;h5&gt;&lt;b&gt;Range &lt;/b&gt;medium (100 ft. + 10 ft./level)&lt;/h5&gt;&lt;h5&gt;&lt;b&gt;Targets &lt;/b&gt;one technological object or creature&lt;/h5&gt;&lt;h5&gt;&lt;b&gt;Duration &lt;/b&gt;1 round/level&lt;/h5&gt;&lt;h5&gt;&lt;b&gt;Saving Throw &lt;/b&gt;Fortitude negates (object); &lt;b&gt;Spell Resistance &lt;/b&gt;yes (object)&lt;/h5&gt;&lt;/div&gt;&lt;hr/&gt;&lt;div&gt;&lt;h5&gt;&lt;b&gt;DESCRIPTION&lt;/b&gt;&lt;/h5&gt;&lt;/div&gt;&lt;hr/&gt;&lt;div&gt;&lt;h4&gt;&lt;p&gt;You shroud the targeted technological object or creature (such as a robot or a nanotech swarm) with magical energy.&lt;/p&gt;&lt;p&gt;If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spell.&lt;/p&gt;&lt;/h4&gt;&lt;/div&gt;</t>
  </si>
  <si>
    <t>Recharge</t>
  </si>
  <si>
    <t>bard 2, cleric/oracle 3, magus 3, sorcerer/wizard 3</t>
  </si>
  <si>
    <t>V, S, M (500 gp of diamond dust)</t>
  </si>
  <si>
    <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t>
  </si>
  <si>
    <t>&lt;p&gt;You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t>
  </si>
  <si>
    <t>&lt;link rel="stylesheet"href="PF.css"&gt;&lt;div class="heading"&gt;&lt;p class="alignleft"&gt;Recharge&lt;/p&gt;&lt;div style="clear: both;"&gt;&lt;/div&gt;&lt;/div&gt;&lt;div&gt;&lt;h5&gt;&lt;b&gt;School &lt;/b&gt;evocation; &lt;b&gt;Level &lt;/b&gt;bard 2, cleric/oracle 3, magus 3, sorcerer/wizard 3&lt;/h5&gt;&lt;/div&gt;&lt;hr/&gt;&lt;div&gt;&lt;h5&gt;&lt;b&gt;CASTING&lt;/b&gt;&lt;/h5&gt;&lt;/div&gt;&lt;hr/&gt;&lt;div&gt;&lt;h5&gt;&lt;b&gt;Casting Time &lt;/b&gt;1 round&lt;/h5&gt;&lt;h5&gt;&lt;b&gt;Components &lt;/b&gt;V, S, M (500 gp of diamond dust)&lt;/h5&gt;&lt;/div&gt;&lt;hr/&gt;&lt;div&gt;&lt;h5&gt;&lt;b&gt;EFFECT&lt;/b&gt;&lt;/h5&gt;&lt;/div&gt;&lt;hr/&gt;&lt;div&gt;&lt;h5&gt;&lt;b&gt;Range &lt;/b&gt;touch&lt;/h5&gt;&lt;h5&gt;&lt;b&gt;Targets &lt;/b&gt;object touched&lt;/h5&gt;&lt;h5&gt;&lt;b&gt;Duration &lt;/b&gt;instantaneous&lt;/h5&gt;&lt;h5&gt;&lt;b&gt;Saving Throw &lt;/b&gt;Fortitude negates (object); &lt;b&gt;Spell Resistance &lt;/b&gt;yes (object)&lt;/h5&gt;&lt;/div&gt;&lt;hr/&gt;&lt;div&gt;&lt;h5&gt;&lt;b&gt;DESCRIPTION&lt;/b&gt;&lt;/h5&gt;&lt;/div&gt;&lt;hr/&gt;&lt;div&gt;&lt;h4&gt;&lt;p&gt;You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spell.&lt;/p&gt;&lt;/h4&gt;&lt;/div&gt;</t>
  </si>
  <si>
    <t>Remove Radioactivity</t>
  </si>
  <si>
    <t>bard 4, cleric/oracle 4, druid 4, inquisitor 4, paladin 4, ranger 4, witch 4</t>
  </si>
  <si>
    <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remove radioactivity removes radiation from a 20-foot-radius area around the point you touch. This spell has no power to negate naturally radioactive materials, and as long as such materials remain in an area, the radiation that was removed may return.</t>
  </si>
  <si>
    <t>&lt;p&gt;You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&lt;i&gt;remove radioactivity&lt;/i&gt; removes radiation from a 20-foot-radius area around the point you touch. This spell has no power to negate naturally radioactive materials, and as long as such materials remain in an area, the radiation that was removed may return.&lt;/p&gt;</t>
  </si>
  <si>
    <t>&lt;link rel="stylesheet"href="PF.css"&gt;&lt;div class="heading"&gt;&lt;p class="alignleft"&gt;Remove Radioactivity&lt;/p&gt;&lt;div style="clear: both;"&gt;&lt;/div&gt;&lt;/div&gt;&lt;div&gt;&lt;h5&gt;&lt;b&gt;School &lt;/b&gt;conjuration (healing); &lt;b&gt;Level &lt;/b&gt;bard 4, cleric/oracle 4, druid 4, inquisitor 4, paladin 4, ranger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&lt;/b&gt;Fortitude negates (object); &lt;b&gt;Spell Resistance &lt;/b&gt;yes (object)&lt;/h5&gt;&lt;/div&gt;&lt;hr/&gt;&lt;div&gt;&lt;h5&gt;&lt;b&gt;DESCRIPTION&lt;/b&gt;&lt;/h5&gt;&lt;/div&gt;&lt;hr/&gt;&lt;div&gt;&lt;h4&gt;&lt;p&gt;You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&lt;i&gt;remove radioactivity&lt;/i&gt; removes radiation from a 20-foot-radius area around the point you touch. This spell has no power to negate naturally radioactive materials, and as long as such materials remain in an area, the radiation that was removed may return.&lt;/p&gt;&lt;/h4&gt;&lt;/div&gt;</t>
  </si>
  <si>
    <t>Remove Radioactivity, Greater</t>
  </si>
  <si>
    <t>cleric/oracle 8, druid 8, witch 8</t>
  </si>
  <si>
    <t>This spell functions like remove radioactivity,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t>
  </si>
  <si>
    <t>&lt;p&gt;This spell functions like &lt;i&gt;remove radioactivity&lt;/i&gt;,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harmless.&lt;/p&gt;</t>
  </si>
  <si>
    <t>&lt;link rel="stylesheet"href="PF.css"&gt;&lt;div class="heading"&gt;&lt;p class="alignleft"&gt;Remove Radioactivity, Greater&lt;/p&gt;&lt;div style="clear: both;"&gt;&lt;/div&gt;&lt;/div&gt;&lt;div&gt;&lt;h5&gt;&lt;b&gt;School &lt;/b&gt;conjuration (healing); &lt;b&gt;Level &lt;/b&gt;cleric/oracle 8, druid 8, witch 8&lt;/h5&gt;&lt;/div&gt;&lt;hr/&gt;&lt;div&gt;&lt;h5&gt;&lt;b&gt;CASTING&lt;/b&gt;&lt;/h5&gt;&lt;/div&gt;&lt;hr/&gt;&lt;div&gt;&lt;h5&gt;&lt;b&gt;Casting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&lt;/b&gt;Fortitude negates (object); &lt;b&gt;Spell Resistance &lt;/b&gt;yes (object)&lt;/h5&gt;&lt;/div&gt;&lt;hr/&gt;&lt;div&gt;&lt;h5&gt;&lt;b&gt;DESCRIPTION&lt;/b&gt;&lt;/h5&gt;&lt;/div&gt;&lt;hr/&gt;&lt;div&gt;&lt;h4&gt;&lt;p&gt;This spell functions like &lt;i&gt;remove radioactivity&lt;/i&gt;,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harmless.&lt;/p&gt;&lt;/h4&gt;&lt;/div&gt;</t>
  </si>
  <si>
    <t>Technomancy</t>
  </si>
  <si>
    <t>V, S, M (oil stirred with a coil of wires)</t>
  </si>
  <si>
    <t>This spell functions as detect magic,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t>
  </si>
  <si>
    <t>&lt;p&gt;This spell functions as &lt;i&gt;detect magic&lt;/i&gt;,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properties.&lt;/p&gt;</t>
  </si>
  <si>
    <t>&lt;link rel="stylesheet"href="PF.css"&gt;&lt;div class="heading"&gt;&lt;p class="alignleft"&gt;Technomancy&lt;/p&gt;&lt;div style="clear: both;"&gt;&lt;/div&gt;&lt;/div&gt;&lt;div&gt;&lt;h5&gt;&lt;b&gt;School &lt;/b&gt;divination; &lt;b&gt;Level &lt;/b&gt;bard 1, sorcerer/wizard 1&lt;/h5&gt;&lt;/div&gt;&lt;hr/&gt;&lt;div&gt;&lt;h5&gt;&lt;b&gt;CASTING&lt;/b&gt;&lt;/h5&gt;&lt;/div&gt;&lt;hr/&gt;&lt;div&gt;&lt;h5&gt;&lt;b&gt;Casting Time &lt;/b&gt;1 standard action&lt;/h5&gt;&lt;h5&gt;&lt;b&gt;Components &lt;/b&gt;V, S, M (oil stirred with a coil of wires)&lt;/h5&gt;&lt;/div&gt;&lt;hr/&gt;&lt;div&gt;&lt;h5&gt;&lt;b&gt;EFFECT&lt;/b&gt;&lt;/h5&gt;&lt;/div&gt;&lt;hr/&gt;&lt;div&gt;&lt;h5&gt;&lt;b&gt;Range &lt;/b&gt;60 ft.&lt;/h5&gt;&lt;h5&gt;&lt;b&gt;Targets &lt;/b&gt;cone-shaped emanation&lt;/h5&gt;&lt;h5&gt;&lt;b&gt;Duration &lt;/b&gt;3 rounds/level&lt;/h5&gt;&lt;h5&gt;&lt;b&gt;Saving Throw &lt;/b&gt;none; &lt;b&gt;Spell Resistance &lt;/b&gt;no&lt;/h5&gt;&lt;/div&gt;&lt;hr/&gt;&lt;div&gt;&lt;h5&gt;&lt;b&gt;DESCRIPTION&lt;/b&gt;&lt;/h5&gt;&lt;/div&gt;&lt;hr/&gt;&lt;div&gt;&lt;h4&gt;&lt;p&gt;This spell functions as &lt;i&gt;detect magic&lt;/i&gt;,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properties.&lt;/p&gt;&lt;/h4&gt;&lt;/div&gt;</t>
  </si>
  <si>
    <t>Cosmic Ray</t>
  </si>
  <si>
    <t>magus 5, sorcerer/wizard 6</t>
  </si>
  <si>
    <t>V, S, M (a piece of meteorite)</t>
  </si>
  <si>
    <t>instantaneous and 1 round/level (see text)</t>
  </si>
  <si>
    <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t>
  </si>
  <si>
    <t>&lt;p&gt;You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levels.&lt;/p&gt;</t>
  </si>
  <si>
    <t>People Of The Stars</t>
  </si>
  <si>
    <t>&lt;link rel="stylesheet"href="PF.css"&gt;&lt;div class="heading"&gt;&lt;p class="alignleft"&gt;Cosmic Ray&lt;/p&gt;&lt;div style="clear: both;"&gt;&lt;/div&gt;&lt;/div&gt;&lt;div&gt;&lt;h5&gt;&lt;b&gt;School &lt;/b&gt;evocation; &lt;b&gt;Level &lt;/b&gt;magus 5, sorcerer/wizard 6&lt;/h5&gt;&lt;/div&gt;&lt;hr/&gt;&lt;div&gt;&lt;h5&gt;&lt;b&gt;CASTING&lt;/b&gt;&lt;/h5&gt;&lt;/div&gt;&lt;hr/&gt;&lt;div&gt;&lt;h5&gt;&lt;b&gt;Casting Time &lt;/b&gt;1 standard action&lt;/h5&gt;&lt;h5&gt;&lt;b&gt;Components &lt;/b&gt;V, S, M (a piece of meteorite)&lt;/h5&gt;&lt;/div&gt;&lt;hr/&gt;&lt;div&gt;&lt;h5&gt;&lt;b&gt;EFFECT&lt;/b&gt;&lt;/h5&gt;&lt;/div&gt;&lt;hr/&gt;&lt;div&gt;&lt;h5&gt;&lt;b&gt;Range &lt;/b&gt;close (25 ft. + 5 ft./2 levels)&lt;/h5&gt;&lt;h5&gt;&lt;b&gt;Effect &lt;/b&gt;ray&lt;/h5&gt;&lt;h5&gt;&lt;b&gt;Duration &lt;/b&gt;instantaneous and 1 round/level (see text)&lt;/h5&gt;&lt;h5&gt;&lt;b&gt;Saving Throw &lt;/b&gt;Fortitude partial; &lt;b&gt;Spell Resistance &lt;/b&gt;yes&lt;/h5&gt;&lt;/div&gt;&lt;hr/&gt;&lt;div&gt;&lt;h5&gt;&lt;b&gt;DESCRIPTION&lt;/b&gt;&lt;/h5&gt;&lt;/div&gt;&lt;hr/&gt;&lt;div&gt;&lt;h4&gt;&lt;p&gt;You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levels.&lt;/p&gt;&lt;/h4&gt;&lt;/div&gt;</t>
  </si>
  <si>
    <t>Gravity Sphere</t>
  </si>
  <si>
    <t>V, S, M (a marble)</t>
  </si>
  <si>
    <t>30-ft.-radius sphere of altered gravity</t>
  </si>
  <si>
    <t>You affect the local gravity field in a 30-foot-radius sphere around the spell's designated point of origin. Creatures in the affected area can be weighed down by high gravity, lightened by low gravity, or left to float in an area with no gravity, depending on the effect you choose for your gravity sphere. See page 18 for rules on the effects of high, low, and no gravity.  Creatures that fall within the area of a gravity sphere spell take more damage from the fall if the gravity within is higher and less damage if the gravity within is lower. However, if the creature falls through a gravity sphere and continues to fall in a non-affected area, the rest of the fall damage is calculated normally. For instance, if a creature falls through 20 feet of a lowgravity sphere and an additional 30 feet outside the sphere, it would take 1d6 points of damage for the 20 feet of low gravity plus 3d6 points of damage as normal for the 30 feet outside the sphere (for a total of 4d6 points of damage).  This spell doesn't counteract or negate the effects of other spells that affect gravity; both effects occur simultaneously. For instance, a no-gravity gravity sphere spell cast within the area of a reverse gravity spell would simply mean that creatures float about until the gravity sphere's duration expires or they exit the gravity sphere, at which point they return to the top of the reverse gravity effect's area. If both gravity-altering magical effects could not feasibly take place simultaneously (at the GM's discretion), the gravity sphere spell supersedes the previous effect (if it's higherlevel than the previous effect) or simply fails (if it's lower-level).</t>
  </si>
  <si>
    <t>&lt;p&gt;You affect the local &lt;i&gt;gravity&lt;/i&gt; field in a 30-foot-radius sphere around the spell's designated point of origin. Creatures in the affected area can be weighed down by high &lt;i&gt;gravity&lt;/i&gt;, lightened by low &lt;i&gt;gravity&lt;/i&gt;, or left to float in an area with no &lt;i&gt;gravity&lt;/i&gt;, depending on the effect you choose for your &lt;i&gt;&lt;i&gt;gravity&lt;/i&gt; sphere&lt;/i&gt;. See page 18 for rules on the effects of high, low, and no &lt;i&gt;gravity&lt;/i&gt;.&lt;/p&gt;&lt;p&gt;Creatures that fall within the area of a &lt;i&gt;&lt;i&gt;gravity&lt;/i&gt; sphere&lt;/i&gt; spell take more damage from the fall if the &lt;i&gt;gravity&lt;/i&gt; within is higher and less damage if the &lt;i&gt;gravity&lt;/i&gt; within is lower. However, if the creature falls through a &lt;i&gt;&lt;i&gt;gravity&lt;/i&gt; sphere&lt;/i&gt; and continues to fall in a non-affected area, the rest of the fall damage is calculated normally. For instance, if a creature falls through 20 feet of a low&lt;i&gt;&lt;i&gt;gravity&lt;/i&gt; sphere&lt;/i&gt; and an additional 30 feet outside the sphere, it would take 1d6 points of damage for the 20 feet of low &lt;i&gt;gravity&lt;/i&gt; plus 3d6 points of damage as normal for the 30 feet outside the sphere (for a total of 4d6 points of damage).&lt;/p&gt;&lt;p&gt;This spell doesn't counteract or negate the effects of other spells that affect &lt;i&gt;gravity&lt;/i&gt;; both effects occur simultaneously. For instance, a no-&lt;i&gt;gravity&lt;/i&gt; &lt;i&gt;&lt;i&gt;gravity&lt;/i&gt; sphere&lt;/i&gt; spell cast within the area of a &lt;i&gt;reverse &lt;i&gt;gravity&lt;/i&gt;&lt;/i&gt; spell would simply mean that creatures float about until the &lt;i&gt;&lt;i&gt;gravity&lt;/i&gt; sphere&lt;/i&gt;'s duration expires or they exit the &lt;i&gt;&lt;i&gt;gravity&lt;/i&gt; sphere&lt;/i&gt;, at which point they return to the top of the &lt;i&gt;reverse &lt;i&gt;gravity&lt;/i&gt;&lt;/i&gt; effect's area. If both &lt;i&gt;gravity&lt;/i&gt;-altering magical effects could not feasibly take place simultaneously (at the GM's discretion), the &lt;i&gt;&lt;i&gt;gravity&lt;/i&gt; sphere&lt;/i&gt; spell supersedes the previous effect (if it's higherlevel than the previous effect) or simply fails (if it's lower-level).&lt;/p&gt;</t>
  </si>
  <si>
    <t>&lt;link rel="stylesheet"href="PF.css"&gt;&lt;div class="heading"&gt;&lt;p class="alignleft"&gt;Gravity Sphere&lt;/p&gt;&lt;div style="clear: both;"&gt;&lt;/div&gt;&lt;/div&gt;&lt;div&gt;&lt;h5&gt;&lt;b&gt;School &lt;/b&gt;transmutation; &lt;b&gt;Level &lt;/b&gt;druid 6, sorcerer/wizard 5&lt;/h5&gt;&lt;/div&gt;&lt;hr/&gt;&lt;div&gt;&lt;h5&gt;&lt;b&gt;CASTING&lt;/b&gt;&lt;/h5&gt;&lt;/div&gt;&lt;hr/&gt;&lt;div&gt;&lt;h5&gt;&lt;b&gt;Casting Time &lt;/b&gt;1 standard action&lt;/h5&gt;&lt;h5&gt;&lt;b&gt;Components &lt;/b&gt;V, S, M (a marble)&lt;/h5&gt;&lt;/div&gt;&lt;hr/&gt;&lt;div&gt;&lt;h5&gt;&lt;b&gt;EFFECT&lt;/b&gt;&lt;/h5&gt;&lt;/div&gt;&lt;hr/&gt;&lt;div&gt;&lt;h5&gt;&lt;b&gt;Range &lt;/b&gt;medium (100 ft. + 10 ft./level)&lt;/h5&gt;&lt;h5&gt;&lt;b&gt;Effect &lt;/b&gt;30-ft.-radius sphere of altered gravity&lt;/h5&gt;&lt;h5&gt;&lt;b&gt;Duration &lt;/b&gt;1 round/level (D)&lt;/h5&gt;&lt;h5&gt;&lt;b&gt;Saving Throw &lt;/b&gt;none (see text); &lt;b&gt;Spell Resistance &lt;/b&gt;no&lt;/h5&gt;&lt;/div&gt;&lt;hr/&gt;&lt;div&gt;&lt;h5&gt;&lt;b&gt;DESCRIPTION&lt;/b&gt;&lt;/h5&gt;&lt;/div&gt;&lt;hr/&gt;&lt;div&gt;&lt;h4&gt;&lt;p&gt;You affect the local &lt;i&gt;gravity&lt;/i&gt; field in a 30-foot-radius sphere around the spell's designated point of origin. Creatures in the affected area can be weighed down by high &lt;i&gt;gravity&lt;/i&gt;, lightened by low &lt;i&gt;gravity&lt;/i&gt;, or left to float in an area with no &lt;i&gt;gravity&lt;/i&gt;, depending on the effect you choose for your &lt;i&gt;&lt;i&gt;gravity&lt;/i&gt; sphere&lt;/i&gt;. See page 18 for rules on the effects of high, low, and no &lt;i&gt;gravity&lt;/i&gt;.&lt;/p&gt;&lt;p&gt;Creatures that fall within the area of a &lt;i&gt;&lt;i&gt;gravity&lt;/i&gt; sphere&lt;/i&gt; spell take more damage from the fall if the &lt;i&gt;gravity&lt;/i&gt; within is higher and less damage if the &lt;i&gt;gravity&lt;/i&gt; within is lower. However, if the creature falls through a &lt;i&gt;&lt;i&gt;gravity&lt;/i&gt; sphere&lt;/i&gt; and continues to fall in a non-affected area, the rest of the fall damage is calculated normally. For instance, if a creature falls through 20 feet of a low&lt;i&gt;&lt;i&gt;gravity&lt;/i&gt; sphere&lt;/i&gt; and an additional 30 feet outside the sphere, it would take 1d6 points of damage for the 20 feet of low &lt;i&gt;gravity&lt;/i&gt; plus 3d6 points of damage as normal for the 30 feet outside the sphere (for a total of 4d6 points of damage).&lt;/p&gt;&lt;p&gt;This spell doesn't counteract or negate the effects of other spells that affect &lt;i&gt;gravity&lt;/i&gt;; both effects occur simultaneously. For instance, a no-&lt;i&gt;gravity&lt;/i&gt; &lt;i&gt;&lt;i&gt;gravity&lt;/i&gt; sphere&lt;/i&gt; spell cast within the area of a &lt;i&gt;reverse &lt;i&gt;gravity&lt;/i&gt;&lt;/i&gt; spell would simply mean that creatures float about until the &lt;i&gt;&lt;i&gt;gravity&lt;/i&gt; sphere&lt;/i&gt;'s duration expires or they exit the &lt;i&gt;&lt;i&gt;gravity&lt;/i&gt; sphere&lt;/i&gt;, at which point they return to the top of the &lt;i&gt;reverse &lt;i&gt;gravity&lt;/i&gt;&lt;/i&gt; effect's area. If both &lt;i&gt;gravity&lt;/i&gt;-altering magical effects could not feasibly take place simultaneously (at the GM's discretion), the &lt;i&gt;&lt;i&gt;gravity&lt;/i&gt; sphere&lt;/i&gt; spell supersedes the previous effect (if it's higherlevel than the previous effect) or simply fails (if it's lower-level).&lt;/p&gt;&lt;/h4&gt;&lt;/div&gt;</t>
  </si>
  <si>
    <t>Planetarium</t>
  </si>
  <si>
    <t>bard 2, cleric/oracle 2, druid 2, sorcerer/wizard 2, summoner 2, witch 2</t>
  </si>
  <si>
    <t>15-ft.-radius spherical projection of night sky</t>
  </si>
  <si>
    <t>concentration + 3 rounds</t>
  </si>
  <si>
    <t>Will disbelief (harmless)</t>
  </si>
  <si>
    <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t>
  </si>
  <si>
    <t>&lt;p&gt;You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indistinct.&lt;/p&gt;</t>
  </si>
  <si>
    <t>&lt;link rel="stylesheet"href="PF.css"&gt;&lt;div class="heading"&gt;&lt;p class="alignleft"&gt;Planetarium&lt;/p&gt;&lt;div style="clear: both;"&gt;&lt;/div&gt;&lt;/div&gt;&lt;div&gt;&lt;h5&gt;&lt;b&gt;School &lt;/b&gt;illusion (figment); &lt;b&gt;Level &lt;/b&gt;bard 2, cleric/oracle 2, druid 2, sorcerer/wizard 2,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&lt;/b&gt;15-ft.-radius spherical projection of night sky&lt;/h5&gt;&lt;h5&gt;&lt;b&gt;Duration &lt;/b&gt;concentration + 3 rounds&lt;/h5&gt;&lt;h5&gt;&lt;b&gt;Saving Throw &lt;/b&gt;none; &lt;b&gt;Spell Resistance &lt;/b&gt;Will disbelief (harmless)&lt;/h5&gt;&lt;/div&gt;&lt;hr/&gt;&lt;div&gt;&lt;h5&gt;&lt;b&gt;DESCRIPTION&lt;/b&gt;&lt;/h5&gt;&lt;/div&gt;&lt;hr/&gt;&lt;div&gt;&lt;h4&gt;&lt;p&gt;You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indistinct.&lt;/p&gt;&lt;/h4&gt;&lt;/div&gt;</t>
  </si>
  <si>
    <t>Planetary Adaptation</t>
  </si>
  <si>
    <t>alchemist 5, cleric/oracle 4, sorcerer/wizard 5, summoner 5</t>
  </si>
  <si>
    <t>This spell functions as planar adaptation (Pathfinder RPG Advanced Player's Guide 236), except that it works only on worlds of the Material Plane. The cold void of space is considered a single world for the purpose of this spell, allowing you to survive in vacuum.</t>
  </si>
  <si>
    <t>&lt;p&gt;This spell functions as &lt;i&gt;planar adaptation&lt;/i&gt; (Pathfinder RPG Advanced Player's Guide 236), except that it works only on worlds of the Material Plane. The cold void of space is considered a single world for the purpose of this spell, allowing you to survive in vacuum.&lt;/p&gt;</t>
  </si>
  <si>
    <t>&lt;link rel="stylesheet"href="PF.css"&gt;&lt;div class="heading"&gt;&lt;p class="alignleft"&gt;Planetary Adaptation&lt;/p&gt;&lt;div style="clear: both;"&gt;&lt;/div&gt;&lt;/div&gt;&lt;div&gt;&lt;h5&gt;&lt;b&gt;School &lt;/b&gt;transmutation; &lt;b&gt;Level &lt;/b&gt;alchemist 5, cleric/oracle 4, sorcerer/wizard 5, summoner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functions as &lt;i&gt;planar adaptation&lt;/i&gt; (Pathfinder RPG Advanced Player's Guide 236), except that it works only on worlds of the Material Plane. The cold void of space is considered a single world for the purpose of this spell, allowing you to survive in vacuum.&lt;/p&gt;&lt;/h4&gt;&lt;/div&gt;</t>
  </si>
  <si>
    <t>Planetary Adaptation, Mass</t>
  </si>
  <si>
    <t>cleric/oracle 6, sorcerer/wizard 7, summoner 6</t>
  </si>
  <si>
    <t>This spell functions as planetary adaptation, except as noted above.</t>
  </si>
  <si>
    <t>&lt;p&gt;This spell functions as &lt;i&gt;planetary adaptation&lt;/i&gt;, except as noted above.&lt;/p&gt;</t>
  </si>
  <si>
    <t>&lt;link rel="stylesheet"href="PF.css"&gt;&lt;div class="heading"&gt;&lt;p class="alignleft"&gt;Planetary Adaptation, Mass&lt;/p&gt;&lt;div style="clear: both;"&gt;&lt;/div&gt;&lt;/div&gt;&lt;div&gt;&lt;h5&gt;&lt;b&gt;School &lt;/b&gt;transmutation; &lt;b&gt;Level &lt;/b&gt;cleric/oracle 6, sorcerer/wizard 7, summoner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&lt;/b&gt;Will negates (harmless); &lt;b&gt;Spell Resistance &lt;/b&gt;yes (harmless)&lt;/h5&gt;&lt;/div&gt;&lt;hr/&gt;&lt;div&gt;&lt;h5&gt;&lt;b&gt;DESCRIPTION&lt;/b&gt;&lt;/h5&gt;&lt;/div&gt;&lt;hr/&gt;&lt;div&gt;&lt;h4&gt;&lt;p&gt;This spell functions as &lt;i&gt;planetary adaptation&lt;/i&gt;, except as noted above.&lt;/p&gt;&lt;/h4&gt;&lt;/div&gt;</t>
  </si>
  <si>
    <t>Reboot</t>
  </si>
  <si>
    <t>V, S, F (a ruby worth at least 25 gp per HD of the target construct)</t>
  </si>
  <si>
    <t>one destroyed construct of up to 2 HD/level</t>
  </si>
  <si>
    <t>Whispering in the dense, information-rich machine language of the First Ones, you bring a destroyed construct back to operational status for a short time, restoring it to 1 hit point. The construct can be further healed with spells like make whole,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  Constructs with more than twice as many Hit Dice as your caster level cannot be targeted by this spell.</t>
  </si>
  <si>
    <t>&lt;p&gt;Whispering in the dense, information-rich machine language of the First Ones, you bring a destroyed construct back to operational status for a short time, restoring it to 1 hit point. The construct can be further healed with spells like &lt;i&gt;make whole&lt;/i&gt;,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performing.&lt;/p&gt;&lt;p&gt;Constructs with more than twice as many Hit Dice as your caster level cannot be targeted by this spell.&lt;/p&gt;</t>
  </si>
  <si>
    <t>&lt;link rel="stylesheet"href="PF.css"&gt;&lt;div class="heading"&gt;&lt;p class="alignleft"&gt;Reboot&lt;/p&gt;&lt;div style="clear: both;"&gt;&lt;/div&gt;&lt;/div&gt;&lt;div&gt;&lt;h5&gt;&lt;b&gt;School &lt;/b&gt;transmutation; &lt;b&gt;Level &lt;/b&gt;cleric/oracle 5, sorcerer/wizard 5, summoner 4, witch 5&lt;/h5&gt;&lt;/div&gt;&lt;hr/&gt;&lt;div&gt;&lt;h5&gt;&lt;b&gt;CASTING&lt;/b&gt;&lt;/h5&gt;&lt;/div&gt;&lt;hr/&gt;&lt;div&gt;&lt;h5&gt;&lt;b&gt;Casting Time &lt;/b&gt;1 round&lt;/h5&gt;&lt;h5&gt;&lt;b&gt;Components &lt;/b&gt;V, S, F (a ruby worth at least 25 gp per HD of the target construct)&lt;/h5&gt;&lt;/div&gt;&lt;hr/&gt;&lt;div&gt;&lt;h5&gt;&lt;b&gt;EFFECT&lt;/b&gt;&lt;/h5&gt;&lt;/div&gt;&lt;hr/&gt;&lt;div&gt;&lt;h5&gt;&lt;b&gt;Range &lt;/b&gt;close (25 ft. + 5 ft./2 levels)&lt;/h5&gt;&lt;h5&gt;&lt;b&gt;Targets &lt;/b&gt;one destroyed construct of up to 2 HD/level&lt;/h5&gt;&lt;h5&gt;&lt;b&gt;Duration &lt;/b&gt;1 round/level (D)&lt;/h5&gt;&lt;h5&gt;&lt;b&gt;Saving Throw &lt;/b&gt;none; &lt;b&gt;Spell Resistance &lt;/b&gt;no&lt;/h5&gt;&lt;/div&gt;&lt;hr/&gt;&lt;div&gt;&lt;h5&gt;&lt;b&gt;DESCRIPTION&lt;/b&gt;&lt;/h5&gt;&lt;/div&gt;&lt;hr/&gt;&lt;div&gt;&lt;h4&gt;&lt;p&gt;Whispering in the dense, information-rich machine language of the First Ones, you bring a destroyed construct back to operational status for a short time, restoring it to 1 hit point. The construct can be further healed with spells like &lt;i&gt;make whole&lt;/i&gt;,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performing.&lt;/p&gt;&lt;p&gt;Constructs with more than twice as many Hit Dice as your caster level cannot be targeted by this spell.&lt;/p&gt;&lt;/h4&gt;&lt;/div&gt;</t>
  </si>
  <si>
    <t>Starsight</t>
  </si>
  <si>
    <t>alchemist 1, bard 1, cleric/oracle 1, druid 1, ranger 1, sorcerer/wizard 1, witch 1</t>
  </si>
  <si>
    <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t>
  </si>
  <si>
    <t>&lt;p&gt;You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lost.&lt;/p&gt;</t>
  </si>
  <si>
    <t>&lt;link rel="stylesheet"href="PF.css"&gt;&lt;div class="heading"&gt;&lt;p class="alignleft"&gt;Starsight&lt;/p&gt;&lt;div style="clear: both;"&gt;&lt;/div&gt;&lt;/div&gt;&lt;div&gt;&lt;h5&gt;&lt;b&gt;School &lt;/b&gt;divination; &lt;b&gt;Level &lt;/b&gt;alchemist 1, bard 1, cleric/oracle 1, druid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lost.&lt;/p&gt;&lt;/h4&gt;&lt;/div&gt;</t>
  </si>
  <si>
    <t>Adhesive Blood</t>
  </si>
  <si>
    <t>alchemist 2, bloodrager 2, sorcerer/wizard 2, witch 2, psychic 2</t>
  </si>
  <si>
    <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t>
  </si>
  <si>
    <t>&lt;p&gt;Your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air.&lt;/p&gt;</t>
  </si>
  <si>
    <t>Advanced Class Guide</t>
  </si>
  <si>
    <t>&lt;link rel="stylesheet"href="PF.css"&gt;&lt;div class="heading"&gt;&lt;p class="alignleft"&gt;Adhesive Blood&lt;/p&gt;&lt;div style="clear: both;"&gt;&lt;/div&gt;&lt;/div&gt;&lt;div&gt;&lt;h5&gt;&lt;b&gt;School &lt;/b&gt;transmutation; &lt;b&gt;Level &lt;/b&gt;alchemist 2, bloodrager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&lt;/b&gt;Reflex negates (see text); &lt;b&gt;Spell Resistance &lt;/b&gt;no&lt;/h5&gt;&lt;/div&gt;&lt;hr/&gt;&lt;div&gt;&lt;h5&gt;&lt;b&gt;DESCRIPTION&lt;/b&gt;&lt;/h5&gt;&lt;/div&gt;&lt;hr/&gt;&lt;div&gt;&lt;h4&gt;&lt;p&gt;Your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air.&lt;/p&gt;&lt;/h4&gt;&lt;/div&gt;</t>
  </si>
  <si>
    <t>Attackers’ weapons stick to your gluey blood.</t>
  </si>
  <si>
    <t>Adhesive Spittle</t>
  </si>
  <si>
    <t>alchemist 1, sorcerer/wizard 1, witch 1, psychic 1</t>
  </si>
  <si>
    <t>1 round/level or until discharged (see text)</t>
  </si>
  <si>
    <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t>
  </si>
  <si>
    <t>&lt;p&gt;Once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it.&lt;/p&gt;</t>
  </si>
  <si>
    <t>&lt;link rel="stylesheet"href="PF.css"&gt;&lt;div class="heading"&gt;&lt;p class="alignleft"&gt;Adhesive Spittle&lt;/p&gt;&lt;div style="clear: both;"&gt;&lt;/div&gt;&lt;/div&gt;&lt;div&gt;&lt;h5&gt;&lt;b&gt;School &lt;/b&gt;conjuration (creation); &lt;b&gt;Level &lt;/b&gt;alchemist 1, sorcerer/wizard 1, witch 1, psychic 1&lt;/h5&gt;&lt;/div&gt;&lt;hr/&gt;&lt;div&gt;&lt;h5&gt;&lt;b&gt;CASTING&lt;/b&gt;&lt;/h5&gt;&lt;/div&gt;&lt;hr/&gt;&lt;div&gt;&lt;h5&gt;&lt;b&gt;Casting Time &lt;/b&gt;1 standard action&lt;/h5&gt;&lt;h5&gt;&lt;b&gt;Components &lt;/b&gt;V, S&lt;/h5&gt;&lt;/div&gt;&lt;hr/&gt;&lt;div&gt;&lt;h5&gt;&lt;b&gt;EFFECT&lt;/b&gt;&lt;/h5&gt;&lt;/div&gt;&lt;hr/&gt;&lt;div&gt;&lt;h5&gt;&lt;b&gt;Range &lt;/b&gt;15 ft.&lt;/h5&gt;&lt;h5&gt;&lt;b&gt;Targets &lt;/b&gt;one creature&lt;/h5&gt;&lt;h5&gt;&lt;b&gt;Duration &lt;/b&gt;1 round/level or until discharged (see text)&lt;/h5&gt;&lt;h5&gt;&lt;b&gt;Saving Throw &lt;/b&gt;Reflex partial; &lt;b&gt;Spell Resistance &lt;/b&gt;no&lt;/h5&gt;&lt;/div&gt;&lt;hr/&gt;&lt;div&gt;&lt;h5&gt;&lt;b&gt;DESCRIPTION&lt;/b&gt;&lt;/h5&gt;&lt;/div&gt;&lt;hr/&gt;&lt;div&gt;&lt;h4&gt;&lt;p&gt;Once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it.&lt;/p&gt;&lt;/h4&gt;&lt;/div&gt;</t>
  </si>
  <si>
    <t>Spit a tanglefoot bag at a creature.</t>
  </si>
  <si>
    <t>Adjustable Disguise</t>
  </si>
  <si>
    <t>alchemist 3, antipaladin 3, bard 3, inquisitor 3, sorcerer/wizard 3, witch 3, occultist 3, psychic 3, mesmerist 3</t>
  </si>
  <si>
    <t>This spell functions as disguise self, except as a swift action you can alter the disguise (within the limitations of disguise self). For example, you could make yourself look like a young human city guard, then an old elven wizard of the opposite gender, then a halfling thief, and so on. You can change the disguise a number of times equal to your caster level.</t>
  </si>
  <si>
    <t>&lt;p&gt;This spell functions as &lt;i&gt;&lt;i&gt;disguise&lt;/i&gt; self&lt;/i&gt;, except as a swift action you can alter the &lt;i&gt;disguise&lt;/i&gt; (within the limitations of &lt;i&gt;&lt;i&gt;disguise&lt;/i&gt; self&lt;/i&gt;). For example, you could make yourself look like a young human city guard, then an old elven wizard of the opposite gender, then a halfling thief, and so on. You can change the &lt;i&gt;disguise&lt;/i&gt; a number of times equal to your caster level.&lt;/p&gt;</t>
  </si>
  <si>
    <t>&lt;link rel="stylesheet"href="PF.css"&gt;&lt;div class="heading"&gt;&lt;p class="alignleft"&gt;Adjustable Disguise&lt;/p&gt;&lt;div style="clear: both;"&gt;&lt;/div&gt;&lt;/div&gt;&lt;div&gt;&lt;h5&gt;&lt;b&gt;School &lt;/b&gt;illusion (glamer); &lt;b&gt;Level &lt;/b&gt;alchemist 3, antipaladin 3, bard 3, inquisitor 3, sorcerer/wizard 3, witch 3, occultist 3, psychic 3,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(D)&lt;/h5&gt;&lt;/div&gt;&lt;hr/&gt;&lt;div&gt;&lt;h5&gt;&lt;b&gt;DESCRIPTION&lt;/b&gt;&lt;/h5&gt;&lt;/div&gt;&lt;hr/&gt;&lt;div&gt;&lt;h4&gt;&lt;p&gt;This spell functions as &lt;i&gt;&lt;i&gt;disguise&lt;/i&gt; self&lt;/i&gt;, except as a swift action you can alter the &lt;i&gt;disguise&lt;/i&gt; (within the limitations of &lt;i&gt;&lt;i&gt;disguise&lt;/i&gt; self&lt;/i&gt;). For example, you could make yourself look like a young human city guard, then an old elven wizard of the opposite gender, then a halfling thief, and so on. You can change the &lt;i&gt;disguise&lt;/i&gt; a number of times equal to your caster level.&lt;/p&gt;&lt;/h4&gt;&lt;/div&gt;</t>
  </si>
  <si>
    <t>As disguise self, but you can change the disguise as a swift action.</t>
  </si>
  <si>
    <t>Adjustable Polymorph</t>
  </si>
  <si>
    <t>alchemist 4, bard 4, magus 4, shaman 4, sorcerer/wizard 4, summoner 4, witch 4, psychic 4</t>
  </si>
  <si>
    <t>V, S, M (a small piece of doppelganger flesh)</t>
  </si>
  <si>
    <t>This spell functions as alter self, except you can as a swift action alter the disguise (within the limitations of alter self).  For example, you could transform yourself into a halfling, then a lizardfolk, then an elf, and so on. You can change your form a number of times equal to your caster level.</t>
  </si>
  <si>
    <t>&lt;p&gt;This spell functions as &lt;i&gt;&lt;i&gt;alter&lt;/i&gt; self&lt;/i&gt;, except you can as a swift action &lt;i&gt;alter&lt;/i&gt; the disguise (within the limitations of &lt;i&gt;&lt;i&gt;alter&lt;/i&gt; self&lt;/i&gt;).&lt;/p&gt;&lt;p&gt;For example, you could transform yourself into a halfling, then a lizardfolk, then an elf, and so on. You can change your form a number of times equal to your caster level.&lt;/p&gt;</t>
  </si>
  <si>
    <t>&lt;link rel="stylesheet"href="PF.css"&gt;&lt;div class="heading"&gt;&lt;p class="alignleft"&gt;Adjustable Polymorph&lt;/p&gt;&lt;div style="clear: both;"&gt;&lt;/div&gt;&lt;/div&gt;&lt;div&gt;&lt;h5&gt;&lt;b&gt;School &lt;/b&gt;transmutation (polymorph); &lt;b&gt;Level &lt;/b&gt;alchemist 4, bard 4, magus 4, shaman 4, sorcerer/wizard 4, summoner 4, witch 4, psychic 4&lt;/h5&gt;&lt;/div&gt;&lt;hr/&gt;&lt;div&gt;&lt;h5&gt;&lt;b&gt;CASTING&lt;/b&gt;&lt;/h5&gt;&lt;/div&gt;&lt;hr/&gt;&lt;div&gt;&lt;h5&gt;&lt;b&gt;Casting Time &lt;/b&gt;1 standard action&lt;/h5&gt;&lt;h5&gt;&lt;b&gt;Components &lt;/b&gt;V, S, M (a small piece of doppelganger flesh)&lt;/h5&gt;&lt;/div&gt;&lt;hr/&gt;&lt;div&gt;&lt;h5&gt;&lt;b&gt;EFFECT&lt;/b&gt;&lt;/h5&gt;&lt;/div&gt;&lt;hr/&gt;&lt;div&gt;&lt;h5&gt;&lt;b&gt;Range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&lt;i&gt;&lt;i&gt;alter&lt;/i&gt; self&lt;/i&gt;, except you can as a swift action &lt;i&gt;alter&lt;/i&gt; the disguise (within the limitations of &lt;i&gt;&lt;i&gt;alter&lt;/i&gt; self&lt;/i&gt;).&lt;/p&gt;&lt;p&gt;For example, you could transform yourself into a halfling, then a lizardfolk, then an elf, and so on. You can change your form a number of times equal to your caster level.&lt;/p&gt;&lt;/h4&gt;&lt;/div&gt;</t>
  </si>
  <si>
    <t>As alter self, but you can change the shape as a swift action.</t>
  </si>
  <si>
    <t>Aggressive Thundercloud</t>
  </si>
  <si>
    <t>V, S, M/DF (a piece of a tree struck by lightning)</t>
  </si>
  <si>
    <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  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t>
  </si>
  <si>
    <t>&lt;p&gt;A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would.&lt;/p&gt;&lt;p&gt;The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range.&lt;/p&gt;</t>
  </si>
  <si>
    <t>&lt;link rel="stylesheet"href="PF.css"&gt;&lt;div class="heading"&gt;&lt;p class="alignleft"&gt;Aggressive Thundercloud&lt;/p&gt;&lt;div style="clear: both;"&gt;&lt;/div&gt;&lt;/div&gt;&lt;div&gt;&lt;h5&gt;&lt;b&gt;School &lt;/b&gt;evocation [electricity]; &lt;b&gt;Level &lt;/b&gt;druid 2, magus 2, sorcerer/wizard 2, witch 2&lt;/h5&gt;&lt;/div&gt;&lt;hr/&gt;&lt;div&gt;&lt;h5&gt;&lt;b&gt;CASTING&lt;/b&gt;&lt;/h5&gt;&lt;/div&gt;&lt;hr/&gt;&lt;div&gt;&lt;h5&gt;&lt;b&gt;Casting Time &lt;/b&gt;1 standard action&lt;/h5&gt;&lt;h5&gt;&lt;b&gt;Components &lt;/b&gt;V, S, M/DF (a piece of a tree struck by lightning)&lt;/h5&gt;&lt;/div&gt;&lt;hr/&gt;&lt;div&gt;&lt;h5&gt;&lt;b&gt;EFFECT&lt;/b&gt;&lt;/h5&gt;&lt;/div&gt;&lt;hr/&gt;&lt;div&gt;&lt;h5&gt;&lt;b&gt;Range &lt;/b&gt;medium (100 ft. + 10 ft./level)&lt;/h5&gt;&lt;h5&gt;&lt;b&gt;Effect &lt;/b&gt;5-ft.-diameter sphere&lt;/h5&gt;&lt;h5&gt;&lt;b&gt;Duration &lt;/b&gt;1 round/level&lt;/h5&gt;&lt;h5&gt;&lt;b&gt;Saving Throw &lt;/b&gt;Reflex negates; &lt;b&gt;Spell Resistance &lt;/b&gt;yes&lt;/h5&gt;&lt;/div&gt;&lt;hr/&gt;&lt;div&gt;&lt;h5&gt;&lt;b&gt;DESCRIPTION&lt;/b&gt;&lt;/h5&gt;&lt;/div&gt;&lt;hr/&gt;&lt;div&gt;&lt;h4&gt;&lt;p&gt;A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would.&lt;/p&gt;&lt;p&gt;The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range.&lt;/p&gt;&lt;/h4&gt;&lt;/div&gt;</t>
  </si>
  <si>
    <t>Flying storm cloud deals 3d6 electricity damage.</t>
  </si>
  <si>
    <t>Aggressive Thundercloud, Greater</t>
  </si>
  <si>
    <t>electricity, sonic</t>
  </si>
  <si>
    <t>druid 4, magus 4, sorcerer/wizard 4, witch 4</t>
  </si>
  <si>
    <t>Reflex negates and Fortitude negates (see text)</t>
  </si>
  <si>
    <t>This spell functions as aggressive thundercloud, except it deals 6d6 points of electricity damage to any creature it strikes. The first creature damaged by the cloud is also stunned for 1 round (Fortitude negates); this is a sonic effect.</t>
  </si>
  <si>
    <t>&lt;p&gt;This spell functions as &lt;i&gt;aggressive thundercloud&lt;/i&gt;, except it deals 6d6 points of electricity damage to any creature it strikes. The first creature damaged by the cloud is also stunned for 1 round (Fortitude negates); this is a sonic effect.&lt;/p&gt;</t>
  </si>
  <si>
    <t>&lt;link rel="stylesheet"href="PF.css"&gt;&lt;div class="heading"&gt;&lt;p class="alignleft"&gt;Aggressive Thundercloud, Greater&lt;/p&gt;&lt;div style="clear: both;"&gt;&lt;/div&gt;&lt;/div&gt;&lt;div&gt;&lt;h5&gt;&lt;b&gt;School &lt;/b&gt;evocation [electricity, sonic]; &lt;b&gt;Level &lt;/b&gt;druid 4, magus 4, sorcerer/wizard 4, witch 4&lt;/h5&gt;&lt;/div&gt;&lt;hr/&gt;&lt;div&gt;&lt;h5&gt;&lt;b&gt;CASTING&lt;/b&gt;&lt;/h5&gt;&lt;/div&gt;&lt;hr/&gt;&lt;div&gt;&lt;h5&gt;&lt;b&gt;Casting Time &lt;/b&gt;1 standard action&lt;/h5&gt;&lt;h5&gt;&lt;b&gt;Components &lt;/b&gt;V, S, M/DF (a piece of a tree struck by lightning)&lt;/h5&gt;&lt;/div&gt;&lt;hr/&gt;&lt;div&gt;&lt;h5&gt;&lt;b&gt;EFFECT&lt;/b&gt;&lt;/h5&gt;&lt;/div&gt;&lt;hr/&gt;&lt;div&gt;&lt;h5&gt;&lt;b&gt;Range &lt;/b&gt;medium (100 ft. + 10 ft./level)&lt;/h5&gt;&lt;h5&gt;&lt;b&gt;Effect &lt;/b&gt;5-ft.-diameter sphere&lt;/h5&gt;&lt;h5&gt;&lt;b&gt;Duration &lt;/b&gt;1 round/level&lt;/h5&gt;&lt;h5&gt;&lt;b&gt;Saving Throw &lt;/b&gt;Reflex negates and Fortitude negates (see text); &lt;b&gt;Spell Resistance &lt;/b&gt;yes&lt;/h5&gt;&lt;/div&gt;&lt;hr/&gt;&lt;div&gt;&lt;h5&gt;&lt;b&gt;DESCRIPTION&lt;/b&gt;&lt;/h5&gt;&lt;/div&gt;&lt;hr/&gt;&lt;div&gt;&lt;h4&gt;&lt;p&gt;This spell functions as &lt;i&gt;aggressive thundercloud&lt;/i&gt;, except it deals 6d6 points of electricity damage to any creature it strikes. The first creature damaged by the cloud is also stunned for 1 round (Fortitude negates); this is a sonic effect.&lt;/p&gt;&lt;/h4&gt;&lt;/div&gt;</t>
  </si>
  <si>
    <t>Flying storm cloud deals 6d6 electricity damage.</t>
  </si>
  <si>
    <t>Air Geyser</t>
  </si>
  <si>
    <t>bloodrager 3, druid 3, magus 3, shaman 4, sorcerer/wizard 3, witch 3</t>
  </si>
  <si>
    <t>one creature or object up to Large size</t>
  </si>
  <si>
    <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t>
  </si>
  <si>
    <t>&lt;p&gt;You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it.&lt;/p&gt;</t>
  </si>
  <si>
    <t>&lt;link rel="stylesheet"href="PF.css"&gt;&lt;div class="heading"&gt;&lt;p class="alignleft"&gt;Air Geyser&lt;/p&gt;&lt;div style="clear: both;"&gt;&lt;/div&gt;&lt;/div&gt;&lt;div&gt;&lt;h5&gt;&lt;b&gt;School &lt;/b&gt;evocation [air]; &lt;b&gt;Level &lt;/b&gt;bloodrager 3, druid 3, magus 3, shaman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Large size&lt;/h5&gt;&lt;h5&gt;&lt;b&gt;Duration &lt;/b&gt;instantaneous&lt;/h5&gt;&lt;h5&gt;&lt;b&gt;Saving Throw &lt;/b&gt;Reflex partial (see text); &lt;b&gt;Spell Resistance &lt;/b&gt;yes&lt;/h5&gt;&lt;/div&gt;&lt;hr/&gt;&lt;div&gt;&lt;h5&gt;&lt;b&gt;DESCRIPTION&lt;/b&gt;&lt;/h5&gt;&lt;/div&gt;&lt;hr/&gt;&lt;div&gt;&lt;h4&gt;&lt;p&gt;You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it.&lt;/p&gt;&lt;/h4&gt;&lt;/div&gt;</t>
  </si>
  <si>
    <t>Blast of air deals 2d6 bludgeoning damage and knocks opponent upward.</t>
  </si>
  <si>
    <t>Air Step</t>
  </si>
  <si>
    <t>alchemist 2, bard 2, cleric/oracle 2, druid 2, ranger 2, sorcerer/wizard 2, witch 2, occultist 2</t>
  </si>
  <si>
    <t>V, S, M (a goose feather)</t>
  </si>
  <si>
    <t>This spell functions as air walk,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  If you have 1 rank in Fly, your speed is not reduced when using this spell, and you can cross over liquid at half speed.  If you have 5 ranks in Fly, you can cross liquid at full speed and do not take the penalties to your skill checks.</t>
  </si>
  <si>
    <t>&lt;p&gt;This spell functions as &lt;i&gt;air walk&lt;/i&gt;,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checks.&lt;/p&gt;&lt;p&gt;If you have 1 rank in Fly, your speed is not reduced when using this spell, and you can cross over liquid at half speed.&lt;/p&gt;&lt;p&gt;If you have 5 ranks in Fly, you can cross liquid at full speed and do not take the penalties to your skill checks.&lt;/p&gt;</t>
  </si>
  <si>
    <t>&lt;link rel="stylesheet"href="PF.css"&gt;&lt;div class="heading"&gt;&lt;p class="alignleft"&gt;Air Step&lt;/p&gt;&lt;div style="clear: both;"&gt;&lt;/div&gt;&lt;/div&gt;&lt;div&gt;&lt;h5&gt;&lt;b&gt;School &lt;/b&gt;transmutation [air]; &lt;b&gt;Level &lt;/b&gt;alchemist 2, bard 2, cleric/oracle 2, druid 2, ranger 2, sorcerer/wizard 2, witch 2, occultist 2&lt;/h5&gt;&lt;/div&gt;&lt;hr/&gt;&lt;div&gt;&lt;h5&gt;&lt;b&gt;CASTING&lt;/b&gt;&lt;/h5&gt;&lt;/div&gt;&lt;hr/&gt;&lt;div&gt;&lt;h5&gt;&lt;b&gt;Casting Time &lt;/b&gt;1 standard action&lt;/h5&gt;&lt;h5&gt;&lt;b&gt;Components &lt;/b&gt;V, S, M (a goose feather)&lt;/h5&gt;&lt;/div&gt;&lt;hr/&gt;&lt;div&gt;&lt;h5&gt;&lt;b&gt;EFFECT&lt;/b&gt;&lt;/h5&gt;&lt;/div&gt;&lt;hr/&gt;&lt;div&gt;&lt;h5&gt;&lt;b&gt;Range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functions as &lt;i&gt;air walk&lt;/i&gt;,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checks.&lt;/p&gt;&lt;p&gt;If you have 1 rank in Fly, your speed is not reduced when using this spell, and you can cross over liquid at half speed.&lt;/p&gt;&lt;p&gt;If you have 5 ranks in Fly, you can cross liquid at full speed and do not take the penalties to your skill checks.&lt;/p&gt;&lt;/h4&gt;&lt;/div&gt;</t>
  </si>
  <si>
    <t>Tread unsteadily on air, with limitations.</t>
  </si>
  <si>
    <t>Align Weapon, Communal</t>
  </si>
  <si>
    <t>weapons or projectiles touched</t>
  </si>
  <si>
    <t>This spell functions as align weapon, except you divide the duration in 1-minute increments between any number of touched weapons. Every group of up to 50 projectiles (which must be together at the time of casting) counts as one weapon for the purpose of dividing the spell's duration.</t>
  </si>
  <si>
    <t>&lt;p&gt;This spell functions as &lt;i&gt;align weapon&lt;/i&gt;, except you divide the duration in 1-minute increments between any number of touched weapons. Every group of up to 50 projectiles (which must be together at the time of casting) counts as one weapon for the purpose of dividing the spell's duration.&lt;/p&gt;</t>
  </si>
  <si>
    <t>&lt;link rel="stylesheet"href="PF.css"&gt;&lt;div class="heading"&gt;&lt;p class="alignleft"&gt;Align Weapon, Communal&lt;/p&gt;&lt;div style="clear: both;"&gt;&lt;/div&gt;&lt;/div&gt;&lt;div&gt;&lt;h5&gt;&lt;b&gt;School &lt;/b&gt;transmutation [see text]; &lt;b&gt;Level &lt;/b&gt;cleric/oracle 3, 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&lt;/b&gt;weapons or projectiles touched&lt;/h5&gt;&lt;h5&gt;&lt;b&gt;Duration &lt;/b&gt;1 minute/level&lt;/h5&gt;&lt;h5&gt;&lt;b&gt;Saving Throw &lt;/b&gt;Will negates (harmless, object); &lt;b&gt;Spell Resistance &lt;/b&gt;yes (harmless, object)&lt;/h5&gt;&lt;/div&gt;&lt;hr/&gt;&lt;div&gt;&lt;h5&gt;&lt;b&gt;DESCRIPTION&lt;/b&gt;&lt;/h5&gt;&lt;/div&gt;&lt;hr/&gt;&lt;div&gt;&lt;h4&gt;&lt;p&gt;This spell functions as &lt;i&gt;align weapon&lt;/i&gt;, except you divide the duration in 1-minute increments between any number of touched weapons. Every group of up to 50 projectiles (which must be together at the time of casting) counts as one weapon for the purpose of dividing the spell's duration.&lt;/p&gt;&lt;/h4&gt;&lt;/div&gt;</t>
  </si>
  <si>
    <t>As align weapon, but you can divide the duration among weapons touched.</t>
  </si>
  <si>
    <t>Alter Musical Instrument</t>
  </si>
  <si>
    <t>bard 1, sorcerer/wizard 1, witch 1, occultist 1</t>
  </si>
  <si>
    <t>V, S, F (an instrument)</t>
  </si>
  <si>
    <t>one musical instrument</t>
  </si>
  <si>
    <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t>
  </si>
  <si>
    <t>&lt;p&gt;You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instrument.&lt;/p&gt;</t>
  </si>
  <si>
    <t>&lt;link rel="stylesheet"href="PF.css"&gt;&lt;div class="heading"&gt;&lt;p class="alignleft"&gt;Alter Musical Instrument&lt;/p&gt;&lt;div style="clear: both;"&gt;&lt;/div&gt;&lt;/div&gt;&lt;div&gt;&lt;h5&gt;&lt;b&gt;School &lt;/b&gt;illusion (figment); &lt;b&gt;Level &lt;/b&gt;bard 1, sorcerer/wizard 1, witch 1, occultist 1&lt;/h5&gt;&lt;/div&gt;&lt;hr/&gt;&lt;div&gt;&lt;h5&gt;&lt;b&gt;CASTING&lt;/b&gt;&lt;/h5&gt;&lt;/div&gt;&lt;hr/&gt;&lt;div&gt;&lt;h5&gt;&lt;b&gt;Casting Time &lt;/b&gt;1 standard action&lt;/h5&gt;&lt;h5&gt;&lt;b&gt;Components &lt;/b&gt;V, S, F (an instrument)&lt;/h5&gt;&lt;/div&gt;&lt;hr/&gt;&lt;div&gt;&lt;h5&gt;&lt;b&gt;EFFECT&lt;/b&gt;&lt;/h5&gt;&lt;/div&gt;&lt;hr/&gt;&lt;div&gt;&lt;h5&gt;&lt;b&gt;Range &lt;/b&gt;close (25 ft. + 5 ft./2 levels)&lt;/h5&gt;&lt;h5&gt;&lt;b&gt;Targets &lt;/b&gt;one musical instrument&lt;/h5&gt;&lt;h5&gt;&lt;b&gt;Duration &lt;/b&gt;1 hour/level (D)&lt;/h5&gt;&lt;h5&gt;&lt;b&gt;Saving Throw &lt;/b&gt;Fortitude negates (object); &lt;b&gt;Spell Resistance &lt;/b&gt;yes (object)&lt;/h5&gt;&lt;/div&gt;&lt;hr/&gt;&lt;div&gt;&lt;h5&gt;&lt;b&gt;DESCRIPTION&lt;/b&gt;&lt;/h5&gt;&lt;/div&gt;&lt;hr/&gt;&lt;div&gt;&lt;h4&gt;&lt;p&gt;You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instrument.&lt;/p&gt;&lt;/h4&gt;&lt;/div&gt;</t>
  </si>
  <si>
    <t>Make one instrument sound like a different kind of instrument.</t>
  </si>
  <si>
    <t>Anchored Step</t>
  </si>
  <si>
    <t>alchemist 3, druid 3, shaman 3, sorcerer/wizard 3, witch 3, psychic 3</t>
  </si>
  <si>
    <t>V, S, M (a bit of oak root)</t>
  </si>
  <si>
    <t>Powerful tendrils grow out of the bottom of your feet or footwear, partially anchoring you to the ground and making it more difficult for others to move you against your will.  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t>
  </si>
  <si>
    <t>&lt;p&gt;Powerful tendrils grow out of the bottom of your feet or footwear, partially anchoring you to the ground and making it more difficult for others to move you against your will.&lt;/p&gt;&lt;p&gt;These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on).&lt;/p&gt;</t>
  </si>
  <si>
    <t>&lt;link rel="stylesheet"href="PF.css"&gt;&lt;div class="heading"&gt;&lt;p class="alignleft"&gt;Anchored Step&lt;/p&gt;&lt;div style="clear: both;"&gt;&lt;/div&gt;&lt;/div&gt;&lt;div&gt;&lt;h5&gt;&lt;b&gt;School &lt;/b&gt;transmutation; &lt;b&gt;Level &lt;/b&gt;alchemist 3, druid 3, shaman 3, sorcerer/wizard 3, witch 3, psychic 3&lt;/h5&gt;&lt;/div&gt;&lt;hr/&gt;&lt;div&gt;&lt;h5&gt;&lt;b&gt;CASTING&lt;/b&gt;&lt;/h5&gt;&lt;/div&gt;&lt;hr/&gt;&lt;div&gt;&lt;h5&gt;&lt;b&gt;Casting Time &lt;/b&gt;1 standard action&lt;/h5&gt;&lt;h5&gt;&lt;b&gt;Components &lt;/b&gt;V, S, M (a bit of oak root)&lt;/h5&gt;&lt;/div&gt;&lt;hr/&gt;&lt;div&gt;&lt;h5&gt;&lt;b&gt;EFFECT&lt;/b&gt;&lt;/h5&gt;&lt;/div&gt;&lt;hr/&gt;&lt;div&gt;&lt;h5&gt;&lt;b&gt;Range &lt;/b&gt;personal&lt;/h5&gt;&lt;h5&gt;&lt;b&gt;Targets &lt;/b&gt;you&lt;/h5&gt;&lt;h5&gt;&lt;b&gt;Duration &lt;/b&gt;10 minutes/level (D)&lt;/h5&gt;&lt;/div&gt;&lt;hr/&gt;&lt;div&gt;&lt;h5&gt;&lt;b&gt;DESCRIPTION&lt;/b&gt;&lt;/h5&gt;&lt;/div&gt;&lt;hr/&gt;&lt;div&gt;&lt;h4&gt;&lt;p&gt;Powerful tendrils grow out of the bottom of your feet or footwear, partially anchoring you to the ground and making it more difficult for others to move you against your will.&lt;/p&gt;&lt;p&gt;These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on).&lt;/p&gt;&lt;/h4&gt;&lt;/div&gt;</t>
  </si>
  <si>
    <t>Vines beneath your feet stabilize you but slow you down.</t>
  </si>
  <si>
    <t>Animal Purpose Training</t>
  </si>
  <si>
    <t>antipaladin 1, bard 2, druid 2, inquisitor 1, paladin 1, ranger 1, shaman 2, witch 1, psychic 1</t>
  </si>
  <si>
    <t>You instill the target animal with a general purpose (see the Handle Animal skill), which can be any purpose except combat training-fighting, guarding, heavy labor, hunting, performance, or riding. This purpose supersedes the animal's previous trained purpose and any tricks it knows.  When the spell ends, the animal reverts to its previous trained purpose and known tricks.</t>
  </si>
  <si>
    <t>&lt;p&gt;You instill the target animal with a general purpose (see the Handle Animal skill), which can be any purpose except combat training-fighting, guarding, heavy labor, hunting, performance, or riding. This purpose supersedes the animal's previous trained purpose and any tricks it knows.&lt;/p&gt;&lt;p&gt;When the spell ends, the animal reverts to its previous trained purpose and known tricks.&lt;/p&gt;</t>
  </si>
  <si>
    <t>&lt;link rel="stylesheet"href="PF.css"&gt;&lt;div class="heading"&gt;&lt;p class="alignleft"&gt;Animal Purpose Training&lt;/p&gt;&lt;div style="clear: both;"&gt;&lt;/div&gt;&lt;/div&gt;&lt;div&gt;&lt;h5&gt;&lt;b&gt;School &lt;/b&gt;enchantment (compulsion) [mind-affecting]; &lt;b&gt;Level &lt;/b&gt;antipaladin 1, bard 2, druid 2, inquisitor 1, paladin 1, ranger 1, shaman 2, witch 1, psychic 1&lt;/h5&gt;&lt;/div&gt;&lt;hr/&gt;&lt;div&gt;&lt;h5&gt;&lt;b&gt;CASTING&lt;/b&gt;&lt;/h5&gt;&lt;/div&gt;&lt;hr/&gt;&lt;div&gt;&lt;h5&gt;&lt;b&gt;Casting Time &lt;/b&gt;1 minute&lt;/h5&gt;&lt;h5&gt;&lt;b&gt;Components &lt;/b&gt;V, S, M (a swatch of black cloth)&lt;/h5&gt;&lt;/div&gt;&lt;hr/&gt;&lt;div&gt;&lt;h5&gt;&lt;b&gt;EFFECT&lt;/b&gt;&lt;/h5&gt;&lt;/div&gt;&lt;hr/&gt;&lt;div&gt;&lt;h5&gt;&lt;b&gt;Range &lt;/b&gt;close (25 ft. + 5 ft./2 levels)&lt;/h5&gt;&lt;h5&gt;&lt;b&gt;Targets &lt;/b&gt;one indifferent or friendly animal&lt;/h5&gt;&lt;h5&gt;&lt;b&gt;Duration &lt;/b&gt;1 hour/level&lt;/h5&gt;&lt;h5&gt;&lt;b&gt;Saving Throw &lt;/b&gt;none; &lt;b&gt;Spell Resistance &lt;/b&gt;yes&lt;/h5&gt;&lt;/div&gt;&lt;hr/&gt;&lt;div&gt;&lt;h5&gt;&lt;b&gt;DESCRIPTION&lt;/b&gt;&lt;/h5&gt;&lt;/div&gt;&lt;hr/&gt;&lt;div&gt;&lt;h4&gt;&lt;p&gt;You instill the target animal with a general purpose (see the Handle Animal skill), which can be any purpose except combat training-fighting, guarding, heavy labor, hunting, performance, or riding. This purpose supersedes the animal's previous trained purpose and any tricks it knows.&lt;/p&gt;&lt;p&gt;When the spell ends, the animal reverts to its previous trained purpose and known tricks.&lt;/p&gt;&lt;/h4&gt;&lt;/div&gt;</t>
  </si>
  <si>
    <t>Animal gains a new general purpose.</t>
  </si>
  <si>
    <t>Anonymous Interaction</t>
  </si>
  <si>
    <t>bard 2, witch 2, psychic 2, mesmerist 2</t>
  </si>
  <si>
    <t>one creature/level, no two of which can be more  than 30 ft. apart</t>
  </si>
  <si>
    <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t>
  </si>
  <si>
    <t>&lt;p&gt;You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permanent.&lt;/p&gt;</t>
  </si>
  <si>
    <t>&lt;link rel="stylesheet"href="PF.css"&gt;&lt;div class="heading"&gt;&lt;p class="alignleft"&gt;Anonymous Interaction&lt;/p&gt;&lt;div style="clear: both;"&gt;&lt;/div&gt;&lt;/div&gt;&lt;div&gt;&lt;h5&gt;&lt;b&gt;School &lt;/b&gt;enchantment (compulsion) [mind-affecting]; &lt;b&gt;Level &lt;/b&gt;bard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&lt;/b&gt;permanent (see text)&lt;/h5&gt;&lt;h5&gt;&lt;b&gt;Saving Throw &lt;/b&gt;Will negates; &lt;b&gt;Spell Resistance &lt;/b&gt;yes&lt;/h5&gt;&lt;/div&gt;&lt;hr/&gt;&lt;div&gt;&lt;h5&gt;&lt;b&gt;DESCRIPTION&lt;/b&gt;&lt;/h5&gt;&lt;/div&gt;&lt;hr/&gt;&lt;div&gt;&lt;h4&gt;&lt;p&gt;You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permanent.&lt;/p&gt;&lt;/h4&gt;&lt;/div&gt;</t>
  </si>
  <si>
    <t>Espionage (2)</t>
  </si>
  <si>
    <t>Creatures forget details about you and conversations with you.</t>
  </si>
  <si>
    <t>Anti-Incorporeal Shell</t>
  </si>
  <si>
    <t>cleric/oracle 4, shaman 4, witch 4, psychic 4, spiritualist 4</t>
  </si>
  <si>
    <t>You bring into being a mobile, hemispherical energy field that incorporeal creatures cannot enter.  This spell can be used only defensively, not aggressively.  Forcing an abjuration barrier against creatures that the spell keeps at bay collapses the barrier.</t>
  </si>
  <si>
    <t>&lt;p&gt;You bring into being a mobile, hemispherical energy field that incorporeal creatures cannot enter.&lt;/p&gt;&lt;p&gt;This spell can be used only defensively, not aggressively.&lt;/p&gt;&lt;p&gt;Forcing an abjuration barrier against creatures that the spell keeps at bay collapses the barrier.&lt;/p&gt;</t>
  </si>
  <si>
    <t>&lt;link rel="stylesheet"href="PF.css"&gt;&lt;div class="heading"&gt;&lt;p class="alignleft"&gt;Anti-Incorporeal Shell&lt;/p&gt;&lt;div style="clear: both;"&gt;&lt;/div&gt;&lt;/div&gt;&lt;div&gt;&lt;h5&gt;&lt;b&gt;School &lt;/b&gt;abjuration; &lt;b&gt;Level &lt;/b&gt;cleric/oracle 4, shaman 4, witch 4, psychic 4, spiritualist 4&lt;/h5&gt;&lt;/div&gt;&lt;hr/&gt;&lt;div&gt;&lt;h5&gt;&lt;b&gt;CASTING&lt;/b&gt;&lt;/h5&gt;&lt;/div&gt;&lt;hr/&gt;&lt;div&gt;&lt;h5&gt;&lt;b&gt;Casting Time &lt;/b&gt;1 round&lt;/h5&gt;&lt;h5&gt;&lt;b&gt;Components &lt;/b&gt;V, S, DF&lt;/h5&gt;&lt;/div&gt;&lt;hr/&gt;&lt;div&gt;&lt;h5&gt;&lt;b&gt;EFFECT&lt;/b&gt;&lt;/h5&gt;&lt;/div&gt;&lt;hr/&gt;&lt;div&gt;&lt;h5&gt;&lt;b&gt;Range &lt;/b&gt;10 ft.&lt;/h5&gt;&lt;h5&gt;&lt;b&gt;Area &lt;/b&gt;10-ft.-radius emanation centered on you&lt;/h5&gt;&lt;h5&gt;&lt;b&gt;Duration &lt;/b&gt;1 minute/level (D)&lt;/h5&gt;&lt;h5&gt;&lt;b&gt;Saving Throw &lt;/b&gt;none; &lt;b&gt;Spell Resistance &lt;/b&gt;yes&lt;/h5&gt;&lt;/div&gt;&lt;hr/&gt;&lt;div&gt;&lt;h5&gt;&lt;b&gt;DESCRIPTION&lt;/b&gt;&lt;/h5&gt;&lt;/div&gt;&lt;hr/&gt;&lt;div&gt;&lt;h4&gt;&lt;p&gt;You bring into being a mobile, hemispherical energy field that incorporeal creatures cannot enter.&lt;/p&gt;&lt;p&gt;This spell can be used only defensively, not aggressively.&lt;/p&gt;&lt;p&gt;Forcing an abjuration barrier against creatures that the spell keeps at bay collapses the barrier.&lt;/p&gt;&lt;/h4&gt;&lt;/div&gt;</t>
  </si>
  <si>
    <t>Incorporeal creatures stay 10 ft. away from you.</t>
  </si>
  <si>
    <t>Aura Sight</t>
  </si>
  <si>
    <t>alchemist 3, cleric/oracle 3, inquisitor 4, shaman 3, sorcerer/wizard 3, witch 3, psychic 3, mesmerist 3, spiritualist 3</t>
  </si>
  <si>
    <t>This spell makes your eyes glow and allows you to see alignment auras within 120 feet of you. The effect is similar to that of a detect chaos/evil/good/law spell, but aura sight does not require concentration, and it discerns an aura's location and power more quickly.  You know the location and power of all chaotic, evil, good, and lawful auras within your sight. An aura's power depends on a creature's Hit Dice or an item's caster level, as noted in the description of the detect evil spell. If an item or a creature bearing an aura is in line of sight, you can attempt a Knowledge (religion) check to determine the aura's strength (one check per aura; DC 15 + spell level, or 15 + 1/2 caster level for a non-spell effect).  Aura sight can be made permanent with a permanency spell by a caster of 11th level or higher at a cost of 7,500 gp.</t>
  </si>
  <si>
    <t>&lt;p&gt;This spell makes your eyes glow and allows you to see alignment auras within 120 feet of you. The effect is similar to that of a &lt;i&gt;detect chaos/evil/good/law&lt;/i&gt; spell, but &lt;i&gt;aura sight&lt;/i&gt; does not require concentration, and it discerns an aura's location and power more quickly.&lt;/p&gt;&lt;p&gt;You know the location and power of all chaotic, evil, good, and lawful auras within your sight. An aura's power depends on a creature's Hit Dice or an item's caster level, as noted in the description of the &lt;i&gt;detect evil&lt;/i&gt; spell. If an item or a creature bearing an aura is in line of sight, you can attempt a Knowledge (religion) check to determine the aura's strength (one check per aura; DC 15 + spell level, or 15 + 1/2 caster level for a non-spell effect).&lt;/p&gt;&lt;p&gt;&lt;i&gt;Aura sight&lt;/i&gt; can be made permanent with a &lt;i&gt;permanency&lt;/i&gt; spell by a caster of 11th level or higher at a cost of 7,500 gp.&lt;/p&gt;</t>
  </si>
  <si>
    <t>&lt;link rel="stylesheet"href="PF.css"&gt;&lt;div class="heading"&gt;&lt;p class="alignleft"&gt;Aura Sight&lt;/p&gt;&lt;div style="clear: both;"&gt;&lt;/div&gt;&lt;/div&gt;&lt;div&gt;&lt;h5&gt;&lt;b&gt;School &lt;/b&gt;divination; &lt;b&gt;Level &lt;/b&gt;alchemist 3, cleric/oracle 3, inquisitor 4, shaman 3, sorcerer/wizard 3, witch 3, psychic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makes your eyes glow and allows you to see alignment auras within 120 feet of you. The effect is similar to that of a &lt;i&gt;detect chaos/evil/good/law&lt;/i&gt; spell, but &lt;i&gt;aura sight&lt;/i&gt; does not require concentration, and it discerns an aura's location and power more quickly.&lt;/p&gt;&lt;p&gt;You know the location and power of all chaotic, evil, good, and lawful auras within your sight. An aura's power depends on a creature's Hit Dice or an item's caster level, as noted in the description of the &lt;i&gt;detect evil&lt;/i&gt; spell. If an item or a creature bearing an aura is in line of sight, you can attempt a Knowledge (religion) check to determine the aura's strength (one check per aura; DC 15 + spell level, or 15 + 1/2 caster level for a non-spell effect).&lt;/p&gt;&lt;p&gt;&lt;i&gt;Aura sight&lt;/i&gt; can be made permanent with a &lt;i&gt;permanency&lt;/i&gt; spell by a caster of 11th level or higher at a cost of 7,500 gp.&lt;/p&gt;&lt;/h4&gt;&lt;/div&gt;</t>
  </si>
  <si>
    <t>Alignment auras become visible to you.</t>
  </si>
  <si>
    <t>Banshee Blast</t>
  </si>
  <si>
    <t>death, fear, mind-affecting, sonic</t>
  </si>
  <si>
    <t>sorcerer/wizard 6, witch 6, spiritualist 6</t>
  </si>
  <si>
    <t>Reflex half and Will negates (see text)</t>
  </si>
  <si>
    <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t>
  </si>
  <si>
    <t>&lt;p&gt;You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round/level.&lt;/p&gt;</t>
  </si>
  <si>
    <t>&lt;link rel="stylesheet"href="PF.css"&gt;&lt;div class="heading"&gt;&lt;p class="alignleft"&gt;Banshee Blast&lt;/p&gt;&lt;div style="clear: both;"&gt;&lt;/div&gt;&lt;/div&gt;&lt;div&gt;&lt;h5&gt;&lt;b&gt;School &lt;/b&gt;necromancy [death, fear, mind-affecting, sonic]; &lt;b&gt;Level &lt;/b&gt;sorcerer/wizard 6, witch 6, spiritualist 6&lt;/h5&gt;&lt;/div&gt;&lt;hr/&gt;&lt;div&gt;&lt;h5&gt;&lt;b&gt;CASTING&lt;/b&gt;&lt;/h5&gt;&lt;/div&gt;&lt;hr/&gt;&lt;div&gt;&lt;h5&gt;&lt;b&gt;Casting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 and 1 round/level (see text)&lt;/h5&gt;&lt;h5&gt;&lt;b&gt;Saving Throw &lt;/b&gt;Reflex half and Will negates (see text); &lt;b&gt;Spell Resistance &lt;/b&gt;yes&lt;/h5&gt;&lt;/div&gt;&lt;hr/&gt;&lt;div&gt;&lt;h5&gt;&lt;b&gt;DESCRIPTION&lt;/b&gt;&lt;/h5&gt;&lt;/div&gt;&lt;hr/&gt;&lt;div&gt;&lt;h4&gt;&lt;p&gt;You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round/level.&lt;/p&gt;&lt;/h4&gt;&lt;/div&gt;</t>
  </si>
  <si>
    <t>Cone deals 1d4 per level and panics creatures.</t>
  </si>
  <si>
    <t>Barrow Haze</t>
  </si>
  <si>
    <t>Barrow haze creates a bank of fog similar to that created by fog cloud,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  For example, suppose you have the slumber hex, you are 25 feet from one edge of the haze, and an opponent is 40 feet farther away at the other extreme of the cloud. You can use your slumber hex on that opponent even though it is actually 65 feet away from you.</t>
  </si>
  <si>
    <t>&lt;p&gt;&lt;i&gt;Barrow haze&lt;/i&gt; creates a bank of fog similar to that created by &lt;i&gt;fog cloud&lt;/i&gt;,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feet.&lt;/p&gt;&lt;p&gt;For example, suppose you have the slumber hex, you are 25 feet from one edge of the haze, and an opponent is 40 feet farther away at the other extreme of the cloud. You can use your slumber hex on that opponent even though it is actually 65 feet away from you.&lt;/p&gt;</t>
  </si>
  <si>
    <t>&lt;link rel="stylesheet"href="PF.css"&gt;&lt;div class="heading"&gt;&lt;p class="alignleft"&gt;Barrow Haze&lt;/p&gt;&lt;div style="clear: both;"&gt;&lt;/div&gt;&lt;/div&gt;&lt;div&gt;&lt;h5&gt;&lt;b&gt;School &lt;/b&gt;necromancy; &lt;b&gt;Level &lt;/b&gt;sorcerer/wizard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&lt;/b&gt;fog spreads in 20-ft. radius, 20 ft. high&lt;/h5&gt;&lt;h5&gt;&lt;b&gt;Duration &lt;/b&gt;1 minute/level&lt;/h5&gt;&lt;h5&gt;&lt;b&gt;Saving Throw &lt;/b&gt;none; &lt;b&gt;Spell Resistance &lt;/b&gt;no&lt;/h5&gt;&lt;/div&gt;&lt;hr/&gt;&lt;div&gt;&lt;h5&gt;&lt;b&gt;DESCRIPTION&lt;/b&gt;&lt;/h5&gt;&lt;/div&gt;&lt;hr/&gt;&lt;div&gt;&lt;h4&gt;&lt;p&gt;&lt;i&gt;Barrow haze&lt;/i&gt; creates a bank of fog similar to that created by &lt;i&gt;fog cloud&lt;/i&gt;,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feet.&lt;/p&gt;&lt;p&gt;For example, suppose you have the slumber hex, you are 25 feet from one edge of the haze, and an opponent is 40 feet farther away at the other extreme of the cloud. You can use your slumber hex on that opponent even though it is actually 65 feet away from you.&lt;/p&gt;&lt;/h4&gt;&lt;/div&gt;</t>
  </si>
  <si>
    <t>Fog obscures the vision of others and extends the range of your hexes.</t>
  </si>
  <si>
    <t>Beastspeak</t>
  </si>
  <si>
    <t>druid 2, shaman 2, witch 2</t>
  </si>
  <si>
    <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t>
  </si>
  <si>
    <t>&lt;p&gt;When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components.&lt;/p&gt;</t>
  </si>
  <si>
    <t>&lt;link rel="stylesheet"href="PF.css"&gt;&lt;div class="heading"&gt;&lt;p class="alignleft"&gt;Beastspeak&lt;/p&gt;&lt;div style="clear: both;"&gt;&lt;/div&gt;&lt;/div&gt;&lt;div&gt;&lt;h5&gt;&lt;b&gt;School &lt;/b&gt;divination; &lt;b&gt;Level &lt;/b&gt;druid 2, shaman 2, witch 2&lt;/h5&gt;&lt;/div&gt;&lt;hr/&gt;&lt;div&gt;&lt;h5&gt;&lt;b&gt;CASTING&lt;/b&gt;&lt;/h5&gt;&lt;/div&gt;&lt;hr/&gt;&lt;div&gt;&lt;h5&gt;&lt;b&gt;Casting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&lt;/b&gt;10 minutes/level&lt;/h5&gt;&lt;/div&gt;&lt;hr/&gt;&lt;div&gt;&lt;h5&gt;&lt;b&gt;DESCRIPTION&lt;/b&gt;&lt;/h5&gt;&lt;/div&gt;&lt;hr/&gt;&lt;div&gt;&lt;h4&gt;&lt;p&gt;When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components.&lt;/p&gt;&lt;/h4&gt;&lt;/div&gt;</t>
  </si>
  <si>
    <t>Speak normally while in animal form.</t>
  </si>
  <si>
    <t>Bestow Auras</t>
  </si>
  <si>
    <t>antipaladin 3, paladin 3</t>
  </si>
  <si>
    <t>You transfer one or more of your paladin or antipaladin auras (such as aura of courage and aura of resolve) to another creature. You retain the personal effect of that aura, but the target becomes the center of the aura effect instead of you.  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  If an aura functions only when you expend uses of another ability (such as with aura of justice or aura of vengeance), the transferred aura functions only if the target has that other ability and expends uses of it to activate the aura.  You cannot transfer an aura that affects only you (such as aura of good).</t>
  </si>
  <si>
    <t>&lt;p&gt;You transfer one or more of your paladin or antipaladin auras (such as aura of courage and aura of resolve) to another creature. You retain the personal effect of that aura, but the target becomes the center of the aura effect instead of you.&lt;/p&gt;&lt;p&gt;For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conscious.&lt;/p&gt;&lt;p&gt;If an aura functions only when you expend uses of another ability (such as with aura of justice or aura of vengeance), the transferred aura functions only if the target has that other ability and expends uses of it to activate the aura.&lt;/p&gt;&lt;p&gt;You cannot transfer an aura that affects only you (such as aura of good).&lt;/p&gt;</t>
  </si>
  <si>
    <t>&lt;link rel="stylesheet"href="PF.css"&gt;&lt;div class="heading"&gt;&lt;p class="alignleft"&gt;Bestow Auras&lt;/p&gt;&lt;div style="clear: both;"&gt;&lt;/div&gt;&lt;/div&gt;&lt;div&gt;&lt;h5&gt;&lt;b&gt;School &lt;/b&gt;abjuration; &lt;b&gt;Level &lt;/b&gt;antipaladin 3, paladin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(D)&lt;/h5&gt;&lt;h5&gt;&lt;b&gt;Saving Throw &lt;/b&gt;Will negates (harmless); &lt;b&gt;Spell Resistance &lt;/b&gt;yes&lt;/h5&gt;&lt;/div&gt;&lt;hr/&gt;&lt;div&gt;&lt;h5&gt;&lt;b&gt;DESCRIPTION&lt;/b&gt;&lt;/h5&gt;&lt;/div&gt;&lt;hr/&gt;&lt;div&gt;&lt;h4&gt;&lt;p&gt;You transfer one or more of your paladin or antipaladin auras (such as aura of courage and aura of resolve) to another creature. You retain the personal effect of that aura, but the target becomes the center of the aura effect instead of you.&lt;/p&gt;&lt;p&gt;For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conscious.&lt;/p&gt;&lt;p&gt;If an aura functions only when you expend uses of another ability (such as with aura of justice or aura of vengeance), the transferred aura functions only if the target has that other ability and expends uses of it to activate the aura.&lt;/p&gt;&lt;p&gt;You cannot transfer an aura that affects only you (such as aura of good).&lt;/p&gt;&lt;/h4&gt;&lt;/div&gt;</t>
  </si>
  <si>
    <t>Transfer your paladin or antipaladin auras to another creature.</t>
  </si>
  <si>
    <t>Blade Lash</t>
  </si>
  <si>
    <t>bloodrager 1, magus 1</t>
  </si>
  <si>
    <t>your melee weapon</t>
  </si>
  <si>
    <t>Your weapon elongates and becomes whiplike. As part of casting this spell, you can use this weapon to attempt a trip combat maneuver against one creature within 20 feet, and you gain a +10 bonus on your roll, after which the weapon returns to its previous form.</t>
  </si>
  <si>
    <t>&lt;p&gt;Your weapon elongates and becomes whiplike. As part of casting this spell, you can use this weapon to attempt a trip combat maneuver against one creature within 20 feet, and you gain a +10 bonus on your roll, after which the weapon returns to its previous form.&lt;/p&gt;</t>
  </si>
  <si>
    <t>&lt;link rel="stylesheet"href="PF.css"&gt;&lt;div class="heading"&gt;&lt;p class="alignleft"&gt;Blade Lash&lt;/p&gt;&lt;div style="clear: both;"&gt;&lt;/div&gt;&lt;/div&gt;&lt;div&gt;&lt;h5&gt;&lt;b&gt;School &lt;/b&gt;transmutation; &lt;b&gt;Level &lt;/b&gt;bloodrager 1, magus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melee weapon&lt;/h5&gt;&lt;h5&gt;&lt;b&gt;Duration &lt;/b&gt;instantaneous&lt;/h5&gt;&lt;h5&gt;&lt;b&gt;Saving Throw &lt;/b&gt;none; &lt;b&gt;Spell Resistance &lt;/b&gt;no&lt;/h5&gt;&lt;/div&gt;&lt;hr/&gt;&lt;div&gt;&lt;h5&gt;&lt;b&gt;DESCRIPTION&lt;/b&gt;&lt;/h5&gt;&lt;/div&gt;&lt;hr/&gt;&lt;div&gt;&lt;h4&gt;&lt;p&gt;Your weapon elongates and becomes whiplike. As part of casting this spell, you can use this weapon to attempt a trip combat maneuver against one creature within 20 feet, and you gain a +10 bonus on your roll, after which the weapon returns to its previous form.&lt;/p&gt;&lt;/h4&gt;&lt;/div&gt;</t>
  </si>
  <si>
    <t>Use your weapon like a whip to trip an opponent.</t>
  </si>
  <si>
    <t>Blazing Rainbow</t>
  </si>
  <si>
    <t>V, S, M (a drop of rainwater)</t>
  </si>
  <si>
    <t>0 ft. or 10 ft./level</t>
  </si>
  <si>
    <t>bow or bridge of light</t>
  </si>
  <si>
    <t>You create a spectrum of multicolored solid light that can be used for one of two effects.  Bow: The spell creates a longbow or shortbow appropriate for your size, and you are proficient in the use of this weapon. When drawn, the bow automatically creates a +1 seeking brilliant energy arrow; it cannot fire any other arrows. A creature struck by one of these arrows is surrounded by faerie fire and dazzled for 1 minute. This version of the spell ends when you have fired a number of arrows equal to your caster level.  Bridge: The light forms a bridge or ramp 5 feet wide and up to 10 feet long per caster level. Creatures on the bridge are dazzled. Allies gain a bonus equal to your Wisdom modifier (minimum 1) on checks, saves, and to their CMD to resist being moved from the bridge against their will.  Enemies take a penalty equal to your Wisdom modifier (minimum 1) checks, saves, and to their CMD to resist being moved from the bridge against their will.</t>
  </si>
  <si>
    <t>&lt;p&gt;You create a spectrum of multicolored solid light that can be used for one of two effects.&lt;/p&gt;&lt;p&gt;&lt;i&gt;Bow&lt;/i&gt;: The spell creates a longbow or shortbow appropriate for your size, and you are proficient in the use of this weapon. When drawn, the bow automatically creates a &lt;i&gt;+1 seeking brilliant energy arrow&lt;/i&gt;; it cannot fire any other arrows. A creature struck by one of these arrows is surrounded by &lt;i&gt;faerie fire&lt;/i&gt; and dazzled for 1 minute. This version of the spell ends when you have fired a number of arrows equal to your caster level.&lt;/p&gt;&lt;p&gt;&lt;i&gt;Bridge&lt;/i&gt;: The light forms a bridge or ramp 5 feet wide and up to 10 feet long per caster level. Creatures on the bridge are dazzled. Allies gain a bonus equal to your Wisdom modifier (minimum 1) on checks, saves, and to their CMD to resist being moved from the bridge against their will.&lt;/p&gt;&lt;p&gt;Enemies take a penalty equal to your Wisdom modifier (minimum 1) checks, saves, and to their CMD to resist being moved from the bridge against their will.&lt;/p&gt;</t>
  </si>
  <si>
    <t>&lt;link rel="stylesheet"href="PF.css"&gt;&lt;div class="heading"&gt;&lt;p class="alignleft"&gt;Blazing Rainbow&lt;/p&gt;&lt;div style="clear: both;"&gt;&lt;/div&gt;&lt;/div&gt;&lt;div&gt;&lt;h5&gt;&lt;b&gt;School &lt;/b&gt;evocation [light]; &lt;b&gt;Level &lt;/b&gt;druid 6&lt;/h5&gt;&lt;/div&gt;&lt;hr/&gt;&lt;div&gt;&lt;h5&gt;&lt;b&gt;CASTING&lt;/b&gt;&lt;/h5&gt;&lt;/div&gt;&lt;hr/&gt;&lt;div&gt;&lt;h5&gt;&lt;b&gt;Casting Time &lt;/b&gt;1 round&lt;/h5&gt;&lt;h5&gt;&lt;b&gt;Components &lt;/b&gt;V, S, M (a drop of rainwater)&lt;/h5&gt;&lt;/div&gt;&lt;hr/&gt;&lt;div&gt;&lt;h5&gt;&lt;b&gt;EFFECT&lt;/b&gt;&lt;/h5&gt;&lt;/div&gt;&lt;hr/&gt;&lt;div&gt;&lt;h5&gt;&lt;b&gt;Range &lt;/b&gt;0 ft. or 10 ft./level&lt;/h5&gt;&lt;h5&gt;&lt;b&gt;Effect &lt;/b&gt;bow or bridge of light&lt;/h5&gt;&lt;h5&gt;&lt;b&gt;Duration &lt;/b&gt;1 minute/level or until discharged (see text)&lt;/h5&gt;&lt;h5&gt;&lt;b&gt;Saving Throw &lt;/b&gt;none; &lt;b&gt;Spell Resistance &lt;/b&gt;no&lt;/h5&gt;&lt;/div&gt;&lt;hr/&gt;&lt;div&gt;&lt;h5&gt;&lt;b&gt;DESCRIPTION&lt;/b&gt;&lt;/h5&gt;&lt;/div&gt;&lt;hr/&gt;&lt;div&gt;&lt;h4&gt;&lt;p&gt;You create a spectrum of multicolored solid light that can be used for one of two effects.&lt;/p&gt;&lt;p&gt;&lt;i&gt;Bow&lt;/i&gt;: The spell creates a longbow or shortbow appropriate for your size, and you are proficient in the use of this weapon. When drawn, the bow automatically creates a &lt;i&gt;+1 seeking brilliant energy arrow&lt;/i&gt;; it cannot fire any other arrows. A creature struck by one of these arrows is surrounded by &lt;i&gt;faerie fire&lt;/i&gt; and dazzled for 1 minute. This version of the spell ends when you have fired a number of arrows equal to your caster level.&lt;/p&gt;&lt;p&gt;&lt;i&gt;Bridge&lt;/i&gt;: The light forms a bridge or ramp 5 feet wide and up to 10 feet long per caster level. Creatures on the bridge are dazzled. Allies gain a bonus equal to your Wisdom modifier (minimum 1) on checks, saves, and to their CMD to resist being moved from the bridge against their will.&lt;/p&gt;&lt;p&gt;Enemies take a penalty equal to your Wisdom modifier (minimum 1) checks, saves, and to their CMD to resist being moved from the bridge against their will.&lt;/p&gt;&lt;/h4&gt;&lt;/div&gt;</t>
  </si>
  <si>
    <t>Create bow with brilliant energy arrows or a bridge that helps allies and hinders opponents.</t>
  </si>
  <si>
    <t>Blessed Fist</t>
  </si>
  <si>
    <t>cleric/oracle 1, paladin 1</t>
  </si>
  <si>
    <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t>
  </si>
  <si>
    <t>&lt;p&gt;The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reduction.&lt;/p&gt;</t>
  </si>
  <si>
    <t>&lt;link rel="stylesheet"href="PF.css"&gt;&lt;div class="heading"&gt;&lt;p class="alignleft"&gt;Blessed Fist&lt;/p&gt;&lt;div style="clear: both;"&gt;&lt;/div&gt;&lt;/div&gt;&lt;div&gt;&lt;h5&gt;&lt;b&gt;School &lt;/b&gt;transmutation [good]; &lt;b&gt;Level &lt;/b&gt;cleric/oracle 1, paladin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&lt;/b&gt;none; &lt;b&gt;Spell Resistance &lt;/b&gt;yes&lt;/h5&gt;&lt;/div&gt;&lt;hr/&gt;&lt;div&gt;&lt;h5&gt;&lt;b&gt;DESCRIPTION&lt;/b&gt;&lt;/h5&gt;&lt;/div&gt;&lt;hr/&gt;&lt;div&gt;&lt;h4&gt;&lt;p&gt;The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reduction.&lt;/p&gt;&lt;/h4&gt;&lt;/div&gt;</t>
  </si>
  <si>
    <t>Target doesn’t provoke attacks of opportunity with unarmed strikes.</t>
  </si>
  <si>
    <t>Bloatbomb</t>
  </si>
  <si>
    <t>acid, death</t>
  </si>
  <si>
    <t>antipaladin 4, cleric/oracle 4, sorcerer/wizard 4</t>
  </si>
  <si>
    <t>Fortitude negates or Reflex half (see text)</t>
  </si>
  <si>
    <t>The target creature dies if it fails a Fortitude saving throw and its Hit Dice are no more than half your caster level.  If it dies, its corpse rapidly putrefies. The next creature to touch the corpse within 1 minute per level of the target's death causes the corpse to explode in a 10-foot-radius burst, dealing 3d6 points of acid damage (Reflex half).</t>
  </si>
  <si>
    <t>&lt;p&gt;The target creature dies if it fails a Fortitude saving throw and its Hit Dice are no more than half your caster level.&lt;/p&gt;&lt;p&gt;If it dies, its corpse rapidly putrefies. The next creature to touch the corpse within 1 minute per level of the target's death causes the corpse to explode in a 10-foot-radius burst, dealing 3d6 points of acid damage (Reflex half).&lt;/p&gt;</t>
  </si>
  <si>
    <t>&lt;link rel="stylesheet"href="PF.css"&gt;&lt;div class="heading"&gt;&lt;p class="alignleft"&gt;Bloatbomb&lt;/p&gt;&lt;div style="clear: both;"&gt;&lt;/div&gt;&lt;/div&gt;&lt;div&gt;&lt;h5&gt;&lt;b&gt;School &lt;/b&gt;necromancy [acid, death]; &lt;b&gt;Level &lt;/b&gt;antipaladin 4, cleric/oracle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and 1 minute/level (see text)&lt;/h5&gt;&lt;h5&gt;&lt;b&gt;Saving Throw &lt;/b&gt;Fortitude negates or Reflex half (see text); &lt;b&gt;Spell Resistance &lt;/b&gt;yes&lt;/h5&gt;&lt;/div&gt;&lt;hr/&gt;&lt;div&gt;&lt;h5&gt;&lt;b&gt;DESCRIPTION&lt;/b&gt;&lt;/h5&gt;&lt;/div&gt;&lt;hr/&gt;&lt;div&gt;&lt;h4&gt;&lt;p&gt;The target creature dies if it fails a Fortitude saving throw and its Hit Dice are no more than half your caster level.&lt;/p&gt;&lt;p&gt;If it dies, its corpse rapidly putrefies. The next creature to touch the corpse within 1 minute per level of the target's death causes the corpse to explode in a 10-foot-radius burst, dealing 3d6 points of acid damage (Reflex half).&lt;/p&gt;&lt;/h4&gt;&lt;/div&gt;</t>
  </si>
  <si>
    <t>Kill a weak creature and turn its corpse into an explosive trap.</t>
  </si>
  <si>
    <t>Blood Armor</t>
  </si>
  <si>
    <t>alchemist 2, bloodrager 2, sorcerer/wizard 2, summoner 2, witch 2, psychic 2</t>
  </si>
  <si>
    <t>Your blood becomes as hard as iron upon contact with air.  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t>
  </si>
  <si>
    <t>&lt;p&gt;Your blood becomes as hard as iron upon contact with air.&lt;/p&gt;&lt;p&gt;Each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air.&lt;/p&gt;</t>
  </si>
  <si>
    <t>&lt;link rel="stylesheet"href="PF.css"&gt;&lt;div class="heading"&gt;&lt;p class="alignleft"&gt;Blood Armor&lt;/p&gt;&lt;div style="clear: both;"&gt;&lt;/div&gt;&lt;/div&gt;&lt;div&gt;&lt;h5&gt;&lt;b&gt;School &lt;/b&gt;transmutation; &lt;b&gt;Level &lt;/b&gt;alchemist 2, bloodrager 2, sorcerer/wizard 2, summoner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minute/level&lt;/h5&gt;&lt;/div&gt;&lt;hr/&gt;&lt;div&gt;&lt;h5&gt;&lt;b&gt;DESCRIPTION&lt;/b&gt;&lt;/h5&gt;&lt;/div&gt;&lt;hr/&gt;&lt;div&gt;&lt;h4&gt;&lt;p&gt;Your blood becomes as hard as iron upon contact with air.&lt;/p&gt;&lt;p&gt;Each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air.&lt;/p&gt;&lt;/h4&gt;&lt;/div&gt;</t>
  </si>
  <si>
    <t>Your blood hardens when you are wounded, increasing your AC.</t>
  </si>
  <si>
    <t>Blood Sentinel</t>
  </si>
  <si>
    <t>alchemist 3, sorcerer/wizard 3</t>
  </si>
  <si>
    <t>V, S, M (a life-sized animal sculpture of a familiar made of clay, cloth, stone, or wood, plus mandrake root worth 25 gp)</t>
  </si>
  <si>
    <t>one animal sculpture</t>
  </si>
  <si>
    <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t>
  </si>
  <si>
    <t>&lt;p&gt;After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sentinel.&lt;/p&gt;</t>
  </si>
  <si>
    <t>&lt;link rel="stylesheet"href="PF.css"&gt;&lt;div class="heading"&gt;&lt;p class="alignleft"&gt;Blood Sentinel&lt;/p&gt;&lt;div style="clear: both;"&gt;&lt;/div&gt;&lt;/div&gt;&lt;div&gt;&lt;h5&gt;&lt;b&gt;School &lt;/b&gt;transmutation; &lt;b&gt;Level &lt;/b&gt;alchemist 3, sorcerer/wizard 3&lt;/h5&gt;&lt;/div&gt;&lt;hr/&gt;&lt;div&gt;&lt;h5&gt;&lt;b&gt;CASTING&lt;/b&gt;&lt;/h5&gt;&lt;/div&gt;&lt;hr/&gt;&lt;div&gt;&lt;h5&gt;&lt;b&gt;Casting Time &lt;/b&gt;1 standard action&lt;/h5&gt;&lt;h5&gt;&lt;b&gt;Components &lt;/b&gt;V, S, M (a life-sized animal sculpture of a familiar made of clay, cloth, stone, or wood, plus mandrake root worth 25 gp)&lt;/h5&gt;&lt;/div&gt;&lt;hr/&gt;&lt;div&gt;&lt;h5&gt;&lt;b&gt;EFFECT&lt;/b&gt;&lt;/h5&gt;&lt;/div&gt;&lt;hr/&gt;&lt;div&gt;&lt;h5&gt;&lt;b&gt;Range &lt;/b&gt;touch&lt;/h5&gt;&lt;h5&gt;&lt;b&gt;Targets &lt;/b&gt;one animal sculpture&lt;/h5&gt;&lt;h5&gt;&lt;b&gt;Duration &lt;/b&gt;10 minutes/level&lt;/h5&gt;&lt;h5&gt;&lt;b&gt;Saving Throw &lt;/b&gt;none; &lt;b&gt;Spell Resistance &lt;/b&gt;no (harmless)&lt;/h5&gt;&lt;/div&gt;&lt;hr/&gt;&lt;div&gt;&lt;h5&gt;&lt;b&gt;DESCRIPTION&lt;/b&gt;&lt;/h5&gt;&lt;/div&gt;&lt;hr/&gt;&lt;div&gt;&lt;h4&gt;&lt;p&gt;After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sentinel.&lt;/p&gt;&lt;/h4&gt;&lt;/div&gt;</t>
  </si>
  <si>
    <t>Animate an animal sculpture to be your temporary familiar.</t>
  </si>
  <si>
    <t>Blurred Movement</t>
  </si>
  <si>
    <t>alchemist 1, bard 1, bloodrager 1, magus 1, sorcerer/wizard 1, summoner 1, occultist 1, psychic 1, mesmerist 1</t>
  </si>
  <si>
    <t>This spell functions as blur, except that the blurring occurs only when you move at least 10 feet on your turn and ceases at the end of your movement. It is therefore mainly used to thwart attacks on your turn, such as attacks of opportunity. If you move at least twice your speed on your turn, the blurring lasts until the start of your next turn.</t>
  </si>
  <si>
    <t>&lt;p&gt;This spell functions as &lt;i&gt;blur&lt;/i&gt;, except that the &lt;i&gt;blur&lt;/i&gt;ring occurs only when you move at least 10 feet on your turn and ceases at the end of your movement. It is therefore mainly used to thwart attacks on your turn, such as attacks of opportunity. If you move at least twice your speed on your turn, the &lt;i&gt;blur&lt;/i&gt;ring lasts until the start of your next turn.&lt;/p&gt;</t>
  </si>
  <si>
    <t>&lt;link rel="stylesheet"href="PF.css"&gt;&lt;div class="heading"&gt;&lt;p class="alignleft"&gt;Blurred Movement&lt;/p&gt;&lt;div style="clear: both;"&gt;&lt;/div&gt;&lt;/div&gt;&lt;div&gt;&lt;h5&gt;&lt;b&gt;School &lt;/b&gt;illusion (glamer); &lt;b&gt;Level &lt;/b&gt;alchemist 1, bard 1, bloodrager 1, magus 1, sorcerer/wizard 1, summoner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&lt;i&gt;blur&lt;/i&gt;, except that the &lt;i&gt;blur&lt;/i&gt;ring occurs only when you move at least 10 feet on your turn and ceases at the end of your movement. It is therefore mainly used to thwart attacks on your turn, such as attacks of opportunity. If you move at least twice your speed on your turn, the &lt;i&gt;blur&lt;/i&gt;ring lasts until the start of your next turn.&lt;/p&gt;&lt;/h4&gt;&lt;/div&gt;</t>
  </si>
  <si>
    <t>As blur, but only while you are moving.</t>
  </si>
  <si>
    <t>Body Capacitance</t>
  </si>
  <si>
    <t>alchemist 1, sorcerer/wizard 1</t>
  </si>
  <si>
    <t>V, S, M (an iron coil)</t>
  </si>
  <si>
    <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lightning bolt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t>
  </si>
  <si>
    <t>&lt;p&gt;If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&lt;i&gt;lightning bolt&lt;/i&gt;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damage.&lt;/p&gt;</t>
  </si>
  <si>
    <t>&lt;link rel="stylesheet"href="PF.css"&gt;&lt;div class="heading"&gt;&lt;p class="alignleft"&gt;Body Capacitance&lt;/p&gt;&lt;div style="clear: both;"&gt;&lt;/div&gt;&lt;/div&gt;&lt;div&gt;&lt;h5&gt;&lt;b&gt;School &lt;/b&gt;transmutation [electricity]; &lt;b&gt;Level &lt;/b&gt;alchemist 1, sorcerer/wizard 1&lt;/h5&gt;&lt;/div&gt;&lt;hr/&gt;&lt;div&gt;&lt;h5&gt;&lt;b&gt;CASTING&lt;/b&gt;&lt;/h5&gt;&lt;/div&gt;&lt;hr/&gt;&lt;div&gt;&lt;h5&gt;&lt;b&gt;Casting Time &lt;/b&gt;1 standard action&lt;/h5&gt;&lt;h5&gt;&lt;b&gt;Components &lt;/b&gt;V, S, M (an iron coil)&lt;/h5&gt;&lt;/div&gt;&lt;hr/&gt;&lt;div&gt;&lt;h5&gt;&lt;b&gt;EFFECT&lt;/b&gt;&lt;/h5&gt;&lt;/div&gt;&lt;hr/&gt;&lt;div&gt;&lt;h5&gt;&lt;b&gt;Range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&lt;i&gt;lightning bolt&lt;/i&gt;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damage.&lt;/p&gt;&lt;/h4&gt;&lt;/div&gt;</t>
  </si>
  <si>
    <t>Store electricity attacks used against you and release the energy as a touch attack.</t>
  </si>
  <si>
    <t>Bullet Ward</t>
  </si>
  <si>
    <t>antipaladin 2, bard 2, inquisitor 2, paladin 2, ranger 2, sorcerer/wizard 2, witch 2, psychic 2</t>
  </si>
  <si>
    <t>V, S, F (one to four adamantine bullets, each worth 61 gp)</t>
  </si>
  <si>
    <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t>
  </si>
  <si>
    <t>&lt;p&gt;You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20.&lt;/p&gt;</t>
  </si>
  <si>
    <t>&lt;link rel="stylesheet"href="PF.css"&gt;&lt;div class="heading"&gt;&lt;p class="alignleft"&gt;Bullet Ward&lt;/p&gt;&lt;div style="clear: both;"&gt;&lt;/div&gt;&lt;/div&gt;&lt;div&gt;&lt;h5&gt;&lt;b&gt;School &lt;/b&gt;abjuration; &lt;b&gt;Level &lt;/b&gt;antipaladin 2, bard 2, inquisitor 2, paladin 2, ranger 2, sorcerer/wizard 2, witch 2, psychic 2&lt;/h5&gt;&lt;/div&gt;&lt;hr/&gt;&lt;div&gt;&lt;h5&gt;&lt;b&gt;CASTING&lt;/b&gt;&lt;/h5&gt;&lt;/div&gt;&lt;hr/&gt;&lt;div&gt;&lt;h5&gt;&lt;b&gt;Casting Time &lt;/b&gt;1 standard action&lt;/h5&gt;&lt;h5&gt;&lt;b&gt;Components &lt;/b&gt;V, S, F (one to four adamantine bullets, each worth 61 gp)&lt;/h5&gt;&lt;/div&gt;&lt;hr/&gt;&lt;div&gt;&lt;h5&gt;&lt;b&gt;EFFECT&lt;/b&gt;&lt;/h5&gt;&lt;/div&gt;&lt;hr/&gt;&lt;div&gt;&lt;h5&gt;&lt;b&gt;Range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20.&lt;/p&gt;&lt;/h4&gt;&lt;/div&gt;</t>
  </si>
  <si>
    <t>Adamantine bullets intercept firearm attacks.</t>
  </si>
  <si>
    <t>Buoyancy</t>
  </si>
  <si>
    <t>bard 2, shaman 2, sorcerer/wizard 2, witch 2, psychic 2</t>
  </si>
  <si>
    <t>one Medium or smaller object or creature/level, no two of which can be more than 20 ft. apart</t>
  </si>
  <si>
    <t>up to 1 round/level (see text)</t>
  </si>
  <si>
    <t>The affected targets become incredibly buoyant, floating naturally on any water at least 1 foot deep.  An affected creature that deliberately tries to submerge must succeed at a DC 20 Swim check every round to stay underwater. If a target spends at least 1 round on dry land, the spell ends for that creature only.</t>
  </si>
  <si>
    <t>&lt;p&gt;The affected targets become incredibly buoyant, floating naturally on any water at least 1 foot deep.&lt;/p&gt;&lt;p&gt;An affected creature that deliberately tries to submerge must succeed at a DC 20 Swim check every round to stay underwater. If a target spends at least 1 round on dry land, the spell ends for that creature only.&lt;/p&gt;</t>
  </si>
  <si>
    <t>&lt;link rel="stylesheet"href="PF.css"&gt;&lt;div class="heading"&gt;&lt;p class="alignleft"&gt;Buoyancy&lt;/p&gt;&lt;div style="clear: both;"&gt;&lt;/div&gt;&lt;/div&gt;&lt;div&gt;&lt;h5&gt;&lt;b&gt;School &lt;/b&gt;transmutation; &lt;b&gt;Level &lt;/b&gt;bard 2, shaman 2, sorcerer/wizard 2, witch 2, psychic 2&lt;/h5&gt;&lt;/div&gt;&lt;hr/&gt;&lt;div&gt;&lt;h5&gt;&lt;b&gt;CASTING&lt;/b&gt;&lt;/h5&gt;&lt;/div&gt;&lt;hr/&gt;&lt;div&gt;&lt;h5&gt;&lt;b&gt;Casting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Medium or smaller object or creature/level, no two of which can be more than 20 ft. apart&lt;/h5&gt;&lt;h5&gt;&lt;b&gt;Duration &lt;/b&gt;up to 1 round/level (see text)&lt;/h5&gt;&lt;h5&gt;&lt;b&gt;Saving Throw &lt;/b&gt;Will negates (harmless) or Will negates (object); &lt;b&gt;Spell Resistance &lt;/b&gt;yes (object)&lt;/h5&gt;&lt;/div&gt;&lt;hr/&gt;&lt;div&gt;&lt;h5&gt;&lt;b&gt;DESCRIPTION&lt;/b&gt;&lt;/h5&gt;&lt;/div&gt;&lt;hr/&gt;&lt;div&gt;&lt;h4&gt;&lt;p&gt;The affected targets become incredibly buoyant, floating naturally on any water at least 1 foot deep.&lt;/p&gt;&lt;p&gt;An affected creature that deliberately tries to submerge must succeed at a DC 20 Swim check every round to stay underwater. If a target spends at least 1 round on dry land, the spell ends for that creature only.&lt;/p&gt;&lt;/h4&gt;&lt;/div&gt;</t>
  </si>
  <si>
    <t>Targets easily float on water.</t>
  </si>
  <si>
    <t>Chameleon Stride, Greater</t>
  </si>
  <si>
    <t>allies in a 10-ft.-radius emanation centered on you</t>
  </si>
  <si>
    <t>1 minute/level (see text)</t>
  </si>
  <si>
    <t>This spell functions as chameleon stride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t>
  </si>
  <si>
    <t>&lt;p&gt;This spell functions as &lt;i&gt;chameleon stride&lt;/i&gt;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benefit.&lt;/p&gt;</t>
  </si>
  <si>
    <t>&lt;link rel="stylesheet"href="PF.css"&gt;&lt;div class="heading"&gt;&lt;p class="alignleft"&gt;Chameleon Stride, Greater&lt;/p&gt;&lt;div style="clear: both;"&gt;&lt;/div&gt;&lt;/div&gt;&lt;div&gt;&lt;h5&gt;&lt;b&gt;School &lt;/b&gt;illusion (glamer); &lt;b&gt;Level &lt;/b&gt;ranger 3&lt;/h5&gt;&lt;/div&gt;&lt;hr/&gt;&lt;div&gt;&lt;h5&gt;&lt;b&gt;CASTING&lt;/b&gt;&lt;/h5&gt;&lt;/div&gt;&lt;hr/&gt;&lt;div&gt;&lt;h5&gt;&lt;b&gt;Casting Time &lt;/b&gt;1 standard action&lt;/h5&gt;&lt;h5&gt;&lt;b&gt;Components &lt;/b&gt;V, S, DF&lt;/h5&gt;&lt;/div&gt;&lt;hr/&gt;&lt;div&gt;&lt;h5&gt;&lt;b&gt;EFFECT&lt;/b&gt;&lt;/h5&gt;&lt;/div&gt;&lt;hr/&gt;&lt;div&gt;&lt;h5&gt;&lt;b&gt;Range &lt;/b&gt;5 ft.&lt;/h5&gt;&lt;h5&gt;&lt;b&gt;Area &lt;/b&gt;allies in a 10-ft.-radius emanation centered on you&lt;/h5&gt;&lt;h5&gt;&lt;b&gt;Duration &lt;/b&gt;1 minute/level (see text)&lt;/h5&gt;&lt;/div&gt;&lt;hr/&gt;&lt;div&gt;&lt;h5&gt;&lt;b&gt;DESCRIPTION&lt;/b&gt;&lt;/h5&gt;&lt;/div&gt;&lt;hr/&gt;&lt;div&gt;&lt;h4&gt;&lt;p&gt;This spell functions as &lt;i&gt;chameleon stride&lt;/i&gt;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benefit.&lt;/p&gt;&lt;/h4&gt;&lt;/div&gt;</t>
  </si>
  <si>
    <t>As chameleon strideAPG, but affecting all nearby creatures.</t>
  </si>
  <si>
    <t>Climbing Beanstalk</t>
  </si>
  <si>
    <t>5-ft. square of climbable beanstalks</t>
  </si>
  <si>
    <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  If the ground is capable of supporting plant life, the beanstalk continues to live as a normal plant, and it produces nutritious (if unappetizing) beans. Otherwise, the plant dies after 1d6 hours; its husk remains as durable as a small tree.</t>
  </si>
  <si>
    <t>&lt;p&gt;You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hp).&lt;/p&gt;&lt;p&gt;If the ground is capable of supporting plant life, the beanstalk continues to live as a normal plant, and it produces nutritious (if unappetizing) beans. Otherwise, the plant dies after 1d6 hours; its husk remains as durable as a small tree.&lt;/p&gt;</t>
  </si>
  <si>
    <t>&lt;link rel="stylesheet"href="PF.css"&gt;&lt;div class="heading"&gt;&lt;p class="alignleft"&gt;Climbing Beanstalk&lt;/p&gt;&lt;div style="clear: both;"&gt;&lt;/div&gt;&lt;/div&gt;&lt;div&gt;&lt;h5&gt;&lt;b&gt;School &lt;/b&gt;conjuration (creation); &lt;b&gt;Level &lt;/b&gt;druid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&lt;/b&gt;5-ft. square of climbable beanstalks&lt;/h5&gt;&lt;h5&gt;&lt;b&gt;Duration &lt;/b&gt;instantaneous&lt;/h5&gt;&lt;/div&gt;&lt;hr/&gt;&lt;div&gt;&lt;h5&gt;&lt;b&gt;DESCRIPTION&lt;/b&gt;&lt;/h5&gt;&lt;/div&gt;&lt;hr/&gt;&lt;div&gt;&lt;h4&gt;&lt;p&gt;You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hp).&lt;/p&gt;&lt;p&gt;If the ground is capable of supporting plant life, the beanstalk continues to live as a normal plant, and it produces nutritious (if unappetizing) beans. Otherwise, the plant dies after 1d6 hours; its husk remains as durable as a small tree.&lt;/p&gt;&lt;/h4&gt;&lt;/div&gt;</t>
  </si>
  <si>
    <t>Create a beanstalk that is easy to climb.</t>
  </si>
  <si>
    <t>Companion Life Link</t>
  </si>
  <si>
    <t>druid 2, ranger 2, sorcerer/wizard 2, witch 2</t>
  </si>
  <si>
    <t>V, S, M/DF (a drop of eidolon ichor)</t>
  </si>
  <si>
    <t>one of your animal companions or your familiar</t>
  </si>
  <si>
    <t>You create a life link between yourself and the target.  You sense whenever the target is wounded and are made immediately aware if the target is slain. If you are wounded or slain, the target is made aware. As a free action, you can call out to the target, causing it to return to you (if able and willing); this ends the spell.</t>
  </si>
  <si>
    <t>&lt;p&gt;You create a life link between yourself and the target.&lt;/p&gt;&lt;p&gt;You sense whenever the target is wounded and are made immediately aware if the target is slain. If you are wounded or slain, the target is made aware. As a free action, you can call out to the target, causing it to return to you (if able and willing); this ends the spell.&lt;/p&gt;</t>
  </si>
  <si>
    <t>&lt;link rel="stylesheet"href="PF.css"&gt;&lt;div class="heading"&gt;&lt;p class="alignleft"&gt;Companion Life Link&lt;/p&gt;&lt;div style="clear: both;"&gt;&lt;/div&gt;&lt;/div&gt;&lt;div&gt;&lt;h5&gt;&lt;b&gt;School &lt;/b&gt;necromancy; &lt;b&gt;Level &lt;/b&gt;druid 2, ranger 2, sorcerer/wizard 2, witch 2&lt;/h5&gt;&lt;/div&gt;&lt;hr/&gt;&lt;div&gt;&lt;h5&gt;&lt;b&gt;CASTING&lt;/b&gt;&lt;/h5&gt;&lt;/div&gt;&lt;hr/&gt;&lt;div&gt;&lt;h5&gt;&lt;b&gt;Casting Time &lt;/b&gt;1 standard action&lt;/h5&gt;&lt;h5&gt;&lt;b&gt;Components &lt;/b&gt;V, S, M/DF (a drop of eidolon ichor)&lt;/h5&gt;&lt;/div&gt;&lt;hr/&gt;&lt;div&gt;&lt;h5&gt;&lt;b&gt;EFFECT&lt;/b&gt;&lt;/h5&gt;&lt;/div&gt;&lt;hr/&gt;&lt;div&gt;&lt;h5&gt;&lt;b&gt;Range &lt;/b&gt;touch&lt;/h5&gt;&lt;h5&gt;&lt;b&gt;Targets &lt;/b&gt;one of your animal companions or your familiar&lt;/h5&gt;&lt;h5&gt;&lt;b&gt;Duration &lt;/b&gt;1 minute/level (see below)&lt;/h5&gt;&lt;h5&gt;&lt;b&gt;Saving Throw &lt;/b&gt;Fortitude negates (harmless); &lt;b&gt;Spell Resistance &lt;/b&gt;yes (harmless)&lt;/h5&gt;&lt;/div&gt;&lt;hr/&gt;&lt;div&gt;&lt;h5&gt;&lt;b&gt;DESCRIPTION&lt;/b&gt;&lt;/h5&gt;&lt;/div&gt;&lt;hr/&gt;&lt;div&gt;&lt;h4&gt;&lt;p&gt;You create a life link between yourself and the target.&lt;/p&gt;&lt;p&gt;You sense whenever the target is wounded and are made immediately aware if the target is slain. If you are wounded or slain, the target is made aware. As a free action, you can call out to the target, causing it to return to you (if able and willing); this ends the spell.&lt;/p&gt;&lt;/h4&gt;&lt;/div&gt;</t>
  </si>
  <si>
    <t>Sense whenever your companion is wounded and call out to it in a time of need.</t>
  </si>
  <si>
    <t>Contingent Action</t>
  </si>
  <si>
    <t>bard 3, sorcerer/wizard 3, psychic 3</t>
  </si>
  <si>
    <t>1 minute/level (D) or until discharged</t>
  </si>
  <si>
    <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contingency spell for the purpose of having multiple contingent effects on a creature at the same time.</t>
  </si>
  <si>
    <t>&lt;p&gt;The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&lt;i&gt;contingency&lt;/i&gt; spell for the purpose of having multiple contingent effects on a creature at the same time.&lt;/p&gt;</t>
  </si>
  <si>
    <t>&lt;link rel="stylesheet"href="PF.css"&gt;&lt;div class="heading"&gt;&lt;p class="alignleft"&gt;Contingent Action&lt;/p&gt;&lt;div style="clear: both;"&gt;&lt;/div&gt;&lt;/div&gt;&lt;div&gt;&lt;h5&gt;&lt;b&gt;School &lt;/b&gt;evocation; &lt;b&gt;Level &lt;/b&gt;bard 3, sorcerer/wizard 3, psychic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willing creature&lt;/h5&gt;&lt;h5&gt;&lt;b&gt;Duration &lt;/b&gt;1 minute/level (D) or until discharged&lt;/h5&gt;&lt;h5&gt;&lt;b&gt;Saving Throw &lt;/b&gt;Will negates (harmless); &lt;b&gt;Spell Resistance &lt;/b&gt;yes (harmless)&lt;/h5&gt;&lt;/div&gt;&lt;hr/&gt;&lt;div&gt;&lt;h5&gt;&lt;b&gt;DESCRIPTION&lt;/b&gt;&lt;/h5&gt;&lt;/div&gt;&lt;hr/&gt;&lt;div&gt;&lt;h4&gt;&lt;p&gt;The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&lt;i&gt;contingency&lt;/i&gt; spell for the purpose of having multiple contingent effects on a creature at the same time.&lt;/p&gt;&lt;/h4&gt;&lt;/div&gt;</t>
  </si>
  <si>
    <t>Set the condition for triggering a target’s readied standard, move, or swift action.</t>
  </si>
  <si>
    <t>Contingent Scroll</t>
  </si>
  <si>
    <t>bard 4, sorcerer/wizard 4, occultist 4, psychic 4</t>
  </si>
  <si>
    <t>V, S, M (the scroll to be triggered; see text), F (a platinum quill worth 100 gp)</t>
  </si>
  <si>
    <t>You transfer the power of a scroll to the target so that it comes into effect under some condition you dictate. Casting this spell destroys the scroll, but allows the spell in it to be triggered in a manner similar to the contingency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on under a target's clothing. The writing on the target's skin can be deciphered and identified as if it were the scroll it was copied from. Damaging the target has no effect on the stored spell, but effects such as erase that target magical writing can affect it.  The condition needed to bring the spell into must be clear, although it can be general. In all cases, this spell immediately brings into effect the scroll's spell, the latter being effectively cast instantaneously when the trigger occurs. If a complicated or convoluted condition is prescribed, the whole spell combination (the contingent scroll and the scroll's spell) might fail when triggered. The scroll's spell occurs based solely on the stated conditions, regardless of whether you want it to at that moment.  This spell counts as a contingency spell for the purpose of having multiple contingent effects on a creature at the same time.</t>
  </si>
  <si>
    <t>&lt;p&gt;You transfer the power of a scroll to the target so that it comes into effect under some condition you dictate. Casting this spell destroys the scroll, but allows the spell in it to be triggered in a manner similar to the &lt;i&gt;contingency&lt;/i&gt; spell. The spell on the scroll must be a spell on your spell list, it must affect the target of this spell (the target of this spell is considered the caster of the scroll), and its level must be no higher than onefourth your caster level (maximum 5th level).&lt;/p&gt;&lt;p&gt;The writing on the scroll appears on the target's skin in any location you desire; this writing does not harm or interfere with the target in any way, and doesn't need to be on exposed skin to function. For example, you could make the writing appear on under a target's clothing. The writing on the target's skin can be deciphered and identified as if it were the scroll it was copied from. Damaging the target has no effect on the stored spell, but effects such as &lt;i&gt;erase&lt;/i&gt; that target magical writing can affect it.&lt;/p&gt;&lt;p&gt;The condition needed to bring the spell into must be clear, although it can be general. In all cases, this spell immediately brings into effect the scroll's spell, the latter being effectively cast instantaneously when the trigger occurs. If a complicated or convoluted condition is prescribed, the whole spell combination (the &lt;i&gt;contingent scroll&lt;/i&gt; and the scroll's spell) might fail when triggered. The scroll's spell occurs based solely on the stated conditions, regardless of whether you want it to at that moment.&lt;/p&gt;&lt;p&gt;This spell counts as a &lt;i&gt;contingency&lt;/i&gt; spell for the purpose of having multiple contingent effects on a creature at the same time.&lt;/p&gt;</t>
  </si>
  <si>
    <t>&lt;link rel="stylesheet"href="PF.css"&gt;&lt;div class="heading"&gt;&lt;p class="alignleft"&gt;Contingent Scroll&lt;/p&gt;&lt;div style="clear: both;"&gt;&lt;/div&gt;&lt;/div&gt;&lt;div&gt;&lt;h5&gt;&lt;b&gt;School &lt;/b&gt;evocation; &lt;b&gt;Level &lt;/b&gt;bard 4, sorcerer/wizard 4, occultist 4, psychic 4&lt;/h5&gt;&lt;/div&gt;&lt;hr/&gt;&lt;div&gt;&lt;h5&gt;&lt;b&gt;CASTING&lt;/b&gt;&lt;/h5&gt;&lt;/div&gt;&lt;hr/&gt;&lt;div&gt;&lt;h5&gt;&lt;b&gt;Casting Time &lt;/b&gt;1 hour&lt;/h5&gt;&lt;h5&gt;&lt;b&gt;Components &lt;/b&gt;V, S, M (the scroll to be triggered; see text), F (a platinum quill worth 100 gp)&lt;/h5&gt;&lt;/div&gt;&lt;hr/&gt;&lt;div&gt;&lt;h5&gt;&lt;b&gt;EFFECT&lt;/b&gt;&lt;/h5&gt;&lt;/div&gt;&lt;hr/&gt;&lt;div&gt;&lt;h5&gt;&lt;b&gt;Range &lt;/b&gt;touch&lt;/h5&gt;&lt;h5&gt;&lt;b&gt;Targets &lt;/b&gt;willing creature touched&lt;/h5&gt;&lt;h5&gt;&lt;b&gt;Duration &lt;/b&gt;1 hour/level (D) or until discharged&lt;/h5&gt;&lt;h5&gt;&lt;b&gt;Saving Throw &lt;/b&gt;Will negates (harmless); &lt;b&gt;Spell Resistance &lt;/b&gt;yes (harmless)&lt;/h5&gt;&lt;/div&gt;&lt;hr/&gt;&lt;div&gt;&lt;h5&gt;&lt;b&gt;DESCRIPTION&lt;/b&gt;&lt;/h5&gt;&lt;/div&gt;&lt;hr/&gt;&lt;div&gt;&lt;h4&gt;&lt;p&gt;You transfer the power of a scroll to the target so that it comes into effect under some condition you dictate. Casting this spell destroys the scroll, but allows the spell in it to be triggered in a manner similar to the &lt;i&gt;contingency&lt;/i&gt; spell. The spell on the scroll must be a spell on your spell list, it must affect the target of this spell (the target of this spell is considered the caster of the scroll), and its level must be no higher than onefourth your caster level (maximum 5th level).&lt;/p&gt;&lt;p&gt;The writing on the scroll appears on the target's skin in any location you desire; this writing does not harm or interfere with the target in any way, and doesn't need to be on exposed skin to function. For example, you could make the writing appear on under a target's clothing. The writing on the target's skin can be deciphered and identified as if it were the scroll it was copied from. Damaging the target has no effect on the stored spell, but effects such as &lt;i&gt;erase&lt;/i&gt; that target magical writing can affect it.&lt;/p&gt;&lt;p&gt;The condition needed to bring the spell into must be clear, although it can be general. In all cases, this spell immediately brings into effect the scroll's spell, the latter being effectively cast instantaneously when the trigger occurs. If a complicated or convoluted condition is prescribed, the whole spell combination (the &lt;i&gt;contingent scroll&lt;/i&gt; and the scroll's spell) might fail when triggered. The scroll's spell occurs based solely on the stated conditions, regardless of whether you want it to at that moment.&lt;/p&gt;&lt;p&gt;This spell counts as a &lt;i&gt;contingency&lt;/i&gt; spell for the purpose of having multiple contingent effects on a creature at the same time.&lt;/p&gt;&lt;/h4&gt;&lt;/div&gt;</t>
  </si>
  <si>
    <t>Transfer a scroll’s power to the target; the scroll is then triggered as contingency.</t>
  </si>
  <si>
    <t>Creeping Ice</t>
  </si>
  <si>
    <t>anchored plane of ice, up to one 10-ft. square/level</t>
  </si>
  <si>
    <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  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  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t>
  </si>
  <si>
    <t>&lt;p&gt;This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water.&lt;/p&gt;&lt;p&gt;Each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level.&lt;/p&gt;&lt;p&gt;Each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square.&lt;/p&gt;</t>
  </si>
  <si>
    <t>&lt;link rel="stylesheet"href="PF.css"&gt;&lt;div class="heading"&gt;&lt;p class="alignleft"&gt;Creeping Ice&lt;/p&gt;&lt;div style="clear: both;"&gt;&lt;/div&gt;&lt;/div&gt;&lt;div&gt;&lt;h5&gt;&lt;b&gt;School &lt;/b&gt;evocation [cold]; &lt;b&gt;Level &lt;/b&gt;druid 4, sorcerer/wizard 4, summoner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&lt;/b&gt;anchored plane of ice, up to one 10-ft. square/level&lt;/h5&gt;&lt;h5&gt;&lt;b&gt;Duration &lt;/b&gt;10 minutes/level&lt;/h5&gt;&lt;h5&gt;&lt;b&gt;Saving Throw &lt;/b&gt;Reflex negates (see text); &lt;b&gt;Spell Resistance &lt;/b&gt;yes&lt;/h5&gt;&lt;/div&gt;&lt;hr/&gt;&lt;div&gt;&lt;h5&gt;&lt;b&gt;DESCRIPTION&lt;/b&gt;&lt;/h5&gt;&lt;/div&gt;&lt;hr/&gt;&lt;div&gt;&lt;h4&gt;&lt;p&gt;This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water.&lt;/p&gt;&lt;p&gt;Each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level.&lt;/p&gt;&lt;p&gt;Each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square.&lt;/p&gt;&lt;/h4&gt;&lt;/div&gt;</t>
  </si>
  <si>
    <t>Sheet of ice slowly spreads outward on a horizontal surface.</t>
  </si>
  <si>
    <t>Crimson Confession</t>
  </si>
  <si>
    <t>sorcerer/wizard 2, witch 2, occultist 2, psychic 2</t>
  </si>
  <si>
    <t>object touched or up to 1 sq. ft.</t>
  </si>
  <si>
    <t>permanent and 1 hour/level (see text)</t>
  </si>
  <si>
    <t>You ward an object or an area with your personal rune or mark. You can choose for the writing to be visible or invisible, and it doesn't harm the material upon which it is placed. A detect magic spell causes an invisible mark to glow and be visible. If any creature other than you touches the warded object or area and fails a Fortitude save, its skin turns bright red for 1 hour per level. This coloring cannot be washed away, but it can be dispelled.  See invisibility, true seeing, a gem of seeing, or a robe of eyes likewise allows the user to see an invisible mark. A read magic spell reveals the words, if any. The ward cannot be dispelled, but it can be removed by the caster or by an erase spell.</t>
  </si>
  <si>
    <t>&lt;p&gt;You ward an object or an area with your personal rune or mark. You can choose for the writing to be visible or invisible, and it doesn't harm the material upon which it is placed. A &lt;i&gt;detect magic&lt;/i&gt; spell causes an invisible mark to glow and be visible. If any creature other than you touches the warded object or area and fails a Fortitude save, its skin turns bright red for 1 hour per level. This coloring cannot be washed away, but it can be dispelled.&lt;/p&gt;&lt;p&gt;&lt;i&gt;See invisibility&lt;/i&gt;, &lt;i&gt;true seeing&lt;/i&gt;, a &lt;i&gt;gem of seeing&lt;/i&gt;, or a &lt;i&gt;robe of eyes&lt;/i&gt; likewise allows the user to see an invisible mark. A &lt;i&gt;read magic&lt;/i&gt; spell reveals the words, if any. The ward cannot be dispelled, but it can be removed by the caster or by an &lt;i&gt;erase&lt;/i&gt; spell.&lt;/p&gt;</t>
  </si>
  <si>
    <t>&lt;link rel="stylesheet"href="PF.css"&gt;&lt;div class="heading"&gt;&lt;p class="alignleft"&gt;Crimson Confession&lt;/p&gt;&lt;div style="clear: both;"&gt;&lt;/div&gt;&lt;/div&gt;&lt;div&gt;&lt;h5&gt;&lt;b&gt;School &lt;/b&gt;abjuration; &lt;b&gt;Level &lt;/b&gt;sorcerer/wizard 2, witch 2, occultist 2, psychic 2&lt;/h5&gt;&lt;/div&gt;&lt;hr/&gt;&lt;div&gt;&lt;h5&gt;&lt;b&gt;CASTING&lt;/b&gt;&lt;/h5&gt;&lt;/div&gt;&lt;hr/&gt;&lt;div&gt;&lt;h5&gt;&lt;b&gt;Casting Time &lt;/b&gt;10 minutes&lt;/h5&gt;&lt;h5&gt;&lt;b&gt;Components &lt;/b&gt;V, S&lt;/h5&gt;&lt;/div&gt;&lt;hr/&gt;&lt;div&gt;&lt;h5&gt;&lt;b&gt;EFFECT&lt;/b&gt;&lt;/h5&gt;&lt;/div&gt;&lt;hr/&gt;&lt;div&gt;&lt;h5&gt;&lt;b&gt;Range &lt;/b&gt;touch&lt;/h5&gt;&lt;h5&gt;&lt;b&gt;Target or Area &lt;/b&gt;object touched or up to 1 sq. ft.&lt;h5&gt;&lt;b&gt;Duration &lt;/b&gt;permanent and 1 hour/level (see text)&lt;/h5&gt;&lt;h5&gt;&lt;b&gt;Saving Throw &lt;/b&gt;Fortitude negates; &lt;b&gt;Spell Resistance &lt;/b&gt;yes&lt;/h5&gt;&lt;/div&gt;&lt;hr/&gt;&lt;div&gt;&lt;h5&gt;&lt;b&gt;DESCRIPTION&lt;/b&gt;&lt;/h5&gt;&lt;/div&gt;&lt;hr/&gt;&lt;div&gt;&lt;h4&gt;&lt;p&gt;You ward an object or an area with your personal rune or mark. You can choose for the writing to be visible or invisible, and it doesn't harm the material upon which it is placed. A &lt;i&gt;detect magic&lt;/i&gt; spell causes an invisible mark to glow and be visible. If any creature other than you touches the warded object or area and fails a Fortitude save, its skin turns bright red for 1 hour per level. This coloring cannot be washed away, but it can be dispelled.&lt;/p&gt;&lt;p&gt;&lt;i&gt;See invisibility&lt;/i&gt;, &lt;i&gt;true seeing&lt;/i&gt;, a &lt;i&gt;gem of seeing&lt;/i&gt;, or a &lt;i&gt;robe of eyes&lt;/i&gt; likewise allows the user to see an invisible mark. A &lt;i&gt;read magic&lt;/i&gt; spell reveals the words, if any. The ward cannot be dispelled, but it can be removed by the caster or by an &lt;i&gt;erase&lt;/i&gt; spell.&lt;/p&gt;&lt;/h4&gt;&lt;/div&gt;</t>
  </si>
  <si>
    <t>Touching the marked object or area turns one’s skin red.</t>
  </si>
  <si>
    <t>Curse Of Burning Sleep</t>
  </si>
  <si>
    <t>shaman 4, sorcerer/wizard 4, witch 4, psychic 4</t>
  </si>
  <si>
    <t>V, S, M (a feather and a drop of oil)</t>
  </si>
  <si>
    <t>permanent until triggered (see text)</t>
  </si>
  <si>
    <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(Core Rulebook 444). If the target is still asleep, the fire damage from this spell wakes it.  Only one of these spells can be in place on a creature at any time. This has no effect on creatures that don't sleep.</t>
  </si>
  <si>
    <t>&lt;p&gt;You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(&lt;i&gt;Core Rulebook&lt;/i&gt; 444). If the target is still asleep, the fire damage from this spell wakes it.  Only one of these spells can be in place on a creature at any time. This has no effect on creatures that don't sleep.&lt;/p&gt;</t>
  </si>
  <si>
    <t>&lt;link rel="stylesheet"href="PF.css"&gt;&lt;div class="heading"&gt;&lt;p class="alignleft"&gt;Curse Of Burning Sleep&lt;/p&gt;&lt;div style="clear: both;"&gt;&lt;/div&gt;&lt;/div&gt;&lt;div&gt;&lt;h5&gt;&lt;b&gt;School &lt;/b&gt;transmutation [curse, fire]; &lt;b&gt;Level &lt;/b&gt;shaman 4, sorcerer/wizard 4, witch 4, psychic 4&lt;/h5&gt;&lt;/div&gt;&lt;hr/&gt;&lt;div&gt;&lt;h5&gt;&lt;b&gt;CASTING&lt;/b&gt;&lt;/h5&gt;&lt;/div&gt;&lt;hr/&gt;&lt;div&gt;&lt;h5&gt;&lt;b&gt;Casting Time &lt;/b&gt;1 standard action&lt;/h5&gt;&lt;h5&gt;&lt;b&gt;Components &lt;/b&gt;V, S, M (a feather and a drop of oil)&lt;/h5&gt;&lt;/div&gt;&lt;hr/&gt;&lt;div&gt;&lt;h5&gt;&lt;b&gt;EFFECT&lt;/b&gt;&lt;/h5&gt;&lt;/div&gt;&lt;hr/&gt;&lt;div&gt;&lt;h5&gt;&lt;b&gt;Range &lt;/b&gt;close (25 ft. + 5 ft./2 levels)&lt;/h5&gt;&lt;h5&gt;&lt;b&gt;Targets &lt;/b&gt;one creature&lt;/h5&gt;&lt;h5&gt;&lt;b&gt;Duration &lt;/b&gt;permanent until triggered (see text)&lt;/h5&gt;&lt;h5&gt;&lt;b&gt;Saving Throw &lt;/b&gt;Will negates (see text); &lt;b&gt;Spell Resistance &lt;/b&gt;yes&lt;/h5&gt;&lt;/div&gt;&lt;hr/&gt;&lt;div&gt;&lt;h5&gt;&lt;b&gt;DESCRIPTION&lt;/b&gt;&lt;/h5&gt;&lt;/div&gt;&lt;hr/&gt;&lt;div&gt;&lt;h4&gt;&lt;p&gt;You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(&lt;i&gt;Core Rulebook&lt;/i&gt; 444). If the target is still asleep, the fire damage from this spell wakes it.  Only one of these spells can be in place on a creature at any time. This has no effect on creatures that don't sleep.&lt;/p&gt;&lt;/h4&gt;&lt;/div&gt;</t>
  </si>
  <si>
    <t>Creature catches fire the next time it sleeps for an hour.</t>
  </si>
  <si>
    <t>Dimensional Bounce</t>
  </si>
  <si>
    <t>sorcerer/wizard 7, summoner 6, witch 7, psychic 7</t>
  </si>
  <si>
    <t>You designate two locations within range and create a dimensional link between them; you must have line of effect to both locations when casting this spell. As a swift action, you can teleport from your current location to either of the designated locations as if you had cast dimension door. The spell is discharged once you have used it to teleport a number of times equal to one-fourth your caster level (maximum 5 times).</t>
  </si>
  <si>
    <t>&lt;p&gt;You designate two locations within range and create a dimensional link between them; you must have line of effect to both locations when casting this spell. As a swift action, you can teleport from your current location to either of the designated locations as if you had cast &lt;i&gt;dimension door&lt;/i&gt;. The spell is discharged once you have used it to teleport a number of times equal to one-fourth your caster level (maximum 5 times).&lt;/p&gt;</t>
  </si>
  <si>
    <t>&lt;link rel="stylesheet"href="PF.css"&gt;&lt;div class="heading"&gt;&lt;p class="alignleft"&gt;Dimensional Bounce&lt;/p&gt;&lt;div style="clear: both;"&gt;&lt;/div&gt;&lt;/div&gt;&lt;div&gt;&lt;h5&gt;&lt;b&gt;School &lt;/b&gt;conjuration (teleportation); &lt;b&gt;Level &lt;/b&gt;sorcerer/wizard 7, summoner 6, witch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and touched objects or other touched willing creatures&lt;/h5&gt;&lt;h5&gt;&lt;b&gt;Duration &lt;/b&gt;1 round/level or until discharged&lt;/h5&gt;&lt;h5&gt;&lt;b&gt;Saving Throw &lt;/b&gt;none and Will negates (object); &lt;b&gt;Spell Resistance &lt;/b&gt;no and yes (object)&lt;/h5&gt;&lt;/div&gt;&lt;hr/&gt;&lt;div&gt;&lt;h5&gt;&lt;b&gt;DESCRIPTION&lt;/b&gt;&lt;/h5&gt;&lt;/div&gt;&lt;hr/&gt;&lt;div&gt;&lt;h4&gt;&lt;p&gt;You designate two locations within range and create a dimensional link between them; you must have line of effect to both locations when casting this spell. As a swift action, you can teleport from your current location to either of the designated locations as if you had cast &lt;i&gt;dimension door&lt;/i&gt;. The spell is discharged once you have used it to teleport a number of times equal to one-fourth your caster level (maximum 5 times).&lt;/p&gt;&lt;/h4&gt;&lt;/div&gt;</t>
  </si>
  <si>
    <t>Teleport multiple times between two designated locations.</t>
  </si>
  <si>
    <t>Disable Construct</t>
  </si>
  <si>
    <t>alchemist 3, sorcerer/wizard 3, witch 3</t>
  </si>
  <si>
    <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t>
  </si>
  <si>
    <t>&lt;p&gt;You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throw.&lt;/p&gt;</t>
  </si>
  <si>
    <t>&lt;link rel="stylesheet"href="PF.css"&gt;&lt;div class="heading"&gt;&lt;p class="alignleft"&gt;Disable Construct&lt;/p&gt;&lt;div style="clear: both;"&gt;&lt;/div&gt;&lt;/div&gt;&lt;div&gt;&lt;h5&gt;&lt;b&gt;School &lt;/b&gt;transmutation; &lt;b&gt;Level &lt;/b&gt;alchemist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&lt;/b&gt;construct touched&lt;/h5&gt;&lt;h5&gt;&lt;b&gt;Duration &lt;/b&gt;1 round/level (D)&lt;/h5&gt;&lt;h5&gt;&lt;b&gt;Saving Throw &lt;/b&gt;Will negates; &lt;b&gt;Spell Resistance &lt;/b&gt;no&lt;/h5&gt;&lt;/div&gt;&lt;hr/&gt;&lt;div&gt;&lt;h5&gt;&lt;b&gt;DESCRIPTION&lt;/b&gt;&lt;/h5&gt;&lt;/div&gt;&lt;hr/&gt;&lt;div&gt;&lt;h4&gt;&lt;p&gt;You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throw.&lt;/p&gt;&lt;/h4&gt;&lt;/div&gt;</t>
  </si>
  <si>
    <t>Touch attack makes a construct helpless for 1 round/level.</t>
  </si>
  <si>
    <t>Discern Next Of Kin</t>
  </si>
  <si>
    <t>bard 1, shaman 1, sorcerer/wizard 1, witch 1, occultist 1, psychic 1, mesmerist 1, spiritualist 1</t>
  </si>
  <si>
    <t>V, S, F (a copper piece)</t>
  </si>
  <si>
    <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  Since this spell reads the target's mind, you can learn only what the target knows or believes.</t>
  </si>
  <si>
    <t>&lt;p&gt;You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along.&lt;/p&gt;&lt;p&gt;Since this spell reads the target's mind, you can learn only what the target knows or believes.&lt;/p&gt;</t>
  </si>
  <si>
    <t>&lt;link rel="stylesheet"href="PF.css"&gt;&lt;div class="heading"&gt;&lt;p class="alignleft"&gt;Discern Next Of Kin&lt;/p&gt;&lt;div style="clear: both;"&gt;&lt;/div&gt;&lt;/div&gt;&lt;div&gt;&lt;h5&gt;&lt;b&gt;School &lt;/b&gt;divination [mind-affecting]; &lt;b&gt;Level &lt;/b&gt;bard 1, shaman 1, sorcerer/wizard 1, witch 1, occultist 1, psychic 1, mesmerist 1, spiritualist 1&lt;/h5&gt;&lt;/div&gt;&lt;hr/&gt;&lt;div&gt;&lt;h5&gt;&lt;b&gt;CASTING&lt;/b&gt;&lt;/h5&gt;&lt;/div&gt;&lt;hr/&gt;&lt;div&gt;&lt;h5&gt;&lt;b&gt;Casting Time &lt;/b&gt;1 standard action&lt;/h5&gt;&lt;h5&gt;&lt;b&gt;Components &lt;/b&gt;V, S, F (a copper piece)&lt;/h5&gt;&lt;/div&gt;&lt;hr/&gt;&lt;div&gt;&lt;h5&gt;&lt;b&gt;EFFECT&lt;/b&gt;&lt;/h5&gt;&lt;/div&gt;&lt;hr/&gt;&lt;div&gt;&lt;h5&gt;&lt;b&gt;Range &lt;/b&gt;60 ft.&lt;/h5&gt;&lt;h5&gt;&lt;b&gt;Targets &lt;/b&gt;one creature&lt;/h5&gt;&lt;h5&gt;&lt;b&gt;Duration &lt;/b&gt;concentration, up to 1 minute/level (D)&lt;/h5&gt;&lt;h5&gt;&lt;b&gt;Saving Throw &lt;/b&gt;Will negates (see text); &lt;b&gt;Spell Resistance &lt;/b&gt;yes&lt;/h5&gt;&lt;/div&gt;&lt;hr/&gt;&lt;div&gt;&lt;h5&gt;&lt;b&gt;DESCRIPTION&lt;/b&gt;&lt;/h5&gt;&lt;/div&gt;&lt;hr/&gt;&lt;div&gt;&lt;h4&gt;&lt;p&gt;You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along.&lt;/p&gt;&lt;p&gt;Since this spell reads the target's mind, you can learn only what the target knows or believes.&lt;/p&gt;&lt;/h4&gt;&lt;/div&gt;</t>
  </si>
  <si>
    <t>Read the target’s mind to learn about its family.</t>
  </si>
  <si>
    <t>Disguise Weapon</t>
  </si>
  <si>
    <t>bard 1, magus 1, sorcerer/wizard 1, witch 1, psychic 1, mesmerist 1</t>
  </si>
  <si>
    <t>manufactured weapon touched</t>
  </si>
  <si>
    <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t>
  </si>
  <si>
    <t>&lt;p&gt;You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illusion.&lt;/p&gt;</t>
  </si>
  <si>
    <t>&lt;link rel="stylesheet"href="PF.css"&gt;&lt;div class="heading"&gt;&lt;p class="alignleft"&gt;Disguise Weapon&lt;/p&gt;&lt;div style="clear: both;"&gt;&lt;/div&gt;&lt;/div&gt;&lt;div&gt;&lt;h5&gt;&lt;b&gt;School &lt;/b&gt;illusion (glamer); &lt;b&gt;Level &lt;/b&gt;bard 1, magus 1, sorcerer/wizard 1, witch 1, psychic 1, mesmerist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&lt;/b&gt;manufactured weapon touched&lt;/h5&gt;&lt;h5&gt;&lt;b&gt;Duration &lt;/b&gt;1 hour/level (D)&lt;/h5&gt;&lt;h5&gt;&lt;b&gt;Saving Throw &lt;/b&gt;none; &lt;b&gt;Spell Resistance &lt;/b&gt;no&lt;/h5&gt;&lt;/div&gt;&lt;hr/&gt;&lt;div&gt;&lt;h5&gt;&lt;b&gt;DESCRIPTION&lt;/b&gt;&lt;/h5&gt;&lt;/div&gt;&lt;hr/&gt;&lt;div&gt;&lt;h4&gt;&lt;p&gt;You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illusion.&lt;/p&gt;&lt;/h4&gt;&lt;/div&gt;</t>
  </si>
  <si>
    <t>Changes one weapon’s appearance.</t>
  </si>
  <si>
    <t>Enchantment Foil</t>
  </si>
  <si>
    <t>alchemist 4, cleric/oracle 4, inquisitor 4, sorcerer/wizard 4, witch 4, occultist 4, psychic 4, mesmerist 3</t>
  </si>
  <si>
    <t>1 hour/level (see text)</t>
  </si>
  <si>
    <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t>
  </si>
  <si>
    <t>&lt;p&gt;You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so.&lt;/p&gt;</t>
  </si>
  <si>
    <t>&lt;link rel="stylesheet"href="PF.css"&gt;&lt;div class="heading"&gt;&lt;p class="alignleft"&gt;Enchantment Foil&lt;/p&gt;&lt;div style="clear: both;"&gt;&lt;/div&gt;&lt;/div&gt;&lt;div&gt;&lt;h5&gt;&lt;b&gt;School &lt;/b&gt;abjuration; &lt;b&gt;Level &lt;/b&gt;alchemist 4, cleric/oracle 4, inquisitor 4, sorcerer/wizard 4, witch 4, occultist 4, psychic 4,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(see text)&lt;/h5&gt;&lt;/div&gt;&lt;hr/&gt;&lt;div&gt;&lt;h5&gt;&lt;b&gt;DESCRIPTION&lt;/b&gt;&lt;/h5&gt;&lt;/div&gt;&lt;hr/&gt;&lt;div&gt;&lt;h4&gt;&lt;p&gt;You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so.&lt;/p&gt;&lt;/h4&gt;&lt;/div&gt;</t>
  </si>
  <si>
    <t>Trick opponents who try to cast enchantments on you.</t>
  </si>
  <si>
    <t>Enemy Insight</t>
  </si>
  <si>
    <t>you plus one willing creature/3 levels, no two of which can be more than 30 ft. apart</t>
  </si>
  <si>
    <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t>
  </si>
  <si>
    <t>&lt;p&gt;You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it.&lt;/p&gt;</t>
  </si>
  <si>
    <t>&lt;link rel="stylesheet"href="PF.css"&gt;&lt;div class="heading"&gt;&lt;p class="alignleft"&gt;Enemy Insight&lt;/p&gt;&lt;div style="clear: both;"&gt;&lt;/div&gt;&lt;/div&gt;&lt;div&gt;&lt;h5&gt;&lt;b&gt;School &lt;/b&gt;divination;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&lt;/b&gt;you plus one willing creature/3 levels, no two of which can be more than 30 ft. apart&lt;/h5&gt;&lt;h5&gt;&lt;b&gt;Duration &lt;/b&gt;1 minute/level&lt;/h5&gt;&lt;h5&gt;&lt;b&gt;Saving Throw &lt;/b&gt;none; &lt;b&gt;Spell Resistance &lt;/b&gt;no&lt;/h5&gt;&lt;/div&gt;&lt;hr/&gt;&lt;div&gt;&lt;h5&gt;&lt;b&gt;DESCRIPTION&lt;/b&gt;&lt;/h5&gt;&lt;/div&gt;&lt;hr/&gt;&lt;div&gt;&lt;h4&gt;&lt;p&gt;You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it.&lt;/p&gt;&lt;/h4&gt;&lt;/div&gt;</t>
  </si>
  <si>
    <t>Grant others a bonus against your favored enemies.</t>
  </si>
  <si>
    <t>Euphoric Cloud</t>
  </si>
  <si>
    <t>druid 2, magus 2, sorcerer/wizard 2, witch 2, psychic 2, mesmerist 2</t>
  </si>
  <si>
    <t>V, S, M (rare mushrooms worth 5 gp)</t>
  </si>
  <si>
    <t>You create a bank of fog similar to that created by fog cloud except its vapors are intoxicating. Living creatures in the cloud become fascinated. This condition lasts as long as a creature is in the cloud and for 1d4+1 rounds after it leaves.  Any creature that succeeds at its save but remains in the cloud must continue to save each round on your turn.</t>
  </si>
  <si>
    <t>&lt;p&gt;You create a bank of fog similar to that created by &lt;i&gt;fog cloud&lt;/i&gt; except its vapors are intoxicating. Living creatures in the cloud become fascinated. This condition lasts as long as a creature is in the cloud and for 1d4+1 rounds after it leaves.&lt;/p&gt;&lt;p&gt;Any creature that succeeds at its save but remains in the cloud must continue to save each round on your turn.&lt;/p&gt;</t>
  </si>
  <si>
    <t>&lt;link rel="stylesheet"href="PF.css"&gt;&lt;div class="heading"&gt;&lt;p class="alignleft"&gt;Euphoric Cloud&lt;/p&gt;&lt;div style="clear: both;"&gt;&lt;/div&gt;&lt;/div&gt;&lt;div&gt;&lt;h5&gt;&lt;b&gt;School &lt;/b&gt;conjuration (creation) [poison]; &lt;b&gt;Level &lt;/b&gt;druid 2, magus 2, sorcerer/wizard 2, witch 2, psychic 2, mesmerist 2&lt;/h5&gt;&lt;/div&gt;&lt;hr/&gt;&lt;div&gt;&lt;h5&gt;&lt;b&gt;CASTING&lt;/b&gt;&lt;/h5&gt;&lt;/div&gt;&lt;hr/&gt;&lt;div&gt;&lt;h5&gt;&lt;b&gt;Casting Time &lt;/b&gt;1 standard action&lt;/h5&gt;&lt;h5&gt;&lt;b&gt;Components &lt;/b&gt;V, S, M (rare mushrooms worth 5 gp)&lt;/h5&gt;&lt;/div&gt;&lt;hr/&gt;&lt;div&gt;&lt;h5&gt;&lt;b&gt;EFFECT&lt;/b&gt;&lt;/h5&gt;&lt;/div&gt;&lt;hr/&gt;&lt;div&gt;&lt;h5&gt;&lt;b&gt;Range &lt;/b&gt;medium (100 ft. + 10 ft./level)&lt;/h5&gt;&lt;h5&gt;&lt;b&gt;Effect &lt;/b&gt;fog spreads in 20-ft. radius, 20 ft. high&lt;/h5&gt;&lt;h5&gt;&lt;b&gt;Duration &lt;/b&gt;1 round/level&lt;/h5&gt;&lt;h5&gt;&lt;b&gt;Saving Throw &lt;/b&gt;Fortitude negates (see text); &lt;b&gt;Spell Resistance &lt;/b&gt;no&lt;/h5&gt;&lt;/div&gt;&lt;hr/&gt;&lt;div&gt;&lt;h5&gt;&lt;b&gt;DESCRIPTION&lt;/b&gt;&lt;/h5&gt;&lt;/div&gt;&lt;hr/&gt;&lt;div&gt;&lt;h4&gt;&lt;p&gt;You create a bank of fog similar to that created by &lt;i&gt;fog cloud&lt;/i&gt; except its vapors are intoxicating. Living creatures in the cloud become fascinated. This condition lasts as long as a creature is in the cloud and for 1d4+1 rounds after it leaves.&lt;/p&gt;&lt;p&gt;Any creature that succeeds at its save but remains in the cloud must continue to save each round on your turn.&lt;/p&gt;&lt;/h4&gt;&lt;/div&gt;</t>
  </si>
  <si>
    <t>Fog obscures vision and fascinates living creatures.</t>
  </si>
  <si>
    <t>Extreme Flexibility</t>
  </si>
  <si>
    <t>alchemist 2, bloodrager 2, magus 2, sorcerer/wizard 2, witch 2, psychic 2</t>
  </si>
  <si>
    <t>You gain a +1 dodge bonus to AC, a +4 circumstance bonus on Escape Artist checks and combat maneuver checks to escape a grapple, and a +4 circumstance bonus to your CMD against grapple attempts.</t>
  </si>
  <si>
    <t>&lt;p&gt;You gain a +1 dodge bonus to AC, a +4 circumstance bonus on Escape Artist checks and combat maneuver checks to escape a grapple, and a +4 circumstance bonus to your CMD against grapple attempts.&lt;/p&gt;</t>
  </si>
  <si>
    <t>&lt;link rel="stylesheet"href="PF.css"&gt;&lt;div class="heading"&gt;&lt;p class="alignleft"&gt;Extreme Flexibility&lt;/p&gt;&lt;div style="clear: both;"&gt;&lt;/div&gt;&lt;/div&gt;&lt;div&gt;&lt;h5&gt;&lt;b&gt;School &lt;/b&gt;transmutation; &lt;b&gt;Level &lt;/b&gt;alchemist 2, bloodrager 2, magus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+1 dodge bonus to AC, a +4 circumstance bonus on Escape Artist checks and combat maneuver checks to escape a grapple, and a +4 circumstance bonus to your CMD against grapple attempts.&lt;/p&gt;&lt;/h4&gt;&lt;/div&gt;</t>
  </si>
  <si>
    <t>Gain a bonus to AC, on Escape Artist checks, and when grappling.</t>
  </si>
  <si>
    <t>Eyes Of The Void</t>
  </si>
  <si>
    <t>alchemist 4, antipaladin 4, sorcerer/wizard 4, psychic 4</t>
  </si>
  <si>
    <t>V, S, M (a pinch of dried carrot or an agate)</t>
  </si>
  <si>
    <t>You gain darkvision, the ability to see 60 feet even in total darkness, including that created by deeper darkness.  Darkvision is black-and-white only, but otherwise like normal sight. While affected, your eyes turn completely black (but appear white to anyone viewing you with darkvision).</t>
  </si>
  <si>
    <t>&lt;p&gt;You gain darkvision, the ability to see 60 feet even in total darkness, including that created by &lt;i&gt;deeper darkness&lt;/i&gt;.&lt;/p&gt;&lt;p&gt;Darkvision is black-and-white only, but otherwise like normal sight. While affected, your eyes turn completely black (but appear white to anyone viewing you with darkvision).&lt;/p&gt;</t>
  </si>
  <si>
    <t>&lt;link rel="stylesheet"href="PF.css"&gt;&lt;div class="heading"&gt;&lt;p class="alignleft"&gt;Eyes Of The Void&lt;/p&gt;&lt;div style="clear: both;"&gt;&lt;/div&gt;&lt;/div&gt;&lt;div&gt;&lt;h5&gt;&lt;b&gt;School &lt;/b&gt;transmutation; &lt;b&gt;Level &lt;/b&gt;alchemist 4, antipaladin 4, sorcerer/wizard 4, psychic 4&lt;/h5&gt;&lt;/div&gt;&lt;hr/&gt;&lt;div&gt;&lt;h5&gt;&lt;b&gt;CASTING&lt;/b&gt;&lt;/h5&gt;&lt;/div&gt;&lt;hr/&gt;&lt;div&gt;&lt;h5&gt;&lt;b&gt;Casting Time &lt;/b&gt;1 standard action&lt;/h5&gt;&lt;h5&gt;&lt;b&gt;Components &lt;/b&gt;V, S, M (a pinch of dried carrot or an agate)&lt;/h5&gt;&lt;/div&gt;&lt;hr/&gt;&lt;div&gt;&lt;h5&gt;&lt;b&gt;EFFECT&lt;/b&gt;&lt;/h5&gt;&lt;/div&gt;&lt;hr/&gt;&lt;div&gt;&lt;h5&gt;&lt;b&gt;Range &lt;/b&gt;personal&lt;/h5&gt;&lt;h5&gt;&lt;b&gt;Targets &lt;/b&gt;you&lt;/h5&gt;&lt;h5&gt;&lt;b&gt;Duration &lt;/b&gt;10 minutes/level&lt;/h5&gt;&lt;/div&gt;&lt;hr/&gt;&lt;div&gt;&lt;h5&gt;&lt;b&gt;DESCRIPTION&lt;/b&gt;&lt;/h5&gt;&lt;/div&gt;&lt;hr/&gt;&lt;div&gt;&lt;h4&gt;&lt;p&gt;You gain darkvision, the ability to see 60 feet even in total darkness, including that created by &lt;i&gt;deeper darkness&lt;/i&gt;.&lt;/p&gt;&lt;p&gt;Darkvision is black-and-white only, but otherwise like normal sight. While affected, your eyes turn completely black (but appear white to anyone viewing you with darkvision).&lt;/p&gt;&lt;/h4&gt;&lt;/div&gt;</t>
  </si>
  <si>
    <t>See 60 ft. in darkness, including magical darkness.</t>
  </si>
  <si>
    <t>Fairy Ring Retreat</t>
  </si>
  <si>
    <t>druid 7, shaman 7, witch 7</t>
  </si>
  <si>
    <t>extradimensional meadow, up to three 10-ft. cubes/level (S)</t>
  </si>
  <si>
    <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  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unseen servant spells except that they are visible and can go anywhere in the meadow.  Since the place can be entered only through its special portal, outside conditions do not affect the meadow, nor do conditions inside it pass to the plane beyond.</t>
  </si>
  <si>
    <t>&lt;p&gt;You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warm.&lt;/p&gt;&lt;p&gt;You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&lt;i&gt;unseen servant&lt;/i&gt; spells except that they are visible and can go anywhere in the meadow.&lt;/p&gt;&lt;p&gt;Since the place can be entered only through its special portal, outside conditions do not affect the meadow, nor do conditions inside it pass to the plane beyond.&lt;/p&gt;</t>
  </si>
  <si>
    <t>&lt;link rel="stylesheet"href="PF.css"&gt;&lt;div class="heading"&gt;&lt;p class="alignleft"&gt;Fairy Ring Retreat&lt;/p&gt;&lt;div style="clear: both;"&gt;&lt;/div&gt;&lt;/div&gt;&lt;div&gt;&lt;h5&gt;&lt;b&gt;School &lt;/b&gt;conjuration (creation); &lt;b&gt;Level &lt;/b&gt;druid 7, shaman 7, witch 7&lt;/h5&gt;&lt;/div&gt;&lt;hr/&gt;&lt;div&gt;&lt;h5&gt;&lt;b&gt;CASTING&lt;/b&gt;&lt;/h5&gt;&lt;/div&gt;&lt;hr/&gt;&lt;div&gt;&lt;h5&gt;&lt;b&gt;Casting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&lt;/b&gt;extradimensional meadow, up to three 10-ft. cubes/level (S)&lt;/h5&gt;&lt;h5&gt;&lt;b&gt;Duration &lt;/b&gt;2 hours/level (D)&lt;/h5&gt;&lt;h5&gt;&lt;b&gt;Saving Throw &lt;/b&gt;none; &lt;b&gt;Spell Resistance &lt;/b&gt;no&lt;/h5&gt;&lt;/div&gt;&lt;hr/&gt;&lt;div&gt;&lt;h5&gt;&lt;b&gt;DESCRIPTION&lt;/b&gt;&lt;/h5&gt;&lt;/div&gt;&lt;hr/&gt;&lt;div&gt;&lt;h4&gt;&lt;p&gt;You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warm.&lt;/p&gt;&lt;p&gt;You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&lt;i&gt;unseen servant&lt;/i&gt; spells except that they are visible and can go anywhere in the meadow.&lt;/p&gt;&lt;p&gt;Since the place can be entered only through its special portal, outside conditions do not affect the meadow, nor do conditions inside it pass to the plane beyond.&lt;/p&gt;&lt;/h4&gt;&lt;/div&gt;</t>
  </si>
  <si>
    <t>Toadstool circle leads to an extradimensional meadow.</t>
  </si>
  <si>
    <t>Familiar Double</t>
  </si>
  <si>
    <t>witch 7</t>
  </si>
  <si>
    <t>This spell functions as project image, except the image appears in your familiar's square and moves when your familiar moves.</t>
  </si>
  <si>
    <t>&lt;p&gt;This spell functions as &lt;i&gt;project image&lt;/i&gt;, except the image appears in your familiar's square and moves when your familiar moves.&lt;/p&gt;</t>
  </si>
  <si>
    <t>&lt;link rel="stylesheet"href="PF.css"&gt;&lt;div class="heading"&gt;&lt;p class="alignleft"&gt;Familiar Double&lt;/p&gt;&lt;div style="clear: both;"&gt;&lt;/div&gt;&lt;/div&gt;&lt;div&gt;&lt;h5&gt;&lt;b&gt;School &lt;/b&gt;illusion (shadow); &lt;b&gt;Level &lt;/b&gt;witch 7&lt;/h5&gt;&lt;/div&gt;&lt;hr/&gt;&lt;div&gt;&lt;h5&gt;&lt;b&gt;CASTING&lt;/b&gt;&lt;/h5&gt;&lt;/div&gt;&lt;hr/&gt;&lt;div&gt;&lt;h5&gt;&lt;b&gt;Casting Time &lt;/b&gt;1 standard action&lt;/h5&gt;&lt;h5&gt;&lt;b&gt;Components &lt;/b&gt;V, S, M (a small replica of you worth 5 gp)&lt;/h5&gt;&lt;/div&gt;&lt;hr/&gt;&lt;div&gt;&lt;h5&gt;&lt;b&gt;EFFECT&lt;/b&gt;&lt;/h5&gt;&lt;/div&gt;&lt;hr/&gt;&lt;div&gt;&lt;h5&gt;&lt;b&gt;Range &lt;/b&gt;medium (100 ft. + 10 ft./level)&lt;/h5&gt;&lt;h5&gt;&lt;b&gt;Effect &lt;/b&gt;one shadow duplicate&lt;/h5&gt;&lt;h5&gt;&lt;b&gt;Duration &lt;/b&gt;1 round/level (D)&lt;/h5&gt;&lt;h5&gt;&lt;b&gt;Saving Throw &lt;/b&gt;Will disbelief (if interacted with); &lt;b&gt;Spell Resistance &lt;/b&gt;no&lt;/h5&gt;&lt;/div&gt;&lt;hr/&gt;&lt;div&gt;&lt;h5&gt;&lt;b&gt;DESCRIPTION&lt;/b&gt;&lt;/h5&gt;&lt;/div&gt;&lt;hr/&gt;&lt;div&gt;&lt;h4&gt;&lt;p&gt;This spell functions as &lt;i&gt;project image&lt;/i&gt;, except the image appears in your familiar's square and moves when your familiar moves.&lt;/p&gt;&lt;/h4&gt;&lt;/div&gt;</t>
  </si>
  <si>
    <t>As project image, but the image follows your familiar.</t>
  </si>
  <si>
    <t>Feast On Fear</t>
  </si>
  <si>
    <t>bard 4, shaman 5, sorcerer/wizard 5, witch 5, psychic 5, mesmerist 4, spiritualist 5</t>
  </si>
  <si>
    <t>one or more living creatures (see text)</t>
  </si>
  <si>
    <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t>
  </si>
  <si>
    <t>&lt;p&gt;Each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creatures.&lt;/p&gt;</t>
  </si>
  <si>
    <t>&lt;link rel="stylesheet"href="PF.css"&gt;&lt;div class="heading"&gt;&lt;p class="alignleft"&gt;Feast On Fear&lt;/p&gt;&lt;div style="clear: both;"&gt;&lt;/div&gt;&lt;/div&gt;&lt;div&gt;&lt;h5&gt;&lt;b&gt;School &lt;/b&gt;necromancy [emotion, fear, mind-affecting]; &lt;b&gt;Level &lt;/b&gt;bard 4, shaman 5, sorcerer/wizard 5, witch 5, psychic 5, mesmerist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living creatures (see text)&lt;/h5&gt;&lt;h5&gt;&lt;b&gt;Duration &lt;/b&gt;1 round/level&lt;/h5&gt;&lt;h5&gt;&lt;b&gt;Saving Throw &lt;/b&gt;Fortitude negates; &lt;b&gt;Spell Resistance &lt;/b&gt;yes&lt;/h5&gt;&lt;/div&gt;&lt;hr/&gt;&lt;div&gt;&lt;h5&gt;&lt;b&gt;DESCRIPTION&lt;/b&gt;&lt;/h5&gt;&lt;/div&gt;&lt;hr/&gt;&lt;div&gt;&lt;h4&gt;&lt;p&gt;Each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creatures.&lt;/p&gt;&lt;/h4&gt;&lt;/div&gt;</t>
  </si>
  <si>
    <t>Targets are panicked, and you gain temporary hit points.</t>
  </si>
  <si>
    <t>Flaming Sphere, Greater</t>
  </si>
  <si>
    <t>bloodrager 4, druid 4, magus 4, sorcerer/wizard 4, occultist 4</t>
  </si>
  <si>
    <t>This spell functions as flaming sphere, except that it deals 6d6 points of fire damage to any creature it strikes.  Any creature that fails its save against the sphere catches on fire (see page 444 of the Core Rulebook). If a creature catches on fire, the DC to extinguish the flames is equal to the DC of this spell.</t>
  </si>
  <si>
    <t>&lt;p&gt;This spell functions as &lt;i&gt;flaming sphere&lt;/i&gt;, except that it deals 6d6 points of fire damage to any creature it strikes.&lt;/p&gt;&lt;p&gt;Any creature that fails its save against the sphere catches on fire (see page 444 of the &lt;i&gt;Core&lt;/i&gt; Rulebook). If a creature catches on fire, the DC to extinguish the flames is equal to the DC of this spell.&lt;/p&gt;</t>
  </si>
  <si>
    <t>&lt;link rel="stylesheet"href="PF.css"&gt;&lt;div class="heading"&gt;&lt;p class="alignleft"&gt;Flaming Sphere, Greater&lt;/p&gt;&lt;div style="clear: both;"&gt;&lt;/div&gt;&lt;/div&gt;&lt;div&gt;&lt;h5&gt;&lt;b&gt;School &lt;/b&gt;evocation [fire]; &lt;b&gt;Level &lt;/b&gt;bloodrager 4, druid 4, magus 4, sorcerer/wizard 4, occultist 4&lt;/h5&gt;&lt;/div&gt;&lt;hr/&gt;&lt;div&gt;&lt;h5&gt;&lt;b&gt;CASTING&lt;/b&gt;&lt;/h5&gt;&lt;/div&gt;&lt;hr/&gt;&lt;div&gt;&lt;h5&gt;&lt;b&gt;Casting Time &lt;/b&gt;1 standard action&lt;/h5&gt;&lt;h5&gt;&lt;b&gt;Components &lt;/b&gt;V, S, M/DF (tallow, brimstone, and powdered iron)&lt;/h5&gt;&lt;/div&gt;&lt;hr/&gt;&lt;div&gt;&lt;h5&gt;&lt;b&gt;EFFECT&lt;/b&gt;&lt;/h5&gt;&lt;/div&gt;&lt;hr/&gt;&lt;div&gt;&lt;h5&gt;&lt;b&gt;Range &lt;/b&gt;medium (100 ft. + 10 ft./level)&lt;/h5&gt;&lt;h5&gt;&lt;b&gt;Effect &lt;/b&gt;5-ft.-diameter sphere&lt;/h5&gt;&lt;h5&gt;&lt;b&gt;Duration &lt;/b&gt;1 round/level&lt;/h5&gt;&lt;h5&gt;&lt;b&gt;Saving Throw &lt;/b&gt;Reflex negates (see text); &lt;b&gt;Spell Resistance &lt;/b&gt;yes&lt;/h5&gt;&lt;/div&gt;&lt;hr/&gt;&lt;div&gt;&lt;h5&gt;&lt;b&gt;DESCRIPTION&lt;/b&gt;&lt;/h5&gt;&lt;/div&gt;&lt;hr/&gt;&lt;div&gt;&lt;h4&gt;&lt;p&gt;This spell functions as &lt;i&gt;flaming sphere&lt;/i&gt;, except that it deals 6d6 points of fire damage to any creature it strikes.&lt;/p&gt;&lt;p&gt;Any creature that fails its save against the sphere catches on fire (see page 444 of the &lt;i&gt;Core&lt;/i&gt; Rulebook). If a creature catches on fire, the DC to extinguish the flames is equal to the DC of this spell.&lt;/p&gt;&lt;/h4&gt;&lt;/div&gt;</t>
  </si>
  <si>
    <t>Rolling ball of fire deals 6d6 fire damage and ignites targets.</t>
  </si>
  <si>
    <t>Summer (8)</t>
  </si>
  <si>
    <t>Flexible Fury</t>
  </si>
  <si>
    <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  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t>
  </si>
  <si>
    <t>&lt;p&gt;You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spell).&lt;/p&gt;&lt;p&gt;If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ends.&lt;/p&gt;</t>
  </si>
  <si>
    <t>&lt;link rel="stylesheet"href="PF.css"&gt;&lt;div class="heading"&gt;&lt;p class="alignleft"&gt;Flexible Fury&lt;/p&gt;&lt;div style="clear: both;"&gt;&lt;/div&gt;&lt;/div&gt;&lt;div&gt;&lt;h5&gt;&lt;b&gt;School &lt;/b&gt;transmutation;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spell).&lt;/p&gt;&lt;p&gt;If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ends.&lt;/p&gt;&lt;/h4&gt;&lt;/div&gt;</t>
  </si>
  <si>
    <t>Swap one rage power for another.</t>
  </si>
  <si>
    <t>Focused Scrutiny</t>
  </si>
  <si>
    <t>alchemist 2, bard 2, inquisitor 2, shaman 2, psychic 2, mesmerist 2</t>
  </si>
  <si>
    <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t>
  </si>
  <si>
    <t>&lt;p&gt;You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it.&lt;/p&gt;</t>
  </si>
  <si>
    <t>&lt;link rel="stylesheet"href="PF.css"&gt;&lt;div class="heading"&gt;&lt;p class="alignleft"&gt;Focused Scrutiny&lt;/p&gt;&lt;div style="clear: both;"&gt;&lt;/div&gt;&lt;/div&gt;&lt;div&gt;&lt;h5&gt;&lt;b&gt;School &lt;/b&gt;divination; &lt;b&gt;Level &lt;/b&gt;alchemist 2, bard 2, inquisitor 2, shaman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it.&lt;/p&gt;&lt;/h4&gt;&lt;/div&gt;</t>
  </si>
  <si>
    <t>Gain skill bonuses when interacting with the target.</t>
  </si>
  <si>
    <t>Font Of Spirit Magic</t>
  </si>
  <si>
    <t>shaman 3</t>
  </si>
  <si>
    <t>V, S, M (gold dust worth 50 gp)</t>
  </si>
  <si>
    <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t>
  </si>
  <si>
    <t>&lt;p&gt;You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it.&lt;/p&gt;</t>
  </si>
  <si>
    <t>&lt;link rel="stylesheet"href="PF.css"&gt;&lt;div class="heading"&gt;&lt;p class="alignleft"&gt;Font Of Spirit Magic&lt;/p&gt;&lt;div style="clear: both;"&gt;&lt;/div&gt;&lt;/div&gt;&lt;div&gt;&lt;h5&gt;&lt;b&gt;School &lt;/b&gt;conjuration (creation); &lt;b&gt;Level &lt;/b&gt;shaman 3&lt;/h5&gt;&lt;/div&gt;&lt;hr/&gt;&lt;div&gt;&lt;h5&gt;&lt;b&gt;CASTING&lt;/b&gt;&lt;/h5&gt;&lt;/div&gt;&lt;hr/&gt;&lt;div&gt;&lt;h5&gt;&lt;b&gt;Casting Time &lt;/b&gt;1 standard action&lt;/h5&gt;&lt;h5&gt;&lt;b&gt;Components &lt;/b&gt;V, S, M (gold dust worth 50 gp)&lt;/h5&gt;&lt;/div&gt;&lt;hr/&gt;&lt;div&gt;&lt;h5&gt;&lt;b&gt;EFFECT&lt;/b&gt;&lt;/h5&gt;&lt;/div&gt;&lt;hr/&gt;&lt;div&gt;&lt;h5&gt;&lt;b&gt;Range &lt;/b&gt;30 ft.&lt;/h5&gt;&lt;h5&gt;&lt;b&gt;Area &lt;/b&gt;30-ft.-radius emanation centered on you&lt;/h5&gt;&lt;h5&gt;&lt;b&gt;Duration &lt;/b&gt;concentration + 1 round/level&lt;/h5&gt;&lt;h5&gt;&lt;b&gt;Saving Throw &lt;/b&gt;Will negates (harmless); &lt;b&gt;Spell Resistance &lt;/b&gt;no&lt;/h5&gt;&lt;/div&gt;&lt;hr/&gt;&lt;div&gt;&lt;h5&gt;&lt;b&gt;DESCRIPTION&lt;/b&gt;&lt;/h5&gt;&lt;/div&gt;&lt;hr/&gt;&lt;div&gt;&lt;h4&gt;&lt;p&gt;You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it.&lt;/p&gt;&lt;/h4&gt;&lt;/div&gt;</t>
  </si>
  <si>
    <t>When allies cast your spirit’s spells, they gain other bonuses.</t>
  </si>
  <si>
    <t>Gentle Breeze</t>
  </si>
  <si>
    <t>druid 1, shaman 1, sorcerer/wizard 1, witch 1</t>
  </si>
  <si>
    <t>You create a light wind that blows only against the target, from a direction of your choice. The breeze grants the target a +2 circumstance bonus on saves against very hot conditions, severe heat, and saves against clouds, vapors, and gases (such as cloudkill, stinking cloud, and inhaled poisons). There must be air present to use this spell.</t>
  </si>
  <si>
    <t>&lt;p&gt;You create a light wind that blows only against the target, from a direction of your choice. The breeze grants the target a +2 circumstance bonus on saves against very hot conditions, severe heat, and saves against clouds, vapors, and gases (such as &lt;i&gt;cloudkill&lt;/i&gt;, &lt;i&gt;stinking cloud&lt;/i&gt;, and inhaled poisons). There must be air present to use this spell.&lt;/p&gt;</t>
  </si>
  <si>
    <t>&lt;link rel="stylesheet"href="PF.css"&gt;&lt;div class="heading"&gt;&lt;p class="alignleft"&gt;Gentle Breeze&lt;/p&gt;&lt;div style="clear: both;"&gt;&lt;/div&gt;&lt;/div&gt;&lt;div&gt;&lt;h5&gt;&lt;b&gt;School &lt;/b&gt;evocation [air]; &lt;b&gt;Level &lt;/b&gt;druid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&lt;/b&gt;1 hour (D)&lt;/h5&gt;&lt;h5&gt;&lt;b&gt;Saving Throw &lt;/b&gt;Will negates (harmless); &lt;b&gt;Spell Resistance &lt;/b&gt;yes (harmless)&lt;/h5&gt;&lt;/div&gt;&lt;hr/&gt;&lt;div&gt;&lt;h5&gt;&lt;b&gt;DESCRIPTION&lt;/b&gt;&lt;/h5&gt;&lt;/div&gt;&lt;hr/&gt;&lt;div&gt;&lt;h4&gt;&lt;p&gt;You create a light wind that blows only against the target, from a direction of your choice. The breeze grants the target a +2 circumstance bonus on saves against very hot conditions, severe heat, and saves against clouds, vapors, and gases (such as &lt;i&gt;cloudkill&lt;/i&gt;, &lt;i&gt;stinking cloud&lt;/i&gt;, and inhaled poisons). There must be air present to use this spell.&lt;/p&gt;&lt;/h4&gt;&lt;/div&gt;</t>
  </si>
  <si>
    <t>Light wind protects one target from clouds, gases, heat, and vapors.</t>
  </si>
  <si>
    <t>Glue Seal</t>
  </si>
  <si>
    <t>bard 1, magus 1, sorcerer/wizard 1, summoner 1, psychic 1</t>
  </si>
  <si>
    <t>one object or one 5-ft. square</t>
  </si>
  <si>
    <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  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t>
  </si>
  <si>
    <t>&lt;p&gt;You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enter.&lt;/p&gt;&lt;p&gt;The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grappled.&lt;/p&gt;</t>
  </si>
  <si>
    <t>&lt;link rel="stylesheet"href="PF.css"&gt;&lt;div class="heading"&gt;&lt;p class="alignleft"&gt;Glue Seal&lt;/p&gt;&lt;div style="clear: both;"&gt;&lt;/div&gt;&lt;/div&gt;&lt;div&gt;&lt;h5&gt;&lt;b&gt;School &lt;/b&gt;conjuration (creation); &lt;b&gt;Level &lt;/b&gt;bard 1, magus 1, sorcerer/wizard 1, summoner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object or one 5-ft. square&lt;/h5&gt;&lt;h5&gt;&lt;b&gt;Duration &lt;/b&gt;1 minute/level (D)&lt;/h5&gt;&lt;h5&gt;&lt;b&gt;Saving Throw &lt;/b&gt;see text; &lt;b&gt;Spell Resistance &lt;/b&gt;no&lt;/h5&gt;&lt;/div&gt;&lt;hr/&gt;&lt;div&gt;&lt;h5&gt;&lt;b&gt;DESCRIPTION&lt;/b&gt;&lt;/h5&gt;&lt;/div&gt;&lt;hr/&gt;&lt;div&gt;&lt;h4&gt;&lt;p&gt;You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enter.&lt;/p&gt;&lt;p&gt;The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grappled.&lt;/p&gt;&lt;/h4&gt;&lt;/div&gt;</t>
  </si>
  <si>
    <t>Makes one 5-ft. square or one object sticky.</t>
  </si>
  <si>
    <t>Guardian Of Faith</t>
  </si>
  <si>
    <t>The target gains the benefit of shield of faith and your choice of protection from chaos, evil, good, or law. As a move action, the target can transfer this spell to a touched ally, who becomes the new target of the spell.  The alignment descriptor of this spell matches the alignment descriptor of the protection spell you chose when casting it. For example, granting the target protection from evil gives this spell the good descriptor.</t>
  </si>
  <si>
    <t>&lt;p&gt;The target gains the benefit of &lt;i&gt;shield of faith&lt;/i&gt; and your choice of &lt;i&gt;protection from chaos&lt;/i&gt;, &lt;i&gt;evil&lt;/i&gt;, &lt;i&gt;good&lt;/i&gt;, or &lt;i&gt;law&lt;/i&gt;. As a move action, the target can transfer this spell to a touched ally, who becomes the new target of the spell.&lt;/p&gt;&lt;p&gt;The alignment descriptor of this spell matches the alignment descriptor of the protection spell you chose when casting it. For example, granting the target protection from &lt;i&gt;evil&lt;/i&gt; gives this spell the &lt;i&gt;good&lt;/i&gt; descriptor.&lt;/p&gt;</t>
  </si>
  <si>
    <t>&lt;link rel="stylesheet"href="PF.css"&gt;&lt;div class="heading"&gt;&lt;p class="alignleft"&gt;Guardian Of Faith&lt;/p&gt;&lt;div style="clear: both;"&gt;&lt;/div&gt;&lt;/div&gt;&lt;div&gt;&lt;h5&gt;&lt;b&gt;School &lt;/b&gt;abjuration [see text]; &lt;b&gt;Level &lt;/b&gt;cleric/oracle 4, paladin 4&lt;/h5&gt;&lt;/div&gt;&lt;hr/&gt;&lt;div&gt;&lt;h5&gt;&lt;b&gt;CASTING&lt;/b&gt;&lt;/h5&gt;&lt;/div&gt;&lt;hr/&gt;&lt;div&gt;&lt;h5&gt;&lt;b&gt;Casting Time &lt;/b&gt;1 standard action&lt;/h5&gt;&lt;h5&gt;&lt;b&gt;Components &lt;/b&gt;V, S, M (parchment with a holy text written on it)&lt;/h5&gt;&lt;/div&gt;&lt;hr/&gt;&lt;div&gt;&lt;h5&gt;&lt;b&gt;EFFECT&lt;/b&gt;&lt;/h5&gt;&lt;/div&gt;&lt;hr/&gt;&lt;div&gt;&lt;h5&gt;&lt;b&gt;Range &lt;/b&gt;close (25 ft. + 5 ft./2 levels)&lt;/h5&gt;&lt;h5&gt;&lt;b&gt;Targets &lt;/b&gt;one ally&lt;/h5&gt;&lt;h5&gt;&lt;b&gt;Duration &lt;/b&gt;1 minute/level&lt;/h5&gt;&lt;h5&gt;&lt;b&gt;Saving Throw &lt;/b&gt;Will negates (harmless); &lt;b&gt;Spell Resistance &lt;/b&gt;no&lt;/h5&gt;&lt;/div&gt;&lt;hr/&gt;&lt;div&gt;&lt;h5&gt;&lt;b&gt;DESCRIPTION&lt;/b&gt;&lt;/h5&gt;&lt;/div&gt;&lt;hr/&gt;&lt;div&gt;&lt;h4&gt;&lt;p&gt;The target gains the benefit of &lt;i&gt;shield of faith&lt;/i&gt; and your choice of &lt;i&gt;protection from chaos&lt;/i&gt;, &lt;i&gt;evil&lt;/i&gt;, &lt;i&gt;good&lt;/i&gt;, or &lt;i&gt;law&lt;/i&gt;. As a move action, the target can transfer this spell to a touched ally, who becomes the new target of the spell.&lt;/p&gt;&lt;p&gt;The alignment descriptor of this spell matches the alignment descriptor of the protection spell you chose when casting it. For example, granting the target protection from &lt;i&gt;evil&lt;/i&gt; gives this spell the &lt;i&gt;good&lt;/i&gt; descriptor.&lt;/p&gt;&lt;/h4&gt;&lt;/div&gt;</t>
  </si>
  <si>
    <t>Target is protected by shield of faith and a protection spell, and can transfer the effects to another creature.</t>
  </si>
  <si>
    <t>Heart Of The Metal</t>
  </si>
  <si>
    <t>V, S, M (a chunk of adamantine worth 100 gp, or a chunk of cold iron or silver worth 20 gp)</t>
  </si>
  <si>
    <t>one weapon per level</t>
  </si>
  <si>
    <t>You lend the nature of adamantine, cold iron, or silver to the targeted weapons, depending on which component you used, with the following effects.  Adamantine: The weapons overcome DR/adamantine and ignore hardness of less than 20.  Cold Iron: The weapons overcome DR/cold iron.  Silver: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t>
  </si>
  <si>
    <t>&lt;p&gt;You lend the nature of adamantine, cold iron, or silver to the targeted weapons, depending on which component you used, with the following effects.  &lt;i&gt;Adamantine&lt;/i&gt;: The weapons overcome DR/adamantine and ignore hardness of less than 20.  &lt;i&gt;Cold Iron&lt;/i&gt;: The weapons overcome DR/cold iron.  &lt;i&gt;Silver&lt;/i&gt;: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normal.&lt;/p&gt;</t>
  </si>
  <si>
    <t>&lt;link rel="stylesheet"href="PF.css"&gt;&lt;div class="heading"&gt;&lt;p class="alignleft"&gt;Heart Of The Metal&lt;/p&gt;&lt;div style="clear: both;"&gt;&lt;/div&gt;&lt;/div&gt;&lt;div&gt;&lt;h5&gt;&lt;b&gt;School &lt;/b&gt;transmutation [earth]; &lt;b&gt;Level &lt;/b&gt;magus 3, sorcerer/wizard 3, witch 3&lt;/h5&gt;&lt;/div&gt;&lt;hr/&gt;&lt;div&gt;&lt;h5&gt;&lt;b&gt;CASTING&lt;/b&gt;&lt;/h5&gt;&lt;/div&gt;&lt;hr/&gt;&lt;div&gt;&lt;h5&gt;&lt;b&gt;Casting Time &lt;/b&gt;1 standard action&lt;/h5&gt;&lt;h5&gt;&lt;b&gt;Components &lt;/b&gt;V, S, M (a chunk of adamantine worth 100 gp, or a chunk of cold iron or silver worth 20 gp)&lt;/h5&gt;&lt;/div&gt;&lt;hr/&gt;&lt;div&gt;&lt;h5&gt;&lt;b&gt;EFFECT&lt;/b&gt;&lt;/h5&gt;&lt;/div&gt;&lt;hr/&gt;&lt;div&gt;&lt;h5&gt;&lt;b&gt;Range &lt;/b&gt;close (25 ft. + 5 ft./2 levels)&lt;/h5&gt;&lt;h5&gt;&lt;b&gt;Targets &lt;/b&gt;one weapon per level&lt;/h5&gt;&lt;h5&gt;&lt;b&gt;Duration &lt;/b&gt;1 minute/level (see text)&lt;/h5&gt;&lt;h5&gt;&lt;b&gt;Saving Throw &lt;/b&gt;none; &lt;b&gt;Spell Resistance &lt;/b&gt;no&lt;/h5&gt;&lt;/div&gt;&lt;hr/&gt;&lt;div&gt;&lt;h5&gt;&lt;b&gt;DESCRIPTION&lt;/b&gt;&lt;/h5&gt;&lt;/div&gt;&lt;hr/&gt;&lt;div&gt;&lt;h4&gt;&lt;p&gt;You lend the nature of adamantine, cold iron, or silver to the targeted weapons, depending on which component you used, with the following effects.  &lt;i&gt;Adamantine&lt;/i&gt;: The weapons overcome DR/adamantine and ignore hardness of less than 20.  &lt;i&gt;Cold Iron&lt;/i&gt;: The weapons overcome DR/cold iron.  &lt;i&gt;Silver&lt;/i&gt;: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normal.&lt;/p&gt;&lt;/h4&gt;&lt;/div&gt;</t>
  </si>
  <si>
    <t>Enable weapons to overcome DR like adamantine, cold iron, or silver.</t>
  </si>
  <si>
    <t>Heightened Awareness</t>
  </si>
  <si>
    <t>alchemist 1, bard 1, druid 1, inquisitor 1, ranger 1, shaman 1, sorcerer/wizard 1, occultist 1, psychic 1, mesmerist 1</t>
  </si>
  <si>
    <t>V, M/DF (a coffee bean)</t>
  </si>
  <si>
    <t>You enter a heightened state of awareness that allows you to notice more about your surroundings and recall information effortlessly. You gain a +2 competence bonus on Perception checks and on all Knowledge checks that you are trained in.  If this spell is active when you have to make an initiative check, you can instantly dismiss this spell and gain a +4 bonus on that check.</t>
  </si>
  <si>
    <t>&lt;p&gt;You enter a heightened state of awareness that allows you to notice more about your surroundings and recall information effortlessly. You gain a +2 competence bonus on Perception checks and on all Knowledge checks that you are trained in.&lt;/p&gt;&lt;p&gt;If this spell is active when you have to make an initiative check, you can instantly dismiss this spell and gain a +4 bonus on that check.&lt;/p&gt;</t>
  </si>
  <si>
    <t>&lt;link rel="stylesheet"href="PF.css"&gt;&lt;div class="heading"&gt;&lt;p class="alignleft"&gt;Heightened Awareness&lt;/p&gt;&lt;div style="clear: both;"&gt;&lt;/div&gt;&lt;/div&gt;&lt;div&gt;&lt;h5&gt;&lt;b&gt;School &lt;/b&gt;divination; &lt;b&gt;Level &lt;/b&gt;alchemist 1, bard 1, druid 1, inquisitor 1, ranger 1, shaman 1, sorcerer/wizard 1, occultist 1, psychic 1, mesmerist 1&lt;/h5&gt;&lt;/div&gt;&lt;hr/&gt;&lt;div&gt;&lt;h5&gt;&lt;b&gt;CASTING&lt;/b&gt;&lt;/h5&gt;&lt;/div&gt;&lt;hr/&gt;&lt;div&gt;&lt;h5&gt;&lt;b&gt;Casting Time &lt;/b&gt;1 standard action&lt;/h5&gt;&lt;h5&gt;&lt;b&gt;Components &lt;/b&gt;V, M/DF (a coffee bean)&lt;/h5&gt;&lt;/div&gt;&lt;hr/&gt;&lt;div&gt;&lt;h5&gt;&lt;b&gt;EFFECT&lt;/b&gt;&lt;/h5&gt;&lt;/div&gt;&lt;hr/&gt;&lt;div&gt;&lt;h5&gt;&lt;b&gt;Range &lt;/b&gt;personal&lt;/h5&gt;&lt;h5&gt;&lt;b&gt;Targets &lt;/b&gt;you&lt;/h5&gt;&lt;h5&gt;&lt;b&gt;Duration &lt;/b&gt;10 minutes/level (D)&lt;/h5&gt;&lt;/div&gt;&lt;hr/&gt;&lt;div&gt;&lt;h5&gt;&lt;b&gt;DESCRIPTION&lt;/b&gt;&lt;/h5&gt;&lt;/div&gt;&lt;hr/&gt;&lt;div&gt;&lt;h4&gt;&lt;p&gt;You enter a heightened state of awareness that allows you to notice more about your surroundings and recall information effortlessly. You gain a +2 competence bonus on Perception checks and on all Knowledge checks that you are trained in.&lt;/p&gt;&lt;p&gt;If this spell is active when you have to make an initiative check, you can instantly dismiss this spell and gain a +4 bonus on that check.&lt;/p&gt;&lt;/h4&gt;&lt;/div&gt;</t>
  </si>
  <si>
    <t>Your recall and ability to process information improve.</t>
  </si>
  <si>
    <t>Heightened Reflexes</t>
  </si>
  <si>
    <t>allies within a 30-ft.-radius burst centered on you</t>
  </si>
  <si>
    <t>You grant each of your allies within the area a +10 competence bonus on a single Reflex saving throw. Each ally must decide whether to use the bonus before making the roll to which it applies. When an ally uses the bonus, the spell ends for that individual.</t>
  </si>
  <si>
    <t>&lt;p&gt;You grant each of your allies within the area a +10 competence bonus on a single Reflex saving throw. Each ally must decide whether to use the bonus before making the roll to which it applies. When an ally uses the bonus, the spell ends for that individual.&lt;/p&gt;</t>
  </si>
  <si>
    <t>&lt;link rel="stylesheet"href="PF.css"&gt;&lt;div class="heading"&gt;&lt;p class="alignleft"&gt;Heightened Reflexes&lt;/p&gt;&lt;div style="clear: both;"&gt;&lt;/div&gt;&lt;/div&gt;&lt;div&gt;&lt;h5&gt;&lt;b&gt;School &lt;/b&gt;transmutation; &lt;b&gt;Level &lt;/b&gt;bard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&lt;/b&gt;allies within a 30-ft.-radius burst centered on you&lt;/h5&gt;&lt;h5&gt;&lt;b&gt;Duration &lt;/b&gt;1 minute/level or until discharged&lt;/h5&gt;&lt;h5&gt;&lt;b&gt;Saving Throw &lt;/b&gt;Will negates (harmless); &lt;b&gt;Spell Resistance &lt;/b&gt;yes (harmless)&lt;/h5&gt;&lt;/div&gt;&lt;hr/&gt;&lt;div&gt;&lt;h5&gt;&lt;b&gt;DESCRIPTION&lt;/b&gt;&lt;/h5&gt;&lt;/div&gt;&lt;hr/&gt;&lt;div&gt;&lt;h4&gt;&lt;p&gt;You grant each of your allies within the area a +10 competence bonus on a single Reflex saving throw. Each ally must decide whether to use the bonus before making the roll to which it applies. When an ally uses the bonus, the spell ends for that individual.&lt;/p&gt;&lt;/h4&gt;&lt;/div&gt;</t>
  </si>
  <si>
    <t>Each ally in area gains a +10 bonus on one Reflex save.</t>
  </si>
  <si>
    <t>Hex Glyph</t>
  </si>
  <si>
    <t>shaman 3, witch 3</t>
  </si>
  <si>
    <t>This spell functions like the spell glyph version of glyph of warding,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  Read magic allows its caster to identify a hex glyph with a successful DC 13 Knowledge (arcana) check. Identifying the glyph does not discharge it and indicates that it stores a hex, but does not indicate the effect of that hex.</t>
  </si>
  <si>
    <t>&lt;p&gt;This spell functions like the spell glyph version of &lt;i&gt;glyph of warding&lt;/i&gt;,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DC.&lt;/p&gt;&lt;p&gt;&lt;i&gt;Read magic&lt;/i&gt; allows its caster to identify a &lt;i&gt;hex glyph&lt;/i&gt; with a successful DC 13 Knowledge (arcana) check. Identifying the glyph does not discharge it and indicates that it stores a hex, but does not indicate the effect of that hex.&lt;/p&gt;</t>
  </si>
  <si>
    <t>&lt;link rel="stylesheet"href="PF.css"&gt;&lt;div class="heading"&gt;&lt;p class="alignleft"&gt;Hex Glyph&lt;/p&gt;&lt;div style="clear: both;"&gt;&lt;/div&gt;&lt;/div&gt;&lt;div&gt;&lt;h5&gt;&lt;b&gt;School &lt;/b&gt;abjuration; &lt;b&gt;Level &lt;/b&gt;shaman 3, witch 3&lt;/h5&gt;&lt;/div&gt;&lt;hr/&gt;&lt;div&gt;&lt;h5&gt;&lt;b&gt;CASTING&lt;/b&gt;&lt;/h5&gt;&lt;/div&gt;&lt;hr/&gt;&lt;div&gt;&lt;h5&gt;&lt;b&gt;Casting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like the spell glyph version of &lt;i&gt;glyph of warding&lt;/i&gt;,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DC.&lt;/p&gt;&lt;p&gt;&lt;i&gt;Read magic&lt;/i&gt; allows its caster to identify a &lt;i&gt;hex glyph&lt;/i&gt; with a successful DC 13 Knowledge (arcana) check. Identifying the glyph does not discharge it and indicates that it stores a hex, but does not indicate the effect of that hex.&lt;/p&gt;&lt;/h4&gt;&lt;/div&gt;</t>
  </si>
  <si>
    <t>Inscription casts your hex on those who pass it.</t>
  </si>
  <si>
    <t>Hex Glyph, Greater</t>
  </si>
  <si>
    <t>shaman 5, witch 5</t>
  </si>
  <si>
    <t>V, S, M (powdered diamond worth 400 gp)</t>
  </si>
  <si>
    <t>This spell functions as hex glyph, except you can store a hex or a major hex (but not a grand hex). You trace the glyph with incense, which must first be sprinkled with powdered diamond (as noted in the material line).  Read magic allows its caster to identify a greater hex glyph with a DC 16 Spellcraft check.</t>
  </si>
  <si>
    <t>&lt;p&gt;This spell functions as &lt;i&gt;hex glyph&lt;/i&gt;, except you can store a hex or a major hex (but not a grand hex). You trace the glyph with incense, which must first be sprinkled with powdered diamond (as noted in the material line).&lt;/p&gt;&lt;p&gt;&lt;i&gt;Read magic&lt;/i&gt; allows its caster to identify a greater &lt;i&gt;hex glyph&lt;/i&gt; with a DC 16 Spellcraft check.&lt;/p&gt;</t>
  </si>
  <si>
    <t>&lt;link rel="stylesheet"href="PF.css"&gt;&lt;div class="heading"&gt;&lt;p class="alignleft"&gt;Hex Glyph, Greater&lt;/p&gt;&lt;div style="clear: both;"&gt;&lt;/div&gt;&lt;/div&gt;&lt;div&gt;&lt;h5&gt;&lt;b&gt;School &lt;/b&gt;abjuration; &lt;b&gt;Level &lt;/b&gt;shaman 5, witch 5&lt;/h5&gt;&lt;/div&gt;&lt;hr/&gt;&lt;div&gt;&lt;h5&gt;&lt;b&gt;CASTING&lt;/b&gt;&lt;/h5&gt;&lt;/div&gt;&lt;hr/&gt;&lt;div&gt;&lt;h5&gt;&lt;b&gt;Casting Time &lt;/b&gt;10 minutes&lt;/h5&gt;&lt;h5&gt;&lt;b&gt;Components &lt;/b&gt;V, S, M (powdered diamond worth 400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as &lt;i&gt;hex glyph&lt;/i&gt;, except you can store a hex or a major hex (but not a grand hex). You trace the glyph with incense, which must first be sprinkled with powdered diamond (as noted in the material line).&lt;/p&gt;&lt;p&gt;&lt;i&gt;Read magic&lt;/i&gt; allows its caster to identify a greater &lt;i&gt;hex glyph&lt;/i&gt; with a DC 16 Spellcraft check.&lt;/p&gt;&lt;/h4&gt;&lt;/div&gt;</t>
  </si>
  <si>
    <t>Inscription casts your hex or major hex on those who pass it.</t>
  </si>
  <si>
    <t>Hex Vulnerability</t>
  </si>
  <si>
    <t>shaman 1, witch 1</t>
  </si>
  <si>
    <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t>
  </si>
  <si>
    <t>&lt;p&gt;The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spell.&lt;/p&gt;</t>
  </si>
  <si>
    <t>&lt;link rel="stylesheet"href="PF.css"&gt;&lt;div class="heading"&gt;&lt;p class="alignleft"&gt;Hex Vulnerability&lt;/p&gt;&lt;div style="clear: both;"&gt;&lt;/div&gt;&lt;/div&gt;&lt;div&gt;&lt;h5&gt;&lt;b&gt;School &lt;/b&gt;necromancy [curse]; &lt;b&gt;Level &lt;/b&gt;shaman 1, witch 1&lt;/h5&gt;&lt;/div&gt;&lt;hr/&gt;&lt;div&gt;&lt;h5&gt;&lt;b&gt;CASTING&lt;/b&gt;&lt;/h5&gt;&lt;/div&gt;&lt;hr/&gt;&lt;div&gt;&lt;h5&gt;&lt;b&gt;Casting Time &lt;/b&gt;1 standard action&lt;/h5&gt;&lt;h5&gt;&lt;b&gt;Components &lt;/b&gt;V, S, M (a drop of your blood)&lt;/h5&gt;&lt;/div&gt;&lt;hr/&gt;&lt;div&gt;&lt;h5&gt;&lt;b&gt;EFFECT&lt;/b&gt;&lt;/h5&gt;&lt;/div&gt;&lt;hr/&gt;&lt;div&gt;&lt;h5&gt;&lt;b&gt;Range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spell.&lt;/p&gt;&lt;/h4&gt;&lt;/div&gt;</t>
  </si>
  <si>
    <t>Reuse a hex on a specific target.</t>
  </si>
  <si>
    <t>Holy Ice Weapon</t>
  </si>
  <si>
    <t>V, S, M (a flask of holy water, or 5 pounds of powdered silver worth 25 gp)</t>
  </si>
  <si>
    <t>one ice weapon</t>
  </si>
  <si>
    <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  At caster level 6th, the weapon gains the returning weapon special ability when thrown, melting away after an attack and re-forming in your hand just before your next turn.</t>
  </si>
  <si>
    <t>&lt;p&gt;You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ends.&lt;/p&gt;&lt;p&gt;At caster level 6th, the weapon gains the &lt;i&gt;returning&lt;/i&gt; weapon special ability when thrown, melting away after an attack and re-forming in your hand just before your next turn.&lt;/p&gt;</t>
  </si>
  <si>
    <t>&lt;link rel="stylesheet"href="PF.css"&gt;&lt;div class="heading"&gt;&lt;p class="alignleft"&gt;Holy Ice Weapon&lt;/p&gt;&lt;div style="clear: both;"&gt;&lt;/div&gt;&lt;/div&gt;&lt;div&gt;&lt;h5&gt;&lt;b&gt;School &lt;/b&gt;transmutation [cold, good, water]; &lt;b&gt;Level &lt;/b&gt;cleric/oracle 2, inquisitor 2&lt;/h5&gt;&lt;/div&gt;&lt;hr/&gt;&lt;div&gt;&lt;h5&gt;&lt;b&gt;CASTING&lt;/b&gt;&lt;/h5&gt;&lt;/div&gt;&lt;hr/&gt;&lt;div&gt;&lt;h5&gt;&lt;b&gt;Casting Time &lt;/b&gt;1 standard action&lt;/h5&gt;&lt;h5&gt;&lt;b&gt;Components &lt;/b&gt;V, S, M (a flask of holy water, or 5 pounds of powdered silver worth 25 gp)&lt;/h5&gt;&lt;/div&gt;&lt;hr/&gt;&lt;div&gt;&lt;h5&gt;&lt;b&gt;EFFECT&lt;/b&gt;&lt;/h5&gt;&lt;/div&gt;&lt;hr/&gt;&lt;div&gt;&lt;h5&gt;&lt;b&gt;Range &lt;/b&gt;0 ft.&lt;/h5&gt;&lt;h5&gt;&lt;b&gt;Effect &lt;/b&gt;one ice weapon&lt;/h5&gt;&lt;h5&gt;&lt;b&gt;Duration &lt;/b&gt;1 minute/level (D)&lt;/h5&gt;&lt;h5&gt;&lt;b&gt;Saving Throw &lt;/b&gt;none; &lt;b&gt;Spell Resistance &lt;/b&gt;no&lt;/h5&gt;&lt;/div&gt;&lt;hr/&gt;&lt;div&gt;&lt;h5&gt;&lt;b&gt;DESCRIPTION&lt;/b&gt;&lt;/h5&gt;&lt;/div&gt;&lt;hr/&gt;&lt;div&gt;&lt;h4&gt;&lt;p&gt;You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ends.&lt;/p&gt;&lt;p&gt;At caster level 6th, the weapon gains the &lt;i&gt;returning&lt;/i&gt; weapon special ability when thrown, melting away after an attack and re-forming in your hand just before your next turn.&lt;/p&gt;&lt;/h4&gt;&lt;/div&gt;</t>
  </si>
  <si>
    <t>Create a masterwork weapon made of frozen holy water.</t>
  </si>
  <si>
    <t>Investigative Mind</t>
  </si>
  <si>
    <t>alchemist 2, bard 2, sorcerer/wizard 2, witch 2, occultist 2, psychic 2, mesmerist 2</t>
  </si>
  <si>
    <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  The spell is discharged once you have used its benefit a number of times equal to your caster level.</t>
  </si>
  <si>
    <t>&lt;p&gt;Your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roll.&lt;/p&gt;&lt;p&gt;The spell is discharged once you have used its benefit a number of times equal to your caster level.&lt;/p&gt;</t>
  </si>
  <si>
    <t>&lt;link rel="stylesheet"href="PF.css"&gt;&lt;div class="heading"&gt;&lt;p class="alignleft"&gt;Investigative Mind&lt;/p&gt;&lt;div style="clear: both;"&gt;&lt;/div&gt;&lt;/div&gt;&lt;div&gt;&lt;h5&gt;&lt;b&gt;School &lt;/b&gt;enchantment (compulsion) [mind-affecting]; &lt;b&gt;Level &lt;/b&gt;alchemist 2, bard 2, sorcerer/wizard 2, witch 2, occultist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roll.&lt;/p&gt;&lt;p&gt;The spell is discharged once you have used its benefit a number of times equal to your caster level.&lt;/p&gt;&lt;/h4&gt;&lt;/div&gt;</t>
  </si>
  <si>
    <t>Roll twice and take the higher roll when using certain mental skills.</t>
  </si>
  <si>
    <t>Invisibility Alarm</t>
  </si>
  <si>
    <t>alchemist 1, bard 1, inquisitor 1, ranger 1, sorcerer/wizard 1, psychic 1</t>
  </si>
  <si>
    <t>This spell functions as alarm, except it is triggered only by invisible creatures entering or leaving the warded area.  The spell has a different mental alarm depending on whether the invisible creature is entering or leaving the area. This spell does not aid you in sensing or pinpointing the location of an invisible creature within the spell's area.  Invisibility alarm can be made permanent with a permanency spell by a caster of 9th level or higher at a cost of 2,500 gp.</t>
  </si>
  <si>
    <t>&lt;p&gt;This spell functions as &lt;i&gt;alarm&lt;/i&gt;, except it is triggered only by invisible creatures entering or leaving the warded area.&lt;/p&gt;&lt;p&gt;The spell has a different mental &lt;i&gt;alarm&lt;/i&gt; depending on whether the invisible creature is entering or leaving the area. This spell does not aid you in sensing or pinpointing the location of an invisible creature within the spell's area.&lt;/p&gt;&lt;p&gt;Invisibility &lt;i&gt;alarm&lt;/i&gt; can be made permanent with a &lt;i&gt;permanency&lt;/i&gt; spell by a caster of 9th level or higher at a cost of 2,500 gp.&lt;/p&gt;</t>
  </si>
  <si>
    <t>&lt;link rel="stylesheet"href="PF.css"&gt;&lt;div class="heading"&gt;&lt;p class="alignleft"&gt;Invisibility Alarm&lt;/p&gt;&lt;div style="clear: both;"&gt;&lt;/div&gt;&lt;/div&gt;&lt;div&gt;&lt;h5&gt;&lt;b&gt;School &lt;/b&gt;abjuration; &lt;b&gt;Level &lt;/b&gt;alchemist 1, bard 1, inquisitor 1, ranger 1, sorcerer/wizard 1, psychic 1&lt;/h5&gt;&lt;/div&gt;&lt;hr/&gt;&lt;div&gt;&lt;h5&gt;&lt;b&gt;CASTING&lt;/b&gt;&lt;/h5&gt;&lt;/div&gt;&lt;hr/&gt;&lt;div&gt;&lt;h5&gt;&lt;b&gt;Casting Time &lt;/b&gt;1 standard action&lt;/h5&gt;&lt;h5&gt;&lt;b&gt;Components &lt;/b&gt;V, S, F/DF (a tiny bell and a piece of very fine silver wire)&lt;/h5&gt;&lt;/div&gt;&lt;hr/&gt;&lt;div&gt;&lt;h5&gt;&lt;b&gt;EFFECT&lt;/b&gt;&lt;/h5&gt;&lt;/div&gt;&lt;hr/&gt;&lt;div&gt;&lt;h5&gt;&lt;b&gt;Range &lt;/b&gt;close (25 ft. + 5 ft./2 levels)&lt;/h5&gt;&lt;h5&gt;&lt;b&gt;Area &lt;/b&gt;20-ft.-radius emanation centered on a point in space&lt;/h5&gt;&lt;h5&gt;&lt;b&gt;Duration &lt;/b&gt;10 minutes/level&lt;/h5&gt;&lt;h5&gt;&lt;b&gt;Saving Throw &lt;/b&gt;none; &lt;b&gt;Spell Resistance &lt;/b&gt;no&lt;/h5&gt;&lt;/div&gt;&lt;hr/&gt;&lt;div&gt;&lt;h5&gt;&lt;b&gt;DESCRIPTION&lt;/b&gt;&lt;/h5&gt;&lt;/div&gt;&lt;hr/&gt;&lt;div&gt;&lt;h4&gt;&lt;p&gt;This spell functions as &lt;i&gt;alarm&lt;/i&gt;, except it is triggered only by invisible creatures entering or leaving the warded area.&lt;/p&gt;&lt;p&gt;The spell has a different mental &lt;i&gt;alarm&lt;/i&gt; depending on whether the invisible creature is entering or leaving the area. This spell does not aid you in sensing or pinpointing the location of an invisible creature within the spell's area.&lt;/p&gt;&lt;p&gt;Invisibility &lt;i&gt;alarm&lt;/i&gt; can be made permanent with a &lt;i&gt;permanency&lt;/i&gt; spell by a caster of 9th level or higher at a cost of 2,500 gp.&lt;/p&gt;&lt;/h4&gt;&lt;/div&gt;</t>
  </si>
  <si>
    <t>As alarm, but reacting only to invisible creatures.</t>
  </si>
  <si>
    <t>Life Pact</t>
  </si>
  <si>
    <t>cleric/oracle 2, shaman 2, sorcerer/wizard 2, witch 2, psychic 2, spiritualist 2</t>
  </si>
  <si>
    <t>V, S, DF/M (a drop of blood from each target)</t>
  </si>
  <si>
    <t>one willing living creature/level, no two of which can be more than 30 ft. apart</t>
  </si>
  <si>
    <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t>
  </si>
  <si>
    <t>&lt;p&gt;You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damage.&lt;/p&gt;</t>
  </si>
  <si>
    <t>&lt;link rel="stylesheet"href="PF.css"&gt;&lt;div class="heading"&gt;&lt;p class="alignleft"&gt;Life Pact&lt;/p&gt;&lt;div style="clear: both;"&gt;&lt;/div&gt;&lt;/div&gt;&lt;div&gt;&lt;h5&gt;&lt;b&gt;School &lt;/b&gt;necromancy; &lt;b&gt;Level &lt;/b&gt;cleric/oracle 2, shaman 2, sorcerer/wizard 2, witch 2, psychic 2, spiritualist 2&lt;/h5&gt;&lt;/div&gt;&lt;hr/&gt;&lt;div&gt;&lt;h5&gt;&lt;b&gt;CASTING&lt;/b&gt;&lt;/h5&gt;&lt;/div&gt;&lt;hr/&gt;&lt;div&gt;&lt;h5&gt;&lt;b&gt;Casting Time &lt;/b&gt;1 standard action&lt;/h5&gt;&lt;h5&gt;&lt;b&gt;Components &lt;/b&gt;V, S, DF/M (a drop of blood from each target)&lt;/h5&gt;&lt;/div&gt;&lt;hr/&gt;&lt;div&gt;&lt;h5&gt;&lt;b&gt;EFFECT&lt;/b&gt;&lt;/h5&gt;&lt;/div&gt;&lt;hr/&gt;&lt;div&gt;&lt;h5&gt;&lt;b&gt;Range &lt;/b&gt;close (25 ft. + 5 ft./2 levels)&lt;/h5&gt;&lt;h5&gt;&lt;b&gt;Targets &lt;/b&gt;one willing living creature/level, no two of which can be more than 30 ft. apart&lt;/h5&gt;&lt;h5&gt;&lt;b&gt;Duration &lt;/b&gt;1 minute/level&lt;/h5&gt;&lt;h5&gt;&lt;b&gt;Saving Throw &lt;/b&gt;Will negates (harmless); &lt;b&gt;Spell Resistance &lt;/b&gt;yes&lt;/h5&gt;&lt;/div&gt;&lt;hr/&gt;&lt;div&gt;&lt;h5&gt;&lt;b&gt;DESCRIPTION&lt;/b&gt;&lt;/h5&gt;&lt;/div&gt;&lt;hr/&gt;&lt;div&gt;&lt;h4&gt;&lt;p&gt;You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damage.&lt;/p&gt;&lt;/h4&gt;&lt;/div&gt;</t>
  </si>
  <si>
    <t>Affected creatures automatically donate hp to stabilize fallen ally.</t>
  </si>
  <si>
    <t>Line In The Sand</t>
  </si>
  <si>
    <t>bloodrager 1, magus 1, sorcerer/wizard 1</t>
  </si>
  <si>
    <t>5-ft. burst centered on you</t>
  </si>
  <si>
    <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t>
  </si>
  <si>
    <t>&lt;p&gt;You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attacks.&lt;/p&gt;</t>
  </si>
  <si>
    <t>&lt;link rel="stylesheet"href="PF.css"&gt;&lt;div class="heading"&gt;&lt;p class="alignleft"&gt;Line In The Sand&lt;/p&gt;&lt;div style="clear: both;"&gt;&lt;/div&gt;&lt;/div&gt;&lt;div&gt;&lt;h5&gt;&lt;b&gt;School &lt;/b&gt;abjuration; &lt;b&gt;Level &lt;/b&gt;bloodrager 1, magus 1, sorcerer/wizard 1&lt;/h5&gt;&lt;/div&gt;&lt;hr/&gt;&lt;div&gt;&lt;h5&gt;&lt;b&gt;CASTING&lt;/b&gt;&lt;/h5&gt;&lt;/div&gt;&lt;hr/&gt;&lt;div&gt;&lt;h5&gt;&lt;b&gt;Casting Time &lt;/b&gt;1 standard action&lt;/h5&gt;&lt;h5&gt;&lt;b&gt;Components &lt;/b&gt;V, S&lt;/h5&gt;&lt;/div&gt;&lt;hr/&gt;&lt;div&gt;&lt;h5&gt;&lt;b&gt;EFFECT&lt;/b&gt;&lt;/h5&gt;&lt;/div&gt;&lt;hr/&gt;&lt;div&gt;&lt;h5&gt;&lt;b&gt;Range &lt;/b&gt;5 ft.&lt;/h5&gt;&lt;h5&gt;&lt;b&gt;Area &lt;/b&gt;5-ft. burst centered on you&lt;/h5&gt;&lt;h5&gt;&lt;b&gt;Duration &lt;/b&gt;1 round/level&lt;/h5&gt;&lt;h5&gt;&lt;b&gt;Saving Throw &lt;/b&gt;none; &lt;b&gt;Spell Resistance &lt;/b&gt;no&lt;/h5&gt;&lt;/div&gt;&lt;hr/&gt;&lt;div&gt;&lt;h5&gt;&lt;b&gt;DESCRIPTION&lt;/b&gt;&lt;/h5&gt;&lt;/div&gt;&lt;hr/&gt;&lt;div&gt;&lt;h4&gt;&lt;p&gt;You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attacks.&lt;/p&gt;&lt;/h4&gt;&lt;/div&gt;</t>
  </si>
  <si>
    <t>Increase your attacks of opportunity per round.</t>
  </si>
  <si>
    <t>Long Arm</t>
  </si>
  <si>
    <t>alchemist 1, bloodrager 1, magus 1, sorcerer/wizard 1, summoner 1, witch 1, psychic 1</t>
  </si>
  <si>
    <t>Your arms temporarily grow in length, increasing your reach with those limbs by 5 feet.</t>
  </si>
  <si>
    <t>&lt;p&gt;Your arms temporarily grow in length, increasing your reach with those limbs by 5 feet.&lt;/p&gt;</t>
  </si>
  <si>
    <t>&lt;link rel="stylesheet"href="PF.css"&gt;&lt;div class="heading"&gt;&lt;p class="alignleft"&gt;Long Arm&lt;/p&gt;&lt;div style="clear: both;"&gt;&lt;/div&gt;&lt;/div&gt;&lt;div&gt;&lt;h5&gt;&lt;b&gt;School &lt;/b&gt;transmutation; &lt;b&gt;Level &lt;/b&gt;alchemist 1, bloodrager 1, magus 1, sorcerer/wizard 1, summoner 1, witch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arms temporarily grow in length, increasing your reach with those limbs by 5 feet.&lt;/p&gt;&lt;/h4&gt;&lt;/div&gt;</t>
  </si>
  <si>
    <t>Your arms lengthen, giving you extra reach.</t>
  </si>
  <si>
    <t>Longstrider, Greater</t>
  </si>
  <si>
    <t>This functions as longstrider,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t>
  </si>
  <si>
    <t>&lt;p&gt;This functions as &lt;i&gt;longstrider&lt;/i&gt;,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speed.&lt;/p&gt;</t>
  </si>
  <si>
    <t>&lt;link rel="stylesheet"href="PF.css"&gt;&lt;div class="heading"&gt;&lt;p class="alignleft"&gt;Longstrider, Greater&lt;/p&gt;&lt;div style="clear: both;"&gt;&lt;/div&gt;&lt;/div&gt;&lt;div&gt;&lt;h5&gt;&lt;b&gt;School &lt;/b&gt;transmutation; &lt;b&gt;Level &lt;/b&gt;druid 3, ranger 3&lt;/h5&gt;&lt;/div&gt;&lt;hr/&gt;&lt;div&gt;&lt;h5&gt;&lt;b&gt;CASTING&lt;/b&gt;&lt;/h5&gt;&lt;/div&gt;&lt;hr/&gt;&lt;div&gt;&lt;h5&gt;&lt;b&gt;Casting Time &lt;/b&gt;1 standard action&lt;/h5&gt;&lt;h5&gt;&lt;b&gt;Components &lt;/b&gt;V, S, M (a pinch of dirt)&lt;/h5&gt;&lt;/div&gt;&lt;hr/&gt;&lt;div&gt;&lt;h5&gt;&lt;b&gt;EFFECT&lt;/b&gt;&lt;/h5&gt;&lt;/div&gt;&lt;hr/&gt;&lt;div&gt;&lt;h5&gt;&lt;b&gt;Range &lt;/b&gt;personal&lt;/h5&gt;&lt;h5&gt;&lt;b&gt;Targets &lt;/b&gt;you&lt;/h5&gt;&lt;h5&gt;&lt;b&gt;Duration &lt;/b&gt;1 hour/level (D)&lt;/h5&gt;&lt;/div&gt;&lt;hr/&gt;&lt;div&gt;&lt;h5&gt;&lt;b&gt;DESCRIPTION&lt;/b&gt;&lt;/h5&gt;&lt;/div&gt;&lt;hr/&gt;&lt;div&gt;&lt;h4&gt;&lt;p&gt;This functions as &lt;i&gt;longstrider&lt;/i&gt;,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speed.&lt;/p&gt;&lt;/h4&gt;&lt;/div&gt;</t>
  </si>
  <si>
    <t>As longstrider, plus the speeds of other movement modes increase.</t>
  </si>
  <si>
    <t>Magnifying Chime</t>
  </si>
  <si>
    <t>Effect disruptive vibrations   one unattended object or object in your possession</t>
  </si>
  <si>
    <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t>
  </si>
  <si>
    <t>&lt;p&gt;You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only.&lt;/p&gt;</t>
  </si>
  <si>
    <t>&lt;link rel="stylesheet"href="PF.css"&gt;&lt;div class="heading"&gt;&lt;p class="alignleft"&gt;Magnifying Chime&lt;/p&gt;&lt;div style="clear: both;"&gt;&lt;/div&gt;&lt;/div&gt;&lt;div&gt;&lt;h5&gt;&lt;b&gt;School &lt;/b&gt;transmutation [sonic]; &lt;b&gt;Level &lt;/b&gt;bard 6&lt;/h5&gt;&lt;/div&gt;&lt;hr/&gt;&lt;div&gt;&lt;h5&gt;&lt;b&gt;CASTING&lt;/b&gt;&lt;/h5&gt;&lt;/div&gt;&lt;hr/&gt;&lt;div&gt;&lt;h5&gt;&lt;b&gt;Casting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&lt;/b&gt;Effect disruptive vibrations   one unattended object or object in your possession&lt;/h5&gt;&lt;h5&gt;&lt;b&gt;Duration &lt;/b&gt;1 round/level&lt;/h5&gt;&lt;h5&gt;&lt;b&gt;Saving Throw &lt;/b&gt;Fortitude half (see text); &lt;b&gt;Spell Resistance &lt;/b&gt;yes&lt;/h5&gt;&lt;/div&gt;&lt;hr/&gt;&lt;div&gt;&lt;h5&gt;&lt;b&gt;DESCRIPTION&lt;/b&gt;&lt;/h5&gt;&lt;/div&gt;&lt;hr/&gt;&lt;div&gt;&lt;h4&gt;&lt;p&gt;You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only.&lt;/p&gt;&lt;/h4&gt;&lt;/div&gt;</t>
  </si>
  <si>
    <t>Touched object deals increasing sonic damage each round.</t>
  </si>
  <si>
    <t>Mantle Of Calm</t>
  </si>
  <si>
    <t>cleric/oracle 3, inquisitor 3, paladin 3, shaman 3, psychic 3, mesmerist 2</t>
  </si>
  <si>
    <t>none and Will negates (see text)</t>
  </si>
  <si>
    <t>no and yes (see text)</t>
  </si>
  <si>
    <t>You surround yourself with a mantle of calm serenity. You take a -2 penalty on attack rolls, and opponents gain a +2 bonus on saving throws against spells you cast. Any creature affected by a rage effect (barbarian's rage,  bloodrager's bloodrage, blood rage monster ability, rage spell, skald's inspired rage raging song, and so on) that strikes you with a melee attack must attempt a Will saving throw, without the rage effect's bonus to Will; failure means the rage effect ends (as if it were dispelled or the creature voluntarily ended it, as appropriate).  If you become affected by a rage effect while this spell is active, this spell immediately ends. If your rage effect comes from a skald's raging song, then it ends only for you, and you cannot regain the effects of the song.</t>
  </si>
  <si>
    <t>&lt;p&gt;You surround yourself with a mantle of calm serenity. You take a -2 penalty on attack rolls, and opponents gain a +2 bonus on saving throws against spells you cast. Any creature affected by a &lt;i&gt;rage&lt;/i&gt; effect (barbarian's &lt;i&gt;rage&lt;/i&gt;,  blood&lt;i&gt;rage&lt;/i&gt;r's blood&lt;i&gt;rage&lt;/i&gt;, blood &lt;i&gt;rage&lt;/i&gt; monster ability, &lt;i&gt;rage&lt;/i&gt; spell, skald's inspired &lt;i&gt;rage&lt;/i&gt; raging song, and so on) that strikes you with a melee attack must attempt a Will saving throw, without the &lt;i&gt;rage&lt;/i&gt; effect's bonus to Will; failure means the &lt;i&gt;rage&lt;/i&gt; effect ends (as if it were dispelled or the creature voluntarily ended it, as appropriate).  If you become affected by a &lt;i&gt;rage&lt;/i&gt; effect while this spell is active, this spell immediately ends. If your &lt;i&gt;rage&lt;/i&gt; effect comes from a skald's raging song, then it ends only for you, and you cannot regain the effects of the song.&lt;/p&gt;</t>
  </si>
  <si>
    <t>&lt;link rel="stylesheet"href="PF.css"&gt;&lt;div class="heading"&gt;&lt;p class="alignleft"&gt;Mantle Of Calm&lt;/p&gt;&lt;div style="clear: both;"&gt;&lt;/div&gt;&lt;/div&gt;&lt;div&gt;&lt;h5&gt;&lt;b&gt;School &lt;/b&gt;enchantment (compulsion) [emotion, mind-affecting]; &lt;b&gt;Level &lt;/b&gt;cleric/oracle 3, inquisitor 3, paladin 3, shaman 3, psychic 3, mesmerist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(D)&lt;/h5&gt;&lt;h5&gt;&lt;b&gt;Saving Throw &lt;/b&gt;none and Will negates (see text); &lt;b&gt;Spell Resistance &lt;/b&gt;no and yes (see text)&lt;/h5&gt;&lt;/div&gt;&lt;hr/&gt;&lt;div&gt;&lt;h5&gt;&lt;b&gt;DESCRIPTION&lt;/b&gt;&lt;/h5&gt;&lt;/div&gt;&lt;hr/&gt;&lt;div&gt;&lt;h4&gt;&lt;p&gt;You surround yourself with a mantle of calm serenity. You take a -2 penalty on attack rolls, and opponents gain a +2 bonus on saving throws against spells you cast. Any creature affected by a &lt;i&gt;rage&lt;/i&gt; effect (barbarian's &lt;i&gt;rage&lt;/i&gt;,  blood&lt;i&gt;rage&lt;/i&gt;r's blood&lt;i&gt;rage&lt;/i&gt;, blood &lt;i&gt;rage&lt;/i&gt; monster ability, &lt;i&gt;rage&lt;/i&gt; spell, skald's inspired &lt;i&gt;rage&lt;/i&gt; raging song, and so on) that strikes you with a melee attack must attempt a Will saving throw, without the &lt;i&gt;rage&lt;/i&gt; effect's bonus to Will; failure means the &lt;i&gt;rage&lt;/i&gt; effect ends (as if it were dispelled or the creature voluntarily ended it, as appropriate).  If you become affected by a &lt;i&gt;rage&lt;/i&gt; effect while this spell is active, this spell immediately ends. If your &lt;i&gt;rage&lt;/i&gt; effect comes from a skald's raging song, then it ends only for you, and you cannot regain the effects of the song.&lt;/p&gt;&lt;/h4&gt;&lt;/div&gt;</t>
  </si>
  <si>
    <t>Neutralize the rage effects of those who have attacked you.</t>
  </si>
  <si>
    <t>Marching Chant</t>
  </si>
  <si>
    <t>You invigorate your allies, who can hustle (Core Rulebook 170) as long as you continue to sing or chant (which requires your concentration). This movement counts as a walk (not a hustle) for the purpose of accruing nonlethal damage and fatigue. You can concentrate on this spell and hustle at the same time.</t>
  </si>
  <si>
    <t>&lt;p&gt;You invigorate your allies, who can hustle (&lt;i&gt;Core Rulebook&lt;/i&gt; 170) as long as you continue to sing or chant (which requires your concentration). This movement counts as a walk (not a hustle) for the purpose of accruing nonlethal damage and fatigue. You can concentrate on this spell and hustle at the same time.&lt;/p&gt;</t>
  </si>
  <si>
    <t>&lt;link rel="stylesheet"href="PF.css"&gt;&lt;div class="heading"&gt;&lt;p class="alignleft"&gt;Marching Chant&lt;/p&gt;&lt;div style="clear: both;"&gt;&lt;/div&gt;&lt;/div&gt;&lt;div&gt;&lt;h5&gt;&lt;b&gt;School &lt;/b&gt;transmutation; &lt;b&gt;Level &lt;/b&gt;bard 2, cleric/oracle 2&lt;/h5&gt;&lt;/div&gt;&lt;hr/&gt;&lt;div&gt;&lt;h5&gt;&lt;b&gt;CASTING&lt;/b&gt;&lt;/h5&gt;&lt;/div&gt;&lt;hr/&gt;&lt;div&gt;&lt;h5&gt;&lt;b&gt;Casting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creature/level&lt;/h5&gt;&lt;h5&gt;&lt;b&gt;Duration &lt;/b&gt;concentration&lt;/h5&gt;&lt;h5&gt;&lt;b&gt;Saving Throw &lt;/b&gt;Will negates (harmless); &lt;b&gt;Spell Resistance &lt;/b&gt;yes (harmless)&lt;/h5&gt;&lt;/div&gt;&lt;hr/&gt;&lt;div&gt;&lt;h5&gt;&lt;b&gt;DESCRIPTION&lt;/b&gt;&lt;/h5&gt;&lt;/div&gt;&lt;hr/&gt;&lt;div&gt;&lt;h4&gt;&lt;p&gt;You invigorate your allies, who can hustle (&lt;i&gt;Core Rulebook&lt;/i&gt; 170) as long as you continue to sing or chant (which requires your concentration). This movement counts as a walk (not a hustle) for the purpose of accruing nonlethal damage and fatigue. You can concentrate on this spell and hustle at the same time.&lt;/p&gt;&lt;/h4&gt;&lt;/div&gt;</t>
  </si>
  <si>
    <t>Allies can hustle without penalty while you sing or chant.</t>
  </si>
  <si>
    <t>Mark Of Obvious Ethics</t>
  </si>
  <si>
    <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t>
  </si>
  <si>
    <t>&lt;p&gt;You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plane.&lt;/p&gt;</t>
  </si>
  <si>
    <t>&lt;link rel="stylesheet"href="PF.css"&gt;&lt;div class="heading"&gt;&lt;p class="alignleft"&gt;Mark Of Obvious Ethics&lt;/p&gt;&lt;div style="clear: both;"&gt;&lt;/div&gt;&lt;/div&gt;&lt;div&gt;&lt;h5&gt;&lt;b&gt;School &lt;/b&gt;divination [curse]; &lt;b&gt;Level &lt;/b&gt;cleric/oracle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day/level&lt;/h5&gt;&lt;h5&gt;&lt;b&gt;Saving Throw &lt;/b&gt;Will negates; &lt;b&gt;Spell Resistance &lt;/b&gt;yes&lt;/h5&gt;&lt;/div&gt;&lt;hr/&gt;&lt;div&gt;&lt;h5&gt;&lt;b&gt;DESCRIPTION&lt;/b&gt;&lt;/h5&gt;&lt;/div&gt;&lt;hr/&gt;&lt;div&gt;&lt;h4&gt;&lt;p&gt;You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plane.&lt;/p&gt;&lt;/h4&gt;&lt;/div&gt;</t>
  </si>
  <si>
    <t>Other creatures can determine the target’s alignment.</t>
  </si>
  <si>
    <t>Memorize Page</t>
  </si>
  <si>
    <t>V, S, F (the page to be memorized)</t>
  </si>
  <si>
    <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  The maximum number of pages that a particular target can memorize through repeated castings of this spell is equal to the target's Intelligence modifier (minimum 1); any attempts beyond this limit have no effect, although the target's memory of a page could be erased (using modify memory or a similar effect) to effectively make room for a different one.  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t>
  </si>
  <si>
    <t>&lt;p&gt;The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them.&lt;/p&gt;&lt;p&gt;The maximum number of pages that a particular target can memorize through repeated castings of this spell is equal to the target's Intelligence modifier (minimum 1); any attempts beyond this limit have no effect, although the target's memory of a page could be erased (using &lt;i&gt;modify memory&lt;/i&gt; or a similar effect) to effectively make room for a different one.&lt;/p&gt;&lt;p&gt;A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spellbook).&lt;/p&gt;</t>
  </si>
  <si>
    <t>&lt;link rel="stylesheet"href="PF.css"&gt;&lt;div class="heading"&gt;&lt;p class="alignleft"&gt;Memorize Page&lt;/p&gt;&lt;div style="clear: both;"&gt;&lt;/div&gt;&lt;/div&gt;&lt;div&gt;&lt;h5&gt;&lt;b&gt;School &lt;/b&gt;enchantment [mind-affecting]; &lt;b&gt;Level &lt;/b&gt;bard 1, sorcerer/wizard 1, witch 1, occultist 1, psychic 1, mesmerist 1&lt;/h5&gt;&lt;/div&gt;&lt;hr/&gt;&lt;div&gt;&lt;h5&gt;&lt;b&gt;CASTING&lt;/b&gt;&lt;/h5&gt;&lt;/div&gt;&lt;hr/&gt;&lt;div&gt;&lt;h5&gt;&lt;b&gt;Casting Time &lt;/b&gt;10 minutes&lt;/h5&gt;&lt;h5&gt;&lt;b&gt;Components &lt;/b&gt;V, S, F (the page to be memorized)&lt;/h5&gt;&lt;/div&gt;&lt;hr/&gt;&lt;div&gt;&lt;h5&gt;&lt;b&gt;EFFECT&lt;/b&gt;&lt;/h5&gt;&lt;/div&gt;&lt;hr/&gt;&lt;div&gt;&lt;h5&gt;&lt;b&gt;Range &lt;/b&gt;touch&lt;/h5&gt;&lt;h5&gt;&lt;b&gt;Targets &lt;/b&gt;one living creature&lt;/h5&gt;&lt;h5&gt;&lt;b&gt;Duration &lt;/b&gt;instantaneous&lt;/h5&gt;&lt;h5&gt;&lt;b&gt;Saving Throw &lt;/b&gt;Will negates (harmless); &lt;b&gt;Spell Resistance &lt;/b&gt;yes (harmless)&lt;/h5&gt;&lt;/div&gt;&lt;hr/&gt;&lt;div&gt;&lt;h5&gt;&lt;b&gt;DESCRIPTION&lt;/b&gt;&lt;/h5&gt;&lt;/div&gt;&lt;hr/&gt;&lt;div&gt;&lt;h4&gt;&lt;p&gt;The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them.&lt;/p&gt;&lt;p&gt;The maximum number of pages that a particular target can memorize through repeated castings of this spell is equal to the target's Intelligence modifier (minimum 1); any attempts beyond this limit have no effect, although the target's memory of a page could be erased (using &lt;i&gt;modify memory&lt;/i&gt; or a similar effect) to effectively make room for a different one.&lt;/p&gt;&lt;p&gt;A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spellbook).&lt;/p&gt;&lt;/h4&gt;&lt;/div&gt;</t>
  </si>
  <si>
    <t>Target perfectly memorizes one page of information.</t>
  </si>
  <si>
    <t>Mindlocked Messenger</t>
  </si>
  <si>
    <t>bard 2, shaman 3, sorcerer/wizard 3, witch 3, psychic 3, mesmerist 2, spiritualist 3</t>
  </si>
  <si>
    <t>one willing living creature</t>
  </si>
  <si>
    <t>You speak a short message (up to 10 words per caster level), implanting both it and the identity of the message's intended recipient in the mind of a willing creature. The creature is aware of the message and who the recipient is.  Any attempt to speak, write, or otherwise communicate the message to anyone other than its intended recipient causes the target to forget the message for 1d6 minutes. Attempts to read the target's mind (such as with detect thoughts) or to force the target to reveal the message (such as with torture or magical compulsion) likewise cause temporary amnesia regarding the message.  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t>
  </si>
  <si>
    <t>&lt;p&gt;You speak a short message (up to 10 words per caster level), implanting both it and the identity of the message's intended recipient in the mind of a willing creature. The creature is aware of the message and who the recipient is.&lt;/p&gt;&lt;p&gt;Any attempt to speak, write, or otherwise communicate the message to anyone other than its intended recipient causes the target to forget the message for 1d6 minutes. Attempts to read the target's mind (such as with &lt;i&gt;detect&lt;/i&gt; thoughts) or to force the target to reveal the message (such as with torture or magical compulsion) likewise cause temporary amnesia regarding the message.&lt;/p&gt;&lt;p&gt;The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memory.&lt;/p&gt;</t>
  </si>
  <si>
    <t>&lt;link rel="stylesheet"href="PF.css"&gt;&lt;div class="heading"&gt;&lt;p class="alignleft"&gt;Mindlocked Messenger&lt;/p&gt;&lt;div style="clear: both;"&gt;&lt;/div&gt;&lt;/div&gt;&lt;div&gt;&lt;h5&gt;&lt;b&gt;School &lt;/b&gt;enchantment (compulsion) [language-dependent, mind-affecting]; &lt;b&gt;Level &lt;/b&gt;bard 2, shaman 3, sorcerer/wizard 3, witch 3, psychic 3, mesmerist 2, spiritualist 3&lt;/h5&gt;&lt;/div&gt;&lt;hr/&gt;&lt;div&gt;&lt;h5&gt;&lt;b&gt;CASTING&lt;/b&gt;&lt;/h5&gt;&lt;/div&gt;&lt;hr/&gt;&lt;div&gt;&lt;h5&gt;&lt;b&gt;Casting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willing living creature&lt;/h5&gt;&lt;h5&gt;&lt;b&gt;Duration &lt;/b&gt;permanent until discharged (see text)&lt;/h5&gt;&lt;h5&gt;&lt;b&gt;Saving Throw &lt;/b&gt;Will negates (harmless); &lt;b&gt;Spell Resistance &lt;/b&gt;yes (harmless)&lt;/h5&gt;&lt;/div&gt;&lt;hr/&gt;&lt;div&gt;&lt;h5&gt;&lt;b&gt;DESCRIPTION&lt;/b&gt;&lt;/h5&gt;&lt;/div&gt;&lt;hr/&gt;&lt;div&gt;&lt;h4&gt;&lt;p&gt;You speak a short message (up to 10 words per caster level), implanting both it and the identity of the message's intended recipient in the mind of a willing creature. The creature is aware of the message and who the recipient is.&lt;/p&gt;&lt;p&gt;Any attempt to speak, write, or otherwise communicate the message to anyone other than its intended recipient causes the target to forget the message for 1d6 minutes. Attempts to read the target's mind (such as with &lt;i&gt;detect&lt;/i&gt; thoughts) or to force the target to reveal the message (such as with torture or magical compulsion) likewise cause temporary amnesia regarding the message.&lt;/p&gt;&lt;p&gt;The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memory.&lt;/p&gt;&lt;/h4&gt;&lt;/div&gt;</t>
  </si>
  <si>
    <t>Target gains a message that can be given only to its intended recipient.</t>
  </si>
  <si>
    <t>Mirror Hideaway</t>
  </si>
  <si>
    <t>V, S, M (a glass or metal marble and a twisted loop of parchment)</t>
  </si>
  <si>
    <t>one mirror</t>
  </si>
  <si>
    <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  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  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  Objects can enter the extradimensional space only if brought by a creature able to fully pass through the mirror.</t>
  </si>
  <si>
    <t>&lt;p&gt;You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rounds.&lt;/p&gt;&lt;p&gt;Spells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inside.&lt;/p&gt;&lt;p&gt;Anything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portal.&lt;/p&gt;&lt;p&gt;Objects can enter the extradimensional space only if brought by a creature able to fully pass through the mirror.&lt;/p&gt;</t>
  </si>
  <si>
    <t>&lt;link rel="stylesheet"href="PF.css"&gt;&lt;div class="heading"&gt;&lt;p class="alignleft"&gt;Mirror Hideaway&lt;/p&gt;&lt;div style="clear: both;"&gt;&lt;/div&gt;&lt;/div&gt;&lt;div&gt;&lt;h5&gt;&lt;b&gt;School &lt;/b&gt;transmutation; &lt;b&gt;Level &lt;/b&gt;sorcerer/wizard 2, witch 2, occultist 2, psychic 2&lt;/h5&gt;&lt;/div&gt;&lt;hr/&gt;&lt;div&gt;&lt;h5&gt;&lt;b&gt;CASTING&lt;/b&gt;&lt;/h5&gt;&lt;/div&gt;&lt;hr/&gt;&lt;div&gt;&lt;h5&gt;&lt;b&gt;Casting Time &lt;/b&gt;1 standard action&lt;/h5&gt;&lt;h5&gt;&lt;b&gt;Components &lt;/b&gt;V, S, M (a glass or metal marble and a twisted loop of parchment)&lt;/h5&gt;&lt;/div&gt;&lt;hr/&gt;&lt;div&gt;&lt;h5&gt;&lt;b&gt;EFFECT&lt;/b&gt;&lt;/h5&gt;&lt;/div&gt;&lt;hr/&gt;&lt;div&gt;&lt;h5&gt;&lt;b&gt;Range &lt;/b&gt;touch&lt;/h5&gt;&lt;h5&gt;&lt;b&gt;Targets &lt;/b&gt;one mirror&lt;/h5&gt;&lt;h5&gt;&lt;b&gt;Duration &lt;/b&gt;1 hour/level (D)&lt;/h5&gt;&lt;h5&gt;&lt;b&gt;Saving Throw &lt;/b&gt;none; &lt;b&gt;Spell Resistance &lt;/b&gt;no&lt;/h5&gt;&lt;/div&gt;&lt;hr/&gt;&lt;div&gt;&lt;h5&gt;&lt;b&gt;DESCRIPTION&lt;/b&gt;&lt;/h5&gt;&lt;/div&gt;&lt;hr/&gt;&lt;div&gt;&lt;h4&gt;&lt;p&gt;You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rounds.&lt;/p&gt;&lt;p&gt;Spells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inside.&lt;/p&gt;&lt;p&gt;Anything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portal.&lt;/p&gt;&lt;p&gt;Objects can enter the extradimensional space only if brought by a creature able to fully pass through the mirror.&lt;/p&gt;&lt;/h4&gt;&lt;/div&gt;</t>
  </si>
  <si>
    <t>As many as eight creatures hide in an extradimensional space.</t>
  </si>
  <si>
    <t>Mirror Polish</t>
  </si>
  <si>
    <t>sorcerer/wizard 1, witch 1, occultist 1</t>
  </si>
  <si>
    <t>V, S, M (a soft cloth)</t>
  </si>
  <si>
    <t>one metal item of up to 1 sq. ft.</t>
  </si>
  <si>
    <t>You polish a metal item until it is reflective enough to be used as a mirror. This does not prevent the item from later damage or corrosion that would ruin the mirrored surface.  The spell can be cast only on a metal item with a fairly smooth and contiguous surface, such as a breastplate, a helm, a shield, or a sword, but not a mace, chainmail, or scale mail.</t>
  </si>
  <si>
    <t>&lt;p&gt;You polish a metal item until it is reflective enough to be used as a mirror. This does not prevent the item from later damage or corrosion that would ruin the mirrored surface.&lt;/p&gt;&lt;p&gt;The spell can be cast only on a metal item with a fairly smooth and contiguous surface, such as a breastplate, a helm, a shield, or a sword, but not a mace, chainmail, or scale mail.&lt;/p&gt;</t>
  </si>
  <si>
    <t>&lt;link rel="stylesheet"href="PF.css"&gt;&lt;div class="heading"&gt;&lt;p class="alignleft"&gt;Mirror Polish&lt;/p&gt;&lt;div style="clear: both;"&gt;&lt;/div&gt;&lt;/div&gt;&lt;div&gt;&lt;h5&gt;&lt;b&gt;School &lt;/b&gt;transmutation; &lt;b&gt;Level &lt;/b&gt;sorcerer/wizard 1, witch 1, occultist 1&lt;/h5&gt;&lt;/div&gt;&lt;hr/&gt;&lt;div&gt;&lt;h5&gt;&lt;b&gt;CASTING&lt;/b&gt;&lt;/h5&gt;&lt;/div&gt;&lt;hr/&gt;&lt;div&gt;&lt;h5&gt;&lt;b&gt;Casting Time &lt;/b&gt;1 standard action&lt;/h5&gt;&lt;h5&gt;&lt;b&gt;Components &lt;/b&gt;V, S, M (a soft cloth)&lt;/h5&gt;&lt;/div&gt;&lt;hr/&gt;&lt;div&gt;&lt;h5&gt;&lt;b&gt;EFFECT&lt;/b&gt;&lt;/h5&gt;&lt;/div&gt;&lt;hr/&gt;&lt;div&gt;&lt;h5&gt;&lt;b&gt;Range &lt;/b&gt;touch&lt;/h5&gt;&lt;h5&gt;&lt;b&gt;Targets &lt;/b&gt;one metal item of up to 1 sq. ft.&lt;/h5&gt;&lt;h5&gt;&lt;b&gt;Duration &lt;/b&gt;instantaneous&lt;/h5&gt;&lt;h5&gt;&lt;b&gt;Saving Throw &lt;/b&gt;yes (object); &lt;b&gt;Spell Resistance &lt;/b&gt;yes (object)&lt;/h5&gt;&lt;/div&gt;&lt;hr/&gt;&lt;div&gt;&lt;h5&gt;&lt;b&gt;DESCRIPTION&lt;/b&gt;&lt;/h5&gt;&lt;/div&gt;&lt;hr/&gt;&lt;div&gt;&lt;h4&gt;&lt;p&gt;You polish a metal item until it is reflective enough to be used as a mirror. This does not prevent the item from later damage or corrosion that would ruin the mirrored surface.&lt;/p&gt;&lt;p&gt;The spell can be cast only on a metal item with a fairly smooth and contiguous surface, such as a breastplate, a helm, a shield, or a sword, but not a mace, chainmail, or scale mail.&lt;/p&gt;&lt;/h4&gt;&lt;/div&gt;</t>
  </si>
  <si>
    <t>Polish a metal item until it’s usable as a mirror.</t>
  </si>
  <si>
    <t>Mirror Transport</t>
  </si>
  <si>
    <t>sorcerer/wizard 4, witch 4, occultist 4, psychic 4, spiritualist 4</t>
  </si>
  <si>
    <t>This spell functions as mirror hideaway, except any creature that enters the target mirror can spend a swift action to exit through another mirror within 500 feet as if using dimension door; this is a one-way transport. The creature can exit through a mirror only if it could fit through an opening the same size as the mirror. Each transport through the target mirror reduces the spell's duration by 1 hour.</t>
  </si>
  <si>
    <t>&lt;p&gt;This spell functions as &lt;i&gt;mirror hideaway&lt;/i&gt;, except any creature that enters the target mirror can spend a swift action to exit through another mirror within 500 feet as if using &lt;i&gt;dimension door&lt;/i&gt;; this is a one-way transport. The creature can exit through a mirror only if it could fit through an opening the same size as the mirror. Each transport through the target mirror reduces the spell's duration by 1 hour.&lt;/p&gt;</t>
  </si>
  <si>
    <t>&lt;link rel="stylesheet"href="PF.css"&gt;&lt;div class="heading"&gt;&lt;p class="alignleft"&gt;Mirror Transport&lt;/p&gt;&lt;div style="clear: both;"&gt;&lt;/div&gt;&lt;/div&gt;&lt;div&gt;&lt;h5&gt;&lt;b&gt;School &lt;/b&gt;transmutation; &lt;b&gt;Level &lt;/b&gt;sorcerer/wizard 4, witch 4, occultist 4, psychic 4, spiritualist 4&lt;/h5&gt;&lt;/div&gt;&lt;hr/&gt;&lt;div&gt;&lt;h5&gt;&lt;b&gt;CASTING&lt;/b&gt;&lt;/h5&gt;&lt;/div&gt;&lt;hr/&gt;&lt;div&gt;&lt;h5&gt;&lt;b&gt;Casting Time &lt;/b&gt;1 standard action&lt;/h5&gt;&lt;h5&gt;&lt;b&gt;Components &lt;/b&gt;V, S, M (a glass or metal marble and a twisted loop of parchment)&lt;/h5&gt;&lt;/div&gt;&lt;hr/&gt;&lt;div&gt;&lt;h5&gt;&lt;b&gt;EFFECT&lt;/b&gt;&lt;/h5&gt;&lt;/div&gt;&lt;hr/&gt;&lt;div&gt;&lt;h5&gt;&lt;b&gt;Range &lt;/b&gt;touch&lt;/h5&gt;&lt;h5&gt;&lt;b&gt;Targets &lt;/b&gt;one mirror&lt;/h5&gt;&lt;h5&gt;&lt;b&gt;Duration &lt;/b&gt;1 hour/level (D)&lt;/h5&gt;&lt;h5&gt;&lt;b&gt;Saving Throw &lt;/b&gt;yes (object); &lt;b&gt;Spell Resistance &lt;/b&gt;yes (object)&lt;/h5&gt;&lt;/div&gt;&lt;hr/&gt;&lt;div&gt;&lt;h5&gt;&lt;b&gt;DESCRIPTION&lt;/b&gt;&lt;/h5&gt;&lt;/div&gt;&lt;hr/&gt;&lt;div&gt;&lt;h4&gt;&lt;p&gt;This spell functions as &lt;i&gt;mirror hideaway&lt;/i&gt;, except any creature that enters the target mirror can spend a swift action to exit through another mirror within 500 feet as if using &lt;i&gt;dimension door&lt;/i&gt;; this is a one-way transport. The creature can exit through a mirror only if it could fit through an opening the same size as the mirror. Each transport through the target mirror reduces the spell's duration by 1 hour.&lt;/p&gt;&lt;/h4&gt;&lt;/div&gt;</t>
  </si>
  <si>
    <t>Mirror becomes a multiple-use dimension door.</t>
  </si>
  <si>
    <t>Molten Orb</t>
  </si>
  <si>
    <t>bloodrager 2, magus 2, sorcerer/wizard 2, witch 2</t>
  </si>
  <si>
    <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t>
  </si>
  <si>
    <t>&lt;p&gt;You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damage).&lt;/p&gt;</t>
  </si>
  <si>
    <t>&lt;link rel="stylesheet"href="PF.css"&gt;&lt;div class="heading"&gt;&lt;p class="alignleft"&gt;Molten Orb&lt;/p&gt;&lt;div style="clear: both;"&gt;&lt;/div&gt;&lt;/div&gt;&lt;div&gt;&lt;h5&gt;&lt;b&gt;School &lt;/b&gt;evocation [earth, fire]; &lt;b&gt;Level &lt;/b&gt;bloodrager 2, 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&lt;/b&gt;ranged attack&lt;/h5&gt;&lt;h5&gt;&lt;b&gt;Duration &lt;/b&gt;instantaneous&lt;/h5&gt;&lt;h5&gt;&lt;b&gt;Saving Throw &lt;/b&gt;none; &lt;b&gt;Spell Resistance &lt;/b&gt;yes&lt;/h5&gt;&lt;/div&gt;&lt;hr/&gt;&lt;div&gt;&lt;h5&gt;&lt;b&gt;DESCRIPTION&lt;/b&gt;&lt;/h5&gt;&lt;/div&gt;&lt;hr/&gt;&lt;div&gt;&lt;h4&gt;&lt;p&gt;You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damage).&lt;/p&gt;&lt;/h4&gt;&lt;/div&gt;</t>
  </si>
  <si>
    <t>Molten metal splash weapon deals 2d6 fire damage plus ongoing damage.</t>
  </si>
  <si>
    <t>Monkey Fish</t>
  </si>
  <si>
    <t>alchemist 1, druid 1, magus 1, shaman 1, sorcerer/wizard 1, psychic 1</t>
  </si>
  <si>
    <t>Your hands and feet alter to make you better at climbing and swimming. You gain a 10 foot climb speed and swim speed. This spell has no effect if you are wearing medium or heavy armor or carrying a medium or heavy load.</t>
  </si>
  <si>
    <t>&lt;p&gt;Your hands and feet alter to make you better at climbing and swimming. You gain a 10 foot climb speed and swim speed. This spell has no effect if you are wearing medium or heavy armor or carrying a medium or heavy load.&lt;/p&gt;</t>
  </si>
  <si>
    <t>&lt;link rel="stylesheet"href="PF.css"&gt;&lt;div class="heading"&gt;&lt;p class="alignleft"&gt;Monkey Fish&lt;/p&gt;&lt;div style="clear: both;"&gt;&lt;/div&gt;&lt;/div&gt;&lt;div&gt;&lt;h5&gt;&lt;b&gt;School &lt;/b&gt;transmutation; &lt;b&gt;Level &lt;/b&gt;alchemist 1, druid 1, magus 1, shaman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hands and feet alter to make you better at climbing and swimming. You gain a 10 foot climb speed and swim speed. This spell has no effect if you are wearing medium or heavy armor or carrying a medium or heavy load.&lt;/p&gt;&lt;/h4&gt;&lt;/div&gt;</t>
  </si>
  <si>
    <t>Gain a climb speed of 10 ft. and a swim speed of 10 ft. for a time.</t>
  </si>
  <si>
    <t>Muffle Sound</t>
  </si>
  <si>
    <t>bard 2, cleric/oracle 2, inquisitor 2, psychic 2, mesmerist 2</t>
  </si>
  <si>
    <t>1 ally/level</t>
  </si>
  <si>
    <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t>
  </si>
  <si>
    <t>&lt;p&gt;You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effects.&lt;/p&gt;</t>
  </si>
  <si>
    <t>&lt;link rel="stylesheet"href="PF.css"&gt;&lt;div class="heading"&gt;&lt;p class="alignleft"&gt;Muffle Sound&lt;/p&gt;&lt;div style="clear: both;"&gt;&lt;/div&gt;&lt;/div&gt;&lt;div&gt;&lt;h5&gt;&lt;b&gt;School &lt;/b&gt;illusion (glamer); &lt;b&gt;Level &lt;/b&gt;bard 2, cleric/oracle 2, inquisitor 2, psychic 2, mesmerist 2&lt;/h5&gt;&lt;/div&gt;&lt;hr/&gt;&lt;div&gt;&lt;h5&gt;&lt;b&gt;CASTING&lt;/b&gt;&lt;/h5&gt;&lt;/div&gt;&lt;hr/&gt;&lt;div&gt;&lt;h5&gt;&lt;b&gt;Casting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&lt;/b&gt;1 ally/level&lt;/h5&gt;&lt;h5&gt;&lt;b&gt;Duration &lt;/b&gt;1 minute/level (D)&lt;/h5&gt;&lt;h5&gt;&lt;b&gt;Saving Throw &lt;/b&gt;Will negates; &lt;b&gt;Spell Resistance &lt;/b&gt;yes&lt;/h5&gt;&lt;/div&gt;&lt;hr/&gt;&lt;div&gt;&lt;h5&gt;&lt;b&gt;DESCRIPTION&lt;/b&gt;&lt;/h5&gt;&lt;/div&gt;&lt;hr/&gt;&lt;div&gt;&lt;h4&gt;&lt;p&gt;You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effects.&lt;/p&gt;&lt;/h4&gt;&lt;/div&gt;</t>
  </si>
  <si>
    <t>Allies gain a bonus on Stealth checks but risk verbal spell failure.</t>
  </si>
  <si>
    <t>Nauseating Dart</t>
  </si>
  <si>
    <t>one poisonous stinger</t>
  </si>
  <si>
    <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t>
  </si>
  <si>
    <t>&lt;p&gt;You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save.&lt;/p&gt;</t>
  </si>
  <si>
    <t>&lt;link rel="stylesheet"href="PF.css"&gt;&lt;div class="heading"&gt;&lt;p class="alignleft"&gt;Nauseating Dart&lt;/p&gt;&lt;div style="clear: both;"&gt;&lt;/div&gt;&lt;/div&gt;&lt;div&gt;&lt;h5&gt;&lt;b&gt;School &lt;/b&gt;conjuration (creation) [poison]; &lt;b&gt;Level &lt;/b&gt;druid 1, witch 1&lt;/h5&gt;&lt;/div&gt;&lt;hr/&gt;&lt;div&gt;&lt;h5&gt;&lt;b&gt;CASTING&lt;/b&gt;&lt;/h5&gt;&lt;/div&gt;&lt;hr/&gt;&lt;div&gt;&lt;h5&gt;&lt;b&gt;Casting Time &lt;/b&gt;1 standard action&lt;/h5&gt;&lt;h5&gt;&lt;b&gt;Components &lt;/b&gt;S, DF&lt;/h5&gt;&lt;/div&gt;&lt;hr/&gt;&lt;div&gt;&lt;h5&gt;&lt;b&gt;EFFECT&lt;/b&gt;&lt;/h5&gt;&lt;/div&gt;&lt;hr/&gt;&lt;div&gt;&lt;h5&gt;&lt;b&gt;Range &lt;/b&gt;close (25 ft. + 5 ft./2 levels)&lt;/h5&gt;&lt;h5&gt;&lt;b&gt;Effect &lt;/b&gt;one poisonous stinger&lt;/h5&gt;&lt;h5&gt;&lt;b&gt;Duration &lt;/b&gt;instantaneous&lt;/h5&gt;&lt;h5&gt;&lt;b&gt;Saving Throw &lt;/b&gt;Fortitude partial (see text); &lt;b&gt;Spell Resistance &lt;/b&gt;no&lt;/h5&gt;&lt;/div&gt;&lt;hr/&gt;&lt;div&gt;&lt;h5&gt;&lt;b&gt;DESCRIPTION&lt;/b&gt;&lt;/h5&gt;&lt;/div&gt;&lt;hr/&gt;&lt;div&gt;&lt;h4&gt;&lt;p&gt;You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save.&lt;/p&gt;&lt;/h4&gt;&lt;/div&gt;</t>
  </si>
  <si>
    <t>Poisonous stinger deals 1d2 damage and sickens target.</t>
  </si>
  <si>
    <t>Nauseating Trail</t>
  </si>
  <si>
    <t>alchemist 3, druid 3, magus 3, shaman 3, sorcerer/wizard 3, witch 3</t>
  </si>
  <si>
    <t>none and Fortitude negates (see text)</t>
  </si>
  <si>
    <t>The target exudes stinking vapors that fill its space. The vapors do not obscure sight, but it nauseates creatures as stinking cloud.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t>
  </si>
  <si>
    <t>&lt;p&gt;The target exudes stinking vapors that fill its space. The vapors do not obscure sight, but it nauseates creatures as &lt;i&gt;stinking cloud&lt;/i&gt;.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leaves.&lt;/p&gt;</t>
  </si>
  <si>
    <t>&lt;link rel="stylesheet"href="PF.css"&gt;&lt;div class="heading"&gt;&lt;p class="alignleft"&gt;Nauseating Trail&lt;/p&gt;&lt;div style="clear: both;"&gt;&lt;/div&gt;&lt;/div&gt;&lt;div&gt;&lt;h5&gt;&lt;b&gt;School &lt;/b&gt;conjuration (creation) [poison]; &lt;b&gt;Level &lt;/b&gt;alchemist 3, druid 3, magus 3, shaman 3, sorcerer/wizard 3, witch 3&lt;/h5&gt;&lt;/div&gt;&lt;hr/&gt;&lt;div&gt;&lt;h5&gt;&lt;b&gt;CASTING&lt;/b&gt;&lt;/h5&gt;&lt;/div&gt;&lt;hr/&gt;&lt;div&gt;&lt;h5&gt;&lt;b&gt;Casting Time &lt;/b&gt;1 standard action&lt;/h5&gt;&lt;h5&gt;&lt;b&gt;Components &lt;/b&gt;V, S, M (a rotten egg or cabbage leaves)&lt;/h5&gt;&lt;/div&gt;&lt;hr/&gt;&lt;div&gt;&lt;h5&gt;&lt;b&gt;EFFECT&lt;/b&gt;&lt;/h5&gt;&lt;/div&gt;&lt;hr/&gt;&lt;div&gt;&lt;h5&gt;&lt;b&gt;Range &lt;/b&gt;medium (100 ft. + 10 ft./level)&lt;/h5&gt;&lt;h5&gt;&lt;b&gt;Targets &lt;/b&gt;one willing creature&lt;/h5&gt;&lt;h5&gt;&lt;b&gt;Duration &lt;/b&gt;1 round/level&lt;/h5&gt;&lt;h5&gt;&lt;b&gt;Saving Throw &lt;/b&gt;none and Fortitude negates (see text); &lt;b&gt;Spell Resistance &lt;/b&gt;no&lt;/h5&gt;&lt;/div&gt;&lt;hr/&gt;&lt;div&gt;&lt;h5&gt;&lt;b&gt;DESCRIPTION&lt;/b&gt;&lt;/h5&gt;&lt;/div&gt;&lt;hr/&gt;&lt;div&gt;&lt;h4&gt;&lt;p&gt;The target exudes stinking vapors that fill its space. The vapors do not obscure sight, but it nauseates creatures as &lt;i&gt;stinking cloud&lt;/i&gt;.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leaves.&lt;/p&gt;&lt;/h4&gt;&lt;/div&gt;</t>
  </si>
  <si>
    <t>Creature leaves a trail of stinking cloud squares.</t>
  </si>
  <si>
    <t>Path Of Glory</t>
  </si>
  <si>
    <t>touch (see text)</t>
  </si>
  <si>
    <t>four 5-ft. squares/level (see text)</t>
  </si>
  <si>
    <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t>
  </si>
  <si>
    <t>&lt;p&gt;You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damage.&lt;/p&gt;</t>
  </si>
  <si>
    <t>&lt;link rel="stylesheet"href="PF.css"&gt;&lt;div class="heading"&gt;&lt;p class="alignleft"&gt;Path Of Glory&lt;/p&gt;&lt;div style="clear: both;"&gt;&lt;/div&gt;&lt;/div&gt;&lt;div&gt;&lt;h5&gt;&lt;b&gt;School &lt;/b&gt;conjuration (healing); &lt;b&gt;Level &lt;/b&gt;bard 2, cleric/oracle 2&lt;/h5&gt;&lt;/div&gt;&lt;hr/&gt;&lt;div&gt;&lt;h5&gt;&lt;b&gt;CASTING&lt;/b&gt;&lt;/h5&gt;&lt;/div&gt;&lt;hr/&gt;&lt;div&gt;&lt;h5&gt;&lt;b&gt;Casting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text)&lt;/h5&gt;&lt;h5&gt;&lt;b&gt;Area &lt;/b&gt;four 5-ft. squares/level (see text)&lt;/h5&gt;&lt;h5&gt;&lt;b&gt;Duration &lt;/b&gt;1 round/level&lt;/h5&gt;&lt;h5&gt;&lt;b&gt;Saving Throw &lt;/b&gt;none; &lt;b&gt;Spell Resistance &lt;/b&gt;no&lt;/h5&gt;&lt;/div&gt;&lt;hr/&gt;&lt;div&gt;&lt;h5&gt;&lt;b&gt;DESCRIPTION&lt;/b&gt;&lt;/h5&gt;&lt;/div&gt;&lt;hr/&gt;&lt;div&gt;&lt;h4&gt;&lt;p&gt;You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damage.&lt;/p&gt;&lt;/h4&gt;&lt;/div&gt;</t>
  </si>
  <si>
    <t>Create an expanding glow that heals allies within it of 1 hp of damage.</t>
  </si>
  <si>
    <t>Path Of Glory, Greater</t>
  </si>
  <si>
    <t>This spell functions as path of glory, except as noted above, and a square provides 5 points of healing instead of 1.</t>
  </si>
  <si>
    <t>&lt;p&gt;This spell functions as &lt;i&gt;path of glory&lt;/i&gt;, except as noted above, and a square provides 5 points of healing instead of 1.&lt;/p&gt;</t>
  </si>
  <si>
    <t>&lt;link rel="stylesheet"href="PF.css"&gt;&lt;div class="heading"&gt;&lt;p class="alignleft"&gt;Path Of Glory, Greater&lt;/p&gt;&lt;div style="clear: both;"&gt;&lt;/div&gt;&lt;/div&gt;&lt;div&gt;&lt;h5&gt;&lt;b&gt;School &lt;/b&gt;conjuration (healing); &lt;b&gt;Level &lt;/b&gt;bard 4, cleric/oracle 4&lt;/h5&gt;&lt;/div&gt;&lt;hr/&gt;&lt;div&gt;&lt;h5&gt;&lt;b&gt;CASTING&lt;/b&gt;&lt;/h5&gt;&lt;/div&gt;&lt;hr/&gt;&lt;div&gt;&lt;h5&gt;&lt;b&gt;Casting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text)&lt;/h5&gt;&lt;h5&gt;&lt;b&gt;Area &lt;/b&gt;four 5-ft. squares/level (see text)&lt;/h5&gt;&lt;h5&gt;&lt;b&gt;Duration &lt;/b&gt;1 round/level&lt;/h5&gt;&lt;h5&gt;&lt;b&gt;Saving Throw &lt;/b&gt;none; &lt;b&gt;Spell Resistance &lt;/b&gt;no&lt;/h5&gt;&lt;/div&gt;&lt;hr/&gt;&lt;div&gt;&lt;h5&gt;&lt;b&gt;DESCRIPTION&lt;/b&gt;&lt;/h5&gt;&lt;/div&gt;&lt;hr/&gt;&lt;div&gt;&lt;h4&gt;&lt;p&gt;This spell functions as &lt;i&gt;path of glory&lt;/i&gt;, except as noted above, and a square provides 5 points of healing instead of 1.&lt;/p&gt;&lt;/h4&gt;&lt;/div&gt;</t>
  </si>
  <si>
    <t>Create an expanding glow that heals allies within it of 5 hp of damage.</t>
  </si>
  <si>
    <t>Persistent Vigor</t>
  </si>
  <si>
    <t>alchemist 4, cleric/oracle 4, inquisitor 4, shaman 4, witch 4, psychic 4</t>
  </si>
  <si>
    <t>V, S, M/DF (ginseng root shavings)</t>
  </si>
  <si>
    <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  If you fail a saving throw against a disease or poison effect, you can instantly dismiss this spell to reroll that saving throw with a +4 bonus; you must take the result of this reroll, even if it is lower.</t>
  </si>
  <si>
    <t>&lt;p&gt;You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effect).&lt;/p&gt;&lt;p&gt;If you fail a saving throw against a disease or poison effect, you can instantly dismiss this spell to reroll that saving throw with a +4 bonus; you must take the result of this reroll, even if it is lower.&lt;/p&gt;</t>
  </si>
  <si>
    <t>&lt;link rel="stylesheet"href="PF.css"&gt;&lt;div class="heading"&gt;&lt;p class="alignleft"&gt;Persistent Vigor&lt;/p&gt;&lt;div style="clear: both;"&gt;&lt;/div&gt;&lt;/div&gt;&lt;div&gt;&lt;h5&gt;&lt;b&gt;School &lt;/b&gt;transmutation; &lt;b&gt;Level &lt;/b&gt;alchemist 4, cleric/oracle 4, inquisitor 4, shaman 4, witch 4, psychic 4&lt;/h5&gt;&lt;/div&gt;&lt;hr/&gt;&lt;div&gt;&lt;h5&gt;&lt;b&gt;CASTING&lt;/b&gt;&lt;/h5&gt;&lt;/div&gt;&lt;hr/&gt;&lt;div&gt;&lt;h5&gt;&lt;b&gt;Casting Time &lt;/b&gt;1 standard action&lt;/h5&gt;&lt;h5&gt;&lt;b&gt;Components &lt;/b&gt;V, S, M/DF (ginseng root shavings)&lt;/h5&gt;&lt;/div&gt;&lt;hr/&gt;&lt;div&gt;&lt;h5&gt;&lt;b&gt;EFFECT&lt;/b&gt;&lt;/h5&gt;&lt;/div&gt;&lt;hr/&gt;&lt;div&gt;&lt;h5&gt;&lt;b&gt;Range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effect).&lt;/p&gt;&lt;p&gt;If you fail a saving throw against a disease or poison effect, you can instantly dismiss this spell to reroll that saving throw with a +4 bonus; you must take the result of this reroll, even if it is lower.&lt;/p&gt;&lt;/h4&gt;&lt;/div&gt;</t>
  </si>
  <si>
    <t>Gain fast healing 2, immunity to bleed, and faster recovery from diseases and poisons.</t>
  </si>
  <si>
    <t>Phantom Blood</t>
  </si>
  <si>
    <t>alchemist 1, bloodrager 1, magus 1, sorcerer/wizard 1, spiritualist 1</t>
  </si>
  <si>
    <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t>
  </si>
  <si>
    <t>&lt;p&gt;You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once.&lt;/p&gt;</t>
  </si>
  <si>
    <t>&lt;link rel="stylesheet"href="PF.css"&gt;&lt;div class="heading"&gt;&lt;p class="alignleft"&gt;Phantom Blood&lt;/p&gt;&lt;div style="clear: both;"&gt;&lt;/div&gt;&lt;/div&gt;&lt;div&gt;&lt;h5&gt;&lt;b&gt;School &lt;/b&gt;necromancy; &lt;b&gt;Level &lt;/b&gt;alchemist 1, bloodrager 1, magus 1, sorcerer/wizard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once.&lt;/p&gt;&lt;/h4&gt;&lt;/div&gt;</t>
  </si>
  <si>
    <t>Gain temporary hp if Con loss would knock you out or kill you.</t>
  </si>
  <si>
    <t>Pierce Disguise</t>
  </si>
  <si>
    <t>bard 3, shaman 3, sorcerer/wizard 3, witch 3, occultist 3, psychic 3</t>
  </si>
  <si>
    <t>You see through magical disguises (whether illusions or polymorph effects) of the same spell level or lower. This allows you to see the true forms of creatures magically disguised by such methods. The true form appears as a ghostly overlay on the creature's disguised appearance.</t>
  </si>
  <si>
    <t>&lt;p&gt;You see through magical disguises (whether illusions or polymorph effects) of the same spell level or lower. This allows you to see the true forms of creatures magically disguised by such methods. The true form appears as a ghostly overlay on the creature's disguised appearance.&lt;/p&gt;</t>
  </si>
  <si>
    <t>&lt;link rel="stylesheet"href="PF.css"&gt;&lt;div class="heading"&gt;&lt;p class="alignleft"&gt;Pierce Disguise&lt;/p&gt;&lt;div style="clear: both;"&gt;&lt;/div&gt;&lt;/div&gt;&lt;div&gt;&lt;h5&gt;&lt;b&gt;School &lt;/b&gt;divination; &lt;b&gt;Level &lt;/b&gt;bard 3, shaman 3, sorcerer/wizard 3, witch 3, occultist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see through magical disguises (whether illusions or polymorph effects) of the same spell level or lower. This allows you to see the true forms of creatures magically disguised by such methods. The true form appears as a ghostly overlay on the creature's disguised appearance.&lt;/p&gt;&lt;/h4&gt;&lt;/div&gt;</t>
  </si>
  <si>
    <t>See through low-level magical disguises.</t>
  </si>
  <si>
    <t>Planeslayer's Call</t>
  </si>
  <si>
    <t>mind-affecting, see text</t>
  </si>
  <si>
    <t>allies within a 20-ft.-radius burst centered on you</t>
  </si>
  <si>
    <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t>
  </si>
  <si>
    <t>&lt;p&gt;The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descriptor.&lt;/p&gt;</t>
  </si>
  <si>
    <t>&lt;link rel="stylesheet"href="PF.css"&gt;&lt;div class="heading"&gt;&lt;p class="alignleft"&gt;Planeslayer's Call&lt;/p&gt;&lt;div style="clear: both;"&gt;&lt;/div&gt;&lt;/div&gt;&lt;div&gt;&lt;h5&gt;&lt;b&gt;School &lt;/b&gt;enchantment (compulsion) [mind-affecting, see text]; &lt;b&gt;Level &lt;/b&gt;cleric/oracle 5, inquisitor 4, paladin 4&lt;/h5&gt;&lt;/div&gt;&lt;hr/&gt;&lt;div&gt;&lt;h5&gt;&lt;b&gt;CASTING&lt;/b&gt;&lt;/h5&gt;&lt;/div&gt;&lt;hr/&gt;&lt;div&gt;&lt;h5&gt;&lt;b&gt;Casting Time &lt;/b&gt;1 standard action&lt;/h5&gt;&lt;h5&gt;&lt;b&gt;Components &lt;/b&gt;V, S, DF&lt;/h5&gt;&lt;/div&gt;&lt;hr/&gt;&lt;div&gt;&lt;h5&gt;&lt;b&gt;EFFECT&lt;/b&gt;&lt;/h5&gt;&lt;/div&gt;&lt;hr/&gt;&lt;div&gt;&lt;h5&gt;&lt;b&gt;Range &lt;/b&gt;20 ft.&lt;/h5&gt;&lt;h5&gt;&lt;b&gt;Targets &lt;/b&gt;allies within a 20-ft.-radius burst centered on you&lt;/h5&gt;&lt;h5&gt;&lt;b&gt;Duration &lt;/b&gt;1 round/level&lt;/h5&gt;&lt;h5&gt;&lt;b&gt;Saving Throw &lt;/b&gt;none; &lt;b&gt;Spell Resistance &lt;/b&gt;yes&lt;/h5&gt;&lt;/div&gt;&lt;hr/&gt;&lt;div&gt;&lt;h5&gt;&lt;b&gt;DESCRIPTION&lt;/b&gt;&lt;/h5&gt;&lt;/div&gt;&lt;hr/&gt;&lt;div&gt;&lt;h4&gt;&lt;p&gt;The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descriptor.&lt;/p&gt;&lt;/h4&gt;&lt;/div&gt;</t>
  </si>
  <si>
    <t>Allies gain benefits against outsiders of an alignment you choose.</t>
  </si>
  <si>
    <t>Polymorph Familiar</t>
  </si>
  <si>
    <t>shaman 3, sorcerer/wizard 3, witch 3</t>
  </si>
  <si>
    <t>This spell functions as beast shape I, except it grants your familiar the form of any Small animal. Your familiar retains all of its special abilities and continues to grant you the special ability associated with its normal shape (such as a bat familiar's bonus on Fly checks). At caster level 7th, this spell functions as beast shape II. At caster level 9th, it functions as beast shape III. At caster level 11th, it functions as beast shape IV.</t>
  </si>
  <si>
    <t>&lt;p&gt;This spell functions as &lt;i&gt;beast shape I&lt;/i&gt;, except it grants your familiar the form of any Small animal. Your familiar retains all of its special abilities and continues to grant you the special ability associated with its normal shape (such as a bat familiar's bonus on Fly checks).&lt;/p&gt;&lt;p&gt;At caster level 7th, this spell functions as &lt;i&gt;beast shape II&lt;/i&gt;.&lt;/p&gt;&lt;p&gt;At caster level 9th, it functions as &lt;i&gt;beast shape III&lt;/i&gt;. At caster level 11th, it functions as &lt;i&gt;beast shape IV&lt;/i&gt;.&lt;/p&gt;</t>
  </si>
  <si>
    <t>&lt;link rel="stylesheet"href="PF.css"&gt;&lt;div class="heading"&gt;&lt;p class="alignleft"&gt;Polymorph Familiar&lt;/p&gt;&lt;div style="clear: both;"&gt;&lt;/div&gt;&lt;/div&gt;&lt;div&gt;&lt;h5&gt;&lt;b&gt;School &lt;/b&gt;transmutation (polymorph); &lt;b&gt;Level &lt;/b&gt;shaman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&lt;/b&gt;your familiar&lt;/h5&gt;&lt;h5&gt;&lt;b&gt;Duration &lt;/b&gt;1 minute/level (D)&lt;/h5&gt;&lt;h5&gt;&lt;b&gt;Saving Throw &lt;/b&gt;none; &lt;b&gt;Spell Resistance &lt;/b&gt;yes (harmless)&lt;/h5&gt;&lt;/div&gt;&lt;hr/&gt;&lt;div&gt;&lt;h5&gt;&lt;b&gt;DESCRIPTION&lt;/b&gt;&lt;/h5&gt;&lt;/div&gt;&lt;hr/&gt;&lt;div&gt;&lt;h4&gt;&lt;p&gt;This spell functions as &lt;i&gt;beast shape I&lt;/i&gt;, except it grants your familiar the form of any Small animal. Your familiar retains all of its special abilities and continues to grant you the special ability associated with its normal shape (such as a bat familiar's bonus on Fly checks).&lt;/p&gt;&lt;p&gt;At caster level 7th, this spell functions as &lt;i&gt;beast shape II&lt;/i&gt;.&lt;/p&gt;&lt;p&gt;At caster level 9th, it functions as &lt;i&gt;beast shape III&lt;/i&gt;. At caster level 11th, it functions as &lt;i&gt;beast shape IV&lt;/i&gt;.&lt;/p&gt;&lt;/h4&gt;&lt;/div&gt;</t>
  </si>
  <si>
    <t>Give your familiar the shape of another animal.</t>
  </si>
  <si>
    <t>Refine Improvised Weapon</t>
  </si>
  <si>
    <t>cleric/oracle 1, inquisitor 1, ranger 1, sorcerer/wizard 1, occultist 1</t>
  </si>
  <si>
    <t>one improvised weapon</t>
  </si>
  <si>
    <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t>
  </si>
  <si>
    <t>&lt;p&gt;You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cast.&lt;/p&gt;</t>
  </si>
  <si>
    <t>&lt;link rel="stylesheet"href="PF.css"&gt;&lt;div class="heading"&gt;&lt;p class="alignleft"&gt;Refine Improvised Weapon&lt;/p&gt;&lt;div style="clear: both;"&gt;&lt;/div&gt;&lt;/div&gt;&lt;div&gt;&lt;h5&gt;&lt;b&gt;School &lt;/b&gt;transmutation; &lt;b&gt;Level &lt;/b&gt;cleric/oracle 1, inquisitor 1, ranger 1, sorcerer/wizard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improvised weapon&lt;/h5&gt;&lt;h5&gt;&lt;b&gt;Duration &lt;/b&gt;1 hour/level (D)&lt;/h5&gt;&lt;h5&gt;&lt;b&gt;Saving Throw &lt;/b&gt;Will negates (harmless, object); &lt;b&gt;Spell Resistance &lt;/b&gt;yes (harmless, object)&lt;/h5&gt;&lt;/div&gt;&lt;hr/&gt;&lt;div&gt;&lt;h5&gt;&lt;b&gt;DESCRIPTION&lt;/b&gt;&lt;/h5&gt;&lt;/div&gt;&lt;hr/&gt;&lt;div&gt;&lt;h4&gt;&lt;p&gt;You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cast.&lt;/p&gt;&lt;/h4&gt;&lt;/div&gt;</t>
  </si>
  <si>
    <t>Transform improvised weapon into a masterwork simple or martial weapon.</t>
  </si>
  <si>
    <t>Repair Undead</t>
  </si>
  <si>
    <t>one undead creature touched (see text)</t>
  </si>
  <si>
    <t>When you touch an undead creature, you channel negative energy that heals 1d8 points of damage + 1 point per caster level (maximum +5). This spell has no effect on living creatures, except those that are healed by negative energy are also healed by the spell.</t>
  </si>
  <si>
    <t>&lt;p&gt;When you touch an undead creature, you channel negative energy that heals 1d8 points of damage + 1 point per caster level (maximum +5). This spell has no effect on living creatures, except those that are healed by negative energy are also healed by the spell.&lt;/p&gt;</t>
  </si>
  <si>
    <t>&lt;link rel="stylesheet"href="PF.css"&gt;&lt;div class="heading"&gt;&lt;p class="alignleft"&gt;Repair Undead&lt;/p&gt;&lt;div style="clear: both;"&gt;&lt;/div&gt;&lt;/div&gt;&lt;div&gt;&lt;h5&gt;&lt;b&gt;School &lt;/b&gt;necromancy; &lt;b&gt;Level &lt;/b&gt;sorcerer/wizard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undead creature touched (see text)&lt;/h5&gt;&lt;h5&gt;&lt;b&gt;Duration &lt;/b&gt;instantaneous&lt;/h5&gt;&lt;h5&gt;&lt;b&gt;Saving Throw &lt;/b&gt;Will half (harmless); &lt;b&gt;Spell Resistance &lt;/b&gt;yes (harmless)&lt;/h5&gt;&lt;/div&gt;&lt;hr/&gt;&lt;div&gt;&lt;h5&gt;&lt;b&gt;DESCRIPTION&lt;/b&gt;&lt;/h5&gt;&lt;/div&gt;&lt;hr/&gt;&lt;div&gt;&lt;h4&gt;&lt;p&gt;When you touch an undead creature, you channel negative energy that heals 1d8 points of damage + 1 point per caster level (maximum +5). This spell has no effect on living creatures, except those that are healed by negative energy are also healed by the spell.&lt;/p&gt;&lt;/h4&gt;&lt;/div&gt;</t>
  </si>
  <si>
    <t>Heals one undead of 1d8 hp + 1/level (max +5).</t>
  </si>
  <si>
    <t>Repair Undead, Mass</t>
  </si>
  <si>
    <t>sorcerer/wizard 5, spiritualist 5</t>
  </si>
  <si>
    <t>one undead creature/level, no two of which can be more than 30 ft. apart</t>
  </si>
  <si>
    <t>This spell functions as repair undead, except as noted above, and it cures 1d8 points of damage + 1 point per caster level (maximum +20) on each selected creature.</t>
  </si>
  <si>
    <t>&lt;p&gt;This spell functions as &lt;i&gt;repair undead&lt;/i&gt;, except as noted above, and it cures 1d8 points of damage + 1 point per caster level (maximum +20) on each selected creature.&lt;/p&gt;</t>
  </si>
  <si>
    <t>&lt;link rel="stylesheet"href="PF.css"&gt;&lt;div class="heading"&gt;&lt;p class="alignleft"&gt;Repair Undead, Mass&lt;/p&gt;&lt;div style="clear: both;"&gt;&lt;/div&gt;&lt;/div&gt;&lt;div&gt;&lt;h5&gt;&lt;b&gt;School &lt;/b&gt;necromancy; &lt;b&gt;Level &lt;/b&gt;sorcerer/wizard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undead creature/level, no two of which can be more than 30 ft. apart&lt;/h5&gt;&lt;h5&gt;&lt;b&gt;Duration &lt;/b&gt;instantaneous&lt;/h5&gt;&lt;h5&gt;&lt;b&gt;Saving Throw &lt;/b&gt;Will half (harmless); &lt;b&gt;Spell Resistance &lt;/b&gt;yes (harmless)&lt;/h5&gt;&lt;/div&gt;&lt;hr/&gt;&lt;div&gt;&lt;h5&gt;&lt;b&gt;DESCRIPTION&lt;/b&gt;&lt;/h5&gt;&lt;/div&gt;&lt;hr/&gt;&lt;div&gt;&lt;h4&gt;&lt;p&gt;This spell functions as &lt;i&gt;repair undead&lt;/i&gt;, except as noted above, and it cures 1d8 points of damage + 1 point per caster level (maximum +20) on each selected creature.&lt;/p&gt;&lt;/h4&gt;&lt;/div&gt;</t>
  </si>
  <si>
    <t>Heals undead of 1d8 hp + 1/level; affects 1 undead/level.</t>
  </si>
  <si>
    <t>River Whip</t>
  </si>
  <si>
    <t>magus 2, sorcerer/wizard 2, witch 2</t>
  </si>
  <si>
    <t>whip of water</t>
  </si>
  <si>
    <t>1 minute/level (D) or until discharged (see text)</t>
  </si>
  <si>
    <t>You create a coil of flowing fresh water, functioning a whip appropriate for your size, except you make a melee touch attack instead of a regular attack. Anything you strike with the whip takes damage and is doused with 1 pint of water.  A creature with the fire subtype takes an additional 1d6 points of damage. If the target is on fire, it gains a +2 bonus on its next saving throw to extinguish the flames.  After you have successfully used the whip to hit a creature a number of times equal to your caster level, the water is expended and the spell is discharged. The water created by this spell is otherwise identical to that produced by create water.</t>
  </si>
  <si>
    <t>&lt;p&gt;You create a coil of flowing fresh water, functioning a whip appropriate for your size, except you make a melee touch attack instead of a regular attack. Anything you strike with the whip takes damage and is doused with 1 pint of water.&lt;/p&gt;&lt;p&gt;A creature with the fire subtype takes an additional 1d6 points of damage. If the target is on fire, it gains a +2 bonus on its next saving throw to extinguish the flames.&lt;/p&gt;&lt;p&gt;After you have successfully used the whip to hit a creature a number of times equal to your caster level, the water is expended and the spell is discharged. The water created by this spell is otherwise identical to that produced by &lt;i&gt;create water&lt;/i&gt;.&lt;/p&gt;</t>
  </si>
  <si>
    <t>&lt;link rel="stylesheet"href="PF.css"&gt;&lt;div class="heading"&gt;&lt;p class="alignleft"&gt;River Whip&lt;/p&gt;&lt;div style="clear: both;"&gt;&lt;/div&gt;&lt;/div&gt;&lt;div&gt;&lt;h5&gt;&lt;b&gt;School &lt;/b&gt;conjuration (creation) [water]; &lt;b&gt;Level &lt;/b&gt;magus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water&lt;/h5&gt;&lt;h5&gt;&lt;b&gt;Duration &lt;/b&gt;1 minute/level (D) or until discharged (see text)&lt;/h5&gt;&lt;h5&gt;&lt;b&gt;Saving Throw &lt;/b&gt;none; &lt;b&gt;Spell Resistance &lt;/b&gt;no&lt;/h5&gt;&lt;/div&gt;&lt;hr/&gt;&lt;div&gt;&lt;h5&gt;&lt;b&gt;DESCRIPTION&lt;/b&gt;&lt;/h5&gt;&lt;/div&gt;&lt;hr/&gt;&lt;div&gt;&lt;h4&gt;&lt;p&gt;You create a coil of flowing fresh water, functioning a whip appropriate for your size, except you make a melee touch attack instead of a regular attack. Anything you strike with the whip takes damage and is doused with 1 pint of water.&lt;/p&gt;&lt;p&gt;A creature with the fire subtype takes an additional 1d6 points of damage. If the target is on fire, it gains a +2 bonus on its next saving throw to extinguish the flames.&lt;/p&gt;&lt;p&gt;After you have successfully used the whip to hit a creature a number of times equal to your caster level, the water is expended and the spell is discharged. The water created by this spell is otherwise identical to that produced by &lt;i&gt;create water&lt;/i&gt;.&lt;/p&gt;&lt;/h4&gt;&lt;/div&gt;</t>
  </si>
  <si>
    <t>Create a whip of water that you wield as a weapon.</t>
  </si>
  <si>
    <t>Sense Spirit Magic</t>
  </si>
  <si>
    <t>shaman 1</t>
  </si>
  <si>
    <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t>
  </si>
  <si>
    <t>&lt;p&gt;You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attacks.&lt;/p&gt;</t>
  </si>
  <si>
    <t>&lt;link rel="stylesheet"href="PF.css"&gt;&lt;div class="heading"&gt;&lt;p class="alignleft"&gt;Sense Spirit Magic&lt;/p&gt;&lt;div style="clear: both;"&gt;&lt;/div&gt;&lt;/div&gt;&lt;div&gt;&lt;h5&gt;&lt;b&gt;School &lt;/b&gt;divination; &lt;b&gt;Level &lt;/b&gt;shaman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hours&lt;/h5&gt;&lt;h5&gt;&lt;b&gt;Saving Throw &lt;/b&gt;none; &lt;b&gt;Spell Resistance &lt;/b&gt;no&lt;/h5&gt;&lt;/div&gt;&lt;hr/&gt;&lt;div&gt;&lt;h5&gt;&lt;b&gt;DESCRIPTION&lt;/b&gt;&lt;/h5&gt;&lt;/div&gt;&lt;hr/&gt;&lt;div&gt;&lt;h4&gt;&lt;p&gt;You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attacks.&lt;/p&gt;&lt;/h4&gt;&lt;/div&gt;</t>
  </si>
  <si>
    <t>Gain bonuses on identifying and resisting spells associated with your spirits.</t>
  </si>
  <si>
    <t>Shield Companion</t>
  </si>
  <si>
    <t>paladin 2, ranger 2, shaman 2, sorcerer/wizard 3, summoner 3</t>
  </si>
  <si>
    <t>your companion creature</t>
  </si>
  <si>
    <t>This spell creates a special mystical connection between you and your companion creature-animal companion, bonded mount, eidolon, or familiar-which allows you to transfer its wounds to you. The creature gains a +1 deflection bonus to AC and a +1 resistance bonus on saves.  As an immediate action when your companion takes damage, you can take that damage yourself to prevent your companion from being harmed (similar to shield other,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  If you and your companion move out of range of each other, the spell ends.</t>
  </si>
  <si>
    <t>&lt;p&gt;This spell creates a special mystical connection between you and your companion creature-animal companion, bonded mount, eidolon, or familiar-which allows you to transfer its wounds to you. The creature gains a +1 deflection bonus to AC and a +1 resistance bonus on saves.&lt;/p&gt;&lt;p&gt;As an immediate action when your companion takes damage, you can take that damage yourself to prevent your companion from being harmed (similar to &lt;i&gt;shield other&lt;/i&gt;,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subject.&lt;/p&gt;&lt;p&gt;If you and your companion move out of range of each other, the spell ends.&lt;/p&gt;</t>
  </si>
  <si>
    <t>&lt;link rel="stylesheet"href="PF.css"&gt;&lt;div class="heading"&gt;&lt;p class="alignleft"&gt;Shield Companion&lt;/p&gt;&lt;div style="clear: both;"&gt;&lt;/div&gt;&lt;/div&gt;&lt;div&gt;&lt;h5&gt;&lt;b&gt;School &lt;/b&gt;abjuration; &lt;b&gt;Level &lt;/b&gt;paladin 2, ranger 2, shaman 2, sorcerer/wizard 3, summoner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&lt;/b&gt;your companion creature&lt;/h5&gt;&lt;h5&gt;&lt;b&gt;Duration &lt;/b&gt;1 hour/level (D)&lt;/h5&gt;&lt;h5&gt;&lt;b&gt;Saving Throw &lt;/b&gt;Will negates (harmless); &lt;b&gt;Spell Resistance &lt;/b&gt;yes (harmless)&lt;/h5&gt;&lt;/div&gt;&lt;hr/&gt;&lt;div&gt;&lt;h5&gt;&lt;b&gt;DESCRIPTION&lt;/b&gt;&lt;/h5&gt;&lt;/div&gt;&lt;hr/&gt;&lt;div&gt;&lt;h4&gt;&lt;p&gt;This spell creates a special mystical connection between you and your companion creature-animal companion, bonded mount, eidolon, or familiar-which allows you to transfer its wounds to you. The creature gains a +1 deflection bonus to AC and a +1 resistance bonus on saves.&lt;/p&gt;&lt;p&gt;As an immediate action when your companion takes damage, you can take that damage yourself to prevent your companion from being harmed (similar to &lt;i&gt;shield other&lt;/i&gt;,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subject.&lt;/p&gt;&lt;p&gt;If you and your companion move out of range of each other, the spell ends.&lt;/p&gt;&lt;/h4&gt;&lt;/div&gt;</t>
  </si>
  <si>
    <t>As shield other, but affecting your companion creature.</t>
  </si>
  <si>
    <t>Shield Of Fortification</t>
  </si>
  <si>
    <t>cleric/oracle 2, inquisitor 1, paladin 1, psychic 2</t>
  </si>
  <si>
    <t>You create a magical barrier that protects a target's vital areas. When the target is struck by a critical hit or a sneak attack, there is a 25% chance that the critical hit or sneak attack is negated and damage is instead rolled normally.  This benefit does not stack with other effects that can turn critical hits or sneak attacks into normal attacks, such as the fortification armor special ability.</t>
  </si>
  <si>
    <t>&lt;p&gt;You create a magical barrier that protects a target's vital areas. When the target is struck by a critical hit or a sneak attack, there is a 25% chance that the critical hit or sneak attack is negated and damage is instead rolled normally.&lt;/p&gt;&lt;p&gt;This benefit does not stack with other effects that can turn critical hits or sneak attacks into normal attacks, such as the &lt;i&gt;fortification&lt;/i&gt; armor special ability.&lt;/p&gt;</t>
  </si>
  <si>
    <t>&lt;link rel="stylesheet"href="PF.css"&gt;&lt;div class="heading"&gt;&lt;p class="alignleft"&gt;Shield Of Fortification&lt;/p&gt;&lt;div style="clear: both;"&gt;&lt;/div&gt;&lt;/div&gt;&lt;div&gt;&lt;h5&gt;&lt;b&gt;School &lt;/b&gt;abjuration; &lt;b&gt;Level &lt;/b&gt;cleric/oracle 2, inquisitor 1, paladin 1, psychic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create a magical barrier that protects a target's vital areas. When the target is struck by a critical hit or a sneak attack, there is a 25% chance that the critical hit or sneak attack is negated and damage is instead rolled normally.&lt;/p&gt;&lt;p&gt;This benefit does not stack with other effects that can turn critical hits or sneak attacks into normal attacks, such as the &lt;i&gt;fortification&lt;/i&gt; armor special ability.&lt;/p&gt;&lt;/h4&gt;&lt;/div&gt;</t>
  </si>
  <si>
    <t>Target gains a 25% chance to treat critical hits and sneak attacks as normal hits.</t>
  </si>
  <si>
    <t>Shield Of Fortification, Greater</t>
  </si>
  <si>
    <t>cleric/oracle 4, inquisitor 3, paladin 3, psychic 4</t>
  </si>
  <si>
    <t>This spell functions as shield of fortification, except there is a 50% chance that the critical hit or sneak attack is negated and damage is instead be rolled normally, rather than 25%.</t>
  </si>
  <si>
    <t>&lt;p&gt;This spell functions as &lt;i&gt;shield of fortification&lt;/i&gt;, except there is a 50% chance that the critical hit or sneak attack is negated and damage is instead be rolled normally, rather than 25%.&lt;/p&gt;</t>
  </si>
  <si>
    <t>&lt;link rel="stylesheet"href="PF.css"&gt;&lt;div class="heading"&gt;&lt;p class="alignleft"&gt;Shield Of Fortification, Greater&lt;/p&gt;&lt;div style="clear: both;"&gt;&lt;/div&gt;&lt;/div&gt;&lt;div&gt;&lt;h5&gt;&lt;b&gt;School &lt;/b&gt;abjuration; &lt;b&gt;Level &lt;/b&gt;cleric/oracle 4, inquisitor 3, paladin 3,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functions as &lt;i&gt;shield of fortification&lt;/i&gt;, except there is a 50% chance that the critical hit or sneak attack is negated and damage is instead be rolled normally, rather than 25%.&lt;/p&gt;&lt;/h4&gt;&lt;/div&gt;</t>
  </si>
  <si>
    <t>Target gains a 50% chance to treat critical hits and sneak attacks as normal hits.</t>
  </si>
  <si>
    <t>Sickening Entanglement</t>
  </si>
  <si>
    <t>druid 2, ranger 2, shaman 2</t>
  </si>
  <si>
    <t>Reflex partial and Fortitude negates (see  text)</t>
  </si>
  <si>
    <t>This spell functions as entangle,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t>
  </si>
  <si>
    <t>&lt;p&gt;This spell functions as &lt;i&gt;entangle&lt;/i&gt;,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effect.&lt;/p&gt;</t>
  </si>
  <si>
    <t>&lt;link rel="stylesheet"href="PF.css"&gt;&lt;div class="heading"&gt;&lt;p class="alignleft"&gt;Sickening Entanglement&lt;/p&gt;&lt;div style="clear: both;"&gt;&lt;/div&gt;&lt;/div&gt;&lt;div&gt;&lt;h5&gt;&lt;b&gt;School &lt;/b&gt;transmutation [poison]; &lt;b&gt;Level &lt;/b&gt;druid 2, ranger 2, shaman 2&lt;/h5&gt;&lt;/div&gt;&lt;hr/&gt;&lt;div&gt;&lt;h5&gt;&lt;b&gt;CASTING&lt;/b&gt;&lt;/h5&gt;&lt;/div&gt;&lt;hr/&gt;&lt;div&gt;&lt;h5&gt;&lt;b&gt;Casting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and Fortitude negates (see  text); &lt;b&gt;Spell Resistance &lt;/b&gt;no&lt;/h5&gt;&lt;/div&gt;&lt;hr/&gt;&lt;div&gt;&lt;h5&gt;&lt;b&gt;DESCRIPTION&lt;/b&gt;&lt;/h5&gt;&lt;/div&gt;&lt;hr/&gt;&lt;div&gt;&lt;h4&gt;&lt;p&gt;This spell functions as &lt;i&gt;entangle&lt;/i&gt;,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effect.&lt;/p&gt;&lt;/h4&gt;&lt;/div&gt;</t>
  </si>
  <si>
    <t>As entangle, but plants have sickening sap.</t>
  </si>
  <si>
    <t>Silent Table</t>
  </si>
  <si>
    <t>bard 2, cleric/oracle 2, sorcerer/wizard 2, witch 2, psychic 2, mesmerist 2</t>
  </si>
  <si>
    <t>5-ft.-diameter emanation centered on an object or a point in space</t>
  </si>
  <si>
    <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t>
  </si>
  <si>
    <t>&lt;p&gt;You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it.&lt;/p&gt;</t>
  </si>
  <si>
    <t>&lt;link rel="stylesheet"href="PF.css"&gt;&lt;div class="heading"&gt;&lt;p class="alignleft"&gt;Silent Table&lt;/p&gt;&lt;div style="clear: both;"&gt;&lt;/div&gt;&lt;/div&gt;&lt;div&gt;&lt;h5&gt;&lt;b&gt;School &lt;/b&gt;illusion (glamer); &lt;b&gt;Level &lt;/b&gt;bard 2, cleric/oracle 2, sorcerer/wizard 2, witch 2, psychic 2, mesmerist 2&lt;/h5&gt;&lt;/div&gt;&lt;hr/&gt;&lt;div&gt;&lt;h5&gt;&lt;b&gt;CASTING&lt;/b&gt;&lt;/h5&gt;&lt;/div&gt;&lt;hr/&gt;&lt;div&gt;&lt;h5&gt;&lt;b&gt;Casting Time &lt;/b&gt;1 round&lt;/h5&gt;&lt;h5&gt;&lt;b&gt;Components &lt;/b&gt;V&lt;/h5&gt;&lt;/div&gt;&lt;hr/&gt;&lt;div&gt;&lt;h5&gt;&lt;b&gt;EFFECT&lt;/b&gt;&lt;/h5&gt;&lt;/div&gt;&lt;hr/&gt;&lt;div&gt;&lt;h5&gt;&lt;b&gt;Range &lt;/b&gt;close (25 ft. + 5 ft./2 levels)&lt;/h5&gt;&lt;h5&gt;&lt;b&gt;Area &lt;/b&gt;5-ft.-diameter emanation centered on an object or a point in space&lt;/h5&gt;&lt;h5&gt;&lt;b&gt;Duration &lt;/b&gt;1 minute/level (D)&lt;/h5&gt;&lt;h5&gt;&lt;b&gt;Saving Throw &lt;/b&gt;none (object); &lt;b&gt;Spell Resistance &lt;/b&gt;no (object)&lt;/h5&gt;&lt;/div&gt;&lt;hr/&gt;&lt;div&gt;&lt;h5&gt;&lt;b&gt;DESCRIPTION&lt;/b&gt;&lt;/h5&gt;&lt;/div&gt;&lt;hr/&gt;&lt;div&gt;&lt;h4&gt;&lt;p&gt;You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it.&lt;/p&gt;&lt;/h4&gt;&lt;/div&gt;</t>
  </si>
  <si>
    <t>Give yourself privacy by muffling sound.</t>
  </si>
  <si>
    <t>Silver Darts</t>
  </si>
  <si>
    <t>bloodrager 3, magus 3, sorcerer/wizard 3, witch 3</t>
  </si>
  <si>
    <t>V, S, M (a silver needle)</t>
  </si>
  <si>
    <t>A cone of silver darts springs from your hand. These darts act as a silver weapon that deals 1d6 points of piercing damage per caster level (maximum 10d6). Any creature with an armor bonus greater than +4 or a natural armor bonus greater than +4 takes 50% less damage.</t>
  </si>
  <si>
    <t>&lt;p&gt;A cone of silver darts springs from your hand. These darts act as a silver weapon that deals 1d6 points of piercing damage per caster level (maximum 10d6). Any creature with an armor bonus greater than +4 or a natural armor bonus greater than +4 takes 50% less damage.&lt;/p&gt;</t>
  </si>
  <si>
    <t>&lt;link rel="stylesheet"href="PF.css"&gt;&lt;div class="heading"&gt;&lt;p class="alignleft"&gt;Silver Darts&lt;/p&gt;&lt;div style="clear: both;"&gt;&lt;/div&gt;&lt;/div&gt;&lt;div&gt;&lt;h5&gt;&lt;b&gt;School &lt;/b&gt;conjuration (creation); &lt;b&gt;Level &lt;/b&gt;bloodrager 3, magus 3, sorcerer/wizard 3, witch 3&lt;/h5&gt;&lt;/div&gt;&lt;hr/&gt;&lt;div&gt;&lt;h5&gt;&lt;b&gt;CASTING&lt;/b&gt;&lt;/h5&gt;&lt;/div&gt;&lt;hr/&gt;&lt;div&gt;&lt;h5&gt;&lt;b&gt;Casting Time &lt;/b&gt;1 standard action&lt;/h5&gt;&lt;h5&gt;&lt;b&gt;Components &lt;/b&gt;V, S, M (a silver needle)&lt;/h5&gt;&lt;/div&gt;&lt;hr/&gt;&lt;div&gt;&lt;h5&gt;&lt;b&gt;EFFECT&lt;/b&gt;&lt;/h5&gt;&lt;/div&gt;&lt;hr/&gt;&lt;div&gt;&lt;h5&gt;&lt;b&gt;Range &lt;/b&gt;15 ft.&lt;/h5&gt;&lt;h5&gt;&lt;b&gt;Area &lt;/b&gt;cone-shaped burst&lt;/h5&gt;&lt;h5&gt;&lt;b&gt;Duration &lt;/b&gt;instantaneous&lt;/h5&gt;&lt;h5&gt;&lt;b&gt;Saving Throw &lt;/b&gt;Reflex half; &lt;b&gt;Spell Resistance &lt;/b&gt;yes&lt;/h5&gt;&lt;/div&gt;&lt;hr/&gt;&lt;div&gt;&lt;h5&gt;&lt;b&gt;DESCRIPTION&lt;/b&gt;&lt;/h5&gt;&lt;/div&gt;&lt;hr/&gt;&lt;div&gt;&lt;h4&gt;&lt;p&gt;A cone of silver darts springs from your hand. These darts act as a silver weapon that deals 1d6 points of piercing damage per caster level (maximum 10d6). Any creature with an armor bonus greater than +4 or a natural armor bonus greater than +4 takes 50% less damage.&lt;/p&gt;&lt;/h4&gt;&lt;/div&gt;</t>
  </si>
  <si>
    <t>Cone of silver darts deals 1d6 piercing damage/level, more against unarmored targets.</t>
  </si>
  <si>
    <t>Slowing Mud</t>
  </si>
  <si>
    <t>V, S, M (earth and water)</t>
  </si>
  <si>
    <t>You coat the targets in thick, sticky mud. The mud acts as a slow spell and also blinds the targets. A creature can use a standard action to remove the mud from its eyes or the eyes of an adjacent creature, ending the blinded condition for that individual. Removing enough mud to end the slow effect is a full-round action. Jumping into a lake or being subject to an effect that creates a lot of water (such as create water or hydraulic pushAPG) removes all the mud in 1 round.  A haste effect cast on a creature slowed by the mud allows it to act normally for the duration of the haste. Slow does not stack with the effects of slowing mud. This spell cannot counter or dispel haste.</t>
  </si>
  <si>
    <t>&lt;p&gt;You coat the targets in thick, sticky mud. The mud acts as a &lt;i&gt;slow&lt;/i&gt; spell and also blinds the targets. A creature can use a standard action to remove the mud from its eyes or the eyes of an adjacent creature, ending the blinded condition for that individual. Removing enough mud to end the &lt;i&gt;slow&lt;/i&gt; effect is a full-round action. Jumping into a lake or being subject to an effect that creates a lot of water (such as &lt;i&gt;create water&lt;/i&gt; or &lt;i&gt;hydraulic&lt;/i&gt; pushAPG) removes all the mud in 1 round.&lt;/p&gt;&lt;p&gt;A &lt;i&gt;haste&lt;/i&gt; effect cast on a creature &lt;i&gt;slow&lt;/i&gt;ed by the mud allows it to act normally for the duration of the &lt;i&gt;haste&lt;/i&gt;. &lt;i&gt;Slow&lt;/i&gt; does not stack with the effects of &lt;i&gt;slow&lt;/i&gt;ing mud. This spell cannot counter or dispel &lt;i&gt;haste&lt;/i&gt;.&lt;/p&gt;</t>
  </si>
  <si>
    <t>&lt;link rel="stylesheet"href="PF.css"&gt;&lt;div class="heading"&gt;&lt;p class="alignleft"&gt;Slowing Mud&lt;/p&gt;&lt;div style="clear: both;"&gt;&lt;/div&gt;&lt;/div&gt;&lt;div&gt;&lt;h5&gt;&lt;b&gt;School &lt;/b&gt;conjuration (creation); &lt;b&gt;Level &lt;/b&gt;druid 4, shaman 4&lt;/h5&gt;&lt;/div&gt;&lt;hr/&gt;&lt;div&gt;&lt;h5&gt;&lt;b&gt;CASTING&lt;/b&gt;&lt;/h5&gt;&lt;/div&gt;&lt;hr/&gt;&lt;div&gt;&lt;h5&gt;&lt;b&gt;Casting Time &lt;/b&gt;1 standard action&lt;/h5&gt;&lt;h5&gt;&lt;b&gt;Components &lt;/b&gt;V, S, M (earth and water)&lt;/h5&gt;&lt;/div&gt;&lt;hr/&gt;&lt;div&gt;&lt;h5&gt;&lt;b&gt;EFFECT&lt;/b&gt;&lt;/h5&gt;&lt;/div&gt;&lt;hr/&gt;&lt;div&gt;&lt;h5&gt;&lt;b&gt;Range &lt;/b&gt;close (25 ft. + 5 ft./2 levels)&lt;/h5&gt;&lt;h5&gt;&lt;b&gt;Targets &lt;/b&gt;one creature/level, no two of which can be more than 30 ft. apart&lt;/h5&gt;&lt;h5&gt;&lt;b&gt;Duration &lt;/b&gt;1 round/level (see text)&lt;/h5&gt;&lt;h5&gt;&lt;b&gt;Saving Throw &lt;/b&gt;Fortitude negates; &lt;b&gt;Spell Resistance &lt;/b&gt;yes&lt;/h5&gt;&lt;/div&gt;&lt;hr/&gt;&lt;div&gt;&lt;h5&gt;&lt;b&gt;DESCRIPTION&lt;/b&gt;&lt;/h5&gt;&lt;/div&gt;&lt;hr/&gt;&lt;div&gt;&lt;h4&gt;&lt;p&gt;You coat the targets in thick, sticky mud. The mud acts as a &lt;i&gt;slow&lt;/i&gt; spell and also blinds the targets. A creature can use a standard action to remove the mud from its eyes or the eyes of an adjacent creature, ending the blinded condition for that individual. Removing enough mud to end the &lt;i&gt;slow&lt;/i&gt; effect is a full-round action. Jumping into a lake or being subject to an effect that creates a lot of water (such as &lt;i&gt;create water&lt;/i&gt; or &lt;i&gt;hydraulic&lt;/i&gt; pushAPG) removes all the mud in 1 round.&lt;/p&gt;&lt;p&gt;A &lt;i&gt;haste&lt;/i&gt; effect cast on a creature &lt;i&gt;slow&lt;/i&gt;ed by the mud allows it to act normally for the duration of the &lt;i&gt;haste&lt;/i&gt;. &lt;i&gt;Slow&lt;/i&gt; does not stack with the effects of &lt;i&gt;slow&lt;/i&gt;ing mud. This spell cannot counter or dispel &lt;i&gt;haste&lt;/i&gt;.&lt;/p&gt;&lt;/h4&gt;&lt;/div&gt;</t>
  </si>
  <si>
    <t>Targets are covered in mud that blinds them and acts like slow.</t>
  </si>
  <si>
    <t>Sonic Form</t>
  </si>
  <si>
    <t>alchemist 6, bard 6, sorcerer/wizard 6, psychic 6</t>
  </si>
  <si>
    <t>V, S, M (a pinch of dust gathered from a</t>
  </si>
  <si>
    <t>gravestone or a sacred shrine)</t>
  </si>
  <si>
    <t>Range personal   you</t>
  </si>
  <si>
    <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  You cannot enter an area of silence. If you are in the area of a silence spell, you take 1d6 points of sonic damage per caster level of the silence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t>
  </si>
  <si>
    <t>&lt;p&gt;Upon casting this spell, you keep your relative shape, but you and your equipment are transformed into semisolid sound.&lt;/p&gt;&lt;p&gt;While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normal.&lt;/p&gt;&lt;p&gt;You cannot enter an area of &lt;i&gt;silence&lt;/i&gt;. If you are in the area of a &lt;i&gt;silence&lt;/i&gt; spell, you take 1d6 points of sonic damage per caster level of the &lt;i&gt;silence&lt;/i&gt; spell in the round it is cast and in each round when you end your turn within the spell's area.&lt;/p&gt;&lt;p&gt;You can attempt a Fortitude saving throw each round to take half damage.&lt;/p&gt;&lt;p&gt;If this spell's duration ends when you are in a square that a creature of your size cannot normally occupy, you take 3d6 points of damage and are shunted to the nearest open space that you can normally occupy.&lt;/p&gt;</t>
  </si>
  <si>
    <t>&lt;link rel="stylesheet"href="PF.css"&gt;&lt;div class="heading"&gt;&lt;p class="alignleft"&gt;Sonic Form&lt;/p&gt;&lt;div style="clear: both;"&gt;&lt;/div&gt;&lt;/div&gt;&lt;div&gt;&lt;h5&gt;&lt;b&gt;School &lt;/b&gt;transmutation (polymorph) [sonic]; &lt;b&gt;Level &lt;/b&gt;alchemist 6, bard 6, sorcerer/wizard 6, psychic 6&lt;/h5&gt;&lt;/div&gt;&lt;hr/&gt;&lt;div&gt;&lt;h5&gt;&lt;b&gt;CASTING&lt;/b&gt;&lt;/h5&gt;&lt;/div&gt;&lt;hr/&gt;&lt;div&gt;&lt;h5&gt;&lt;b&gt;Casting Time &lt;/b&gt;1 standard action&lt;/h5&gt;&lt;h5&gt;&lt;b&gt;Components &lt;/b&gt;V, S, M (a pinch of dust gathered from a&lt;/h5&gt;&lt;/div&gt;&lt;hr/&gt;&lt;div&gt;&lt;h5&gt;&lt;b&gt;EFFECT&lt;/b&gt;&lt;/h5&gt;&lt;/div&gt;&lt;hr/&gt;&lt;div&gt;&lt;h5&gt;&lt;b&gt;Range &lt;/b&gt;gravestone or a sacred shrine)&lt;/h5&gt;&lt;h5&gt;&lt;b&gt;Targets &lt;/b&gt;Range personal   you&lt;/h5&gt;&lt;h5&gt;&lt;b&gt;Duration &lt;/b&gt;1 round/level&lt;/h5&gt;&lt;/div&gt;&lt;hr/&gt;&lt;div&gt;&lt;h5&gt;&lt;b&gt;DESCRIPTION&lt;/b&gt;&lt;/h5&gt;&lt;/div&gt;&lt;hr/&gt;&lt;div&gt;&lt;h4&gt;&lt;p&gt;Upon casting this spell, you keep your relative shape, but you and your equipment are transformed into semisolid sound.&lt;/p&gt;&lt;p&gt;While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normal.&lt;/p&gt;&lt;p&gt;You cannot enter an area of &lt;i&gt;silence&lt;/i&gt;. If you are in the area of a &lt;i&gt;silence&lt;/i&gt; spell, you take 1d6 points of sonic damage per caster level of the &lt;i&gt;silence&lt;/i&gt; spell in the round it is cast and in each round when you end your turn within the spell's area.&lt;/p&gt;&lt;p&gt;You can attempt a Fortitude saving throw each round to take half damage.&lt;/p&gt;&lt;p&gt;If this spell's duration ends when you are in a square that a creature of your size cannot normally occupy, you take 3d6 points of damage and are shunted to the nearest open space that you can normally occupy.&lt;/p&gt;&lt;/h4&gt;&lt;/div&gt;</t>
  </si>
  <si>
    <t>Turn yourself into a creature of semisolid sound.</t>
  </si>
  <si>
    <t>Sonic Scream</t>
  </si>
  <si>
    <t>bard 2, bloodrager 2, magus 2, sorcerer/wizard 2, psychic 2</t>
  </si>
  <si>
    <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t>
  </si>
  <si>
    <t>&lt;p&gt;Up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shout.&lt;/p&gt;</t>
  </si>
  <si>
    <t>&lt;link rel="stylesheet"href="PF.css"&gt;&lt;div class="heading"&gt;&lt;p class="alignleft"&gt;Sonic Scream&lt;/p&gt;&lt;div style="clear: both;"&gt;&lt;/div&gt;&lt;/div&gt;&lt;div&gt;&lt;h5&gt;&lt;b&gt;School &lt;/b&gt;evocation [sonic]; &lt;b&gt;Level &lt;/b&gt;bard 2, bloodrager 2, magus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&lt;/b&gt;1 round/level or until discharged (see text)&lt;/h5&gt;&lt;h5&gt;&lt;b&gt;Saving Throw &lt;/b&gt;Reflex half (see text); &lt;b&gt;Spell Resistance &lt;/b&gt;yes&lt;/h5&gt;&lt;/div&gt;&lt;hr/&gt;&lt;div&gt;&lt;h5&gt;&lt;b&gt;DESCRIPTION&lt;/b&gt;&lt;/h5&gt;&lt;/div&gt;&lt;hr/&gt;&lt;div&gt;&lt;h4&gt;&lt;p&gt;Up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shout.&lt;/p&gt;&lt;/h4&gt;&lt;/div&gt;</t>
  </si>
  <si>
    <t>Create a cone of damaging sound at will.</t>
  </si>
  <si>
    <t>Speak With Haunt</t>
  </si>
  <si>
    <t>cleric/oracle 4, shaman 3, witch 4, psychic 4, spiritualist 4</t>
  </si>
  <si>
    <t>10 ft. (see text)</t>
  </si>
  <si>
    <t>one haunt</t>
  </si>
  <si>
    <t>You stir a haunt (Pathfinder RPG GameMastery Guide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  If the haunt's alignment is more than one step away from yours, the haunt can attempt a Will save to resist the spell.  A haunt's Will save modifier is equal to 3 + the haunt's CR.  If the save is successful, the haunt can refuse to answer your questions or attempt to deceive you (using Bluff). A haunt's Bluff modifier equals its CR (minimum +0) or might be determined by the GM based upon the original victim.  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  If a haunt has been subject to this spell within the past week, a new casting of this spell on it fails. You can cast this on a haunt that has been deceased for any amount of time.  Unlike a corpse affected by speak with dead, a haunt wants to express itself, if only to share its pain or to cause mischief.</t>
  </si>
  <si>
    <t>&lt;p&gt;You stir a haunt (&lt;i&gt;Pathfinder RPG GameMastery Guide&lt;/i&gt;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vindictive.&lt;/p&gt;&lt;p&gt;If the haunt's alignment is more than one step away from yours, the haunt can attempt a Will save to resist the spell.&lt;/p&gt;&lt;p&gt;A haunt's Will save modifier is equal to 3 + the haunt's CR.&lt;/p&gt;&lt;p&gt;If the save is successful, the haunt can refuse to answer your questions or attempt to deceive you (using Bluff). A haunt's Bluff modifier equals its CR (minimum +0) or might be determined by the GM based upon the original victim.&lt;/p&gt;&lt;p&gt;The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suffering.&lt;/p&gt;&lt;p&gt;If a haunt has been subject to this spell within the past week, a new casting of this spell on it fails. You can cast this on a haunt that has been deceased for any amount of time.&lt;/p&gt;&lt;p&gt;Unlike a corpse affected by &lt;i&gt;speak with dead&lt;/i&gt;, a haunt wants to express itself, if only to share its pain or to cause mischief.&lt;/p&gt;</t>
  </si>
  <si>
    <t>&lt;link rel="stylesheet"href="PF.css"&gt;&lt;div class="heading"&gt;&lt;p class="alignleft"&gt;Speak With Haunt&lt;/p&gt;&lt;div style="clear: both;"&gt;&lt;/div&gt;&lt;/div&gt;&lt;div&gt;&lt;h5&gt;&lt;b&gt;School &lt;/b&gt;necromancy [language-dependent]; &lt;b&gt;Level &lt;/b&gt;cleric/oracle 4, shaman 3, witch 4, psychic 4, spiritualist 4&lt;/h5&gt;&lt;/div&gt;&lt;hr/&gt;&lt;div&gt;&lt;h5&gt;&lt;b&gt;CASTING&lt;/b&gt;&lt;/h5&gt;&lt;/div&gt;&lt;hr/&gt;&lt;div&gt;&lt;h5&gt;&lt;b&gt;Casting Time &lt;/b&gt;10 minutes&lt;/h5&gt;&lt;h5&gt;&lt;b&gt;Components &lt;/b&gt;V, S, DF&lt;/h5&gt;&lt;/div&gt;&lt;hr/&gt;&lt;div&gt;&lt;h5&gt;&lt;b&gt;EFFECT&lt;/b&gt;&lt;/h5&gt;&lt;/div&gt;&lt;hr/&gt;&lt;div&gt;&lt;h5&gt;&lt;b&gt;Range &lt;/b&gt;10 ft. (see text)&lt;/h5&gt;&lt;h5&gt;&lt;b&gt;Targets &lt;/b&gt;one haunt&lt;/h5&gt;&lt;h5&gt;&lt;b&gt;Duration &lt;/b&gt;1 minute/level&lt;/h5&gt;&lt;h5&gt;&lt;b&gt;Saving Throw &lt;/b&gt;Will negates (see text); &lt;b&gt;Spell Resistance &lt;/b&gt;no&lt;/h5&gt;&lt;/div&gt;&lt;hr/&gt;&lt;div&gt;&lt;h5&gt;&lt;b&gt;DESCRIPTION&lt;/b&gt;&lt;/h5&gt;&lt;/div&gt;&lt;hr/&gt;&lt;div&gt;&lt;h4&gt;&lt;p&gt;You stir a haunt (&lt;i&gt;Pathfinder RPG GameMastery Guide&lt;/i&gt;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vindictive.&lt;/p&gt;&lt;p&gt;If the haunt's alignment is more than one step away from yours, the haunt can attempt a Will save to resist the spell.&lt;/p&gt;&lt;p&gt;A haunt's Will save modifier is equal to 3 + the haunt's CR.&lt;/p&gt;&lt;p&gt;If the save is successful, the haunt can refuse to answer your questions or attempt to deceive you (using Bluff). A haunt's Bluff modifier equals its CR (minimum +0) or might be determined by the GM based upon the original victim.&lt;/p&gt;&lt;p&gt;The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suffering.&lt;/p&gt;&lt;p&gt;If a haunt has been subject to this spell within the past week, a new casting of this spell on it fails. You can cast this on a haunt that has been deceased for any amount of time.&lt;/p&gt;&lt;p&gt;Unlike a corpse affected by &lt;i&gt;speak with dead&lt;/i&gt;, a haunt wants to express itself, if only to share its pain or to cause mischief.&lt;/p&gt;&lt;/h4&gt;&lt;/div&gt;</t>
  </si>
  <si>
    <t>Haunt answers one question/2 levels.</t>
  </si>
  <si>
    <t>Spellcrash, Lesser</t>
  </si>
  <si>
    <t>cleric/oracle 4, sorcerer/wizard 4, witch 4, psychic 4</t>
  </si>
  <si>
    <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t>
  </si>
  <si>
    <t>&lt;p&gt;You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slots.&lt;/p&gt;</t>
  </si>
  <si>
    <t>&lt;link rel="stylesheet"href="PF.css"&gt;&lt;div class="heading"&gt;&lt;p class="alignleft"&gt;Spellcrash, Lesser&lt;/p&gt;&lt;div style="clear: both;"&gt;&lt;/div&gt;&lt;/div&gt;&lt;div&gt;&lt;h5&gt;&lt;b&gt;School &lt;/b&gt;abjuration; &lt;b&gt;Level &lt;/b&gt;cleric/oracle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slots.&lt;/p&gt;&lt;/h4&gt;&lt;/div&gt;</t>
  </si>
  <si>
    <t>Target loses a 3rd-level prepared spell or spell slot.</t>
  </si>
  <si>
    <t>Spellcrash, Greater</t>
  </si>
  <si>
    <t>This spell functions as lesser spellcrash, except it affects 7th-level or lower prepared spells or spell slots.</t>
  </si>
  <si>
    <t>&lt;p&gt;This spell functions as &lt;i&gt;lesser spellcrash&lt;/i&gt;, except it affects 7th-level or lower prepared spells or spell slots.&lt;/p&gt;</t>
  </si>
  <si>
    <t>&lt;link rel="stylesheet"href="PF.css"&gt;&lt;div class="heading"&gt;&lt;p class="alignleft"&gt;Spellcrash, Greater&lt;/p&gt;&lt;div style="clear: both;"&gt;&lt;/div&gt;&lt;/div&gt;&lt;div&gt;&lt;h5&gt;&lt;b&gt;School &lt;/b&gt;abjuration;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&lt;/b&gt;yes&lt;/h5&gt;&lt;/div&gt;&lt;hr/&gt;&lt;div&gt;&lt;h5&gt;&lt;b&gt;DESCRIPTION&lt;/b&gt;&lt;/h5&gt;&lt;/div&gt;&lt;hr/&gt;&lt;div&gt;&lt;h4&gt;&lt;p&gt;This spell functions as &lt;i&gt;lesser spellcrash&lt;/i&gt;, except it affects 7th-level or lower prepared spells or spell slots.&lt;/p&gt;&lt;/h4&gt;&lt;/div&gt;</t>
  </si>
  <si>
    <t>Target loses a 7th-level prepared spell or spell slot.</t>
  </si>
  <si>
    <t>Spellcrash</t>
  </si>
  <si>
    <t>cleric/oracle 6, sorcerer/wizard 6, witch 6, psychic 6</t>
  </si>
  <si>
    <t>This spell functions as lesser spellcrash, except it affects 5th-level or lower prepared spells or spell slots.</t>
  </si>
  <si>
    <t>&lt;p&gt;This spell functions as &lt;i&gt;lesser spellcrash&lt;/i&gt;, except it affects 5th-level or lower prepared spells or spell slots.&lt;/p&gt;</t>
  </si>
  <si>
    <t>&lt;link rel="stylesheet"href="PF.css"&gt;&lt;div class="heading"&gt;&lt;p class="alignleft"&gt;Spellcrash&lt;/p&gt;&lt;div style="clear: both;"&gt;&lt;/div&gt;&lt;/div&gt;&lt;div&gt;&lt;h5&gt;&lt;b&gt;School &lt;/b&gt;abjuration; &lt;b&gt;Level &lt;/b&gt;cleric/oracle 6, sorcerer/wizard 6, witch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&lt;/b&gt;yes&lt;/h5&gt;&lt;/div&gt;&lt;hr/&gt;&lt;div&gt;&lt;h5&gt;&lt;b&gt;DESCRIPTION&lt;/b&gt;&lt;/h5&gt;&lt;/div&gt;&lt;hr/&gt;&lt;div&gt;&lt;h4&gt;&lt;p&gt;This spell functions as &lt;i&gt;lesser spellcrash&lt;/i&gt;, except it affects 5th-level or lower prepared spells or spell slots.&lt;/p&gt;&lt;/h4&gt;&lt;/div&gt;</t>
  </si>
  <si>
    <t>Target loses a 5th-level prepared spell or spell slot.</t>
  </si>
  <si>
    <t>Stench Of Prey</t>
  </si>
  <si>
    <t>druid 3, ranger 3, shaman 3</t>
  </si>
  <si>
    <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(Core Rulebook 97) or any effect that suspends or dispels emotion or rage effects.  This spell has no effect on constructs, undead, or creatures with the unnatural aura ability or effects that repel animals.</t>
  </si>
  <si>
    <t>&lt;p&gt;The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(&lt;i&gt;Core Rulebook&lt;/i&gt; 97) or any effect that suspends or dispels emotion or rage effects.&lt;/p&gt;&lt;p&gt;This spell has no effect on constructs, undead, or creatures with the unnatural aura ability or effects that repel animals.&lt;/p&gt;</t>
  </si>
  <si>
    <t>&lt;link rel="stylesheet"href="PF.css"&gt;&lt;div class="heading"&gt;&lt;p class="alignleft"&gt;Stench Of Prey&lt;/p&gt;&lt;div style="clear: both;"&gt;&lt;/div&gt;&lt;/div&gt;&lt;div&gt;&lt;h5&gt;&lt;b&gt;School &lt;/b&gt;transmutation; &lt;b&gt;Level &lt;/b&gt;druid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 (see text)&lt;/h5&gt;&lt;h5&gt;&lt;b&gt;Duration &lt;/b&gt;1 minute/level&lt;/h5&gt;&lt;h5&gt;&lt;b&gt;Saving Throw &lt;/b&gt;Fortitude negates (see text); &lt;b&gt;Spell Resistance &lt;/b&gt;yes&lt;/h5&gt;&lt;/div&gt;&lt;hr/&gt;&lt;div&gt;&lt;h5&gt;&lt;b&gt;DESCRIPTION&lt;/b&gt;&lt;/h5&gt;&lt;/div&gt;&lt;hr/&gt;&lt;div&gt;&lt;h4&gt;&lt;p&gt;The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(&lt;i&gt;Core Rulebook&lt;/i&gt; 97) or any effect that suspends or dispels emotion or rage effects.&lt;/p&gt;&lt;p&gt;This spell has no effect on constructs, undead, or creatures with the unnatural aura ability or effects that repel animals.&lt;/p&gt;&lt;/h4&gt;&lt;/div&gt;</t>
  </si>
  <si>
    <t>Predatory animals must successfully save or attack the target.</t>
  </si>
  <si>
    <t>Stone Discus</t>
  </si>
  <si>
    <t>bloodrager 2, druid 2, magus 2, sorcerer/wizard 2, witch 2</t>
  </si>
  <si>
    <t>V, S, M (a pinch of earth or metal)</t>
  </si>
  <si>
    <t>one or more stone discuses</t>
  </si>
  <si>
    <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  At caster level 5th, the discuses count as magic and silver.  At caster level 10th, they also count as cold iron. At caster level 15th, they also count as adamantine.</t>
  </si>
  <si>
    <t>&lt;p&gt;You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simultaneously.&lt;/p&gt;&lt;p&gt;At caster level 5th, the discuses count as magic and silver.&lt;/p&gt;&lt;p&gt;At caster level 10th, they also count as cold iron. At caster level 15th, they also count as adamantine.&lt;/p&gt;</t>
  </si>
  <si>
    <t>&lt;link rel="stylesheet"href="PF.css"&gt;&lt;div class="heading"&gt;&lt;p class="alignleft"&gt;Stone Discus&lt;/p&gt;&lt;div style="clear: both;"&gt;&lt;/div&gt;&lt;/div&gt;&lt;div&gt;&lt;h5&gt;&lt;b&gt;School &lt;/b&gt;conjuration (creation) [earth]; &lt;b&gt;Level &lt;/b&gt;bloodrager 2, druid 2, magus 2, sorcerer/wizard 2, witch 2&lt;/h5&gt;&lt;/div&gt;&lt;hr/&gt;&lt;div&gt;&lt;h5&gt;&lt;b&gt;CASTING&lt;/b&gt;&lt;/h5&gt;&lt;/div&gt;&lt;hr/&gt;&lt;div&gt;&lt;h5&gt;&lt;b&gt;Casting Time &lt;/b&gt;1 standard action&lt;/h5&gt;&lt;h5&gt;&lt;b&gt;Components &lt;/b&gt;V, S, M (a pinch of earth or metal)&lt;/h5&gt;&lt;/div&gt;&lt;hr/&gt;&lt;div&gt;&lt;h5&gt;&lt;b&gt;EFFECT&lt;/b&gt;&lt;/h5&gt;&lt;/div&gt;&lt;hr/&gt;&lt;div&gt;&lt;h5&gt;&lt;b&gt;Range &lt;/b&gt;close (25 ft. + 5 ft./2 levels)&lt;/h5&gt;&lt;h5&gt;&lt;b&gt;Effect &lt;/b&gt;one or more stone discuses&lt;/h5&gt;&lt;h5&gt;&lt;b&gt;Duration &lt;/b&gt;Instantaneous&lt;/h5&gt;&lt;h5&gt;&lt;b&gt;Saving Throw &lt;/b&gt;none; &lt;b&gt;Spell Resistance &lt;/b&gt;no&lt;/h5&gt;&lt;/div&gt;&lt;hr/&gt;&lt;div&gt;&lt;h5&gt;&lt;b&gt;DESCRIPTION&lt;/b&gt;&lt;/h5&gt;&lt;/div&gt;&lt;hr/&gt;&lt;div&gt;&lt;h4&gt;&lt;p&gt;You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simultaneously.&lt;/p&gt;&lt;p&gt;At caster level 5th, the discuses count as magic and silver.&lt;/p&gt;&lt;p&gt;At caster level 10th, they also count as cold iron. At caster level 15th, they also count as adamantine.&lt;/p&gt;&lt;/h4&gt;&lt;/div&gt;</t>
  </si>
  <si>
    <t>Flying discus deals bludgeoning or slashing damage.</t>
  </si>
  <si>
    <t>Stricken Heart</t>
  </si>
  <si>
    <t>inquisitor 2, shaman 3, sorcerer/wizard 2, witch 2, psychic 2, mesmerist 2, spiritualist 2</t>
  </si>
  <si>
    <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t>
  </si>
  <si>
    <t>&lt;p&gt;This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effect.&lt;/p&gt;</t>
  </si>
  <si>
    <t>&lt;link rel="stylesheet"href="PF.css"&gt;&lt;div class="heading"&gt;&lt;p class="alignleft"&gt;Stricken Heart&lt;/p&gt;&lt;div style="clear: both;"&gt;&lt;/div&gt;&lt;/div&gt;&lt;div&gt;&lt;h5&gt;&lt;b&gt;School &lt;/b&gt;necromancy [death]; &lt;b&gt;Level &lt;/b&gt;inquisitor 2, shaman 3, sorcerer/wizard 2, witch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effect.&lt;/p&gt;&lt;/h4&gt;&lt;/div&gt;</t>
  </si>
  <si>
    <t>Touch attack deals 2d6 damage and staggers target.</t>
  </si>
  <si>
    <t>Stunning Barrier</t>
  </si>
  <si>
    <t>cleric/oracle 1, inquisitor 1, paladin 1, sorcerer/wizard 1, psychic 1</t>
  </si>
  <si>
    <t>You are closely surrounded by a barely visible magical field.  The field provides a +1 deflection bonus to AC and a +1 resistance bonus on saves. Any creature that strikes you with a melee attack is stunned for 1 round (Will negates). Once the field has stunned an opponent, the spell is discharged.</t>
  </si>
  <si>
    <t>&lt;p&gt;You are closely surrounded by a barely visible magical field.&lt;/p&gt;&lt;p&gt;The field provides a +1 deflection bonus to AC and a +1 resistance bonus on saves. Any creature that strikes you with a melee attack is stunned for 1 round (Will negates). Once the field has stunned an opponent, the spell is discharged.&lt;/p&gt;</t>
  </si>
  <si>
    <t>&lt;link rel="stylesheet"href="PF.css"&gt;&lt;div class="heading"&gt;&lt;p class="alignleft"&gt;Stunning Barrier&lt;/p&gt;&lt;div style="clear: both;"&gt;&lt;/div&gt;&lt;/div&gt;&lt;div&gt;&lt;h5&gt;&lt;b&gt;School &lt;/b&gt;abjuration; &lt;b&gt;Level &lt;/b&gt;cleric/oracle 1, inquisitor 1, paladin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or until discharged&lt;/h5&gt;&lt;h5&gt;&lt;b&gt;Saving Throw &lt;/b&gt;none and Will negates (see text); &lt;b&gt;Spell Resistance &lt;/b&gt;no and yes (see text)&lt;/h5&gt;&lt;/div&gt;&lt;hr/&gt;&lt;div&gt;&lt;h5&gt;&lt;b&gt;DESCRIPTION&lt;/b&gt;&lt;/h5&gt;&lt;/div&gt;&lt;hr/&gt;&lt;div&gt;&lt;h4&gt;&lt;p&gt;You are closely surrounded by a barely visible magical field.&lt;/p&gt;&lt;p&gt;The field provides a +1 deflection bonus to AC and a +1 resistance bonus on saves. Any creature that strikes you with a melee attack is stunned for 1 round (Will negates). Once the field has stunned an opponent, the spell is discharged.&lt;/p&gt;&lt;/h4&gt;&lt;/div&gt;</t>
  </si>
  <si>
    <t>Magical field grants a +1 bonus to AC and on saves, and stuns one creature attacking you.</t>
  </si>
  <si>
    <t>Stunning Barrier, Greater</t>
  </si>
  <si>
    <t>cleric/oracle 3, inquisitor 3, paladin 3, sorcerer/wizard 3, psychic 3</t>
  </si>
  <si>
    <t>This spell functions as stunning barrier, except as noted above, and it provides a +2 bonus to AC and on saving throws. It is not discharged until it has stunned a number of creatures equal to your caster level.</t>
  </si>
  <si>
    <t>&lt;p&gt;This spell functions as &lt;i&gt;stunning barrier&lt;/i&gt;, except as noted above, and it provides a +2 bonus to AC and on saving throws. It is not discharged until it has stunned a number of creatures equal to your caster level.&lt;/p&gt;</t>
  </si>
  <si>
    <t>&lt;link rel="stylesheet"href="PF.css"&gt;&lt;div class="heading"&gt;&lt;p class="alignleft"&gt;Stunning Barrier, Greater&lt;/p&gt;&lt;div style="clear: both;"&gt;&lt;/div&gt;&lt;/div&gt;&lt;div&gt;&lt;h5&gt;&lt;b&gt;School &lt;/b&gt;abjuration; &lt;b&gt;Level &lt;/b&gt;cleric/oracle 3, inquisitor 3, paladin 3,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or until discharged&lt;/h5&gt;&lt;h5&gt;&lt;b&gt;Saving Throw &lt;/b&gt;none and Will negates (see text); &lt;b&gt;Spell Resistance &lt;/b&gt;no and yes (see text)&lt;/h5&gt;&lt;/div&gt;&lt;hr/&gt;&lt;div&gt;&lt;h5&gt;&lt;b&gt;DESCRIPTION&lt;/b&gt;&lt;/h5&gt;&lt;/div&gt;&lt;hr/&gt;&lt;div&gt;&lt;h4&gt;&lt;p&gt;This spell functions as &lt;i&gt;stunning barrier&lt;/i&gt;, except as noted above, and it provides a +2 bonus to AC and on saving throws. It is not discharged until it has stunned a number of creatures equal to your caster level.&lt;/p&gt;&lt;/h4&gt;&lt;/div&gt;</t>
  </si>
  <si>
    <t>Magical field grants a +2 bonus to AC and on saves, and stuns multiple creatures attacking you.</t>
  </si>
  <si>
    <t>Sunder Breaker</t>
  </si>
  <si>
    <t>magus 1, sorcerer/wizard 1, psychic 1</t>
  </si>
  <si>
    <t>Will negates (harmless) and see text</t>
  </si>
  <si>
    <t>yes (harmless) and see text</t>
  </si>
  <si>
    <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  The ward on the target counts as a magical trap and can be detected and disabled as such.</t>
  </si>
  <si>
    <t>&lt;p&gt;You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damage.&lt;/p&gt;&lt;p&gt;The ward on the target counts as a magical trap and can be detected and disabled as such.&lt;/p&gt;</t>
  </si>
  <si>
    <t>&lt;link rel="stylesheet"href="PF.css"&gt;&lt;div class="heading"&gt;&lt;p class="alignleft"&gt;Sunder Breaker&lt;/p&gt;&lt;div style="clear: both;"&gt;&lt;/div&gt;&lt;/div&gt;&lt;div&gt;&lt;h5&gt;&lt;b&gt;School &lt;/b&gt;abjuration [force]; &lt;b&gt;Level &lt;/b&gt;magus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(D) or until discharged&lt;/h5&gt;&lt;h5&gt;&lt;b&gt;Saving Throw &lt;/b&gt;Will negates (harmless) and see text; &lt;b&gt;Spell Resistance &lt;/b&gt;yes (harmless) and see text&lt;/h5&gt;&lt;/div&gt;&lt;hr/&gt;&lt;div&gt;&lt;h5&gt;&lt;b&gt;DESCRIPTION&lt;/b&gt;&lt;/h5&gt;&lt;/div&gt;&lt;hr/&gt;&lt;div&gt;&lt;h4&gt;&lt;p&gt;You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damage.&lt;/p&gt;&lt;p&gt;The ward on the target counts as a magical trap and can be detected and disabled as such.&lt;/p&gt;&lt;/h4&gt;&lt;/div&gt;</t>
  </si>
  <si>
    <t>The next weapon that sunders an item belonging to the target takes damage.</t>
  </si>
  <si>
    <t>Sundering Shards</t>
  </si>
  <si>
    <t>bloodrager 1, magus 1, sorcerer/wizard 1, witch 1, occultist 1, psychic 1</t>
  </si>
  <si>
    <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t>
  </si>
  <si>
    <t>&lt;p&gt;You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discharged.&lt;/p&gt;</t>
  </si>
  <si>
    <t>&lt;link rel="stylesheet"href="PF.css"&gt;&lt;div class="heading"&gt;&lt;p class="alignleft"&gt;Sundering Shards&lt;/p&gt;&lt;div style="clear: both;"&gt;&lt;/div&gt;&lt;/div&gt;&lt;div&gt;&lt;h5&gt;&lt;b&gt;School &lt;/b&gt;transmutation; &lt;b&gt;Level &lt;/b&gt;bloodrager 1, magus 1, sorcerer/wizard 1, witch 1, occultist 1, psychic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&lt;/b&gt;melee weapon touched&lt;/h5&gt;&lt;h5&gt;&lt;b&gt;Duration &lt;/b&gt;1 hour/level or until discharged&lt;/h5&gt;&lt;h5&gt;&lt;b&gt;Saving Throw &lt;/b&gt;Reflex negates (see text); &lt;b&gt;Spell Resistance &lt;/b&gt;yes&lt;/h5&gt;&lt;/div&gt;&lt;hr/&gt;&lt;div&gt;&lt;h5&gt;&lt;b&gt;DESCRIPTION&lt;/b&gt;&lt;/h5&gt;&lt;/div&gt;&lt;hr/&gt;&lt;div&gt;&lt;h4&gt;&lt;p&gt;You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discharged.&lt;/p&gt;&lt;/h4&gt;&lt;/div&gt;</t>
  </si>
  <si>
    <t>Sundered item explodes, dealing 1d6 damage to adjacent creatures.</t>
  </si>
  <si>
    <t>Symbol Of Laughter</t>
  </si>
  <si>
    <t>sorcerer/wizard 4, witch 4, occultist 3, mesmerist 3</t>
  </si>
  <si>
    <t>This spell functions as symbol of death, except that all creatures within 60 feet are affected with uncontrollable laughter (as hideous laughter) for 1 round per caster level.  Unlike symbol of death, symbol of laughter has no hit point limit; once it is triggered, a symbol of laughter remains active for 1 minute per caster level.  Symbol of laughter can be made permanent with a permanency spell by a caster of 10th level or higher at a cost of 5,000 gp.</t>
  </si>
  <si>
    <t>&lt;p&gt;This spell functions as &lt;i&gt;symbol of death&lt;/i&gt;, except that all creatures within 60 feet are affected with uncontrollable laughter (as &lt;i&gt;hideous&lt;/i&gt; laughter) for 1 round per caster level.&lt;/p&gt;&lt;p&gt;Unlike &lt;i&gt;symbol of death&lt;/i&gt;, &lt;i&gt;symbol of laughter&lt;/i&gt; has no hit point limit; once it is triggered, a &lt;i&gt;symbol of laughter&lt;/i&gt; remains active for 1 minute per caster level.&lt;/p&gt;&lt;p&gt;&lt;i&gt;Symbol of laughter&lt;/i&gt; can be made permanent with a &lt;i&gt;permanency&lt;/i&gt; spell by a caster of 10th level or higher at a cost of 5,000 gp.&lt;/p&gt;</t>
  </si>
  <si>
    <t>&lt;link rel="stylesheet"href="PF.css"&gt;&lt;div class="heading"&gt;&lt;p class="alignleft"&gt;Symbol Of Laughter&lt;/p&gt;&lt;div style="clear: both;"&gt;&lt;/div&gt;&lt;/div&gt;&lt;div&gt;&lt;h5&gt;&lt;b&gt;School &lt;/b&gt;enchantment (charm) [mind-affecting]; &lt;b&gt;Level &lt;/b&gt;sorcerer/wizard 4, witch 4, occultist 3, mesmerist 3&lt;/h5&gt;&lt;/div&gt;&lt;hr/&gt;&lt;div&gt;&lt;h5&gt;&lt;b&gt;CASTING&lt;/b&gt;&lt;/h5&gt;&lt;/div&gt;&lt;hr/&gt;&lt;div&gt;&lt;h5&gt;&lt;b&gt;Casting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that all creatures within 60 feet are affected with uncontrollable laughter (as &lt;i&gt;hideous&lt;/i&gt; laughter) for 1 round per caster level.&lt;/p&gt;&lt;p&gt;Unlike &lt;i&gt;symbol of death&lt;/i&gt;, &lt;i&gt;symbol of laughter&lt;/i&gt; has no hit point limit; once it is triggered, a &lt;i&gt;symbol of laughter&lt;/i&gt; remains active for 1 minute per caster level.&lt;/p&gt;&lt;p&gt;&lt;i&gt;Symbol of laughter&lt;/i&gt; can be made permanent with a &lt;i&gt;permanency&lt;/i&gt; spell by a caster of 10th level or higher at a cost of 5,000 gp.&lt;/p&gt;&lt;/h4&gt;&lt;/div&gt;</t>
  </si>
  <si>
    <t>Triggered rune makes nearby creatures lose actions for 1 round/level.</t>
  </si>
  <si>
    <t>Thorn Javelin</t>
  </si>
  <si>
    <t>javelin-like thorn</t>
  </si>
  <si>
    <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  If an attack reduces the remaining duration to 0 minutes or less, the spell ends after that attack resolves.</t>
  </si>
  <si>
    <t>&lt;p&gt;A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minute.&lt;/p&gt;&lt;p&gt;If an attack reduces the remaining duration to 0 minutes or less, the spell ends after that attack resolves.&lt;/p&gt;</t>
  </si>
  <si>
    <t>&lt;link rel="stylesheet"href="PF.css"&gt;&lt;div class="heading"&gt;&lt;p class="alignleft"&gt;Thorn Javelin&lt;/p&gt;&lt;div style="clear: both;"&gt;&lt;/div&gt;&lt;/div&gt;&lt;div&gt;&lt;h5&gt;&lt;b&gt;School &lt;/b&gt;conjuration (creation) [poison]; &lt;b&gt;Level &lt;/b&gt;druid 1, ranger 1, shaman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&lt;/b&gt;javelin-like thorn&lt;/h5&gt;&lt;h5&gt;&lt;b&gt;Duration &lt;/b&gt;1 minute/level (D)&lt;/h5&gt;&lt;h5&gt;&lt;b&gt;Saving Throw &lt;/b&gt;none; &lt;b&gt;Spell Resistance &lt;/b&gt;no&lt;/h5&gt;&lt;/div&gt;&lt;hr/&gt;&lt;div&gt;&lt;h5&gt;&lt;b&gt;DESCRIPTION&lt;/b&gt;&lt;/h5&gt;&lt;/div&gt;&lt;hr/&gt;&lt;div&gt;&lt;h4&gt;&lt;p&gt;A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minute.&lt;/p&gt;&lt;p&gt;If an attack reduces the remaining duration to 0 minutes or less, the spell ends after that attack resolves.&lt;/p&gt;&lt;/h4&gt;&lt;/div&gt;</t>
  </si>
  <si>
    <t>Wield a javelin that sickens opponents when it strikes.</t>
  </si>
  <si>
    <t>Thorns (2)</t>
  </si>
  <si>
    <t>Thorny Entanglement</t>
  </si>
  <si>
    <t>druid 3, ranger 3, shaman 3, witch 3</t>
  </si>
  <si>
    <t>This spell functions as entangle,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t>
  </si>
  <si>
    <t>&lt;p&gt;This spell functions as &lt;i&gt;entangle&lt;/i&gt;,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damage.&lt;/p&gt;</t>
  </si>
  <si>
    <t>&lt;link rel="stylesheet"href="PF.css"&gt;&lt;div class="heading"&gt;&lt;p class="alignleft"&gt;Thorny Entanglement&lt;/p&gt;&lt;div style="clear: both;"&gt;&lt;/div&gt;&lt;/div&gt;&lt;div&gt;&lt;h5&gt;&lt;b&gt;School &lt;/b&gt;transmutation; &lt;b&gt;Level &lt;/b&gt;druid 3, ranger 3, shaman 3, witch 3&lt;/h5&gt;&lt;/div&gt;&lt;hr/&gt;&lt;div&gt;&lt;h5&gt;&lt;b&gt;CASTING&lt;/b&gt;&lt;/h5&gt;&lt;/div&gt;&lt;hr/&gt;&lt;div&gt;&lt;h5&gt;&lt;b&gt;Casting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functions as &lt;i&gt;entangle&lt;/i&gt;,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damage.&lt;/p&gt;&lt;/h4&gt;&lt;/div&gt;</t>
  </si>
  <si>
    <t>As entangle, plus plants make ranged attacks.</t>
  </si>
  <si>
    <t>Thorns (6)</t>
  </si>
  <si>
    <t>Thunderstomp</t>
  </si>
  <si>
    <t>bloodrager 1, druid 1, magus 1, ranger 1, sorcerer/wizard 1</t>
  </si>
  <si>
    <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t>
  </si>
  <si>
    <t>&lt;p&gt;You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floor.&lt;/p&gt;</t>
  </si>
  <si>
    <t>&lt;link rel="stylesheet"href="PF.css"&gt;&lt;div class="heading"&gt;&lt;p class="alignleft"&gt;Thunderstomp&lt;/p&gt;&lt;div style="clear: both;"&gt;&lt;/div&gt;&lt;/div&gt;&lt;div&gt;&lt;h5&gt;&lt;b&gt;School &lt;/b&gt;evocation [earth]; &lt;b&gt;Level &lt;/b&gt;bloodrager 1, druid 1, magus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floor.&lt;/p&gt;&lt;/h4&gt;&lt;/div&gt;</t>
  </si>
  <si>
    <t>Trip one creature within range.</t>
  </si>
  <si>
    <t>Thunderstomp, Greater</t>
  </si>
  <si>
    <t>bloodrager 3, druid 3, magus 3, ranger 3, sorcerer/wizard 3</t>
  </si>
  <si>
    <t>This spell functions as thunderstomp, except as noted. It allows you target multiple creatures with this spell, including creatures more than one size category larger than you. When you attempt the combat maneuver check, apply its result to each creature within the area.</t>
  </si>
  <si>
    <t>&lt;p&gt;This spell functions as &lt;i&gt;thunderstomp&lt;/i&gt;, except as noted. It allows you target multiple creatures with this spell, including creatures more than one size category larger than you. When you attempt the combat maneuver check, apply its result to each creature within the area.&lt;/p&gt;</t>
  </si>
  <si>
    <t>&lt;link rel="stylesheet"href="PF.css"&gt;&lt;div class="heading"&gt;&lt;p class="alignleft"&gt;Thunderstomp, Greater&lt;/p&gt;&lt;div style="clear: both;"&gt;&lt;/div&gt;&lt;/div&gt;&lt;div&gt;&lt;h5&gt;&lt;b&gt;School &lt;/b&gt;evocation [earth]; &lt;b&gt;Level &lt;/b&gt;bloodrager 3, druid 3, magus 3, ranger 3, sorcerer/wizard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line&lt;/h5&gt;&lt;h5&gt;&lt;b&gt;Duration &lt;/b&gt;instantaneous&lt;/h5&gt;&lt;h5&gt;&lt;b&gt;Saving Throw &lt;/b&gt;none; &lt;b&gt;Spell Resistance &lt;/b&gt;yes&lt;/h5&gt;&lt;/div&gt;&lt;hr/&gt;&lt;div&gt;&lt;h5&gt;&lt;b&gt;DESCRIPTION&lt;/b&gt;&lt;/h5&gt;&lt;/div&gt;&lt;hr/&gt;&lt;div&gt;&lt;h4&gt;&lt;p&gt;This spell functions as &lt;i&gt;thunderstomp&lt;/i&gt;, except as noted. It allows you target multiple creatures with this spell, including creatures more than one size category larger than you. When you attempt the combat maneuver check, apply its result to each creature within the area.&lt;/p&gt;&lt;/h4&gt;&lt;/div&gt;</t>
  </si>
  <si>
    <t>Trip multiple creatures within range.</t>
  </si>
  <si>
    <t>Time Shudder</t>
  </si>
  <si>
    <t>V, S, M (a tiny hourglass)</t>
  </si>
  <si>
    <t>You cause a ripple in time that affects all creatures in the area.  At the start of each creature's turn, there is a 50% chance the creature is hasted (as haste); otherwise it is slowed (as slow).</t>
  </si>
  <si>
    <t>&lt;p&gt;You cause a ripple in time that affects all creatures in the area.&lt;/p&gt;&lt;p&gt;At the start of each creature's turn, there is a 50% chance the creature is hasted (as haste); otherwise it is slowed (as slow).&lt;/p&gt;</t>
  </si>
  <si>
    <t>&lt;link rel="stylesheet"href="PF.css"&gt;&lt;div class="heading"&gt;&lt;p class="alignleft"&gt;Time Shudder&lt;/p&gt;&lt;div style="clear: both;"&gt;&lt;/div&gt;&lt;/div&gt;&lt;div&gt;&lt;h5&gt;&lt;b&gt;School &lt;/b&gt;transmutation; &lt;b&gt;Level &lt;/b&gt;magus 2, sorcerer/wizard 2, summoner 2, psychic 2&lt;/h5&gt;&lt;/div&gt;&lt;hr/&gt;&lt;div&gt;&lt;h5&gt;&lt;b&gt;CASTING&lt;/b&gt;&lt;/h5&gt;&lt;/div&gt;&lt;hr/&gt;&lt;div&gt;&lt;h5&gt;&lt;b&gt;Casting Time &lt;/b&gt;1 standard action&lt;/h5&gt;&lt;h5&gt;&lt;b&gt;Components &lt;/b&gt;V, S, M (a tiny hourglass)&lt;/h5&gt;&lt;/div&gt;&lt;hr/&gt;&lt;div&gt;&lt;h5&gt;&lt;b&gt;EFFECT&lt;/b&gt;&lt;/h5&gt;&lt;/div&gt;&lt;hr/&gt;&lt;div&gt;&lt;h5&gt;&lt;b&gt;Range &lt;/b&gt;30 ft.&lt;/h5&gt;&lt;h5&gt;&lt;b&gt;Area &lt;/b&gt;30-ft.-radius emanation centered on you&lt;/h5&gt;&lt;h5&gt;&lt;b&gt;Duration &lt;/b&gt;1 round&lt;/h5&gt;&lt;h5&gt;&lt;b&gt;Saving Throw &lt;/b&gt;none; &lt;b&gt;Spell Resistance &lt;/b&gt;yes&lt;/h5&gt;&lt;/div&gt;&lt;hr/&gt;&lt;div&gt;&lt;h5&gt;&lt;b&gt;DESCRIPTION&lt;/b&gt;&lt;/h5&gt;&lt;/div&gt;&lt;hr/&gt;&lt;div&gt;&lt;h4&gt;&lt;p&gt;You cause a ripple in time that affects all creatures in the area.&lt;/p&gt;&lt;p&gt;At the start of each creature's turn, there is a 50% chance the creature is hasted (as haste); otherwise it is slowed (as slow).&lt;/p&gt;&lt;/h4&gt;&lt;/div&gt;</t>
  </si>
  <si>
    <t>Nearby creatures are affected by haste or slow each round.</t>
  </si>
  <si>
    <t>Triggered Suggestion</t>
  </si>
  <si>
    <t>bard 3, sorcerer/wizard 4, witch 4, psychic 4, mesmerist 3</t>
  </si>
  <si>
    <t>1 day/level or until completed</t>
  </si>
  <si>
    <t>This spell functions as suggestion, except you can use it only to specify a condition that triggers a special activity, and the subject does not remember that you made the suggestion.  For example, you could use triggered suggestion on a palace guard to make him attack the king the next time he and the king are alone, and the guard would not remember the suggestion to do so until the trigger occurred.</t>
  </si>
  <si>
    <t>&lt;p&gt;This spell functions as &lt;i&gt;suggestion&lt;/i&gt;, except you can use it only to specify a condition that triggers a special activity, and the subject does not remember that you made the &lt;i&gt;suggestion&lt;/i&gt;.&lt;/p&gt;&lt;p&gt;For example, you could use triggered &lt;i&gt;suggestion&lt;/i&gt; on a palace guard to make him attack the king the next time he and the king are alone, and the guard would not remember the &lt;i&gt;suggestion&lt;/i&gt; to do so until the trigger occurred.&lt;/p&gt;</t>
  </si>
  <si>
    <t>&lt;link rel="stylesheet"href="PF.css"&gt;&lt;div class="heading"&gt;&lt;p class="alignleft"&gt;Triggered Suggestion&lt;/p&gt;&lt;div style="clear: both;"&gt;&lt;/div&gt;&lt;/div&gt;&lt;div&gt;&lt;h5&gt;&lt;b&gt;School &lt;/b&gt;enchantment (compulsion) [language-dependent, mind-affecting]; &lt;b&gt;Level &lt;/b&gt;bard 3, sorcerer/wizard 4, witch 4, psychic 4, mesmerist 3&lt;/h5&gt;&lt;/div&gt;&lt;hr/&gt;&lt;div&gt;&lt;h5&gt;&lt;b&gt;CASTING&lt;/b&gt;&lt;/h5&gt;&lt;/div&gt;&lt;hr/&gt;&lt;div&gt;&lt;h5&gt;&lt;b&gt;Casting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&lt;/b&gt;close (25 ft. + 5 ft./2 levels)&lt;/h5&gt;&lt;h5&gt;&lt;b&gt;Targets &lt;/b&gt;one living creature&lt;/h5&gt;&lt;h5&gt;&lt;b&gt;Duration &lt;/b&gt;1 day/level or until completed&lt;/h5&gt;&lt;h5&gt;&lt;b&gt;Saving Throw &lt;/b&gt;Will negates; &lt;b&gt;Spell Resistance &lt;/b&gt;yes&lt;/h5&gt;&lt;/div&gt;&lt;hr/&gt;&lt;div&gt;&lt;h5&gt;&lt;b&gt;DESCRIPTION&lt;/b&gt;&lt;/h5&gt;&lt;/div&gt;&lt;hr/&gt;&lt;div&gt;&lt;h4&gt;&lt;p&gt;This spell functions as &lt;i&gt;suggestion&lt;/i&gt;, except you can use it only to specify a condition that triggers a special activity, and the subject does not remember that you made the &lt;i&gt;suggestion&lt;/i&gt;.&lt;/p&gt;&lt;p&gt;For example, you could use triggered &lt;i&gt;suggestion&lt;/i&gt; on a palace guard to make him attack the king the next time he and the king are alone, and the guard would not remember the &lt;i&gt;suggestion&lt;/i&gt; to do so until the trigger occurred.&lt;/p&gt;&lt;/h4&gt;&lt;/div&gt;</t>
  </si>
  <si>
    <t>As suggestion, but triggered only and target doesn’t remember the suggestion.</t>
  </si>
  <si>
    <t>Twilight Haze</t>
  </si>
  <si>
    <t>sorcerer/wizard 2, witch 2, psychic 2, mesmerist 2, spiritualist 2</t>
  </si>
  <si>
    <t>You create a gray haze that obscures sight (as fog cloud) and causes the illumination level within it to dim by one step (as per darkness). Since this spell produces an illusion rather than a true physical fog, it is unaffected by wind and can be cast underwater.</t>
  </si>
  <si>
    <t>&lt;p&gt;You create a gray haze that obscures sight (as &lt;i&gt;fog&lt;/i&gt; cloud) and causes the illumination level within it to dim by one step (as per darkness). Since this spell produces an illusion rather than a true physical &lt;i&gt;fog&lt;/i&gt;, it is unaffected by wind and can be cast underwater.&lt;/p&gt;</t>
  </si>
  <si>
    <t>&lt;link rel="stylesheet"href="PF.css"&gt;&lt;div class="heading"&gt;&lt;p class="alignleft"&gt;Twilight Haze&lt;/p&gt;&lt;div style="clear: both;"&gt;&lt;/div&gt;&lt;/div&gt;&lt;div&gt;&lt;h5&gt;&lt;b&gt;School &lt;/b&gt;illusion (shadow) [darkness, shadow]; &lt;b&gt;Level &lt;/b&gt;sorcerer/wizard 2, witch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&lt;/b&gt;fog spreads in 20-ft. radius&lt;/h5&gt;&lt;h5&gt;&lt;b&gt;Duration &lt;/b&gt;1 round/level&lt;/h5&gt;&lt;h5&gt;&lt;b&gt;Saving Throw &lt;/b&gt;none; &lt;b&gt;Spell Resistance &lt;/b&gt;no&lt;/h5&gt;&lt;/div&gt;&lt;hr/&gt;&lt;div&gt;&lt;h5&gt;&lt;b&gt;DESCRIPTION&lt;/b&gt;&lt;/h5&gt;&lt;/div&gt;&lt;hr/&gt;&lt;div&gt;&lt;h4&gt;&lt;p&gt;You create a gray haze that obscures sight (as &lt;i&gt;fog&lt;/i&gt; cloud) and causes the illumination level within it to dim by one step (as per darkness). Since this spell produces an illusion rather than a true physical &lt;i&gt;fog&lt;/i&gt;, it is unaffected by wind and can be cast underwater.&lt;/p&gt;&lt;/h4&gt;&lt;/div&gt;</t>
  </si>
  <si>
    <t>Illusory fog obscures vision.</t>
  </si>
  <si>
    <t>Unbearable Brightness</t>
  </si>
  <si>
    <t>alchemist 4, sorcerer/wizard 4, witch 4, occultist 4, psychic 4</t>
  </si>
  <si>
    <t>personal and 30 ft. (see text)</t>
  </si>
  <si>
    <t>none and Reflex partial (see text)</t>
  </si>
  <si>
    <t>Your body glows with a terrible light. Creatures within 30 feet of you that can see you are dazzled (no saving throw).  Creatures with light sensitivity must succeed at a Reflex saving throw or be blinded. This light counts as daylight for the purpose of affecting darkness effects (and vice versa).  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t>
  </si>
  <si>
    <t>&lt;p&gt;Your body glows with a terrible light. Creatures within 30 feet of you that can see you are dazzled (no saving throw).&lt;/p&gt;&lt;p&gt;Creatures with light sensitivity must succeed at a Reflex saving throw or be blinded. This light counts as &lt;i&gt;daylight&lt;/i&gt; for the purpose of affecting darkness effects (and vice versa).&lt;/p&gt;&lt;p&gt;If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sight.&lt;/p&gt;</t>
  </si>
  <si>
    <t>&lt;link rel="stylesheet"href="PF.css"&gt;&lt;div class="heading"&gt;&lt;p class="alignleft"&gt;Unbearable Brightness&lt;/p&gt;&lt;div style="clear: both;"&gt;&lt;/div&gt;&lt;/div&gt;&lt;div&gt;&lt;h5&gt;&lt;b&gt;School &lt;/b&gt;evocation [light]; &lt;b&gt;Level &lt;/b&gt;alchemist 4, sorcerer/wizard 4, witch 4, occultist 4, psychic 4&lt;/h5&gt;&lt;/div&gt;&lt;hr/&gt;&lt;div&gt;&lt;h5&gt;&lt;b&gt;CASTING&lt;/b&gt;&lt;/h5&gt;&lt;/div&gt;&lt;hr/&gt;&lt;div&gt;&lt;h5&gt;&lt;b&gt;Casting Time &lt;/b&gt;1 standard action&lt;/h5&gt;&lt;h5&gt;&lt;b&gt;Components &lt;/b&gt;V, S&lt;/h5&gt;&lt;/div&gt;&lt;hr/&gt;&lt;div&gt;&lt;h5&gt;&lt;b&gt;EFFECT&lt;/b&gt;&lt;/h5&gt;&lt;/div&gt;&lt;hr/&gt;&lt;div&gt;&lt;h5&gt;&lt;b&gt;Range &lt;/b&gt;personal and 30 ft. (see text)&lt;/h5&gt;&lt;h5&gt;&lt;b&gt;Area &lt;/b&gt;30-ft.-radius emanation centered on you&lt;/h5&gt;&lt;h5&gt;&lt;b&gt;Duration &lt;/b&gt;1 round/level&lt;/h5&gt;&lt;h5&gt;&lt;b&gt;Saving Throw &lt;/b&gt;none and Reflex partial (see text); &lt;b&gt;Spell Resistance &lt;/b&gt;no and yes (see text)&lt;/h5&gt;&lt;/div&gt;&lt;hr/&gt;&lt;div&gt;&lt;h5&gt;&lt;b&gt;DESCRIPTION&lt;/b&gt;&lt;/h5&gt;&lt;/div&gt;&lt;hr/&gt;&lt;div&gt;&lt;h4&gt;&lt;p&gt;Your body glows with a terrible light. Creatures within 30 feet of you that can see you are dazzled (no saving throw).&lt;/p&gt;&lt;p&gt;Creatures with light sensitivity must succeed at a Reflex saving throw or be blinded. This light counts as &lt;i&gt;daylight&lt;/i&gt; for the purpose of affecting darkness effects (and vice versa).&lt;/p&gt;&lt;p&gt;If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sight.&lt;/p&gt;&lt;/h4&gt;&lt;/div&gt;</t>
  </si>
  <si>
    <t>Your glowing body dazzles or blinds others.</t>
  </si>
  <si>
    <t>Unholy Ice Weapon</t>
  </si>
  <si>
    <t>This spell functions as holy ice weapon, except the weapon is made of frozen unholy water, and instead deals additional damage to creatures that are susceptible to unholy water.</t>
  </si>
  <si>
    <t>&lt;p&gt;This spell functions as &lt;i&gt;holy ice weapon&lt;/i&gt;, except the weapon is made of frozen unholy water, and instead deals additional damage to creatures that are susceptible to unholy water.&lt;/p&gt;</t>
  </si>
  <si>
    <t>&lt;link rel="stylesheet"href="PF.css"&gt;&lt;div class="heading"&gt;&lt;p class="alignleft"&gt;Unholy Ice Weapon&lt;/p&gt;&lt;div style="clear: both;"&gt;&lt;/div&gt;&lt;/div&gt;&lt;div&gt;&lt;h5&gt;&lt;b&gt;School &lt;/b&gt;transmutation [cold, evil, water]; &lt;b&gt;Level &lt;/b&gt;cleric/oracle 2, inquisitor 2&lt;/h5&gt;&lt;/div&gt;&lt;hr/&gt;&lt;div&gt;&lt;h5&gt;&lt;b&gt;CASTING&lt;/b&gt;&lt;/h5&gt;&lt;/div&gt;&lt;hr/&gt;&lt;div&gt;&lt;h5&gt;&lt;b&gt;Casting Time &lt;/b&gt;1 standard action&lt;/h5&gt;&lt;h5&gt;&lt;b&gt;Components &lt;/b&gt;V, S, M (a flask of unholy water or 5 pounds of powdered silver worth 25 gp)&lt;/h5&gt;&lt;/div&gt;&lt;hr/&gt;&lt;div&gt;&lt;h5&gt;&lt;b&gt;EFFECT&lt;/b&gt;&lt;/h5&gt;&lt;/div&gt;&lt;hr/&gt;&lt;div&gt;&lt;h5&gt;&lt;b&gt;Range &lt;/b&gt;0 ft.&lt;/h5&gt;&lt;h5&gt;&lt;b&gt;Effect &lt;/b&gt;one ice weapon&lt;/h5&gt;&lt;h5&gt;&lt;b&gt;Duration &lt;/b&gt;1 minute/level (D)&lt;/h5&gt;&lt;h5&gt;&lt;b&gt;Saving Throw &lt;/b&gt;none; &lt;b&gt;Spell Resistance &lt;/b&gt;no&lt;/h5&gt;&lt;/div&gt;&lt;hr/&gt;&lt;div&gt;&lt;h5&gt;&lt;b&gt;DESCRIPTION&lt;/b&gt;&lt;/h5&gt;&lt;/div&gt;&lt;hr/&gt;&lt;div&gt;&lt;h4&gt;&lt;p&gt;This spell functions as &lt;i&gt;holy ice weapon&lt;/i&gt;, except the weapon is made of frozen unholy water, and instead deals additional damage to creatures that are susceptible to unholy water.&lt;/p&gt;&lt;/h4&gt;&lt;/div&gt;</t>
  </si>
  <si>
    <t>Create a masterwork weapon made of frozen unholy water.</t>
  </si>
  <si>
    <t>Unliving Rage</t>
  </si>
  <si>
    <t>cleric/oracle 2, sorcerer/wizard 3, witch 3, mesmerist 2, spiritualist 3</t>
  </si>
  <si>
    <t>one willing undead creature per 3 levels, no two of which can be more than 30 ft. apart</t>
  </si>
  <si>
    <t>This spell functions as rage, except it affects only undead creatures and bolsters them with necromantic energy rather than emotion. Each affected creature gains a +2 profane bonus to Strength and Charisma, a +1 profane bonus on Will saves, and a -2 penalty to AC. The effect is otherwise identical to a barbarian's rage.</t>
  </si>
  <si>
    <t>&lt;p&gt;This spell functions as &lt;i&gt;rage&lt;/i&gt;, except it affects only undead creatures and bolsters them with necromantic energy rather than emotion. Each affected creature gains a +2 profane bonus to Strength and Charisma, a +1 profane bonus on Will saves, and a -2 penalty to AC. The effect is otherwise identical to a barbarian's &lt;i&gt;rage&lt;/i&gt;.&lt;/p&gt;</t>
  </si>
  <si>
    <t>&lt;link rel="stylesheet"href="PF.css"&gt;&lt;div class="heading"&gt;&lt;p class="alignleft"&gt;Unliving Rage&lt;/p&gt;&lt;div style="clear: both;"&gt;&lt;/div&gt;&lt;/div&gt;&lt;div&gt;&lt;h5&gt;&lt;b&gt;School &lt;/b&gt;necromancy; &lt;b&gt;Level &lt;/b&gt;cleric/oracle 2, sorcerer/wizard 3, witch 3, mesmerist 2, spiritualist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willing undead creature per 3 levels, no two of which can be more than 30 ft. apart&lt;/h5&gt;&lt;h5&gt;&lt;b&gt;Duration &lt;/b&gt;concentration + 1 round/level (D)&lt;/h5&gt;&lt;h5&gt;&lt;b&gt;Saving Throw &lt;/b&gt;none; &lt;b&gt;Spell Resistance &lt;/b&gt;yes&lt;/h5&gt;&lt;/div&gt;&lt;hr/&gt;&lt;div&gt;&lt;h5&gt;&lt;b&gt;DESCRIPTION&lt;/b&gt;&lt;/h5&gt;&lt;/div&gt;&lt;hr/&gt;&lt;div&gt;&lt;h4&gt;&lt;p&gt;This spell functions as &lt;i&gt;rage&lt;/i&gt;, except it affects only undead creatures and bolsters them with necromantic energy rather than emotion. Each affected creature gains a +2 profane bonus to Strength and Charisma, a +1 profane bonus on Will saves, and a -2 penalty to AC. The effect is otherwise identical to a barbarian's &lt;i&gt;rage&lt;/i&gt;.&lt;/p&gt;&lt;/h4&gt;&lt;/div&gt;</t>
  </si>
  <si>
    <t>As rage, except affecting only undead.</t>
  </si>
  <si>
    <t>Vampiric Shadow Shield</t>
  </si>
  <si>
    <t>magus 5, sorcerer/wizard 5, spiritualist 5</t>
  </si>
  <si>
    <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  When an attacker takes damage from the spell, you heal a number of hit points equal to 25% of the damage the spell dealt.</t>
  </si>
  <si>
    <t>&lt;p&gt;This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damage.&lt;/p&gt;&lt;p&gt;When an attacker takes damage from the spell, you heal a number of hit points equal to 25% of the damage the spell dealt.&lt;/p&gt;</t>
  </si>
  <si>
    <t>&lt;link rel="stylesheet"href="PF.css"&gt;&lt;div class="heading"&gt;&lt;p class="alignleft"&gt;Vampiric Shadow Shield&lt;/p&gt;&lt;div style="clear: both;"&gt;&lt;/div&gt;&lt;/div&gt;&lt;div&gt;&lt;h5&gt;&lt;b&gt;School &lt;/b&gt;necromancy; &lt;b&gt;Level &lt;/b&gt;magus 5, 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damage.&lt;/p&gt;&lt;p&gt;When an attacker takes damage from the spell, you heal a number of hit points equal to 25% of the damage the spell dealt.&lt;/p&gt;&lt;/h4&gt;&lt;/div&gt;</t>
  </si>
  <si>
    <t>As fire shield, except attackers take negative energy damage and attacks heal you.</t>
  </si>
  <si>
    <t>Wall Of Blindness/Deafness</t>
  </si>
  <si>
    <t>bard 4, cleric/oracle 5, sorcerer/wizard 4, witch 4, psychic 4</t>
  </si>
  <si>
    <t>translucent wall 20 ft. long/level or a translucent ring with a radius of up to 5 ft./two levels; either form 20 ft. high</t>
  </si>
  <si>
    <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t>
  </si>
  <si>
    <t>&lt;p&gt;You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fails.&lt;/p&gt;</t>
  </si>
  <si>
    <t>&lt;link rel="stylesheet"href="PF.css"&gt;&lt;div class="heading"&gt;&lt;p class="alignleft"&gt;Wall Of Blindness/Deafness&lt;/p&gt;&lt;div style="clear: both;"&gt;&lt;/div&gt;&lt;/div&gt;&lt;div&gt;&lt;h5&gt;&lt;b&gt;School &lt;/b&gt;necromancy; &lt;b&gt;Level &lt;/b&gt;bard 4, cleric/oracle 5,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&lt;/b&gt;translucent wall 20 ft. long/level or a translucent ring with a radius of up to 5 ft./two levels; either form 20 ft. high&lt;/h5&gt;&lt;h5&gt;&lt;b&gt;Duration &lt;/b&gt;concentration + 1 round/level&lt;/h5&gt;&lt;h5&gt;&lt;b&gt;Saving Throw &lt;/b&gt;Fortitude negates; &lt;b&gt;Spell Resistance &lt;/b&gt;yes&lt;/h5&gt;&lt;/div&gt;&lt;hr/&gt;&lt;div&gt;&lt;h5&gt;&lt;b&gt;DESCRIPTION&lt;/b&gt;&lt;/h5&gt;&lt;/div&gt;&lt;hr/&gt;&lt;div&gt;&lt;h4&gt;&lt;p&gt;You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fails.&lt;/p&gt;&lt;/h4&gt;&lt;/div&gt;</t>
  </si>
  <si>
    <t>Translucent wall blinds or deafens creatures that pass through it.</t>
  </si>
  <si>
    <t>Wall Of Nausea</t>
  </si>
  <si>
    <t>transparent wall whose area is up to one 10-ft. square/level</t>
  </si>
  <si>
    <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  The wall must be vertical and rectangular. It need not touch the ground. The wall must be continuous and unbroken when formed. If its surface is broken by any object or creature when it is cast, the spell fails.</t>
  </si>
  <si>
    <t>&lt;p&gt;You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wall.&lt;/p&gt;&lt;p&gt;The wall must be vertical and rectangular. It need not touch the ground. The wall must be continuous and unbroken when formed. If its surface is broken by any object or creature when it is cast, the spell fails.&lt;/p&gt;</t>
  </si>
  <si>
    <t>&lt;link rel="stylesheet"href="PF.css"&gt;&lt;div class="heading"&gt;&lt;p class="alignleft"&gt;Wall Of Nausea&lt;/p&gt;&lt;div style="clear: both;"&gt;&lt;/div&gt;&lt;/div&gt;&lt;div&gt;&lt;h5&gt;&lt;b&gt;School &lt;/b&gt;illusion (pattern) [mind-affecting]; &lt;b&gt;Level &lt;/b&gt;bard 3,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&lt;/b&gt;transparent wall whose area is up to one 10-ft. square/level&lt;/h5&gt;&lt;h5&gt;&lt;b&gt;Duration &lt;/b&gt;1 round/level&lt;/h5&gt;&lt;h5&gt;&lt;b&gt;Saving Throw &lt;/b&gt;see text; &lt;b&gt;Spell Resistance &lt;/b&gt;no&lt;/h5&gt;&lt;/div&gt;&lt;hr/&gt;&lt;div&gt;&lt;h5&gt;&lt;b&gt;DESCRIPTION&lt;/b&gt;&lt;/h5&gt;&lt;/div&gt;&lt;hr/&gt;&lt;div&gt;&lt;h4&gt;&lt;p&gt;You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wall.&lt;/p&gt;&lt;p&gt;The wall must be vertical and rectangular. It need not touch the ground. The wall must be continuous and unbroken when formed. If its surface is broken by any object or creature when it is cast, the spell fails.&lt;/p&gt;&lt;/h4&gt;&lt;/div&gt;</t>
  </si>
  <si>
    <t>Creatures that pass through the wall are nauseated and might fall prone.</t>
  </si>
  <si>
    <t>Wave Shield</t>
  </si>
  <si>
    <t>bloodrager 1, druid 1, magus 1, shaman 1, sorcerer/wizard 1, witch 1</t>
  </si>
  <si>
    <t>1 round or until discharged</t>
  </si>
  <si>
    <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t>
  </si>
  <si>
    <t>&lt;p&gt;You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discharged.&lt;/p&gt;</t>
  </si>
  <si>
    <t>&lt;link rel="stylesheet"href="PF.css"&gt;&lt;div class="heading"&gt;&lt;p class="alignleft"&gt;Wave Shield&lt;/p&gt;&lt;div style="clear: both;"&gt;&lt;/div&gt;&lt;/div&gt;&lt;div&gt;&lt;h5&gt;&lt;b&gt;School &lt;/b&gt;abjuration [water]; &lt;b&gt;Level &lt;/b&gt;bloodrager 1, druid 1, magus 1, shaman 1, sorcerer/wizard 1, witch 1&lt;/h5&gt;&lt;/div&gt;&lt;hr/&gt;&lt;div&gt;&lt;h5&gt;&lt;b&gt;CASTING&lt;/b&gt;&lt;/h5&gt;&lt;/div&gt;&lt;hr/&gt;&lt;div&gt;&lt;h5&gt;&lt;b&gt;Casting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 or until discharged&lt;/h5&gt;&lt;/div&gt;&lt;hr/&gt;&lt;div&gt;&lt;h5&gt;&lt;b&gt;DESCRIPTION&lt;/b&gt;&lt;/h5&gt;&lt;/div&gt;&lt;hr/&gt;&lt;div&gt;&lt;h4&gt;&lt;p&gt;You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discharged.&lt;/p&gt;&lt;/h4&gt;&lt;/div&gt;</t>
  </si>
  <si>
    <t>Water blunts one incoming attack or fire effect.</t>
  </si>
  <si>
    <t>Whip Of Spiders</t>
  </si>
  <si>
    <t>bard 2, druid 2, sorcerer/wizard 2, summoner 2, witch 2</t>
  </si>
  <si>
    <t>whiplike swarm</t>
  </si>
  <si>
    <t>1 round/level (D (see text)</t>
  </si>
  <si>
    <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Bestiary 258). The swarm whip is able to damage creatures with armor or natural armor, even if a normal whip could not. It cannot be used to make bull rush, grapple, or trip attacks, and (unlike a swarm) is subject to a miss chance for concealment and cover.  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  As a standard action, you can transform the whip into a spider swarm (all squares of the swarm must be within 15 feet of you); thereafter it functions as summon swarm. The spider swarm has 3 hit points and persists in that form for 2 rounds or until the end of this spell's duration, whichever comes first.</t>
  </si>
  <si>
    <t>&lt;p&gt;You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&lt;i&gt;Bestiary&lt;/i&gt; 258). The swarm whip is able to damage creatures with armor or natural armor, even if a normal whip could not. It cannot be used to make bull rush, grapple, or trip attacks, and (unlike a swarm) is subject to a miss chance for concealment and cover.&lt;/p&gt;&lt;p&gt;The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winds.&lt;/p&gt;&lt;p&gt;As a standard action, you can transform the whip into a spider swarm (all squares of the swarm must be within 15 feet of you); thereafter it functions as &lt;i&gt;summon swarm&lt;/i&gt;. The spider swarm has 3 hit points and persists in that form for 2 rounds or until the end of this spell's duration, whichever comes first.&lt;/p&gt;</t>
  </si>
  <si>
    <t>&lt;link rel="stylesheet"href="PF.css"&gt;&lt;div class="heading"&gt;&lt;p class="alignleft"&gt;Whip Of Spiders&lt;/p&gt;&lt;div style="clear: both;"&gt;&lt;/div&gt;&lt;/div&gt;&lt;div&gt;&lt;h5&gt;&lt;b&gt;School &lt;/b&gt;conjuration (summoning); &lt;b&gt;Level &lt;/b&gt;bard 2, druid 2, sorcerer/wizard 2, summoner 2, witch 2&lt;/h5&gt;&lt;/div&gt;&lt;hr/&gt;&lt;div&gt;&lt;h5&gt;&lt;b&gt;CASTING&lt;/b&gt;&lt;/h5&gt;&lt;/div&gt;&lt;hr/&gt;&lt;div&gt;&lt;h5&gt;&lt;b&gt;Casting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&lt;i&gt;Bestiary&lt;/i&gt; 258). The swarm whip is able to damage creatures with armor or natural armor, even if a normal whip could not. It cannot be used to make bull rush, grapple, or trip attacks, and (unlike a swarm) is subject to a miss chance for concealment and cover.&lt;/p&gt;&lt;p&gt;The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winds.&lt;/p&gt;&lt;p&gt;As a standard action, you can transform the whip into a spider swarm (all squares of the swarm must be within 15 feet of you); thereafter it functions as &lt;i&gt;summon swarm&lt;/i&gt;. The spider swarm has 3 hit points and persists in that form for 2 rounds or until the end of this spell's duration, whichever comes first.&lt;/p&gt;&lt;/h4&gt;&lt;/div&gt;</t>
  </si>
  <si>
    <t>Create a whip made of poisonous spiders.</t>
  </si>
  <si>
    <t>Whip Of Ants</t>
  </si>
  <si>
    <t>bard 6, druid 6, sorcerer/wizard 6, summoner 6, witch 6</t>
  </si>
  <si>
    <t>This spell functions as whip of spiders, except it summons army ants, and any creature you strike with the whip takes swarm damage as if it were attacked by an army ant swarm (3d6 points of damage plus poison and distraction, Pathfinder RPG Bestiary 16). If you transform the whip into an army ant swarm, it has 16 hit points.</t>
  </si>
  <si>
    <t>&lt;p&gt;This spell functions as &lt;i&gt;whip of spiders&lt;/i&gt;, except it summons army ants, and any creature you strike with the whip takes swarm damage as if it were attacked by an army ant swarm (3d6 points of damage plus poison and distraction, &lt;i&gt;Pathfinder RPG Bestiary&lt;/i&gt; 16). If you transform the whip into an army ant swarm, it has 16 hit points.&lt;/p&gt;</t>
  </si>
  <si>
    <t>&lt;link rel="stylesheet"href="PF.css"&gt;&lt;div class="heading"&gt;&lt;p class="alignleft"&gt;Whip Of Ants&lt;/p&gt;&lt;div style="clear: both;"&gt;&lt;/div&gt;&lt;/div&gt;&lt;div&gt;&lt;h5&gt;&lt;b&gt;School &lt;/b&gt;conjuration (summoning); &lt;b&gt;Level &lt;/b&gt;bard 6, druid 6, sorcerer/wizard 6, summoner 6, witch 6&lt;/h5&gt;&lt;/div&gt;&lt;hr/&gt;&lt;div&gt;&lt;h5&gt;&lt;b&gt;CASTING&lt;/b&gt;&lt;/h5&gt;&lt;/div&gt;&lt;hr/&gt;&lt;div&gt;&lt;h5&gt;&lt;b&gt;Casting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&lt;/b&gt;yes&lt;/h5&gt;&lt;/div&gt;&lt;hr/&gt;&lt;div&gt;&lt;h5&gt;&lt;b&gt;DESCRIPTION&lt;/b&gt;&lt;/h5&gt;&lt;/div&gt;&lt;hr/&gt;&lt;div&gt;&lt;h4&gt;&lt;p&gt;This spell functions as &lt;i&gt;whip of spiders&lt;/i&gt;, except it summons army ants, and any creature you strike with the whip takes swarm damage as if it were attacked by an army ant swarm (3d6 points of damage plus poison and distraction, &lt;i&gt;Pathfinder RPG Bestiary&lt;/i&gt; 16). If you transform the whip into an army ant swarm, it has 16 hit points.&lt;/p&gt;&lt;/h4&gt;&lt;/div&gt;</t>
  </si>
  <si>
    <t>Vermin (6)</t>
  </si>
  <si>
    <t>Create a whip made of army ants.</t>
  </si>
  <si>
    <t>Whip Of Centipedes</t>
  </si>
  <si>
    <t>bard 5, druid 5, sorcerer/wizard 5, summoner 5, witch 5</t>
  </si>
  <si>
    <t>This spell functions as whip of spiders, except it summons centipedes, and any creature you strike with the whip takes swarm damage as if it were attacked by a centipede swarm (2d6 points of damage plus poison and distraction, Bestiary 43). If you transform the whip into a centipede swarm, it has 10 hit points.</t>
  </si>
  <si>
    <t>&lt;p&gt;This spell functions as &lt;i&gt;whip of spiders&lt;/i&gt;, except it summons centipedes, and any creature you strike with the whip takes swarm damage as if it were attacked by a centipede swarm (2d6 points of damage plus poison and distraction, &lt;i&gt;Bestiary&lt;/i&gt; 43). If you transform the whip into a centipede swarm, it has 10 hit points.&lt;/p&gt;</t>
  </si>
  <si>
    <t>&lt;link rel="stylesheet"href="PF.css"&gt;&lt;div class="heading"&gt;&lt;p class="alignleft"&gt;Whip Of Centipedes&lt;/p&gt;&lt;div style="clear: both;"&gt;&lt;/div&gt;&lt;/div&gt;&lt;div&gt;&lt;h5&gt;&lt;b&gt;School &lt;/b&gt;conjuration (summoning); &lt;b&gt;Level &lt;/b&gt;bard 5, druid 5, sorcerer/wizard 5, summoner 5, witch 5&lt;/h5&gt;&lt;/div&gt;&lt;hr/&gt;&lt;div&gt;&lt;h5&gt;&lt;b&gt;CASTING&lt;/b&gt;&lt;/h5&gt;&lt;/div&gt;&lt;hr/&gt;&lt;div&gt;&lt;h5&gt;&lt;b&gt;Casting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&lt;/b&gt;yes&lt;/h5&gt;&lt;/div&gt;&lt;hr/&gt;&lt;div&gt;&lt;h5&gt;&lt;b&gt;DESCRIPTION&lt;/b&gt;&lt;/h5&gt;&lt;/div&gt;&lt;hr/&gt;&lt;div&gt;&lt;h4&gt;&lt;p&gt;This spell functions as &lt;i&gt;whip of spiders&lt;/i&gt;, except it summons centipedes, and any creature you strike with the whip takes swarm damage as if it were attacked by a centipede swarm (2d6 points of damage plus poison and distraction, &lt;i&gt;Bestiary&lt;/i&gt; 43). If you transform the whip into a centipede swarm, it has 10 hit points.&lt;/p&gt;&lt;/h4&gt;&lt;/div&gt;</t>
  </si>
  <si>
    <t>Create a whip made of poisonous centipedes.</t>
  </si>
  <si>
    <t>Widen Auras</t>
  </si>
  <si>
    <t>The range of your antipaladin or paladin auras doubles. For example, if you're a paladin, your aura of courage affects allies within 20 feet instead of within 10 feet.</t>
  </si>
  <si>
    <t>&lt;p&gt;The range of your antipaladin or paladin auras doubles. For example, if you're a paladin, your aura of courage affects allies within 20 feet instead of within 10 feet.&lt;/p&gt;</t>
  </si>
  <si>
    <t>&lt;link rel="stylesheet"href="PF.css"&gt;&lt;div class="heading"&gt;&lt;p class="alignleft"&gt;Widen Auras&lt;/p&gt;&lt;div style="clear: both;"&gt;&lt;/div&gt;&lt;/div&gt;&lt;div&gt;&lt;h5&gt;&lt;b&gt;School &lt;/b&gt;transmutation; &lt;b&gt;Level &lt;/b&gt;antipaladin 2, paladin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 (D)&lt;/h5&gt;&lt;/div&gt;&lt;hr/&gt;&lt;div&gt;&lt;h5&gt;&lt;b&gt;DESCRIPTION&lt;/b&gt;&lt;/h5&gt;&lt;/div&gt;&lt;hr/&gt;&lt;div&gt;&lt;h4&gt;&lt;p&gt;The range of your antipaladin or paladin auras doubles. For example, if you're a paladin, your aura of courage affects allies within 20 feet instead of within 10 feet.&lt;/p&gt;&lt;/h4&gt;&lt;/div&gt;</t>
  </si>
  <si>
    <t>Increase the range of auras bestowed by your class.</t>
  </si>
  <si>
    <t>Semblance Of Flesh</t>
  </si>
  <si>
    <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t>
  </si>
  <si>
    <t>&lt;p&gt;You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illusion.&lt;/p&gt;</t>
  </si>
  <si>
    <t>AP 86</t>
  </si>
  <si>
    <t>&lt;link rel="stylesheet"href="PF.css"&gt;&lt;div class="heading"&gt;&lt;p class="alignleft"&gt;Semblance Of Flesh&lt;/p&gt;&lt;div style="clear: both;"&gt;&lt;/div&gt;&lt;/div&gt;&lt;div&gt;&lt;h5&gt;&lt;b&gt;School &lt;/b&gt;illusion (glamer); &lt;b&gt;Level &lt;/b&gt;cleric/oracle 2, sorcerer/wizard 2 (Brigh)&lt;/h5&gt;&lt;/div&gt;&lt;hr/&gt;&lt;div&gt;&lt;h5&gt;&lt;b&gt;CASTING&lt;/b&gt;&lt;/h5&gt;&lt;/div&gt;&lt;hr/&gt;&lt;div&gt;&lt;h5&gt;&lt;b&gt;Casting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&lt;/b&gt;construct touched&lt;/h5&gt;&lt;h5&gt;&lt;b&gt;Duration &lt;/b&gt;10 minute/level (D)&lt;/h5&gt;&lt;/div&gt;&lt;hr/&gt;&lt;div&gt;&lt;h5&gt;&lt;b&gt;DESCRIPTION&lt;/b&gt;&lt;/h5&gt;&lt;/div&gt;&lt;hr/&gt;&lt;div&gt;&lt;h4&gt;&lt;p&gt;You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illusion.&lt;/p&gt;&lt;/h4&gt;&lt;/div&gt;</t>
  </si>
  <si>
    <t>Brigh</t>
  </si>
  <si>
    <t>Shared Suffering</t>
  </si>
  <si>
    <t>antipaladin 2, inquisitor 2, sorcerer/wizard 2, witch 2</t>
  </si>
  <si>
    <t>V, F (a silver dagger inlaid with onyx and jade worth 100 gp)</t>
  </si>
  <si>
    <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shield other or unwilling shieldAPG; it cuts through such protections completely.</t>
  </si>
  <si>
    <t>&lt;p&gt;You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&lt;i&gt;shield other&lt;/i&gt; or &lt;i&gt;unwilling&lt;/i&gt; shieldAPG; it cuts through such protections completely.&lt;/p&gt;</t>
  </si>
  <si>
    <t>Champions Of Corruption</t>
  </si>
  <si>
    <t>&lt;link rel="stylesheet"href="PF.css"&gt;&lt;div class="heading"&gt;&lt;p class="alignleft"&gt;Shared Suffering&lt;/p&gt;&lt;div style="clear: both;"&gt;&lt;/div&gt;&lt;/div&gt;&lt;div&gt;&lt;h5&gt;&lt;b&gt;School &lt;/b&gt;necromancy [evil]; &lt;b&gt;Level &lt;/b&gt;antipaladin 2, inquisitor 2, sorcerer/wizard 2, witch 2&lt;/h5&gt;&lt;/div&gt;&lt;hr/&gt;&lt;div&gt;&lt;h5&gt;&lt;b&gt;CASTING&lt;/b&gt;&lt;/h5&gt;&lt;/div&gt;&lt;hr/&gt;&lt;div&gt;&lt;h5&gt;&lt;b&gt;Casting Time &lt;/b&gt;1 standard action&lt;/h5&gt;&lt;h5&gt;&lt;b&gt;Components &lt;/b&gt;V, F (a silver dagger inlaid with onyx and jade worth 100 gp)&lt;/h5&gt;&lt;/div&gt;&lt;hr/&gt;&lt;div&gt;&lt;h5&gt;&lt;b&gt;EFFECT&lt;/b&gt;&lt;/h5&gt;&lt;/div&gt;&lt;hr/&gt;&lt;div&gt;&lt;h5&gt;&lt;b&gt;Range &lt;/b&gt;long (400 ft. + 40 ft./level)&lt;/h5&gt;&lt;h5&gt;&lt;b&gt;Targets &lt;/b&gt;one living creature&lt;/h5&gt;&lt;h5&gt;&lt;b&gt;Duration &lt;/b&gt;instantaneous&lt;/h5&gt;&lt;h5&gt;&lt;b&gt;Saving Throw &lt;/b&gt;none; &lt;b&gt;Spell Resistance &lt;/b&gt;yes&lt;/h5&gt;&lt;/div&gt;&lt;hr/&gt;&lt;div&gt;&lt;h5&gt;&lt;b&gt;DESCRIPTION&lt;/b&gt;&lt;/h5&gt;&lt;/div&gt;&lt;hr/&gt;&lt;div&gt;&lt;h4&gt;&lt;p&gt;You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&lt;i&gt;shield other&lt;/i&gt; or &lt;i&gt;unwilling&lt;/i&gt; shieldAPG; it cuts through such protections completely.&lt;/p&gt;&lt;/h4&gt;&lt;/div&gt;</t>
  </si>
  <si>
    <t>Wracking Ray</t>
  </si>
  <si>
    <t>V, M (an old bone, broken in the casting)</t>
  </si>
  <si>
    <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t>
  </si>
  <si>
    <t>&lt;p&gt;A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damage.&lt;/p&gt;</t>
  </si>
  <si>
    <t>&lt;link rel="stylesheet"href="PF.css"&gt;&lt;div class="heading"&gt;&lt;p class="alignleft"&gt;Wracking Ray&lt;/p&gt;&lt;div style="clear: both;"&gt;&lt;/div&gt;&lt;/div&gt;&lt;div&gt;&lt;h5&gt;&lt;b&gt;School &lt;/b&gt;necromancy [evil, pain]; &lt;b&gt;Level &lt;/b&gt;sorcerer/wizard 5, witch 5&lt;/h5&gt;&lt;/div&gt;&lt;hr/&gt;&lt;div&gt;&lt;h5&gt;&lt;b&gt;CASTING&lt;/b&gt;&lt;/h5&gt;&lt;/div&gt;&lt;hr/&gt;&lt;div&gt;&lt;h5&gt;&lt;b&gt;Casting Time &lt;/b&gt;1 standard action&lt;/h5&gt;&lt;h5&gt;&lt;b&gt;Components &lt;/b&gt;V, M (an old bone, broken in the casting)&lt;/h5&gt;&lt;/div&gt;&lt;hr/&gt;&lt;div&gt;&lt;h5&gt;&lt;b&gt;EFFECT&lt;/b&gt;&lt;/h5&gt;&lt;/div&gt;&lt;hr/&gt;&lt;div&gt;&lt;h5&gt;&lt;b&gt;Range &lt;/b&gt;medium (100 ft. + 10 ft./level)&lt;/h5&gt;&lt;h5&gt;&lt;b&gt;Effect &lt;/b&gt;ray&lt;/h5&gt;&lt;h5&gt;&lt;b&gt;Duration &lt;/b&gt;instantaneous&lt;/h5&gt;&lt;h5&gt;&lt;b&gt;Saving Throw &lt;/b&gt;Fortitude half; &lt;b&gt;Spell Resistance &lt;/b&gt;yes&lt;/h5&gt;&lt;/div&gt;&lt;hr/&gt;&lt;div&gt;&lt;h5&gt;&lt;b&gt;DESCRIPTION&lt;/b&gt;&lt;/h5&gt;&lt;/div&gt;&lt;hr/&gt;&lt;div&gt;&lt;h4&gt;&lt;p&gt;A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damage.&lt;/p&gt;&lt;/h4&gt;&lt;/div&gt;</t>
  </si>
  <si>
    <t>Acid Maw</t>
  </si>
  <si>
    <t>close (25 ft. + 2 ft./level)</t>
  </si>
  <si>
    <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t>
  </si>
  <si>
    <t>&lt;p&gt;Your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companion.&lt;/p&gt;</t>
  </si>
  <si>
    <t>Advanced Class Origins</t>
  </si>
  <si>
    <t>&lt;link rel="stylesheet"href="PF.css"&gt;&lt;div class="heading"&gt;&lt;p class="alignleft"&gt;Acid Maw&lt;/p&gt;&lt;div style="clear: both;"&gt;&lt;/div&gt;&lt;/div&gt;&lt;div&gt;&lt;h5&gt;&lt;b&gt;School &lt;/b&gt;transmutation [acid]; &lt;b&gt;Level &lt;/b&gt;druid 1, ranger 1&lt;/h5&gt;&lt;/div&gt;&lt;hr/&gt;&lt;div&gt;&lt;h5&gt;&lt;b&gt;CASTING&lt;/b&gt;&lt;/h5&gt;&lt;/div&gt;&lt;hr/&gt;&lt;div&gt;&lt;h5&gt;&lt;b&gt;Casting Time &lt;/b&gt;1 standard action&lt;/h5&gt;&lt;h5&gt;&lt;b&gt;Components &lt;/b&gt;V, S, DF&lt;/h5&gt;&lt;/div&gt;&lt;hr/&gt;&lt;div&gt;&lt;h5&gt;&lt;b&gt;EFFECT&lt;/b&gt;&lt;/h5&gt;&lt;/div&gt;&lt;hr/&gt;&lt;div&gt;&lt;h5&gt;&lt;b&gt;Range &lt;/b&gt;close (25 ft. + 2 ft./level)&lt;/h5&gt;&lt;h5&gt;&lt;b&gt;Targets &lt;/b&gt;your animal companion&lt;/h5&gt;&lt;h5&gt;&lt;b&gt;Duration &lt;/b&gt;1 minute/level&lt;/h5&gt;&lt;h5&gt;&lt;b&gt;Saving Throw &lt;/b&gt;Will negates (harmless); &lt;b&gt;Spell Resistance &lt;/b&gt;yes&lt;/h5&gt;&lt;/div&gt;&lt;hr/&gt;&lt;div&gt;&lt;h5&gt;&lt;b&gt;DESCRIPTION&lt;/b&gt;&lt;/h5&gt;&lt;/div&gt;&lt;hr/&gt;&lt;div&gt;&lt;h4&gt;&lt;p&gt;Your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companion.&lt;/p&gt;&lt;/h4&gt;&lt;/div&gt;</t>
  </si>
  <si>
    <t>Arcane Disruption</t>
  </si>
  <si>
    <t>curse, mind-affecting</t>
  </si>
  <si>
    <t>bard 2, bloodrager 2, magus 2, sorcerer/wizard 2, witch 2</t>
  </si>
  <si>
    <t>V, S, M (a pinch of pepper)</t>
  </si>
  <si>
    <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t>
  </si>
  <si>
    <t>&lt;p&gt;This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level.&lt;/p&gt;</t>
  </si>
  <si>
    <t>&lt;link rel="stylesheet"href="PF.css"&gt;&lt;div class="heading"&gt;&lt;p class="alignleft"&gt;Arcane Disruption&lt;/p&gt;&lt;div style="clear: both;"&gt;&lt;/div&gt;&lt;/div&gt;&lt;div&gt;&lt;h5&gt;&lt;b&gt;School &lt;/b&gt;enchantment (compulsion) [curse, mind-affecting]; &lt;b&gt;Level &lt;/b&gt;bard 2, bloodrager 2, magus 2, sorcerer/wizard 2, witch 2&lt;/h5&gt;&lt;/div&gt;&lt;hr/&gt;&lt;div&gt;&lt;h5&gt;&lt;b&gt;CASTING&lt;/b&gt;&lt;/h5&gt;&lt;/div&gt;&lt;hr/&gt;&lt;div&gt;&lt;h5&gt;&lt;b&gt;Casting Time &lt;/b&gt;1 standard action&lt;/h5&gt;&lt;h5&gt;&lt;b&gt;Components &lt;/b&gt;V, S, M (a pinch of pepper)&lt;/h5&gt;&lt;/div&gt;&lt;hr/&gt;&lt;div&gt;&lt;h5&gt;&lt;b&gt;EFFECT&lt;/b&gt;&lt;/h5&gt;&lt;/div&gt;&lt;hr/&gt;&lt;div&gt;&lt;h5&gt;&lt;b&gt;Range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level.&lt;/p&gt;&lt;/h4&gt;&lt;/div&gt;</t>
  </si>
  <si>
    <t>Blood Salvation</t>
  </si>
  <si>
    <t>bloodrager 3</t>
  </si>
  <si>
    <t>1 round/level (D; see below)</t>
  </si>
  <si>
    <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t>
  </si>
  <si>
    <t>&lt;p&gt;While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bloodrage.&lt;/p&gt;</t>
  </si>
  <si>
    <t>&lt;link rel="stylesheet"href="PF.css"&gt;&lt;div class="heading"&gt;&lt;p class="alignleft"&gt;Blood Salvation&lt;/p&gt;&lt;div style="clear: both;"&gt;&lt;/div&gt;&lt;/div&gt;&lt;div&gt;&lt;h5&gt;&lt;b&gt;School &lt;/b&gt;abjuration; &lt;b&gt;Level &lt;/b&gt;bloodrager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 see below)&lt;/h5&gt;&lt;/div&gt;&lt;hr/&gt;&lt;div&gt;&lt;h5&gt;&lt;b&gt;DESCRIPTION&lt;/b&gt;&lt;/h5&gt;&lt;/div&gt;&lt;hr/&gt;&lt;div&gt;&lt;h4&gt;&lt;p&gt;While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bloodrage.&lt;/p&gt;&lt;/h4&gt;&lt;/div&gt;</t>
  </si>
  <si>
    <t>Energy Hack</t>
  </si>
  <si>
    <t>acid, cold, electricity, or fire; see below</t>
  </si>
  <si>
    <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energy hack. Any other effect of that spell or power remains the same.  If you have the arcane reservoir class feature, if you take another 10 points of acid, cold, electricity, or fire damage while under the effect of energy hack, as a free action you can expend 1 point from your arcane reservoir to reset the duration of energy hack to 1 round per level and add the new type of damage you took to the list of energy types you can choose to substitute. You can expend points in this way multiple times as long as you do so before the duration expires.</t>
  </si>
  <si>
    <t>&lt;p&gt;You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&lt;i&gt;energy hack&lt;/i&gt;. Any other effect of that spell or power remains the same.  If you have the arcane reservoir class feature, if you take another 10 points of acid, cold, electricity, or fire damage while under the effect of &lt;i&gt;energy hack&lt;/i&gt;, as a free action you can expend 1 point from your arcane reservoir to reset the duration of &lt;i&gt;energy hack&lt;/i&gt; to 1 round per level and add the new type of damage you took to the list of energy types you can choose to substitute. You can expend points in this way multiple times as long as you do so before the duration expires.&lt;/p&gt;</t>
  </si>
  <si>
    <t>&lt;link rel="stylesheet"href="PF.css"&gt;&lt;div class="heading"&gt;&lt;p class="alignleft"&gt;Energy Hack&lt;/p&gt;&lt;div style="clear: both;"&gt;&lt;/div&gt;&lt;/div&gt;&lt;div&gt;&lt;h5&gt;&lt;b&gt;School &lt;/b&gt;transmutation [acid, cold, electricity, or fire; see below]; &lt;b&gt;Level &lt;/b&gt;sorcerer/wizard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 (see below)&lt;/h5&gt;&lt;/div&gt;&lt;hr/&gt;&lt;div&gt;&lt;h5&gt;&lt;b&gt;DESCRIPTION&lt;/b&gt;&lt;/h5&gt;&lt;/div&gt;&lt;hr/&gt;&lt;div&gt;&lt;h4&gt;&lt;p&gt;You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&lt;i&gt;energy hack&lt;/i&gt;. Any other effect of that spell or power remains the same.  If you have the arcane reservoir class feature, if you take another 10 points of acid, cold, electricity, or fire damage while under the effect of &lt;i&gt;energy hack&lt;/i&gt;, as a free action you can expend 1 point from your arcane reservoir to reset the duration of &lt;i&gt;energy hack&lt;/i&gt; to 1 round per level and add the new type of damage you took to the list of energy types you can choose to substitute. You can expend points in this way multiple times as long as you do so before the duration expires.&lt;/p&gt;&lt;/h4&gt;&lt;/div&gt;</t>
  </si>
  <si>
    <t>Imbue Hex</t>
  </si>
  <si>
    <t>V, S, DF or M (a hag's whisker)</t>
  </si>
  <si>
    <t>permanent or until discharged</t>
  </si>
  <si>
    <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imbue hex, you cannot use the transferred hex until the spell is discharged, dispelled, or dismissed.</t>
  </si>
  <si>
    <t>&lt;p&gt;You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&lt;i&gt;imbue hex&lt;/i&gt;, you cannot use the transferred hex until the spell is discharged, dispelled, or dismissed.&lt;/p&gt;</t>
  </si>
  <si>
    <t>&lt;link rel="stylesheet"href="PF.css"&gt;&lt;div class="heading"&gt;&lt;p class="alignleft"&gt;Imbue Hex&lt;/p&gt;&lt;div style="clear: both;"&gt;&lt;/div&gt;&lt;/div&gt;&lt;div&gt;&lt;h5&gt;&lt;b&gt;School &lt;/b&gt;evocation; &lt;b&gt;Level &lt;/b&gt;shaman 5, witch 5&lt;/h5&gt;&lt;/div&gt;&lt;hr/&gt;&lt;div&gt;&lt;h5&gt;&lt;b&gt;CASTING&lt;/b&gt;&lt;/h5&gt;&lt;/div&gt;&lt;hr/&gt;&lt;div&gt;&lt;h5&gt;&lt;b&gt;Casting Time &lt;/b&gt;10 minutes&lt;/h5&gt;&lt;h5&gt;&lt;b&gt;Components &lt;/b&gt;V, S, DF or M (a hag's whisker)&lt;/h5&gt;&lt;/div&gt;&lt;hr/&gt;&lt;div&gt;&lt;h5&gt;&lt;b&gt;EFFECT&lt;/b&gt;&lt;/h5&gt;&lt;/div&gt;&lt;hr/&gt;&lt;div&gt;&lt;h5&gt;&lt;b&gt;Range &lt;/b&gt;touch&lt;/h5&gt;&lt;h5&gt;&lt;b&gt;Targets &lt;/b&gt;creature touched; see text&lt;/h5&gt;&lt;h5&gt;&lt;b&gt;Duration &lt;/b&gt;permanent or until discharged&lt;/h5&gt;&lt;h5&gt;&lt;b&gt;Saving Throw &lt;/b&gt;Will negates (harmless); &lt;b&gt;Spell Resistance &lt;/b&gt;yes&lt;/h5&gt;&lt;/div&gt;&lt;hr/&gt;&lt;div&gt;&lt;h5&gt;&lt;b&gt;DESCRIPTION&lt;/b&gt;&lt;/h5&gt;&lt;/div&gt;&lt;hr/&gt;&lt;div&gt;&lt;h4&gt;&lt;p&gt;You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&lt;i&gt;imbue hex&lt;/i&gt;, you cannot use the transferred hex until the spell is discharged, dispelled, or dismissed.&lt;/p&gt;&lt;/h4&gt;&lt;/div&gt;</t>
  </si>
  <si>
    <t>Phantom Hunt</t>
  </si>
  <si>
    <t>you and one animal companion within 30 ft.</t>
  </si>
  <si>
    <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t>
  </si>
  <si>
    <t>&lt;p&gt;You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creature.&lt;/p&gt;</t>
  </si>
  <si>
    <t>&lt;link rel="stylesheet"href="PF.css"&gt;&lt;div class="heading"&gt;&lt;p class="alignleft"&gt;Phantom Hunt&lt;/p&gt;&lt;div style="clear: both;"&gt;&lt;/div&gt;&lt;/div&gt;&lt;div&gt;&lt;h5&gt;&lt;b&gt;School &lt;/b&gt;transmutation; &lt;b&gt;Level &lt;/b&gt;druid 4, ranger 4&lt;/h5&gt;&lt;/div&gt;&lt;hr/&gt;&lt;div&gt;&lt;h5&gt;&lt;b&gt;CASTING&lt;/b&gt;&lt;/h5&gt;&lt;/div&gt;&lt;hr/&gt;&lt;div&gt;&lt;h5&gt;&lt;b&gt;Casting Time &lt;/b&gt;1 standard action&lt;/h5&gt;&lt;h5&gt;&lt;b&gt;Components &lt;/b&gt;V, S, DF&lt;/h5&gt;&lt;/div&gt;&lt;hr/&gt;&lt;div&gt;&lt;h5&gt;&lt;b&gt;EFFECT&lt;/b&gt;&lt;/h5&gt;&lt;/div&gt;&lt;hr/&gt;&lt;div&gt;&lt;h5&gt;&lt;b&gt;Range &lt;/b&gt;personal (see text)&lt;/h5&gt;&lt;h5&gt;&lt;b&gt;Targets &lt;/b&gt;you and one animal companion within 30 ft.&lt;/h5&gt;&lt;h5&gt;&lt;b&gt;Duration &lt;/b&gt;1 hour/level (D)&lt;/h5&gt;&lt;/div&gt;&lt;hr/&gt;&lt;div&gt;&lt;h5&gt;&lt;b&gt;DESCRIPTION&lt;/b&gt;&lt;/h5&gt;&lt;/div&gt;&lt;hr/&gt;&lt;div&gt;&lt;h4&gt;&lt;p&gt;You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creature.&lt;/p&gt;&lt;/h4&gt;&lt;/div&gt;</t>
  </si>
  <si>
    <t>Spirit Call</t>
  </si>
  <si>
    <t>100-ft.-radius spread centered on you</t>
  </si>
  <si>
    <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t>
  </si>
  <si>
    <t>&lt;p&gt;You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only.&lt;/p&gt;</t>
  </si>
  <si>
    <t>&lt;link rel="stylesheet"href="PF.css"&gt;&lt;div class="heading"&gt;&lt;p class="alignleft"&gt;Spirit Call&lt;/p&gt;&lt;div style="clear: both;"&gt;&lt;/div&gt;&lt;/div&gt;&lt;div&gt;&lt;h5&gt;&lt;b&gt;School &lt;/b&gt;enchantment; &lt;b&gt;Level &lt;/b&gt;druid 1, shaman 1&lt;/h5&gt;&lt;/div&gt;&lt;hr/&gt;&lt;div&gt;&lt;h5&gt;&lt;b&gt;CASTING&lt;/b&gt;&lt;/h5&gt;&lt;/div&gt;&lt;hr/&gt;&lt;div&gt;&lt;h5&gt;&lt;b&gt;Casting Time &lt;/b&gt;1 full round&lt;/h5&gt;&lt;h5&gt;&lt;b&gt;Components &lt;/b&gt;V, S, DF&lt;/h5&gt;&lt;/div&gt;&lt;hr/&gt;&lt;div&gt;&lt;h5&gt;&lt;b&gt;EFFECT&lt;/b&gt;&lt;/h5&gt;&lt;/div&gt;&lt;hr/&gt;&lt;div&gt;&lt;h5&gt;&lt;b&gt;Range &lt;/b&gt;100 ft.&lt;/h5&gt;&lt;h5&gt;&lt;b&gt;Effect &lt;/b&gt;100-ft.-radius spread centered on you&lt;/h5&gt;&lt;h5&gt;&lt;b&gt;Duration &lt;/b&gt;1 minute/level&lt;/h5&gt;&lt;/div&gt;&lt;hr/&gt;&lt;div&gt;&lt;h5&gt;&lt;b&gt;DESCRIPTION&lt;/b&gt;&lt;/h5&gt;&lt;/div&gt;&lt;hr/&gt;&lt;div&gt;&lt;h4&gt;&lt;p&gt;You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only.&lt;/p&gt;&lt;/h4&gt;&lt;/div&gt;</t>
  </si>
  <si>
    <t>Wrathful Weapon</t>
  </si>
  <si>
    <t>melee weapon touched (see text)</t>
  </si>
  <si>
    <t>Will (harmless, object)</t>
  </si>
  <si>
    <t>You grant the targeted weapon one of the following weapon special abilities: anarchic, axiomatic, holy, or unholy. If anarchic, this spell has the chaos descriptor; if axiomatic, the law descriptor; if holy, the good descriptor; and if unholy,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t>
  </si>
  <si>
    <t>&lt;p&gt;You grant the targeted weapon one of the following weapon special abilities: &lt;i&gt;anarchic&lt;/i&gt;, &lt;i&gt;axiomatic&lt;/i&gt;, &lt;i&gt;holy&lt;/i&gt;, or un&lt;i&gt;holy&lt;/i&gt;. If &lt;i&gt;anarchic&lt;/i&gt;, this spell has the chaos descriptor; if &lt;i&gt;axiomatic&lt;/i&gt;, the law descriptor; if &lt;i&gt;holy&lt;/i&gt;, the good descriptor; and if un&lt;i&gt;holy&lt;/i&gt;,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strike.&lt;/p&gt;</t>
  </si>
  <si>
    <t>&lt;link rel="stylesheet"href="PF.css"&gt;&lt;div class="heading"&gt;&lt;p class="alignleft"&gt;Wrathful Weapon&lt;/p&gt;&lt;div style="clear: both;"&gt;&lt;/div&gt;&lt;/div&gt;&lt;div&gt;&lt;h5&gt;&lt;b&gt;School &lt;/b&gt;transmutation [see text]; &lt;b&gt;Level &lt;/b&gt;cleric/oracle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&lt;/b&gt;melee weapon touched (see text)&lt;/h5&gt;&lt;h5&gt;&lt;b&gt;Duration &lt;/b&gt;1 minute/level&lt;/h5&gt;&lt;h5&gt;&lt;b&gt;Saving Throw &lt;/b&gt;Will (harmless, object); &lt;b&gt;Spell Resistance &lt;/b&gt;yes (object)&lt;/h5&gt;&lt;/div&gt;&lt;hr/&gt;&lt;div&gt;&lt;h5&gt;&lt;b&gt;DESCRIPTION&lt;/b&gt;&lt;/h5&gt;&lt;/div&gt;&lt;hr/&gt;&lt;div&gt;&lt;h4&gt;&lt;p&gt;You grant the targeted weapon one of the following weapon special abilities: &lt;i&gt;anarchic&lt;/i&gt;, &lt;i&gt;axiomatic&lt;/i&gt;, &lt;i&gt;holy&lt;/i&gt;, or un&lt;i&gt;holy&lt;/i&gt;. If &lt;i&gt;anarchic&lt;/i&gt;, this spell has the chaos descriptor; if &lt;i&gt;axiomatic&lt;/i&gt;, the law descriptor; if &lt;i&gt;holy&lt;/i&gt;, the good descriptor; and if un&lt;i&gt;holy&lt;/i&gt;,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strike.&lt;/p&gt;&lt;/h4&gt;&lt;/div&gt;</t>
  </si>
  <si>
    <t>Aura Of Cannibalism</t>
  </si>
  <si>
    <t>V, S, M (a piece of flesh from another creature of your species)</t>
  </si>
  <si>
    <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t>
  </si>
  <si>
    <t>&lt;p&gt;You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+2.&lt;/p&gt;</t>
  </si>
  <si>
    <t>Monster Codex</t>
  </si>
  <si>
    <t>&lt;link rel="stylesheet"href="PF.css"&gt;&lt;div class="heading"&gt;&lt;p class="alignleft"&gt;Aura Of Cannibalism&lt;/p&gt;&lt;div style="clear: both;"&gt;&lt;/div&gt;&lt;/div&gt;&lt;div&gt;&lt;h5&gt;&lt;b&gt;School &lt;/b&gt;necromancy [evil]; &lt;b&gt;Level &lt;/b&gt;cleric/oracle 3, sorcerer/wizard 3, witch 3&lt;/h5&gt;&lt;/div&gt;&lt;hr/&gt;&lt;div&gt;&lt;h5&gt;&lt;b&gt;CASTING&lt;/b&gt;&lt;/h5&gt;&lt;/div&gt;&lt;hr/&gt;&lt;div&gt;&lt;h5&gt;&lt;b&gt;Casting Time &lt;/b&gt;1 standard action&lt;/h5&gt;&lt;h5&gt;&lt;b&gt;Components &lt;/b&gt;V, S, M (a piece of flesh from another creature of your species)&lt;/h5&gt;&lt;/div&gt;&lt;hr/&gt;&lt;div&gt;&lt;h5&gt;&lt;b&gt;EFFECT&lt;/b&gt;&lt;/h5&gt;&lt;/div&gt;&lt;hr/&gt;&lt;div&gt;&lt;h5&gt;&lt;b&gt;Range &lt;/b&gt;personal&lt;/h5&gt;&lt;h5&gt;&lt;b&gt;Area &lt;/b&gt;20-ft.-radius emanation centered on you&lt;/h5&gt;&lt;h5&gt;&lt;b&gt;Duration &lt;/b&gt;1 minute/level (D)&lt;/h5&gt;&lt;h5&gt;&lt;b&gt;Saving Throw &lt;/b&gt;Fortitude negates; &lt;b&gt;Spell Resistance &lt;/b&gt;yes&lt;/h5&gt;&lt;/div&gt;&lt;hr/&gt;&lt;div&gt;&lt;h5&gt;&lt;b&gt;DESCRIPTION&lt;/b&gt;&lt;/h5&gt;&lt;/div&gt;&lt;hr/&gt;&lt;div&gt;&lt;h4&gt;&lt;p&gt;You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+2.&lt;/p&gt;&lt;/h4&gt;&lt;/div&gt;</t>
  </si>
  <si>
    <t>Isolate</t>
  </si>
  <si>
    <t>antipaladin 3, bard 3, inquisitor 3, sorcerer/wizard 3, witch 3, psychic 3, mesmerist 3</t>
  </si>
  <si>
    <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isolate.  If the target succeeds at its save, the duration of the spell is reduced to 1 round.</t>
  </si>
  <si>
    <t>&lt;p&gt;You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&lt;i&gt;isolate&lt;/i&gt;.  If the target succeeds at its save, the duration of the spell is reduced to 1 round.&lt;/p&gt;</t>
  </si>
  <si>
    <t>&lt;link rel="stylesheet"href="PF.css"&gt;&lt;div class="heading"&gt;&lt;p class="alignleft"&gt;Isolate&lt;/p&gt;&lt;div style="clear: both;"&gt;&lt;/div&gt;&lt;/div&gt;&lt;div&gt;&lt;h5&gt;&lt;b&gt;School &lt;/b&gt;illusion (glamer); &lt;b&gt;Level &lt;/b&gt;antipaladin 3, bard 3, inquisitor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&lt;/b&gt;Will partial; &lt;b&gt;Spell Resistance &lt;/b&gt;yes&lt;/h5&gt;&lt;/div&gt;&lt;hr/&gt;&lt;div&gt;&lt;h5&gt;&lt;b&gt;DESCRIPTION&lt;/b&gt;&lt;/h5&gt;&lt;/div&gt;&lt;hr/&gt;&lt;div&gt;&lt;h4&gt;&lt;p&gt;You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&lt;i&gt;isolate&lt;/i&gt;.  If the target succeeds at its save, the duration of the spell is reduced to 1 round.&lt;/p&gt;&lt;/h4&gt;&lt;/div&gt;</t>
  </si>
  <si>
    <t>Control Vermin</t>
  </si>
  <si>
    <t>cleric/oracle 3, druid 2, ranger 4, sorcerer/wizard 3, witch 2</t>
  </si>
  <si>
    <t>V, S, DF/M (a beetle)</t>
  </si>
  <si>
    <t>up to 1 HD/level of vermin, no two of which can be more than 30 ft. apart</t>
  </si>
  <si>
    <t>You and a number of allies less than or equal to your caster level designated upon casting can use Handle Animal and Ride checks to influence or control the targeted vermin as if they were animals and had animal-level intelligence.</t>
  </si>
  <si>
    <t>&lt;p&gt;You and a number of allies less than or equal to your caster level designated upon casting can use Handle Animal and Ride checks to influence or control the targeted vermin as if they were animals and had animal-level intelligence.&lt;/p&gt;</t>
  </si>
  <si>
    <t>&lt;link rel="stylesheet"href="PF.css"&gt;&lt;div class="heading"&gt;&lt;p class="alignleft"&gt;Control Vermin&lt;/p&gt;&lt;div style="clear: both;"&gt;&lt;/div&gt;&lt;/div&gt;&lt;div&gt;&lt;h5&gt;&lt;b&gt;School &lt;/b&gt;transmutation; &lt;b&gt;Level &lt;/b&gt;cleric/oracle 3, druid 2, ranger 4, sorcerer/wizard 3, witch 2&lt;/h5&gt;&lt;/div&gt;&lt;hr/&gt;&lt;div&gt;&lt;h5&gt;&lt;b&gt;CASTING&lt;/b&gt;&lt;/h5&gt;&lt;/div&gt;&lt;hr/&gt;&lt;div&gt;&lt;h5&gt;&lt;b&gt;Casting Time &lt;/b&gt;1 standard action&lt;/h5&gt;&lt;h5&gt;&lt;b&gt;Components &lt;/b&gt;V, S, DF/M (a beetle)&lt;/h5&gt;&lt;/div&gt;&lt;hr/&gt;&lt;div&gt;&lt;h5&gt;&lt;b&gt;EFFECT&lt;/b&gt;&lt;/h5&gt;&lt;/div&gt;&lt;hr/&gt;&lt;div&gt;&lt;h5&gt;&lt;b&gt;Range &lt;/b&gt;close (25 ft. + 5 ft./2 levels)&lt;/h5&gt;&lt;h5&gt;&lt;b&gt;Targets &lt;/b&gt;up to 1 HD/level of vermin, no two of which can be more than 30 ft. apart&lt;/h5&gt;&lt;h5&gt;&lt;b&gt;Duration &lt;/b&gt;1 hour/level&lt;/h5&gt;&lt;h5&gt;&lt;b&gt;Saving Throw &lt;/b&gt;Will negates; &lt;b&gt;Spell Resistance &lt;/b&gt;no&lt;/h5&gt;&lt;/div&gt;&lt;hr/&gt;&lt;div&gt;&lt;h5&gt;&lt;b&gt;DESCRIPTION&lt;/b&gt;&lt;/h5&gt;&lt;/div&gt;&lt;hr/&gt;&lt;div&gt;&lt;h4&gt;&lt;p&gt;You and a number of allies less than or equal to your caster level designated upon casting can use Handle Animal and Ride checks to influence or control the targeted vermin as if they were animals and had animal-level intelligence.&lt;/p&gt;&lt;/h4&gt;&lt;/div&gt;</t>
  </si>
  <si>
    <t>Dust Ward</t>
  </si>
  <si>
    <t>V, S, M (a pinch of pumice)</t>
  </si>
  <si>
    <t>one magic item</t>
  </si>
  <si>
    <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dust ward disintegrates the item into worthless gray dust. This destruction also occurs if the creature attempts to study the item in order to learn its properties  or how to magically craft it (a miracle or wish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t>
  </si>
  <si>
    <t>&lt;p&gt;You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&lt;i&gt;dust ward&lt;/i&gt; disintegrates the item into worthless gray dust. This destruction also occurs if the creature attempts to study the item in order to learn its properties  or how to magically craft it (a &lt;i&gt;miracle&lt;/i&gt; or &lt;i&gt;wish&lt;/i&gt;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level.&lt;/p&gt;</t>
  </si>
  <si>
    <t>&lt;link rel="stylesheet"href="PF.css"&gt;&lt;div class="heading"&gt;&lt;p class="alignleft"&gt;Dust Ward&lt;/p&gt;&lt;div style="clear: both;"&gt;&lt;/div&gt;&lt;/div&gt;&lt;div&gt;&lt;h5&gt;&lt;b&gt;School &lt;/b&gt;abjuration; &lt;b&gt;Level &lt;/b&gt;cleric/oracle 6, sorcerer/wizard 6, witch 6&lt;/h5&gt;&lt;/div&gt;&lt;hr/&gt;&lt;div&gt;&lt;h5&gt;&lt;b&gt;CASTING&lt;/b&gt;&lt;/h5&gt;&lt;/div&gt;&lt;hr/&gt;&lt;div&gt;&lt;h5&gt;&lt;b&gt;Casting Time &lt;/b&gt;10 minutes&lt;/h5&gt;&lt;h5&gt;&lt;b&gt;Components &lt;/b&gt;V, S, M (a pinch of pumice)&lt;/h5&gt;&lt;/div&gt;&lt;hr/&gt;&lt;div&gt;&lt;h5&gt;&lt;b&gt;EFFECT&lt;/b&gt;&lt;/h5&gt;&lt;/div&gt;&lt;hr/&gt;&lt;div&gt;&lt;h5&gt;&lt;b&gt;Range &lt;/b&gt;touch&lt;/h5&gt;&lt;h5&gt;&lt;b&gt;Targets &lt;/b&gt;one magic item&lt;/h5&gt;&lt;h5&gt;&lt;b&gt;Duration &lt;/b&gt;permanent&lt;/h5&gt;&lt;h5&gt;&lt;b&gt;Saving Throw &lt;/b&gt;none; &lt;b&gt;Spell Resistance &lt;/b&gt;no&lt;/h5&gt;&lt;/div&gt;&lt;hr/&gt;&lt;div&gt;&lt;h5&gt;&lt;b&gt;DESCRIPTION&lt;/b&gt;&lt;/h5&gt;&lt;/div&gt;&lt;hr/&gt;&lt;div&gt;&lt;h4&gt;&lt;p&gt;You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&lt;i&gt;dust ward&lt;/i&gt; disintegrates the item into worthless gray dust. This destruction also occurs if the creature attempts to study the item in order to learn its properties  or how to magically craft it (a &lt;i&gt;miracle&lt;/i&gt; or &lt;i&gt;wish&lt;/i&gt;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level.&lt;/p&gt;&lt;/h4&gt;&lt;/div&gt;</t>
  </si>
  <si>
    <t>Ironskin</t>
  </si>
  <si>
    <t>alchemist 2, antipaladin 2, bloodrager 2, cleric/oracle 2, druid 2, paladin 2, ranger 2, witch 2, psychic 2</t>
  </si>
  <si>
    <t>V, S, DF/M (a pinch of forge soot)</t>
  </si>
  <si>
    <t>1 minute/level (D; see text)</t>
  </si>
  <si>
    <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t>
  </si>
  <si>
    <t>&lt;p&gt;Your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so.&lt;/p&gt;</t>
  </si>
  <si>
    <t>&lt;link rel="stylesheet"href="PF.css"&gt;&lt;div class="heading"&gt;&lt;p class="alignleft"&gt;Ironskin&lt;/p&gt;&lt;div style="clear: both;"&gt;&lt;/div&gt;&lt;/div&gt;&lt;div&gt;&lt;h5&gt;&lt;b&gt;School &lt;/b&gt;transmutation [earth]; &lt;b&gt;Level &lt;/b&gt;alchemist 2, antipaladin 2, bloodrager 2, cleric/oracle 2, druid 2, paladin 2, ranger 2, witch 2, psychic 2&lt;/h5&gt;&lt;/div&gt;&lt;hr/&gt;&lt;div&gt;&lt;h5&gt;&lt;b&gt;CASTING&lt;/b&gt;&lt;/h5&gt;&lt;/div&gt;&lt;hr/&gt;&lt;div&gt;&lt;h5&gt;&lt;b&gt;Casting Time &lt;/b&gt;1 standard action&lt;/h5&gt;&lt;h5&gt;&lt;b&gt;Components &lt;/b&gt;V, S, DF/M (a pinch of forge soot)&lt;/h5&gt;&lt;/div&gt;&lt;hr/&gt;&lt;div&gt;&lt;h5&gt;&lt;b&gt;EFFECT&lt;/b&gt;&lt;/h5&gt;&lt;/div&gt;&lt;hr/&gt;&lt;div&gt;&lt;h5&gt;&lt;b&gt;Range &lt;/b&gt;personal&lt;/h5&gt;&lt;h5&gt;&lt;b&gt;Targets &lt;/b&gt;you&lt;/h5&gt;&lt;h5&gt;&lt;b&gt;Duration &lt;/b&gt;1 minute/level (D; see text)&lt;/h5&gt;&lt;/div&gt;&lt;hr/&gt;&lt;div&gt;&lt;h5&gt;&lt;b&gt;DESCRIPTION&lt;/b&gt;&lt;/h5&gt;&lt;/div&gt;&lt;hr/&gt;&lt;div&gt;&lt;h4&gt;&lt;p&gt;Your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so.&lt;/p&gt;&lt;/h4&gt;&lt;/div&gt;</t>
  </si>
  <si>
    <t>Ice Slick</t>
  </si>
  <si>
    <t>druid 2, magus 2, ranger 2, sorcerer/wizard 2, witch 2</t>
  </si>
  <si>
    <t>5-ft.-radius burst</t>
  </si>
  <si>
    <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Pathfinder RPG Core Rulebook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t>
  </si>
  <si>
    <t>&lt;p&gt;You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&lt;i&gt;Pathfinder RPG Core Rulebook&lt;/i&gt;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indefinitely.&lt;/p&gt;</t>
  </si>
  <si>
    <t>&lt;link rel="stylesheet"href="PF.css"&gt;&lt;div class="heading"&gt;&lt;p class="alignleft"&gt;Ice Slick&lt;/p&gt;&lt;div style="clear: both;"&gt;&lt;/div&gt;&lt;/div&gt;&lt;div&gt;&lt;h5&gt;&lt;b&gt;School &lt;/b&gt;evocation [cold]; &lt;b&gt;Level &lt;/b&gt;druid 2, magus 2, ranger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burst&lt;/h5&gt;&lt;h5&gt;&lt;b&gt;Duration &lt;/b&gt;instantaneous (see text)&lt;/h5&gt;&lt;h5&gt;&lt;b&gt;Saving Throw &lt;/b&gt;Reflex partial (see text); &lt;b&gt;Spell Resistance &lt;/b&gt;see text&lt;/h5&gt;&lt;/div&gt;&lt;hr/&gt;&lt;div&gt;&lt;h5&gt;&lt;b&gt;DESCRIPTION&lt;/b&gt;&lt;/h5&gt;&lt;/div&gt;&lt;hr/&gt;&lt;div&gt;&lt;h4&gt;&lt;p&gt;You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&lt;i&gt;Pathfinder RPG Core Rulebook&lt;/i&gt;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indefinitely.&lt;/p&gt;&lt;/h4&gt;&lt;/div&gt;</t>
  </si>
  <si>
    <t>Magic Boulder</t>
  </si>
  <si>
    <t>up to three boulders touched</t>
  </si>
  <si>
    <t>This spell works like magic stone,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t>
  </si>
  <si>
    <t>&lt;p&gt;This spell works like &lt;i&gt;magic stone&lt;/i&gt;,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rolls.&lt;/p&gt;</t>
  </si>
  <si>
    <t>&lt;link rel="stylesheet"href="PF.css"&gt;&lt;div class="heading"&gt;&lt;p class="alignleft"&gt;Magic Boulder&lt;/p&gt;&lt;div style="clear: both;"&gt;&lt;/div&gt;&lt;/div&gt;&lt;div&gt;&lt;h5&gt;&lt;b&gt;School &lt;/b&gt;transmutation [earth]; &lt;b&gt;Level &lt;/b&gt;cleric/oracle 2, druid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&lt;/b&gt;up to three boulders touched&lt;/h5&gt;&lt;h5&gt;&lt;b&gt;Duration &lt;/b&gt;30 minutes or until discharged&lt;/h5&gt;&lt;h5&gt;&lt;b&gt;Saving Throw &lt;/b&gt;Will negates (harmless, object); &lt;b&gt;Spell Resistance &lt;/b&gt;yes (harmless, object)&lt;/h5&gt;&lt;/div&gt;&lt;hr/&gt;&lt;div&gt;&lt;h5&gt;&lt;b&gt;DESCRIPTION&lt;/b&gt;&lt;/h5&gt;&lt;/div&gt;&lt;hr/&gt;&lt;div&gt;&lt;h4&gt;&lt;p&gt;This spell works like &lt;i&gt;magic stone&lt;/i&gt;,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rolls.&lt;/p&gt;&lt;/h4&gt;&lt;/div&gt;</t>
  </si>
  <si>
    <t>Fleshy Facade</t>
  </si>
  <si>
    <t>alchemist 2, bard 2, inquisitor 2, sorcerer/wizard 2, witch 2, psychic 2</t>
  </si>
  <si>
    <t>corporeal undead creature touched</t>
  </si>
  <si>
    <t>The target's flesh fills out and gains a healthy, natural color. This gives the target the appearance of a living creature of the type it was when it was still alive (if applicable). Creatures casting spells such as detect undead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t>
  </si>
  <si>
    <t>&lt;p&gt;The target's flesh fills out and gains a healthy, natural color. This gives the target the appearance of a living creature of the type it was when it was still alive (if applicable). Creatures casting spells such as &lt;i&gt;detect undead&lt;/i&gt;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flesh.&lt;/p&gt;</t>
  </si>
  <si>
    <t>&lt;link rel="stylesheet"href="PF.css"&gt;&lt;div class="heading"&gt;&lt;p class="alignleft"&gt;Fleshy Facade&lt;/p&gt;&lt;div style="clear: both;"&gt;&lt;/div&gt;&lt;/div&gt;&lt;div&gt;&lt;h5&gt;&lt;b&gt;School &lt;/b&gt;transmutation (polymorph); &lt;b&gt;Level &lt;/b&gt;alchemist 2, bard 2, inquisitor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&lt;/b&gt;corporeal undead creature touched&lt;/h5&gt;&lt;h5&gt;&lt;b&gt;Duration &lt;/b&gt;10 minutes/level (D)&lt;/h5&gt;&lt;h5&gt;&lt;b&gt;Saving Throw &lt;/b&gt;yes (harmless); &lt;b&gt;Spell Resistance &lt;/b&gt;yes (harmless)&lt;/h5&gt;&lt;/div&gt;&lt;hr/&gt;&lt;div&gt;&lt;h5&gt;&lt;b&gt;DESCRIPTION&lt;/b&gt;&lt;/h5&gt;&lt;/div&gt;&lt;hr/&gt;&lt;div&gt;&lt;h4&gt;&lt;p&gt;The target's flesh fills out and gains a healthy, natural color. This gives the target the appearance of a living creature of the type it was when it was still alive (if applicable). Creatures casting spells such as &lt;i&gt;detect undead&lt;/i&gt;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flesh.&lt;/p&gt;&lt;/h4&gt;&lt;/div&gt;</t>
  </si>
  <si>
    <t>Hungry Earth</t>
  </si>
  <si>
    <t>druid 5, sorcerer/wizard 5, witch 5</t>
  </si>
  <si>
    <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t>
  </si>
  <si>
    <t>&lt;p&gt;The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earth.&lt;/p&gt;</t>
  </si>
  <si>
    <t>&lt;link rel="stylesheet"href="PF.css"&gt;&lt;div class="heading"&gt;&lt;p class="alignleft"&gt;Hungry Earth&lt;/p&gt;&lt;div style="clear: both;"&gt;&lt;/div&gt;&lt;/div&gt;&lt;div&gt;&lt;h5&gt;&lt;b&gt;School &lt;/b&gt;transmutation; &lt;b&gt;Level &lt;/b&gt;druid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&lt;/b&gt;20-foot-radius spread&lt;/h5&gt;&lt;h5&gt;&lt;b&gt;Duration &lt;/b&gt;1 round/level&lt;/h5&gt;&lt;h5&gt;&lt;b&gt;Saving Throw &lt;/b&gt;none; &lt;b&gt;Spell Resistance &lt;/b&gt;no&lt;/h5&gt;&lt;/div&gt;&lt;hr/&gt;&lt;div&gt;&lt;h5&gt;&lt;b&gt;DESCRIPTION&lt;/b&gt;&lt;/h5&gt;&lt;/div&gt;&lt;hr/&gt;&lt;div&gt;&lt;h4&gt;&lt;p&gt;The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earth.&lt;/p&gt;&lt;/h4&gt;&lt;/div&gt;</t>
  </si>
  <si>
    <t>Ghoul (11)</t>
  </si>
  <si>
    <t>Augmenting Wall</t>
  </si>
  <si>
    <t>20-ft.-high wall of energy whose area is up to one 10-ft. square/level</t>
  </si>
  <si>
    <t>1 round/2 levels (see text)</t>
  </si>
  <si>
    <t>You create a wall of faintly shimmering elemental energy. Upon casting the spell, choose either acid, cold, electricity, or fire. The spell gains the chosen descriptor, and any thrown weapons or ammunition that pass through the augmenting wall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t>
  </si>
  <si>
    <t>&lt;p&gt;You create a wall of faintly shimmering elemental energy. Upon casting the spell, choose either acid, cold, electricity, or fire. The spell gains the chosen descriptor, and any thrown weapons or ammunition that pass through the &lt;i&gt;augmenting wall&lt;/i&gt;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duration.&lt;/p&gt;</t>
  </si>
  <si>
    <t>Ranged Tactics Toolbox</t>
  </si>
  <si>
    <t>&lt;link rel="stylesheet"href="PF.css"&gt;&lt;div class="heading"&gt;&lt;p class="alignleft"&gt;Augmenting Wall&lt;/p&gt;&lt;div style="clear: both;"&gt;&lt;/div&gt;&lt;/div&gt;&lt;div&gt;&lt;h5&gt;&lt;b&gt;School &lt;/b&gt;evocation [see text]; &lt;b&gt;Level &lt;/b&gt;magus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&lt;/b&gt;20-ft.-high wall of energy whose area is up to one 10-ft. square/level&lt;/h5&gt;&lt;h5&gt;&lt;b&gt;Duration &lt;/b&gt;1 round/2 levels (see text)&lt;/h5&gt;&lt;h5&gt;&lt;b&gt;Saving Throw &lt;/b&gt;none (object); &lt;b&gt;Spell Resistance &lt;/b&gt;no (object)&lt;/h5&gt;&lt;/div&gt;&lt;hr/&gt;&lt;div&gt;&lt;h5&gt;&lt;b&gt;DESCRIPTION&lt;/b&gt;&lt;/h5&gt;&lt;/div&gt;&lt;hr/&gt;&lt;div&gt;&lt;h4&gt;&lt;p&gt;You create a wall of faintly shimmering elemental energy. Upon casting the spell, choose either acid, cold, electricity, or fire. The spell gains the chosen descriptor, and any thrown weapons or ammunition that pass through the &lt;i&gt;augmenting wall&lt;/i&gt;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duration.&lt;/p&gt;&lt;/h4&gt;&lt;/div&gt;</t>
  </si>
  <si>
    <t>Bloody Arrows</t>
  </si>
  <si>
    <t>antipaladin 3, inquisitor 3, magus 3, ranger 3, shaman 4, sorcerer/wizard 4, witch 4</t>
  </si>
  <si>
    <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t>
  </si>
  <si>
    <t>&lt;p&gt;Whenever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level).&lt;/p&gt;</t>
  </si>
  <si>
    <t>&lt;link rel="stylesheet"href="PF.css"&gt;&lt;div class="heading"&gt;&lt;p class="alignleft"&gt;Bloody Arrows&lt;/p&gt;&lt;div style="clear: both;"&gt;&lt;/div&gt;&lt;/div&gt;&lt;div&gt;&lt;h5&gt;&lt;b&gt;School &lt;/b&gt;necromancy; &lt;b&gt;Level &lt;/b&gt;antipaladin 3, inquisitor 3, magus 3, ranger 3,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willing creature&lt;/h5&gt;&lt;h5&gt;&lt;b&gt;Duration &lt;/b&gt;1 round/level&lt;/h5&gt;&lt;h5&gt;&lt;b&gt;Saving Throw &lt;/b&gt;none (harmless); &lt;b&gt;Spell Resistance &lt;/b&gt;no (harmless)&lt;/h5&gt;&lt;/div&gt;&lt;hr/&gt;&lt;div&gt;&lt;h5&gt;&lt;b&gt;DESCRIPTION&lt;/b&gt;&lt;/h5&gt;&lt;/div&gt;&lt;hr/&gt;&lt;div&gt;&lt;h4&gt;&lt;p&gt;Whenever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level).&lt;/p&gt;&lt;/h4&gt;&lt;/div&gt;</t>
  </si>
  <si>
    <t>Calm Air</t>
  </si>
  <si>
    <t>druid 4, sorcerer/wizard 5, summoner 4</t>
  </si>
  <si>
    <t>cylinder (5-ft./level radius, 40 ft. high)</t>
  </si>
  <si>
    <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calm air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calm air effect by concentrating as a standard action.</t>
  </si>
  <si>
    <t>&lt;p&gt;This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&lt;i&gt;calm air&lt;/i&gt;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&lt;i&gt;calm air&lt;/i&gt; effect by concentrating as a standard action.&lt;/p&gt;</t>
  </si>
  <si>
    <t>&lt;link rel="stylesheet"href="PF.css"&gt;&lt;div class="heading"&gt;&lt;p class="alignleft"&gt;Calm Air&lt;/p&gt;&lt;div style="clear: both;"&gt;&lt;/div&gt;&lt;/div&gt;&lt;div&gt;&lt;h5&gt;&lt;b&gt;School &lt;/b&gt;abjuration [air]; &lt;b&gt;Level &lt;/b&gt;druid 4, sorcerer/wizard 5, summoner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&lt;/b&gt;cylinder (5-ft./level radius, 40 ft. high)&lt;/h5&gt;&lt;h5&gt;&lt;b&gt;Duration &lt;/b&gt;10 minute/level (D)&lt;/h5&gt;&lt;h5&gt;&lt;b&gt;Saving Throw &lt;/b&gt;none (object); &lt;b&gt;Spell Resistance &lt;/b&gt;no (object)&lt;/h5&gt;&lt;/div&gt;&lt;hr/&gt;&lt;div&gt;&lt;h5&gt;&lt;b&gt;DESCRIPTION&lt;/b&gt;&lt;/h5&gt;&lt;/div&gt;&lt;hr/&gt;&lt;div&gt;&lt;h4&gt;&lt;p&gt;This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&lt;i&gt;calm air&lt;/i&gt;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&lt;i&gt;calm air&lt;/i&gt; effect by concentrating as a standard action.&lt;/p&gt;&lt;/h4&gt;&lt;/div&gt;</t>
  </si>
  <si>
    <t>Conversing Wind</t>
  </si>
  <si>
    <t>This spell functions as whispering wind,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t>
  </si>
  <si>
    <t>&lt;p&gt;This spell functions as &lt;i&gt;whispering wind&lt;/i&gt;,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dismissed.&lt;/p&gt;</t>
  </si>
  <si>
    <t>&lt;link rel="stylesheet"href="PF.css"&gt;&lt;div class="heading"&gt;&lt;p class="alignleft"&gt;Conversing Wind&lt;/p&gt;&lt;div style="clear: both;"&gt;&lt;/div&gt;&lt;/div&gt;&lt;div&gt;&lt;h5&gt;&lt;b&gt;School &lt;/b&gt;transmutation [air]; &lt;b&gt;Level &lt;/b&gt;bard 4, sorcerer/wizard 4&lt;/h5&gt;&lt;/div&gt;&lt;hr/&gt;&lt;div&gt;&lt;h5&gt;&lt;b&gt;CASTING&lt;/b&gt;&lt;/h5&gt;&lt;/div&gt;&lt;hr/&gt;&lt;div&gt;&lt;h5&gt;&lt;b&gt;Casting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&lt;/b&gt;10-ft.-radius spread&lt;/h5&gt;&lt;h5&gt;&lt;b&gt;Duration &lt;/b&gt;1 hour/level (D)&lt;/h5&gt;&lt;h5&gt;&lt;b&gt;Saving Throw &lt;/b&gt;none; &lt;b&gt;Spell Resistance &lt;/b&gt;no&lt;/h5&gt;&lt;/div&gt;&lt;hr/&gt;&lt;div&gt;&lt;h5&gt;&lt;b&gt;DESCRIPTION&lt;/b&gt;&lt;/h5&gt;&lt;/div&gt;&lt;hr/&gt;&lt;div&gt;&lt;h4&gt;&lt;p&gt;This spell functions as &lt;i&gt;whispering wind&lt;/i&gt;,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dismissed.&lt;/p&gt;&lt;/h4&gt;&lt;/div&gt;</t>
  </si>
  <si>
    <t>Rain Of Arrows</t>
  </si>
  <si>
    <t>V, S, M (a quiver full of 20 arrows worth 1 gp)</t>
  </si>
  <si>
    <t>15-ft.-radius cloud of arrows</t>
  </si>
  <si>
    <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t>
  </si>
  <si>
    <t>&lt;p&gt;You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material.&lt;/p&gt;</t>
  </si>
  <si>
    <t>&lt;link rel="stylesheet"href="PF.css"&gt;&lt;div class="heading"&gt;&lt;p class="alignleft"&gt;Rain Of Arrows&lt;/p&gt;&lt;div style="clear: both;"&gt;&lt;/div&gt;&lt;/div&gt;&lt;div&gt;&lt;h5&gt;&lt;b&gt;School &lt;/b&gt;conjuration (creation); &lt;b&gt;Level &lt;/b&gt;sorcerer/wizard 8&lt;/h5&gt;&lt;/div&gt;&lt;hr/&gt;&lt;div&gt;&lt;h5&gt;&lt;b&gt;CASTING&lt;/b&gt;&lt;/h5&gt;&lt;/div&gt;&lt;hr/&gt;&lt;div&gt;&lt;h5&gt;&lt;b&gt;Casting Time &lt;/b&gt;1 standard action&lt;/h5&gt;&lt;h5&gt;&lt;b&gt;Components &lt;/b&gt;V, S, M (a quiver full of 20 arrows worth 1 gp)&lt;/h5&gt;&lt;/div&gt;&lt;hr/&gt;&lt;div&gt;&lt;h5&gt;&lt;b&gt;EFFECT&lt;/b&gt;&lt;/h5&gt;&lt;/div&gt;&lt;hr/&gt;&lt;div&gt;&lt;h5&gt;&lt;b&gt;Range &lt;/b&gt;long (400 ft. + 40 ft./level)&lt;/h5&gt;&lt;h5&gt;&lt;b&gt;Effect &lt;/b&gt;15-ft.-radius cloud of arrows&lt;/h5&gt;&lt;h5&gt;&lt;b&gt;Duration &lt;/b&gt;instantaneous&lt;/h5&gt;&lt;h5&gt;&lt;b&gt;Saving Throw &lt;/b&gt;Reflex halves; &lt;b&gt;Spell Resistance &lt;/b&gt;no&lt;/h5&gt;&lt;/div&gt;&lt;hr/&gt;&lt;div&gt;&lt;h5&gt;&lt;b&gt;DESCRIPTION&lt;/b&gt;&lt;/h5&gt;&lt;/div&gt;&lt;hr/&gt;&lt;div&gt;&lt;h4&gt;&lt;p&gt;You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material.&lt;/p&gt;&lt;/h4&gt;&lt;/div&gt;</t>
  </si>
  <si>
    <t>Telekinetic Volley</t>
  </si>
  <si>
    <t>magus 2, sorcerer/wizard 2</t>
  </si>
  <si>
    <t>up to one touched object per level weighing up to 5 lbs. each</t>
  </si>
  <si>
    <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t>
  </si>
  <si>
    <t>&lt;p&gt;The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&lt;b&gt;Range&lt;/b&gt; increment and proficiency penalties apply as normal. The attack has an effective Strength bonus, if applicable, equal to the higher of your Intelligence and Charisma modifiers. The spell is discharged when all touched items have been launched.&lt;/p&gt;</t>
  </si>
  <si>
    <t>&lt;link rel="stylesheet"href="PF.css"&gt;&lt;div class="heading"&gt;&lt;p class="alignleft"&gt;Telekinetic Volley&lt;/p&gt;&lt;div style="clear: both;"&gt;&lt;/div&gt;&lt;/div&gt;&lt;div&gt;&lt;h5&gt;&lt;b&gt;School &lt;/b&gt;transmutation; &lt;b&gt;Level &lt;/b&gt;magus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one touched object per level weighing up to 5 lbs. each&lt;/h5&gt;&lt;h5&gt;&lt;b&gt;Duration &lt;/b&gt;1 round/level or until discharged (D)&lt;/h5&gt;&lt;h5&gt;&lt;b&gt;Saving Throw &lt;/b&gt;none (object); &lt;b&gt;Spell Resistance &lt;/b&gt;no (object)&lt;/h5&gt;&lt;/div&gt;&lt;hr/&gt;&lt;div&gt;&lt;h5&gt;&lt;b&gt;DESCRIPTION&lt;/b&gt;&lt;/h5&gt;&lt;/div&gt;&lt;hr/&gt;&lt;div&gt;&lt;h4&gt;&lt;p&gt;The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launched.&lt;/p&gt;&lt;/h4&gt;&lt;/div&gt;</t>
  </si>
  <si>
    <t>Bouncy Body</t>
  </si>
  <si>
    <t>alchemist 1, bloodrager 1, sorcerer/wizard 1, witch 1</t>
  </si>
  <si>
    <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t>
  </si>
  <si>
    <t>&lt;p&gt;The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fallen.&lt;/p&gt;</t>
  </si>
  <si>
    <t>&lt;link rel="stylesheet"href="PF.css"&gt;&lt;div class="heading"&gt;&lt;p class="alignleft"&gt;Bouncy Body&lt;/p&gt;&lt;div style="clear: both;"&gt;&lt;/div&gt;&lt;/div&gt;&lt;div&gt;&lt;h5&gt;&lt;b&gt;School &lt;/b&gt;transmutation; &lt;b&gt;Level &lt;/b&gt;alchemist 1, bloodrager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minutes/level&lt;/h5&gt;&lt;/div&gt;&lt;hr/&gt;&lt;div&gt;&lt;h5&gt;&lt;b&gt;DESCRIPTION&lt;/b&gt;&lt;/h5&gt;&lt;/div&gt;&lt;hr/&gt;&lt;div&gt;&lt;h4&gt;&lt;p&gt;The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fallen.&lt;/p&gt;&lt;/h4&gt;&lt;/div&gt;</t>
  </si>
  <si>
    <t>Mud Buddy</t>
  </si>
  <si>
    <t>druid 2, sorcerer/wizard 2, witch 2</t>
  </si>
  <si>
    <t>V, S, M (1 pint of water)</t>
  </si>
  <si>
    <t>5 cubic feet of earth or mud</t>
  </si>
  <si>
    <t>1 hour/level (D) (see text)</t>
  </si>
  <si>
    <t>You create a Small minion out of mud, and it obeys your commands. The mud buddy has AC 12, 10 hit points, Strength 5, and a speed of 30 feet. It can perform any tasks an unseen servant can, plus any similar tasks its Strength allows (it's able to lift up to 50 pounds), but instead of walking on water, it gains a swim speed of 30 feet.  You can command a mud buddy to move up to 5 feet and trip an opponent (CMB = your caster level + your spellcasting ability score modifier). After the trip attempt is resolved, the spell ends.  When the spell ends, the mud buddy reverts to a patch of wet earth.</t>
  </si>
  <si>
    <t>&lt;p&gt;You create a Small minion out of mud, and it obeys your commands. The &lt;i&gt;mud buddy&lt;/i&gt; has AC 12, 10 hit points, Strength 5, and a speed of 30 feet. It can perform any tasks an &lt;i&gt;unseen servant&lt;/i&gt; can, plus any similar tasks its Strength allows (it's able to lift up to 50 pounds), but instead of walking on water, it gains a swim speed of 30 feet.  You can command a &lt;i&gt;mud buddy&lt;/i&gt; to move up to 5 feet and trip an opponent (CMB = your caster level + your spellcasting ability score modifier). After the trip attempt is resolved, the spell ends.  When the spell ends, the &lt;i&gt;mud buddy&lt;/i&gt; reverts to a patch of wet earth.&lt;/p&gt;</t>
  </si>
  <si>
    <t>&lt;link rel="stylesheet"href="PF.css"&gt;&lt;div class="heading"&gt;&lt;p class="alignleft"&gt;Mud Buddy&lt;/p&gt;&lt;div style="clear: both;"&gt;&lt;/div&gt;&lt;/div&gt;&lt;div&gt;&lt;h5&gt;&lt;b&gt;School &lt;/b&gt;conjuration (creation); &lt;b&gt;Level &lt;/b&gt;druid 2, sorcerer/wizard 2, witch 2&lt;/h5&gt;&lt;/div&gt;&lt;hr/&gt;&lt;div&gt;&lt;h5&gt;&lt;b&gt;CASTING&lt;/b&gt;&lt;/h5&gt;&lt;/div&gt;&lt;hr/&gt;&lt;div&gt;&lt;h5&gt;&lt;b&gt;Casting Time &lt;/b&gt;1 standard action&lt;/h5&gt;&lt;h5&gt;&lt;b&gt;Components &lt;/b&gt;V, S, M (1 pint of water)&lt;/h5&gt;&lt;/div&gt;&lt;hr/&gt;&lt;div&gt;&lt;h5&gt;&lt;b&gt;EFFECT&lt;/b&gt;&lt;/h5&gt;&lt;/div&gt;&lt;hr/&gt;&lt;div&gt;&lt;h5&gt;&lt;b&gt;Range &lt;/b&gt;close (25 ft. + 5 ft./2 levels)&lt;/h5&gt;&lt;h5&gt;&lt;b&gt;Targets &lt;/b&gt;5 cubic feet of earth or mud&lt;/h5&gt;&lt;h5&gt;&lt;b&gt;Duration &lt;/b&gt;1 hour/level (D) (see text)&lt;/h5&gt;&lt;/div&gt;&lt;hr/&gt;&lt;div&gt;&lt;h5&gt;&lt;b&gt;DESCRIPTION&lt;/b&gt;&lt;/h5&gt;&lt;/div&gt;&lt;hr/&gt;&lt;div&gt;&lt;h4&gt;&lt;p&gt;You create a Small minion out of mud, and it obeys your commands. The &lt;i&gt;mud buddy&lt;/i&gt; has AC 12, 10 hit points, Strength 5, and a speed of 30 feet. It can perform any tasks an &lt;i&gt;unseen servant&lt;/i&gt; can, plus any similar tasks its Strength allows (it's able to lift up to 50 pounds), but instead of walking on water, it gains a swim speed of 30 feet.  You can command a &lt;i&gt;mud buddy&lt;/i&gt; to move up to 5 feet and trip an opponent (CMB = your caster level + your spellcasting ability score modifier). After the trip attempt is resolved, the spell ends.  When the spell ends, the &lt;i&gt;mud buddy&lt;/i&gt; reverts to a patch of wet earth.&lt;/p&gt;&lt;/h4&gt;&lt;/div&gt;</t>
  </si>
  <si>
    <t>Endothermic Touch</t>
  </si>
  <si>
    <t>V, S, M/DF (a small bit of snakeskin)</t>
  </si>
  <si>
    <t>one living creature that has the dragon type or the reptilian subtype</t>
  </si>
  <si>
    <t>Fort negates</t>
  </si>
  <si>
    <t>This spell slows the metabolism and other bodily functions of a creature for a short amount of time. The target is staggered and moves at half its normal speed (round down to the next 5-foot increment), but it can hold its breath for twice as long as normal.</t>
  </si>
  <si>
    <t>&lt;p&gt;This spell slows the metabolism and other bodily functions of a creature for a short amount of time. The target is staggered and moves at half its normal speed (round down to the next 5-foot increment), but it can hold its breath for twice as long as normal.&lt;/p&gt;</t>
  </si>
  <si>
    <t>&lt;link rel="stylesheet"href="PF.css"&gt;&lt;div class="heading"&gt;&lt;p class="alignleft"&gt;Endothermic Touch&lt;/p&gt;&lt;div style="clear: both;"&gt;&lt;/div&gt;&lt;/div&gt;&lt;div&gt;&lt;h5&gt;&lt;b&gt;School &lt;/b&gt;transmutation; &lt;b&gt;Level &lt;/b&gt;druid 1, shaman 1, sorcerer/wizard 1, witch 1&lt;/h5&gt;&lt;/div&gt;&lt;hr/&gt;&lt;div&gt;&lt;h5&gt;&lt;b&gt;CASTING&lt;/b&gt;&lt;/h5&gt;&lt;/div&gt;&lt;hr/&gt;&lt;div&gt;&lt;h5&gt;&lt;b&gt;Casting Time &lt;/b&gt;1 standard action&lt;/h5&gt;&lt;h5&gt;&lt;b&gt;Components &lt;/b&gt;V, S, M/DF (a small bit of snakeskin)&lt;/h5&gt;&lt;/div&gt;&lt;hr/&gt;&lt;div&gt;&lt;h5&gt;&lt;b&gt;EFFECT&lt;/b&gt;&lt;/h5&gt;&lt;/div&gt;&lt;hr/&gt;&lt;div&gt;&lt;h5&gt;&lt;b&gt;Range &lt;/b&gt;touch&lt;/h5&gt;&lt;h5&gt;&lt;b&gt;Targets &lt;/b&gt;one living creature that has the dragon type or the reptilian subtype&lt;/h5&gt;&lt;h5&gt;&lt;b&gt;Duration &lt;/b&gt;1 round/level&lt;/h5&gt;&lt;h5&gt;&lt;b&gt;Saving Throw &lt;/b&gt;Fort negates; &lt;b&gt;Spell Resistance &lt;/b&gt;yes&lt;/h5&gt;&lt;/div&gt;&lt;hr/&gt;&lt;div&gt;&lt;h5&gt;&lt;b&gt;DESCRIPTION&lt;/b&gt;&lt;/h5&gt;&lt;/div&gt;&lt;hr/&gt;&lt;div&gt;&lt;h4&gt;&lt;p&gt;This spell slows the metabolism and other bodily functions of a creature for a short amount of time. The target is staggered and moves at half its normal speed (round down to the next 5-foot increment), but it can hold its breath for twice as long as normal.&lt;/p&gt;&lt;/h4&gt;&lt;/div&gt;</t>
  </si>
  <si>
    <t>Scale Spikes</t>
  </si>
  <si>
    <t>alchemist 2, bloodrager 2, druid 2, ranger 2, shaman 2, sorcerer/wizard 2, witch 2</t>
  </si>
  <si>
    <t>V, S, M/DF (a small thorn)</t>
  </si>
  <si>
    <t>one living creature/level that is a reptile, has the dragon type, or has the reptilian subtype, and that also has a natural armor bonus of at least +1</t>
  </si>
  <si>
    <t>Fort negates (harmless)</t>
  </si>
  <si>
    <t>When the target is affected by this spell, its scales grow jagged spikes. These spikes act like +1 armor spikes. The subject is automatically considered proficient with these scale spikes.</t>
  </si>
  <si>
    <t>&lt;p&gt;When the target is affected by this spell, its scales grow jagged spikes. These spikes act like &lt;i&gt;+1 armor spikes&lt;/i&gt;. The subject is automatically considered proficient with these scale spikes.&lt;/p&gt;</t>
  </si>
  <si>
    <t>&lt;link rel="stylesheet"href="PF.css"&gt;&lt;div class="heading"&gt;&lt;p class="alignleft"&gt;Scale Spikes&lt;/p&gt;&lt;div style="clear: both;"&gt;&lt;/div&gt;&lt;/div&gt;&lt;div&gt;&lt;h5&gt;&lt;b&gt;School &lt;/b&gt;transmutation; &lt;b&gt;Level &lt;/b&gt;alchemist 2, bloodrager 2, druid 2, ranger 2, shaman 2, sorcerer/wizard 2, witch 2&lt;/h5&gt;&lt;/div&gt;&lt;hr/&gt;&lt;div&gt;&lt;h5&gt;&lt;b&gt;CASTING&lt;/b&gt;&lt;/h5&gt;&lt;/div&gt;&lt;hr/&gt;&lt;div&gt;&lt;h5&gt;&lt;b&gt;Casting Time &lt;/b&gt;1 standard action&lt;/h5&gt;&lt;h5&gt;&lt;b&gt;Components &lt;/b&gt;V, S, M/DF (a small thorn)&lt;/h5&gt;&lt;/div&gt;&lt;hr/&gt;&lt;div&gt;&lt;h5&gt;&lt;b&gt;EFFECT&lt;/b&gt;&lt;/h5&gt;&lt;/div&gt;&lt;hr/&gt;&lt;div&gt;&lt;h5&gt;&lt;b&gt;Range &lt;/b&gt;close (25 ft. + 5 ft./2 levels)&lt;/h5&gt;&lt;h5&gt;&lt;b&gt;Targets &lt;/b&gt;one living creature/level that is a reptile, has the dragon type, or has the reptilian subtype, and that also has a natural armor bonus of at least +1&lt;/h5&gt;&lt;h5&gt;&lt;b&gt;Duration &lt;/b&gt;1 minute/level&lt;/h5&gt;&lt;h5&gt;&lt;b&gt;Saving Throw &lt;/b&gt;Fort negates (harmless); &lt;b&gt;Spell Resistance &lt;/b&gt;yes (harmless)&lt;/h5&gt;&lt;/div&gt;&lt;hr/&gt;&lt;div&gt;&lt;h5&gt;&lt;b&gt;DESCRIPTION&lt;/b&gt;&lt;/h5&gt;&lt;/div&gt;&lt;hr/&gt;&lt;div&gt;&lt;h4&gt;&lt;p&gt;When the target is affected by this spell, its scales grow jagged spikes. These spikes act like &lt;i&gt;+1 armor spikes&lt;/i&gt;. The subject is automatically considered proficient with these scale spikes.&lt;/p&gt;&lt;/h4&gt;&lt;/div&gt;</t>
  </si>
  <si>
    <t>Scale Spikes, Greater</t>
  </si>
  <si>
    <t>alchemist 4, bloodrager 4, druid 3, ranger 3, shaman 3, sorcerer/wizard 3, witch 3</t>
  </si>
  <si>
    <t>V, S, M/DF (a bit of thistle)</t>
  </si>
  <si>
    <t>one living creature/level that is a reptile, has the dragon type, or has the reptilian subtype, and also has a natural armor bonus of at least +1</t>
  </si>
  <si>
    <t>This spell functions like scale spikes, except that the spikes growing out of the scales have an enhancement bonus on attack and damage rolls equal to +1 for every 4 caster levels (maximum +5). This bonus does not allow the spikes to bypass damage reduction aside from magic.</t>
  </si>
  <si>
    <t>&lt;p&gt;This spell functions like &lt;i&gt;scale spikes&lt;/i&gt;, except that the spikes growing out of the scales have an enhancement bonus on attack and damage rolls equal to +1 for every 4 caster levels (maximum +5). This bonus does not allow the spikes to bypass damage reduction aside from magic.&lt;/p&gt;</t>
  </si>
  <si>
    <t>&lt;link rel="stylesheet"href="PF.css"&gt;&lt;div class="heading"&gt;&lt;p class="alignleft"&gt;Scale Spikes, Greater&lt;/p&gt;&lt;div style="clear: both;"&gt;&lt;/div&gt;&lt;/div&gt;&lt;div&gt;&lt;h5&gt;&lt;b&gt;School &lt;/b&gt;transmutation; &lt;b&gt;Level &lt;/b&gt;alchemist 4, bloodrager 4, druid 3, ranger 3, shaman 3, sorcerer/wizard 3, witch 3&lt;/h5&gt;&lt;/div&gt;&lt;hr/&gt;&lt;div&gt;&lt;h5&gt;&lt;b&gt;CASTING&lt;/b&gt;&lt;/h5&gt;&lt;/div&gt;&lt;hr/&gt;&lt;div&gt;&lt;h5&gt;&lt;b&gt;Casting Time &lt;/b&gt;1 standard action&lt;/h5&gt;&lt;h5&gt;&lt;b&gt;Components &lt;/b&gt;V, S, M/DF (a bit of thistle)&lt;/h5&gt;&lt;/div&gt;&lt;hr/&gt;&lt;div&gt;&lt;h5&gt;&lt;b&gt;EFFECT&lt;/b&gt;&lt;/h5&gt;&lt;/div&gt;&lt;hr/&gt;&lt;div&gt;&lt;h5&gt;&lt;b&gt;Range &lt;/b&gt;close (25 ft. + 5 ft./2 levels)&lt;/h5&gt;&lt;h5&gt;&lt;b&gt;Targets &lt;/b&gt;one living creature/level that is a reptile, has the dragon type, or has the reptilian subtype, and also has a natural armor bonus of at least +1&lt;/h5&gt;&lt;h5&gt;&lt;b&gt;Duration &lt;/b&gt;1 hour/level&lt;/h5&gt;&lt;h5&gt;&lt;b&gt;Saving Throw &lt;/b&gt;Fort negates (harmless); &lt;b&gt;Spell Resistance &lt;/b&gt;yes (harmless)&lt;/h5&gt;&lt;/div&gt;&lt;hr/&gt;&lt;div&gt;&lt;h5&gt;&lt;b&gt;DESCRIPTION&lt;/b&gt;&lt;/h5&gt;&lt;/div&gt;&lt;hr/&gt;&lt;div&gt;&lt;h4&gt;&lt;p&gt;This spell functions like &lt;i&gt;scale spikes&lt;/i&gt;, except that the spikes growing out of the scales have an enhancement bonus on attack and damage rolls equal to +1 for every 4 caster levels (maximum +5). This bonus does not allow the spikes to bypass damage reduction aside from magic.&lt;/p&gt;&lt;/h4&gt;&lt;/div&gt;</t>
  </si>
  <si>
    <t>Air Breathing</t>
  </si>
  <si>
    <t>alchemist 3, bloodrager 3, cleric/oracle 3, druid 3, magus 3, shaman 3, sorcerer/wizard 3, summoner 3, psychic 3</t>
  </si>
  <si>
    <t>V, S, M/DF (flower or piece of grass)</t>
  </si>
  <si>
    <t>living aquatic creatures touched</t>
  </si>
  <si>
    <t>The transmuted creatures can breathe air freely. Divide the duration evenly among all the creatures you touch. The spell doesn't make creatures unable to breathe water.</t>
  </si>
  <si>
    <t>&lt;p&gt;The transmuted creatures can breathe air freely. Divide the duration evenly among all the creatures you touch. The spell doesn't make creatures unable to breathe water.&lt;/p&gt;</t>
  </si>
  <si>
    <t>&lt;link rel="stylesheet"href="PF.css"&gt;&lt;div class="heading"&gt;&lt;p class="alignleft"&gt;Air Breathing&lt;/p&gt;&lt;div style="clear: both;"&gt;&lt;/div&gt;&lt;/div&gt;&lt;div&gt;&lt;h5&gt;&lt;b&gt;School &lt;/b&gt;transmutation; &lt;b&gt;Level &lt;/b&gt;alchemist 3, bloodrager 3, cleric/oracle 3, druid 3, magus 3, shaman 3, sorcerer/wizard 3, summoner 3, psychic 3&lt;/h5&gt;&lt;/div&gt;&lt;hr/&gt;&lt;div&gt;&lt;h5&gt;&lt;b&gt;CASTING&lt;/b&gt;&lt;/h5&gt;&lt;/div&gt;&lt;hr/&gt;&lt;div&gt;&lt;h5&gt;&lt;b&gt;Casting Time &lt;/b&gt;1 standard action&lt;/h5&gt;&lt;h5&gt;&lt;b&gt;Components &lt;/b&gt;V, S, M/DF (flower or piece of grass)&lt;/h5&gt;&lt;/div&gt;&lt;hr/&gt;&lt;div&gt;&lt;h5&gt;&lt;b&gt;EFFECT&lt;/b&gt;&lt;/h5&gt;&lt;/div&gt;&lt;hr/&gt;&lt;div&gt;&lt;h5&gt;&lt;b&gt;Range &lt;/b&gt;touch&lt;/h5&gt;&lt;h5&gt;&lt;b&gt;Targets &lt;/b&gt;living aquatic creatures touched&lt;/h5&gt;&lt;h5&gt;&lt;b&gt;Duration &lt;/b&gt;2 hours/level; see text&lt;/h5&gt;&lt;h5&gt;&lt;b&gt;Saving Throw &lt;/b&gt;Will negates (harmless); &lt;b&gt;Spell Resistance &lt;/b&gt;yes (harmless)&lt;/h5&gt;&lt;/div&gt;&lt;hr/&gt;&lt;div&gt;&lt;h5&gt;&lt;b&gt;DESCRIPTION&lt;/b&gt;&lt;/h5&gt;&lt;/div&gt;&lt;hr/&gt;&lt;div&gt;&lt;h4&gt;&lt;p&gt;The transmuted creatures can breathe air freely. Divide the duration evenly among all the creatures you touch. The spell doesn't make creatures unable to breathe water.&lt;/p&gt;&lt;/h4&gt;&lt;/div&gt;</t>
  </si>
  <si>
    <t>Blood In The Water</t>
  </si>
  <si>
    <t>cleric/oracle 2, sorcerer/wizard 2, psychic 2, mesmerist 2</t>
  </si>
  <si>
    <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t>
  </si>
  <si>
    <t>&lt;p&gt;As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ends.&lt;/p&gt;</t>
  </si>
  <si>
    <t>&lt;link rel="stylesheet"href="PF.css"&gt;&lt;div class="heading"&gt;&lt;p class="alignleft"&gt;Blood In The Water&lt;/p&gt;&lt;div style="clear: both;"&gt;&lt;/div&gt;&lt;/div&gt;&lt;div&gt;&lt;h5&gt;&lt;b&gt;School &lt;/b&gt;necromancy [emotion]; &lt;b&gt;Level &lt;/b&gt;cleric/oracle 2, sorcerer/wizard 2, psychic 2, mesmerist 2&lt;/h5&gt;&lt;/div&gt;&lt;hr/&gt;&lt;div&gt;&lt;h5&gt;&lt;b&gt;CASTING&lt;/b&gt;&lt;/h5&gt;&lt;/div&gt;&lt;hr/&gt;&lt;div&gt;&lt;h5&gt;&lt;b&gt;Casting Time &lt;/b&gt;1 standard action&lt;/h5&gt;&lt;h5&gt;&lt;b&gt;Components &lt;/b&gt;V, S, DF&lt;/h5&gt;&lt;/div&gt;&lt;hr/&gt;&lt;div&gt;&lt;h5&gt;&lt;b&gt;EFFECT&lt;/b&gt;&lt;/h5&gt;&lt;/div&gt;&lt;hr/&gt;&lt;div&gt;&lt;h5&gt;&lt;b&gt;Range &lt;/b&gt;20 ft.&lt;/h5&gt;&lt;h5&gt;&lt;b&gt;Area &lt;/b&gt;20-ft.-radius emanation centered on you&lt;/h5&gt;&lt;h5&gt;&lt;b&gt;Duration &lt;/b&gt;1 round/level&lt;/h5&gt;&lt;h5&gt;&lt;b&gt;Saving Throw &lt;/b&gt;Will negates (harmless); &lt;b&gt;Spell Resistance &lt;/b&gt;yes (harmless)&lt;/h5&gt;&lt;/div&gt;&lt;hr/&gt;&lt;div&gt;&lt;h5&gt;&lt;b&gt;DESCRIPTION&lt;/b&gt;&lt;/h5&gt;&lt;/div&gt;&lt;hr/&gt;&lt;div&gt;&lt;h4&gt;&lt;p&gt;As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ends.&lt;/p&gt;&lt;/h4&gt;&lt;/div&gt;</t>
  </si>
  <si>
    <t>Gift Of The Deep</t>
  </si>
  <si>
    <t>cleric/oracle 4, sorcerer/wizard 5</t>
  </si>
  <si>
    <t>one non-mutated sahuagin/level, no two of which can be more than 30 ft. apart</t>
  </si>
  <si>
    <t>Fortitude negate (harmless)</t>
  </si>
  <si>
    <t>You give the targets the appearance and many of the abilities of sahuagin mutants, with effects as described below. Choose one benefit for all targets of this spell. This spell has no effect on sahuagin that are already mutants or already under the effects of gift of the deep.  Four-Armed: The sahuagin sprouts an extra pair of arms-which can be used to make claw attacks (dealing 1d4 points of damage), or to wield weapons or hold items. It gains the benefits of the Multiattack and Multiweapon Fighting feats.  Malenti: The sahuagin's features shift to resemble those of an aquatic elf. It loses its light blindness as well as its claw and bite attacks. The sahuagin gains a +4 enhancement bonus to Dexterity and Charisma, and a +10 circumstance bonus on Disguise checks to appear to be an aquatic elf.  Prehistoric: The sahuagin grows in size, as enlarge person. It also gains a +2 enhancement bonus to its natural armor.  Shark-Blooded: The sahuagin's tail elongates and melds with its legs. Its mouth enlarges, increasing its bite damage by one size category (to 1d6 for a typical sahuagin). Its swim speed increases by 20 feet, but its land speed is reduced to 5 feet. The sahuagin can't be tripped.  Sightless: The sahuagin is blinded, but gains the benefits of the Blind Fight feat and blindsense with a range of 90 feet.  Spined: Spines grow on the sahuagin's scales. Any creature that successfully grapples with it, is grappled by it, or hits it with an unarmed strike or natural weapon takes 1d4 points of piercing damage. The sahuagin also gains the benefits of the Improved Grapple feat.</t>
  </si>
  <si>
    <t>&lt;p&gt;You give the targets the appearance and many of the abilities of sahuagin mutants, with effects as described below. Choose one benefit for all targets of this spell. This spell has no effect on sahuagin that are already mutants or already under the effects of &lt;i&gt;gift of the deep&lt;/i&gt;.  &lt;i&gt;Four-Armed&lt;/i&gt;: The sahuagin sprouts an extra pair of arms-which can be used to make claw attacks (dealing 1d4 points of damage), or to wield weapons or hold items. It gains the benefits of the Multiattack and Multiweapon Fighting feats.  &lt;i&gt;Malenti&lt;/i&gt;: The sahuagin's features shift to resemble those of an aquatic elf. It loses its light blindness as well as its claw and bite attacks. The sahuagin gains a +4 enhancement bonus to Dexterity and Charisma, and a +10 circumstance bonus on Disguise checks to appear to be an aquatic elf.  &lt;i&gt;Prehistoric&lt;/i&gt;: The sahuagin grows in size, as &lt;i&gt;enlarge person&lt;/i&gt;. It also gains a +2 enhancement bonus to its natural armor.  &lt;i&gt;Shark-Blooded&lt;/i&gt;: The sahuagin's tail elongates and melds with its legs. Its mouth enlarges, increasing its bite damage by one size category (to 1d6 for a typical sahuagin). Its swim speed increases by 20 feet, but its land speed is reduced to 5 feet. The sahuagin can't be tripped.  &lt;i&gt;Sightless&lt;/i&gt;: The sahuagin is blinded, but gains the benefits of the Blind Fight feat and blindsense with a range of 90 feet.  &lt;i&gt;Spined&lt;/i&gt;: Spines grow on the sahuagin's scales. Any creature that successfully grapples with it, is grappled by it, or hits it with an unarmed strike or natural weapon takes 1d4 points of piercing damage. The sahuagin also gains the benefits of the Improved Grapple feat.&lt;/p&gt;</t>
  </si>
  <si>
    <t>&lt;link rel="stylesheet"href="PF.css"&gt;&lt;div class="heading"&gt;&lt;p class="alignleft"&gt;Gift Of The Deep&lt;/p&gt;&lt;div style="clear: both;"&gt;&lt;/div&gt;&lt;/div&gt;&lt;div&gt;&lt;h5&gt;&lt;b&gt;School &lt;/b&gt;transmutation (polymorph); &lt;b&gt;Level &lt;/b&gt;cleric/oracle 4, sorcerer/wizard 5&lt;/h5&gt;&lt;/div&gt;&lt;hr/&gt;&lt;div&gt;&lt;h5&gt;&lt;b&gt;CASTING&lt;/b&gt;&lt;/h5&gt;&lt;/div&gt;&lt;hr/&gt;&lt;div&gt;&lt;h5&gt;&lt;b&gt;Casting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non-mutated sahuagin/level, no two of which can be more than 30 ft. apart&lt;/h5&gt;&lt;h5&gt;&lt;b&gt;Duration &lt;/b&gt;1 minute/level (D)&lt;/h5&gt;&lt;h5&gt;&lt;b&gt;Saving Throw &lt;/b&gt;Fortitude negate (harmless); &lt;b&gt;Spell Resistance &lt;/b&gt;yes (harmless)&lt;/h5&gt;&lt;/div&gt;&lt;hr/&gt;&lt;div&gt;&lt;h5&gt;&lt;b&gt;DESCRIPTION&lt;/b&gt;&lt;/h5&gt;&lt;/div&gt;&lt;hr/&gt;&lt;div&gt;&lt;h4&gt;&lt;p&gt;You give the targets the appearance and many of the abilities of sahuagin mutants, with effects as described below. Choose one benefit for all targets of this spell. This spell has no effect on sahuagin that are already mutants or already under the effects of &lt;i&gt;gift of the deep&lt;/i&gt;.  &lt;i&gt;Four-Armed&lt;/i&gt;: The sahuagin sprouts an extra pair of arms-which can be used to make claw attacks (dealing 1d4 points of damage), or to wield weapons or hold items. It gains the benefits of the Multiattack and Multiweapon Fighting feats.  &lt;i&gt;Malenti&lt;/i&gt;: The sahuagin's features shift to resemble those of an aquatic elf. It loses its light blindness as well as its claw and bite attacks. The sahuagin gains a +4 enhancement bonus to Dexterity and Charisma, and a +10 circumstance bonus on Disguise checks to appear to be an aquatic elf.  &lt;i&gt;Prehistoric&lt;/i&gt;: The sahuagin grows in size, as &lt;i&gt;enlarge person&lt;/i&gt;. It also gains a +2 enhancement bonus to its natural armor.  &lt;i&gt;Shark-Blooded&lt;/i&gt;: The sahuagin's tail elongates and melds with its legs. Its mouth enlarges, increasing its bite damage by one size category (to 1d6 for a typical sahuagin). Its swim speed increases by 20 feet, but its land speed is reduced to 5 feet. The sahuagin can't be tripped.  &lt;i&gt;Sightless&lt;/i&gt;: The sahuagin is blinded, but gains the benefits of the Blind Fight feat and blindsense with a range of 90 feet.  &lt;i&gt;Spined&lt;/i&gt;: Spines grow on the sahuagin's scales. Any creature that successfully grapples with it, is grappled by it, or hits it with an unarmed strike or natural weapon takes 1d4 points of piercing damage. The sahuagin also gains the benefits of the Improved Grapple feat.&lt;/p&gt;&lt;/h4&gt;&lt;/div&gt;</t>
  </si>
  <si>
    <t>Spellsteal</t>
  </si>
  <si>
    <t>cleric/oracle 5, sorcerer/wizard 5, witch 5, psychic 5</t>
  </si>
  <si>
    <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t>
  </si>
  <si>
    <t>&lt;p&gt;You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slots.&lt;/p&gt;</t>
  </si>
  <si>
    <t>&lt;link rel="stylesheet"href="PF.css"&gt;&lt;div class="heading"&gt;&lt;p class="alignleft"&gt;Spellsteal&lt;/p&gt;&lt;div style="clear: both;"&gt;&lt;/div&gt;&lt;/div&gt;&lt;div&gt;&lt;h5&gt;&lt;b&gt;School &lt;/b&gt;abjuration; &lt;b&gt;Level &lt;/b&gt;cleric/oracle 5, sorcerer/wizard 5, witch 5, psychic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&lt;/b&gt;instantaneous and see text&lt;/h5&gt;&lt;h5&gt;&lt;b&gt;Saving Throw &lt;/b&gt;Will negates; &lt;b&gt;Spell Resistance &lt;/b&gt;yes&lt;/h5&gt;&lt;/div&gt;&lt;hr/&gt;&lt;div&gt;&lt;h5&gt;&lt;b&gt;DESCRIPTION&lt;/b&gt;&lt;/h5&gt;&lt;/div&gt;&lt;hr/&gt;&lt;div&gt;&lt;h4&gt;&lt;p&gt;You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slots.&lt;/p&gt;&lt;/h4&gt;&lt;/div&gt;</t>
  </si>
  <si>
    <t>Sundered Serpent Coil</t>
  </si>
  <si>
    <t>magus 3, sorcerer/wizard 3, summoner 3, witch 3</t>
  </si>
  <si>
    <t>one 5-foot square</t>
  </si>
  <si>
    <t>This spell functions like black tentacles, except it creates a Large decapitated snake, which erupts from the ground and grapples a creature you specify within its 5-foot reach. As a standard action, you can command the snake to release its grappled target and direct it to attack a different creature.</t>
  </si>
  <si>
    <t>&lt;p&gt;This spell functions like &lt;i&gt;black tentacles&lt;/i&gt;, except it creates a Large decapitated snake, which erupts from the ground and grapples a creature you specify within its 5-foot reach. As a standard action, you can command the snake to release its grappled target and direct it to attack a different creature.&lt;/p&gt;</t>
  </si>
  <si>
    <t>&lt;link rel="stylesheet"href="PF.css"&gt;&lt;div class="heading"&gt;&lt;p class="alignleft"&gt;Sundered Serpent Coil&lt;/p&gt;&lt;div style="clear: both;"&gt;&lt;/div&gt;&lt;/div&gt;&lt;div&gt;&lt;h5&gt;&lt;b&gt;School &lt;/b&gt;conjuration (creation); &lt;b&gt;Level &lt;/b&gt;magus 3, sorcerer/wizard 3, summoner 3, witch 3&lt;/h5&gt;&lt;/div&gt;&lt;hr/&gt;&lt;div&gt;&lt;h5&gt;&lt;b&gt;CASTING&lt;/b&gt;&lt;/h5&gt;&lt;/div&gt;&lt;hr/&gt;&lt;div&gt;&lt;h5&gt;&lt;b&gt;Casting Time &lt;/b&gt;1 standard action&lt;/h5&gt;&lt;h5&gt;&lt;b&gt;Components &lt;/b&gt;V, S, M (a snake scale)&lt;/h5&gt;&lt;/div&gt;&lt;hr/&gt;&lt;div&gt;&lt;h5&gt;&lt;b&gt;EFFECT&lt;/b&gt;&lt;/h5&gt;&lt;/div&gt;&lt;hr/&gt;&lt;div&gt;&lt;h5&gt;&lt;b&gt;Range &lt;/b&gt;medium (100 ft. + 10 ft./level)&lt;/h5&gt;&lt;h5&gt;&lt;b&gt;Area &lt;/b&gt;one 5-foot square&lt;/h5&gt;&lt;h5&gt;&lt;b&gt;Duration &lt;/b&gt;1 round/level (D)&lt;/h5&gt;&lt;h5&gt;&lt;b&gt;Saving Throw &lt;/b&gt;none; &lt;b&gt;Spell Resistance &lt;/b&gt;no&lt;/h5&gt;&lt;/div&gt;&lt;hr/&gt;&lt;div&gt;&lt;h5&gt;&lt;b&gt;DESCRIPTION&lt;/b&gt;&lt;/h5&gt;&lt;/div&gt;&lt;hr/&gt;&lt;div&gt;&lt;h4&gt;&lt;p&gt;This spell functions like &lt;i&gt;black tentacles&lt;/i&gt;, except it creates a Large decapitated snake, which erupts from the ground and grapples a creature you specify within its 5-foot reach. As a standard action, you can command the snake to release its grappled target and direct it to attack a different creature.&lt;/p&gt;&lt;/h4&gt;&lt;/div&gt;</t>
  </si>
  <si>
    <t>Curse Of Unexpected Death</t>
  </si>
  <si>
    <t>curse, death</t>
  </si>
  <si>
    <t>cleric/oracle 4, shaman 5, witch 5</t>
  </si>
  <si>
    <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dispel magic, remove curse, or similar effects.</t>
  </si>
  <si>
    <t>&lt;p&gt;You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&lt;i&gt;dispel magic&lt;/i&gt;, &lt;i&gt;remove curse&lt;/i&gt;, or similar effects.&lt;/p&gt;</t>
  </si>
  <si>
    <t>AP 89</t>
  </si>
  <si>
    <t>&lt;link rel="stylesheet"href="PF.css"&gt;&lt;div class="heading"&gt;&lt;p class="alignleft"&gt;Curse Of Unexpected Death&lt;/p&gt;&lt;div style="clear: both;"&gt;&lt;/div&gt;&lt;/div&gt;&lt;div&gt;&lt;h5&gt;&lt;b&gt;School &lt;/b&gt;necromancy [curse, death]; &lt;b&gt;Level &lt;/b&gt;cleric/oracle 4, shaman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minute/level (see text)&lt;/h5&gt;&lt;h5&gt;&lt;b&gt;Saving Throw &lt;/b&gt;Fortitude partial (see text); &lt;b&gt;Spell Resistance &lt;/b&gt;yes&lt;/h5&gt;&lt;/div&gt;&lt;hr/&gt;&lt;div&gt;&lt;h5&gt;&lt;b&gt;DESCRIPTION&lt;/b&gt;&lt;/h5&gt;&lt;/div&gt;&lt;hr/&gt;&lt;div&gt;&lt;h4&gt;&lt;p&gt;You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&lt;i&gt;dispel magic&lt;/i&gt;, &lt;i&gt;remove curse&lt;/i&gt;, or similar effects.&lt;/p&gt;&lt;/h4&gt;&lt;/div&gt;</t>
  </si>
  <si>
    <t>Burdened Thoughts</t>
  </si>
  <si>
    <t>druid 2, shaman 2, sorcerer/wizard 3, witch 2</t>
  </si>
  <si>
    <t>V, S, M (a lead bearing wrapped in clay)</t>
  </si>
  <si>
    <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t>
  </si>
  <si>
    <t>&lt;p&gt;You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staggered.&lt;/p&gt;</t>
  </si>
  <si>
    <t>Giant Hunters Handbook</t>
  </si>
  <si>
    <t>&lt;link rel="stylesheet"href="PF.css"&gt;&lt;div class="heading"&gt;&lt;p class="alignleft"&gt;Burdened Thoughts&lt;/p&gt;&lt;div style="clear: both;"&gt;&lt;/div&gt;&lt;/div&gt;&lt;div&gt;&lt;h5&gt;&lt;b&gt;School &lt;/b&gt;enchantment (compulsion) [mind-affecting]; &lt;b&gt;Level &lt;/b&gt;druid 2, shaman 2, sorcerer/wizard 3, witch 2&lt;/h5&gt;&lt;/div&gt;&lt;hr/&gt;&lt;div&gt;&lt;h5&gt;&lt;b&gt;CASTING&lt;/b&gt;&lt;/h5&gt;&lt;/div&gt;&lt;hr/&gt;&lt;div&gt;&lt;h5&gt;&lt;b&gt;Casting Time &lt;/b&gt;1 standard action&lt;/h5&gt;&lt;h5&gt;&lt;b&gt;Components &lt;/b&gt;V, S, M (a lead bearing wrapped in clay)&lt;/h5&gt;&lt;/div&gt;&lt;hr/&gt;&lt;div&gt;&lt;h5&gt;&lt;b&gt;EFFECT&lt;/b&gt;&lt;/h5&gt;&lt;/div&gt;&lt;hr/&gt;&lt;div&gt;&lt;h5&gt;&lt;b&gt;Range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staggered.&lt;/p&gt;&lt;/h4&gt;&lt;/div&gt;</t>
  </si>
  <si>
    <t>Hollow Blades</t>
  </si>
  <si>
    <t>magus 2, ranger 1, shaman 3, sorcerer/wizard 3, witch 3</t>
  </si>
  <si>
    <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t>
  </si>
  <si>
    <t>&lt;p&gt;All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&lt;b&gt;Range&lt;/b&gt;d attacks and weapons are unaffected by this spell.&lt;/p&gt;</t>
  </si>
  <si>
    <t>&lt;link rel="stylesheet"href="PF.css"&gt;&lt;div class="heading"&gt;&lt;p class="alignleft"&gt;Hollow Blades&lt;/p&gt;&lt;div style="clear: both;"&gt;&lt;/div&gt;&lt;/div&gt;&lt;div&gt;&lt;h5&gt;&lt;b&gt;School &lt;/b&gt;transmutation; &lt;b&gt;Level &lt;/b&gt;magus 2, ranger 1, shaman 3, sorcerer/wizard 3, witch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&lt;/b&gt;1 round/level&lt;/h5&gt;&lt;h5&gt;&lt;b&gt;Saving Throw &lt;/b&gt;Fortitude negates; &lt;b&gt;Spell Resistance &lt;/b&gt;yes&lt;/h5&gt;&lt;/div&gt;&lt;hr/&gt;&lt;div&gt;&lt;h5&gt;&lt;b&gt;DESCRIPTION&lt;/b&gt;&lt;/h5&gt;&lt;/div&gt;&lt;hr/&gt;&lt;div&gt;&lt;h4&gt;&lt;p&gt;All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spell.&lt;/p&gt;&lt;/h4&gt;&lt;/div&gt;</t>
  </si>
  <si>
    <t>Runic Overload</t>
  </si>
  <si>
    <t>bloodrager 3, magus 4, sorcerer/wizard 5, witch 6</t>
  </si>
  <si>
    <t>V, S, M (a small rune carved from stone)</t>
  </si>
  <si>
    <t>This spell charges magical runes to an explosive degree. If cast on a creature with magical runes on its body, such as a rune giant or a runescarred creature (Pathfinder Campaign Setting: Lost Cities of Golarion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arcane mark or explosive runes.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t>
  </si>
  <si>
    <t>&lt;p&gt;This spell charges magical runes to an explosive degree. If cast on a creature with magical runes on its body, such as a rune giant or a runescarred creature (&lt;i&gt;Pathfinder Campaign Setting&lt;/i&gt;: &lt;i&gt;Lost Cities of Golarion&lt;/i&gt;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&lt;i&gt;arcane mark&lt;/i&gt; or &lt;i&gt;explosive runes&lt;/i&gt;.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spell.&lt;/p&gt;</t>
  </si>
  <si>
    <t>&lt;link rel="stylesheet"href="PF.css"&gt;&lt;div class="heading"&gt;&lt;p class="alignleft"&gt;Runic Overload&lt;/p&gt;&lt;div style="clear: both;"&gt;&lt;/div&gt;&lt;/div&gt;&lt;div&gt;&lt;h5&gt;&lt;b&gt;School &lt;/b&gt;evocation [sonic]; &lt;b&gt;Level &lt;/b&gt;bloodrager 3, magus 4, sorcerer/wizard 5, witch 6&lt;/h5&gt;&lt;/div&gt;&lt;hr/&gt;&lt;div&gt;&lt;h5&gt;&lt;b&gt;CASTING&lt;/b&gt;&lt;/h5&gt;&lt;/div&gt;&lt;hr/&gt;&lt;div&gt;&lt;h5&gt;&lt;b&gt;Casting Time &lt;/b&gt;1 standard action&lt;/h5&gt;&lt;h5&gt;&lt;b&gt;Components &lt;/b&gt;V, S, M (a small rune carved from stone)&lt;/h5&gt;&lt;/div&gt;&lt;hr/&gt;&lt;div&gt;&lt;h5&gt;&lt;b&gt;EFFECT&lt;/b&gt;&lt;/h5&gt;&lt;/div&gt;&lt;hr/&gt;&lt;div&gt;&lt;h5&gt;&lt;b&gt;Range &lt;/b&gt;close (25 ft. + 5 ft./2 levels)&lt;/h5&gt;&lt;h5&gt;&lt;b&gt;Targets &lt;/b&gt;one creature or object&lt;/h5&gt;&lt;h5&gt;&lt;b&gt;Duration &lt;/b&gt;instantaneous&lt;/h5&gt;&lt;h5&gt;&lt;b&gt;Saving Throw &lt;/b&gt;see text; &lt;b&gt;Spell Resistance &lt;/b&gt;see text&lt;/h5&gt;&lt;/div&gt;&lt;hr/&gt;&lt;div&gt;&lt;h5&gt;&lt;b&gt;DESCRIPTION&lt;/b&gt;&lt;/h5&gt;&lt;/div&gt;&lt;hr/&gt;&lt;div&gt;&lt;h4&gt;&lt;p&gt;This spell charges magical runes to an explosive degree. If cast on a creature with magical runes on its body, such as a rune giant or a runescarred creature (&lt;i&gt;Pathfinder Campaign Setting&lt;/i&gt;: &lt;i&gt;Lost Cities of Golarion&lt;/i&gt;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&lt;i&gt;arcane mark&lt;/i&gt; or &lt;i&gt;explosive runes&lt;/i&gt;.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spell.&lt;/p&gt;&lt;/h4&gt;&lt;/div&gt;</t>
  </si>
  <si>
    <t>Siphon Might</t>
  </si>
  <si>
    <t>druid 3, magus 3, sorcerer/wizard 3, summoner 3, witch 3</t>
  </si>
  <si>
    <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ray of enfeeblement.  You can grant any one creature adjacent to you (including yourself) an enhancement bonus to Strength equal to the Strength penalty imposed by this spell.</t>
  </si>
  <si>
    <t>&lt;p&gt;You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&lt;i&gt;ray of enfeeblement&lt;/i&gt;.  You can grant any one creature adjacent to you (including yourself) an enhancement bonus to Strength equal to the Strength penalty imposed by this spell.&lt;/p&gt;</t>
  </si>
  <si>
    <t>&lt;link rel="stylesheet"href="PF.css"&gt;&lt;div class="heading"&gt;&lt;p class="alignleft"&gt;Siphon Might&lt;/p&gt;&lt;div style="clear: both;"&gt;&lt;/div&gt;&lt;/div&gt;&lt;div&gt;&lt;h5&gt;&lt;b&gt;School &lt;/b&gt;necromancy; &lt;b&gt;Level &lt;/b&gt;druid 3, magus 3, sorcerer/wizard 3, summoner 3, witch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round/level&lt;/h5&gt;&lt;h5&gt;&lt;b&gt;Saving Throw &lt;/b&gt;Fortitude half; &lt;b&gt;Spell Resistance &lt;/b&gt;yes&lt;/h5&gt;&lt;/div&gt;&lt;hr/&gt;&lt;div&gt;&lt;h5&gt;&lt;b&gt;DESCRIPTION&lt;/b&gt;&lt;/h5&gt;&lt;/div&gt;&lt;hr/&gt;&lt;div&gt;&lt;h4&gt;&lt;p&gt;You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&lt;i&gt;ray of enfeeblement&lt;/i&gt;.  You can grant any one creature adjacent to you (including yourself) an enhancement bonus to Strength equal to the Strength penalty imposed by this spell.&lt;/p&gt;&lt;/h4&gt;&lt;/div&gt;</t>
  </si>
  <si>
    <t>Stone Throwing</t>
  </si>
  <si>
    <t>bloodrager 1, cleric/oracle 2, druid 2, magus 2, ranger 1, sorcerer/wizard 2</t>
  </si>
  <si>
    <t>V, S, M (powdered stone)</t>
  </si>
  <si>
    <t>The subject gains the rock throwing and rock catching abilities (Pathfinder RPG Bestiary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t>
  </si>
  <si>
    <t>&lt;p&gt;The subject gains the rock throwing and rock catching abilities (&lt;i&gt;Pathfinder RPG Bestiary&lt;/i&gt;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it.&lt;/p&gt;</t>
  </si>
  <si>
    <t>&lt;link rel="stylesheet"href="PF.css"&gt;&lt;div class="heading"&gt;&lt;p class="alignleft"&gt;Stone Throwing&lt;/p&gt;&lt;div style="clear: both;"&gt;&lt;/div&gt;&lt;/div&gt;&lt;div&gt;&lt;h5&gt;&lt;b&gt;School &lt;/b&gt;transmutation; &lt;b&gt;Level &lt;/b&gt;bloodrager 1, cleric/oracle 2, druid 2, magus 2, ranger 1, sorcerer/wizard 2&lt;/h5&gt;&lt;/div&gt;&lt;hr/&gt;&lt;div&gt;&lt;h5&gt;&lt;b&gt;CASTING&lt;/b&gt;&lt;/h5&gt;&lt;/div&gt;&lt;hr/&gt;&lt;div&gt;&lt;h5&gt;&lt;b&gt;Casting Time &lt;/b&gt;1 standard action&lt;/h5&gt;&lt;h5&gt;&lt;b&gt;Components &lt;/b&gt;V, S, M (powdered stone)&lt;/h5&gt;&lt;/div&gt;&lt;hr/&gt;&lt;div&gt;&lt;h5&gt;&lt;b&gt;EFFECT&lt;/b&gt;&lt;/h5&gt;&lt;/div&gt;&lt;hr/&gt;&lt;div&gt;&lt;h5&gt;&lt;b&gt;Targets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subject gains the rock throwing and rock catching abilities (&lt;i&gt;Pathfinder RPG Bestiary&lt;/i&gt;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it.&lt;/p&gt;&lt;/h4&gt;&lt;/div&gt;</t>
  </si>
  <si>
    <t>Steal Size</t>
  </si>
  <si>
    <t>bloodrager 2, druid 3, magus 3, sorcerer/wizard 2, witch 2</t>
  </si>
  <si>
    <t>V, S, M (a piece of iron shaped like a scale tray)</t>
  </si>
  <si>
    <t>one humanoid creature larger than you</t>
  </si>
  <si>
    <t>This spell reduces the target's size by one size category, as if it were affected by reduce person. You grow in size by one category, as if affected by enlarge person ( if y ou c an b e targeted by that spell). If the spell is dispelled or otherwise ends for either you or the target, both you and the target return to your normal sizes.</t>
  </si>
  <si>
    <t>&lt;p&gt;This spell reduces the target's size by one size category, as if it were affected by &lt;i&gt;reduce person&lt;/i&gt;. You grow in size by one category, as if affected by &lt;i&gt;enlarge person&lt;/i&gt; ( if y ou c an b e targeted by that spell). If the spell is dispelled or otherwise ends for either you or the target, both you and the target return to your normal sizes.&lt;/p&gt;</t>
  </si>
  <si>
    <t>&lt;link rel="stylesheet"href="PF.css"&gt;&lt;div class="heading"&gt;&lt;p class="alignleft"&gt;Steal Size&lt;/p&gt;&lt;div style="clear: both;"&gt;&lt;/div&gt;&lt;/div&gt;&lt;div&gt;&lt;h5&gt;&lt;b&gt;School &lt;/b&gt;transmutation; &lt;b&gt;Level &lt;/b&gt;bloodrager 2, druid 3, magus 3, sorcerer/wizard 2, witch 2&lt;/h5&gt;&lt;/div&gt;&lt;hr/&gt;&lt;div&gt;&lt;h5&gt;&lt;b&gt;CASTING&lt;/b&gt;&lt;/h5&gt;&lt;/div&gt;&lt;hr/&gt;&lt;div&gt;&lt;h5&gt;&lt;b&gt;Casting Time &lt;/b&gt;1 standard action&lt;/h5&gt;&lt;h5&gt;&lt;b&gt;Components &lt;/b&gt;V, S, M (a piece of iron shaped like a scale tray)&lt;/h5&gt;&lt;/div&gt;&lt;hr/&gt;&lt;div&gt;&lt;h5&gt;&lt;b&gt;EFFECT&lt;/b&gt;&lt;/h5&gt;&lt;/div&gt;&lt;hr/&gt;&lt;div&gt;&lt;h5&gt;&lt;b&gt;Range &lt;/b&gt;close (25 ft. + 5 ft./2 levels)&lt;/h5&gt;&lt;h5&gt;&lt;b&gt;Targets &lt;/b&gt;one humanoid creature larger than you&lt;/h5&gt;&lt;h5&gt;&lt;b&gt;Duration &lt;/b&gt;1 minute/level (D)&lt;/h5&gt;&lt;h5&gt;&lt;b&gt;Saving Throw &lt;/b&gt;Fortitude negates; &lt;b&gt;Spell Resistance &lt;/b&gt;yes&lt;/h5&gt;&lt;/div&gt;&lt;hr/&gt;&lt;div&gt;&lt;h5&gt;&lt;b&gt;DESCRIPTION&lt;/b&gt;&lt;/h5&gt;&lt;/div&gt;&lt;hr/&gt;&lt;div&gt;&lt;h4&gt;&lt;p&gt;This spell reduces the target's size by one size category, as if it were affected by &lt;i&gt;reduce person&lt;/i&gt;. You grow in size by one category, as if affected by &lt;i&gt;enlarge person&lt;/i&gt; ( if y ou c an b e targeted by that spell). If the spell is dispelled or otherwise ends for either you or the target, both you and the target return to your normal sizes.&lt;/p&gt;&lt;/h4&gt;&lt;/div&gt;</t>
  </si>
  <si>
    <t>Twisted Futures</t>
  </si>
  <si>
    <t>bard 1, cleric/oracle 2, druid 1, shaman 1, sorcerer/wizard 2, witch 1</t>
  </si>
  <si>
    <t>V, S, M (a small die with the faces scratched off)</t>
  </si>
  <si>
    <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ill omen or a pugwampi's unluck aura (Pathfinder RPG Bestiary 2 144). A cyclops can't use its flash of insight ability to save against this spell.</t>
  </si>
  <si>
    <t>&lt;p&gt;By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&lt;i&gt;ill omen&lt;/i&gt; or a pugwampi's unluck aura (&lt;i&gt;Pathfinder RPG Bestiary 2&lt;/i&gt; 144). A cyclops can't use its flash of insight ability to save against this spell.&lt;/p&gt;</t>
  </si>
  <si>
    <t>&lt;link rel="stylesheet"href="PF.css"&gt;&lt;div class="heading"&gt;&lt;p class="alignleft"&gt;Twisted Futures&lt;/p&gt;&lt;div style="clear: both;"&gt;&lt;/div&gt;&lt;/div&gt;&lt;div&gt;&lt;h5&gt;&lt;b&gt;School &lt;/b&gt;divination; &lt;b&gt;Level &lt;/b&gt;bard 1, cleric/oracle 2, druid 1, shaman 1, sorcerer/wizard 2, witch 1&lt;/h5&gt;&lt;/div&gt;&lt;hr/&gt;&lt;div&gt;&lt;h5&gt;&lt;b&gt;CASTING&lt;/b&gt;&lt;/h5&gt;&lt;/div&gt;&lt;hr/&gt;&lt;div&gt;&lt;h5&gt;&lt;b&gt;Casting Time &lt;/b&gt;1 standard action&lt;/h5&gt;&lt;h5&gt;&lt;b&gt;Components &lt;/b&gt;V, S, M (a small die with the faces scratched off)&lt;/h5&gt;&lt;/div&gt;&lt;hr/&gt;&lt;div&gt;&lt;h5&gt;&lt;b&gt;EFFECT&lt;/b&gt;&lt;/h5&gt;&lt;/div&gt;&lt;hr/&gt;&lt;div&gt;&lt;h5&gt;&lt;b&gt;Range &lt;/b&gt;close (25 ft. + 5ft./2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&lt;i&gt;ill omen&lt;/i&gt; or a pugwampi's unluck aura (&lt;i&gt;Pathfinder RPG Bestiary 2&lt;/i&gt; 144). A cyclops can't use its flash of insight ability to save against this spell.&lt;/p&gt;&lt;/h4&gt;&lt;/div&gt;</t>
  </si>
  <si>
    <t>Amplify Stench</t>
  </si>
  <si>
    <t>cleric/oracle 2, druid 2, oracle 2, shaman 2, sorcerer/wizard 2, psychic 2</t>
  </si>
  <si>
    <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t>
  </si>
  <si>
    <t>&lt;p&gt;You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ability.&lt;/p&gt;</t>
  </si>
  <si>
    <t>&lt;link rel="stylesheet"href="PF.css"&gt;&lt;div class="heading"&gt;&lt;p class="alignleft"&gt;Amplify Stench&lt;/p&gt;&lt;div style="clear: both;"&gt;&lt;/div&gt;&lt;/div&gt;&lt;div&gt;&lt;h5&gt;&lt;b&gt;School &lt;/b&gt;transmutation; &lt;b&gt;Level &lt;/b&gt;cleric/oracle 2, druid 2, oracle 2, shaman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ability.&lt;/p&gt;&lt;/h4&gt;&lt;/div&gt;</t>
  </si>
  <si>
    <t>Mark Of The Reptile God</t>
  </si>
  <si>
    <t>antipaladin 4, cleric/oracle 4, inquisitor 4, oracle 4</t>
  </si>
  <si>
    <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baleful polymorph spell.  As with the effects of bestow curse, the curse inflicted by this spell cannot be dispelled, but it can be removed with a break enchantment, limited wish, miracle, remove curse, or wish spell.</t>
  </si>
  <si>
    <t>&lt;p&gt;If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&lt;i&gt;baleful polymorph&lt;/i&gt; spell.  As with the effects of &lt;i&gt;bestow curse&lt;/i&gt;, the curse inflicted by this spell cannot be dispelled, but it can be removed with a &lt;i&gt;break enchantment&lt;/i&gt;, &lt;i&gt;limited &lt;i&gt;wish&lt;/i&gt;&lt;/i&gt;, &lt;i&gt;miracle&lt;/i&gt;, &lt;i&gt;remove curse&lt;/i&gt;, or &lt;i&gt;wish&lt;/i&gt; spell.&lt;/p&gt;</t>
  </si>
  <si>
    <t>&lt;link rel="stylesheet"href="PF.css"&gt;&lt;div class="heading"&gt;&lt;p class="alignleft"&gt;Mark Of The Reptile God&lt;/p&gt;&lt;div style="clear: both;"&gt;&lt;/div&gt;&lt;/div&gt;&lt;div&gt;&lt;h5&gt;&lt;b&gt;School &lt;/b&gt;transmutation [curse]; &lt;b&gt;Level &lt;/b&gt;antipaladin 4, cleric/oracle 4, inquisitor 4, oracle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&lt;/b&gt;permanent&lt;/h5&gt;&lt;h5&gt;&lt;b&gt;Saving Throw &lt;/b&gt;Fortitude negates; &lt;b&gt;Spell Resistance &lt;/b&gt;yes&lt;/h5&gt;&lt;/div&gt;&lt;hr/&gt;&lt;div&gt;&lt;h5&gt;&lt;b&gt;DESCRIPTION&lt;/b&gt;&lt;/h5&gt;&lt;/div&gt;&lt;hr/&gt;&lt;div&gt;&lt;h4&gt;&lt;p&gt;If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&lt;i&gt;baleful polymorph&lt;/i&gt; spell.  As with the effects of &lt;i&gt;bestow curse&lt;/i&gt;, the curse inflicted by this spell cannot be dispelled, but it can be removed with a &lt;i&gt;break enchantment&lt;/i&gt;, &lt;i&gt;limited &lt;i&gt;wish&lt;/i&gt;&lt;/i&gt;, &lt;i&gt;miracle&lt;/i&gt;, &lt;i&gt;remove curse&lt;/i&gt;, or &lt;i&gt;wish&lt;/i&gt; spell.&lt;/p&gt;&lt;/h4&gt;&lt;/div&gt;</t>
  </si>
  <si>
    <t>Swarm Of Fangs</t>
  </si>
  <si>
    <t>druid 3, sorcerer/wizard 3, summoner 3, witch 3, psychic 3</t>
  </si>
  <si>
    <t>V, S, M (a lizard's tooth)</t>
  </si>
  <si>
    <t>one swarm of animate teeth</t>
  </si>
  <si>
    <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t>
  </si>
  <si>
    <t>&lt;p&gt;You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round.&lt;/p&gt;</t>
  </si>
  <si>
    <t>&lt;link rel="stylesheet"href="PF.css"&gt;&lt;div class="heading"&gt;&lt;p class="alignleft"&gt;Swarm Of Fangs&lt;/p&gt;&lt;div style="clear: both;"&gt;&lt;/div&gt;&lt;/div&gt;&lt;div&gt;&lt;h5&gt;&lt;b&gt;School &lt;/b&gt;conjuration (summoning); &lt;b&gt;Level &lt;/b&gt;druid 3, sorcerer/wizard 3, summoner 3, witch 3, psychic 3&lt;/h5&gt;&lt;/div&gt;&lt;hr/&gt;&lt;div&gt;&lt;h5&gt;&lt;b&gt;CASTING&lt;/b&gt;&lt;/h5&gt;&lt;/div&gt;&lt;hr/&gt;&lt;div&gt;&lt;h5&gt;&lt;b&gt;Casting Time &lt;/b&gt;1 round&lt;/h5&gt;&lt;h5&gt;&lt;b&gt;Components &lt;/b&gt;V, S, M (a lizard's tooth)&lt;/h5&gt;&lt;/div&gt;&lt;hr/&gt;&lt;div&gt;&lt;h5&gt;&lt;b&gt;EFFECT&lt;/b&gt;&lt;/h5&gt;&lt;/div&gt;&lt;hr/&gt;&lt;div&gt;&lt;h5&gt;&lt;b&gt;Range &lt;/b&gt;close (25 ft. + 5 ft./2 levels)&lt;/h5&gt;&lt;h5&gt;&lt;b&gt;Effect &lt;/b&gt;one swarm of animate teeth&lt;/h5&gt;&lt;h5&gt;&lt;b&gt;Duration &lt;/b&gt;1 round/level&lt;/h5&gt;&lt;h5&gt;&lt;b&gt;Saving Throw &lt;/b&gt;none; &lt;b&gt;Spell Resistance &lt;/b&gt;no&lt;/h5&gt;&lt;/div&gt;&lt;hr/&gt;&lt;div&gt;&lt;h5&gt;&lt;b&gt;DESCRIPTION&lt;/b&gt;&lt;/h5&gt;&lt;/div&gt;&lt;hr/&gt;&lt;div&gt;&lt;h4&gt;&lt;p&gt;You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round.&lt;/p&gt;&lt;/h4&gt;&lt;/div&gt;</t>
  </si>
  <si>
    <t>Transfer Regeneration</t>
  </si>
  <si>
    <t>cleric/oracle 3, druid 3, shaman 3, witch 3, psychic 3</t>
  </si>
  <si>
    <t>1 willing living creature</t>
  </si>
  <si>
    <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t>
  </si>
  <si>
    <t>&lt;p&gt;You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spell.&lt;/p&gt;</t>
  </si>
  <si>
    <t>&lt;link rel="stylesheet"href="PF.css"&gt;&lt;div class="heading"&gt;&lt;p class="alignleft"&gt;Transfer Regeneration&lt;/p&gt;&lt;div style="clear: both;"&gt;&lt;/div&gt;&lt;/div&gt;&lt;div&gt;&lt;h5&gt;&lt;b&gt;School &lt;/b&gt;transmutation; &lt;b&gt;Level &lt;/b&gt;cleric/oracle 3, druid 3, shaman 3,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willing living creature&lt;/h5&gt;&lt;h5&gt;&lt;b&gt;Duration &lt;/b&gt;1 minute&lt;/h5&gt;&lt;h5&gt;&lt;b&gt;Saving Throw &lt;/b&gt;none; &lt;b&gt;Spell Resistance &lt;/b&gt;no&lt;/h5&gt;&lt;/div&gt;&lt;hr/&gt;&lt;div&gt;&lt;h5&gt;&lt;b&gt;DESCRIPTION&lt;/b&gt;&lt;/h5&gt;&lt;/div&gt;&lt;hr/&gt;&lt;div&gt;&lt;h4&gt;&lt;p&gt;You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spell.&lt;/p&gt;&lt;/h4&gt;&lt;/div&gt;</t>
  </si>
  <si>
    <t>Trial Of Fire And Acid</t>
  </si>
  <si>
    <t>acid, fire</t>
  </si>
  <si>
    <t>bloodrager 3, cleric/oracle 3, magus 3, shaman 3, sorcerer/wizard 3, witch 3</t>
  </si>
  <si>
    <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t>
  </si>
  <si>
    <t>&lt;p&gt;The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acid.&lt;/p&gt;</t>
  </si>
  <si>
    <t>&lt;link rel="stylesheet"href="PF.css"&gt;&lt;div class="heading"&gt;&lt;p class="alignleft"&gt;Trial Of Fire And Acid&lt;/p&gt;&lt;div style="clear: both;"&gt;&lt;/div&gt;&lt;/div&gt;&lt;div&gt;&lt;h5&gt;&lt;b&gt;School &lt;/b&gt;evocation [acid, fire]; &lt;b&gt;Level &lt;/b&gt;bloodrager 3, cleric/oracle 3, magus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half (see text); &lt;b&gt;Spell Resistance &lt;/b&gt;no&lt;/h5&gt;&lt;/div&gt;&lt;hr/&gt;&lt;div&gt;&lt;h5&gt;&lt;b&gt;DESCRIPTION&lt;/b&gt;&lt;/h5&gt;&lt;/div&gt;&lt;hr/&gt;&lt;div&gt;&lt;h4&gt;&lt;p&gt;The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acid.&lt;/p&gt;&lt;/h4&gt;&lt;/div&gt;</t>
  </si>
  <si>
    <t>Callback</t>
  </si>
  <si>
    <t>bard 2, druid 2, sorcerer/wizard 2, witch 2</t>
  </si>
  <si>
    <t>V, S, M (crushed grasshopper)</t>
  </si>
  <si>
    <t>10 minutes/level or until expended (see text)</t>
  </si>
  <si>
    <t>If your familiar takes hit point damage while within range of this spell, it immediately teleports to your space after the damage is applied. If it's killed, its corpse teleports instead. Optionally, you can specify a number of points of damage for your familiar to take before the spell takes effect. Once the familiar has teleported back to you, the spell ends.</t>
  </si>
  <si>
    <t>&lt;p&gt;If your familiar takes hit point damage while within range of this spell, it immediately teleports to your space after the damage is applied. If it's killed, its corpse teleports instead. Optionally, you can specify a number of points of damage for your familiar to take before the spell takes effect. Once the familiar has teleported back to you, the spell ends.&lt;/p&gt;</t>
  </si>
  <si>
    <t>Familiar Folio</t>
  </si>
  <si>
    <t>&lt;link rel="stylesheet"href="PF.css"&gt;&lt;div class="heading"&gt;&lt;p class="alignleft"&gt;Callback&lt;/p&gt;&lt;div style="clear: both;"&gt;&lt;/div&gt;&lt;/div&gt;&lt;div&gt;&lt;h5&gt;&lt;b&gt;School &lt;/b&gt;conjuration (teleportation); &lt;b&gt;Level &lt;/b&gt;bard 2, druid 2, sorcerer/wizard 2, witch 2&lt;/h5&gt;&lt;/div&gt;&lt;hr/&gt;&lt;div&gt;&lt;h5&gt;&lt;b&gt;CASTING&lt;/b&gt;&lt;/h5&gt;&lt;/div&gt;&lt;hr/&gt;&lt;div&gt;&lt;h5&gt;&lt;b&gt;Casting Time &lt;/b&gt;1 standard action&lt;/h5&gt;&lt;h5&gt;&lt;b&gt;Components &lt;/b&gt;V, S, M (crushed grasshopper)&lt;/h5&gt;&lt;/div&gt;&lt;hr/&gt;&lt;div&gt;&lt;h5&gt;&lt;b&gt;EFFECT&lt;/b&gt;&lt;/h5&gt;&lt;/div&gt;&lt;hr/&gt;&lt;div&gt;&lt;h5&gt;&lt;b&gt;Range &lt;/b&gt;long (400 ft. + 40 ft./level)&lt;/h5&gt;&lt;h5&gt;&lt;b&gt;Targets &lt;/b&gt;your familiar&lt;/h5&gt;&lt;h5&gt;&lt;b&gt;Duration &lt;/b&gt;10 minutes/level or until expended (see text)&lt;/h5&gt;&lt;h5&gt;&lt;b&gt;Saving Throw &lt;/b&gt;Fortitude negates (harmless); &lt;b&gt;Spell Resistance &lt;/b&gt;yes (harmless)&lt;/h5&gt;&lt;/div&gt;&lt;hr/&gt;&lt;div&gt;&lt;h5&gt;&lt;b&gt;DESCRIPTION&lt;/b&gt;&lt;/h5&gt;&lt;/div&gt;&lt;hr/&gt;&lt;div&gt;&lt;h4&gt;&lt;p&gt;If your familiar takes hit point damage while within range of this spell, it immediately teleports to your space after the damage is applied. If it's killed, its corpse teleports instead. Optionally, you can specify a number of points of damage for your familiar to take before the spell takes effect. Once the familiar has teleported back to you, the spell ends.&lt;/p&gt;&lt;/h4&gt;&lt;/div&gt;</t>
  </si>
  <si>
    <t>Callback, Greater</t>
  </si>
  <si>
    <t>bard 5, druid 5, sorcerer/wizard 5, witch 5</t>
  </si>
  <si>
    <t>1 hour/level or until expended</t>
  </si>
  <si>
    <t>This spell functions as callback, except as noted above.</t>
  </si>
  <si>
    <t>&lt;p&gt;This spell functions as &lt;i&gt;callback&lt;/i&gt;, except as noted above.&lt;/p&gt;</t>
  </si>
  <si>
    <t>&lt;link rel="stylesheet"href="PF.css"&gt;&lt;div class="heading"&gt;&lt;p class="alignleft"&gt;Callback, Greater&lt;/p&gt;&lt;div style="clear: both;"&gt;&lt;/div&gt;&lt;/div&gt;&lt;div&gt;&lt;h5&gt;&lt;b&gt;School &lt;/b&gt;conjuration (teleportation); &lt;b&gt;Level &lt;/b&gt;bard 5, druid 5, sorcerer/wizard 5, witch 5&lt;/h5&gt;&lt;/div&gt;&lt;hr/&gt;&lt;div&gt;&lt;h5&gt;&lt;b&gt;CASTING&lt;/b&gt;&lt;/h5&gt;&lt;/div&gt;&lt;hr/&gt;&lt;div&gt;&lt;h5&gt;&lt;b&gt;Casting Time &lt;/b&gt;1 standard action&lt;/h5&gt;&lt;h5&gt;&lt;b&gt;Components &lt;/b&gt;V, S, M (crushed grasshopper)&lt;/h5&gt;&lt;/div&gt;&lt;hr/&gt;&lt;div&gt;&lt;h5&gt;&lt;b&gt;EFFECT&lt;/b&gt;&lt;/h5&gt;&lt;/div&gt;&lt;hr/&gt;&lt;div&gt;&lt;h5&gt;&lt;b&gt;Range &lt;/b&gt;1 mile/level&lt;/h5&gt;&lt;h5&gt;&lt;b&gt;Targets &lt;/b&gt;your familiar&lt;/h5&gt;&lt;h5&gt;&lt;b&gt;Duration &lt;/b&gt;1 hour/level or until expended&lt;/h5&gt;&lt;h5&gt;&lt;b&gt;Saving Throw &lt;/b&gt;Fortitude negates (harmless); &lt;b&gt;Spell Resistance &lt;/b&gt;yes (harmless)&lt;/h5&gt;&lt;/div&gt;&lt;hr/&gt;&lt;div&gt;&lt;h5&gt;&lt;b&gt;DESCRIPTION&lt;/b&gt;&lt;/h5&gt;&lt;/div&gt;&lt;hr/&gt;&lt;div&gt;&lt;h4&gt;&lt;p&gt;This spell functions as &lt;i&gt;callback&lt;/i&gt;, except as noted above.&lt;/p&gt;&lt;/h4&gt;&lt;/div&gt;</t>
  </si>
  <si>
    <t>Disrupt Link</t>
  </si>
  <si>
    <t>antipaladin 2, bard 3, inquisitor 3, sorcerer/wizard 2, witch 2</t>
  </si>
  <si>
    <t>one creature and her animal companion, familiar, or other bonded creature (which may be no more than 30 ft. apart)</t>
  </si>
  <si>
    <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t>
  </si>
  <si>
    <t>&lt;p&gt;The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connection.&lt;/p&gt;</t>
  </si>
  <si>
    <t>&lt;link rel="stylesheet"href="PF.css"&gt;&lt;div class="heading"&gt;&lt;p class="alignleft"&gt;Disrupt Link&lt;/p&gt;&lt;div style="clear: both;"&gt;&lt;/div&gt;&lt;/div&gt;&lt;div&gt;&lt;h5&gt;&lt;b&gt;School &lt;/b&gt;abjuration; &lt;b&gt;Level &lt;/b&gt;antipaladin 2, bard 3, inquisitor 3, 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and her animal companion, familiar, or other bonded creature (which may be no more than 30 ft. apart)&lt;/h5&gt;&lt;h5&gt;&lt;b&gt;Duration &lt;/b&gt;1 round/level&lt;/h5&gt;&lt;h5&gt;&lt;b&gt;Saving Throw &lt;/b&gt;Will negates; &lt;b&gt;Spell Resistance &lt;/b&gt;yes&lt;/h5&gt;&lt;/div&gt;&lt;hr/&gt;&lt;div&gt;&lt;h5&gt;&lt;b&gt;DESCRIPTION&lt;/b&gt;&lt;/h5&gt;&lt;/div&gt;&lt;hr/&gt;&lt;div&gt;&lt;h4&gt;&lt;p&gt;The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connection.&lt;/p&gt;&lt;/h4&gt;&lt;/div&gt;</t>
  </si>
  <si>
    <t>Duplicate Familiar</t>
  </si>
  <si>
    <t>alchemist 4, sorcerer/wizard 5, witch 5</t>
  </si>
  <si>
    <t>V, S, M (alchemically preserved mockingfey feathers), F (familiar)</t>
  </si>
  <si>
    <t>temporary duplicate of familiar touched</t>
  </si>
  <si>
    <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t>
  </si>
  <si>
    <t>&lt;p&gt;You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transformed.&lt;/p&gt;</t>
  </si>
  <si>
    <t>&lt;link rel="stylesheet"href="PF.css"&gt;&lt;div class="heading"&gt;&lt;p class="alignleft"&gt;Duplicate Familiar&lt;/p&gt;&lt;div style="clear: both;"&gt;&lt;/div&gt;&lt;/div&gt;&lt;div&gt;&lt;h5&gt;&lt;b&gt;School &lt;/b&gt;conjuration (creation); &lt;b&gt;Level &lt;/b&gt;alchemist 4, sorcerer/wizard 5, witch 5&lt;/h5&gt;&lt;/div&gt;&lt;hr/&gt;&lt;div&gt;&lt;h5&gt;&lt;b&gt;CASTING&lt;/b&gt;&lt;/h5&gt;&lt;/div&gt;&lt;hr/&gt;&lt;div&gt;&lt;h5&gt;&lt;b&gt;Casting Time &lt;/b&gt;1 standard action&lt;/h5&gt;&lt;h5&gt;&lt;b&gt;Components &lt;/b&gt;V, S, M (alchemically preserved mockingfey feathers), F (familiar)&lt;/h5&gt;&lt;/div&gt;&lt;hr/&gt;&lt;div&gt;&lt;h5&gt;&lt;b&gt;EFFECT&lt;/b&gt;&lt;/h5&gt;&lt;/div&gt;&lt;hr/&gt;&lt;div&gt;&lt;h5&gt;&lt;b&gt;Range &lt;/b&gt;touch&lt;/h5&gt;&lt;h5&gt;&lt;b&gt;Effect &lt;/b&gt;temporary duplicate of familiar touched&lt;/h5&gt;&lt;h5&gt;&lt;b&gt;Duration &lt;/b&gt;10 minutes/level&lt;/h5&gt;&lt;h5&gt;&lt;b&gt;Saving Throw &lt;/b&gt;Fortitude negates; &lt;b&gt;Spell Resistance &lt;/b&gt;no&lt;/h5&gt;&lt;/div&gt;&lt;hr/&gt;&lt;div&gt;&lt;h5&gt;&lt;b&gt;DESCRIPTION&lt;/b&gt;&lt;/h5&gt;&lt;/div&gt;&lt;hr/&gt;&lt;div&gt;&lt;h4&gt;&lt;p&gt;You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transformed.&lt;/p&gt;&lt;/h4&gt;&lt;/div&gt;</t>
  </si>
  <si>
    <t>Empathy Conduit</t>
  </si>
  <si>
    <t>shaman 5, sorcerer/wizard 5, witch 5</t>
  </si>
  <si>
    <t>V, S, F (a glass rod)</t>
  </si>
  <si>
    <t>an animal companion, familiar, or other bonded creature and its master (which may be no more than 30 ft. apart)</t>
  </si>
  <si>
    <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empathy conduit. The creature to be affected must still be a valid target of the spell being cast; for example, you can't affect a familiar with charm person through an empathy conduit. Spells with a duration other than instantaneous that are cast through an empathy conduit last either their normal duration or until the empathy conduit expires, whichever comes first. Whenever the master or its familiar is targeted with a spell intended to affect the other creature, the targeted creature can attempt an additional save against the empathy conduit.</t>
  </si>
  <si>
    <t>&lt;p&gt;You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&lt;i&gt;empathy conduit&lt;/i&gt;. The creature to be affected must still be a valid target of the spell being cast; for example, you can't affect a familiar with &lt;i&gt;charm person&lt;/i&gt; through an &lt;i&gt;empathy conduit&lt;/i&gt;. Spells with a duration other than instantaneous that are cast through an &lt;i&gt;empathy conduit&lt;/i&gt; last either their normal duration or until the &lt;i&gt;empathy conduit&lt;/i&gt; expires, whichever comes first. Whenever the master or its familiar is targeted with a spell intended to affect the other creature, the targeted creature can attempt an additional save against the &lt;i&gt;empathy conduit&lt;/i&gt;.&lt;/p&gt;</t>
  </si>
  <si>
    <t>&lt;link rel="stylesheet"href="PF.css"&gt;&lt;div class="heading"&gt;&lt;p class="alignleft"&gt;Empathy Conduit&lt;/p&gt;&lt;div style="clear: both;"&gt;&lt;/div&gt;&lt;/div&gt;&lt;div&gt;&lt;h5&gt;&lt;b&gt;School &lt;/b&gt;necromancy; &lt;b&gt;Level &lt;/b&gt;shaman 5, sorcerer/wizard 5, witch 5&lt;/h5&gt;&lt;/div&gt;&lt;hr/&gt;&lt;div&gt;&lt;h5&gt;&lt;b&gt;CASTING&lt;/b&gt;&lt;/h5&gt;&lt;/div&gt;&lt;hr/&gt;&lt;div&gt;&lt;h5&gt;&lt;b&gt;Casting Time &lt;/b&gt;1 standard action&lt;/h5&gt;&lt;h5&gt;&lt;b&gt;Components &lt;/b&gt;V, S, F (a glass rod)&lt;/h5&gt;&lt;/div&gt;&lt;hr/&gt;&lt;div&gt;&lt;h5&gt;&lt;b&gt;EFFECT&lt;/b&gt;&lt;/h5&gt;&lt;/div&gt;&lt;hr/&gt;&lt;div&gt;&lt;h5&gt;&lt;b&gt;Range &lt;/b&gt;medium (100 ft. + 10 ft./level)&lt;/h5&gt;&lt;h5&gt;&lt;b&gt;Targets &lt;/b&gt;an animal companion, familiar, or other bonded creature and its master (which may be no more than 30 ft. apart)&lt;/h5&gt;&lt;h5&gt;&lt;b&gt;Duration &lt;/b&gt;1 round/level&lt;/h5&gt;&lt;h5&gt;&lt;b&gt;Saving Throw &lt;/b&gt;Will negates; &lt;b&gt;Spell Resistance &lt;/b&gt;yes&lt;/h5&gt;&lt;/div&gt;&lt;hr/&gt;&lt;div&gt;&lt;h5&gt;&lt;b&gt;DESCRIPTION&lt;/b&gt;&lt;/h5&gt;&lt;/div&gt;&lt;hr/&gt;&lt;div&gt;&lt;h4&gt;&lt;p&gt;You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&lt;i&gt;empathy conduit&lt;/i&gt;. The creature to be affected must still be a valid target of the spell being cast; for example, you can't affect a familiar with &lt;i&gt;charm person&lt;/i&gt; through an &lt;i&gt;empathy conduit&lt;/i&gt;. Spells with a duration other than instantaneous that are cast through an &lt;i&gt;empathy conduit&lt;/i&gt; last either their normal duration or until the &lt;i&gt;empathy conduit&lt;/i&gt; expires, whichever comes first. Whenever the master or its familiar is targeted with a spell intended to affect the other creature, the targeted creature can attempt an additional save against the &lt;i&gt;empathy conduit&lt;/i&gt;.&lt;/p&gt;&lt;/h4&gt;&lt;/div&gt;</t>
  </si>
  <si>
    <t>Merge With Familiar</t>
  </si>
  <si>
    <t>Your familiar merges harmlessly into your body. For the duration of this spell, you or your familiar can separate or merge at will as a move action. While merged, your familiar can't be targeted or affected by any means (including ongoing effects).</t>
  </si>
  <si>
    <t>&lt;p&gt;Your familiar merges harmlessly into your body. For the duration of this spell, you or your familiar can separate or merge at will as a move action. While merged, your familiar can't be targeted or affected by any means (including ongoing effects).&lt;/p&gt;</t>
  </si>
  <si>
    <t>&lt;link rel="stylesheet"href="PF.css"&gt;&lt;div class="heading"&gt;&lt;p class="alignleft"&gt;Merge With Familiar&lt;/p&gt;&lt;div style="clear: both;"&gt;&lt;/div&gt;&lt;/div&gt;&lt;div&gt;&lt;h5&gt;&lt;b&gt;School &lt;/b&gt;transmutation; &lt;b&gt;Level &lt;/b&gt;alchemist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familiar&lt;/h5&gt;&lt;h5&gt;&lt;b&gt;Duration &lt;/b&gt;1 hour/level (D)&lt;/h5&gt;&lt;h5&gt;&lt;b&gt;Saving Throw &lt;/b&gt;Fortitude negates (harmless); &lt;b&gt;Spell Resistance &lt;/b&gt;yes (harmless)&lt;/h5&gt;&lt;/div&gt;&lt;hr/&gt;&lt;div&gt;&lt;h5&gt;&lt;b&gt;DESCRIPTION&lt;/b&gt;&lt;/h5&gt;&lt;/div&gt;&lt;hr/&gt;&lt;div&gt;&lt;h4&gt;&lt;p&gt;Your familiar merges harmlessly into your body. For the duration of this spell, you or your familiar can separate or merge at will as a move action. While merged, your familiar can't be targeted or affected by any means (including ongoing effects).&lt;/p&gt;&lt;/h4&gt;&lt;/div&gt;</t>
  </si>
  <si>
    <t>Soulswitch</t>
  </si>
  <si>
    <t>bard 5, cleric/oracle 5, druid 5, inquisitor 5, magus 5, shaman 5, sorcerer/wizard 5, witch 5</t>
  </si>
  <si>
    <t>V, S, F (two brass collars worth 50 gp each)</t>
  </si>
  <si>
    <t>you and your familiar</t>
  </si>
  <si>
    <t>You may only cast this spell if you currently have a familiar. You place your soul into the body of your familiar, and your familiar's soul is placed in your body. This functions as if you possessed your familiar using magic jar;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t>
  </si>
  <si>
    <t>&lt;p&gt;You may only cast this spell if you currently have a familiar. You place your soul into the body of your familiar, and your familiar's soul is placed in your body. This functions as if you possessed your familiar using &lt;i&gt;magic jar&lt;/i&gt;;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dies.&lt;/p&gt;</t>
  </si>
  <si>
    <t>&lt;link rel="stylesheet"href="PF.css"&gt;&lt;div class="heading"&gt;&lt;p class="alignleft"&gt;Soulswitch&lt;/p&gt;&lt;div style="clear: both;"&gt;&lt;/div&gt;&lt;/div&gt;&lt;div&gt;&lt;h5&gt;&lt;b&gt;School &lt;/b&gt;necromancy; &lt;b&gt;Level &lt;/b&gt;bard 5, cleric/oracle 5, druid 5, inquisitor 5, magus 5, shaman 5, sorcerer/wizard 5, witch 5&lt;/h5&gt;&lt;/div&gt;&lt;hr/&gt;&lt;div&gt;&lt;h5&gt;&lt;b&gt;CASTING&lt;/b&gt;&lt;/h5&gt;&lt;/div&gt;&lt;hr/&gt;&lt;div&gt;&lt;h5&gt;&lt;b&gt;Casting Time &lt;/b&gt;1 standard action&lt;/h5&gt;&lt;h5&gt;&lt;b&gt;Components &lt;/b&gt;V, S, F (two brass collars worth 50 gp each)&lt;/h5&gt;&lt;/div&gt;&lt;hr/&gt;&lt;div&gt;&lt;h5&gt;&lt;b&gt;EFFECT&lt;/b&gt;&lt;/h5&gt;&lt;/div&gt;&lt;hr/&gt;&lt;div&gt;&lt;h5&gt;&lt;b&gt;Range &lt;/b&gt;touch&lt;/h5&gt;&lt;h5&gt;&lt;b&gt;Targets &lt;/b&gt;you and your familiar&lt;/h5&gt;&lt;h5&gt;&lt;b&gt;Duration &lt;/b&gt;10 minutes/level&lt;/h5&gt;&lt;h5&gt;&lt;b&gt;Saving Throw &lt;/b&gt;Will negates (harmless); &lt;b&gt;Spell Resistance &lt;/b&gt;yes (harmless)&lt;/h5&gt;&lt;/div&gt;&lt;hr/&gt;&lt;div&gt;&lt;h5&gt;&lt;b&gt;DESCRIPTION&lt;/b&gt;&lt;/h5&gt;&lt;/div&gt;&lt;hr/&gt;&lt;div&gt;&lt;h4&gt;&lt;p&gt;You may only cast this spell if you currently have a familiar. You place your soul into the body of your familiar, and your familiar's soul is placed in your body. This functions as if you possessed your familiar using &lt;i&gt;magic jar&lt;/i&gt;;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dies.&lt;/p&gt;&lt;/h4&gt;&lt;/div&gt;</t>
  </si>
  <si>
    <t>Transfer Familiar</t>
  </si>
  <si>
    <t>your familiar and one willing creature</t>
  </si>
  <si>
    <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t>
  </si>
  <si>
    <t>&lt;p&gt;You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fails.&lt;/p&gt;</t>
  </si>
  <si>
    <t>&lt;link rel="stylesheet"href="PF.css"&gt;&lt;div class="heading"&gt;&lt;p class="alignleft"&gt;Transfer Familiar&lt;/p&gt;&lt;div style="clear: both;"&gt;&lt;/div&gt;&lt;/div&gt;&lt;div&gt;&lt;h5&gt;&lt;b&gt;School &lt;/b&gt;evocation; &lt;b&gt;Level &lt;/b&gt;sorcerer/wizard 6,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 and one willing creature&lt;/h5&gt;&lt;h5&gt;&lt;b&gt;Duration &lt;/b&gt;1 day/level (D)&lt;/h5&gt;&lt;h5&gt;&lt;b&gt;Saving Throw &lt;/b&gt;none; &lt;b&gt;Spell Resistance &lt;/b&gt;no&lt;/h5&gt;&lt;/div&gt;&lt;hr/&gt;&lt;div&gt;&lt;h5&gt;&lt;b&gt;DESCRIPTION&lt;/b&gt;&lt;/h5&gt;&lt;/div&gt;&lt;hr/&gt;&lt;div&gt;&lt;h4&gt;&lt;p&gt;You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fails.&lt;/p&gt;&lt;/h4&gt;&lt;/div&gt;</t>
  </si>
  <si>
    <t>Beanstalk</t>
  </si>
  <si>
    <t>sorcerer/wizard 4, summoner 4, witch 4</t>
  </si>
  <si>
    <t>V, S, M (a small handful of beans)</t>
  </si>
  <si>
    <t>0 ft. (see text)</t>
  </si>
  <si>
    <t>a 5-foot-radius beanstalk that grows to a height of 50 ft./caster level</t>
  </si>
  <si>
    <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t>
  </si>
  <si>
    <t>&lt;p&gt;When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compost.&lt;/p&gt;</t>
  </si>
  <si>
    <t>AP 91</t>
  </si>
  <si>
    <t>&lt;link rel="stylesheet"href="PF.css"&gt;&lt;div class="heading"&gt;&lt;p class="alignleft"&gt;Beanstalk&lt;/p&gt;&lt;div style="clear: both;"&gt;&lt;/div&gt;&lt;/div&gt;&lt;div&gt;&lt;h5&gt;&lt;b&gt;School &lt;/b&gt;conjuration (creation); &lt;b&gt;Level &lt;/b&gt;sorcerer/wizard 4, summoner 4, witch 4&lt;/h5&gt;&lt;/div&gt;&lt;hr/&gt;&lt;div&gt;&lt;h5&gt;&lt;b&gt;CASTING&lt;/b&gt;&lt;/h5&gt;&lt;/div&gt;&lt;hr/&gt;&lt;div&gt;&lt;h5&gt;&lt;b&gt;Casting Time &lt;/b&gt;1 minute&lt;/h5&gt;&lt;h5&gt;&lt;b&gt;Components &lt;/b&gt;V, S, M (a small handful of beans)&lt;/h5&gt;&lt;/div&gt;&lt;hr/&gt;&lt;div&gt;&lt;h5&gt;&lt;b&gt;EFFECT&lt;/b&gt;&lt;/h5&gt;&lt;/div&gt;&lt;hr/&gt;&lt;div&gt;&lt;h5&gt;&lt;b&gt;Range &lt;/b&gt;0 ft. (see text)&lt;/h5&gt;&lt;h5&gt;&lt;b&gt;Effect &lt;/b&gt;a 5-foot-radius beanstalk that grows to a height of 50 ft./caster level&lt;/h5&gt;&lt;h5&gt;&lt;b&gt;Duration &lt;/b&gt;24 hours&lt;/h5&gt;&lt;h5&gt;&lt;b&gt;Saving Throw &lt;/b&gt;none; &lt;b&gt;Spell Resistance &lt;/b&gt;no&lt;/h5&gt;&lt;/div&gt;&lt;hr/&gt;&lt;div&gt;&lt;h5&gt;&lt;b&gt;DESCRIPTION&lt;/b&gt;&lt;/h5&gt;&lt;/div&gt;&lt;hr/&gt;&lt;div&gt;&lt;h4&gt;&lt;p&gt;When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compost.&lt;/p&gt;&lt;/h4&gt;&lt;/div&gt;</t>
  </si>
  <si>
    <t>Flaming Aura</t>
  </si>
  <si>
    <t>bloodrager 4, cleric/oracle 4, magus 4, shaman 4, sorcerer/wizard 4, summoner 4, witch 4</t>
  </si>
  <si>
    <t>V, S, M/DF (a small piece of charcoal)</t>
  </si>
  <si>
    <t>you (see text)</t>
  </si>
  <si>
    <t>none (harmless, see text)</t>
  </si>
  <si>
    <t>no (harmless, see text)</t>
  </si>
  <si>
    <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t>
  </si>
  <si>
    <t>&lt;p&gt;The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you.&lt;/p&gt;</t>
  </si>
  <si>
    <t>&lt;link rel="stylesheet"href="PF.css"&gt;&lt;div class="heading"&gt;&lt;p class="alignleft"&gt;Flaming Aura&lt;/p&gt;&lt;div style="clear: both;"&gt;&lt;/div&gt;&lt;/div&gt;&lt;div&gt;&lt;h5&gt;&lt;b&gt;School &lt;/b&gt;transmutation [fire]; &lt;b&gt;Level &lt;/b&gt;bloodrager 4, cleric/oracle 4, magus 4, shaman 4, sorcerer/wizard 4, summoner 4, witch 4&lt;/h5&gt;&lt;/div&gt;&lt;hr/&gt;&lt;div&gt;&lt;h5&gt;&lt;b&gt;CASTING&lt;/b&gt;&lt;/h5&gt;&lt;/div&gt;&lt;hr/&gt;&lt;div&gt;&lt;h5&gt;&lt;b&gt;Casting Time &lt;/b&gt;1 standard action&lt;/h5&gt;&lt;h5&gt;&lt;b&gt;Components &lt;/b&gt;V, S, M/DF (a small piece of charcoal)&lt;/h5&gt;&lt;/div&gt;&lt;hr/&gt;&lt;div&gt;&lt;h5&gt;&lt;b&gt;EFFECT&lt;/b&gt;&lt;/h5&gt;&lt;/div&gt;&lt;hr/&gt;&lt;div&gt;&lt;h5&gt;&lt;b&gt;Range &lt;/b&gt;personal&lt;/h5&gt;&lt;h5&gt;&lt;b&gt;Targets &lt;/b&gt;you (see text)&lt;/h5&gt;&lt;h5&gt;&lt;b&gt;Duration &lt;/b&gt;1 minute/level&lt;/h5&gt;&lt;h5&gt;&lt;b&gt;Saving Throw &lt;/b&gt;none (harmless, see text); &lt;b&gt;Spell Resistance &lt;/b&gt;no (harmless, see text)&lt;/h5&gt;&lt;/div&gt;&lt;hr/&gt;&lt;div&gt;&lt;h5&gt;&lt;b&gt;DESCRIPTION&lt;/b&gt;&lt;/h5&gt;&lt;/div&gt;&lt;hr/&gt;&lt;div&gt;&lt;h4&gt;&lt;p&gt;The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you.&lt;/p&gt;&lt;/h4&gt;&lt;/div&gt;</t>
  </si>
  <si>
    <t>Frosty Aura</t>
  </si>
  <si>
    <t>V, S, M/DF (a chunk of ice or a few drops of water melted from glacier ice)</t>
  </si>
  <si>
    <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t>
  </si>
  <si>
    <t>&lt;p&gt;The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you.&lt;/p&gt;</t>
  </si>
  <si>
    <t>&lt;link rel="stylesheet"href="PF.css"&gt;&lt;div class="heading"&gt;&lt;p class="alignleft"&gt;Frosty Aura&lt;/p&gt;&lt;div style="clear: both;"&gt;&lt;/div&gt;&lt;/div&gt;&lt;div&gt;&lt;h5&gt;&lt;b&gt;School &lt;/b&gt;transmutation [cold]; &lt;b&gt;Level &lt;/b&gt;bloodrager 4, cleric/oracle 4, magus 4, shaman 4, sorcerer/wizard 4, summoner 4, witch 4&lt;/h5&gt;&lt;/div&gt;&lt;hr/&gt;&lt;div&gt;&lt;h5&gt;&lt;b&gt;CASTING&lt;/b&gt;&lt;/h5&gt;&lt;/div&gt;&lt;hr/&gt;&lt;div&gt;&lt;h5&gt;&lt;b&gt;Casting Time &lt;/b&gt;1 standard action&lt;/h5&gt;&lt;h5&gt;&lt;b&gt;Components &lt;/b&gt;V, S, M/DF (a chunk of ice or a few drops of water melted from glacier ice)&lt;/h5&gt;&lt;/div&gt;&lt;hr/&gt;&lt;div&gt;&lt;h5&gt;&lt;b&gt;EFFECT&lt;/b&gt;&lt;/h5&gt;&lt;/div&gt;&lt;hr/&gt;&lt;div&gt;&lt;h5&gt;&lt;b&gt;Range &lt;/b&gt;personal&lt;/h5&gt;&lt;h5&gt;&lt;b&gt;Targets &lt;/b&gt;you (see text)&lt;/h5&gt;&lt;h5&gt;&lt;b&gt;Duration &lt;/b&gt;1 minute/level&lt;/h5&gt;&lt;h5&gt;&lt;b&gt;Saving Throw &lt;/b&gt;none (harmless, see text); &lt;b&gt;Spell Resistance &lt;/b&gt;no (harmless, see text)&lt;/h5&gt;&lt;/div&gt;&lt;hr/&gt;&lt;div&gt;&lt;h5&gt;&lt;b&gt;DESCRIPTION&lt;/b&gt;&lt;/h5&gt;&lt;/div&gt;&lt;hr/&gt;&lt;div&gt;&lt;h4&gt;&lt;p&gt;The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you.&lt;/p&gt;&lt;/h4&gt;&lt;/div&gt;</t>
  </si>
  <si>
    <t>Quick Throwing</t>
  </si>
  <si>
    <t>antipaladin 2, bloodrager 2, magus 2, paladin 2, ranger 2</t>
  </si>
  <si>
    <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t>
  </si>
  <si>
    <t>&lt;p&gt;Those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ammunition.&lt;/p&gt;</t>
  </si>
  <si>
    <t>&lt;link rel="stylesheet"href="PF.css"&gt;&lt;div class="heading"&gt;&lt;p class="alignleft"&gt;Quick Throwing&lt;/p&gt;&lt;div style="clear: both;"&gt;&lt;/div&gt;&lt;/div&gt;&lt;div&gt;&lt;h5&gt;&lt;b&gt;School &lt;/b&gt;transmutation; &lt;b&gt;Level &lt;/b&gt;antipaladin 2, bloodrager 2, magus 2, paladin 2, ranger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ammunition.&lt;/p&gt;&lt;/h4&gt;&lt;/div&gt;</t>
  </si>
  <si>
    <t>Thunderous Footfalls</t>
  </si>
  <si>
    <t>one Large or larger creature</t>
  </si>
  <si>
    <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t>
  </si>
  <si>
    <t>&lt;p&gt;This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prone.&lt;/p&gt;</t>
  </si>
  <si>
    <t>&lt;link rel="stylesheet"href="PF.css"&gt;&lt;div class="heading"&gt;&lt;p class="alignleft"&gt;Thunderous Footfalls&lt;/p&gt;&lt;div style="clear: both;"&gt;&lt;/div&gt;&lt;/div&gt;&lt;div&gt;&lt;h5&gt;&lt;b&gt;School &lt;/b&gt;transmutation; &lt;b&gt;Level &lt;/b&gt;sorcerer/wizard 3, summoner 3&lt;/h5&gt;&lt;/div&gt;&lt;hr/&gt;&lt;div&gt;&lt;h5&gt;&lt;b&gt;CASTING&lt;/b&gt;&lt;/h5&gt;&lt;/div&gt;&lt;hr/&gt;&lt;div&gt;&lt;h5&gt;&lt;b&gt;Casting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Large or larger creature&lt;/h5&gt;&lt;h5&gt;&lt;b&gt;Duration &lt;/b&gt;1 round/level&lt;/h5&gt;&lt;h5&gt;&lt;b&gt;Saving Throw &lt;/b&gt;Fortitude negates (harmless); &lt;b&gt;Spell Resistance &lt;/b&gt;no (harmless)&lt;/h5&gt;&lt;/div&gt;&lt;hr/&gt;&lt;div&gt;&lt;h5&gt;&lt;b&gt;DESCRIPTION&lt;/b&gt;&lt;/h5&gt;&lt;/div&gt;&lt;hr/&gt;&lt;div&gt;&lt;h4&gt;&lt;p&gt;This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prone.&lt;/p&gt;&lt;/h4&gt;&lt;/div&gt;</t>
  </si>
  <si>
    <t>Thanatotic Fury</t>
  </si>
  <si>
    <t>V, S, M (shavings from a holy symbol)</t>
  </si>
  <si>
    <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t>
  </si>
  <si>
    <t>&lt;p&gt;You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reduction.&lt;/p&gt;</t>
  </si>
  <si>
    <t>&lt;link rel="stylesheet"href="PF.css"&gt;&lt;div class="heading"&gt;&lt;p class="alignleft"&gt;Thanatotic Fury&lt;/p&gt;&lt;div style="clear: both;"&gt;&lt;/div&gt;&lt;/div&gt;&lt;div&gt;&lt;h5&gt;&lt;b&gt;School &lt;/b&gt;transmutation; &lt;b&gt;Level &lt;/b&gt;sorcerer/wizard 4, witch 4&lt;/h5&gt;&lt;/div&gt;&lt;hr/&gt;&lt;div&gt;&lt;h5&gt;&lt;b&gt;CASTING&lt;/b&gt;&lt;/h5&gt;&lt;/div&gt;&lt;hr/&gt;&lt;div&gt;&lt;h5&gt;&lt;b&gt;Casting Time &lt;/b&gt;1 standard action&lt;/h5&gt;&lt;h5&gt;&lt;b&gt;Components &lt;/b&gt;V, S, M (shavings from a holy symbol)&lt;/h5&gt;&lt;/div&gt;&lt;hr/&gt;&lt;div&gt;&lt;h5&gt;&lt;b&gt;EFFECT&lt;/b&gt;&lt;/h5&gt;&lt;/div&gt;&lt;hr/&gt;&lt;div&gt;&lt;h5&gt;&lt;b&gt;Range &lt;/b&gt;personal&lt;/h5&gt;&lt;h5&gt;&lt;b&gt;Targets &lt;/b&gt;you (see text)&lt;/h5&gt;&lt;h5&gt;&lt;b&gt;Duration &lt;/b&gt;1 minute/level&lt;/h5&gt;&lt;/div&gt;&lt;hr/&gt;&lt;div&gt;&lt;h5&gt;&lt;b&gt;DESCRIPTION&lt;/b&gt;&lt;/h5&gt;&lt;/div&gt;&lt;hr/&gt;&lt;div&gt;&lt;h4&gt;&lt;p&gt;You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reduction.&lt;/p&gt;&lt;/h4&gt;&lt;/div&gt;</t>
  </si>
  <si>
    <t>Titanic Anchoring</t>
  </si>
  <si>
    <t>antipaladin 3, bloodrager 3, cleric/oracle 3, magus 3, paladin 3, ranger 3</t>
  </si>
  <si>
    <t>V, S, M (a shaving of oak root)</t>
  </si>
  <si>
    <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t>
  </si>
  <si>
    <t>&lt;p&gt;You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you.&lt;/p&gt;</t>
  </si>
  <si>
    <t>&lt;link rel="stylesheet"href="PF.css"&gt;&lt;div class="heading"&gt;&lt;p class="alignleft"&gt;Titanic Anchoring&lt;/p&gt;&lt;div style="clear: both;"&gt;&lt;/div&gt;&lt;/div&gt;&lt;div&gt;&lt;h5&gt;&lt;b&gt;School &lt;/b&gt;transmutation; &lt;b&gt;Level &lt;/b&gt;antipaladin 3, bloodrager 3, cleric/oracle 3, magus 3, paladin 3, ranger 3&lt;/h5&gt;&lt;/div&gt;&lt;hr/&gt;&lt;div&gt;&lt;h5&gt;&lt;b&gt;CASTING&lt;/b&gt;&lt;/h5&gt;&lt;/div&gt;&lt;hr/&gt;&lt;div&gt;&lt;h5&gt;&lt;b&gt;Casting Time &lt;/b&gt;1 standard action&lt;/h5&gt;&lt;h5&gt;&lt;b&gt;Components &lt;/b&gt;V, S, M (a shaving of oak root)&lt;/h5&gt;&lt;/div&gt;&lt;hr/&gt;&lt;div&gt;&lt;h5&gt;&lt;b&gt;EFFECT&lt;/b&gt;&lt;/h5&gt;&lt;/div&gt;&lt;hr/&gt;&lt;div&gt;&lt;h5&gt;&lt;b&gt;Range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you.&lt;/p&gt;&lt;/h4&gt;&lt;/div&gt;</t>
  </si>
  <si>
    <t>Aura Of Inviolate Ownership</t>
  </si>
  <si>
    <t>cleric/oracle 3, inquisitor 3, paladin 3</t>
  </si>
  <si>
    <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t>
  </si>
  <si>
    <t>&lt;p&gt;This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maneuvers.&lt;/p&gt;</t>
  </si>
  <si>
    <t>Melee Tactics Toolbox</t>
  </si>
  <si>
    <t>&lt;link rel="stylesheet"href="PF.css"&gt;&lt;div class="heading"&gt;&lt;p class="alignleft"&gt;Aura Of Inviolate Ownership&lt;/p&gt;&lt;div style="clear: both;"&gt;&lt;/div&gt;&lt;/div&gt;&lt;div&gt;&lt;h5&gt;&lt;b&gt;School &lt;/b&gt;abjuration; &lt;b&gt;Level &lt;/b&gt;cleric/oracle 3, inquisitor 3, paladin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maneuvers.&lt;/p&gt;&lt;/h4&gt;&lt;/div&gt;</t>
  </si>
  <si>
    <t>Blade Tutor's Spirit</t>
  </si>
  <si>
    <t>antipaladin 2, magus 1, paladin 2, sorcerer/wizard 2, summoner 2</t>
  </si>
  <si>
    <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disintegrate, dispel magic, a rod of cancellation, or a sphere of annihilation can affect it. A protective spirit's AC against touch attacks is equal to 10 + your Dexterity modifier.</t>
  </si>
  <si>
    <t>&lt;p&gt;You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&lt;i&gt;disintegrate&lt;/i&gt;, &lt;i&gt;dispel magic&lt;/i&gt;, a &lt;i&gt;rod of cancellation&lt;/i&gt;, or a &lt;i&gt;sphere of annihilation&lt;/i&gt; can affect it. A protective spirit's AC against touch attacks is equal to 10 + your Dexterity modifier.&lt;/p&gt;</t>
  </si>
  <si>
    <t>&lt;link rel="stylesheet"href="PF.css"&gt;&lt;div class="heading"&gt;&lt;p class="alignleft"&gt;Blade Tutor's Spirit&lt;/p&gt;&lt;div style="clear: both;"&gt;&lt;/div&gt;&lt;/div&gt;&lt;div&gt;&lt;h5&gt;&lt;b&gt;School &lt;/b&gt;conjuration (creation); &lt;b&gt;Level &lt;/b&gt;antipaladin 2, magus 1, paladin 2, sorcerer/wizard 2, summoner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&lt;i&gt;disintegrate&lt;/i&gt;, &lt;i&gt;dispel magic&lt;/i&gt;, a &lt;i&gt;rod of cancellation&lt;/i&gt;, or a &lt;i&gt;sphere of annihilation&lt;/i&gt; can affect it. A protective spirit's AC against touch attacks is equal to 10 + your Dexterity modifier.&lt;/p&gt;&lt;/h4&gt;&lt;/div&gt;</t>
  </si>
  <si>
    <t>Darting Duplicate</t>
  </si>
  <si>
    <t>antipaladin 1, bard 1, magus 1, shaman 1, sorcerer/wizard 1, witch 1</t>
  </si>
  <si>
    <t>visual figment of the caster</t>
  </si>
  <si>
    <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t>
  </si>
  <si>
    <t>&lt;p&gt;An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attack.&lt;/p&gt;</t>
  </si>
  <si>
    <t>&lt;link rel="stylesheet"href="PF.css"&gt;&lt;div class="heading"&gt;&lt;p class="alignleft"&gt;Darting Duplicate&lt;/p&gt;&lt;div style="clear: both;"&gt;&lt;/div&gt;&lt;/div&gt;&lt;div&gt;&lt;h5&gt;&lt;b&gt;School &lt;/b&gt;illusion (figment); &lt;b&gt;Level &lt;/b&gt;antipaladin 1, bard 1, magus 1, shaman 1, sorcerer/wizard 1, witch 1&lt;/h5&gt;&lt;/div&gt;&lt;hr/&gt;&lt;div&gt;&lt;h5&gt;&lt;b&gt;CASTING&lt;/b&gt;&lt;/h5&gt;&lt;/div&gt;&lt;hr/&gt;&lt;div&gt;&lt;h5&gt;&lt;b&gt;Casting Time &lt;/b&gt;1 swift action&lt;/h5&gt;&lt;h5&gt;&lt;b&gt;Components &lt;/b&gt;V, S&lt;/h5&gt;&lt;/div&gt;&lt;hr/&gt;&lt;div&gt;&lt;h5&gt;&lt;b&gt;EFFECT&lt;/b&gt;&lt;/h5&gt;&lt;/div&gt;&lt;hr/&gt;&lt;div&gt;&lt;h5&gt;&lt;b&gt;Range &lt;/b&gt;5 ft.&lt;/h5&gt;&lt;h5&gt;&lt;b&gt;Effect &lt;/b&gt;visual figment of the caster&lt;/h5&gt;&lt;h5&gt;&lt;b&gt;Duration &lt;/b&gt;instantaneous&lt;/h5&gt;&lt;h5&gt;&lt;b&gt;Saving Throw &lt;/b&gt;Will negates; &lt;b&gt;Spell Resistance &lt;/b&gt;yes&lt;/h5&gt;&lt;/div&gt;&lt;hr/&gt;&lt;div&gt;&lt;h5&gt;&lt;b&gt;DESCRIPTION&lt;/b&gt;&lt;/h5&gt;&lt;/div&gt;&lt;hr/&gt;&lt;div&gt;&lt;h4&gt;&lt;p&gt;An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attack.&lt;/p&gt;&lt;/h4&gt;&lt;/div&gt;</t>
  </si>
  <si>
    <t>Dimensional Blade</t>
  </si>
  <si>
    <t>antipaladin 4, bloodrager 4, cleric/oracle 6, inquisitor 5, magus 5, paladin 4, sorcerer/wizard 6</t>
  </si>
  <si>
    <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mage armor and shield, still apply their AC against attacks made with a dimensional blade. Bludgeoning weapons used to make attacks with this spell deal half damage and are treated as slashing weapons. If the weapon leaves your hand before the end of the spell, the effect ends.</t>
  </si>
  <si>
    <t>&lt;p&gt;This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&lt;i&gt;mage armor&lt;/i&gt; and &lt;i&gt;shield&lt;/i&gt;, still apply their AC against attacks made with a &lt;i&gt;dimensional blade&lt;/i&gt;. Bludgeoning weapons used to make attacks with this spell deal half damage and are treated as slashing weapons. If the weapon leaves your hand before the end of the spell, the effect ends.&lt;/p&gt;</t>
  </si>
  <si>
    <t>&lt;link rel="stylesheet"href="PF.css"&gt;&lt;div class="heading"&gt;&lt;p class="alignleft"&gt;Dimensional Blade&lt;/p&gt;&lt;div style="clear: both;"&gt;&lt;/div&gt;&lt;/div&gt;&lt;div&gt;&lt;h5&gt;&lt;b&gt;School &lt;/b&gt;transmutation; &lt;b&gt;Level &lt;/b&gt;antipaladin 4, bloodrager 4, cleric/oracle 6, inquisitor 5, magus 5, paladin 4, sorcerer/wizard 6&lt;/h5&gt;&lt;/div&gt;&lt;hr/&gt;&lt;div&gt;&lt;h5&gt;&lt;b&gt;CASTING&lt;/b&gt;&lt;/h5&gt;&lt;/div&gt;&lt;hr/&gt;&lt;div&gt;&lt;h5&gt;&lt;b&gt;Casting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round&lt;/h5&gt;&lt;/div&gt;&lt;hr/&gt;&lt;div&gt;&lt;h5&gt;&lt;b&gt;DESCRIPTION&lt;/b&gt;&lt;/h5&gt;&lt;/div&gt;&lt;hr/&gt;&lt;div&gt;&lt;h4&gt;&lt;p&gt;This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&lt;i&gt;mage armor&lt;/i&gt; and &lt;i&gt;shield&lt;/i&gt;, still apply their AC against attacks made with a &lt;i&gt;dimensional blade&lt;/i&gt;. Bludgeoning weapons used to make attacks with this spell deal half damage and are treated as slashing weapons. If the weapon leaves your hand before the end of the spell, the effect ends.&lt;/p&gt;&lt;/h4&gt;&lt;/div&gt;</t>
  </si>
  <si>
    <t>Fiery Runes</t>
  </si>
  <si>
    <t>alchemist 2, bloodrager 2, druid 2, magus 2, sorcerer/wizard 2</t>
  </si>
  <si>
    <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t>
  </si>
  <si>
    <t>&lt;p&gt;You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11th.&lt;/p&gt;</t>
  </si>
  <si>
    <t>&lt;link rel="stylesheet"href="PF.css"&gt;&lt;div class="heading"&gt;&lt;p class="alignleft"&gt;Fiery Runes&lt;/p&gt;&lt;div style="clear: both;"&gt;&lt;/div&gt;&lt;/div&gt;&lt;div&gt;&lt;h5&gt;&lt;b&gt;School &lt;/b&gt;evocation [fire]; &lt;b&gt;Level &lt;/b&gt;alchemist 2, bloodrager 2, druid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minute/level or until discharged (see text)&lt;/h5&gt;&lt;h5&gt;&lt;b&gt;Saving Throw &lt;/b&gt;none; &lt;b&gt;Spell Resistance &lt;/b&gt;yes (see text)&lt;/h5&gt;&lt;/div&gt;&lt;hr/&gt;&lt;div&gt;&lt;h5&gt;&lt;b&gt;DESCRIPTION&lt;/b&gt;&lt;/h5&gt;&lt;/div&gt;&lt;hr/&gt;&lt;div&gt;&lt;h4&gt;&lt;p&gt;You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11th.&lt;/p&gt;&lt;/h4&gt;&lt;/div&gt;</t>
  </si>
  <si>
    <t>Instant Weapon</t>
  </si>
  <si>
    <t>bard 2, bloodrager 2, cleric/oracle 2, inquisitor 2, magus 2, sorcerer/wizard 2</t>
  </si>
  <si>
    <t>melee weapon of opaque force</t>
  </si>
  <si>
    <t>You create a melee weapon sized appropriately for you from opaque force. You are considered proficient with this weapon, which acts in all ways as a masterwork weapon typical of its type. The instant weapon has hardness 20 and the same number of hit points as a typical weapon of its type. As a force effect, it can strike and damage incorporeal creatures. If the instant weapon leaves your hand at any time, the spell ends at the beginning of your next turn.</t>
  </si>
  <si>
    <t>&lt;p&gt;You create a melee weapon sized appropriately for you from opaque force. You are considered proficient with this weapon, which acts in all ways as a masterwork weapon typical of its type. The &lt;i&gt;instant weapon&lt;/i&gt; has hardness 20 and the same number of hit points as a typical weapon of its type. As a force effect, it can strike and damage incorporeal creatures. If the &lt;i&gt;instant weapon&lt;/i&gt; leaves your hand at any time, the spell ends at the beginning of your next turn.&lt;/p&gt;</t>
  </si>
  <si>
    <t>&lt;link rel="stylesheet"href="PF.css"&gt;&lt;div class="heading"&gt;&lt;p class="alignleft"&gt;Instant Weapon&lt;/p&gt;&lt;div style="clear: both;"&gt;&lt;/div&gt;&lt;/div&gt;&lt;div&gt;&lt;h5&gt;&lt;b&gt;School &lt;/b&gt;conjuration (creation) [force]; &lt;b&gt;Level &lt;/b&gt;bard 2, bloodrager 2, cleric/oracle 2, inquisitor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&lt;/b&gt;melee weapon of opaque force&lt;/h5&gt;&lt;h5&gt;&lt;b&gt;Duration &lt;/b&gt;1 minute/level&lt;/h5&gt;&lt;/div&gt;&lt;hr/&gt;&lt;div&gt;&lt;h5&gt;&lt;b&gt;DESCRIPTION&lt;/b&gt;&lt;/h5&gt;&lt;/div&gt;&lt;hr/&gt;&lt;div&gt;&lt;h4&gt;&lt;p&gt;You create a melee weapon sized appropriately for you from opaque force. You are considered proficient with this weapon, which acts in all ways as a masterwork weapon typical of its type. The &lt;i&gt;instant weapon&lt;/i&gt; has hardness 20 and the same number of hit points as a typical weapon of its type. As a force effect, it can strike and damage incorporeal creatures. If the &lt;i&gt;instant weapon&lt;/i&gt; leaves your hand at any time, the spell ends at the beginning of your next turn.&lt;/p&gt;&lt;/h4&gt;&lt;/div&gt;</t>
  </si>
  <si>
    <t>Reaper's Coterie</t>
  </si>
  <si>
    <t>antipaladin 2, bloodrager 2, cleric/oracle 3, inquisitor 3, witch 3</t>
  </si>
  <si>
    <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t>
  </si>
  <si>
    <t>&lt;p&gt;The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level.&lt;/p&gt;</t>
  </si>
  <si>
    <t>&lt;link rel="stylesheet"href="PF.css"&gt;&lt;div class="heading"&gt;&lt;p class="alignleft"&gt;Reaper's Coterie&lt;/p&gt;&lt;div style="clear: both;"&gt;&lt;/div&gt;&lt;/div&gt;&lt;div&gt;&lt;h5&gt;&lt;b&gt;School &lt;/b&gt;necromancy [evil]; &lt;b&gt;Level &lt;/b&gt;antipaladin 2, bloodrager 2, cleric/oracle 3, inquisitor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round/level&lt;/h5&gt;&lt;h5&gt;&lt;b&gt;Saving Throw &lt;/b&gt;none; &lt;b&gt;Spell Resistance &lt;/b&gt;no&lt;/h5&gt;&lt;/div&gt;&lt;hr/&gt;&lt;div&gt;&lt;h5&gt;&lt;b&gt;DESCRIPTION&lt;/b&gt;&lt;/h5&gt;&lt;/div&gt;&lt;hr/&gt;&lt;div&gt;&lt;h4&gt;&lt;p&gt;The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level.&lt;/p&gt;&lt;/h4&gt;&lt;/div&gt;</t>
  </si>
  <si>
    <t>Rubberskin</t>
  </si>
  <si>
    <t>alchemist 4, magus 4, sorcerer/wizard 5, witch 5</t>
  </si>
  <si>
    <t>V, S, M (a piece of rubber or drop of tar)</t>
  </si>
  <si>
    <t>Your skin becomes more elastic, distributing crushing damage efficiently. For the duration of the spell, all bludgeoning and falling damage you take is converted into nonlethal damage. This spell has no effect if you're immune to nonlethal damage.</t>
  </si>
  <si>
    <t>&lt;p&gt;Your skin becomes more elastic, distributing crushing damage efficiently. For the duration of the spell, all bludgeoning and falling damage you take is converted into nonlethal damage. This spell has no effect if you're immune to nonlethal damage.&lt;/p&gt;</t>
  </si>
  <si>
    <t>&lt;link rel="stylesheet"href="PF.css"&gt;&lt;div class="heading"&gt;&lt;p class="alignleft"&gt;Rubberskin&lt;/p&gt;&lt;div style="clear: both;"&gt;&lt;/div&gt;&lt;/div&gt;&lt;div&gt;&lt;h5&gt;&lt;b&gt;School &lt;/b&gt;transmutation; &lt;b&gt;Level &lt;/b&gt;alchemist 4, magus 4, sorcerer/wizard 5, witch 5&lt;/h5&gt;&lt;/div&gt;&lt;hr/&gt;&lt;div&gt;&lt;h5&gt;&lt;b&gt;CASTING&lt;/b&gt;&lt;/h5&gt;&lt;/div&gt;&lt;hr/&gt;&lt;div&gt;&lt;h5&gt;&lt;b&gt;Casting Time &lt;/b&gt;1 standard action&lt;/h5&gt;&lt;h5&gt;&lt;b&gt;Components &lt;/b&gt;V, S, M (a piece of rubber or drop of tar)&lt;/h5&gt;&lt;/div&gt;&lt;hr/&gt;&lt;div&gt;&lt;h5&gt;&lt;b&gt;EFFECT&lt;/b&gt;&lt;/h5&gt;&lt;/div&gt;&lt;hr/&gt;&lt;div&gt;&lt;h5&gt;&lt;b&gt;Range &lt;/b&gt;personal&lt;/h5&gt;&lt;h5&gt;&lt;b&gt;Duration &lt;/b&gt;10 minutes/level&lt;/h5&gt;&lt;/div&gt;&lt;hr/&gt;&lt;div&gt;&lt;h5&gt;&lt;b&gt;DESCRIPTION&lt;/b&gt;&lt;/h5&gt;&lt;/div&gt;&lt;hr/&gt;&lt;div&gt;&lt;h4&gt;&lt;p&gt;Your skin becomes more elastic, distributing crushing damage efficiently. For the duration of the spell, all bludgeoning and falling damage you take is converted into nonlethal damage. This spell has no effect if you're immune to nonlethal damage.&lt;/p&gt;&lt;/h4&gt;&lt;/div&gt;</t>
  </si>
  <si>
    <t>Umbral Weapon</t>
  </si>
  <si>
    <t>cold, shadow</t>
  </si>
  <si>
    <t>antipaladin 2, bard 2, magus 2, sorcerer/wizard 2, witch 2</t>
  </si>
  <si>
    <t>V, S, M (a pair of miniature swords)</t>
  </si>
  <si>
    <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umbral weapon, the spell is dispelled. If not, the creature takes damage as normal.</t>
  </si>
  <si>
    <t>&lt;p&gt;A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&lt;i&gt;umbral weapon&lt;/i&gt;, the spell is dispelled. If not, the creature takes damage as normal.&lt;/p&gt;</t>
  </si>
  <si>
    <t>&lt;link rel="stylesheet"href="PF.css"&gt;&lt;div class="heading"&gt;&lt;p class="alignleft"&gt;Umbral Weapon&lt;/p&gt;&lt;div style="clear: both;"&gt;&lt;/div&gt;&lt;/div&gt;&lt;div&gt;&lt;h5&gt;&lt;b&gt;School &lt;/b&gt;illusion [cold, shadow]; &lt;b&gt;Level &lt;/b&gt;antipaladin 2, bard 2, magus 2, sorcerer/wizard 2, witch 2&lt;/h5&gt;&lt;/div&gt;&lt;hr/&gt;&lt;div&gt;&lt;h5&gt;&lt;b&gt;CASTING&lt;/b&gt;&lt;/h5&gt;&lt;/div&gt;&lt;hr/&gt;&lt;div&gt;&lt;h5&gt;&lt;b&gt;Casting Time &lt;/b&gt;1 standard action&lt;/h5&gt;&lt;h5&gt;&lt;b&gt;Components &lt;/b&gt;V, S, M (a pair of miniature swords)&lt;/h5&gt;&lt;/div&gt;&lt;hr/&gt;&lt;div&gt;&lt;h5&gt;&lt;b&gt;EFFECT&lt;/b&gt;&lt;/h5&gt;&lt;/div&gt;&lt;hr/&gt;&lt;div&gt;&lt;h5&gt;&lt;b&gt;Range &lt;/b&gt;touch&lt;/h5&gt;&lt;h5&gt;&lt;b&gt;Targets &lt;/b&gt;melee weapon touched&lt;/h5&gt;&lt;h5&gt;&lt;b&gt;Duration &lt;/b&gt;1 round/level&lt;/h5&gt;&lt;h5&gt;&lt;b&gt;Saving Throw &lt;/b&gt;none; &lt;b&gt;Spell Resistance &lt;/b&gt;yes&lt;/h5&gt;&lt;/div&gt;&lt;hr/&gt;&lt;div&gt;&lt;h5&gt;&lt;b&gt;DESCRIPTION&lt;/b&gt;&lt;/h5&gt;&lt;/div&gt;&lt;hr/&gt;&lt;div&gt;&lt;h4&gt;&lt;p&gt;A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&lt;i&gt;umbral weapon&lt;/i&gt;, the spell is dispelled. If not, the creature takes damage as normal.&lt;/p&gt;&lt;/h4&gt;&lt;/div&gt;</t>
  </si>
  <si>
    <t>Vine Strike</t>
  </si>
  <si>
    <t>alchemist 2, antipaladin 2, bloodrager 2, druid 2, ranger 2, shaman 2, sorcerer/wizard 2</t>
  </si>
  <si>
    <t>Bristles burst from your body, lodging in your opponent and blossoming into entangling vines as you pummel your target. While this spell is in effect, your natural attacks and unarmed attacks deal an additional 1d6 points of damage, and any creature hit by your natural or unarmed strike must succeed at a Reflex save or be entangled for the duration of the spell. A creature entangled by this spell can spend a standard action to remove the vines but can be entangled again by further unarmed strikes.</t>
  </si>
  <si>
    <t>&lt;p&gt;Bristles burst from your body, lodging in your opponent and blossoming into entangling vines as you pummel your target. While this spell is in effect, your natural attacks and unarmed attacks deal an additional 1d6 points of damage, and any creature hit by your natural or unarmed strike must succeed at a Reflex save or be entangled for the duration of the spell. A creature entangled by this spell can spend a standard action to remove the vines but can be entangled again by further unarmed strikes.&lt;/p&gt;</t>
  </si>
  <si>
    <t>&lt;link rel="stylesheet"href="PF.css"&gt;&lt;div class="heading"&gt;&lt;p class="alignleft"&gt;Vine Strike&lt;/p&gt;&lt;div style="clear: both;"&gt;&lt;/div&gt;&lt;/div&gt;&lt;div&gt;&lt;h5&gt;&lt;b&gt;School &lt;/b&gt;conjuration (creation); &lt;b&gt;Level &lt;/b&gt;alchemist 2, antipaladin 2, bloodrager 2, druid 2, ranger 2, shaman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&lt;/b&gt;Reflex negates (see text); &lt;b&gt;Spell Resistance &lt;/b&gt;yes&lt;/h5&gt;&lt;/div&gt;&lt;hr/&gt;&lt;div&gt;&lt;h5&gt;&lt;b&gt;DESCRIPTION&lt;/b&gt;&lt;/h5&gt;&lt;/div&gt;&lt;hr/&gt;&lt;div&gt;&lt;h4&gt;&lt;p&gt;Bristles burst from your body, lodging in your opponent and blossoming into entangling vines as you pummel your target. While this spell is in effect, your natural attacks and unarmed attacks deal an additional 1d6 points of damage, and any creature hit by your natural or unarmed strike must succeed at a Reflex save or be entangled for the duration of the spell. A creature entangled by this spell can spend a standard action to remove the vines but can be entangled again by further unarmed strikes.&lt;/p&gt;&lt;/h4&gt;&lt;/div&gt;</t>
  </si>
  <si>
    <t>Cheetah's Sprint</t>
  </si>
  <si>
    <t>bloodrager 1, druid 1, ranger 1, shaman 1, witch 1</t>
  </si>
  <si>
    <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t>
  </si>
  <si>
    <t>&lt;p&gt;A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distance.&lt;/p&gt;</t>
  </si>
  <si>
    <t>Heroes Of The Wild</t>
  </si>
  <si>
    <t>&lt;link rel="stylesheet"href="PF.css"&gt;&lt;div class="heading"&gt;&lt;p class="alignleft"&gt;Cheetah's Sprint&lt;/p&gt;&lt;div style="clear: both;"&gt;&lt;/div&gt;&lt;/div&gt;&lt;div&gt;&lt;h5&gt;&lt;b&gt;School &lt;/b&gt;transmutation; &lt;b&gt;Level &lt;/b&gt;bloodrager 1, druid 1, ranger 1, shaman 1, witch 1&lt;/h5&gt;&lt;/div&gt;&lt;hr/&gt;&lt;div&gt;&lt;h5&gt;&lt;b&gt;CASTING&lt;/b&gt;&lt;/h5&gt;&lt;/div&gt;&lt;hr/&gt;&lt;div&gt;&lt;h5&gt;&lt;b&gt;Casting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distance.&lt;/p&gt;&lt;/h4&gt;&lt;/div&gt;</t>
  </si>
  <si>
    <t>Clear Grove</t>
  </si>
  <si>
    <t>druid 3, ranger 2, shaman 3, witch 3</t>
  </si>
  <si>
    <t>V, S, M/DF (a miniature hoe)</t>
  </si>
  <si>
    <t>20-ft.-radius clearing</t>
  </si>
  <si>
    <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entangle or spike growth). When the spell ends, the trees and undergrowth move back to their original places unless they're destroyed or somehow restrained (the amount of time this takes is subject to the GM's discretion).</t>
  </si>
  <si>
    <t>&lt;p&gt;Trees,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&lt;i&gt;entangle&lt;/i&gt; or &lt;i&gt;spike&lt;/i&gt; growth). When the spell ends, the trees and undergrowth move back to their original places unless they're destroyed or somehow restrained (the amount of time this takes is subject to the GM's discretion).&lt;/p&gt;</t>
  </si>
  <si>
    <t>&lt;link rel="stylesheet"href="PF.css"&gt;&lt;div class="heading"&gt;&lt;p class="alignleft"&gt;Clear Grove&lt;/p&gt;&lt;div style="clear: both;"&gt;&lt;/div&gt;&lt;/div&gt;&lt;div&gt;&lt;h5&gt;&lt;b&gt;School &lt;/b&gt;transmutation; &lt;b&gt;Level &lt;/b&gt;druid 3, ranger 2, shaman 3, witch 3&lt;/h5&gt;&lt;/div&gt;&lt;hr/&gt;&lt;div&gt;&lt;h5&gt;&lt;b&gt;CASTING&lt;/b&gt;&lt;/h5&gt;&lt;/div&gt;&lt;hr/&gt;&lt;div&gt;&lt;h5&gt;&lt;b&gt;Casting Time &lt;/b&gt;10 minutes&lt;/h5&gt;&lt;h5&gt;&lt;b&gt;Components &lt;/b&gt;V, S, M/DF (a miniature hoe)&lt;/h5&gt;&lt;/div&gt;&lt;hr/&gt;&lt;div&gt;&lt;h5&gt;&lt;b&gt;EFFECT&lt;/b&gt;&lt;/h5&gt;&lt;/div&gt;&lt;hr/&gt;&lt;div&gt;&lt;h5&gt;&lt;b&gt;Range &lt;/b&gt;close (25 ft. + 5 ft./2 levels)&lt;/h5&gt;&lt;h5&gt;&lt;b&gt;Effect &lt;/b&gt;20-ft.-radius clearing&lt;/h5&gt;&lt;h5&gt;&lt;b&gt;Duration &lt;/b&gt;2 hours/level (D)&lt;/h5&gt;&lt;h5&gt;&lt;b&gt;Saving Throw &lt;/b&gt;none; &lt;b&gt;Spell Resistance &lt;/b&gt;no&lt;/h5&gt;&lt;/div&gt;&lt;hr/&gt;&lt;div&gt;&lt;h5&gt;&lt;b&gt;DESCRIPTION&lt;/b&gt;&lt;/h5&gt;&lt;/div&gt;&lt;hr/&gt;&lt;div&gt;&lt;h4&gt;&lt;p&gt;Trees,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&lt;i&gt;entangle&lt;/i&gt; or &lt;i&gt;spike&lt;/i&gt; growth). When the spell ends, the trees and undergrowth move back to their original places unless they're destroyed or somehow restrained (the amount of time this takes is subject to the GM's discretion).&lt;/p&gt;&lt;/h4&gt;&lt;/div&gt;</t>
  </si>
  <si>
    <t>Globe Of Tranquil Water</t>
  </si>
  <si>
    <t>cleric/oracle 4, druid 4, shaman 4, sorcerer/wizard 5, witch 4</t>
  </si>
  <si>
    <t>V, S, M/DF (a glass globe)</t>
  </si>
  <si>
    <t>Upon casting this spell, a rippling bubble of calm water extends outward from you to a radius of 20 feet and remains centered on you when you move. The bubble blocks all natural and magical precipitation such as rain, snow, and hail (including spells such as ice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globe of tranquil water the same way creatures of the plant type are affected by an antiplant shell.</t>
  </si>
  <si>
    <t>&lt;p&gt;Upon casting this spell, a rippling bubble of calm water extends outward from you to a radius of 20 feet and remains centered on you when you move. The bubble blocks all natural and magical precipitation such as rain, snow, and hail (including spells such as &lt;i&gt;ice&lt;/i&gt;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&lt;i&gt;globe of tranquil water&lt;/i&gt; the same way creatures of the plant type are affected by an &lt;i&gt;antiplant shell&lt;/i&gt;.&lt;/p&gt;</t>
  </si>
  <si>
    <t>&lt;link rel="stylesheet"href="PF.css"&gt;&lt;div class="heading"&gt;&lt;p class="alignleft"&gt;Globe Of Tranquil Water&lt;/p&gt;&lt;div style="clear: both;"&gt;&lt;/div&gt;&lt;/div&gt;&lt;div&gt;&lt;h5&gt;&lt;b&gt;School &lt;/b&gt;abjuration; &lt;b&gt;Level &lt;/b&gt;cleric/oracle 4, druid 4, shaman 4, sorcerer/wizard 5, witch 4&lt;/h5&gt;&lt;/div&gt;&lt;hr/&gt;&lt;div&gt;&lt;h5&gt;&lt;b&gt;CASTING&lt;/b&gt;&lt;/h5&gt;&lt;/div&gt;&lt;hr/&gt;&lt;div&gt;&lt;h5&gt;&lt;b&gt;Casting Time &lt;/b&gt;1 standard action&lt;/h5&gt;&lt;h5&gt;&lt;b&gt;Components &lt;/b&gt;V, S, M/DF (a glass globe)&lt;/h5&gt;&lt;/div&gt;&lt;hr/&gt;&lt;div&gt;&lt;h5&gt;&lt;b&gt;EFFECT&lt;/b&gt;&lt;/h5&gt;&lt;/div&gt;&lt;hr/&gt;&lt;div&gt;&lt;h5&gt;&lt;b&gt;Range &lt;/b&gt;20 ft.&lt;/h5&gt;&lt;h5&gt;&lt;b&gt;Area &lt;/b&gt;20-ft.-radius emanation, centered on you&lt;/h5&gt;&lt;h5&gt;&lt;b&gt;Duration &lt;/b&gt;1 minute/level (D)&lt;/h5&gt;&lt;h5&gt;&lt;b&gt;Saving Throw &lt;/b&gt;none; &lt;b&gt;Spell Resistance &lt;/b&gt;no&lt;/h5&gt;&lt;/div&gt;&lt;hr/&gt;&lt;div&gt;&lt;h5&gt;&lt;b&gt;DESCRIPTION&lt;/b&gt;&lt;/h5&gt;&lt;/div&gt;&lt;hr/&gt;&lt;div&gt;&lt;h4&gt;&lt;p&gt;Upon casting this spell, a rippling bubble of calm water extends outward from you to a radius of 20 feet and remains centered on you when you move. The bubble blocks all natural and magical precipitation such as rain, snow, and hail (including spells such as &lt;i&gt;ice&lt;/i&gt;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&lt;i&gt;globe of tranquil water&lt;/i&gt; the same way creatures of the plant type are affected by an &lt;i&gt;antiplant shell&lt;/i&gt;.&lt;/p&gt;&lt;/h4&gt;&lt;/div&gt;</t>
  </si>
  <si>
    <t>Oasis</t>
  </si>
  <si>
    <t>cleric/oracle 6, druid 5, sorcerer/wizard 6</t>
  </si>
  <si>
    <t>V, S, M/DF (1 gallon of water)</t>
  </si>
  <si>
    <t>close (25 ft. + 5 f t./2 levels)</t>
  </si>
  <si>
    <t>water source similar to a natural spring</t>
  </si>
  <si>
    <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t>
  </si>
  <si>
    <t>&lt;p&gt;This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pool.&lt;/p&gt;</t>
  </si>
  <si>
    <t>&lt;link rel="stylesheet"href="PF.css"&gt;&lt;div class="heading"&gt;&lt;p class="alignleft"&gt;Oasis&lt;/p&gt;&lt;div style="clear: both;"&gt;&lt;/div&gt;&lt;/div&gt;&lt;div&gt;&lt;h5&gt;&lt;b&gt;School &lt;/b&gt;transmutation; &lt;b&gt;Level &lt;/b&gt;cleric/oracle 6, druid 5, sorcerer/wizard 6&lt;/h5&gt;&lt;/div&gt;&lt;hr/&gt;&lt;div&gt;&lt;h5&gt;&lt;b&gt;CASTING&lt;/b&gt;&lt;/h5&gt;&lt;/div&gt;&lt;hr/&gt;&lt;div&gt;&lt;h5&gt;&lt;b&gt;Casting Time &lt;/b&gt;30 minutes&lt;/h5&gt;&lt;h5&gt;&lt;b&gt;Components &lt;/b&gt;V, S, M/DF (1 gallon of water)&lt;/h5&gt;&lt;/div&gt;&lt;hr/&gt;&lt;div&gt;&lt;h5&gt;&lt;b&gt;EFFECT&lt;/b&gt;&lt;/h5&gt;&lt;/div&gt;&lt;hr/&gt;&lt;div&gt;&lt;h5&gt;&lt;b&gt;Range &lt;/b&gt;close (25 ft. + 5 f t./2 levels)&lt;/h5&gt;&lt;h5&gt;&lt;b&gt;Effect &lt;/b&gt;water source similar to a natural spring&lt;/h5&gt;&lt;h5&gt;&lt;b&gt;Duration &lt;/b&gt;instantaneous&lt;/h5&gt;&lt;h5&gt;&lt;b&gt;Saving Throw &lt;/b&gt;none; &lt;b&gt;Spell Resistance &lt;/b&gt;no&lt;/h5&gt;&lt;/div&gt;&lt;hr/&gt;&lt;div&gt;&lt;h5&gt;&lt;b&gt;DESCRIPTION&lt;/b&gt;&lt;/h5&gt;&lt;/div&gt;&lt;hr/&gt;&lt;div&gt;&lt;h4&gt;&lt;p&gt;This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pool.&lt;/p&gt;&lt;/h4&gt;&lt;/div&gt;</t>
  </si>
  <si>
    <t>Planar Refuge</t>
  </si>
  <si>
    <t>cleric/oracle 7, druid 7, sorcerer/wizard 7, shaman 7, summoner 6, witch 7</t>
  </si>
  <si>
    <t>V, S, M (precious stones worth 500 gp)</t>
  </si>
  <si>
    <t>50-ft.-radius area of safe environment</t>
  </si>
  <si>
    <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planar refuge can be cast on any plane of existence other than the Material Plane, it requires a body of solid matter at least as large as its area to function.  Planar refuge can be made permanent with a permanency spell cast by a caster of 11th level or higher at a cost of 7,500 gp.</t>
  </si>
  <si>
    <t>&lt;p&gt;This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&lt;i&gt;planar refuge&lt;/i&gt; can be cast on any plane of existence other than the Material Plane, it requires a body of solid matter at least as large as its area to function.  &lt;i&gt;Planar refuge&lt;/i&gt; can be made permanent with a &lt;i&gt;permanency&lt;/i&gt; spell cast by a caster of 11th level or higher at a cost of 7,500 gp.&lt;/p&gt;</t>
  </si>
  <si>
    <t>&lt;link rel="stylesheet"href="PF.css"&gt;&lt;div class="heading"&gt;&lt;p class="alignleft"&gt;Planar Refuge&lt;/p&gt;&lt;div style="clear: both;"&gt;&lt;/div&gt;&lt;/div&gt;&lt;div&gt;&lt;h5&gt;&lt;b&gt;School &lt;/b&gt;conjuration (creation); &lt;b&gt;Level &lt;/b&gt;cleric/oracle 7, druid 7, sorcerer/wizard 7, shaman 7, summoner 6, witch 7&lt;/h5&gt;&lt;/div&gt;&lt;hr/&gt;&lt;div&gt;&lt;h5&gt;&lt;b&gt;CASTING&lt;/b&gt;&lt;/h5&gt;&lt;/div&gt;&lt;hr/&gt;&lt;div&gt;&lt;h5&gt;&lt;b&gt;Casting Time &lt;/b&gt;1 hour&lt;/h5&gt;&lt;h5&gt;&lt;b&gt;Components &lt;/b&gt;V, S, M (precious stones worth 500 gp)&lt;/h5&gt;&lt;/div&gt;&lt;hr/&gt;&lt;div&gt;&lt;h5&gt;&lt;b&gt;EFFECT&lt;/b&gt;&lt;/h5&gt;&lt;/div&gt;&lt;hr/&gt;&lt;div&gt;&lt;h5&gt;&lt;b&gt;Range &lt;/b&gt;close (25 ft. + 5 ft./2 levels)&lt;/h5&gt;&lt;h5&gt;&lt;b&gt;Effect &lt;/b&gt;50-ft.-radius area of safe environment&lt;/h5&gt;&lt;h5&gt;&lt;b&gt;Duration &lt;/b&gt;1 day/level&lt;/h5&gt;&lt;h5&gt;&lt;b&gt;Saving Throw &lt;/b&gt;none; &lt;b&gt;Spell Resistance &lt;/b&gt;no&lt;/h5&gt;&lt;/div&gt;&lt;hr/&gt;&lt;div&gt;&lt;h5&gt;&lt;b&gt;DESCRIPTION&lt;/b&gt;&lt;/h5&gt;&lt;/div&gt;&lt;hr/&gt;&lt;div&gt;&lt;h4&gt;&lt;p&gt;This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&lt;i&gt;planar refuge&lt;/i&gt; can be cast on any plane of existence other than the Material Plane, it requires a body of solid matter at least as large as its area to function.  &lt;i&gt;Planar refuge&lt;/i&gt; can be made permanent with a &lt;i&gt;permanency&lt;/i&gt; spell cast by a caster of 11th level or higher at a cost of 7,500 gp.&lt;/p&gt;&lt;/h4&gt;&lt;/div&gt;</t>
  </si>
  <si>
    <t>Raven's Flight</t>
  </si>
  <si>
    <t>bard 3, druid 3, inquisitor 3, magus 2, ranger 2, shaman 2, sorcerer/wizard 2, witch 2</t>
  </si>
  <si>
    <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t>
  </si>
  <si>
    <t>&lt;p&gt;You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distance.&lt;/p&gt;</t>
  </si>
  <si>
    <t>&lt;link rel="stylesheet"href="PF.css"&gt;&lt;div class="heading"&gt;&lt;p class="alignleft"&gt;Raven's Flight&lt;/p&gt;&lt;div style="clear: both;"&gt;&lt;/div&gt;&lt;/div&gt;&lt;div&gt;&lt;h5&gt;&lt;b&gt;School &lt;/b&gt;transmutation; &lt;b&gt;Level &lt;/b&gt;bard 3, druid 3, inquisitor 3, magus 2, ranger 2, shaman 2, sorcerer/wizard 2, witch 2&lt;/h5&gt;&lt;/div&gt;&lt;hr/&gt;&lt;div&gt;&lt;h5&gt;&lt;b&gt;CASTING&lt;/b&gt;&lt;/h5&gt;&lt;/div&gt;&lt;hr/&gt;&lt;div&gt;&lt;h5&gt;&lt;b&gt;Casting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distance.&lt;/p&gt;&lt;/h4&gt;&lt;/div&gt;</t>
  </si>
  <si>
    <t>Wild Instinct</t>
  </si>
  <si>
    <t>bloodrager 2, druid 2, ranger 2, shaman 2</t>
  </si>
  <si>
    <t>standard action</t>
  </si>
  <si>
    <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t>
  </si>
  <si>
    <t>&lt;p&gt;This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asleep.&lt;/p&gt;</t>
  </si>
  <si>
    <t>&lt;link rel="stylesheet"href="PF.css"&gt;&lt;div class="heading"&gt;&lt;p class="alignleft"&gt;Wild Instinct&lt;/p&gt;&lt;div style="clear: both;"&gt;&lt;/div&gt;&lt;/div&gt;&lt;div&gt;&lt;h5&gt;&lt;b&gt;School &lt;/b&gt;divination; &lt;b&gt;Level &lt;/b&gt;bloodrager 2, druid 2, ranger 2, shaman 2&lt;/h5&gt;&lt;/div&gt;&lt;hr/&gt;&lt;div&gt;&lt;h5&gt;&lt;b&gt;CASTING&lt;/b&gt;&lt;/h5&gt;&lt;/div&gt;&lt;hr/&gt;&lt;div&gt;&lt;h5&gt;&lt;b&gt;Casting Time &lt;/b&gt;standard action&lt;/h5&gt;&lt;h5&gt;&lt;b&gt;Components &lt;/b&gt;V, S, DF&lt;/h5&gt;&lt;/div&gt;&lt;hr/&gt;&lt;div&gt;&lt;h5&gt;&lt;b&gt;EFFECT&lt;/b&gt;&lt;/h5&gt;&lt;/div&gt;&lt;hr/&gt;&lt;div&gt;&lt;h5&gt;&lt;b&gt;Range &lt;/b&gt;personal&lt;/h5&gt;&lt;h5&gt;&lt;b&gt;Targets &lt;/b&gt;you&lt;/h5&gt;&lt;h5&gt;&lt;b&gt;Duration &lt;/b&gt;8 hours&lt;/h5&gt;&lt;/div&gt;&lt;hr/&gt;&lt;div&gt;&lt;h5&gt;&lt;b&gt;DESCRIPTION&lt;/b&gt;&lt;/h5&gt;&lt;/div&gt;&lt;hr/&gt;&lt;div&gt;&lt;h4&gt;&lt;p&gt;This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asleep.&lt;/p&gt;&lt;/h4&gt;&lt;/div&gt;</t>
  </si>
  <si>
    <t>Gravel Vortex</t>
  </si>
  <si>
    <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t>
  </si>
  <si>
    <t>&lt;p&gt;You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presence.&lt;/p&gt;</t>
  </si>
  <si>
    <t>AP 93</t>
  </si>
  <si>
    <t>&lt;link rel="stylesheet"href="PF.css"&gt;&lt;div class="heading"&gt;&lt;p class="alignleft"&gt;Gravel Vortex&lt;/p&gt;&lt;div style="clear: both;"&gt;&lt;/div&gt;&lt;/div&gt;&lt;div&gt;&lt;h5&gt;&lt;b&gt;School &lt;/b&gt;conjuration (creation) [earth]; &lt;b&gt;Level &lt;/b&gt;druid 4, sorcerer/wizard 4&lt;/h5&gt;&lt;/div&gt;&lt;hr/&gt;&lt;div&gt;&lt;h5&gt;&lt;b&gt;CASTING&lt;/b&gt;&lt;/h5&gt;&lt;/div&gt;&lt;hr/&gt;&lt;div&gt;&lt;h5&gt;&lt;b&gt;Casting Time &lt;/b&gt;1 standard action&lt;/h5&gt;&lt;h5&gt;&lt;b&gt;Components &lt;/b&gt;V, S, M (handful of pebbles)&lt;/h5&gt;&lt;/div&gt;&lt;hr/&gt;&lt;div&gt;&lt;h5&gt;&lt;b&gt;EFFECT&lt;/b&gt;&lt;/h5&gt;&lt;/div&gt;&lt;hr/&gt;&lt;div&gt;&lt;h5&gt;&lt;b&gt;Range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presence.&lt;/p&gt;&lt;/h4&gt;&lt;/div&gt;</t>
  </si>
  <si>
    <t>Daywalker</t>
  </si>
  <si>
    <t>antipaladin 4, cleric/oracle 5, sorcerer/wizard 5, witch 5</t>
  </si>
  <si>
    <t>V, S, M (a black glass vial containing unholy water)</t>
  </si>
  <si>
    <t>undead creature touched</t>
  </si>
  <si>
    <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daywalker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t>
  </si>
  <si>
    <t>&lt;p&gt;You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&lt;i&gt;daywalker&lt;/i&gt;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action.&lt;/p&gt;</t>
  </si>
  <si>
    <t>Cohorts &amp; Companions</t>
  </si>
  <si>
    <t>&lt;link rel="stylesheet"href="PF.css"&gt;&lt;div class="heading"&gt;&lt;p class="alignleft"&gt;Daywalker&lt;/p&gt;&lt;div style="clear: both;"&gt;&lt;/div&gt;&lt;/div&gt;&lt;div&gt;&lt;h5&gt;&lt;b&gt;School &lt;/b&gt;necromancy; &lt;b&gt;Level &lt;/b&gt;antipaladin 4, cleric/oracle 5, sorcerer/wizard 5, witch 5&lt;/h5&gt;&lt;/div&gt;&lt;hr/&gt;&lt;div&gt;&lt;h5&gt;&lt;b&gt;CASTING&lt;/b&gt;&lt;/h5&gt;&lt;/div&gt;&lt;hr/&gt;&lt;div&gt;&lt;h5&gt;&lt;b&gt;Casting Time &lt;/b&gt;1 standard action&lt;/h5&gt;&lt;h5&gt;&lt;b&gt;Components &lt;/b&gt;V, S, M (a black glass vial containing unholy water)&lt;/h5&gt;&lt;/div&gt;&lt;hr/&gt;&lt;div&gt;&lt;h5&gt;&lt;b&gt;EFFECT&lt;/b&gt;&lt;/h5&gt;&lt;/div&gt;&lt;hr/&gt;&lt;div&gt;&lt;h5&gt;&lt;b&gt;Range &lt;/b&gt;touch&lt;/h5&gt;&lt;h5&gt;&lt;b&gt;Targets &lt;/b&gt;undead creature touched&lt;/h5&gt;&lt;h5&gt;&lt;b&gt;Duration &lt;/b&gt;24 hours (D)&lt;/h5&gt;&lt;h5&gt;&lt;b&gt;Saving Throw &lt;/b&gt;none; &lt;b&gt;Spell Resistance &lt;/b&gt;yes (harmless)&lt;/h5&gt;&lt;/div&gt;&lt;hr/&gt;&lt;div&gt;&lt;h5&gt;&lt;b&gt;DESCRIPTION&lt;/b&gt;&lt;/h5&gt;&lt;/div&gt;&lt;hr/&gt;&lt;div&gt;&lt;h4&gt;&lt;p&gt;You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&lt;i&gt;daywalker&lt;/i&gt;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action.&lt;/p&gt;&lt;/h4&gt;&lt;/div&gt;</t>
  </si>
  <si>
    <t>Plant Voice</t>
  </si>
  <si>
    <t>cleric/oracle 3, druid 2, shaman 2, witch 3</t>
  </si>
  <si>
    <t>V, S, M (a small root cutting)</t>
  </si>
  <si>
    <t>one plant creature</t>
  </si>
  <si>
    <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t>
  </si>
  <si>
    <t>&lt;p&gt;You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fungus.&lt;/p&gt;</t>
  </si>
  <si>
    <t>&lt;link rel="stylesheet"href="PF.css"&gt;&lt;div class="heading"&gt;&lt;p class="alignleft"&gt;Plant Voice&lt;/p&gt;&lt;div style="clear: both;"&gt;&lt;/div&gt;&lt;/div&gt;&lt;div&gt;&lt;h5&gt;&lt;b&gt;School &lt;/b&gt;transmutation; &lt;b&gt;Level &lt;/b&gt;cleric/oracle 3, druid 2, shaman 2, witch 3&lt;/h5&gt;&lt;/div&gt;&lt;hr/&gt;&lt;div&gt;&lt;h5&gt;&lt;b&gt;CASTING&lt;/b&gt;&lt;/h5&gt;&lt;/div&gt;&lt;hr/&gt;&lt;div&gt;&lt;h5&gt;&lt;b&gt;Casting Time &lt;/b&gt;1 standard action&lt;/h5&gt;&lt;h5&gt;&lt;b&gt;Components &lt;/b&gt;V, S, M (a small root cutting)&lt;/h5&gt;&lt;/div&gt;&lt;hr/&gt;&lt;div&gt;&lt;h5&gt;&lt;b&gt;EFFECT&lt;/b&gt;&lt;/h5&gt;&lt;/div&gt;&lt;hr/&gt;&lt;div&gt;&lt;h5&gt;&lt;b&gt;Range &lt;/b&gt;close (25 ft. + 5 ft./2 levels)&lt;/h5&gt;&lt;h5&gt;&lt;b&gt;Targets &lt;/b&gt;one plant creature&lt;/h5&gt;&lt;h5&gt;&lt;b&gt;Duration &lt;/b&gt;10 minutes/level&lt;/h5&gt;&lt;h5&gt;&lt;b&gt;Saving Throw &lt;/b&gt;Will negates (harmless); &lt;b&gt;Spell Resistance &lt;/b&gt;yes (harmless)&lt;/h5&gt;&lt;/div&gt;&lt;hr/&gt;&lt;div&gt;&lt;h5&gt;&lt;b&gt;DESCRIPTION&lt;/b&gt;&lt;/h5&gt;&lt;/div&gt;&lt;hr/&gt;&lt;div&gt;&lt;h4&gt;&lt;p&gt;You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fungus.&lt;/p&gt;&lt;/h4&gt;&lt;/div&gt;</t>
  </si>
  <si>
    <t>Spore Burst</t>
  </si>
  <si>
    <t>poisonUM</t>
  </si>
  <si>
    <t>druid 2, ranger 3, shaman 2, witch 2</t>
  </si>
  <si>
    <t>V, S, M (a tiny puffball mushroom)</t>
  </si>
  <si>
    <t>one plant creature; see text</t>
  </si>
  <si>
    <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t>
  </si>
  <si>
    <t>&lt;p&gt;You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type.&lt;/p&gt;</t>
  </si>
  <si>
    <t>&lt;link rel="stylesheet"href="PF.css"&gt;&lt;div class="heading"&gt;&lt;p class="alignleft"&gt;Spore Burst&lt;/p&gt;&lt;div style="clear: both;"&gt;&lt;/div&gt;&lt;/div&gt;&lt;div&gt;&lt;h5&gt;&lt;b&gt;School &lt;/b&gt;conjuration [poisonUM]; &lt;b&gt;Level &lt;/b&gt;druid 2, ranger 3, shaman 2, witch 2&lt;/h5&gt;&lt;/div&gt;&lt;hr/&gt;&lt;div&gt;&lt;h5&gt;&lt;b&gt;CASTING&lt;/b&gt;&lt;/h5&gt;&lt;/div&gt;&lt;hr/&gt;&lt;div&gt;&lt;h5&gt;&lt;b&gt;Casting Time &lt;/b&gt;1 standard action&lt;/h5&gt;&lt;h5&gt;&lt;b&gt;Components &lt;/b&gt;V, S, M (a tiny puffball mushroom)&lt;/h5&gt;&lt;/div&gt;&lt;hr/&gt;&lt;div&gt;&lt;h5&gt;&lt;b&gt;EFFECT&lt;/b&gt;&lt;/h5&gt;&lt;/div&gt;&lt;hr/&gt;&lt;div&gt;&lt;h5&gt;&lt;b&gt;Range &lt;/b&gt;touch&lt;/h5&gt;&lt;h5&gt;&lt;b&gt;Targets &lt;/b&gt;one plant creature; see text&lt;/h5&gt;&lt;h5&gt;&lt;b&gt;Duration &lt;/b&gt;see text&lt;/h5&gt;&lt;h5&gt;&lt;b&gt;Saving Throw &lt;/b&gt;special; see text; &lt;b&gt;Spell Resistance &lt;/b&gt;no&lt;/h5&gt;&lt;/div&gt;&lt;hr/&gt;&lt;div&gt;&lt;h5&gt;&lt;b&gt;DESCRIPTION&lt;/b&gt;&lt;/h5&gt;&lt;/div&gt;&lt;hr/&gt;&lt;div&gt;&lt;h4&gt;&lt;p&gt;You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type.&lt;/p&gt;&lt;/h4&gt;&lt;/div&gt;</t>
  </si>
  <si>
    <t>Alter Summoned Monster</t>
  </si>
  <si>
    <t>antipaladin 2, bard 2, cleric/oracle 2, druid 2, ranger 2, sorcerer/wizard 2, summoner 2, witch 2</t>
  </si>
  <si>
    <t>close (25 ft. + 5 ft./ 2 levels)</t>
  </si>
  <si>
    <t>You swap a creature summoned by a conjuration (summoning) spell for a creature you could summon with a summon monster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Alter summoned monster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Alter summoned monster is a spell of the same alignment type or types as the creature for which you exchange the target. An eidolon can't be targeted by this spell.</t>
  </si>
  <si>
    <t>&lt;p&gt;You swap a creature summoned by a conjuration (summoning) spell for a creature you could summon with a &lt;i&gt;summon monster&lt;/i&gt;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&lt;i&gt;Alter summoned monster&lt;/i&gt;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&lt;i&gt;Alter summoned monster&lt;/i&gt; is a spell of the same alignment type or types as the creature for which you exchange the target. An eidolon can't be targeted by this spell.&lt;/p&gt;</t>
  </si>
  <si>
    <t>Monster Summoner's Handbook</t>
  </si>
  <si>
    <t>&lt;link rel="stylesheet"href="PF.css"&gt;&lt;div class="heading"&gt;&lt;p class="alignleft"&gt;Alter Summoned Monster&lt;/p&gt;&lt;div style="clear: both;"&gt;&lt;/div&gt;&lt;/div&gt;&lt;div&gt;&lt;h5&gt;&lt;b&gt;School &lt;/b&gt;conjuration (summoning); &lt;b&gt;Level &lt;/b&gt;antipaladin 2, bard 2, cleric/oracle 2, druid 2, ranger 2, sorcerer/wizard 2,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 2 levels)&lt;/h5&gt;&lt;h5&gt;&lt;b&gt;Targets &lt;/b&gt;one summoned creature&lt;/h5&gt;&lt;h5&gt;&lt;b&gt;Duration &lt;/b&gt;instantaneous&lt;/h5&gt;&lt;h5&gt;&lt;b&gt;Saving Throw &lt;/b&gt;Will negates; &lt;b&gt;Spell Resistance &lt;/b&gt;yes&lt;/h5&gt;&lt;/div&gt;&lt;hr/&gt;&lt;div&gt;&lt;h5&gt;&lt;b&gt;DESCRIPTION&lt;/b&gt;&lt;/h5&gt;&lt;/div&gt;&lt;hr/&gt;&lt;div&gt;&lt;h4&gt;&lt;p&gt;You swap a creature summoned by a conjuration (summoning) spell for a creature you could summon with a &lt;i&gt;summon monster&lt;/i&gt;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&lt;i&gt;Alter summoned monster&lt;/i&gt;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&lt;i&gt;Alter summoned monster&lt;/i&gt; is a spell of the same alignment type or types as the creature for which you exchange the target. An eidolon can't be targeted by this spell.&lt;/p&gt;&lt;/h4&gt;&lt;/div&gt;</t>
  </si>
  <si>
    <t>Final Sacrifice</t>
  </si>
  <si>
    <t>antipaladin 3, bloodrager 2, cleric/oracle 3, shaman 3, sorcerer/wizard 3, summoner 2, witch 4</t>
  </si>
  <si>
    <t>Fortitude negates, then Reflex half (see text)</t>
  </si>
  <si>
    <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Final sacrifice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t>
  </si>
  <si>
    <t>&lt;p&gt;You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&lt;i&gt;Final sacrifice&lt;/i&gt;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eidolon.&lt;/p&gt;</t>
  </si>
  <si>
    <t>&lt;link rel="stylesheet"href="PF.css"&gt;&lt;div class="heading"&gt;&lt;p class="alignleft"&gt;Final Sacrifice&lt;/p&gt;&lt;div style="clear: both;"&gt;&lt;/div&gt;&lt;/div&gt;&lt;div&gt;&lt;h5&gt;&lt;b&gt;School &lt;/b&gt;evocation; &lt;b&gt;Level &lt;/b&gt;antipaladin 3, bloodrager 2, cleric/oracle 3, shaman 3, sorcerer/wizard 3, summoner 2,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creature&lt;/h5&gt;&lt;h5&gt;&lt;b&gt;Duration &lt;/b&gt;instantaneous&lt;/h5&gt;&lt;h5&gt;&lt;b&gt;Saving Throw &lt;/b&gt;Fortitude negates, then Reflex half (see text); &lt;b&gt;Spell Resistance &lt;/b&gt;yes&lt;/h5&gt;&lt;/div&gt;&lt;hr/&gt;&lt;div&gt;&lt;h5&gt;&lt;b&gt;DESCRIPTION&lt;/b&gt;&lt;/h5&gt;&lt;/div&gt;&lt;hr/&gt;&lt;div&gt;&lt;h4&gt;&lt;p&gt;You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&lt;i&gt;Final sacrifice&lt;/i&gt;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eidolon.&lt;/p&gt;&lt;/h4&gt;&lt;/div&gt;</t>
  </si>
  <si>
    <t>Gird Ally</t>
  </si>
  <si>
    <t>cleric/oracle 2, druid 2, sorcerer/wizard 2, summoner 2, witch 2</t>
  </si>
  <si>
    <t>one summoned creature you control/level, no two of which can be more than 30 ft. apart</t>
  </si>
  <si>
    <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t>
  </si>
  <si>
    <t>&lt;p&gt;You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spell.&lt;/p&gt;</t>
  </si>
  <si>
    <t>&lt;link rel="stylesheet"href="PF.css"&gt;&lt;div class="heading"&gt;&lt;p class="alignleft"&gt;Gird Ally&lt;/p&gt;&lt;div style="clear: both;"&gt;&lt;/div&gt;&lt;/div&gt;&lt;div&gt;&lt;h5&gt;&lt;b&gt;School &lt;/b&gt;abjuration; &lt;b&gt;Level &lt;/b&gt;cleric/oracle 2, druid 2, sorcerer/wizard 2,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 you control/level, no two of which can be more than 30 ft. apart&lt;/h5&gt;&lt;h5&gt;&lt;b&gt;Duration &lt;/b&gt;1 round/level (D)&lt;/h5&gt;&lt;h5&gt;&lt;b&gt;Saving Throw &lt;/b&gt;none; &lt;b&gt;Spell Resistance &lt;/b&gt;no&lt;/h5&gt;&lt;/div&gt;&lt;hr/&gt;&lt;div&gt;&lt;h5&gt;&lt;b&gt;DESCRIPTION&lt;/b&gt;&lt;/h5&gt;&lt;/div&gt;&lt;hr/&gt;&lt;div&gt;&lt;h4&gt;&lt;p&gt;You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spell.&lt;/p&gt;&lt;/h4&gt;&lt;/div&gt;</t>
  </si>
  <si>
    <t>Instant Restoration</t>
  </si>
  <si>
    <t>cleric/oracle 4, druid 4, shaman 4, summoner 4, witch 4</t>
  </si>
  <si>
    <t>V, S, F/DF (a thimble of water and a seed)</t>
  </si>
  <si>
    <t>one summoned creature you control</t>
  </si>
  <si>
    <t>Instant restoration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instant restoration. A summoner can target his eidolon with this spell.</t>
  </si>
  <si>
    <t>&lt;p&gt;&lt;i&gt;Instant restoration&lt;/i&gt;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&lt;i&gt;instant restoration&lt;/i&gt;. A summoner can target his eidolon with this spell.&lt;/p&gt;</t>
  </si>
  <si>
    <t>&lt;link rel="stylesheet"href="PF.css"&gt;&lt;div class="heading"&gt;&lt;p class="alignleft"&gt;Instant Restoration&lt;/p&gt;&lt;div style="clear: both;"&gt;&lt;/div&gt;&lt;/div&gt;&lt;div&gt;&lt;h5&gt;&lt;b&gt;School &lt;/b&gt;conjuration (healing); &lt;b&gt;Level &lt;/b&gt;cleric/oracle 4, druid 4, shaman 4, summoner 4, witch 4&lt;/h5&gt;&lt;/div&gt;&lt;hr/&gt;&lt;div&gt;&lt;h5&gt;&lt;b&gt;CASTING&lt;/b&gt;&lt;/h5&gt;&lt;/div&gt;&lt;hr/&gt;&lt;div&gt;&lt;h5&gt;&lt;b&gt;Casting Time &lt;/b&gt;1 immediate action&lt;/h5&gt;&lt;h5&gt;&lt;b&gt;Components &lt;/b&gt;V, S, F/DF (a thimble of water and a seed)&lt;/h5&gt;&lt;/div&gt;&lt;hr/&gt;&lt;div&gt;&lt;h5&gt;&lt;b&gt;EFFECT&lt;/b&gt;&lt;/h5&gt;&lt;/div&gt;&lt;hr/&gt;&lt;div&gt;&lt;h5&gt;&lt;b&gt;Range &lt;/b&gt;close (25 ft. + 5 ft./2 levels)&lt;/h5&gt;&lt;h5&gt;&lt;b&gt;Targets &lt;/b&gt;one summoned creature you control&lt;/h5&gt;&lt;h5&gt;&lt;b&gt;Duration &lt;/b&gt;1 round/level (D)&lt;/h5&gt;&lt;h5&gt;&lt;b&gt;Saving Throw &lt;/b&gt;none; &lt;b&gt;Spell Resistance &lt;/b&gt;no&lt;/h5&gt;&lt;/div&gt;&lt;hr/&gt;&lt;div&gt;&lt;h5&gt;&lt;b&gt;DESCRIPTION&lt;/b&gt;&lt;/h5&gt;&lt;/div&gt;&lt;hr/&gt;&lt;div&gt;&lt;h4&gt;&lt;p&gt;&lt;i&gt;Instant restoration&lt;/i&gt;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&lt;i&gt;instant restoration&lt;/i&gt;. A summoner can target his eidolon with this spell.&lt;/p&gt;&lt;/h4&gt;&lt;/div&gt;</t>
  </si>
  <si>
    <t>Master's Escape</t>
  </si>
  <si>
    <t>cleric/oracle 4, druid 4, sorcerer/wizard 4, summoner 3, witch 4</t>
  </si>
  <si>
    <t>you and one summoned creature you control</t>
  </si>
  <si>
    <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t>
  </si>
  <si>
    <t>&lt;p&gt;You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spell.&lt;/p&gt;</t>
  </si>
  <si>
    <t>&lt;link rel="stylesheet"href="PF.css"&gt;&lt;div class="heading"&gt;&lt;p class="alignleft"&gt;Master's Escape&lt;/p&gt;&lt;div style="clear: both;"&gt;&lt;/div&gt;&lt;/div&gt;&lt;div&gt;&lt;h5&gt;&lt;b&gt;School &lt;/b&gt;conjuration (teleportation); &lt;b&gt;Level &lt;/b&gt;cleric/oracle 4, druid 4, sorcerer/wizard 4, summoner 3,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and one summoned creature you control&lt;/h5&gt;&lt;h5&gt;&lt;b&gt;Duration &lt;/b&gt;1 round/level (D)&lt;/h5&gt;&lt;h5&gt;&lt;b&gt;Saving Throw &lt;/b&gt;none; &lt;b&gt;Spell Resistance &lt;/b&gt;no&lt;/h5&gt;&lt;/div&gt;&lt;hr/&gt;&lt;div&gt;&lt;h5&gt;&lt;b&gt;DESCRIPTION&lt;/b&gt;&lt;/h5&gt;&lt;/div&gt;&lt;hr/&gt;&lt;div&gt;&lt;h4&gt;&lt;p&gt;You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spell.&lt;/p&gt;&lt;/h4&gt;&lt;/div&gt;</t>
  </si>
  <si>
    <t>Master's Mutation</t>
  </si>
  <si>
    <t>druid 5, sorcerer/wizard 5, summoner 5, witch 5</t>
  </si>
  <si>
    <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t>
  </si>
  <si>
    <t>&lt;p&gt;You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spell.&lt;/p&gt;</t>
  </si>
  <si>
    <t>&lt;link rel="stylesheet"href="PF.css"&gt;&lt;div class="heading"&gt;&lt;p class="alignleft"&gt;Master's Mutation&lt;/p&gt;&lt;div style="clear: both;"&gt;&lt;/div&gt;&lt;/div&gt;&lt;div&gt;&lt;h5&gt;&lt;b&gt;School &lt;/b&gt;transmutation (polymorph); &lt;b&gt;Level &lt;/b&gt;druid 5, sorcerer/wizard 5, summoner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&lt;/b&gt;you and one summoned creature you control&lt;/h5&gt;&lt;h5&gt;&lt;b&gt;Duration &lt;/b&gt;1 round/level (D)&lt;/h5&gt;&lt;h5&gt;&lt;b&gt;Saving Throw &lt;/b&gt;none; &lt;b&gt;Spell Resistance &lt;/b&gt;no&lt;/h5&gt;&lt;/div&gt;&lt;hr/&gt;&lt;div&gt;&lt;h5&gt;&lt;b&gt;DESCRIPTION&lt;/b&gt;&lt;/h5&gt;&lt;/div&gt;&lt;hr/&gt;&lt;div&gt;&lt;h4&gt;&lt;p&gt;You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spell.&lt;/p&gt;&lt;/h4&gt;&lt;/div&gt;</t>
  </si>
  <si>
    <t>Summon Laborers</t>
  </si>
  <si>
    <t>cleric/oracle 6, shaman 6, summoner 6, witch 6</t>
  </si>
  <si>
    <t>V, S, F/DF (a strip of rune-inscribed parchment)</t>
  </si>
  <si>
    <t>one summoned petitioner/caster level</t>
  </si>
  <si>
    <t>8 hours (D)</t>
  </si>
  <si>
    <t>Summon laborers summons one humanoid petitioner per caster level. These petitioners hail from one plane of your choice and perform tasks at your direction. The petitioners cannot fight or travel to dangerous lands, but do assist your downtime activities (Pathfinder RPG Ultimate Campaign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Summon laborers is a spell of the same alignment type as the plane from which the summoned petitioners hail (chaotic and evil for the Abyss, lawful and good for Heaven, and so on). Effects that increase the number of creatures summoned by a spell (such as Superior SummoningUM) do not affect summon laborers.</t>
  </si>
  <si>
    <t>&lt;p&gt;&lt;i&gt;Summon laborers&lt;/i&gt; summons one humanoid petitioner per caster level. These petitioners hail from one plane of your choice and perform tasks at your direction. The petitioners cannot fight or travel to dangerous lands, but do assist your downtime activities (&lt;i&gt;Pathfinder RPG Ultimate Campaign&lt;/i&gt;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&lt;i&gt;Summon laborers&lt;/i&gt; is a spell of the same alignment type as the plane from which the summoned petitioners hail (chaotic and evil for the Abyss, lawful and good for Heaven, and so on). &lt;b&gt;Effect&lt;/b&gt;s that increase the number of creatures summoned by a spell (such as Superior SummoningUM) do not affect &lt;i&gt;summon laborers&lt;/i&gt;.&lt;/p&gt;</t>
  </si>
  <si>
    <t>&lt;link rel="stylesheet"href="PF.css"&gt;&lt;div class="heading"&gt;&lt;p class="alignleft"&gt;Summon Laborers&lt;/p&gt;&lt;div style="clear: both;"&gt;&lt;/div&gt;&lt;/div&gt;&lt;div&gt;&lt;h5&gt;&lt;b&gt;School &lt;/b&gt;conjuration (summoning); &lt;b&gt;Level &lt;/b&gt;cleric/oracle 6, shaman 6, summoner 6, witch 6&lt;/h5&gt;&lt;/div&gt;&lt;hr/&gt;&lt;div&gt;&lt;h5&gt;&lt;b&gt;CASTING&lt;/b&gt;&lt;/h5&gt;&lt;/div&gt;&lt;hr/&gt;&lt;div&gt;&lt;h5&gt;&lt;b&gt;Casting Time &lt;/b&gt;10 minutes&lt;/h5&gt;&lt;h5&gt;&lt;b&gt;Components &lt;/b&gt;V, S, F/DF (a strip of rune-inscribed parchment)&lt;/h5&gt;&lt;/div&gt;&lt;hr/&gt;&lt;div&gt;&lt;h5&gt;&lt;b&gt;EFFECT&lt;/b&gt;&lt;/h5&gt;&lt;/div&gt;&lt;hr/&gt;&lt;div&gt;&lt;h5&gt;&lt;b&gt;Range &lt;/b&gt;close (25 ft. + 5 ft./2 levels)&lt;/h5&gt;&lt;h5&gt;&lt;b&gt;Effect &lt;/b&gt;one summoned petitioner/caster level&lt;/h5&gt;&lt;h5&gt;&lt;b&gt;Duration &lt;/b&gt;8 hours (D)&lt;/h5&gt;&lt;h5&gt;&lt;b&gt;Saving Throw &lt;/b&gt;none; &lt;b&gt;Spell Resistance &lt;/b&gt;no&lt;/h5&gt;&lt;/div&gt;&lt;hr/&gt;&lt;div&gt;&lt;h5&gt;&lt;b&gt;DESCRIPTION&lt;/b&gt;&lt;/h5&gt;&lt;/div&gt;&lt;hr/&gt;&lt;div&gt;&lt;h4&gt;&lt;p&gt;&lt;i&gt;Summon laborers&lt;/i&gt; summons one humanoid petitioner per caster level. These petitioners hail from one plane of your choice and perform tasks at your direction. The petitioners cannot fight or travel to dangerous lands, but do assist your downtime activities (&lt;i&gt;Pathfinder RPG Ultimate Campaign&lt;/i&gt;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&lt;i&gt;Summon laborers&lt;/i&gt; is a spell of the same alignment type as the plane from which the summoned petitioners hail (chaotic and evil for the Abyss, lawful and good for Heaven, and so on). &lt;b&gt;Effect&lt;/b&gt;s that increase the number of creatures summoned by a spell (such as Superior SummoningUM) do not affect &lt;i&gt;summon laborers&lt;/i&gt;.&lt;/p&gt;&lt;/h4&gt;&lt;/div&gt;</t>
  </si>
  <si>
    <t>Illusory Maze</t>
  </si>
  <si>
    <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t>
  </si>
  <si>
    <t>&lt;p&gt;This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destination.&lt;/p&gt;</t>
  </si>
  <si>
    <t>Inner Sea Monster Codex</t>
  </si>
  <si>
    <t>&lt;link rel="stylesheet"href="PF.css"&gt;&lt;div class="heading"&gt;&lt;p class="alignleft"&gt;Illusory Maze&lt;/p&gt;&lt;div style="clear: both;"&gt;&lt;/div&gt;&lt;/div&gt;&lt;div&gt;&lt;h5&gt;&lt;b&gt;School &lt;/b&gt;illusion (figment); &lt;b&gt;Level &lt;/b&gt;bard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spread&lt;/h5&gt;&lt;h5&gt;&lt;b&gt;Duration &lt;/b&gt;1 round/level&lt;/h5&gt;&lt;h5&gt;&lt;b&gt;Saving Throw &lt;/b&gt;Will disbelief (if interacted with); &lt;b&gt;Spell Resistance &lt;/b&gt;yes&lt;/h5&gt;&lt;/div&gt;&lt;hr/&gt;&lt;div&gt;&lt;h5&gt;&lt;b&gt;DESCRIPTION&lt;/b&gt;&lt;/h5&gt;&lt;/div&gt;&lt;hr/&gt;&lt;div&gt;&lt;h4&gt;&lt;p&gt;This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destination.&lt;/p&gt;&lt;/h4&gt;&lt;/div&gt;</t>
  </si>
  <si>
    <t>Make Lost</t>
  </si>
  <si>
    <t>bard 2, druid 2, ranger 1</t>
  </si>
  <si>
    <t>You strip the targets of their senses of direction and recent memories of travel. They immediately forget the route they  took in the last hour (but not details of encounters along the way) and become lost (Pathfinder RPG Core Rulebook 424).</t>
  </si>
  <si>
    <t>&lt;p&gt;You strip the targets of their senses of direction and recent memories of travel. They immediately forget the route they  took in the last hour (but not details of encounters along the way) and become lost (&lt;i&gt;Pathfinder RPG Core Rulebook&lt;/i&gt; 424).&lt;/p&gt;</t>
  </si>
  <si>
    <t>&lt;link rel="stylesheet"href="PF.css"&gt;&lt;div class="heading"&gt;&lt;p class="alignleft"&gt;Make Lost&lt;/p&gt;&lt;div style="clear: both;"&gt;&lt;/div&gt;&lt;/div&gt;&lt;div&gt;&lt;h5&gt;&lt;b&gt;School &lt;/b&gt;enchantment (compulsion) [mind-affecting]; &lt;b&gt;Level &lt;/b&gt;bard 2, druid 2, ranger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negates; &lt;b&gt;Spell Resistance &lt;/b&gt;yes&lt;/h5&gt;&lt;/div&gt;&lt;hr/&gt;&lt;div&gt;&lt;h5&gt;&lt;b&gt;DESCRIPTION&lt;/b&gt;&lt;/h5&gt;&lt;/div&gt;&lt;hr/&gt;&lt;div&gt;&lt;h4&gt;&lt;p&gt;You strip the targets of their senses of direction and recent memories of travel. They immediately forget the route they  took in the last hour (but not details of encounters along the way) and become lost (&lt;i&gt;Pathfinder RPG Core Rulebook&lt;/i&gt; 424).&lt;/p&gt;&lt;/h4&gt;&lt;/div&gt;</t>
  </si>
  <si>
    <t>Mind Maze</t>
  </si>
  <si>
    <t>bard 3, cleric/oracle 3, shaman 3, witch 3</t>
  </si>
  <si>
    <t>V, S, M/DF (a chicken skull)</t>
  </si>
  <si>
    <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(Core Rulebook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t>
  </si>
  <si>
    <t>&lt;p&gt;This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(&lt;i&gt;Core Rulebook&lt;/i&gt;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movement.&lt;/p&gt;</t>
  </si>
  <si>
    <t>&lt;link rel="stylesheet"href="PF.css"&gt;&lt;div class="heading"&gt;&lt;p class="alignleft"&gt;Mind Maze&lt;/p&gt;&lt;div style="clear: both;"&gt;&lt;/div&gt;&lt;/div&gt;&lt;div&gt;&lt;h5&gt;&lt;b&gt;School &lt;/b&gt;enchantment (compulsion) [mind-affecting]; &lt;b&gt;Level &lt;/b&gt;bard 3, cleric/oracle 3, shaman 3, witch 3&lt;/h5&gt;&lt;/div&gt;&lt;hr/&gt;&lt;div&gt;&lt;h5&gt;&lt;b&gt;CASTING&lt;/b&gt;&lt;/h5&gt;&lt;/div&gt;&lt;hr/&gt;&lt;div&gt;&lt;h5&gt;&lt;b&gt;Casting Time &lt;/b&gt;1 standard action&lt;/h5&gt;&lt;h5&gt;&lt;b&gt;Components &lt;/b&gt;V, S, M/DF (a chicken skull)&lt;/h5&gt;&lt;/div&gt;&lt;hr/&gt;&lt;div&gt;&lt;h5&gt;&lt;b&gt;EFFECT&lt;/b&gt;&lt;/h5&gt;&lt;/div&gt;&lt;hr/&gt;&lt;div&gt;&lt;h5&gt;&lt;b&gt;Range &lt;/b&gt;medium (100 ft. + 10 ft./level)&lt;/h5&gt;&lt;h5&gt;&lt;b&gt;Targets &lt;/b&gt;one living creature&lt;/h5&gt;&lt;h5&gt;&lt;b&gt;Duration &lt;/b&gt;1 round/level&lt;/h5&gt;&lt;h5&gt;&lt;b&gt;Saving Throw &lt;/b&gt;Will negates; &lt;b&gt;Spell Resistance &lt;/b&gt;yes&lt;/h5&gt;&lt;/div&gt;&lt;hr/&gt;&lt;div&gt;&lt;h5&gt;&lt;b&gt;DESCRIPTION&lt;/b&gt;&lt;/h5&gt;&lt;/div&gt;&lt;hr/&gt;&lt;div&gt;&lt;h4&gt;&lt;p&gt;This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(&lt;i&gt;Core Rulebook&lt;/i&gt;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movement.&lt;/p&gt;&lt;/h4&gt;&lt;/div&gt;</t>
  </si>
  <si>
    <t>Puzzle Box</t>
  </si>
  <si>
    <t>curseUM, mind-affecting</t>
  </si>
  <si>
    <t>close (25 ft. + 5 ft./2 levels) or touch; see text</t>
  </si>
  <si>
    <t>one creature or one object up to 5 lbs./level</t>
  </si>
  <si>
    <t>1 round/level or permanent; see text</t>
  </si>
  <si>
    <t>Will negates or none</t>
  </si>
  <si>
    <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puzzle box for that item only. When cast on an object, the duration of this spell is permanent.</t>
  </si>
  <si>
    <t>&lt;p&gt;This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&lt;i&gt;puzzle box&lt;/i&gt; for that item only. When cast on an object, the duration of this spell is permanent.&lt;/p&gt;</t>
  </si>
  <si>
    <t>&lt;link rel="stylesheet"href="PF.css"&gt;&lt;div class="heading"&gt;&lt;p class="alignleft"&gt;Puzzle Box&lt;/p&gt;&lt;div style="clear: both;"&gt;&lt;/div&gt;&lt;/div&gt;&lt;div&gt;&lt;h5&gt;&lt;b&gt;School &lt;/b&gt;enchantment (compulsion) [curseUM, mind-affecting]; &lt;b&gt;Level &lt;/b&gt;bard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 or touch; see text&lt;/h5&gt;&lt;h5&gt;&lt;b&gt;Targets &lt;/b&gt;one creature or one object up to 5 lbs./level&lt;/h5&gt;&lt;h5&gt;&lt;b&gt;Duration &lt;/b&gt;1 round/level or permanent; see text&lt;/h5&gt;&lt;h5&gt;&lt;b&gt;Saving Throw &lt;/b&gt;Will negates or none; &lt;b&gt;Spell Resistance &lt;/b&gt;yes&lt;/h5&gt;&lt;/div&gt;&lt;hr/&gt;&lt;div&gt;&lt;h5&gt;&lt;b&gt;DESCRIPTION&lt;/b&gt;&lt;/h5&gt;&lt;/div&gt;&lt;hr/&gt;&lt;div&gt;&lt;h4&gt;&lt;p&gt;This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&lt;i&gt;puzzle box&lt;/i&gt; for that item only. When cast on an object, the duration of this spell is permanent.&lt;/p&gt;&lt;/h4&gt;&lt;/div&gt;</t>
  </si>
  <si>
    <t>Stoke The Inner Fire</t>
  </si>
  <si>
    <t>You increase the natural heat within your body, transferring it to your weapons and armor. As a swift action, you may grant one of your natural or manufactured weapons the flaming special ability for 1 round. If you have the fire subtype, your weapon instead gains the flaming burst special ability. If the weapon leaves your hand for any reason, it loses the flaming (or flaming burst) special ability until you spend a swift action to activate it again. You can only have stoke the inner fire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t>
  </si>
  <si>
    <t>&lt;p&gt;You increase the natural heat within your body, transferring it to your weapons and armor. As a swift action, you may grant one of your natural or manufactured weapons the &lt;i&gt;flaming&lt;/i&gt; special ability for 1 round. If you have the fire subtype, your weapon instead gains the &lt;i&gt;flaming&lt;/i&gt; burst special ability. If the weapon leaves your hand for any reason, it loses the &lt;i&gt;flaming&lt;/i&gt; (or &lt;i&gt;flaming&lt;/i&gt; burst) special ability until you spend a swift action to activate it again. You can only have &lt;i&gt;stoke the inner fire&lt;/i&gt;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effects.&lt;/p&gt;</t>
  </si>
  <si>
    <t>AP 95</t>
  </si>
  <si>
    <t>&lt;link rel="stylesheet"href="PF.css"&gt;&lt;div class="heading"&gt;&lt;p class="alignleft"&gt;Stoke The Inner Fire&lt;/p&gt;&lt;div style="clear: both;"&gt;&lt;/div&gt;&lt;/div&gt;&lt;div&gt;&lt;h5&gt;&lt;b&gt;School &lt;/b&gt;transmutation [fire]; &lt;b&gt;Level &lt;/b&gt;cleric/oracle 2, inquisitor 2 (Zursvaater)&lt;/h5&gt;&lt;/div&gt;&lt;hr/&gt;&lt;div&gt;&lt;h5&gt;&lt;b&gt;CASTING&lt;/b&gt;&lt;/h5&gt;&lt;/div&gt;&lt;hr/&gt;&lt;div&gt;&lt;h5&gt;&lt;b&gt;Casting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increase the natural heat within your body, transferring it to your weapons and armor. As a swift action, you may grant one of your natural or manufactured weapons the &lt;i&gt;flaming&lt;/i&gt; special ability for 1 round. If you have the fire subtype, your weapon instead gains the &lt;i&gt;flaming&lt;/i&gt; burst special ability. If the weapon leaves your hand for any reason, it loses the &lt;i&gt;flaming&lt;/i&gt; (or &lt;i&gt;flaming&lt;/i&gt; burst) special ability until you spend a swift action to activate it again. You can only have &lt;i&gt;stoke the inner fire&lt;/i&gt;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effects.&lt;/p&gt;&lt;/h4&gt;&lt;/div&gt;</t>
  </si>
  <si>
    <t>Zursvaater</t>
  </si>
  <si>
    <t>Akashic Form</t>
  </si>
  <si>
    <t>psychic 9</t>
  </si>
  <si>
    <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t>
  </si>
  <si>
    <t>&lt;p&gt;You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Record.&lt;/p&gt;</t>
  </si>
  <si>
    <t>Occult Adventures</t>
  </si>
  <si>
    <t>&lt;link rel="stylesheet"href="PF.css"&gt;&lt;div class="heading"&gt;&lt;p class="alignleft"&gt;Akashic Form&lt;/p&gt;&lt;div style="clear: both;"&gt;&lt;/div&gt;&lt;/div&gt;&lt;div&gt;&lt;h5&gt;&lt;b&gt;School &lt;/b&gt;necromancy; &lt;b&gt;Level &lt;/b&gt;psychic 9&lt;/h5&gt;&lt;/div&gt;&lt;hr/&gt;&lt;div&gt;&lt;h5&gt;&lt;b&gt;CASTING&lt;/b&gt;&lt;/h5&gt;&lt;/div&gt;&lt;hr/&gt;&lt;div&gt;&lt;h5&gt;&lt;b&gt;Casting Time &lt;/b&gt;1 hour&lt;/h5&gt;&lt;h5&gt;&lt;b&gt;Components &lt;/b&gt;V, S&lt;/h5&gt;&lt;/div&gt;&lt;hr/&gt;&lt;div&gt;&lt;h5&gt;&lt;b&gt;EFFECT&lt;/b&gt;&lt;/h5&gt;&lt;/div&gt;&lt;hr/&gt;&lt;div&gt;&lt;h5&gt;&lt;b&gt;Range &lt;/b&gt;personal&lt;/h5&gt;&lt;h5&gt;&lt;b&gt;Targets &lt;/b&gt;you&lt;/h5&gt;&lt;h5&gt;&lt;b&gt;Duration &lt;/b&gt;24 hours&lt;/h5&gt;&lt;h5&gt;&lt;b&gt;Saving Throw &lt;/b&gt;no; &lt;b&gt;Spell Resistance &lt;/b&gt;no&lt;/h5&gt;&lt;/div&gt;&lt;hr/&gt;&lt;div&gt;&lt;h5&gt;&lt;b&gt;DESCRIPTION&lt;/b&gt;&lt;/h5&gt;&lt;/div&gt;&lt;hr/&gt;&lt;div&gt;&lt;h4&gt;&lt;p&gt;You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Record.&lt;/p&gt;&lt;/h4&gt;&lt;/div&gt;</t>
  </si>
  <si>
    <t>Store a copy of your body in the Akashic Record, and restore yourself to that form upon your death.</t>
  </si>
  <si>
    <t>Analyze Aura</t>
  </si>
  <si>
    <t>medium 2, mesmerist 3, occultist 2, psychic 3, spiritualist 3</t>
  </si>
  <si>
    <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Alignment Aura: You study the target's spiritual nature to determine its alignment. You also learn the type and power of its alignment aura, as detect evil.  Emotion Aura: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Health Aura: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Magic Aura: You determine the number and power of all magical auras on the target (as detect magic to determine a magic aura's power), as well as the school of each aura. You can attempt Knowledge (arcana) or Spellcraft skill checks to determine the school or identify properties of a magic item, as normal. If cast on an item, analyze aura cuts through the obfuscation of the magic aura spell.</t>
  </si>
  <si>
    <t>&lt;p&gt;You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&lt;b&gt;Alignment Aura&lt;/b&gt;: You study the target's spiritual nature to determine its alignment. You also learn the type and power of its alignment aura, as &lt;i&gt;detect evil&lt;/i&gt;.  &lt;b&gt;Emotion Aura&lt;/b&gt;: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&lt;b&gt;Health Aura&lt;/b&gt;: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&lt;b&gt;Magic Aura&lt;/b&gt;: You determine the number and power of all magical auras on the target (as &lt;i&gt;detect magic&lt;/i&gt; to determine a &lt;i&gt;magic aura&lt;/i&gt;'s power), as well as the school of each aura. You can attempt Knowledge (arcana) or Spellcraft skill checks to determine the school or identify properties of a magic item, as normal. If cast on an item, &lt;i&gt;analyze aura&lt;/i&gt; cuts through the obfuscation of the &lt;i&gt;magic aura&lt;/i&gt; spell.&lt;/p&gt;</t>
  </si>
  <si>
    <t>&lt;link rel="stylesheet"href="PF.css"&gt;&lt;div class="heading"&gt;&lt;p class="alignleft"&gt;Analyze Aura&lt;/p&gt;&lt;div style="clear: both;"&gt;&lt;/div&gt;&lt;/div&gt;&lt;div&gt;&lt;h5&gt;&lt;b&gt;School &lt;/b&gt;divination; &lt;b&gt;Level &lt;/b&gt;medium 2, mesmerist 3, occultist 2, psychic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&lt;/b&gt;concentration, up to 1 round/level&lt;/h5&gt;&lt;h5&gt;&lt;b&gt;Saving Throw &lt;/b&gt;none; &lt;b&gt;Spell Resistance &lt;/b&gt;no&lt;/h5&gt;&lt;/div&gt;&lt;hr/&gt;&lt;div&gt;&lt;h5&gt;&lt;b&gt;DESCRIPTION&lt;/b&gt;&lt;/h5&gt;&lt;/div&gt;&lt;hr/&gt;&lt;div&gt;&lt;h4&gt;&lt;p&gt;You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&lt;b&gt;Alignment Aura&lt;/b&gt;: You study the target's spiritual nature to determine its alignment. You also learn the type and power of its alignment aura, as &lt;i&gt;detect evil&lt;/i&gt;.  &lt;b&gt;Emotion Aura&lt;/b&gt;: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&lt;b&gt;Health Aura&lt;/b&gt;: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&lt;b&gt;Magic Aura&lt;/b&gt;: You determine the number and power of all magical auras on the target (as &lt;i&gt;detect magic&lt;/i&gt; to determine a &lt;i&gt;magic aura&lt;/i&gt;'s power), as well as the school of each aura. You can attempt Knowledge (arcana) or Spellcraft skill checks to determine the school or identify properties of a magic item, as normal. If cast on an item, &lt;i&gt;analyze aura&lt;/i&gt; cuts through the obfuscation of the &lt;i&gt;magic aura&lt;/i&gt; spell.&lt;/p&gt;&lt;/h4&gt;&lt;/div&gt;</t>
  </si>
  <si>
    <t>Read a creature’s or an object’s alignment, emotion, health, and magic auras.</t>
  </si>
  <si>
    <t>Anticipate Thoughts</t>
  </si>
  <si>
    <t>bard 2, inquisitor 2, magus 2, mesmerist 2, psychic 2, sorcerer/wizard 2, witch 2</t>
  </si>
  <si>
    <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t>
  </si>
  <si>
    <t>&lt;p&gt;This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+5).&lt;/p&gt;</t>
  </si>
  <si>
    <t>&lt;link rel="stylesheet"href="PF.css"&gt;&lt;div class="heading"&gt;&lt;p class="alignleft"&gt;Anticipate Thoughts&lt;/p&gt;&lt;div style="clear: both;"&gt;&lt;/div&gt;&lt;/div&gt;&lt;div&gt;&lt;h5&gt;&lt;b&gt;School &lt;/b&gt;divination [mind-affecting]; &lt;b&gt;Level &lt;/b&gt;bard 2, inquisitor 2, magus 2, mesmerist 2, psychic 2, sorcerer/wizard 2, witch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+5).&lt;/p&gt;&lt;/h4&gt;&lt;/div&gt;</t>
  </si>
  <si>
    <t>Gain increasing bonuses to AC and on attack rolls and damage rolls against one creature</t>
  </si>
  <si>
    <t>Apport Object</t>
  </si>
  <si>
    <t>bard 2, medium 2, mesmerist 2, occultist 2, psychic 2, sorcerer/wizard 2, witch 2</t>
  </si>
  <si>
    <t>one touched object of up to 1 lb. and 1 cu. ft.</t>
  </si>
  <si>
    <t>instantaneous or 1 hour/level</t>
  </si>
  <si>
    <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Sending: If you choose to send the object elsewhere, the spell functions like teleport object,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Receiving: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antimagic field, globe of invulnerability, or similar effect that keeps magical effects out; if you attempt to do so, the spell is lost.</t>
  </si>
  <si>
    <t>&lt;p&gt;This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&lt;b&gt;Sending&lt;/b&gt;: If you choose to send the object elsewhere, the spell functions like &lt;i&gt;teleport object&lt;/i&gt;,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&lt;b&gt;Receiving&lt;/b&gt;: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&lt;i&gt;antimagic field&lt;/i&gt;, &lt;i&gt;globe of invulnerability&lt;/i&gt;, or similar effect that keeps magical effects out; if you attempt to do so, the spell is lost.&lt;/p&gt;</t>
  </si>
  <si>
    <t>&lt;link rel="stylesheet"href="PF.css"&gt;&lt;div class="heading"&gt;&lt;p class="alignleft"&gt;Apport Object&lt;/p&gt;&lt;div style="clear: both;"&gt;&lt;/div&gt;&lt;/div&gt;&lt;div&gt;&lt;h5&gt;&lt;b&gt;School &lt;/b&gt;conjuration (teleportation); &lt;b&gt;Level &lt;/b&gt;bard 2, medium 2, mesmerist 2, occultist 2, psychic 2, sorcerer/wizard 2, witch 2&lt;/h5&gt;&lt;/div&gt;&lt;hr/&gt;&lt;div&gt;&lt;h5&gt;&lt;b&gt;CASTING&lt;/b&gt;&lt;/h5&gt;&lt;/div&gt;&lt;hr/&gt;&lt;div&gt;&lt;h5&gt;&lt;b&gt;Casting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of up to 1 lb. and 1 cu. ft.&lt;/h5&gt;&lt;h5&gt;&lt;b&gt;Duration &lt;/b&gt;instantaneous or 1 hour/level&lt;/h5&gt;&lt;h5&gt;&lt;b&gt;Saving Throw &lt;/b&gt;Will negates (object); &lt;b&gt;Spell Resistance &lt;/b&gt;yes (object)&lt;/h5&gt;&lt;/div&gt;&lt;hr/&gt;&lt;div&gt;&lt;h5&gt;&lt;b&gt;DESCRIPTION&lt;/b&gt;&lt;/h5&gt;&lt;/div&gt;&lt;hr/&gt;&lt;div&gt;&lt;h4&gt;&lt;p&gt;This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&lt;b&gt;Sending&lt;/b&gt;: If you choose to send the object elsewhere, the spell functions like &lt;i&gt;teleport object&lt;/i&gt;,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&lt;b&gt;Receiving&lt;/b&gt;: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&lt;i&gt;antimagic field&lt;/i&gt;, &lt;i&gt;globe of invulnerability&lt;/i&gt;, or similar effect that keeps magical effects out; if you attempt to do so, the spell is lost.&lt;/p&gt;&lt;/h4&gt;&lt;/div&gt;</t>
  </si>
  <si>
    <t>Send or receive a small object via teleportation.</t>
  </si>
  <si>
    <t>Apport Animal</t>
  </si>
  <si>
    <t>druid 3, medium 3, mesmerist 3, psychic 3, ranger 3, sorcerer/wizard 3, summoner 3, witch 3</t>
  </si>
  <si>
    <t>one touched animal of Tiny or smaller size</t>
  </si>
  <si>
    <t>This spell functions like apport object except the target is an animal. Only normal, nonmagical creatures of the animal type can be teleported.</t>
  </si>
  <si>
    <t>&lt;p&gt;This spell functions like &lt;i&gt;apport object&lt;/i&gt; except the target is an animal. Only normal, nonmagical creatures of the animal type can be teleported.&lt;/p&gt;</t>
  </si>
  <si>
    <t>&lt;link rel="stylesheet"href="PF.css"&gt;&lt;div class="heading"&gt;&lt;p class="alignleft"&gt;Apport Animal&lt;/p&gt;&lt;div style="clear: both;"&gt;&lt;/div&gt;&lt;/div&gt;&lt;div&gt;&lt;h5&gt;&lt;b&gt;School &lt;/b&gt;conjuration (teleportation); &lt;b&gt;Level &lt;/b&gt;druid 3, medium 3, mesmerist 3, psychic 3, ranger 3, sorcerer/wizard 3, summoner 3, witch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animal of Tiny or smaller size&lt;/h5&gt;&lt;h5&gt;&lt;b&gt;Duration &lt;/b&gt;instantaneous or 1 hour/level&lt;/h5&gt;&lt;h5&gt;&lt;b&gt;Saving Throw &lt;/b&gt;Will negates; &lt;b&gt;Spell Resistance &lt;/b&gt;yes&lt;/h5&gt;&lt;/div&gt;&lt;hr/&gt;&lt;div&gt;&lt;h5&gt;&lt;b&gt;DESCRIPTION&lt;/b&gt;&lt;/h5&gt;&lt;/div&gt;&lt;hr/&gt;&lt;div&gt;&lt;h4&gt;&lt;p&gt;This spell functions like &lt;i&gt;apport object&lt;/i&gt; except the target is an animal. Only normal, nonmagical creatures of the animal type can be teleported.&lt;/p&gt;&lt;/h4&gt;&lt;/div&gt;</t>
  </si>
  <si>
    <t>Send or receive a Tiny or smaller animal via teleportation.</t>
  </si>
  <si>
    <t>Aura Alteration</t>
  </si>
  <si>
    <t>medium 3, mesmerist 3, occultist 3, psychic 4, spiritualist 4</t>
  </si>
  <si>
    <t>one object or willing creature</t>
  </si>
  <si>
    <t>You mask and manipulate the target creature's or object's aura, confounding those who would attempt to discern helpful information from it using the read aura occult skill unlock (see page 197) or the analyze aura spell. You can change each of the following four auras with one casting of aura alteration.  Alignment Aura: You can change the target's apparent alignment to thwart spells that detect alignment, such as detect evil.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Emotion Aura: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Health Aura: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Magic Aura: You alter a creature or item's magic aura so that it registers to detect magic (and spells with similar capabilities, like analyze aura) as though it were nonmagical, a magic item of a kind you specify, or the subject of a spell you specify. A single casting of aura alteration is sufficient to mask all of the magic auras on the target. If an object bearing aura alteration has identify cast on it or is similarly examined, the examiner recognizes the aura is false and detects the object's actual qualities if he succeeds at a Will save. If a targeted item's own aura is overwhelming, aura alteration can't alter it.</t>
  </si>
  <si>
    <t>&lt;p&gt;You mask and manipulate the target creature's or object's aura, confounding those who would attempt to discern helpful information from it using the read aura occult skill unlock (see page 197) or the &lt;i&gt;&lt;i&gt;analyze&lt;/i&gt; aura&lt;/i&gt; spell. You can change each of the following four auras with one casting of &lt;i&gt;aura alteration&lt;/i&gt;.  &lt;b&gt;Alignment Aura&lt;/b&gt;: You can change the target's apparent alignment to thwart spells that detect alignment, such as &lt;i&gt;detect evil&lt;/i&gt;.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&lt;b&gt;Emotion Aura&lt;/b&gt;: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&lt;b&gt;Health Aura&lt;/b&gt;: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&lt;b&gt;Magic Aura&lt;/b&gt;: You alter a creature or item's magic aura so that it registers to &lt;i&gt;detect magic&lt;/i&gt; (and spells with similar capabilities, like &lt;i&gt;&lt;i&gt;analyze&lt;/i&gt; aura&lt;/i&gt;) as though it were nonmagical, a magic item of a kind you specify, or the subject of a spell you specify. A single casting of &lt;i&gt;aura alteration&lt;/i&gt; is sufficient to mask all of the magic auras on the target. If an object bearing &lt;i&gt;aura alteration&lt;/i&gt; has &lt;i&gt;identify&lt;/i&gt; cast on it or is similarly examined, the examiner recognizes the aura is false and detects the object's actual qualities if he succeeds at a Will save. If a targeted item's own aura is overwhelming, &lt;i&gt;aura alteration&lt;/i&gt; can't alter it.&lt;/p&gt;</t>
  </si>
  <si>
    <t>&lt;link rel="stylesheet"href="PF.css"&gt;&lt;div class="heading"&gt;&lt;p class="alignleft"&gt;Aura Alteration&lt;/p&gt;&lt;div style="clear: both;"&gt;&lt;/div&gt;&lt;/div&gt;&lt;div&gt;&lt;h5&gt;&lt;b&gt;School &lt;/b&gt;illusion; &lt;b&gt;Level &lt;/b&gt;medium 3, mesmerist 3, occultist 3, psychic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 or willing creature&lt;/h5&gt;&lt;h5&gt;&lt;b&gt;Duration &lt;/b&gt;1 day/level (D)&lt;/h5&gt;&lt;h5&gt;&lt;b&gt;Saving Throw &lt;/b&gt;Will negates (harmless, object); &lt;b&gt;Spell Resistance &lt;/b&gt;yes&lt;/h5&gt;&lt;/div&gt;&lt;hr/&gt;&lt;div&gt;&lt;h5&gt;&lt;b&gt;DESCRIPTION&lt;/b&gt;&lt;/h5&gt;&lt;/div&gt;&lt;hr/&gt;&lt;div&gt;&lt;h4&gt;&lt;p&gt;You mask and manipulate the target creature's or object's aura, confounding those who would attempt to discern helpful information from it using the read aura occult skill unlock (see page 197) or the &lt;i&gt;&lt;i&gt;analyze&lt;/i&gt; aura&lt;/i&gt; spell. You can change each of the following four auras with one casting of &lt;i&gt;aura alteration&lt;/i&gt;.  &lt;b&gt;Alignment Aura&lt;/b&gt;: You can change the target's apparent alignment to thwart spells that detect alignment, such as &lt;i&gt;detect evil&lt;/i&gt;.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&lt;b&gt;Emotion Aura&lt;/b&gt;: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&lt;b&gt;Health Aura&lt;/b&gt;: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&lt;b&gt;Magic Aura&lt;/b&gt;: You alter a creature or item's magic aura so that it registers to &lt;i&gt;detect magic&lt;/i&gt; (and spells with similar capabilities, like &lt;i&gt;&lt;i&gt;analyze&lt;/i&gt; aura&lt;/i&gt;) as though it were nonmagical, a magic item of a kind you specify, or the subject of a spell you specify. A single casting of &lt;i&gt;aura alteration&lt;/i&gt; is sufficient to mask all of the magic auras on the target. If an object bearing &lt;i&gt;aura alteration&lt;/i&gt; has &lt;i&gt;identify&lt;/i&gt; cast on it or is similarly examined, the examiner recognizes the aura is false and detects the object's actual qualities if he succeeds at a Will save. If a targeted item's own aura is overwhelming, &lt;i&gt;aura alteration&lt;/i&gt; can't alter it.&lt;/p&gt;&lt;/h4&gt;&lt;/div&gt;</t>
  </si>
  <si>
    <t>Masks a creature’s or an object’s alignment, emotion, health, and magic auras.</t>
  </si>
  <si>
    <t>Drain Poison</t>
  </si>
  <si>
    <t>alchemist 3, antipaladin 3, cleric/oracle 3, druid 3, ranger 3, witch 3</t>
  </si>
  <si>
    <t>V, S, M/DF (the fang of a poisonous creature)</t>
  </si>
  <si>
    <t>one weapon or a single piece of ammunition</t>
  </si>
  <si>
    <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t>
  </si>
  <si>
    <t>&lt;p&gt;By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it.&lt;/p&gt;</t>
  </si>
  <si>
    <t>Dirty Tactics Toolbox</t>
  </si>
  <si>
    <t>&lt;link rel="stylesheet"href="PF.css"&gt;&lt;div class="heading"&gt;&lt;p class="alignleft"&gt;Drain Poison&lt;/p&gt;&lt;div style="clear: both;"&gt;&lt;/div&gt;&lt;/div&gt;&lt;div&gt;&lt;h5&gt;&lt;b&gt;School &lt;/b&gt;transmutation [poisonUM]; &lt;b&gt;Level &lt;/b&gt;alchemist 3, antipaladin 3, cleric/oracle 3, druid 3, ranger 3, witch 3&lt;/h5&gt;&lt;/div&gt;&lt;hr/&gt;&lt;div&gt;&lt;h5&gt;&lt;b&gt;CASTING&lt;/b&gt;&lt;/h5&gt;&lt;/div&gt;&lt;hr/&gt;&lt;div&gt;&lt;h5&gt;&lt;b&gt;Casting Time &lt;/b&gt;1 standard action&lt;/h5&gt;&lt;h5&gt;&lt;b&gt;Components &lt;/b&gt;V, S, M/DF (the fang of a poisonous creature)&lt;/h5&gt;&lt;/div&gt;&lt;hr/&gt;&lt;div&gt;&lt;h5&gt;&lt;b&gt;EFFECT&lt;/b&gt;&lt;/h5&gt;&lt;/div&gt;&lt;hr/&gt;&lt;div&gt;&lt;h5&gt;&lt;b&gt;Range &lt;/b&gt;touch&lt;/h5&gt;&lt;h5&gt;&lt;b&gt;Targets &lt;/b&gt;one weapon or a single piece of ammunition&lt;/h5&gt;&lt;h5&gt;&lt;b&gt;Duration &lt;/b&gt;24 hours&lt;/h5&gt;&lt;h5&gt;&lt;b&gt;Saving Throw &lt;/b&gt;none; &lt;b&gt;Spell Resistance &lt;/b&gt;no&lt;/h5&gt;&lt;/div&gt;&lt;hr/&gt;&lt;div&gt;&lt;h5&gt;&lt;b&gt;DESCRIPTION&lt;/b&gt;&lt;/h5&gt;&lt;/div&gt;&lt;hr/&gt;&lt;div&gt;&lt;h4&gt;&lt;p&gt;By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it.&lt;/p&gt;&lt;/h4&gt;&lt;/div&gt;</t>
  </si>
  <si>
    <t>Garden Of Peril</t>
  </si>
  <si>
    <t>druid 2, ranger 2, sorcerer/wizard 2, summoner 2, witch 2</t>
  </si>
  <si>
    <t>V, S, M/DF (a pinch of spores)</t>
  </si>
  <si>
    <t>one poisonous mushroom/level, no two of which can be more than 30 ft. apart</t>
  </si>
  <si>
    <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t>
  </si>
  <si>
    <t>&lt;p&gt;Vividly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spores.&lt;/p&gt;</t>
  </si>
  <si>
    <t>&lt;link rel="stylesheet"href="PF.css"&gt;&lt;div class="heading"&gt;&lt;p class="alignleft"&gt;Garden Of Peril&lt;/p&gt;&lt;div style="clear: both;"&gt;&lt;/div&gt;&lt;/div&gt;&lt;div&gt;&lt;h5&gt;&lt;b&gt;School &lt;/b&gt;conjuration (creation) [poison&lt;sup&gt;UM&lt;/sup&gt;]; &lt;b&gt;Level &lt;/b&gt;druid 2, ranger 2, sorcerer/wizard 2, summoner 2, witch 2&lt;/h5&gt;&lt;/div&gt;&lt;hr/&gt;&lt;div&gt;&lt;h5&gt;&lt;b&gt;CASTING&lt;/b&gt;&lt;/h5&gt;&lt;/div&gt;&lt;hr/&gt;&lt;div&gt;&lt;h5&gt;&lt;b&gt;Casting Time &lt;/b&gt;1 standard action&lt;/h5&gt;&lt;h5&gt;&lt;b&gt;Components &lt;/b&gt;V, S, M/DF (a pinch of spores)&lt;/h5&gt;&lt;/div&gt;&lt;hr/&gt;&lt;div&gt;&lt;h5&gt;&lt;b&gt;EFFECT&lt;/b&gt;&lt;/h5&gt;&lt;/div&gt;&lt;hr/&gt;&lt;div&gt;&lt;h5&gt;&lt;b&gt;Range &lt;/b&gt;medium (100 ft. + 10 ft./level)&lt;/h5&gt;&lt;h5&gt;&lt;b&gt;Effect &lt;/b&gt;one poisonous mushroom/level, no two of which can be more than 30 ft. apart&lt;/h5&gt;&lt;h5&gt;&lt;b&gt;Duration &lt;/b&gt;1 round/level (D)&lt;/h5&gt;&lt;h5&gt;&lt;b&gt;Saving Throw &lt;/b&gt;Fortitude negates; &lt;b&gt;Spell Resistance &lt;/b&gt;no&lt;/h5&gt;&lt;/div&gt;&lt;hr/&gt;&lt;div&gt;&lt;h5&gt;&lt;b&gt;DESCRIPTION&lt;/b&gt;&lt;/h5&gt;&lt;/div&gt;&lt;hr/&gt;&lt;div&gt;&lt;h4&gt;&lt;p&gt;Vividly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spores.&lt;/p&gt;&lt;/h4&gt;&lt;/div&gt;</t>
  </si>
  <si>
    <t>Invigorating Poison</t>
  </si>
  <si>
    <t>alchemist 2, cleric/oracle 2, druid 2, shaman 2</t>
  </si>
  <si>
    <t>V, S, M/DF (an apple seed)</t>
  </si>
  <si>
    <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t>
  </si>
  <si>
    <t>&lt;p&gt;The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damage.&lt;/p&gt;</t>
  </si>
  <si>
    <t>&lt;link rel="stylesheet"href="PF.css"&gt;&lt;div class="heading"&gt;&lt;p class="alignleft"&gt;Invigorating Poison&lt;/p&gt;&lt;div style="clear: both;"&gt;&lt;/div&gt;&lt;/div&gt;&lt;div&gt;&lt;h5&gt;&lt;b&gt;School &lt;/b&gt;transmutation; &lt;b&gt;Level &lt;/b&gt;alchemist 2, cleric/oracle 2, druid 2, shaman 2&lt;/h5&gt;&lt;/div&gt;&lt;hr/&gt;&lt;div&gt;&lt;h5&gt;&lt;b&gt;CASTING&lt;/b&gt;&lt;/h5&gt;&lt;/div&gt;&lt;hr/&gt;&lt;div&gt;&lt;h5&gt;&lt;b&gt;Casting Time &lt;/b&gt;1 standard action&lt;/h5&gt;&lt;h5&gt;&lt;b&gt;Components &lt;/b&gt;V, S, M/DF (an apple seed)&lt;/h5&gt;&lt;/div&gt;&lt;hr/&gt;&lt;div&gt;&lt;h5&gt;&lt;b&gt;EFFECT&lt;/b&gt;&lt;/h5&gt;&lt;/div&gt;&lt;hr/&gt;&lt;div&gt;&lt;h5&gt;&lt;b&gt;Range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damage.&lt;/p&gt;&lt;/h4&gt;&lt;/div&gt;</t>
  </si>
  <si>
    <t>Neutralize Poison, Greater</t>
  </si>
  <si>
    <t>alchemist 6, bard 6, cleric/oracle 6, druid 5, inquisitor 6, witch 6</t>
  </si>
  <si>
    <t>V, S, M/DF (a lump of charcoal)</t>
  </si>
  <si>
    <t>instantaneous or 1 hour/level (D)</t>
  </si>
  <si>
    <t>This spell functions as neutralize poison,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t>
  </si>
  <si>
    <t>&lt;p&gt;This spell functions as &lt;i&gt;neutralize poison&lt;/i&gt;,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throw.&lt;/p&gt;</t>
  </si>
  <si>
    <t>&lt;link rel="stylesheet"href="PF.css"&gt;&lt;div class="heading"&gt;&lt;p class="alignleft"&gt;Neutralize Poison, Greater&lt;/p&gt;&lt;div style="clear: both;"&gt;&lt;/div&gt;&lt;/div&gt;&lt;div&gt;&lt;h5&gt;&lt;b&gt;School &lt;/b&gt;conjuration (healing); &lt;b&gt;Level &lt;/b&gt;alchemist 6, bard 6, cleric/oracle 6, druid 5, inquisitor 6, witch 6&lt;/h5&gt;&lt;/div&gt;&lt;hr/&gt;&lt;div&gt;&lt;h5&gt;&lt;b&gt;CASTING&lt;/b&gt;&lt;/h5&gt;&lt;/div&gt;&lt;hr/&gt;&lt;div&gt;&lt;h5&gt;&lt;b&gt;Casting Time &lt;/b&gt;1 standard action&lt;/h5&gt;&lt;h5&gt;&lt;b&gt;Components &lt;/b&gt;V, S, M/DF (a lump of charcoal)&lt;/h5&gt;&lt;/div&gt;&lt;hr/&gt;&lt;div&gt;&lt;h5&gt;&lt;b&gt;EFFECT&lt;/b&gt;&lt;/h5&gt;&lt;/div&gt;&lt;hr/&gt;&lt;div&gt;&lt;h5&gt;&lt;b&gt;Range &lt;/b&gt;touch&lt;/h5&gt;&lt;h5&gt;&lt;b&gt;Targets &lt;/b&gt;creature or object of up to 1 cu. ft./level touched&lt;/h5&gt;&lt;h5&gt;&lt;b&gt;Duration &lt;/b&gt;instantaneous or 1 hour/level (D)&lt;/h5&gt;&lt;h5&gt;&lt;b&gt;Saving Throw &lt;/b&gt;Will negates (harmless, object); &lt;b&gt;Spell Resistance &lt;/b&gt;yes (harmless, object)&lt;/h5&gt;&lt;/div&gt;&lt;hr/&gt;&lt;div&gt;&lt;h5&gt;&lt;b&gt;DESCRIPTION&lt;/b&gt;&lt;/h5&gt;&lt;/div&gt;&lt;hr/&gt;&lt;div&gt;&lt;h4&gt;&lt;p&gt;This spell functions as &lt;i&gt;neutralize poison&lt;/i&gt;,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throw.&lt;/p&gt;&lt;/h4&gt;&lt;/div&gt;</t>
  </si>
  <si>
    <t>Poison Breath</t>
  </si>
  <si>
    <t>cleric/oracle 7, druid 6, witch 7</t>
  </si>
  <si>
    <t>V, S, M/DF (a spider's mandible)</t>
  </si>
  <si>
    <t>You expel a cone-shaped burst of toxic mist from your mouth, subjecting everyone caught in the area to a deadly poison, as per the poison spell.</t>
  </si>
  <si>
    <t>&lt;p&gt;You expel a cone-shaped burst of toxic mist from your mouth, subjecting everyone caught in the area to a deadly &lt;i&gt;poison&lt;/i&gt;, as per the &lt;i&gt;poison&lt;/i&gt; spell.&lt;/p&gt;</t>
  </si>
  <si>
    <t>&lt;link rel="stylesheet"href="PF.css"&gt;&lt;div class="heading"&gt;&lt;p class="alignleft"&gt;Poison Breath&lt;/p&gt;&lt;div style="clear: both;"&gt;&lt;/div&gt;&lt;/div&gt;&lt;div&gt;&lt;h5&gt;&lt;b&gt;School &lt;/b&gt;evocation [poison&lt;sup&gt;UM&lt;/sup&gt;]; &lt;b&gt;Level &lt;/b&gt;cleric/oracle 7, druid 6, witch 7&lt;/h5&gt;&lt;/div&gt;&lt;hr/&gt;&lt;div&gt;&lt;h5&gt;&lt;b&gt;CASTING&lt;/b&gt;&lt;/h5&gt;&lt;/div&gt;&lt;hr/&gt;&lt;div&gt;&lt;h5&gt;&lt;b&gt;Casting Time &lt;/b&gt;1 standard action&lt;/h5&gt;&lt;h5&gt;&lt;b&gt;Components &lt;/b&gt;V, S, M/DF (a spider's mandible)&lt;/h5&gt;&lt;/div&gt;&lt;hr/&gt;&lt;div&gt;&lt;h5&gt;&lt;b&gt;EFFECT&lt;/b&gt;&lt;/h5&gt;&lt;/div&gt;&lt;hr/&gt;&lt;div&gt;&lt;h5&gt;&lt;b&gt;Range &lt;/b&gt;15 ft.&lt;/h5&gt;&lt;h5&gt;&lt;b&gt;Area &lt;/b&gt;cone-shaped burst&lt;/h5&gt;&lt;h5&gt;&lt;b&gt;Duration &lt;/b&gt;instantaneous&lt;/h5&gt;&lt;h5&gt;&lt;b&gt;Saving Throw &lt;/b&gt;Fortitude negates; &lt;b&gt;Spell Resistance &lt;/b&gt;yes&lt;/h5&gt;&lt;/div&gt;&lt;hr/&gt;&lt;div&gt;&lt;h5&gt;&lt;b&gt;DESCRIPTION&lt;/b&gt;&lt;/h5&gt;&lt;/div&gt;&lt;hr/&gt;&lt;div&gt;&lt;h4&gt;&lt;p&gt;You expel a cone-shaped burst of toxic mist from your mouth, subjecting everyone caught in the area to a deadly &lt;i&gt;poison&lt;/i&gt;, as per the &lt;i&gt;poison&lt;/i&gt; spell.&lt;/p&gt;&lt;/h4&gt;&lt;/div&gt;</t>
  </si>
  <si>
    <t>Sword To Snake</t>
  </si>
  <si>
    <t>cleric/oracle 4, druid 4, shaman 4, sorcerer/wizard 4, summoner 4</t>
  </si>
  <si>
    <t>V, S, M/DF (a hair from a spider)</t>
  </si>
  <si>
    <t>one Medium or smaller item</t>
  </si>
  <si>
    <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(frequency 1/round for 6 rounds; effect 1d2 Con; cure 1 save). The poison's save DC is equal to this spell's DC.</t>
  </si>
  <si>
    <t>&lt;p&gt;When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(&lt;i&gt;frequency&lt;/i&gt; 1/round for 6 rounds; &lt;i&gt;effect&lt;/i&gt; 1d2 Con; &lt;i&gt;cure&lt;/i&gt; 1 save). The poison's save DC is equal to this spell's DC.&lt;/p&gt;</t>
  </si>
  <si>
    <t>&lt;link rel="stylesheet"href="PF.css"&gt;&lt;div class="heading"&gt;&lt;p class="alignleft"&gt;Sword To Snake&lt;/p&gt;&lt;div style="clear: both;"&gt;&lt;/div&gt;&lt;/div&gt;&lt;div&gt;&lt;h5&gt;&lt;b&gt;School &lt;/b&gt;transmutation [poison&lt;sup&gt;UM&lt;/sup&gt;]; &lt;b&gt;Level &lt;/b&gt;cleric/oracle 4, druid 4, shaman 4, sorcerer/wizard 4, summoner 4&lt;/h5&gt;&lt;/div&gt;&lt;hr/&gt;&lt;div&gt;&lt;h5&gt;&lt;b&gt;CASTING&lt;/b&gt;&lt;/h5&gt;&lt;/div&gt;&lt;hr/&gt;&lt;div&gt;&lt;h5&gt;&lt;b&gt;Casting Time &lt;/b&gt;1 standard action&lt;/h5&gt;&lt;h5&gt;&lt;b&gt;Components &lt;/b&gt;V, S, M/DF (a hair from a spider)&lt;/h5&gt;&lt;/div&gt;&lt;hr/&gt;&lt;div&gt;&lt;h5&gt;&lt;b&gt;EFFECT&lt;/b&gt;&lt;/h5&gt;&lt;/div&gt;&lt;hr/&gt;&lt;div&gt;&lt;h5&gt;&lt;b&gt;Range &lt;/b&gt;close (25 ft. + 5 ft./2 levels)&lt;/h5&gt;&lt;h5&gt;&lt;b&gt;Targets &lt;/b&gt;one Medium or smaller item&lt;/h5&gt;&lt;h5&gt;&lt;b&gt;Duration &lt;/b&gt;1 round/level (D)&lt;/h5&gt;&lt;h5&gt;&lt;b&gt;Saving Throw &lt;/b&gt;Will negates (object); &lt;b&gt;Spell Resistance &lt;/b&gt;yes (object)&lt;/h5&gt;&lt;/div&gt;&lt;hr/&gt;&lt;div&gt;&lt;h5&gt;&lt;b&gt;DESCRIPTION&lt;/b&gt;&lt;/h5&gt;&lt;/div&gt;&lt;hr/&gt;&lt;div&gt;&lt;h4&gt;&lt;p&gt;When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(&lt;i&gt;frequency&lt;/i&gt; 1/round for 6 rounds; &lt;i&gt;effect&lt;/i&gt; 1d2 Con; &lt;i&gt;cure&lt;/i&gt; 1 save). The poison's save DC is equal to this spell's DC.&lt;/p&gt;&lt;/h4&gt;&lt;/div&gt;</t>
  </si>
  <si>
    <t>Toxic Rupture</t>
  </si>
  <si>
    <t>druid 3, shaman 3, sorcerer/wizard 3, witch 3</t>
  </si>
  <si>
    <t>V, S, M/DF (a viper's fang)</t>
  </si>
  <si>
    <t>one poisonous creature</t>
  </si>
  <si>
    <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t>
  </si>
  <si>
    <t>&lt;p&gt;With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DC.&lt;/p&gt;</t>
  </si>
  <si>
    <t>&lt;link rel="stylesheet"href="PF.css"&gt;&lt;div class="heading"&gt;&lt;p class="alignleft"&gt;Toxic Rupture&lt;/p&gt;&lt;div style="clear: both;"&gt;&lt;/div&gt;&lt;/div&gt;&lt;div&gt;&lt;h5&gt;&lt;b&gt;School &lt;/b&gt;necromancy [poison&lt;sup&gt;UM&lt;/sup&gt;]; &lt;b&gt;Level &lt;/b&gt;druid 3, shaman 3, sorcerer/wizard 3, witch 3&lt;/h5&gt;&lt;/div&gt;&lt;hr/&gt;&lt;div&gt;&lt;h5&gt;&lt;b&gt;CASTING&lt;/b&gt;&lt;/h5&gt;&lt;/div&gt;&lt;hr/&gt;&lt;div&gt;&lt;h5&gt;&lt;b&gt;Casting Time &lt;/b&gt;1 standard action&lt;/h5&gt;&lt;h5&gt;&lt;b&gt;Components &lt;/b&gt;V, S, M/DF (a viper's fang)&lt;/h5&gt;&lt;/div&gt;&lt;hr/&gt;&lt;div&gt;&lt;h5&gt;&lt;b&gt;EFFECT&lt;/b&gt;&lt;/h5&gt;&lt;/div&gt;&lt;hr/&gt;&lt;div&gt;&lt;h5&gt;&lt;b&gt;Range &lt;/b&gt;close (25 ft. + 5 ft./2 levels)&lt;/h5&gt;&lt;h5&gt;&lt;b&gt;Targets &lt;/b&gt;one poisonous creature&lt;/h5&gt;&lt;h5&gt;&lt;b&gt;Duration &lt;/b&gt;instantaneous&lt;/h5&gt;&lt;h5&gt;&lt;b&gt;Saving Throw &lt;/b&gt;Fortitude negates; see text; &lt;b&gt;Spell Resistance &lt;/b&gt;yes&lt;/h5&gt;&lt;/div&gt;&lt;hr/&gt;&lt;div&gt;&lt;h5&gt;&lt;b&gt;DESCRIPTION&lt;/b&gt;&lt;/h5&gt;&lt;/div&gt;&lt;hr/&gt;&lt;div&gt;&lt;h4&gt;&lt;p&gt;With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DC.&lt;/p&gt;&lt;/h4&gt;&lt;/div&gt;</t>
  </si>
  <si>
    <t>Venomous Bite</t>
  </si>
  <si>
    <t>alchemist 2, druid 2, ranger 2, shaman 2, summoner 2, witch 2</t>
  </si>
  <si>
    <t>V, S, M (a vial of injury poison worth at least 75 gp), DF</t>
  </si>
  <si>
    <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t>
  </si>
  <si>
    <t>&lt;p&gt;When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again.&lt;/p&gt;</t>
  </si>
  <si>
    <t>&lt;link rel="stylesheet"href="PF.css"&gt;&lt;div class="heading"&gt;&lt;p class="alignleft"&gt;Venomous Bite&lt;/p&gt;&lt;div style="clear: both;"&gt;&lt;/div&gt;&lt;/div&gt;&lt;div&gt;&lt;h5&gt;&lt;b&gt;School &lt;/b&gt;transmutation [poison&lt;sup&gt;UM&lt;/sup&gt;]; &lt;b&gt;Level &lt;/b&gt;alchemist 2, druid 2, ranger 2, shaman 2, summoner 2, witch 2&lt;/h5&gt;&lt;/div&gt;&lt;hr/&gt;&lt;div&gt;&lt;h5&gt;&lt;b&gt;CASTING&lt;/b&gt;&lt;/h5&gt;&lt;/div&gt;&lt;hr/&gt;&lt;div&gt;&lt;h5&gt;&lt;b&gt;Casting Time &lt;/b&gt;1 standard action&lt;/h5&gt;&lt;h5&gt;&lt;b&gt;Components &lt;/b&gt;V, S, M (a vial of injury poison worth at least 75 gp), DF&lt;/h5&gt;&lt;/div&gt;&lt;hr/&gt;&lt;div&gt;&lt;h5&gt;&lt;b&gt;EFFECT&lt;/b&gt;&lt;/h5&gt;&lt;/div&gt;&lt;hr/&gt;&lt;div&gt;&lt;h5&gt;&lt;b&gt;Range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again.&lt;/p&gt;&lt;/h4&gt;&lt;/div&gt;</t>
  </si>
  <si>
    <t>Blend With Surroundings</t>
  </si>
  <si>
    <t>bard 1, cleric/oracle 1, druid 1, shaman 1, sorcerer/wizard 1, summoner 1, witch 1</t>
  </si>
  <si>
    <t>V, S, M/DF (a chess piece)</t>
  </si>
  <si>
    <t>Fortitude negates (harmless) or Will disbelieves (if interacted with)</t>
  </si>
  <si>
    <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t>
  </si>
  <si>
    <t>&lt;p&gt;This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ends.&lt;/p&gt;</t>
  </si>
  <si>
    <t>&lt;link rel="stylesheet"href="PF.css"&gt;&lt;div class="heading"&gt;&lt;p class="alignleft"&gt;Blend With Surroundings&lt;/p&gt;&lt;div style="clear: both;"&gt;&lt;/div&gt;&lt;/div&gt;&lt;div&gt;&lt;h5&gt;&lt;b&gt;School &lt;/b&gt;illusion (glamer); &lt;b&gt;Level &lt;/b&gt;bard 1, cleric/oracle 1, druid 1, shaman 1, sorcerer/wizard 1, summoner 1, witch 1&lt;/h5&gt;&lt;/div&gt;&lt;hr/&gt;&lt;div&gt;&lt;h5&gt;&lt;b&gt;CASTING&lt;/b&gt;&lt;/h5&gt;&lt;/div&gt;&lt;hr/&gt;&lt;div&gt;&lt;h5&gt;&lt;b&gt;Casting Time &lt;/b&gt;1 round&lt;/h5&gt;&lt;h5&gt;&lt;b&gt;Components &lt;/b&gt;V, S, M/DF (a chess piece)&lt;/h5&gt;&lt;/div&gt;&lt;hr/&gt;&lt;div&gt;&lt;h5&gt;&lt;b&gt;EFFECT&lt;/b&gt;&lt;/h5&gt;&lt;/div&gt;&lt;hr/&gt;&lt;div&gt;&lt;h5&gt;&lt;b&gt;Range &lt;/b&gt;close (25 ft. + 5 ft./2 levels)&lt;/h5&gt;&lt;h5&gt;&lt;b&gt;Targets &lt;/b&gt;one creature&lt;/h5&gt;&lt;h5&gt;&lt;b&gt;Duration &lt;/b&gt;10 minutes/level&lt;/h5&gt;&lt;h5&gt;&lt;b&gt;Saving Throw &lt;/b&gt;Fortitude negates (harmless) or Will disbelieves (if interacted with); &lt;b&gt;Spell Resistance &lt;/b&gt;yes (harmless)&lt;/h5&gt;&lt;/div&gt;&lt;hr/&gt;&lt;div&gt;&lt;h5&gt;&lt;b&gt;DESCRIPTION&lt;/b&gt;&lt;/h5&gt;&lt;/div&gt;&lt;hr/&gt;&lt;div&gt;&lt;h4&gt;&lt;p&gt;This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ends.&lt;/p&gt;&lt;/h4&gt;&lt;/div&gt;</t>
  </si>
  <si>
    <t>Body Double</t>
  </si>
  <si>
    <t>bard 2, bloodrager 2, magus 2, sorcerer/wizard 2</t>
  </si>
  <si>
    <t>V, S, M (two glass beads)</t>
  </si>
  <si>
    <t>two creatures; see text</t>
  </si>
  <si>
    <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true seeing. Likewise, a creature that can't perceive one of the targets is not fooled by this spell (even if the spell fooled that creature earlier), and its attacks, targeted spells, and other actions affect targets as normal.</t>
  </si>
  <si>
    <t>&lt;p&gt;Upon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&lt;i&gt;true seeing&lt;/i&gt;. Likewise, a creature that can't perceive one of the targets is not fooled by this spell (even if the spell fooled that creature earlier), and its attacks, targeted spells, and other actions affect targets as normal.&lt;/p&gt;</t>
  </si>
  <si>
    <t>&lt;link rel="stylesheet"href="PF.css"&gt;&lt;div class="heading"&gt;&lt;p class="alignleft"&gt;Body Double&lt;/p&gt;&lt;div style="clear: both;"&gt;&lt;/div&gt;&lt;/div&gt;&lt;div&gt;&lt;h5&gt;&lt;b&gt;School &lt;/b&gt;illusion (glamer); &lt;b&gt;Level &lt;/b&gt;bard 2, bloodrager 2, magus 2, sorcerer/wizard 2&lt;/h5&gt;&lt;/div&gt;&lt;hr/&gt;&lt;div&gt;&lt;h5&gt;&lt;b&gt;CASTING&lt;/b&gt;&lt;/h5&gt;&lt;/div&gt;&lt;hr/&gt;&lt;div&gt;&lt;h5&gt;&lt;b&gt;Casting Time &lt;/b&gt;1 standard action&lt;/h5&gt;&lt;h5&gt;&lt;b&gt;Components &lt;/b&gt;V, S, M (two glass beads)&lt;/h5&gt;&lt;/div&gt;&lt;hr/&gt;&lt;div&gt;&lt;h5&gt;&lt;b&gt;EFFECT&lt;/b&gt;&lt;/h5&gt;&lt;/div&gt;&lt;hr/&gt;&lt;div&gt;&lt;h5&gt;&lt;b&gt;Range &lt;/b&gt;close (25 ft. + 5 ft./2 levels)&lt;/h5&gt;&lt;h5&gt;&lt;b&gt;Targets &lt;/b&gt;two creatures; see text&lt;/h5&gt;&lt;h5&gt;&lt;b&gt;Duration &lt;/b&gt;1 round/level&lt;/h5&gt;&lt;h5&gt;&lt;b&gt;Saving Throw &lt;/b&gt;Will negates; &lt;b&gt;Spell Resistance &lt;/b&gt;yes&lt;/h5&gt;&lt;/div&gt;&lt;hr/&gt;&lt;div&gt;&lt;h5&gt;&lt;b&gt;DESCRIPTION&lt;/b&gt;&lt;/h5&gt;&lt;/div&gt;&lt;hr/&gt;&lt;div&gt;&lt;h4&gt;&lt;p&gt;Upon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&lt;i&gt;true seeing&lt;/i&gt;. Likewise, a creature that can't perceive one of the targets is not fooled by this spell (even if the spell fooled that creature earlier), and its attacks, targeted spells, and other actions affect targets as normal.&lt;/p&gt;&lt;/h4&gt;&lt;/div&gt;</t>
  </si>
  <si>
    <t>Grasping Tentacles</t>
  </si>
  <si>
    <t>bloodrager 3, magus 3, sorcerer/wizard 3, summoner 3, witch 3</t>
  </si>
  <si>
    <t>none; Spell Resistance no   Will negates (harmless, object)</t>
  </si>
  <si>
    <t>This spell functions as black tentacles,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d% Effect  1-20 Blinded. The tentacles suction over the victim's eyes.  21-40 Deafened. The tentacles clap themselves around the victim's ears.  41-60 Entangled. The tentacles weave around the victim's limbs.  61-80 Shaken. The tentacles menace the victim from all sides. This is a fear effect.  81-100 Sickened. The tentacles give off sickening vapors. This is a poisonUM effect.</t>
  </si>
  <si>
    <t>&lt;p&gt;This spell functions as &lt;i&gt;black tentacles&lt;/i&gt;,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&lt;b&gt;d% Effect&lt;/b&gt;  1-20 Blinded. The tentacles suction over the victim's eyes.  21-40 Deafened. The tentacles clap themselves around the victim's ears.  41-60 Entangled. The tentacles weave around the victim's limbs.  61-80 Shaken. The tentacles menace the victim from all sides. This is a fear effect.  81-100 Sickened. The tentacles give off sickening vapors. This is a poisonUM effect.&lt;/p&gt;</t>
  </si>
  <si>
    <t>&lt;link rel="stylesheet"href="PF.css"&gt;&lt;div class="heading"&gt;&lt;p class="alignleft"&gt;Grasping Tentacles&lt;/p&gt;&lt;div style="clear: both;"&gt;&lt;/div&gt;&lt;/div&gt;&lt;div&gt;&lt;h5&gt;&lt;b&gt;School &lt;/b&gt;conjuration (creation); &lt;b&gt;Level &lt;/b&gt;bloodrager 3, magus 3, sorcerer/wizard 3, summoner 3, witch 3&lt;/h5&gt;&lt;/div&gt;&lt;hr/&gt;&lt;div&gt;&lt;h5&gt;&lt;b&gt;CASTING&lt;/b&gt;&lt;/h5&gt;&lt;/div&gt;&lt;hr/&gt;&lt;div&gt;&lt;h5&gt;&lt;b&gt;Casting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&lt;/b&gt;20-ft.-radius spread&lt;/h5&gt;&lt;h5&gt;&lt;b&gt;Duration &lt;/b&gt;1 round/level (D)&lt;/h5&gt;&lt;h5&gt;&lt;b&gt;Saving Throw &lt;/b&gt;none; Spell Resistance no   Will negates (harmless, object); &lt;b&gt;Spell Resistance &lt;/b&gt;yes (harmless, object)&lt;/h5&gt;&lt;/div&gt;&lt;hr/&gt;&lt;div&gt;&lt;h5&gt;&lt;b&gt;DESCRIPTION&lt;/b&gt;&lt;/h5&gt;&lt;/div&gt;&lt;hr/&gt;&lt;div&gt;&lt;h4&gt;&lt;p&gt;This spell functions as &lt;i&gt;black tentacles&lt;/i&gt;,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&lt;table border ='1'&gt;&lt;tr&gt;&lt;th&gt;d%&lt;/th&gt;&lt;th&gt;Effect&lt;/th&gt;&lt;/tr&gt;&lt;tr&gt;&lt;td&gt;1-20&lt;/td&gt;&lt;td&gt;Blinded. The tentacles suction over the victim's eyes.&lt;/td&gt;&lt;/tr&gt;&lt;tr&gt;&lt;td&gt;21-40&lt;/td&gt;&lt;td&gt;Deafened. The tentacles clap themselves around the victim's ears.&lt;/td&gt;&lt;/tr&gt;&lt;tr&gt;&lt;td&gt;41-60&lt;/td&gt;&lt;td&gt;Entangled. The tentacles weave around the victim's limbs.&lt;/td&gt;&lt;/tr&gt;&lt;tr&gt;&lt;td&gt;61-80&lt;/td&gt;&lt;td&gt;Shaken. The tentacles menace the victim from all sides. This is a fear effect.&lt;/td&gt;&lt;/tr&gt;&lt;tr&gt;&lt;td&gt;81-100&lt;/td&gt;&lt;td&gt;Sickened. The tentacles give off sickening vapors. This is a poisonUM effect.&lt;/td&gt;&lt;/tr&gt;&lt;/table&gt;  &lt;/p&gt;&lt;/h4&gt;&lt;/div&gt;</t>
  </si>
  <si>
    <t>Grease, Greater</t>
  </si>
  <si>
    <t>bard 5, magus 5, sorcerer/wizard 5, summoner 5</t>
  </si>
  <si>
    <t>one object/2 levels or 1 10-ft. square/2 levels; see text</t>
  </si>
  <si>
    <t>This spell functions like grease, except as noted here. When you use this spell to cover a solid surface with slippery grease,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t>
  </si>
  <si>
    <t>&lt;p&gt;This spell functions like &lt;i&gt;grease&lt;/i&gt;, except as noted here. When you use this spell to cover a solid surface with slippery &lt;i&gt;grease&lt;/i&gt;,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spell.&lt;/p&gt;</t>
  </si>
  <si>
    <t>&lt;link rel="stylesheet"href="PF.css"&gt;&lt;div class="heading"&gt;&lt;p class="alignleft"&gt;Grease, Greater&lt;/p&gt;&lt;div style="clear: both;"&gt;&lt;/div&gt;&lt;/div&gt;&lt;div&gt;&lt;h5&gt;&lt;b&gt;School &lt;/b&gt;conjuration (creation); &lt;b&gt;Level &lt;/b&gt;bard 5, magus 5, sorcerer/wizard 5, summoner 5&lt;/h5&gt;&lt;/div&gt;&lt;hr/&gt;&lt;div&gt;&lt;h5&gt;&lt;b&gt;CASTING&lt;/b&gt;&lt;/h5&gt;&lt;/div&gt;&lt;hr/&gt;&lt;div&gt;&lt;h5&gt;&lt;b&gt;Casting Time &lt;/b&gt;1 standard action&lt;/h5&gt;&lt;h5&gt;&lt;b&gt;Components &lt;/b&gt;V, S, M (butter)&lt;/h5&gt;&lt;/div&gt;&lt;hr/&gt;&lt;div&gt;&lt;h5&gt;&lt;b&gt;EFFECT&lt;/b&gt;&lt;/h5&gt;&lt;/div&gt;&lt;hr/&gt;&lt;div&gt;&lt;h5&gt;&lt;b&gt;Range &lt;/b&gt;medium (100 ft. + 10 ft./level)&lt;/h5&gt;&lt;h5&gt;&lt;b&gt;Targets &lt;/b&gt;one object/2 levels or 1 10-ft. square/2 levels; see text&lt;/h5&gt;&lt;h5&gt;&lt;b&gt;Duration &lt;/b&gt;1 min./level (D)&lt;/h5&gt;&lt;h5&gt;&lt;b&gt;Saving Throw &lt;/b&gt;see text; &lt;b&gt;Spell Resistance &lt;/b&gt;no&lt;/h5&gt;&lt;/div&gt;&lt;hr/&gt;&lt;div&gt;&lt;h5&gt;&lt;b&gt;DESCRIPTION&lt;/b&gt;&lt;/h5&gt;&lt;/div&gt;&lt;hr/&gt;&lt;div&gt;&lt;h4&gt;&lt;p&gt;This spell functions like &lt;i&gt;grease&lt;/i&gt;, except as noted here. When you use this spell to cover a solid surface with slippery &lt;i&gt;grease&lt;/i&gt;,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spell.&lt;/p&gt;&lt;/h4&gt;&lt;/div&gt;</t>
  </si>
  <si>
    <t>Hide Weapon</t>
  </si>
  <si>
    <t>antipaladin 1, bloodrager 1, inquisitor 1, magus 1, ranger 1, sorcerer/wizard 1</t>
  </si>
  <si>
    <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t>
  </si>
  <si>
    <t>&lt;p&gt;Upon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action.&lt;/p&gt;</t>
  </si>
  <si>
    <t>&lt;link rel="stylesheet"href="PF.css"&gt;&lt;div class="heading"&gt;&lt;p class="alignleft"&gt;Hide Weapon&lt;/p&gt;&lt;div style="clear: both;"&gt;&lt;/div&gt;&lt;/div&gt;&lt;div&gt;&lt;h5&gt;&lt;b&gt;School &lt;/b&gt;transmutation; &lt;b&gt;Level &lt;/b&gt;antipaladin 1, bloodrager 1, inquisitor 1, magus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action.&lt;/p&gt;&lt;/h4&gt;&lt;/div&gt;</t>
  </si>
  <si>
    <t>Selective Invisibility</t>
  </si>
  <si>
    <t>alchemist 3, antipaladin 3, bard 3, inquisitor 3, magus 3, sorcerer/wizard 3, summoner 3</t>
  </si>
  <si>
    <t>V, S, M/DF (three translucent pebbles)</t>
  </si>
  <si>
    <t>you and one other creature</t>
  </si>
  <si>
    <t>Upon casting this spell, you turn invisible, as per the invisibility spell, and you choose a second target. That creature can still see you as though you were not invisible, and you can attack that creature without ending the invisibility effect on you. However, if you attack any other creature, this spell ends. If you cast this spell multiple times, you can attack any of the affected creatures without ending the spell.</t>
  </si>
  <si>
    <t>&lt;p&gt;Upon casting this spell, you turn invisible, as per the &lt;i&gt;invisibility&lt;/i&gt; spell, and you choose a second target. That creature can still see you as though you were not invisible, and you can attack that creature without ending the &lt;i&gt;invisibility&lt;/i&gt; effect on you. However, if you attack any other creature, this spell ends. If you cast this spell multiple times, you can attack any of the affected creatures without ending the spell.&lt;/p&gt;</t>
  </si>
  <si>
    <t>&lt;link rel="stylesheet"href="PF.css"&gt;&lt;div class="heading"&gt;&lt;p class="alignleft"&gt;Selective Invisibility&lt;/p&gt;&lt;div style="clear: both;"&gt;&lt;/div&gt;&lt;/div&gt;&lt;div&gt;&lt;h5&gt;&lt;b&gt;School &lt;/b&gt;illusion (glamer); &lt;b&gt;Level &lt;/b&gt;alchemist 3, antipaladin 3, bard 3, inquisitor 3, magus 3, sorcerer/wizard 3, summoner 3&lt;/h5&gt;&lt;/div&gt;&lt;hr/&gt;&lt;div&gt;&lt;h5&gt;&lt;b&gt;CASTING&lt;/b&gt;&lt;/h5&gt;&lt;/div&gt;&lt;hr/&gt;&lt;div&gt;&lt;h5&gt;&lt;b&gt;Casting Time &lt;/b&gt;1 standard action&lt;/h5&gt;&lt;h5&gt;&lt;b&gt;Components &lt;/b&gt;V, S, M/DF (three translucent pebbles)&lt;/h5&gt;&lt;/div&gt;&lt;hr/&gt;&lt;div&gt;&lt;h5&gt;&lt;b&gt;EFFECT&lt;/b&gt;&lt;/h5&gt;&lt;/div&gt;&lt;hr/&gt;&lt;div&gt;&lt;h5&gt;&lt;b&gt;Range &lt;/b&gt;close (25 ft. + 5 ft./2 levels)&lt;/h5&gt;&lt;h5&gt;&lt;b&gt;Targets &lt;/b&gt;you and one other creature&lt;/h5&gt;&lt;h5&gt;&lt;b&gt;Duration &lt;/b&gt;1 round/level (D)&lt;/h5&gt;&lt;h5&gt;&lt;b&gt;Saving Throw &lt;/b&gt;none; &lt;b&gt;Spell Resistance &lt;/b&gt;yes&lt;/h5&gt;&lt;/div&gt;&lt;hr/&gt;&lt;div&gt;&lt;h5&gt;&lt;b&gt;DESCRIPTION&lt;/b&gt;&lt;/h5&gt;&lt;/div&gt;&lt;hr/&gt;&lt;div&gt;&lt;h4&gt;&lt;p&gt;Upon casting this spell, you turn invisible, as per the &lt;i&gt;invisibility&lt;/i&gt; spell, and you choose a second target. That creature can still see you as though you were not invisible, and you can attack that creature without ending the &lt;i&gt;invisibility&lt;/i&gt; effect on you. However, if you attack any other creature, this spell ends. If you cast this spell multiple times, you can attack any of the affected creatures without ending the spell.&lt;/p&gt;&lt;/h4&gt;&lt;/div&gt;</t>
  </si>
  <si>
    <t>Sense Vitals</t>
  </si>
  <si>
    <t>antipaladin 2, bard 2, ranger 2, sorcerer/wizard 2</t>
  </si>
  <si>
    <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t>
  </si>
  <si>
    <t>&lt;p&gt;This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damage.&lt;/p&gt;</t>
  </si>
  <si>
    <t>&lt;link rel="stylesheet"href="PF.css"&gt;&lt;div class="heading"&gt;&lt;p class="alignleft"&gt;Sense Vitals&lt;/p&gt;&lt;div style="clear: both;"&gt;&lt;/div&gt;&lt;/div&gt;&lt;div&gt;&lt;h5&gt;&lt;b&gt;School &lt;/b&gt;divination; &lt;b&gt;Level &lt;/b&gt;antipaladin 2, bard 2, ranger 2, sorcerer/wizard 2&lt;/h5&gt;&lt;/div&gt;&lt;hr/&gt;&lt;div&gt;&lt;h5&gt;&lt;b&gt;CASTING&lt;/b&gt;&lt;/h5&gt;&lt;/div&gt;&lt;hr/&gt;&lt;div&gt;&lt;h5&gt;&lt;b&gt;Casting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damage.&lt;/p&gt;&lt;/h4&gt;&lt;/div&gt;</t>
  </si>
  <si>
    <t>Shifting Shadows</t>
  </si>
  <si>
    <t>V, S, M (a drop of ink)</t>
  </si>
  <si>
    <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true seeing are not affected by this spell. Creatures with scent or keen scent, creatures that are blind, and creatures that operate effectively without vision (such as creatures with blindsight or blindsense) are also not affected by this spell.</t>
  </si>
  <si>
    <t>&lt;p&gt;Waves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&lt;i&gt;true seeing&lt;/i&gt; are not affected by this spell. Creatures with scent or keen scent, creatures that are blind, and creatures that operate effectively without vision (such as creatures with blindsight or blindsense) are also not affected by this spell.&lt;/p&gt;</t>
  </si>
  <si>
    <t>&lt;link rel="stylesheet"href="PF.css"&gt;&lt;div class="heading"&gt;&lt;p class="alignleft"&gt;Shifting Shadows&lt;/p&gt;&lt;div style="clear: both;"&gt;&lt;/div&gt;&lt;/div&gt;&lt;div&gt;&lt;h5&gt;&lt;b&gt;School &lt;/b&gt;evocation [darkness]; &lt;b&gt;Level &lt;/b&gt;bard 3, sorcerer/wizard 3, witch 3&lt;/h5&gt;&lt;/div&gt;&lt;hr/&gt;&lt;div&gt;&lt;h5&gt;&lt;b&gt;CASTING&lt;/b&gt;&lt;/h5&gt;&lt;/div&gt;&lt;hr/&gt;&lt;div&gt;&lt;h5&gt;&lt;b&gt;Casting Time &lt;/b&gt;1 standard action&lt;/h5&gt;&lt;h5&gt;&lt;b&gt;Components &lt;/b&gt;V, S, M (a drop of ink)&lt;/h5&gt;&lt;/div&gt;&lt;hr/&gt;&lt;div&gt;&lt;h5&gt;&lt;b&gt;EFFECT&lt;/b&gt;&lt;/h5&gt;&lt;/div&gt;&lt;hr/&gt;&lt;div&gt;&lt;h5&gt;&lt;b&gt;Range &lt;/b&gt;medium (100 ft. + 10 ft./level)&lt;/h5&gt;&lt;h5&gt;&lt;b&gt;Area &lt;/b&gt;20-ft.-radius emanation centered on a point in space&lt;/h5&gt;&lt;h5&gt;&lt;b&gt;Duration &lt;/b&gt;1 round/level (D)&lt;/h5&gt;&lt;h5&gt;&lt;b&gt;Saving Throw &lt;/b&gt;none, see text; &lt;b&gt;Spell Resistance &lt;/b&gt;no&lt;/h5&gt;&lt;/div&gt;&lt;hr/&gt;&lt;div&gt;&lt;h5&gt;&lt;b&gt;DESCRIPTION&lt;/b&gt;&lt;/h5&gt;&lt;/div&gt;&lt;hr/&gt;&lt;div&gt;&lt;h4&gt;&lt;p&gt;Waves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&lt;i&gt;true seeing&lt;/i&gt; are not affected by this spell. Creatures with scent or keen scent, creatures that are blind, and creatures that operate effectively without vision (such as creatures with blindsight or blindsense) are also not affected by this spell.&lt;/p&gt;&lt;/h4&gt;&lt;/div&gt;</t>
  </si>
  <si>
    <t>Beloved Of The Forge</t>
  </si>
  <si>
    <t>alchemist 2, bard 2, cleric/oracle 2, shaman 2</t>
  </si>
  <si>
    <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t>
  </si>
  <si>
    <t>&lt;p&gt;You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trained.&lt;/p&gt;</t>
  </si>
  <si>
    <t>Heroes Of The Streets</t>
  </si>
  <si>
    <t>&lt;link rel="stylesheet"href="PF.css"&gt;&lt;div class="heading"&gt;&lt;p class="alignleft"&gt;Beloved Of The Forge&lt;/p&gt;&lt;div style="clear: both;"&gt;&lt;/div&gt;&lt;/div&gt;&lt;div&gt;&lt;h5&gt;&lt;b&gt;School &lt;/b&gt;divination; &lt;b&gt;Level &lt;/b&gt;alchemist 2, bard 2, cleric/oracle 2, shaman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trained.&lt;/p&gt;&lt;/h4&gt;&lt;/div&gt;</t>
  </si>
  <si>
    <t>Blessing Of Liberty</t>
  </si>
  <si>
    <t>bard 2, shaman 2</t>
  </si>
  <si>
    <t>V, S, M (a feather or small object that symbolizes good fortune)</t>
  </si>
  <si>
    <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t>
  </si>
  <si>
    <t>&lt;p&gt;You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remaining.&lt;/p&gt;</t>
  </si>
  <si>
    <t>&lt;link rel="stylesheet"href="PF.css"&gt;&lt;div class="heading"&gt;&lt;p class="alignleft"&gt;Blessing Of Liberty&lt;/p&gt;&lt;div style="clear: both;"&gt;&lt;/div&gt;&lt;/div&gt;&lt;div&gt;&lt;h5&gt;&lt;b&gt;School &lt;/b&gt;abjuration; &lt;b&gt;Level &lt;/b&gt;bard 2, shaman 2&lt;/h5&gt;&lt;/div&gt;&lt;hr/&gt;&lt;div&gt;&lt;h5&gt;&lt;b&gt;CASTING&lt;/b&gt;&lt;/h5&gt;&lt;/div&gt;&lt;hr/&gt;&lt;div&gt;&lt;h5&gt;&lt;b&gt;Casting Time &lt;/b&gt;1 standard action&lt;/h5&gt;&lt;h5&gt;&lt;b&gt;Components &lt;/b&gt;V, S, M (a feather or small object that symbolizes good fortune)&lt;/h5&gt;&lt;/div&gt;&lt;hr/&gt;&lt;div&gt;&lt;h5&gt;&lt;b&gt;EFFECT&lt;/b&gt;&lt;/h5&gt;&lt;/div&gt;&lt;hr/&gt;&lt;div&gt;&lt;h5&gt;&lt;b&gt;Range &lt;/b&gt;personal&lt;/h5&gt;&lt;h5&gt;&lt;b&gt;Targets &lt;/b&gt;you&lt;/h5&gt;&lt;h5&gt;&lt;b&gt;Duration &lt;/b&gt;1 minute/level&lt;/h5&gt;&lt;/div&gt;&lt;hr/&gt;&lt;div&gt;&lt;h5&gt;&lt;b&gt;DESCRIPTION&lt;/b&gt;&lt;/h5&gt;&lt;/div&gt;&lt;hr/&gt;&lt;div&gt;&lt;h4&gt;&lt;p&gt;You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remaining.&lt;/p&gt;&lt;/h4&gt;&lt;/div&gt;</t>
  </si>
  <si>
    <t>Harmless Form</t>
  </si>
  <si>
    <t>druid 2, ranger 2, shaman 2, sorcerer/wizard 2, witch 2</t>
  </si>
  <si>
    <t>one willing animal companion, familiar, or spirit animal</t>
  </si>
  <si>
    <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beast shape II.</t>
  </si>
  <si>
    <t>&lt;p&gt;You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&lt;i&gt;beast shape II&lt;/i&gt;.&lt;/p&gt;</t>
  </si>
  <si>
    <t>&lt;link rel="stylesheet"href="PF.css"&gt;&lt;div class="heading"&gt;&lt;p class="alignleft"&gt;Harmless Form&lt;/p&gt;&lt;div style="clear: both;"&gt;&lt;/div&gt;&lt;/div&gt;&lt;div&gt;&lt;h5&gt;&lt;b&gt;School &lt;/b&gt;transmutation (polymorph); &lt;b&gt;Level &lt;/b&gt;druid 2, ranger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animal companion, familiar, or spirit animal&lt;/h5&gt;&lt;h5&gt;&lt;b&gt;Duration &lt;/b&gt;8 hours (D)&lt;/h5&gt;&lt;h5&gt;&lt;b&gt;Saving Throw &lt;/b&gt;Fort negates (harmless); &lt;b&gt;Spell Resistance &lt;/b&gt;yes (harmless)&lt;/h5&gt;&lt;/div&gt;&lt;hr/&gt;&lt;div&gt;&lt;h5&gt;&lt;b&gt;DESCRIPTION&lt;/b&gt;&lt;/h5&gt;&lt;/div&gt;&lt;hr/&gt;&lt;div&gt;&lt;h4&gt;&lt;p&gt;You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&lt;i&gt;beast shape II&lt;/i&gt;.&lt;/p&gt;&lt;/h4&gt;&lt;/div&gt;</t>
  </si>
  <si>
    <t>Harvest Season</t>
  </si>
  <si>
    <t>one plant</t>
  </si>
  <si>
    <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t>
  </si>
  <si>
    <t>&lt;p&gt;You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creatures.&lt;/p&gt;</t>
  </si>
  <si>
    <t>&lt;link rel="stylesheet"href="PF.css"&gt;&lt;div class="heading"&gt;&lt;p class="alignleft"&gt;Harvest Season&lt;/p&gt;&lt;div style="clear: both;"&gt;&lt;/div&gt;&lt;/div&gt;&lt;div&gt;&lt;h5&gt;&lt;b&gt;School &lt;/b&gt;abjuration; &lt;b&gt;Level &lt;/b&gt;druid 2, shaman 2&lt;/h5&gt;&lt;/div&gt;&lt;hr/&gt;&lt;div&gt;&lt;h5&gt;&lt;b&gt;CASTING&lt;/b&gt;&lt;/h5&gt;&lt;/div&gt;&lt;hr/&gt;&lt;div&gt;&lt;h5&gt;&lt;b&gt;Casting Time &lt;/b&gt;1 minute&lt;/h5&gt;&lt;h5&gt;&lt;b&gt;Components &lt;/b&gt;V, S, M&lt;/h5&gt;&lt;/div&gt;&lt;hr/&gt;&lt;div&gt;&lt;h5&gt;&lt;b&gt;EFFECT&lt;/b&gt;&lt;/h5&gt;&lt;/div&gt;&lt;hr/&gt;&lt;div&gt;&lt;h5&gt;&lt;b&gt;Range &lt;/b&gt;close (25 ft. + 5 ft./2 levels)&lt;/h5&gt;&lt;h5&gt;&lt;b&gt;Targets &lt;/b&gt;one plant&lt;/h5&gt;&lt;h5&gt;&lt;b&gt;Duration &lt;/b&gt;instantaneous; see text&lt;/h5&gt;&lt;h5&gt;&lt;b&gt;Saving Throw &lt;/b&gt;none; &lt;b&gt;Spell Resistance &lt;/b&gt;no&lt;/h5&gt;&lt;/div&gt;&lt;hr/&gt;&lt;div&gt;&lt;h5&gt;&lt;b&gt;DESCRIPTION&lt;/b&gt;&lt;/h5&gt;&lt;/div&gt;&lt;hr/&gt;&lt;div&gt;&lt;h4&gt;&lt;p&gt;You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creatures.&lt;/p&gt;&lt;/h4&gt;&lt;/div&gt;</t>
  </si>
  <si>
    <t>Wall Of Clockwork</t>
  </si>
  <si>
    <t>wall of bronze clockworks whose area is up to one 5-ft.-square/level (S)</t>
  </si>
  <si>
    <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wall of clockwork provides cover (+4 bonus to AC, +2 bonus on Reflex saves) against attacks made through it.  A wall of clockwork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t>
  </si>
  <si>
    <t>&lt;p&gt;An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&lt;i&gt;wall of clockwork&lt;/i&gt; provides cover (+4 bonus to AC, +2 bonus on Reflex saves) against attacks made through it.  A &lt;i&gt;wall of clockwork&lt;/i&gt;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sold.&lt;/p&gt;</t>
  </si>
  <si>
    <t>&lt;link rel="stylesheet"href="PF.css"&gt;&lt;div class="heading"&gt;&lt;p class="alignleft"&gt;Wall Of Clockwork&lt;/p&gt;&lt;div style="clear: both;"&gt;&lt;/div&gt;&lt;/div&gt;&lt;div&gt;&lt;h5&gt;&lt;b&gt;School &lt;/b&gt;conjuration (creation); &lt;b&gt;Level &lt;/b&gt;cleric/oracle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bronze clockworks whose area is up to one 5-ft.-square/level (S)&lt;/h5&gt;&lt;h5&gt;&lt;b&gt;Duration &lt;/b&gt;1 minute/level&lt;/h5&gt;&lt;h5&gt;&lt;b&gt;Saving Throw &lt;/b&gt;Reflex half or Reflex negates; see text; &lt;b&gt;Spell Resistance &lt;/b&gt;yes&lt;/h5&gt;&lt;/div&gt;&lt;hr/&gt;&lt;div&gt;&lt;h5&gt;&lt;b&gt;DESCRIPTION&lt;/b&gt;&lt;/h5&gt;&lt;/div&gt;&lt;hr/&gt;&lt;div&gt;&lt;h4&gt;&lt;p&gt;An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&lt;i&gt;wall of clockwork&lt;/i&gt; provides cover (+4 bonus to AC, +2 bonus on Reflex saves) against attacks made through it.  A &lt;i&gt;wall of clockwork&lt;/i&gt;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sold.&lt;/p&gt;&lt;/h4&gt;&lt;/div&gt;</t>
  </si>
  <si>
    <t>Cloak Of Secrets</t>
  </si>
  <si>
    <t>antipaladin 1, bard 1, cleric/oracle 1, inquisitor 1, sorcerer/wizard 1, witch 1</t>
  </si>
  <si>
    <t>5-ft.-radius emanation centered on a point in space</t>
  </si>
  <si>
    <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t>
  </si>
  <si>
    <t>&lt;p&gt;This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area.&lt;/p&gt;</t>
  </si>
  <si>
    <t>&lt;link rel="stylesheet"href="PF.css"&gt;&lt;div class="heading"&gt;&lt;p class="alignleft"&gt;Cloak Of Secrets&lt;/p&gt;&lt;div style="clear: both;"&gt;&lt;/div&gt;&lt;/div&gt;&lt;div&gt;&lt;h5&gt;&lt;b&gt;School &lt;/b&gt;illusion (glamer); &lt;b&gt;Level &lt;/b&gt;antipaladin 1, bard 1, cleric/oracle 1, inquisitor 1, sorcerer/wizard 1, witch 1&lt;/h5&gt;&lt;/div&gt;&lt;hr/&gt;&lt;div&gt;&lt;h5&gt;&lt;b&gt;CASTING&lt;/b&gt;&lt;/h5&gt;&lt;/div&gt;&lt;hr/&gt;&lt;div&gt;&lt;h5&gt;&lt;b&gt;Casting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levels)&lt;/h5&gt;&lt;h5&gt;&lt;b&gt;Area &lt;/b&gt;5-ft.-radius emanation centered on a point in space&lt;/h5&gt;&lt;h5&gt;&lt;b&gt;Duration &lt;/b&gt;10 minutes/level (D)&lt;/h5&gt;&lt;h5&gt;&lt;b&gt;Saving Throw &lt;/b&gt;none; &lt;b&gt;Spell Resistance &lt;/b&gt;no&lt;/h5&gt;&lt;/div&gt;&lt;hr/&gt;&lt;div&gt;&lt;h5&gt;&lt;b&gt;DESCRIPTION&lt;/b&gt;&lt;/h5&gt;&lt;/div&gt;&lt;hr/&gt;&lt;div&gt;&lt;h4&gt;&lt;p&gt;This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area.&lt;/p&gt;&lt;/h4&gt;&lt;/div&gt;</t>
  </si>
  <si>
    <t>Coin Shot</t>
  </si>
  <si>
    <t>alchemist 1, antipaladin 1, bard 1, bloodrager 1, magus 1, sorcerer/wizard 1</t>
  </si>
  <si>
    <t>up to three coins touched</t>
  </si>
  <si>
    <t>10 minutes or until discharged</t>
  </si>
  <si>
    <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t>
  </si>
  <si>
    <t>&lt;p&gt;You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level).&lt;/p&gt;</t>
  </si>
  <si>
    <t>&lt;link rel="stylesheet"href="PF.css"&gt;&lt;div class="heading"&gt;&lt;p class="alignleft"&gt;Coin Shot&lt;/p&gt;&lt;div style="clear: both;"&gt;&lt;/div&gt;&lt;/div&gt;&lt;div&gt;&lt;h5&gt;&lt;b&gt;School &lt;/b&gt;transmutation; &lt;b&gt;Level &lt;/b&gt;alchemist 1, antipaladin 1, bard 1, bloodrager 1, magus 1, sorcerer/wizard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&lt;/b&gt;up to three coins touched&lt;/h5&gt;&lt;h5&gt;&lt;b&gt;Duration &lt;/b&gt;10 minutes or until discharged&lt;/h5&gt;&lt;h5&gt;&lt;b&gt;Saving Throw &lt;/b&gt;none; &lt;b&gt;Spell Resistance &lt;/b&gt;yes (harmless, object)&lt;/h5&gt;&lt;/div&gt;&lt;hr/&gt;&lt;div&gt;&lt;h5&gt;&lt;b&gt;DESCRIPTION&lt;/b&gt;&lt;/h5&gt;&lt;/div&gt;&lt;hr/&gt;&lt;div&gt;&lt;h4&gt;&lt;p&gt;You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level).&lt;/p&gt;&lt;/h4&gt;&lt;/div&gt;</t>
  </si>
  <si>
    <t>Ears Of The City</t>
  </si>
  <si>
    <t>bard 1, cleric/oracle 1, inquisitor 1, shaman 1, sorcerer/wizard 1, witch 1</t>
  </si>
  <si>
    <t>V, S, M/DF (a small piece of a brick)</t>
  </si>
  <si>
    <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t>
  </si>
  <si>
    <t>&lt;p&gt;The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deaf.&lt;/p&gt;</t>
  </si>
  <si>
    <t>&lt;link rel="stylesheet"href="PF.css"&gt;&lt;div class="heading"&gt;&lt;p class="alignleft"&gt;Ears Of The City&lt;/p&gt;&lt;div style="clear: both;"&gt;&lt;/div&gt;&lt;/div&gt;&lt;div&gt;&lt;h5&gt;&lt;b&gt;School &lt;/b&gt;divination; &lt;b&gt;Level &lt;/b&gt;bard 1, cleric/oracle 1, inquisitor 1, shaman 1, sorcerer/wizard 1, witch 1&lt;/h5&gt;&lt;/div&gt;&lt;hr/&gt;&lt;div&gt;&lt;h5&gt;&lt;b&gt;CASTING&lt;/b&gt;&lt;/h5&gt;&lt;/div&gt;&lt;hr/&gt;&lt;div&gt;&lt;h5&gt;&lt;b&gt;Casting Time &lt;/b&gt;1 standard action&lt;/h5&gt;&lt;h5&gt;&lt;b&gt;Components &lt;/b&gt;V, S, M/DF (a small piece of a brick)&lt;/h5&gt;&lt;/div&gt;&lt;hr/&gt;&lt;div&gt;&lt;h5&gt;&lt;b&gt;EFFECT&lt;/b&gt;&lt;/h5&gt;&lt;/div&gt;&lt;hr/&gt;&lt;div&gt;&lt;h5&gt;&lt;b&gt;Range &lt;/b&gt;touch&lt;/h5&gt;&lt;h5&gt;&lt;b&gt;Targets &lt;/b&gt;one creature&lt;/h5&gt;&lt;h5&gt;&lt;b&gt;Duration &lt;/b&gt;1 round/level&lt;/h5&gt;&lt;h5&gt;&lt;b&gt;Saving Throw &lt;/b&gt;Will negates (harmless); &lt;b&gt;Spell Resistance &lt;/b&gt;yes (harmless)&lt;/h5&gt;&lt;/div&gt;&lt;hr/&gt;&lt;div&gt;&lt;h5&gt;&lt;b&gt;DESCRIPTION&lt;/b&gt;&lt;/h5&gt;&lt;/div&gt;&lt;hr/&gt;&lt;div&gt;&lt;h4&gt;&lt;p&gt;The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deaf.&lt;/p&gt;&lt;/h4&gt;&lt;/div&gt;</t>
  </si>
  <si>
    <t>Illusory Crowd</t>
  </si>
  <si>
    <t>bard 1, shaman 1, witch 1</t>
  </si>
  <si>
    <t>V, S, M (a shirt button)</t>
  </si>
  <si>
    <t>one 10-ft. cube of illusory people</t>
  </si>
  <si>
    <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(Pathfinder RPG Core Rulebook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t>
  </si>
  <si>
    <t>&lt;p&gt;This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(&lt;i&gt;Pathfinder RPG Core Rulebook&lt;/i&gt;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save.&lt;/p&gt;</t>
  </si>
  <si>
    <t>&lt;link rel="stylesheet"href="PF.css"&gt;&lt;div class="heading"&gt;&lt;p class="alignleft"&gt;Illusory Crowd&lt;/p&gt;&lt;div style="clear: both;"&gt;&lt;/div&gt;&lt;/div&gt;&lt;div&gt;&lt;h5&gt;&lt;b&gt;School &lt;/b&gt;illusion (figment); &lt;b&gt;Level &lt;/b&gt;bard 1, shaman 1, witch 1&lt;/h5&gt;&lt;/div&gt;&lt;hr/&gt;&lt;div&gt;&lt;h5&gt;&lt;b&gt;CASTING&lt;/b&gt;&lt;/h5&gt;&lt;/div&gt;&lt;hr/&gt;&lt;div&gt;&lt;h5&gt;&lt;b&gt;Casting Time &lt;/b&gt;1 standard action&lt;/h5&gt;&lt;h5&gt;&lt;b&gt;Components &lt;/b&gt;V, S, M (a shirt button)&lt;/h5&gt;&lt;/div&gt;&lt;hr/&gt;&lt;div&gt;&lt;h5&gt;&lt;b&gt;EFFECT&lt;/b&gt;&lt;/h5&gt;&lt;/div&gt;&lt;hr/&gt;&lt;div&gt;&lt;h5&gt;&lt;b&gt;Range &lt;/b&gt;medium (100 ft. + 10 ft./level)&lt;/h5&gt;&lt;h5&gt;&lt;b&gt;Effect &lt;/b&gt;one 10-ft. cube of illusory people&lt;/h5&gt;&lt;h5&gt;&lt;b&gt;Duration &lt;/b&gt;1 minute/level (D)&lt;/h5&gt;&lt;h5&gt;&lt;b&gt;Saving Throw &lt;/b&gt;Will disbelief (if interacted with); &lt;b&gt;Spell Resistance &lt;/b&gt;no&lt;/h5&gt;&lt;/div&gt;&lt;hr/&gt;&lt;div&gt;&lt;h5&gt;&lt;b&gt;DESCRIPTION&lt;/b&gt;&lt;/h5&gt;&lt;/div&gt;&lt;hr/&gt;&lt;div&gt;&lt;h4&gt;&lt;p&gt;This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(&lt;i&gt;Pathfinder RPG Core Rulebook&lt;/i&gt;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save.&lt;/p&gt;&lt;/h4&gt;&lt;/div&gt;</t>
  </si>
  <si>
    <t>Locksight</t>
  </si>
  <si>
    <t>alchemist 1, antipaladin 1, bard 1, inquisitor 1, sorcerer/wizard 1</t>
  </si>
  <si>
    <t>V, S, M/DF (a small key)</t>
  </si>
  <si>
    <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t>
  </si>
  <si>
    <t>&lt;p&gt;The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doors.&lt;/p&gt;</t>
  </si>
  <si>
    <t>&lt;link rel="stylesheet"href="PF.css"&gt;&lt;div class="heading"&gt;&lt;p class="alignleft"&gt;Locksight&lt;/p&gt;&lt;div style="clear: both;"&gt;&lt;/div&gt;&lt;/div&gt;&lt;div&gt;&lt;h5&gt;&lt;b&gt;School &lt;/b&gt;divination; &lt;b&gt;Level &lt;/b&gt;alchemist 1, antipaladin 1, bard 1, inquisitor 1, sorcerer/wizard 1&lt;/h5&gt;&lt;/div&gt;&lt;hr/&gt;&lt;div&gt;&lt;h5&gt;&lt;b&gt;CASTING&lt;/b&gt;&lt;/h5&gt;&lt;/div&gt;&lt;hr/&gt;&lt;div&gt;&lt;h5&gt;&lt;b&gt;Casting Time &lt;/b&gt;1 standard action&lt;/h5&gt;&lt;h5&gt;&lt;b&gt;Components &lt;/b&gt;V, S, M/DF (a small key)&lt;/h5&gt;&lt;/div&gt;&lt;hr/&gt;&lt;div&gt;&lt;h5&gt;&lt;b&gt;EFFECT&lt;/b&gt;&lt;/h5&gt;&lt;/div&gt;&lt;hr/&gt;&lt;div&gt;&lt;h5&gt;&lt;b&gt;Range &lt;/b&gt;touch&lt;/h5&gt;&lt;h5&gt;&lt;b&gt;Targets &lt;/b&gt;one creature&lt;/h5&gt;&lt;h5&gt;&lt;b&gt;Duration &lt;/b&gt;1 hour/level&lt;/h5&gt;&lt;h5&gt;&lt;b&gt;Saving Throw &lt;/b&gt;Will negates (harmless); &lt;b&gt;Spell Resistance &lt;/b&gt;yes (harmless)&lt;/h5&gt;&lt;/div&gt;&lt;hr/&gt;&lt;div&gt;&lt;h5&gt;&lt;b&gt;DESCRIPTION&lt;/b&gt;&lt;/h5&gt;&lt;/div&gt;&lt;hr/&gt;&lt;div&gt;&lt;h4&gt;&lt;p&gt;The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doors.&lt;/p&gt;&lt;/h4&gt;&lt;/div&gt;</t>
  </si>
  <si>
    <t>Peace Bond</t>
  </si>
  <si>
    <t>bard 1, cleric/oracle 1, druid 1, inquisitor 1, paladin 1, shaman 1, sorcerer/wizard 1, witch 1</t>
  </si>
  <si>
    <t>V, S, M/DF (a glass cube)</t>
  </si>
  <si>
    <t>one or more 5-ft. cubes, no two of which can be more than 30 ft. apart</t>
  </si>
  <si>
    <t>This spell creates one glowing rune of peace,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peace bond take no damage from a fireball you cast. However, if you cast stinking cloud, the noxious vapors are an effect and enter such cubes normally. This spell does not break line of effect within any other spells you cast; it simply negates all effects of your 1st-, 2nd- and 3rd-level area spells within the peace bond's area. Peace bond offers no protection against your spell-like abilities or supernatural area effects.</t>
  </si>
  <si>
    <t>&lt;p&gt;This spell creates one glowing rune of &lt;i&gt;peace&lt;/i&gt;,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&lt;i&gt;&lt;i&gt;peace&lt;/i&gt; bond&lt;/i&gt; take no damage from a &lt;i&gt;fireball&lt;/i&gt; you cast. However, if you cast &lt;i&gt;stinking cloud&lt;/i&gt;, the noxious vapors are an effect and enter such cubes normally. This spell does not break line of effect within any other spells you cast; it simply negates all effects of your 1st-, 2nd- and 3rd-level area spells within the &lt;i&gt;&lt;i&gt;peace&lt;/i&gt; bond&lt;/i&gt;'s area. &lt;i&gt;Peace bond&lt;/i&gt; offers no protection against your spell-like abilities or supernatural area effects.&lt;/p&gt;</t>
  </si>
  <si>
    <t>&lt;link rel="stylesheet"href="PF.css"&gt;&lt;div class="heading"&gt;&lt;p class="alignleft"&gt;Peace Bond&lt;/p&gt;&lt;div style="clear: both;"&gt;&lt;/div&gt;&lt;/div&gt;&lt;div&gt;&lt;h5&gt;&lt;b&gt;School &lt;/b&gt;abjuration; &lt;b&gt;Level &lt;/b&gt;bard 1, cleric/oracle 1, druid 1, inquisitor 1, paladin 1, shaman 1, sorcerer/wizard 1, witch 1&lt;/h5&gt;&lt;/div&gt;&lt;hr/&gt;&lt;div&gt;&lt;h5&gt;&lt;b&gt;CASTING&lt;/b&gt;&lt;/h5&gt;&lt;/div&gt;&lt;hr/&gt;&lt;div&gt;&lt;h5&gt;&lt;b&gt;Casting Time &lt;/b&gt;1 standard action&lt;/h5&gt;&lt;h5&gt;&lt;b&gt;Components &lt;/b&gt;V, S, M/DF (a glass cube)&lt;/h5&gt;&lt;/div&gt;&lt;hr/&gt;&lt;div&gt;&lt;h5&gt;&lt;b&gt;EFFECT&lt;/b&gt;&lt;/h5&gt;&lt;/div&gt;&lt;hr/&gt;&lt;div&gt;&lt;h5&gt;&lt;b&gt;Range &lt;/b&gt;close (25 ft. + 5 ft./2 levels)&lt;/h5&gt;&lt;h5&gt;&lt;b&gt;Area &lt;/b&gt;one or more 5-ft. cubes, no two of which can be more than 30 ft. apart&lt;/h5&gt;&lt;h5&gt;&lt;b&gt;Duration &lt;/b&gt;1 minute/level&lt;/h5&gt;&lt;h5&gt;&lt;b&gt;Saving Throw &lt;/b&gt;none; &lt;b&gt;Spell Resistance &lt;/b&gt;no&lt;/h5&gt;&lt;/div&gt;&lt;hr/&gt;&lt;div&gt;&lt;h5&gt;&lt;b&gt;DESCRIPTION&lt;/b&gt;&lt;/h5&gt;&lt;/div&gt;&lt;hr/&gt;&lt;div&gt;&lt;h4&gt;&lt;p&gt;This spell creates one glowing rune of &lt;i&gt;peace&lt;/i&gt;,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&lt;i&gt;&lt;i&gt;peace&lt;/i&gt; bond&lt;/i&gt; take no damage from a &lt;i&gt;fireball&lt;/i&gt; you cast. However, if you cast &lt;i&gt;stinking cloud&lt;/i&gt;, the noxious vapors are an effect and enter such cubes normally. This spell does not break line of effect within any other spells you cast; it simply negates all effects of your 1st-, 2nd- and 3rd-level area spells within the &lt;i&gt;&lt;i&gt;peace&lt;/i&gt; bond&lt;/i&gt;'s area. &lt;i&gt;Peace bond&lt;/i&gt; offers no protection against your spell-like abilities or supernatural area effects.&lt;/p&gt;&lt;/h4&gt;&lt;/div&gt;</t>
  </si>
  <si>
    <t>Speak Local Language</t>
  </si>
  <si>
    <t>bard 1, cleric/oracle 1, inquisitor 1, ranger 1, sorcerer/wizard 1, witch 1</t>
  </si>
  <si>
    <t>V, M/DF (a worn-out coin)</t>
  </si>
  <si>
    <t>This spell functions as tongues,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t>
  </si>
  <si>
    <t>&lt;p&gt;This spell functions as &lt;i&gt;tongues&lt;/i&gt;,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appearance.&lt;/p&gt;</t>
  </si>
  <si>
    <t>&lt;link rel="stylesheet"href="PF.css"&gt;&lt;div class="heading"&gt;&lt;p class="alignleft"&gt;Speak Local Language&lt;/p&gt;&lt;div style="clear: both;"&gt;&lt;/div&gt;&lt;/div&gt;&lt;div&gt;&lt;h5&gt;&lt;b&gt;School &lt;/b&gt;divination; &lt;b&gt;Level &lt;/b&gt;bard 1, cleric/oracle 1, inquisitor 1, ranger 1, sorcerer/wizard 1, witch 1&lt;/h5&gt;&lt;/div&gt;&lt;hr/&gt;&lt;div&gt;&lt;h5&gt;&lt;b&gt;CASTING&lt;/b&gt;&lt;/h5&gt;&lt;/div&gt;&lt;hr/&gt;&lt;div&gt;&lt;h5&gt;&lt;b&gt;Casting Time &lt;/b&gt;1 standard action&lt;/h5&gt;&lt;h5&gt;&lt;b&gt;Components &lt;/b&gt;V, M/DF (a worn-out coin)&lt;/h5&gt;&lt;/div&gt;&lt;hr/&gt;&lt;div&gt;&lt;h5&gt;&lt;b&gt;EFFECT&lt;/b&gt;&lt;/h5&gt;&lt;/div&gt;&lt;hr/&gt;&lt;div&gt;&lt;h5&gt;&lt;b&gt;Range &lt;/b&gt;touch&lt;/h5&gt;&lt;h5&gt;&lt;b&gt;Targets &lt;/b&gt;creature touched&lt;/h5&gt;&lt;h5&gt;&lt;b&gt;Duration &lt;/b&gt;10 min./level&lt;/h5&gt;&lt;h5&gt;&lt;b&gt;Saving Throw &lt;/b&gt;Will negates (harmless); &lt;b&gt;Spell Resistance &lt;/b&gt;no&lt;/h5&gt;&lt;/div&gt;&lt;hr/&gt;&lt;div&gt;&lt;h5&gt;&lt;b&gt;DESCRIPTION&lt;/b&gt;&lt;/h5&gt;&lt;/div&gt;&lt;hr/&gt;&lt;div&gt;&lt;h4&gt;&lt;p&gt;This spell functions as &lt;i&gt;tongues&lt;/i&gt;,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appearance.&lt;/p&gt;&lt;/h4&gt;&lt;/div&gt;</t>
  </si>
  <si>
    <t>Aversion</t>
  </si>
  <si>
    <t>bard 2, druid 3, mesmerist 2, occultist 2, psychic 2, sorcerer/wizard 3, witch 3</t>
  </si>
  <si>
    <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t>
  </si>
  <si>
    <t>&lt;p&gt;You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it.&lt;/p&gt;</t>
  </si>
  <si>
    <t>&lt;link rel="stylesheet"href="PF.css"&gt;&lt;div class="heading"&gt;&lt;p class="alignleft"&gt;Aversion&lt;/p&gt;&lt;div style="clear: both;"&gt;&lt;/div&gt;&lt;/div&gt;&lt;div&gt;&lt;h5&gt;&lt;b&gt;School &lt;/b&gt;enchantment (compulsion) [mind-affecting]; &lt;b&gt;Level &lt;/b&gt;bard 2, druid 3, mesmerist 2, occultist 2, psychic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partial; &lt;b&gt;Spell Resistance &lt;/b&gt;yes&lt;/h5&gt;&lt;/div&gt;&lt;hr/&gt;&lt;div&gt;&lt;h5&gt;&lt;b&gt;DESCRIPTION&lt;/b&gt;&lt;/h5&gt;&lt;/div&gt;&lt;hr/&gt;&lt;div&gt;&lt;h4&gt;&lt;p&gt;You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it.&lt;/p&gt;&lt;/h4&gt;&lt;/div&gt;</t>
  </si>
  <si>
    <t>Cause the target to avoid an object or location.</t>
  </si>
  <si>
    <t>Awaken Construct</t>
  </si>
  <si>
    <t>cleric/oracle 7, occultist 5, psychic 6, shaman 6, sorcerer/wizard 7</t>
  </si>
  <si>
    <t>V, S, M (herbs and oils worth 2,000 gp per HD of target), DF</t>
  </si>
  <si>
    <t>mindless construct touched</t>
  </si>
  <si>
    <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t>
  </si>
  <si>
    <t>&lt;p&gt;You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score.&lt;/p&gt;</t>
  </si>
  <si>
    <t>&lt;link rel="stylesheet"href="PF.css"&gt;&lt;div class="heading"&gt;&lt;p class="alignleft"&gt;Awaken Construct&lt;/p&gt;&lt;div style="clear: both;"&gt;&lt;/div&gt;&lt;/div&gt;&lt;div&gt;&lt;h5&gt;&lt;b&gt;School &lt;/b&gt;transmutation; &lt;b&gt;Level &lt;/b&gt;cleric/oracle 7, occultist 5, psychic 6, shaman 6, sorcerer/wizard 7&lt;/h5&gt;&lt;/div&gt;&lt;hr/&gt;&lt;div&gt;&lt;h5&gt;&lt;b&gt;CASTING&lt;/b&gt;&lt;/h5&gt;&lt;/div&gt;&lt;hr/&gt;&lt;div&gt;&lt;h5&gt;&lt;b&gt;Casting Time &lt;/b&gt;24 hours&lt;/h5&gt;&lt;h5&gt;&lt;b&gt;Components &lt;/b&gt;V, S, M (herbs and oils worth 2,000 gp per HD of target), DF&lt;/h5&gt;&lt;/div&gt;&lt;hr/&gt;&lt;div&gt;&lt;h5&gt;&lt;b&gt;EFFECT&lt;/b&gt;&lt;/h5&gt;&lt;/div&gt;&lt;hr/&gt;&lt;div&gt;&lt;h5&gt;&lt;b&gt;Range &lt;/b&gt;touch&lt;/h5&gt;&lt;h5&gt;&lt;b&gt;Targets &lt;/b&gt;mindless construct touched&lt;/h5&gt;&lt;h5&gt;&lt;b&gt;Duration &lt;/b&gt;instantaneous&lt;/h5&gt;&lt;h5&gt;&lt;b&gt;Saving Throw &lt;/b&gt;Will negates; &lt;b&gt;Spell Resistance &lt;/b&gt;no&lt;/h5&gt;&lt;/div&gt;&lt;hr/&gt;&lt;div&gt;&lt;h5&gt;&lt;b&gt;DESCRIPTION&lt;/b&gt;&lt;/h5&gt;&lt;/div&gt;&lt;hr/&gt;&lt;div&gt;&lt;h4&gt;&lt;p&gt;You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score.&lt;/p&gt;&lt;/h4&gt;&lt;/div&gt;</t>
  </si>
  <si>
    <t>Grant a construct humanlike sentience.</t>
  </si>
  <si>
    <t>Babble</t>
  </si>
  <si>
    <t>bard 2, mesmerist 2, psychic 3, sorcerer/wizard 3, witch 3</t>
  </si>
  <si>
    <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babble again.  Creatures with an Intelligence score of 2 or lower aren't affected by this spell.</t>
  </si>
  <si>
    <t>&lt;p&gt;This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&lt;i&gt;babble&lt;/i&gt; again.  Creatures with an Intelligence score of 2 or lower aren't affected by this spell.&lt;/p&gt;</t>
  </si>
  <si>
    <t>&lt;link rel="stylesheet"href="PF.css"&gt;&lt;div class="heading"&gt;&lt;p class="alignleft"&gt;Babble&lt;/p&gt;&lt;div style="clear: both;"&gt;&lt;/div&gt;&lt;/div&gt;&lt;div&gt;&lt;h5&gt;&lt;b&gt;School &lt;/b&gt;enchantment (compulsion) [mind-affecting]; &lt;b&gt;Level &lt;/b&gt;bard 2, mesmerist 2,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see text&lt;/h5&gt;&lt;h5&gt;&lt;b&gt;Duration &lt;/b&gt;1 round/level&lt;/h5&gt;&lt;h5&gt;&lt;b&gt;Saving Throw &lt;/b&gt;Will negates; &lt;b&gt;Spell Resistance &lt;/b&gt;yes&lt;/h5&gt;&lt;/div&gt;&lt;hr/&gt;&lt;div&gt;&lt;h5&gt;&lt;b&gt;DESCRIPTION&lt;/b&gt;&lt;/h5&gt;&lt;/div&gt;&lt;hr/&gt;&lt;div&gt;&lt;h4&gt;&lt;p&gt;This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&lt;i&gt;babble&lt;/i&gt; again.  Creatures with an Intelligence score of 2 or lower aren't affected by this spell.&lt;/p&gt;&lt;/h4&gt;&lt;/div&gt;</t>
  </si>
  <si>
    <t>Target becomes nauseated and causes nearby creatures to become fascinated.</t>
  </si>
  <si>
    <t>Bilocation</t>
  </si>
  <si>
    <t>psychic 8, sorcerer/wizard 9</t>
  </si>
  <si>
    <t>one duplicate</t>
  </si>
  <si>
    <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fireball, you would attempt the saving throw only once and take the damage only once. If one body is targeted by hold person,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hold person spell mentioned above would lose 2 rounds' worth of duration per round until your duplicate disappeared. If you were under an eagle's splendor e ffect t hat h ad 1 minute remaining when you cast bilocation,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t>
  </si>
  <si>
    <t>&lt;p&gt;The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&lt;i&gt;fireball&lt;/i&gt;, you would attempt the saving throw only once and take the damage only once. If one body is targeted by &lt;i&gt;hold person&lt;/i&gt;,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&lt;i&gt;hold person&lt;/i&gt; spell mentioned above would lose 2 rounds' worth of duration per round until your duplicate disappeared. If you were under an eagle's splendor e ffect t hat h ad 1 minute remaining when you cast &lt;i&gt;bilocation&lt;/i&gt;,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consciousness.&lt;/p&gt;</t>
  </si>
  <si>
    <t>&lt;link rel="stylesheet"href="PF.css"&gt;&lt;div class="heading"&gt;&lt;p class="alignleft"&gt;Bilocation&lt;/p&gt;&lt;div style="clear: both;"&gt;&lt;/div&gt;&lt;/div&gt;&lt;div&gt;&lt;h5&gt;&lt;b&gt;School &lt;/b&gt;conjuration (creation); &lt;b&gt;Level &lt;/b&gt;psychic 8, sorcerer/wizard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duplicate&lt;/h5&gt;&lt;h5&gt;&lt;b&gt;Duration &lt;/b&gt;1 round/level (D)&lt;/h5&gt;&lt;h5&gt;&lt;b&gt;Saving Throw &lt;/b&gt;none; &lt;b&gt;Spell Resistance &lt;/b&gt;no&lt;/h5&gt;&lt;/div&gt;&lt;hr/&gt;&lt;div&gt;&lt;h5&gt;&lt;b&gt;DESCRIPTION&lt;/b&gt;&lt;/h5&gt;&lt;/div&gt;&lt;hr/&gt;&lt;div&gt;&lt;h4&gt;&lt;p&gt;The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&lt;i&gt;fireball&lt;/i&gt;, you would attempt the saving throw only once and take the damage only once. If one body is targeted by &lt;i&gt;hold person&lt;/i&gt;,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&lt;i&gt;hold person&lt;/i&gt; spell mentioned above would lose 2 rounds' worth of duration per round until your duplicate disappeared. If you were under an eagle's splendor e ffect t hat h ad 1 minute remaining when you cast &lt;i&gt;bilocation&lt;/i&gt;,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consciousness.&lt;/p&gt;&lt;/h4&gt;&lt;/div&gt;</t>
  </si>
  <si>
    <t>Exist in two places at once.</t>
  </si>
  <si>
    <t>Psychic (17)</t>
  </si>
  <si>
    <t>Burst Of Adrenaline</t>
  </si>
  <si>
    <t>mesmerist 1, psychic 1, spiritualist 1</t>
  </si>
  <si>
    <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t>
  </si>
  <si>
    <t>&lt;p&gt;You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afterward.&lt;/p&gt;</t>
  </si>
  <si>
    <t>&lt;link rel="stylesheet"href="PF.css"&gt;&lt;div class="heading"&gt;&lt;p class="alignleft"&gt;Burst Of Adrenaline&lt;/p&gt;&lt;div style="clear: both;"&gt;&lt;/div&gt;&lt;/div&gt;&lt;div&gt;&lt;h5&gt;&lt;b&gt;School &lt;/b&gt;transmutation; &lt;b&gt;Level &lt;/b&gt;mesmerist 1, psychic 1, spiritualist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afterward.&lt;/p&gt;&lt;/h4&gt;&lt;/div&gt;</t>
  </si>
  <si>
    <t>Gain a +8 bonus to Str, Dex, or Con for one roll, then be fatigued for 1 round.</t>
  </si>
  <si>
    <t>Burst Of Insight</t>
  </si>
  <si>
    <t>medium 1, mesmerist 1, psychic 1, spiritualist 1</t>
  </si>
  <si>
    <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t>
  </si>
  <si>
    <t>&lt;p&gt;You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afterward.&lt;/p&gt;</t>
  </si>
  <si>
    <t>&lt;link rel="stylesheet"href="PF.css"&gt;&lt;div class="heading"&gt;&lt;p class="alignleft"&gt;Burst Of Insight&lt;/p&gt;&lt;div style="clear: both;"&gt;&lt;/div&gt;&lt;/div&gt;&lt;div&gt;&lt;h5&gt;&lt;b&gt;School &lt;/b&gt;transmutation; &lt;b&gt;Level &lt;/b&gt;medium 1, mesmerist 1, psychic 1, spiritualist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afterward.&lt;/p&gt;&lt;/h4&gt;&lt;/div&gt;</t>
  </si>
  <si>
    <t>Gain a +8 bonus to Int, Wis, or Cha for one roll, then be dazed for 1 round.</t>
  </si>
  <si>
    <t>Call Spirit</t>
  </si>
  <si>
    <t>cleric/oracle 5, medium 3, shaman 5, spiritualist 5</t>
  </si>
  <si>
    <t>call the spirit of a single deceased humanoid creature</t>
  </si>
  <si>
    <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Knowledge Will Save Modifier  Name only&amp;#8224; +15  Secondhand (you have heard of the subject) +10  Firsthand (you met the subject in life) +5  Familiar (you knew the subject well) +0  &amp;#8224; You must have at least a name the creature was called in life.  Connection Will Save Modifier  Likeness or picture -2  Possession or garment -4  Body part, lock of hair, nail clipping, etc. -10  Different alignment +4  A successfully called spirit manifests as a wispy, vaporous form that vaguely resembles the form the deceased creature had in life. The spirit has the physical attributes of an unseen servant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t>
  </si>
  <si>
    <t>&lt;p&gt;You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&lt;table border ='1'&gt;&lt;tr&gt;&lt;th&gt;Knowledge&lt;/th&gt;&lt;th&gt;Will Save Modifier&lt;/th&gt;&lt;/tr&gt;&lt;tr&gt;&lt;td&gt;Name only*&lt;/td&gt;&lt;td&gt;+15&lt;/td&gt;&lt;/tr&gt;&lt;tr&gt;&lt;td&gt;Secondhand (you have heard of the subject)&lt;/td&gt;&lt;td&gt;+10&lt;/td&gt;&lt;/tr&gt;&lt;tr&gt;&lt;td&gt;Firsthand (you met the subject in life)&lt;/td&gt;&lt;td&gt;+5&lt;/td&gt;&lt;/tr&gt;&lt;tr&gt;&lt;td&gt;Familiar (you knew the subject well)&lt;/td&gt;&lt;td&gt;+0&lt;/td&gt;&lt;/tr&gt;&lt;tr&gt;&lt;td&gt;* You must have at least a name the creature was called in life.&lt;/td&gt;&lt;/tr&gt;&lt;/table&gt;     &lt;table border ='1'&gt;&lt;tr&gt;&lt;th&gt;Connection&lt;/th&gt;&lt;th&gt;Will Save Modifier&lt;/th&gt;&lt;/tr&gt;&lt;tr&gt;&lt;td&gt;Likeness or picture&lt;/td&gt;&lt;td&gt;-2&lt;/td&gt;&lt;/tr&gt;&lt;tr&gt;&lt;td&gt;Possession or garment&lt;/td&gt;&lt;td&gt;-4&lt;/td&gt;&lt;/tr&gt;&lt;tr&gt;&lt;td&gt;Body part, lock of hair, nail clipping, etc.&lt;/td&gt;&lt;td&gt;-10&lt;/td&gt;&lt;/tr&gt;&lt;tr&gt;&lt;td&gt;Different alignment&lt;/td&gt;&lt;td&gt;+4&lt;/td&gt;&lt;/tr&gt;&lt;/table&gt;     A successfully called spirit manifests as a wispy, vaporous form that vaguely resembles the form the deceased creature had in life. The spirit has the physical attributes of an &lt;i&gt;unseen servant&lt;/i&gt;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undead.&lt;/p&gt;</t>
  </si>
  <si>
    <t>&lt;link rel="stylesheet"href="PF.css"&gt;&lt;div class="heading"&gt;&lt;p class="alignleft"&gt;Call Spirit&lt;/p&gt;&lt;div style="clear: both;"&gt;&lt;/div&gt;&lt;/div&gt;&lt;div&gt;&lt;h5&gt;&lt;b&gt;School &lt;/b&gt;conjuration (calling); &lt;b&gt;Level &lt;/b&gt;cleric/oracle 5, medium 3, shaman 5, spiritualist 5&lt;/h5&gt;&lt;/div&gt;&lt;hr/&gt;&lt;div&gt;&lt;h5&gt;&lt;b&gt;CASTING&lt;/b&gt;&lt;/h5&gt;&lt;/div&gt;&lt;hr/&gt;&lt;div&gt;&lt;h5&gt;&lt;b&gt;Casting Time &lt;/b&gt;10 minutes&lt;/h5&gt;&lt;h5&gt;&lt;b&gt;Components &lt;/b&gt;V, S&lt;/h5&gt;&lt;/div&gt;&lt;hr/&gt;&lt;div&gt;&lt;h5&gt;&lt;b&gt;EFFECT&lt;/b&gt;&lt;/h5&gt;&lt;/div&gt;&lt;hr/&gt;&lt;div&gt;&lt;h5&gt;&lt;b&gt;Range &lt;/b&gt;10 ft.&lt;/h5&gt;&lt;h5&gt;&lt;b&gt;Effect &lt;/b&gt;call the spirit of a single deceased humanoid creature&lt;/h5&gt;&lt;h5&gt;&lt;b&gt;Duration &lt;/b&gt;concentration&lt;/h5&gt;&lt;h5&gt;&lt;b&gt;Saving Throw &lt;/b&gt;Will negates; see text; &lt;b&gt;Spell Resistance &lt;/b&gt;no&lt;/h5&gt;&lt;/div&gt;&lt;hr/&gt;&lt;div&gt;&lt;h5&gt;&lt;b&gt;DESCRIPTION&lt;/b&gt;&lt;/h5&gt;&lt;/div&gt;&lt;hr/&gt;&lt;div&gt;&lt;h4&gt;&lt;p&gt;You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&lt;table border ='1'&gt;&lt;tr&gt;&lt;th&gt;Knowledge&lt;/th&gt;&lt;th&gt;Will Save Modifier&lt;/th&gt;&lt;/tr&gt;&lt;tr&gt;&lt;td&gt;Name only*&lt;/td&gt;&lt;td&gt;+15&lt;/td&gt;&lt;/tr&gt;&lt;tr&gt;&lt;td&gt;Secondhand (you have heard of the subject)&lt;/td&gt;&lt;td&gt;+10&lt;/td&gt;&lt;/tr&gt;&lt;tr&gt;&lt;td&gt;Firsthand (you met the subject in life)&lt;/td&gt;&lt;td&gt;+5&lt;/td&gt;&lt;/tr&gt;&lt;tr&gt;&lt;td&gt;Familiar (you knew the subject well)&lt;/td&gt;&lt;td&gt;+0&lt;/td&gt;&lt;/tr&gt;&lt;tr&gt;&lt;td&gt;* You must have at least a name the creature was called in life.&lt;/td&gt;&lt;/tr&gt;&lt;/table&gt;     &lt;table border ='1'&gt;&lt;tr&gt;&lt;th&gt;Connection&lt;/th&gt;&lt;th&gt;Will Save Modifier&lt;/th&gt;&lt;/tr&gt;&lt;tr&gt;&lt;td&gt;Likeness or picture&lt;/td&gt;&lt;td&gt;-2&lt;/td&gt;&lt;/tr&gt;&lt;tr&gt;&lt;td&gt;Possession or garment&lt;/td&gt;&lt;td&gt;-4&lt;/td&gt;&lt;/tr&gt;&lt;tr&gt;&lt;td&gt;Body part, lock of hair, nail clipping, etc.&lt;/td&gt;&lt;td&gt;-10&lt;/td&gt;&lt;/tr&gt;&lt;tr&gt;&lt;td&gt;Different alignment&lt;/td&gt;&lt;td&gt;+4&lt;/td&gt;&lt;/tr&gt;&lt;/table&gt;     A successfully called spirit manifests as a wispy, vaporous form that vaguely resembles the form the deceased creature had in life. The spirit has the physical attributes of an &lt;i&gt;unseen servant&lt;/i&gt;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undead.&lt;/p&gt;&lt;/h4&gt;&lt;/div&gt;</t>
  </si>
  <si>
    <t>Make the spirit of one creature manifest.</t>
  </si>
  <si>
    <t>Calm Spirit</t>
  </si>
  <si>
    <t>cleric/oracle 2, medium 1, shaman 2, spiritualist 2</t>
  </si>
  <si>
    <t>one incorporeal undead creature or haunt</t>
  </si>
  <si>
    <t>1 minute or 1 round/level; see text</t>
  </si>
  <si>
    <t>Will negates or none; see text</t>
  </si>
  <si>
    <t>This spell temporarily calms agitated haunts and incorporeal undead such as ghosts. You have no control over the affected creatures, but calm spirit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t>
  </si>
  <si>
    <t>&lt;p&gt;This spell temporarily calms agitated haunts and incorporeal undead such as ghosts. You have no control over the affected creatures, but &lt;i&gt;calm spirit&lt;/i&gt;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haunt.&lt;/p&gt;</t>
  </si>
  <si>
    <t>&lt;link rel="stylesheet"href="PF.css"&gt;&lt;div class="heading"&gt;&lt;p class="alignleft"&gt;Calm Spirit&lt;/p&gt;&lt;div style="clear: both;"&gt;&lt;/div&gt;&lt;/div&gt;&lt;div&gt;&lt;h5&gt;&lt;b&gt;School &lt;/b&gt;necromancy; &lt;b&gt;Level &lt;/b&gt;cleric/oracle 2, medium 1, shaman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incorporeal undead creature or haunt&lt;/h5&gt;&lt;h5&gt;&lt;b&gt;Duration &lt;/b&gt;1 minute or 1 round/level; see text&lt;/h5&gt;&lt;h5&gt;&lt;b&gt;Saving Throw &lt;/b&gt;Will negates or none; see text; &lt;b&gt;Spell Resistance &lt;/b&gt;yes&lt;/h5&gt;&lt;/div&gt;&lt;hr/&gt;&lt;div&gt;&lt;h5&gt;&lt;b&gt;DESCRIPTION&lt;/b&gt;&lt;/h5&gt;&lt;/div&gt;&lt;hr/&gt;&lt;div&gt;&lt;h4&gt;&lt;p&gt;This spell temporarily calms agitated haunts and incorporeal undead such as ghosts. You have no control over the affected creatures, but &lt;i&gt;calm spirit&lt;/i&gt;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haunt.&lt;/p&gt;&lt;/h4&gt;&lt;/div&gt;</t>
  </si>
  <si>
    <t>Postpone hostile action by a haunt or incorporeal undead.</t>
  </si>
  <si>
    <t>Catatonia</t>
  </si>
  <si>
    <t>alchemist 2, bard 2, cleric/oracle 3, medium 2, mesmerist 2, psychic 3, sorcerer/wizard 3, spiritualist 2, witch 3</t>
  </si>
  <si>
    <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catatonia. The target can be affected by spells that affect only objects, including animate objects (if the creature is Small) and teleport object. However, anything that would cause the body to change form (such as shrink item) fails and ends the catatonia. This doesn't prevent the effects of spells that simply deal damage or otherwise destroy objects.</t>
  </si>
  <si>
    <t>&lt;p&gt;You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&lt;i&gt;catatonia&lt;/i&gt;. The target can be affected by spells that affect only objects, including &lt;i&gt;animate objects&lt;/i&gt; (if the creature is Small) and &lt;i&gt;teleport object&lt;/i&gt;. However, anything that would cause the body to change form (such as &lt;i&gt;shrink&lt;/i&gt; item) fails and ends the &lt;i&gt;catatonia&lt;/i&gt;. This doesn't prevent the effects of spells that simply deal damage or otherwise destroy objects.&lt;/p&gt;</t>
  </si>
  <si>
    <t>&lt;link rel="stylesheet"href="PF.css"&gt;&lt;div class="heading"&gt;&lt;p class="alignleft"&gt;Catatonia&lt;/p&gt;&lt;div style="clear: both;"&gt;&lt;/div&gt;&lt;/div&gt;&lt;div&gt;&lt;h5&gt;&lt;b&gt;School &lt;/b&gt;necromancy; &lt;b&gt;Level &lt;/b&gt;alchemist 2, bard 2, cleric/oracle 3, medium 2, mesmerist 2, psychic 3, sorcerer/wizard 3, spiritualist 2, witch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&lt;/b&gt;willing creature touched&lt;/h5&gt;&lt;h5&gt;&lt;b&gt;Duration &lt;/b&gt;1 hour/level (D)&lt;/h5&gt;&lt;h5&gt;&lt;b&gt;Saving Throw &lt;/b&gt;none; &lt;b&gt;Spell Resistance &lt;/b&gt;yes&lt;/h5&gt;&lt;/div&gt;&lt;hr/&gt;&lt;div&gt;&lt;h5&gt;&lt;b&gt;DESCRIPTION&lt;/b&gt;&lt;/h5&gt;&lt;/div&gt;&lt;hr/&gt;&lt;div&gt;&lt;h4&gt;&lt;p&gt;You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&lt;i&gt;catatonia&lt;/i&gt;. The target can be affected by spells that affect only objects, including &lt;i&gt;animate objects&lt;/i&gt; (if the creature is Small) and &lt;i&gt;teleport object&lt;/i&gt;. However, anything that would cause the body to change form (such as &lt;i&gt;shrink&lt;/i&gt; item) fails and ends the &lt;i&gt;catatonia&lt;/i&gt;. This doesn't prevent the effects of spells that simply deal damage or otherwise destroy objects.&lt;/p&gt;&lt;/h4&gt;&lt;/div&gt;</t>
  </si>
  <si>
    <t>Make a willing target appear to be dead.</t>
  </si>
  <si>
    <t>Charge Object</t>
  </si>
  <si>
    <t>medium 1, mesmerist 1, occultist 1, psychic 1, spiritualist 1</t>
  </si>
  <si>
    <t>You charge an item with minor psychic energy. The item can be detected by the detect psychic significance spell. If you wish, you can imprint the item with your ownership history. Spells such as object reading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charge object t o e rase existing psychic information.</t>
  </si>
  <si>
    <t>&lt;p&gt;You charge an item with minor psychic energy. The item can be detected by the &lt;i&gt;detect psychic significance&lt;/i&gt; spell. If you wish, you can imprint the item with your ownership history. Spells such as &lt;i&gt;object reading&lt;/i&gt;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&lt;i&gt;charge object&lt;/i&gt; t o e rase existing psychic information.&lt;/p&gt;</t>
  </si>
  <si>
    <t>&lt;link rel="stylesheet"href="PF.css"&gt;&lt;div class="heading"&gt;&lt;p class="alignleft"&gt;Charge Object&lt;/p&gt;&lt;div style="clear: both;"&gt;&lt;/div&gt;&lt;/div&gt;&lt;div&gt;&lt;h5&gt;&lt;b&gt;School &lt;/b&gt;transmutation; &lt;b&gt;Level &lt;/b&gt;medium 1, mesmerist 1, occultist 1, psychic 1, spiritualist 1&lt;/h5&gt;&lt;/div&gt;&lt;hr/&gt;&lt;div&gt;&lt;h5&gt;&lt;b&gt;CASTING&lt;/b&gt;&lt;/h5&gt;&lt;/div&gt;&lt;hr/&gt;&lt;div&gt;&lt;h5&gt;&lt;b&gt;Casting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&lt;/b&gt;object touched&lt;/h5&gt;&lt;h5&gt;&lt;b&gt;Duration &lt;/b&gt;permanent&lt;/h5&gt;&lt;h5&gt;&lt;b&gt;Saving Throw &lt;/b&gt;none; see text; &lt;b&gt;Spell Resistance &lt;/b&gt;no&lt;/h5&gt;&lt;/div&gt;&lt;hr/&gt;&lt;div&gt;&lt;h5&gt;&lt;b&gt;DESCRIPTION&lt;/b&gt;&lt;/h5&gt;&lt;/div&gt;&lt;hr/&gt;&lt;div&gt;&lt;h4&gt;&lt;p&gt;You charge an item with minor psychic energy. The item can be detected by the &lt;i&gt;detect psychic significance&lt;/i&gt; spell. If you wish, you can imprint the item with your ownership history. Spells such as &lt;i&gt;object reading&lt;/i&gt;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&lt;i&gt;charge object&lt;/i&gt; t o e rase existing psychic information.&lt;/p&gt;&lt;/h4&gt;&lt;/div&gt;</t>
  </si>
  <si>
    <t>Infuse psychic energy and ownership history into an item.</t>
  </si>
  <si>
    <t>Cognitive Block</t>
  </si>
  <si>
    <t>medium 2, mesmerist 2, psychic 3</t>
  </si>
  <si>
    <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t>
  </si>
  <si>
    <t>&lt;p&gt;You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component.&lt;/p&gt;</t>
  </si>
  <si>
    <t>&lt;link rel="stylesheet"href="PF.css"&gt;&lt;div class="heading"&gt;&lt;p class="alignleft"&gt;Cognitive Block&lt;/p&gt;&lt;div style="clear: both;"&gt;&lt;/div&gt;&lt;/div&gt;&lt;div&gt;&lt;h5&gt;&lt;b&gt;School &lt;/b&gt;enchantment (compulsion) [mind-affecting]; &lt;b&gt;Level &lt;/b&gt;medium 2, mesmerist 2, psychic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component.&lt;/p&gt;&lt;/h4&gt;&lt;/div&gt;</t>
  </si>
  <si>
    <t>Add a thought component to all of the target’s spells.</t>
  </si>
  <si>
    <t>Condensed Ether</t>
  </si>
  <si>
    <t>psychic 4, sorcerer/wizard 5, spiritualist 3</t>
  </si>
  <si>
    <t>V, S, M (crushed amber)</t>
  </si>
  <si>
    <t>You condense the substance of the Ethereal Plane as it interpenetrates the Material Plane. This thickened planar conjunction slows movement through the area to a crawl. Creatures moving through condensed ether (even incorporeal creatures), move at only half their normal speed and can't take 5-foot steps. This slowing of movement doesn't stack with solid fog or similar effects. Creatures within condensed ether take a -2 penalty to Armor Class and on Reflex saves, and condensed ether prevents effective ranged weapon attacks. Even magic rays and similar ranged attacks suffer a 20% miss chance on attacks into or passing through condensed ether. This miss chance is not based on concealment, and Blind-Fight, true seeing, and similar effects do not reduce it.</t>
  </si>
  <si>
    <t>&lt;p&gt;You condense the substance of the Ethereal Plane as it interpenetrates the Material Plane. This thickened planar conjunction slows movement through the area to a crawl. Creatures moving through &lt;i&gt;condensed ether&lt;/i&gt; (even incorporeal creatures), move at only half their normal speed and can't take 5-foot steps. This slowing of movement doesn't stack with &lt;i&gt;solid fog&lt;/i&gt; or similar effects. Creatures within &lt;i&gt;condensed ether&lt;/i&gt; take a -2 penalty to Armor Class and on Reflex saves, and &lt;i&gt;condensed ether&lt;/i&gt; prevents effective ranged weapon attacks. Even magic rays and similar ranged attacks suffer a 20% miss chance on attacks into or passing through &lt;i&gt;condensed ether&lt;/i&gt;. This miss chance is not based on concealment, and Blind-Fight, &lt;i&gt;true seeing&lt;/i&gt;, and similar effects do not reduce it.&lt;/p&gt;</t>
  </si>
  <si>
    <t>&lt;link rel="stylesheet"href="PF.css"&gt;&lt;div class="heading"&gt;&lt;p class="alignleft"&gt;Condensed Ether&lt;/p&gt;&lt;div style="clear: both;"&gt;&lt;/div&gt;&lt;/div&gt;&lt;div&gt;&lt;h5&gt;&lt;b&gt;School &lt;/b&gt;transmutation; &lt;b&gt;Level &lt;/b&gt;psychic 4, sorcerer/wizard 5, spiritualist 3&lt;/h5&gt;&lt;/div&gt;&lt;hr/&gt;&lt;div&gt;&lt;h5&gt;&lt;b&gt;CASTING&lt;/b&gt;&lt;/h5&gt;&lt;/div&gt;&lt;hr/&gt;&lt;div&gt;&lt;h5&gt;&lt;b&gt;Casting Time &lt;/b&gt;1 standard action&lt;/h5&gt;&lt;h5&gt;&lt;b&gt;Components &lt;/b&gt;V, S, M (crushed amber)&lt;/h5&gt;&lt;/div&gt;&lt;hr/&gt;&lt;div&gt;&lt;h5&gt;&lt;b&gt;EFFECT&lt;/b&gt;&lt;/h5&gt;&lt;/div&gt;&lt;hr/&gt;&lt;div&gt;&lt;h5&gt;&lt;b&gt;Range &lt;/b&gt;medium (100 ft. + 10 ft./level)&lt;/h5&gt;&lt;h5&gt;&lt;b&gt;Targets &lt;/b&gt;20-ft.-radius spread&lt;/h5&gt;&lt;h5&gt;&lt;b&gt;Duration &lt;/b&gt;1 minute/level&lt;/h5&gt;&lt;h5&gt;&lt;b&gt;Saving Throw &lt;/b&gt;none; &lt;b&gt;Spell Resistance &lt;/b&gt;no&lt;/h5&gt;&lt;/div&gt;&lt;hr/&gt;&lt;div&gt;&lt;h5&gt;&lt;b&gt;DESCRIPTION&lt;/b&gt;&lt;/h5&gt;&lt;/div&gt;&lt;hr/&gt;&lt;div&gt;&lt;h4&gt;&lt;p&gt;You condense the substance of the Ethereal Plane as it interpenetrates the Material Plane. This thickened planar conjunction slows movement through the area to a crawl. Creatures moving through &lt;i&gt;condensed ether&lt;/i&gt; (even incorporeal creatures), move at only half their normal speed and can't take 5-foot steps. This slowing of movement doesn't stack with &lt;i&gt;solid fog&lt;/i&gt; or similar effects. Creatures within &lt;i&gt;condensed ether&lt;/i&gt; take a -2 penalty to Armor Class and on Reflex saves, and &lt;i&gt;condensed ether&lt;/i&gt; prevents effective ranged weapon attacks. Even magic rays and similar ranged attacks suffer a 20% miss chance on attacks into or passing through &lt;i&gt;condensed ether&lt;/i&gt;. This miss chance is not based on concealment, and Blind-Fight, &lt;i&gt;true seeing&lt;/i&gt;, and similar effects do not reduce it.&lt;/p&gt;&lt;/h4&gt;&lt;/div&gt;</t>
  </si>
  <si>
    <t>Creates a planar conjunction that slows movement, penalizes AC and Reflex saves, and imposes a miss chance on ranged attacks.</t>
  </si>
  <si>
    <t>Ethereal (8)</t>
  </si>
  <si>
    <t>Contagious Zeal</t>
  </si>
  <si>
    <t>bard 2, cleric/oracle 3, inquisitor 3, psychic 3, sorcerer/wizard 3, spiritualist 3</t>
  </si>
  <si>
    <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t>
  </si>
  <si>
    <t>&lt;p&gt;The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spell.&lt;/p&gt;</t>
  </si>
  <si>
    <t>&lt;link rel="stylesheet"href="PF.css"&gt;&lt;div class="heading"&gt;&lt;p class="alignleft"&gt;Contagious Zeal&lt;/p&gt;&lt;div style="clear: both;"&gt;&lt;/div&gt;&lt;/div&gt;&lt;div&gt;&lt;h5&gt;&lt;b&gt;School &lt;/b&gt;enchantment (compulsion) [emotion, mind-affecting]; &lt;b&gt;Level &lt;/b&gt;bard 2, cleric/oracle 3, inquisitor 3, psychic 3, sorcerer/wizard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(harmless); &lt;b&gt;Spell Resistance &lt;/b&gt;yes (harmless)&lt;/h5&gt;&lt;/div&gt;&lt;hr/&gt;&lt;div&gt;&lt;h5&gt;&lt;b&gt;DESCRIPTION&lt;/b&gt;&lt;/h5&gt;&lt;/div&gt;&lt;hr/&gt;&lt;div&gt;&lt;h4&gt;&lt;p&gt;The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spell.&lt;/p&gt;&lt;/h4&gt;&lt;/div&gt;</t>
  </si>
  <si>
    <t>Grant bonuses and temporary hit points that spread from creature to creature.</t>
  </si>
  <si>
    <t>Create Mindscape</t>
  </si>
  <si>
    <t>medium 4, mesmerist 4, psychic 4, sorcerer/wizard 5</t>
  </si>
  <si>
    <t>Will disbelief; see text</t>
  </si>
  <si>
    <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mindscape door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Create mindscape can be made permanent with a permanency spell by a caster of 12th level or higher at a cost of 10,000 gp. You and other creatures aware of a permanent mindscape can come and go using the mindscape door spell.</t>
  </si>
  <si>
    <t>&lt;p&gt;You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&lt;i&gt;mindscape door&lt;/i&gt;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&lt;i&gt;Create mindscape&lt;/i&gt; can be made permanent with a &lt;i&gt;permanency&lt;/i&gt; spell by a caster of 12th level or higher at a cost of 10,000 gp. You and other creatures aware of a permanent mindscape can come and go using the &lt;i&gt;mindscape door&lt;/i&gt; spell.&lt;/p&gt;</t>
  </si>
  <si>
    <t>&lt;link rel="stylesheet"href="PF.css"&gt;&lt;div class="heading"&gt;&lt;p class="alignleft"&gt;Create Mindscape&lt;/p&gt;&lt;div style="clear: both;"&gt;&lt;/div&gt;&lt;/div&gt;&lt;div&gt;&lt;h5&gt;&lt;b&gt;School &lt;/b&gt;illusion (phantasm) [mind-affecting]; &lt;b&gt;Level &lt;/b&gt;medium 4, mesmerist 4, psychic 4, sorcerer/wizard 5&lt;/h5&gt;&lt;/div&gt;&lt;hr/&gt;&lt;div&gt;&lt;h5&gt;&lt;b&gt;CASTING&lt;/b&gt;&lt;/h5&gt;&lt;/div&gt;&lt;hr/&gt;&lt;div&gt;&lt;h5&gt;&lt;b&gt;Casting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creature&lt;/h5&gt;&lt;h5&gt;&lt;b&gt;Duration &lt;/b&gt;10 minutes/level&lt;/h5&gt;&lt;h5&gt;&lt;b&gt;Saving Throw &lt;/b&gt;Will disbelief; see text; &lt;b&gt;Spell Resistance &lt;/b&gt;yes&lt;/h5&gt;&lt;/div&gt;&lt;hr/&gt;&lt;div&gt;&lt;h5&gt;&lt;b&gt;DESCRIPTION&lt;/b&gt;&lt;/h5&gt;&lt;/div&gt;&lt;hr/&gt;&lt;div&gt;&lt;h4&gt;&lt;p&gt;You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&lt;i&gt;mindscape door&lt;/i&gt;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&lt;i&gt;Create mindscape&lt;/i&gt; can be made permanent with a &lt;i&gt;permanency&lt;/i&gt; spell by a caster of 12th level or higher at a cost of 10,000 gp. You and other creatures aware of a permanent mindscape can come and go using the &lt;i&gt;mindscape door&lt;/i&gt; spell.&lt;/p&gt;&lt;/h4&gt;&lt;/div&gt;</t>
  </si>
  <si>
    <t>Form an immersive mindscape.</t>
  </si>
  <si>
    <t>Mind (8)</t>
  </si>
  <si>
    <t>Create Mindscape, Greater</t>
  </si>
  <si>
    <t>mesmerist 6, psychic 6, sorcerer/wizard 7</t>
  </si>
  <si>
    <t>This spell functions like create mindscape, except it can affect more creatures, the mindscape lasts longer, and you can choose the mindscape's magic trait. You can also direct a number of believable creatures at a time equal to your caster level.  Greater create mindscape can be made permanent with a permanency spell by a caster of 15th level or higher at a cost of 17,500 gp. You and other creatures aware of a permanent mindscape can come and go using the mindscape door spell.</t>
  </si>
  <si>
    <t>&lt;p&gt;This spell functions like &lt;i&gt;create mindscape&lt;/i&gt;, except it can affect more creatures, the mindscape lasts longer, and you can choose the mindscape's magic trait. You can also direct a number of believable creatures at a time equal to your caster level.  Greater &lt;i&gt;create mindscape&lt;/i&gt; can be made permanent with a &lt;i&gt;permanency&lt;/i&gt; spell by a caster of 15th level or higher at a cost of 17,500 gp. You and other creatures aware of a permanent mindscape can come and go using the &lt;i&gt;mindscape door&lt;/i&gt; spell.&lt;/p&gt;</t>
  </si>
  <si>
    <t>&lt;link rel="stylesheet"href="PF.css"&gt;&lt;div class="heading"&gt;&lt;p class="alignleft"&gt;Create Mindscape, Greater&lt;/p&gt;&lt;div style="clear: both;"&gt;&lt;/div&gt;&lt;/div&gt;&lt;div&gt;&lt;h5&gt;&lt;b&gt;School &lt;/b&gt;illusion (phantasm) [mind-affecting]; &lt;b&gt;Level &lt;/b&gt;mesmerist 6, psychic 6, sorcerer/wizard 7&lt;/h5&gt;&lt;/div&gt;&lt;hr/&gt;&lt;div&gt;&lt;h5&gt;&lt;b&gt;CASTING&lt;/b&gt;&lt;/h5&gt;&lt;/div&gt;&lt;hr/&gt;&lt;div&gt;&lt;h5&gt;&lt;b&gt;Casting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creature/level&lt;/h5&gt;&lt;h5&gt;&lt;b&gt;Duration &lt;/b&gt;1 day/level&lt;/h5&gt;&lt;h5&gt;&lt;b&gt;Saving Throw &lt;/b&gt;Will disbelief; see text; &lt;b&gt;Spell Resistance &lt;/b&gt;yes&lt;/h5&gt;&lt;/div&gt;&lt;hr/&gt;&lt;div&gt;&lt;h5&gt;&lt;b&gt;DESCRIPTION&lt;/b&gt;&lt;/h5&gt;&lt;/div&gt;&lt;hr/&gt;&lt;div&gt;&lt;h4&gt;&lt;p&gt;This spell functions like &lt;i&gt;create mindscape&lt;/i&gt;, except it can affect more creatures, the mindscape lasts longer, and you can choose the mindscape's magic trait. You can also direct a number of believable creatures at a time equal to your caster level.  Greater &lt;i&gt;create mindscape&lt;/i&gt; can be made permanent with a &lt;i&gt;permanency&lt;/i&gt; spell by a caster of 15th level or higher at a cost of 17,500 gp. You and other creatures aware of a permanent mindscape can come and go using the &lt;i&gt;mindscape door&lt;/i&gt; spell.&lt;/p&gt;&lt;/h4&gt;&lt;/div&gt;</t>
  </si>
  <si>
    <t>As create mindscape, but affecting more creatures, having a longer duration, and allowing magic alteration.</t>
  </si>
  <si>
    <t>Mind (12)</t>
  </si>
  <si>
    <t>Decrepit Disguise</t>
  </si>
  <si>
    <t>bard 1, medium 1, mesmerist 1, occultist 1, psychic 1, sorcerer/wizard 1</t>
  </si>
  <si>
    <t>one object of no more than 10 cu. ft./level</t>
  </si>
  <si>
    <t>none (object) or Will disbelief (if interacted with)</t>
  </si>
  <si>
    <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Decrepit disguise counters and dispels quintessence.  Decrepit disguise can be made permanent with a permanency spell by a caster of 9th level or higher for the cost of 500 gp.</t>
  </si>
  <si>
    <t>&lt;p&gt;You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&lt;i&gt;Decrepit disguise&lt;/i&gt; counters and dispels &lt;i&gt;quintessence&lt;/i&gt;.  &lt;i&gt;Decrepit disguise&lt;/i&gt; can be made permanent with a &lt;i&gt;permanency&lt;/i&gt; spell by a caster of 9th level or higher for the cost of 500 gp.&lt;/p&gt;</t>
  </si>
  <si>
    <t>&lt;link rel="stylesheet"href="PF.css"&gt;&lt;div class="heading"&gt;&lt;p class="alignleft"&gt;Decrepit Disguise&lt;/p&gt;&lt;div style="clear: both;"&gt;&lt;/div&gt;&lt;/div&gt;&lt;div&gt;&lt;h5&gt;&lt;b&gt;School &lt;/b&gt;illusion (glamer); &lt;b&gt;Level &lt;/b&gt;bard 1, medium 1, mesmerist 1, occultist 1, psychic 1, sorcerer/wizard 1&lt;/h5&gt;&lt;/div&gt;&lt;hr/&gt;&lt;div&gt;&lt;h5&gt;&lt;b&gt;CASTING&lt;/b&gt;&lt;/h5&gt;&lt;/div&gt;&lt;hr/&gt;&lt;div&gt;&lt;h5&gt;&lt;b&gt;Casting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object of no more than 10 cu. ft./level&lt;/h5&gt;&lt;h5&gt;&lt;b&gt;Duration &lt;/b&gt;1 day/level&lt;/h5&gt;&lt;h5&gt;&lt;b&gt;Saving Throw &lt;/b&gt;none (object) or Will disbelief (if interacted with); &lt;b&gt;Spell Resistance &lt;/b&gt;no&lt;/h5&gt;&lt;/div&gt;&lt;hr/&gt;&lt;div&gt;&lt;h5&gt;&lt;b&gt;DESCRIPTION&lt;/b&gt;&lt;/h5&gt;&lt;/div&gt;&lt;hr/&gt;&lt;div&gt;&lt;h4&gt;&lt;p&gt;You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&lt;i&gt;Decrepit disguise&lt;/i&gt; counters and dispels &lt;i&gt;quintessence&lt;/i&gt;.  &lt;i&gt;Decrepit disguise&lt;/i&gt; can be made permanent with a &lt;i&gt;permanency&lt;/i&gt; spell by a caster of 9th level or higher for the cost of 500 gp.&lt;/p&gt;&lt;/h4&gt;&lt;/div&gt;</t>
  </si>
  <si>
    <t>Make an object seem worthless.</t>
  </si>
  <si>
    <t>Deja Vu</t>
  </si>
  <si>
    <t>bard 1, mesmerist 1, psychic 1, sorcerer/wizard 1</t>
  </si>
  <si>
    <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command spell). If the circumstances would prevent the target from repeating an action, such as if the target of its attack is dead or the target cannot cast the same spell again, the target instead becomes confused until the spell ends. A creature currently affected by deja vu can't be targeted with another deja vu spell. A creature affected by deja vu can't delay, and if it readies an action on its first turn, it must ready the same action on its second turn.</t>
  </si>
  <si>
    <t>&lt;p&gt;You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&lt;i&gt;command&lt;/i&gt; spell). If the circumstances would prevent the target from repeating an action, such as if the target of its attack is dead or the target cannot cast the same spell again, the target instead becomes confused until the spell ends. A creature currently affected by &lt;i&gt;deja vu&lt;/i&gt; can't be targeted with another &lt;i&gt;deja vu&lt;/i&gt; spell. A creature affected by &lt;i&gt;deja vu&lt;/i&gt; can't delay, and if it readies an action on its first turn, it must ready the same action on its second turn.&lt;/p&gt;</t>
  </si>
  <si>
    <t>&lt;link rel="stylesheet"href="PF.css"&gt;&lt;div class="heading"&gt;&lt;p class="alignleft"&gt;Deja Vu&lt;/p&gt;&lt;div style="clear: both;"&gt;&lt;/div&gt;&lt;/div&gt;&lt;div&gt;&lt;h5&gt;&lt;b&gt;School &lt;/b&gt;enchantment (compulsion) [mind-affecting]; &lt;b&gt;Level &lt;/b&gt;bard 1, mesmerist 1, psychic 1, sorcerer/wizard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&lt;/b&gt;2 rounds&lt;/h5&gt;&lt;h5&gt;&lt;b&gt;Saving Throw &lt;/b&gt;none; &lt;b&gt;Spell Resistance &lt;/b&gt;yes&lt;/h5&gt;&lt;/div&gt;&lt;hr/&gt;&lt;div&gt;&lt;h5&gt;&lt;b&gt;DESCRIPTION&lt;/b&gt;&lt;/h5&gt;&lt;/div&gt;&lt;hr/&gt;&lt;div&gt;&lt;h4&gt;&lt;p&gt;You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&lt;i&gt;command&lt;/i&gt; spell). If the circumstances would prevent the target from repeating an action, such as if the target of its attack is dead or the target cannot cast the same spell again, the target instead becomes confused until the spell ends. A creature currently affected by &lt;i&gt;deja vu&lt;/i&gt; can't be targeted with another &lt;i&gt;deja vu&lt;/i&gt; spell. A creature affected by &lt;i&gt;deja vu&lt;/i&gt; can't delay, and if it readies an action on its first turn, it must ready the same action on its second turn.&lt;/p&gt;&lt;/h4&gt;&lt;/div&gt;</t>
  </si>
  <si>
    <t>Make a creature repeat its actions.</t>
  </si>
  <si>
    <t>Demand Offering</t>
  </si>
  <si>
    <t>antipaladin 1, bard 2, inquisitor 2, mesmerist 1, occultist 2, psychic 2, sorcerer/wizard 2, witch 2</t>
  </si>
  <si>
    <t>instantaneous or 1 round</t>
  </si>
  <si>
    <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t>
  </si>
  <si>
    <t>&lt;p&gt;A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unaffected.&lt;/p&gt;</t>
  </si>
  <si>
    <t>&lt;link rel="stylesheet"href="PF.css"&gt;&lt;div class="heading"&gt;&lt;p class="alignleft"&gt;Demand Offering&lt;/p&gt;&lt;div style="clear: both;"&gt;&lt;/div&gt;&lt;/div&gt;&lt;div&gt;&lt;h5&gt;&lt;b&gt;School &lt;/b&gt;enchantment (compulsion) [mind-affecting]; &lt;b&gt;Level &lt;/b&gt;antipaladin 1, bard 2, inquisitor 2, mesmerist 1, occultist 2,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&lt;/b&gt;5 ft.&lt;/h5&gt;&lt;h5&gt;&lt;b&gt;Targets &lt;/b&gt;one creature&lt;/h5&gt;&lt;h5&gt;&lt;b&gt;Duration &lt;/b&gt;instantaneous or 1 round&lt;/h5&gt;&lt;h5&gt;&lt;b&gt;Saving Throw &lt;/b&gt;Will negates; &lt;b&gt;Spell Resistance &lt;/b&gt;yes&lt;/h5&gt;&lt;/div&gt;&lt;hr/&gt;&lt;div&gt;&lt;h5&gt;&lt;b&gt;DESCRIPTION&lt;/b&gt;&lt;/h5&gt;&lt;/div&gt;&lt;hr/&gt;&lt;div&gt;&lt;h4&gt;&lt;p&gt;A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unaffected.&lt;/p&gt;&lt;/h4&gt;&lt;/div&gt;</t>
  </si>
  <si>
    <t>Make a creature give you an object it’s holding.</t>
  </si>
  <si>
    <t>Detect Mindscape</t>
  </si>
  <si>
    <t>medium 2, mesmerist 2, psychic 2, sorcerer/wizard 3</t>
  </si>
  <si>
    <t>This spell functions similarly to detect thoughts, allowing you to sense when one or more creatures' consciousnesses are  inside a mindscape (see page 234). The amount of information revealed depends on how long you study a particular subject.  First Round: You sense the presence or absence of a mindscape. At least one of the creatures inside the mindscape must be within the cone-shaped area for you to detect the mindscape.  Second Round: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Third Round: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t>
  </si>
  <si>
    <t>&lt;p&gt;This spell functions similarly to &lt;i&gt;detect thoughts&lt;/i&gt;, allowing you to sense when one or more creatures' consciousnesses are  inside a mindscape (see page 234). The amount of information revealed depends on how long you study a particular subject.  &lt;br&gt;&lt;b&gt;First Round&lt;/b&gt;: You sense the presence or absence of a mindscape. At least one of the creatures inside the mindscape must be within the cone-shaped area for you to detect the mindscape.  &lt;br&gt;&lt;b&gt;Second Round&lt;/b&gt;: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&lt;br&gt;&lt;b&gt;Third Round&lt;/b&gt;: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round.&lt;/p&gt;</t>
  </si>
  <si>
    <t>&lt;link rel="stylesheet"href="PF.css"&gt;&lt;div class="heading"&gt;&lt;p class="alignleft"&gt;Detect Mindscape&lt;/p&gt;&lt;div style="clear: both;"&gt;&lt;/div&gt;&lt;/div&gt;&lt;div&gt;&lt;h5&gt;&lt;b&gt;School &lt;/b&gt;divination; &lt;b&gt;Level &lt;/b&gt;medium 2, mesmerist 2, psychic 2, sorcerer/wizard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similarly to &lt;i&gt;detect thoughts&lt;/i&gt;, allowing you to sense when one or more creatures' consciousnesses are  inside a mindscape (see page 234). The amount of information revealed depends on how long you study a particular subject.  &lt;br&gt;&lt;b&gt;First Round&lt;/b&gt;: You sense the presence or absence of a mindscape. At least one of the creatures inside the mindscape must be within the cone-shaped area for you to detect the mindscape.  &lt;br&gt;&lt;b&gt;Second Round&lt;/b&gt;: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&lt;br&gt;&lt;b&gt;Third Round&lt;/b&gt;: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round.&lt;/p&gt;&lt;/h4&gt;&lt;/div&gt;</t>
  </si>
  <si>
    <t>Sense the presence and attributes of mindscapes.</t>
  </si>
  <si>
    <t>Detect Psychic Significance</t>
  </si>
  <si>
    <t>medium 0, mesmerist 0, occultist 0, psychic 0, spiritualist 0</t>
  </si>
  <si>
    <t>40-ft.-radius burst, centered on you</t>
  </si>
  <si>
    <t>You detect the presence of psychically significant items in your vicinity. Such items are those that might have significant psychic imprints or histories that can be read by the psychometry occult skill unlock (see page 196), or items under the effects of the charge object or implant false reading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t>
  </si>
  <si>
    <t>&lt;p&gt;You detect the presence of psychically significant items in your vicinity. Such items are those that might have significant psychic imprints or histories that can be read by the psychometry occult skill unlock (see page 196), or items under the effects of the &lt;i&gt;charge object&lt;/i&gt; or &lt;i&gt;implant false reading&lt;/i&gt;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abilities.&lt;/p&gt;</t>
  </si>
  <si>
    <t>&lt;link rel="stylesheet"href="PF.css"&gt;&lt;div class="heading"&gt;&lt;p class="alignleft"&gt;Detect Psychic Significance&lt;/p&gt;&lt;div style="clear: both;"&gt;&lt;/div&gt;&lt;/div&gt;&lt;div&gt;&lt;h5&gt;&lt;b&gt;School &lt;/b&gt;divination; &lt;b&gt;Level &lt;/b&gt;medium 0, mesmerist 0, 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&lt;/b&gt;40-ft.-radius burst, centered on you&lt;/h5&gt;&lt;h5&gt;&lt;b&gt;Duration &lt;/b&gt;instantaneous&lt;/h5&gt;&lt;h5&gt;&lt;b&gt;Saving Throw &lt;/b&gt;none; &lt;b&gt;Spell Resistance &lt;/b&gt;no&lt;/h5&gt;&lt;/div&gt;&lt;hr/&gt;&lt;div&gt;&lt;h5&gt;&lt;b&gt;DESCRIPTION&lt;/b&gt;&lt;/h5&gt;&lt;/div&gt;&lt;hr/&gt;&lt;div&gt;&lt;h4&gt;&lt;p&gt;You detect the presence of psychically significant items in your vicinity. Such items are those that might have significant psychic imprints or histories that can be read by the psychometry occult skill unlock (see page 196), or items under the effects of the &lt;i&gt;charge object&lt;/i&gt; or &lt;i&gt;implant false reading&lt;/i&gt;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abilities.&lt;/p&gt;&lt;/h4&gt;&lt;/div&gt;</t>
  </si>
  <si>
    <t>Find psychically charged items.</t>
  </si>
  <si>
    <t>Divide Mind</t>
  </si>
  <si>
    <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t>
  </si>
  <si>
    <t>&lt;p&gt;You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level.&lt;/p&gt;</t>
  </si>
  <si>
    <t>&lt;link rel="stylesheet"href="PF.css"&gt;&lt;div class="heading"&gt;&lt;p class="alignleft"&gt;Divide Mind&lt;/p&gt;&lt;div style="clear: both;"&gt;&lt;/div&gt;&lt;/div&gt;&lt;div&gt;&lt;h5&gt;&lt;b&gt;School &lt;/b&gt;enchantment [mind-affecting]; &lt;b&gt;Level &lt;/b&gt;psychic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minute&lt;/h5&gt;&lt;h5&gt;&lt;b&gt;Saving Throw &lt;/b&gt;none; &lt;b&gt;Spell Resistance &lt;/b&gt;no&lt;/h5&gt;&lt;/div&gt;&lt;hr/&gt;&lt;div&gt;&lt;h5&gt;&lt;b&gt;DESCRIPTION&lt;/b&gt;&lt;/h5&gt;&lt;/div&gt;&lt;hr/&gt;&lt;div&gt;&lt;h4&gt;&lt;p&gt;You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level.&lt;/p&gt;&lt;/h4&gt;&lt;/div&gt;</t>
  </si>
  <si>
    <t>Partition your mind, allowing you to roll twice on Will saves and Int checks, and to take extra mental actions.</t>
  </si>
  <si>
    <t>Dream Council</t>
  </si>
  <si>
    <t>bard 6, medium 4, mesmerist 5, psychic 6, sorcerer/wizard 7</t>
  </si>
  <si>
    <t>one or more living creatures</t>
  </si>
  <si>
    <t>This spell functions as dream, but you and the target of your dream can converse in a limited fashion as long as the recipient is also asleep. You can send or receive a number of dream messages equal to your caster level. Each message can be up to 25 words long or a single vague image that can't convey fine details such as words. You can send and receive these dream messages with a single target or multiple targets, but each message you send or receive counts against the total number of messages allowed. Sending a message takes 1 round. The spell ends and you wake up when you run out of messages.  If you use dream council to send a message to a sleeping creature that has dream or dream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dreamscape. If the sleeping recipient has the Lucid Dreamer feat, it can enter your dreamscape without casting either of those spells. While in the original caster's dreamscape, those involved in the council can interact with one another and that dreamscape for 10 minutes for each message remaining. When that time elapses, the spell ends.</t>
  </si>
  <si>
    <t>&lt;p&gt;This spell functions as &lt;i&gt;dream&lt;/i&gt;, but you and the target of your &lt;i&gt;dream&lt;/i&gt; can converse in a limited fashion as long as the recipient is also asleep. You can send or receive a number of &lt;i&gt;dream&lt;/i&gt; messages equal to your caster level. Each message can be up to 25 words long or a single vague image that can't convey fine details such as words. You can send and receive these &lt;i&gt;dream&lt;/i&gt; messages with a single target or multiple targets, but each message you send or receive counts against the total number of messages allowed. Sending a message takes 1 round. The spell ends and you wake up when you run out of messages.  If you use &lt;i&gt;dream&lt;/i&gt; council to send a message to a sleeping creature that has &lt;i&gt;dream&lt;/i&gt; or &lt;i&gt;dream&lt;/i&gt;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&lt;i&gt;dream&lt;/i&gt;scape. If the sleeping recipient has the Lucid Dreamer feat, it can enter your &lt;i&gt;dream&lt;/i&gt;scape without casting either of those spells. While in the original caster's &lt;i&gt;dream&lt;/i&gt;scape, those involved in the council can interact with one another and that &lt;i&gt;dream&lt;/i&gt;scape for 10 minutes for each message remaining. When that time elapses, the spell ends.&lt;/p&gt;</t>
  </si>
  <si>
    <t>&lt;link rel="stylesheet"href="PF.css"&gt;&lt;div class="heading"&gt;&lt;p class="alignleft"&gt;Dream Council&lt;/p&gt;&lt;div style="clear: both;"&gt;&lt;/div&gt;&lt;/div&gt;&lt;div&gt;&lt;h5&gt;&lt;b&gt;School &lt;/b&gt;illusion (phantasm) [mind-affecting]; &lt;b&gt;Level &lt;/b&gt;bard 6, medium 4, mesmerist 5, psychic 6, sorcerer/wizard 7&lt;/h5&gt;&lt;/div&gt;&lt;hr/&gt;&lt;div&gt;&lt;h5&gt;&lt;b&gt;CASTING&lt;/b&gt;&lt;/h5&gt;&lt;/div&gt;&lt;hr/&gt;&lt;div&gt;&lt;h5&gt;&lt;b&gt;Casting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&lt;/b&gt;one or more living creatures&lt;/h5&gt;&lt;h5&gt;&lt;b&gt;Duration &lt;/b&gt;see text&lt;/h5&gt;&lt;h5&gt;&lt;b&gt;Saving Throw &lt;/b&gt;Will negates; &lt;b&gt;Spell Resistance &lt;/b&gt;yes&lt;/h5&gt;&lt;/div&gt;&lt;hr/&gt;&lt;div&gt;&lt;h5&gt;&lt;b&gt;DESCRIPTION&lt;/b&gt;&lt;/h5&gt;&lt;/div&gt;&lt;hr/&gt;&lt;div&gt;&lt;h4&gt;&lt;p&gt;This spell functions as &lt;i&gt;dream&lt;/i&gt;, but you and the target of your &lt;i&gt;dream&lt;/i&gt; can converse in a limited fashion as long as the recipient is also asleep. You can send or receive a number of &lt;i&gt;dream&lt;/i&gt; messages equal to your caster level. Each message can be up to 25 words long or a single vague image that can't convey fine details such as words. You can send and receive these &lt;i&gt;dream&lt;/i&gt; messages with a single target or multiple targets, but each message you send or receive counts against the total number of messages allowed. Sending a message takes 1 round. The spell ends and you wake up when you run out of messages.  If you use &lt;i&gt;dream&lt;/i&gt; council to send a message to a sleeping creature that has &lt;i&gt;dream&lt;/i&gt; or &lt;i&gt;dream&lt;/i&gt;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&lt;i&gt;dream&lt;/i&gt;scape. If the sleeping recipient has the Lucid Dreamer feat, it can enter your &lt;i&gt;dream&lt;/i&gt;scape without casting either of those spells. While in the original caster's &lt;i&gt;dream&lt;/i&gt;scape, those involved in the council can interact with one another and that &lt;i&gt;dream&lt;/i&gt;scape for 10 minutes for each message remaining. When that time elapses, the spell ends.&lt;/p&gt;&lt;/h4&gt;&lt;/div&gt;</t>
  </si>
  <si>
    <t>Communicate with multiple sleeping creatures.</t>
  </si>
  <si>
    <t>Dream Scan</t>
  </si>
  <si>
    <t>bard 6, medium 4, mesmerist 5, psychic 5, sorcerer/wizard 6</t>
  </si>
  <si>
    <t>This spell functions as dream, but rather than sending a message to a sleeping target, you can instead read the target's thoughts. The target must be asleep for you to perform a dream scan, though if the target isn't asleep, you can wait in a trance until your target falls asleep. Once the target is asleep, you can concentrate in order to read its surface thoughts as if using detect thoughts. You can continue concentrating for up to 1 minute per caster level.  Instead of reading surface thoughts, you can choose to scan the target's dreams and subconscious mind for the answers to questions. For every minute you spend concentrating, you can obtain the answer to one question,  though the answers might be brief, cryptic, or repetitive. The target is entitled to a new Will save to end the dream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dreams- you draw a false conclusion of the target's choice and believe that wrong answer to be true.  Unlike with dream, you can't cast this spell on another creature to have it serve as your messenger.</t>
  </si>
  <si>
    <t>&lt;p&gt;This spell functions as &lt;i&gt;dream&lt;/i&gt;, but rather than sending a message to a sleeping target, you can instead read the target's thoughts. The target must be asleep for you to perform a &lt;i&gt;dream&lt;/i&gt; scan, though if the target isn't asleep, you can wait in a trance until your target falls asleep. Once the target is asleep, you can concentrate in order to read its surface thoughts as if using &lt;i&gt;detect thoughts&lt;/i&gt;. You can continue concentrating for up to 1 minute per caster level.  Instead of reading surface thoughts, you can choose to scan the target's &lt;i&gt;dream&lt;/i&gt;s and subconscious mind for the answers to questions. For every minute you spend concentrating, you can obtain the answer to one question,  though the answers might be brief, cryptic, or repetitive. The target is entitled to a new Will save to end the &lt;i&gt;dream&lt;/i&gt;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&lt;i&gt;dream&lt;/i&gt;s- you draw a false conclusion of the target's choice and believe that wrong answer to be true.  Unlike with &lt;i&gt;dream&lt;/i&gt;, you can't cast this spell on another creature to have it serve as your messenger.&lt;/p&gt;</t>
  </si>
  <si>
    <t>&lt;link rel="stylesheet"href="PF.css"&gt;&lt;div class="heading"&gt;&lt;p class="alignleft"&gt;Dream Scan&lt;/p&gt;&lt;div style="clear: both;"&gt;&lt;/div&gt;&lt;/div&gt;&lt;div&gt;&lt;h5&gt;&lt;b&gt;School &lt;/b&gt;divination [mind-affecting]; &lt;b&gt;Level &lt;/b&gt;bard 6, medium 4, mesmerist 5, psychic 5, sorcerer/wizard 6&lt;/h5&gt;&lt;/div&gt;&lt;hr/&gt;&lt;div&gt;&lt;h5&gt;&lt;b&gt;CASTING&lt;/b&gt;&lt;/h5&gt;&lt;/div&gt;&lt;hr/&gt;&lt;div&gt;&lt;h5&gt;&lt;b&gt;Casting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&lt;/b&gt;one living creature&lt;/h5&gt;&lt;h5&gt;&lt;b&gt;Duration &lt;/b&gt;see text&lt;/h5&gt;&lt;h5&gt;&lt;b&gt;Saving Throw &lt;/b&gt;Will negates; &lt;b&gt;Spell Resistance &lt;/b&gt;yes&lt;/h5&gt;&lt;/div&gt;&lt;hr/&gt;&lt;div&gt;&lt;h5&gt;&lt;b&gt;DESCRIPTION&lt;/b&gt;&lt;/h5&gt;&lt;/div&gt;&lt;hr/&gt;&lt;div&gt;&lt;h4&gt;&lt;p&gt;This spell functions as &lt;i&gt;dream&lt;/i&gt;, but rather than sending a message to a sleeping target, you can instead read the target's thoughts. The target must be asleep for you to perform a &lt;i&gt;dream&lt;/i&gt; scan, though if the target isn't asleep, you can wait in a trance until your target falls asleep. Once the target is asleep, you can concentrate in order to read its surface thoughts as if using &lt;i&gt;detect thoughts&lt;/i&gt;. You can continue concentrating for up to 1 minute per caster level.  Instead of reading surface thoughts, you can choose to scan the target's &lt;i&gt;dream&lt;/i&gt;s and subconscious mind for the answers to questions. For every minute you spend concentrating, you can obtain the answer to one question,  though the answers might be brief, cryptic, or repetitive. The target is entitled to a new Will save to end the &lt;i&gt;dream&lt;/i&gt;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&lt;i&gt;dream&lt;/i&gt;s- you draw a false conclusion of the target's choice and believe that wrong answer to be true.  Unlike with &lt;i&gt;dream&lt;/i&gt;, you can't cast this spell on another creature to have it serve as your messenger.&lt;/p&gt;&lt;/h4&gt;&lt;/div&gt;</t>
  </si>
  <si>
    <t>Read a dreaming creature’s thoughts.</t>
  </si>
  <si>
    <t>Dream Travel</t>
  </si>
  <si>
    <t>mesmerist 6, psychic 6</t>
  </si>
  <si>
    <t>you and one creature/level</t>
  </si>
  <si>
    <t>You and the other targets of the spell are physically drawn from the Material Plane into the Dimension of Dreams on a voyage into the dreams of a creature you designate. In the Dimension of Dreams, you move through a swirling sea of thoughts, desires, and emotions created by the minds of dreamers everywhere to reach your destination dreamscape. Reaching the destination dreamscape takes 1 hour. At any point before the spell's duration ends, you can dismiss the spell to return to where you started on the Material Plane. The connection between dreams and reality is inherently tenuous, and your ability to arrive precisely where you mean to is dependent on your familiarity with the dreamer you're trying to find. To determine how accurate your arrival is at the end of your dream travel, roll d% on the following table.  On Off Dreamscape Familiarity Target Target Other Mishap  Very familiar 1-97 98-99 100 -  Somewhat familiar 1-94 95-97 98-99 100  Known creature 1-88 89-94 95-98 99-100  Not well known 1-76 77-88 89-96 97-100  False identity - - 81-92 93-100  Familiarity: "Very familiar" means that you have had contact using dream, dream council, dream scan, or a similar spell within the past 24 hours with the creature whose dreamscape you are trying to locate. "Somewhat familiar" means that you have had contact with the dreaming character using one of those spells at least once in the past. "Known creature" means that while you know the creature whose dreamscape you're trying to locate, you have not connected to its dreams with those spells. "Not well known" is a creature you have heard of, know by name and true identity, but have never met.  "False identity" means that whether or not you have met the creature, you know it only through a false identity. When trying to locate the dreamscape of a creature known to you through a false identity, roll 1d20 + 80 on the table to obtain your results (instead of rolling d%), since there is no way for you to pinpoint the correct dreamscape.  On Target: You travel to the correct creature's current dreamscape.  Off Target: You travel to an area near the target dreamscape on the Ethereal Plane.  Other Dreamscape: You travel to a similar creature's dreamscape on the Dimension of Dreams.  Mishap: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dream travel, you and your companions all arrive at the same location (except in the case of a mishap). Mindless creatures can't use dream travel, nor can creatures that can't dream.  You might be able to exit the dream near the creature on its home plane. If you and the other creatures are still in a dream when the dreamer wakes up, the dreamer can decide to bring you out onto its plane within 1d10 miles of itself. If it chooses not to, you and the other travelers are pushed into another dreamscape or onto the Ethereal Plane. The spell ends when the creature wakes up, so you no longer have the option to dismiss the spell and return home. However, you do get enough warning that a spell is about to end that you can dismiss it before the dreamer awakens and decides whether to allow you to arrive at its location.  You can use dream travel to travel to the dream of a creature on another plane, but this requires trekking through the dreams of outsiders. It takes 1d4+1 hours of uninterrupted travel to reach the destination dream, and each traveler must succeed at a Will save each hour spent traveling in this fashion. The DC of this save is 10 for the first hour, and increases by 5 for each hour thereafter. If a creature fails this saving throw, it becomes shaken for the remainder of the dream travel and for a number of hours thereafter equal to the amount of time spent using dream travel to reach the destination plane. After the first time a creature fails the saving throw, one of the following effects occurs (determined randomly by the GM). These effects are considered emotion effects, in addition to any other descriptors that apply.  d6 Result  1 Creature contracts cackle fever or mindfire (equal chance of either; see page 557 of the Pathfinder RPG Core Rulebook).  2 Creature is cursed, as bestow curse; if the creature is a spellcaster, it instead acquires a random minor spellblight (Pathfinder RPG Ultimate Magic 94).  3 Creature is attacked by a phantasmal killer, and is treated  as having failed the initial saving throw to disbelieve it. The Fortitude save DC is equal to the Will save DC that the creature failed.  4 Creature is possessed as possession (see page 181) by an outsider (50% chance to be a creature from the destination plane; otherwise, it is a random hostile outsider).  5 Creature is affected as feeblemind.  6 Creature is affected as insanity.  Traveling to a different planar destination decreases the accuracy of your dream transit. If you exit a creature's dream onto a plane different from the plane you started on, you end up in a random location on the destination plane.  If the target of your dream travel isn't dreaming, you and the other travelers can wait on the Dimension of Dreams until that creature begins sleeping. For each hour that passes during this wait, each dream traveler must attempt a Will save as if it were traveling to reach another plane.</t>
  </si>
  <si>
    <t>&lt;p&gt;You and the other targets of the spell are physically drawn from the Material Plane into the Dimension of Dreams on a voyage into the &lt;i&gt;dream&lt;/i&gt;s of a creature you designate. In the Dimension of Dreams, you move through a swirling sea of thoughts, desires, and emotions created by the minds of &lt;i&gt;dream&lt;/i&gt;ers everywhere to reach your destination &lt;i&gt;dream&lt;/i&gt;scape. Reaching the destination &lt;i&gt;dream&lt;/i&gt;scape takes 1 hour. At any point before the spell's duration ends, you can dismiss the spell to return to where you started on the Material Plane. The connection between &lt;i&gt;dream&lt;/i&gt;s and reality is inherently tenuous, and your ability to arrive precisely where you mean to is dependent on your familiarity with the &lt;i&gt;dream&lt;/i&gt;er you're trying to find. To determine how accurate your arrival is at the end of your &lt;i&gt;&lt;i&gt;dream&lt;/i&gt; travel&lt;/i&gt;, roll d% on the following table.     &lt;table border ='1'&gt;&lt;tr&gt;&lt;th&gt;Familiarity&lt;/th&gt;&lt;th&gt;On Target&lt;/th&gt;&lt;th&gt;Off Target&lt;/th&gt;&lt;th&gt;Other&lt;/th&gt;&lt;th&gt;Dreamscape Mishap&lt;/th&gt;&lt;/tr&gt;&lt;tr&gt;&lt;td&gt;Very familiar&lt;/td&gt;&lt;td&gt;1-97&lt;/td&gt;&lt;td&gt;98-99&lt;/td&gt;&lt;td&gt;100&lt;/td&gt;&lt;td&gt;-&lt;/td&gt;&lt;/tr&gt;&lt;tr&gt;&lt;td&gt;Somewhat familiar&lt;/td&gt;&lt;td&gt;1-94&lt;/td&gt;&lt;td&gt;95-97&lt;/td&gt;&lt;td&gt;98-99&lt;/td&gt;&lt;td&gt;100&lt;/td&gt;&lt;/tr&gt;&lt;tr&gt;&lt;td&gt;Known creature&lt;/td&gt;&lt;td&gt;1-88&lt;/td&gt;&lt;td&gt;89-94&lt;/td&gt;&lt;td&gt;95-98&lt;/td&gt;&lt;td&gt;99-100&lt;/td&gt;&lt;/tr&gt;&lt;tr&gt;&lt;td&gt;Not well known&lt;/td&gt;&lt;td&gt;1-76&lt;/td&gt;&lt;td&gt;77-88&lt;/td&gt;&lt;td&gt;89-96&lt;/td&gt;&lt;td&gt;97-100&lt;/td&gt;&lt;/tr&gt;&lt;tr&gt;&lt;td&gt;False identity&lt;/td&gt;&lt;td&gt;-&lt;/td&gt;&lt;td&gt;-&lt;/td&gt;&lt;td&gt;81-92&lt;/td&gt;&lt;td&gt;93-100&lt;/td&gt;&lt;/tr&gt;&lt;/table&gt;     &lt;br&gt;&lt;b&gt;Familiarity&lt;/b&gt;: "Very familiar" means that you have had contact using &lt;i&gt;dream&lt;/i&gt;, &lt;i&gt;dream&lt;/i&gt; council, &lt;i&gt;dream&lt;/i&gt; scan, or a similar spell within the past 24 hours with the creature whose &lt;i&gt;dream&lt;/i&gt;scape you are trying to locate. "Somewhat familiar" means that you have had contact with the &lt;i&gt;dream&lt;/i&gt;ing character using one of those spells at least once in the past. "Known creature" means that while you know the creature whose &lt;i&gt;dream&lt;/i&gt;scape you're trying to locate, you have not connected to its &lt;i&gt;dream&lt;/i&gt;s with those spells. "Not well known" is a creature you have heard of, know by name and true identity, but have never met.  "False identity" means that whether or not you have met the creature, you know it only through a false identity. When trying to locate the &lt;i&gt;dream&lt;/i&gt;scape of a creature known to you through a false identity, roll 1d20 + 80 on the table to obtain your results (instead of rolling d%), since there is no way for you to pinpoint the correct &lt;i&gt;dream&lt;/i&gt;scape.  &lt;br&gt;&lt;b&gt;On Target&lt;/b&gt;: You travel to the correct creature's current &lt;i&gt;dream&lt;/i&gt;scape.  &lt;br&gt;&lt;b&gt;Off Target&lt;/b&gt;: You travel to an area near the target &lt;i&gt;dream&lt;/i&gt;scape on the Ethereal Plane.  &lt;br&gt;&lt;b&gt;Other&lt;/b&gt; &lt;b&gt;Dreamscape&lt;/b&gt;: You travel to a similar creature's &lt;i&gt;dream&lt;/i&gt;scape on the Dimension of Dreams.  &lt;br&gt;&lt;b&gt;Mishap&lt;/b&gt;: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&lt;i&gt;&lt;i&gt;dream&lt;/i&gt; travel&lt;/i&gt;, you and your companions all arrive at the same location (except in the case of a mishap). Mindless creatures can't use &lt;i&gt;&lt;i&gt;dream&lt;/i&gt; travel&lt;/i&gt;, nor can creatures that can't &lt;i&gt;dream&lt;/i&gt;.  You might be able to exit the &lt;i&gt;dream&lt;/i&gt; near the creature on its home plane. If you and the other creatures are still in a &lt;i&gt;dream&lt;/i&gt; when the &lt;i&gt;dream&lt;/i&gt;er wakes up, the &lt;i&gt;dream&lt;/i&gt;er can decide to bring you out onto its plane within 1d10 miles of itself. If it chooses not to, you and the other travelers are pushed into another &lt;i&gt;dream&lt;/i&gt;scape or onto the Ethereal Plane. The spell ends when the creature wakes up, so you no longer have the option to dismiss the spell and return home. However, you do get enough warning that a spell is about to end that you can dismiss it before the &lt;i&gt;dream&lt;/i&gt;er awakens and decides whether to allow you to arrive at its location.  You can use &lt;i&gt;&lt;i&gt;dream&lt;/i&gt; travel&lt;/i&gt; to travel to the &lt;i&gt;dream&lt;/i&gt; of a creature on another plane, but this requires trekking through the &lt;i&gt;dream&lt;/i&gt;s of outsiders. It takes 1d4+1 hours of uninterrupted travel to reach the destination &lt;i&gt;dream&lt;/i&gt;, and each traveler must succeed at a Will save each hour spent traveling in this fashion. The DC of this save is 10 for the first hour, and increases by 5 for each hour thereafter. If a creature fails this saving throw, it becomes shaken for the remainder of the &lt;i&gt;&lt;i&gt;dream&lt;/i&gt; travel&lt;/i&gt; and for a number of hours thereafter equal to the amount of time spent using &lt;i&gt;&lt;i&gt;dream&lt;/i&gt; travel&lt;/i&gt; to reach the destination plane. After the first time a creature fails the saving throw, one of the following effects occurs (determined randomly by the GM). These effects are considered emotion effects, in addition to any other descriptors that apply.   &lt;table border ='1'&gt;&lt;tr&gt;&lt;th&gt;d6&lt;/th&gt;&lt;th&gt;Result&lt;/th&gt;&lt;/tr&gt;&lt;tr&gt;&lt;td&gt;1&lt;/td&gt;&lt;td&gt;Creature contracts cackle fever or mindfire (equal chance of either; see page 557 of the Pathfinder RPG Core Rulebook).&lt;/td&gt;&lt;/tr&gt;&lt;tr&gt;&lt;td&gt;2&lt;/td&gt;&lt;td&gt;Creature is cursed, as bestow curse; if the creature is a spellcaster, it instead acquires a random minor spellblight (Pathfinder RPG Ultimate Magic 94).&lt;/td&gt;&lt;/tr&gt;&lt;tr&gt;&lt;td&gt;3&lt;/td&gt;&lt;td&gt;Creature is attacked by a phantasmal killer, and is treated as having failed the initial saving throw to disbelieve it. The Fortitude save DC is equal to the Will save DC that the creature failed.&lt;/td&gt;&lt;/tr&gt;&lt;tr&gt;&lt;td&gt;4&lt;/td&gt;&lt;td&gt;Creature is possessed as possession (see page 181) by an outsider (50% chance to be a creature from the destination plane; otherwise, it is a random hostile outsider).&lt;/td&gt;&lt;/tr&gt;&lt;tr&gt;&lt;td&gt;5&lt;/td&gt;&lt;td&gt;Creature is affected as feeblemind.&lt;/td&gt;&lt;/tr&gt;&lt;tr&gt;&lt;td&gt;6&lt;/td&gt;&lt;td&gt;Creature is affected as insanity.&lt;/td&gt;&lt;/tr&gt;&lt;/table&gt;   Traveling to a different planar destination decreases the accuracy of your &lt;i&gt;dream&lt;/i&gt; transit. If you exit a creature's &lt;i&gt;dream&lt;/i&gt; onto a plane different from the plane you started on, you end up in a random location on the destination plane.  If the target of your &lt;i&gt;&lt;i&gt;dream&lt;/i&gt; travel&lt;/i&gt; isn't &lt;i&gt;dream&lt;/i&gt;ing, you and the other travelers can wait on the Dimension of Dreams until that creature begins sleeping. For each hour that passes during this wait, each &lt;i&gt;&lt;i&gt;dream&lt;/i&gt; travel&lt;/i&gt;er must attempt a Will save as if it were traveling to reach another plane.&lt;/p&gt;</t>
  </si>
  <si>
    <t>&lt;link rel="stylesheet"href="PF.css"&gt;&lt;div class="heading"&gt;&lt;p class="alignleft"&gt;Dream Travel&lt;/p&gt;&lt;div style="clear: both;"&gt;&lt;/div&gt;&lt;/div&gt;&lt;div&gt;&lt;h5&gt;&lt;b&gt;School &lt;/b&gt;conjuration (teleportation) [mind-affecting]; &lt;b&gt;Level &lt;/b&gt;mesmerist 6, psychic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creature/level&lt;/h5&gt;&lt;h5&gt;&lt;b&gt;Duration &lt;/b&gt;1 hour/level (D)&lt;/h5&gt;&lt;h5&gt;&lt;b&gt;Saving Throw &lt;/b&gt;Will negates; &lt;b&gt;Spell Resistance &lt;/b&gt;yes&lt;/h5&gt;&lt;/div&gt;&lt;hr/&gt;&lt;div&gt;&lt;h5&gt;&lt;b&gt;DESCRIPTION&lt;/b&gt;&lt;/h5&gt;&lt;/div&gt;&lt;hr/&gt;&lt;div&gt;&lt;h4&gt;&lt;p&gt;You and the other targets of the spell are physically drawn from the Material Plane into the Dimension of Dreams on a voyage into the &lt;i&gt;dream&lt;/i&gt;s of a creature you designate. In the Dimension of Dreams, you move through a swirling sea of thoughts, desires, and emotions created by the minds of &lt;i&gt;dream&lt;/i&gt;ers everywhere to reach your destination &lt;i&gt;dream&lt;/i&gt;scape. Reaching the destination &lt;i&gt;dream&lt;/i&gt;scape takes 1 hour. At any point before the spell's duration ends, you can dismiss the spell to return to where you started on the Material Plane. The connection between &lt;i&gt;dream&lt;/i&gt;s and reality is inherently tenuous, and your ability to arrive precisely where you mean to is dependent on your familiarity with the &lt;i&gt;dream&lt;/i&gt;er you're trying to find. To determine how accurate your arrival is at the end of your &lt;i&gt;&lt;i&gt;dream&lt;/i&gt; travel&lt;/i&gt;, roll d% on the following table.     &lt;table border ='1'&gt;&lt;tr&gt;&lt;th&gt;Familiarity&lt;/th&gt;&lt;th&gt;On Target&lt;/th&gt;&lt;th&gt;Off Target&lt;/th&gt;&lt;th&gt;Other&lt;/th&gt;&lt;th&gt;Dreamscape Mishap&lt;/th&gt;&lt;/tr&gt;&lt;tr&gt;&lt;td&gt;Very familiar&lt;/td&gt;&lt;td&gt;1-97&lt;/td&gt;&lt;td&gt;98-99&lt;/td&gt;&lt;td&gt;100&lt;/td&gt;&lt;td&gt;-&lt;/td&gt;&lt;/tr&gt;&lt;tr&gt;&lt;td&gt;Somewhat familiar&lt;/td&gt;&lt;td&gt;1-94&lt;/td&gt;&lt;td&gt;95-97&lt;/td&gt;&lt;td&gt;98-99&lt;/td&gt;&lt;td&gt;100&lt;/td&gt;&lt;/tr&gt;&lt;tr&gt;&lt;td&gt;Known creature&lt;/td&gt;&lt;td&gt;1-88&lt;/td&gt;&lt;td&gt;89-94&lt;/td&gt;&lt;td&gt;95-98&lt;/td&gt;&lt;td&gt;99-100&lt;/td&gt;&lt;/tr&gt;&lt;tr&gt;&lt;td&gt;Not well known&lt;/td&gt;&lt;td&gt;1-76&lt;/td&gt;&lt;td&gt;77-88&lt;/td&gt;&lt;td&gt;89-96&lt;/td&gt;&lt;td&gt;97-100&lt;/td&gt;&lt;/tr&gt;&lt;tr&gt;&lt;td&gt;False identity&lt;/td&gt;&lt;td&gt;-&lt;/td&gt;&lt;td&gt;-&lt;/td&gt;&lt;td&gt;81-92&lt;/td&gt;&lt;td&gt;93-100&lt;/td&gt;&lt;/tr&gt;&lt;/table&gt;    &lt;br&gt;&lt;b&gt;Familiarity&lt;/b&gt;: "Very familiar" means that you have had contact using &lt;i&gt;dream&lt;/i&gt;, &lt;i&gt;dream&lt;/i&gt; council, &lt;i&gt;dream&lt;/i&gt; scan, or a similar spell within the past 24 hours with the creature whose &lt;i&gt;dream&lt;/i&gt;scape you are trying to locate. "Somewhat familiar" means that you have had contact with the &lt;i&gt;dream&lt;/i&gt;ing character using one of those spells at least once in the past. "Known creature" means that while you know the creature whose &lt;i&gt;dream&lt;/i&gt;scape you're trying to locate, you have not connected to its &lt;i&gt;dream&lt;/i&gt;s with those spells. "Not well known" is a creature you have heard of, know by name and true identity, but have never met.  "False identity" means that whether or not you have met the creature, you know it only through a false identity. When trying to locate the &lt;i&gt;dream&lt;/i&gt;scape of a creature known to you through a false identity, roll 1d20 + 80 on the table to obtain your results (instead of rolling d%), since there is no way for you to pinpoint the correct &lt;i&gt;dream&lt;/i&gt;scape.  &lt;br&gt;&lt;b&gt;On Target&lt;/b&gt;: You travel to the correct creature's current &lt;i&gt;dream&lt;/i&gt;scape.  &lt;br&gt;&lt;b&gt;Off Target&lt;/b&gt;: You travel to an area near the target &lt;i&gt;dream&lt;/i&gt;scape on the Ethereal Plane.  &lt;br&gt;&lt;b&gt;Other&lt;/b&gt; &lt;b&gt;Dreamscape&lt;/b&gt;: You travel to a similar creature's &lt;i&gt;dream&lt;/i&gt;scape on the Dimension of Dreams.  &lt;br&gt;&lt;b&gt;Mishap&lt;/b&gt;: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&lt;i&gt;&lt;i&gt;dream&lt;/i&gt; travel&lt;/i&gt;, you and your companions all arrive at the same location (except in the case of a mishap). Mindless creatures can't use &lt;i&gt;&lt;i&gt;dream&lt;/i&gt; travel&lt;/i&gt;, nor can creatures that can't &lt;i&gt;dream&lt;/i&gt;.  You might be able to exit the &lt;i&gt;dream&lt;/i&gt; near the creature on its home plane. If you and the other creatures are still in a &lt;i&gt;dream&lt;/i&gt; when the &lt;i&gt;dream&lt;/i&gt;er wakes up, the &lt;i&gt;dream&lt;/i&gt;er can decide to bring you out onto its plane within 1d10 miles of itself. If it chooses not to, you and the other travelers are pushed into another &lt;i&gt;dream&lt;/i&gt;scape or onto the Ethereal Plane. The spell ends when the creature wakes up, so you no longer have the option to dismiss the spell and return home. However, you do get enough warning that a spell is about to end that you can dismiss it before the &lt;i&gt;dream&lt;/i&gt;er awakens and decides whether to allow you to arrive at its location.  You can use &lt;i&gt;&lt;i&gt;dream&lt;/i&gt; travel&lt;/i&gt; to travel to the &lt;i&gt;dream&lt;/i&gt; of a creature on another plane, but this requires trekking through the &lt;i&gt;dream&lt;/i&gt;s of outsiders. It takes 1d4+1 hours of uninterrupted travel to reach the destination &lt;i&gt;dream&lt;/i&gt;, and each traveler must succeed at a Will save each hour spent traveling in this fashion. The DC of this save is 10 for the first hour, and increases by 5 for each hour thereafter. If a creature fails this saving throw, it becomes shaken for the remainder of the &lt;i&gt;&lt;i&gt;dream&lt;/i&gt; travel&lt;/i&gt; and for a number of hours thereafter equal to the amount of time spent using &lt;i&gt;&lt;i&gt;dream&lt;/i&gt; travel&lt;/i&gt; to reach the destination plane. After the first time a creature fails the saving throw, one of the following effects occurs (determined randomly by the GM). These effects are considered emotion effects, in addition to any other descriptors that apply.     &lt;table border ='1'&gt;&lt;tr&gt;&lt;th&gt;d6&lt;/th&gt;&lt;th&gt;Result&lt;/th&gt;&lt;/tr&gt;&lt;tr&gt;&lt;td&gt;1&lt;/td&gt;&lt;td&gt;Creature contracts cackle fever or mindfire (equal chance of either; see page 557 of the Pathfinder RPG Core Rulebook).&lt;/td&gt;&lt;/tr&gt;&lt;tr&gt;&lt;td&gt;2&lt;/td&gt;&lt;td&gt;Creature is cursed, as bestow curse; if the creature is a spellcaster, it instead acquires a random minor spellblight (Pathfinder RPG Ultimate Magic 94).&lt;/td&gt;&lt;/tr&gt;&lt;tr&gt;&lt;td&gt;3&lt;/td&gt;&lt;td&gt;Creature is attacked by a phantasmal killer, and is treated as having failed the initial saving throw to disbelieve it. The Fortitude save DC is equal to the Will save DC that the creature failed.&lt;/td&gt;&lt;/tr&gt;&lt;tr&gt;&lt;td&gt;4&lt;/td&gt;&lt;td&gt;Creature is possessed as possession (see page 181) by an outsider (50% chance to be a creature from the destination plane; otherwise, it is a random hostile outsider).&lt;/td&gt;&lt;/tr&gt;&lt;tr&gt;&lt;td&gt;5&lt;/td&gt;&lt;td&gt;Creature is affected as feeblemind.&lt;/td&gt;&lt;/tr&gt;&lt;tr&gt;&lt;td&gt;6&lt;/td&gt;&lt;td&gt;Creature is affected as insanity.&lt;/td&gt;&lt;/tr&gt;&lt;/table&gt;     Traveling to a different planar destination decreases the accuracy of your &lt;i&gt;dream&lt;/i&gt; transit. If you exit a creature's &lt;i&gt;dream&lt;/i&gt; onto a plane different from the plane you started on, you end up in a random location on the destination plane.  If the target of your &lt;i&gt;&lt;i&gt;dream&lt;/i&gt; travel&lt;/i&gt; isn't &lt;i&gt;dream&lt;/i&gt;ing, you and the other travelers can wait on the Dimension of Dreams until that creature begins sleeping. For each hour that passes during this wait, each &lt;i&gt;&lt;i&gt;dream&lt;/i&gt; travel&lt;/i&gt;er must attempt a Will save as if it were traveling to reach another plane.&lt;/p&gt;&lt;/h4&gt;&lt;/div&gt;</t>
  </si>
  <si>
    <t>Venture into the Dimension of Dreams to enter the dreams of a designated creature, then exit near that creature’s body on the plane where it lies sleeping.</t>
  </si>
  <si>
    <t>Dream Voyage</t>
  </si>
  <si>
    <t>This spell functions as dream travel,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dream travel,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dream travel.  Creatures that disembark from your vehicle can either enter the dreamscape or exit to the plane where the dreamer's body lies, arriving within 1 mile of the dreamer's body. All creatures that disembark from the vehicle onto a plane at the same time arrive in the same place. The dreamer can't prevent the dream voyagers from entering its dream, but can attempt a Will save to prevent a group of creatures from exiting to the plane where its body resides.  The psychic vehicle remains in the dream for the remainder of the spell's duration, even if it's unoccupied. A creature adjacent to the dreamer can reenter the dream vessel as a full-round action through an illusory portal only subjects of the spell can see. You can return the vessel to the point where you cast dream voyage to allow any number of passengers to return to that plane, and can return it to the dream again. Either of these trips takes the same amount of time as the initial travel, and can be done any number of times within the spell's duration. If the vessel moves out of a dreamscape, companions left behind can't return to the vessel by being near the dreamer. If a companion is killed, its body doesn't return to the dream voyage unless you carry it with you, just like any other object.  If the dreamer awakens while the dream vessel is still in its dream, it can allow the dream travelers to exit or not (as with dream travel). The dream vessel remains intact in the Dimension of Dreams for the spell's duration even if it's untethered from a  dream. It drifts through dreams when this happens, and you can't pilot it to another dream (even a dream of the initial dreamer if that creature begins dreaming again). If you dismiss the spell at any time, you and all subjects within the dream vessel return to where you started on the Material Plane.  You can increase the number of companions you can bring on a dream voyage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dream voyage begins; however, its duration is reduced to 1 hour.</t>
  </si>
  <si>
    <t>&lt;p&gt;This spell functions as &lt;i&gt;&lt;i&gt;dream&lt;/i&gt; travel&lt;/i&gt;,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&lt;i&gt;&lt;i&gt;dream&lt;/i&gt; travel&lt;/i&gt;,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&lt;i&gt;&lt;i&gt;dream&lt;/i&gt; travel&lt;/i&gt;.  Creatures that disembark from your vehicle can either enter the &lt;i&gt;dream&lt;/i&gt;scape or exit to the plane where the &lt;i&gt;dream&lt;/i&gt;er's body lies, arriving within 1 mile of the &lt;i&gt;dream&lt;/i&gt;er's body. All creatures that disembark from the vehicle onto a plane at the same time arrive in the same place. The &lt;i&gt;dream&lt;/i&gt;er can't prevent the &lt;i&gt;&lt;i&gt;dream&lt;/i&gt; voyage&lt;/i&gt;rs from entering its &lt;i&gt;dream&lt;/i&gt;, but can attempt a Will save to prevent a group of creatures from exiting to the plane where its body resides.  The psychic vehicle remains in the &lt;i&gt;dream&lt;/i&gt; for the remainder of the spell's duration, even if it's unoccupied. A creature adjacent to the &lt;i&gt;dream&lt;/i&gt;er can reenter the &lt;i&gt;dream&lt;/i&gt; vessel as a full-round action through an illusory portal only subjects of the spell can see. You can return the vessel to the point where you cast &lt;i&gt;&lt;i&gt;dream&lt;/i&gt; voyage&lt;/i&gt; to allow any number of passengers to return to that plane, and can return it to the &lt;i&gt;dream&lt;/i&gt; again. Either of these trips takes the same amount of time as the initial travel, and can be done any number of times within the spell's duration. If the vessel moves out of a &lt;i&gt;dream&lt;/i&gt;scape, companions left behind can't return to the vessel by being near the &lt;i&gt;dream&lt;/i&gt;er. If a companion is killed, its body doesn't return to the &lt;i&gt;&lt;i&gt;dream&lt;/i&gt; voyage&lt;/i&gt; unless you carry it with you, just like any other object.  If the &lt;i&gt;dream&lt;/i&gt;er awakens while the &lt;i&gt;dream&lt;/i&gt; vessel is still in its &lt;i&gt;dream&lt;/i&gt;, it can allow the &lt;i&gt;&lt;i&gt;dream&lt;/i&gt; travel&lt;/i&gt;ers to exit or not (as with &lt;i&gt;&lt;i&gt;dream&lt;/i&gt; travel&lt;/i&gt;). The &lt;i&gt;dream&lt;/i&gt; vessel remains intact in the Dimension of Dreams for the spell's duration even if it's untethered from a  &lt;i&gt;dream&lt;/i&gt;. It drifts through &lt;i&gt;dream&lt;/i&gt;s when this happens, and you can't pilot it to another &lt;i&gt;dream&lt;/i&gt; (even a &lt;i&gt;dream&lt;/i&gt; of the initial &lt;i&gt;dream&lt;/i&gt;er if that creature begins &lt;i&gt;dream&lt;/i&gt;ing again). If you dismiss the spell at any time, you and all subjects within the &lt;i&gt;dream&lt;/i&gt; vessel return to where you started on the Material Plane.  You can increase the number of companions you can bring on a &lt;i&gt;&lt;i&gt;dream&lt;/i&gt; voyage&lt;/i&gt;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&lt;i&gt;&lt;i&gt;dream&lt;/i&gt; voyage&lt;/i&gt; begins; however, its duration is reduced to 1 hour.&lt;/p&gt;</t>
  </si>
  <si>
    <t>&lt;link rel="stylesheet"href="PF.css"&gt;&lt;div class="heading"&gt;&lt;p class="alignleft"&gt;Dream Voyage&lt;/p&gt;&lt;div style="clear: both;"&gt;&lt;/div&gt;&lt;/div&gt;&lt;div&gt;&lt;h5&gt;&lt;b&gt;School &lt;/b&gt;conjuration (teleportation) [mind-affecting]; &lt;b&gt;Level &lt;/b&gt;psychic 9&lt;/h5&gt;&lt;/div&gt;&lt;hr/&gt;&lt;div&gt;&lt;h5&gt;&lt;b&gt;CASTING&lt;/b&gt;&lt;/h5&gt;&lt;/div&gt;&lt;hr/&gt;&lt;div&gt;&lt;h5&gt;&lt;b&gt;Casting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creature/level&lt;/h5&gt;&lt;h5&gt;&lt;b&gt;Duration &lt;/b&gt;1 hour/level (D)&lt;/h5&gt;&lt;h5&gt;&lt;b&gt;Saving Throw &lt;/b&gt;Will negates; &lt;b&gt;Spell Resistance &lt;/b&gt;yes&lt;/h5&gt;&lt;/div&gt;&lt;hr/&gt;&lt;div&gt;&lt;h5&gt;&lt;b&gt;DESCRIPTION&lt;/b&gt;&lt;/h5&gt;&lt;/div&gt;&lt;hr/&gt;&lt;div&gt;&lt;h4&gt;&lt;p&gt;This spell functions as &lt;i&gt;&lt;i&gt;dream&lt;/i&gt; travel&lt;/i&gt;,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&lt;i&gt;&lt;i&gt;dream&lt;/i&gt; travel&lt;/i&gt;,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&lt;i&gt;&lt;i&gt;dream&lt;/i&gt; travel&lt;/i&gt;.  Creatures that disembark from your vehicle can either enter the &lt;i&gt;dream&lt;/i&gt;scape or exit to the plane where the &lt;i&gt;dream&lt;/i&gt;er's body lies, arriving within 1 mile of the &lt;i&gt;dream&lt;/i&gt;er's body. All creatures that disembark from the vehicle onto a plane at the same time arrive in the same place. The &lt;i&gt;dream&lt;/i&gt;er can't prevent the &lt;i&gt;&lt;i&gt;dream&lt;/i&gt; voyage&lt;/i&gt;rs from entering its &lt;i&gt;dream&lt;/i&gt;, but can attempt a Will save to prevent a group of creatures from exiting to the plane where its body resides.  The psychic vehicle remains in the &lt;i&gt;dream&lt;/i&gt; for the remainder of the spell's duration, even if it's unoccupied. A creature adjacent to the &lt;i&gt;dream&lt;/i&gt;er can reenter the &lt;i&gt;dream&lt;/i&gt; vessel as a full-round action through an illusory portal only subjects of the spell can see. You can return the vessel to the point where you cast &lt;i&gt;&lt;i&gt;dream&lt;/i&gt; voyage&lt;/i&gt; to allow any number of passengers to return to that plane, and can return it to the &lt;i&gt;dream&lt;/i&gt; again. Either of these trips takes the same amount of time as the initial travel, and can be done any number of times within the spell's duration. If the vessel moves out of a &lt;i&gt;dream&lt;/i&gt;scape, companions left behind can't return to the vessel by being near the &lt;i&gt;dream&lt;/i&gt;er. If a companion is killed, its body doesn't return to the &lt;i&gt;&lt;i&gt;dream&lt;/i&gt; voyage&lt;/i&gt; unless you carry it with you, just like any other object.  If the &lt;i&gt;dream&lt;/i&gt;er awakens while the &lt;i&gt;dream&lt;/i&gt; vessel is still in its &lt;i&gt;dream&lt;/i&gt;, it can allow the &lt;i&gt;&lt;i&gt;dream&lt;/i&gt; travel&lt;/i&gt;ers to exit or not (as with &lt;i&gt;&lt;i&gt;dream&lt;/i&gt; travel&lt;/i&gt;). The &lt;i&gt;dream&lt;/i&gt; vessel remains intact in the Dimension of Dreams for the spell's duration even if it's untethered from a  &lt;i&gt;dream&lt;/i&gt;. It drifts through &lt;i&gt;dream&lt;/i&gt;s when this happens, and you can't pilot it to another &lt;i&gt;dream&lt;/i&gt; (even a &lt;i&gt;dream&lt;/i&gt; of the initial &lt;i&gt;dream&lt;/i&gt;er if that creature begins &lt;i&gt;dream&lt;/i&gt;ing again). If you dismiss the spell at any time, you and all subjects within the &lt;i&gt;dream&lt;/i&gt; vessel return to where you started on the Material Plane.  You can increase the number of companions you can bring on a &lt;i&gt;&lt;i&gt;dream&lt;/i&gt; voyage&lt;/i&gt;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&lt;i&gt;&lt;i&gt;dream&lt;/i&gt; voyage&lt;/i&gt; begins; however, its duration is reduced to 1 hour.&lt;/p&gt;&lt;/h4&gt;&lt;/div&gt;</t>
  </si>
  <si>
    <t>As dream travel, but with more flexibility and able to affect more creatures.</t>
  </si>
  <si>
    <t>Ectoplasmic Eruption</t>
  </si>
  <si>
    <t>psychic 7, spiritualist 6</t>
  </si>
  <si>
    <t>Reflex half and Will partial; see text</t>
  </si>
  <si>
    <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t>
  </si>
  <si>
    <t>&lt;p&gt;A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Class.&lt;/p&gt;</t>
  </si>
  <si>
    <t>&lt;link rel="stylesheet"href="PF.css"&gt;&lt;div class="heading"&gt;&lt;p class="alignleft"&gt;Ectoplasmic Eruption&lt;/p&gt;&lt;div style="clear: both;"&gt;&lt;/div&gt;&lt;/div&gt;&lt;div&gt;&lt;h5&gt;&lt;b&gt;School &lt;/b&gt;evocation; &lt;b&gt;Level &lt;/b&gt;psychic 7, spiritualist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&lt;/b&gt;30-ft.-radius burst&lt;/h5&gt;&lt;h5&gt;&lt;b&gt;Duration &lt;/b&gt;1 round/level&lt;/h5&gt;&lt;h5&gt;&lt;b&gt;Saving Throw &lt;/b&gt;Reflex half and Will partial; see text; &lt;b&gt;Spell Resistance &lt;/b&gt;yes&lt;/h5&gt;&lt;/div&gt;&lt;hr/&gt;&lt;div&gt;&lt;h5&gt;&lt;b&gt;DESCRIPTION&lt;/b&gt;&lt;/h5&gt;&lt;/div&gt;&lt;hr/&gt;&lt;div&gt;&lt;h4&gt;&lt;p&gt;A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Class.&lt;/p&gt;&lt;/h4&gt;&lt;/div&gt;</t>
  </si>
  <si>
    <t>Deal 6d6 points of damage and entangle creatures in a 30-ft. radius, and push ethereal and incorporeal creatures onto the Material Plane.</t>
  </si>
  <si>
    <t>Ectoplasm (15)</t>
  </si>
  <si>
    <t>Ethereal (14)</t>
  </si>
  <si>
    <t>Ectoplasmic Snare</t>
  </si>
  <si>
    <t>magus 3, psychic 3, shaman 3, sorcerer/wizard 3, spiritualist 3</t>
  </si>
  <si>
    <t>entangling web of ectoplasm</t>
  </si>
  <si>
    <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t>
  </si>
  <si>
    <t>&lt;p&gt;You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target.&lt;/p&gt;</t>
  </si>
  <si>
    <t>&lt;link rel="stylesheet"href="PF.css"&gt;&lt;div class="heading"&gt;&lt;p class="alignleft"&gt;Ectoplasmic Snare&lt;/p&gt;&lt;div style="clear: both;"&gt;&lt;/div&gt;&lt;/div&gt;&lt;div&gt;&lt;h5&gt;&lt;b&gt;School &lt;/b&gt;evocation; &lt;b&gt;Level &lt;/b&gt;magus 3, psychic 3, shaman 3, sorcerer/wizard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&lt;/b&gt;entangling web of ectoplasm&lt;/h5&gt;&lt;h5&gt;&lt;b&gt;Duration &lt;/b&gt;concentration, up to 1 round/level (D)&lt;/h5&gt;&lt;h5&gt;&lt;b&gt;Saving Throw &lt;/b&gt;Reflex partial; see text; &lt;b&gt;Spell Resistance &lt;/b&gt;yes&lt;/h5&gt;&lt;/div&gt;&lt;hr/&gt;&lt;div&gt;&lt;h5&gt;&lt;b&gt;DESCRIPTION&lt;/b&gt;&lt;/h5&gt;&lt;/div&gt;&lt;hr/&gt;&lt;div&gt;&lt;h4&gt;&lt;p&gt;You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target.&lt;/p&gt;&lt;/h4&gt;&lt;/div&gt;</t>
  </si>
  <si>
    <t>Tendril of ectoplasm grapples a creature and tethers you to it.</t>
  </si>
  <si>
    <t>Ectoplasm (7)</t>
  </si>
  <si>
    <t>Ethereal (6)</t>
  </si>
  <si>
    <t>Ego Whip I</t>
  </si>
  <si>
    <t>psychic 3</t>
  </si>
  <si>
    <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t>
  </si>
  <si>
    <t>&lt;p&gt;You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round.&lt;/p&gt;</t>
  </si>
  <si>
    <t>&lt;link rel="stylesheet"href="PF.css"&gt;&lt;div class="heading"&gt;&lt;p class="alignleft"&gt;Ego Whip I&lt;/p&gt;&lt;div style="clear: both;"&gt;&lt;/div&gt;&lt;/div&gt;&lt;div&gt;&lt;h5&gt;&lt;b&gt;School &lt;/b&gt;enchantment (compulsion) [emotion,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round.&lt;/p&gt;&lt;/h4&gt;&lt;/div&gt;</t>
  </si>
  <si>
    <t>Cause a creature to take a –2 penalty to Int, Wis, or Cha and be staggered for 1 round.</t>
  </si>
  <si>
    <t>Psychic (7)</t>
  </si>
  <si>
    <t>Ego Whip II</t>
  </si>
  <si>
    <t>psychic 4</t>
  </si>
  <si>
    <t>This functions as ego whip I, but the target takes a -4 penalty to the chosen ability score and is staggered for 1d4 rounds on a failed Will save. This spell can be undercast.</t>
  </si>
  <si>
    <t>&lt;p&gt;This functions as &lt;i&gt;ego whip I&lt;/i&gt;, but the target takes a -4 penalty to the chosen ability score and is staggered for 1d4 rounds on a failed Will save. This spell can be undercast.&lt;/p&gt;</t>
  </si>
  <si>
    <t>&lt;link rel="stylesheet"href="PF.css"&gt;&lt;div class="heading"&gt;&lt;p class="alignleft"&gt;Ego Whip II&lt;/p&gt;&lt;div style="clear: both;"&gt;&lt;/div&gt;&lt;/div&gt;&lt;div&gt;&lt;h5&gt;&lt;b&gt;School &lt;/b&gt;enchantment (compulsion) [emotion,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a -4 penalty to the chosen ability score and is staggered for 1d4 rounds on a failed Will save. This spell can be undercast.&lt;/p&gt;&lt;/h4&gt;&lt;/div&gt;</t>
  </si>
  <si>
    <t>As ego whip I, but a –4 penalty and staggered for 1d4 rounds.</t>
  </si>
  <si>
    <t>Ego Whip III</t>
  </si>
  <si>
    <t>psychic 5</t>
  </si>
  <si>
    <t>This functions as ego whip I, but the target takes a -6 penalty to the chosen ability score and is staggered for 1d6 rounds on a failed Will save. This spell can be undercast.</t>
  </si>
  <si>
    <t>&lt;p&gt;This functions as &lt;i&gt;ego whip I&lt;/i&gt;, but the target takes a -6 penalty to the chosen ability score and is staggered for 1d6 rounds on a failed Will save. This spell can be undercast.&lt;/p&gt;</t>
  </si>
  <si>
    <t>&lt;link rel="stylesheet"href="PF.css"&gt;&lt;div class="heading"&gt;&lt;p class="alignleft"&gt;Ego Whip III&lt;/p&gt;&lt;div style="clear: both;"&gt;&lt;/div&gt;&lt;/div&gt;&lt;div&gt;&lt;h5&gt;&lt;b&gt;School &lt;/b&gt;enchantment (compulsion) [emotion,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a -6 penalty to the chosen ability score and is staggered for 1d6 rounds on a failed Will save. This spell can be undercast.&lt;/p&gt;&lt;/h4&gt;&lt;/div&gt;</t>
  </si>
  <si>
    <t>As ego whip I, but a –6 penalty and staggered for 1d6 rounds.</t>
  </si>
  <si>
    <t>Ego Whip IV</t>
  </si>
  <si>
    <t>psychic 6</t>
  </si>
  <si>
    <t>This functions as ego whip I, but the target takes -8 penalty to the chosen ability score and is staggered for 1d8 rounds on a failed Will save. This spell can be undercast.</t>
  </si>
  <si>
    <t>&lt;p&gt;This functions as &lt;i&gt;ego whip I&lt;/i&gt;, but the target takes -8 penalty to the chosen ability score and is staggered for 1d8 rounds on a failed Will save. This spell can be undercast.&lt;/p&gt;</t>
  </si>
  <si>
    <t>&lt;link rel="stylesheet"href="PF.css"&gt;&lt;div class="heading"&gt;&lt;p class="alignleft"&gt;Ego Whip IV&lt;/p&gt;&lt;div style="clear: both;"&gt;&lt;/div&gt;&lt;/div&gt;&lt;div&gt;&lt;h5&gt;&lt;b&gt;School &lt;/b&gt;enchantment (compulsion) [emotion, mind-affecting];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-8 penalty to the chosen ability score and is staggered for 1d8 rounds on a failed Will save. This spell can be undercast.&lt;/p&gt;&lt;/h4&gt;&lt;/div&gt;</t>
  </si>
  <si>
    <t>As ego whip I, but a –8 penalty and staggered for 1d8 rounds.</t>
  </si>
  <si>
    <t>Ego Whip V</t>
  </si>
  <si>
    <t>psychic 7</t>
  </si>
  <si>
    <t>This functions as ego whip I, but the target takes -10 penalty to the chosen ability score and is staggered for 1d10 rounds on a failed Will save. This spell can be undercast.</t>
  </si>
  <si>
    <t>&lt;p&gt;This functions as &lt;i&gt;ego whip I&lt;/i&gt;, but the target takes -10 penalty to the chosen ability score and is staggered for 1d10 rounds on a failed Will save. This spell can be undercast.&lt;/p&gt;</t>
  </si>
  <si>
    <t>&lt;link rel="stylesheet"href="PF.css"&gt;&lt;div class="heading"&gt;&lt;p class="alignleft"&gt;Ego Whip V&lt;/p&gt;&lt;div style="clear: both;"&gt;&lt;/div&gt;&lt;/div&gt;&lt;div&gt;&lt;h5&gt;&lt;b&gt;School &lt;/b&gt;enchantment (compulsion) [emotion, mind-affecting]; &lt;b&gt;Level &lt;/b&gt;psychic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-10 penalty to the chosen ability score and is staggered for 1d10 rounds on a failed Will save. This spell can be undercast.&lt;/p&gt;&lt;/h4&gt;&lt;/div&gt;</t>
  </si>
  <si>
    <t>As ego whip I, but a –10 penalty and staggered for 1d10 rounds.</t>
  </si>
  <si>
    <t>Emotive Block</t>
  </si>
  <si>
    <t>mesmerist 2, psychic 3, spiritualist 2</t>
  </si>
  <si>
    <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t>
  </si>
  <si>
    <t>&lt;p&gt;You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effect.&lt;/p&gt;</t>
  </si>
  <si>
    <t>&lt;link rel="stylesheet"href="PF.css"&gt;&lt;div class="heading"&gt;&lt;p class="alignleft"&gt;Emotive Block&lt;/p&gt;&lt;div style="clear: both;"&gt;&lt;/div&gt;&lt;/div&gt;&lt;div&gt;&lt;h5&gt;&lt;b&gt;School &lt;/b&gt;enchantment (compulsion) [emotion, mind-affecting]; &lt;b&gt;Level &lt;/b&gt;mesmerist 2, psychic 3, spiritualist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effect.&lt;/p&gt;&lt;/h4&gt;&lt;/div&gt;</t>
  </si>
  <si>
    <t>Add an emotion component to all of the target’s spells.</t>
  </si>
  <si>
    <t>Enshroud Thoughts</t>
  </si>
  <si>
    <t>alchemist 2, bard 2, inquisitor 2, medium 2, mesmerist 2, psychic 2, ranger 3, shaman 2, witch 2</t>
  </si>
  <si>
    <t>You become warded against the mental prying of others, including the effects of divination spells such as detect thoughts and seek thoughtsAPG, as well as enchantment spells such as modify memory and memory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clairaudience/clairvoyance, d etect e vil, and locate creature continue to affect you as normal.</t>
  </si>
  <si>
    <t>&lt;p&gt;You become warded against the mental prying of others, including the effects of divination spells such as &lt;i&gt;detect thoughts&lt;/i&gt; and &lt;i&gt;seek&lt;/i&gt; thoughtsAPG, as well as enchantment spells such as &lt;i&gt;modify &lt;i&gt;memory&lt;/i&gt;&lt;/i&gt; and &lt;i&gt;memory&lt;/i&gt;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&lt;i&gt;clairaudience/clairvoyance&lt;/i&gt;, &lt;i&gt;d etect e vil&lt;/i&gt;, and &lt;i&gt;locate creature&lt;/i&gt; continue to affect you as normal.&lt;/p&gt;</t>
  </si>
  <si>
    <t>&lt;link rel="stylesheet"href="PF.css"&gt;&lt;div class="heading"&gt;&lt;p class="alignleft"&gt;Enshroud Thoughts&lt;/p&gt;&lt;div style="clear: both;"&gt;&lt;/div&gt;&lt;/div&gt;&lt;div&gt;&lt;h5&gt;&lt;b&gt;School &lt;/b&gt;abjuration [mind-affecting]; &lt;b&gt;Level &lt;/b&gt;alchemist 2, bard 2, inquisitor 2, medium 2, mesmerist 2, psychic 2, ranger 3, shaman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(D)&lt;/h5&gt;&lt;h5&gt;&lt;b&gt;Saving Throw &lt;/b&gt;Will negates (harmless); &lt;b&gt;Spell Resistance &lt;/b&gt;yes (harmless)&lt;/h5&gt;&lt;/div&gt;&lt;hr/&gt;&lt;div&gt;&lt;h5&gt;&lt;b&gt;DESCRIPTION&lt;/b&gt;&lt;/h5&gt;&lt;/div&gt;&lt;hr/&gt;&lt;div&gt;&lt;h4&gt;&lt;p&gt;You become warded against the mental prying of others, including the effects of divination spells such as &lt;i&gt;detect thoughts&lt;/i&gt; and &lt;i&gt;seek&lt;/i&gt; thoughtsAPG, as well as enchantment spells such as &lt;i&gt;modify &lt;i&gt;memory&lt;/i&gt;&lt;/i&gt; and &lt;i&gt;memory&lt;/i&gt;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&lt;i&gt;clairaudience/clairvoyance&lt;/i&gt;, &lt;i&gt;d etect e vil&lt;/i&gt;, and &lt;i&gt;locate creature&lt;/i&gt; continue to affect you as normal.&lt;/p&gt;&lt;/h4&gt;&lt;/div&gt;</t>
  </si>
  <si>
    <t>Ward yourself against thought detection and memory alteration.</t>
  </si>
  <si>
    <t>Entrap Spirit</t>
  </si>
  <si>
    <t>medium 4, occultist 5, psychic 5, spiritualist 4</t>
  </si>
  <si>
    <t>V, S, F (a small silver mirror)</t>
  </si>
  <si>
    <t>incorporeal creature or haunt</t>
  </si>
  <si>
    <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t>
  </si>
  <si>
    <t>&lt;p&gt;You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throw.&lt;/p&gt;</t>
  </si>
  <si>
    <t>&lt;link rel="stylesheet"href="PF.css"&gt;&lt;div class="heading"&gt;&lt;p class="alignleft"&gt;Entrap Spirit&lt;/p&gt;&lt;div style="clear: both;"&gt;&lt;/div&gt;&lt;/div&gt;&lt;div&gt;&lt;h5&gt;&lt;b&gt;School &lt;/b&gt;necromancy; &lt;b&gt;Level &lt;/b&gt;medium 4, occultist 5, psychic 5, spiritualist 4&lt;/h5&gt;&lt;/div&gt;&lt;hr/&gt;&lt;div&gt;&lt;h5&gt;&lt;b&gt;CASTING&lt;/b&gt;&lt;/h5&gt;&lt;/div&gt;&lt;hr/&gt;&lt;div&gt;&lt;h5&gt;&lt;b&gt;Casting Time &lt;/b&gt;1 standard action&lt;/h5&gt;&lt;h5&gt;&lt;b&gt;Components &lt;/b&gt;V, S, F (a small silver mirror)&lt;/h5&gt;&lt;/div&gt;&lt;hr/&gt;&lt;div&gt;&lt;h5&gt;&lt;b&gt;EFFECT&lt;/b&gt;&lt;/h5&gt;&lt;/div&gt;&lt;hr/&gt;&lt;div&gt;&lt;h5&gt;&lt;b&gt;Range &lt;/b&gt;close (25 ft. + 5 ft./2 levels)&lt;/h5&gt;&lt;h5&gt;&lt;b&gt;Targets &lt;/b&gt;incorporeal creature or haunt&lt;/h5&gt;&lt;h5&gt;&lt;b&gt;Duration &lt;/b&gt;1 hour/level (D)&lt;/h5&gt;&lt;h5&gt;&lt;b&gt;Saving Throw &lt;/b&gt;Will negates; &lt;b&gt;Spell Resistance &lt;/b&gt;yes&lt;/h5&gt;&lt;/div&gt;&lt;hr/&gt;&lt;div&gt;&lt;h5&gt;&lt;b&gt;DESCRIPTION&lt;/b&gt;&lt;/h5&gt;&lt;/div&gt;&lt;hr/&gt;&lt;div&gt;&lt;h4&gt;&lt;p&gt;You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throw.&lt;/p&gt;&lt;/h4&gt;&lt;/div&gt;</t>
  </si>
  <si>
    <t>Trap an incorporeal creature or a haunt in a mirror.</t>
  </si>
  <si>
    <t>Erase Impressions</t>
  </si>
  <si>
    <t>medium 3, mesmerist 4, occultist 3, psychic 5, spiritualist 4</t>
  </si>
  <si>
    <t>You banish psychic impressions from the object touched, rendering it devoid of recent history. You choose how much time to erase, up to a maximum of 1 day per caster level. You must erase impressions from the present time back; you cannot choose to leave recent events untouched. Impressions erased in this manner cannot be recovered via object reading, legend lore, or similar measures.  Casting erase impressions o n a corpse r emoves recent psychic impressions from when the creature was alive as well, making those memories unavailable to speak with dead. For example, a 5th-level caster casting the spell on a 2-day-old corpse could erase the past 2 days of psychic impressions from the corpse and 3 additional days of information from just before the creature died.</t>
  </si>
  <si>
    <t>&lt;p&gt;You banish psychic impressions from the object touched, rendering it devoid of recent history. You choose how much time to erase, up to a maximum of 1 day per caster level. You must &lt;i&gt;erase impressions&lt;/i&gt; from the present time back; you cannot choose to leave recent events untouched. Impressions erased in this manner cannot be recovered via &lt;i&gt;object reading&lt;/i&gt;, &lt;i&gt;legend lore&lt;/i&gt;, or similar measures.  Casting &lt;i&gt;erase impressions&lt;/i&gt; o n a corpse r emoves recent psychic impressions from when the creature was alive as well, making those memories unavailable to &lt;i&gt;speak with dead&lt;/i&gt;. For example, a 5th-level caster casting the spell on a 2-day-old corpse could erase the past 2 days of psychic impressions from the corpse and 3 additional days of information from just before the creature died.&lt;/p&gt;</t>
  </si>
  <si>
    <t>&lt;link rel="stylesheet"href="PF.css"&gt;&lt;div class="heading"&gt;&lt;p class="alignleft"&gt;Erase Impressions&lt;/p&gt;&lt;div style="clear: both;"&gt;&lt;/div&gt;&lt;/div&gt;&lt;div&gt;&lt;h5&gt;&lt;b&gt;School &lt;/b&gt;abjuration; &lt;b&gt;Level &lt;/b&gt;medium 3, mesmerist 4, occultist 3, psychic 5, spiritualist 4&lt;/h5&gt;&lt;/div&gt;&lt;hr/&gt;&lt;div&gt;&lt;h5&gt;&lt;b&gt;CASTING&lt;/b&gt;&lt;/h5&gt;&lt;/div&gt;&lt;hr/&gt;&lt;div&gt;&lt;h5&gt;&lt;b&gt;Casting Time &lt;/b&gt;1 round&lt;/h5&gt;&lt;h5&gt;&lt;b&gt;Components &lt;/b&gt;V, S&lt;/h5&gt;&lt;/div&gt;&lt;hr/&gt;&lt;div&gt;&lt;h5&gt;&lt;b&gt;EFFECT&lt;/b&gt;&lt;/h5&gt;&lt;/div&gt;&lt;hr/&gt;&lt;div&gt;&lt;h5&gt;&lt;b&gt;Range &lt;/b&gt;touch&lt;/h5&gt;&lt;h5&gt;&lt;b&gt;Targets &lt;/b&gt;object touched&lt;/h5&gt;&lt;h5&gt;&lt;b&gt;Duration &lt;/b&gt;instantaneous&lt;/h5&gt;&lt;h5&gt;&lt;b&gt;Saving Throw &lt;/b&gt;Will negates (object); &lt;b&gt;Spell Resistance &lt;/b&gt;yes (object)&lt;/h5&gt;&lt;/div&gt;&lt;hr/&gt;&lt;div&gt;&lt;h5&gt;&lt;b&gt;DESCRIPTION&lt;/b&gt;&lt;/h5&gt;&lt;/div&gt;&lt;hr/&gt;&lt;div&gt;&lt;h4&gt;&lt;p&gt;You banish psychic impressions from the object touched, rendering it devoid of recent history. You choose how much time to erase, up to a maximum of 1 day per caster level. You must &lt;i&gt;erase impressions&lt;/i&gt; from the present time back; you cannot choose to leave recent events untouched. Impressions erased in this manner cannot be recovered via &lt;i&gt;object reading&lt;/i&gt;, &lt;i&gt;legend lore&lt;/i&gt;, or similar measures.  Casting &lt;i&gt;erase impressions&lt;/i&gt; o n a corpse r emoves recent psychic impressions from when the creature was alive as well, making those memories unavailable to &lt;i&gt;speak with dead&lt;/i&gt;. For example, a 5th-level caster casting the spell on a 2-day-old corpse could erase the past 2 days of psychic impressions from the corpse and 3 additional days of information from just before the creature died.&lt;/p&gt;&lt;/h4&gt;&lt;/div&gt;</t>
  </si>
  <si>
    <t>Erase psychic impressions from an object.</t>
  </si>
  <si>
    <t>Ethereal Envelope</t>
  </si>
  <si>
    <t>psychic 5, spiritualist 4</t>
  </si>
  <si>
    <t>S, M (empty crystal box)</t>
  </si>
  <si>
    <t>You place yourself into a cataleptic meditative state and shunt yourself to the Ethereal Plane, where your body is cocooned within a folded ripple of misty space, with total cover from creatures on the Ethereal Plane. While inside your ethereal envelope, you are treated as being asleep for most purposes. You can choose an amount of time within the duration when casting this spell, and you automatically dismiss the spell when that time elapses. Your ethereal envelope counts as an object of your size with AC 10, hardness 5, and hit points equal to twice your level, and it is immune to bludgeoning damage. An attacker must be on the Ethereal Plane or have a way to see ethereal objects in order to detect your ethereal envelope. The envelope can also be broken open with a successful Strength check with a DC equal to 15 + your caster level (to a maximum DC of 30). If the ethereal envelope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t>
  </si>
  <si>
    <t>&lt;p&gt;You place yourself into a cataleptic meditative state and shunt yourself to the Ethereal Plane, where your body is cocooned within a folded ripple of misty space, with total cover from creatures on the Ethereal Plane. While inside your &lt;i&gt;ethereal envelope&lt;/i&gt;, you are treated as being asleep for most purposes. You can choose an amount of time within the duration when casting this spell, and you automatically dismiss the spell when that time elapses. Your &lt;i&gt;ethereal envelope&lt;/i&gt; counts as an object of your size with AC 10, hardness 5, and hit points equal to twice your level, and it is immune to bludgeoning damage. An attacker must be on the Ethereal Plane or have a way to see ethereal objects in order to detect your &lt;i&gt;ethereal envelope&lt;/i&gt;. The envelope can also be broken open with a successful Strength check with a DC equal to 15 + your caster level (to a maximum DC of 30). If the &lt;i&gt;ethereal envelope&lt;/i&gt;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damage.&lt;/p&gt;</t>
  </si>
  <si>
    <t>&lt;link rel="stylesheet"href="PF.css"&gt;&lt;div class="heading"&gt;&lt;p class="alignleft"&gt;Ethereal Envelope&lt;/p&gt;&lt;div style="clear: both;"&gt;&lt;/div&gt;&lt;/div&gt;&lt;div&gt;&lt;h5&gt;&lt;b&gt;School &lt;/b&gt;conjuration (teleportation); &lt;b&gt;Level &lt;/b&gt;psychic 5, spiritualist 4&lt;/h5&gt;&lt;/div&gt;&lt;hr/&gt;&lt;div&gt;&lt;h5&gt;&lt;b&gt;CASTING&lt;/b&gt;&lt;/h5&gt;&lt;/div&gt;&lt;hr/&gt;&lt;div&gt;&lt;h5&gt;&lt;b&gt;Casting Time &lt;/b&gt;1 standard action&lt;/h5&gt;&lt;h5&gt;&lt;b&gt;Components &lt;/b&gt;S, M (empty crystal box)&lt;/h5&gt;&lt;/div&gt;&lt;hr/&gt;&lt;div&gt;&lt;h5&gt;&lt;b&gt;EFFECT&lt;/b&gt;&lt;/h5&gt;&lt;/div&gt;&lt;hr/&gt;&lt;div&gt;&lt;h5&gt;&lt;b&gt;Range &lt;/b&gt;personal&lt;/h5&gt;&lt;h5&gt;&lt;b&gt;Targets &lt;/b&gt;you&lt;/h5&gt;&lt;h5&gt;&lt;b&gt;Duration &lt;/b&gt;1 hour/level (D)&lt;/h5&gt;&lt;/div&gt;&lt;hr/&gt;&lt;div&gt;&lt;h5&gt;&lt;b&gt;DESCRIPTION&lt;/b&gt;&lt;/h5&gt;&lt;/div&gt;&lt;hr/&gt;&lt;div&gt;&lt;h4&gt;&lt;p&gt;You place yourself into a cataleptic meditative state and shunt yourself to the Ethereal Plane, where your body is cocooned within a folded ripple of misty space, with total cover from creatures on the Ethereal Plane. While inside your &lt;i&gt;ethereal envelope&lt;/i&gt;, you are treated as being asleep for most purposes. You can choose an amount of time within the duration when casting this spell, and you automatically dismiss the spell when that time elapses. Your &lt;i&gt;ethereal envelope&lt;/i&gt; counts as an object of your size with AC 10, hardness 5, and hit points equal to twice your level, and it is immune to bludgeoning damage. An attacker must be on the Ethereal Plane or have a way to see ethereal objects in order to detect your &lt;i&gt;ethereal envelope&lt;/i&gt;. The envelope can also be broken open with a successful Strength check with a DC equal to 15 + your caster level (to a maximum DC of 30). If the &lt;i&gt;ethereal envelope&lt;/i&gt;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damage.&lt;/p&gt;&lt;/h4&gt;&lt;/div&gt;</t>
  </si>
  <si>
    <t>Shroud your unconscious self in a cocoon on the Ethereal Plane.</t>
  </si>
  <si>
    <t>Ethereal (10)</t>
  </si>
  <si>
    <t>Ethereal Envelopment</t>
  </si>
  <si>
    <t>psychic 7, spiritualist 5</t>
  </si>
  <si>
    <t>This spell is similar to ethereal envelope,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ethereal envelope spell description.  If the creature breaks free of the ethereal envelopment or  you dismiss the spell, the target is returned to its prior location on the Material Plane, as described for ethereal envelope, but if the target is conscious at the time, it doesn't spend a round asleep or staggered.</t>
  </si>
  <si>
    <t>&lt;p&gt;This spell is similar to &lt;i&gt;ethereal envelope&lt;/i&gt;,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&lt;i&gt;ethereal envelope&lt;/i&gt; spell description.  If the creature breaks free of the &lt;i&gt;ethereal envelopment&lt;/i&gt; or  you dismiss the spell, the target is returned to its prior location on the Material Plane, as described for &lt;i&gt;ethereal envelope&lt;/i&gt;, but if the target is conscious at the time, it doesn't spend a round asleep or staggered.&lt;/p&gt;</t>
  </si>
  <si>
    <t>&lt;link rel="stylesheet"href="PF.css"&gt;&lt;div class="heading"&gt;&lt;p class="alignleft"&gt;Ethereal Envelopment&lt;/p&gt;&lt;div style="clear: both;"&gt;&lt;/div&gt;&lt;/div&gt;&lt;div&gt;&lt;h5&gt;&lt;b&gt;School &lt;/b&gt;conjuration (teleportation); &lt;b&gt;Level &lt;/b&gt;psychic 7, spiritualist 5&lt;/h5&gt;&lt;/div&gt;&lt;hr/&gt;&lt;div&gt;&lt;h5&gt;&lt;b&gt;CASTING&lt;/b&gt;&lt;/h5&gt;&lt;/div&gt;&lt;hr/&gt;&lt;div&gt;&lt;h5&gt;&lt;b&gt;Casting Time &lt;/b&gt;1 standard action&lt;/h5&gt;&lt;h5&gt;&lt;b&gt;Components &lt;/b&gt;S, M (empty crystal box)&lt;/h5&gt;&lt;/div&gt;&lt;hr/&gt;&lt;div&gt;&lt;h5&gt;&lt;b&gt;EFFECT&lt;/b&gt;&lt;/h5&gt;&lt;/div&gt;&lt;hr/&gt;&lt;div&gt;&lt;h5&gt;&lt;b&gt;Range &lt;/b&gt;close (25 ft. + 5 ft./2 levels)&lt;/h5&gt;&lt;h5&gt;&lt;b&gt;Targets &lt;/b&gt;one creature&lt;/h5&gt;&lt;h5&gt;&lt;b&gt;Duration &lt;/b&gt;1 hour/level (D)&lt;/h5&gt;&lt;h5&gt;&lt;b&gt;Saving Throw &lt;/b&gt;Will negates, see text; &lt;b&gt;Spell Resistance &lt;/b&gt;yes&lt;/h5&gt;&lt;/div&gt;&lt;hr/&gt;&lt;div&gt;&lt;h5&gt;&lt;b&gt;DESCRIPTION&lt;/b&gt;&lt;/h5&gt;&lt;/div&gt;&lt;hr/&gt;&lt;div&gt;&lt;h4&gt;&lt;p&gt;This spell is similar to &lt;i&gt;ethereal envelope&lt;/i&gt;,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&lt;i&gt;ethereal envelope&lt;/i&gt; spell description.  If the creature breaks free of the &lt;i&gt;ethereal envelopment&lt;/i&gt; or  you dismiss the spell, the target is returned to its prior location on the Material Plane, as described for &lt;i&gt;ethereal envelope&lt;/i&gt;, but if the target is conscious at the time, it doesn't spend a round asleep or staggered.&lt;/p&gt;&lt;/h4&gt;&lt;/div&gt;</t>
  </si>
  <si>
    <t>As ethereal envelope, but able to affect an unwilling creature.</t>
  </si>
  <si>
    <t>Ethereal (16)</t>
  </si>
  <si>
    <t>Ethereal Fists</t>
  </si>
  <si>
    <t>magus 4, spiritualist 3</t>
  </si>
  <si>
    <t>Your hands reach simultaneously into the Ethereal and Material planes, allowing you to deal normal damage with claws, unarmed strikes, and touch spells or effects to ethereal creatures. Miss chance due to etherealness (such as from the blink spell) doesn't apply, though miss chance based on concealment does.</t>
  </si>
  <si>
    <t>&lt;p&gt;Your hands reach simultaneously into the Ethereal and Material planes, allowing you to deal normal damage with claws, unarmed strikes, and touch spells or effects to ethereal creatures. Miss chance due to etherealness (such as from the &lt;i&gt;blink&lt;/i&gt; spell) doesn't apply, though miss chance based on concealment does.&lt;/p&gt;</t>
  </si>
  <si>
    <t>&lt;link rel="stylesheet"href="PF.css"&gt;&lt;div class="heading"&gt;&lt;p class="alignleft"&gt;Ethereal Fists&lt;/p&gt;&lt;div style="clear: both;"&gt;&lt;/div&gt;&lt;/div&gt;&lt;div&gt;&lt;h5&gt;&lt;b&gt;School &lt;/b&gt;transmutation; &lt;b&gt;Level &lt;/b&gt;magus 4, spiritualist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minute/level (D)&lt;/h5&gt;&lt;/div&gt;&lt;hr/&gt;&lt;div&gt;&lt;h5&gt;&lt;b&gt;DESCRIPTION&lt;/b&gt;&lt;/h5&gt;&lt;/div&gt;&lt;hr/&gt;&lt;div&gt;&lt;h4&gt;&lt;p&gt;Your hands reach simultaneously into the Ethereal and Material planes, allowing you to deal normal damage with claws, unarmed strikes, and touch spells or effects to ethereal creatures. Miss chance due to etherealness (such as from the &lt;i&gt;blink&lt;/i&gt; spell) doesn't apply, though miss chance based on concealment does.&lt;/p&gt;&lt;/h4&gt;&lt;/div&gt;</t>
  </si>
  <si>
    <t>Your claws, unarmed strikes, and touch spells affect ethereal creatures.</t>
  </si>
  <si>
    <t>Etheric Shards</t>
  </si>
  <si>
    <t>occultist 4, psychic 5, spiritualist 4</t>
  </si>
  <si>
    <t>S, M (broken glass)</t>
  </si>
  <si>
    <t>one 10-ft. cube/level</t>
  </si>
  <si>
    <t>Reflex partial or Reflex negates (see text)</t>
  </si>
  <si>
    <t>You harden interpenetrated ethereal substance into deadly transdimensional razors that are invisible to normal sight. Movement through an area of etheric shards is halved, even for incorporeal creatures, and creatures entering a 5-foot cube filled with etheric shards take 1d8 points of piercing and slashing damage and must succeed at a Reflex save or take 1 point of bleed damage. This bleed damage stacks with itself and other sources of bleed damage. A creature standing within an area of etheric shards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etheric shards, such as by a bull rush or drag combat maneuver, takes a -4 penalty on its saving throw, but a creature able to see invisible or ethereal objects gains a +4 bonus, and damage to it is completely negated on a successful Reflex save.  Etheric shards are considered a magical trap, and a creature with trapfinding can use Perception to find them. The DC of this check is equal to 25 + the spell's level. Etheric shards can't be disabled with the Disable Device skill.</t>
  </si>
  <si>
    <t>&lt;p&gt;You harden interpenetrated ethereal substance into deadly transdimensional razors that are invisible to normal sight. Movement through an area of &lt;i&gt;etheric shards&lt;/i&gt; is halved, even for incorporeal creatures, and creatures entering a 5-foot cube filled with &lt;i&gt;etheric shards&lt;/i&gt; take 1d8 points of piercing and slashing damage and must succeed at a Reflex save or take 1 point of bleed damage. This bleed damage stacks with itself and other sources of bleed damage. A creature standing within an area of &lt;i&gt;etheric shards&lt;/i&gt;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&lt;i&gt;etheric shards&lt;/i&gt;, such as by a bull rush or drag combat maneuver, takes a -4 penalty on its saving throw, but a creature able to see invisible or ethereal objects gains a +4 bonus, and damage to it is completely negated on a successful Reflex save.  &lt;i&gt;Etheric shards&lt;/i&gt; are considered a magical trap, and a creature with trapfinding can use Perception to find them. The DC of this check is equal to 25 + the spell's level. &lt;i&gt;Etheric shards&lt;/i&gt; can't be disabled with the Disable Device skill.&lt;/p&gt;</t>
  </si>
  <si>
    <t>&lt;link rel="stylesheet"href="PF.css"&gt;&lt;div class="heading"&gt;&lt;p class="alignleft"&gt;Etheric Shards&lt;/p&gt;&lt;div style="clear: both;"&gt;&lt;/div&gt;&lt;/div&gt;&lt;div&gt;&lt;h5&gt;&lt;b&gt;School &lt;/b&gt;evocation [force]; &lt;b&gt;Level &lt;/b&gt;occultist 4, psychic 5, spiritualist 4&lt;/h5&gt;&lt;/div&gt;&lt;hr/&gt;&lt;div&gt;&lt;h5&gt;&lt;b&gt;CASTING&lt;/b&gt;&lt;/h5&gt;&lt;/div&gt;&lt;hr/&gt;&lt;div&gt;&lt;h5&gt;&lt;b&gt;Casting Time &lt;/b&gt;1 standard action&lt;/h5&gt;&lt;h5&gt;&lt;b&gt;Components &lt;/b&gt;S, M (broken glass)&lt;/h5&gt;&lt;/div&gt;&lt;hr/&gt;&lt;div&gt;&lt;h5&gt;&lt;b&gt;EFFECT&lt;/b&gt;&lt;/h5&gt;&lt;/div&gt;&lt;hr/&gt;&lt;div&gt;&lt;h5&gt;&lt;b&gt;Range &lt;/b&gt;medium (100 ft. + 10 ft./level)&lt;/h5&gt;&lt;h5&gt;&lt;b&gt;Area &lt;/b&gt;one 10-ft. cube/level&lt;/h5&gt;&lt;h5&gt;&lt;b&gt;Duration &lt;/b&gt;1 hour/level (D)&lt;/h5&gt;&lt;h5&gt;&lt;b&gt;Saving Throw &lt;/b&gt;Reflex partial or Reflex negates (see text); &lt;b&gt;Spell Resistance &lt;/b&gt;no&lt;/h5&gt;&lt;/div&gt;&lt;hr/&gt;&lt;div&gt;&lt;h5&gt;&lt;b&gt;DESCRIPTION&lt;/b&gt;&lt;/h5&gt;&lt;/div&gt;&lt;hr/&gt;&lt;div&gt;&lt;h4&gt;&lt;p&gt;You harden interpenetrated ethereal substance into deadly transdimensional razors that are invisible to normal sight. Movement through an area of &lt;i&gt;etheric shards&lt;/i&gt; is halved, even for incorporeal creatures, and creatures entering a 5-foot cube filled with &lt;i&gt;etheric shards&lt;/i&gt; take 1d8 points of piercing and slashing damage and must succeed at a Reflex save or take 1 point of bleed damage. This bleed damage stacks with itself and other sources of bleed damage. A creature standing within an area of &lt;i&gt;etheric shards&lt;/i&gt;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&lt;i&gt;etheric shards&lt;/i&gt;, such as by a bull rush or drag combat maneuver, takes a -4 penalty on its saving throw, but a creature able to see invisible or ethereal objects gains a +4 bonus, and damage to it is completely negated on a successful Reflex save.  &lt;i&gt;Etheric shards&lt;/i&gt; are considered a magical trap, and a creature with trapfinding can use Perception to find them. The DC of this check is equal to 25 + the spell's level. &lt;i&gt;Etheric shards&lt;/i&gt; can't be disabled with the Disable Device skill.&lt;/p&gt;&lt;/h4&gt;&lt;/div&gt;</t>
  </si>
  <si>
    <t>Fill an area with invisible shards that slow movement and damage creatures.</t>
  </si>
  <si>
    <t>Explode Head</t>
  </si>
  <si>
    <t>magus 6, psychic 5, sorcerer/wizard 6</t>
  </si>
  <si>
    <t>V, S Range close (25 ft. + 5 ft./2 levels)</t>
  </si>
  <si>
    <t>one living corporeal creature</t>
  </si>
  <si>
    <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  A target with more than 20 hit points takes 1d6 points of damage per caster level (maximum 20d6), but can attempt a Fortitude save to take only half damage. If this damage would cause the target to become disabled or dying, the target dies and its head explodes as described above.</t>
  </si>
  <si>
    <t>&lt;p&gt;You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  A target with more than 20 hit points takes 1d6 points of damage per caster level (maximum 20d6), but can attempt a Fortitude save to take only half damage. If this damage would cause the target to become disabled or dying, the target dies and its head explodes as described above.&lt;/p&gt;</t>
  </si>
  <si>
    <t>&lt;link rel="stylesheet"href="PF.css"&gt;&lt;div class="heading"&gt;&lt;p class="alignleft"&gt;Explode Head&lt;/p&gt;&lt;div style="clear: both;"&gt;&lt;/div&gt;&lt;/div&gt;&lt;div&gt;&lt;h5&gt;&lt;b&gt;School &lt;/b&gt;evocation; &lt;b&gt;Level &lt;/b&gt;magus 6, psychic 5, sorcerer/wizard 6&lt;/h5&gt;&lt;/div&gt;&lt;hr/&gt;&lt;div&gt;&lt;h5&gt;&lt;b&gt;CASTING&lt;/b&gt;&lt;/h5&gt;&lt;/div&gt;&lt;hr/&gt;&lt;div&gt;&lt;h5&gt;&lt;b&gt;Casting Time &lt;/b&gt;1 standard action&lt;/h5&gt;&lt;h5&gt;&lt;b&gt;Components &lt;/b&gt;V, S Range close (25 ft. + 5 ft./2 levels)&lt;/h5&gt;&lt;/div&gt;&lt;hr/&gt;&lt;div&gt;&lt;h5&gt;&lt;b&gt;EFFECT&lt;/b&gt;&lt;/h5&gt;&lt;/div&gt;&lt;hr/&gt;&lt;div&gt;&lt;h5&gt;&lt;b&gt;Targets &lt;/b&gt;one living corporeal creature&lt;/h5&gt;&lt;h5&gt;&lt;b&gt;Duration &lt;/b&gt;instantaneous&lt;/h5&gt;&lt;h5&gt;&lt;b&gt;Saving Throw &lt;/b&gt;special; see text; &lt;b&gt;Spell Resistance &lt;/b&gt;yes&lt;/h5&gt;&lt;/div&gt;&lt;hr/&gt;&lt;div&gt;&lt;h5&gt;&lt;b&gt;DESCRIPTION&lt;/b&gt;&lt;/h5&gt;&lt;/div&gt;&lt;hr/&gt;&lt;div&gt;&lt;h4&gt;&lt;p&gt;You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  A target with more than 20 hit points takes 1d6 points of damage per caster level (maximum 20d6), but can attempt a Fortitude save to take only half damage. If this damage would cause the target to become disabled or dying, the target dies and its head explodes as described above.&lt;/p&gt;&lt;/h4&gt;&lt;/div&gt;</t>
  </si>
  <si>
    <t>Explode the head of a creature with 20 hp or fewer and deal damage in a 10-ft. radius around it.</t>
  </si>
  <si>
    <t>Foster Hatred</t>
  </si>
  <si>
    <t>antipaladin 4, inquisitor 5, mesmerist 5, psychic 6, spiritualist 5</t>
  </si>
  <si>
    <t>any number of living creatures, no two of which can be more than 30 ft. apart</t>
  </si>
  <si>
    <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foster hatred toward a smaller subset of creatures of your chosen type, such as worshipers of Shelyn, in order to focus the hatred onto your chosen targets.</t>
  </si>
  <si>
    <t>&lt;p&gt;You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&lt;i&gt;foster hatred&lt;/i&gt; toward a smaller subset of creatures of your chosen type, such as worshipers of Shelyn, in order to focus the hatred onto your chosen targets.&lt;/p&gt;</t>
  </si>
  <si>
    <t>&lt;link rel="stylesheet"href="PF.css"&gt;&lt;div class="heading"&gt;&lt;p class="alignleft"&gt;Foster Hatred&lt;/p&gt;&lt;div style="clear: both;"&gt;&lt;/div&gt;&lt;/div&gt;&lt;div&gt;&lt;h5&gt;&lt;b&gt;School &lt;/b&gt;enchantment (compulsion) [emotion]; &lt;b&gt;Level &lt;/b&gt;antipaladin 4, inquisitor 5, mesmerist 5, psychic 6, spiritualist 5&lt;/h5&gt;&lt;/div&gt;&lt;hr/&gt;&lt;div&gt;&lt;h5&gt;&lt;b&gt;CASTING&lt;/b&gt;&lt;/h5&gt;&lt;/div&gt;&lt;hr/&gt;&lt;div&gt;&lt;h5&gt;&lt;b&gt;Casting Time &lt;/b&gt;1 standard action&lt;/h5&gt;&lt;h5&gt;&lt;b&gt;Components &lt;/b&gt;S, DF&lt;/h5&gt;&lt;/div&gt;&lt;hr/&gt;&lt;div&gt;&lt;h5&gt;&lt;b&gt;EFFECT&lt;/b&gt;&lt;/h5&gt;&lt;/div&gt;&lt;hr/&gt;&lt;div&gt;&lt;h5&gt;&lt;b&gt;Range &lt;/b&gt;close (25 ft. + 5 ft./2 levels)&lt;/h5&gt;&lt;h5&gt;&lt;b&gt;Targets &lt;/b&gt;any number of living creatures, no two of which can be more than 30 ft. apart&lt;/h5&gt;&lt;h5&gt;&lt;b&gt;Duration &lt;/b&gt;1 hour/level (D)&lt;/h5&gt;&lt;h5&gt;&lt;b&gt;Saving Throw &lt;/b&gt;Will negates; &lt;b&gt;Spell Resistance &lt;/b&gt;yes&lt;/h5&gt;&lt;/div&gt;&lt;hr/&gt;&lt;div&gt;&lt;h5&gt;&lt;b&gt;DESCRIPTION&lt;/b&gt;&lt;/h5&gt;&lt;/div&gt;&lt;hr/&gt;&lt;div&gt;&lt;h4&gt;&lt;p&gt;You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&lt;i&gt;foster hatred&lt;/i&gt; toward a smaller subset of creatures of your chosen type, such as worshipers of Shelyn, in order to focus the hatred onto your chosen targets.&lt;/p&gt;&lt;/h4&gt;&lt;/div&gt;</t>
  </si>
  <si>
    <t>Cause creatures to hate one type of creature.</t>
  </si>
  <si>
    <t>Ghost Whip</t>
  </si>
  <si>
    <t>cleric/oracle 2, inquisitor 2, magus 2, occultist 2, psychic 2, sorcerer/wizard 2, spiritualist 2, witch 2</t>
  </si>
  <si>
    <t>whip of flexible ectoplasm</t>
  </si>
  <si>
    <t>A white, 15-foot-long lash of ghostly evanescence appears from your hand. This weapon is treated as a ghost touch whip with no enhancement bonus. You can wield it as a whip as if you were proficient. Attacks with a ghost whip are resolved as incorporeal touch attacks. The whip affects only creatures you attack with it, passing through objects and other creatures in its path and thereby allowing you to ignore cover between you and your target. When a ghost whip attack passes through total cover, the target is treated as having total concealment (50% miss chance). Against incorporeal and undead creatures,  a ghost whip deals lethal damage and can be used to perform drag or reposition combat maneuvers (in addition to a whip's normal disarm and trip maneuvers). A ghost whip cannot be disarmed or sundered.</t>
  </si>
  <si>
    <t>&lt;p&gt;A white, 15-foot-long lash of ghostly evanescence appears from your hand. This weapon is treated as a &lt;i&gt;ghost touch whip&lt;/i&gt; with no enhancement bonus. You can wield it as a whip as if you were proficient. Attacks with a &lt;i&gt;ghost whip&lt;/i&gt; are resolved as incorporeal touch attacks. The whip affects only creatures you attack with it, passing through objects and other creatures in its path and thereby allowing you to ignore cover between you and your target. When a &lt;i&gt;ghost whip&lt;/i&gt; attack passes through total cover, the target is treated as having total concealment (50% miss chance). Against incorporeal and undead creatures,  a &lt;i&gt;ghost whip&lt;/i&gt; deals lethal damage and can be used to perform drag or reposition combat maneuvers (in addition to a whip's normal disarm and trip maneuvers). A &lt;i&gt;ghost whip&lt;/i&gt; cannot be disarmed or sundered.&lt;/p&gt;</t>
  </si>
  <si>
    <t>&lt;link rel="stylesheet"href="PF.css"&gt;&lt;div class="heading"&gt;&lt;p class="alignleft"&gt;Ghost Whip&lt;/p&gt;&lt;div style="clear: both;"&gt;&lt;/div&gt;&lt;/div&gt;&lt;div&gt;&lt;h5&gt;&lt;b&gt;School &lt;/b&gt;evocation; &lt;b&gt;Level &lt;/b&gt;cleric/oracle 2, inquisitor 2, magus 2, occultist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flexible ectoplasm&lt;/h5&gt;&lt;h5&gt;&lt;b&gt;Duration &lt;/b&gt;1 round/level (D)&lt;/h5&gt;&lt;h5&gt;&lt;b&gt;Saving Throw &lt;/b&gt;none; &lt;b&gt;Spell Resistance &lt;/b&gt;yes&lt;/h5&gt;&lt;/div&gt;&lt;hr/&gt;&lt;div&gt;&lt;h5&gt;&lt;b&gt;DESCRIPTION&lt;/b&gt;&lt;/h5&gt;&lt;/div&gt;&lt;hr/&gt;&lt;div&gt;&lt;h4&gt;&lt;p&gt;A white, 15-foot-long lash of ghostly evanescence appears from your hand. This weapon is treated as a &lt;i&gt;ghost touch whip&lt;/i&gt; with no enhancement bonus. You can wield it as a whip as if you were proficient. Attacks with a &lt;i&gt;ghost whip&lt;/i&gt; are resolved as incorporeal touch attacks. The whip affects only creatures you attack with it, passing through objects and other creatures in its path and thereby allowing you to ignore cover between you and your target. When a &lt;i&gt;ghost whip&lt;/i&gt; attack passes through total cover, the target is treated as having total concealment (50% miss chance). Against incorporeal and undead creatures,  a &lt;i&gt;ghost whip&lt;/i&gt; deals lethal damage and can be used to perform drag or reposition combat maneuvers (in addition to a whip's normal disarm and trip maneuvers). A &lt;i&gt;ghost whip&lt;/i&gt; cannot be disarmed or sundered.&lt;/p&gt;&lt;/h4&gt;&lt;/div&gt;</t>
  </si>
  <si>
    <t>Create a ghost touch whip that passes through objects.</t>
  </si>
  <si>
    <t>Ectoplasm (5)</t>
  </si>
  <si>
    <t>Grave Words</t>
  </si>
  <si>
    <t>medium 0, occultist 0, psychic 0, spiritualist 0</t>
  </si>
  <si>
    <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grave words b y a ny caster, any new attempt to cast grave words on that corpse fails. You can cast this spell on a corpse that has been deceased for any amount of time, but the head of the corpse must have a mouth in order to speak at all. This spell doesn't affect a corpse that has been turned into an undead creature.</t>
  </si>
  <si>
    <t>&lt;p&gt;With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&lt;i&gt;grave words&lt;/i&gt; b y a ny caster, any new attempt to cast &lt;i&gt;grave words&lt;/i&gt; on that corpse fails. You can cast this spell on a corpse that has been deceased for any amount of time, but the head of the corpse must have a mouth in order to speak at all. This spell doesn't affect a corpse that has been turned into an undead creature.&lt;/p&gt;</t>
  </si>
  <si>
    <t>&lt;link rel="stylesheet"href="PF.css"&gt;&lt;div class="heading"&gt;&lt;p class="alignleft"&gt;Grave Words&lt;/p&gt;&lt;div style="clear: both;"&gt;&lt;/div&gt;&lt;/div&gt;&lt;div&gt;&lt;h5&gt;&lt;b&gt;School &lt;/b&gt;necromancy [language-dependent]; &lt;b&gt;Level &lt;/b&gt;medium 0, occultist 0, psychic 0, spiritualist 0&lt;/h5&gt;&lt;/div&gt;&lt;hr/&gt;&lt;div&gt;&lt;h5&gt;&lt;b&gt;CASTING&lt;/b&gt;&lt;/h5&gt;&lt;/div&gt;&lt;hr/&gt;&lt;div&gt;&lt;h5&gt;&lt;b&gt;Casting Time &lt;/b&gt;1 minute&lt;/h5&gt;&lt;h5&gt;&lt;b&gt;Components &lt;/b&gt;S&lt;/h5&gt;&lt;/div&gt;&lt;hr/&gt;&lt;div&gt;&lt;h5&gt;&lt;b&gt;EFFECT&lt;/b&gt;&lt;/h5&gt;&lt;/div&gt;&lt;hr/&gt;&lt;div&gt;&lt;h5&gt;&lt;b&gt;Range &lt;/b&gt;touch&lt;/h5&gt;&lt;h5&gt;&lt;b&gt;Targets &lt;/b&gt;one dead creature&lt;/h5&gt;&lt;h5&gt;&lt;b&gt;Duration &lt;/b&gt;1 round&lt;/h5&gt;&lt;/div&gt;&lt;hr/&gt;&lt;div&gt;&lt;h5&gt;&lt;b&gt;DESCRIPTION&lt;/b&gt;&lt;/h5&gt;&lt;/div&gt;&lt;hr/&gt;&lt;div&gt;&lt;h4&gt;&lt;p&gt;With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&lt;i&gt;grave words&lt;/i&gt; b y a ny caster, any new attempt to cast &lt;i&gt;grave words&lt;/i&gt; on that corpse fails. You can cast this spell on a corpse that has been deceased for any amount of time, but the head of the corpse must have a mouth in order to speak at all. This spell doesn't affect a corpse that has been turned into an undead creature.&lt;/p&gt;&lt;/h4&gt;&lt;/div&gt;</t>
  </si>
  <si>
    <t>Force a corpse to babble.</t>
  </si>
  <si>
    <t>Hypercognition</t>
  </si>
  <si>
    <t>alchemist 3, bard 3, medium 2, psychic 2, sorcerer/wizard 4</t>
  </si>
  <si>
    <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t>
  </si>
  <si>
    <t>&lt;p&gt;You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20.&lt;/p&gt;</t>
  </si>
  <si>
    <t>&lt;link rel="stylesheet"href="PF.css"&gt;&lt;div class="heading"&gt;&lt;p class="alignleft"&gt;Hypercognition&lt;/p&gt;&lt;div style="clear: both;"&gt;&lt;/div&gt;&lt;/div&gt;&lt;div&gt;&lt;h5&gt;&lt;b&gt;School &lt;/b&gt;divination; &lt;b&gt;Level &lt;/b&gt;alchemist 3, bard 3, medium 2, psychic 2, sorcerer/wizard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20.&lt;/p&gt;&lt;/h4&gt;&lt;/div&gt;</t>
  </si>
  <si>
    <t>Rapidly recall everything you know about a subject.</t>
  </si>
  <si>
    <t>Id Insinuation I</t>
  </si>
  <si>
    <t>psychic 2</t>
  </si>
  <si>
    <t>By invading the mind of a creature with your psychic presence, you can isolate parts of its mind, preventing the target from functioning in a coherent manner. The target is confused as long as you concentrate on it plus 1 additional round. A successful Will save negates this effect.</t>
  </si>
  <si>
    <t>&lt;p&gt;By invading the mind of a creature with your psychic presence, you can isolate parts of its mind, preventing the target from functioning in a coherent manner. The target is confused as long as you concentrate on it plus 1 additional round. A successful Will save negates this effect.&lt;/p&gt;</t>
  </si>
  <si>
    <t>&lt;link rel="stylesheet"href="PF.css"&gt;&lt;div class="heading"&gt;&lt;p class="alignleft"&gt;Id Insinuation I&lt;/p&gt;&lt;div style="clear: both;"&gt;&lt;/div&gt;&lt;/div&gt;&lt;div&gt;&lt;h5&gt;&lt;b&gt;School &lt;/b&gt;enchantment (compulsion) [mind-affecting];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&lt;/b&gt;concentration + 1 round&lt;/h5&gt;&lt;h5&gt;&lt;b&gt;Saving Throw &lt;/b&gt;Will negates; &lt;b&gt;Spell Resistance &lt;/b&gt;yes&lt;/h5&gt;&lt;/div&gt;&lt;hr/&gt;&lt;div&gt;&lt;h5&gt;&lt;b&gt;DESCRIPTION&lt;/b&gt;&lt;/h5&gt;&lt;/div&gt;&lt;hr/&gt;&lt;div&gt;&lt;h4&gt;&lt;p&gt;By invading the mind of a creature with your psychic presence, you can isolate parts of its mind, preventing the target from functioning in a coherent manner. The target is confused as long as you concentrate on it plus 1 additional round. A successful Will save negates this effect.&lt;/p&gt;&lt;/h4&gt;&lt;/div&gt;</t>
  </si>
  <si>
    <t>Confuse one creature for the duration of your concentration + 1 round.</t>
  </si>
  <si>
    <t>Psychic (5)</t>
  </si>
  <si>
    <t>Id Insinuation II</t>
  </si>
  <si>
    <t>two creatures</t>
  </si>
  <si>
    <t>This functions as id insinuation I, except as noted above. In addition, on the first round of the effect, the targets of this spell must roll twice to determine the result of their confused condition. You select which roll is used. This spell can be undercast.</t>
  </si>
  <si>
    <t>&lt;p&gt;This functions as &lt;i&gt;id insinuation I&lt;/i&gt;, except as noted above. In addition, on the first round of the effect, the targets of this spell must roll twice to determine the result of their confused condition. You select which roll is used. This spell can be undercast.&lt;/p&gt;</t>
  </si>
  <si>
    <t>&lt;link rel="stylesheet"href="PF.css"&gt;&lt;div class="heading"&gt;&lt;p class="alignleft"&gt;Id Insinuation II&lt;/p&gt;&lt;div style="clear: both;"&gt;&lt;/div&gt;&lt;/div&gt;&lt;div&gt;&lt;h5&gt;&lt;b&gt;School &lt;/b&gt;enchantment (compulsion)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&lt;/b&gt;two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round of the effect, the targets of this spell must roll twice to determine the result of their confused condition. You select which roll is used. This spell can be undercast.&lt;/p&gt;&lt;/h4&gt;&lt;/div&gt;</t>
  </si>
  <si>
    <t>As id insinuation I, but affects two creatures and has a stronger confusion effect.</t>
  </si>
  <si>
    <t>Id Insinuation III</t>
  </si>
  <si>
    <t>three creatures</t>
  </si>
  <si>
    <t>This functions as id insinuation I, except as noted above. In addition, on the first 2 rounds of the effect, the targets of this spell must roll twice to determine the result of their confused conditions. You select which roll is used. This spell can be undercast.</t>
  </si>
  <si>
    <t>&lt;p&gt;This functions as &lt;i&gt;id insinuation I&lt;/i&gt;, except as noted above. In addition, on the first 2 rounds of the effect, the targets of this spell must roll twice to determine the result of their confused conditions. You select which roll is used. This spell can be undercast.&lt;/p&gt;</t>
  </si>
  <si>
    <t>&lt;link rel="stylesheet"href="PF.css"&gt;&lt;div class="heading"&gt;&lt;p class="alignleft"&gt;Id Insinuation III&lt;/p&gt;&lt;div style="clear: both;"&gt;&lt;/div&gt;&lt;/div&gt;&lt;div&gt;&lt;h5&gt;&lt;b&gt;School &lt;/b&gt;enchantment (compulsion)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&lt;/b&gt;three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2 rounds of the effect, the targets of this spell must roll twice to determine the result of their confused conditions. You select which roll is used. This spell can be undercast.&lt;/p&gt;&lt;/h4&gt;&lt;/div&gt;</t>
  </si>
  <si>
    <t>As id insinuation I, but affects three creatures and has a stronger confusion effect.</t>
  </si>
  <si>
    <t>Id Insinuation IV</t>
  </si>
  <si>
    <t>four creatures</t>
  </si>
  <si>
    <t>This functions as id insinuation I,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t>
  </si>
  <si>
    <t>&lt;p&gt;This functions as &lt;i&gt;id insinuation I&lt;/i&gt;,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undercast.&lt;/p&gt;</t>
  </si>
  <si>
    <t>&lt;link rel="stylesheet"href="PF.css"&gt;&lt;div class="heading"&gt;&lt;p class="alignleft"&gt;Id Insinuation IV&lt;/p&gt;&lt;div style="clear: both;"&gt;&lt;/div&gt;&lt;/div&gt;&lt;div&gt;&lt;h5&gt;&lt;b&gt;School &lt;/b&gt;enchantment (compulsion)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&lt;/b&gt;four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undercast.&lt;/p&gt;&lt;/h4&gt;&lt;/div&gt;</t>
  </si>
  <si>
    <t>As id insinuation I, but affects four creatures and you select the confusion effect.</t>
  </si>
  <si>
    <t>Implant False Reading</t>
  </si>
  <si>
    <t>mesmerist 2, occultist 2, psychic 2</t>
  </si>
  <si>
    <t>You implant a false psychometric reading into an object, imbuing the item with misleading information that might be learned from the object reading spell or through the psychometry occult skill unlock (see page 196). This information might fool enemies, create a false history, or pass on secret messages through objects to psychically attuned allies. You can implant any information you wish that could be implanted by the charge object spell, as well as up to one piece of information per 3 levels that could be attained using psychometry or the object reading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object reading spell or the psychometry occult skill unlock receive this false information in place of an item's true history if they fail a Will saving throw. Creatures that succeed at their saves still detect and receive the false information, but recognize it for what is and are able to discern the fictitious information from the item's true history without difficulty.  This spell masks its own magical aura, causing the target to not register as magical to detect spells and similar effects. This masking doesn't conceal any other magical auras on the object, and can be overcome in the same ways as magic aura.</t>
  </si>
  <si>
    <t>&lt;p&gt;You implant a false psychometric reading into an object, imbuing the item with misleading information that might be learned from the &lt;i&gt;object reading&lt;/i&gt; spell or through the psychometry occult skill unlock (see page 196). This information might fool enemies, create a false history, or pass on secret messages through objects to psychically attuned allies. You can implant any information you wish that could be implanted by the &lt;i&gt;charge object&lt;/i&gt; spell, as well as up to one piece of information per 3 levels that could be attained using psychometry or the &lt;i&gt;object reading&lt;/i&gt;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&lt;i&gt;object reading&lt;/i&gt; spell or the psychometry occult skill unlock receive this false information in place of an item's true history if they fail a Will saving throw. Creatures that succeed at their saves still &lt;i&gt;detect&lt;/i&gt; and receive the false information, but recognize it for what is and are able to discern the fictitious information from the item's true history without difficulty.  This spell masks its own magical aura, causing the target to not register as magical to &lt;i&gt;detect&lt;/i&gt; spells and similar effects. This masking doesn't conceal any other magical auras on the object, and can be overcome in the same ways as &lt;i&gt;magic aura&lt;/i&gt;.&lt;/p&gt;</t>
  </si>
  <si>
    <t>&lt;link rel="stylesheet"href="PF.css"&gt;&lt;div class="heading"&gt;&lt;p class="alignleft"&gt;Implant False Reading&lt;/p&gt;&lt;div style="clear: both;"&gt;&lt;/div&gt;&lt;/div&gt;&lt;div&gt;&lt;h5&gt;&lt;b&gt;School &lt;/b&gt;illusion (glamer); &lt;b&gt;Level &lt;/b&gt;mesmerist 2, occultist 2, psychic 2&lt;/h5&gt;&lt;/div&gt;&lt;hr/&gt;&lt;div&gt;&lt;h5&gt;&lt;b&gt;CASTING&lt;/b&gt;&lt;/h5&gt;&lt;/div&gt;&lt;hr/&gt;&lt;div&gt;&lt;h5&gt;&lt;b&gt;Casting Time &lt;/b&gt;1 minute&lt;/h5&gt;&lt;h5&gt;&lt;b&gt;Components &lt;/b&gt;V, S&lt;/h5&gt;&lt;/div&gt;&lt;hr/&gt;&lt;div&gt;&lt;h5&gt;&lt;b&gt;EFFECT&lt;/b&gt;&lt;/h5&gt;&lt;/div&gt;&lt;hr/&gt;&lt;div&gt;&lt;h5&gt;&lt;b&gt;Range &lt;/b&gt;touch&lt;/h5&gt;&lt;h5&gt;&lt;b&gt;Targets &lt;/b&gt;object touched&lt;/h5&gt;&lt;h5&gt;&lt;b&gt;Duration &lt;/b&gt;1 day/level&lt;/h5&gt;&lt;h5&gt;&lt;b&gt;Saving Throw &lt;/b&gt;none; see text; &lt;b&gt;Spell Resistance &lt;/b&gt;no&lt;/h5&gt;&lt;/div&gt;&lt;hr/&gt;&lt;div&gt;&lt;h5&gt;&lt;b&gt;DESCRIPTION&lt;/b&gt;&lt;/h5&gt;&lt;/div&gt;&lt;hr/&gt;&lt;div&gt;&lt;h4&gt;&lt;p&gt;You implant a false psychometric reading into an object, imbuing the item with misleading information that might be learned from the &lt;i&gt;object reading&lt;/i&gt; spell or through the psychometry occult skill unlock (see page 196). This information might fool enemies, create a false history, or pass on secret messages through objects to psychically attuned allies. You can implant any information you wish that could be implanted by the &lt;i&gt;charge object&lt;/i&gt; spell, as well as up to one piece of information per 3 levels that could be attained using psychometry or the &lt;i&gt;object reading&lt;/i&gt;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&lt;i&gt;object reading&lt;/i&gt; spell or the psychometry occult skill unlock receive this false information in place of an item's true history if they fail a Will saving throw. Creatures that succeed at their saves still &lt;i&gt;detect&lt;/i&gt; and receive the false information, but recognize it for what is and are able to discern the fictitious information from the item's true history without difficulty.  This spell masks its own magical aura, causing the target to not register as magical to &lt;i&gt;detect&lt;/i&gt; spells and similar effects. This masking doesn't conceal any other magical auras on the object, and can be overcome in the same ways as &lt;i&gt;magic aura&lt;/i&gt;.&lt;/p&gt;&lt;/h4&gt;&lt;/div&gt;</t>
  </si>
  <si>
    <t>Instill false psychic impressions into an object.</t>
  </si>
  <si>
    <t>Incorporeal Chains</t>
  </si>
  <si>
    <t>psychic 6, spiritualist 5</t>
  </si>
  <si>
    <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incorporeal chains receive a +5 bonus on grapple combat maneuver checks against opponents the chains are already grappling, but can't move foes or pin foes. Each round the incorporeal chains succeed at a grapple combat maneuver check, they deal an additional amount of damage equal to 1d8 + your key spellcasting ability score modifier. The CMD of incorporeal chains, for the purposes of escaping the grapple, is equal to 10 + its CMB. If you move out of range of any of the grappled creatures, the chains cease grappling those creatures.</t>
  </si>
  <si>
    <t>&lt;p&gt;You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&lt;i&gt;incorporeal chains&lt;/i&gt; receive a +5 bonus on grapple combat maneuver checks against opponents the chains are already grappling, but can't move foes or pin foes. Each round the &lt;i&gt;incorporeal chains&lt;/i&gt; succeed at a grapple combat maneuver check, they deal an additional amount of damage equal to 1d8 + your key spellcasting ability score modifier. The CMD of &lt;i&gt;incorporeal chains&lt;/i&gt;, for the purposes of escaping the grapple, is equal to 10 + its CMB. If you move out of range of any of the grappled creatures, the chains cease grappling those creatures.&lt;/p&gt;</t>
  </si>
  <si>
    <t>&lt;link rel="stylesheet"href="PF.css"&gt;&lt;div class="heading"&gt;&lt;p class="alignleft"&gt;Incorporeal Chains&lt;/p&gt;&lt;div style="clear: both;"&gt;&lt;/div&gt;&lt;/div&gt;&lt;div&gt;&lt;h5&gt;&lt;b&gt;School &lt;/b&gt;evocation [force]; &lt;b&gt;Level &lt;/b&gt;psychic 6,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incorporeal creature/level, no two of which can be more than 30 ft. apart&lt;/h5&gt;&lt;h5&gt;&lt;b&gt;Duration &lt;/b&gt;concentration&lt;/h5&gt;&lt;h5&gt;&lt;b&gt;Saving Throw &lt;/b&gt;none; &lt;b&gt;Spell Resistance &lt;/b&gt;yes&lt;/h5&gt;&lt;/div&gt;&lt;hr/&gt;&lt;div&gt;&lt;h5&gt;&lt;b&gt;DESCRIPTION&lt;/b&gt;&lt;/h5&gt;&lt;/div&gt;&lt;hr/&gt;&lt;div&gt;&lt;h4&gt;&lt;p&gt;You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&lt;i&gt;incorporeal chains&lt;/i&gt; receive a +5 bonus on grapple combat maneuver checks against opponents the chains are already grappling, but can't move foes or pin foes. Each round the &lt;i&gt;incorporeal chains&lt;/i&gt; succeed at a grapple combat maneuver check, they deal an additional amount of damage equal to 1d8 + your key spellcasting ability score modifier. The CMD of &lt;i&gt;incorporeal chains&lt;/i&gt;, for the purposes of escaping the grapple, is equal to 10 + its CMB. If you move out of range of any of the grappled creatures, the chains cease grappling those creatures.&lt;/p&gt;&lt;/h4&gt;&lt;/div&gt;</t>
  </si>
  <si>
    <t>Grapple incorporeal creatures and deal damage equal to 1d8 + Int.</t>
  </si>
  <si>
    <t>Inflict Pain</t>
  </si>
  <si>
    <t>mind-affecting, painUM</t>
  </si>
  <si>
    <t>antipaladin 2, inquisitor 2, medium 2, mesmerist 2, occultist 2, psychic 2, sorcerer/wizard 3, spiritualist 2, witch 3</t>
  </si>
  <si>
    <t>You telepathically wrack the target's mind and body with agonizing pain that imposes a -4 penalty on attack rolls, skill checks, and ability checks. A successful Will save reduces the duration to 1 round.</t>
  </si>
  <si>
    <t>&lt;p&gt;You telepathically wrack the target's mind and body with agonizing pain that imposes a -4 penalty on attack rolls, skill checks, and ability checks. A successful Will save reduces the duration to 1 round.&lt;/p&gt;</t>
  </si>
  <si>
    <t>&lt;link rel="stylesheet"href="PF.css"&gt;&lt;div class="heading"&gt;&lt;p class="alignleft"&gt;Inflict Pain&lt;/p&gt;&lt;div style="clear: both;"&gt;&lt;/div&gt;&lt;/div&gt;&lt;div&gt;&lt;h5&gt;&lt;b&gt;School &lt;/b&gt;enchantment [mind-affecting, pain&lt;sup&gt;UM&lt;/sup&gt;]; &lt;b&gt;Level &lt;/b&gt;antipaladin 2, inquisitor 2, medium 2, mesmerist 2, occultist 2, psychic 2, sorcerer/wizard 3, spiritualist 2,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&lt;/b&gt;yes&lt;/h5&gt;&lt;/div&gt;&lt;hr/&gt;&lt;div&gt;&lt;h5&gt;&lt;b&gt;DESCRIPTION&lt;/b&gt;&lt;/h5&gt;&lt;/div&gt;&lt;hr/&gt;&lt;div&gt;&lt;h4&gt;&lt;p&gt;You telepathically wrack the target's mind and body with agonizing pain that imposes a -4 penalty on attack rolls, skill checks, and ability checks. A successful Will save reduces the duration to 1 round.&lt;/p&gt;&lt;/h4&gt;&lt;/div&gt;</t>
  </si>
  <si>
    <t>Target takes a –4 penalty on attack rolls, skill checks, and ability checks.</t>
  </si>
  <si>
    <t>Inflict Pain, Mass</t>
  </si>
  <si>
    <t>antipaladin 4, inquisitor 5, medium 4, mesmerist 5, occultist 5, psychic 6, sorcerer/wizard 7, spiritualist 5, witch 7</t>
  </si>
  <si>
    <t>This spell functions like inflict pain except as noted above.</t>
  </si>
  <si>
    <t>&lt;p&gt;This spell functions like &lt;i&gt;inflict pain&lt;/i&gt; except as noted above.&lt;/p&gt;</t>
  </si>
  <si>
    <t>&lt;link rel="stylesheet"href="PF.css"&gt;&lt;div class="heading"&gt;&lt;p class="alignleft"&gt;Inflict Pain, Mass&lt;/p&gt;&lt;div style="clear: both;"&gt;&lt;/div&gt;&lt;/div&gt;&lt;div&gt;&lt;h5&gt;&lt;b&gt;School &lt;/b&gt;enchantment [mind-affecting, pain&lt;sup&gt;UM&lt;/sup&gt;]; &lt;b&gt;Level &lt;/b&gt;antipaladin 4, inquisitor 5, medium 4, mesmerist 5, occultist 5, psychic 6, sorcerer/wizard 7, spiritualist 5, witch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partial; see text; &lt;b&gt;Spell Resistance &lt;/b&gt;yes&lt;/h5&gt;&lt;/div&gt;&lt;hr/&gt;&lt;div&gt;&lt;h5&gt;&lt;b&gt;DESCRIPTION&lt;/b&gt;&lt;/h5&gt;&lt;/div&gt;&lt;hr/&gt;&lt;div&gt;&lt;h4&gt;&lt;p&gt;This spell functions like &lt;i&gt;inflict pain&lt;/i&gt; except as noted above.&lt;/p&gt;&lt;/h4&gt;&lt;/div&gt;</t>
  </si>
  <si>
    <t>As inflict pain, but affecting one creature per level.</t>
  </si>
  <si>
    <t>Instigate Psychic Duel</t>
  </si>
  <si>
    <t>medium 2, mesmerist 2, occultist 2, psychic 2, spiritualist 2</t>
  </si>
  <si>
    <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mindscape door can also free you from the mindscape (and mindscape door is one of the few spells you can cast in a binary mindscape). A binary mindscape is clearly illusory, and disbelieving the illusion doesn't alter how the mindscape works.</t>
  </si>
  <si>
    <t>&lt;p&gt;You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&lt;i&gt;mindscape door&lt;/i&gt; can also free you from the mindscape (and &lt;i&gt;mindscape door&lt;/i&gt; is one of the few spells you can cast in a binary mindscape). A binary mindscape is clearly illusory, and disbelieving the illusion doesn't alter how the mindscape works.&lt;/p&gt;</t>
  </si>
  <si>
    <t>&lt;link rel="stylesheet"href="PF.css"&gt;&lt;div class="heading"&gt;&lt;p class="alignleft"&gt;Instigate Psychic Duel&lt;/p&gt;&lt;div style="clear: both;"&gt;&lt;/div&gt;&lt;/div&gt;&lt;div&gt;&lt;h5&gt;&lt;b&gt;School &lt;/b&gt;illusion (phantasm) [mind-affecting]; &lt;b&gt;Level &lt;/b&gt;medium 2, mesmerist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minute/level&lt;/h5&gt;&lt;h5&gt;&lt;b&gt;Saving Throw &lt;/b&gt;Will negates; &lt;b&gt;Spell Resistance &lt;/b&gt;yes&lt;/h5&gt;&lt;/div&gt;&lt;hr/&gt;&lt;div&gt;&lt;h5&gt;&lt;b&gt;DESCRIPTION&lt;/b&gt;&lt;/h5&gt;&lt;/div&gt;&lt;hr/&gt;&lt;div&gt;&lt;h4&gt;&lt;p&gt;You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&lt;i&gt;mindscape door&lt;/i&gt; can also free you from the mindscape (and &lt;i&gt;mindscape door&lt;/i&gt; is one of the few spells you can cast in a binary mindscape). A binary mindscape is clearly illusory, and disbelieving the illusion doesn't alter how the mindscape works.&lt;/p&gt;&lt;/h4&gt;&lt;/div&gt;</t>
  </si>
  <si>
    <t>Start a psychic duel between yourself and another creature</t>
  </si>
  <si>
    <t>Intellect Fortress I</t>
  </si>
  <si>
    <t>Using the power of pure logic, you disrupt mental attacks. Intellect fortress I suppresses all effects with the emotion and fear descriptors for its duration.</t>
  </si>
  <si>
    <t>&lt;p&gt;Using the power of pure logic, you disrupt mental attacks. &lt;i&gt;Intellect fortress I&lt;/i&gt; suppresses all effects with the emotion and fear descriptors for its duration.&lt;/p&gt;</t>
  </si>
  <si>
    <t>&lt;link rel="stylesheet"href="PF.css"&gt;&lt;div class="heading"&gt;&lt;p class="alignleft"&gt;Intellect Fortress 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(harmless)&lt;/h5&gt;&lt;/div&gt;&lt;hr/&gt;&lt;div&gt;&lt;h5&gt;&lt;b&gt;DESCRIPTION&lt;/b&gt;&lt;/h5&gt;&lt;/div&gt;&lt;hr/&gt;&lt;div&gt;&lt;h4&gt;&lt;p&gt;Using the power of pure logic, you disrupt mental attacks. &lt;i&gt;Intellect fortress I&lt;/i&gt; suppresses all effects with the emotion and fear descriptors for its duration.&lt;/p&gt;&lt;/h4&gt;&lt;/div&gt;</t>
  </si>
  <si>
    <t>Suppress emotion and fear effects in a 20-ft. radius as an immediate action.</t>
  </si>
  <si>
    <t>Psychic (9)</t>
  </si>
  <si>
    <t>Intellect Fortress II</t>
  </si>
  <si>
    <t>This spell functions as intellect fortress I, but in addition, any mind-affecting effects that deal damage have their damage reduced by half (before any reduction due to a successful save or other effect). This applies to both hit point damage and ability score damage. This spell can be undercast.</t>
  </si>
  <si>
    <t>&lt;p&gt;This spell functions as &lt;i&gt;intellect fortress I&lt;/i&gt;, but in addition, any mind-affecting effects that deal damage have their damage reduced by half (before any reduction due to a successful save or other effect). This applies to both hit point damage and ability score damage. This spell can be undercast.&lt;/p&gt;</t>
  </si>
  <si>
    <t>&lt;link rel="stylesheet"href="PF.css"&gt;&lt;div class="heading"&gt;&lt;p class="alignleft"&gt;Intellect Fortress II&lt;/p&gt;&lt;div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(harmless)&lt;/h5&gt;&lt;/div&gt;&lt;hr/&gt;&lt;div&gt;&lt;h5&gt;&lt;b&gt;DESCRIPTION&lt;/b&gt;&lt;/h5&gt;&lt;/div&gt;&lt;hr/&gt;&lt;div&gt;&lt;h4&gt;&lt;p&gt;This spell functions as &lt;i&gt;intellect fortress I&lt;/i&gt;, but in addition, any mind-affecting effects that deal damage have their damage reduced by half (before any reduction due to a successful save or other effect). This applies to both hit point damage and ability score damage. This spell can be undercast.&lt;/p&gt;&lt;/h4&gt;&lt;/div&gt;</t>
  </si>
  <si>
    <t>As intellect fortress I, plus reduce the damage of mind-affecting effects.</t>
  </si>
  <si>
    <t>Intellect Fortress III</t>
  </si>
  <si>
    <t>This spell functions as intellect fortress II, but creatures within the area who succeed at a saving throw against a fear or emotion effect suffer no effects, even if there is usually a partial effect on a successful saving throw. This spell can be undercast.</t>
  </si>
  <si>
    <t>&lt;p&gt;This spell functions as &lt;i&gt;intellect fortress II&lt;/i&gt;, but creatures within the area who succeed at a saving throw against a fear or emotion effect suffer no effects, even if there is usually a partial effect on a successful saving throw. This spell can be undercast.&lt;/p&gt;</t>
  </si>
  <si>
    <t>&lt;link rel="stylesheet"href="PF.css"&gt;&lt;div class="heading"&gt;&lt;p class="alignleft"&gt;Intellect Fortress III&lt;/p&gt;&lt;div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(harmless)&lt;/h5&gt;&lt;/div&gt;&lt;hr/&gt;&lt;div&gt;&lt;h5&gt;&lt;b&gt;DESCRIPTION&lt;/b&gt;&lt;/h5&gt;&lt;/div&gt;&lt;hr/&gt;&lt;div&gt;&lt;h4&gt;&lt;p&gt;This spell functions as &lt;i&gt;intellect fortress II&lt;/i&gt;, but creatures within the area who succeed at a saving throw against a fear or emotion effect suffer no effects, even if there is usually a partial effect on a successful saving throw. This spell can be undercast.&lt;/p&gt;&lt;/h4&gt;&lt;/div&gt;</t>
  </si>
  <si>
    <t>As intellect fortress II, plus remove partial effects of fear and emotion effects.</t>
  </si>
  <si>
    <t>Mental Barrier I</t>
  </si>
  <si>
    <t>You put a barrier of mental energy that protects you from harm. This barrier grants you a +4 shield bonus to AC. In addition, you take half damage from mind thrust I and II (reduced to one-quarter on a successful Will save).</t>
  </si>
  <si>
    <t>&lt;p&gt;You put a barrier of mental energy that protects you from harm. This barrier grants you a +4 shield bonus to AC. In addition, you take half damage from &lt;i&gt;mind thrust I&lt;/i&gt; and &lt;i&gt;II&lt;/i&gt; (reduced to one-quarter on a successful Will save).&lt;/p&gt;</t>
  </si>
  <si>
    <t>&lt;link rel="stylesheet"href="PF.css"&gt;&lt;div class="heading"&gt;&lt;p class="alignleft"&gt;Mental Barrier I&lt;/p&gt;&lt;div style="clear: both;"&gt;&lt;/div&gt;&lt;/div&gt;&lt;div&gt;&lt;h5&gt;&lt;b&gt;School &lt;/b&gt;abjuration; &lt;b&gt;Level &lt;/b&gt;psychic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round&lt;/h5&gt;&lt;/div&gt;&lt;hr/&gt;&lt;div&gt;&lt;h5&gt;&lt;b&gt;DESCRIPTION&lt;/b&gt;&lt;/h5&gt;&lt;/div&gt;&lt;hr/&gt;&lt;div&gt;&lt;h4&gt;&lt;p&gt;You put a barrier of mental energy that protects you from harm. This barrier grants you a +4 shield bonus to AC. In addition, you take half damage from &lt;i&gt;mind thrust I&lt;/i&gt; and &lt;i&gt;II&lt;/i&gt; (reduced to one-quarter on a successful Will save).&lt;/p&gt;&lt;/h4&gt;&lt;/div&gt;</t>
  </si>
  <si>
    <t>Gain a +4 shield bonus to AC and resist mind thrust for 1 round as an immediate action.</t>
  </si>
  <si>
    <t>Mental Barrier II</t>
  </si>
  <si>
    <t>This spell functions as mental barrier I, but the shield bonus to AC increases to +6. In addition, you take half damage from mind thrust I, II, and III (reduced to one-quarter on a successful Will save). This spell can be undercast.</t>
  </si>
  <si>
    <t>&lt;p&gt;This spell functions as &lt;i&gt;mental barrier I&lt;/i&gt;, but the shield bonus to AC increases to +6. In addition, you take half damage from &lt;i&gt;mind thrust I&lt;/i&gt;, &lt;i&gt;II&lt;/i&gt;, and &lt;i&gt;II&lt;/i&gt;I (reduced to one-quarter on a successful Will save). This spell can be undercast.&lt;/p&gt;</t>
  </si>
  <si>
    <t>&lt;link rel="stylesheet"href="PF.css"&gt;&lt;div class="heading"&gt;&lt;p class="alignleft"&gt;Mental Barrier II&lt;/p&gt;&lt;div style="clear: both;"&gt;&lt;/div&gt;&lt;/div&gt;&lt;div&gt;&lt;h5&gt;&lt;b&gt;School &lt;/b&gt;abjuration; &lt;b&gt;Level &lt;/b&gt;psychic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I&lt;/i&gt;, but the shield bonus to AC increases to +6. In addition, you take half damage from &lt;i&gt;mind thrust I&lt;/i&gt;, &lt;i&gt;II&lt;/i&gt;, and &lt;i&gt;II&lt;/i&gt;I (reduced to one-quarter on a successful Will save). This spell can be undercast.&lt;/p&gt;&lt;/h4&gt;&lt;/div&gt;</t>
  </si>
  <si>
    <t>As mental barrier I, but +6 to AC.</t>
  </si>
  <si>
    <t>Mental Barrier III</t>
  </si>
  <si>
    <t>This spell functions as mental barrier I, but the shield bonus to AC increases to +8. In addition, you are immune to mine thrust I, and you take half damage from mind thrust II, III, and IV (reduced to one-quarter on a successful Will save). This spell can be undercast.</t>
  </si>
  <si>
    <t>&lt;p&gt;This spell functions as &lt;i&gt;mental barrier I&lt;/i&gt;, but the shield bonus to AC increases to +8. In addition, you are immune to &lt;i&gt;mine thrust I&lt;/i&gt;, and you take half damage from &lt;i&gt;mind thrust II&lt;/i&gt;, &lt;i&gt;III&lt;/i&gt;, and &lt;i&gt;IV&lt;/i&gt; (reduced to one-quarter on a successful Will save). This spell can be undercast.&lt;/p&gt;</t>
  </si>
  <si>
    <t>&lt;link rel="stylesheet"href="PF.css"&gt;&lt;div class="heading"&gt;&lt;p class="alignleft"&gt;Mental Barrier III&lt;/p&gt;&lt;div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I&lt;/i&gt;, but the shield bonus to AC increases to +8. In addition, you are immune to &lt;i&gt;mine thrust I&lt;/i&gt;, and you take half damage from &lt;i&gt;mind thrust II&lt;/i&gt;, &lt;i&gt;III&lt;/i&gt;, and &lt;i&gt;IV&lt;/i&gt; (reduced to one-quarter on a successful Will save). This spell can be undercast.&lt;/p&gt;&lt;/h4&gt;&lt;/div&gt;</t>
  </si>
  <si>
    <t>As mental barrier I, but +8 to AC.</t>
  </si>
  <si>
    <t>Mental Barrier IV</t>
  </si>
  <si>
    <t>This spell functions as mental barrier III, but if you are struck by a critical hit or sneak attack, there is a 25% chance that the additional damage is negated (as light fortification). This does not stack with similar effects that negate the additional damage from a critical hit or sneak attack. In addition, you are immune to mind thrust I and II, and you take half damage from mind thrust III, IV, and V (reduced to one-quarter on a successful Will save). This spell can be undercast.</t>
  </si>
  <si>
    <t>&lt;p&gt;This spell functions as &lt;i&gt;mental barrier &lt;i&gt;II&lt;/i&gt;I&lt;/i&gt;, but if you are struck by a critical hit or sneak attack, there is a 25% chance that the additional damage is negated (as &lt;i&gt;light&lt;/i&gt; fortification). This does not stack with similar effects that negate the additional damage from a critical hit or sneak attack. In addition, you are immune to &lt;i&gt;mind thrust I&lt;/i&gt; and &lt;i&gt;II&lt;/i&gt;, and you take half damage from &lt;i&gt;mind thrust I&lt;/i&gt;&lt;i&gt;II&lt;/i&gt;, &lt;i&gt;I&lt;i&gt;V&lt;/i&gt;&lt;/i&gt;, and &lt;i&gt;V&lt;/i&gt; (reduced to one-quarter on a successful Will save). This spell can be undercast.&lt;/p&gt;</t>
  </si>
  <si>
    <t>&lt;link rel="stylesheet"href="PF.css"&gt;&lt;div class="heading"&gt;&lt;p class="alignleft"&gt;Mental Barrier IV&lt;/p&gt;&lt;div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&lt;i&gt;II&lt;/i&gt;I&lt;/i&gt;, but if you are struck by a critical hit or sneak attack, there is a 25% chance that the additional damage is negated (as &lt;i&gt;light&lt;/i&gt; fortification). This does not stack with similar effects that negate the additional damage from a critical hit or sneak attack. In addition, you are immune to &lt;i&gt;mind thrust I&lt;/i&gt; and &lt;i&gt;II&lt;/i&gt;, and you take half damage from &lt;i&gt;mind thrust I&lt;/i&gt;&lt;i&gt;II&lt;/i&gt;, &lt;i&gt;I&lt;i&gt;V&lt;/i&gt;&lt;/i&gt;, and &lt;i&gt;V&lt;/i&gt; (reduced to one-quarter on a successful Will save). This spell can be undercast.&lt;/p&gt;&lt;/h4&gt;&lt;/div&gt;</t>
  </si>
  <si>
    <t>As mental barrier III, plus 25% chance to prevent critical hits and sneak attacks.</t>
  </si>
  <si>
    <t>Mental Barrier V</t>
  </si>
  <si>
    <t>This functions as mental barrier III, but if you are struck by a critical hit or sneak attack, there is a 50% chance that the additional damage is negated (as moderate fortification). This does not stack with similar effects that negate the additional damage from a critical hit or sneak attack. In addition, you are immune to mind thrust I, II, and III, and you take half damage from mind thrust IV, V, and VI (reduced to one-quarter on a successful Will save). This spell can be undercast.</t>
  </si>
  <si>
    <t>&lt;p&gt;This functions as &lt;i&gt;mental barrier &lt;i&gt;II&lt;/i&gt;I&lt;/i&gt;, but if you are struck by a critical hit or sneak attack, there is a 50% chance that the additional damage is negated (as &lt;i&gt;moderate&lt;/i&gt; fortification). This does not stack with similar effects that negate the additional damage from a critical hit or sneak attack. In addition, you are immune to &lt;i&gt;mind thrust I&lt;/i&gt;, &lt;i&gt;II&lt;/i&gt;, and &lt;i&gt;II&lt;/i&gt;I, and you take half damage from &lt;i&gt;mind thrust I&lt;/i&gt;&lt;i&gt;V&lt;/i&gt;, &lt;i&gt;V&lt;/i&gt;, and &lt;i&gt;V&lt;/i&gt;I (reduced to one-quarter on a successful Will save). This spell can be undercast.&lt;/p&gt;</t>
  </si>
  <si>
    <t>&lt;link rel="stylesheet"href="PF.css"&gt;&lt;div class="heading"&gt;&lt;p class="alignleft"&gt;Mental Barrier V&lt;/p&gt;&lt;div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&lt;i&gt;mental barrier &lt;i&gt;II&lt;/i&gt;I&lt;/i&gt;, but if you are struck by a critical hit or sneak attack, there is a 50% chance that the additional damage is negated (as &lt;i&gt;moderate&lt;/i&gt; fortification). This does not stack with similar effects that negate the additional damage from a critical hit or sneak attack. In addition, you are immune to &lt;i&gt;mind thrust I&lt;/i&gt;, &lt;i&gt;II&lt;/i&gt;, and &lt;i&gt;II&lt;/i&gt;I, and you take half damage from &lt;i&gt;mind thrust I&lt;/i&gt;&lt;i&gt;V&lt;/i&gt;, &lt;i&gt;V&lt;/i&gt;, and &lt;i&gt;V&lt;/i&gt;I (reduced to one-quarter on a successful Will save). This spell can be undercast.&lt;/p&gt;&lt;/h4&gt;&lt;/div&gt;</t>
  </si>
  <si>
    <t>As mental barrier III, plus 50% chance to prevent critical hits and sneak attacks.</t>
  </si>
  <si>
    <t>Psychic (13)</t>
  </si>
  <si>
    <t>Mental Block</t>
  </si>
  <si>
    <t>bard 2, mesmerist 1, psychic 2</t>
  </si>
  <si>
    <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t>
  </si>
  <si>
    <t>&lt;p&gt;You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effect.&lt;/p&gt;</t>
  </si>
  <si>
    <t>&lt;link rel="stylesheet"href="PF.css"&gt;&lt;div class="heading"&gt;&lt;p class="alignleft"&gt;Mental Block&lt;/p&gt;&lt;div style="clear: both;"&gt;&lt;/div&gt;&lt;/div&gt;&lt;div&gt;&lt;h5&gt;&lt;b&gt;School &lt;/b&gt;divination [mind-affecting]; &lt;b&gt;Level &lt;/b&gt;bard 2, mesmerist 1, psychic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effect.&lt;/p&gt;&lt;/h4&gt;&lt;/div&gt;</t>
  </si>
  <si>
    <t>Prevent the target from using its skill ranks, spells, feats, and abilities.</t>
  </si>
  <si>
    <t>Mind (4)</t>
  </si>
  <si>
    <t>Microcosm</t>
  </si>
  <si>
    <t>one or more creatures</t>
  </si>
  <si>
    <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microcosm can die of starvation and thirst without care. Creatures can neither escape from nor enter a microcosm, even via a mindscape door. Microcosm can be ended only by miracle or wish.  Creatures inside a microcosm can be affected by mind-affecting effects targeted against their real bodies. However, they perceive them as natural events within their inner mindscape. Multiple creatures affected by the same microcosm can interact with one another within the mindscape.</t>
  </si>
  <si>
    <t>&lt;p&gt;You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&lt;i&gt;microcosm&lt;/i&gt; can die of starvation and thirst without care. Creatures can neither escape from nor enter a &lt;i&gt;microcosm&lt;/i&gt;, even via a &lt;i&gt;mindscape door&lt;/i&gt;. &lt;i&gt;Microcosm&lt;/i&gt; can be ended only by &lt;i&gt;miracle&lt;/i&gt; or &lt;i&gt;wish&lt;/i&gt;.  Creatures inside a &lt;i&gt;microcosm&lt;/i&gt; can be affected by mind-affecting effects targeted against their real bodies. However, they perceive them as natural events within their inner mindscape. Multiple creatures affected by the same &lt;i&gt;microcosm&lt;/i&gt; can interact with one another within the mindscape.&lt;/p&gt;</t>
  </si>
  <si>
    <t>&lt;link rel="stylesheet"href="PF.css"&gt;&lt;div class="heading"&gt;&lt;p class="alignleft"&gt;Microcosm&lt;/p&gt;&lt;div style="clear: both;"&gt;&lt;/div&gt;&lt;/div&gt;&lt;div&gt;&lt;h5&gt;&lt;b&gt;School &lt;/b&gt;illusion (phantasm) [mind-affecting]; &lt;b&gt;Level &lt;/b&gt;psychic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creatures&lt;/h5&gt;&lt;h5&gt;&lt;b&gt;Duration &lt;/b&gt;permanent&lt;/h5&gt;&lt;h5&gt;&lt;b&gt;Saving Throw &lt;/b&gt;Will partial (see text); &lt;b&gt;Spell Resistance &lt;/b&gt;yes&lt;/h5&gt;&lt;/div&gt;&lt;hr/&gt;&lt;div&gt;&lt;h5&gt;&lt;b&gt;DESCRIPTION&lt;/b&gt;&lt;/h5&gt;&lt;/div&gt;&lt;hr/&gt;&lt;div&gt;&lt;h4&gt;&lt;p&gt;You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&lt;i&gt;microcosm&lt;/i&gt; can die of starvation and thirst without care. Creatures can neither escape from nor enter a &lt;i&gt;microcosm&lt;/i&gt;, even via a &lt;i&gt;mindscape door&lt;/i&gt;. &lt;i&gt;Microcosm&lt;/i&gt; can be ended only by &lt;i&gt;miracle&lt;/i&gt; or &lt;i&gt;wish&lt;/i&gt;.  Creatures inside a &lt;i&gt;microcosm&lt;/i&gt; can be affected by mind-affecting effects targeted against their real bodies. However, they perceive them as natural events within their inner mindscape. Multiple creatures affected by the same &lt;i&gt;microcosm&lt;/i&gt; can interact with one another within the mindscape.&lt;/p&gt;&lt;/h4&gt;&lt;/div&gt;</t>
  </si>
  <si>
    <t>Trap creatures in a veiled mindscape permanently, causing their bodies to waste away in the real world.</t>
  </si>
  <si>
    <t>Psychic (19)</t>
  </si>
  <si>
    <t>Mind (18)</t>
  </si>
  <si>
    <t>Mind Probe</t>
  </si>
  <si>
    <t>medium 3, mesmerist 4, occultist 4, psychic 4, sorcerer/wizard 5</t>
  </si>
  <si>
    <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t>
  </si>
  <si>
    <t>&lt;p&gt;You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questions.&lt;/p&gt;</t>
  </si>
  <si>
    <t>&lt;link rel="stylesheet"href="PF.css"&gt;&lt;div class="heading"&gt;&lt;p class="alignleft"&gt;Mind Probe&lt;/p&gt;&lt;div style="clear: both;"&gt;&lt;/div&gt;&lt;/div&gt;&lt;div&gt;&lt;h5&gt;&lt;b&gt;School &lt;/b&gt;divination [mind-affecting]; &lt;b&gt;Level &lt;/b&gt;medium 3, mesmerist 4, occultist 4, psychic 4, sorcerer/wizard 5&lt;/h5&gt;&lt;/div&gt;&lt;hr/&gt;&lt;div&gt;&lt;h5&gt;&lt;b&gt;CASTING&lt;/b&gt;&lt;/h5&gt;&lt;/div&gt;&lt;hr/&gt;&lt;div&gt;&lt;h5&gt;&lt;b&gt;Casting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questions.&lt;/p&gt;&lt;/h4&gt;&lt;/div&gt;</t>
  </si>
  <si>
    <t>Learn answers from a subject’s memories.</t>
  </si>
  <si>
    <t>Mind Swap</t>
  </si>
  <si>
    <t>medium 3, mesmerist 5, occultist 4, psychic 5, sorcerer/wizard 6, spiritualist 4, summoner 5, witch 6</t>
  </si>
  <si>
    <t>This spell is similar to possession, except you switch minds with the target, so instead of the target's soul sharing its body with yours and being unable to act, the target's mind moves to your body and can control it as if you each had cast possession on the other.</t>
  </si>
  <si>
    <t>&lt;p&gt;This spell is similar to &lt;i&gt;possession&lt;/i&gt;, except you switch minds with the target, so instead of the target's soul sharing its body with yours and being unable to act, the target's mind moves to your body and can control it as if you each had cast &lt;i&gt;possession&lt;/i&gt; on the other.&lt;/p&gt;</t>
  </si>
  <si>
    <t>&lt;link rel="stylesheet"href="PF.css"&gt;&lt;div class="heading"&gt;&lt;p class="alignleft"&gt;Mind Swap&lt;/p&gt;&lt;div style="clear: both;"&gt;&lt;/div&gt;&lt;/div&gt;&lt;div&gt;&lt;h5&gt;&lt;b&gt;School &lt;/b&gt;enchantment (compulsion) [mind-affecting]; &lt;b&gt;Level &lt;/b&gt;medium 3, mesmerist 5, occultist 4, psychic 5, sorcerer/wizard 6, spiritualist 4, summoner 5, witch 6&lt;/h5&gt;&lt;/div&gt;&lt;hr/&gt;&lt;div&gt;&lt;h5&gt;&lt;b&gt;CASTING&lt;/b&gt;&lt;/h5&gt;&lt;/div&gt;&lt;hr/&gt;&lt;div&gt;&lt;h5&gt;&lt;b&gt;Casting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&lt;/b&gt;yes&lt;/h5&gt;&lt;/div&gt;&lt;hr/&gt;&lt;div&gt;&lt;h5&gt;&lt;b&gt;DESCRIPTION&lt;/b&gt;&lt;/h5&gt;&lt;/div&gt;&lt;hr/&gt;&lt;div&gt;&lt;h4&gt;&lt;p&gt;This spell is similar to &lt;i&gt;possession&lt;/i&gt;, except you switch minds with the target, so instead of the target's soul sharing its body with yours and being unable to act, the target's mind moves to your body and can control it as if you each had cast &lt;i&gt;possession&lt;/i&gt; on the other.&lt;/p&gt;&lt;/h4&gt;&lt;/div&gt;</t>
  </si>
  <si>
    <t>Switch minds with another creature for 1 hour per level.</t>
  </si>
  <si>
    <t>Mind Swap, Major</t>
  </si>
  <si>
    <t>V, S, M (diamonds worth 10,000 gp)</t>
  </si>
  <si>
    <t>one creature of your same race</t>
  </si>
  <si>
    <t>The spell functions as mind swap, except as noted above. In addition, after 24 hours, instead of using each other's hit points, you each revert to your original hit points, modified by your new Constitution modifiers. This spell can be reversed only with miracle, wish, or another major mind swap.</t>
  </si>
  <si>
    <t>&lt;p&gt;The spell functions as &lt;i&gt;mind swap&lt;/i&gt;, except as noted above. In addition, after 24 hours, instead of using each other's hit points, you each revert to your original hit points, modified by your new Constitution modifiers. This spell can be reversed only with &lt;i&gt;miracle&lt;/i&gt;, &lt;i&gt;wish&lt;/i&gt;, or another major &lt;i&gt;mind swap&lt;/i&gt;.&lt;/p&gt;</t>
  </si>
  <si>
    <t>&lt;link rel="stylesheet"href="PF.css"&gt;&lt;div class="heading"&gt;&lt;p class="alignleft"&gt;Mind Swap, Major&lt;/p&gt;&lt;div style="clear: both;"&gt;&lt;/div&gt;&lt;/div&gt;&lt;div&gt;&lt;h5&gt;&lt;b&gt;School &lt;/b&gt;enchantment (compulsion) [mind-affecting]; &lt;b&gt;Level &lt;/b&gt;psychic 9&lt;/h5&gt;&lt;/div&gt;&lt;hr/&gt;&lt;div&gt;&lt;h5&gt;&lt;b&gt;CASTING&lt;/b&gt;&lt;/h5&gt;&lt;/div&gt;&lt;hr/&gt;&lt;div&gt;&lt;h5&gt;&lt;b&gt;Casting Time &lt;/b&gt;1 minute&lt;/h5&gt;&lt;h5&gt;&lt;b&gt;Components &lt;/b&gt;V, S, M (diamonds worth 10,000 gp)&lt;/h5&gt;&lt;/div&gt;&lt;hr/&gt;&lt;div&gt;&lt;h5&gt;&lt;b&gt;EFFECT&lt;/b&gt;&lt;/h5&gt;&lt;/div&gt;&lt;hr/&gt;&lt;div&gt;&lt;h5&gt;&lt;b&gt;Range &lt;/b&gt;medium (100 ft. + 10 ft./level)&lt;/h5&gt;&lt;h5&gt;&lt;b&gt;Targets &lt;/b&gt;one creature of your same race&lt;/h5&gt;&lt;h5&gt;&lt;b&gt;Duration &lt;/b&gt;instantaneous&lt;/h5&gt;&lt;h5&gt;&lt;b&gt;Saving Throw &lt;/b&gt;Will negates; &lt;b&gt;Spell Resistance &lt;/b&gt;yes&lt;/h5&gt;&lt;/div&gt;&lt;hr/&gt;&lt;div&gt;&lt;h5&gt;&lt;b&gt;DESCRIPTION&lt;/b&gt;&lt;/h5&gt;&lt;/div&gt;&lt;hr/&gt;&lt;div&gt;&lt;h4&gt;&lt;p&gt;The spell functions as &lt;i&gt;mind swap&lt;/i&gt;, except as noted above. In addition, after 24 hours, instead of using each other's hit points, you each revert to your original hit points, modified by your new Constitution modifiers. This spell can be reversed only with &lt;i&gt;miracle&lt;/i&gt;, &lt;i&gt;wish&lt;/i&gt;, or another major &lt;i&gt;mind swap&lt;/i&gt;.&lt;/p&gt;&lt;/h4&gt;&lt;/div&gt;</t>
  </si>
  <si>
    <t>Swap minds with another creature forever.</t>
  </si>
  <si>
    <t>Mind Thrust I</t>
  </si>
  <si>
    <t>psychic 1</t>
  </si>
  <si>
    <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t>
  </si>
  <si>
    <t>&lt;p&gt;You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score.&lt;/p&gt;</t>
  </si>
  <si>
    <t>&lt;link rel="stylesheet"href="PF.css"&gt;&lt;div class="heading"&gt;&lt;p class="alignleft"&gt;Mind Thrust I&lt;/p&gt;&lt;div style="clear: both;"&gt;&lt;/div&gt;&lt;/div&gt;&lt;div&gt;&lt;h5&gt;&lt;b&gt;School &lt;/b&gt;divination [mind-affecting]; &lt;b&gt;Level &lt;/b&gt;psychic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score.&lt;/p&gt;&lt;/h4&gt;&lt;/div&gt;</t>
  </si>
  <si>
    <t>Mentally deal 1d6 points of damage per level.</t>
  </si>
  <si>
    <t>Psychic (3)</t>
  </si>
  <si>
    <t>Mind Thrust II</t>
  </si>
  <si>
    <t>This functions as mind thrust I, but the target takes 1d8 points of damage per caster level (maximum 5d8). This spell can be undercast.</t>
  </si>
  <si>
    <t>&lt;p&gt;This functions as &lt;i&gt;mind thrust I&lt;/i&gt;, but the target takes 1d8 points of damage per caster level (maximum 5d8). This spell can be undercast.&lt;/p&gt;</t>
  </si>
  <si>
    <t>&lt;link rel="stylesheet"href="PF.css"&gt;&lt;div class="heading"&gt;&lt;p class="alignleft"&gt;Mind Thrust II&lt;/p&gt;&lt;div style="clear: both;"&gt;&lt;/div&gt;&lt;/div&gt;&lt;div&gt;&lt;h5&gt;&lt;b&gt;School &lt;/b&gt;divination;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5d8). This spell can be undercast.&lt;/p&gt;&lt;/h4&gt;&lt;/div&gt;</t>
  </si>
  <si>
    <t>As mind thrust I, but deal 1d8 points of damage per level (maximum 5d8).</t>
  </si>
  <si>
    <t>Mind Thrust III</t>
  </si>
  <si>
    <t>This functions as mind thrust I, but the target takes 1d8 points of damage per caster level (maximum 10d8). This spell can be undercast.</t>
  </si>
  <si>
    <t>&lt;p&gt;This functions as &lt;i&gt;mind thrust I&lt;/i&gt;, but the target takes 1d8 points of damage per caster level (maximum 10d8). This spell can be undercast.&lt;/p&gt;</t>
  </si>
  <si>
    <t>&lt;link rel="stylesheet"href="PF.css"&gt;&lt;div class="heading"&gt;&lt;p class="alignleft"&gt;Mind Thrust III&lt;/p&gt;&lt;div style="clear: both;"&gt;&lt;/div&gt;&lt;/div&gt;&lt;div&gt;&lt;h5&gt;&lt;b&gt;School &lt;/b&gt;divination;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10d8). This spell can be undercast.&lt;/p&gt;&lt;/h4&gt;&lt;/div&gt;</t>
  </si>
  <si>
    <t>As mind thrust II, but deal a maximum of 10d8 points of damage.</t>
  </si>
  <si>
    <t>Mind Thrust IV</t>
  </si>
  <si>
    <t>This functions as mind thrust I, but the target takes 1d8 points of damage per caster level (maximum 15d8) and is fatigued for 1 round if it fails its save. This spell can be undercast.</t>
  </si>
  <si>
    <t>&lt;p&gt;This functions as &lt;i&gt;mind thrust I&lt;/i&gt;, but the target takes 1d8 points of damage per caster level (maximum 15d8) and is fatigued for 1 round if it fails its save. This spell can be undercast.&lt;/p&gt;</t>
  </si>
  <si>
    <t>&lt;link rel="stylesheet"href="PF.css"&gt;&lt;div class="heading"&gt;&lt;p class="alignleft"&gt;Mind Thrust IV&lt;/p&gt;&lt;div style="clear: both;"&gt;&lt;/div&gt;&lt;/div&gt;&lt;div&gt;&lt;h5&gt;&lt;b&gt;School &lt;/b&gt;divination;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15d8) and is fatigued for 1 round if it fails its save. This spell can be undercast.&lt;/p&gt;&lt;/h4&gt;&lt;/div&gt;</t>
  </si>
  <si>
    <t>As mind thrust II, but a maximum of 15d8 points of damage and target is fatigued for 1 round.</t>
  </si>
  <si>
    <t>Mind Thrust V</t>
  </si>
  <si>
    <t>This functions as mind thrust IV, but the target is also exhausted for 1 round if it fails its save and fatigued for 1 round if it succeeds at its save. This spell can be undercast.</t>
  </si>
  <si>
    <t>&lt;p&gt;This functions as &lt;i&gt;mind thrust IV&lt;/i&gt;, but the target is also exhausted for 1 round if it fails its save and fatigued for 1 round if it succeeds at its save. This spell can be undercast.&lt;/p&gt;</t>
  </si>
  <si>
    <t>&lt;link rel="stylesheet"href="PF.css"&gt;&lt;div class="heading"&gt;&lt;p class="alignleft"&gt;Mind Thrust V&lt;/p&gt;&lt;div style="clear: both;"&gt;&lt;/div&gt;&lt;/div&gt;&lt;div&gt;&lt;h5&gt;&lt;b&gt;School &lt;/b&gt;divination;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IV&lt;/i&gt;, but the target is also exhausted for 1 round if it fails its save and fatigued for 1 round if it succeeds at its save. This spell can be undercast.&lt;/p&gt;&lt;/h4&gt;&lt;/div&gt;</t>
  </si>
  <si>
    <t>As mind thrust IV, but target is exhausted or fatigued for 1 round.</t>
  </si>
  <si>
    <t>Mind Thrust VI</t>
  </si>
  <si>
    <t>This functions as mind thrust IV, but the target takes 1d8 points of damage per caster level (maximum 20d8) and is exhausted and stunned for 1 round if it fails its save. This spell can be undercast.</t>
  </si>
  <si>
    <t>&lt;p&gt;This functions as &lt;i&gt;mind thrust IV&lt;/i&gt;, but the target takes 1d8 points of damage per caster level (maximum 20d8) and is exhausted and stunned for 1 round if it fails its save. This spell can be undercast.&lt;/p&gt;</t>
  </si>
  <si>
    <t>&lt;link rel="stylesheet"href="PF.css"&gt;&lt;div class="heading"&gt;&lt;p class="alignleft"&gt;Mind Thrust VI&lt;/p&gt;&lt;div style="clear: both;"&gt;&lt;/div&gt;&lt;/div&gt;&lt;div&gt;&lt;h5&gt;&lt;b&gt;School &lt;/b&gt;divination;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IV&lt;/i&gt;, but the target takes 1d8 points of damage per caster level (maximum 20d8) and is exhausted and stunned for 1 round if it fails its save. This spell can be undercast.&lt;/p&gt;&lt;/h4&gt;&lt;/div&gt;</t>
  </si>
  <si>
    <t>As mind thrust IV, but maximum 20d8 points of damage and target is exhausted and stunned for 1 round.</t>
  </si>
  <si>
    <t>Mindlink</t>
  </si>
  <si>
    <t>medium 1, mesmerist 1, occultist 1, psychic 1, shaman 1, sorcerer/wizard 1, spiritualist 1</t>
  </si>
  <si>
    <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t>
  </si>
  <si>
    <t>&lt;p&gt;You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language-dependent.&lt;/p&gt;</t>
  </si>
  <si>
    <t>&lt;link rel="stylesheet"href="PF.css"&gt;&lt;div class="heading"&gt;&lt;p class="alignleft"&gt;Mindlink&lt;/p&gt;&lt;div style="clear: both;"&gt;&lt;/div&gt;&lt;/div&gt;&lt;div&gt;&lt;h5&gt;&lt;b&gt;School &lt;/b&gt;divination [mind-affecting]; &lt;b&gt;Level &lt;/b&gt;medium 1, mesmerist 1, occultist 1, psychic 1, shaman 1, sorcerer/wizard 1, spiritualist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touched&lt;/h5&gt;&lt;h5&gt;&lt;b&gt;Duration &lt;/b&gt;instantaneous&lt;/h5&gt;&lt;h5&gt;&lt;b&gt;Saving Throw &lt;/b&gt;Will negates (harmless); &lt;b&gt;Spell Resistance &lt;/b&gt;yes&lt;/h5&gt;&lt;/div&gt;&lt;hr/&gt;&lt;div&gt;&lt;h5&gt;&lt;b&gt;DESCRIPTION&lt;/b&gt;&lt;/h5&gt;&lt;/div&gt;&lt;hr/&gt;&lt;div&gt;&lt;h4&gt;&lt;p&gt;You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language-dependent.&lt;/p&gt;&lt;/h4&gt;&lt;/div&gt;</t>
  </si>
  <si>
    <t>Communicate a great deal of information in an instant.</t>
  </si>
  <si>
    <t>Mind (2)</t>
  </si>
  <si>
    <t>Mindscape Door</t>
  </si>
  <si>
    <t>medium 3, mesmerist 3, psychic 3, sorcerer/wizard 4</t>
  </si>
  <si>
    <t>one illusory portal</t>
  </si>
  <si>
    <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mindscape door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mindscape door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mindscape door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mindscape door within a veiled mindscape, you learn that you are in a mindscape, but other creatures observing the door don't automatically realize they are.</t>
  </si>
  <si>
    <t>&lt;p&gt;You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&lt;i&gt;mindscape door&lt;/i&gt;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&lt;i&gt;mindscape door&lt;/i&gt;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&lt;i&gt;mindscape door&lt;/i&gt;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&lt;i&gt;mindscape door&lt;/i&gt; within a veiled mindscape, you learn that you are in a mindscape, but other creatures observing the door don't automatically realize they are.&lt;/p&gt;</t>
  </si>
  <si>
    <t>&lt;link rel="stylesheet"href="PF.css"&gt;&lt;div class="heading"&gt;&lt;p class="alignleft"&gt;Mindscape Door&lt;/p&gt;&lt;div style="clear: both;"&gt;&lt;/div&gt;&lt;/div&gt;&lt;div&gt;&lt;h5&gt;&lt;b&gt;School &lt;/b&gt;illusion (phantasm) [mind-affecting]; &lt;b&gt;Level &lt;/b&gt;medium 3, mesmerist 3, psychic 3, sorcerer/wizard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illusory portal&lt;/h5&gt;&lt;h5&gt;&lt;b&gt;Duration &lt;/b&gt;10 minutes/level&lt;/h5&gt;&lt;h5&gt;&lt;b&gt;Saving Throw &lt;/b&gt;Will negates (see text); &lt;b&gt;Spell Resistance &lt;/b&gt;no&lt;/h5&gt;&lt;/div&gt;&lt;hr/&gt;&lt;div&gt;&lt;h5&gt;&lt;b&gt;DESCRIPTION&lt;/b&gt;&lt;/h5&gt;&lt;/div&gt;&lt;hr/&gt;&lt;div&gt;&lt;h4&gt;&lt;p&gt;You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&lt;i&gt;mindscape door&lt;/i&gt;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&lt;i&gt;mindscape door&lt;/i&gt;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&lt;i&gt;mindscape door&lt;/i&gt;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&lt;i&gt;mindscape door&lt;/i&gt; within a veiled mindscape, you learn that you are in a mindscape, but other creatures observing the door don't automatically realize they are.&lt;/p&gt;&lt;/h4&gt;&lt;/div&gt;</t>
  </si>
  <si>
    <t>Create a portal allowing entry to and exit from a mindscape.</t>
  </si>
  <si>
    <t>Mind (6)</t>
  </si>
  <si>
    <t>Mindwipe</t>
  </si>
  <si>
    <t>medium 4, mesmerist 4, occultist 4, psychic 4, sorcerer/wizard 4, spiritualist 4</t>
  </si>
  <si>
    <t>You erase a portion of the target's mind and experiences, inflicting 2 temporary negative levels on the target for 1 day per caster level. If the target is a spellcaster who must choose and prepare spells in advance, each negative level imposed by mindwipe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mindwipe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mindwipe cause the target's total number of negative levels to equal or exceed her character level, instead of dying, she enters a catatonic state as long as the negative levels from mindwipe continue to cause her total number of negative levels to equal or exceed her character level.</t>
  </si>
  <si>
    <t>&lt;p&gt;You erase a portion of the target's mind and experiences, inflicting 2 temporary negative levels on the target for 1 day per caster level. If the target is a spellcaster who must choose and prepare spells in advance, each negative level imposed by &lt;i&gt;mindwipe&lt;/i&gt;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&lt;i&gt;mindwipe&lt;/i&gt;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&lt;i&gt;mindwipe&lt;/i&gt; cause the target's total number of negative levels to equal or exceed her character level, instead of dying, she enters a catatonic state as long as the negative levels from &lt;i&gt;mindwipe&lt;/i&gt; continue to cause her total number of negative levels to equal or exceed her character level.&lt;/p&gt;</t>
  </si>
  <si>
    <t>&lt;link rel="stylesheet"href="PF.css"&gt;&lt;div class="heading"&gt;&lt;p class="alignleft"&gt;Mindwipe&lt;/p&gt;&lt;div style="clear: both;"&gt;&lt;/div&gt;&lt;/div&gt;&lt;div&gt;&lt;h5&gt;&lt;b&gt;School &lt;/b&gt;enchantment (compulsion) [mind-affecting]; &lt;b&gt;Level &lt;/b&gt;medium 4, mesmerist 4, occultist 4, psychic 4, sorcerer/wizard 4, spiritualist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&lt;/b&gt;instantaneous; see text&lt;/h5&gt;&lt;h5&gt;&lt;b&gt;Saving Throw &lt;/b&gt;Will negates; &lt;b&gt;Spell Resistance &lt;/b&gt;yes&lt;/h5&gt;&lt;/div&gt;&lt;hr/&gt;&lt;div&gt;&lt;h5&gt;&lt;b&gt;DESCRIPTION&lt;/b&gt;&lt;/h5&gt;&lt;/div&gt;&lt;hr/&gt;&lt;div&gt;&lt;h4&gt;&lt;p&gt;You erase a portion of the target's mind and experiences, inflicting 2 temporary negative levels on the target for 1 day per caster level. If the target is a spellcaster who must choose and prepare spells in advance, each negative level imposed by &lt;i&gt;mindwipe&lt;/i&gt;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&lt;i&gt;mindwipe&lt;/i&gt;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&lt;i&gt;mindwipe&lt;/i&gt; cause the target's total number of negative levels to equal or exceed her character level, instead of dying, she enters a catatonic state as long as the negative levels from &lt;i&gt;mindwipe&lt;/i&gt; continue to cause her total number of negative levels to equal or exceed her character level.&lt;/p&gt;&lt;/h4&gt;&lt;/div&gt;</t>
  </si>
  <si>
    <t>Erase a portion of the target’s mind and experiences, inflicting negative levels.</t>
  </si>
  <si>
    <t>Node Of Blasting</t>
  </si>
  <si>
    <t>medium 3, mesmerist 3, occultist 2, psychic 3</t>
  </si>
  <si>
    <t>You imbue an object with psychic energy. The node of blasting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node of blasting are hard to detect and disable. A character with the trapfinding class feature can use Disable Device to thwart node of blasting. The DCs to find a node of blasting using Perception and to disable it using Disable  Device are both equal to 25 + the spell's level. Additionally, a creature with the read aura occult skill unlock (see page 197) can attempt the same Perception check to notice a node of blasting.</t>
  </si>
  <si>
    <t>&lt;p&gt;You imbue an object with psychic energy. The &lt;i&gt;node of blasting&lt;/i&gt;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&lt;i&gt;node of blasting&lt;/i&gt; are hard to detect and disable. A character with the trapfinding class feature can use Disable Device to thwart &lt;i&gt;node of blasting&lt;/i&gt;. The DCs to find a &lt;i&gt;node of blasting&lt;/i&gt; using Perception and to disable it using Disable  Device are both equal to 25 + the spell's level. Additionally, a creature with the read aura occult skill unlock (see page 197) can attempt the same Perception check to notice a &lt;i&gt;node of blasting&lt;/i&gt;.&lt;/p&gt;</t>
  </si>
  <si>
    <t>&lt;link rel="stylesheet"href="PF.css"&gt;&lt;div class="heading"&gt;&lt;p class="alignleft"&gt;Node Of Blasting&lt;/p&gt;&lt;div style="clear: both;"&gt;&lt;/div&gt;&lt;/div&gt;&lt;div&gt;&lt;h5&gt;&lt;b&gt;School &lt;/b&gt;abjuration [mind-affecting]; &lt;b&gt;Level &lt;/b&gt;medium 3, mesmerist 3, occultist 2, psychic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weighing no more than 10 lbs.&lt;/h5&gt;&lt;h5&gt;&lt;b&gt;Duration &lt;/b&gt;permanent until discharged (D)&lt;/h5&gt;&lt;h5&gt;&lt;b&gt;Saving Throw &lt;/b&gt;Will partial; see text; &lt;b&gt;Spell Resistance &lt;/b&gt;no&lt;/h5&gt;&lt;/div&gt;&lt;hr/&gt;&lt;div&gt;&lt;h5&gt;&lt;b&gt;DESCRIPTION&lt;/b&gt;&lt;/h5&gt;&lt;/div&gt;&lt;hr/&gt;&lt;div&gt;&lt;h4&gt;&lt;p&gt;You imbue an object with psychic energy. The &lt;i&gt;node of blasting&lt;/i&gt;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&lt;i&gt;node of blasting&lt;/i&gt; are hard to detect and disable. A character with the trapfinding class feature can use Disable Device to thwart &lt;i&gt;node of blasting&lt;/i&gt;. The DCs to find a &lt;i&gt;node of blasting&lt;/i&gt; using Perception and to disable it using Disable  Device are both equal to 25 + the spell's level. Additionally, a creature with the read aura occult skill unlock (see page 197) can attempt the same Perception check to notice a &lt;i&gt;node of blasting&lt;/i&gt;.&lt;/p&gt;&lt;/h4&gt;&lt;/div&gt;</t>
  </si>
  <si>
    <t>Place a trap on an object to mentally damage a creature that touches it.</t>
  </si>
  <si>
    <t>Object Possession</t>
  </si>
  <si>
    <t>medium 4, mesmerist 5, occultist 4, psychic 5, sorcerer/wizard 5, spiritualist 5, witch 5</t>
  </si>
  <si>
    <t>unattended Large or smaller object (minimum Tiny)</t>
  </si>
  <si>
    <t>This spell functions as lesser object possession,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t>
  </si>
  <si>
    <t>&lt;p&gt;This spell functions as &lt;i&gt;lesser object possession&lt;/i&gt;,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spell.&lt;/p&gt;</t>
  </si>
  <si>
    <t>&lt;link rel="stylesheet"href="PF.css"&gt;&lt;div class="heading"&gt;&lt;p class="alignleft"&gt;Object Possession&lt;/p&gt;&lt;div style="clear: both;"&gt;&lt;/div&gt;&lt;/div&gt;&lt;div&gt;&lt;h5&gt;&lt;b&gt;School &lt;/b&gt;necromancy; &lt;b&gt;Level &lt;/b&gt;medium 4, mesmerist 5, occultist 4, psychic 5, sorcerer/wizard 5, spiritualist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&lt;/b&gt;unattended Large or smaller object (minimum Tiny)&lt;/h5&gt;&lt;h5&gt;&lt;b&gt;Duration &lt;/b&gt;10 minutes/level (D)&lt;/h5&gt;&lt;h5&gt;&lt;b&gt;Saving Throw &lt;/b&gt;None; &lt;b&gt;Spell Resistance &lt;/b&gt;No&lt;/h5&gt;&lt;/div&gt;&lt;hr/&gt;&lt;div&gt;&lt;h5&gt;&lt;b&gt;DESCRIPTION&lt;/b&gt;&lt;/h5&gt;&lt;/div&gt;&lt;hr/&gt;&lt;div&gt;&lt;h4&gt;&lt;p&gt;This spell functions as &lt;i&gt;lesser object possession&lt;/i&gt;,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spell.&lt;/p&gt;&lt;/h4&gt;&lt;/div&gt;</t>
  </si>
  <si>
    <t>As lesser object possession, but with a larger object.</t>
  </si>
  <si>
    <t>Object Possession, Greater</t>
  </si>
  <si>
    <t>occultist 5, psychic 6, sorcerer/wizard 7, spiritualist 6, witch 7</t>
  </si>
  <si>
    <t>unattended Gargantuan or smaller object (minimum Tiny) or construct</t>
  </si>
  <si>
    <t>This spell functions as object possession,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control constructUM, except as noted above.</t>
  </si>
  <si>
    <t>&lt;p&gt;This spell functions as &lt;i&gt;object possession&lt;/i&gt;,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&lt;i&gt;control&lt;/i&gt; constructUM, except as noted above.&lt;/p&gt;</t>
  </si>
  <si>
    <t>&lt;link rel="stylesheet"href="PF.css"&gt;&lt;div class="heading"&gt;&lt;p class="alignleft"&gt;Object Possession, Greater&lt;/p&gt;&lt;div style="clear: both;"&gt;&lt;/div&gt;&lt;/div&gt;&lt;div&gt;&lt;h5&gt;&lt;b&gt;School &lt;/b&gt;necromancy; &lt;b&gt;Level &lt;/b&gt;occultist 5, psychic 6, sorcerer/wizard 7, spiritualist 6,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&lt;/b&gt;unattended Gargantuan or smaller object (minimum Tiny) or construct&lt;/h5&gt;&lt;h5&gt;&lt;b&gt;Duration &lt;/b&gt;10 minutes/level (D)&lt;/h5&gt;&lt;h5&gt;&lt;b&gt;Saving Throw &lt;/b&gt;None; &lt;b&gt;Spell Resistance &lt;/b&gt;No&lt;/h5&gt;&lt;/div&gt;&lt;hr/&gt;&lt;div&gt;&lt;h5&gt;&lt;b&gt;DESCRIPTION&lt;/b&gt;&lt;/h5&gt;&lt;/div&gt;&lt;hr/&gt;&lt;div&gt;&lt;h4&gt;&lt;p&gt;This spell functions as &lt;i&gt;object possession&lt;/i&gt;,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&lt;i&gt;control&lt;/i&gt; constructUM, except as noted above.&lt;/p&gt;&lt;/h4&gt;&lt;/div&gt;</t>
  </si>
  <si>
    <t>As possess object, but the object is more powerful and you can possess a construct.</t>
  </si>
  <si>
    <t>Object Possession, Lesser</t>
  </si>
  <si>
    <t>medium 2, mesmerist 3, occultist 2, psychic 3, sorcerer/wizard 4, spiritualist 3, witch 4</t>
  </si>
  <si>
    <t>unattended Tiny or Small object</t>
  </si>
  <si>
    <t>This spell functions as possession, except you possess an object instead of a creature.  A possessed object becomes capable of animation, gaining the statistics of an animated object of its size (including 1 CP worth of abilities; Pathfinder RPG Bestiary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t>
  </si>
  <si>
    <t>&lt;p&gt;This spell functions as &lt;i&gt;possession&lt;/i&gt;, except you possess an object instead of a creature.  A possessed object becomes capable of animation, gaining the statistics of an animated object of its size (including 1 CP worth of abilities; &lt;i&gt;Pathfinder RPG Bestiary&lt;/i&gt;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body.&lt;/p&gt;</t>
  </si>
  <si>
    <t>&lt;link rel="stylesheet"href="PF.css"&gt;&lt;div class="heading"&gt;&lt;p class="alignleft"&gt;Object Possession, Lesser&lt;/p&gt;&lt;div style="clear: both;"&gt;&lt;/div&gt;&lt;/div&gt;&lt;div&gt;&lt;h5&gt;&lt;b&gt;School &lt;/b&gt;necromancy; &lt;b&gt;Level &lt;/b&gt;medium 2, mesmerist 3, occultist 2, psychic 3, sorcerer/wizard 4, spiritualist 3,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&lt;/b&gt;unattended Tiny or Small object&lt;/h5&gt;&lt;h5&gt;&lt;b&gt;Duration &lt;/b&gt;1 minute/level (D)&lt;/h5&gt;&lt;h5&gt;&lt;b&gt;Saving Throw &lt;/b&gt;None; &lt;b&gt;Spell Resistance &lt;/b&gt;No&lt;/h5&gt;&lt;/div&gt;&lt;hr/&gt;&lt;div&gt;&lt;h5&gt;&lt;b&gt;DESCRIPTION&lt;/b&gt;&lt;/h5&gt;&lt;/div&gt;&lt;hr/&gt;&lt;div&gt;&lt;h4&gt;&lt;p&gt;This spell functions as &lt;i&gt;possession&lt;/i&gt;, except you possess an object instead of a creature.  A possessed object becomes capable of animation, gaining the statistics of an animated object of its size (including 1 CP worth of abilities; &lt;i&gt;Pathfinder RPG Bestiary&lt;/i&gt;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body.&lt;/p&gt;&lt;/h4&gt;&lt;/div&gt;</t>
  </si>
  <si>
    <t>Project your soul into an object, animating it.</t>
  </si>
  <si>
    <t>Object Reading</t>
  </si>
  <si>
    <t>medium 1, mesmerist 2, occultist 1, psychic 2, spiritualist 2</t>
  </si>
  <si>
    <t>one touched object</t>
  </si>
  <si>
    <t>concentration, up to 1 round per level (D)</t>
  </si>
  <si>
    <t>You read the psychic impressions left upon an object by emotionally or psychically charged events in the item's history, or the information imprinted by the charge object or implant false reading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t>
  </si>
  <si>
    <t>&lt;p&gt;You read the psychic impressions left upon an object by emotionally or psychically charged events in the item's history, or the information imprinted by the &lt;i&gt;charge object&lt;/i&gt; or &lt;i&gt;implant false reading&lt;/i&gt;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check.&lt;/p&gt;</t>
  </si>
  <si>
    <t>&lt;link rel="stylesheet"href="PF.css"&gt;&lt;div class="heading"&gt;&lt;p class="alignleft"&gt;Object Reading&lt;/p&gt;&lt;div style="clear: both;"&gt;&lt;/div&gt;&lt;/div&gt;&lt;div&gt;&lt;h5&gt;&lt;b&gt;School &lt;/b&gt;divination; &lt;b&gt;Level &lt;/b&gt;medium 1, mesmerist 2, occultist 1,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object&lt;/h5&gt;&lt;h5&gt;&lt;b&gt;Duration &lt;/b&gt;concentration, up to 1 round per level (D)&lt;/h5&gt;&lt;h5&gt;&lt;b&gt;Saving Throw &lt;/b&gt;none; &lt;b&gt;Spell Resistance &lt;/b&gt;no&lt;/h5&gt;&lt;/div&gt;&lt;hr/&gt;&lt;div&gt;&lt;h5&gt;&lt;b&gt;DESCRIPTION&lt;/b&gt;&lt;/h5&gt;&lt;/div&gt;&lt;hr/&gt;&lt;div&gt;&lt;h4&gt;&lt;p&gt;You read the psychic impressions left upon an object by emotionally or psychically charged events in the item's history, or the information imprinted by the &lt;i&gt;charge object&lt;/i&gt; or &lt;i&gt;implant false reading&lt;/i&gt;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check.&lt;/p&gt;&lt;/h4&gt;&lt;/div&gt;</t>
  </si>
  <si>
    <t>Read psychic impressions left on an object.</t>
  </si>
  <si>
    <t>Oneiric Horror</t>
  </si>
  <si>
    <t>bard 2, medium 1, mesmerist 2, psychic 2, sorcerer/wizard 3</t>
  </si>
  <si>
    <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t>
  </si>
  <si>
    <t>&lt;p&gt;You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ends.&lt;/p&gt;</t>
  </si>
  <si>
    <t>&lt;link rel="stylesheet"href="PF.css"&gt;&lt;div class="heading"&gt;&lt;p class="alignleft"&gt;Oneiric Horror&lt;/p&gt;&lt;div style="clear: both;"&gt;&lt;/div&gt;&lt;/div&gt;&lt;div&gt;&lt;h5&gt;&lt;b&gt;School &lt;/b&gt;illusion (phantasm) [mind-affecting]; &lt;b&gt;Level &lt;/b&gt;bard 2, medium 1, mesmerist 2, psychic 2, sorcerer/wizard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 (D)&lt;/h5&gt;&lt;h5&gt;&lt;b&gt;Saving Throw &lt;/b&gt;Will negates; &lt;b&gt;Spell Resistance &lt;/b&gt;yes&lt;/h5&gt;&lt;/div&gt;&lt;hr/&gt;&lt;div&gt;&lt;h5&gt;&lt;b&gt;DESCRIPTION&lt;/b&gt;&lt;/h5&gt;&lt;/div&gt;&lt;hr/&gt;&lt;div&gt;&lt;h4&gt;&lt;p&gt;You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ends.&lt;/p&gt;&lt;/h4&gt;&lt;/div&gt;</t>
  </si>
  <si>
    <t>Distract and fatigue the target with a creature from its nightmares.</t>
  </si>
  <si>
    <t>Oneiric Horror, Greater</t>
  </si>
  <si>
    <t>bard 4, medium 2, mesmerist 3, psychic 4, sorcerer/wizard 5</t>
  </si>
  <si>
    <t>Will negates, Fortitude negates, see text</t>
  </si>
  <si>
    <t>This spell functions as oneiric horror except each round the subject fails its Will save, it takes 1 point of Strength damage, and after the spell ends, the subject must succeed at a Fortitude save or be fatigued for a number of minutes equal to the number of rounds spent under the spell's effect.</t>
  </si>
  <si>
    <t>&lt;p&gt;This spell functions as &lt;i&gt;oneiric horror&lt;/i&gt; except each round the subject fails its Will save, it takes 1 point of Strength damage, and after the spell ends, the subject must succeed at a Fortitude save or be fatigued for a number of minutes equal to the number of rounds spent under the spell's effect.&lt;/p&gt;</t>
  </si>
  <si>
    <t>&lt;link rel="stylesheet"href="PF.css"&gt;&lt;div class="heading"&gt;&lt;p class="alignleft"&gt;Oneiric Horror, Greater&lt;/p&gt;&lt;div style="clear: both;"&gt;&lt;/div&gt;&lt;/div&gt;&lt;div&gt;&lt;h5&gt;&lt;b&gt;School &lt;/b&gt;illusion (phantasm) [mind-affecting]; &lt;b&gt;Level &lt;/b&gt;bard 4, medium 2, mesmerist 3, psychic 4,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 (D)&lt;/h5&gt;&lt;h5&gt;&lt;b&gt;Saving Throw &lt;/b&gt;Will negates, Fortitude negates, see text; &lt;b&gt;Spell Resistance &lt;/b&gt;yes&lt;/h5&gt;&lt;/div&gt;&lt;hr/&gt;&lt;div&gt;&lt;h5&gt;&lt;b&gt;DESCRIPTION&lt;/b&gt;&lt;/h5&gt;&lt;/div&gt;&lt;hr/&gt;&lt;div&gt;&lt;h4&gt;&lt;p&gt;This spell functions as &lt;i&gt;oneiric horror&lt;/i&gt; except each round the subject fails its Will save, it takes 1 point of Strength damage, and after the spell ends, the subject must succeed at a Fortitude save or be fatigued for a number of minutes equal to the number of rounds spent under the spell's effect.&lt;/p&gt;&lt;/h4&gt;&lt;/div&gt;</t>
  </si>
  <si>
    <t>As oneiric horror, plus Str damage.</t>
  </si>
  <si>
    <t>Paranoia</t>
  </si>
  <si>
    <t>bard 2, medium 1, mesmerist 1, psychic 2, sorcerer/wizard 2, witch 2</t>
  </si>
  <si>
    <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t>
  </si>
  <si>
    <t>&lt;p&gt;The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throws.&lt;/p&gt;</t>
  </si>
  <si>
    <t>&lt;link rel="stylesheet"href="PF.css"&gt;&lt;div class="heading"&gt;&lt;p class="alignleft"&gt;Paranoia&lt;/p&gt;&lt;div style="clear: both;"&gt;&lt;/div&gt;&lt;/div&gt;&lt;div&gt;&lt;h5&gt;&lt;b&gt;School &lt;/b&gt;illusion (phantasm) [mind-affecting]; &lt;b&gt;Level &lt;/b&gt;bard 2, medium 1, mesmerist 1, psychic 2, sorcerer/wizard 2, witch 2&lt;/h5&gt;&lt;/div&gt;&lt;hr/&gt;&lt;div&gt;&lt;h5&gt;&lt;b&gt;CASTING&lt;/b&gt;&lt;/h5&gt;&lt;/div&gt;&lt;hr/&gt;&lt;div&gt;&lt;h5&gt;&lt;b&gt;Casting Time &lt;/b&gt;1 standard action&lt;/h5&gt;&lt;h5&gt;&lt;b&gt;Components &lt;/b&gt;V, S&lt;/h5&gt;&lt;/div&gt;&lt;hr/&gt;&lt;div&gt;&lt;h5&gt;&lt;b&gt;EFFECT&lt;/b&gt;&lt;/h5&gt;&lt;/div&gt;&lt;hr/&gt;&lt;div&gt;&lt;h5&gt;&lt;b&gt;Targets &lt;/b&gt;one creature&lt;/h5&gt;&lt;h5&gt;&lt;b&gt;Duration &lt;/b&gt;1 round/level (D)&lt;/h5&gt;&lt;h5&gt;&lt;b&gt;Saving Throw &lt;/b&gt;Will negates; &lt;b&gt;Spell Resistance &lt;/b&gt;yes&lt;/h5&gt;&lt;/div&gt;&lt;hr/&gt;&lt;div&gt;&lt;h5&gt;&lt;b&gt;DESCRIPTION&lt;/b&gt;&lt;/h5&gt;&lt;/div&gt;&lt;hr/&gt;&lt;div&gt;&lt;h4&gt;&lt;p&gt;The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throws.&lt;/p&gt;&lt;/h4&gt;&lt;/div&gt;</t>
  </si>
  <si>
    <t>Target becomes hostile to all creatures.</t>
  </si>
  <si>
    <t>Parchment Swarm</t>
  </si>
  <si>
    <t>magus 5, occultist 4, sorcerer/wizard 5</t>
  </si>
  <si>
    <t>S, M (blank parchment or magic scroll; see text)</t>
  </si>
  <si>
    <t>When you cast this spell, you quickly tear a parchment into shreds, releasing the flying fragments to swarm around a target creature and deliver thousands of tiny paper cuts. Using normal parchment, the spell deals 1d6 points of magical slashing damage per caster level (maximum 15d6).  If you use a magic scroll as the material component, choose one of the spells stored in the scroll. If the spell is 1st level, you can choose to apply the effect of that spell to the parchment swarm's target on a failed Reflex save (if the spell on the scroll has its own saving throw, the target then attempts that save as normal). If the spell on the scroll is at least 2nd level, you can choose to instead change parchment swarm to affect a 20-foot-radius spread instead of a single target.</t>
  </si>
  <si>
    <t>&lt;p&gt;When you cast this spell, you quickly tear a &lt;i&gt;parchment&lt;/i&gt; into shreds, releasing the flying fragments to swarm around a target creature and deliver thousands of tiny paper cuts. Using normal &lt;i&gt;parchment&lt;/i&gt;, the spell deals 1d6 points of magical slashing damage per caster level (maximum 15d6).  If you use a magic scroll as the material component, choose one of the spells stored in the scroll. If the spell is 1st level, you can choose to apply the effect of that spell to the &lt;i&gt;parchment&lt;/i&gt; swarm's target on a failed Reflex save (if the spell on the scroll has its own saving throw, the target then attempts that save as normal). If the spell on the scroll is at least 2nd level, you can choose to instead change &lt;i&gt;parchment&lt;/i&gt; swarm to affect a 20-foot-radius spread instead of a single target.&lt;/p&gt;</t>
  </si>
  <si>
    <t>&lt;link rel="stylesheet"href="PF.css"&gt;&lt;div class="heading"&gt;&lt;p class="alignleft"&gt;Parchment Swarm&lt;/p&gt;&lt;div style="clear: both;"&gt;&lt;/div&gt;&lt;/div&gt;&lt;div&gt;&lt;h5&gt;&lt;b&gt;School &lt;/b&gt;transmutation; &lt;b&gt;Level &lt;/b&gt;magus 5, occultist 4, sorcerer/wizard 5&lt;/h5&gt;&lt;/div&gt;&lt;hr/&gt;&lt;div&gt;&lt;h5&gt;&lt;b&gt;CASTING&lt;/b&gt;&lt;/h5&gt;&lt;/div&gt;&lt;hr/&gt;&lt;div&gt;&lt;h5&gt;&lt;b&gt;Casting Time &lt;/b&gt;1 standard action&lt;/h5&gt;&lt;h5&gt;&lt;b&gt;Components &lt;/b&gt;S, M (blank parchment or magic scroll; see text)&lt;/h5&gt;&lt;/div&gt;&lt;hr/&gt;&lt;div&gt;&lt;h5&gt;&lt;b&gt;EFFECT&lt;/b&gt;&lt;/h5&gt;&lt;/div&gt;&lt;hr/&gt;&lt;div&gt;&lt;h5&gt;&lt;b&gt;Range &lt;/b&gt;close (25 ft. + 5 ft./2 levels)&lt;/h5&gt;&lt;h5&gt;&lt;b&gt;Targets &lt;/b&gt;one creature&lt;/h5&gt;&lt;h5&gt;&lt;b&gt;Duration &lt;/b&gt;instantaneous&lt;/h5&gt;&lt;h5&gt;&lt;b&gt;Saving Throw &lt;/b&gt;Reflex half; see text; &lt;b&gt;Spell Resistance &lt;/b&gt;yes&lt;/h5&gt;&lt;/div&gt;&lt;hr/&gt;&lt;div&gt;&lt;h5&gt;&lt;b&gt;DESCRIPTION&lt;/b&gt;&lt;/h5&gt;&lt;/div&gt;&lt;hr/&gt;&lt;div&gt;&lt;h4&gt;&lt;p&gt;When you cast this spell, you quickly tear a &lt;i&gt;parchment&lt;/i&gt; into shreds, releasing the flying fragments to swarm around a target creature and deliver thousands of tiny paper cuts. Using normal &lt;i&gt;parchment&lt;/i&gt;, the spell deals 1d6 points of magical slashing damage per caster level (maximum 15d6).  If you use a magic scroll as the material component, choose one of the spells stored in the scroll. If the spell is 1st level, you can choose to apply the effect of that spell to the &lt;i&gt;parchment&lt;/i&gt; swarm's target on a failed Reflex save (if the spell on the scroll has its own saving throw, the target then attempts that save as normal). If the spell on the scroll is at least 2nd level, you can choose to instead change &lt;i&gt;parchment&lt;/i&gt; swarm to affect a 20-foot-radius spread instead of a single target.&lt;/p&gt;&lt;/h4&gt;&lt;/div&gt;</t>
  </si>
  <si>
    <t>Shredded parchment deals 1d6 points of damage per level, and has a spell effect if you shred a scroll.</t>
  </si>
  <si>
    <t>Placebo Effect</t>
  </si>
  <si>
    <t>medium 2, mesmerist 2, psychic 2</t>
  </si>
  <si>
    <t>V, M (a sugar cube)</t>
  </si>
  <si>
    <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Placebo effect doesn't remove or temporarily negate any damage that the affliction may have already caused, nor does it provide protection against receiving such conditions again.</t>
  </si>
  <si>
    <t>&lt;p&gt;The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&lt;i&gt;Placebo effect&lt;/i&gt; doesn't remove or temporarily negate any damage that the affliction may have already caused, nor does it provide protection against receiving such conditions again.&lt;/p&gt;</t>
  </si>
  <si>
    <t>&lt;link rel="stylesheet"href="PF.css"&gt;&lt;div class="heading"&gt;&lt;p class="alignleft"&gt;Placebo Effect&lt;/p&gt;&lt;div style="clear: both;"&gt;&lt;/div&gt;&lt;/div&gt;&lt;div&gt;&lt;h5&gt;&lt;b&gt;School &lt;/b&gt;illusion (phantasm) [mind-affecting]; &lt;b&gt;Level &lt;/b&gt;medium 2, mesmerist 2, psychic 2&lt;/h5&gt;&lt;/div&gt;&lt;hr/&gt;&lt;div&gt;&lt;h5&gt;&lt;b&gt;CASTING&lt;/b&gt;&lt;/h5&gt;&lt;/div&gt;&lt;hr/&gt;&lt;div&gt;&lt;h5&gt;&lt;b&gt;Casting Time &lt;/b&gt;1 standard action&lt;/h5&gt;&lt;h5&gt;&lt;b&gt;Components &lt;/b&gt;V, M (a sugar cube)&lt;/h5&gt;&lt;/div&gt;&lt;hr/&gt;&lt;div&gt;&lt;h5&gt;&lt;b&gt;EFFECT&lt;/b&gt;&lt;/h5&gt;&lt;/div&gt;&lt;hr/&gt;&lt;div&gt;&lt;h5&gt;&lt;b&gt;Range &lt;/b&gt;touch&lt;/h5&gt;&lt;h5&gt;&lt;b&gt;Targets &lt;/b&gt;creature touched&lt;/h5&gt;&lt;h5&gt;&lt;b&gt;Duration &lt;/b&gt;1 minute/level&lt;/h5&gt;&lt;h5&gt;&lt;b&gt;Saving Throw &lt;/b&gt;Will disbelief (harmless); &lt;b&gt;Spell Resistance &lt;/b&gt;Yes (harmless)&lt;/h5&gt;&lt;/div&gt;&lt;hr/&gt;&lt;div&gt;&lt;h5&gt;&lt;b&gt;DESCRIPTION&lt;/b&gt;&lt;/h5&gt;&lt;/div&gt;&lt;hr/&gt;&lt;div&gt;&lt;h4&gt;&lt;p&gt;The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&lt;i&gt;Placebo effect&lt;/i&gt; doesn't remove or temporarily negate any damage that the affliction may have already caused, nor does it provide protection against receiving such conditions again.&lt;/p&gt;&lt;/h4&gt;&lt;/div&gt;</t>
  </si>
  <si>
    <t>Temporarily suppress an affliction or condition.</t>
  </si>
  <si>
    <t>Possession</t>
  </si>
  <si>
    <t>medium 3, mesmerist 5, occultist 4, psychic 5, sorcerer/wizard 5, spiritualist 4, summoner 5, witch 5</t>
  </si>
  <si>
    <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greater possession instead.</t>
  </si>
  <si>
    <t>&lt;p&gt;You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&lt;i&gt;greater possession&lt;/i&gt; instead.&lt;/p&gt;</t>
  </si>
  <si>
    <t>&lt;link rel="stylesheet"href="PF.css"&gt;&lt;div class="heading"&gt;&lt;p class="alignleft"&gt;Possession&lt;/p&gt;&lt;div style="clear: both;"&gt;&lt;/div&gt;&lt;/div&gt;&lt;div&gt;&lt;h5&gt;&lt;b&gt;School &lt;/b&gt;necromancy; &lt;b&gt;Level &lt;/b&gt;medium 3, mesmerist 5, occultist 4, psychic 5, sorcerer/wizard 5, spiritualist 4, summoner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&lt;i&gt;greater possession&lt;/i&gt; instead.&lt;/p&gt;&lt;/h4&gt;&lt;/div&gt;</t>
  </si>
  <si>
    <t>Project your soul into a creature’s body.</t>
  </si>
  <si>
    <t>Possession, Greater</t>
  </si>
  <si>
    <t>occultist 6, psychic 8, sorcerer/wizard 8, spiritualist 6, witch 8</t>
  </si>
  <si>
    <t>This spell functions as possession, but when you possess a host, you enter the host's body and your physical body vanishes. You are ejected to the closest empty square upon expiration of the spell or upon the host's death.</t>
  </si>
  <si>
    <t>&lt;p&gt;This spell functions as &lt;i&gt;possession&lt;/i&gt;, but when you possess a host, you enter the host's body and your physical body vanishes. You are ejected to the closest empty square upon expiration of the spell or upon the host's death.&lt;/p&gt;</t>
  </si>
  <si>
    <t>&lt;link rel="stylesheet"href="PF.css"&gt;&lt;div class="heading"&gt;&lt;p class="alignleft"&gt;Possession, Greater&lt;/p&gt;&lt;div style="clear: both;"&gt;&lt;/div&gt;&lt;/div&gt;&lt;div&gt;&lt;h5&gt;&lt;b&gt;School &lt;/b&gt;necromancy; &lt;b&gt;Level &lt;/b&gt;occultist 6, psychic 8, sorcerer/wizard 8, spiritualist 6, witch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&lt;/b&gt;yes&lt;/h5&gt;&lt;/div&gt;&lt;hr/&gt;&lt;div&gt;&lt;h5&gt;&lt;b&gt;DESCRIPTION&lt;/b&gt;&lt;/h5&gt;&lt;/div&gt;&lt;hr/&gt;&lt;div&gt;&lt;h4&gt;&lt;p&gt;This spell functions as &lt;i&gt;possession&lt;/i&gt;, but when you possess a host, you enter the host's body and your physical body vanishes. You are ejected to the closest empty square upon expiration of the spell or upon the host's death.&lt;/p&gt;&lt;/h4&gt;&lt;/div&gt;</t>
  </si>
  <si>
    <t>As possession, but your body vanishes.</t>
  </si>
  <si>
    <t>Primal Regression</t>
  </si>
  <si>
    <t>druid 6, mesmerist 5, psychic 6, shaman 6, witch 7</t>
  </si>
  <si>
    <t>one creature/2 levels, no two of which can be more than 30 feet apart</t>
  </si>
  <si>
    <t>This spell sequesters the targets' ability for higher reasoning, allowing their darker impulses to come to the fore. An affected target becomes a ravening monster-savage, bloodthirsty, and brutish. Until the spell ends, the targets have all of the following benefits and drawbacks.  • Targets' Intelligence and Charisma scores drop to 3 (if the scores were higher), and they are unable to use Intelligence-or Charisma-based skills, cast spells, understand language, or communicate coherently.  • Targets take a -4 penalty on Will saves.  • Targets gain a +6 enhancement bonus to Strength, a +2 natural armor bonus to AC, and 2d8 temporary hit points. These temporary hit points disappear at the end of the spell's duration.  When the spell ends, each affected creature must succeed at a Will saving throw or take 1d4 points of Intelligence drain and 1d4 points of Charisma damage.</t>
  </si>
  <si>
    <t>&lt;p&gt;This spell sequesters the targets' ability for higher reasoning, allowing their darker impulses to come to the fore. An affected target becomes a ravening monster-savage, bloodthirsty, and brutish. Until the spell ends, the targets have all of the following benefits and drawbacks.  &lt;ul&gt;&lt;li&gt; Targets' Intelligence and Charisma scores drop to 3 (if the scores were higher), and they are unable to use Intelligence-or Charisma-based skills, cast spells, understand language, or communicate coherently.  &lt;li&gt; Targets take a -4 penalty on Will saves.  &lt;li&gt; Targets gain a +6 enhancement bonus to Strength, a +2 natural armor bonus to AC, and 2d8 temporary hit points. These temporary hit points disappear at the end of the spell's duration. &lt;/ul&gt; When the spell ends, each affected creature must succeed at a Will saving throw or take 1d4 points of Intelligence drain and 1d4 points of Charisma damage.&lt;/p&gt;</t>
  </si>
  <si>
    <t>&lt;link rel="stylesheet"href="PF.css"&gt;&lt;div class="heading"&gt;&lt;p class="alignleft"&gt;Primal Regression&lt;/p&gt;&lt;div style="clear: both;"&gt;&lt;/div&gt;&lt;/div&gt;&lt;div&gt;&lt;h5&gt;&lt;b&gt;School &lt;/b&gt;enchantment (compulsion) [mind-affecting]; &lt;b&gt;Level &lt;/b&gt;druid 6, mesmerist 5, psychic 6, shaman 6, witch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creature/2 levels, no two of which can be more than 30 feet apart&lt;/h5&gt;&lt;h5&gt;&lt;b&gt;Duration &lt;/b&gt;1 minute/level&lt;/h5&gt;&lt;h5&gt;&lt;b&gt;Saving Throw &lt;/b&gt;Will negates; &lt;b&gt;Spell Resistance &lt;/b&gt;yes&lt;/h5&gt;&lt;/div&gt;&lt;hr/&gt;&lt;div&gt;&lt;h5&gt;&lt;b&gt;DESCRIPTION&lt;/b&gt;&lt;/h5&gt;&lt;/div&gt;&lt;hr/&gt;&lt;div&gt;&lt;h4&gt;&lt;p&gt;This spell sequesters the targets' ability for higher reasoning, allowing their darker impulses to come to the fore. An affected target becomes a ravening monster-savage, bloodthirsty, and brutish. Until the spell ends, the targets have all of the following benefits and drawbacks.  &lt;ul&gt;&lt;li&gt; Targets' Intelligence and Charisma scores drop to 3 (if the scores were higher), and they are unable to use Intelligence-or Charisma-based skills, cast spells, understand language, or communicate coherently.  &lt;li&gt; Targets take a -4 penalty on Will saves.  &lt;li&gt; Targets gain a +6 enhancement bonus to Strength, a +2 natural armor bonus to AC, and 2d8 temporary hit points. These temporary hit points disappear at the end of the spell's duration. &lt;/ul&gt; When the spell ends, each affected creature must succeed at a Will saving throw or take 1d4 points of Intelligence drain and 1d4 points of Charisma damage.&lt;/p&gt;&lt;/h4&gt;&lt;/div&gt;</t>
  </si>
  <si>
    <t>Make a creature become bestial and unintelligent.</t>
  </si>
  <si>
    <t>Psychic Asylum</t>
  </si>
  <si>
    <t>mesmerist 5, psychic 5, sorcerer/wizard 6</t>
  </si>
  <si>
    <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psychic asylum.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psychic asylum, you can perfectly recall the precise layout of the text  within the ancient manuscript and read it word for word. Once you emerge from the psychic asylum,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psychic asylum, pray and meditate for the full 15 minutes to gain neutralize poison, then emerge from the mindscape and immediately cast the spell upon yourself as your standard action.  Any mind-affecting spell that was affecting you before you cast the spell continues to expend its duration on you while you are within the psychic asylum, so you can use this spell to wait out the effects of such a condition. Effects that are currently affecting your body do not expend additional duration while you are in the psychic asylum, but you also don't experience their effects during the time spent there.</t>
  </si>
  <si>
    <t>&lt;p&gt;You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&lt;i&gt;psychic asylum&lt;/i&gt;.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&lt;i&gt;psychic asylum&lt;/i&gt;, you can perfectly recall the precise layout of the text  within the ancient manuscript and read it word for word. Once you emerge from the &lt;i&gt;psychic asylum&lt;/i&gt;,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&lt;i&gt;psychic asylum&lt;/i&gt;, pray and meditate for the full 15 minutes to gain &lt;i&gt;neutralize poison&lt;/i&gt;, then emerge from the mindscape and immediately cast the spell upon yourself as your standard action.  Any mind-affecting spell that was affecting you before you cast the spell continues to expend its duration on you while you are within the &lt;i&gt;psychic asylum&lt;/i&gt;, so you can use this spell to wait out the effects of such a condition. Effects that are currently affecting your body do not expend additional duration while you are in the &lt;i&gt;psychic asylum&lt;/i&gt;, but you also don't experience their effects during the time spent there.&lt;/p&gt;</t>
  </si>
  <si>
    <t>&lt;link rel="stylesheet"href="PF.css"&gt;&lt;div class="heading"&gt;&lt;p class="alignleft"&gt;Psychic Asylum&lt;/p&gt;&lt;div style="clear: both;"&gt;&lt;/div&gt;&lt;/div&gt;&lt;div&gt;&lt;h5&gt;&lt;b&gt;School &lt;/b&gt;illusion (phantasm) [mind-affecting]; &lt;b&gt;Level &lt;/b&gt;mesmerist 5, psychic 5, sorcerer/wizard 6&lt;/h5&gt;&lt;/div&gt;&lt;hr/&gt;&lt;div&gt;&lt;h5&gt;&lt;b&gt;CASTING&lt;/b&gt;&lt;/h5&gt;&lt;/div&gt;&lt;hr/&gt;&lt;div&gt;&lt;h5&gt;&lt;b&gt;Casting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 see text&lt;/h5&gt;&lt;h5&gt;&lt;b&gt;Saving Throw &lt;/b&gt;none; &lt;b&gt;Spell Resistance &lt;/b&gt;no&lt;/h5&gt;&lt;/div&gt;&lt;hr/&gt;&lt;div&gt;&lt;h5&gt;&lt;b&gt;DESCRIPTION&lt;/b&gt;&lt;/h5&gt;&lt;/div&gt;&lt;hr/&gt;&lt;div&gt;&lt;h4&gt;&lt;p&gt;You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&lt;i&gt;psychic asylum&lt;/i&gt;.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&lt;i&gt;psychic asylum&lt;/i&gt;, you can perfectly recall the precise layout of the text  within the ancient manuscript and read it word for word. Once you emerge from the &lt;i&gt;psychic asylum&lt;/i&gt;,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&lt;i&gt;psychic asylum&lt;/i&gt;, pray and meditate for the full 15 minutes to gain &lt;i&gt;neutralize poison&lt;/i&gt;, then emerge from the mindscape and immediately cast the spell upon yourself as your standard action.  Any mind-affecting spell that was affecting you before you cast the spell continues to expend its duration on you while you are within the &lt;i&gt;psychic asylum&lt;/i&gt;, so you can use this spell to wait out the effects of such a condition. Effects that are currently affecting your body do not expend additional duration while you are in the &lt;i&gt;psychic asylum&lt;/i&gt;, but you also don't experience their effects during the time spent there.&lt;/p&gt;&lt;/h4&gt;&lt;/div&gt;</t>
  </si>
  <si>
    <t>Perform a lengthy mental task in a private mindscape.</t>
  </si>
  <si>
    <t>Mind (10)</t>
  </si>
  <si>
    <t>Psychic Crush I</t>
  </si>
  <si>
    <t>Will partial and Fortitude partial; see text</t>
  </si>
  <si>
    <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t>
  </si>
  <si>
    <t>&lt;p&gt;Using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score.&lt;/p&gt;</t>
  </si>
  <si>
    <t>&lt;link rel="stylesheet"href="PF.css"&gt;&lt;div class="heading"&gt;&lt;p class="alignleft"&gt;Psychic Crush I&lt;/p&gt;&lt;div style="clear: both;"&gt;&lt;/div&gt;&lt;/div&gt;&lt;div&gt;&lt;h5&gt;&lt;b&gt;School &lt;/b&gt;necromancy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score.&lt;/p&gt;&lt;/h4&gt;&lt;/div&gt;</t>
  </si>
  <si>
    <t>Sicken a target and cause it to start dying, or deal 3d6 + 1 points of damage per level on a save.</t>
  </si>
  <si>
    <t>Psychic (11)</t>
  </si>
  <si>
    <t>Psychic Crush II</t>
  </si>
  <si>
    <t>This functions as psychic crush I,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t>
  </si>
  <si>
    <t>&lt;p&gt;This functions as &lt;i&gt;psychic crush I&lt;/i&gt;,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undercast.&lt;/p&gt;</t>
  </si>
  <si>
    <t>&lt;link rel="stylesheet"href="PF.css"&gt;&lt;div class="heading"&gt;&lt;p class="alignleft"&gt;Psychic Crush II&lt;/p&gt;&lt;div style="clear: both;"&gt;&lt;/div&gt;&lt;/div&gt;&lt;div&gt;&lt;h5&gt;&lt;b&gt;School &lt;/b&gt;necromancy [mind-affecting];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undercast.&lt;/p&gt;&lt;/h4&gt;&lt;/div&gt;</t>
  </si>
  <si>
    <t>As psychic crush I, but deal 5d6 + 1 points of damage per level on a save and harder to resist.</t>
  </si>
  <si>
    <t>Psychic Crush III</t>
  </si>
  <si>
    <t>This functions as psychic crush I,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t>
  </si>
  <si>
    <t>&lt;p&gt;This functions as &lt;i&gt;psychic crush I&lt;/i&gt;,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undercast.&lt;/p&gt;</t>
  </si>
  <si>
    <t>&lt;link rel="stylesheet"href="PF.css"&gt;&lt;div class="heading"&gt;&lt;p class="alignleft"&gt;Psychic Crush III&lt;/p&gt;&lt;div style="clear: both;"&gt;&lt;/div&gt;&lt;/div&gt;&lt;div&gt;&lt;h5&gt;&lt;b&gt;School &lt;/b&gt;necromancy [mind-affecting]; &lt;b&gt;Level &lt;/b&gt;psychic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undercast.&lt;/p&gt;&lt;/h4&gt;&lt;/div&gt;</t>
  </si>
  <si>
    <t>As psychic crush I, but deal 7d6 + 1 points of damage per level on a save and harder to resist.</t>
  </si>
  <si>
    <t>Psychic Crush IV</t>
  </si>
  <si>
    <t>psychic 8</t>
  </si>
  <si>
    <t>This functions as psychic crush I,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t>
  </si>
  <si>
    <t>&lt;p&gt;This functions as &lt;i&gt;psychic crush I&lt;/i&gt;,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undercast.&lt;/p&gt;</t>
  </si>
  <si>
    <t>&lt;link rel="stylesheet"href="PF.css"&gt;&lt;div class="heading"&gt;&lt;p class="alignleft"&gt;Psychic Crush IV&lt;/p&gt;&lt;div style="clear: both;"&gt;&lt;/div&gt;&lt;/div&gt;&lt;div&gt;&lt;h5&gt;&lt;b&gt;School &lt;/b&gt;necromancy [mind-affecting]; &lt;b&gt;Level &lt;/b&gt;psychic 8&lt;/h5&gt;&lt;/div&gt;&lt;hr/&gt;&lt;div&gt;&lt;h5&gt;&lt;b&gt;CASTING&lt;/b&gt;&lt;/h5&gt;&lt;/div&gt;&lt;hr/&gt;&lt;div&gt;&lt;h5&gt;&lt;b&gt;Casting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undercast.&lt;/p&gt;&lt;/h4&gt;&lt;/div&gt;</t>
  </si>
  <si>
    <t>As psychic crush I, but deal 9d6 + 1 points of damage per level on a save and no Fort save at 1/2 hp or fewer.</t>
  </si>
  <si>
    <t>Psychic Crush V</t>
  </si>
  <si>
    <t>This functions as psychic crush IV, but on a successful Fortitude or Will save, the target takes 11d6 points of damage + 1 point of damage per caster level. If it is at fewer than half its total hit points, the target takes a -2 penalty on the Will save to resist this spell. This spell can be undercast.</t>
  </si>
  <si>
    <t>&lt;p&gt;This functions as &lt;i&gt;psychic crush IV&lt;/i&gt;, but on a successful Fortitude or Will save, the target takes 11d6 points of damage + 1 point of damage per caster level. If it is at fewer than half its total hit points, the target takes a -2 penalty on the Will save to resist this spell. This spell can be undercast.&lt;/p&gt;</t>
  </si>
  <si>
    <t>&lt;link rel="stylesheet"href="PF.css"&gt;&lt;div class="heading"&gt;&lt;p class="alignleft"&gt;Psychic Crush V&lt;/p&gt;&lt;div style="clear: both;"&gt;&lt;/div&gt;&lt;/div&gt;&lt;div&gt;&lt;h5&gt;&lt;b&gt;School &lt;/b&gt;necromancy [mind-affecting]; &lt;b&gt;Level &lt;/b&gt;psychic 9&lt;/h5&gt;&lt;/div&gt;&lt;hr/&gt;&lt;div&gt;&lt;h5&gt;&lt;b&gt;CASTING&lt;/b&gt;&lt;/h5&gt;&lt;/div&gt;&lt;hr/&gt;&lt;div&gt;&lt;h5&gt;&lt;b&gt;Casting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IV&lt;/i&gt;, but on a successful Fortitude or Will save, the target takes 11d6 points of damage + 1 point of damage per caster level. If it is at fewer than half its total hit points, the target takes a -2 penalty on the Will save to resist this spell. This spell can be undercast.&lt;/p&gt;&lt;/h4&gt;&lt;/div&gt;</t>
  </si>
  <si>
    <t>As psychic crush IV, but deal 11d6 + 1 points of damage per level on a save.</t>
  </si>
  <si>
    <t>Psychic Image</t>
  </si>
  <si>
    <t>You envelop your consciousness in a quasi-real image of yourself. Your psychic image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psychic image have their full effect on you whenever your mind occupies it.  If you desire, you can cast any psychic spell or spell-like ability with a range of touch or greater while your mind occupies your image. You can't cast non-psychic spells through the image, even if you possess them. The psychic image can cast only psychic illusion spells on itself. The spells affect other targets normally, despite originating from the psychic image.  Objects are affected by the psychic image as if they had succeeded at their Will saves. You need not maintain line of effect to your psychic image, but if you cross into another plane even for an instant, such as via blink, dimension door, or similar spells, the spell ends.</t>
  </si>
  <si>
    <t>&lt;p&gt;You envelop your consciousness in a quasi-real image of yourself. Your &lt;i&gt;psychic image&lt;/i&gt;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&lt;i&gt;psychic image&lt;/i&gt; have their full effect on you whenever your mind occupies it.  If you desire, you can cast any psychic spell or spell-like ability with a range of touch or greater while your mind occupies your image. You can't cast non-psychic spells through the image, even if you possess them. The &lt;i&gt;psychic image&lt;/i&gt; can cast only psychic illusion spells on itself. The spells affect other targets normally, despite originating from the &lt;i&gt;psychic image&lt;/i&gt;.  Objects are affected by the &lt;i&gt;psychic image&lt;/i&gt; as if they had succeeded at their Will saves. You need not maintain line of effect to your &lt;i&gt;psychic image&lt;/i&gt;, but if you cross into another plane even for an instant, such as via &lt;i&gt;blink&lt;/i&gt;, &lt;i&gt;dimension door&lt;/i&gt;, or similar spells, the spell ends.&lt;/p&gt;</t>
  </si>
  <si>
    <t>&lt;link rel="stylesheet"href="PF.css"&gt;&lt;div class="heading"&gt;&lt;p class="alignleft"&gt;Psychic Image&lt;/p&gt;&lt;div style="clear: both;"&gt;&lt;/div&gt;&lt;/div&gt;&lt;div&gt;&lt;h5&gt;&lt;b&gt;School &lt;/b&gt;illusion (shadow); &lt;b&gt;Level &lt;/b&gt;psychic 9&lt;/h5&gt;&lt;/div&gt;&lt;hr/&gt;&lt;div&gt;&lt;h5&gt;&lt;b&gt;CASTING&lt;/b&gt;&lt;/h5&gt;&lt;/div&gt;&lt;hr/&gt;&lt;div&gt;&lt;h5&gt;&lt;b&gt;Casting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ft./level)&lt;/h5&gt;&lt;h5&gt;&lt;b&gt;Effect &lt;/b&gt;one shadow duplicate&lt;/h5&gt;&lt;h5&gt;&lt;b&gt;Duration &lt;/b&gt;1 round/level (D)&lt;/h5&gt;&lt;h5&gt;&lt;b&gt;Saving Throw &lt;/b&gt;Will disbelief (if interacted with); &lt;b&gt;Spell Resistance &lt;/b&gt;yes&lt;/h5&gt;&lt;/div&gt;&lt;hr/&gt;&lt;div&gt;&lt;h5&gt;&lt;b&gt;DESCRIPTION&lt;/b&gt;&lt;/h5&gt;&lt;/div&gt;&lt;hr/&gt;&lt;div&gt;&lt;h4&gt;&lt;p&gt;You envelop your consciousness in a quasi-real image of yourself. Your &lt;i&gt;psychic image&lt;/i&gt;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&lt;i&gt;psychic image&lt;/i&gt; have their full effect on you whenever your mind occupies it.  If you desire, you can cast any psychic spell or spell-like ability with a range of touch or greater while your mind occupies your image. You can't cast non-psychic spells through the image, even if you possess them. The &lt;i&gt;psychic image&lt;/i&gt; can cast only psychic illusion spells on itself. The spells affect other targets normally, despite originating from the &lt;i&gt;psychic image&lt;/i&gt;.  Objects are affected by the &lt;i&gt;psychic image&lt;/i&gt; as if they had succeeded at their Will saves. You need not maintain line of effect to your &lt;i&gt;psychic image&lt;/i&gt;, but if you cross into another plane even for an instant, such as via &lt;i&gt;blink&lt;/i&gt;, &lt;i&gt;dimension door&lt;/i&gt;, or similar spells, the spell ends.&lt;/p&gt;&lt;/h4&gt;&lt;/div&gt;</t>
  </si>
  <si>
    <t>Create a perfect illusion of yourself that is incorporeal and capable of casting psychic spells, and switch between it and your body at will.</t>
  </si>
  <si>
    <t>Psychic Reading</t>
  </si>
  <si>
    <t>bard 2, inquisitor 2, medium 1, mesmerist 1, occultist 1, psychic 1, sorcerer/wizard 2, spiritualist 1</t>
  </si>
  <si>
    <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t>
  </si>
  <si>
    <t>&lt;p&gt;You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discover.&lt;/p&gt;</t>
  </si>
  <si>
    <t>&lt;link rel="stylesheet"href="PF.css"&gt;&lt;div class="heading"&gt;&lt;p class="alignleft"&gt;Psychic Reading&lt;/p&gt;&lt;div style="clear: both;"&gt;&lt;/div&gt;&lt;/div&gt;&lt;div&gt;&lt;h5&gt;&lt;b&gt;School &lt;/b&gt;divination; &lt;b&gt;Level &lt;/b&gt;bard 2, inquisitor 2, medium 1, mesmerist 1, occultist 1, psychic 1, sorcerer/wizard 2, spiritualist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humanoid creature&lt;/h5&gt;&lt;h5&gt;&lt;b&gt;Duration &lt;/b&gt;1 round&lt;/h5&gt;&lt;h5&gt;&lt;b&gt;Saving Throw &lt;/b&gt;none; &lt;b&gt;Spell Resistance &lt;/b&gt;yes&lt;/h5&gt;&lt;/div&gt;&lt;hr/&gt;&lt;div&gt;&lt;h5&gt;&lt;b&gt;DESCRIPTION&lt;/b&gt;&lt;/h5&gt;&lt;/div&gt;&lt;hr/&gt;&lt;div&gt;&lt;h4&gt;&lt;p&gt;You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discover.&lt;/p&gt;&lt;/h4&gt;&lt;/div&gt;</t>
  </si>
  <si>
    <t>Read surface thoughts to learn information about a subject.</t>
  </si>
  <si>
    <t>Psychic Surgery</t>
  </si>
  <si>
    <t>mesmerist 5, psychic 6</t>
  </si>
  <si>
    <t>V, M (diamond dust worth 250 gp)</t>
  </si>
  <si>
    <t>one willing and living creature</t>
  </si>
  <si>
    <t>Psychic surgery cures the target of all Intelligence, Wisdom, and Charisma damage and restores all points permanently drained from the target's Intelligence, Wisdom, and Charisma scores. It also eliminates all ongoing insanity, confusion, and fear effects. Psychic surgery can also remove other mental afflictions, including enchantment spells and abilities, and even instantaneous effects, but in this case, if dispel magic couldn't remove the effect, psychic surgery works only if the spell level or equivalent spell level of the effect was 6th level or lower. Psychic surgery removes all effects magically altering the target's memory, even instantaneous effects, and it can restore a memory to perfect clarity like the second use of modify memory.</t>
  </si>
  <si>
    <t>&lt;p&gt;&lt;i&gt;Psychic surgery&lt;/i&gt; cures the target of all Intelligence, Wisdom, and Charisma damage and restores all points permanently drained from the target's Intelligence, Wisdom, and Charisma scores. It also eliminates all ongoing insanity, confusion, and fear effects. &lt;i&gt;Psychic surgery&lt;/i&gt; can also remove other mental afflictions, including enchantment spells and abilities, and even instantaneous effects, but in this case, if &lt;i&gt;dispel magic&lt;/i&gt; couldn't remove the effect, psychic surgery works only if the spell level or equivalent spell level of the effect was 6th level or lower. &lt;i&gt;Psychic surgery&lt;/i&gt; removes all effects magically altering the target's memory, even instantaneous effects, and it can restore a memory to perfect clarity like the second use of &lt;i&gt;modify memory&lt;/i&gt;.&lt;/p&gt;</t>
  </si>
  <si>
    <t>&lt;link rel="stylesheet"href="PF.css"&gt;&lt;div class="heading"&gt;&lt;p class="alignleft"&gt;Psychic Surgery&lt;/p&gt;&lt;div style="clear: both;"&gt;&lt;/div&gt;&lt;/div&gt;&lt;div&gt;&lt;h5&gt;&lt;b&gt;School &lt;/b&gt;enchantment [mind-affecting]; &lt;b&gt;Level &lt;/b&gt;mesmerist 5, psychic 6&lt;/h5&gt;&lt;/div&gt;&lt;hr/&gt;&lt;div&gt;&lt;h5&gt;&lt;b&gt;CASTING&lt;/b&gt;&lt;/h5&gt;&lt;/div&gt;&lt;hr/&gt;&lt;div&gt;&lt;h5&gt;&lt;b&gt;Casting Time &lt;/b&gt;10 minutes&lt;/h5&gt;&lt;h5&gt;&lt;b&gt;Components &lt;/b&gt;V, M (diamond dust worth 250 gp)&lt;/h5&gt;&lt;/div&gt;&lt;hr/&gt;&lt;div&gt;&lt;h5&gt;&lt;b&gt;EFFECT&lt;/b&gt;&lt;/h5&gt;&lt;/div&gt;&lt;hr/&gt;&lt;div&gt;&lt;h5&gt;&lt;b&gt;Range &lt;/b&gt;touch&lt;/h5&gt;&lt;h5&gt;&lt;b&gt;Targets &lt;/b&gt;one willing and living creature&lt;/h5&gt;&lt;h5&gt;&lt;b&gt;Duration &lt;/b&gt;instantaneous&lt;/h5&gt;&lt;h5&gt;&lt;b&gt;Saving Throw &lt;/b&gt;none; &lt;b&gt;Spell Resistance &lt;/b&gt;no&lt;/h5&gt;&lt;/div&gt;&lt;hr/&gt;&lt;div&gt;&lt;h5&gt;&lt;b&gt;DESCRIPTION&lt;/b&gt;&lt;/h5&gt;&lt;/div&gt;&lt;hr/&gt;&lt;div&gt;&lt;h4&gt;&lt;p&gt;&lt;i&gt;Psychic surgery&lt;/i&gt; cures the target of all Intelligence, Wisdom, and Charisma damage and restores all points permanently drained from the target's Intelligence, Wisdom, and Charisma scores. It also eliminates all ongoing insanity, confusion, and fear effects. &lt;i&gt;Psychic surgery&lt;/i&gt; can also remove other mental afflictions, including enchantment spells and abilities, and even instantaneous effects, but in this case, if &lt;i&gt;dispel magic&lt;/i&gt; couldn't remove the effect, psychic surgery works only if the spell level or equivalent spell level of the effect was 6th level or lower. &lt;i&gt;Psychic surgery&lt;/i&gt; removes all effects magically altering the target's memory, even instantaneous effects, and it can restore a memory to perfect clarity like the second use of &lt;i&gt;modify memory&lt;/i&gt;.&lt;/p&gt;&lt;/h4&gt;&lt;/div&gt;</t>
  </si>
  <si>
    <t>Cure all Int, Wis, and Cha damage and drain, plus remove other mental afflictions and conditions.</t>
  </si>
  <si>
    <t>Purge Spirit</t>
  </si>
  <si>
    <t>medium 2, occultist 2, psychic 3, sorcerer/wizard 4, spiritualist 2, witch 4</t>
  </si>
  <si>
    <t>one creature or haunt</t>
  </si>
  <si>
    <t>Purge spirit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purge spirit.</t>
  </si>
  <si>
    <t>&lt;p&gt;&lt;i&gt;Purge spirit&lt;/i&gt;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&lt;i&gt;purge spirit&lt;/i&gt;.&lt;/p&gt;</t>
  </si>
  <si>
    <t>&lt;link rel="stylesheet"href="PF.css"&gt;&lt;div class="heading"&gt;&lt;p class="alignleft"&gt;Purge Spirit&lt;/p&gt;&lt;div style="clear: both;"&gt;&lt;/div&gt;&lt;/div&gt;&lt;div&gt;&lt;h5&gt;&lt;b&gt;School &lt;/b&gt;necromancy; &lt;b&gt;Level &lt;/b&gt;medium 2, occultist 2, psychic 3, sorcerer/wizard 4, spiritualist 2,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haunt&lt;/h5&gt;&lt;h5&gt;&lt;b&gt;Duration &lt;/b&gt;instantaneous&lt;/h5&gt;&lt;h5&gt;&lt;b&gt;Saving Throw &lt;/b&gt;Will partial; &lt;b&gt;Spell Resistance &lt;/b&gt;yes&lt;/h5&gt;&lt;/div&gt;&lt;hr/&gt;&lt;div&gt;&lt;h5&gt;&lt;b&gt;DESCRIPTION&lt;/b&gt;&lt;/h5&gt;&lt;/div&gt;&lt;hr/&gt;&lt;div&gt;&lt;h4&gt;&lt;p&gt;&lt;i&gt;Purge spirit&lt;/i&gt;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&lt;i&gt;purge spirit&lt;/i&gt;.&lt;/p&gt;&lt;/h4&gt;&lt;/div&gt;</t>
  </si>
  <si>
    <t>Deal 1d6 points of damage per level to one haunt or spirit creature and stagger it.</t>
  </si>
  <si>
    <t>Quintessence</t>
  </si>
  <si>
    <t>Will negates (harmless) and Will disbelief; see text</t>
  </si>
  <si>
    <t>You draw forth the idealized image of the target creature or object, masking any flaws or damage. An injured or ill creature appears healthy, and a damaged object or one with the broken condition appears intact. However, a corpse  masked by quintessence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quintessence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Quintessence counters and dispels decrepit disguise.</t>
  </si>
  <si>
    <t>&lt;p&gt;You draw forth the idealized image of the target creature or object, masking any flaws or damage. An injured or ill creature appears healthy, and a damaged object or one with the broken condition appears intact. However, a corpse  masked by &lt;i&gt;quintessence&lt;/i&gt;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&lt;i&gt;quintessence&lt;/i&gt;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&lt;i&gt;Quintessence&lt;/i&gt; counters and dispels &lt;i&gt;decrepit disguise&lt;/i&gt;.&lt;/p&gt;</t>
  </si>
  <si>
    <t>&lt;link rel="stylesheet"href="PF.css"&gt;&lt;div class="heading"&gt;&lt;p class="alignleft"&gt;Quintessence&lt;/p&gt;&lt;div style="clear: both;"&gt;&lt;/div&gt;&lt;/div&gt;&lt;div&gt;&lt;h5&gt;&lt;b&gt;School &lt;/b&gt;illusion (glamer); &lt;b&gt;Level &lt;/b&gt;bard 1, medium 1, mesmerist 1, occultist 1, psychic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&lt;/b&gt;10 minutes/level (D)&lt;/h5&gt;&lt;h5&gt;&lt;b&gt;Saving Throw &lt;/b&gt;Will negates (harmless) and Will disbelief; see text; &lt;b&gt;Spell Resistance &lt;/b&gt;see text&lt;/h5&gt;&lt;/div&gt;&lt;hr/&gt;&lt;div&gt;&lt;h5&gt;&lt;b&gt;DESCRIPTION&lt;/b&gt;&lt;/h5&gt;&lt;/div&gt;&lt;hr/&gt;&lt;div&gt;&lt;h4&gt;&lt;p&gt;You draw forth the idealized image of the target creature or object, masking any flaws or damage. An injured or ill creature appears healthy, and a damaged object or one with the broken condition appears intact. However, a corpse  masked by &lt;i&gt;quintessence&lt;/i&gt;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&lt;i&gt;quintessence&lt;/i&gt;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&lt;i&gt;Quintessence&lt;/i&gt; counters and dispels &lt;i&gt;decrepit disguise&lt;/i&gt;.&lt;/p&gt;&lt;/h4&gt;&lt;/div&gt;</t>
  </si>
  <si>
    <t>Mask any flaws of or damage to a creature or object.</t>
  </si>
  <si>
    <t>Remote Viewing</t>
  </si>
  <si>
    <t>medium 4, occultist 5, psychic 5, spiritualist 5</t>
  </si>
  <si>
    <t>V, S, M (incense)</t>
  </si>
  <si>
    <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teleport, but it grants you a psychic impression of the location, which could give you deeper information. For example, a forest that is home to a tight-knit community of fey might appear as a city in the trees, or a beautiful palace ruled by an evil king and warded by forbiddance might appear as a dark fortress encased in insubstantial chains.  During the 1 hour casting time of remote viewing, your real body is unconscious and helpless, and you are unaware of its surroundings.</t>
  </si>
  <si>
    <t>&lt;p&gt;Your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&lt;i&gt;teleport&lt;/i&gt;, but it grants you a psychic impression of the location, which could give you deeper information. For example, a forest that is home to a tight-knit community of fey might appear as a city in the trees, or a beautiful palace ruled by an evil king and warded by &lt;i&gt;forbiddance&lt;/i&gt; might appear as a dark fortress encased in insubstantial chains.  During the 1 hour casting time of &lt;i&gt;remote viewing&lt;/i&gt;, your real body is unconscious and helpless, and you are unaware of its surroundings.&lt;/p&gt;</t>
  </si>
  <si>
    <t>&lt;link rel="stylesheet"href="PF.css"&gt;&lt;div class="heading"&gt;&lt;p class="alignleft"&gt;Remote Viewing&lt;/p&gt;&lt;div style="clear: both;"&gt;&lt;/div&gt;&lt;/div&gt;&lt;div&gt;&lt;h5&gt;&lt;b&gt;School &lt;/b&gt;divination (scrying); &lt;b&gt;Level &lt;/b&gt;medium 4, occultist 5, psychic 5, spiritualist 5&lt;/h5&gt;&lt;/div&gt;&lt;hr/&gt;&lt;div&gt;&lt;h5&gt;&lt;b&gt;CASTING&lt;/b&gt;&lt;/h5&gt;&lt;/div&gt;&lt;hr/&gt;&lt;div&gt;&lt;h5&gt;&lt;b&gt;Casting Time &lt;/b&gt;1 hour&lt;/h5&gt;&lt;h5&gt;&lt;b&gt;Components &lt;/b&gt;V, S, M (incense)&lt;/h5&gt;&lt;/div&gt;&lt;hr/&gt;&lt;div&gt;&lt;h5&gt;&lt;b&gt;EFFECT&lt;/b&gt;&lt;/h5&gt;&lt;/div&gt;&lt;hr/&gt;&lt;div&gt;&lt;h5&gt;&lt;b&gt;Range &lt;/b&gt;see text&lt;/h5&gt;&lt;h5&gt;&lt;b&gt;Targets &lt;/b&gt;you&lt;/h5&gt;&lt;h5&gt;&lt;b&gt;Duration &lt;/b&gt;instantaneous&lt;/h5&gt;&lt;/div&gt;&lt;hr/&gt;&lt;div&gt;&lt;h5&gt;&lt;b&gt;DESCRIPTION&lt;/b&gt;&lt;/h5&gt;&lt;/div&gt;&lt;hr/&gt;&lt;div&gt;&lt;h4&gt;&lt;p&gt;Your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&lt;i&gt;teleport&lt;/i&gt;, but it grants you a psychic impression of the location, which could give you deeper information. For example, a forest that is home to a tight-knit community of fey might appear as a city in the trees, or a beautiful palace ruled by an evil king and warded by &lt;i&gt;forbiddance&lt;/i&gt; might appear as a dark fortress encased in insubstantial chains.  During the 1 hour casting time of &lt;i&gt;remote viewing&lt;/i&gt;, your real body is unconscious and helpless, and you are unaware of its surroundings.&lt;/p&gt;&lt;/h4&gt;&lt;/div&gt;</t>
  </si>
  <si>
    <t>Gain psychic impressions from a distant location.</t>
  </si>
  <si>
    <t>Repress Memory</t>
  </si>
  <si>
    <t>bard 5, mesmerist 5, psychic 6</t>
  </si>
  <si>
    <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Repress memory protects against detect thoughts, discern lies, zone of truth, and similar spells, though careful questioning may reveal the gaps in your memory, or that your memory has been affected by the spell.  A repressed memory can be restored only by break enchantment, psychic surgery, limited wish, miracle, or wish.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t>
  </si>
  <si>
    <t>&lt;p&gt;This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&lt;i&gt;Repress memory&lt;/i&gt; protects against &lt;i&gt;detect thoughts&lt;/i&gt;, &lt;i&gt;discern lies&lt;/i&gt;, &lt;i&gt;zone of truth&lt;/i&gt;, and similar spells, though careful questioning may reveal the gaps in your memory, or that your memory has been affected by the spell.  A repressed memory can be restored only by &lt;i&gt;break enchantment&lt;/i&gt;, &lt;i&gt;psychic surgery&lt;/i&gt;, &lt;i&gt;limited &lt;i&gt;wish&lt;/i&gt;&lt;/i&gt;, &lt;i&gt;miracle&lt;/i&gt;, or &lt;i&gt;wish&lt;/i&gt;.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memory.&lt;/p&gt;</t>
  </si>
  <si>
    <t>&lt;link rel="stylesheet"href="PF.css"&gt;&lt;div class="heading"&gt;&lt;p class="alignleft"&gt;Repress Memory&lt;/p&gt;&lt;div style="clear: both;"&gt;&lt;/div&gt;&lt;/div&gt;&lt;div&gt;&lt;h5&gt;&lt;b&gt;School &lt;/b&gt;enchantment (compulsion) [mind-affecting]; &lt;b&gt;Level &lt;/b&gt;bard 5, mesmerist 5, psychic 6&lt;/h5&gt;&lt;/div&gt;&lt;hr/&gt;&lt;div&gt;&lt;h5&gt;&lt;b&gt;CASTING&lt;/b&gt;&lt;/h5&gt;&lt;/div&gt;&lt;hr/&gt;&lt;div&gt;&lt;h5&gt;&lt;b&gt;Casting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&lt;i&gt;Repress memory&lt;/i&gt; protects against &lt;i&gt;detect thoughts&lt;/i&gt;, &lt;i&gt;discern lies&lt;/i&gt;, &lt;i&gt;zone of truth&lt;/i&gt;, and similar spells, though careful questioning may reveal the gaps in your memory, or that your memory has been affected by the spell.  A repressed memory can be restored only by &lt;i&gt;break enchantment&lt;/i&gt;, &lt;i&gt;psychic surgery&lt;/i&gt;, &lt;i&gt;limited &lt;i&gt;wish&lt;/i&gt;&lt;/i&gt;, &lt;i&gt;miracle&lt;/i&gt;, or &lt;i&gt;wish&lt;/i&gt;.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memory.&lt;/p&gt;&lt;/h4&gt;&lt;/div&gt;</t>
  </si>
  <si>
    <t>Remove a piece of knowledge from your mind.</t>
  </si>
  <si>
    <t>Retrocognition</t>
  </si>
  <si>
    <t>medium 3, occultist 3, psychic 5, sorcerer/wizard 7</t>
  </si>
  <si>
    <t>This spell allows you to gain psychic impressions from past events that occurred in your current location. Retrocognition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Caster Level Time Period  13th-15th 1 week per minute  16th-18th 1 year per minute  19th+ 1 century per minute</t>
  </si>
  <si>
    <t>&lt;p&gt;This spell allows you to gain psychic impressions from past events that occurred in your current location. &lt;i&gt;Retrocognition&lt;/i&gt;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&lt;table border ='1'&gt;&lt;tr&gt;&lt;th&gt;Caster Level&lt;/th&gt;&lt;th&gt;Time Period&lt;/th&gt;&lt;/tr&gt;&lt;tr&gt;&lt;td&gt;13th-15th&lt;/td&gt;&lt;td&gt;1 week per minute&lt;/td&gt;&lt;/tr&gt;&lt;tr&gt;&lt;td&gt;16th-18th&lt;/td&gt;&lt;td&gt;1 year per minute&lt;/td&gt;&lt;/tr&gt;&lt;tr&gt;&lt;td&gt;19th+&lt;/td&gt;&lt;td&gt;1 century per minute&lt;/td&gt;&lt;/tr&gt;&lt;/table&gt;&lt;/p&gt;</t>
  </si>
  <si>
    <t>&lt;link rel="stylesheet"href="PF.css"&gt;&lt;div class="heading"&gt;&lt;p class="alignleft"&gt;Retrocognition&lt;/p&gt;&lt;div style="clear: both;"&gt;&lt;/div&gt;&lt;/div&gt;&lt;div&gt;&lt;h5&gt;&lt;b&gt;School &lt;/b&gt;divination; &lt;b&gt;Level &lt;/b&gt;medium 3, occultist 3, psychic 5, sorcerer/wizard 7&lt;/h5&gt;&lt;/div&gt;&lt;hr/&gt;&lt;div&gt;&lt;h5&gt;&lt;b&gt;CASTING&lt;/b&gt;&lt;/h5&gt;&lt;/div&gt;&lt;hr/&gt;&lt;div&gt;&lt;h5&gt;&lt;b&gt;Casting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&lt;/b&gt;concentration, up to 1 minute/level&lt;/h5&gt;&lt;/div&gt;&lt;hr/&gt;&lt;div&gt;&lt;h5&gt;&lt;b&gt;DESCRIPTION&lt;/b&gt;&lt;/h5&gt;&lt;/div&gt;&lt;hr/&gt;&lt;div&gt;&lt;h4&gt;&lt;p&gt;This spell allows you to gain psychic impressions from past events that occurred in your current location. &lt;i&gt;Retrocognition&lt;/i&gt;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&lt;table border ='1'&gt;&lt;tr&gt;&lt;th&gt;Caster Level&lt;/th&gt;&lt;th&gt;Time Period&lt;/th&gt;&lt;/tr&gt;&lt;tr&gt;&lt;td&gt;13th-15th&lt;/td&gt;&lt;td&gt;1 week per minute&lt;/td&gt;&lt;/tr&gt;&lt;tr&gt;&lt;td&gt;16th-18th&lt;/td&gt;&lt;td&gt;1 year per minute&lt;/td&gt;&lt;/tr&gt;&lt;tr&gt;&lt;td&gt;19th+&lt;/td&gt;&lt;td&gt;1 century per minute&lt;/td&gt;&lt;/tr&gt;&lt;/table&gt;&lt;/p&gt;&lt;/h4&gt;&lt;/div&gt;</t>
  </si>
  <si>
    <t>Gain psychic impressions from past events in a location.</t>
  </si>
  <si>
    <t>Riding Possession</t>
  </si>
  <si>
    <t>medium 2, mesmerist 4, occultist 3, psychic 4, sorcerer/wizard 4, spiritualist 3, summoner 4, witch 4</t>
  </si>
  <si>
    <t>1 hour/level (D); see text</t>
  </si>
  <si>
    <t>You stealthily project your soul into the host's body as an observer, with limited ability to influence the target. This functions as possession, except the host is still in full control of its body and is unaware you are possessing it. You can't communicate with the host directly, but you can cast mind-affecting spells or riding possession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possession. Protection from evil and similar effects don't expel you from the host, but they do prevent you from casting further spells from within your host until their durations expire.</t>
  </si>
  <si>
    <t>&lt;p&gt;You stealthily project your soul into the host's body as an observer, with limited ability to influence the target. This functions as &lt;i&gt;possession&lt;/i&gt;, except the host is still in full control of its body and is unaware you are possessing it. You can't communicate with the host directly, but you can cast mind-affecting spells or riding &lt;i&gt;possession&lt;/i&gt;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&lt;i&gt;possession&lt;/i&gt;. &lt;i&gt;Protection from evil&lt;/i&gt; and similar effects don't expel you from the host, but they do prevent you from casting further spells from within your host until their durations expire.&lt;/p&gt;</t>
  </si>
  <si>
    <t>&lt;link rel="stylesheet"href="PF.css"&gt;&lt;div class="heading"&gt;&lt;p class="alignleft"&gt;Riding Possession&lt;/p&gt;&lt;div style="clear: both;"&gt;&lt;/div&gt;&lt;/div&gt;&lt;div&gt;&lt;h5&gt;&lt;b&gt;School &lt;/b&gt;necromancy; &lt;b&gt;Level &lt;/b&gt;medium 2, mesmerist 4, occultist 3, psychic 4, sorcerer/wizard 4, spiritualist 3, summoner 4,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 see text&lt;/h5&gt;&lt;h5&gt;&lt;b&gt;Saving Throw &lt;/b&gt;Will negates; &lt;b&gt;Spell Resistance &lt;/b&gt;yes&lt;/h5&gt;&lt;/div&gt;&lt;hr/&gt;&lt;div&gt;&lt;h5&gt;&lt;b&gt;DESCRIPTION&lt;/b&gt;&lt;/h5&gt;&lt;/div&gt;&lt;hr/&gt;&lt;div&gt;&lt;h4&gt;&lt;p&gt;You stealthily project your soul into the host's body as an observer, with limited ability to influence the target. This functions as &lt;i&gt;possession&lt;/i&gt;, except the host is still in full control of its body and is unaware you are possessing it. You can't communicate with the host directly, but you can cast mind-affecting spells or riding &lt;i&gt;possession&lt;/i&gt;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&lt;i&gt;possession&lt;/i&gt;. &lt;i&gt;Protection from evil&lt;/i&gt; and similar effects don't expel you from the host, but they do prevent you from casting further spells from within your host until their durations expire.&lt;/p&gt;&lt;/h4&gt;&lt;/div&gt;</t>
  </si>
  <si>
    <t>As possession, but you observe instead of control the subject.</t>
  </si>
  <si>
    <t>Sealed Life</t>
  </si>
  <si>
    <t>medium 2, spiritualist 3</t>
  </si>
  <si>
    <t>You seal the life force within the target, preventing it from sharing its vitality with others. Affected creatures can't transfer damage to or from another, such as through shield other, a spiritualist's life bond, or a summoner's life link. Effects such as vampiric touch that steal vitality from others deal damage normally, but provide no benefits.</t>
  </si>
  <si>
    <t>&lt;p&gt;You seal the life force within the target, preventing it from sharing its vitality with others. Affected creatures can't transfer damage to or from another, such as through &lt;i&gt;shield other&lt;/i&gt;, a spiritualist's life bond, or a summoner's life link. Effects such as &lt;i&gt;vampiric touch&lt;/i&gt; that steal vitality from others deal damage normally, but provide no benefits.&lt;/p&gt;</t>
  </si>
  <si>
    <t>&lt;link rel="stylesheet"href="PF.css"&gt;&lt;div class="heading"&gt;&lt;p class="alignleft"&gt;Sealed Life&lt;/p&gt;&lt;div style="clear: both;"&gt;&lt;/div&gt;&lt;/div&gt;&lt;div&gt;&lt;h5&gt;&lt;b&gt;School &lt;/b&gt;abjuration; &lt;b&gt;Level &lt;/b&gt;medium 2, spiritualist 3&lt;/h5&gt;&lt;/div&gt;&lt;hr/&gt;&lt;div&gt;&lt;h5&gt;&lt;b&gt;CASTING&lt;/b&gt;&lt;/h5&gt;&lt;/div&gt;&lt;hr/&gt;&lt;div&gt;&lt;h5&gt;&lt;b&gt;Casting Time &lt;/b&gt;1 standard action&lt;/h5&gt;&lt;h5&gt;&lt;b&gt;Components &lt;/b&gt;S&lt;/h5&gt;&lt;/div&gt;&lt;hr/&gt;&lt;div&gt;&lt;h5&gt;&lt;b&gt;EFFECT&lt;/b&gt;&lt;/h5&gt;&lt;/div&gt;&lt;hr/&gt;&lt;div&gt;&lt;h5&gt;&lt;b&gt;Range &lt;/b&gt;close (25 ft. +5 ft./2 levels)&lt;/h5&gt;&lt;h5&gt;&lt;b&gt;Targets &lt;/b&gt;one creature&lt;/h5&gt;&lt;h5&gt;&lt;b&gt;Duration &lt;/b&gt;1 round/level&lt;/h5&gt;&lt;h5&gt;&lt;b&gt;Saving Throw &lt;/b&gt;none; &lt;b&gt;Spell Resistance &lt;/b&gt;yes&lt;/h5&gt;&lt;/div&gt;&lt;hr/&gt;&lt;div&gt;&lt;h5&gt;&lt;b&gt;DESCRIPTION&lt;/b&gt;&lt;/h5&gt;&lt;/div&gt;&lt;hr/&gt;&lt;div&gt;&lt;h4&gt;&lt;p&gt;You seal the life force within the target, preventing it from sharing its vitality with others. Affected creatures can't transfer damage to or from another, such as through &lt;i&gt;shield other&lt;/i&gt;, a spiritualist's life bond, or a summoner's life link. Effects such as &lt;i&gt;vampiric touch&lt;/i&gt; that steal vitality from others deal damage normally, but provide no benefits.&lt;/p&gt;&lt;/h4&gt;&lt;/div&gt;</t>
  </si>
  <si>
    <t>Prevent a creature from transferring life force to or from others.</t>
  </si>
  <si>
    <t>Sealed Life, Greater</t>
  </si>
  <si>
    <t>spiritualist 6</t>
  </si>
  <si>
    <t>This spell functions as sealed life, except it additionally provides the benefits of death ward and renders its targets immune to effects that extract or transfer its soul, such as possession and trap the soul. This spell prevents a soul from returning to its body if it has already departed, until the spell's duration expires.</t>
  </si>
  <si>
    <t>&lt;p&gt;This spell functions as &lt;i&gt;sealed life&lt;/i&gt;, except it additionally provides the benefits of &lt;i&gt;death ward&lt;/i&gt; and renders its targets immune to effects that extract or transfer its soul, such as &lt;i&gt;possession&lt;/i&gt; and &lt;i&gt;trap the soul&lt;/i&gt;. This spell prevents a soul from returning to its body if it has already departed, until the spell's duration expires.&lt;/p&gt;</t>
  </si>
  <si>
    <t>&lt;link rel="stylesheet"href="PF.css"&gt;&lt;div class="heading"&gt;&lt;p class="alignleft"&gt;Sealed Life, Greater&lt;/p&gt;&lt;div style="clear: both;"&gt;&lt;/div&gt;&lt;/div&gt;&lt;div&gt;&lt;h5&gt;&lt;b&gt;School &lt;/b&gt;abjuration; &lt;b&gt;Level &lt;/b&gt;spiritualist 6&lt;/h5&gt;&lt;/div&gt;&lt;hr/&gt;&lt;div&gt;&lt;h5&gt;&lt;b&gt;CASTING&lt;/b&gt;&lt;/h5&gt;&lt;/div&gt;&lt;hr/&gt;&lt;div&gt;&lt;h5&gt;&lt;b&gt;Casting Time &lt;/b&gt;1 standard action&lt;/h5&gt;&lt;h5&gt;&lt;b&gt;Components &lt;/b&gt;S&lt;/h5&gt;&lt;/div&gt;&lt;hr/&gt;&lt;div&gt;&lt;h5&gt;&lt;b&gt;EFFECT&lt;/b&gt;&lt;/h5&gt;&lt;/div&gt;&lt;hr/&gt;&lt;div&gt;&lt;h5&gt;&lt;b&gt;Range &lt;/b&gt;close (25 ft. +5 ft./2 levels)&lt;/h5&gt;&lt;h5&gt;&lt;b&gt;Targets &lt;/b&gt;one creature&lt;/h5&gt;&lt;h5&gt;&lt;b&gt;Duration &lt;/b&gt;1 minute/level&lt;/h5&gt;&lt;h5&gt;&lt;b&gt;Saving Throw &lt;/b&gt;none; &lt;b&gt;Spell Resistance &lt;/b&gt;yes&lt;/h5&gt;&lt;/div&gt;&lt;hr/&gt;&lt;div&gt;&lt;h5&gt;&lt;b&gt;DESCRIPTION&lt;/b&gt;&lt;/h5&gt;&lt;/div&gt;&lt;hr/&gt;&lt;div&gt;&lt;h4&gt;&lt;p&gt;This spell functions as &lt;i&gt;sealed life&lt;/i&gt;, except it additionally provides the benefits of &lt;i&gt;death ward&lt;/i&gt; and renders its targets immune to effects that extract or transfer its soul, such as &lt;i&gt;possession&lt;/i&gt; and &lt;i&gt;trap the soul&lt;/i&gt;. This spell prevents a soul from returning to its body if it has already departed, until the spell's duration expires.&lt;/p&gt;&lt;/h4&gt;&lt;/div&gt;</t>
  </si>
  <si>
    <t>As sealed life, plus death ward and immunity to soul transference.</t>
  </si>
  <si>
    <t>Sessile Spirit</t>
  </si>
  <si>
    <t>cleric/oracle 5, inquisitor 4, medium 2, occultist 3, shaman 4, spiritualist 3, witch 5</t>
  </si>
  <si>
    <t>one creature or object (see text)</t>
  </si>
  <si>
    <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possession effect, including possess object, possession, or a ghost's malevolence, the spell targets the possessing creature rather than the creature it inhabits. On a failed save, the possessing spirit isn't exorcised from the target but is dazed for the duration of the spell.</t>
  </si>
  <si>
    <t>&lt;p&gt;You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&lt;i&gt;possession&lt;/i&gt; effect, including &lt;i&gt;possess object&lt;/i&gt;, &lt;i&gt;possession&lt;/i&gt;, or a ghost's malevolence, the spell targets the possessing creature rather than the creature it inhabits. On a failed save, the possessing spirit isn't exorcised from the target but is dazed for the duration of the spell.&lt;/p&gt;</t>
  </si>
  <si>
    <t>&lt;link rel="stylesheet"href="PF.css"&gt;&lt;div class="heading"&gt;&lt;p class="alignleft"&gt;Sessile Spirit&lt;/p&gt;&lt;div style="clear: both;"&gt;&lt;/div&gt;&lt;/div&gt;&lt;div&gt;&lt;h5&gt;&lt;b&gt;School &lt;/b&gt;necromancy; &lt;b&gt;Level &lt;/b&gt;cleric/oracle 5, inquisitor 4, medium 2, occultist 3, shaman 4, spiritualist 3,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object (see text)&lt;/h5&gt;&lt;h5&gt;&lt;b&gt;Duration &lt;/b&gt;1 round/level (D)&lt;/h5&gt;&lt;h5&gt;&lt;b&gt;Saving Throw &lt;/b&gt;Will negates (harmless); &lt;b&gt;Spell Resistance &lt;/b&gt;yes&lt;/h5&gt;&lt;/div&gt;&lt;hr/&gt;&lt;div&gt;&lt;h5&gt;&lt;b&gt;DESCRIPTION&lt;/b&gt;&lt;/h5&gt;&lt;/div&gt;&lt;hr/&gt;&lt;div&gt;&lt;h4&gt;&lt;p&gt;You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&lt;i&gt;possession&lt;/i&gt; effect, including &lt;i&gt;possess object&lt;/i&gt;, &lt;i&gt;possession&lt;/i&gt;, or a ghost's malevolence, the spell targets the possessing creature rather than the creature it inhabits. On a failed save, the possessing spirit isn't exorcised from the target but is dazed for the duration of the spell.&lt;/p&gt;&lt;/h4&gt;&lt;/div&gt;</t>
  </si>
  <si>
    <t>Cause a spirit inhabiting a creature or an object to go dormant.</t>
  </si>
  <si>
    <t>Shadow Body</t>
  </si>
  <si>
    <t>sorcerer/wizard 7, spiritualist 5, witch 7</t>
  </si>
  <si>
    <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shadow body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shadow body, so you can't cast spells with a material component unless those spells are prepared with Eschew Materials.</t>
  </si>
  <si>
    <t>&lt;p&gt;You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&lt;i&gt;shadow body&lt;/i&gt;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&lt;i&gt;shadow body&lt;/i&gt;, so you can't cast spells with a material component unless those spells are prepared with Eschew Materials.&lt;/p&gt;</t>
  </si>
  <si>
    <t>&lt;link rel="stylesheet"href="PF.css"&gt;&lt;div class="heading"&gt;&lt;p class="alignleft"&gt;Shadow Body&lt;/p&gt;&lt;div style="clear: both;"&gt;&lt;/div&gt;&lt;/div&gt;&lt;div&gt;&lt;h5&gt;&lt;b&gt;School &lt;/b&gt;transmutation (polymorph); &lt;b&gt;Level &lt;/b&gt;sorcerer/wizard 7, spiritualist 5, witch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&lt;i&gt;shadow body&lt;/i&gt;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&lt;i&gt;shadow body&lt;/i&gt;, so you can't cast spells with a material component unless those spells are prepared with Eschew Materials.&lt;/p&gt;&lt;/h4&gt;&lt;/div&gt;</t>
  </si>
  <si>
    <t>Turn your body into a living shadow.</t>
  </si>
  <si>
    <t>Spirit-Bound Blade</t>
  </si>
  <si>
    <t>medium 4, occultist 4, shaman 4, spiritualist 3</t>
  </si>
  <si>
    <t>You focus emotional energy and weave it into a shroud of hardened ectoplasm around the weapon you touch, infusing it with a ghostly glow and great power. The weapon becomes a ghost touch weapon, and gains one of the following additional benefits, depending on the type of emotion you  infuse into the weapon. If a special ability wouldn't apply to the chosen weapon (such as vicious on a ranged weapon), the weapon doesn't gain that benefit.  Anger: The weapon also gains the vicious special ability.  Dedication: The weapon also gains the returning special ability.  Despair: The weapon also gains the cruelUE special ability.  Fear: The weapon also gains the menacingUE special ability.  Hatred: The weapon also gains the cunningUE special ability.  Jealousy: The weapon also gains the mimeticUE special ability.  Zeal: The weapon also gains the keen special ability.  If you are a spiritualist and the type of emotional energy you choose matches the emotional focus of your phantom, the weapon grants its wielder a +2 bonus on skill checks with both skills you gain Skill Focus in from your phantom's emotional focus.</t>
  </si>
  <si>
    <t>&lt;p&gt;You focus emotional energy and weave it into a shroud of hardened ectoplasm around the weapon you touch, infusing it with a ghostly glow and great power. The weapon becomes a &lt;i&gt;ghost touch&lt;/i&gt; weapon, and gains one of the following additional benefits, depending on the type of emotion you  infuse into the weapon. If a special ability wouldn't apply to the chosen weapon (such as &lt;i&gt;vicious&lt;/i&gt; on a ranged weapon), the weapon doesn't gain that benefit.  &lt;b&gt;Anger&lt;/b&gt;: The weapon also gains the &lt;i&gt;vicious&lt;/i&gt; special ability.  &lt;b&gt;Dedication&lt;/b&gt;: The weapon also gains the &lt;i&gt;returning&lt;/i&gt; special ability.  &lt;b&gt;Despair&lt;/b&gt;: The weapon also gains the cruelUE special ability.  &lt;b&gt;Fear&lt;/b&gt;: The weapon also gains the menacingUE special ability.  &lt;b&gt;Hatred&lt;/b&gt;: The weapon also gains the cunningUE special ability.  &lt;b&gt;Jealousy&lt;/b&gt;: The weapon also gains the mimeticUE special ability.  &lt;b&gt;Zeal&lt;/b&gt;: The weapon also gains the &lt;i&gt;keen&lt;/i&gt; special ability.  If you are a spiritualist and the type of emotional energy you choose matches the emotional focus of your phantom, the weapon grants its wielder a +2 bonus on skill checks with both skills you gain Skill Focus in from your phantom's emotional focus.&lt;/p&gt;</t>
  </si>
  <si>
    <t>&lt;link rel="stylesheet"href="PF.css"&gt;&lt;div class="heading"&gt;&lt;p class="alignleft"&gt;Spirit-Bound Blade&lt;/p&gt;&lt;div style="clear: both;"&gt;&lt;/div&gt;&lt;/div&gt;&lt;div&gt;&lt;h5&gt;&lt;b&gt;School &lt;/b&gt;evocation; &lt;b&gt;Level &lt;/b&gt;medium 4, occultist 4, shaman 4, spiritualist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&lt;/b&gt;weapon touched&lt;/h5&gt;&lt;h5&gt;&lt;b&gt;Duration &lt;/b&gt;1 minute/level&lt;/h5&gt;&lt;h5&gt;&lt;b&gt;Saving Throw &lt;/b&gt;Will negates (harmless, object); &lt;b&gt;Spell Resistance &lt;/b&gt;no&lt;/h5&gt;&lt;/div&gt;&lt;hr/&gt;&lt;div&gt;&lt;h5&gt;&lt;b&gt;DESCRIPTION&lt;/b&gt;&lt;/h5&gt;&lt;/div&gt;&lt;hr/&gt;&lt;div&gt;&lt;h4&gt;&lt;p&gt;You focus emotional energy and weave it into a shroud of hardened ectoplasm around the weapon you touch, infusing it with a ghostly glow and great power. The weapon becomes a &lt;i&gt;ghost touch&lt;/i&gt; weapon, and gains one of the following additional benefits, depending on the type of emotion you  infuse into the weapon. If a special ability wouldn't apply to the chosen weapon (such as &lt;i&gt;vicious&lt;/i&gt; on a ranged weapon), the weapon doesn't gain that benefit.  &lt;b&gt;Anger&lt;/b&gt;: The weapon also gains the &lt;i&gt;vicious&lt;/i&gt; special ability.  &lt;b&gt;Dedication&lt;/b&gt;: The weapon also gains the &lt;i&gt;returning&lt;/i&gt; special ability.  &lt;b&gt;Despair&lt;/b&gt;: The weapon also gains the cruelUE special ability.  &lt;b&gt;Fear&lt;/b&gt;: The weapon also gains the menacingUE special ability.  &lt;b&gt;Hatred&lt;/b&gt;: The weapon also gains the cunningUE special ability.  &lt;b&gt;Jealousy&lt;/b&gt;: The weapon also gains the mimeticUE special ability.  &lt;b&gt;Zeal&lt;/b&gt;: The weapon also gains the &lt;i&gt;keen&lt;/i&gt; special ability.  If you are a spiritualist and the type of emotional energy you choose matches the emotional focus of your phantom, the weapon grants its wielder a +2 bonus on skill checks with both skills you gain Skill Focus in from your phantom's emotional focus.&lt;/p&gt;&lt;/h4&gt;&lt;/div&gt;</t>
  </si>
  <si>
    <t>Give a weapon ghost touch and another ability tied to an emotion.</t>
  </si>
  <si>
    <t>Ectoplasm (9)</t>
  </si>
  <si>
    <t>Synapse Overload</t>
  </si>
  <si>
    <t>mesmerist 4, psychic 5</t>
  </si>
  <si>
    <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t>
  </si>
  <si>
    <t>&lt;p&gt;You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effect.&lt;/p&gt;</t>
  </si>
  <si>
    <t>&lt;link rel="stylesheet"href="PF.css"&gt;&lt;div class="heading"&gt;&lt;p class="alignleft"&gt;Synapse Overload&lt;/p&gt;&lt;div style="clear: both;"&gt;&lt;/div&gt;&lt;/div&gt;&lt;div&gt;&lt;h5&gt;&lt;b&gt;School &lt;/b&gt;divination [mind-affecting]; &lt;b&gt;Level &lt;/b&gt;mesmerist 4, psychic 5&lt;/h5&gt;&lt;/div&gt;&lt;hr/&gt;&lt;div&gt;&lt;h5&gt;&lt;b&gt;CASTING&lt;/b&gt;&lt;/h5&gt;&lt;/div&gt;&lt;hr/&gt;&lt;div&gt;&lt;h5&gt;&lt;b&gt;Casting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&lt;/b&gt;living creature touched&lt;/h5&gt;&lt;h5&gt;&lt;b&gt;Duration &lt;/b&gt;instantaneous&lt;/h5&gt;&lt;h5&gt;&lt;b&gt;Saving Throw &lt;/b&gt;Fortitude partial (see text); &lt;b&gt;Spell Resistance &lt;/b&gt;yes&lt;/h5&gt;&lt;/div&gt;&lt;hr/&gt;&lt;div&gt;&lt;h5&gt;&lt;b&gt;DESCRIPTION&lt;/b&gt;&lt;/h5&gt;&lt;/div&gt;&lt;hr/&gt;&lt;div&gt;&lt;h4&gt;&lt;p&gt;You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effect.&lt;/p&gt;&lt;/h4&gt;&lt;/div&gt;</t>
  </si>
  <si>
    <t>Deal 1d6 points of damage per level and stagger target for 1 minute.</t>
  </si>
  <si>
    <t>Synaptic Pulse</t>
  </si>
  <si>
    <t>mesmerist 3, psychic 3</t>
  </si>
  <si>
    <t>You emit a pulsating mental blast that stuns all creatures in range of your psychic shriek for 1 round.</t>
  </si>
  <si>
    <t>&lt;p&gt;You emit a pulsating mental blast that stuns all creatures in range of your psychic shriek for 1 round.&lt;/p&gt;</t>
  </si>
  <si>
    <t>&lt;link rel="stylesheet"href="PF.css"&gt;&lt;div class="heading"&gt;&lt;p class="alignleft"&gt;Synaptic Pulse&lt;/p&gt;&lt;div style="clear: both;"&gt;&lt;/div&gt;&lt;/div&gt;&lt;div&gt;&lt;h5&gt;&lt;b&gt;School &lt;/b&gt;enchantment (compulsion) [mind-affecting]; &lt;b&gt;Level &lt;/b&gt;mesmerist 3, psychic 3&lt;/h5&gt;&lt;/div&gt;&lt;hr/&gt;&lt;div&gt;&lt;h5&gt;&lt;b&gt;CASTING&lt;/b&gt;&lt;/h5&gt;&lt;/div&gt;&lt;hr/&gt;&lt;div&gt;&lt;h5&gt;&lt;b&gt;Casting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&lt;/b&gt;1 round&lt;/h5&gt;&lt;h5&gt;&lt;b&gt;Saving Throw &lt;/b&gt;Will negates; &lt;b&gt;Spell Resistance &lt;/b&gt;yes&lt;/h5&gt;&lt;/div&gt;&lt;hr/&gt;&lt;div&gt;&lt;h5&gt;&lt;b&gt;DESCRIPTION&lt;/b&gt;&lt;/h5&gt;&lt;/div&gt;&lt;hr/&gt;&lt;div&gt;&lt;h4&gt;&lt;p&gt;You emit a pulsating mental blast that stuns all creatures in range of your psychic shriek for 1 round.&lt;/p&gt;&lt;/h4&gt;&lt;/div&gt;</t>
  </si>
  <si>
    <t>Stun creatures in a 30-ft. radius.</t>
  </si>
  <si>
    <t>Synaptic Pulse, Greater</t>
  </si>
  <si>
    <t>1d4 rounds; see text</t>
  </si>
  <si>
    <t>You emit a pulsating mental blast that stuns all creatures in range of your psychic shriek for 1d4 rounds. On a successful save, a creature is instead sickened for 1 round.</t>
  </si>
  <si>
    <t>&lt;p&gt;You emit a pulsating mental blast that stuns all creatures in range of your psychic shriek for 1d4 rounds. On a successful save, a creature is instead sickened for 1 round.&lt;/p&gt;</t>
  </si>
  <si>
    <t>&lt;link rel="stylesheet"href="PF.css"&gt;&lt;div class="heading"&gt;&lt;p class="alignleft"&gt;Synaptic Pulse, Greater&lt;/p&gt;&lt;div style="clear: both;"&gt;&lt;/div&gt;&lt;/div&gt;&lt;div&gt;&lt;h5&gt;&lt;b&gt;School &lt;/b&gt;enchantment (compulsion) [mind-affecting]; &lt;b&gt;Level &lt;/b&gt;mesmerist 4, psychic 5&lt;/h5&gt;&lt;/div&gt;&lt;hr/&gt;&lt;div&gt;&lt;h5&gt;&lt;b&gt;CASTING&lt;/b&gt;&lt;/h5&gt;&lt;/div&gt;&lt;hr/&gt;&lt;div&gt;&lt;h5&gt;&lt;b&gt;Casting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&lt;/b&gt;1d4 rounds; see text&lt;/h5&gt;&lt;h5&gt;&lt;b&gt;Saving Throw &lt;/b&gt;Will negates; &lt;b&gt;Spell Resistance &lt;/b&gt;yes&lt;/h5&gt;&lt;/div&gt;&lt;hr/&gt;&lt;div&gt;&lt;h5&gt;&lt;b&gt;DESCRIPTION&lt;/b&gt;&lt;/h5&gt;&lt;/div&gt;&lt;hr/&gt;&lt;div&gt;&lt;h4&gt;&lt;p&gt;You emit a pulsating mental blast that stuns all creatures in range of your psychic shriek for 1d4 rounds. On a successful save, a creature is instead sickened for 1 round.&lt;/p&gt;&lt;/h4&gt;&lt;/div&gt;</t>
  </si>
  <si>
    <t>As synaptic pulse, but for 1d4 rounds.</t>
  </si>
  <si>
    <t>Synaptic Scramble</t>
  </si>
  <si>
    <t>mesmerist 3, psychic 4</t>
  </si>
  <si>
    <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d% Action  1-20 Move action (must use move action to move)  21-40 Other move action (perform a move action other than moving)  41-60 Attack action (spend a standard action on the attack action, attacking once with a weapon)  61-80 Other standard action (perform a standard action that isn't the attack action)  81-100 Desired action (perform whatever standard or move action the creature desires to perform)</t>
  </si>
  <si>
    <t>&lt;p&gt;You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&lt;table border ='1'&gt;&lt;tr&gt;&lt;th&gt;d%&lt;/th&gt;&lt;th&gt;Action&lt;/th&gt;&lt;/tr&gt;&lt;tr&gt;&lt;td&gt;1-20&lt;/td&gt;&lt;td&gt;Move action (must use move action to move)&lt;/td&gt;&lt;/tr&gt;&lt;tr&gt;&lt;td&gt;21-40&lt;/td&gt;&lt;td&gt;Other move action (perform a move action other than moving)&lt;/td&gt;&lt;/tr&gt;&lt;tr&gt;&lt;td&gt;41-60&lt;/td&gt;&lt;td&gt;Attack action (spend a standard action on the attack action, attacking once with a weapon)&lt;/td&gt;&lt;/tr&gt;&lt;tr&gt;&lt;td&gt;61-80&lt;/td&gt;&lt;td&gt;Other standard action (perform a standard action that isn't the attack action)&lt;/td&gt;&lt;/tr&gt;&lt;tr&gt;&lt;td&gt;81-100&lt;/td&gt;&lt;td&gt;Desired action (perform whatever standard or move action the creature desires to perform)&lt;/td&gt;&lt;/tr&gt;&lt;/table&gt;   &lt;/p&gt;</t>
  </si>
  <si>
    <t>&lt;link rel="stylesheet"href="PF.css"&gt;&lt;div class="heading"&gt;&lt;p class="alignleft"&gt;Synaptic Scramble&lt;/p&gt;&lt;div style="clear: both;"&gt;&lt;/div&gt;&lt;/div&gt;&lt;div&gt;&lt;h5&gt;&lt;b&gt;School &lt;/b&gt;enchantment (compulsion) [mind-affecting]; &lt;b&gt;Level &lt;/b&gt;mesmerist 3,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&lt;table border ='1'&gt;&lt;tr&gt;&lt;th&gt;d%&lt;/th&gt;&lt;th&gt;Action&lt;/th&gt;&lt;/tr&gt;&lt;tr&gt;&lt;td&gt;1-20&lt;/td&gt;&lt;td&gt;Move action (must use move action to move)&lt;/td&gt;&lt;/tr&gt;&lt;tr&gt;&lt;td&gt;21-40&lt;/td&gt;&lt;td&gt;Other move action (perform a move action other than moving)&lt;/td&gt;&lt;/tr&gt;&lt;tr&gt;&lt;td&gt;41-60&lt;/td&gt;&lt;td&gt;Attack action (spend a standard action on the attack action, attacking once with a weapon)&lt;/td&gt;&lt;/tr&gt;&lt;tr&gt;&lt;td&gt;61-80&lt;/td&gt;&lt;td&gt;Other standard action (perform a standard action that isn't the attack action)&lt;/td&gt;&lt;/tr&gt;&lt;tr&gt;&lt;td&gt;81-100&lt;/td&gt;&lt;td&gt;Desired action (perform whatever standard or move action the creature desires to perform)&lt;/td&gt;&lt;/tr&gt;&lt;/table&gt;   &lt;/p&gt;&lt;/h4&gt;&lt;/div&gt;</t>
  </si>
  <si>
    <t>Prevent the target from communicating and cause it to act randomly.</t>
  </si>
  <si>
    <t>Synesthesia</t>
  </si>
  <si>
    <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synesthesia.</t>
  </si>
  <si>
    <t>&lt;p&gt;You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&lt;i&gt;synesthesia&lt;/i&gt;.&lt;/p&gt;</t>
  </si>
  <si>
    <t>&lt;link rel="stylesheet"href="PF.css"&gt;&lt;div class="heading"&gt;&lt;p class="alignleft"&gt;Synesthesia&lt;/p&gt;&lt;div style="clear: both;"&gt;&lt;/div&gt;&lt;/div&gt;&lt;div&gt;&lt;h5&gt;&lt;b&gt;School &lt;/b&gt;illusion (phantasm) [mind-affecting]; &lt;b&gt;Level &lt;/b&gt;mesmerist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&lt;i&gt;synesthesia&lt;/i&gt;.&lt;/p&gt;&lt;/h4&gt;&lt;/div&gt;</t>
  </si>
  <si>
    <t>Target moves at half speed, takes penalties, and has trouble casting spells.</t>
  </si>
  <si>
    <t>Synesthesia, Mass</t>
  </si>
  <si>
    <t>mesmerist 5, psychic 7</t>
  </si>
  <si>
    <t>one or more living creatures, no two of which can be more than 30 ft. apart</t>
  </si>
  <si>
    <t>This spell functions like synesthesia, except as noted above.</t>
  </si>
  <si>
    <t>&lt;p&gt;This spell functions like &lt;i&gt;synesthesia&lt;/i&gt;, except as noted above.&lt;/p&gt;</t>
  </si>
  <si>
    <t>&lt;link rel="stylesheet"href="PF.css"&gt;&lt;div class="heading"&gt;&lt;p class="alignleft"&gt;Synesthesia, Mass&lt;/p&gt;&lt;div style="clear: both;"&gt;&lt;/div&gt;&lt;/div&gt;&lt;div&gt;&lt;h5&gt;&lt;b&gt;School &lt;/b&gt;illusion (phantasm) [mind-affecting]; &lt;b&gt;Level &lt;/b&gt;mesmerist 5, psychic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or more living creatures, no two of which can be more than 30 ft. apart&lt;/h5&gt;&lt;h5&gt;&lt;b&gt;Duration &lt;/b&gt;1 round/level&lt;/h5&gt;&lt;h5&gt;&lt;b&gt;Saving Throw &lt;/b&gt;Will negates; &lt;b&gt;Spell Resistance &lt;/b&gt;yes&lt;/h5&gt;&lt;/div&gt;&lt;hr/&gt;&lt;div&gt;&lt;h5&gt;&lt;b&gt;DESCRIPTION&lt;/b&gt;&lt;/h5&gt;&lt;/div&gt;&lt;hr/&gt;&lt;div&gt;&lt;h4&gt;&lt;p&gt;This spell functions like &lt;i&gt;synesthesia&lt;/i&gt;, except as noted above.&lt;/p&gt;&lt;/h4&gt;&lt;/div&gt;</t>
  </si>
  <si>
    <t>As synesthesia, but affecting multiple creatures.</t>
  </si>
  <si>
    <t>Talismanic Implement</t>
  </si>
  <si>
    <t>occultist 3</t>
  </si>
  <si>
    <t>This spell functions as contingency,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talismanic implement reduces the selected implement's mental focus by 2, including for the purposes of determining the effects of resonant powers. When you refresh your mental focus, talismanic implement ends automatically, even if the duration hasn't elapsed. Unlike contingency, you may have multiple talismanic implements simultaneously, though a single implement can hold only one talismanic implement spell, and if you have any talismanic implements, you can't have any other kind of contingency in effect.</t>
  </si>
  <si>
    <t>&lt;p&gt;This spell functions as &lt;i&gt;contingency&lt;/i&gt;,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&lt;i&gt;talismanic implement&lt;/i&gt; reduces the selected implement's mental focus by 2, including for the purposes of determining the effects of resonant powers. When you refresh your mental focus, &lt;i&gt;talismanic implement&lt;/i&gt; ends automatically, even if the duration hasn't elapsed. Unlike &lt;i&gt;contingency&lt;/i&gt;, you may have multiple &lt;i&gt;talismanic implement&lt;/i&gt;s simultaneously, though a single implement can hold only one &lt;i&gt;talismanic implement&lt;/i&gt; spell, and if you have any &lt;i&gt;talismanic implement&lt;/i&gt;s, you can't have any other kind of &lt;i&gt;contingency&lt;/i&gt; in effect.&lt;/p&gt;</t>
  </si>
  <si>
    <t>&lt;link rel="stylesheet"href="PF.css"&gt;&lt;div class="heading"&gt;&lt;p class="alignleft"&gt;Talismanic Implement&lt;/p&gt;&lt;div style="clear: both;"&gt;&lt;/div&gt;&lt;/div&gt;&lt;div&gt;&lt;h5&gt;&lt;b&gt;School &lt;/b&gt;evocation; &lt;b&gt;Level &lt;/b&gt;occultist 3&lt;/h5&gt;&lt;/div&gt;&lt;hr/&gt;&lt;div&gt;&lt;h5&gt;&lt;b&gt;CASTING&lt;/b&gt;&lt;/h5&gt;&lt;/div&gt;&lt;hr/&gt;&lt;div&gt;&lt;h5&gt;&lt;b&gt;Casting Time &lt;/b&gt;10 minutes&lt;/h5&gt;&lt;h5&gt;&lt;b&gt;Components &lt;/b&gt;V&lt;/h5&gt;&lt;/div&gt;&lt;hr/&gt;&lt;div&gt;&lt;h5&gt;&lt;b&gt;EFFECT&lt;/b&gt;&lt;/h5&gt;&lt;/div&gt;&lt;hr/&gt;&lt;div&gt;&lt;h5&gt;&lt;b&gt;Range &lt;/b&gt;personal&lt;/h5&gt;&lt;h5&gt;&lt;b&gt;Targets &lt;/b&gt;you&lt;/h5&gt;&lt;h5&gt;&lt;b&gt;Duration &lt;/b&gt;1 hour/level (D) or until discharged&lt;/h5&gt;&lt;/div&gt;&lt;hr/&gt;&lt;div&gt;&lt;h5&gt;&lt;b&gt;DESCRIPTION&lt;/b&gt;&lt;/h5&gt;&lt;/div&gt;&lt;hr/&gt;&lt;div&gt;&lt;h4&gt;&lt;p&gt;This spell functions as &lt;i&gt;contingency&lt;/i&gt;,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&lt;i&gt;talismanic implement&lt;/i&gt; reduces the selected implement's mental focus by 2, including for the purposes of determining the effects of resonant powers. When you refresh your mental focus, &lt;i&gt;talismanic implement&lt;/i&gt; ends automatically, even if the duration hasn't elapsed. Unlike &lt;i&gt;contingency&lt;/i&gt;, you may have multiple &lt;i&gt;talismanic implement&lt;/i&gt;s simultaneously, though a single implement can hold only one &lt;i&gt;talismanic implement&lt;/i&gt; spell, and if you have any &lt;i&gt;talismanic implement&lt;/i&gt;s, you can't have any other kind of &lt;i&gt;contingency&lt;/i&gt; in effect.&lt;/p&gt;&lt;/h4&gt;&lt;/div&gt;</t>
  </si>
  <si>
    <t>As contingency, but invests a spell into one of your implements.</t>
  </si>
  <si>
    <t>Telekinetic Maneuver</t>
  </si>
  <si>
    <t>magus 4, psychic 3, sorcerer/wizard 4, spiritualist 4</t>
  </si>
  <si>
    <t>concentration (up to 1 round/level)</t>
  </si>
  <si>
    <t>This spell functions as telekinesis, but it can be used only to perform a bull rush, disarm, drag, grapple (including pin), reposition, steal, or trip combat maneuver.</t>
  </si>
  <si>
    <t>&lt;p&gt;This spell functions as &lt;i&gt;telekinesis&lt;/i&gt;, but it can be used only to perform a bull rush, disarm, drag, grapple (including pin), reposition, steal, or trip combat maneuver.&lt;/p&gt;</t>
  </si>
  <si>
    <t>&lt;link rel="stylesheet"href="PF.css"&gt;&lt;div class="heading"&gt;&lt;p class="alignleft"&gt;Telekinetic Maneuver&lt;/p&gt;&lt;div style="clear: both;"&gt;&lt;/div&gt;&lt;/div&gt;&lt;div&gt;&lt;h5&gt;&lt;b&gt;School &lt;/b&gt;transmutation; &lt;b&gt;Level &lt;/b&gt;magus 4, psychic 3, sorcerer/wizard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&lt;/b&gt;concentration (up to 1 round/level)&lt;/h5&gt;&lt;h5&gt;&lt;b&gt;Saving Throw &lt;/b&gt;none; &lt;b&gt;Spell Resistance &lt;/b&gt;yes&lt;/h5&gt;&lt;/div&gt;&lt;hr/&gt;&lt;div&gt;&lt;h5&gt;&lt;b&gt;DESCRIPTION&lt;/b&gt;&lt;/h5&gt;&lt;/div&gt;&lt;hr/&gt;&lt;div&gt;&lt;h4&gt;&lt;p&gt;This spell functions as &lt;i&gt;telekinesis&lt;/i&gt;, but it can be used only to perform a bull rush, disarm, drag, grapple (including pin), reposition, steal, or trip combat maneuver.&lt;/p&gt;&lt;/h4&gt;&lt;/div&gt;</t>
  </si>
  <si>
    <t>Perform a telekinetic combat maneuver.</t>
  </si>
  <si>
    <t>Telekinetic Projectile</t>
  </si>
  <si>
    <t>occultist 0, psychic 0, spiritualist 0</t>
  </si>
  <si>
    <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t>
  </si>
  <si>
    <t>&lt;p&gt;You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way.&lt;/p&gt;</t>
  </si>
  <si>
    <t>&lt;link rel="stylesheet"href="PF.css"&gt;&lt;div class="heading"&gt;&lt;p class="alignleft"&gt;Telekinetic Projectile&lt;/p&gt;&lt;div style="clear: both;"&gt;&lt;/div&gt;&lt;/div&gt;&lt;div&gt;&lt;h5&gt;&lt;b&gt;School &lt;/b&gt;evocation; &lt;b&gt;Level &lt;/b&gt;occultist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levels)&lt;/h5&gt;&lt;h5&gt;&lt;b&gt;Duration &lt;/b&gt;instantaneous&lt;/h5&gt;&lt;h5&gt;&lt;b&gt;Saving Throw &lt;/b&gt;no; &lt;b&gt;Spell Resistance &lt;/b&gt;no&lt;/h5&gt;&lt;/div&gt;&lt;hr/&gt;&lt;div&gt;&lt;h5&gt;&lt;b&gt;DESCRIPTION&lt;/b&gt;&lt;/h5&gt;&lt;/div&gt;&lt;hr/&gt;&lt;div&gt;&lt;h4&gt;&lt;p&gt;You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way.&lt;/p&gt;&lt;/h4&gt;&lt;/div&gt;</t>
  </si>
  <si>
    <t>Telekinetically hurl an object, dealing 1d6 points of damage to the target and object.</t>
  </si>
  <si>
    <t>Telekinetic Storm</t>
  </si>
  <si>
    <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telekinetic storm damages objects in the area. If the damage caused to an interposing barrier shatters or breaks through it, the telekinetic storm continues beyond the barrier if the spell's area permits; otherwise, it stops at the barrier just as any other spell effect does.  You can designate any number of creatures to be immune to the spell's effect, though you must be capable of targeting those creatures.</t>
  </si>
  <si>
    <t>&lt;p&gt;You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&lt;i&gt;telekinetic storm&lt;/i&gt; damages objects in the area. If the damage caused to an interposing barrier shatters or breaks through it, the &lt;i&gt;telekinetic storm&lt;/i&gt; continues beyond the barrier if the spell's area permits; otherwise, it stops at the barrier just as any other spell effect does.  You can designate any number of creatures to be immune to the spell's effect, though you must be capable of targeting those creatures.&lt;/p&gt;</t>
  </si>
  <si>
    <t>&lt;link rel="stylesheet"href="PF.css"&gt;&lt;div class="heading"&gt;&lt;p class="alignleft"&gt;Telekinetic Storm&lt;/p&gt;&lt;div style="clear: both;"&gt;&lt;/div&gt;&lt;/div&gt;&lt;div&gt;&lt;h5&gt;&lt;b&gt;School &lt;/b&gt;evocation [force]; &lt;b&gt;Level &lt;/b&gt;psychic 9&lt;/h5&gt;&lt;/div&gt;&lt;hr/&gt;&lt;div&gt;&lt;h5&gt;&lt;b&gt;CASTING&lt;/b&gt;&lt;/h5&gt;&lt;/div&gt;&lt;hr/&gt;&lt;div&gt;&lt;h5&gt;&lt;b&gt;Casting Time &lt;/b&gt;1 standard action&lt;/h5&gt;&lt;h5&gt;&lt;b&gt;Components &lt;/b&gt;V, S&lt;/h5&gt;&lt;/div&gt;&lt;hr/&gt;&lt;div&gt;&lt;h5&gt;&lt;b&gt;EFFECT&lt;/b&gt;&lt;/h5&gt;&lt;/div&gt;&lt;hr/&gt;&lt;div&gt;&lt;h5&gt;&lt;b&gt;Area &lt;/b&gt;40-ft.-radius burst centered on you&lt;/h5&gt;&lt;h5&gt;&lt;b&gt;Duration &lt;/b&gt;instantaneous&lt;/h5&gt;&lt;h5&gt;&lt;b&gt;Saving Throw &lt;/b&gt;Fortitude partial (see text); &lt;b&gt;Spell Resistance &lt;/b&gt;yes&lt;/h5&gt;&lt;/div&gt;&lt;hr/&gt;&lt;div&gt;&lt;h5&gt;&lt;b&gt;DESCRIPTION&lt;/b&gt;&lt;/h5&gt;&lt;/div&gt;&lt;hr/&gt;&lt;div&gt;&lt;h4&gt;&lt;p&gt;You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&lt;i&gt;telekinetic storm&lt;/i&gt; damages objects in the area. If the damage caused to an interposing barrier shatters or breaks through it, the &lt;i&gt;telekinetic storm&lt;/i&gt; continues beyond the barrier if the spell's area permits; otherwise, it stops at the barrier just as any other spell effect does.  You can designate any number of creatures to be immune to the spell's effect, though you must be capable of targeting those creatures.&lt;/p&gt;&lt;/h4&gt;&lt;/div&gt;</t>
  </si>
  <si>
    <t>Deal 1d6 points of damage per level plus daze and stun in a 40-ft. radius.</t>
  </si>
  <si>
    <t>Telempathic Projection</t>
  </si>
  <si>
    <t>You alter the target's mood, adjusting its attitude toward you or another creature you designate by one step either positively or negatively (see the Diplomacy skill on page 94 of the Pathfinder RPG Core Rulebook). You can instead use this spell to assist your own or an ally's Bluff, Diplomacy, Intimidate, Perform, or Sense Motive check, granting that check a +5 insight bonus against the target of your telempathic projection with no save. In this case, the spell's duration expires immediately when the skill check is complete.</t>
  </si>
  <si>
    <t>&lt;p&gt;You alter the target's mood, adjusting its attitude toward you or another creature you designate by one step either positively or negatively (see the Diplomacy skill on page 94 of the &lt;i&gt;Pathfinder RPG Core&lt;/i&gt; Rulebook). You can instead use this spell to assist your own or an ally's Bluff, Diplomacy, Intimidate, Perform, or Sense Motive check, granting that check a +5 insight bonus against the target of your &lt;i&gt;telempathic projection&lt;/i&gt; with no save. In this case, the spell's duration expires immediately when the skill check is complete.&lt;/p&gt;</t>
  </si>
  <si>
    <t>&lt;link rel="stylesheet"href="PF.css"&gt;&lt;div class="heading"&gt;&lt;p class="alignleft"&gt;Telempathic Projection&lt;/p&gt;&lt;div style="clear: both;"&gt;&lt;/div&gt;&lt;/div&gt;&lt;div&gt;&lt;h5&gt;&lt;b&gt;School &lt;/b&gt;enchantment (compulsion) [emotion, mind-affecting]; &lt;b&gt;Level &lt;/b&gt;mesmerist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minute/level&lt;/h5&gt;&lt;h5&gt;&lt;b&gt;Saving Throw &lt;/b&gt;Will negates (see text); &lt;b&gt;Spell Resistance &lt;/b&gt;yes&lt;/h5&gt;&lt;/div&gt;&lt;hr/&gt;&lt;div&gt;&lt;h5&gt;&lt;b&gt;DESCRIPTION&lt;/b&gt;&lt;/h5&gt;&lt;/div&gt;&lt;hr/&gt;&lt;div&gt;&lt;h4&gt;&lt;p&gt;You alter the target's mood, adjusting its attitude toward you or another creature you designate by one step either positively or negatively (see the Diplomacy skill on page 94 of the &lt;i&gt;Pathfinder RPG Core&lt;/i&gt; Rulebook). You can instead use this spell to assist your own or an ally's Bluff, Diplomacy, Intimidate, Perform, or Sense Motive check, granting that check a +5 insight bonus against the target of your &lt;i&gt;telempathic projection&lt;/i&gt; with no save. In this case, the spell's duration expires immediately when the skill check is complete.&lt;/p&gt;&lt;/h4&gt;&lt;/div&gt;</t>
  </si>
  <si>
    <t>Alter the target’s attitude or give bonuses to those interacting with the target.</t>
  </si>
  <si>
    <t>Telepathy</t>
  </si>
  <si>
    <t>medium 4, mesmerist 4, psychic 5, sorcerer/wizard 6, spiritualist 6</t>
  </si>
  <si>
    <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t>
  </si>
  <si>
    <t>&lt;p&gt;You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simultaneously.&lt;/p&gt;</t>
  </si>
  <si>
    <t>&lt;link rel="stylesheet"href="PF.css"&gt;&lt;div class="heading"&gt;&lt;p class="alignleft"&gt;Telepathy&lt;/p&gt;&lt;div style="clear: both;"&gt;&lt;/div&gt;&lt;/div&gt;&lt;div&gt;&lt;h5&gt;&lt;b&gt;School &lt;/b&gt;divination [mind-affecting]; &lt;b&gt;Level &lt;/b&gt;medium 4, mesmerist 4, psychic 5, sorcerer/wizard 6, spiritualist 6&lt;/h5&gt;&lt;/div&gt;&lt;hr/&gt;&lt;div&gt;&lt;h5&gt;&lt;b&gt;CASTING&lt;/b&gt;&lt;/h5&gt;&lt;/div&gt;&lt;hr/&gt;&lt;div&gt;&lt;h5&gt;&lt;b&gt;Casting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simultaneously.&lt;/p&gt;&lt;/h4&gt;&lt;/div&gt;</t>
  </si>
  <si>
    <t>Communicate mentally with creatures within 100 ft.</t>
  </si>
  <si>
    <t>Thaumaturgic Circle</t>
  </si>
  <si>
    <t>cleric/oracle 4, inquisitor 4, medium 3, occultist 3, sorcerer/wizard 4, summoner 4</t>
  </si>
  <si>
    <t>V, S, M (a 3-ft.-diameter circle of powdered silver), DF</t>
  </si>
  <si>
    <t>This spell functions as magic circle against chaos, evil, good, or law, but rather than stipulating an alignment descriptor, you can designate any one non-alignment subtype of outsider, including air, earth, fire, and water, as well as outsider races such as angels and devils.</t>
  </si>
  <si>
    <t>&lt;p&gt;This spell functions as &lt;i&gt;magic circle against chaos&lt;/i&gt;, &lt;i&gt;evil&lt;/i&gt;, &lt;i&gt;good&lt;/i&gt;, or &lt;i&gt;law&lt;/i&gt;, but rather than stipulating an alignment descriptor, you can designate any one non-alignment subtype of outsider, including air, earth, fire, and water, as well as outsider races such as angels and d&lt;i&gt;evil&lt;/i&gt;s.&lt;/p&gt;</t>
  </si>
  <si>
    <t>&lt;link rel="stylesheet"href="PF.css"&gt;&lt;div class="heading"&gt;&lt;p class="alignleft"&gt;Thaumaturgic Circle&lt;/p&gt;&lt;div style="clear: both;"&gt;&lt;/div&gt;&lt;/div&gt;&lt;div&gt;&lt;h5&gt;&lt;b&gt;School &lt;/b&gt;abjuration; &lt;b&gt;Level &lt;/b&gt;cleric/oracle 4, inquisitor 4, medium 3, occultist 3, sorcerer/wizard 4, summoner 4&lt;/h5&gt;&lt;/div&gt;&lt;hr/&gt;&lt;div&gt;&lt;h5&gt;&lt;b&gt;CASTING&lt;/b&gt;&lt;/h5&gt;&lt;/div&gt;&lt;hr/&gt;&lt;div&gt;&lt;h5&gt;&lt;b&gt;Casting Time &lt;/b&gt;1 standard action&lt;/h5&gt;&lt;h5&gt;&lt;b&gt;Components &lt;/b&gt;V, S, M (a 3-ft.-diameter circle of powdered silver), DF&lt;/h5&gt;&lt;/div&gt;&lt;hr/&gt;&lt;div&gt;&lt;h5&gt;&lt;b&gt;EFFECT&lt;/b&gt;&lt;/h5&gt;&lt;/div&gt;&lt;hr/&gt;&lt;div&gt;&lt;h5&gt;&lt;b&gt;Range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as &lt;i&gt;magic circle against chaos&lt;/i&gt;, &lt;i&gt;evil&lt;/i&gt;, &lt;i&gt;good&lt;/i&gt;, or &lt;i&gt;law&lt;/i&gt;, but rather than stipulating an alignment descriptor, you can designate any one non-alignment subtype of outsider, including air, earth, fire, and water, as well as outsider races such as angels and d&lt;i&gt;evil&lt;/i&gt;s.&lt;/p&gt;&lt;/h4&gt;&lt;/div&gt;</t>
  </si>
  <si>
    <t>As magic circle, but affecting a non-alignment subtype or outsider race.</t>
  </si>
  <si>
    <t>Thought Echo</t>
  </si>
  <si>
    <t>mesmerist 1, psychic 1</t>
  </si>
  <si>
    <t>When you cast this spell, you establish a mental echo of up to 25 words. Any attempt to read the surface thoughts of the target creature reads only this mental echo unless the caster succeeds at a caster level check (DC = 11 + your caster level). If you cast thought echo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Thought echo d oes n ot i nterfere w ith t elepathy o r m ind reading effects that are capable of reaching thoughts deeper than surface thoughts.</t>
  </si>
  <si>
    <t>&lt;p&gt;When you cast this spell, you establish a mental echo of up to 25 words. Any attempt to read the surface thoughts of the target creature reads only this mental echo unless the caster succeeds at a caster level check (DC = 11 + your caster level). If you cast &lt;i&gt;thought echo&lt;/i&gt;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&lt;i&gt;Thought echo&lt;/i&gt; d oes n ot i nterfere w ith t elepathy o r m ind reading effects that are capable of reaching thoughts deeper than surface thoughts.&lt;/p&gt;</t>
  </si>
  <si>
    <t>&lt;link rel="stylesheet"href="PF.css"&gt;&lt;div class="heading"&gt;&lt;p class="alignleft"&gt;Thought Echo&lt;/p&gt;&lt;div style="clear: both;"&gt;&lt;/div&gt;&lt;/div&gt;&lt;div&gt;&lt;h5&gt;&lt;b&gt;School &lt;/b&gt;illusion (glamer); &lt;b&gt;Level &lt;/b&gt;mesmerist 1, psychic 1&lt;/h5&gt;&lt;/div&gt;&lt;hr/&gt;&lt;div&gt;&lt;h5&gt;&lt;b&gt;CASTING&lt;/b&gt;&lt;/h5&gt;&lt;/div&gt;&lt;hr/&gt;&lt;div&gt;&lt;h5&gt;&lt;b&gt;Casting Time &lt;/b&gt;1 round&lt;/h5&gt;&lt;h5&gt;&lt;b&gt;Components &lt;/b&gt;V&lt;/h5&gt;&lt;/div&gt;&lt;hr/&gt;&lt;div&gt;&lt;h5&gt;&lt;b&gt;EFFECT&lt;/b&gt;&lt;/h5&gt;&lt;/div&gt;&lt;hr/&gt;&lt;div&gt;&lt;h5&gt;&lt;b&gt;Range &lt;/b&gt;touch&lt;/h5&gt;&lt;h5&gt;&lt;b&gt;Targets &lt;/b&gt;living creature touched&lt;/h5&gt;&lt;h5&gt;&lt;b&gt;Duration &lt;/b&gt;1 minute/level (D)&lt;/h5&gt;&lt;h5&gt;&lt;b&gt;Saving Throw &lt;/b&gt;Will negates (harmless); &lt;b&gt;Spell Resistance &lt;/b&gt;yes (harmless)&lt;/h5&gt;&lt;/div&gt;&lt;hr/&gt;&lt;div&gt;&lt;h5&gt;&lt;b&gt;DESCRIPTION&lt;/b&gt;&lt;/h5&gt;&lt;/div&gt;&lt;hr/&gt;&lt;div&gt;&lt;h4&gt;&lt;p&gt;When you cast this spell, you establish a mental echo of up to 25 words. Any attempt to read the surface thoughts of the target creature reads only this mental echo unless the caster succeeds at a caster level check (DC = 11 + your caster level). If you cast &lt;i&gt;thought echo&lt;/i&gt;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&lt;i&gt;Thought echo&lt;/i&gt; d oes n ot i nterfere w ith t elepathy o r m ind reading effects that are capable of reaching thoughts deeper than surface thoughts.&lt;/p&gt;&lt;/h4&gt;&lt;/div&gt;</t>
  </si>
  <si>
    <t>Replace surface thoughts with a mental echo.</t>
  </si>
  <si>
    <t>Thought Shield I</t>
  </si>
  <si>
    <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t>
  </si>
  <si>
    <t>&lt;p&gt;Sensing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you.&lt;/p&gt;</t>
  </si>
  <si>
    <t>&lt;link rel="stylesheet"href="PF.css"&gt;&lt;div class="heading"&gt;&lt;p class="alignleft"&gt;Thought Shield I&lt;/p&gt;&lt;div style="clear: both;"&gt;&lt;/div&gt;&lt;/div&gt;&lt;div&gt;&lt;h5&gt;&lt;b&gt;School &lt;/b&gt;abjuration; &lt;b&gt;Level &lt;/b&gt;psychic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you.&lt;/p&gt;&lt;/h4&gt;&lt;/div&gt;</t>
  </si>
  <si>
    <t>As an immediate action, gain a +4 bonus on Will saves against mind-affecting effects.</t>
  </si>
  <si>
    <t>Thought Shield II</t>
  </si>
  <si>
    <t>This functions as thought shield I, but the circumstance bonus on Will saves to resist mind-affecting effects increases to +6. This spell can be undercast.</t>
  </si>
  <si>
    <t>&lt;p&gt;This functions as &lt;i&gt;thought shield I&lt;/i&gt;, but the circumstance bonus on Will saves to resist mind-affecting effects increases to +6. This spell can be undercast.&lt;/p&gt;</t>
  </si>
  <si>
    <t>&lt;link rel="stylesheet"href="PF.css"&gt;&lt;div class="heading"&gt;&lt;p class="alignleft"&gt;Thought Shield II&lt;/p&gt;&lt;div style="clear: both;"&gt;&lt;/div&gt;&lt;/div&gt;&lt;div&gt;&lt;h5&gt;&lt;b&gt;School &lt;/b&gt;abjuration; &lt;b&gt;Level &lt;/b&gt;psychic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I&lt;/i&gt;, but the circumstance bonus on Will saves to resist mind-affecting effects increases to +6. This spell can be undercast.&lt;/p&gt;&lt;/h4&gt;&lt;/div&gt;</t>
  </si>
  <si>
    <t>As thought shield I, but +6 on Will saves.</t>
  </si>
  <si>
    <t>Thought Shield III</t>
  </si>
  <si>
    <t>This functions as thought shield I, but the circumstance bonus on Will saves to resist mind-affecting effects increases to +8. In addition, any creature that tries to read your thoughts while this spell lasts must succeed at a Will save or be stunned for 1 round. This spell can be undercast.</t>
  </si>
  <si>
    <t>&lt;p&gt;This functions as &lt;i&gt;thought shield I&lt;/i&gt;, but the circumstance bonus on Will saves to resist mind-affecting effects increases to +8. In addition, any creature that tries to read your thoughts while this spell lasts must succeed at a Will save or be stunned for 1 round. This spell can be undercast.&lt;/p&gt;</t>
  </si>
  <si>
    <t>&lt;link rel="stylesheet"href="PF.css"&gt;&lt;div class="heading"&gt;&lt;p class="alignleft"&gt;Thought Shield III&lt;/p&gt;&lt;div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I&lt;/i&gt;, but the circumstance bonus on Will saves to resist mind-affecting effects increases to +8. In addition, any creature that tries to read your thoughts while this spell lasts must succeed at a Will save or be stunned for 1 round. This spell can be undercast.&lt;/p&gt;&lt;/h4&gt;&lt;/div&gt;</t>
  </si>
  <si>
    <t>As thought shield I, but +8 on Will saves and stun creatures that read your thoughts for 1 round.</t>
  </si>
  <si>
    <t>Thought Shield IV</t>
  </si>
  <si>
    <t>This functions as thought shield III, but any creature that tries to read your thoughts while this spell lasts must succeed at a Will save or be stunned for 1d4 rounds. Additionally, if you succeed at your save against a psychic crush spell, you take no damage. This spell can be undercast.</t>
  </si>
  <si>
    <t>&lt;p&gt;This functions as &lt;i&gt;thought shield III&lt;/i&gt;, but any creature that tries to read your thoughts while this spell lasts must succeed at a Will save or be stunned for 1d4 rounds. Additionally, if you succeed at your save against a &lt;i&gt;psychic crush&lt;/i&gt; spell, you take no damage. This spell can be undercast.&lt;/p&gt;</t>
  </si>
  <si>
    <t>&lt;link rel="stylesheet"href="PF.css"&gt;&lt;div class="heading"&gt;&lt;p class="alignleft"&gt;Thought Shield IV&lt;/p&gt;&lt;div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III&lt;/i&gt;, but any creature that tries to read your thoughts while this spell lasts must succeed at a Will save or be stunned for 1d4 rounds. Additionally, if you succeed at your save against a &lt;i&gt;psychic crush&lt;/i&gt; spell, you take no damage. This spell can be undercast.&lt;/p&gt;&lt;/h4&gt;&lt;/div&gt;</t>
  </si>
  <si>
    <t>As thought shield III, but stun for 1d4 rounds and resist psychic crush spells.</t>
  </si>
  <si>
    <t>Thought Shield V</t>
  </si>
  <si>
    <t>This functions as thought shield IV, except as noted above. This spell immediately ends if you fail a Will saving throw against a mind-affecting effect. This spell can be undercast.</t>
  </si>
  <si>
    <t>&lt;p&gt;This functions as &lt;i&gt;thought shield IV&lt;/i&gt;, except as noted above. This spell immediately ends if you fail a Will saving throw against a mind-affecting effect. This spell can be undercast.&lt;/p&gt;</t>
  </si>
  <si>
    <t>&lt;link rel="stylesheet"href="PF.css"&gt;&lt;div class="heading"&gt;&lt;p class="alignleft"&gt;Thought Shield V&lt;/p&gt;&lt;div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 see text&lt;/h5&gt;&lt;/div&gt;&lt;hr/&gt;&lt;div&gt;&lt;h5&gt;&lt;b&gt;DESCRIPTION&lt;/b&gt;&lt;/h5&gt;&lt;/div&gt;&lt;hr/&gt;&lt;div&gt;&lt;h4&gt;&lt;p&gt;This functions as &lt;i&gt;thought shield IV&lt;/i&gt;, except as noted above. This spell immediately ends if you fail a Will saving throw against a mind-affecting effect. This spell can be undercast.&lt;/p&gt;&lt;/h4&gt;&lt;/div&gt;</t>
  </si>
  <si>
    <t>As thought shield IV, but lasts 1 round per level.</t>
  </si>
  <si>
    <t>Thoughtsense</t>
  </si>
  <si>
    <t>medium 4, mesmerist 4, psychic 4, sorcerer/wizard 5, spiritualist 4</t>
  </si>
  <si>
    <t>V, M (a bit of dried brain tissue)</t>
  </si>
  <si>
    <t>You automatically detect and locate conscious creatures within 60 feet, as if you possessed the blindsight ability. Nondetection, mind blank, and similar effects can block this effect. Thoughtsense can distinguish between sentient (Intelligence 3 or greater) and non-sentient (Intelligence 1-2) creatures, but otherwise provides no information about the creatures it detects.</t>
  </si>
  <si>
    <t>&lt;p&gt;You automatically detect and locate conscious creatures within 60 feet, as if you possessed the blindsight ability. &lt;i&gt;Nondetection&lt;/i&gt;, &lt;i&gt;mind blank&lt;/i&gt;, and similar effects can block this effect. &lt;i&gt;Thoughtsense&lt;/i&gt; can distinguish between sentient (Intelligence 3 or greater) and non-sentient (Intelligence 1-2) creatures, but otherwise provides no information about the creatures it detects.&lt;/p&gt;</t>
  </si>
  <si>
    <t>&lt;link rel="stylesheet"href="PF.css"&gt;&lt;div class="heading"&gt;&lt;p class="alignleft"&gt;Thoughtsense&lt;/p&gt;&lt;div style="clear: both;"&gt;&lt;/div&gt;&lt;/div&gt;&lt;div&gt;&lt;h5&gt;&lt;b&gt;School &lt;/b&gt;divination [mind-affecting]; &lt;b&gt;Level &lt;/b&gt;medium 4, mesmerist 4, psychic 4, sorcerer/wizard 5, spiritualist 4&lt;/h5&gt;&lt;/div&gt;&lt;hr/&gt;&lt;div&gt;&lt;h5&gt;&lt;b&gt;CASTING&lt;/b&gt;&lt;/h5&gt;&lt;/div&gt;&lt;hr/&gt;&lt;div&gt;&lt;h5&gt;&lt;b&gt;Casting Time &lt;/b&gt;1 standard action&lt;/h5&gt;&lt;h5&gt;&lt;b&gt;Components &lt;/b&gt;V, M (a bit of dried brain tissue)&lt;/h5&gt;&lt;/div&gt;&lt;hr/&gt;&lt;div&gt;&lt;h5&gt;&lt;b&gt;EFFECT&lt;/b&gt;&lt;/h5&gt;&lt;/div&gt;&lt;hr/&gt;&lt;div&gt;&lt;h5&gt;&lt;b&gt;Range &lt;/b&gt;personal&lt;/h5&gt;&lt;h5&gt;&lt;b&gt;Targets &lt;/b&gt;you&lt;/h5&gt;&lt;h5&gt;&lt;b&gt;Duration &lt;/b&gt;1 minute/level&lt;/h5&gt;&lt;/div&gt;&lt;hr/&gt;&lt;div&gt;&lt;h5&gt;&lt;b&gt;DESCRIPTION&lt;/b&gt;&lt;/h5&gt;&lt;/div&gt;&lt;hr/&gt;&lt;div&gt;&lt;h4&gt;&lt;p&gt;You automatically detect and locate conscious creatures within 60 feet, as if you possessed the blindsight ability. &lt;i&gt;Nondetection&lt;/i&gt;, &lt;i&gt;mind blank&lt;/i&gt;, and similar effects can block this effect. &lt;i&gt;Thoughtsense&lt;/i&gt; can distinguish between sentient (Intelligence 3 or greater) and non-sentient (Intelligence 1-2) creatures, but otherwise provides no information about the creatures it detects.&lt;/p&gt;&lt;/h4&gt;&lt;/div&gt;</t>
  </si>
  <si>
    <t>Automatically detect nearby conscious creatures.</t>
  </si>
  <si>
    <t>Tower Of Iron Will I</t>
  </si>
  <si>
    <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t>
  </si>
  <si>
    <t>&lt;p&gt;You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abilities.&lt;/p&gt;</t>
  </si>
  <si>
    <t>&lt;link rel="stylesheet"href="PF.css"&gt;&lt;div class="heading"&gt;&lt;p class="alignleft"&gt;Tower Of Iron Will I&lt;/p&gt;&lt;div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&lt;/b&gt;1 round&lt;/h5&gt;&lt;h5&gt;&lt;b&gt;Saving Throw &lt;/b&gt;none; &lt;b&gt;Spell Resistance &lt;/b&gt;yes (harmless)&lt;/h5&gt;&lt;/div&gt;&lt;hr/&gt;&lt;div&gt;&lt;h5&gt;&lt;b&gt;DESCRIPTION&lt;/b&gt;&lt;/h5&gt;&lt;/div&gt;&lt;hr/&gt;&lt;div&gt;&lt;h4&gt;&lt;p&gt;You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abilities.&lt;/p&gt;&lt;/h4&gt;&lt;/div&gt;</t>
  </si>
  <si>
    <t>As an immediate action, gives creatures in a 10-ft. radius spell resistance against psychic magic and mind-affecting effects.</t>
  </si>
  <si>
    <t>Tower Of Iron Will II</t>
  </si>
  <si>
    <t>This functions as tower of iron will I, except as noted above. This spell can be undercast.</t>
  </si>
  <si>
    <t>&lt;p&gt;This functions as &lt;i&gt;tower of iron will I&lt;/i&gt;, except as noted above. This spell can be undercast.&lt;/p&gt;</t>
  </si>
  <si>
    <t>&lt;link rel="stylesheet"href="PF.css"&gt;&lt;div class="heading"&gt;&lt;p class="alignleft"&gt;Tower Of Iron Will II&lt;/p&gt;&lt;div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&lt;/b&gt;2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</si>
  <si>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2 rounds.</t>
  </si>
  <si>
    <t>Tower Of Iron Will III</t>
  </si>
  <si>
    <t>&lt;link rel="stylesheet"href="PF.css"&gt;&lt;div class="heading"&gt;&lt;p class="alignleft"&gt;Tower Of Iron Will III&lt;/p&gt;&lt;div style="clear: both;"&gt;&lt;/div&gt;&lt;/div&gt;&lt;div&gt;&lt;h5&gt;&lt;b&gt;School &lt;/b&gt;abjuration; &lt;b&gt;Level &lt;/b&gt;psychic 7&lt;/h5&gt;&lt;/div&gt;&lt;hr/&gt;&lt;div&gt;&lt;h5&gt;&lt;b&gt;CASTING&lt;/b&gt;&lt;/h5&gt;&lt;/div&gt;&lt;hr/&gt;&lt;div&gt;&lt;h5&gt;&lt;b&gt;Casting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&lt;/b&gt;3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</si>
  <si>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3 rounds.</t>
  </si>
  <si>
    <t>Psychic (15)</t>
  </si>
  <si>
    <t>Tower Of Iron Will IV</t>
  </si>
  <si>
    <t>4 rounds</t>
  </si>
  <si>
    <t>&lt;link rel="stylesheet"href="PF.css"&gt;&lt;div class="heading"&gt;&lt;p class="alignleft"&gt;Tower Of Iron Will IV&lt;/p&gt;&lt;div style="clear: both;"&gt;&lt;/div&gt;&lt;/div&gt;&lt;div&gt;&lt;h5&gt;&lt;b&gt;School &lt;/b&gt;abjuration; &lt;b&gt;Level &lt;/b&gt;psychic 8&lt;/h5&gt;&lt;/div&gt;&lt;hr/&gt;&lt;div&gt;&lt;h5&gt;&lt;b&gt;CASTING&lt;/b&gt;&lt;/h5&gt;&lt;/div&gt;&lt;hr/&gt;&lt;div&gt;&lt;h5&gt;&lt;b&gt;Casting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&lt;/b&gt;4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</si>
  <si>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4 rounds.</t>
  </si>
  <si>
    <t>Tower Of Iron Will V</t>
  </si>
  <si>
    <t>&lt;link rel="stylesheet"href="PF.css"&gt;&lt;div class="heading"&gt;&lt;p class="alignleft"&gt;Tower Of Iron Will V&lt;/p&gt;&lt;div style="clear: both;"&gt;&lt;/div&gt;&lt;/div&gt;&lt;div&gt;&lt;h5&gt;&lt;b&gt;School &lt;/b&gt;abjuration; &lt;b&gt;Level &lt;/b&gt;psychic 9&lt;/h5&gt;&lt;/div&gt;&lt;hr/&gt;&lt;div&gt;&lt;h5&gt;&lt;b&gt;CASTING&lt;/b&gt;&lt;/h5&gt;&lt;/div&gt;&lt;hr/&gt;&lt;div&gt;&lt;h5&gt;&lt;b&gt;Casting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&lt;/b&gt;5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</si>
  <si>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5 rounds.</t>
  </si>
  <si>
    <t>Unshakable Zeal</t>
  </si>
  <si>
    <t>bard 5, inquisitor 6, psychic 7, spiritualist 6</t>
  </si>
  <si>
    <t>S, F (a silver circlet)</t>
  </si>
  <si>
    <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unshakable zeal without spending an action to negate the effect on itself.</t>
  </si>
  <si>
    <t>&lt;p&gt;You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&lt;i&gt;unshakable zeal&lt;/i&gt; without spending an action to negate the effect on itself.&lt;/p&gt;</t>
  </si>
  <si>
    <t>&lt;link rel="stylesheet"href="PF.css"&gt;&lt;div class="heading"&gt;&lt;p class="alignleft"&gt;Unshakable Zeal&lt;/p&gt;&lt;div style="clear: both;"&gt;&lt;/div&gt;&lt;/div&gt;&lt;div&gt;&lt;h5&gt;&lt;b&gt;School &lt;/b&gt;enchantment (compulsion) [emotion, mind-affecting]; &lt;b&gt;Level &lt;/b&gt;bard 5, inquisitor 6, psychic 7, spiritualist 6&lt;/h5&gt;&lt;/div&gt;&lt;hr/&gt;&lt;div&gt;&lt;h5&gt;&lt;b&gt;CASTING&lt;/b&gt;&lt;/h5&gt;&lt;/div&gt;&lt;hr/&gt;&lt;div&gt;&lt;h5&gt;&lt;b&gt;Casting Time &lt;/b&gt;1 standard action&lt;/h5&gt;&lt;h5&gt;&lt;b&gt;Components &lt;/b&gt;S, F (a silver circlet)&lt;/h5&gt;&lt;/div&gt;&lt;hr/&gt;&lt;div&gt;&lt;h5&gt;&lt;b&gt;EFFECT&lt;/b&gt;&lt;/h5&gt;&lt;/div&gt;&lt;hr/&gt;&lt;div&gt;&lt;h5&gt;&lt;b&gt;Range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&lt;i&gt;unshakable zeal&lt;/i&gt; without spending an action to negate the effect on itself.&lt;/p&gt;&lt;/h4&gt;&lt;/div&gt;</t>
  </si>
  <si>
    <t>Grant benefits on future attempts after failed checks, and protect against fear and emotion effects.</t>
  </si>
  <si>
    <t>Wall Of Ectoplasm</t>
  </si>
  <si>
    <t>cleric/oracle 5, psychic 5, sorcerer/wizard 5, spiritualist 5</t>
  </si>
  <si>
    <t>V, S, M (small bit of gauze)</t>
  </si>
  <si>
    <t>opaque sheet of ectoplasm up to 10 ft. square/level or a sphere or hemisphere with a radius of up to 1 ft./level</t>
  </si>
  <si>
    <t>none, and Will negates; see text</t>
  </si>
  <si>
    <t>You draw forth a massive veil of ectoplasm that roils with restless spirits. Immovable once formed, the wall of ectoplasm is 1 inch thick per caster level and covers up to a 10-foot-square area per caster level (so a 10th-level wizard can create a wall of ectoplasm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t>
  </si>
  <si>
    <t>&lt;p&gt;You draw forth a massive veil of ectoplasm that roils with restless spirits. Immovable once formed, the &lt;i&gt;wall of ectoplasm&lt;/i&gt; is 1 inch thick per caster level and covers up to a 10-foot-square area per caster level (so a 10th-level wizard can create a &lt;i&gt;wall of ectoplasm&lt;/i&gt;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form.&lt;/p&gt;</t>
  </si>
  <si>
    <t>&lt;link rel="stylesheet"href="PF.css"&gt;&lt;div class="heading"&gt;&lt;p class="alignleft"&gt;Wall Of Ectoplasm&lt;/p&gt;&lt;div style="clear: both;"&gt;&lt;/div&gt;&lt;/div&gt;&lt;div&gt;&lt;h5&gt;&lt;b&gt;School &lt;/b&gt;evocation; &lt;b&gt;Level &lt;/b&gt;cleric/oracle 5, psychic 5, sorcerer/wizard 5, spiritualist 5&lt;/h5&gt;&lt;/div&gt;&lt;hr/&gt;&lt;div&gt;&lt;h5&gt;&lt;b&gt;CASTING&lt;/b&gt;&lt;/h5&gt;&lt;/div&gt;&lt;hr/&gt;&lt;div&gt;&lt;h5&gt;&lt;b&gt;Casting Time &lt;/b&gt;1 standard action&lt;/h5&gt;&lt;h5&gt;&lt;b&gt;Components &lt;/b&gt;V, S, M (small bit of gauze)&lt;/h5&gt;&lt;/div&gt;&lt;hr/&gt;&lt;div&gt;&lt;h5&gt;&lt;b&gt;EFFECT&lt;/b&gt;&lt;/h5&gt;&lt;/div&gt;&lt;hr/&gt;&lt;div&gt;&lt;h5&gt;&lt;b&gt;Range &lt;/b&gt;close (25 ft. + 5 ft./2 levels)&lt;/h5&gt;&lt;h5&gt;&lt;b&gt;Effect &lt;/b&gt;opaque sheet of ectoplasm up to 10 ft. square/level or a sphere or hemisphere with a radius of up to 1 ft./level&lt;/h5&gt;&lt;h5&gt;&lt;b&gt;Duration &lt;/b&gt;1 minute/level&lt;/h5&gt;&lt;h5&gt;&lt;b&gt;Saving Throw &lt;/b&gt;none, and Will negates; see text; &lt;b&gt;Spell Resistance &lt;/b&gt;yes&lt;/h5&gt;&lt;/div&gt;&lt;hr/&gt;&lt;div&gt;&lt;h5&gt;&lt;b&gt;DESCRIPTION&lt;/b&gt;&lt;/h5&gt;&lt;/div&gt;&lt;hr/&gt;&lt;div&gt;&lt;h4&gt;&lt;p&gt;You draw forth a massive veil of ectoplasm that roils with restless spirits. Immovable once formed, the &lt;i&gt;wall of ectoplasm&lt;/i&gt; is 1 inch thick per caster level and covers up to a 10-foot-square area per caster level (so a 10th-level wizard can create a &lt;i&gt;wall of ectoplasm&lt;/i&gt;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form.&lt;/p&gt;&lt;/h4&gt;&lt;/div&gt;</t>
  </si>
  <si>
    <t>Wall of spirits blocks movement on Material Plane and Ethereal Plane and causes fear.</t>
  </si>
  <si>
    <t>Ectoplasm (11)</t>
  </si>
  <si>
    <t>Withdraw Affliction</t>
  </si>
  <si>
    <t>psychic 6, shaman 6, spiritualist 5, witch 7</t>
  </si>
  <si>
    <t>one afflicted creature</t>
  </si>
  <si>
    <t>You push your hand into the subject, then withdraw an affliction from the body of the sufferer as a tangible object. This extraction appears as a slimy mass of flesh. The target creature is cured as if affected by remove disease, remove curse, or neutralize poison.  In addition, this slimy mass allows you to deliver the affliction to another as a touch attack, as if holding the charge for a touch spell. It has the same effect as the original affliction, with the same saving throw and DC.</t>
  </si>
  <si>
    <t>&lt;p&gt;You push your hand into the subject, then withdraw an affliction from the body of the sufferer as a tangible object. This extraction appears as a slimy mass of flesh. The target creature is cured as if affected by &lt;i&gt;remove disease&lt;/i&gt;, &lt;i&gt;remove curse&lt;/i&gt;, or &lt;i&gt;neutralize poison&lt;/i&gt;.  In addition, this slimy mass allows you to deliver the affliction to another as a touch attack, as if holding the charge for a touch spell. It has the same effect as the original affliction, with the same saving throw and DC.&lt;/p&gt;</t>
  </si>
  <si>
    <t>&lt;link rel="stylesheet"href="PF.css"&gt;&lt;div class="heading"&gt;&lt;p class="alignleft"&gt;Withdraw Affliction&lt;/p&gt;&lt;div style="clear: both;"&gt;&lt;/div&gt;&lt;/div&gt;&lt;div&gt;&lt;h5&gt;&lt;b&gt;School &lt;/b&gt;necromancy; &lt;b&gt;Level &lt;/b&gt;psychic 6, shaman 6, spiritualist 5,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afflicted creature&lt;/h5&gt;&lt;h5&gt;&lt;b&gt;Duration &lt;/b&gt;instantaneous&lt;/h5&gt;&lt;h5&gt;&lt;b&gt;Saving Throw &lt;/b&gt;none; &lt;b&gt;Spell Resistance &lt;/b&gt;yes&lt;/h5&gt;&lt;/div&gt;&lt;hr/&gt;&lt;div&gt;&lt;h5&gt;&lt;b&gt;DESCRIPTION&lt;/b&gt;&lt;/h5&gt;&lt;/div&gt;&lt;hr/&gt;&lt;div&gt;&lt;h4&gt;&lt;p&gt;You push your hand into the subject, then withdraw an affliction from the body of the sufferer as a tangible object. This extraction appears as a slimy mass of flesh. The target creature is cured as if affected by &lt;i&gt;remove disease&lt;/i&gt;, &lt;i&gt;remove curse&lt;/i&gt;, or &lt;i&gt;neutralize poison&lt;/i&gt;.  In addition, this slimy mass allows you to deliver the affliction to another as a touch attack, as if holding the charge for a touch spell. It has the same effect as the original affliction, with the same saving throw and DC.&lt;/p&gt;&lt;/h4&gt;&lt;/div&gt;</t>
  </si>
  <si>
    <t>Remove an affliction and inflict it on another creature.</t>
  </si>
  <si>
    <t>Air Of Authority</t>
  </si>
  <si>
    <t>bard 3, medium 3, mesmerist 3, psychic 5</t>
  </si>
  <si>
    <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t>
  </si>
  <si>
    <t>&lt;p&gt;You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king).&lt;/p&gt;</t>
  </si>
  <si>
    <t>Inner Sea Races</t>
  </si>
  <si>
    <t>&lt;link rel="stylesheet"href="PF.css"&gt;&lt;div class="heading"&gt;&lt;p class="alignleft"&gt;Air Of Authority&lt;/p&gt;&lt;div style="clear: both;"&gt;&lt;/div&gt;&lt;/div&gt;&lt;div&gt;&lt;h5&gt;&lt;b&gt;School &lt;/b&gt;illusion (glamer); &lt;b&gt;Level &lt;/b&gt;bard 3, medium 3, mesmerist 3, psychic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king).&lt;/p&gt;&lt;/h4&gt;&lt;/div&gt;</t>
  </si>
  <si>
    <t>Bleaching Resistance</t>
  </si>
  <si>
    <t>alchemist 4, druid 6, sorcerer/wizard 6, spiritualist 4, witch 6</t>
  </si>
  <si>
    <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t>
  </si>
  <si>
    <t>&lt;p&gt;Ability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Bleaching.&lt;/p&gt;</t>
  </si>
  <si>
    <t>&lt;link rel="stylesheet"href="PF.css"&gt;&lt;div class="heading"&gt;&lt;p class="alignleft"&gt;Bleaching Resistance&lt;/p&gt;&lt;div style="clear: both;"&gt;&lt;/div&gt;&lt;/div&gt;&lt;div&gt;&lt;h5&gt;&lt;b&gt;School &lt;/b&gt;enchantment (compulsion) [mind-affecting]; &lt;b&gt;Level &lt;/b&gt;alchemist 4, druid 6, sorcerer/wizard 6, spiritualist 4, witch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Bleaching.&lt;/p&gt;&lt;/h4&gt;&lt;/div&gt;</t>
  </si>
  <si>
    <t>Burn Corruption</t>
  </si>
  <si>
    <t>fire, good</t>
  </si>
  <si>
    <t>bloodrager 4, magus 5, sorcerer/wizard 5</t>
  </si>
  <si>
    <t>10-ft. cube/level (S)</t>
  </si>
  <si>
    <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t>
  </si>
  <si>
    <t>&lt;p&gt;This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immunity.&lt;/p&gt;</t>
  </si>
  <si>
    <t>&lt;link rel="stylesheet"href="PF.css"&gt;&lt;div class="heading"&gt;&lt;p class="alignleft"&gt;Burn Corruption&lt;/p&gt;&lt;div style="clear: both;"&gt;&lt;/div&gt;&lt;/div&gt;&lt;div&gt;&lt;h5&gt;&lt;b&gt;School &lt;/b&gt;evocation [fire, good]; &lt;b&gt;Level &lt;/b&gt;bloodrager 4, magus 5, sorcerer/wizard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&lt;/b&gt;10-ft. cube/level (S)&lt;/h5&gt;&lt;h5&gt;&lt;b&gt;Duration &lt;/b&gt;instantaneous&lt;/h5&gt;&lt;h5&gt;&lt;b&gt;Saving Throw &lt;/b&gt;Reflex half; &lt;b&gt;Spell Resistance &lt;/b&gt;yes&lt;/h5&gt;&lt;/div&gt;&lt;hr/&gt;&lt;div&gt;&lt;h5&gt;&lt;b&gt;DESCRIPTION&lt;/b&gt;&lt;/h5&gt;&lt;/div&gt;&lt;hr/&gt;&lt;div&gt;&lt;h4&gt;&lt;p&gt;This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immunity.&lt;/p&gt;&lt;/h4&gt;&lt;/div&gt;</t>
  </si>
  <si>
    <t>Champion's Bout</t>
  </si>
  <si>
    <t>bard 3, cleric/oracle 3, mesmerist 3</t>
  </si>
  <si>
    <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t>
  </si>
  <si>
    <t>&lt;p&gt;You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immediately.&lt;/p&gt;</t>
  </si>
  <si>
    <t>&lt;link rel="stylesheet"href="PF.css"&gt;&lt;div class="heading"&gt;&lt;p class="alignleft"&gt;Champion's Bout&lt;/p&gt;&lt;div style="clear: both;"&gt;&lt;/div&gt;&lt;/div&gt;&lt;div&gt;&lt;h5&gt;&lt;b&gt;School &lt;/b&gt;enchantment (compulsion) [mind-affecting]; &lt;b&gt;Level &lt;/b&gt;bard 3, cleric/oracle 3, mesmerist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&lt;/b&gt;two creatures&lt;/h5&gt;&lt;h5&gt;&lt;b&gt;Duration &lt;/b&gt;1 round/level&lt;/h5&gt;&lt;h5&gt;&lt;b&gt;Saving Throw &lt;/b&gt;Will negates (see text); &lt;b&gt;Spell Resistance &lt;/b&gt;yes (see text)&lt;/h5&gt;&lt;/div&gt;&lt;hr/&gt;&lt;div&gt;&lt;h5&gt;&lt;b&gt;DESCRIPTION&lt;/b&gt;&lt;/h5&gt;&lt;/div&gt;&lt;hr/&gt;&lt;div&gt;&lt;h4&gt;&lt;p&gt;You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immediately.&lt;/p&gt;&lt;/h4&gt;&lt;/div&gt;</t>
  </si>
  <si>
    <t>Damnation Of Memory</t>
  </si>
  <si>
    <t>bard 6, mesmerist 6, psychic 9</t>
  </si>
  <si>
    <t>V, S, F (a massive, flawless gemstone worth 5,000 gp)</t>
  </si>
  <si>
    <t>all living creatures within range</t>
  </si>
  <si>
    <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t>
  </si>
  <si>
    <t>&lt;p&gt;You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creatures.&lt;/p&gt;</t>
  </si>
  <si>
    <t>&lt;link rel="stylesheet"href="PF.css"&gt;&lt;div class="heading"&gt;&lt;p class="alignleft"&gt;Damnation Of Memory&lt;/p&gt;&lt;div style="clear: both;"&gt;&lt;/div&gt;&lt;/div&gt;&lt;div&gt;&lt;h5&gt;&lt;b&gt;School &lt;/b&gt;enchantment (compulsion) [mind-affecting]; &lt;b&gt;Level &lt;/b&gt;bard 6, mesmerist 6, psychic 9&lt;/h5&gt;&lt;/div&gt;&lt;hr/&gt;&lt;div&gt;&lt;h5&gt;&lt;b&gt;CASTING&lt;/b&gt;&lt;/h5&gt;&lt;/div&gt;&lt;hr/&gt;&lt;div&gt;&lt;h5&gt;&lt;b&gt;Casting Time &lt;/b&gt;1 hour&lt;/h5&gt;&lt;h5&gt;&lt;b&gt;Components &lt;/b&gt;V, S, F (a massive, flawless gemstone worth 5,000 gp)&lt;/h5&gt;&lt;/div&gt;&lt;hr/&gt;&lt;div&gt;&lt;h5&gt;&lt;b&gt;EFFECT&lt;/b&gt;&lt;/h5&gt;&lt;/div&gt;&lt;hr/&gt;&lt;div&gt;&lt;h5&gt;&lt;b&gt;Range &lt;/b&gt;long (400 ft. + 40 ft./level)&lt;/h5&gt;&lt;h5&gt;&lt;b&gt;Targets &lt;/b&gt;all living creatures within range&lt;/h5&gt;&lt;h5&gt;&lt;b&gt;Duration &lt;/b&gt;permanent&lt;/h5&gt;&lt;h5&gt;&lt;b&gt;Saving Throw &lt;/b&gt;Will negates; &lt;b&gt;Spell Resistance &lt;/b&gt;yes&lt;/h5&gt;&lt;/div&gt;&lt;hr/&gt;&lt;div&gt;&lt;h5&gt;&lt;b&gt;DESCRIPTION&lt;/b&gt;&lt;/h5&gt;&lt;/div&gt;&lt;hr/&gt;&lt;div&gt;&lt;h4&gt;&lt;p&gt;You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creatures.&lt;/p&gt;&lt;/h4&gt;&lt;/div&gt;</t>
  </si>
  <si>
    <t>Elemental Mastery</t>
  </si>
  <si>
    <t>bloodrager 4, druid 4, magus 4, ranger 4, sorcerer/wizard 4</t>
  </si>
  <si>
    <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Element (Race) Movement Benefit  Air Fly 30 ft. +1 circumstance bonus (suli, sylph) (average) on attack rolls when both you and your foe are airborne.  Earth Burrow 15 ft. +1 circumstance bonus (oread, suli) on attack rolls when both you and your foe are touching the ground.  Fire +20 ft. +1 circumstance bonus (ifrit, suli) all speeds on attack rolls when your foe is on fire.  Water +30 ft. +1 circumstance bonus (suli, undine) swim on attack rolls when both you and your foe are touching water.</t>
  </si>
  <si>
    <t>&lt;p&gt;You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&lt;table border ='1'&gt;&lt;tr&gt;&lt;th&gt;Element (Race)&lt;/th&gt;&lt;th&gt;Movement&lt;/th&gt;&lt;th&gt;Benefit&lt;/th&gt;&lt;/tr&gt;&lt;tr&gt;&lt;td&gt;Air Fly (suli, sylph)&lt;/td&gt;&lt;td&gt;30 ft.&lt;/td&gt;&lt;td&gt;+1 circumstance bonus (average) on attack rolls when both you and your foe are airborne.&lt;/td&gt;&lt;/tr&gt;&lt;tr&gt;&lt;td&gt;Earth Burrow (oread, suli)&lt;/td&gt;&lt;td&gt;15 ft.&lt;/td&gt;&lt;td&gt;+1 circumstance bonus on attack rolls when both you and your foe are touching the ground.&lt;/td&gt;&lt;/tr&gt;&lt;tr&gt;&lt;td&gt;Fire (ifrit, suli)&lt;/td&gt;&lt;td&gt;+20 ft.&lt;/td&gt;&lt;td&gt;+1 circumstance bonus all speeds on attack rolls when your foe is on fire.&lt;/td&gt;&lt;/tr&gt;&lt;tr&gt;&lt;td&gt;Water (suli, undine)&lt;/td&gt;&lt;td&gt;+30 ft.&lt;/td&gt;&lt;td&gt;+1 circumstance bonus swim on attack rolls when both you and your foe are touching water.&lt;/td&gt;&lt;/tr&gt;&lt;/table&gt;   &lt;/p&gt;</t>
  </si>
  <si>
    <t>&lt;link rel="stylesheet"href="PF.css"&gt;&lt;div class="heading"&gt;&lt;p class="alignleft"&gt;Elemental Mastery&lt;/p&gt;&lt;div style="clear: both;"&gt;&lt;/div&gt;&lt;/div&gt;&lt;div&gt;&lt;h5&gt;&lt;b&gt;School &lt;/b&gt;transmutation [see text]; &lt;b&gt;Level &lt;/b&gt;bloodrager 4, druid 4, magus 4, ranger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&lt;table border ='1'&gt;&lt;tr&gt;&lt;th&gt;Element (Race)&lt;/th&gt;&lt;th&gt;Movement&lt;/th&gt;&lt;th&gt;Benefit&lt;/th&gt;&lt;/tr&gt;&lt;tr&gt;&lt;td&gt;Air Fly (suli, sylph)&lt;/td&gt;&lt;td&gt;30 ft.&lt;/td&gt;&lt;td&gt;+1 circumstance bonus (average) on attack rolls when both you and your foe are airborne.&lt;/td&gt;&lt;/tr&gt;&lt;tr&gt;&lt;td&gt;Earth Burrow (oread, suli)&lt;/td&gt;&lt;td&gt;15 ft.&lt;/td&gt;&lt;td&gt;+1 circumstance bonus on attack rolls when both you and your foe are touching the ground.&lt;/td&gt;&lt;/tr&gt;&lt;tr&gt;&lt;td&gt;Fire (ifrit, suli)&lt;/td&gt;&lt;td&gt;+20 ft.&lt;/td&gt;&lt;td&gt;+1 circumstance bonus all speeds on attack rolls when your foe is on fire.&lt;/td&gt;&lt;/tr&gt;&lt;tr&gt;&lt;td&gt;Water (suli, undine)&lt;/td&gt;&lt;td&gt;+30 ft.&lt;/td&gt;&lt;td&gt;+1 circumstance bonus swim on attack rolls when both you and your foe are touching water.&lt;/td&gt;&lt;/tr&gt;&lt;/table&gt;   &lt;/p&gt;&lt;/h4&gt;&lt;/div&gt;</t>
  </si>
  <si>
    <t>Fable Tapestry</t>
  </si>
  <si>
    <t>bard 5, medium 4</t>
  </si>
  <si>
    <t>V, S, F (your kapenia)</t>
  </si>
  <si>
    <t>1 legendary character/4 caster levels</t>
  </si>
  <si>
    <t>The spell weaves shadows and colors from your kapenia into the shape of legendary characters from Varisian folktales.  This spell functions as shadow conjuration emulating summon monster I, except as noted here. You can summon only one copy of the same character at the same time, even with multiple castings of this spell. The shadow creatures are 40% real and are drawn from the list below.  Character Source  Anelda the beautiful (freelance thief) NPC Codex 147  Old Mother Toad (fey giant toad) Bestiary 3 116  Sonnorae the storyteller (con artist) NPC Codex 29  Vyushbaro the savior (carousing champion) NPC Codex 47  Winter's Son (evasive slip) NPC Codex 65  Zykomso the slaver (bearded devil) Bestiary 73</t>
  </si>
  <si>
    <t>&lt;p&gt;The spell weaves shadows and colors from your kapenia into the shape of legendary characters from Varisian folktales.  This spell functions as &lt;i&gt;shadow conjuration&lt;/i&gt; emulating &lt;i&gt;summon monster I&lt;/i&gt;, except as noted here. You can summon only one copy of the same character at the same time, even with multiple castings of this spell. The shadow creatures are 40% real and are drawn from the list below.    &lt;table border ='1'&gt;&lt;tr&gt;&lt;th&gt;Character&lt;/th&gt;&lt;th&gt;Source&lt;/th&gt;&lt;/tr&gt;&lt;tr&gt;&lt;td&gt;Anelda the beautiful (freelance thief)&lt;/td&gt;&lt;td&gt;NPC Codex 147&lt;/td&gt;&lt;/tr&gt;&lt;tr&gt;&lt;td&gt;Old Mother Toad (fey giant toad)&lt;/td&gt;&lt;td&gt;Bestiary 3 116&lt;/td&gt;&lt;/tr&gt;&lt;tr&gt;&lt;td&gt;Sonnorae the storyteller (con artist)&lt;/td&gt;&lt;td&gt;NPC Codex 29&lt;/td&gt;&lt;/tr&gt;&lt;tr&gt;&lt;td&gt;Vyushbaro the savior (carousing champion)&lt;/td&gt;&lt;td&gt;NPC Codex 47&lt;/td&gt;&lt;/tr&gt;&lt;tr&gt;&lt;td&gt;Winter's Son (evasive slip)&lt;/td&gt;&lt;td&gt;NPC Codex 65&lt;/td&gt;&lt;/tr&gt;&lt;tr&gt;&lt;td&gt;Zykomso the slaver (bearded devil)&lt;/td&gt;&lt;td&gt;Bestiary 73&lt;/td&gt;&lt;/tr&gt;&lt;/table&gt;   &lt;/p&gt;</t>
  </si>
  <si>
    <t>&lt;link rel="stylesheet"href="PF.css"&gt;&lt;div class="heading"&gt;&lt;p class="alignleft"&gt;Fable Tapestry&lt;/p&gt;&lt;div style="clear: both;"&gt;&lt;/div&gt;&lt;/div&gt;&lt;div&gt;&lt;h5&gt;&lt;b&gt;School &lt;/b&gt;illusion (shadow) [shadow]; &lt;b&gt;Level &lt;/b&gt;bard 5, medium 4&lt;/h5&gt;&lt;/div&gt;&lt;hr/&gt;&lt;div&gt;&lt;h5&gt;&lt;b&gt;CASTING&lt;/b&gt;&lt;/h5&gt;&lt;/div&gt;&lt;hr/&gt;&lt;div&gt;&lt;h5&gt;&lt;b&gt;Casting Time &lt;/b&gt;1 round&lt;/h5&gt;&lt;h5&gt;&lt;b&gt;Components &lt;/b&gt;V, S, F (your kapenia)&lt;/h5&gt;&lt;/div&gt;&lt;hr/&gt;&lt;div&gt;&lt;h5&gt;&lt;b&gt;EFFECT&lt;/b&gt;&lt;/h5&gt;&lt;/div&gt;&lt;hr/&gt;&lt;div&gt;&lt;h5&gt;&lt;b&gt;Range &lt;/b&gt;close (25 ft. + 5 ft./2 levels)&lt;/h5&gt;&lt;h5&gt;&lt;b&gt;Effect &lt;/b&gt;1 legendary character/4 caster levels&lt;/h5&gt;&lt;h5&gt;&lt;b&gt;Duration &lt;/b&gt;1 round/level&lt;/h5&gt;&lt;h5&gt;&lt;b&gt;Saving Throw &lt;/b&gt;Will disbelief; &lt;b&gt;Spell Resistance &lt;/b&gt;yes&lt;/h5&gt;&lt;/div&gt;&lt;hr/&gt;&lt;div&gt;&lt;h5&gt;&lt;b&gt;DESCRIPTION&lt;/b&gt;&lt;/h5&gt;&lt;/div&gt;&lt;hr/&gt;&lt;div&gt;&lt;h4&gt;&lt;p&gt;The spell weaves shadows and colors from your kapenia into the shape of legendary characters from Varisian folktales.  This spell functions as &lt;i&gt;shadow conjuration&lt;/i&gt; emulating &lt;i&gt;summon monster I&lt;/i&gt;, except as noted here. You can summon only one copy of the same character at the same time, even with multiple castings of this spell. The shadow creatures are 40% real and are drawn from the list below.    &lt;table border ='1'&gt;&lt;tr&gt;&lt;th&gt;Character&lt;/th&gt;&lt;th&gt;Source&lt;/th&gt;&lt;/tr&gt;&lt;tr&gt;&lt;td&gt;Anelda the beautiful (freelance thief)&lt;/td&gt;&lt;td&gt;NPC Codex 147&lt;/td&gt;&lt;/tr&gt;&lt;tr&gt;&lt;td&gt;Old Mother Toad (fey giant toad)&lt;/td&gt;&lt;td&gt;Bestiary 3 116&lt;/td&gt;&lt;/tr&gt;&lt;tr&gt;&lt;td&gt;Sonnorae the storyteller (con artist)&lt;/td&gt;&lt;td&gt;NPC Codex 29&lt;/td&gt;&lt;/tr&gt;&lt;tr&gt;&lt;td&gt;Vyushbaro the savior (carousing champion)&lt;/td&gt;&lt;td&gt;NPC Codex 47&lt;/td&gt;&lt;/tr&gt;&lt;tr&gt;&lt;td&gt;Winter's Son (evasive slip)&lt;/td&gt;&lt;td&gt;NPC Codex 65&lt;/td&gt;&lt;/tr&gt;&lt;tr&gt;&lt;td&gt;Zykomso the slaver (bearded devil)&lt;/td&gt;&lt;td&gt;Bestiary 73&lt;/td&gt;&lt;/tr&gt;&lt;/table&gt;   &lt;/p&gt;&lt;/h4&gt;&lt;/div&gt;</t>
  </si>
  <si>
    <t>Fire's Friend</t>
  </si>
  <si>
    <t>alchemist 2, bloodrager 2, magus 2</t>
  </si>
  <si>
    <t>V, S, M (a flame of any size)</t>
  </si>
  <si>
    <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t>
  </si>
  <si>
    <t>&lt;p&gt;You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fire.&lt;/p&gt;</t>
  </si>
  <si>
    <t>&lt;link rel="stylesheet"href="PF.css"&gt;&lt;div class="heading"&gt;&lt;p class="alignleft"&gt;Fire's Friend&lt;/p&gt;&lt;div style="clear: both;"&gt;&lt;/div&gt;&lt;/div&gt;&lt;div&gt;&lt;h5&gt;&lt;b&gt;School &lt;/b&gt;evocation [fire]; &lt;b&gt;Level &lt;/b&gt;alchemist 2, bloodrager 2, magus 2&lt;/h5&gt;&lt;/div&gt;&lt;hr/&gt;&lt;div&gt;&lt;h5&gt;&lt;b&gt;CASTING&lt;/b&gt;&lt;/h5&gt;&lt;/div&gt;&lt;hr/&gt;&lt;div&gt;&lt;h5&gt;&lt;b&gt;Casting Time &lt;/b&gt;1 standard action&lt;/h5&gt;&lt;h5&gt;&lt;b&gt;Components &lt;/b&gt;V, S, M (a flame of any size)&lt;/h5&gt;&lt;/div&gt;&lt;hr/&gt;&lt;div&gt;&lt;h5&gt;&lt;b&gt;EFFECT&lt;/b&gt;&lt;/h5&gt;&lt;/div&gt;&lt;hr/&gt;&lt;div&gt;&lt;h5&gt;&lt;b&gt;Range &lt;/b&gt;personal&lt;/h5&gt;&lt;h5&gt;&lt;b&gt;Targets &lt;/b&gt;you&lt;/h5&gt;&lt;h5&gt;&lt;b&gt;Duration &lt;/b&gt;1 round/level&lt;/h5&gt;&lt;/div&gt;&lt;hr/&gt;&lt;div&gt;&lt;h5&gt;&lt;b&gt;DESCRIPTION&lt;/b&gt;&lt;/h5&gt;&lt;/div&gt;&lt;hr/&gt;&lt;div&gt;&lt;h4&gt;&lt;p&gt;You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fire.&lt;/p&gt;&lt;/h4&gt;&lt;/div&gt;</t>
  </si>
  <si>
    <t>Fleshwarping Swarm</t>
  </si>
  <si>
    <t>sorcerer/wizard 3, summoner 3, witch 3</t>
  </si>
  <si>
    <t>concentration + 2 rounds and 1 hour/level (see text)</t>
  </si>
  <si>
    <t>This spell functions as summon swarm,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t>
  </si>
  <si>
    <t>&lt;p&gt;This spell functions as &lt;i&gt;summon swarm&lt;/i&gt;,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level.&lt;/p&gt;</t>
  </si>
  <si>
    <t>&lt;link rel="stylesheet"href="PF.css"&gt;&lt;div class="heading"&gt;&lt;p class="alignleft"&gt;Fleshwarping Swarm&lt;/p&gt;&lt;div style="clear: both;"&gt;&lt;/div&gt;&lt;/div&gt;&lt;div&gt;&lt;h5&gt;&lt;b&gt;School &lt;/b&gt;conjuration (summoning); &lt;b&gt;Level &lt;/b&gt;sorcerer/wizard 3, summoner 3, witch 3&lt;/h5&gt;&lt;/div&gt;&lt;hr/&gt;&lt;div&gt;&lt;h5&gt;&lt;b&gt;CASTING&lt;/b&gt;&lt;/h5&gt;&lt;/div&gt;&lt;hr/&gt;&lt;div&gt;&lt;h5&gt;&lt;b&gt;Casting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bats, rats, or spiders&lt;/h5&gt;&lt;h5&gt;&lt;b&gt;Duration &lt;/b&gt;concentration + 2 rounds and 1 hour/level (see text)&lt;/h5&gt;&lt;h5&gt;&lt;b&gt;Saving Throw &lt;/b&gt;none; &lt;b&gt;Spell Resistance &lt;/b&gt;no&lt;/h5&gt;&lt;/div&gt;&lt;hr/&gt;&lt;div&gt;&lt;h5&gt;&lt;b&gt;DESCRIPTION&lt;/b&gt;&lt;/h5&gt;&lt;/div&gt;&lt;hr/&gt;&lt;div&gt;&lt;h4&gt;&lt;p&gt;This spell functions as &lt;i&gt;summon swarm&lt;/i&gt;,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level.&lt;/p&gt;&lt;/h4&gt;&lt;/div&gt;</t>
  </si>
  <si>
    <t>Lament Of Summer's Last Breath</t>
  </si>
  <si>
    <t>bard 2, ranger 2</t>
  </si>
  <si>
    <t>30-ft. radius spread centered on a creature, object, or point in space</t>
  </si>
  <si>
    <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t>
  </si>
  <si>
    <t>&lt;p&gt;You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remainder.&lt;/p&gt;</t>
  </si>
  <si>
    <t>&lt;link rel="stylesheet"href="PF.css"&gt;&lt;div class="heading"&gt;&lt;p class="alignleft"&gt;Lament Of Summer's Last Breath&lt;/p&gt;&lt;div style="clear: both;"&gt;&lt;/div&gt;&lt;/div&gt;&lt;div&gt;&lt;h5&gt;&lt;b&gt;School &lt;/b&gt;abjuration [fire, good]; &lt;b&gt;Level &lt;/b&gt;bard 2, ranger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&lt;/b&gt;30-ft. radius spread centered on a creature, object, or point in space&lt;/h5&gt;&lt;h5&gt;&lt;b&gt;Duration &lt;/b&gt;1 round/level&lt;/h5&gt;&lt;h5&gt;&lt;b&gt;Saving Throw &lt;/b&gt;Will negates (see text); &lt;b&gt;Spell Resistance &lt;/b&gt;yes&lt;/h5&gt;&lt;/div&gt;&lt;hr/&gt;&lt;div&gt;&lt;h5&gt;&lt;b&gt;DESCRIPTION&lt;/b&gt;&lt;/h5&gt;&lt;/div&gt;&lt;hr/&gt;&lt;div&gt;&lt;h4&gt;&lt;p&gt;You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remainder.&lt;/p&gt;&lt;/h4&gt;&lt;/div&gt;</t>
  </si>
  <si>
    <t>Lost Passage</t>
  </si>
  <si>
    <t>bard 4, mesmerist 3, psychic 4, sorcerer/wizard 4</t>
  </si>
  <si>
    <t>one 30-ft. cube/level (S)</t>
  </si>
  <si>
    <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Lost passage can be made permanent with permanency at a cost of 10,000 gp.</t>
  </si>
  <si>
    <t>&lt;p&gt;Creatures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&lt;i&gt;Lost passage&lt;/i&gt; can be made permanent with &lt;i&gt;permanency&lt;/i&gt; at a cost of 10,000 gp.&lt;/p&gt;</t>
  </si>
  <si>
    <t>&lt;link rel="stylesheet"href="PF.css"&gt;&lt;div class="heading"&gt;&lt;p class="alignleft"&gt;Lost Passage&lt;/p&gt;&lt;div style="clear: both;"&gt;&lt;/div&gt;&lt;/div&gt;&lt;div&gt;&lt;h5&gt;&lt;b&gt;School &lt;/b&gt;enchantment (compulsion) [mind-affecting]; &lt;b&gt;Level &lt;/b&gt;bard 4, mesmerist 3, psychic 4, sorcerer/wizard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30-ft. cube/level (S)&lt;/h5&gt;&lt;h5&gt;&lt;b&gt;Duration &lt;/b&gt;2 hours/level (D)&lt;/h5&gt;&lt;h5&gt;&lt;b&gt;Saving Throw &lt;/b&gt;Will partial; &lt;b&gt;Spell Resistance &lt;/b&gt;yes&lt;/h5&gt;&lt;/div&gt;&lt;hr/&gt;&lt;div&gt;&lt;h5&gt;&lt;b&gt;DESCRIPTION&lt;/b&gt;&lt;/h5&gt;&lt;/div&gt;&lt;hr/&gt;&lt;div&gt;&lt;h4&gt;&lt;p&gt;Creatures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&lt;i&gt;Lost passage&lt;/i&gt; can be made permanent with &lt;i&gt;permanency&lt;/i&gt; at a cost of 10,000 gp.&lt;/p&gt;&lt;/h4&gt;&lt;/div&gt;</t>
  </si>
  <si>
    <t>Lost Locale</t>
  </si>
  <si>
    <t>psychic 9, sorcerer/wizard 9</t>
  </si>
  <si>
    <t>one 1-mile cube/level</t>
  </si>
  <si>
    <t>This spell functions as lost passage (see below), except that it affects a larger area. Lost locale can be made permanent with permanency at a cost of 90,000 gp.</t>
  </si>
  <si>
    <t>&lt;p&gt;This spell functions as &lt;i&gt;lost passage&lt;/i&gt; (see below), except that it affects a larger area. &lt;i&gt;Lost locale&lt;/i&gt; can be made permanent with &lt;i&gt;permanency&lt;/i&gt; at a cost of 90,000 gp.&lt;/p&gt;</t>
  </si>
  <si>
    <t>&lt;link rel="stylesheet"href="PF.css"&gt;&lt;div class="heading"&gt;&lt;p class="alignleft"&gt;Lost Locale&lt;/p&gt;&lt;div style="clear: both;"&gt;&lt;/div&gt;&lt;/div&gt;&lt;div&gt;&lt;h5&gt;&lt;b&gt;School &lt;/b&gt;enchantment (compulsion) [mind-affecting]; &lt;b&gt;Level &lt;/b&gt;psychic 9, sorcerer/wizard 9&lt;/h5&gt;&lt;/div&gt;&lt;hr/&gt;&lt;div&gt;&lt;h5&gt;&lt;b&gt;CASTING&lt;/b&gt;&lt;/h5&gt;&lt;/div&gt;&lt;hr/&gt;&lt;div&gt;&lt;h5&gt;&lt;b&gt;Casting Time &lt;/b&gt;24 hours&lt;/h5&gt;&lt;h5&gt;&lt;b&gt;Components &lt;/b&gt;V, S&lt;/h5&gt;&lt;/div&gt;&lt;hr/&gt;&lt;div&gt;&lt;h5&gt;&lt;b&gt;EFFECT&lt;/b&gt;&lt;/h5&gt;&lt;/div&gt;&lt;hr/&gt;&lt;div&gt;&lt;h5&gt;&lt;b&gt;Range &lt;/b&gt;1 mile/level&lt;/h5&gt;&lt;h5&gt;&lt;b&gt;Area &lt;/b&gt;one 1-mile cube/level&lt;/h5&gt;&lt;h5&gt;&lt;b&gt;Duration &lt;/b&gt;2 hours/level (D)&lt;/h5&gt;&lt;h5&gt;&lt;b&gt;Saving Throw &lt;/b&gt;Will partial; &lt;b&gt;Spell Resistance &lt;/b&gt;yes&lt;/h5&gt;&lt;/div&gt;&lt;hr/&gt;&lt;div&gt;&lt;h5&gt;&lt;b&gt;DESCRIPTION&lt;/b&gt;&lt;/h5&gt;&lt;/div&gt;&lt;hr/&gt;&lt;div&gt;&lt;h4&gt;&lt;p&gt;This spell functions as &lt;i&gt;lost passage&lt;/i&gt; (see below), except that it affects a larger area. &lt;i&gt;Lost locale&lt;/i&gt; can be made permanent with &lt;i&gt;permanency&lt;/i&gt; at a cost of 90,000 gp.&lt;/p&gt;&lt;/h4&gt;&lt;/div&gt;</t>
  </si>
  <si>
    <t>Mantle Of The Magic Warriors</t>
  </si>
  <si>
    <t>druid 5, shaman 5, sorcerer/wizard 5</t>
  </si>
  <si>
    <t>one good-aligned creature/3 levels</t>
  </si>
  <si>
    <t>You weave golden masks shaped like animals around the targets' faces, imbuing each target with an animal spirit that matches her strength of character. Each target gains one animal special ability of your choice granted by beast shape I. You can choose a different special ability for each target.</t>
  </si>
  <si>
    <t>&lt;p&gt;You weave golden masks shaped like animals around the targets' faces, imbuing each target with an animal spirit that matches her strength of character. Each target gains one animal special ability of your choice granted by &lt;i&gt;beast shape I&lt;/i&gt;. You can choose a different special ability for each target.&lt;/p&gt;</t>
  </si>
  <si>
    <t>&lt;link rel="stylesheet"href="PF.css"&gt;&lt;div class="heading"&gt;&lt;p class="alignleft"&gt;Mantle Of The Magic Warriors&lt;/p&gt;&lt;div style="clear: both;"&gt;&lt;/div&gt;&lt;/div&gt;&lt;div&gt;&lt;h5&gt;&lt;b&gt;School &lt;/b&gt;transmutation [good]; &lt;b&gt;Level &lt;/b&gt;druid 5, shaman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good-aligned creature/3 levels&lt;/h5&gt;&lt;h5&gt;&lt;b&gt;Duration &lt;/b&gt;1 minute/level&lt;/h5&gt;&lt;h5&gt;&lt;b&gt;Saving Throw &lt;/b&gt;Will negates (harmless); &lt;b&gt;Spell Resistance &lt;/b&gt;yes (harmless)&lt;/h5&gt;&lt;/div&gt;&lt;hr/&gt;&lt;div&gt;&lt;h5&gt;&lt;b&gt;DESCRIPTION&lt;/b&gt;&lt;/h5&gt;&lt;/div&gt;&lt;hr/&gt;&lt;div&gt;&lt;h4&gt;&lt;p&gt;You weave golden masks shaped like animals around the targets' faces, imbuing each target with an animal spirit that matches her strength of character. Each target gains one animal special ability of your choice granted by &lt;i&gt;beast shape I&lt;/i&gt;. You can choose a different special ability for each target.&lt;/p&gt;&lt;/h4&gt;&lt;/div&gt;</t>
  </si>
  <si>
    <t>Martial Telekinesis</t>
  </si>
  <si>
    <t>magus 4, occultist 4, psychic 3, sorcerer/wizard 4, spiritualist 4</t>
  </si>
  <si>
    <t>Will none; see text</t>
  </si>
  <si>
    <t>You mingle the power of your mind and body to exert force beyond your reach. This spell functions as the combat maneuver version of telekinesis, except as noted above. Alternatively, you can inflict a telekinetic unarmed strike with this spell, using your own unarmed strike damage and applying your primary spellcasting ability score modifier to the damage in place of your Strength modifier.</t>
  </si>
  <si>
    <t>&lt;p&gt;You mingle the power of your mind and body to exert force beyond your reach. This spell functions as the combat maneuver version of &lt;i&gt;telekinesis&lt;/i&gt;, except as noted above. Alternatively, you can inflict a telekinetic unarmed strike with this spell, using your own unarmed strike damage and applying your primary spellcasting ability score modifier to the damage in place of your Strength modifier.&lt;/p&gt;</t>
  </si>
  <si>
    <t>&lt;link rel="stylesheet"href="PF.css"&gt;&lt;div class="heading"&gt;&lt;p class="alignleft"&gt;Martial Telekinesis&lt;/p&gt;&lt;div style="clear: both;"&gt;&lt;/div&gt;&lt;/div&gt;&lt;div&gt;&lt;h5&gt;&lt;b&gt;School &lt;/b&gt;evocation; &lt;b&gt;Level &lt;/b&gt;magus 4, occultist 4, psychic 3, sorcerer/wizard 4, spiritualist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&lt;/b&gt;see text&lt;/h5&gt;&lt;h5&gt;&lt;b&gt;Duration &lt;/b&gt;instantaneous&lt;/h5&gt;&lt;h5&gt;&lt;b&gt;Saving Throw &lt;/b&gt;Will none; see text; &lt;b&gt;Spell Resistance &lt;/b&gt;yes; see text&lt;/h5&gt;&lt;/div&gt;&lt;hr/&gt;&lt;div&gt;&lt;h5&gt;&lt;b&gt;DESCRIPTION&lt;/b&gt;&lt;/h5&gt;&lt;/div&gt;&lt;hr/&gt;&lt;div&gt;&lt;h4&gt;&lt;p&gt;You mingle the power of your mind and body to exert force beyond your reach. This spell functions as the combat maneuver version of &lt;i&gt;telekinesis&lt;/i&gt;, except as noted above. Alternatively, you can inflict a telekinetic unarmed strike with this spell, using your own unarmed strike damage and applying your primary spellcasting ability score modifier to the damage in place of your Strength modifier.&lt;/p&gt;&lt;/h4&gt;&lt;/div&gt;</t>
  </si>
  <si>
    <t>Miasmal Dread</t>
  </si>
  <si>
    <t>antipaladin 2, bard 2, bloodrager 2, inquisitor 3, mesmerist 3</t>
  </si>
  <si>
    <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t>
  </si>
  <si>
    <t>&lt;p&gt;A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exceed.&lt;/p&gt;</t>
  </si>
  <si>
    <t>&lt;link rel="stylesheet"href="PF.css"&gt;&lt;div class="heading"&gt;&lt;p class="alignleft"&gt;Miasmal Dread&lt;/p&gt;&lt;div style="clear: both;"&gt;&lt;/div&gt;&lt;/div&gt;&lt;div&gt;&lt;h5&gt;&lt;b&gt;School &lt;/b&gt;enchantment (compulsion) [fear, mind-affecting]; &lt;b&gt;Level &lt;/b&gt;antipaladin 2, bard 2, bloodrager 2, inquisitor 3, mesmerist 3&lt;/h5&gt;&lt;/div&gt;&lt;hr/&gt;&lt;div&gt;&lt;h5&gt;&lt;b&gt;CASTING&lt;/b&gt;&lt;/h5&gt;&lt;/div&gt;&lt;hr/&gt;&lt;div&gt;&lt;h5&gt;&lt;b&gt;Casting Time &lt;/b&gt;1 standard action&lt;/h5&gt;&lt;h5&gt;&lt;b&gt;Components &lt;/b&gt;V, S&lt;/h5&gt;&lt;/div&gt;&lt;hr/&gt;&lt;div&gt;&lt;h5&gt;&lt;b&gt;EFFECT&lt;/b&gt;&lt;/h5&gt;&lt;/div&gt;&lt;hr/&gt;&lt;div&gt;&lt;h5&gt;&lt;b&gt;Range &lt;/b&gt;30 feet&lt;/h5&gt;&lt;h5&gt;&lt;b&gt;Area &lt;/b&gt;cone-shaped burst&lt;/h5&gt;&lt;h5&gt;&lt;b&gt;Duration &lt;/b&gt;instantaneous&lt;/h5&gt;&lt;h5&gt;&lt;b&gt;Saving Throw &lt;/b&gt;none; &lt;b&gt;Spell Resistance &lt;/b&gt;no&lt;/h5&gt;&lt;/div&gt;&lt;hr/&gt;&lt;div&gt;&lt;h5&gt;&lt;b&gt;DESCRIPTION&lt;/b&gt;&lt;/h5&gt;&lt;/div&gt;&lt;hr/&gt;&lt;div&gt;&lt;h4&gt;&lt;p&gt;A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exceed.&lt;/p&gt;&lt;/h4&gt;&lt;/div&gt;</t>
  </si>
  <si>
    <t>Murderous Crow</t>
  </si>
  <si>
    <t>antipaladin 1, cleric/oracle 1, paladin 1, sorcerer/wizard 1, summoner 1, witch 1</t>
  </si>
  <si>
    <t>V, S, F (a crow's feather)</t>
  </si>
  <si>
    <t>one crow</t>
  </si>
  <si>
    <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remove blindness.  If the focus leaves your possession, the crow vanishes and the spell ends.</t>
  </si>
  <si>
    <t>&lt;p&gt;You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&lt;i&gt;remove blindness&lt;/i&gt;.  If the focus leaves your possession, the crow vanishes and the spell ends.&lt;/p&gt;</t>
  </si>
  <si>
    <t>&lt;link rel="stylesheet"href="PF.css"&gt;&lt;div class="heading"&gt;&lt;p class="alignleft"&gt;Murderous Crow&lt;/p&gt;&lt;div style="clear: both;"&gt;&lt;/div&gt;&lt;/div&gt;&lt;div&gt;&lt;h5&gt;&lt;b&gt;School &lt;/b&gt;conjuration (summoning) [see text]; &lt;b&gt;Level &lt;/b&gt;antipaladin 1, cleric/oracle 1, paladin 1, sorcerer/wizard 1, summoner 1, witch 1&lt;/h5&gt;&lt;/div&gt;&lt;hr/&gt;&lt;div&gt;&lt;h5&gt;&lt;b&gt;CASTING&lt;/b&gt;&lt;/h5&gt;&lt;/div&gt;&lt;hr/&gt;&lt;div&gt;&lt;h5&gt;&lt;b&gt;Casting Time &lt;/b&gt;1 round&lt;/h5&gt;&lt;h5&gt;&lt;b&gt;Components &lt;/b&gt;V, S, F (a crow's feather)&lt;/h5&gt;&lt;/div&gt;&lt;hr/&gt;&lt;div&gt;&lt;h5&gt;&lt;b&gt;EFFECT&lt;/b&gt;&lt;/h5&gt;&lt;/div&gt;&lt;hr/&gt;&lt;div&gt;&lt;h5&gt;&lt;b&gt;Range &lt;/b&gt;medium (100 ft. + 10 ft./level)&lt;/h5&gt;&lt;h5&gt;&lt;b&gt;Effect &lt;/b&gt;one crow&lt;/h5&gt;&lt;h5&gt;&lt;b&gt;Duration &lt;/b&gt;1 round/level&lt;/h5&gt;&lt;h5&gt;&lt;b&gt;Saving Throw &lt;/b&gt;none; &lt;b&gt;Spell Resistance &lt;/b&gt;no&lt;/h5&gt;&lt;/div&gt;&lt;hr/&gt;&lt;div&gt;&lt;h5&gt;&lt;b&gt;DESCRIPTION&lt;/b&gt;&lt;/h5&gt;&lt;/div&gt;&lt;hr/&gt;&lt;div&gt;&lt;h4&gt;&lt;p&gt;You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&lt;i&gt;remove blindness&lt;/i&gt;.  If the focus leaves your possession, the crow vanishes and the spell ends.&lt;/p&gt;&lt;/h4&gt;&lt;/div&gt;</t>
  </si>
  <si>
    <t>Overlook</t>
  </si>
  <si>
    <t>bard 3, mesmerist 3, psychic 4</t>
  </si>
  <si>
    <t>You enhance your natural ability to seem small and unimportant, causing those around you to overlook you. You gain a +20 bonus on Stealth checks, which doesn't stack with  bonuses from effects that actually make you sneakier, such as invisibility or respectful quiet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t>
  </si>
  <si>
    <t>&lt;p&gt;You enhance your natural ability to seem small and unimportant, causing those around you to overlook you. You gain a +20 bonus on Stealth checks, which doesn't stack with  bonuses from effects that actually make you sneakier, such as &lt;i&gt;invisibility&lt;/i&gt; or &lt;i&gt;respectful quiet&lt;/i&gt;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duration.&lt;/p&gt;</t>
  </si>
  <si>
    <t>&lt;link rel="stylesheet"href="PF.css"&gt;&lt;div class="heading"&gt;&lt;p class="alignleft"&gt;Overlook&lt;/p&gt;&lt;div style="clear: both;"&gt;&lt;/div&gt;&lt;/div&gt;&lt;div&gt;&lt;h5&gt;&lt;b&gt;School &lt;/b&gt;enchantment (compulsion) [mind-affecting]; &lt;b&gt;Level &lt;/b&gt;bard 3, mesmerist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enhance your natural ability to seem small and unimportant, causing those around you to overlook you. You gain a +20 bonus on Stealth checks, which doesn't stack with  bonuses from effects that actually make you sneakier, such as &lt;i&gt;invisibility&lt;/i&gt; or &lt;i&gt;respectful quiet&lt;/i&gt;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duration.&lt;/p&gt;&lt;/h4&gt;&lt;/div&gt;</t>
  </si>
  <si>
    <t>Probe History</t>
  </si>
  <si>
    <t>bard 3, cleric/oracle 4, inquisitor 4, medium 2, mesmerist 3, occultist 3, sorcerer/wizard 4</t>
  </si>
  <si>
    <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t>
  </si>
  <si>
    <t>&lt;p&gt;You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history.&lt;/p&gt;</t>
  </si>
  <si>
    <t>&lt;link rel="stylesheet"href="PF.css"&gt;&lt;div class="heading"&gt;&lt;p class="alignleft"&gt;Probe History&lt;/p&gt;&lt;div style="clear: both;"&gt;&lt;/div&gt;&lt;/div&gt;&lt;div&gt;&lt;h5&gt;&lt;b&gt;School &lt;/b&gt;divination; &lt;b&gt;Level &lt;/b&gt;bard 3, cleric/oracle 4, inquisitor 4, medium 2, mesmerist 3, occultist 3, sorcerer/wizard 4&lt;/h5&gt;&lt;/div&gt;&lt;hr/&gt;&lt;div&gt;&lt;h5&gt;&lt;b&gt;CASTING&lt;/b&gt;&lt;/h5&gt;&lt;/div&gt;&lt;hr/&gt;&lt;div&gt;&lt;h5&gt;&lt;b&gt;Casting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history.&lt;/p&gt;&lt;/h4&gt;&lt;/div&gt;</t>
  </si>
  <si>
    <t>Respectful Quiet</t>
  </si>
  <si>
    <t>bard 3, cleric/oracle 5, inquisitor 3</t>
  </si>
  <si>
    <t>any number of creatures in a 30-ft.-radius burst</t>
  </si>
  <si>
    <t>All targets are rendered silent, as per silence. The silence affects the entirety of each creature but does not extend beyond. However, the silence is one-way-sounds from outside the creatures' spaces can still enter. Quieted creatures gain a +10 circumstance bonus on Stealth checks.</t>
  </si>
  <si>
    <t>&lt;p&gt;All targets are rendered silent, as per &lt;i&gt;silence&lt;/i&gt;. The &lt;i&gt;silence&lt;/i&gt; affects the entirety of each creature but does not extend beyond. However, the &lt;i&gt;silence&lt;/i&gt; is one-way-sounds from outside the creatures' spaces can still enter. Quieted creatures gain a +10 circumstance bonus on Stealth checks.&lt;/p&gt;</t>
  </si>
  <si>
    <t>&lt;link rel="stylesheet"href="PF.css"&gt;&lt;div class="heading"&gt;&lt;p class="alignleft"&gt;Respectful Quiet&lt;/p&gt;&lt;div style="clear: both;"&gt;&lt;/div&gt;&lt;/div&gt;&lt;div&gt;&lt;h5&gt;&lt;b&gt;School &lt;/b&gt;illusion (glamer); &lt;b&gt;Level &lt;/b&gt;bard 3, cleric/oracle 5, inquisitor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&lt;/b&gt;any number of creatures in a 30-ft.-radius burst&lt;/h5&gt;&lt;h5&gt;&lt;b&gt;Duration &lt;/b&gt;1 minute/level (D)&lt;/h5&gt;&lt;h5&gt;&lt;b&gt;Saving Throw &lt;/b&gt;Will negates; &lt;b&gt;Spell Resistance &lt;/b&gt;yes&lt;/h5&gt;&lt;/div&gt;&lt;hr/&gt;&lt;div&gt;&lt;h5&gt;&lt;b&gt;DESCRIPTION&lt;/b&gt;&lt;/h5&gt;&lt;/div&gt;&lt;hr/&gt;&lt;div&gt;&lt;h4&gt;&lt;p&gt;All targets are rendered silent, as per &lt;i&gt;silence&lt;/i&gt;. The &lt;i&gt;silence&lt;/i&gt; affects the entirety of each creature but does not extend beyond. However, the &lt;i&gt;silence&lt;/i&gt; is one-way-sounds from outside the creatures' spaces can still enter. Quieted creatures gain a +10 circumstance bonus on Stealth checks.&lt;/p&gt;&lt;/h4&gt;&lt;/div&gt;</t>
  </si>
  <si>
    <t>Shadow Of Doubt</t>
  </si>
  <si>
    <t>darkness, emotion, evil, mind-affecting</t>
  </si>
  <si>
    <t>antipaladin 4, bard 4, mesmerist 4, psychic 6, spiritualist 4</t>
  </si>
  <si>
    <t>one creature/3 levels</t>
  </si>
  <si>
    <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t>
  </si>
  <si>
    <t>&lt;p&gt;You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instead.&lt;/p&gt;</t>
  </si>
  <si>
    <t>&lt;link rel="stylesheet"href="PF.css"&gt;&lt;div class="heading"&gt;&lt;p class="alignleft"&gt;Shadow Of Doubt&lt;/p&gt;&lt;div style="clear: both;"&gt;&lt;/div&gt;&lt;/div&gt;&lt;div&gt;&lt;h5&gt;&lt;b&gt;School &lt;/b&gt;enchantment (compulsion) [darkness, emotion, evil, mind-affecting]; &lt;b&gt;Level &lt;/b&gt;antipaladin 4, bard 4, mesmerist 4, psychic 6,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creature/3 levels&lt;/h5&gt;&lt;h5&gt;&lt;b&gt;Duration &lt;/b&gt;1 round/level&lt;/h5&gt;&lt;h5&gt;&lt;b&gt;Saving Throw &lt;/b&gt;Will partial (see text); &lt;b&gt;Spell Resistance &lt;/b&gt;yes&lt;/h5&gt;&lt;/div&gt;&lt;hr/&gt;&lt;div&gt;&lt;h5&gt;&lt;b&gt;DESCRIPTION&lt;/b&gt;&lt;/h5&gt;&lt;/div&gt;&lt;hr/&gt;&lt;div&gt;&lt;h4&gt;&lt;p&gt;You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instead.&lt;/p&gt;&lt;/h4&gt;&lt;/div&gt;</t>
  </si>
  <si>
    <t>Siege Scatter</t>
  </si>
  <si>
    <t>druid 5, ranger 4, shaman 5</t>
  </si>
  <si>
    <t>50-ft.-radius spread</t>
  </si>
  <si>
    <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t>
  </si>
  <si>
    <t>&lt;p&gt;A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throw.&lt;/p&gt;</t>
  </si>
  <si>
    <t>&lt;link rel="stylesheet"href="PF.css"&gt;&lt;div class="heading"&gt;&lt;p class="alignleft"&gt;Siege Scatter&lt;/p&gt;&lt;div style="clear: both;"&gt;&lt;/div&gt;&lt;/div&gt;&lt;div&gt;&lt;h5&gt;&lt;b&gt;School &lt;/b&gt;evocation [earth]; &lt;b&gt;Level &lt;/b&gt;druid 5, ranger 4, shaman 5&lt;/h5&gt;&lt;/div&gt;&lt;hr/&gt;&lt;div&gt;&lt;h5&gt;&lt;b&gt;CASTING&lt;/b&gt;&lt;/h5&gt;&lt;/div&gt;&lt;hr/&gt;&lt;div&gt;&lt;h5&gt;&lt;b&gt;Casting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ft./level)&lt;/h5&gt;&lt;h5&gt;&lt;b&gt;Area &lt;/b&gt;50-ft.-radius spread&lt;/h5&gt;&lt;h5&gt;&lt;b&gt;Duration &lt;/b&gt;instantaneous&lt;/h5&gt;&lt;h5&gt;&lt;b&gt;Saving Throw &lt;/b&gt;Reflex partial (see text); &lt;b&gt;Spell Resistance &lt;/b&gt;yes (harmless)&lt;/h5&gt;&lt;/div&gt;&lt;hr/&gt;&lt;div&gt;&lt;h5&gt;&lt;b&gt;DESCRIPTION&lt;/b&gt;&lt;/h5&gt;&lt;/div&gt;&lt;hr/&gt;&lt;div&gt;&lt;h4&gt;&lt;p&gt;A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throw.&lt;/p&gt;&lt;/h4&gt;&lt;/div&gt;</t>
  </si>
  <si>
    <t>Summon Giant Ally I</t>
  </si>
  <si>
    <t>V, S, F/DF (bit of cloth from a giant's bag)</t>
  </si>
  <si>
    <t>one or more giants</t>
  </si>
  <si>
    <t>This spell functions as summon nature's ally VI, except its casting time is shorter and you can summon one cave, hill, marsh, river, slag, stone, or wood giant.</t>
  </si>
  <si>
    <t>&lt;p&gt;This spell functions as summon nature's ally VI, except its casting time is shorter and you can summon one cave, hill, marsh, river, slag, stone, or wood giant.&lt;/p&gt;</t>
  </si>
  <si>
    <t>&lt;link rel="stylesheet"href="PF.css"&gt;&lt;div class="heading"&gt;&lt;p class="alignleft"&gt;Summon Giant Ally I&lt;/p&gt;&lt;div style="clear: both;"&gt;&lt;/div&gt;&lt;/div&gt;&lt;div&gt;&lt;h5&gt;&lt;b&gt;School &lt;/b&gt;conjuration (summoning) [see text]; &lt;b&gt;Level &lt;/b&gt;druid 6&lt;/h5&gt;&lt;/div&gt;&lt;hr/&gt;&lt;div&gt;&lt;h5&gt;&lt;b&gt;CASTING&lt;/b&gt;&lt;/h5&gt;&lt;/div&gt;&lt;hr/&gt;&lt;div&gt;&lt;h5&gt;&lt;b&gt;Casting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summon nature's ally VI, except its casting time is shorter and you can summon one cave, hill, marsh, river, slag, stone, or wood giant.&lt;/p&gt;&lt;/h4&gt;&lt;/div&gt;</t>
  </si>
  <si>
    <t>Summon Giant Ally II</t>
  </si>
  <si>
    <t>This spell functions as summon giant ally I, except you can summon one desert, fire, frost, or jungle giant or 1d3 cave, hill, marsh, river, slag, stone, or wood giants.</t>
  </si>
  <si>
    <t>&lt;p&gt;This spell functions as &lt;i&gt;summon giant ally I&lt;/i&gt;, except you can summon one desert, fire, frost, or jungle giant or 1d3 cave, hill, marsh, river, slag, stone, or wood giants.&lt;/p&gt;</t>
  </si>
  <si>
    <t>&lt;link rel="stylesheet"href="PF.css"&gt;&lt;div class="heading"&gt;&lt;p class="alignleft"&gt;Summon Giant Ally II&lt;/p&gt;&lt;div style="clear: both;"&gt;&lt;/div&gt;&lt;/div&gt;&lt;div&gt;&lt;h5&gt;&lt;b&gt;School &lt;/b&gt;conjuration (summoning) [see text]; &lt;b&gt;Level &lt;/b&gt;druid 7&lt;/h5&gt;&lt;/div&gt;&lt;hr/&gt;&lt;div&gt;&lt;h5&gt;&lt;b&gt;CASTING&lt;/b&gt;&lt;/h5&gt;&lt;/div&gt;&lt;hr/&gt;&lt;div&gt;&lt;h5&gt;&lt;b&gt;Casting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&lt;i&gt;summon giant ally I&lt;/i&gt;, except you can summon one desert, fire, frost, or jungle giant or 1d3 cave, hill, marsh, river, slag, stone, or wood giants.&lt;/p&gt;&lt;/h4&gt;&lt;/div&gt;</t>
  </si>
  <si>
    <t>Summon Giant Ally III</t>
  </si>
  <si>
    <t>This spell functions as summon giant ally I, except you can summon one ash or cloud giant; 1d3 desert, fire, frost, or jungle giants; or 1d4+1 cave, hill, marsh, river, slag, stone, or wood giants.</t>
  </si>
  <si>
    <t>&lt;p&gt;This spell functions as &lt;i&gt;summon giant ally I&lt;/i&gt;, except you can summon one ash or cloud giant; 1d3 desert, fire, frost, or jungle giants; or 1d4+1 cave, hill, marsh, river, slag, stone, or wood giants.&lt;/p&gt;</t>
  </si>
  <si>
    <t>&lt;link rel="stylesheet"href="PF.css"&gt;&lt;div class="heading"&gt;&lt;p class="alignleft"&gt;Summon Giant Ally III&lt;/p&gt;&lt;div style="clear: both;"&gt;&lt;/div&gt;&lt;/div&gt;&lt;div&gt;&lt;h5&gt;&lt;b&gt;School &lt;/b&gt;conjuration (summoning) [see text]; &lt;b&gt;Level &lt;/b&gt;druid 8&lt;/h5&gt;&lt;/div&gt;&lt;hr/&gt;&lt;div&gt;&lt;h5&gt;&lt;b&gt;CASTING&lt;/b&gt;&lt;/h5&gt;&lt;/div&gt;&lt;hr/&gt;&lt;div&gt;&lt;h5&gt;&lt;b&gt;Casting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&lt;i&gt;summon giant ally I&lt;/i&gt;, except you can summon one ash or cloud giant; 1d3 desert, fire, frost, or jungle giants; or 1d4+1 cave, hill, marsh, river, slag, stone, or wood giants.&lt;/p&gt;&lt;/h4&gt;&lt;/div&gt;</t>
  </si>
  <si>
    <t>Summon Kami</t>
  </si>
  <si>
    <t>one or more kami</t>
  </si>
  <si>
    <t>This spell functions as summon nature's ally V, except you can summon one kodama, 1d3 fukujin, or 1d4+1 shikigami.</t>
  </si>
  <si>
    <t>&lt;p&gt;This spell functions as summon nature's ally V, except you can summon one kodama, 1d3 fukujin, or 1d4+1 shikigami.&lt;/p&gt;</t>
  </si>
  <si>
    <t>&lt;link rel="stylesheet"href="PF.css"&gt;&lt;div class="heading"&gt;&lt;p class="alignleft"&gt;Summon Kami&lt;/p&gt;&lt;div style="clear: both;"&gt;&lt;/div&gt;&lt;/div&gt;&lt;div&gt;&lt;h5&gt;&lt;b&gt;School &lt;/b&gt;conjuration; &lt;b&gt;Level &lt;/b&gt;druid 5, shaman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or more kami&lt;/h5&gt;&lt;h5&gt;&lt;b&gt;Duration &lt;/b&gt;1 round/level (D)&lt;/h5&gt;&lt;h5&gt;&lt;b&gt;Saving Throw &lt;/b&gt;none; &lt;b&gt;Spell Resistance &lt;/b&gt;no&lt;/h5&gt;&lt;/div&gt;&lt;hr/&gt;&lt;div&gt;&lt;h5&gt;&lt;b&gt;DESCRIPTION&lt;/b&gt;&lt;/h5&gt;&lt;/div&gt;&lt;hr/&gt;&lt;div&gt;&lt;h4&gt;&lt;p&gt;This spell functions as summon nature's ally V, except you can summon one kodama, 1d3 fukujin, or 1d4+1 shikigami.&lt;/p&gt;&lt;/h4&gt;&lt;/div&gt;</t>
  </si>
  <si>
    <t>Suppressing Stone</t>
  </si>
  <si>
    <t>occultist 3, sorcerer/wizard 4</t>
  </si>
  <si>
    <t>V, S, F (one ioun stone worth at least 1,000 gp)</t>
  </si>
  <si>
    <t>10 minutes/level or until discharged (D)</t>
  </si>
  <si>
    <t>You infuse arcane power into the focus ioun stone, which must be currently floating around your head. If the ioun stone ever ceases floating around you, the spell ends immediately, and the spell fails if the ioun stone in question is cracked, burned, flawed, or otherwise of lesser value (such as a dull gray ioun stone).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ioun stone and ending this spell, but suppressing the mind-affecting effect for 1 round per 2,500 gp of value of the focus (minimum 1 round). Rounds during which the effect is suppressed still count against its duration, and the effect can still be dispelled or disrupted during this time.</t>
  </si>
  <si>
    <t>&lt;p&gt;You infuse arcane power into the focus &lt;i&gt;ioun stone&lt;/i&gt;, which must be currently floating around your head. If the &lt;i&gt;ioun stone&lt;/i&gt; ever ceases floating around you, the spell ends immediately, and the spell fails if the &lt;i&gt;ioun stone&lt;/i&gt; in question is cracked, burned, flawed, or otherwise of lesser value (such as a dull gray &lt;i&gt;ioun stone&lt;/i&gt;).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&lt;i&gt;ioun stone&lt;/i&gt; and ending this spell, but suppressing the mind-affecting effect for 1 round per 2,500 gp of value of the focus (minimum 1 round). Rounds during which the effect is suppressed still count against its duration, and the effect can still be dispelled or disrupted during this time.&lt;/p&gt;</t>
  </si>
  <si>
    <t>&lt;link rel="stylesheet"href="PF.css"&gt;&lt;div class="heading"&gt;&lt;p class="alignleft"&gt;Suppressing Stone&lt;/p&gt;&lt;div style="clear: both;"&gt;&lt;/div&gt;&lt;/div&gt;&lt;div&gt;&lt;h5&gt;&lt;b&gt;School &lt;/b&gt;evocation; &lt;b&gt;Level &lt;/b&gt;occultist 3, sorcerer/wizard 4&lt;/h5&gt;&lt;/div&gt;&lt;hr/&gt;&lt;div&gt;&lt;h5&gt;&lt;b&gt;CASTING&lt;/b&gt;&lt;/h5&gt;&lt;/div&gt;&lt;hr/&gt;&lt;div&gt;&lt;h5&gt;&lt;b&gt;Casting Time &lt;/b&gt;1 standard action&lt;/h5&gt;&lt;h5&gt;&lt;b&gt;Components &lt;/b&gt;V, S, F (one ioun stone worth at least 1,000 gp)&lt;/h5&gt;&lt;/div&gt;&lt;hr/&gt;&lt;div&gt;&lt;h5&gt;&lt;b&gt;EFFECT&lt;/b&gt;&lt;/h5&gt;&lt;/div&gt;&lt;hr/&gt;&lt;div&gt;&lt;h5&gt;&lt;b&gt;Range &lt;/b&gt;personal&lt;/h5&gt;&lt;h5&gt;&lt;b&gt;Targets &lt;/b&gt;you&lt;/h5&gt;&lt;h5&gt;&lt;b&gt;Duration &lt;/b&gt;10 minutes/level or until discharged (D)&lt;/h5&gt;&lt;/div&gt;&lt;hr/&gt;&lt;div&gt;&lt;h5&gt;&lt;b&gt;DESCRIPTION&lt;/b&gt;&lt;/h5&gt;&lt;/div&gt;&lt;hr/&gt;&lt;div&gt;&lt;h4&gt;&lt;p&gt;You infuse arcane power into the focus &lt;i&gt;ioun stone&lt;/i&gt;, which must be currently floating around your head. If the &lt;i&gt;ioun stone&lt;/i&gt; ever ceases floating around you, the spell ends immediately, and the spell fails if the &lt;i&gt;ioun stone&lt;/i&gt; in question is cracked, burned, flawed, or otherwise of lesser value (such as a dull gray &lt;i&gt;ioun stone&lt;/i&gt;).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&lt;i&gt;ioun stone&lt;/i&gt; and ending this spell, but suppressing the mind-affecting effect for 1 round per 2,500 gp of value of the focus (minimum 1 round). Rounds during which the effect is suppressed still count against its duration, and the effect can still be dispelled or disrupted during this time.&lt;/p&gt;&lt;/h4&gt;&lt;/div&gt;</t>
  </si>
  <si>
    <t>Wall Of Brine</t>
  </si>
  <si>
    <t>druid 4, magus 4, ranger 3, shaman 4, sorcerer/wizard 4</t>
  </si>
  <si>
    <t>V, S, M/DF (a bit of coral)</t>
  </si>
  <si>
    <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t>
  </si>
  <si>
    <t>&lt;p&gt;You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edges.&lt;/p&gt;</t>
  </si>
  <si>
    <t>&lt;link rel="stylesheet"href="PF.css"&gt;&lt;div class="heading"&gt;&lt;p class="alignleft"&gt;Wall Of Brine&lt;/p&gt;&lt;div style="clear: both;"&gt;&lt;/div&gt;&lt;/div&gt;&lt;div&gt;&lt;h5&gt;&lt;b&gt;School &lt;/b&gt;conjuration (creation) [water]; &lt;b&gt;Level &lt;/b&gt;druid 4, magus 4, ranger 3, shaman 4, sorcerer/wizard 4&lt;/h5&gt;&lt;/div&gt;&lt;hr/&gt;&lt;div&gt;&lt;h5&gt;&lt;b&gt;CASTING&lt;/b&gt;&lt;/h5&gt;&lt;/div&gt;&lt;hr/&gt;&lt;div&gt;&lt;h5&gt;&lt;b&gt;Casting Time &lt;/b&gt;1 standard action&lt;/h5&gt;&lt;h5&gt;&lt;b&gt;Components &lt;/b&gt;V, S, M/DF (a bit of coral)&lt;/h5&gt;&lt;/div&gt;&lt;hr/&gt;&lt;div&gt;&lt;h5&gt;&lt;b&gt;EFFECT&lt;/b&gt;&lt;/h5&gt;&lt;/div&gt;&lt;hr/&gt;&lt;div&gt;&lt;h5&gt;&lt;b&gt;Range &lt;/b&gt;medium (100 ft. + 10 ft./level)&lt;/h5&gt;&lt;h5&gt;&lt;b&gt;Effect &lt;/b&gt;wall up to 10 ft./level long and 5 ft./level high (S)&lt;/h5&gt;&lt;h5&gt;&lt;b&gt;Duration &lt;/b&gt;concentration + 1 round/level&lt;/h5&gt;&lt;h5&gt;&lt;b&gt;Saving Throw &lt;/b&gt;none; see text; &lt;b&gt;Spell Resistance &lt;/b&gt;yes&lt;/h5&gt;&lt;/div&gt;&lt;hr/&gt;&lt;div&gt;&lt;h5&gt;&lt;b&gt;DESCRIPTION&lt;/b&gt;&lt;/h5&gt;&lt;/div&gt;&lt;hr/&gt;&lt;div&gt;&lt;h4&gt;&lt;p&gt;You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edges.&lt;/p&gt;&lt;/h4&gt;&lt;/div&gt;</t>
  </si>
  <si>
    <t>Zephyr's Fleetness</t>
  </si>
  <si>
    <t>You can call upon the spirits of the air to grant agility to your allies. Each target gains a +30 foot enhancement bonus to its land speed and fly speed (if any). Each target can also move (and charge) through difficult terrain without penalty.</t>
  </si>
  <si>
    <t>&lt;p&gt;You can call upon the spirits of the air to grant agility to your allies. Each target gains a +30 foot enhancement bonus to its land speed and fly speed (if any). Each target can also move (and charge) through difficult terrain without penalty.&lt;/p&gt;</t>
  </si>
  <si>
    <t>&lt;link rel="stylesheet"href="PF.css"&gt;&lt;div class="heading"&gt;&lt;p class="alignleft"&gt;Zephyr's Fleetness&lt;/p&gt;&lt;div style="clear: both;"&gt;&lt;/div&gt;&lt;/div&gt;&lt;div&gt;&lt;h5&gt;&lt;b&gt;School &lt;/b&gt;transmutation [air]; &lt;b&gt;Level &lt;/b&gt;ranger 3&lt;/h5&gt;&lt;/div&gt;&lt;hr/&gt;&lt;div&gt;&lt;h5&gt;&lt;b&gt;CASTING&lt;/b&gt;&lt;/h5&gt;&lt;/div&gt;&lt;hr/&gt;&lt;div&gt;&lt;h5&gt;&lt;b&gt;Casting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creature/2 levels&lt;/h5&gt;&lt;h5&gt;&lt;b&gt;Duration &lt;/b&gt;1 minute/level&lt;/h5&gt;&lt;h5&gt;&lt;b&gt;Saving Throw &lt;/b&gt;Will negates (harmless); &lt;b&gt;Spell Resistance &lt;/b&gt;yes (harmless)&lt;/h5&gt;&lt;/div&gt;&lt;hr/&gt;&lt;div&gt;&lt;h5&gt;&lt;b&gt;DESCRIPTION&lt;/b&gt;&lt;/h5&gt;&lt;/div&gt;&lt;hr/&gt;&lt;div&gt;&lt;h4&gt;&lt;p&gt;You can call upon the spirits of the air to grant agility to your allies. Each target gains a +30 foot enhancement bonus to its land speed and fly speed (if any). Each target can also move (and charge) through difficult terrain without penalty.&lt;/p&gt;&lt;/h4&gt;&lt;/div&gt;</t>
  </si>
  <si>
    <t>Create Drug</t>
  </si>
  <si>
    <t>cleric/oracle 4, druid 3</t>
  </si>
  <si>
    <t>1 dose of a drug/3 levels</t>
  </si>
  <si>
    <t>The caster conjures into being one of the following drugs: aether, flayleaf, opium, pesh, scour, shiver, or zerk. The drug must be used within 1 minute of being conjured or  it dissolves into worthless dust-though the effects of the drug may last far longer. Drugs created by this spell cannot be sold, but they can be given to other creatures. A creature taking the drug typically must be either willing or helpless, though some drugs might be inhaled, applied to injuries, or slipped into food if the caster acts swiftly-see each drug's description. The DC to resist a drug created by this spell is based on the creator's caster level, not the DC listed in the common versions of the drug. For more information, see Drugs and Addiction on page 236 of the Pathfinder RPG GameMastery Guide.  As a special use of this spell, a worshiper of Mahathallah can create the drug adyton (see sidebar). A Mahathallah worshiper can create only adyton once per week, regardless of her level or how many times she casts this spell. The spell otherwise functions-and creates as many doses-as normal.</t>
  </si>
  <si>
    <t>&lt;p&gt;The caster conjures into being one of the following drugs: aether, flayleaf, opium, pesh, scour, shiver, or zerk. The drug must be used within 1 minute of being conjured or  it dissolves into worthless dust-though the effects of the drug may last far longer. Drugs created by this spell cannot be sold, but they can be given to other creatures. A creature taking the drug typically must be either willing or helpless, though some drugs might be inhaled, applied to injuries, or slipped into food if the caster acts swiftly-see each drug's description. The DC to resist a drug created by this spell is based on the creator's caster level, not the DC listed in the common versions of the drug. For more information, see Drugs and Addiction on page 236 of the &lt;i&gt;Pathfinder RPG GameMastery Guide&lt;/i&gt;.  As a special use of this spell, a worshiper of Mahathallah can create the drug adyton (see sidebar). A Mahathallah worshiper can create only adyton once per week, regardless of her level or how many times she casts this spell. The spell otherwise functions-and creates as many doses-as normal.&lt;/p&gt;</t>
  </si>
  <si>
    <t>AP 99</t>
  </si>
  <si>
    <t>&lt;link rel="stylesheet"href="PF.css"&gt;&lt;div class="heading"&gt;&lt;p class="alignleft"&gt;Create Drug&lt;/p&gt;&lt;div style="clear: both;"&gt;&lt;/div&gt;&lt;/div&gt;&lt;div&gt;&lt;h5&gt;&lt;b&gt;School &lt;/b&gt;conjuration (creation); &lt;b&gt;Level &lt;/b&gt;cleric/oracle 4, druid 3&lt;/h5&gt;&lt;/div&gt;&lt;hr/&gt;&lt;div&gt;&lt;h5&gt;&lt;b&gt;CASTING&lt;/b&gt;&lt;/h5&gt;&lt;/div&gt;&lt;hr/&gt;&lt;div&gt;&lt;h5&gt;&lt;b&gt;Casting Time &lt;/b&gt;1 round&lt;/h5&gt;&lt;h5&gt;&lt;b&gt;Components &lt;/b&gt;V, S&lt;/h5&gt;&lt;/div&gt;&lt;hr/&gt;&lt;div&gt;&lt;h5&gt;&lt;b&gt;EFFECT&lt;/b&gt;&lt;/h5&gt;&lt;/div&gt;&lt;hr/&gt;&lt;div&gt;&lt;h5&gt;&lt;b&gt;Range &lt;/b&gt;0 ft.&lt;/h5&gt;&lt;h5&gt;&lt;b&gt;Effect &lt;/b&gt;1 dose of a drug/3 levels&lt;/h5&gt;&lt;h5&gt;&lt;b&gt;Duration &lt;/b&gt;1 minute&lt;/h5&gt;&lt;h5&gt;&lt;b&gt;Saving Throw &lt;/b&gt;none (see below); &lt;b&gt;Spell Resistance &lt;/b&gt;no&lt;/h5&gt;&lt;/div&gt;&lt;hr/&gt;&lt;div&gt;&lt;h5&gt;&lt;b&gt;DESCRIPTION&lt;/b&gt;&lt;/h5&gt;&lt;/div&gt;&lt;hr/&gt;&lt;div&gt;&lt;h4&gt;&lt;p&gt;The caster conjures into being one of the following drugs: aether, flayleaf, opium, pesh, scour, shiver, or zerk. The drug must be used within 1 minute of being conjured or  it dissolves into worthless dust-though the effects of the drug may last far longer. Drugs created by this spell cannot be sold, but they can be given to other creatures. A creature taking the drug typically must be either willing or helpless, though some drugs might be inhaled, applied to injuries, or slipped into food if the caster acts swiftly-see each drug's description. The DC to resist a drug created by this spell is based on the creator's caster level, not the DC listed in the common versions of the drug. For more information, see Drugs and Addiction on page 236 of the &lt;i&gt;Pathfinder RPG GameMastery Guide&lt;/i&gt;.  As a special use of this spell, a worshiper of Mahathallah can create the drug adyton (see sidebar). A Mahathallah worshiper can create only adyton once per week, regardless of her level or how many times she casts this spell. The spell otherwise functions-and creates as many doses-as normal.&lt;/p&gt;&lt;/h4&gt;&lt;/div&gt;</t>
  </si>
  <si>
    <t>Death Pact</t>
  </si>
  <si>
    <t>bard 5, mesmerist 5, psychic 6, witch 6</t>
  </si>
  <si>
    <t>V, S, M (a contract signed in blood)</t>
  </si>
  <si>
    <t>You take control of a creature's mind and implant deadly subconscious commands. This spell functions as dominate person,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t>
  </si>
  <si>
    <t>&lt;p&gt;You take control of a creature's mind and implant deadly subconscious commands. This spell functions as &lt;i&gt;dominate person&lt;/i&gt;,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bonus.&lt;/p&gt;</t>
  </si>
  <si>
    <t>Occult Origins</t>
  </si>
  <si>
    <t>&lt;link rel="stylesheet"href="PF.css"&gt;&lt;div class="heading"&gt;&lt;p class="alignleft"&gt;Death Pact&lt;/p&gt;&lt;div style="clear: both;"&gt;&lt;/div&gt;&lt;/div&gt;&lt;div&gt;&lt;h5&gt;&lt;b&gt;School &lt;/b&gt;enchantment [mind-affecting]; &lt;b&gt;Level &lt;/b&gt;bard 5, mesmerist 5, psychic 6, witch 6&lt;/h5&gt;&lt;/div&gt;&lt;hr/&gt;&lt;div&gt;&lt;h5&gt;&lt;b&gt;CASTING&lt;/b&gt;&lt;/h5&gt;&lt;/div&gt;&lt;hr/&gt;&lt;div&gt;&lt;h5&gt;&lt;b&gt;Casting Time &lt;/b&gt;1 minute&lt;/h5&gt;&lt;h5&gt;&lt;b&gt;Components &lt;/b&gt;V, S, M (a contract signed in blood)&lt;/h5&gt;&lt;/div&gt;&lt;hr/&gt;&lt;div&gt;&lt;h5&gt;&lt;b&gt;EFFECT&lt;/b&gt;&lt;/h5&gt;&lt;/div&gt;&lt;hr/&gt;&lt;div&gt;&lt;h5&gt;&lt;b&gt;Range &lt;/b&gt;touch&lt;/h5&gt;&lt;h5&gt;&lt;b&gt;Targets &lt;/b&gt;one creature&lt;/h5&gt;&lt;h5&gt;&lt;b&gt;Duration &lt;/b&gt;24 hours&lt;/h5&gt;&lt;h5&gt;&lt;b&gt;Saving Throw &lt;/b&gt;Will negates; see text; &lt;b&gt;Spell Resistance &lt;/b&gt;yes&lt;/h5&gt;&lt;/div&gt;&lt;hr/&gt;&lt;div&gt;&lt;h5&gt;&lt;b&gt;DESCRIPTION&lt;/b&gt;&lt;/h5&gt;&lt;/div&gt;&lt;hr/&gt;&lt;div&gt;&lt;h4&gt;&lt;p&gt;You take control of a creature's mind and implant deadly subconscious commands. This spell functions as &lt;i&gt;dominate person&lt;/i&gt;,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bonus.&lt;/p&gt;&lt;/h4&gt;&lt;/div&gt;</t>
  </si>
  <si>
    <t>Fool's Teleport</t>
  </si>
  <si>
    <t>mesmerist 3, psychic 4, sorcerer/wizard 4</t>
  </si>
  <si>
    <t>you and other touched willing creatures</t>
  </si>
  <si>
    <t>This spell instantly renders you unseen as per invisibility, but creates a visual and auditory display that makes it appear as if you had teleported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teleport for what it is; otherwise, she perceives the spell to be dimension door, teleport, or similar conjuration magic. A successful Will save doesn't negate the invisibility.</t>
  </si>
  <si>
    <t>&lt;p&gt;This spell instantly renders you unseen as per &lt;i&gt;invisibility&lt;/i&gt;, but creates a visual and auditory display that makes it appear as if you had &lt;i&gt;teleport&lt;/i&gt;ed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&lt;i&gt;teleport&lt;/i&gt; for what it is; otherwise, she perceives the spell to be &lt;i&gt;dimension door&lt;/i&gt;, &lt;i&gt;teleport&lt;/i&gt;, or similar conjuration magic. A successful Will save doesn't negate the &lt;i&gt;invisibility&lt;/i&gt;.&lt;/p&gt;</t>
  </si>
  <si>
    <t>&lt;link rel="stylesheet"href="PF.css"&gt;&lt;div class="heading"&gt;&lt;p class="alignleft"&gt;Fool's Teleport&lt;/p&gt;&lt;div style="clear: both;"&gt;&lt;/div&gt;&lt;/div&gt;&lt;div&gt;&lt;h5&gt;&lt;b&gt;School &lt;/b&gt;illusion (glamer); &lt;b&gt;Level &lt;/b&gt;mesmerist 3, psychic 4, sorcerer/wizard 4&lt;/h5&gt;&lt;/div&gt;&lt;hr/&gt;&lt;div&gt;&lt;h5&gt;&lt;b&gt;CASTING&lt;/b&gt;&lt;/h5&gt;&lt;/div&gt;&lt;hr/&gt;&lt;div&gt;&lt;h5&gt;&lt;b&gt;Casting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other touched willing creatures&lt;/h5&gt;&lt;h5&gt;&lt;b&gt;Duration &lt;/b&gt;1 minute/level&lt;/h5&gt;&lt;h5&gt;&lt;b&gt;Saving Throw &lt;/b&gt;Will negates (harmless); see text; &lt;b&gt;Spell Resistance &lt;/b&gt;no&lt;/h5&gt;&lt;/div&gt;&lt;hr/&gt;&lt;div&gt;&lt;h5&gt;&lt;b&gt;DESCRIPTION&lt;/b&gt;&lt;/h5&gt;&lt;/div&gt;&lt;hr/&gt;&lt;div&gt;&lt;h4&gt;&lt;p&gt;This spell instantly renders you unseen as per &lt;i&gt;invisibility&lt;/i&gt;, but creates a visual and auditory display that makes it appear as if you had &lt;i&gt;teleport&lt;/i&gt;ed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&lt;i&gt;teleport&lt;/i&gt; for what it is; otherwise, she perceives the spell to be &lt;i&gt;dimension door&lt;/i&gt;, &lt;i&gt;teleport&lt;/i&gt;, or similar conjuration magic. A successful Will save doesn't negate the &lt;i&gt;invisibility&lt;/i&gt;.&lt;/p&gt;&lt;/h4&gt;&lt;/div&gt;</t>
  </si>
  <si>
    <t>Implanted Projection</t>
  </si>
  <si>
    <t>emotionUM, mind-affecting</t>
  </si>
  <si>
    <t>This spell functions as telempathic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telempathic projection, treating the speaker as the original spellcaster.</t>
  </si>
  <si>
    <t>&lt;p&gt;This spell functions as &lt;i&gt;telempathic&lt;/i&gt;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&lt;i&gt;telempathic&lt;/i&gt; projection, treating the speaker as the original spellcaster.&lt;/p&gt;</t>
  </si>
  <si>
    <t>&lt;link rel="stylesheet"href="PF.css"&gt;&lt;div class="heading"&gt;&lt;p class="alignleft"&gt;Implanted Projection&lt;/p&gt;&lt;div style="clear: both;"&gt;&lt;/div&gt;&lt;/div&gt;&lt;div&gt;&lt;h5&gt;&lt;b&gt;School &lt;/b&gt;enchantment (compulsion) [emotion&lt;sup&gt;UM&lt;/sup&gt;, mind-affecting]; &lt;b&gt;Level &lt;/b&gt;mesmerist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day/level&lt;/h5&gt;&lt;h5&gt;&lt;b&gt;Saving Throw &lt;/b&gt;Will negates; &lt;b&gt;Spell Resistance &lt;/b&gt;Yes&lt;/h5&gt;&lt;/div&gt;&lt;hr/&gt;&lt;div&gt;&lt;h5&gt;&lt;b&gt;DESCRIPTION&lt;/b&gt;&lt;/h5&gt;&lt;/div&gt;&lt;hr/&gt;&lt;div&gt;&lt;h4&gt;&lt;p&gt;This spell functions as &lt;i&gt;telempathic&lt;/i&gt;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&lt;i&gt;telempathic&lt;/i&gt; projection, treating the speaker as the original spellcaster.&lt;/p&gt;&lt;/h4&gt;&lt;/div&gt;</t>
  </si>
  <si>
    <t>Dream Shield</t>
  </si>
  <si>
    <t>alchemist 2, bard 2, medium 2, mesmerist 2, psychic 3, shaman 2, sorcerer/wizard 4, witch 4</t>
  </si>
  <si>
    <t>V, S, M (hollow glass ball or dreamcatcher)</t>
  </si>
  <si>
    <t>You ward the target's mind against intrusion and influence while she is unconscious. While sleeping, the target is protected against divinations such as nondetection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protection from evil but it applies regardless of the alignment of the creature or object that created the possession or mental influence effect.  If the target is awake, instead of the previous effects, the dream shield provides a +4 bonus on saving throws against sleep effects. The spell's other effects are suppressed while the target is awake. If the target falls asleep or is otherwise rendered unconscious, the other effects of the dream shield resume. Every 10 minutes spent awake consumes 1 hour of the dream shield's duration.</t>
  </si>
  <si>
    <t>&lt;p&gt;You ward the target's mind against intrusion and influence while she is unconscious. While sleeping, the target is protected against divinations such as &lt;i&gt;nondetection&lt;/i&gt;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&lt;i&gt;protection from evil&lt;/i&gt; but it applies regardless of the alignment of the creature or object that created the possession or mental influence effect.  If the target is awake, instead of the previous effects, the &lt;i&gt;dream shield&lt;/i&gt; provides a +4 bonus on saving throws against sleep effects. The spell's other effects are suppressed while the target is awake. If the target falls asleep or is otherwise rendered unconscious, the other effects of the &lt;i&gt;dream shield&lt;/i&gt; resume. Every 10 minutes spent awake consumes 1 hour of the &lt;i&gt;dream shield&lt;/i&gt;'s duration.&lt;/p&gt;</t>
  </si>
  <si>
    <t>&lt;link rel="stylesheet"href="PF.css"&gt;&lt;div class="heading"&gt;&lt;p class="alignleft"&gt;Dream Shield&lt;/p&gt;&lt;div style="clear: both;"&gt;&lt;/div&gt;&lt;/div&gt;&lt;div&gt;&lt;h5&gt;&lt;b&gt;School &lt;/b&gt;abjuration; &lt;b&gt;Level &lt;/b&gt;alchemist 2, bard 2, medium 2, mesmerist 2, psychic 3, shaman 2, sorcerer/wizard 4, witch 4&lt;/h5&gt;&lt;/div&gt;&lt;hr/&gt;&lt;div&gt;&lt;h5&gt;&lt;b&gt;CASTING&lt;/b&gt;&lt;/h5&gt;&lt;/div&gt;&lt;hr/&gt;&lt;div&gt;&lt;h5&gt;&lt;b&gt;Casting Time &lt;/b&gt;1 standard action&lt;/h5&gt;&lt;h5&gt;&lt;b&gt;Components &lt;/b&gt;V, S, M (hollow glass ball or dreamcatcher)&lt;/h5&gt;&lt;/div&gt;&lt;hr/&gt;&lt;div&gt;&lt;h5&gt;&lt;b&gt;EFFECT&lt;/b&gt;&lt;/h5&gt;&lt;/div&gt;&lt;hr/&gt;&lt;div&gt;&lt;h5&gt;&lt;b&gt;Range &lt;/b&gt;touch&lt;/h5&gt;&lt;h5&gt;&lt;b&gt;Targets &lt;/b&gt;creature touched&lt;/h5&gt;&lt;h5&gt;&lt;b&gt;Duration &lt;/b&gt;1 hour/level&lt;/h5&gt;&lt;h5&gt;&lt;b&gt;Saving Throw &lt;/b&gt;Will negates (harmless); &lt;b&gt;Spell Resistance &lt;/b&gt;no&lt;/h5&gt;&lt;/div&gt;&lt;hr/&gt;&lt;div&gt;&lt;h5&gt;&lt;b&gt;DESCRIPTION&lt;/b&gt;&lt;/h5&gt;&lt;/div&gt;&lt;hr/&gt;&lt;div&gt;&lt;h4&gt;&lt;p&gt;You ward the target's mind against intrusion and influence while she is unconscious. While sleeping, the target is protected against divinations such as &lt;i&gt;nondetection&lt;/i&gt;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&lt;i&gt;protection from evil&lt;/i&gt; but it applies regardless of the alignment of the creature or object that created the possession or mental influence effect.  If the target is awake, instead of the previous effects, the &lt;i&gt;dream shield&lt;/i&gt; provides a +4 bonus on saving throws against sleep effects. The spell's other effects are suppressed while the target is awake. If the target falls asleep or is otherwise rendered unconscious, the other effects of the &lt;i&gt;dream shield&lt;/i&gt; resume. Every 10 minutes spent awake consumes 1 hour of the &lt;i&gt;dream shield&lt;/i&gt;'s duration.&lt;/p&gt;&lt;/h4&gt;&lt;/div&gt;</t>
  </si>
  <si>
    <t>Jealous Rage</t>
  </si>
  <si>
    <t>antipaladin 2, bard 2, bloodrager 2, mesmerist 2, psychic 3, shaman 3, spiritualist 2, witch 3</t>
  </si>
  <si>
    <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jealous rage, the compulsion to attack that creature ends.</t>
  </si>
  <si>
    <t>&lt;p&gt;You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&lt;i&gt;jealous rage&lt;/i&gt;, the compulsion to attack that creature ends.&lt;/p&gt;</t>
  </si>
  <si>
    <t>&lt;link rel="stylesheet"href="PF.css"&gt;&lt;div class="heading"&gt;&lt;p class="alignleft"&gt;Jealous Rage&lt;/p&gt;&lt;div style="clear: both;"&gt;&lt;/div&gt;&lt;/div&gt;&lt;div&gt;&lt;h5&gt;&lt;b&gt;School &lt;/b&gt;enchantment (compulsion) [emotion&lt;sup&gt;UM&lt;/sup&gt;, mind-affecting]; &lt;b&gt;Level &lt;/b&gt;antipaladin 2, bard 2, bloodrager 2, mesmerist 2, psychic 3, shaman 3, spiritualist 2,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minute/level (D)&lt;/h5&gt;&lt;h5&gt;&lt;b&gt;Saving Throw &lt;/b&gt;Will negates; &lt;b&gt;Spell Resistance &lt;/b&gt;no&lt;/h5&gt;&lt;/div&gt;&lt;hr/&gt;&lt;div&gt;&lt;h5&gt;&lt;b&gt;DESCRIPTION&lt;/b&gt;&lt;/h5&gt;&lt;/div&gt;&lt;hr/&gt;&lt;div&gt;&lt;h4&gt;&lt;p&gt;You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&lt;i&gt;jealous rage&lt;/i&gt;, the compulsion to attack that creature ends.&lt;/p&gt;&lt;/h4&gt;&lt;/div&gt;</t>
  </si>
  <si>
    <t>Mindshock</t>
  </si>
  <si>
    <t>antipaladin 2, bloodrager 2, inquisitor 2, medium 2, occultist 2, psychic 2, shaman 2, spiritualist 2, witch 2</t>
  </si>
  <si>
    <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mindshock once.</t>
  </si>
  <si>
    <t>&lt;p&gt;You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&lt;i&gt;mindshock&lt;/i&gt; once.&lt;/p&gt;</t>
  </si>
  <si>
    <t>&lt;link rel="stylesheet"href="PF.css"&gt;&lt;div class="heading"&gt;&lt;p class="alignleft"&gt;Mindshock&lt;/p&gt;&lt;div style="clear: both;"&gt;&lt;/div&gt;&lt;/div&gt;&lt;div&gt;&lt;h5&gt;&lt;b&gt;School &lt;/b&gt;divination [mind-affecting, pain&lt;sup&gt;UM&lt;/sup&gt;]; &lt;b&gt;Level &lt;/b&gt;antipaladin 2, bloodrager 2, inquisitor 2, medium 2, occultist 2, psychic 2, shaman 2, spiritualist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&lt;i&gt;mindshock&lt;/i&gt; once.&lt;/p&gt;&lt;/h4&gt;&lt;/div&gt;</t>
  </si>
  <si>
    <t>Psychic Leech</t>
  </si>
  <si>
    <t>bloodrager 3, magus 3, medium 3, mesmerist 2, psychic 2, sorcerer/wizard 3, spiritualist 2, witch 2</t>
  </si>
  <si>
    <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t>
  </si>
  <si>
    <t>&lt;p&gt;The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fatigued.&lt;/p&gt;</t>
  </si>
  <si>
    <t>&lt;link rel="stylesheet"href="PF.css"&gt;&lt;div class="heading"&gt;&lt;p class="alignleft"&gt;Psychic Leech&lt;/p&gt;&lt;div style="clear: both;"&gt;&lt;/div&gt;&lt;/div&gt;&lt;div&gt;&lt;h5&gt;&lt;b&gt;School &lt;/b&gt;enchantment (compulsion) [emotion&lt;sup&gt;UM&lt;/sup&gt;, mind-affecting]; &lt;b&gt;Level &lt;/b&gt;bloodrager 3, magus 3, medium 3, mesmerist 2, psychic 2, sorcerer/wizard 3, spiritualist 2, witch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living creature&lt;/h5&gt;&lt;h5&gt;&lt;b&gt;Duration &lt;/b&gt;1 minute/level (D)&lt;/h5&gt;&lt;h5&gt;&lt;b&gt;Saving Throw &lt;/b&gt;Will partial; &lt;b&gt;Spell Resistance &lt;/b&gt;yes&lt;/h5&gt;&lt;/div&gt;&lt;hr/&gt;&lt;div&gt;&lt;h5&gt;&lt;b&gt;DESCRIPTION&lt;/b&gt;&lt;/h5&gt;&lt;/div&gt;&lt;hr/&gt;&lt;div&gt;&lt;h4&gt;&lt;p&gt;The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fatigued.&lt;/p&gt;&lt;/h4&gt;&lt;/div&gt;</t>
  </si>
  <si>
    <t>Quell Energy</t>
  </si>
  <si>
    <t>druid 3, inquisitor 3, occultist 3, psychic 3, shaman 3, sorcerer/wizard 3, witch 3</t>
  </si>
  <si>
    <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sound burst o r set on fi re by a fi re e lemental) a re also negated. At 13th level, you reduce the target's damage by 20 points, and at 19th level, you reduce the target's damage by 30 points.  If the target succeeds on its saving throw, the spell's duration is reduced to 1 round.</t>
  </si>
  <si>
    <t>&lt;p&gt;You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&lt;i&gt;sound burst&lt;/i&gt; o r set on fi re by a fi re e lemental) a re also negated. At 13th level, you reduce the target's damage by 20 points, and at 19th level, you reduce the target's damage by 30 points.  If the target succeeds on its saving throw, the spell's duration is reduced to 1 round.&lt;/p&gt;</t>
  </si>
  <si>
    <t>&lt;link rel="stylesheet"href="PF.css"&gt;&lt;div class="heading"&gt;&lt;p class="alignleft"&gt;Quell Energy&lt;/p&gt;&lt;div style="clear: both;"&gt;&lt;/div&gt;&lt;/div&gt;&lt;div&gt;&lt;h5&gt;&lt;b&gt;School &lt;/b&gt;abjuration; &lt;b&gt;Level &lt;/b&gt;druid 3, inquisitor 3, occultist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&lt;i&gt;sound burst&lt;/i&gt; o r set on fi re by a fi re e lemental) a re also negated. At 13th level, you reduce the target's damage by 20 points, and at 19th level, you reduce the target's damage by 30 points.  If the target succeeds on its saving throw, the spell's duration is reduced to 1 round.&lt;/p&gt;&lt;/h4&gt;&lt;/div&gt;</t>
  </si>
  <si>
    <t>Retributive Reparations</t>
  </si>
  <si>
    <t>curseUM</t>
  </si>
  <si>
    <t>antipaladin 3, inquisitor 3, occultist 3, spiritualist 3, witch 4</t>
  </si>
  <si>
    <t>1 day/level or until triggered, and permanent; see text</t>
  </si>
  <si>
    <t>Will negates (object) and Will negates; see text</t>
  </si>
  <si>
    <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remove curse or by returning the item to you. You can have this spell active on one item at a time.</t>
  </si>
  <si>
    <t>&lt;p&gt;If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&lt;i&gt;remove curse&lt;/i&gt; or by returning the item to you. You can have this spell active on one item at a time.&lt;/p&gt;</t>
  </si>
  <si>
    <t>&lt;link rel="stylesheet"href="PF.css"&gt;&lt;div class="heading"&gt;&lt;p class="alignleft"&gt;Retributive Reparations&lt;/p&gt;&lt;div style="clear: both;"&gt;&lt;/div&gt;&lt;/div&gt;&lt;div&gt;&lt;h5&gt;&lt;b&gt;School &lt;/b&gt;necromancy [curse&lt;sup&gt;UM&lt;/sup&gt;]; &lt;b&gt;Level &lt;/b&gt;antipaladin 3, inquisitor 3, occultist 3, spiritualist 3,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&lt;/b&gt;1 day/level or until triggered, and permanent; see text&lt;/h5&gt;&lt;h5&gt;&lt;b&gt;Saving Throw &lt;/b&gt;Will negates (object) and Will negates; see text; &lt;b&gt;Spell Resistance &lt;/b&gt;yes&lt;/h5&gt;&lt;/div&gt;&lt;hr/&gt;&lt;div&gt;&lt;h5&gt;&lt;b&gt;DESCRIPTION&lt;/b&gt;&lt;/h5&gt;&lt;/div&gt;&lt;hr/&gt;&lt;div&gt;&lt;h4&gt;&lt;p&gt;If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&lt;i&gt;remove curse&lt;/i&gt; or by returning the item to you. You can have this spell active on one item at a time.&lt;/p&gt;&lt;/h4&gt;&lt;/div&gt;</t>
  </si>
  <si>
    <t>Sensory Amplifier</t>
  </si>
  <si>
    <t>druid 4, medium 2, mesmerist 3, psychic 3, witch 3</t>
  </si>
  <si>
    <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t>
  </si>
  <si>
    <t>&lt;p&gt;You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damage.&lt;/p&gt;</t>
  </si>
  <si>
    <t>&lt;link rel="stylesheet"href="PF.css"&gt;&lt;div class="heading"&gt;&lt;p class="alignleft"&gt;Sensory Amplifier&lt;/p&gt;&lt;div style="clear: both;"&gt;&lt;/div&gt;&lt;/div&gt;&lt;div&gt;&lt;h5&gt;&lt;b&gt;School &lt;/b&gt;divination [mind-affecting]; &lt;b&gt;Level &lt;/b&gt;druid 4, medium 2, mesmerist 3, psychic 3, witch 3&lt;/h5&gt;&lt;/div&gt;&lt;hr/&gt;&lt;div&gt;&lt;h5&gt;&lt;b&gt;CASTING&lt;/b&gt;&lt;/h5&gt;&lt;/div&gt;&lt;hr/&gt;&lt;div&gt;&lt;h5&gt;&lt;b&gt;Casting Time &lt;/b&gt;1 standard action&lt;/h5&gt;&lt;h5&gt;&lt;b&gt;Components &lt;/b&gt;S&lt;/h5&gt;&lt;/div&gt;&lt;hr/&gt;&lt;div&gt;&lt;h5&gt;&lt;b&gt;EFFECT&lt;/b&gt;&lt;/h5&gt;&lt;/div&gt;&lt;hr/&gt;&lt;div&gt;&lt;h5&gt;&lt;b&gt;Range &lt;/b&gt;personal&lt;/h5&gt;&lt;h5&gt;&lt;b&gt;Area &lt;/b&gt;10-ft.-radius emanation centered on you&lt;/h5&gt;&lt;h5&gt;&lt;b&gt;Duration &lt;/b&gt;1 round/level (D)&lt;/h5&gt;&lt;h5&gt;&lt;b&gt;Saving Throw &lt;/b&gt;Will negates; &lt;b&gt;Spell Resistance &lt;/b&gt;yes&lt;/h5&gt;&lt;/div&gt;&lt;hr/&gt;&lt;div&gt;&lt;h5&gt;&lt;b&gt;DESCRIPTION&lt;/b&gt;&lt;/h5&gt;&lt;/div&gt;&lt;hr/&gt;&lt;div&gt;&lt;h4&gt;&lt;p&gt;You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damage.&lt;/p&gt;&lt;/h4&gt;&lt;/div&gt;</t>
  </si>
  <si>
    <t>Subjective Reality</t>
  </si>
  <si>
    <t>bard 6, medium 5, mesmerist 5, psychic 6, sorcerer/wizard 7</t>
  </si>
  <si>
    <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earthquake spell, if the spell caused a room's ceiling to collapse, the target would not be immune to the effects of the collapse.</t>
  </si>
  <si>
    <t>&lt;p&gt;Choose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&lt;i&gt;earthquake&lt;/i&gt; spell, if the spell caused a room's ceiling to collapse, the target would not be immune to the effects of the collapse.&lt;/p&gt;</t>
  </si>
  <si>
    <t>&lt;link rel="stylesheet"href="PF.css"&gt;&lt;div class="heading"&gt;&lt;p class="alignleft"&gt;Subjective Reality&lt;/p&gt;&lt;div style="clear: both;"&gt;&lt;/div&gt;&lt;/div&gt;&lt;div&gt;&lt;h5&gt;&lt;b&gt;School &lt;/b&gt;illusion (phantasm) [mind-affecting]; &lt;b&gt;Level &lt;/b&gt;bard 6, medium 5, mesmerist 5, psychic 6, sorcerer/wizard 7&lt;/h5&gt;&lt;/div&gt;&lt;hr/&gt;&lt;div&gt;&lt;h5&gt;&lt;b&gt;CASTING&lt;/b&gt;&lt;/h5&gt;&lt;/div&gt;&lt;hr/&gt;&lt;div&gt;&lt;h5&gt;&lt;b&gt;Casting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(D)&lt;/h5&gt;&lt;h5&gt;&lt;b&gt;Saving Throw &lt;/b&gt;none; &lt;b&gt;Spell Resistance &lt;/b&gt;none&lt;/h5&gt;&lt;/div&gt;&lt;hr/&gt;&lt;div&gt;&lt;h5&gt;&lt;b&gt;DESCRIPTION&lt;/b&gt;&lt;/h5&gt;&lt;/div&gt;&lt;hr/&gt;&lt;div&gt;&lt;h4&gt;&lt;p&gt;Choose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&lt;i&gt;earthquake&lt;/i&gt; spell, if the spell caused a room's ceiling to collapse, the target would not be immune to the effects of the collapse.&lt;/p&gt;&lt;/h4&gt;&lt;/div&gt;</t>
  </si>
  <si>
    <t>Ectoplasmic Hand</t>
  </si>
  <si>
    <t>occultist 5, psychic 5, spiritualist 4</t>
  </si>
  <si>
    <t>one ectoplasmic appendage</t>
  </si>
  <si>
    <t>You draw forth a ghostly, animated hand through the ectoplasmic veil to manipulate objects, attack creatures, and deliver touch spells at a distance. The hand remains tethered to you by tendrils of ectoplasm. The ectoplasmic hand and its tether have hardness 10 and hit points equal to 10 + your caster level. The tether can be damaged or sundered anywhere along its length, ending the spell. The ectoplasmic hand has improved evasion, uses your save bonuses, and has an AC of 24 (+6 natural armor, +8 size). The ectoplasmic hand moves up to 30 feet per round, and on each of your turns you can spend a move action to move it an additional 30 feet. If you spend a swift action, the ectoplasmic hand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ectoplasmic hand threatens and can flank targets.  The ectoplasmic hand can also perform additional functions.  Deliver Touch Spell: The ectoplasmic hand can deliver any spell of 6th level or lower that has a range of touch that you cast. You gain a +2 bonus on your melee touch attack roll when doing so.  Manipulate Object: The ectoplasmic hand can manipulate unattended objects weighing no more than 5 pounds per caster level, moving them up to 20 feet per round in any direction you desire, to the limits of this spell's range. It can pull levers, open unstuck doors, or knock over objects. If the ectoplasmic hand must attempt a Strength check, it uses your spellcasting ability score as its Strength score. Using the ectoplasmic hand in this way requires you to concentrate and spend any actions you would normally need to use to manipulate the object yourself.  Combat Maneuver: You can spend a standard action to command the ectoplasmic hand to perform a bull rush, disarm, dragAPG, stealAPG, or trip combat maneuver against a target creature, using your caster level as its CMB and your spellcasting ability score as its Strength score. The ectoplasmic hand takes no penalties for its size. This action doesn't</t>
  </si>
  <si>
    <t>&lt;p&gt;You draw forth a ghostly, animated hand through the ectoplasmic veil to manipulate objects, attack creatures, and deliver touch spells at a distance. The hand remains tethered to you by tendrils of ectoplasm. The &lt;i&gt;ectoplasmic hand&lt;/i&gt; and its tether have hardness 10 and hit points equal to 10 + your caster level. The tether can be damaged or sundered anywhere along its length, ending the spell. The &lt;i&gt;ectoplasmic hand&lt;/i&gt; has improved evasion, uses your save bonuses, and has an AC of 24 (+6 natural armor, +8 size). The &lt;i&gt;ectoplasmic hand&lt;/i&gt; moves up to 30 feet per round, and on each of your turns you can spend a move action to move it an additional 30 feet. If you spend a swift action, the &lt;i&gt;ectoplasmic hand&lt;/i&gt;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&lt;i&gt;ectoplasmic hand&lt;/i&gt; threatens and can flank targets.  The &lt;i&gt;ectoplasmic hand&lt;/i&gt; can also perform additional functions.  &lt;b&gt;Deliver Touch Spell&lt;/b&gt;: The &lt;i&gt;ectoplasmic hand&lt;/i&gt; can deliver any spell of 6th level or lower that has a range of touch that you cast. You gain a +2 bonus on your melee touch attack roll when doing so.  &lt;b&gt;Manipulate Object&lt;/b&gt;: The &lt;i&gt;ectoplasmic hand&lt;/i&gt; can manipulate unattended objects weighing no more than 5 pounds per caster level, moving them up to 20 feet per round in any direction you desire, to the limits of this spell's range. It can pull levers, open unstuck doors, or knock over objects. If the &lt;i&gt;ectoplasmic hand&lt;/i&gt; must attempt a Strength check, it uses your spellcasting ability score as its Strength score. Using the &lt;i&gt;ectoplasmic hand&lt;/i&gt; in this way requires you to concentrate and spend any actions you would normally need to use to manipulate the object yourself.  &lt;b&gt;Combat Maneuver&lt;/b&gt;: You can spend a standard action to command the &lt;i&gt;ectoplasmic hand&lt;/i&gt; to perform a bull rush, disarm, dragAPG, stealAPG, or trip combat maneuver against a target creature, using your caster level as its CMB and your spellcasting ability score as its Strength score. The &lt;i&gt;ectoplasmic hand&lt;/i&gt; takes no penalties for its size. This action doesn't&lt;/p&gt;</t>
  </si>
  <si>
    <t>&lt;link rel="stylesheet"href="PF.css"&gt;&lt;div class="heading"&gt;&lt;p class="alignleft"&gt;Ectoplasmic Hand&lt;/p&gt;&lt;div style="clear: both;"&gt;&lt;/div&gt;&lt;/div&gt;&lt;div&gt;&lt;h5&gt;&lt;b&gt;School &lt;/b&gt;evocation; &lt;b&gt;Level &lt;/b&gt;occultist 5, psychic 5,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ft./level)&lt;/h5&gt;&lt;h5&gt;&lt;b&gt;Effect &lt;/b&gt;one ectoplasmic appendage&lt;/h5&gt;&lt;h5&gt;&lt;b&gt;Duration &lt;/b&gt;1 minute/level&lt;/h5&gt;&lt;h5&gt;&lt;b&gt;Saving Throw &lt;/b&gt;none; &lt;b&gt;Spell Resistance &lt;/b&gt;no&lt;/h5&gt;&lt;/div&gt;&lt;hr/&gt;&lt;div&gt;&lt;h5&gt;&lt;b&gt;DESCRIPTION&lt;/b&gt;&lt;/h5&gt;&lt;/div&gt;&lt;hr/&gt;&lt;div&gt;&lt;h4&gt;&lt;p&gt;You draw forth a ghostly, animated hand through the ectoplasmic veil to manipulate objects, attack creatures, and deliver touch spells at a distance. The hand remains tethered to you by tendrils of ectoplasm. The &lt;i&gt;ectoplasmic hand&lt;/i&gt; and its tether have hardness 10 and hit points equal to 10 + your caster level. The tether can be damaged or sundered anywhere along its length, ending the spell. The &lt;i&gt;ectoplasmic hand&lt;/i&gt; has improved evasion, uses your save bonuses, and has an AC of 24 (+6 natural armor, +8 size). The &lt;i&gt;ectoplasmic hand&lt;/i&gt; moves up to 30 feet per round, and on each of your turns you can spend a move action to move it an additional 30 feet. If you spend a swift action, the &lt;i&gt;ectoplasmic hand&lt;/i&gt;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&lt;i&gt;ectoplasmic hand&lt;/i&gt; threatens and can flank targets.  The &lt;i&gt;ectoplasmic hand&lt;/i&gt; can also perform additional functions.  &lt;b&gt;Deliver Touch Spell&lt;/b&gt;: The &lt;i&gt;ectoplasmic hand&lt;/i&gt; can deliver any spell of 6th level or lower that has a range of touch that you cast. You gain a +2 bonus on your melee touch attack roll when doing so.  &lt;b&gt;Manipulate Object&lt;/b&gt;: The &lt;i&gt;ectoplasmic hand&lt;/i&gt; can manipulate unattended objects weighing no more than 5 pounds per caster level, moving them up to 20 feet per round in any direction you desire, to the limits of this spell's range. It can pull levers, open unstuck doors, or knock over objects. If the &lt;i&gt;ectoplasmic hand&lt;/i&gt; must attempt a Strength check, it uses your spellcasting ability score as its Strength score. Using the &lt;i&gt;ectoplasmic hand&lt;/i&gt; in this way requires you to concentrate and spend any actions you would normally need to use to manipulate the object yourself.  &lt;b&gt;Combat Maneuver&lt;/b&gt;: You can spend a standard action to command the &lt;i&gt;ectoplasmic hand&lt;/i&gt; to perform a bull rush, disarm, dragAPG, stealAPG, or trip combat maneuver against a target creature, using your caster level as its CMB and your spellcasting ability score as its Strength score. The &lt;i&gt;ectoplasmic hand&lt;/i&gt; takes no penalties for its size. This action doesn't&lt;/p&gt;&lt;/h4&gt;&lt;/div&gt;</t>
  </si>
  <si>
    <t>Mantle Of Doubt</t>
  </si>
  <si>
    <t>emotionUM, fear, mind-affecting</t>
  </si>
  <si>
    <t>mesmerist 6, psychic 8</t>
  </si>
  <si>
    <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mantle of doubt at most once per round. If the creature's attack or effect against you was a psychic spell or spell-like ability, that creature's save takes a -4 penalty. A creatures that fails its save against your mantle of doubt is affected for 1d4+1 rounds, during which time it is shaken, cannot flank, and no longer threatens creatures within its reach. In addition, it takes a -2 penalty on saves against mind-affecting effects, which stacks with the penalties for being shaken. If your mantle of doubt affects a creature that is already shaken, that creature's fear level doesn't increase. Instead, mounting doubts stagger the creature for 1 round and deal 1d4 points of Wisdom and Charisma damage to it.  Spell resistance applies against assaults from a mantle of doubt, and immunity to fear or mind-affecting effects negates the spell's effects. If you are immune to fear or mind-affecting effects, you can still cast mantle of doubt on yourself.</t>
  </si>
  <si>
    <t>&lt;p&gt;You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&lt;i&gt;mantle of doubt&lt;/i&gt; at most once per round. If the creature's attack or effect against you was a psychic spell or spell-like ability, that creature's save takes a -4 penalty. A creatures that fails its save against your &lt;i&gt;mantle of doubt&lt;/i&gt; is affected for 1d4+1 rounds, during which time it is shaken, cannot flank, and no longer threatens creatures within its reach. In addition, it takes a -2 penalty on saves against mind-affecting effects, which stacks with the penalties for being shaken. If your &lt;i&gt;mantle of doubt&lt;/i&gt; affects a creature that is already shaken, that creature's fear level doesn't increase. Instead, mounting doubts stagger the creature for 1 round and deal 1d4 points of Wisdom and Charisma damage to it.  Spell resistance applies against assaults from a &lt;i&gt;mantle of doubt&lt;/i&gt;, and immunity to fear or mind-affecting effects negates the spell's effects. If you are immune to fear or mind-affecting effects, you can still cast &lt;i&gt;mantle of doubt&lt;/i&gt; on yourself.&lt;/p&gt;</t>
  </si>
  <si>
    <t>&lt;link rel="stylesheet"href="PF.css"&gt;&lt;div class="heading"&gt;&lt;p class="alignleft"&gt;Mantle Of Doubt&lt;/p&gt;&lt;div style="clear: both;"&gt;&lt;/div&gt;&lt;/div&gt;&lt;div&gt;&lt;h5&gt;&lt;b&gt;School &lt;/b&gt;illusion (phantasm) [emotion&lt;sup&gt;UM&lt;/sup&gt;, fear, mind-affecting]; &lt;b&gt;Level &lt;/b&gt;mesmerist 6, psychic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&lt;i&gt;mantle of doubt&lt;/i&gt; at most once per round. If the creature's attack or effect against you was a psychic spell or spell-like ability, that creature's save takes a -4 penalty. A creatures that fails its save against your &lt;i&gt;mantle of doubt&lt;/i&gt; is affected for 1d4+1 rounds, during which time it is shaken, cannot flank, and no longer threatens creatures within its reach. In addition, it takes a -2 penalty on saves against mind-affecting effects, which stacks with the penalties for being shaken. If your &lt;i&gt;mantle of doubt&lt;/i&gt; affects a creature that is already shaken, that creature's fear level doesn't increase. Instead, mounting doubts stagger the creature for 1 round and deal 1d4 points of Wisdom and Charisma damage to it.  Spell resistance applies against assaults from a &lt;i&gt;mantle of doubt&lt;/i&gt;, and immunity to fear or mind-affecting effects negates the spell's effects. If you are immune to fear or mind-affecting effects, you can still cast &lt;i&gt;mantle of doubt&lt;/i&gt; on yourself.&lt;/p&gt;&lt;/h4&gt;&lt;/div&gt;</t>
  </si>
  <si>
    <t>Mind Over Matter</t>
  </si>
  <si>
    <t>mesmerist 2, psychic 2, spiritualist 2</t>
  </si>
  <si>
    <t>You blur the lines between mind and body, reassigning ability damage or drain your target has taken to a corresponding ability score, as per the following table.  Physical Ability Score Mental Ability Score  Strength Intelligence  Dexterity Wisdom  Constitution Charisma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t>
  </si>
  <si>
    <t>&lt;p&gt;You blur the lines between mind and body, reassigning ability damage or drain your target has taken to a corresponding ability score, as per the following table.   &lt;table border ='1'&gt;&lt;tr&gt;&lt;th&gt;Physical Ability Score&lt;/th&gt;&lt;th&gt;Mental Ability Score&lt;/th&gt;&lt;/tr&gt;&lt;tr&gt;&lt;td&gt;Strength&lt;/td&gt;&lt;td&gt;Intelligence&lt;/td&gt;&lt;/tr&gt;&lt;tr&gt;&lt;td&gt;Dexterity&lt;/td&gt;&lt;td&gt;Wisdom&lt;/td&gt;&lt;/tr&gt;&lt;tr&gt;&lt;td&gt;Constitution&lt;/td&gt;&lt;td&gt;Charisma&lt;/td&gt;&lt;/tr&gt;&lt;/table&gt;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0.&lt;/p&gt;</t>
  </si>
  <si>
    <t>&lt;link rel="stylesheet"href="PF.css"&gt;&lt;div class="heading"&gt;&lt;p class="alignleft"&gt;Mind Over Matter&lt;/p&gt;&lt;div style="clear: both;"&gt;&lt;/div&gt;&lt;/div&gt;&lt;div&gt;&lt;h5&gt;&lt;b&gt;School &lt;/b&gt;necromancy; &lt;b&gt;Level &lt;/b&gt;mesmerist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&lt;/b&gt;instantaneous&lt;/h5&gt;&lt;h5&gt;&lt;b&gt;Saving Throw &lt;/b&gt;Fort negates; &lt;b&gt;Spell Resistance &lt;/b&gt;yes&lt;/h5&gt;&lt;/div&gt;&lt;hr/&gt;&lt;div&gt;&lt;h5&gt;&lt;b&gt;DESCRIPTION&lt;/b&gt;&lt;/h5&gt;&lt;/div&gt;&lt;hr/&gt;&lt;div&gt;&lt;h4&gt;&lt;p&gt;You blur the lines between mind and body, reassigning ability damage or drain your target has taken to a corresponding ability score, as per the following table.  &lt;table border ='1'&gt;&lt;tr&gt;&lt;th&gt;Physical Ability Score&lt;/th&gt;&lt;th&gt;Mental Ability Score&lt;/th&gt;&lt;/tr&gt;&lt;tr&gt;&lt;td&gt;Strength&lt;/td&gt;&lt;td&gt;Intelligence&lt;/td&gt;&lt;/tr&gt;&lt;tr&gt;&lt;td&gt;Dexterity&lt;/td&gt;&lt;td&gt;Wisdom&lt;/td&gt;&lt;/tr&gt;&lt;tr&gt;&lt;td&gt;Constitution&lt;/td&gt;&lt;td&gt;Charisma&lt;/td&gt;&lt;/tr&gt;&lt;/table&gt;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0.&lt;/p&gt;&lt;/h4&gt;&lt;/div&gt;</t>
  </si>
  <si>
    <t>Out Of Sight</t>
  </si>
  <si>
    <t>medium 3, mesmerist 3, psychic 4</t>
  </si>
  <si>
    <t>V, S, M (a strip of black cloth)</t>
  </si>
  <si>
    <t>1 minute/level (D); see text</t>
  </si>
  <si>
    <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out of sight effect lasts on you, but the memory alteration is instantaneous and can be reversed only by magic such as modify memory.  The creature is still aware of any other changes to itself or its environment. For instance, a guard will remember running, and may notice a newly unlocked door, but will not remember that he was chasing after you.</t>
  </si>
  <si>
    <t>&lt;p&gt;The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&lt;i&gt;out of sight&lt;/i&gt; effect lasts on you, but the memory alteration is instantaneous and can be reversed only by magic such as &lt;i&gt;modify memory&lt;/i&gt;.  The creature is still aware of any other changes to itself or its environment. For instance, a guard will remember running, and may notice a newly unlocked door, but will not remember that he was chasing after you.&lt;/p&gt;</t>
  </si>
  <si>
    <t>&lt;link rel="stylesheet"href="PF.css"&gt;&lt;div class="heading"&gt;&lt;p class="alignleft"&gt;Out Of Sight&lt;/p&gt;&lt;div style="clear: both;"&gt;&lt;/div&gt;&lt;/div&gt;&lt;div&gt;&lt;h5&gt;&lt;b&gt;School &lt;/b&gt;enchantment [mind-affecting]; &lt;b&gt;Level &lt;/b&gt;medium 3, mesmerist 3, psychic 4&lt;/h5&gt;&lt;/div&gt;&lt;hr/&gt;&lt;div&gt;&lt;h5&gt;&lt;b&gt;CASTING&lt;/b&gt;&lt;/h5&gt;&lt;/div&gt;&lt;hr/&gt;&lt;div&gt;&lt;h5&gt;&lt;b&gt;Casting Time &lt;/b&gt;1 standard action&lt;/h5&gt;&lt;h5&gt;&lt;b&gt;Components &lt;/b&gt;V, S, M (a strip of black cloth)&lt;/h5&gt;&lt;/div&gt;&lt;hr/&gt;&lt;div&gt;&lt;h5&gt;&lt;b&gt;EFFECT&lt;/b&gt;&lt;/h5&gt;&lt;/div&gt;&lt;hr/&gt;&lt;div&gt;&lt;h5&gt;&lt;b&gt;Range &lt;/b&gt;personal&lt;/h5&gt;&lt;h5&gt;&lt;b&gt;Targets &lt;/b&gt;you&lt;/h5&gt;&lt;h5&gt;&lt;b&gt;Duration &lt;/b&gt;1 minute/level (D); see text&lt;/h5&gt;&lt;h5&gt;&lt;b&gt;Saving Throw &lt;/b&gt;Will negates; see text; &lt;b&gt;Spell Resistance &lt;/b&gt;yes; see text&lt;/h5&gt;&lt;/div&gt;&lt;hr/&gt;&lt;div&gt;&lt;h5&gt;&lt;b&gt;DESCRIPTION&lt;/b&gt;&lt;/h5&gt;&lt;/div&gt;&lt;hr/&gt;&lt;div&gt;&lt;h4&gt;&lt;p&gt;The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&lt;i&gt;out of sight&lt;/i&gt; effect lasts on you, but the memory alteration is instantaneous and can be reversed only by magic such as &lt;i&gt;modify memory&lt;/i&gt;.  The creature is still aware of any other changes to itself or its environment. For instance, a guard will remember running, and may notice a newly unlocked door, but will not remember that he was chasing after you.&lt;/p&gt;&lt;/h4&gt;&lt;/div&gt;</t>
  </si>
  <si>
    <t>Phantom Limb</t>
  </si>
  <si>
    <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Extra Arms: The target grows two phantom arms, granting it two extra natural claw attacks; the target cannot use the phantom arms for any other purpose.  Extra Legs: The target grows two phantom legs and strong hindquarters like those of a horse, granting it a +30-foot enhancement bonus to speed and a +4 bonus to its CMD against overrun and trip combat maneuvers.  Mermaid's Tail: The target grows a phantom tail, granting it a swim speed of 60 feet.  Phantom Wings: The target grows phantom wings, granting it a fly speed of 60 feet (good maneuverability).</t>
  </si>
  <si>
    <t>&lt;p&gt;This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&lt;b&gt;Extra Arms&lt;/b&gt;: The target grows two phantom arms, granting it two extra natural claw attacks; the target cannot use the phantom arms for any other purpose.  &lt;b&gt;Extra Legs&lt;/b&gt;: The target grows two phantom legs and strong hindquarters like those of a horse, granting it a +30-foot enhancement bonus to speed and a +4 bonus to its CMD against overrun and trip combat maneuvers.  Mermaid's Tail: The target grows a phantom tail, granting it a swim speed of 60 feet.  &lt;b&gt;Phantom Wings&lt;/b&gt;: The target grows phantom wings, granting it a fly speed of 60 feet (good maneuverability).&lt;/p&gt;</t>
  </si>
  <si>
    <t>&lt;link rel="stylesheet"href="PF.css"&gt;&lt;div class="heading"&gt;&lt;p class="alignleft"&gt;Phantom Limb&lt;/p&gt;&lt;div style="clear: both;"&gt;&lt;/div&gt;&lt;/div&gt;&lt;div&gt;&lt;h5&gt;&lt;b&gt;School &lt;/b&gt;necromancy; &lt;b&gt;Level &lt;/b&gt;psychic 6,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&lt;/b&gt;24 hours; see text&lt;/h5&gt;&lt;h5&gt;&lt;b&gt;Saving Throw &lt;/b&gt;none; &lt;b&gt;Spell Resistance &lt;/b&gt;yes&lt;/h5&gt;&lt;/div&gt;&lt;hr/&gt;&lt;div&gt;&lt;h5&gt;&lt;b&gt;DESCRIPTION&lt;/b&gt;&lt;/h5&gt;&lt;/div&gt;&lt;hr/&gt;&lt;div&gt;&lt;h4&gt;&lt;p&gt;This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&lt;b&gt;Extra Arms&lt;/b&gt;: The target grows two phantom arms, granting it two extra natural claw attacks; the target cannot use the phantom arms for any other purpose.  &lt;b&gt;Extra Legs&lt;/b&gt;: The target grows two phantom legs and strong hindquarters like those of a horse, granting it a +30-foot enhancement bonus to speed and a +4 bonus to its CMD against overrun and trip combat maneuvers.  Mermaid's Tail: The target grows a phantom tail, granting it a swim speed of 60 feet.  &lt;b&gt;Phantom Wings&lt;/b&gt;: The target grows phantom wings, granting it a fly speed of 60 feet (good maneuverability).&lt;/p&gt;&lt;/h4&gt;&lt;/div&gt;</t>
  </si>
  <si>
    <t>Psychonaut Manifestation</t>
  </si>
  <si>
    <t>V, S, M (a small piece of psychoactive cactus)</t>
  </si>
  <si>
    <t>?</t>
  </si>
  <si>
    <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t>
  </si>
  <si>
    <t>&lt;p&gt;You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yourself.&lt;/p&gt;</t>
  </si>
  <si>
    <t>&lt;link rel="stylesheet"href="PF.css"&gt;&lt;div class="heading"&gt;&lt;p class="alignleft"&gt;Psychonaut Manifestation&lt;/p&gt;&lt;div style="clear: both;"&gt;&lt;/div&gt;&lt;/div&gt;&lt;div&gt;&lt;h5&gt;&lt;b&gt;School &lt;/b&gt;enchantment (compulsion) [emotion&lt;sup&gt;UM&lt;/sup&gt;, mind-affecting]; &lt;b&gt;Level &lt;/b&gt;psychic 2&lt;/h5&gt;&lt;/div&gt;&lt;hr/&gt;&lt;div&gt;&lt;h5&gt;&lt;b&gt;CASTING&lt;/b&gt;&lt;/h5&gt;&lt;/div&gt;&lt;hr/&gt;&lt;div&gt;&lt;h5&gt;&lt;b&gt;Casting Time &lt;/b&gt;1 standard action&lt;/h5&gt;&lt;h5&gt;&lt;b&gt;Components &lt;/b&gt;V, S, M (a small piece of psychoactive cactus)&lt;/h5&gt;&lt;/div&gt;&lt;hr/&gt;&lt;div&gt;&lt;h5&gt;&lt;b&gt;EFFECT&lt;/b&gt;&lt;/h5&gt;&lt;/div&gt;&lt;hr/&gt;&lt;div&gt;&lt;h5&gt;&lt;b&gt;Range &lt;/b&gt;personal&lt;/h5&gt;&lt;h5&gt;&lt;b&gt;Targets &lt;/b&gt;you&lt;/h5&gt;&lt;h5&gt;&lt;b&gt;Duration &lt;/b&gt;1 round/level (D)&lt;/h5&gt;&lt;h5&gt;&lt;b&gt;Saving Throw &lt;/b&gt;see text; &lt;b&gt;Spell Resistance &lt;/b&gt;?&lt;/h5&gt;&lt;/div&gt;&lt;hr/&gt;&lt;div&gt;&lt;h5&gt;&lt;b&gt;DESCRIPTION&lt;/b&gt;&lt;/h5&gt;&lt;/div&gt;&lt;hr/&gt;&lt;div&gt;&lt;h4&gt;&lt;p&gt;You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yourself.&lt;/p&gt;&lt;/h4&gt;&lt;/div&gt;</t>
  </si>
  <si>
    <t>Alleviate Addiction</t>
  </si>
  <si>
    <t>alchemist 1, cleric/oracle 1, druid 1, paladin 1, ranger 1, shaman 1, witch 1</t>
  </si>
  <si>
    <t>The subject ignores the effects of addictions. The subject can naturally recover from damage dealt by the drug if she is under the effects of this spell for the entire duration of her rest.</t>
  </si>
  <si>
    <t>&lt;p&gt;The subject ignores the effects of addictions. The subject can naturally recover from damage dealt by the drug if she is under the effects of this spell for the entire duration of her rest.&lt;/p&gt;</t>
  </si>
  <si>
    <t>Black Markets</t>
  </si>
  <si>
    <t>&lt;link rel="stylesheet"href="PF.css"&gt;&lt;div class="heading"&gt;&lt;p class="alignleft"&gt;Alleviate Addiction&lt;/p&gt;&lt;div style="clear: both;"&gt;&lt;/div&gt;&lt;/div&gt;&lt;div&gt;&lt;h5&gt;&lt;b&gt;School &lt;/b&gt;conjuration (healing); &lt;b&gt;Level &lt;/b&gt;alchemist 1, cleric/oracle 1, druid 1, paladin 1, ranger 1, shaman 1, witch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 (harmless)&lt;/h5&gt;&lt;/div&gt;&lt;hr/&gt;&lt;div&gt;&lt;h5&gt;&lt;b&gt;DESCRIPTION&lt;/b&gt;&lt;/h5&gt;&lt;/div&gt;&lt;hr/&gt;&lt;div&gt;&lt;h4&gt;&lt;p&gt;The subject ignores the effects of addictions. The subject can naturally recover from damage dealt by the drug if she is under the effects of this spell for the entire duration of her rest.&lt;/p&gt;&lt;/h4&gt;&lt;/div&gt;</t>
  </si>
  <si>
    <t>Contact High</t>
  </si>
  <si>
    <t>alchemist 2, bard 2, cleric/oracle 3, mesmerist 3, shaman 3, skald 3</t>
  </si>
  <si>
    <t>living creatures touched (up to one per level)</t>
  </si>
  <si>
    <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t>
  </si>
  <si>
    <t>&lt;p&gt;While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you.&lt;/p&gt;</t>
  </si>
  <si>
    <t>&lt;link rel="stylesheet"href="PF.css"&gt;&lt;div class="heading"&gt;&lt;p class="alignleft"&gt;Contact High&lt;/p&gt;&lt;div style="clear: both;"&gt;&lt;/div&gt;&lt;/div&gt;&lt;div&gt;&lt;h5&gt;&lt;b&gt;School &lt;/b&gt;transmutation; &lt;b&gt;Level &lt;/b&gt;alchemist 2, bard 2, cleric/oracle 3, mesmerist 3, shaman 3, skald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creatures touched (up to one per level)&lt;/h5&gt;&lt;h5&gt;&lt;b&gt;Duration &lt;/b&gt;1 round/level&lt;/h5&gt;&lt;h5&gt;&lt;b&gt;Saving Throw &lt;/b&gt;Fortitude negates; &lt;b&gt;Spell Resistance &lt;/b&gt;yes&lt;/h5&gt;&lt;/div&gt;&lt;hr/&gt;&lt;div&gt;&lt;h5&gt;&lt;b&gt;DESCRIPTION&lt;/b&gt;&lt;/h5&gt;&lt;/div&gt;&lt;hr/&gt;&lt;div&gt;&lt;h4&gt;&lt;p&gt;While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you.&lt;/p&gt;&lt;/h4&gt;&lt;/div&gt;</t>
  </si>
  <si>
    <t>Imbue With Addiction</t>
  </si>
  <si>
    <t>alchemist 2, mesmerist 3, sorcerer/wizard 3, witch 3</t>
  </si>
  <si>
    <t>V, S, M (a dose of an addictive drug or substance)</t>
  </si>
  <si>
    <t>The target immediately becomes addicted to the drug used as the material component during the casting of the spell. If the target was ever addicted to the drug at any point in the past, it takes a -4 penalty on its saving throw.</t>
  </si>
  <si>
    <t>&lt;p&gt;The target immediately becomes addicted to the drug used as the material component during the casting of the spell. If the target was ever addicted to the drug at any point in the past, it takes a -4 penalty on its saving throw.&lt;/p&gt;</t>
  </si>
  <si>
    <t>&lt;link rel="stylesheet"href="PF.css"&gt;&lt;div class="heading"&gt;&lt;p class="alignleft"&gt;Imbue With Addiction&lt;/p&gt;&lt;div style="clear: both;"&gt;&lt;/div&gt;&lt;/div&gt;&lt;div&gt;&lt;h5&gt;&lt;b&gt;School &lt;/b&gt;transmutation; &lt;b&gt;Level &lt;/b&gt;alchemist 2, mesmerist 3, sorcerer/wizard 3, witch 3&lt;/h5&gt;&lt;/div&gt;&lt;hr/&gt;&lt;div&gt;&lt;h5&gt;&lt;b&gt;CASTING&lt;/b&gt;&lt;/h5&gt;&lt;/div&gt;&lt;hr/&gt;&lt;div&gt;&lt;h5&gt;&lt;b&gt;Casting Time &lt;/b&gt;1 standard action&lt;/h5&gt;&lt;h5&gt;&lt;b&gt;Components &lt;/b&gt;V, S, M (a dose of an addictive drug or substance)&lt;/h5&gt;&lt;/div&gt;&lt;hr/&gt;&lt;div&gt;&lt;h5&gt;&lt;b&gt;EFFECT&lt;/b&gt;&lt;/h5&gt;&lt;/div&gt;&lt;hr/&gt;&lt;div&gt;&lt;h5&gt;&lt;b&gt;Range &lt;/b&gt;touch&lt;/h5&gt;&lt;h5&gt;&lt;b&gt;Targets &lt;/b&gt;one living creature&lt;/h5&gt;&lt;h5&gt;&lt;b&gt;Duration &lt;/b&gt;instantaneous&lt;/h5&gt;&lt;h5&gt;&lt;b&gt;Saving Throw &lt;/b&gt;Fortitude negates; &lt;b&gt;Spell Resistance &lt;/b&gt;yes&lt;/h5&gt;&lt;/div&gt;&lt;hr/&gt;&lt;div&gt;&lt;h5&gt;&lt;b&gt;DESCRIPTION&lt;/b&gt;&lt;/h5&gt;&lt;/div&gt;&lt;hr/&gt;&lt;div&gt;&lt;h4&gt;&lt;p&gt;The target immediately becomes addicted to the drug used as the material component during the casting of the spell. If the target was ever addicted to the drug at any point in the past, it takes a -4 penalty on its saving throw.&lt;/p&gt;&lt;/h4&gt;&lt;/div&gt;</t>
  </si>
  <si>
    <t>Night Blindness</t>
  </si>
  <si>
    <t>antipaladin 1, bard 1, bloodrager 1, cleric/oracle 2, mesmerist 1, psychic 1, shaman 2, sorcerer/wizard 1, spiritualist 2, witch 1</t>
  </si>
  <si>
    <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Remove blindness/deafness dispels night blindness.</t>
  </si>
  <si>
    <t>&lt;p&gt;Your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&lt;i&gt;Remove blindness/deafness&lt;/i&gt; dispels &lt;i&gt;night blindness&lt;/i&gt;.&lt;/p&gt;</t>
  </si>
  <si>
    <t>&lt;link rel="stylesheet"href="PF.css"&gt;&lt;div class="heading"&gt;&lt;p class="alignleft"&gt;Night Blindness&lt;/p&gt;&lt;div style="clear: both;"&gt;&lt;/div&gt;&lt;/div&gt;&lt;div&gt;&lt;h5&gt;&lt;b&gt;School &lt;/b&gt;necromancy [curse&lt;sup&gt;UM&lt;/sup&gt;]; &lt;b&gt;Level &lt;/b&gt;antipaladin 1, bard 1, bloodrager 1, cleric/oracle 2, mesmerist 1, psychic 1, shaman 2, sorcerer/wizard 1, spiritualist 2, witch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living creature&lt;/h5&gt;&lt;h5&gt;&lt;b&gt;Duration &lt;/b&gt;1 day/level (D)&lt;/h5&gt;&lt;h5&gt;&lt;b&gt;Saving Throw &lt;/b&gt;Will negates (harmless); &lt;b&gt;Spell Resistance &lt;/b&gt;no&lt;/h5&gt;&lt;/div&gt;&lt;hr/&gt;&lt;div&gt;&lt;h5&gt;&lt;b&gt;DESCRIPTION&lt;/b&gt;&lt;/h5&gt;&lt;/div&gt;&lt;hr/&gt;&lt;div&gt;&lt;h4&gt;&lt;p&gt;Your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&lt;i&gt;Remove blindness/deafness&lt;/i&gt; dispels &lt;i&gt;night blindness&lt;/i&gt;.&lt;/p&gt;&lt;/h4&gt;&lt;/div&gt;</t>
  </si>
  <si>
    <t>Pesh Vigor</t>
  </si>
  <si>
    <t>alchemist 1, antipaladin 1, bloodrager 1, cleric/oracle 1, druid 1, magus 1, medium 1, psychic 1, shaman 1, sorcerer/wizard 1, summoner 1</t>
  </si>
  <si>
    <t>V, S, M (a dose of pesh worth 15 gp)</t>
  </si>
  <si>
    <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t>
  </si>
  <si>
    <t>&lt;p&gt;The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fatigued.&lt;/p&gt;</t>
  </si>
  <si>
    <t>&lt;link rel="stylesheet"href="PF.css"&gt;&lt;div class="heading"&gt;&lt;p class="alignleft"&gt;Pesh Vigor&lt;/p&gt;&lt;div style="clear: both;"&gt;&lt;/div&gt;&lt;/div&gt;&lt;div&gt;&lt;h5&gt;&lt;b&gt;School &lt;/b&gt;transmutation; &lt;b&gt;Level &lt;/b&gt;alchemist 1, antipaladin 1, bloodrager 1, cleric/oracle 1, druid 1, magus 1, medium 1, psychic 1, shaman 1, sorcerer/wizard 1, summoner 1&lt;/h5&gt;&lt;/div&gt;&lt;hr/&gt;&lt;div&gt;&lt;h5&gt;&lt;b&gt;CASTING&lt;/b&gt;&lt;/h5&gt;&lt;/div&gt;&lt;hr/&gt;&lt;div&gt;&lt;h5&gt;&lt;b&gt;Casting Time &lt;/b&gt;1 standard action&lt;/h5&gt;&lt;h5&gt;&lt;b&gt;Components &lt;/b&gt;V, S, M (a dose of pesh worth 15 gp)&lt;/h5&gt;&lt;/div&gt;&lt;hr/&gt;&lt;div&gt;&lt;h5&gt;&lt;b&gt;EFFECT&lt;/b&gt;&lt;/h5&gt;&lt;/div&gt;&lt;hr/&gt;&lt;div&gt;&lt;h5&gt;&lt;b&gt;Range &lt;/b&gt;touch&lt;/h5&gt;&lt;h5&gt;&lt;b&gt;Targets &lt;/b&gt;living creature touched&lt;/h5&gt;&lt;h5&gt;&lt;b&gt;Duration &lt;/b&gt;1 round/level; see text&lt;/h5&gt;&lt;h5&gt;&lt;b&gt;Saving Throw &lt;/b&gt;Will negates; &lt;b&gt;Spell Resistance &lt;/b&gt;yes&lt;/h5&gt;&lt;/div&gt;&lt;hr/&gt;&lt;div&gt;&lt;h5&gt;&lt;b&gt;DESCRIPTION&lt;/b&gt;&lt;/h5&gt;&lt;/div&gt;&lt;hr/&gt;&lt;div&gt;&lt;h4&gt;&lt;p&gt;The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fatigued.&lt;/p&gt;&lt;/h4&gt;&lt;/div&gt;</t>
  </si>
  <si>
    <t>Compel Tongue</t>
  </si>
  <si>
    <t>bard 1, cleric/oracle 2, druid 2, medium 2, mesmerist 2, sorcerer/wizard 2, witch 2</t>
  </si>
  <si>
    <t>V, S, M (a wooden block carved with a letter)</t>
  </si>
  <si>
    <t>This spell functions as share language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t>
  </si>
  <si>
    <t>&lt;p&gt;This spell functions as &lt;i&gt;share language&lt;/i&gt;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unaffected.&lt;/p&gt;</t>
  </si>
  <si>
    <t>&lt;link rel="stylesheet"href="PF.css"&gt;&lt;div class="heading"&gt;&lt;p class="alignleft"&gt;Compel Tongue&lt;/p&gt;&lt;div style="clear: both;"&gt;&lt;/div&gt;&lt;/div&gt;&lt;div&gt;&lt;h5&gt;&lt;b&gt;School &lt;/b&gt;enchantment (compulsion) [mind-affecting]; &lt;b&gt;Level &lt;/b&gt;bard 1, cleric/oracle 2, druid 2, medium 2, mesmerist 2, sorcerer/wizard 2, witch 2&lt;/h5&gt;&lt;/div&gt;&lt;hr/&gt;&lt;div&gt;&lt;h5&gt;&lt;b&gt;CASTING&lt;/b&gt;&lt;/h5&gt;&lt;/div&gt;&lt;hr/&gt;&lt;div&gt;&lt;h5&gt;&lt;b&gt;Casting Time &lt;/b&gt;1 standard action&lt;/h5&gt;&lt;h5&gt;&lt;b&gt;Components &lt;/b&gt;V, S, M (a wooden block carved with a letter)&lt;/h5&gt;&lt;/div&gt;&lt;hr/&gt;&lt;div&gt;&lt;h5&gt;&lt;b&gt;EFFECT&lt;/b&gt;&lt;/h5&gt;&lt;/div&gt;&lt;hr/&gt;&lt;div&gt;&lt;h5&gt;&lt;b&gt;Range &lt;/b&gt;touch&lt;/h5&gt;&lt;h5&gt;&lt;b&gt;Targets &lt;/b&gt;one creature&lt;/h5&gt;&lt;h5&gt;&lt;b&gt;Duration &lt;/b&gt;1 hour/level (D)&lt;/h5&gt;&lt;h5&gt;&lt;b&gt;Saving Throw &lt;/b&gt;Will negates; &lt;b&gt;Spell Resistance &lt;/b&gt;yes&lt;/h5&gt;&lt;/div&gt;&lt;hr/&gt;&lt;div&gt;&lt;h5&gt;&lt;b&gt;DESCRIPTION&lt;/b&gt;&lt;/h5&gt;&lt;/div&gt;&lt;hr/&gt;&lt;div&gt;&lt;h4&gt;&lt;p&gt;This spell functions as &lt;i&gt;share language&lt;/i&gt;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unaffected.&lt;/p&gt;&lt;/h4&gt;&lt;/div&gt;</t>
  </si>
  <si>
    <t>Compel Tongue, Mass</t>
  </si>
  <si>
    <t>bard 4, cleric/oracle 5, druid 5, medium 4, mesmerist 4, sorcerer/wizard 5, witch 5</t>
  </si>
  <si>
    <t>This spell functions as compel tongue, except it affects multiple creatures. The same language restriction applies to all creatures, and the same language must be imparted to all creatures affected by the same casting of this spell.</t>
  </si>
  <si>
    <t>&lt;p&gt;This spell functions as &lt;i&gt;compel tongue&lt;/i&gt;, except it affects multiple creatures. The same language restriction applies to all creatures, and the same language must be imparted to all creatures affected by the same casting of this spell.&lt;/p&gt;</t>
  </si>
  <si>
    <t>&lt;link rel="stylesheet"href="PF.css"&gt;&lt;div class="heading"&gt;&lt;p class="alignleft"&gt;Compel Tongue, Mass&lt;/p&gt;&lt;div style="clear: both;"&gt;&lt;/div&gt;&lt;/div&gt;&lt;div&gt;&lt;h5&gt;&lt;b&gt;School &lt;/b&gt;enchantment (compulsion) [mind-affecting]; &lt;b&gt;Level &lt;/b&gt;bard 4, cleric/oracle 5, druid 5, medium 4, mesmerist 4, sorcerer/wizard 5, witch 5&lt;/h5&gt;&lt;/div&gt;&lt;hr/&gt;&lt;div&gt;&lt;h5&gt;&lt;b&gt;CASTING&lt;/b&gt;&lt;/h5&gt;&lt;/div&gt;&lt;hr/&gt;&lt;div&gt;&lt;h5&gt;&lt;b&gt;Casting Time &lt;/b&gt;1 standard action&lt;/h5&gt;&lt;h5&gt;&lt;b&gt;Components &lt;/b&gt;V, S, M (a wooden block carved with a letter)&lt;/h5&gt;&lt;/div&gt;&lt;hr/&gt;&lt;div&gt;&lt;h5&gt;&lt;b&gt;EFFECT&lt;/b&gt;&lt;/h5&gt;&lt;/div&gt;&lt;hr/&gt;&lt;div&gt;&lt;h5&gt;&lt;b&gt;Range &lt;/b&gt;touch&lt;/h5&gt;&lt;h5&gt;&lt;b&gt;Targets &lt;/b&gt;one creature/level, no two of which can be more than 30 ft. apart&lt;/h5&gt;&lt;h5&gt;&lt;b&gt;Duration &lt;/b&gt;1 hour/level (D)&lt;/h5&gt;&lt;h5&gt;&lt;b&gt;Saving Throw &lt;/b&gt;Will negates; &lt;b&gt;Spell Resistance &lt;/b&gt;yes&lt;/h5&gt;&lt;/div&gt;&lt;hr/&gt;&lt;div&gt;&lt;h5&gt;&lt;b&gt;DESCRIPTION&lt;/b&gt;&lt;/h5&gt;&lt;/div&gt;&lt;hr/&gt;&lt;div&gt;&lt;h4&gt;&lt;p&gt;This spell functions as &lt;i&gt;compel tongue&lt;/i&gt;, except it affects multiple creatures. The same language restriction applies to all creatures, and the same language must be imparted to all creatures affected by the same casting of this spell.&lt;/p&gt;&lt;/h4&gt;&lt;/div&gt;</t>
  </si>
  <si>
    <t>Fleeting Memory</t>
  </si>
  <si>
    <t>bard 3, mesmerist 2, occultist 3, psychic 3, sorcerer/wizard 4</t>
  </si>
  <si>
    <t>You create a gap in the target's memory, preventing the target from remembering anything that happens from the moment you cast this spell until the moment its complete duration ends. Fleeting memory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t>
  </si>
  <si>
    <t>&lt;p&gt;You create a gap in the target's memory, preventing the target from remembering anything that happens from the moment you cast this spell until the moment its complete duration ends. &lt;i&gt;Fleeting memory&lt;/i&gt;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spell.&lt;/p&gt;</t>
  </si>
  <si>
    <t>&lt;link rel="stylesheet"href="PF.css"&gt;&lt;div class="heading"&gt;&lt;p class="alignleft"&gt;Fleeting Memory&lt;/p&gt;&lt;div style="clear: both;"&gt;&lt;/div&gt;&lt;/div&gt;&lt;div&gt;&lt;h5&gt;&lt;b&gt;School &lt;/b&gt;enchantment (compulsion) [mind-affecting]; &lt;b&gt;Level &lt;/b&gt;bard 3, mesmerist 2, occultist 3, psychic 3, sorcerer/wizard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partial; &lt;b&gt;Spell Resistance &lt;/b&gt;yes&lt;/h5&gt;&lt;/div&gt;&lt;hr/&gt;&lt;div&gt;&lt;h5&gt;&lt;b&gt;DESCRIPTION&lt;/b&gt;&lt;/h5&gt;&lt;/div&gt;&lt;hr/&gt;&lt;div&gt;&lt;h4&gt;&lt;p&gt;You create a gap in the target's memory, preventing the target from remembering anything that happens from the moment you cast this spell until the moment its complete duration ends. &lt;i&gt;Fleeting memory&lt;/i&gt;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spell.&lt;/p&gt;&lt;/h4&gt;&lt;/div&gt;</t>
  </si>
  <si>
    <t>Fleeting Memory, Mass</t>
  </si>
  <si>
    <t>bard 6, mesmerist 5, occultist 6, psychic 7, sorcerer/wizard 8</t>
  </si>
  <si>
    <t>This spell functions as fleeting memory, except that it affects multiple creatures.</t>
  </si>
  <si>
    <t>&lt;p&gt;This spell functions as &lt;i&gt;fleeting memory&lt;/i&gt;, except that it affects multiple creatures.&lt;/p&gt;</t>
  </si>
  <si>
    <t>&lt;link rel="stylesheet"href="PF.css"&gt;&lt;div class="heading"&gt;&lt;p class="alignleft"&gt;Fleeting Memory, Mass&lt;/p&gt;&lt;div style="clear: both;"&gt;&lt;/div&gt;&lt;/div&gt;&lt;div&gt;&lt;h5&gt;&lt;b&gt;School &lt;/b&gt;enchantment (compulsion) [mind-affecting]; &lt;b&gt;Level &lt;/b&gt;bard 6, mesmerist 5, occultist 6, psychic 7, sorcerer/wizard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creature/level, no two of which can be more than 30 ft. apart&lt;/h5&gt;&lt;h5&gt;&lt;b&gt;Duration &lt;/b&gt;1 round/level (D)&lt;/h5&gt;&lt;h5&gt;&lt;b&gt;Saving Throw &lt;/b&gt;Will partial; &lt;b&gt;Spell Resistance &lt;/b&gt;yes&lt;/h5&gt;&lt;/div&gt;&lt;hr/&gt;&lt;div&gt;&lt;h5&gt;&lt;b&gt;DESCRIPTION&lt;/b&gt;&lt;/h5&gt;&lt;/div&gt;&lt;hr/&gt;&lt;div&gt;&lt;h4&gt;&lt;p&gt;This spell functions as &lt;i&gt;fleeting memory&lt;/i&gt;, except that it affects multiple creatures.&lt;/p&gt;&lt;/h4&gt;&lt;/div&gt;</t>
  </si>
  <si>
    <t>Secret Sign</t>
  </si>
  <si>
    <t>bard 1, inquisitor 1, shaman 1, sorcerer/wizard 2, witch 2</t>
  </si>
  <si>
    <t>V, S, M (a lemon peel)</t>
  </si>
  <si>
    <t>You invisibly inscribe a small mark or short message (no more than 25 words) on a creature or object, similar to the way arcane mark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secret sign.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secret sign cannot distinguish alignment, level, Hit Dice, or class except by external garb, but can differentiate apparent races, genders, and garments. See invisibility and invisibility purge reveal the sign, but glitterdust does not.  A caster of at least 10th level can make secret sign permanent on an object with a permanency spell using 5,000 gp of diamond dust as a material component.</t>
  </si>
  <si>
    <t>&lt;p&gt;You invisibly inscribe a small mark or short message (no more than 25 words) on a creature or object, similar to the way &lt;i&gt;arcane mark&lt;/i&gt;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&lt;i&gt;secret sign&lt;/i&gt;.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&lt;i&gt;secret sign&lt;/i&gt; cannot distinguish alignment, level, Hit Dice, or class except by external garb, but can differentiate apparent races, genders, and garments. &lt;i&gt;See invisibility&lt;/i&gt; and &lt;i&gt;invisibility purge&lt;/i&gt; reveal the sign, but &lt;i&gt;glitterdust&lt;/i&gt; does not.  A caster of at least 10th level can make &lt;i&gt;secret sign&lt;/i&gt; permanent on an object with a &lt;i&gt;permanency&lt;/i&gt; spell using 5,000 gp of diamond dust as a material component.&lt;/p&gt;</t>
  </si>
  <si>
    <t>&lt;link rel="stylesheet"href="PF.css"&gt;&lt;div class="heading"&gt;&lt;p class="alignleft"&gt;Secret Sign&lt;/p&gt;&lt;div style="clear: both;"&gt;&lt;/div&gt;&lt;/div&gt;&lt;div&gt;&lt;h5&gt;&lt;b&gt;School &lt;/b&gt;illusion (glamer); &lt;b&gt;Level &lt;/b&gt;bard 1, inquisitor 1, shaman 1, sorcerer/wizard 2, witch 2&lt;/h5&gt;&lt;/div&gt;&lt;hr/&gt;&lt;div&gt;&lt;h5&gt;&lt;b&gt;CASTING&lt;/b&gt;&lt;/h5&gt;&lt;/div&gt;&lt;hr/&gt;&lt;div&gt;&lt;h5&gt;&lt;b&gt;Casting Time &lt;/b&gt;1 standard action&lt;/h5&gt;&lt;h5&gt;&lt;b&gt;Components &lt;/b&gt;V, S, M (a lemon peel)&lt;/h5&gt;&lt;/div&gt;&lt;hr/&gt;&lt;div&gt;&lt;h5&gt;&lt;b&gt;EFFECT&lt;/b&gt;&lt;/h5&gt;&lt;/div&gt;&lt;hr/&gt;&lt;div&gt;&lt;h5&gt;&lt;b&gt;Range &lt;/b&gt;touch&lt;/h5&gt;&lt;h5&gt;&lt;b&gt;Targets &lt;/b&gt;one creature or object&lt;/h5&gt;&lt;h5&gt;&lt;b&gt;Duration &lt;/b&gt;1 day/level&lt;/h5&gt;&lt;h5&gt;&lt;b&gt;Saving Throw &lt;/b&gt;Will negates (object); &lt;b&gt;Spell Resistance &lt;/b&gt;yes (harmless, object)&lt;/h5&gt;&lt;/div&gt;&lt;hr/&gt;&lt;div&gt;&lt;h5&gt;&lt;b&gt;DESCRIPTION&lt;/b&gt;&lt;/h5&gt;&lt;/div&gt;&lt;hr/&gt;&lt;div&gt;&lt;h4&gt;&lt;p&gt;You invisibly inscribe a small mark or short message (no more than 25 words) on a creature or object, similar to the way &lt;i&gt;arcane mark&lt;/i&gt;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&lt;i&gt;secret sign&lt;/i&gt;.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&lt;i&gt;secret sign&lt;/i&gt; cannot distinguish alignment, level, Hit Dice, or class except by external garb, but can differentiate apparent races, genders, and garments. &lt;i&gt;See invisibility&lt;/i&gt; and &lt;i&gt;invisibility purge&lt;/i&gt; reveal the sign, but &lt;i&gt;glitterdust&lt;/i&gt; does not.  A caster of at least 10th level can make &lt;i&gt;secret sign&lt;/i&gt; permanent on an object with a &lt;i&gt;permanency&lt;/i&gt; spell using 5,000 gp of diamond dust as a material component.&lt;/p&gt;&lt;/h4&gt;&lt;/div&gt;</t>
  </si>
  <si>
    <t>Venomous Promise</t>
  </si>
  <si>
    <t>language-dependent, poisonUM</t>
  </si>
  <si>
    <t>antipaladin 3, bard 3, mesmerist 3, shaman 3, witch 3</t>
  </si>
  <si>
    <t>S, M (a vial of poison)</t>
  </si>
  <si>
    <t>permanent or until triggered</t>
  </si>
  <si>
    <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detect thoughts), the target is immediately exposed to the poison (and is allowed any saving throw the poison allows).  Your target instinctively knows that revealing this information will endanger it, but doesn't automatically understand why or how. Neutralize poison removes the effect of this spell; the spellcaster must succeed at a caster level check against the spell's save DC rather than the poison's.</t>
  </si>
  <si>
    <t>&lt;p&gt;You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&lt;i&gt;detect&lt;/i&gt; thoughts), the target is immediately exposed to the poison (and is allowed any saving throw the poison allows).  Your target instinctively knows that revealing this information will endanger it, but doesn't automatically understand why or how. &lt;i&gt;Neutralize poison&lt;/i&gt; removes the effect of this spell; the spellcaster must succeed at a caster level check against the spell's save DC rather than the poison's.&lt;/p&gt;</t>
  </si>
  <si>
    <t>&lt;link rel="stylesheet"href="PF.css"&gt;&lt;div class="heading"&gt;&lt;p class="alignleft"&gt;Venomous Promise&lt;/p&gt;&lt;div style="clear: both;"&gt;&lt;/div&gt;&lt;/div&gt;&lt;div&gt;&lt;h5&gt;&lt;b&gt;School &lt;/b&gt;transmutation [language-dependent, poison&lt;sup&gt;UM&lt;/sup&gt;]; &lt;b&gt;Level &lt;/b&gt;antipaladin 3, bard 3, mesmerist 3, shaman 3, witch 3&lt;/h5&gt;&lt;/div&gt;&lt;hr/&gt;&lt;div&gt;&lt;h5&gt;&lt;b&gt;CASTING&lt;/b&gt;&lt;/h5&gt;&lt;/div&gt;&lt;hr/&gt;&lt;div&gt;&lt;h5&gt;&lt;b&gt;Casting Time &lt;/b&gt;1 standard action&lt;/h5&gt;&lt;h5&gt;&lt;b&gt;Components &lt;/b&gt;S, M (a vial of poison)&lt;/h5&gt;&lt;/div&gt;&lt;hr/&gt;&lt;div&gt;&lt;h5&gt;&lt;b&gt;EFFECT&lt;/b&gt;&lt;/h5&gt;&lt;/div&gt;&lt;hr/&gt;&lt;div&gt;&lt;h5&gt;&lt;b&gt;Range &lt;/b&gt;touch&lt;/h5&gt;&lt;h5&gt;&lt;b&gt;Targets &lt;/b&gt;one creature&lt;/h5&gt;&lt;h5&gt;&lt;b&gt;Duration &lt;/b&gt;permanent or until triggered&lt;/h5&gt;&lt;h5&gt;&lt;b&gt;Saving Throw &lt;/b&gt;yes; &lt;b&gt;Spell Resistance &lt;/b&gt;yes&lt;/h5&gt;&lt;/div&gt;&lt;hr/&gt;&lt;div&gt;&lt;h5&gt;&lt;b&gt;DESCRIPTION&lt;/b&gt;&lt;/h5&gt;&lt;/div&gt;&lt;hr/&gt;&lt;div&gt;&lt;h4&gt;&lt;p&gt;You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&lt;i&gt;detect&lt;/i&gt; thoughts), the target is immediately exposed to the poison (and is allowed any saving throw the poison allows).  Your target instinctively knows that revealing this information will endanger it, but doesn't automatically understand why or how. &lt;i&gt;Neutralize poison&lt;/i&gt; removes the effect of this spell; the spellcaster must succeed at a caster level check against the spell's save DC rather than the poison's.&lt;/p&gt;&lt;/h4&gt;&lt;/div&gt;</t>
  </si>
  <si>
    <t>Arcane Pocket</t>
  </si>
  <si>
    <t>V, F (a pocket and a silver button)</t>
  </si>
  <si>
    <t>extradimensional space up to 1 cu. ft./level</t>
  </si>
  <si>
    <t>With a touch, you conjure an extradimensional space inside a pouch or pocket. The pocket acts as a bag of holding, except it can hold only 10 pounds per caster level. Regardless of what is placed into the pocket, it weighs 3 pounds. Unlike a bag of holding, the pocket created by this ability cannot be overloaded or ruptured-any additional material simply spills out of the top-nor does it have any special interaction with other kinds of extradimensional spaces.  An arcane pocket grants you a +1 bonus on Sleight of Hand checks to conceal its contents. The pocket becomes nonmagical, spilling all of its contents onto the ground unharmed, if it leaves your possession or you create a new arcane pocket.</t>
  </si>
  <si>
    <t>&lt;p&gt;With a touch, you conjure an extradimensional space inside a pouch or pocket. The pocket acts as a &lt;i&gt;bag of holding&lt;/i&gt;, except it can hold only 10 pounds per caster level. Regardless of what is placed into the pocket, it weighs 3 pounds. Unlike a &lt;i&gt;bag of holding&lt;/i&gt;, the pocket created by this ability cannot be overloaded or ruptured-any additional material simply spills out of the top-nor does it have any special interaction with other kinds of extradimensional spaces.  An &lt;i&gt;arcane pocket&lt;/i&gt; grants you a +1 bonus on Sleight of Hand checks to conceal its contents. The pocket becomes nonmagical, spilling all of its contents onto the ground unharmed, if it leaves your possession or you create a new &lt;i&gt;arcane pocket&lt;/i&gt;.&lt;/p&gt;</t>
  </si>
  <si>
    <t>&lt;link rel="stylesheet"href="PF.css"&gt;&lt;div class="heading"&gt;&lt;p class="alignleft"&gt;Arcane Pocket&lt;/p&gt;&lt;div style="clear: both;"&gt;&lt;/div&gt;&lt;/div&gt;&lt;div&gt;&lt;h5&gt;&lt;b&gt;School &lt;/b&gt;conjuration (creation); &lt;b&gt;Level &lt;/b&gt;sorcerer/wizard 1&lt;/h5&gt;&lt;/div&gt;&lt;hr/&gt;&lt;div&gt;&lt;h5&gt;&lt;b&gt;CASTING&lt;/b&gt;&lt;/h5&gt;&lt;/div&gt;&lt;hr/&gt;&lt;div&gt;&lt;h5&gt;&lt;b&gt;Casting Time &lt;/b&gt;1 standard action&lt;/h5&gt;&lt;h5&gt;&lt;b&gt;Components &lt;/b&gt;V, F (a pocket and a silver button)&lt;/h5&gt;&lt;/div&gt;&lt;hr/&gt;&lt;div&gt;&lt;h5&gt;&lt;b&gt;EFFECT&lt;/b&gt;&lt;/h5&gt;&lt;/div&gt;&lt;hr/&gt;&lt;div&gt;&lt;h5&gt;&lt;b&gt;Range &lt;/b&gt;touch&lt;/h5&gt;&lt;h5&gt;&lt;b&gt;Effect &lt;/b&gt;extradimensional space up to 1 cu. ft./level&lt;/h5&gt;&lt;h5&gt;&lt;b&gt;Duration &lt;/b&gt;1 hour/level&lt;/h5&gt;&lt;h5&gt;&lt;b&gt;Saving Throw &lt;/b&gt;none; &lt;b&gt;Spell Resistance &lt;/b&gt;no&lt;/h5&gt;&lt;/div&gt;&lt;hr/&gt;&lt;div&gt;&lt;h5&gt;&lt;b&gt;DESCRIPTION&lt;/b&gt;&lt;/h5&gt;&lt;/div&gt;&lt;hr/&gt;&lt;div&gt;&lt;h4&gt;&lt;p&gt;With a touch, you conjure an extradimensional space inside a pouch or pocket. The pocket acts as a &lt;i&gt;bag of holding&lt;/i&gt;, except it can hold only 10 pounds per caster level. Regardless of what is placed into the pocket, it weighs 3 pounds. Unlike a &lt;i&gt;bag of holding&lt;/i&gt;, the pocket created by this ability cannot be overloaded or ruptured-any additional material simply spills out of the top-nor does it have any special interaction with other kinds of extradimensional spaces.  An &lt;i&gt;arcane pocket&lt;/i&gt; grants you a +1 bonus on Sleight of Hand checks to conceal its contents. The pocket becomes nonmagical, spilling all of its contents onto the ground unharmed, if it leaves your possession or you create a new &lt;i&gt;arcane pocket&lt;/i&gt;.&lt;/p&gt;&lt;/h4&gt;&lt;/div&gt;</t>
  </si>
  <si>
    <t>Vacuous Vessel</t>
  </si>
  <si>
    <t>bard 0, sorcerer/wizard 0</t>
  </si>
  <si>
    <t>container touched</t>
  </si>
  <si>
    <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vacuous vessel on another container or placing a new item in the existing container immediately dismisses the currently active spell.</t>
  </si>
  <si>
    <t>&lt;p&gt;This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&lt;i&gt;vacuous vessel&lt;/i&gt; on another container or placing a new item in the existing container immediately dismisses the currently active spell.&lt;/p&gt;</t>
  </si>
  <si>
    <t>&lt;link rel="stylesheet"href="PF.css"&gt;&lt;div class="heading"&gt;&lt;p class="alignleft"&gt;Vacuous Vessel&lt;/p&gt;&lt;div style="clear: both;"&gt;&lt;/div&gt;&lt;/div&gt;&lt;div&gt;&lt;h5&gt;&lt;b&gt;School &lt;/b&gt;illusion (glamer); &lt;b&gt;Level &lt;/b&gt;bard 0, sorcerer/wizard 0&lt;/h5&gt;&lt;/div&gt;&lt;hr/&gt;&lt;div&gt;&lt;h5&gt;&lt;b&gt;CASTING&lt;/b&gt;&lt;/h5&gt;&lt;/div&gt;&lt;hr/&gt;&lt;div&gt;&lt;h5&gt;&lt;b&gt;Casting Time &lt;/b&gt;1 swift action&lt;/h5&gt;&lt;h5&gt;&lt;b&gt;Components &lt;/b&gt;V&lt;/h5&gt;&lt;/div&gt;&lt;hr/&gt;&lt;div&gt;&lt;h5&gt;&lt;b&gt;EFFECT&lt;/b&gt;&lt;/h5&gt;&lt;/div&gt;&lt;hr/&gt;&lt;div&gt;&lt;h5&gt;&lt;b&gt;Range &lt;/b&gt;touch&lt;/h5&gt;&lt;h5&gt;&lt;b&gt;Targets &lt;/b&gt;container touched&lt;/h5&gt;&lt;h5&gt;&lt;b&gt;Duration &lt;/b&gt;1 round/level (D)&lt;/h5&gt;&lt;h5&gt;&lt;b&gt;Saving Throw &lt;/b&gt;Will negates; see text; &lt;b&gt;Spell Resistance &lt;/b&gt;yes; see text&lt;/h5&gt;&lt;/div&gt;&lt;hr/&gt;&lt;div&gt;&lt;h5&gt;&lt;b&gt;DESCRIPTION&lt;/b&gt;&lt;/h5&gt;&lt;/div&gt;&lt;hr/&gt;&lt;div&gt;&lt;h4&gt;&lt;p&gt;This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&lt;i&gt;vacuous vessel&lt;/i&gt; on another container or placing a new item in the existing container immediately dismisses the currently active spell.&lt;/p&gt;&lt;/h4&gt;&lt;/div&gt;</t>
  </si>
  <si>
    <t>Adroit Retrieval</t>
  </si>
  <si>
    <t>occultist 3, sorcerer/wizard 3</t>
  </si>
  <si>
    <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t>
  </si>
  <si>
    <t>&lt;p&gt;You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pounds).&lt;/p&gt;</t>
  </si>
  <si>
    <t>&lt;link rel="stylesheet"href="PF.css"&gt;&lt;div class="heading"&gt;&lt;p class="alignleft"&gt;Adroit Retrieval&lt;/p&gt;&lt;div style="clear: both;"&gt;&lt;/div&gt;&lt;/div&gt;&lt;div&gt;&lt;h5&gt;&lt;b&gt;School &lt;/b&gt;transmutation; &lt;b&gt;Level &lt;/b&gt;occultist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&lt;/b&gt;Will negates (harmless); &lt;b&gt;Spell Resistance &lt;/b&gt;yes (harmless)&lt;/h5&gt;&lt;/div&gt;&lt;hr/&gt;&lt;div&gt;&lt;h5&gt;&lt;b&gt;DESCRIPTION&lt;/b&gt;&lt;/h5&gt;&lt;/div&gt;&lt;hr/&gt;&lt;div&gt;&lt;h4&gt;&lt;p&gt;You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pounds).&lt;/p&gt;&lt;/h4&gt;&lt;/div&gt;</t>
  </si>
  <si>
    <t>Authenticating Gaze</t>
  </si>
  <si>
    <t>alchemist 1, cleric/oracle 1, inquisitor 1, occultist 1, sorcerer/wizard 1</t>
  </si>
  <si>
    <t>V, S, DF/M (a miniature magnifying glass or spectacles)</t>
  </si>
  <si>
    <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detect magic.</t>
  </si>
  <si>
    <t>&lt;p&gt;Your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&lt;i&gt;detect magic&lt;/i&gt;.&lt;/p&gt;</t>
  </si>
  <si>
    <t>&lt;link rel="stylesheet"href="PF.css"&gt;&lt;div class="heading"&gt;&lt;p class="alignleft"&gt;Authenticating Gaze&lt;/p&gt;&lt;div style="clear: both;"&gt;&lt;/div&gt;&lt;/div&gt;&lt;div&gt;&lt;h5&gt;&lt;b&gt;School &lt;/b&gt;divination; &lt;b&gt;Level &lt;/b&gt;alchemist 1, cleric/oracle 1, inquisitor 1, occultist 1, sorcerer/wizard 1&lt;/h5&gt;&lt;/div&gt;&lt;hr/&gt;&lt;div&gt;&lt;h5&gt;&lt;b&gt;CASTING&lt;/b&gt;&lt;/h5&gt;&lt;/div&gt;&lt;hr/&gt;&lt;div&gt;&lt;h5&gt;&lt;b&gt;Casting Time &lt;/b&gt;1 standard action&lt;/h5&gt;&lt;h5&gt;&lt;b&gt;Components &lt;/b&gt;V, S, DF/M (a miniature magnifying glass or spectacles)&lt;/h5&gt;&lt;/div&gt;&lt;hr/&gt;&lt;div&gt;&lt;h5&gt;&lt;b&gt;EFFECT&lt;/b&gt;&lt;/h5&gt;&lt;/div&gt;&lt;hr/&gt;&lt;div&gt;&lt;h5&gt;&lt;b&gt;Range &lt;/b&gt;personal&lt;/h5&gt;&lt;h5&gt;&lt;b&gt;Duration &lt;/b&gt;1 minute/level&lt;/h5&gt;&lt;/div&gt;&lt;hr/&gt;&lt;div&gt;&lt;h5&gt;&lt;b&gt;DESCRIPTION&lt;/b&gt;&lt;/h5&gt;&lt;/div&gt;&lt;hr/&gt;&lt;div&gt;&lt;h4&gt;&lt;p&gt;Your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&lt;i&gt;detect magic&lt;/i&gt;.&lt;/p&gt;&lt;/h4&gt;&lt;/div&gt;</t>
  </si>
  <si>
    <t>Curse Of Keeping</t>
  </si>
  <si>
    <t>antipaladin 2, mesmerist 2, shaman 2, witch 2</t>
  </si>
  <si>
    <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curse of keeping can be ended by break enchantment, limited wish, remove curse, miracle, or wish. Dispel magic does not affect a curse of keeping.</t>
  </si>
  <si>
    <t>&lt;p&gt;You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&lt;i&gt;curse of keeping&lt;/i&gt; can be ended by &lt;i&gt;break enchantment&lt;/i&gt;, &lt;i&gt;limited &lt;i&gt;wish&lt;/i&gt;&lt;/i&gt;, &lt;i&gt;remove curse&lt;/i&gt;, &lt;i&gt;miracle&lt;/i&gt;, or &lt;i&gt;wish&lt;/i&gt;. &lt;i&gt;Dispel magic&lt;/i&gt; does not affect a &lt;i&gt;curse of keeping&lt;/i&gt;.&lt;/p&gt;</t>
  </si>
  <si>
    <t>&lt;link rel="stylesheet"href="PF.css"&gt;&lt;div class="heading"&gt;&lt;p class="alignleft"&gt;Curse Of Keeping&lt;/p&gt;&lt;div style="clear: both;"&gt;&lt;/div&gt;&lt;/div&gt;&lt;div&gt;&lt;h5&gt;&lt;b&gt;School &lt;/b&gt;enchantment (compulsion) [curse&lt;sup&gt;UM&lt;/sup&gt;]; &lt;b&gt;Level &lt;/b&gt;antipaladin 2, mesmerist 2, shaman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&lt;i&gt;curse of keeping&lt;/i&gt; can be ended by &lt;i&gt;break enchantment&lt;/i&gt;, &lt;i&gt;limited &lt;i&gt;wish&lt;/i&gt;&lt;/i&gt;, &lt;i&gt;remove curse&lt;/i&gt;, &lt;i&gt;miracle&lt;/i&gt;, or &lt;i&gt;wish&lt;/i&gt;. &lt;i&gt;Dispel magic&lt;/i&gt; does not affect a &lt;i&gt;curse of keeping&lt;/i&gt;.&lt;/p&gt;&lt;/h4&gt;&lt;/div&gt;</t>
  </si>
  <si>
    <t>Evaluator's Lens</t>
  </si>
  <si>
    <t>inquisitor 2, occultist 3, sorcerer/wizard 3, summoner 2, witch 3</t>
  </si>
  <si>
    <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detect magic on the item and examined it for 3 rounds. This spell cannot determine the properties of artifacts.  The lens cannot be targeted or harmed by physical attacks, but dispel magic, disintegrate, or a rod of cancellation affects it. The lens's AC against touch attacks is equal to 10 + your Dexterity modifier.</t>
  </si>
  <si>
    <t>&lt;p&gt;You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&lt;i&gt;detect magic&lt;/i&gt; on the item and examined it for 3 rounds. This spell cannot determine the properties of artifacts.  The lens cannot be targeted or harmed by physical attacks, but &lt;i&gt;dispel magic&lt;/i&gt;, &lt;i&gt;disintegrate&lt;/i&gt;, or a &lt;i&gt;rod of cancellation&lt;/i&gt; affects it. The lens's AC against touch attacks is equal to 10 + your Dexterity modifier.&lt;/p&gt;</t>
  </si>
  <si>
    <t>&lt;link rel="stylesheet"href="PF.css"&gt;&lt;div class="heading"&gt;&lt;p class="alignleft"&gt;Evaluator's Lens&lt;/p&gt;&lt;div style="clear: both;"&gt;&lt;/div&gt;&lt;/div&gt;&lt;div&gt;&lt;h5&gt;&lt;b&gt;School &lt;/b&gt;conjuration (creation); &lt;b&gt;Level &lt;/b&gt;inquisitor 2, occultist 3, sorcerer/wizard 3, summoner 2,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minute/level or until discharged&lt;/h5&gt;&lt;/div&gt;&lt;hr/&gt;&lt;div&gt;&lt;h5&gt;&lt;b&gt;DESCRIPTION&lt;/b&gt;&lt;/h5&gt;&lt;/div&gt;&lt;hr/&gt;&lt;div&gt;&lt;h4&gt;&lt;p&gt;You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&lt;i&gt;detect magic&lt;/i&gt; on the item and examined it for 3 rounds. This spell cannot determine the properties of artifacts.  The lens cannot be targeted or harmed by physical attacks, but &lt;i&gt;dispel magic&lt;/i&gt;, &lt;i&gt;disintegrate&lt;/i&gt;, or a &lt;i&gt;rod of cancellation&lt;/i&gt; affects it. The lens's AC against touch attacks is equal to 10 + your Dexterity modifier.&lt;/p&gt;&lt;/h4&gt;&lt;/div&gt;</t>
  </si>
  <si>
    <t>Fleeting Defect</t>
  </si>
  <si>
    <t>one solid object that does not have the broken condition, or one construct</t>
  </si>
  <si>
    <t>Fortitude negates (harmless, object); see text</t>
  </si>
  <si>
    <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t>
  </si>
  <si>
    <t>&lt;p&gt;You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spell.&lt;/p&gt;</t>
  </si>
  <si>
    <t>&lt;link rel="stylesheet"href="PF.css"&gt;&lt;div class="heading"&gt;&lt;p class="alignleft"&gt;Fleeting Defect&lt;/p&gt;&lt;div style="clear: both;"&gt;&lt;/div&gt;&lt;/div&gt;&lt;div&gt;&lt;h5&gt;&lt;b&gt;School &lt;/b&gt;transmutation; &lt;b&gt;Level &lt;/b&gt;bard 2, bloodrager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solid object that does not have the broken condition, or one construct&lt;/h5&gt;&lt;h5&gt;&lt;b&gt;Duration &lt;/b&gt;1 minute/level (D)&lt;/h5&gt;&lt;h5&gt;&lt;b&gt;Saving Throw &lt;/b&gt;Fortitude negates (harmless, object); see text; &lt;b&gt;Spell Resistance &lt;/b&gt;no&lt;/h5&gt;&lt;/div&gt;&lt;hr/&gt;&lt;div&gt;&lt;h5&gt;&lt;b&gt;DESCRIPTION&lt;/b&gt;&lt;/h5&gt;&lt;/div&gt;&lt;hr/&gt;&lt;div&gt;&lt;h4&gt;&lt;p&gt;You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spell.&lt;/p&gt;&lt;/h4&gt;&lt;/div&gt;</t>
  </si>
  <si>
    <t>Incendiary Runes</t>
  </si>
  <si>
    <t>occultist 1, sorcerer/wizard 1</t>
  </si>
  <si>
    <t>This spell functions as explosive runes, except it creates a small surge of flames rather than an explosion of force. The runes automatically deal 1d6 points of fire damage to any creatures and objects in adjacent squares, and those creatures and objects catch fire unless they succeed at Reflex saves.</t>
  </si>
  <si>
    <t>&lt;p&gt;This spell functions as &lt;i&gt;explosive runes&lt;/i&gt;, except it creates a small surge of flames rather than an explosion of force. The runes automatically deal 1d6 points of fire damage to any creatures and objects in adjacent squares, and those creatures and objects catch fire unless they succeed at Reflex saves.&lt;/p&gt;</t>
  </si>
  <si>
    <t>&lt;link rel="stylesheet"href="PF.css"&gt;&lt;div class="heading"&gt;&lt;p class="alignleft"&gt;Incendiary Runes&lt;/p&gt;&lt;div style="clear: both;"&gt;&lt;/div&gt;&lt;/div&gt;&lt;div&gt;&lt;h5&gt;&lt;b&gt;School &lt;/b&gt;abjuration [fire]; &lt;b&gt;Level &lt;/b&gt;occultist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weighing no more than 10 lbs.&lt;/h5&gt;&lt;h5&gt;&lt;b&gt;Duration &lt;/b&gt;permanent until discharged (D)&lt;/h5&gt;&lt;h5&gt;&lt;b&gt;Saving Throw &lt;/b&gt;Reflex partial; &lt;b&gt;Spell Resistance &lt;/b&gt;yes&lt;/h5&gt;&lt;/div&gt;&lt;hr/&gt;&lt;div&gt;&lt;h5&gt;&lt;b&gt;DESCRIPTION&lt;/b&gt;&lt;/h5&gt;&lt;/div&gt;&lt;hr/&gt;&lt;div&gt;&lt;h4&gt;&lt;p&gt;This spell functions as &lt;i&gt;explosive runes&lt;/i&gt;, except it creates a small surge of flames rather than an explosion of force. The runes automatically deal 1d6 points of fire damage to any creatures and objects in adjacent squares, and those creatures and objects catch fire unless they succeed at Reflex saves.&lt;/p&gt;&lt;/h4&gt;&lt;/div&gt;</t>
  </si>
  <si>
    <t>Peerless Integrity</t>
  </si>
  <si>
    <t>antipaladin 2, bard 2, mesmerist 2, psychic 2, sorcerer/wizard 2</t>
  </si>
  <si>
    <t>Peerless integrity conceals the alignment of creatures from divination magic. All creatures within the spell's area, including you, appear to have lawful good auras for the purposes of divination spells and effects that reveal alignments (such as detect law and see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detect thoughts or discern lies) and does not protect against spells or effects that cause harm based on targeted creatures' alignments.</t>
  </si>
  <si>
    <t>&lt;p&gt;&lt;i&gt;Peerless integrity&lt;/i&gt; conceals the alignment of creatures from divination magic. All creatures within the spell's area, including you, appear to have lawful good auras for the purposes of divination spells and effects that reveal alignments (such as &lt;i&gt;detect law&lt;/i&gt; and &lt;i&gt;see&lt;/i&gt;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&lt;i&gt;detect thoughts&lt;/i&gt; or &lt;i&gt;discern&lt;/i&gt; lies) and does not protect against spells or effects that cause harm based on targeted creatures' alignments.&lt;/p&gt;</t>
  </si>
  <si>
    <t>&lt;link rel="stylesheet"href="PF.css"&gt;&lt;div class="heading"&gt;&lt;p class="alignleft"&gt;Peerless Integrity&lt;/p&gt;&lt;div style="clear: both;"&gt;&lt;/div&gt;&lt;/div&gt;&lt;div&gt;&lt;h5&gt;&lt;b&gt;School &lt;/b&gt;illusion (glamer); &lt;b&gt;Level &lt;/b&gt;antipaladin 2, bard 2, mesmerist 2, psychic 2, sorcerer/wizard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&lt;/b&gt;personal&lt;/h5&gt;&lt;h5&gt;&lt;b&gt;Area &lt;/b&gt;10-ft.-radius emanation centered on you&lt;/h5&gt;&lt;h5&gt;&lt;b&gt;Duration &lt;/b&gt;10 minutes/level&lt;/h5&gt;&lt;h5&gt;&lt;b&gt;Saving Throw &lt;/b&gt;none or Will negates; see text; &lt;b&gt;Spell Resistance &lt;/b&gt;none&lt;/h5&gt;&lt;/div&gt;&lt;hr/&gt;&lt;div&gt;&lt;h5&gt;&lt;b&gt;DESCRIPTION&lt;/b&gt;&lt;/h5&gt;&lt;/div&gt;&lt;hr/&gt;&lt;div&gt;&lt;h4&gt;&lt;p&gt;&lt;i&gt;Peerless integrity&lt;/i&gt; conceals the alignment of creatures from divination magic. All creatures within the spell's area, including you, appear to have lawful good auras for the purposes of divination spells and effects that reveal alignments (such as &lt;i&gt;detect law&lt;/i&gt; and &lt;i&gt;see&lt;/i&gt;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&lt;i&gt;detect thoughts&lt;/i&gt; or &lt;i&gt;discern&lt;/i&gt; lies) and does not protect against spells or effects that cause harm based on targeted creatures' alignments.&lt;/p&gt;&lt;/h4&gt;&lt;/div&gt;</t>
  </si>
  <si>
    <t>Remarkable Legerdemain</t>
  </si>
  <si>
    <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t>
  </si>
  <si>
    <t>&lt;p&gt;While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objects.&lt;/p&gt;</t>
  </si>
  <si>
    <t>&lt;link rel="stylesheet"href="PF.css"&gt;&lt;div class="heading"&gt;&lt;p class="alignleft"&gt;Remarkable Legerdemain&lt;/p&gt;&lt;div style="clear: both;"&gt;&lt;/div&gt;&lt;/div&gt;&lt;div&gt;&lt;h5&gt;&lt;b&gt;School &lt;/b&gt;transmutation; &lt;b&gt;Level &lt;/b&gt;bard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objects.&lt;/p&gt;&lt;/h4&gt;&lt;/div&gt;</t>
  </si>
  <si>
    <t>Secret Coffer</t>
  </si>
  <si>
    <t>one small chest or coffer and up to 1 cu. ft. of goods</t>
  </si>
  <si>
    <t>This spell functions like secret chest,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secret coffer must cost at least 500 gp, and its replica costs 5 gp.</t>
  </si>
  <si>
    <t>&lt;p&gt;This spell functions like &lt;i&gt;secret chest&lt;/i&gt;,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&lt;i&gt;secret coffer&lt;/i&gt; must cost at least 500 gp, and its replica costs 5 gp.&lt;/p&gt;</t>
  </si>
  <si>
    <t>&lt;link rel="stylesheet"href="PF.css"&gt;&lt;div class="heading"&gt;&lt;p class="alignleft"&gt;Secret Coffer&lt;/p&gt;&lt;div style="clear: both;"&gt;&lt;/div&gt;&lt;/div&gt;&lt;div&gt;&lt;h5&gt;&lt;b&gt;School &lt;/b&gt;conjuration (summoning); &lt;b&gt;Level &lt;/b&gt;sorcerer/wizard 3, witch 3&lt;/h5&gt;&lt;/div&gt;&lt;hr/&gt;&lt;div&gt;&lt;h5&gt;&lt;b&gt;CASTING&lt;/b&gt;&lt;/h5&gt;&lt;/div&gt;&lt;hr/&gt;&lt;div&gt;&lt;h5&gt;&lt;b&gt;Casting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small chest or coffer and up to 1 cu. ft. of goods&lt;/h5&gt;&lt;h5&gt;&lt;b&gt;Duration &lt;/b&gt;60 days or until discharged&lt;/h5&gt;&lt;h5&gt;&lt;b&gt;Saving Throw &lt;/b&gt;none; &lt;b&gt;Spell Resistance &lt;/b&gt;no&lt;/h5&gt;&lt;/div&gt;&lt;hr/&gt;&lt;div&gt;&lt;h5&gt;&lt;b&gt;DESCRIPTION&lt;/b&gt;&lt;/h5&gt;&lt;/div&gt;&lt;hr/&gt;&lt;div&gt;&lt;h4&gt;&lt;p&gt;This spell functions like &lt;i&gt;secret chest&lt;/i&gt;,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&lt;i&gt;secret coffer&lt;/i&gt; must cost at least 500 gp, and its replica costs 5 gp.&lt;/p&gt;&lt;/h4&gt;&lt;/div&gt;</t>
  </si>
  <si>
    <t>Secret Vault</t>
  </si>
  <si>
    <t>one chamber and up to 10 cu. ft. of goods/caster level</t>
  </si>
  <si>
    <t>This spell functions like secret chest, except it affects a small structure, vault, or oversized chest. Living creatures within a secret vault don't cause the spell to fail. While the vault is stored on the Ethereal Plane, living creatures within the vault don't need to eat, drink, or breathe, but they can't leave the vault except via magic such as plane shift. The vault used as a focus for secret vault must cost at least 25,000 gp, and its replica costs 250 gp. A secret vault has only a 1% cumulative chance per day of becoming irretrievably lost after 360 days.</t>
  </si>
  <si>
    <t>&lt;p&gt;This spell functions like &lt;i&gt;secret chest&lt;/i&gt;, except it affects a small structure, vault, or oversized chest. Living creatures within a &lt;i&gt;secret vault&lt;/i&gt; don't cause the spell to fail. While the vault is stored on the Ethereal Plane, living creatures within the vault don't need to eat, drink, or breathe, but they can't leave the vault except via magic such as &lt;i&gt;plane shift&lt;/i&gt;. The vault used as a focus for &lt;i&gt;secret vault&lt;/i&gt; must cost at least 25,000 gp, and its replica costs 250 gp. A &lt;i&gt;secret vault&lt;/i&gt; has only a 1% cumulative chance per day of becoming irretrievably lost after 360 days.&lt;/p&gt;</t>
  </si>
  <si>
    <t>&lt;link rel="stylesheet"href="PF.css"&gt;&lt;div class="heading"&gt;&lt;p class="alignleft"&gt;Secret Vault&lt;/p&gt;&lt;div style="clear: both;"&gt;&lt;/div&gt;&lt;/div&gt;&lt;div&gt;&lt;h5&gt;&lt;b&gt;School &lt;/b&gt;conjuration (summoning); &lt;b&gt;Level &lt;/b&gt;sorcerer/wizard 8, witch 8&lt;/h5&gt;&lt;/div&gt;&lt;hr/&gt;&lt;div&gt;&lt;h5&gt;&lt;b&gt;CASTING&lt;/b&gt;&lt;/h5&gt;&lt;/div&gt;&lt;hr/&gt;&lt;div&gt;&lt;h5&gt;&lt;b&gt;Casting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chamber and up to 10 cu. ft. of goods/caster level&lt;/h5&gt;&lt;h5&gt;&lt;b&gt;Duration &lt;/b&gt;60 days or until discharged&lt;/h5&gt;&lt;h5&gt;&lt;b&gt;Saving Throw &lt;/b&gt;none; &lt;b&gt;Spell Resistance &lt;/b&gt;no&lt;/h5&gt;&lt;/div&gt;&lt;hr/&gt;&lt;div&gt;&lt;h5&gt;&lt;b&gt;DESCRIPTION&lt;/b&gt;&lt;/h5&gt;&lt;/div&gt;&lt;hr/&gt;&lt;div&gt;&lt;h4&gt;&lt;p&gt;This spell functions like &lt;i&gt;secret chest&lt;/i&gt;, except it affects a small structure, vault, or oversized chest. Living creatures within a &lt;i&gt;secret vault&lt;/i&gt; don't cause the spell to fail. While the vault is stored on the Ethereal Plane, living creatures within the vault don't need to eat, drink, or breathe, but they can't leave the vault except via magic such as &lt;i&gt;plane shift&lt;/i&gt;. The vault used as a focus for &lt;i&gt;secret vault&lt;/i&gt; must cost at least 25,000 gp, and its replica costs 250 gp. A &lt;i&gt;secret vault&lt;/i&gt; has only a 1% cumulative chance per day of becoming irretrievably lost after 360 days.&lt;/p&gt;&lt;/h4&gt;&lt;/div&gt;</t>
  </si>
  <si>
    <t>Shadow Enchantment</t>
  </si>
  <si>
    <t>shadowUM</t>
  </si>
  <si>
    <t>bard 3, mesmerist 3, psychic 3, sorcerer/wizard 3</t>
  </si>
  <si>
    <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shadow enchantment,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shadow enchantment's level (3rd) rather than the spell's normal level. Objects, mindless creatures, and creatures immune to mind-affecting effects automatically succeed at their Will saves against this spell.</t>
  </si>
  <si>
    <t>&lt;p&gt;You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&lt;i&gt;&lt;i&gt;shadow&lt;/i&gt; enchantment&lt;/i&gt;,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&lt;i&gt;&lt;i&gt;shadow&lt;/i&gt; enchantment&lt;/i&gt;'s level (3rd) rather than the spell's normal level. Objects, mindless creatures, and creatures immune to mind-affecting effects automatically succeed at their Will saves against this spell.&lt;/p&gt;</t>
  </si>
  <si>
    <t>Occult Realms</t>
  </si>
  <si>
    <t>&lt;link rel="stylesheet"href="PF.css"&gt;&lt;div class="heading"&gt;&lt;p class="alignleft"&gt;Shadow Enchantment&lt;/p&gt;&lt;div style="clear: both;"&gt;&lt;/div&gt;&lt;/div&gt;&lt;div&gt;&lt;h5&gt;&lt;b&gt;School &lt;/b&gt;illusion (shadow) [shadow&lt;sup&gt;UM&lt;/sup&gt;]; &lt;b&gt;Level &lt;/b&gt;bard 3, mesmerist 3, psychic 3, sorcerer/wizard 3&lt;/h5&gt;&lt;/div&gt;&lt;hr/&gt;&lt;div&gt;&lt;h5&gt;&lt;b&gt;CASTING&lt;/b&gt;&lt;/h5&gt;&lt;/div&gt;&lt;hr/&gt;&lt;div&gt;&lt;h5&gt;&lt;b&gt;Casting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see text; &lt;b&gt;Spell Resistance &lt;/b&gt;yes&lt;/h5&gt;&lt;/div&gt;&lt;hr/&gt;&lt;div&gt;&lt;h5&gt;&lt;b&gt;DESCRIPTION&lt;/b&gt;&lt;/h5&gt;&lt;/div&gt;&lt;hr/&gt;&lt;div&gt;&lt;h4&gt;&lt;p&gt;You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&lt;i&gt;&lt;i&gt;shadow&lt;/i&gt; enchantment&lt;/i&gt;,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&lt;i&gt;&lt;i&gt;shadow&lt;/i&gt; enchantment&lt;/i&gt;'s level (3rd) rather than the spell's normal level. Objects, mindless creatures, and creatures immune to mind-affecting effects automatically succeed at their Will saves against this spell.&lt;/p&gt;&lt;/h4&gt;&lt;/div&gt;</t>
  </si>
  <si>
    <t>Shadow Enchantment, Greater</t>
  </si>
  <si>
    <t>bard 6, mesmerist 6, psychic 6, sorcerer/wizard 6</t>
  </si>
  <si>
    <t>This spell functions like shadow enchantment, except that it enables you to create partially real, illusory versions of psychic, sorcerer, or wizard enchantment spells of 5th level or lower. If the spell is recognized as a greater shadow enchantment, it's only three-fifths (60%) as effective.</t>
  </si>
  <si>
    <t>&lt;p&gt;This spell functions like &lt;i&gt;shadow enchantment&lt;/i&gt;, except that it enables you to create partially real, illusory versions of psychic, sorcerer, or wizard enchantment spells of 5th level or lower. If the spell is recognized as a greater &lt;i&gt;shadow enchantment&lt;/i&gt;, it's only three-fifths (60%) as effective.&lt;/p&gt;</t>
  </si>
  <si>
    <t>&lt;link rel="stylesheet"href="PF.css"&gt;&lt;div class="heading"&gt;&lt;p class="alignleft"&gt;Shadow Enchantment, Greater&lt;/p&gt;&lt;div style="clear: both;"&gt;&lt;/div&gt;&lt;/div&gt;&lt;div&gt;&lt;h5&gt;&lt;b&gt;School &lt;/b&gt;illusion (shadow) [shadow&lt;sup&gt;UM&lt;/sup&gt;]; &lt;b&gt;Level &lt;/b&gt;bard 6, mesmerist 6, psychic 6, sorcerer/wizard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see text; &lt;b&gt;Spell Resistance &lt;/b&gt;yes&lt;/h5&gt;&lt;/div&gt;&lt;hr/&gt;&lt;div&gt;&lt;h5&gt;&lt;b&gt;DESCRIPTION&lt;/b&gt;&lt;/h5&gt;&lt;/div&gt;&lt;hr/&gt;&lt;div&gt;&lt;h4&gt;&lt;p&gt;This spell functions like &lt;i&gt;shadow enchantment&lt;/i&gt;, except that it enables you to create partially real, illusory versions of psychic, sorcerer, or wizard enchantment spells of 5th level or lower. If the spell is recognized as a greater &lt;i&gt;shadow enchantment&lt;/i&gt;, it's only three-fifths (60%) as effective.&lt;/p&gt;&lt;/h4&gt;&lt;/div&gt;</t>
  </si>
  <si>
    <t>Detect Fiendish Presence</t>
  </si>
  <si>
    <t>bard 0, cleric/oracle 0, magus 0, sorcerer/wizard 0, witch 0</t>
  </si>
  <si>
    <t>This spell functions like detect evil, except that it detects only outsiders with the evil subtype, as well as the lingering effects caused by their gifts, presence, and spells. It can also detect clerics and paladins of fiendish deities, including Asmodeus, archdevils, daemonic harbingers, and demon lords.</t>
  </si>
  <si>
    <t>&lt;p&gt;This spell functions like &lt;i&gt;detect evil&lt;/i&gt;, except that it detects only outsiders with the evil subtype, as well as the lingering effects caused by their gifts, presence, and spells. It can also detect clerics and paladins of fiendish deities, including Asmodeus, archdevils, daemonic harbingers, and demon lords.&lt;/p&gt;</t>
  </si>
  <si>
    <t>Agents Of Evil</t>
  </si>
  <si>
    <t>&lt;link rel="stylesheet"href="PF.css"&gt;&lt;div class="heading"&gt;&lt;p class="alignleft"&gt;Detect Fiendish Presence&lt;/p&gt;&lt;div style="clear: both;"&gt;&lt;/div&gt;&lt;/div&gt;&lt;div&gt;&lt;h5&gt;&lt;b&gt;School &lt;/b&gt;divination; &lt;b&gt;Level &lt;/b&gt;bard 0, cleric/oracle 0, magus 0, sorcerer/wizard 0, witch 0&lt;/h5&gt;&lt;/div&gt;&lt;hr/&gt;&lt;div&gt;&lt;h5&gt;&lt;b&gt;CASTING&lt;/b&gt;&lt;/h5&gt;&lt;/div&gt;&lt;hr/&gt;&lt;div&gt;&lt;h5&gt;&lt;b&gt;Casting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10 minutes/level (D)&lt;/h5&gt;&lt;h5&gt;&lt;b&gt;Saving Throw &lt;/b&gt;none; &lt;b&gt;Spell Resistance &lt;/b&gt;no&lt;/h5&gt;&lt;/div&gt;&lt;hr/&gt;&lt;div&gt;&lt;h5&gt;&lt;b&gt;DESCRIPTION&lt;/b&gt;&lt;/h5&gt;&lt;/div&gt;&lt;hr/&gt;&lt;div&gt;&lt;h4&gt;&lt;p&gt;This spell functions like &lt;i&gt;detect evil&lt;/i&gt;, except that it detects only outsiders with the evil subtype, as well as the lingering effects caused by their gifts, presence, and spells. It can also detect clerics and paladins of fiendish deities, including Asmodeus, archdevils, daemonic harbingers, and demon lords.&lt;/p&gt;&lt;/h4&gt;&lt;/div&gt;</t>
  </si>
  <si>
    <t>Devil Snare</t>
  </si>
  <si>
    <t>V, S, M (a pouch of silvered powder worth 25 gp)</t>
  </si>
  <si>
    <t>10-ft.-radius circle</t>
  </si>
  <si>
    <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extradimensional travel (as per dimensional anchor). Contained outsiders can still attack adjacent creatures outside of the circle, or target others with ranged attacks, spells, and spell-like abilities. Despite the spell's name, devil snare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t>
  </si>
  <si>
    <t>&lt;p&gt;Your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extra&lt;i&gt;dimensional&lt;/i&gt; travel (as per &lt;i&gt;dimensional&lt;/i&gt; anchor). Contained outsiders can still attack adjacent creatures outside of the circle, or target others with ranged attacks, spells, and spell-like abilities. Despite the spell's name, &lt;i&gt;devil snare&lt;/i&gt;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dismissed.&lt;/p&gt;</t>
  </si>
  <si>
    <t>&lt;link rel="stylesheet"href="PF.css"&gt;&lt;div class="heading"&gt;&lt;p class="alignleft"&gt;Devil Snare&lt;/p&gt;&lt;div style="clear: both;"&gt;&lt;/div&gt;&lt;/div&gt;&lt;div&gt;&lt;h5&gt;&lt;b&gt;School &lt;/b&gt;abjuration [good]; &lt;b&gt;Level &lt;/b&gt;cleric/oracle 4, sorcerer/wizard 5&lt;/h5&gt;&lt;/div&gt;&lt;hr/&gt;&lt;div&gt;&lt;h5&gt;&lt;b&gt;CASTING&lt;/b&gt;&lt;/h5&gt;&lt;/div&gt;&lt;hr/&gt;&lt;div&gt;&lt;h5&gt;&lt;b&gt;Casting Time &lt;/b&gt;1 full-round action&lt;/h5&gt;&lt;h5&gt;&lt;b&gt;Components &lt;/b&gt;V, S, M (a pouch of silvered powder worth 25 gp)&lt;/h5&gt;&lt;/div&gt;&lt;hr/&gt;&lt;div&gt;&lt;h5&gt;&lt;b&gt;EFFECT&lt;/b&gt;&lt;/h5&gt;&lt;/div&gt;&lt;hr/&gt;&lt;div&gt;&lt;h5&gt;&lt;b&gt;Range &lt;/b&gt;touch&lt;/h5&gt;&lt;h5&gt;&lt;b&gt;Effect &lt;/b&gt;10-ft.-radius circle&lt;/h5&gt;&lt;h5&gt;&lt;b&gt;Duration &lt;/b&gt;1 round/level&lt;/h5&gt;&lt;h5&gt;&lt;b&gt;Saving Throw &lt;/b&gt;Will negates; see text; &lt;b&gt;Spell Resistance &lt;/b&gt;yes; see text&lt;/h5&gt;&lt;/div&gt;&lt;hr/&gt;&lt;div&gt;&lt;h5&gt;&lt;b&gt;DESCRIPTION&lt;/b&gt;&lt;/h5&gt;&lt;/div&gt;&lt;hr/&gt;&lt;div&gt;&lt;h4&gt;&lt;p&gt;Your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extra&lt;i&gt;dimensional&lt;/i&gt; travel (as per &lt;i&gt;dimensional&lt;/i&gt; anchor). Contained outsiders can still attack adjacent creatures outside of the circle, or target others with ranged attacks, spells, and spell-like abilities. Despite the spell's name, &lt;i&gt;devil snare&lt;/i&gt;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dismissed.&lt;/p&gt;&lt;/h4&gt;&lt;/div&gt;</t>
  </si>
  <si>
    <t>Punishing Armor</t>
  </si>
  <si>
    <t>alchemist 1, bloodrager 1, magus 1, shaman 1, sorcerer/wizard 1, spiritualist 1, summoner 1</t>
  </si>
  <si>
    <t>Fortitude negates; see below</t>
  </si>
  <si>
    <t>You coat yourself with a thin layer of shimmering energy. Any creature dealing nonlethal damage to you immediately takes half the amount of nonlethal damage dealt. A successful Fortitude save made by the attacking creature negates this damage.</t>
  </si>
  <si>
    <t>&lt;p&gt;You coat yourself with a thin layer of shimmering energy. Any creature dealing nonlethal damage to you immediately takes half the amount of nonlethal damage dealt. A successful Fortitude save made by the attacking creature negates this damage.&lt;/p&gt;</t>
  </si>
  <si>
    <t>&lt;link rel="stylesheet"href="PF.css"&gt;&lt;div class="heading"&gt;&lt;p class="alignleft"&gt;Punishing Armor&lt;/p&gt;&lt;div style="clear: both;"&gt;&lt;/div&gt;&lt;/div&gt;&lt;div&gt;&lt;h5&gt;&lt;b&gt;School &lt;/b&gt;abjuration; &lt;b&gt;Level &lt;/b&gt;alchemist 1, bloodrager 1, magus 1, shaman 1, sorcerer/wizard 1, spiritualist 1, summoner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(D)&lt;/h5&gt;&lt;h5&gt;&lt;b&gt;Saving Throw &lt;/b&gt;Fortitude negates; see below; &lt;b&gt;Spell Resistance &lt;/b&gt;no&lt;/h5&gt;&lt;/div&gt;&lt;hr/&gt;&lt;div&gt;&lt;h5&gt;&lt;b&gt;DESCRIPTION&lt;/b&gt;&lt;/h5&gt;&lt;/div&gt;&lt;hr/&gt;&lt;div&gt;&lt;h4&gt;&lt;p&gt;You coat yourself with a thin layer of shimmering energy. Any creature dealing nonlethal damage to you immediately takes half the amount of nonlethal damage dealt. A successful Fortitude save made by the attacking creature negates this damage.&lt;/p&gt;&lt;/h4&gt;&lt;/div&gt;</t>
  </si>
  <si>
    <t>Unholy Ward</t>
  </si>
  <si>
    <t>antipaladin 3, cleric/oracle 4, inquisitor 3, sorcerer/wizard 4</t>
  </si>
  <si>
    <t>This spell grants you resistance to the holy powers of good-aligned deities and their servants. You resist 10 points of damage from holy sources (divine power damage from flame strike, additional damage from smite evil, channeled positive energy, etc.), provided they originate from a good-aligned source or a servant of a good-aligned god. You ignore a maximum of 10 points of damage per caster level, at which point the spell ends.</t>
  </si>
  <si>
    <t>&lt;p&gt;This spell grants you resistance to the holy powers of good-aligned deities and their servants. You resist 10 points of damage from holy sources (divine power damage from &lt;i&gt;flame strike&lt;/i&gt;, additional damage from smite evil, channeled positive energy, etc.), provided they originate from a good-aligned source or a servant of a good-aligned god. You ignore a maximum of 10 points of damage per caster level, at which point the spell ends.&lt;/p&gt;</t>
  </si>
  <si>
    <t>&lt;link rel="stylesheet"href="PF.css"&gt;&lt;div class="heading"&gt;&lt;p class="alignleft"&gt;Unholy Ward&lt;/p&gt;&lt;div style="clear: both;"&gt;&lt;/div&gt;&lt;/div&gt;&lt;div&gt;&lt;h5&gt;&lt;b&gt;School &lt;/b&gt;abjuration [evil]; &lt;b&gt;Level &lt;/b&gt;antipaladin 3, cleric/oracle 4, inquisitor 3, sorcerer/wizard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(D)&lt;/h5&gt;&lt;h5&gt;&lt;b&gt;Saving Throw &lt;/b&gt;Fort negates (harmless); &lt;b&gt;Spell Resistance &lt;/b&gt;yes (harmless)&lt;/h5&gt;&lt;/div&gt;&lt;hr/&gt;&lt;div&gt;&lt;h5&gt;&lt;b&gt;DESCRIPTION&lt;/b&gt;&lt;/h5&gt;&lt;/div&gt;&lt;hr/&gt;&lt;div&gt;&lt;h4&gt;&lt;p&gt;This spell grants you resistance to the holy powers of good-aligned deities and their servants. You resist 10 points of damage from holy sources (divine power damage from &lt;i&gt;flame strike&lt;/i&gt;, additional damage from smite evil, channeled positive energy, etc.), provided they originate from a good-aligned source or a servant of a good-aligned god. You ignore a maximum of 10 points of damage per caster level, at which point the spell ends.&lt;/p&gt;&lt;/h4&gt;&lt;/div&gt;</t>
  </si>
  <si>
    <t>Blood Tentacles</t>
  </si>
  <si>
    <t>antipaladin 4, cleric/oracle 5, shaman 5, sorcerer/wizard 5, summoner 4, witch 5</t>
  </si>
  <si>
    <t>V, S, M (a fresh handful of the caster's blood)</t>
  </si>
  <si>
    <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t>
  </si>
  <si>
    <t>&lt;p&gt;You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hour.&lt;/p&gt;</t>
  </si>
  <si>
    <t>&lt;link rel="stylesheet"href="PF.css"&gt;&lt;div class="heading"&gt;&lt;p class="alignleft"&gt;Blood Tentacles&lt;/p&gt;&lt;div style="clear: both;"&gt;&lt;/div&gt;&lt;/div&gt;&lt;div&gt;&lt;h5&gt;&lt;b&gt;School &lt;/b&gt;necromancy; &lt;b&gt;Level &lt;/b&gt;antipaladin 4, cleric/oracle 5, shaman 5, sorcerer/wizard 5, summoner 4, witch 5&lt;/h5&gt;&lt;/div&gt;&lt;hr/&gt;&lt;div&gt;&lt;h5&gt;&lt;b&gt;CASTING&lt;/b&gt;&lt;/h5&gt;&lt;/div&gt;&lt;hr/&gt;&lt;div&gt;&lt;h5&gt;&lt;b&gt;Casting Time &lt;/b&gt;1 standard action&lt;/h5&gt;&lt;h5&gt;&lt;b&gt;Components &lt;/b&gt;V, S, M (a fresh handful of the caster's blood)&lt;/h5&gt;&lt;/div&gt;&lt;hr/&gt;&lt;div&gt;&lt;h5&gt;&lt;b&gt;EFFECT&lt;/b&gt;&lt;/h5&gt;&lt;/div&gt;&lt;hr/&gt;&lt;div&gt;&lt;h5&gt;&lt;b&gt;Range &lt;/b&gt;personal&lt;/h5&gt;&lt;h5&gt;&lt;b&gt;Targets &lt;/b&gt;you&lt;/h5&gt;&lt;h5&gt;&lt;b&gt;Duration &lt;/b&gt;1 round/level&lt;/h5&gt;&lt;h5&gt;&lt;b&gt;Saving Throw &lt;/b&gt;Will negates (harmless); &lt;b&gt;Spell Resistance &lt;/b&gt;no&lt;/h5&gt;&lt;/div&gt;&lt;hr/&gt;&lt;div&gt;&lt;h5&gt;&lt;b&gt;DESCRIPTION&lt;/b&gt;&lt;/h5&gt;&lt;/div&gt;&lt;hr/&gt;&lt;div&gt;&lt;h4&gt;&lt;p&gt;You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hour.&lt;/p&gt;&lt;/h4&gt;&lt;/div&gt;</t>
  </si>
  <si>
    <t>Caustic Safeguard</t>
  </si>
  <si>
    <t>alchemist 3, bloodrager 3, magus 3, sorcerer/wizard 4</t>
  </si>
  <si>
    <t>V, S, M (a thin metal wire and a vial of acid)</t>
  </si>
  <si>
    <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t>
  </si>
  <si>
    <t>&lt;p&gt;You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spell.&lt;/p&gt;</t>
  </si>
  <si>
    <t>&lt;link rel="stylesheet"href="PF.css"&gt;&lt;div class="heading"&gt;&lt;p class="alignleft"&gt;Caustic Safeguard&lt;/p&gt;&lt;div style="clear: both;"&gt;&lt;/div&gt;&lt;/div&gt;&lt;div&gt;&lt;h5&gt;&lt;b&gt;School &lt;/b&gt;abjuration [acid]; &lt;b&gt;Level &lt;/b&gt;alchemist 3, bloodrager 3, magus 3, sorcerer/wizard 4&lt;/h5&gt;&lt;/div&gt;&lt;hr/&gt;&lt;div&gt;&lt;h5&gt;&lt;b&gt;CASTING&lt;/b&gt;&lt;/h5&gt;&lt;/div&gt;&lt;hr/&gt;&lt;div&gt;&lt;h5&gt;&lt;b&gt;Casting Time &lt;/b&gt;1 round&lt;/h5&gt;&lt;h5&gt;&lt;b&gt;Components &lt;/b&gt;V, S, M (a thin metal wire and a vial of acid)&lt;/h5&gt;&lt;/div&gt;&lt;hr/&gt;&lt;div&gt;&lt;h5&gt;&lt;b&gt;EFFECT&lt;/b&gt;&lt;/h5&gt;&lt;/div&gt;&lt;hr/&gt;&lt;div&gt;&lt;h5&gt;&lt;b&gt;Range &lt;/b&gt;touch&lt;/h5&gt;&lt;h5&gt;&lt;b&gt;Targets &lt;/b&gt;object touched&lt;/h5&gt;&lt;h5&gt;&lt;b&gt;Duration &lt;/b&gt;1 hour/level (D)&lt;/h5&gt;&lt;h5&gt;&lt;b&gt;Saving Throw &lt;/b&gt;Reflex half (see text); &lt;b&gt;Spell Resistance &lt;/b&gt;no&lt;/h5&gt;&lt;/div&gt;&lt;hr/&gt;&lt;div&gt;&lt;h5&gt;&lt;b&gt;DESCRIPTION&lt;/b&gt;&lt;/h5&gt;&lt;/div&gt;&lt;hr/&gt;&lt;div&gt;&lt;h4&gt;&lt;p&gt;You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spell.&lt;/p&gt;&lt;/h4&gt;&lt;/div&gt;</t>
  </si>
  <si>
    <t>Coward's Cowl</t>
  </si>
  <si>
    <t>alchemist 1, bard 1, cleric/oracle 1, mesmerist 1, psychic 1, shaman 1, sorcerer/wizard 1, witch 1</t>
  </si>
  <si>
    <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t>
  </si>
  <si>
    <t>&lt;p&gt;You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effects.&lt;/p&gt;</t>
  </si>
  <si>
    <t>&lt;link rel="stylesheet"href="PF.css"&gt;&lt;div class="heading"&gt;&lt;p class="alignleft"&gt;Coward's Cowl&lt;/p&gt;&lt;div style="clear: both;"&gt;&lt;/div&gt;&lt;/div&gt;&lt;div&gt;&lt;h5&gt;&lt;b&gt;School &lt;/b&gt;enchantment [mind-affecting]; &lt;b&gt;Level &lt;/b&gt;alchemist 1, bard 1, cleric/oracle 1, mesmerist 1, psychic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&lt;/b&gt;no&lt;/h5&gt;&lt;/div&gt;&lt;hr/&gt;&lt;div&gt;&lt;h5&gt;&lt;b&gt;DESCRIPTION&lt;/b&gt;&lt;/h5&gt;&lt;/div&gt;&lt;hr/&gt;&lt;div&gt;&lt;h4&gt;&lt;p&gt;You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effects.&lt;/p&gt;&lt;/h4&gt;&lt;/div&gt;</t>
  </si>
  <si>
    <t>Dream Dalliance</t>
  </si>
  <si>
    <t>Will disbelief, then Will partial (see text)</t>
  </si>
  <si>
    <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break enchantment, greater restoration, or miracle. Alternatively, the phantasm can be confronted in its host's mindscape (Pathfinder RPG Occult Adventures 202), where it manifests as a slothful duplicate of its host with identical abilities, skills, and attributes.</t>
  </si>
  <si>
    <t>&lt;p&gt;You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&lt;i&gt;break enchantment&lt;/i&gt;, &lt;i&gt;greater restoration&lt;/i&gt;, or &lt;i&gt;miracle&lt;/i&gt;. Alternatively, the phantasm can be confronted in its host's mindscape (&lt;i&gt;Pathfinder RPG Occult Adventures&lt;/i&gt; 202), where it manifests as a slothful duplicate of its host with identical abilities, skills, and attributes.&lt;/p&gt;</t>
  </si>
  <si>
    <t>&lt;link rel="stylesheet"href="PF.css"&gt;&lt;div class="heading"&gt;&lt;p class="alignleft"&gt;Dream Dalliance&lt;/p&gt;&lt;div style="clear: both;"&gt;&lt;/div&gt;&lt;/div&gt;&lt;div&gt;&lt;h5&gt;&lt;b&gt;School &lt;/b&gt;illusion (phantasm) [mind-affecting]; &lt;b&gt;Level &lt;/b&gt;mesmerist 3, psychic 4, sorcerer/wizard 4&lt;/h5&gt;&lt;/div&gt;&lt;hr/&gt;&lt;div&gt;&lt;h5&gt;&lt;b&gt;CASTING&lt;/b&gt;&lt;/h5&gt;&lt;/div&gt;&lt;hr/&gt;&lt;div&gt;&lt;h5&gt;&lt;b&gt;Casting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&lt;/b&gt;instantaneous&lt;/h5&gt;&lt;h5&gt;&lt;b&gt;Saving Throw &lt;/b&gt;Will disbelief, then Will partial (see text); &lt;b&gt;Spell Resistance &lt;/b&gt;yes&lt;/h5&gt;&lt;/div&gt;&lt;hr/&gt;&lt;div&gt;&lt;h5&gt;&lt;b&gt;DESCRIPTION&lt;/b&gt;&lt;/h5&gt;&lt;/div&gt;&lt;hr/&gt;&lt;div&gt;&lt;h4&gt;&lt;p&gt;You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&lt;i&gt;break enchantment&lt;/i&gt;, &lt;i&gt;greater restoration&lt;/i&gt;, or &lt;i&gt;miracle&lt;/i&gt;. Alternatively, the phantasm can be confronted in its host's mindscape (&lt;i&gt;Pathfinder RPG Occult Adventures&lt;/i&gt; 202), where it manifests as a slothful duplicate of its host with identical abilities, skills, and attributes.&lt;/p&gt;&lt;/h4&gt;&lt;/div&gt;</t>
  </si>
  <si>
    <t>Enticing Adulation</t>
  </si>
  <si>
    <t>bard 3, sorcerer/wizard 4, witch 4</t>
  </si>
  <si>
    <t>V, S, M (a lock of your hair)</t>
  </si>
  <si>
    <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t>
  </si>
  <si>
    <t>&lt;p&gt;A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ends.&lt;/p&gt;</t>
  </si>
  <si>
    <t>&lt;link rel="stylesheet"href="PF.css"&gt;&lt;div class="heading"&gt;&lt;p class="alignleft"&gt;Enticing Adulation&lt;/p&gt;&lt;div style="clear: both;"&gt;&lt;/div&gt;&lt;/div&gt;&lt;div&gt;&lt;h5&gt;&lt;b&gt;School &lt;/b&gt;enchantment [mind-affecting]; &lt;b&gt;Level &lt;/b&gt;bard 3, sorcerer/wizard 4, witch 4&lt;/h5&gt;&lt;/div&gt;&lt;hr/&gt;&lt;div&gt;&lt;h5&gt;&lt;b&gt;CASTING&lt;/b&gt;&lt;/h5&gt;&lt;/div&gt;&lt;hr/&gt;&lt;div&gt;&lt;h5&gt;&lt;b&gt;Casting Time &lt;/b&gt;1 standard action&lt;/h5&gt;&lt;h5&gt;&lt;b&gt;Components &lt;/b&gt;V, S, M (a lock of your hair)&lt;/h5&gt;&lt;/div&gt;&lt;hr/&gt;&lt;div&gt;&lt;h5&gt;&lt;b&gt;EFFECT&lt;/b&gt;&lt;/h5&gt;&lt;/div&gt;&lt;hr/&gt;&lt;div&gt;&lt;h5&gt;&lt;b&gt;Range &lt;/b&gt;close (25 ft. + 5 ft./2 levels)&lt;/h5&gt;&lt;h5&gt;&lt;b&gt;Targets &lt;/b&gt;one creature&lt;/h5&gt;&lt;h5&gt;&lt;b&gt;Duration &lt;/b&gt;10 minutes/level&lt;/h5&gt;&lt;h5&gt;&lt;b&gt;Saving Throw &lt;/b&gt;Will negates; &lt;b&gt;Spell Resistance &lt;/b&gt;yes&lt;/h5&gt;&lt;/div&gt;&lt;hr/&gt;&lt;div&gt;&lt;h5&gt;&lt;b&gt;DESCRIPTION&lt;/b&gt;&lt;/h5&gt;&lt;/div&gt;&lt;hr/&gt;&lt;div&gt;&lt;h4&gt;&lt;p&gt;A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ends.&lt;/p&gt;&lt;/h4&gt;&lt;/div&gt;</t>
  </si>
  <si>
    <t>Furious Fire Barrage</t>
  </si>
  <si>
    <t>bloodrager 4, magus 5, sorcerer/wizard 6</t>
  </si>
  <si>
    <t>V, S, M (two balls of guano)</t>
  </si>
  <si>
    <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calm emotions spell or are otherwise unable to feel anger or outrage.</t>
  </si>
  <si>
    <t>&lt;p&gt;Upon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&lt;i&gt;calm emotions&lt;/i&gt; spell or are otherwise unable to feel anger or outrage.&lt;/p&gt;</t>
  </si>
  <si>
    <t>&lt;link rel="stylesheet"href="PF.css"&gt;&lt;div class="heading"&gt;&lt;p class="alignleft"&gt;Furious Fire Barrage&lt;/p&gt;&lt;div style="clear: both;"&gt;&lt;/div&gt;&lt;/div&gt;&lt;div&gt;&lt;h5&gt;&lt;b&gt;School &lt;/b&gt;evocation [fire]; &lt;b&gt;Level &lt;/b&gt;bloodrager 4, magus 5, sorcerer/wizard 6&lt;/h5&gt;&lt;/div&gt;&lt;hr/&gt;&lt;div&gt;&lt;h5&gt;&lt;b&gt;CASTING&lt;/b&gt;&lt;/h5&gt;&lt;/div&gt;&lt;hr/&gt;&lt;div&gt;&lt;h5&gt;&lt;b&gt;Casting Time &lt;/b&gt;1 standard action&lt;/h5&gt;&lt;h5&gt;&lt;b&gt;Components &lt;/b&gt;V, S, M (two balls of guano)&lt;/h5&gt;&lt;/div&gt;&lt;hr/&gt;&lt;div&gt;&lt;h5&gt;&lt;b&gt;EFFECT&lt;/b&gt;&lt;/h5&gt;&lt;/div&gt;&lt;hr/&gt;&lt;div&gt;&lt;h5&gt;&lt;b&gt;Range &lt;/b&gt;personal&lt;/h5&gt;&lt;h5&gt;&lt;b&gt;Duration &lt;/b&gt;1 round/level; see text&lt;/h5&gt;&lt;h5&gt;&lt;b&gt;Saving Throw &lt;/b&gt;Reflex half; &lt;b&gt;Spell Resistance &lt;/b&gt;yes&lt;/h5&gt;&lt;/div&gt;&lt;hr/&gt;&lt;div&gt;&lt;h5&gt;&lt;b&gt;DESCRIPTION&lt;/b&gt;&lt;/h5&gt;&lt;/div&gt;&lt;hr/&gt;&lt;div&gt;&lt;h4&gt;&lt;p&gt;Upon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&lt;i&gt;calm emotions&lt;/i&gt; spell or are otherwise unable to feel anger or outrage.&lt;/p&gt;&lt;/h4&gt;&lt;/div&gt;</t>
  </si>
  <si>
    <t>Golden Guise</t>
  </si>
  <si>
    <t>V, S, M (10 gold pieces)</t>
  </si>
  <si>
    <t>one object weighing no more than 5 lbs./level</t>
  </si>
  <si>
    <t>You cause an object to briefly transform into gold. Affected items gain the properties of gold (Pathfinder RPG Ultimate Equipment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t>
  </si>
  <si>
    <t>&lt;p&gt;You cause an object to briefly transform into gold. Affected items gain the properties of gold (&lt;i&gt;Pathfinder RPG Ultimate Equipment&lt;/i&gt;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5.&lt;/p&gt;</t>
  </si>
  <si>
    <t>&lt;link rel="stylesheet"href="PF.css"&gt;&lt;div class="heading"&gt;&lt;p class="alignleft"&gt;Golden Guise&lt;/p&gt;&lt;div style="clear: both;"&gt;&lt;/div&gt;&lt;/div&gt;&lt;div&gt;&lt;h5&gt;&lt;b&gt;School &lt;/b&gt;transmutation; &lt;b&gt;Level &lt;/b&gt;bard 2, sorcerer/wizard 3, witch 3&lt;/h5&gt;&lt;/div&gt;&lt;hr/&gt;&lt;div&gt;&lt;h5&gt;&lt;b&gt;CASTING&lt;/b&gt;&lt;/h5&gt;&lt;/div&gt;&lt;hr/&gt;&lt;div&gt;&lt;h5&gt;&lt;b&gt;Casting Time &lt;/b&gt;1 standard action&lt;/h5&gt;&lt;h5&gt;&lt;b&gt;Components &lt;/b&gt;V, S, M (10 gold pieces)&lt;/h5&gt;&lt;/div&gt;&lt;hr/&gt;&lt;div&gt;&lt;h5&gt;&lt;b&gt;EFFECT&lt;/b&gt;&lt;/h5&gt;&lt;/div&gt;&lt;hr/&gt;&lt;div&gt;&lt;h5&gt;&lt;b&gt;Range &lt;/b&gt;close (25 ft. + 5 ft./2 levels)&lt;/h5&gt;&lt;h5&gt;&lt;b&gt;Targets &lt;/b&gt;one object weighing no more than 5 lbs./level&lt;/h5&gt;&lt;h5&gt;&lt;b&gt;Duration &lt;/b&gt;1 minute/level&lt;/h5&gt;&lt;h5&gt;&lt;b&gt;Saving Throw &lt;/b&gt;Will negates (harmless); &lt;b&gt;Spell Resistance &lt;/b&gt;yes&lt;/h5&gt;&lt;/div&gt;&lt;hr/&gt;&lt;div&gt;&lt;h5&gt;&lt;b&gt;DESCRIPTION&lt;/b&gt;&lt;/h5&gt;&lt;/div&gt;&lt;hr/&gt;&lt;div&gt;&lt;h4&gt;&lt;p&gt;You cause an object to briefly transform into gold. Affected items gain the properties of gold (&lt;i&gt;Pathfinder RPG Ultimate Equipment&lt;/i&gt;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5.&lt;/p&gt;&lt;/h4&gt;&lt;/div&gt;</t>
  </si>
  <si>
    <t>Shadow Endurance</t>
  </si>
  <si>
    <t>bard 5, mesmerist 5, shaman 5, sorcerer/wizard 6, spiritualist 5</t>
  </si>
  <si>
    <t>V, S, M (a fetchling's tooth)</t>
  </si>
  <si>
    <t>1 hour/level until discharged, then 1 minute/level; see text</t>
  </si>
  <si>
    <t>You conjure protective wisps of darkness made from shadow. If you are reduced below 0 hit points or rendered unconscious, shadow endurance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shadow conjuration.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t>
  </si>
  <si>
    <t>&lt;p&gt;You conjure protective wisps of darkness made from shadow. If you are reduced below 0 hit points or rendered unconscious, &lt;i&gt;shadow endurance&lt;/i&gt;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&lt;i&gt;shadow conjuration&lt;/i&gt;.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reappears.&lt;/p&gt;</t>
  </si>
  <si>
    <t>&lt;link rel="stylesheet"href="PF.css"&gt;&lt;div class="heading"&gt;&lt;p class="alignleft"&gt;Shadow Endurance&lt;/p&gt;&lt;div style="clear: both;"&gt;&lt;/div&gt;&lt;/div&gt;&lt;div&gt;&lt;h5&gt;&lt;b&gt;School &lt;/b&gt;illusion (shadow) [shadow&lt;sup&gt;UM&lt;/sup&gt;]; &lt;b&gt;Level &lt;/b&gt;bard 5, mesmerist 5, shaman 5, sorcerer/wizard 6, spiritualist 5&lt;/h5&gt;&lt;/div&gt;&lt;hr/&gt;&lt;div&gt;&lt;h5&gt;&lt;b&gt;CASTING&lt;/b&gt;&lt;/h5&gt;&lt;/div&gt;&lt;hr/&gt;&lt;div&gt;&lt;h5&gt;&lt;b&gt;Casting Time &lt;/b&gt;1 standard action&lt;/h5&gt;&lt;h5&gt;&lt;b&gt;Components &lt;/b&gt;V, S, M (a fetchling's tooth)&lt;/h5&gt;&lt;/div&gt;&lt;hr/&gt;&lt;div&gt;&lt;h5&gt;&lt;b&gt;EFFECT&lt;/b&gt;&lt;/h5&gt;&lt;/div&gt;&lt;hr/&gt;&lt;div&gt;&lt;h5&gt;&lt;b&gt;Range &lt;/b&gt;personal&lt;/h5&gt;&lt;h5&gt;&lt;b&gt;Duration &lt;/b&gt;1 hour/level until discharged, then 1 minute/level; see text&lt;/h5&gt;&lt;h5&gt;&lt;b&gt;Saving Throw &lt;/b&gt;Will disbelief (if interacted with); varies; see text; &lt;b&gt;Spell Resistance &lt;/b&gt;see text&lt;/h5&gt;&lt;/div&gt;&lt;hr/&gt;&lt;div&gt;&lt;h5&gt;&lt;b&gt;DESCRIPTION&lt;/b&gt;&lt;/h5&gt;&lt;/div&gt;&lt;hr/&gt;&lt;div&gt;&lt;h4&gt;&lt;p&gt;You conjure protective wisps of darkness made from shadow. If you are reduced below 0 hit points or rendered unconscious, &lt;i&gt;shadow endurance&lt;/i&gt;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&lt;i&gt;shadow conjuration&lt;/i&gt;.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reappears.&lt;/p&gt;&lt;/h4&gt;&lt;/div&gt;</t>
  </si>
  <si>
    <t>Seer's Bane</t>
  </si>
  <si>
    <t>cleric/oracle 6, inquisitor 6, sorcerer/wizard 6</t>
  </si>
  <si>
    <t>This spell functions as nondetection,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bestow curse, chaos hammer, contagion, holy smite, order's wrath, poison, or unholy blight in the round immediately following seer's bane, you can replace the spell's damaging effect with the effects of that second spell (the divination's caster-and potentially those around him-save as normal for the modifying spell).</t>
  </si>
  <si>
    <t>&lt;p&gt;This spell functions as &lt;i&gt;nondetection&lt;/i&gt;,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&lt;i&gt;bestow curse&lt;/i&gt;, &lt;i&gt;chaos hammer&lt;/i&gt;, &lt;i&gt;contagion&lt;/i&gt;, &lt;i&gt;holy smite&lt;/i&gt;, order's wrath, &lt;i&gt;poison&lt;/i&gt;, or &lt;i&gt;unholy blight&lt;/i&gt; in the round immediately following seer's bane, you can replace the spell's damaging effect with the effects of that second spell (the divination's caster-and potentially those around him-save as normal for the modifying spell).&lt;/p&gt;</t>
  </si>
  <si>
    <t>AP 102</t>
  </si>
  <si>
    <t>&lt;link rel="stylesheet"href="PF.css"&gt;&lt;div class="heading"&gt;&lt;p class="alignleft"&gt;Seer's Bane&lt;/p&gt;&lt;div style="clear: both;"&gt;&lt;/div&gt;&lt;/div&gt;&lt;div&gt;&lt;h5&gt;&lt;b&gt;School &lt;/b&gt;abjuration; &lt;b&gt;Level &lt;/b&gt;cleric/oracle 6, inquisitor 6, sorcerer/wizard 6&lt;/h5&gt;&lt;/div&gt;&lt;hr/&gt;&lt;div&gt;&lt;h5&gt;&lt;b&gt;CASTING&lt;/b&gt;&lt;/h5&gt;&lt;/div&gt;&lt;hr/&gt;&lt;div&gt;&lt;h5&gt;&lt;b&gt;Casting Time &lt;/b&gt;1 round&lt;/h5&gt;&lt;h5&gt;&lt;b&gt;Components &lt;/b&gt;V, S&lt;/h5&gt;&lt;/div&gt;&lt;hr/&gt;&lt;div&gt;&lt;h5&gt;&lt;b&gt;EFFECT&lt;/b&gt;&lt;/h5&gt;&lt;/div&gt;&lt;hr/&gt;&lt;div&gt;&lt;h5&gt;&lt;b&gt;Range &lt;/b&gt;touch&lt;/h5&gt;&lt;h5&gt;&lt;b&gt;Targets &lt;/b&gt;creature or object touched&lt;/h5&gt;&lt;h5&gt;&lt;b&gt;Duration &lt;/b&gt;1 hour/level&lt;/h5&gt;&lt;h5&gt;&lt;b&gt;Saving Throw &lt;/b&gt;Will negates (harmless, object); &lt;b&gt;Spell Resistance &lt;/b&gt;yes (harmless, object)&lt;/h5&gt;&lt;/div&gt;&lt;hr/&gt;&lt;div&gt;&lt;h5&gt;&lt;b&gt;DESCRIPTION&lt;/b&gt;&lt;/h5&gt;&lt;/div&gt;&lt;hr/&gt;&lt;div&gt;&lt;h4&gt;&lt;p&gt;This spell functions as &lt;i&gt;nondetection&lt;/i&gt;,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&lt;i&gt;bestow curse&lt;/i&gt;, &lt;i&gt;chaos hammer&lt;/i&gt;, &lt;i&gt;contagion&lt;/i&gt;, &lt;i&gt;holy smite&lt;/i&gt;, order's wrath, &lt;i&gt;poison&lt;/i&gt;, or &lt;i&gt;unholy blight&lt;/i&gt; in the round immediately following seer's bane, you can replace the spell's damaging effect with the effects of that second spell (the divination's caster-and potentially those around him-save as normal for the modifying spell).&lt;/p&gt;&lt;/h4&gt;&lt;/div&gt;</t>
  </si>
  <si>
    <t>Aroden's Magic Army</t>
  </si>
  <si>
    <t>shaman 8, sorcerer/wizard 7</t>
  </si>
  <si>
    <t>weapons carried by allies</t>
  </si>
  <si>
    <t>You imbue all manufactured weapons carried by allies within range with magic, granting each weapon a +1 enhancement bonus on attack rolls and damage rolls per 5 caster levels (maximum +4).</t>
  </si>
  <si>
    <t>&lt;p&gt;You imbue all manufactured weapons carried by allies within range with magic, granting each weapon a +1 enhancement bonus on attack rolls and damage rolls per 5 caster levels (maximum +4).&lt;/p&gt;</t>
  </si>
  <si>
    <t>Arcane Anthology</t>
  </si>
  <si>
    <t>&lt;link rel="stylesheet"href="PF.css"&gt;&lt;div class="heading"&gt;&lt;p class="alignleft"&gt;Aroden's Magic Army&lt;/p&gt;&lt;div style="clear: both;"&gt;&lt;/div&gt;&lt;/div&gt;&lt;div&gt;&lt;h5&gt;&lt;b&gt;School &lt;/b&gt;transmutation; &lt;b&gt;Level &lt;/b&gt;shaman 8, sorcerer/wizard 7&lt;/h5&gt;&lt;/div&gt;&lt;hr/&gt;&lt;div&gt;&lt;h5&gt;&lt;b&gt;CASTING&lt;/b&gt;&lt;/h5&gt;&lt;/div&gt;&lt;hr/&gt;&lt;div&gt;&lt;h5&gt;&lt;b&gt;Casting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ft./level)&lt;/h5&gt;&lt;h5&gt;&lt;b&gt;Targets &lt;/b&gt;weapons carried by allies&lt;/h5&gt;&lt;h5&gt;&lt;b&gt;Duration &lt;/b&gt;1 hour/level&lt;/h5&gt;&lt;h5&gt;&lt;b&gt;Saving Throw &lt;/b&gt;Will negates (harmless, object); &lt;b&gt;Spell Resistance &lt;/b&gt;yes (harmless, object)&lt;/h5&gt;&lt;/div&gt;&lt;hr/&gt;&lt;div&gt;&lt;h5&gt;&lt;b&gt;DESCRIPTION&lt;/b&gt;&lt;/h5&gt;&lt;/div&gt;&lt;hr/&gt;&lt;div&gt;&lt;h4&gt;&lt;p&gt;You imbue all manufactured weapons carried by allies within range with magic, granting each weapon a +1 enhancement bonus on attack rolls and damage rolls per 5 caster levels (maximum +4).&lt;/p&gt;&lt;/h4&gt;&lt;/div&gt;</t>
  </si>
  <si>
    <t>Aroden's Spellsword</t>
  </si>
  <si>
    <t>bard 4, bloodrager 4, magus 3, occultist 4, sorcerer/wizard 3, witch 4</t>
  </si>
  <si>
    <t>V, S, F (a magic rod or staff)</t>
  </si>
  <si>
    <t>one melee weapon sized appropriately for you</t>
  </si>
  <si>
    <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t>
  </si>
  <si>
    <t>&lt;p&gt;When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destroyed.&lt;/p&gt;</t>
  </si>
  <si>
    <t>&lt;link rel="stylesheet"href="PF.css"&gt;&lt;div class="heading"&gt;&lt;p class="alignleft"&gt;Aroden's Spellsword&lt;/p&gt;&lt;div style="clear: both;"&gt;&lt;/div&gt;&lt;/div&gt;&lt;div&gt;&lt;h5&gt;&lt;b&gt;School &lt;/b&gt;transmutation; &lt;b&gt;Level &lt;/b&gt;bard 4, bloodrager 4, magus 3, occultist 4, sorcerer/wizard 3, witch 4&lt;/h5&gt;&lt;/div&gt;&lt;hr/&gt;&lt;div&gt;&lt;h5&gt;&lt;b&gt;CASTING&lt;/b&gt;&lt;/h5&gt;&lt;/div&gt;&lt;hr/&gt;&lt;div&gt;&lt;h5&gt;&lt;b&gt;Casting Time &lt;/b&gt;1 round&lt;/h5&gt;&lt;h5&gt;&lt;b&gt;Components &lt;/b&gt;V, S, F (a magic rod or staff)&lt;/h5&gt;&lt;/div&gt;&lt;hr/&gt;&lt;div&gt;&lt;h5&gt;&lt;b&gt;EFFECT&lt;/b&gt;&lt;/h5&gt;&lt;/div&gt;&lt;hr/&gt;&lt;div&gt;&lt;h5&gt;&lt;b&gt;Range &lt;/b&gt;touch&lt;/h5&gt;&lt;h5&gt;&lt;b&gt;Effect &lt;/b&gt;one melee weapon sized appropriately for you&lt;/h5&gt;&lt;h5&gt;&lt;b&gt;Duration &lt;/b&gt;10 minutes/level&lt;/h5&gt;&lt;h5&gt;&lt;b&gt;Saving Throw &lt;/b&gt;Will negates (harmless, object); &lt;b&gt;Spell Resistance &lt;/b&gt;yes (harmless, object)&lt;/h5&gt;&lt;/div&gt;&lt;hr/&gt;&lt;div&gt;&lt;h5&gt;&lt;b&gt;DESCRIPTION&lt;/b&gt;&lt;/h5&gt;&lt;/div&gt;&lt;hr/&gt;&lt;div&gt;&lt;h4&gt;&lt;p&gt;When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destroyed.&lt;/p&gt;&lt;/h4&gt;&lt;/div&gt;</t>
  </si>
  <si>
    <t>Banishing Blade</t>
  </si>
  <si>
    <t>antipaladin 4, bloodrager 4, inquisitor 5, magus 5, medium 4, paladin 4, shaman 5, sorcerer/wizard 5, spiritualist 5, summoner 5</t>
  </si>
  <si>
    <t>none and Will partial (see text)</t>
  </si>
  <si>
    <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banishing blade.  The first time each extraplanar creature whose Hit Dice don't exceed your caster level is driven back at least 10 feet by this spell, it must attempt a Will save. If it fails, it is sent back to its home plane. Whether it succeeds or fails, that creature is staggered for 1 round and banishing blade's duration ends.</t>
  </si>
  <si>
    <t>&lt;p&gt;You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&lt;i&gt;&lt;i&gt;banishing&lt;/i&gt; blade&lt;/i&gt;.  The first time each extraplanar creature whose Hit Dice don't exceed your caster level is driven back at least 10 feet by this spell, it must attempt a Will save. If it fails, it is sent back to its home plane. Whether it succeeds or fails, that creature is staggered for 1 round and &lt;i&gt;&lt;i&gt;banishing&lt;/i&gt; blade&lt;/i&gt;'s duration ends.&lt;/p&gt;</t>
  </si>
  <si>
    <t>&lt;link rel="stylesheet"href="PF.css"&gt;&lt;div class="heading"&gt;&lt;p class="alignleft"&gt;Banishing Blade&lt;/p&gt;&lt;div style="clear: both;"&gt;&lt;/div&gt;&lt;/div&gt;&lt;div&gt;&lt;h5&gt;&lt;b&gt;School &lt;/b&gt;abjuration; &lt;b&gt;Level &lt;/b&gt;antipaladin 4, bloodrager 4, inquisitor 5, magus 5, medium 4, paladin 4, shaman 5, sorcerer/wizard 5, spiritualist 5, summoner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melee weapon&lt;/h5&gt;&lt;h5&gt;&lt;b&gt;Duration &lt;/b&gt;1 round/level or until discharged&lt;/h5&gt;&lt;h5&gt;&lt;b&gt;Saving Throw &lt;/b&gt;none and Will partial (see text); &lt;b&gt;Spell Resistance &lt;/b&gt;yes (see text)&lt;/h5&gt;&lt;/div&gt;&lt;hr/&gt;&lt;div&gt;&lt;h5&gt;&lt;b&gt;DESCRIPTION&lt;/b&gt;&lt;/h5&gt;&lt;/div&gt;&lt;hr/&gt;&lt;div&gt;&lt;h4&gt;&lt;p&gt;You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&lt;i&gt;&lt;i&gt;banishing&lt;/i&gt; blade&lt;/i&gt;.  The first time each extraplanar creature whose Hit Dice don't exceed your caster level is driven back at least 10 feet by this spell, it must attempt a Will save. If it fails, it is sent back to its home plane. Whether it succeeds or fails, that creature is staggered for 1 round and &lt;i&gt;&lt;i&gt;banishing&lt;/i&gt; blade&lt;/i&gt;'s duration ends.&lt;/p&gt;&lt;/h4&gt;&lt;/div&gt;</t>
  </si>
  <si>
    <t>Create Armaments</t>
  </si>
  <si>
    <t>bard 4, medium 4, psychic 4, sorcerer/wizard 4, spiritualist 3, witch 4</t>
  </si>
  <si>
    <t>V, S, M (diamonds worth price of arms to be created)</t>
  </si>
  <si>
    <t>one nonmagical weapon, shield, or set of armor</t>
  </si>
  <si>
    <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t>
  </si>
  <si>
    <t>&lt;p&gt;You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spell.&lt;/p&gt;</t>
  </si>
  <si>
    <t>&lt;link rel="stylesheet"href="PF.css"&gt;&lt;div class="heading"&gt;&lt;p class="alignleft"&gt;Create Armaments&lt;/p&gt;&lt;div style="clear: both;"&gt;&lt;/div&gt;&lt;/div&gt;&lt;div&gt;&lt;h5&gt;&lt;b&gt;School &lt;/b&gt;conjuration (creation); &lt;b&gt;Level &lt;/b&gt;bard 4, medium 4, psychic 4, sorcerer/wizard 4, spiritualist 3, witch 4&lt;/h5&gt;&lt;/div&gt;&lt;hr/&gt;&lt;div&gt;&lt;h5&gt;&lt;b&gt;CASTING&lt;/b&gt;&lt;/h5&gt;&lt;/div&gt;&lt;hr/&gt;&lt;div&gt;&lt;h5&gt;&lt;b&gt;Casting Time &lt;/b&gt;1 minute&lt;/h5&gt;&lt;h5&gt;&lt;b&gt;Components &lt;/b&gt;V, S, M (diamonds worth price of arms to be created)&lt;/h5&gt;&lt;/div&gt;&lt;hr/&gt;&lt;div&gt;&lt;h5&gt;&lt;b&gt;EFFECT&lt;/b&gt;&lt;/h5&gt;&lt;/div&gt;&lt;hr/&gt;&lt;div&gt;&lt;h5&gt;&lt;b&gt;Range &lt;/b&gt;0 ft.&lt;/h5&gt;&lt;h5&gt;&lt;b&gt;Effect &lt;/b&gt;one nonmagical weapon, shield, or set of armor&lt;/h5&gt;&lt;h5&gt;&lt;b&gt;Duration &lt;/b&gt;instantaneous&lt;/h5&gt;&lt;h5&gt;&lt;b&gt;Saving Throw &lt;/b&gt;none; &lt;b&gt;Spell Resistance &lt;/b&gt;no&lt;/h5&gt;&lt;/div&gt;&lt;hr/&gt;&lt;div&gt;&lt;h5&gt;&lt;b&gt;DESCRIPTION&lt;/b&gt;&lt;/h5&gt;&lt;/div&gt;&lt;hr/&gt;&lt;div&gt;&lt;h4&gt;&lt;p&gt;You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spell.&lt;/p&gt;&lt;/h4&gt;&lt;/div&gt;</t>
  </si>
  <si>
    <t>Expeditious Construction</t>
  </si>
  <si>
    <t>V, S, M (a handful of earth or stone)</t>
  </si>
  <si>
    <t>a low wall 10 feet long per 3 levels (minimum 10 feet) (S)</t>
  </si>
  <si>
    <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t>
  </si>
  <si>
    <t>&lt;p&gt;You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2.&lt;/p&gt;</t>
  </si>
  <si>
    <t>&lt;link rel="stylesheet"href="PF.css"&gt;&lt;div class="heading"&gt;&lt;p class="alignleft"&gt;Expeditious Construction&lt;/p&gt;&lt;div style="clear: both;"&gt;&lt;/div&gt;&lt;/div&gt;&lt;div&gt;&lt;h5&gt;&lt;b&gt;School &lt;/b&gt;conjuration (creation) [earth]; &lt;b&gt;Level &lt;/b&gt;druid 1, sorcerer/wizard 1&lt;/h5&gt;&lt;/div&gt;&lt;hr/&gt;&lt;div&gt;&lt;h5&gt;&lt;b&gt;CASTING&lt;/b&gt;&lt;/h5&gt;&lt;/div&gt;&lt;hr/&gt;&lt;div&gt;&lt;h5&gt;&lt;b&gt;Casting Time &lt;/b&gt;1 standard action&lt;/h5&gt;&lt;h5&gt;&lt;b&gt;Components &lt;/b&gt;V, S, M (a handful of earth or stone)&lt;/h5&gt;&lt;/div&gt;&lt;hr/&gt;&lt;div&gt;&lt;h5&gt;&lt;b&gt;EFFECT&lt;/b&gt;&lt;/h5&gt;&lt;/div&gt;&lt;hr/&gt;&lt;div&gt;&lt;h5&gt;&lt;b&gt;Range &lt;/b&gt;close (25 ft. + 5 ft./2 levels)&lt;/h5&gt;&lt;h5&gt;&lt;b&gt;Effect &lt;/b&gt;a low wall 10 feet long per 3 levels (minimum 10 feet) (S)&lt;/h5&gt;&lt;h5&gt;&lt;b&gt;Duration &lt;/b&gt;instantaneous&lt;/h5&gt;&lt;h5&gt;&lt;b&gt;Saving Throw &lt;/b&gt;none; &lt;b&gt;Spell Resistance &lt;/b&gt;no&lt;/h5&gt;&lt;/div&gt;&lt;hr/&gt;&lt;div&gt;&lt;h5&gt;&lt;b&gt;DESCRIPTION&lt;/b&gt;&lt;/h5&gt;&lt;/div&gt;&lt;hr/&gt;&lt;div&gt;&lt;h4&gt;&lt;p&gt;You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2.&lt;/p&gt;&lt;/h4&gt;&lt;/div&gt;</t>
  </si>
  <si>
    <t>Force Sword</t>
  </si>
  <si>
    <t>bloodrager 2, magus 2, occultist 2, psychic 2, sorcerer/wizard 2, spiritualist 2, witch 2</t>
  </si>
  <si>
    <t>one sword-shaped weapon of force</t>
  </si>
  <si>
    <t>You create a +1 longsword of pure force sized appropriately for you that you can wield or give to another creature like any other longsword. At 8th level, the sword functions as a +2 longsword. At 13th level, it functions as a +3 longsword. A force sword cannot be attacked or harmed by physical attacks, but dispel magic, disintegrate, a sphere of annihilation, or a rod of cancellation affects it.  If a creature you attack with the sword has spell resistance, you must attempt a caster level check (1d20 + your caster level) against that spell resistance the first time the force sword strikes it. If you fail the check, the spell is dispelled. If you succeed, the weapon has its normal full effect on that creature for the duration of the spell.</t>
  </si>
  <si>
    <t>&lt;p&gt;You create a &lt;i&gt;+1 longsword&lt;/i&gt; of pure force sized appropriately for you that you can wield or give to another creature like any other longsword. At 8th level, the sword functions as a &lt;i&gt;+2 longsword&lt;/i&gt;. At 13th level, it functions as a &lt;i&gt;+3 longsword&lt;/i&gt;. A &lt;i&gt;force sword&lt;/i&gt; cannot be attacked or harmed by physical attacks, but &lt;i&gt;dispel magic&lt;/i&gt;, &lt;i&gt;disintegrate&lt;/i&gt;, a &lt;i&gt;sphere of annihilation&lt;/i&gt;, or a &lt;i&gt;rod of cancellation&lt;/i&gt; affects it.  If a creature you attack with the sword has spell resistance, you must attempt a caster level check (1d20 + your caster level) against that spell resistance the first time the &lt;i&gt;force sword&lt;/i&gt; strikes it. If you fail the check, the spell is dispelled. If you succeed, the weapon has its normal full effect on that creature for the duration of the spell.&lt;/p&gt;</t>
  </si>
  <si>
    <t>&lt;link rel="stylesheet"href="PF.css"&gt;&lt;div class="heading"&gt;&lt;p class="alignleft"&gt;Force Sword&lt;/p&gt;&lt;div style="clear: both;"&gt;&lt;/div&gt;&lt;/div&gt;&lt;div&gt;&lt;h5&gt;&lt;b&gt;School &lt;/b&gt;evocation [force]; &lt;b&gt;Level &lt;/b&gt;bloodrager 2, magus 2, occultist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sword-shaped weapon of force&lt;/h5&gt;&lt;h5&gt;&lt;b&gt;Duration &lt;/b&gt;1 minute/level&lt;/h5&gt;&lt;h5&gt;&lt;b&gt;Saving Throw &lt;/b&gt;none; &lt;b&gt;Spell Resistance &lt;/b&gt;yes&lt;/h5&gt;&lt;/div&gt;&lt;hr/&gt;&lt;div&gt;&lt;h5&gt;&lt;b&gt;DESCRIPTION&lt;/b&gt;&lt;/h5&gt;&lt;/div&gt;&lt;hr/&gt;&lt;div&gt;&lt;h4&gt;&lt;p&gt;You create a &lt;i&gt;+1 longsword&lt;/i&gt; of pure force sized appropriately for you that you can wield or give to another creature like any other longsword. At 8th level, the sword functions as a &lt;i&gt;+2 longsword&lt;/i&gt;. At 13th level, it functions as a &lt;i&gt;+3 longsword&lt;/i&gt;. A &lt;i&gt;force sword&lt;/i&gt; cannot be attacked or harmed by physical attacks, but &lt;i&gt;dispel magic&lt;/i&gt;, &lt;i&gt;disintegrate&lt;/i&gt;, a &lt;i&gt;sphere of annihilation&lt;/i&gt;, or a &lt;i&gt;rod of cancellation&lt;/i&gt; affects it.  If a creature you attack with the sword has spell resistance, you must attempt a caster level check (1d20 + your caster level) against that spell resistance the first time the &lt;i&gt;force sword&lt;/i&gt; strikes it. If you fail the check, the spell is dispelled. If you succeed, the weapon has its normal full effect on that creature for the duration of the spell.&lt;/p&gt;&lt;/h4&gt;&lt;/div&gt;</t>
  </si>
  <si>
    <t>Grand Destiny</t>
  </si>
  <si>
    <t>alchemist 5, bard 4, medium 4, mesmerist 5, sorcerer/wizard 5, summoner 5</t>
  </si>
  <si>
    <t>You inspire the target with the power to seize a grand destiny.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grand destiny spell at a time.</t>
  </si>
  <si>
    <t>&lt;p&gt;You inspire the target with the power to seize a &lt;i&gt;grand destiny&lt;/i&gt;.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&lt;i&gt;grand destiny&lt;/i&gt; spell at a time.&lt;/p&gt;</t>
  </si>
  <si>
    <t>&lt;link rel="stylesheet"href="PF.css"&gt;&lt;div class="heading"&gt;&lt;p class="alignleft"&gt;Grand Destiny&lt;/p&gt;&lt;div style="clear: both;"&gt;&lt;/div&gt;&lt;/div&gt;&lt;div&gt;&lt;h5&gt;&lt;b&gt;School &lt;/b&gt;enchantment (compulsion) [mind-affecting]; &lt;b&gt;Level &lt;/b&gt;alchemist 5, bard 4, medium 4, mesmerist 5, sorcerer/wizard 5, summoner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willing creature&lt;/h5&gt;&lt;h5&gt;&lt;b&gt;Duration &lt;/b&gt;10 minutes/level or until discharged&lt;/h5&gt;&lt;h5&gt;&lt;b&gt;Saving Throw &lt;/b&gt;none (harmless); &lt;b&gt;Spell Resistance &lt;/b&gt;yes (harmless)&lt;/h5&gt;&lt;/div&gt;&lt;hr/&gt;&lt;div&gt;&lt;h5&gt;&lt;b&gt;DESCRIPTION&lt;/b&gt;&lt;/h5&gt;&lt;/div&gt;&lt;hr/&gt;&lt;div&gt;&lt;h4&gt;&lt;p&gt;You inspire the target with the power to seize a &lt;i&gt;grand destiny&lt;/i&gt;.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&lt;i&gt;grand destiny&lt;/i&gt; spell at a time.&lt;/p&gt;&lt;/h4&gt;&lt;/div&gt;</t>
  </si>
  <si>
    <t>Guardian Monument, Lesser</t>
  </si>
  <si>
    <t>bard 3, inquisitor 3, magus 3, occultist 3, paladin 3, psychic 3, shaman 4, sorcerer/wizard 3, witch 3</t>
  </si>
  <si>
    <t>V, S, F (an unattended, nonmagical object)</t>
  </si>
  <si>
    <t>40-ft. radius from touched object or 60-ft. radius from touched object; see text</t>
  </si>
  <si>
    <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t>
  </si>
  <si>
    <t>&lt;p&gt;You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radius.&lt;/p&gt;</t>
  </si>
  <si>
    <t>&lt;link rel="stylesheet"href="PF.css"&gt;&lt;div class="heading"&gt;&lt;p class="alignleft"&gt;Guardian Monument, Lesser&lt;/p&gt;&lt;div style="clear: both;"&gt;&lt;/div&gt;&lt;/div&gt;&lt;div&gt;&lt;h5&gt;&lt;b&gt;School &lt;/b&gt;abjuration; &lt;b&gt;Level &lt;/b&gt;bard 3, inquisitor 3, magus 3, occultist 3, paladin 3, psychic 3, shaman 4, sorcerer/wizard 3, witch 3&lt;/h5&gt;&lt;/div&gt;&lt;hr/&gt;&lt;div&gt;&lt;h5&gt;&lt;b&gt;CASTING&lt;/b&gt;&lt;/h5&gt;&lt;/div&gt;&lt;hr/&gt;&lt;div&gt;&lt;h5&gt;&lt;b&gt;Casting Time &lt;/b&gt;1 full round&lt;/h5&gt;&lt;h5&gt;&lt;b&gt;Components &lt;/b&gt;V, S, F (an unattended, nonmagical object)&lt;/h5&gt;&lt;/div&gt;&lt;hr/&gt;&lt;div&gt;&lt;h5&gt;&lt;b&gt;EFFECT&lt;/b&gt;&lt;/h5&gt;&lt;/div&gt;&lt;hr/&gt;&lt;div&gt;&lt;h5&gt;&lt;b&gt;Range &lt;/b&gt;touch&lt;/h5&gt;&lt;h5&gt;&lt;b&gt;Area &lt;/b&gt;40-ft. radius from touched object or 60-ft. radius from touched object; see text&lt;/h5&gt;&lt;h5&gt;&lt;b&gt;Duration &lt;/b&gt;1 hour/level&lt;/h5&gt;&lt;h5&gt;&lt;b&gt;Saving Throw &lt;/b&gt;Will negates (harmless); &lt;b&gt;Spell Resistance &lt;/b&gt;yes&lt;/h5&gt;&lt;/div&gt;&lt;hr/&gt;&lt;div&gt;&lt;h5&gt;&lt;b&gt;DESCRIPTION&lt;/b&gt;&lt;/h5&gt;&lt;/div&gt;&lt;hr/&gt;&lt;div&gt;&lt;h4&gt;&lt;p&gt;You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radius.&lt;/p&gt;&lt;/h4&gt;&lt;/div&gt;</t>
  </si>
  <si>
    <t>Guardian Monument, Greater</t>
  </si>
  <si>
    <t>bard 5, inquisitor 5, occultist 5, psychic 5, sorcerer/wizard 5, witch 5</t>
  </si>
  <si>
    <t>This spell functions as lesser guardian monument, except it grants DR 4/magic.</t>
  </si>
  <si>
    <t>&lt;p&gt;This spell functions as &lt;i&gt;lesser guardian monument&lt;/i&gt;, except it grants DR 4/magic.&lt;/p&gt;</t>
  </si>
  <si>
    <t>&lt;link rel="stylesheet"href="PF.css"&gt;&lt;div class="heading"&gt;&lt;p class="alignleft"&gt;Guardian Monument, Greater&lt;/p&gt;&lt;div style="clear: both;"&gt;&lt;/div&gt;&lt;/div&gt;&lt;div&gt;&lt;h5&gt;&lt;b&gt;School &lt;/b&gt;abjuration; &lt;b&gt;Level &lt;/b&gt;bard 5, inquisitor 5, occultist 5, psychic 5, sorcerer/wizard 5, witch 5&lt;/h5&gt;&lt;/div&gt;&lt;hr/&gt;&lt;div&gt;&lt;h5&gt;&lt;b&gt;CASTING&lt;/b&gt;&lt;/h5&gt;&lt;/div&gt;&lt;hr/&gt;&lt;div&gt;&lt;h5&gt;&lt;b&gt;Casting Time &lt;/b&gt;1 full round&lt;/h5&gt;&lt;h5&gt;&lt;b&gt;Components &lt;/b&gt;V, S, F (an unattended, nonmagical object)&lt;/h5&gt;&lt;/div&gt;&lt;hr/&gt;&lt;div&gt;&lt;h5&gt;&lt;b&gt;EFFECT&lt;/b&gt;&lt;/h5&gt;&lt;/div&gt;&lt;hr/&gt;&lt;div&gt;&lt;h5&gt;&lt;b&gt;Range &lt;/b&gt;touch&lt;/h5&gt;&lt;h5&gt;&lt;b&gt;Area &lt;/b&gt;40-ft. radius from touched object or 60-ft. radius from touched object; see text&lt;/h5&gt;&lt;h5&gt;&lt;b&gt;Duration &lt;/b&gt;1 hour/level&lt;/h5&gt;&lt;h5&gt;&lt;b&gt;Saving Throw &lt;/b&gt;Will negates (harmless); &lt;b&gt;Spell Resistance &lt;/b&gt;yes&lt;/h5&gt;&lt;/div&gt;&lt;hr/&gt;&lt;div&gt;&lt;h5&gt;&lt;b&gt;DESCRIPTION&lt;/b&gt;&lt;/h5&gt;&lt;/div&gt;&lt;hr/&gt;&lt;div&gt;&lt;h4&gt;&lt;p&gt;This spell functions as &lt;i&gt;lesser guardian monument&lt;/i&gt;, except it grants DR 4/magic.&lt;/p&gt;&lt;/h4&gt;&lt;/div&gt;</t>
  </si>
  <si>
    <t>Human Potential</t>
  </si>
  <si>
    <t>alchemist 2, bard 2, medium 2, psychic 2, sorcerer/wizard 2</t>
  </si>
  <si>
    <t>V, S, M (a human hair)</t>
  </si>
  <si>
    <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t>
  </si>
  <si>
    <t>&lt;p&gt;The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ranks.&lt;/p&gt;</t>
  </si>
  <si>
    <t>&lt;link rel="stylesheet"href="PF.css"&gt;&lt;div class="heading"&gt;&lt;p class="alignleft"&gt;Human Potential&lt;/p&gt;&lt;div style="clear: both;"&gt;&lt;/div&gt;&lt;/div&gt;&lt;div&gt;&lt;h5&gt;&lt;b&gt;School &lt;/b&gt;transmutation; &lt;b&gt;Level &lt;/b&gt;alchemist 2, bard 2, medium 2, psychic 2, sorcerer/wizard 2&lt;/h5&gt;&lt;/div&gt;&lt;hr/&gt;&lt;div&gt;&lt;h5&gt;&lt;b&gt;CASTING&lt;/b&gt;&lt;/h5&gt;&lt;/div&gt;&lt;hr/&gt;&lt;div&gt;&lt;h5&gt;&lt;b&gt;Casting Time &lt;/b&gt;1 standard action&lt;/h5&gt;&lt;h5&gt;&lt;b&gt;Components &lt;/b&gt;V, S, M (a human hair)&lt;/h5&gt;&lt;/div&gt;&lt;hr/&gt;&lt;div&gt;&lt;h5&gt;&lt;b&gt;EFFECT&lt;/b&gt;&lt;/h5&gt;&lt;/div&gt;&lt;hr/&gt;&lt;div&gt;&lt;h5&gt;&lt;b&gt;Range &lt;/b&gt;touch&lt;/h5&gt;&lt;h5&gt;&lt;b&gt;Targets &lt;/b&gt;creature touched&lt;/h5&gt;&lt;h5&gt;&lt;b&gt;Duration &lt;/b&gt;1 minute/level&lt;/h5&gt;&lt;h5&gt;&lt;b&gt;Saving Throw &lt;/b&gt;Will negates (harmless); &lt;b&gt;Spell Resistance &lt;/b&gt;yes&lt;/h5&gt;&lt;/div&gt;&lt;hr/&gt;&lt;div&gt;&lt;h5&gt;&lt;b&gt;DESCRIPTION&lt;/b&gt;&lt;/h5&gt;&lt;/div&gt;&lt;hr/&gt;&lt;div&gt;&lt;h4&gt;&lt;p&gt;The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ranks.&lt;/p&gt;&lt;/h4&gt;&lt;/div&gt;</t>
  </si>
  <si>
    <t>Human Potential, Mass</t>
  </si>
  <si>
    <t>bard 6, psychic 6, sorcerer/wizard 6, summoner 6</t>
  </si>
  <si>
    <t>This spell functions like human potential, except it affects multiple creatures. Each target can choose a different ability score to be enhanced by this spell.</t>
  </si>
  <si>
    <t>&lt;p&gt;This spell functions like &lt;i&gt;human potential&lt;/i&gt;, except it affects multiple creatures. Each target can choose a different ability score to be enhanced by this spell.&lt;/p&gt;</t>
  </si>
  <si>
    <t>&lt;link rel="stylesheet"href="PF.css"&gt;&lt;div class="heading"&gt;&lt;p class="alignleft"&gt;Human Potential, Mass&lt;/p&gt;&lt;div style="clear: both;"&gt;&lt;/div&gt;&lt;/div&gt;&lt;div&gt;&lt;h5&gt;&lt;b&gt;School &lt;/b&gt;transmutation; &lt;b&gt;Level &lt;/b&gt;bard 6, psychic 6, sorcerer/wizard 6, summoner 6&lt;/h5&gt;&lt;/div&gt;&lt;hr/&gt;&lt;div&gt;&lt;h5&gt;&lt;b&gt;CASTING&lt;/b&gt;&lt;/h5&gt;&lt;/div&gt;&lt;hr/&gt;&lt;div&gt;&lt;h5&gt;&lt;b&gt;Casting Time &lt;/b&gt;1 standard action&lt;/h5&gt;&lt;h5&gt;&lt;b&gt;Components &lt;/b&gt;V, S, M (a human hair)&lt;/h5&gt;&lt;/div&gt;&lt;hr/&gt;&lt;div&gt;&lt;h5&gt;&lt;b&gt;EFFECT&lt;/b&gt;&lt;/h5&gt;&lt;/div&gt;&lt;hr/&gt;&lt;div&gt;&lt;h5&gt;&lt;b&gt;Range &lt;/b&gt;close (25 ft. + 5 ft./2 levels)&lt;/h5&gt;&lt;h5&gt;&lt;b&gt;Targets &lt;/b&gt;one creature/level, no two of which can be more than 30 ft. apart&lt;/h5&gt;&lt;h5&gt;&lt;b&gt;Duration &lt;/b&gt;1 minute/level&lt;/h5&gt;&lt;h5&gt;&lt;b&gt;Saving Throw &lt;/b&gt;Will negates (harmless); &lt;b&gt;Spell Resistance &lt;/b&gt;yes&lt;/h5&gt;&lt;/div&gt;&lt;hr/&gt;&lt;div&gt;&lt;h5&gt;&lt;b&gt;DESCRIPTION&lt;/b&gt;&lt;/h5&gt;&lt;/div&gt;&lt;hr/&gt;&lt;div&gt;&lt;h4&gt;&lt;p&gt;This spell functions like &lt;i&gt;human potential&lt;/i&gt;, except it affects multiple creatures. Each target can choose a different ability score to be enhanced by this spell.&lt;/p&gt;&lt;/h4&gt;&lt;/div&gt;</t>
  </si>
  <si>
    <t>Last Azlanti's Defending Sword</t>
  </si>
  <si>
    <t>magus 6, occultist 6, psychic 7, sorcerer/wizard 6</t>
  </si>
  <si>
    <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t>
  </si>
  <si>
    <t>&lt;p&gt;You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AC.&lt;/p&gt;</t>
  </si>
  <si>
    <t>&lt;link rel="stylesheet"href="PF.css"&gt;&lt;div class="heading"&gt;&lt;p class="alignleft"&gt;Last Azlanti's Defending Sword&lt;/p&gt;&lt;div style="clear: both;"&gt;&lt;/div&gt;&lt;/div&gt;&lt;div&gt;&lt;h5&gt;&lt;b&gt;School &lt;/b&gt;evocation [force]; &lt;b&gt;Level &lt;/b&gt;magus 6, occultist 6, psychic 7, sorcerer/wizard 6&lt;/h5&gt;&lt;/div&gt;&lt;hr/&gt;&lt;div&gt;&lt;h5&gt;&lt;b&gt;CASTING&lt;/b&gt;&lt;/h5&gt;&lt;/div&gt;&lt;hr/&gt;&lt;div&gt;&lt;h5&gt;&lt;b&gt;Casting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&lt;/b&gt;one sword&lt;/h5&gt;&lt;h5&gt;&lt;b&gt;Duration &lt;/b&gt;1 round/level (D)&lt;/h5&gt;&lt;h5&gt;&lt;b&gt;Saving Throw &lt;/b&gt;none; &lt;b&gt;Spell Resistance &lt;/b&gt;yes&lt;/h5&gt;&lt;/div&gt;&lt;hr/&gt;&lt;div&gt;&lt;h5&gt;&lt;b&gt;DESCRIPTION&lt;/b&gt;&lt;/h5&gt;&lt;/div&gt;&lt;hr/&gt;&lt;div&gt;&lt;h4&gt;&lt;p&gt;You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AC.&lt;/p&gt;&lt;/h4&gt;&lt;/div&gt;</t>
  </si>
  <si>
    <t>Last Azlanti's Defending Sword, Mass</t>
  </si>
  <si>
    <t>s up to one sword per 3 levels</t>
  </si>
  <si>
    <t>This spell functions as Aroden's defending sword, except you can create one sword per 5 caster levels, each of which must defend a different creature within range.</t>
  </si>
  <si>
    <t>&lt;p&gt;This spell functions as Aroden's defending sword, except you can create one sword per 5 caster levels, each of which must defend a different creature within range.&lt;/p&gt;</t>
  </si>
  <si>
    <t>&lt;link rel="stylesheet"href="PF.css"&gt;&lt;div class="heading"&gt;&lt;p class="alignleft"&gt;Last Azlanti's Defending Sword, Mass&lt;/p&gt;&lt;div style="clear: both;"&gt;&lt;/div&gt;&lt;/div&gt;&lt;div&gt;&lt;h5&gt;&lt;b&gt;School &lt;/b&gt;evocation [force]; &lt;b&gt;Level &lt;/b&gt;sorcerer/wizard 9&lt;/h5&gt;&lt;/div&gt;&lt;hr/&gt;&lt;div&gt;&lt;h5&gt;&lt;b&gt;CASTING&lt;/b&gt;&lt;/h5&gt;&lt;/div&gt;&lt;hr/&gt;&lt;div&gt;&lt;h5&gt;&lt;b&gt;Casting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&lt;/b&gt;s up to one sword per 3 levels&lt;/h5&gt;&lt;h5&gt;&lt;b&gt;Duration &lt;/b&gt;1 round/level (D)&lt;/h5&gt;&lt;h5&gt;&lt;b&gt;Saving Throw &lt;/b&gt;none; &lt;b&gt;Spell Resistance &lt;/b&gt;yes&lt;/h5&gt;&lt;/div&gt;&lt;hr/&gt;&lt;div&gt;&lt;h5&gt;&lt;b&gt;DESCRIPTION&lt;/b&gt;&lt;/h5&gt;&lt;/div&gt;&lt;hr/&gt;&lt;div&gt;&lt;h4&gt;&lt;p&gt;This spell functions as Aroden's defending sword, except you can create one sword per 5 caster levels, each of which must defend a different creature within range.&lt;/p&gt;&lt;/h4&gt;&lt;/div&gt;</t>
  </si>
  <si>
    <t>Linked Legacy</t>
  </si>
  <si>
    <t>bard 1, medium 1, mesmerist 1, occultist 1, psychic 1, shaman 1, sorcerer/wizard 1, witch 1</t>
  </si>
  <si>
    <t>two willing creatures plus another creature per 6 levels, no two of which can be more than 30 feet apart</t>
  </si>
  <si>
    <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t>
  </si>
  <si>
    <t>&lt;p&gt;This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again.&lt;/p&gt;</t>
  </si>
  <si>
    <t>&lt;link rel="stylesheet"href="PF.css"&gt;&lt;div class="heading"&gt;&lt;p class="alignleft"&gt;Linked Legacy&lt;/p&gt;&lt;div style="clear: both;"&gt;&lt;/div&gt;&lt;/div&gt;&lt;div&gt;&lt;h5&gt;&lt;b&gt;School &lt;/b&gt;divination; &lt;b&gt;Level &lt;/b&gt;bard 1, medium 1, mesmerist 1, occultist 1, psychic 1, shaman 1, sorcerer/wizard 1, witch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&lt;/b&gt;two willing creatures plus another creature per 6 levels, no two of which can be more than 30 feet apart&lt;/h5&gt;&lt;h5&gt;&lt;b&gt;Duration &lt;/b&gt;10 minutes/level&lt;/h5&gt;&lt;h5&gt;&lt;b&gt;Saving Throw &lt;/b&gt;none; &lt;b&gt;Spell Resistance &lt;/b&gt;yes&lt;/h5&gt;&lt;/div&gt;&lt;hr/&gt;&lt;div&gt;&lt;h5&gt;&lt;b&gt;DESCRIPTION&lt;/b&gt;&lt;/h5&gt;&lt;/div&gt;&lt;hr/&gt;&lt;div&gt;&lt;h4&gt;&lt;p&gt;This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again.&lt;/p&gt;&lt;/h4&gt;&lt;/div&gt;</t>
  </si>
  <si>
    <t>Splinter Spell Resistance</t>
  </si>
  <si>
    <t>bloodrager 2, magus 2, occultist 2, psychic 2, shaman 2, sorcerer/wizard 2, witch 2</t>
  </si>
  <si>
    <t>melee or thrown weapon or up to 50 pieces of ammunition touched</t>
  </si>
  <si>
    <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splinter spell resistance. However, the same creature's spell resistance can be reduced on multiple rounds by subsequent hits.</t>
  </si>
  <si>
    <t>&lt;p&gt;You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&lt;i&gt;splinter spell resistance&lt;/i&gt;. However, the same creature's spell resistance can be reduced on multiple rounds by subsequent hits.&lt;/p&gt;</t>
  </si>
  <si>
    <t>&lt;link rel="stylesheet"href="PF.css"&gt;&lt;div class="heading"&gt;&lt;p class="alignleft"&gt;Splinter Spell Resistance&lt;/p&gt;&lt;div style="clear: both;"&gt;&lt;/div&gt;&lt;/div&gt;&lt;div&gt;&lt;h5&gt;&lt;b&gt;School &lt;/b&gt;transmutation; &lt;b&gt;Level &lt;/b&gt;bloodrager 2, magus 2, occultist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or thrown weapon or up to 50 pieces of ammunition touched&lt;/h5&gt;&lt;h5&gt;&lt;b&gt;Duration &lt;/b&gt;1 minute/level&lt;/h5&gt;&lt;h5&gt;&lt;b&gt;Saving Throw &lt;/b&gt;Fortitude negates; &lt;b&gt;Spell Resistance &lt;/b&gt;no&lt;/h5&gt;&lt;/div&gt;&lt;hr/&gt;&lt;div&gt;&lt;h5&gt;&lt;b&gt;DESCRIPTION&lt;/b&gt;&lt;/h5&gt;&lt;/div&gt;&lt;hr/&gt;&lt;div&gt;&lt;h4&gt;&lt;p&gt;You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&lt;i&gt;splinter spell resistance&lt;/i&gt;. However, the same creature's spell resistance can be reduced on multiple rounds by subsequent hits.&lt;/p&gt;&lt;/h4&gt;&lt;/div&gt;</t>
  </si>
  <si>
    <t>Winged Sword</t>
  </si>
  <si>
    <t>bloodrager 2, inquisitor 3, magus 2, occultist 2, paladin 2, sorcerer/wizard 2</t>
  </si>
  <si>
    <t>The weapon targeted by this spell grows small feathered wings. For the duration of the spell, the weapon acts as if it had the throwing weapon special ability. This spell can be used in place of magic stone as a prerequisite for the throwing weapon special ability.</t>
  </si>
  <si>
    <t>&lt;p&gt;The weapon targeted by this spell grows small feathered wings. For the duration of the spell, the weapon acts as if it had the &lt;i&gt;throwing&lt;/i&gt; weapon special ability. This spell can be used in place of &lt;i&gt;magic stone&lt;/i&gt; as a prerequisite for the &lt;i&gt;throwing&lt;/i&gt; weapon special ability.&lt;/p&gt;</t>
  </si>
  <si>
    <t>&lt;link rel="stylesheet"href="PF.css"&gt;&lt;div class="heading"&gt;&lt;p class="alignleft"&gt;Winged Sword&lt;/p&gt;&lt;div style="clear: both;"&gt;&lt;/div&gt;&lt;/div&gt;&lt;div&gt;&lt;h5&gt;&lt;b&gt;School &lt;/b&gt;transmutation; &lt;b&gt;Level &lt;/b&gt;bloodrager 2, inquisitor 3, magus 2, occultist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melee weapon&lt;/h5&gt;&lt;h5&gt;&lt;b&gt;Duration &lt;/b&gt;10 minutes/level&lt;/h5&gt;&lt;h5&gt;&lt;b&gt;Saving Throw &lt;/b&gt;Will negates (harmless, object); &lt;b&gt;Spell Resistance &lt;/b&gt;yes (harmless, object)&lt;/h5&gt;&lt;/div&gt;&lt;hr/&gt;&lt;div&gt;&lt;h5&gt;&lt;b&gt;DESCRIPTION&lt;/b&gt;&lt;/h5&gt;&lt;/div&gt;&lt;hr/&gt;&lt;div&gt;&lt;h4&gt;&lt;p&gt;The weapon targeted by this spell grows small feathered wings. For the duration of the spell, the weapon acts as if it had the &lt;i&gt;throwing&lt;/i&gt; weapon special ability. This spell can be used in place of &lt;i&gt;magic stone&lt;/i&gt; as a prerequisite for the &lt;i&gt;throwing&lt;/i&gt; weapon special ability.&lt;/p&gt;&lt;/h4&gt;&lt;/div&gt;</t>
  </si>
  <si>
    <t>Celestial Healing</t>
  </si>
  <si>
    <t>bloodrager 1, cleric/oracle 1, magus 1, sorcerer/wizard 1, summoner 1, witch 1</t>
  </si>
  <si>
    <t>V, S, M (1 drop of blood from a good outsider or 1 dose of holy water)</t>
  </si>
  <si>
    <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t>
  </si>
  <si>
    <t>&lt;p&gt;You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normally.&lt;/p&gt;</t>
  </si>
  <si>
    <t>&lt;link rel="stylesheet"href="PF.css"&gt;&lt;div class="heading"&gt;&lt;p class="alignleft"&gt;Celestial Healing&lt;/p&gt;&lt;div style="clear: both;"&gt;&lt;/div&gt;&lt;/div&gt;&lt;div&gt;&lt;h5&gt;&lt;b&gt;School &lt;/b&gt;conjuration (healing) [good]; &lt;b&gt;Level &lt;/b&gt;bloodrager 1, cleric/oracle 1, magus 1, sorcerer/wizard 1, summoner 1, witch 1&lt;/h5&gt;&lt;/div&gt;&lt;hr/&gt;&lt;div&gt;&lt;h5&gt;&lt;b&gt;CASTING&lt;/b&gt;&lt;/h5&gt;&lt;/div&gt;&lt;hr/&gt;&lt;div&gt;&lt;h5&gt;&lt;b&gt;Casting Time &lt;/b&gt;1 round&lt;/h5&gt;&lt;h5&gt;&lt;b&gt;Components &lt;/b&gt;V, S, M (1 drop of blood from a good outsider or 1 dose of holy water)&lt;/h5&gt;&lt;/div&gt;&lt;hr/&gt;&lt;div&gt;&lt;h5&gt;&lt;b&gt;EFFECT&lt;/b&gt;&lt;/h5&gt;&lt;/div&gt;&lt;hr/&gt;&lt;div&gt;&lt;h5&gt;&lt;b&gt;Range &lt;/b&gt;touch&lt;/h5&gt;&lt;h5&gt;&lt;b&gt;Targets &lt;/b&gt;creature touched&lt;/h5&gt;&lt;h5&gt;&lt;b&gt;Duration &lt;/b&gt;1 round/2 levels&lt;/h5&gt;&lt;h5&gt;&lt;b&gt;Saving Throw &lt;/b&gt;Will negates (harmless); &lt;b&gt;Spell Resistance &lt;/b&gt;yes (harmless)&lt;/h5&gt;&lt;/div&gt;&lt;hr/&gt;&lt;div&gt;&lt;h5&gt;&lt;b&gt;DESCRIPTION&lt;/b&gt;&lt;/h5&gt;&lt;/div&gt;&lt;hr/&gt;&lt;div&gt;&lt;h4&gt;&lt;p&gt;You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normally.&lt;/p&gt;&lt;/h4&gt;&lt;/div&gt;</t>
  </si>
  <si>
    <t>Celestial Healing, Greater</t>
  </si>
  <si>
    <t>bloodrager 4, cleric/oracle 4, magus 4, sorcerer/wizard 4, summoner 4, witch 4</t>
  </si>
  <si>
    <t>As per celestial healing, except the target gains fast healing 4 and the target radiates the aura of a good cleric.</t>
  </si>
  <si>
    <t>&lt;p&gt;As per &lt;i&gt;celestial healing&lt;/i&gt;, except the target gains fast healing 4 and the target radiates the aura of a good cleric.&lt;/p&gt;</t>
  </si>
  <si>
    <t>&lt;link rel="stylesheet"href="PF.css"&gt;&lt;div class="heading"&gt;&lt;p class="alignleft"&gt;Celestial Healing, Greater&lt;/p&gt;&lt;div style="clear: both;"&gt;&lt;/div&gt;&lt;/div&gt;&lt;div&gt;&lt;h5&gt;&lt;b&gt;School &lt;/b&gt;conjuration (healing) [good]; &lt;b&gt;Level &lt;/b&gt;bloodrager 4, cleric/oracle 4, magus 4, sorcerer/wizard 4, summoner 4, witch 4&lt;/h5&gt;&lt;/div&gt;&lt;hr/&gt;&lt;div&gt;&lt;h5&gt;&lt;b&gt;CASTING&lt;/b&gt;&lt;/h5&gt;&lt;/div&gt;&lt;hr/&gt;&lt;div&gt;&lt;h5&gt;&lt;b&gt;Casting Time &lt;/b&gt;1 round&lt;/h5&gt;&lt;h5&gt;&lt;b&gt;Components &lt;/b&gt;V, S, M (1 drop of blood from a good outsider or 1 dose of holy water)&lt;/h5&gt;&lt;/div&gt;&lt;hr/&gt;&lt;div&gt;&lt;h5&gt;&lt;b&gt;EFFECT&lt;/b&gt;&lt;/h5&gt;&lt;/div&gt;&lt;hr/&gt;&lt;div&gt;&lt;h5&gt;&lt;b&gt;Range &lt;/b&gt;touch&lt;/h5&gt;&lt;h5&gt;&lt;b&gt;Targets &lt;/b&gt;creature touched&lt;/h5&gt;&lt;h5&gt;&lt;b&gt;Duration &lt;/b&gt;1 round/2 levels&lt;/h5&gt;&lt;h5&gt;&lt;b&gt;Saving Throw &lt;/b&gt;Will negates (harmless); &lt;b&gt;Spell Resistance &lt;/b&gt;yes (harmless)&lt;/h5&gt;&lt;/div&gt;&lt;hr/&gt;&lt;div&gt;&lt;h5&gt;&lt;b&gt;DESCRIPTION&lt;/b&gt;&lt;/h5&gt;&lt;/div&gt;&lt;hr/&gt;&lt;div&gt;&lt;h4&gt;&lt;p&gt;As per &lt;i&gt;celestial healing&lt;/i&gt;, except the target gains fast healing 4 and the target radiates the aura of a good cleric.&lt;/p&gt;&lt;/h4&gt;&lt;/div&gt;</t>
  </si>
  <si>
    <t>Cyclic Reincarnation</t>
  </si>
  <si>
    <t>V, S, M, DF (oils worth 5,000 gp)</t>
  </si>
  <si>
    <t>This spell allows a dead creature that died no more than 1 year before the casting of the spell to return to life in a body that closely resembles its original body; it functions as reincarnate except as noted. Cyclic reincarnation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cyclic reincarnation on someone who was killed by a death effect or turned into an undead creature and then destroyed, but nonhumanoids so restored always return to life with the young creature simple template (or as a juvenile, in the case of creatures whose power is determined by their age category).</t>
  </si>
  <si>
    <t>&lt;p&gt;This spell allows a dead creature that died no more than 1 year before the casting of the spell to return to life in a body that closely resembles its original body; it functions as &lt;i&gt;reincarnate&lt;/i&gt; except as noted. &lt;i&gt;Cyclic reincarnation&lt;/i&gt;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&lt;i&gt;cyclic reincarnation&lt;/i&gt; on someone who was killed by a death effect or turned into an undead creature and then destroyed, but nonhumanoids so restored always return to life with the young creature simple template (or as a juvenile, in the case of creatures whose power is determined by their age category).&lt;/p&gt;</t>
  </si>
  <si>
    <t>&lt;link rel="stylesheet"href="PF.css"&gt;&lt;div class="heading"&gt;&lt;p class="alignleft"&gt;Cyclic Reincarnation&lt;/p&gt;&lt;div style="clear: both;"&gt;&lt;/div&gt;&lt;/div&gt;&lt;div&gt;&lt;h5&gt;&lt;b&gt;School &lt;/b&gt;transmutation; &lt;b&gt;Level &lt;/b&gt;druid 6&lt;/h5&gt;&lt;/div&gt;&lt;hr/&gt;&lt;div&gt;&lt;h5&gt;&lt;b&gt;CASTING&lt;/b&gt;&lt;/h5&gt;&lt;/div&gt;&lt;hr/&gt;&lt;div&gt;&lt;h5&gt;&lt;b&gt;Casting Time &lt;/b&gt;10 minutes&lt;/h5&gt;&lt;h5&gt;&lt;b&gt;Components &lt;/b&gt;V, S, M, DF (oils worth 5,000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allows a dead creature that died no more than 1 year before the casting of the spell to return to life in a body that closely resembles its original body; it functions as &lt;i&gt;reincarnate&lt;/i&gt; except as noted. &lt;i&gt;Cyclic reincarnation&lt;/i&gt;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&lt;i&gt;cyclic reincarnation&lt;/i&gt; on someone who was killed by a death effect or turned into an undead creature and then destroyed, but nonhumanoids so restored always return to life with the young creature simple template (or as a juvenile, in the case of creatures whose power is determined by their age category).&lt;/p&gt;&lt;/h4&gt;&lt;/div&gt;</t>
  </si>
  <si>
    <t>Jatembe's Ire</t>
  </si>
  <si>
    <t>120-ft.-radius spread</t>
  </si>
  <si>
    <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black tentacles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detect evil auras, as if they had spent 3 rounds observing all creatures and objects within the spell's area using detect evil,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t>
  </si>
  <si>
    <t>&lt;p&gt;The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&lt;i&gt;black tentacles&lt;/i&gt;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&lt;i&gt;detect evil&lt;/i&gt; auras, as if they had spent 3 rounds observing all creatures and objects within the spell's area using &lt;i&gt;detect evil&lt;/i&gt;,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spell.&lt;/p&gt;</t>
  </si>
  <si>
    <t>&lt;link rel="stylesheet"href="PF.css"&gt;&lt;div class="heading"&gt;&lt;p class="alignleft"&gt;Jatembe's Ire&lt;/p&gt;&lt;div style="clear: both;"&gt;&lt;/div&gt;&lt;/div&gt;&lt;div&gt;&lt;h5&gt;&lt;b&gt;School &lt;/b&gt;transmutation [good]; &lt;b&gt;Level &lt;/b&gt;druid 6, sorcerer/wizard 6&lt;/h5&gt;&lt;/div&gt;&lt;hr/&gt;&lt;div&gt;&lt;h5&gt;&lt;b&gt;CASTING&lt;/b&gt;&lt;/h5&gt;&lt;/div&gt;&lt;hr/&gt;&lt;div&gt;&lt;h5&gt;&lt;b&gt;Casting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&lt;/b&gt;120-ft.-radius spread&lt;/h5&gt;&lt;h5&gt;&lt;b&gt;Duration &lt;/b&gt;1 round/level (D)&lt;/h5&gt;&lt;h5&gt;&lt;b&gt;Saving Throw &lt;/b&gt;none; &lt;b&gt;Spell Resistance &lt;/b&gt;no&lt;/h5&gt;&lt;/div&gt;&lt;hr/&gt;&lt;div&gt;&lt;h5&gt;&lt;b&gt;DESCRIPTION&lt;/b&gt;&lt;/h5&gt;&lt;/div&gt;&lt;hr/&gt;&lt;div&gt;&lt;h4&gt;&lt;p&gt;The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&lt;i&gt;black tentacles&lt;/i&gt;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&lt;i&gt;detect evil&lt;/i&gt; auras, as if they had spent 3 rounds observing all creatures and objects within the spell's area using &lt;i&gt;detect evil&lt;/i&gt;,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spell.&lt;/p&gt;&lt;/h4&gt;&lt;/div&gt;</t>
  </si>
  <si>
    <t>Artificer's Curse</t>
  </si>
  <si>
    <t>bard 6, cleric/oracle 7, inquisitor 6, occultist 6, shaman 7, sorcerer/wizard 7, witch 7</t>
  </si>
  <si>
    <t>V, S, M (a blank scroll or page from a spellbook)</t>
  </si>
  <si>
    <t>1 magical item</t>
  </si>
  <si>
    <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t>
  </si>
  <si>
    <t>&lt;p&gt;You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artifacts.&lt;/p&gt;</t>
  </si>
  <si>
    <t>&lt;link rel="stylesheet"href="PF.css"&gt;&lt;div class="heading"&gt;&lt;p class="alignleft"&gt;Artificer's Curse&lt;/p&gt;&lt;div style="clear: both;"&gt;&lt;/div&gt;&lt;/div&gt;&lt;div&gt;&lt;h5&gt;&lt;b&gt;School &lt;/b&gt;transmutation; &lt;b&gt;Level &lt;/b&gt;bard 6, cleric/oracle 7, inquisitor 6, occultist 6, shaman 7, sorcerer/wizard 7, witch 7&lt;/h5&gt;&lt;/div&gt;&lt;hr/&gt;&lt;div&gt;&lt;h5&gt;&lt;b&gt;CASTING&lt;/b&gt;&lt;/h5&gt;&lt;/div&gt;&lt;hr/&gt;&lt;div&gt;&lt;h5&gt;&lt;b&gt;Casting Time &lt;/b&gt;1 standard action&lt;/h5&gt;&lt;h5&gt;&lt;b&gt;Components &lt;/b&gt;V, S, M (a blank scroll or page from a spellbook)&lt;/h5&gt;&lt;/div&gt;&lt;hr/&gt;&lt;div&gt;&lt;h5&gt;&lt;b&gt;EFFECT&lt;/b&gt;&lt;/h5&gt;&lt;/div&gt;&lt;hr/&gt;&lt;div&gt;&lt;h5&gt;&lt;b&gt;Range &lt;/b&gt;close (25 ft. + 5 ft./2 levels)&lt;/h5&gt;&lt;h5&gt;&lt;b&gt;Targets &lt;/b&gt;1 magical item&lt;/h5&gt;&lt;h5&gt;&lt;b&gt;Duration &lt;/b&gt;1 minute/level (D)&lt;/h5&gt;&lt;h5&gt;&lt;b&gt;Saving Throw &lt;/b&gt;Will negates (object); &lt;b&gt;Spell Resistance &lt;/b&gt;yes&lt;/h5&gt;&lt;/div&gt;&lt;hr/&gt;&lt;div&gt;&lt;h5&gt;&lt;b&gt;DESCRIPTION&lt;/b&gt;&lt;/h5&gt;&lt;/div&gt;&lt;hr/&gt;&lt;div&gt;&lt;h4&gt;&lt;p&gt;You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artifacts.&lt;/p&gt;&lt;/h4&gt;&lt;/div&gt;</t>
  </si>
  <si>
    <t>Deft Digits</t>
  </si>
  <si>
    <t>bard 3, medium 3, occultist 3, psychic 3, sorcerer/wizard 3, spiritualist 3, summoner 3</t>
  </si>
  <si>
    <t>1 unattended gauntlet or glove</t>
  </si>
  <si>
    <t>None (harmless, object)</t>
  </si>
  <si>
    <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t>
  </si>
  <si>
    <t>&lt;p&gt;You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spell.&lt;/p&gt;</t>
  </si>
  <si>
    <t>&lt;link rel="stylesheet"href="PF.css"&gt;&lt;div class="heading"&gt;&lt;p class="alignleft"&gt;Deft Digits&lt;/p&gt;&lt;div style="clear: both;"&gt;&lt;/div&gt;&lt;/div&gt;&lt;div&gt;&lt;h5&gt;&lt;b&gt;School &lt;/b&gt;transmutation; &lt;b&gt;Level &lt;/b&gt;bard 3, medium 3, occultist 3, psychic 3, sorcerer/wizard 3, spiritualist 3, summoner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unattended gauntlet or glove&lt;/h5&gt;&lt;h5&gt;&lt;b&gt;Duration &lt;/b&gt;10 minutes/level&lt;/h5&gt;&lt;h5&gt;&lt;b&gt;Saving Throw &lt;/b&gt;None (harmless, object); &lt;b&gt;Spell Resistance &lt;/b&gt;no&lt;/h5&gt;&lt;/div&gt;&lt;hr/&gt;&lt;div&gt;&lt;h5&gt;&lt;b&gt;DESCRIPTION&lt;/b&gt;&lt;/h5&gt;&lt;/div&gt;&lt;hr/&gt;&lt;div&gt;&lt;h4&gt;&lt;p&gt;You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spell.&lt;/p&gt;&lt;/h4&gt;&lt;/div&gt;</t>
  </si>
  <si>
    <t>Dissolution</t>
  </si>
  <si>
    <t>alchemist 4, sorcerer/wizard 5, spiritualist 6, summoner 6</t>
  </si>
  <si>
    <t>V, S, M (vial of alchemical reagents worth 50 gp)</t>
  </si>
  <si>
    <t>Tiny or smaller object touched</t>
  </si>
  <si>
    <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miracle or wish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t>
  </si>
  <si>
    <t>&lt;p&gt;You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&lt;i&gt;miracle&lt;/i&gt; or &lt;i&gt;wish&lt;/i&gt;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plane.&lt;/p&gt;</t>
  </si>
  <si>
    <t>&lt;link rel="stylesheet"href="PF.css"&gt;&lt;div class="heading"&gt;&lt;p class="alignleft"&gt;Dissolution&lt;/p&gt;&lt;div style="clear: both;"&gt;&lt;/div&gt;&lt;/div&gt;&lt;div&gt;&lt;h5&gt;&lt;b&gt;School &lt;/b&gt;transmutation; &lt;b&gt;Level &lt;/b&gt;alchemist 4, sorcerer/wizard 5, spiritualist 6, summoner 6&lt;/h5&gt;&lt;/div&gt;&lt;hr/&gt;&lt;div&gt;&lt;h5&gt;&lt;b&gt;CASTING&lt;/b&gt;&lt;/h5&gt;&lt;/div&gt;&lt;hr/&gt;&lt;div&gt;&lt;h5&gt;&lt;b&gt;Casting Time &lt;/b&gt;1 standard action&lt;/h5&gt;&lt;h5&gt;&lt;b&gt;Components &lt;/b&gt;V, S, M (vial of alchemical reagents worth 50 gp)&lt;/h5&gt;&lt;/div&gt;&lt;hr/&gt;&lt;div&gt;&lt;h5&gt;&lt;b&gt;EFFECT&lt;/b&gt;&lt;/h5&gt;&lt;/div&gt;&lt;hr/&gt;&lt;div&gt;&lt;h5&gt;&lt;b&gt;Range &lt;/b&gt;touch&lt;/h5&gt;&lt;h5&gt;&lt;b&gt;Targets &lt;/b&gt;Tiny or smaller object touched&lt;/h5&gt;&lt;h5&gt;&lt;b&gt;Duration &lt;/b&gt;10 minutes/level (D)&lt;/h5&gt;&lt;h5&gt;&lt;b&gt;Saving Throw &lt;/b&gt;Fortitude negates (object); &lt;b&gt;Spell Resistance &lt;/b&gt;no&lt;/h5&gt;&lt;/div&gt;&lt;hr/&gt;&lt;div&gt;&lt;h5&gt;&lt;b&gt;DESCRIPTION&lt;/b&gt;&lt;/h5&gt;&lt;/div&gt;&lt;hr/&gt;&lt;div&gt;&lt;h4&gt;&lt;p&gt;You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&lt;i&gt;miracle&lt;/i&gt; or &lt;i&gt;wish&lt;/i&gt;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plane.&lt;/p&gt;&lt;/h4&gt;&lt;/div&gt;</t>
  </si>
  <si>
    <t>Emblem Of Greed</t>
  </si>
  <si>
    <t>cleric/oracle 6, inquisitor 6, magus 6, medium 6, shaman 7, sorcerer/wizard 6</t>
  </si>
  <si>
    <t>V, S, M (a masterwork or magical melee weapon)</t>
  </si>
  <si>
    <t>1 masterwork melee weapon touched</t>
  </si>
  <si>
    <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flaming weapon special ability. When wielding the glaive, you are considered proficient with it and use your caster level as your base attack bonus (which may give you multiple attacks). When you reach caster level 14th, the glaive gains the spell-storing weapon special ability. When you reach caster level 17th, it loses the flaming weapon special ability, and gains the flaming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greater magic weapon or any other spell that might modify the weapon in any way. This spell does not work on artifacts. A masterwork weapon's bonus on attack rolls does not stack with an enhancement bonus to attack.</t>
  </si>
  <si>
    <t>&lt;p&gt;You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&lt;i&gt;flaming&lt;/i&gt; weapon special ability. When wielding the glaive, you are considered proficient with it and use your caster level as your base attack bonus (which may give you multiple attacks). When you reach caster level 14th, the glaive gains the &lt;i&gt;spell-storing&lt;/i&gt; weapon special ability. When you reach caster level 17th, it loses the &lt;i&gt;flaming&lt;/i&gt; weapon special ability, and gains the &lt;i&gt;flaming&lt;/i&gt;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&lt;i&gt;greater magic weapon&lt;/i&gt; or any other spell that might modify the weapon in any way. This spell does not work on artifacts. A masterwork weapon's bonus on attack rolls does not stack with an enhancement bonus to attack.&lt;/p&gt;</t>
  </si>
  <si>
    <t>&lt;link rel="stylesheet"href="PF.css"&gt;&lt;div class="heading"&gt;&lt;p class="alignleft"&gt;Emblem Of Greed&lt;/p&gt;&lt;div style="clear: both;"&gt;&lt;/div&gt;&lt;/div&gt;&lt;div&gt;&lt;h5&gt;&lt;b&gt;School &lt;/b&gt;transmutation (polymorph); &lt;b&gt;Level &lt;/b&gt;cleric/oracle 6, inquisitor 6, magus 6, medium 6, shaman 7, sorcerer/wizard 6&lt;/h5&gt;&lt;/div&gt;&lt;hr/&gt;&lt;div&gt;&lt;h5&gt;&lt;b&gt;CASTING&lt;/b&gt;&lt;/h5&gt;&lt;/div&gt;&lt;hr/&gt;&lt;div&gt;&lt;h5&gt;&lt;b&gt;Casting Time &lt;/b&gt;1 standard action&lt;/h5&gt;&lt;h5&gt;&lt;b&gt;Components &lt;/b&gt;V, S, M (a masterwork or magical melee weapon)&lt;/h5&gt;&lt;/div&gt;&lt;hr/&gt;&lt;div&gt;&lt;h5&gt;&lt;b&gt;EFFECT&lt;/b&gt;&lt;/h5&gt;&lt;/div&gt;&lt;hr/&gt;&lt;div&gt;&lt;h5&gt;&lt;b&gt;Range &lt;/b&gt;touch&lt;/h5&gt;&lt;h5&gt;&lt;b&gt;Targets &lt;/b&gt;1 masterwork melee weapon touched&lt;/h5&gt;&lt;h5&gt;&lt;b&gt;Duration &lt;/b&gt;1 minute/level&lt;/h5&gt;&lt;h5&gt;&lt;b&gt;Saving Throw &lt;/b&gt;none (object); &lt;b&gt;Spell Resistance &lt;/b&gt;no&lt;/h5&gt;&lt;/div&gt;&lt;hr/&gt;&lt;div&gt;&lt;h5&gt;&lt;b&gt;DESCRIPTION&lt;/b&gt;&lt;/h5&gt;&lt;/div&gt;&lt;hr/&gt;&lt;div&gt;&lt;h4&gt;&lt;p&gt;You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&lt;i&gt;flaming&lt;/i&gt; weapon special ability. When wielding the glaive, you are considered proficient with it and use your caster level as your base attack bonus (which may give you multiple attacks). When you reach caster level 14th, the glaive gains the &lt;i&gt;spell-storing&lt;/i&gt; weapon special ability. When you reach caster level 17th, it loses the &lt;i&gt;flaming&lt;/i&gt; weapon special ability, and gains the &lt;i&gt;flaming&lt;/i&gt;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&lt;i&gt;greater magic weapon&lt;/i&gt; or any other spell that might modify the weapon in any way. This spell does not work on artifacts. A masterwork weapon's bonus on attack rolls does not stack with an enhancement bonus to attack.&lt;/p&gt;&lt;/h4&gt;&lt;/div&gt;</t>
  </si>
  <si>
    <t>Full Pouch</t>
  </si>
  <si>
    <t>alchemist 2, bard 2, druid 2, inquisitor 3, occultist 3, ranger 3, sorcerer/wizard 2</t>
  </si>
  <si>
    <t>V, S, M (alchemical reagents or herbs worth 1 gp)</t>
  </si>
  <si>
    <t>1 object touched</t>
  </si>
  <si>
    <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t>
  </si>
  <si>
    <t>&lt;p&gt;You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higher.&lt;/p&gt;</t>
  </si>
  <si>
    <t>&lt;link rel="stylesheet"href="PF.css"&gt;&lt;div class="heading"&gt;&lt;p class="alignleft"&gt;Full Pouch&lt;/p&gt;&lt;div style="clear: both;"&gt;&lt;/div&gt;&lt;/div&gt;&lt;div&gt;&lt;h5&gt;&lt;b&gt;School &lt;/b&gt;transmutation; &lt;b&gt;Level &lt;/b&gt;alchemist 2, bard 2, druid 2, inquisitor 3, occultist 3, ranger 3, sorcerer/wizard 2&lt;/h5&gt;&lt;/div&gt;&lt;hr/&gt;&lt;div&gt;&lt;h5&gt;&lt;b&gt;CASTING&lt;/b&gt;&lt;/h5&gt;&lt;/div&gt;&lt;hr/&gt;&lt;div&gt;&lt;h5&gt;&lt;b&gt;Casting Time &lt;/b&gt;1 swift action&lt;/h5&gt;&lt;h5&gt;&lt;b&gt;Components &lt;/b&gt;V, S, M (alchemical reagents or herbs worth 1 gp)&lt;/h5&gt;&lt;/div&gt;&lt;hr/&gt;&lt;div&gt;&lt;h5&gt;&lt;b&gt;EFFECT&lt;/b&gt;&lt;/h5&gt;&lt;/div&gt;&lt;hr/&gt;&lt;div&gt;&lt;h5&gt;&lt;b&gt;Range &lt;/b&gt;touch&lt;/h5&gt;&lt;h5&gt;&lt;b&gt;Targets &lt;/b&gt;1 object touched&lt;/h5&gt;&lt;h5&gt;&lt;b&gt;Duration &lt;/b&gt;instantaneous&lt;/h5&gt;&lt;h5&gt;&lt;b&gt;Saving Throw &lt;/b&gt;Fortitude negates (object); &lt;b&gt;Spell Resistance &lt;/b&gt;no&lt;/h5&gt;&lt;/div&gt;&lt;hr/&gt;&lt;div&gt;&lt;h5&gt;&lt;b&gt;DESCRIPTION&lt;/b&gt;&lt;/h5&gt;&lt;/div&gt;&lt;hr/&gt;&lt;div&gt;&lt;h4&gt;&lt;p&gt;You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higher.&lt;/p&gt;&lt;/h4&gt;&lt;/div&gt;</t>
  </si>
  <si>
    <t>Legendary Proportions</t>
  </si>
  <si>
    <t>alchemist 6, druid 7, shaman 7, sorcerer/wizard 7, witch 7</t>
  </si>
  <si>
    <t>V, S, M (a dinosaur bone and powdered amber worth at least 200 gp)</t>
  </si>
  <si>
    <t>1 creature (see text)</t>
  </si>
  <si>
    <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t>
  </si>
  <si>
    <t>&lt;p&gt;You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it.&lt;/p&gt;</t>
  </si>
  <si>
    <t>&lt;link rel="stylesheet"href="PF.css"&gt;&lt;div class="heading"&gt;&lt;p class="alignleft"&gt;Legendary Proportions&lt;/p&gt;&lt;div style="clear: both;"&gt;&lt;/div&gt;&lt;/div&gt;&lt;div&gt;&lt;h5&gt;&lt;b&gt;School &lt;/b&gt;transmutation; &lt;b&gt;Level &lt;/b&gt;alchemist 6, druid 7, shaman 7, sorcerer/wizard 7, witch 7&lt;/h5&gt;&lt;/div&gt;&lt;hr/&gt;&lt;div&gt;&lt;h5&gt;&lt;b&gt;CASTING&lt;/b&gt;&lt;/h5&gt;&lt;/div&gt;&lt;hr/&gt;&lt;div&gt;&lt;h5&gt;&lt;b&gt;Casting Time &lt;/b&gt;1 standard action&lt;/h5&gt;&lt;h5&gt;&lt;b&gt;Components &lt;/b&gt;V, S, M (a dinosaur bone and powdered amber worth at least 200 gp)&lt;/h5&gt;&lt;/div&gt;&lt;hr/&gt;&lt;div&gt;&lt;h5&gt;&lt;b&gt;EFFECT&lt;/b&gt;&lt;/h5&gt;&lt;/div&gt;&lt;hr/&gt;&lt;div&gt;&lt;h5&gt;&lt;b&gt;Range &lt;/b&gt;close (25 ft. + 5 ft./2 levels)&lt;/h5&gt;&lt;h5&gt;&lt;b&gt;Targets &lt;/b&gt;1 creature (see text)&lt;/h5&gt;&lt;h5&gt;&lt;b&gt;Duration &lt;/b&gt;1 minute/level&lt;/h5&gt;&lt;h5&gt;&lt;b&gt;Saving Throw &lt;/b&gt;Fortitude negates (harmless); &lt;b&gt;Spell Resistance &lt;/b&gt;no&lt;/h5&gt;&lt;/div&gt;&lt;hr/&gt;&lt;div&gt;&lt;h5&gt;&lt;b&gt;DESCRIPTION&lt;/b&gt;&lt;/h5&gt;&lt;/div&gt;&lt;hr/&gt;&lt;div&gt;&lt;h4&gt;&lt;p&gt;You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it.&lt;/p&gt;&lt;/h4&gt;&lt;/div&gt;</t>
  </si>
  <si>
    <t>Liquefy</t>
  </si>
  <si>
    <t>alchemist 3, bard 3, druid 4, sorcerer/wizard 4</t>
  </si>
  <si>
    <t>V, S, M (a specially prepared glass bottle)</t>
  </si>
  <si>
    <t>1 object weighing up to 1 pound/level</t>
  </si>
  <si>
    <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greater magic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liquefy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Liquefy has no effect on artifacts, constructs, or intelligent magic items.</t>
  </si>
  <si>
    <t>&lt;p&gt;The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&lt;i&gt;greater magic&lt;/i&gt;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&lt;i&gt;liquefy&lt;/i&gt;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&lt;i&gt;Liquefy&lt;/i&gt; has no effect on artifacts, constructs, or intelligent magic items.&lt;/p&gt;</t>
  </si>
  <si>
    <t>&lt;link rel="stylesheet"href="PF.css"&gt;&lt;div class="heading"&gt;&lt;p class="alignleft"&gt;Liquefy&lt;/p&gt;&lt;div style="clear: both;"&gt;&lt;/div&gt;&lt;/div&gt;&lt;div&gt;&lt;h5&gt;&lt;b&gt;School &lt;/b&gt;transmutation; &lt;b&gt;Level &lt;/b&gt;alchemist 3, bard 3, druid 4, sorcerer/wizard 4&lt;/h5&gt;&lt;/div&gt;&lt;hr/&gt;&lt;div&gt;&lt;h5&gt;&lt;b&gt;CASTING&lt;/b&gt;&lt;/h5&gt;&lt;/div&gt;&lt;hr/&gt;&lt;div&gt;&lt;h5&gt;&lt;b&gt;Casting Time &lt;/b&gt;1 standard action&lt;/h5&gt;&lt;h5&gt;&lt;b&gt;Components &lt;/b&gt;V, S, M (a specially prepared glass bottle)&lt;/h5&gt;&lt;/div&gt;&lt;hr/&gt;&lt;div&gt;&lt;h5&gt;&lt;b&gt;EFFECT&lt;/b&gt;&lt;/h5&gt;&lt;/div&gt;&lt;hr/&gt;&lt;div&gt;&lt;h5&gt;&lt;b&gt;Range &lt;/b&gt;close (25 ft. + 5 ft./2 levels)&lt;/h5&gt;&lt;h5&gt;&lt;b&gt;Targets &lt;/b&gt;1 object weighing up to 1 pound/level&lt;/h5&gt;&lt;h5&gt;&lt;b&gt;Duration &lt;/b&gt;1 round/level (D)&lt;/h5&gt;&lt;h5&gt;&lt;b&gt;Saving Throw &lt;/b&gt;Fortitude negates (object); &lt;b&gt;Spell Resistance &lt;/b&gt;no&lt;/h5&gt;&lt;/div&gt;&lt;hr/&gt;&lt;div&gt;&lt;h5&gt;&lt;b&gt;DESCRIPTION&lt;/b&gt;&lt;/h5&gt;&lt;/div&gt;&lt;hr/&gt;&lt;div&gt;&lt;h4&gt;&lt;p&gt;The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&lt;i&gt;greater magic&lt;/i&gt;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&lt;i&gt;liquefy&lt;/i&gt;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&lt;i&gt;Liquefy&lt;/i&gt; has no effect on artifacts, constructs, or intelligent magic items.&lt;/p&gt;&lt;/h4&gt;&lt;/div&gt;</t>
  </si>
  <si>
    <t>Open Arms</t>
  </si>
  <si>
    <t>V, S, F (a magical or masterwork melee weapon)</t>
  </si>
  <si>
    <t>You cast this spell in response to a specific cavalier's challenge (Pathfinder Roleplaying Game: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instant enemy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t>
  </si>
  <si>
    <t>&lt;p&gt;You cast this spell in response to a specific cavalier's challenge (&lt;i&gt;Pathfinder Roleplaying Game&lt;/i&gt;: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&lt;i&gt;instant enemy&lt;/i&gt;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turn.&lt;/p&gt;</t>
  </si>
  <si>
    <t>&lt;link rel="stylesheet"href="PF.css"&gt;&lt;div class="heading"&gt;&lt;p class="alignleft"&gt;Open Arms&lt;/p&gt;&lt;div style="clear: both;"&gt;&lt;/div&gt;&lt;/div&gt;&lt;div&gt;&lt;h5&gt;&lt;b&gt;School &lt;/b&gt;transmutation; &lt;b&gt;Level &lt;/b&gt;sorcerer/wizard 5&lt;/h5&gt;&lt;/div&gt;&lt;hr/&gt;&lt;div&gt;&lt;h5&gt;&lt;b&gt;CASTING&lt;/b&gt;&lt;/h5&gt;&lt;/div&gt;&lt;hr/&gt;&lt;div&gt;&lt;h5&gt;&lt;b&gt;Casting Time &lt;/b&gt;1 immediate action&lt;/h5&gt;&lt;h5&gt;&lt;b&gt;Components &lt;/b&gt;V, S, F (a magical or masterwork melee weapon)&lt;/h5&gt;&lt;/div&gt;&lt;hr/&gt;&lt;div&gt;&lt;h5&gt;&lt;b&gt;EFFECT&lt;/b&gt;&lt;/h5&gt;&lt;/div&gt;&lt;hr/&gt;&lt;div&gt;&lt;h5&gt;&lt;b&gt;Range &lt;/b&gt;touch&lt;/h5&gt;&lt;h5&gt;&lt;b&gt;Targets &lt;/b&gt;melee weapon touched&lt;/h5&gt;&lt;h5&gt;&lt;b&gt;Duration &lt;/b&gt;1 minute/level&lt;/h5&gt;&lt;h5&gt;&lt;b&gt;Saving Throw &lt;/b&gt;none; &lt;b&gt;Spell Resistance &lt;/b&gt;no&lt;/h5&gt;&lt;/div&gt;&lt;hr/&gt;&lt;div&gt;&lt;h5&gt;&lt;b&gt;DESCRIPTION&lt;/b&gt;&lt;/h5&gt;&lt;/div&gt;&lt;hr/&gt;&lt;div&gt;&lt;h4&gt;&lt;p&gt;You cast this spell in response to a specific cavalier's challenge (&lt;i&gt;Pathfinder Roleplaying Game&lt;/i&gt;: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&lt;i&gt;instant enemy&lt;/i&gt;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turn.&lt;/p&gt;&lt;/h4&gt;&lt;/div&gt;</t>
  </si>
  <si>
    <t>Rags To Riches</t>
  </si>
  <si>
    <t>alchemist 3, bard 3, cleric/oracle 4, medium 3, occultist 3, sorcerer/wizard 4, witch 4</t>
  </si>
  <si>
    <t>V, S, M (a bit of burlap wrapped over a copper coin)</t>
  </si>
  <si>
    <t>1 weapon, suit or armor, shield, tool, or skill kit touched/5 levels</t>
  </si>
  <si>
    <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t>
  </si>
  <si>
    <t>&lt;p&gt;The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5.&lt;/p&gt;</t>
  </si>
  <si>
    <t>&lt;link rel="stylesheet"href="PF.css"&gt;&lt;div class="heading"&gt;&lt;p class="alignleft"&gt;Rags To Riches&lt;/p&gt;&lt;div style="clear: both;"&gt;&lt;/div&gt;&lt;/div&gt;&lt;div&gt;&lt;h5&gt;&lt;b&gt;School &lt;/b&gt;transmutation; &lt;b&gt;Level &lt;/b&gt;alchemist 3, bard 3, cleric/oracle 4, medium 3, occultist 3, sorcerer/wizard 4, witch 4&lt;/h5&gt;&lt;/div&gt;&lt;hr/&gt;&lt;div&gt;&lt;h5&gt;&lt;b&gt;CASTING&lt;/b&gt;&lt;/h5&gt;&lt;/div&gt;&lt;hr/&gt;&lt;div&gt;&lt;h5&gt;&lt;b&gt;Casting Time &lt;/b&gt;1 standard action&lt;/h5&gt;&lt;h5&gt;&lt;b&gt;Components &lt;/b&gt;V, S, M (a bit of burlap wrapped over a copper coin)&lt;/h5&gt;&lt;/div&gt;&lt;hr/&gt;&lt;div&gt;&lt;h5&gt;&lt;b&gt;EFFECT&lt;/b&gt;&lt;/h5&gt;&lt;/div&gt;&lt;hr/&gt;&lt;div&gt;&lt;h5&gt;&lt;b&gt;Range &lt;/b&gt;touch&lt;/h5&gt;&lt;h5&gt;&lt;b&gt;Targets &lt;/b&gt;1 weapon, suit or armor, shield, tool, or skill kit touched/5 levels&lt;/h5&gt;&lt;h5&gt;&lt;b&gt;Duration &lt;/b&gt;10 minutes/level&lt;/h5&gt;&lt;h5&gt;&lt;b&gt;Saving Throw &lt;/b&gt;Fortitude negates (object); &lt;b&gt;Spell Resistance &lt;/b&gt;no&lt;/h5&gt;&lt;/div&gt;&lt;hr/&gt;&lt;div&gt;&lt;h5&gt;&lt;b&gt;DESCRIPTION&lt;/b&gt;&lt;/h5&gt;&lt;/div&gt;&lt;hr/&gt;&lt;div&gt;&lt;h4&gt;&lt;p&gt;The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5.&lt;/p&gt;&lt;/h4&gt;&lt;/div&gt;</t>
  </si>
  <si>
    <t>Rune Of Ruin</t>
  </si>
  <si>
    <t>alchemist 4, bard 4, inquisitor 4, sorcerer/wizard 5, witch 5</t>
  </si>
  <si>
    <t>V, S, M (a self-portrait on a thin sheet of paper)</t>
  </si>
  <si>
    <t>Medium (100 ft. plus 10 ft./level)</t>
  </si>
  <si>
    <t>1 object</t>
  </si>
  <si>
    <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flaming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rune of ruin, the wielder gains an immediate saving throw with a +4 bonus to regain control. Rune of ruin has no affect on magical artifacts.</t>
  </si>
  <si>
    <t>&lt;p&gt;You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&lt;i&gt;flaming&lt;/i&gt;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&lt;i&gt;rune of ruin&lt;/i&gt;, the wielder gains an immediate saving throw with a +4 bonus to regain control. &lt;i&gt;Rune of ruin&lt;/i&gt; has no affect on magical artifacts.&lt;/p&gt;</t>
  </si>
  <si>
    <t>&lt;link rel="stylesheet"href="PF.css"&gt;&lt;div class="heading"&gt;&lt;p class="alignleft"&gt;Rune Of Ruin&lt;/p&gt;&lt;div style="clear: both;"&gt;&lt;/div&gt;&lt;/div&gt;&lt;div&gt;&lt;h5&gt;&lt;b&gt;School &lt;/b&gt;transmutation [curse&lt;sup&gt;UM&lt;/sup&gt;]; &lt;b&gt;Level &lt;/b&gt;alchemist 4, bard 4, inquisitor 4, sorcerer/wizard 5, witch 5&lt;/h5&gt;&lt;/div&gt;&lt;hr/&gt;&lt;div&gt;&lt;h5&gt;&lt;b&gt;CASTING&lt;/b&gt;&lt;/h5&gt;&lt;/div&gt;&lt;hr/&gt;&lt;div&gt;&lt;h5&gt;&lt;b&gt;Casting Time &lt;/b&gt;1 standard action&lt;/h5&gt;&lt;h5&gt;&lt;b&gt;Components &lt;/b&gt;V, S, M (a self-portrait on a thin sheet of paper)&lt;/h5&gt;&lt;/div&gt;&lt;hr/&gt;&lt;div&gt;&lt;h5&gt;&lt;b&gt;EFFECT&lt;/b&gt;&lt;/h5&gt;&lt;/div&gt;&lt;hr/&gt;&lt;div&gt;&lt;h5&gt;&lt;b&gt;Range &lt;/b&gt;Medium (100 ft. plus 10 ft./level)&lt;/h5&gt;&lt;h5&gt;&lt;b&gt;Targets &lt;/b&gt;1 object&lt;/h5&gt;&lt;h5&gt;&lt;b&gt;Duration &lt;/b&gt;instantaneous&lt;/h5&gt;&lt;h5&gt;&lt;b&gt;Saving Throw &lt;/b&gt;Fortitude negates (object); &lt;b&gt;Spell Resistance &lt;/b&gt;no&lt;/h5&gt;&lt;/div&gt;&lt;hr/&gt;&lt;div&gt;&lt;h5&gt;&lt;b&gt;DESCRIPTION&lt;/b&gt;&lt;/h5&gt;&lt;/div&gt;&lt;hr/&gt;&lt;div&gt;&lt;h4&gt;&lt;p&gt;You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&lt;i&gt;flaming&lt;/i&gt;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&lt;i&gt;rune of ruin&lt;/i&gt;, the wielder gains an immediate saving throw with a +4 bonus to regain control. &lt;i&gt;Rune of ruin&lt;/i&gt; has no affect on magical artifacts.&lt;/p&gt;&lt;/h4&gt;&lt;/div&gt;</t>
  </si>
  <si>
    <t>Tears To Wine</t>
  </si>
  <si>
    <t>alchemist 1, bard 1, cleric/oracle 2, druid 1, medium 1, occultist 1, shaman 1, sorcerer/wizard 2, witch 2</t>
  </si>
  <si>
    <t>V, S, M (a single grape)</t>
  </si>
  <si>
    <t>1 cu. ft./2 levels of liquid (see text)</t>
  </si>
  <si>
    <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tears to wine,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t>
  </si>
  <si>
    <t>&lt;p&gt;Legend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&lt;i&gt;tears to wine&lt;/i&gt;,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15th.&lt;/p&gt;</t>
  </si>
  <si>
    <t>&lt;link rel="stylesheet"href="PF.css"&gt;&lt;div class="heading"&gt;&lt;p class="alignleft"&gt;Tears To Wine&lt;/p&gt;&lt;div style="clear: both;"&gt;&lt;/div&gt;&lt;/div&gt;&lt;div&gt;&lt;h5&gt;&lt;b&gt;School &lt;/b&gt;transmutation; &lt;b&gt;Level &lt;/b&gt;alchemist 1, bard 1, cleric/oracle 2, druid 1, medium 1, occultist 1, shaman 1, sorcerer/wizard 2, witch 2&lt;/h5&gt;&lt;/div&gt;&lt;hr/&gt;&lt;div&gt;&lt;h5&gt;&lt;b&gt;CASTING&lt;/b&gt;&lt;/h5&gt;&lt;/div&gt;&lt;hr/&gt;&lt;div&gt;&lt;h5&gt;&lt;b&gt;Casting Time &lt;/b&gt;1 standard action&lt;/h5&gt;&lt;h5&gt;&lt;b&gt;Components &lt;/b&gt;V, S, M (a single grape)&lt;/h5&gt;&lt;/div&gt;&lt;hr/&gt;&lt;div&gt;&lt;h5&gt;&lt;b&gt;EFFECT&lt;/b&gt;&lt;/h5&gt;&lt;/div&gt;&lt;hr/&gt;&lt;div&gt;&lt;h5&gt;&lt;b&gt;Range &lt;/b&gt;10 ft.&lt;/h5&gt;&lt;h5&gt;&lt;b&gt;Targets &lt;/b&gt;1 cu. ft./2 levels of liquid (see text)&lt;/h5&gt;&lt;h5&gt;&lt;b&gt;Duration &lt;/b&gt;10 minutes/level&lt;/h5&gt;&lt;h5&gt;&lt;b&gt;Saving Throw &lt;/b&gt;Will negates (object); &lt;b&gt;Spell Resistance &lt;/b&gt;yes (object)&lt;/h5&gt;&lt;/div&gt;&lt;hr/&gt;&lt;div&gt;&lt;h5&gt;&lt;b&gt;DESCRIPTION&lt;/b&gt;&lt;/h5&gt;&lt;/div&gt;&lt;hr/&gt;&lt;div&gt;&lt;h4&gt;&lt;p&gt;Legend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&lt;i&gt;tears to wine&lt;/i&gt;,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15th.&lt;/p&gt;&lt;/h4&gt;&lt;/div&gt;</t>
  </si>
  <si>
    <t>Transmute Golem</t>
  </si>
  <si>
    <t>alchemist 6, sorcerer/wizard 9</t>
  </si>
  <si>
    <t>V, S, M (powdered metals with a variable cost, see text)</t>
  </si>
  <si>
    <t>golem touched</t>
  </si>
  <si>
    <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t>
  </si>
  <si>
    <t>&lt;p&gt;You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cast.&lt;/p&gt;</t>
  </si>
  <si>
    <t>&lt;link rel="stylesheet"href="PF.css"&gt;&lt;div class="heading"&gt;&lt;p class="alignleft"&gt;Transmute Golem&lt;/p&gt;&lt;div style="clear: both;"&gt;&lt;/div&gt;&lt;/div&gt;&lt;div&gt;&lt;h5&gt;&lt;b&gt;School &lt;/b&gt;transmutation (polymorph); &lt;b&gt;Level &lt;/b&gt;alchemist 6, sorcerer/wizard 9&lt;/h5&gt;&lt;/div&gt;&lt;hr/&gt;&lt;div&gt;&lt;h5&gt;&lt;b&gt;CASTING&lt;/b&gt;&lt;/h5&gt;&lt;/div&gt;&lt;hr/&gt;&lt;div&gt;&lt;h5&gt;&lt;b&gt;Casting Time &lt;/b&gt;8 hours&lt;/h5&gt;&lt;h5&gt;&lt;b&gt;Components &lt;/b&gt;V, S, M (powdered metals with a variable cost, see text)&lt;/h5&gt;&lt;/div&gt;&lt;hr/&gt;&lt;div&gt;&lt;h5&gt;&lt;b&gt;EFFECT&lt;/b&gt;&lt;/h5&gt;&lt;/div&gt;&lt;hr/&gt;&lt;div&gt;&lt;h5&gt;&lt;b&gt;Range &lt;/b&gt;touch&lt;/h5&gt;&lt;h5&gt;&lt;b&gt;Targets &lt;/b&gt;golem touched&lt;/h5&gt;&lt;h5&gt;&lt;b&gt;Duration &lt;/b&gt;instantaneous&lt;/h5&gt;&lt;h5&gt;&lt;b&gt;Saving Throw &lt;/b&gt;none; &lt;b&gt;Spell Resistance &lt;/b&gt;no&lt;/h5&gt;&lt;/div&gt;&lt;hr/&gt;&lt;div&gt;&lt;h5&gt;&lt;b&gt;DESCRIPTION&lt;/b&gt;&lt;/h5&gt;&lt;/div&gt;&lt;hr/&gt;&lt;div&gt;&lt;h4&gt;&lt;p&gt;You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cast.&lt;/p&gt;&lt;/h4&gt;&lt;/div&gt;</t>
  </si>
  <si>
    <t>Find Fault</t>
  </si>
  <si>
    <t>bard 3, bloodrager 3, inquisitor 3, magus 3, medium 3, oracle 3, psychic 3, shaman 3, sorcerer/wizard 3, witch 3</t>
  </si>
  <si>
    <t>medium (100 ft. plus 10 ft./level)</t>
  </si>
  <si>
    <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t>
  </si>
  <si>
    <t>&lt;p&gt;You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failure).&lt;/p&gt;</t>
  </si>
  <si>
    <t>&lt;link rel="stylesheet"href="PF.css"&gt;&lt;div class="heading"&gt;&lt;p class="alignleft"&gt;Find Fault&lt;/p&gt;&lt;div style="clear: both;"&gt;&lt;/div&gt;&lt;/div&gt;&lt;div&gt;&lt;h5&gt;&lt;b&gt;School &lt;/b&gt;divination; &lt;b&gt;Level &lt;/b&gt;bard 3, bloodrager 3, inquisitor 3, magus 3, medium 3, oracle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plus 10 ft./level)&lt;/h5&gt;&lt;h5&gt;&lt;b&gt;Targets &lt;/b&gt;1 creature&lt;/h5&gt;&lt;h5&gt;&lt;b&gt;Duration &lt;/b&gt;instantaneous&lt;/h5&gt;&lt;h5&gt;&lt;b&gt;Saving Throw &lt;/b&gt;none; &lt;b&gt;Spell Resistance &lt;/b&gt;yes&lt;/h5&gt;&lt;/div&gt;&lt;hr/&gt;&lt;div&gt;&lt;h5&gt;&lt;b&gt;DESCRIPTION&lt;/b&gt;&lt;/h5&gt;&lt;/div&gt;&lt;hr/&gt;&lt;div&gt;&lt;h4&gt;&lt;p&gt;You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failure).&lt;/p&gt;&lt;/h4&gt;&lt;/div&gt;</t>
  </si>
  <si>
    <t>Foretell Failure</t>
  </si>
  <si>
    <t>bard 4, occultist 5, oracle 4, psychic 4, sorcerer/wizard 5, witch 4</t>
  </si>
  <si>
    <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t>
  </si>
  <si>
    <t>&lt;p&gt;You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action.&lt;/p&gt;</t>
  </si>
  <si>
    <t>&lt;link rel="stylesheet"href="PF.css"&gt;&lt;div class="heading"&gt;&lt;p class="alignleft"&gt;Foretell Failure&lt;/p&gt;&lt;div style="clear: both;"&gt;&lt;/div&gt;&lt;/div&gt;&lt;div&gt;&lt;h5&gt;&lt;b&gt;School &lt;/b&gt;divination; &lt;b&gt;Level &lt;/b&gt;bard 4, occultist 5, oracle 4, psychic 4, sorcerer/wizard 5, witch 4&lt;/h5&gt;&lt;/div&gt;&lt;hr/&gt;&lt;div&gt;&lt;h5&gt;&lt;b&gt;CASTING&lt;/b&gt;&lt;/h5&gt;&lt;/div&gt;&lt;hr/&gt;&lt;div&gt;&lt;h5&gt;&lt;b&gt;Casting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action.&lt;/p&gt;&lt;/h4&gt;&lt;/div&gt;</t>
  </si>
  <si>
    <t>Perfect Placement</t>
  </si>
  <si>
    <t>bard 2, bloodrager 2, magus 3, psychic 3, sorcerer/wizard 3, witch 3</t>
  </si>
  <si>
    <t>V, S, M (a chess piece)</t>
  </si>
  <si>
    <t>close (25 ft. plus 5 ft./2 levels)</t>
  </si>
  <si>
    <t>Affected creatures gain tactical knowledge and maximize their efficiency on the field of battle. Each gains a +1 insight bonus to AC and Reflex saves. Against attacks of opportunity, the insight bonus to AC increases to +3.</t>
  </si>
  <si>
    <t>&lt;p&gt;Affected creatures gain tactical knowledge and maximize their efficiency on the field of battle. Each gains a +1 insight bonus to AC and Reflex saves. Against attacks of opportunity, the insight bonus to AC increases to +3.&lt;/p&gt;</t>
  </si>
  <si>
    <t>&lt;link rel="stylesheet"href="PF.css"&gt;&lt;div class="heading"&gt;&lt;p class="alignleft"&gt;Perfect Placement&lt;/p&gt;&lt;div style="clear: both;"&gt;&lt;/div&gt;&lt;/div&gt;&lt;div&gt;&lt;h5&gt;&lt;b&gt;School &lt;/b&gt;divination; &lt;b&gt;Level &lt;/b&gt;bard 2, bloodrager 2, magus 3, psychic 3, sorcerer/wizard 3, witch 3&lt;/h5&gt;&lt;/div&gt;&lt;hr/&gt;&lt;div&gt;&lt;h5&gt;&lt;b&gt;CASTING&lt;/b&gt;&lt;/h5&gt;&lt;/div&gt;&lt;hr/&gt;&lt;div&gt;&lt;h5&gt;&lt;b&gt;Casting Time &lt;/b&gt;1 standard action&lt;/h5&gt;&lt;h5&gt;&lt;b&gt;Components &lt;/b&gt;V, S, M (a chess piece)&lt;/h5&gt;&lt;/div&gt;&lt;hr/&gt;&lt;div&gt;&lt;h5&gt;&lt;b&gt;EFFECT&lt;/b&gt;&lt;/h5&gt;&lt;/div&gt;&lt;hr/&gt;&lt;div&gt;&lt;h5&gt;&lt;b&gt;Range &lt;/b&gt;close (25 ft. plus 5 ft./2 levels)&lt;/h5&gt;&lt;h5&gt;&lt;b&gt;Targets &lt;/b&gt;one creature/level, no two of which can be more than 30 ft. apart&lt;/h5&gt;&lt;h5&gt;&lt;b&gt;Duration &lt;/b&gt;1 round/level&lt;/h5&gt;&lt;h5&gt;&lt;b&gt;Saving Throw &lt;/b&gt;Will negates (harmless); &lt;b&gt;Spell Resistance &lt;/b&gt;yes (harmless)&lt;/h5&gt;&lt;/div&gt;&lt;hr/&gt;&lt;div&gt;&lt;h5&gt;&lt;b&gt;DESCRIPTION&lt;/b&gt;&lt;/h5&gt;&lt;/div&gt;&lt;hr/&gt;&lt;div&gt;&lt;h4&gt;&lt;p&gt;Affected creatures gain tactical knowledge and maximize their efficiency on the field of battle. Each gains a +1 insight bonus to AC and Reflex saves. Against attacks of opportunity, the insight bonus to AC increases to +3.&lt;/p&gt;&lt;/h4&gt;&lt;/div&gt;</t>
  </si>
  <si>
    <t>Heckle</t>
  </si>
  <si>
    <t>bard 2, bloodrager 2, magus 3, mesmerist 2, psychic 2, sorcerer/wizard 2</t>
  </si>
  <si>
    <t>V, S, M (a tomato)</t>
  </si>
  <si>
    <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t>
  </si>
  <si>
    <t>&lt;p&gt;You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Charisma.&lt;/p&gt;</t>
  </si>
  <si>
    <t>&lt;link rel="stylesheet"href="PF.css"&gt;&lt;div class="heading"&gt;&lt;p class="alignleft"&gt;Heckle&lt;/p&gt;&lt;div style="clear: both;"&gt;&lt;/div&gt;&lt;/div&gt;&lt;div&gt;&lt;h5&gt;&lt;b&gt;School &lt;/b&gt;enchantment (compulsion) [emotion&lt;sup&gt;UM&lt;/sup&gt;, mind-affecting]; &lt;b&gt;Level &lt;/b&gt;bard 2, bloodrager 2, magus 3, mesmerist 2, psychic 2, sorcerer/wizard 2&lt;/h5&gt;&lt;/div&gt;&lt;hr/&gt;&lt;div&gt;&lt;h5&gt;&lt;b&gt;CASTING&lt;/b&gt;&lt;/h5&gt;&lt;/div&gt;&lt;hr/&gt;&lt;div&gt;&lt;h5&gt;&lt;b&gt;Casting Time &lt;/b&gt;1 standard action&lt;/h5&gt;&lt;h5&gt;&lt;b&gt;Components &lt;/b&gt;V, S, M (a tomato)&lt;/h5&gt;&lt;/div&gt;&lt;hr/&gt;&lt;div&gt;&lt;h5&gt;&lt;b&gt;EFFECT&lt;/b&gt;&lt;/h5&gt;&lt;/div&gt;&lt;hr/&gt;&lt;div&gt;&lt;h5&gt;&lt;b&gt;Range &lt;/b&gt;medium (100 ft. + 10 ft./level)&lt;/h5&gt;&lt;h5&gt;&lt;b&gt;Targets &lt;/b&gt;1 creature&lt;/h5&gt;&lt;h5&gt;&lt;b&gt;Duration &lt;/b&gt;1 minute/level&lt;/h5&gt;&lt;h5&gt;&lt;b&gt;Saving Throw &lt;/b&gt;Will negates; &lt;b&gt;Spell Resistance &lt;/b&gt;yes&lt;/h5&gt;&lt;/div&gt;&lt;hr/&gt;&lt;div&gt;&lt;h5&gt;&lt;b&gt;DESCRIPTION&lt;/b&gt;&lt;/h5&gt;&lt;/div&gt;&lt;hr/&gt;&lt;div&gt;&lt;h4&gt;&lt;p&gt;You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Charisma.&lt;/p&gt;&lt;/h4&gt;&lt;/div&gt;</t>
  </si>
  <si>
    <t>Stage Fright</t>
  </si>
  <si>
    <t>antipaladin 3, bard 3, inquisitor 3, mesmerist 3, psychic 3, sorcerer/wizard 3, witch 3</t>
  </si>
  <si>
    <t>1 creature/level, no two of which may be more than 30 ft. apart</t>
  </si>
  <si>
    <t>You fill your targets with the sudden fear of failure. A creature that fails its saving throw takes a -4 penalty on ability checks, skill checks, and any checks that require concentration (such as casting a spell in difficult circumstances or operating a complex device).</t>
  </si>
  <si>
    <t>&lt;p&gt;You fill your targets with the sudden fear of failure. A creature that fails its saving throw takes a -4 penalty on ability checks, skill checks, and any checks that require concentration (such as casting a spell in difficult circumstances or operating a complex device).&lt;/p&gt;</t>
  </si>
  <si>
    <t>&lt;link rel="stylesheet"href="PF.css"&gt;&lt;div class="heading"&gt;&lt;p class="alignleft"&gt;Stage Fright&lt;/p&gt;&lt;div style="clear: both;"&gt;&lt;/div&gt;&lt;/div&gt;&lt;div&gt;&lt;h5&gt;&lt;b&gt;School &lt;/b&gt;enchantment (compulsion) [emotion&lt;sup&gt;UM&lt;/sup&gt;, fear, mind-affecting]; &lt;b&gt;Level &lt;/b&gt;antipaladin 3, bard 3, inquisitor 3, mesmerist 3,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creature/level, no two of which may be more than 30 ft. apart&lt;/h5&gt;&lt;h5&gt;&lt;b&gt;Duration &lt;/b&gt;1 round/level&lt;/h5&gt;&lt;h5&gt;&lt;b&gt;Saving Throw &lt;/b&gt;Will negates; &lt;b&gt;Spell Resistance &lt;/b&gt;yes&lt;/h5&gt;&lt;/div&gt;&lt;hr/&gt;&lt;div&gt;&lt;h5&gt;&lt;b&gt;DESCRIPTION&lt;/b&gt;&lt;/h5&gt;&lt;/div&gt;&lt;hr/&gt;&lt;div&gt;&lt;h4&gt;&lt;p&gt;You fill your targets with the sudden fear of failure. A creature that fails its saving throw takes a -4 penalty on ability checks, skill checks, and any checks that require concentration (such as casting a spell in difficult circumstances or operating a complex device).&lt;/p&gt;&lt;/h4&gt;&lt;/div&gt;</t>
  </si>
  <si>
    <t>Tough Crowd</t>
  </si>
  <si>
    <t>bard 4, inquisitor 4, mesmerist 4, psychic 3, sorcerer/wizard 4, witch 3</t>
  </si>
  <si>
    <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t>
  </si>
  <si>
    <t>&lt;p&gt;You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spell.&lt;/p&gt;</t>
  </si>
  <si>
    <t>&lt;link rel="stylesheet"href="PF.css"&gt;&lt;div class="heading"&gt;&lt;p class="alignleft"&gt;Tough Crowd&lt;/p&gt;&lt;div style="clear: both;"&gt;&lt;/div&gt;&lt;/div&gt;&lt;div&gt;&lt;h5&gt;&lt;b&gt;School &lt;/b&gt;abjuration; &lt;b&gt;Level &lt;/b&gt;bard 4, inquisitor 4, mesmerist 4, psychic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creature/level&lt;/h5&gt;&lt;h5&gt;&lt;b&gt;Duration &lt;/b&gt;10 minutes/level&lt;/h5&gt;&lt;h5&gt;&lt;b&gt;Saving Throw &lt;/b&gt;Will negates (harmless); &lt;b&gt;Spell Resistance &lt;/b&gt;yes (harmless)&lt;/h5&gt;&lt;/div&gt;&lt;hr/&gt;&lt;div&gt;&lt;h5&gt;&lt;b&gt;DESCRIPTION&lt;/b&gt;&lt;/h5&gt;&lt;/div&gt;&lt;hr/&gt;&lt;div&gt;&lt;h4&gt;&lt;p&gt;You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spell.&lt;/p&gt;&lt;/h4&gt;&lt;/div&gt;</t>
  </si>
  <si>
    <t>First World Revisions</t>
  </si>
  <si>
    <t>alchemist 2, antipaladin 3, cleric/oracle 2, medium 2, psychic 2, sorcerer/wizard 3, witch 2</t>
  </si>
  <si>
    <t>willing wayang touched</t>
  </si>
  <si>
    <t>This spell functions as ancestral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undetectable alignment. Unlike ancestral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t>
  </si>
  <si>
    <t>&lt;p&gt;This spell functions as &lt;i&gt;ancestral&lt;/i&gt;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&lt;i&gt;undetectable alignment&lt;/i&gt;. Unlike &lt;i&gt;ancestral&lt;/i&gt;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her.&lt;/p&gt;</t>
  </si>
  <si>
    <t>Blood Of Shadows</t>
  </si>
  <si>
    <t>&lt;link rel="stylesheet"href="PF.css"&gt;&lt;div class="heading"&gt;&lt;p class="alignleft"&gt;First World Revisions&lt;/p&gt;&lt;div style="clear: both;"&gt;&lt;/div&gt;&lt;/div&gt;&lt;div&gt;&lt;h5&gt;&lt;b&gt;School &lt;/b&gt;transmutation (polymorph); &lt;b&gt;Level &lt;/b&gt;alchemist 2, antipaladin 3, cleric/oracle 2, medium 2, psychic 2, sorcerer/wizard 3,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wayang touched&lt;/h5&gt;&lt;h5&gt;&lt;b&gt;Duration &lt;/b&gt;24 hours (D)&lt;/h5&gt;&lt;h5&gt;&lt;b&gt;Saving Throw &lt;/b&gt;Will negates (harmless); &lt;b&gt;Spell Resistance &lt;/b&gt;yes (harmless)&lt;/h5&gt;&lt;/div&gt;&lt;hr/&gt;&lt;div&gt;&lt;h5&gt;&lt;b&gt;DESCRIPTION&lt;/b&gt;&lt;/h5&gt;&lt;/div&gt;&lt;hr/&gt;&lt;div&gt;&lt;h4&gt;&lt;p&gt;This spell functions as &lt;i&gt;ancestral&lt;/i&gt;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&lt;i&gt;undetectable alignment&lt;/i&gt;. Unlike &lt;i&gt;ancestral&lt;/i&gt;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her.&lt;/p&gt;&lt;/h4&gt;&lt;/div&gt;</t>
  </si>
  <si>
    <t>Darkvault</t>
  </si>
  <si>
    <t>alchemist 3, cleric/oracle 5, druid 5, psychic 5, shaman 5, sorcerer/wizard 5, witch 5</t>
  </si>
  <si>
    <t>V, S, M (a stone that has never seen sunlight)</t>
  </si>
  <si>
    <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Darkvault has no effect on spells or effects that would make the spell's area darker.  The spell must be cast on an area, such as a cave or room. A spellcaster of 11th level or higher can make darkvault permanent with a permanency spell, at a cost of 7,500 gp.</t>
  </si>
  <si>
    <t>&lt;p&gt;You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&lt;i&gt;Darkvault&lt;/i&gt; has no effect on spells or effects that would make the spell's area darker.  The spell must be cast on an area, such as a cave or room. A spellcaster of 11th level or higher can make &lt;i&gt;darkvault&lt;/i&gt; permanent with a &lt;i&gt;permanency&lt;/i&gt; spell, at a cost of 7,500 gp.&lt;/p&gt;</t>
  </si>
  <si>
    <t>&lt;link rel="stylesheet"href="PF.css"&gt;&lt;div class="heading"&gt;&lt;p class="alignleft"&gt;Darkvault&lt;/p&gt;&lt;div style="clear: both;"&gt;&lt;/div&gt;&lt;/div&gt;&lt;div&gt;&lt;h5&gt;&lt;b&gt;School &lt;/b&gt;abjuration; &lt;b&gt;Level &lt;/b&gt;alchemist 3, cleric/oracle 5, druid 5, psychic 5, shaman 5, sorcerer/wizard 5, witch 5&lt;/h5&gt;&lt;/div&gt;&lt;hr/&gt;&lt;div&gt;&lt;h5&gt;&lt;b&gt;CASTING&lt;/b&gt;&lt;/h5&gt;&lt;/div&gt;&lt;hr/&gt;&lt;div&gt;&lt;h5&gt;&lt;b&gt;Casting Time &lt;/b&gt;1 standard action&lt;/h5&gt;&lt;h5&gt;&lt;b&gt;Components &lt;/b&gt;V, S, M (a stone that has never seen sunlight)&lt;/h5&gt;&lt;/div&gt;&lt;hr/&gt;&lt;div&gt;&lt;h5&gt;&lt;b&gt;EFFECT&lt;/b&gt;&lt;/h5&gt;&lt;/div&gt;&lt;hr/&gt;&lt;div&gt;&lt;h5&gt;&lt;b&gt;Range &lt;/b&gt;close (25 ft. + 5 ft./2 levels)&lt;/h5&gt;&lt;h5&gt;&lt;b&gt;Area &lt;/b&gt;30-ft.-radius emanation&lt;/h5&gt;&lt;h5&gt;&lt;b&gt;Duration &lt;/b&gt;24 hours&lt;/h5&gt;&lt;h5&gt;&lt;b&gt;Saving Throw &lt;/b&gt;none; &lt;b&gt;Spell Resistance &lt;/b&gt;no&lt;/h5&gt;&lt;/div&gt;&lt;hr/&gt;&lt;div&gt;&lt;h5&gt;&lt;b&gt;DESCRIPTION&lt;/b&gt;&lt;/h5&gt;&lt;/div&gt;&lt;hr/&gt;&lt;div&gt;&lt;h4&gt;&lt;p&gt;You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&lt;i&gt;Darkvault&lt;/i&gt; has no effect on spells or effects that would make the spell's area darker.  The spell must be cast on an area, such as a cave or room. A spellcaster of 11th level or higher can make &lt;i&gt;darkvault&lt;/i&gt; permanent with a &lt;i&gt;permanency&lt;/i&gt; spell, at a cost of 7,500 gp.&lt;/p&gt;&lt;/h4&gt;&lt;/div&gt;</t>
  </si>
  <si>
    <t>Fear The Sun</t>
  </si>
  <si>
    <t>antipaladin 1, bloodrager 1, cleric/oracle 2, druid 2, inquisitor 2, occultist 2, psychic 2, shaman 2, sorcerer/wizard 2, witch 2</t>
  </si>
  <si>
    <t>V, S, M (a drow eyelash)</t>
  </si>
  <si>
    <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t>
  </si>
  <si>
    <t>&lt;p&gt;Each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turn.&lt;/p&gt;</t>
  </si>
  <si>
    <t>&lt;link rel="stylesheet"href="PF.css"&gt;&lt;div class="heading"&gt;&lt;p class="alignleft"&gt;Fear The Sun&lt;/p&gt;&lt;div style="clear: both;"&gt;&lt;/div&gt;&lt;/div&gt;&lt;div&gt;&lt;h5&gt;&lt;b&gt;School &lt;/b&gt;transmutation; &lt;b&gt;Level &lt;/b&gt;antipaladin 1, bloodrager 1, cleric/oracle 2, druid 2, inquisitor 2, occultist 2, psychic 2, shaman 2, sorcerer/wizard 2, witch 2&lt;/h5&gt;&lt;/div&gt;&lt;hr/&gt;&lt;div&gt;&lt;h5&gt;&lt;b&gt;CASTING&lt;/b&gt;&lt;/h5&gt;&lt;/div&gt;&lt;hr/&gt;&lt;div&gt;&lt;h5&gt;&lt;b&gt;Casting Time &lt;/b&gt;1 standard action&lt;/h5&gt;&lt;h5&gt;&lt;b&gt;Components &lt;/b&gt;V, S, M (a drow eyelash)&lt;/h5&gt;&lt;/div&gt;&lt;hr/&gt;&lt;div&gt;&lt;h5&gt;&lt;b&gt;EFFECT&lt;/b&gt;&lt;/h5&gt;&lt;/div&gt;&lt;hr/&gt;&lt;div&gt;&lt;h5&gt;&lt;b&gt;Range &lt;/b&gt;medium (100 ft. + 10 ft./level)&lt;/h5&gt;&lt;h5&gt;&lt;b&gt;Targets &lt;/b&gt;up to one creature/level, no two of which can be more than 30 ft. apart&lt;/h5&gt;&lt;h5&gt;&lt;b&gt;Duration &lt;/b&gt;1 round/level&lt;/h5&gt;&lt;h5&gt;&lt;b&gt;Saving Throw &lt;/b&gt;Fortitude negates; &lt;b&gt;Spell Resistance &lt;/b&gt;yes&lt;/h5&gt;&lt;/div&gt;&lt;hr/&gt;&lt;div&gt;&lt;h5&gt;&lt;b&gt;DESCRIPTION&lt;/b&gt;&lt;/h5&gt;&lt;/div&gt;&lt;hr/&gt;&lt;div&gt;&lt;h4&gt;&lt;p&gt;Each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turn.&lt;/p&gt;&lt;/h4&gt;&lt;/div&gt;</t>
  </si>
  <si>
    <t>Ignoble Form</t>
  </si>
  <si>
    <t>alchemist 2, antipaladin 2, bard 2, druid 3, medium 2, ranger 2, sorcerer/wizard 4, witch 4</t>
  </si>
  <si>
    <t>V, S, M (a half-elf ear)</t>
  </si>
  <si>
    <t>one drow</t>
  </si>
  <si>
    <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t>
  </si>
  <si>
    <t>&lt;p&gt;The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half-elf.&lt;/p&gt;</t>
  </si>
  <si>
    <t>&lt;link rel="stylesheet"href="PF.css"&gt;&lt;div class="heading"&gt;&lt;p class="alignleft"&gt;Ignoble Form&lt;/p&gt;&lt;div style="clear: both;"&gt;&lt;/div&gt;&lt;/div&gt;&lt;div&gt;&lt;h5&gt;&lt;b&gt;School &lt;/b&gt;transmutation (polymorph); &lt;b&gt;Level &lt;/b&gt;alchemist 2, antipaladin 2, bard 2, druid 3, medium 2, ranger 2, sorcerer/wizard 4, witch 4&lt;/h5&gt;&lt;/div&gt;&lt;hr/&gt;&lt;div&gt;&lt;h5&gt;&lt;b&gt;CASTING&lt;/b&gt;&lt;/h5&gt;&lt;/div&gt;&lt;hr/&gt;&lt;div&gt;&lt;h5&gt;&lt;b&gt;Casting Time &lt;/b&gt;1 standard action&lt;/h5&gt;&lt;h5&gt;&lt;b&gt;Components &lt;/b&gt;V, S, M (a half-elf ear)&lt;/h5&gt;&lt;/div&gt;&lt;hr/&gt;&lt;div&gt;&lt;h5&gt;&lt;b&gt;EFFECT&lt;/b&gt;&lt;/h5&gt;&lt;/div&gt;&lt;hr/&gt;&lt;div&gt;&lt;h5&gt;&lt;b&gt;Range &lt;/b&gt;touch&lt;/h5&gt;&lt;h5&gt;&lt;b&gt;Targets &lt;/b&gt;one drow&lt;/h5&gt;&lt;h5&gt;&lt;b&gt;Duration &lt;/b&gt;24 hours&lt;/h5&gt;&lt;h5&gt;&lt;b&gt;Saving Throw &lt;/b&gt;Fortitude negates (harmless); &lt;b&gt;Spell Resistance &lt;/b&gt;no&lt;/h5&gt;&lt;/div&gt;&lt;hr/&gt;&lt;div&gt;&lt;h5&gt;&lt;b&gt;DESCRIPTION&lt;/b&gt;&lt;/h5&gt;&lt;/div&gt;&lt;hr/&gt;&lt;div&gt;&lt;h4&gt;&lt;p&gt;The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half-elf.&lt;/p&gt;&lt;/h4&gt;&lt;/div&gt;</t>
  </si>
  <si>
    <t>Shadowmind</t>
  </si>
  <si>
    <t>antipaladin 2, cleric/oracle 3, druid 3, inquisitor 2, mesmerist 3, occultist 3, psychic 3, shaman 3, sorcerer/wizard 3, witch 2</t>
  </si>
  <si>
    <t>V, S, M (a small square of black silk)</t>
  </si>
  <si>
    <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t>
  </si>
  <si>
    <t>&lt;p&gt;You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spell.&lt;/p&gt;</t>
  </si>
  <si>
    <t>&lt;link rel="stylesheet"href="PF.css"&gt;&lt;div class="heading"&gt;&lt;p class="alignleft"&gt;Shadowmind&lt;/p&gt;&lt;div style="clear: both;"&gt;&lt;/div&gt;&lt;/div&gt;&lt;div&gt;&lt;h5&gt;&lt;b&gt;School &lt;/b&gt;illusion [phantasm]; &lt;b&gt;Level &lt;/b&gt;antipaladin 2, cleric/oracle 3, druid 3, inquisitor 2, mesmerist 3, occultist 3, psychic 3, shaman 3, sorcerer/wizard 3, witch 2&lt;/h5&gt;&lt;/div&gt;&lt;hr/&gt;&lt;div&gt;&lt;h5&gt;&lt;b&gt;CASTING&lt;/b&gt;&lt;/h5&gt;&lt;/div&gt;&lt;hr/&gt;&lt;div&gt;&lt;h5&gt;&lt;b&gt;Casting Time &lt;/b&gt;1 standard action&lt;/h5&gt;&lt;h5&gt;&lt;b&gt;Components &lt;/b&gt;V, S, M (a small square of black silk)&lt;/h5&gt;&lt;/div&gt;&lt;hr/&gt;&lt;div&gt;&lt;h5&gt;&lt;b&gt;EFFECT&lt;/b&gt;&lt;/h5&gt;&lt;/div&gt;&lt;hr/&gt;&lt;div&gt;&lt;h5&gt;&lt;b&gt;Range &lt;/b&gt;medium (100 ft. + 10 ft./level)&lt;/h5&gt;&lt;h5&gt;&lt;b&gt;Targets &lt;/b&gt;up to one creature/level, no two of which can be more than 30 ft. apart&lt;/h5&gt;&lt;h5&gt;&lt;b&gt;Duration &lt;/b&gt;1 minute/level&lt;/h5&gt;&lt;h5&gt;&lt;b&gt;Saving Throw &lt;/b&gt;Will negates; &lt;b&gt;Spell Resistance &lt;/b&gt;yes&lt;/h5&gt;&lt;/div&gt;&lt;hr/&gt;&lt;div&gt;&lt;h5&gt;&lt;b&gt;DESCRIPTION&lt;/b&gt;&lt;/h5&gt;&lt;/div&gt;&lt;hr/&gt;&lt;div&gt;&lt;h4&gt;&lt;p&gt;You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spell.&lt;/p&gt;&lt;/h4&gt;&lt;/div&gt;</t>
  </si>
  <si>
    <t>Umbral Strike</t>
  </si>
  <si>
    <t>cleric/oracle 7, druid 7, inquisitor 6, magus 6, occultist 6, psychic 7, shaman 7, sorcerer/wizard 7, spiritualist 6, witch 7</t>
  </si>
  <si>
    <t>V, S, M (a black crossbow bolt)</t>
  </si>
  <si>
    <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t>
  </si>
  <si>
    <t>&lt;p&gt;You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condition.&lt;/p&gt;</t>
  </si>
  <si>
    <t>&lt;link rel="stylesheet"href="PF.css"&gt;&lt;div class="heading"&gt;&lt;p class="alignleft"&gt;Umbral Strike&lt;/p&gt;&lt;div style="clear: both;"&gt;&lt;/div&gt;&lt;/div&gt;&lt;div&gt;&lt;h5&gt;&lt;b&gt;School &lt;/b&gt;necromancy (shadow) [darkness]; &lt;b&gt;Level &lt;/b&gt;cleric/oracle 7, druid 7, inquisitor 6, magus 6, occultist 6, psychic 7, shaman 7, sorcerer/wizard 7, spiritualist 6, witch 7&lt;/h5&gt;&lt;/div&gt;&lt;hr/&gt;&lt;div&gt;&lt;h5&gt;&lt;b&gt;CASTING&lt;/b&gt;&lt;/h5&gt;&lt;/div&gt;&lt;hr/&gt;&lt;div&gt;&lt;h5&gt;&lt;b&gt;Casting Time &lt;/b&gt;1 standard action&lt;/h5&gt;&lt;h5&gt;&lt;b&gt;Components &lt;/b&gt;V, S, M (a black crossbow bolt)&lt;/h5&gt;&lt;/div&gt;&lt;hr/&gt;&lt;div&gt;&lt;h5&gt;&lt;b&gt;EFFECT&lt;/b&gt;&lt;/h5&gt;&lt;/div&gt;&lt;hr/&gt;&lt;div&gt;&lt;h5&gt;&lt;b&gt;Range &lt;/b&gt;medium (100 ft. + 10 ft./level)&lt;/h5&gt;&lt;h5&gt;&lt;b&gt;Targets &lt;/b&gt;1 creature&lt;/h5&gt;&lt;h5&gt;&lt;b&gt;Duration &lt;/b&gt;1 round/level&lt;/h5&gt;&lt;h5&gt;&lt;b&gt;Saving Throw &lt;/b&gt;Fortitude partial; &lt;b&gt;Spell Resistance &lt;/b&gt;yes&lt;/h5&gt;&lt;/div&gt;&lt;hr/&gt;&lt;div&gt;&lt;h5&gt;&lt;b&gt;DESCRIPTION&lt;/b&gt;&lt;/h5&gt;&lt;/div&gt;&lt;hr/&gt;&lt;div&gt;&lt;h4&gt;&lt;p&gt;You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condition.&lt;/p&gt;&lt;/h4&gt;&lt;/div&gt;</t>
  </si>
  <si>
    <t>Dancing Darkness</t>
  </si>
  <si>
    <t>darkness, shadowUM</t>
  </si>
  <si>
    <t>antipaladin 1, bard 1, magus 1, shaman 1, psychic 1, sorcerer/wizard 1, spiritualist 1, witch 1</t>
  </si>
  <si>
    <t>Up to four spheres, all within a 10-ft.-radius area</t>
  </si>
  <si>
    <t>You create either up to four spheres of darkness that each reduce the illumination level by one step within a 20-foot-radius, or one dimly lit, vaguely humanoid shape. Each sphere of dancing darkness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Dancing shadows can be made permanent with a permanency spell.</t>
  </si>
  <si>
    <t>&lt;p&gt;You create either up to four spheres of darkness that each reduce the illumination level by one step within a 20-foot-radius, or one dimly lit, vaguely humanoid shape. Each sphere of &lt;i&gt;dancing darkness&lt;/i&gt;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&lt;i&gt;Dancing shadows&lt;/i&gt; can be made permanent with a &lt;i&gt;permanency&lt;/i&gt; spell.&lt;/p&gt;</t>
  </si>
  <si>
    <t>&lt;link rel="stylesheet"href="PF.css"&gt;&lt;div class="heading"&gt;&lt;p class="alignleft"&gt;Dancing Darkness&lt;/p&gt;&lt;div style="clear: both;"&gt;&lt;/div&gt;&lt;/div&gt;&lt;div&gt;&lt;h5&gt;&lt;b&gt;School &lt;/b&gt;evocation [darkness, shadow&lt;sup&gt;UM&lt;/sup&gt;]; &lt;b&gt;Level &lt;/b&gt;antipaladin 1, bard 1, magus 1, shaman 1, psychic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four spheres, all within a 10-ft.-radius area&lt;/h5&gt;&lt;h5&gt;&lt;b&gt;Duration &lt;/b&gt;1 minute/level (D)&lt;/h5&gt;&lt;h5&gt;&lt;b&gt;Saving Throw &lt;/b&gt;none; &lt;b&gt;Spell Resistance &lt;/b&gt;no&lt;/h5&gt;&lt;/div&gt;&lt;hr/&gt;&lt;div&gt;&lt;h5&gt;&lt;b&gt;DESCRIPTION&lt;/b&gt;&lt;/h5&gt;&lt;/div&gt;&lt;hr/&gt;&lt;div&gt;&lt;h4&gt;&lt;p&gt;You create either up to four spheres of darkness that each reduce the illumination level by one step within a 20-foot-radius, or one dimly lit, vaguely humanoid shape. Each sphere of &lt;i&gt;dancing darkness&lt;/i&gt;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&lt;i&gt;Dancing shadows&lt;/i&gt; can be made permanent with a &lt;i&gt;permanency&lt;/i&gt; spell.&lt;/p&gt;&lt;/h4&gt;&lt;/div&gt;</t>
  </si>
  <si>
    <t>Motes Of Dusk And Dawn</t>
  </si>
  <si>
    <t>darkness, light</t>
  </si>
  <si>
    <t>bard 3, magus 3, medium 3, mesmerist 3, occultist 3, psychic 3, shaman 3, sorcerer/wizard 3, witch 3</t>
  </si>
  <si>
    <t>Up to four motes, all within a 10-ft.-radius area</t>
  </si>
  <si>
    <t>When you cast this spell, you create up to four motes that shed light or darkness in a 20-foot-radius, increasing or decreasing the illumination level by up to two categories. You decide whether each individual mote sheds light or darkness when the spell is cast.  The motes of dusk and dawn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t>
  </si>
  <si>
    <t>&lt;p&gt;When you cast this spell, you create up to four motes that shed light or darkness in a 20-foot-radius, increasing or decreasing the illumination level by up to two categories. You decide whether each individual mote sheds light or darkness when the spell is cast.  The &lt;i&gt;motes of dusk and dawn&lt;/i&gt;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range.&lt;/p&gt;</t>
  </si>
  <si>
    <t>&lt;link rel="stylesheet"href="PF.css"&gt;&lt;div class="heading"&gt;&lt;p class="alignleft"&gt;Motes Of Dusk And Dawn&lt;/p&gt;&lt;div style="clear: both;"&gt;&lt;/div&gt;&lt;/div&gt;&lt;div&gt;&lt;h5&gt;&lt;b&gt;School &lt;/b&gt;evocation [darkness, light]; &lt;b&gt;Level &lt;/b&gt;bard 3, magus 3, medium 3, mesmerist 3, occultist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four motes, all within a 10-ft.-radius area&lt;/h5&gt;&lt;h5&gt;&lt;b&gt;Duration &lt;/b&gt;1 minute (D)&lt;/h5&gt;&lt;h5&gt;&lt;b&gt;Saving Throw &lt;/b&gt;none; &lt;b&gt;Spell Resistance &lt;/b&gt;no&lt;/h5&gt;&lt;/div&gt;&lt;hr/&gt;&lt;div&gt;&lt;h5&gt;&lt;b&gt;DESCRIPTION&lt;/b&gt;&lt;/h5&gt;&lt;/div&gt;&lt;hr/&gt;&lt;div&gt;&lt;h4&gt;&lt;p&gt;When you cast this spell, you create up to four motes that shed light or darkness in a 20-foot-radius, increasing or decreasing the illumination level by up to two categories. You decide whether each individual mote sheds light or darkness when the spell is cast.  The &lt;i&gt;motes of dusk and dawn&lt;/i&gt;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range.&lt;/p&gt;&lt;/h4&gt;&lt;/div&gt;</t>
  </si>
  <si>
    <t>Mydriatic Spontaneity</t>
  </si>
  <si>
    <t>bard 3, mesmerist 3, psychic 3, sorcerer/wizard 4, witch 4</t>
  </si>
  <si>
    <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t>
  </si>
  <si>
    <t>&lt;p&gt;You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concealment.&lt;/p&gt;</t>
  </si>
  <si>
    <t>&lt;link rel="stylesheet"href="PF.css"&gt;&lt;div class="heading"&gt;&lt;p class="alignleft"&gt;Mydriatic Spontaneity&lt;/p&gt;&lt;div style="clear: both;"&gt;&lt;/div&gt;&lt;/div&gt;&lt;div&gt;&lt;h5&gt;&lt;b&gt;School &lt;/b&gt;evocation [darkness, light]; &lt;b&gt;Level &lt;/b&gt;bard 3, mesmerist 3, psychic 3,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concealment.&lt;/p&gt;&lt;/h4&gt;&lt;/div&gt;</t>
  </si>
  <si>
    <t>Mydriatic Spontaneity, Mass</t>
  </si>
  <si>
    <t>bard 5, mesmerist 5, psychic 6, sorcerer/wizard 7, witch 7</t>
  </si>
  <si>
    <t>This spell functions as mydriatic spontaneity, except it can affect multiple creatures.</t>
  </si>
  <si>
    <t>&lt;p&gt;This spell functions as &lt;i&gt;mydriatic spontaneity&lt;/i&gt;, except it can affect multiple creatures.&lt;/p&gt;</t>
  </si>
  <si>
    <t>&lt;link rel="stylesheet"href="PF.css"&gt;&lt;div class="heading"&gt;&lt;p class="alignleft"&gt;Mydriatic Spontaneity, Mass&lt;/p&gt;&lt;div style="clear: both;"&gt;&lt;/div&gt;&lt;/div&gt;&lt;div&gt;&lt;h5&gt;&lt;b&gt;School &lt;/b&gt;evocation [darkness, light]; &lt;b&gt;Level &lt;/b&gt;bard 5, mesmerist 5, psychic 6, sorcerer/wizard 7, witch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living creatures,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&lt;i&gt;mydriatic spontaneity&lt;/i&gt;, except it can affect multiple creatures.&lt;/p&gt;&lt;/h4&gt;&lt;/div&gt;</t>
  </si>
  <si>
    <t>Penumbral Disguise</t>
  </si>
  <si>
    <t>alchemist 3, bard 3, inquisitor 3, mesmerist 3, occultist 3, sorcerer/wizard 3, witch 3</t>
  </si>
  <si>
    <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t>
  </si>
  <si>
    <t>&lt;p&gt;You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revealed.&lt;/p&gt;</t>
  </si>
  <si>
    <t>&lt;link rel="stylesheet"href="PF.css"&gt;&lt;div class="heading"&gt;&lt;p class="alignleft"&gt;Penumbral Disguise&lt;/p&gt;&lt;div style="clear: both;"&gt;&lt;/div&gt;&lt;/div&gt;&lt;div&gt;&lt;h5&gt;&lt;b&gt;School &lt;/b&gt;conjuration [shadow&lt;sup&gt;UM&lt;/sup&gt;]; &lt;b&gt;Level &lt;/b&gt;alchemist 3, bard 3, inquisitor 3, mesmerist 3, occultist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&lt;/b&gt;none; &lt;b&gt;Spell Resistance &lt;/b&gt;no&lt;/h5&gt;&lt;/div&gt;&lt;hr/&gt;&lt;div&gt;&lt;h5&gt;&lt;b&gt;DESCRIPTION&lt;/b&gt;&lt;/h5&gt;&lt;/div&gt;&lt;hr/&gt;&lt;div&gt;&lt;h4&gt;&lt;p&gt;You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revealed.&lt;/p&gt;&lt;/h4&gt;&lt;/div&gt;</t>
  </si>
  <si>
    <t>Shield Of Darkness</t>
  </si>
  <si>
    <t>antipaladin 3, cleric/oracle 3, inquisitor 3, shaman 3, spiritualist 3</t>
  </si>
  <si>
    <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Shield of darkness does not hinder your vision, and creatures that can see in magical darkness ignore this effect.</t>
  </si>
  <si>
    <t>&lt;p&gt;You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&lt;i&gt;Shield of darkness&lt;/i&gt; does not hinder your vision, and creatures that can see in magical darkness ignore this effect.&lt;/p&gt;</t>
  </si>
  <si>
    <t>&lt;link rel="stylesheet"href="PF.css"&gt;&lt;div class="heading"&gt;&lt;p class="alignleft"&gt;Shield Of Darkness&lt;/p&gt;&lt;div style="clear: both;"&gt;&lt;/div&gt;&lt;/div&gt;&lt;div&gt;&lt;h5&gt;&lt;b&gt;School &lt;/b&gt;evocation [darkness, shadow&lt;sup&gt;UM&lt;/sup&gt;]; &lt;b&gt;Level &lt;/b&gt;antipaladin 3, cleric/oracle 3, inquisitor 3, shaman 3, spiritualist 3&lt;/h5&gt;&lt;/div&gt;&lt;hr/&gt;&lt;div&gt;&lt;h5&gt;&lt;b&gt;CASTING&lt;/b&gt;&lt;/h5&gt;&lt;/div&gt;&lt;hr/&gt;&lt;div&gt;&lt;h5&gt;&lt;b&gt;Casting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(D)&lt;/h5&gt;&lt;h5&gt;&lt;b&gt;Saving Throw &lt;/b&gt;none; &lt;b&gt;Spell Resistance &lt;/b&gt;no&lt;/h5&gt;&lt;/div&gt;&lt;hr/&gt;&lt;div&gt;&lt;h5&gt;&lt;b&gt;DESCRIPTION&lt;/b&gt;&lt;/h5&gt;&lt;/div&gt;&lt;hr/&gt;&lt;div&gt;&lt;h4&gt;&lt;p&gt;You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&lt;i&gt;Shield of darkness&lt;/i&gt; does not hinder your vision, and creatures that can see in magical darkness ignore this effect.&lt;/p&gt;&lt;/h4&gt;&lt;/div&gt;</t>
  </si>
  <si>
    <t>Spotlight</t>
  </si>
  <si>
    <t>bard 3, cleric/oracle 3, druid 3, inquisitor 3, magus 3, occultist 3, paladin 3, shaman 3, sorcerer/wizard 3, witch 3</t>
  </si>
  <si>
    <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faerie fire.  If the target succeeds at its Reflex save, the spotlight is created in the target's square but does not move with the target, and it hinders the Stealth checks only of creatures within that square.</t>
  </si>
  <si>
    <t>&lt;p&gt;You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&lt;i&gt;faerie fire&lt;/i&gt;.  If the target succeeds at its Reflex save, the spotlight is created in the target's square but does not move with the target, and it hinders the Stealth checks only of creatures within that square.&lt;/p&gt;</t>
  </si>
  <si>
    <t>&lt;link rel="stylesheet"href="PF.css"&gt;&lt;div class="heading"&gt;&lt;p class="alignleft"&gt;Spotlight&lt;/p&gt;&lt;div style="clear: both;"&gt;&lt;/div&gt;&lt;/div&gt;&lt;div&gt;&lt;h5&gt;&lt;b&gt;School &lt;/b&gt;evocation [darkness, light]; &lt;b&gt;Level &lt;/b&gt;bard 3, cleric/oracle 3, druid 3, inquisitor 3, magus 3, occultist 3, paladin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creature&lt;/h5&gt;&lt;h5&gt;&lt;b&gt;Duration &lt;/b&gt;1 minute/level (D)&lt;/h5&gt;&lt;h5&gt;&lt;b&gt;Saving Throw &lt;/b&gt;Reflex partial; &lt;b&gt;Spell Resistance &lt;/b&gt;yes&lt;/h5&gt;&lt;/div&gt;&lt;hr/&gt;&lt;div&gt;&lt;h5&gt;&lt;b&gt;DESCRIPTION&lt;/b&gt;&lt;/h5&gt;&lt;/div&gt;&lt;hr/&gt;&lt;div&gt;&lt;h4&gt;&lt;p&gt;You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&lt;i&gt;faerie fire&lt;/i&gt;.  If the target succeeds at its Reflex save, the spotlight is created in the target's square but does not move with the target, and it hinders the Stealth checks only of creatures within that square.&lt;/p&gt;&lt;/h4&gt;&lt;/div&gt;</t>
  </si>
  <si>
    <t>Touch Of Blindness</t>
  </si>
  <si>
    <t>antipaladin 1, bard 1, cleric/oracle 1, sorcerer/wizard 1, shaman 1, witch 1</t>
  </si>
  <si>
    <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t>
  </si>
  <si>
    <t>&lt;p&gt;A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lost.&lt;/p&gt;</t>
  </si>
  <si>
    <t>&lt;link rel="stylesheet"href="PF.css"&gt;&lt;div class="heading"&gt;&lt;p class="alignleft"&gt;Touch Of Blindness&lt;/p&gt;&lt;div style="clear: both;"&gt;&lt;/div&gt;&lt;/div&gt;&lt;div&gt;&lt;h5&gt;&lt;b&gt;School &lt;/b&gt;necromancy [darkness, shadow&lt;sup&gt;UM&lt;/sup&gt;]; &lt;b&gt;Level &lt;/b&gt;antipaladin 1, bard 1, cleric/oracle 1, sorcerer/wizard 1, shaman 1, witch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or creatures touched (up to one/level)&lt;/h5&gt;&lt;h5&gt;&lt;b&gt;Duration &lt;/b&gt;1 round/level (see text)&lt;/h5&gt;&lt;h5&gt;&lt;b&gt;Saving Throw &lt;/b&gt;Fortitude negates; &lt;b&gt;Spell Resistance &lt;/b&gt;Yes&lt;/h5&gt;&lt;/div&gt;&lt;hr/&gt;&lt;div&gt;&lt;h5&gt;&lt;b&gt;DESCRIPTION&lt;/b&gt;&lt;/h5&gt;&lt;/div&gt;&lt;hr/&gt;&lt;div&gt;&lt;h4&gt;&lt;p&gt;A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lost.&lt;/p&gt;&lt;/h4&gt;&lt;/div&gt;</t>
  </si>
  <si>
    <t>Wall Of Split Illumination</t>
  </si>
  <si>
    <t>bard 3, cleric/oracle 3, sorcerer/wizard 3, inquisitor 3, magus 3, occultist 3, shaman 3</t>
  </si>
  <si>
    <t>10-ft.-high vertical sheet of illumination up to 5 ft. long/level</t>
  </si>
  <si>
    <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t>
  </si>
  <si>
    <t>&lt;p&gt;An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on.&lt;/p&gt;</t>
  </si>
  <si>
    <t>&lt;link rel="stylesheet"href="PF.css"&gt;&lt;div class="heading"&gt;&lt;p class="alignleft"&gt;Wall Of Split Illumination&lt;/p&gt;&lt;div style="clear: both;"&gt;&lt;/div&gt;&lt;/div&gt;&lt;div&gt;&lt;h5&gt;&lt;b&gt;School &lt;/b&gt;evocation [darkness, light]; &lt;b&gt;Level &lt;/b&gt;bard 3, cleric/oracle 3, sorcerer/wizard 3, inquisitor 3, magus 3, occultist 3, shaman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&lt;/b&gt;10-ft.-high vertical sheet of illumination up to 5 ft. long/level&lt;/h5&gt;&lt;h5&gt;&lt;b&gt;Duration &lt;/b&gt;1 minute/level (D)&lt;/h5&gt;&lt;h5&gt;&lt;b&gt;Saving Throw &lt;/b&gt;none; &lt;b&gt;Spell Resistance &lt;/b&gt;no&lt;/h5&gt;&lt;/div&gt;&lt;hr/&gt;&lt;div&gt;&lt;h5&gt;&lt;b&gt;DESCRIPTION&lt;/b&gt;&lt;/h5&gt;&lt;/div&gt;&lt;hr/&gt;&lt;div&gt;&lt;h4&gt;&lt;p&gt;An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on.&lt;/p&gt;&lt;/h4&gt;&lt;/div&gt;</t>
  </si>
  <si>
    <t>Baleful Shadow Transmutation</t>
  </si>
  <si>
    <t>alchemist 6, bard 6, druid 7, medium 6, shaman 6, sorcerer/wizard 6, spiritualist 6, summoner 6, witch 6</t>
  </si>
  <si>
    <t>Will disbelief, then Fortitude negates</t>
  </si>
  <si>
    <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baleful shadow transmutation.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polymorph. This is a polymorph effect. Successfully disbelieving the spell returns the subject to its true form. If the subject fails its Fortitude save against the effects of baleful shadow transmutation, any further polymorph effects cast on the target automatically fail.  Incorporeal or gaseous creatures are immune to baleful shadow transmutation, and a creature with the shapechanger subtype can revert to its natural form as a standard action.</t>
  </si>
  <si>
    <t>&lt;p&gt;You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&lt;i&gt;baleful shadow transmutation&lt;/i&gt;.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&lt;i&gt;polymorph&lt;/i&gt;. This is a &lt;i&gt;polymorph&lt;/i&gt; effect. Successfully disbelieving the spell returns the subject to its true form. If the subject fails its Fortitude save against the effects of &lt;i&gt;baleful shadow transmutation&lt;/i&gt;, any further &lt;i&gt;polymorph&lt;/i&gt; effects cast on the target automatically fail.  Incorporeal or gaseous creatures are immune to &lt;i&gt;baleful shadow transmutation&lt;/i&gt;, and a creature with the shapechanger subtype can revert to its natural form as a standard action.&lt;/p&gt;</t>
  </si>
  <si>
    <t>&lt;link rel="stylesheet"href="PF.css"&gt;&lt;div class="heading"&gt;&lt;p class="alignleft"&gt;Baleful Shadow Transmutation&lt;/p&gt;&lt;div style="clear: both;"&gt;&lt;/div&gt;&lt;/div&gt;&lt;div&gt;&lt;h5&gt;&lt;b&gt;School &lt;/b&gt;illusion (shadow) [shadow&lt;sup&gt;UM&lt;/sup&gt;]; &lt;b&gt;Level &lt;/b&gt;alchemist 6, bard 6, druid 7, medium 6, shaman 6, sorcerer/wizard 6, spiritualist 6, summoner 6, witch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disbelief, then Fortitude negates; &lt;b&gt;Spell Resistance &lt;/b&gt;yes&lt;/h5&gt;&lt;/div&gt;&lt;hr/&gt;&lt;div&gt;&lt;h5&gt;&lt;b&gt;DESCRIPTION&lt;/b&gt;&lt;/h5&gt;&lt;/div&gt;&lt;hr/&gt;&lt;div&gt;&lt;h4&gt;&lt;p&gt;You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&lt;i&gt;baleful shadow transmutation&lt;/i&gt;.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&lt;i&gt;polymorph&lt;/i&gt;. This is a &lt;i&gt;polymorph&lt;/i&gt; effect. Successfully disbelieving the spell returns the subject to its true form. If the subject fails its Fortitude save against the effects of &lt;i&gt;baleful shadow transmutation&lt;/i&gt;, any further &lt;i&gt;polymorph&lt;/i&gt; effects cast on the target automatically fail.  Incorporeal or gaseous creatures are immune to &lt;i&gt;baleful shadow transmutation&lt;/i&gt;, and a creature with the shapechanger subtype can revert to its natural form as a standard action.&lt;/p&gt;&lt;/h4&gt;&lt;/div&gt;</t>
  </si>
  <si>
    <t>Masochistic Shadow</t>
  </si>
  <si>
    <t>evil, shadowUM</t>
  </si>
  <si>
    <t>antipaladin 4, bloodrager 4, magus 4, occultist 4, shaman 4, sorcerer/wizard 4, witch 4</t>
  </si>
  <si>
    <t>Will negates, then Reflex partial; see text</t>
  </si>
  <si>
    <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t>
  </si>
  <si>
    <t>&lt;p&gt;You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spell.&lt;/p&gt;</t>
  </si>
  <si>
    <t>&lt;link rel="stylesheet"href="PF.css"&gt;&lt;div class="heading"&gt;&lt;p class="alignleft"&gt;Masochistic Shadow&lt;/p&gt;&lt;div style="clear: both;"&gt;&lt;/div&gt;&lt;/div&gt;&lt;div&gt;&lt;h5&gt;&lt;b&gt;School &lt;/b&gt;necromancy [evil, shadow&lt;sup&gt;UM&lt;/sup&gt;]; &lt;b&gt;Level &lt;/b&gt;antipaladin 4, bloodrager 4, magus 4, occultist 4,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 (D)&lt;/h5&gt;&lt;h5&gt;&lt;b&gt;Saving Throw &lt;/b&gt;Will negates, then Reflex partial; see text; &lt;b&gt;Spell Resistance &lt;/b&gt;yes&lt;/h5&gt;&lt;/div&gt;&lt;hr/&gt;&lt;div&gt;&lt;h5&gt;&lt;b&gt;DESCRIPTION&lt;/b&gt;&lt;/h5&gt;&lt;/div&gt;&lt;hr/&gt;&lt;div&gt;&lt;h4&gt;&lt;p&gt;You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spell.&lt;/p&gt;&lt;/h4&gt;&lt;/div&gt;</t>
  </si>
  <si>
    <t>Shadow Transmutation</t>
  </si>
  <si>
    <t>bard 6, medium 6, shaman 6, sorcerer/wizard 6, spiritualist 6, summoner 6, witch 6</t>
  </si>
  <si>
    <t>You suffuse one subject's body with energy from the Shadow Plane, altering its form to match a creature from the Shadow Plane. Shadow transmutation can mimic any of the following spells: animal growth, anthropomorphic animalUM, enlarge person, fins to feetARG, longarmACG, polymorph, reduce person, and stone fist. If using shadow transmutation as polymorph,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shadow transmutation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shadow transmutation as transparent images superimposed over the target.</t>
  </si>
  <si>
    <t>&lt;p&gt;You suffuse one subject's body with energy from the Shadow Plane, altering its form to match a creature from the Shadow Plane. Shadow transmutation can mimic any of the following spells: &lt;i&gt;animal growth&lt;/i&gt;, &lt;i&gt;anthropomorphic&lt;/i&gt; animalUM, &lt;i&gt;enlarge person&lt;/i&gt;, &lt;i&gt;fins to&lt;/i&gt; feetARG, longarmACG, &lt;i&gt;polymorph&lt;/i&gt;, &lt;i&gt;reduce person&lt;/i&gt;, and &lt;i&gt;stone fist&lt;/i&gt;. If using &lt;i&gt;shadow transmutation&lt;/i&gt; as &lt;i&gt;polymorph&lt;/i&gt;,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&lt;i&gt;shadow transmutation&lt;/i&gt;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&lt;i&gt;shadow transmutation&lt;/i&gt; as transparent images superimposed over the target.&lt;/p&gt;</t>
  </si>
  <si>
    <t>&lt;link rel="stylesheet"href="PF.css"&gt;&lt;div class="heading"&gt;&lt;p class="alignleft"&gt;Shadow Transmutation&lt;/p&gt;&lt;div style="clear: both;"&gt;&lt;/div&gt;&lt;/div&gt;&lt;div&gt;&lt;h5&gt;&lt;b&gt;School &lt;/b&gt;illusion (shadow) [shadow&lt;sup&gt;UM&lt;/sup&gt;]; &lt;b&gt;Level &lt;/b&gt;bard 6, medium 6, shaman 6, sorcerer/wizard 6, spiritualist 6, summoner 6, witch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&lt;/b&gt;see text&lt;/h5&gt;&lt;h5&gt;&lt;b&gt;Saving Throw &lt;/b&gt;Will disbelief (if interacted with); varies; see text; &lt;b&gt;Spell Resistance &lt;/b&gt;yes; see text&lt;/h5&gt;&lt;/div&gt;&lt;hr/&gt;&lt;div&gt;&lt;h5&gt;&lt;b&gt;DESCRIPTION&lt;/b&gt;&lt;/h5&gt;&lt;/div&gt;&lt;hr/&gt;&lt;div&gt;&lt;h4&gt;&lt;p&gt;You suffuse one subject's body with energy from the Shadow Plane, altering its form to match a creature from the Shadow Plane. Shadow transmutation can mimic any of the following spells: &lt;i&gt;animal growth&lt;/i&gt;, &lt;i&gt;anthropomorphic&lt;/i&gt; animalUM, &lt;i&gt;enlarge person&lt;/i&gt;, &lt;i&gt;fins to&lt;/i&gt; feetARG, longarmACG, &lt;i&gt;polymorph&lt;/i&gt;, &lt;i&gt;reduce person&lt;/i&gt;, and &lt;i&gt;stone fist&lt;/i&gt;. If using &lt;i&gt;shadow transmutation&lt;/i&gt; as &lt;i&gt;polymorph&lt;/i&gt;,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&lt;i&gt;shadow transmutation&lt;/i&gt;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&lt;i&gt;shadow transmutation&lt;/i&gt; as transparent images superimposed over the target.&lt;/p&gt;&lt;/h4&gt;&lt;/div&gt;</t>
  </si>
  <si>
    <t>Shadow Transmutation, Greater</t>
  </si>
  <si>
    <t>shaman 9, sorcerer/wizard 9, witch 9</t>
  </si>
  <si>
    <t>This spell functions like shadow transmutation, except it can mimic greater polymorph instead of polymorph. The illusory attacks and special abilities of any shape assumed using greater shadow transmutation deal three-fifths (60%) damage to nonbelievers, and nondamaging effects are 60% likely to work against nonbelievers.</t>
  </si>
  <si>
    <t>&lt;p&gt;This spell functions like &lt;i&gt;shadow transmutation&lt;/i&gt;, except it can mimic &lt;i&gt;greater &lt;i&gt;polymorph&lt;/i&gt;&lt;/i&gt; instead of &lt;i&gt;polymorph&lt;/i&gt;. The illusory attacks and special abilities of any shape assumed using greater &lt;i&gt;shadow transmutation&lt;/i&gt; deal three-fifths (60%) damage to nonbelievers, and nondamaging effects are 60% likely to work against nonbelievers.&lt;/p&gt;</t>
  </si>
  <si>
    <t>&lt;link rel="stylesheet"href="PF.css"&gt;&lt;div class="heading"&gt;&lt;p class="alignleft"&gt;Shadow Transmutation, Greater&lt;/p&gt;&lt;div style="clear: both;"&gt;&lt;/div&gt;&lt;/div&gt;&lt;div&gt;&lt;h5&gt;&lt;b&gt;School &lt;/b&gt;illusion (shadow) [shadow&lt;sup&gt;UM&lt;/sup&gt;]; &lt;b&gt;Level &lt;/b&gt;shaman 9, sorcerer/wizard 9, witch 9&lt;/h5&gt;&lt;/div&gt;&lt;hr/&gt;&lt;div&gt;&lt;h5&gt;&lt;b&gt;CASTING&lt;/b&gt;&lt;/h5&gt;&lt;/div&gt;&lt;hr/&gt;&lt;div&gt;&lt;h5&gt;&lt;b&gt;Casting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transmutation&lt;/i&gt;, except it can mimic &lt;i&gt;greater &lt;i&gt;polymorph&lt;/i&gt;&lt;/i&gt; instead of &lt;i&gt;polymorph&lt;/i&gt;. The illusory attacks and special abilities of any shape assumed using greater &lt;i&gt;shadow transmutation&lt;/i&gt; deal three-fifths (60%) damage to nonbelievers, and nondamaging effects are 60% likely to work against nonbelievers.&lt;/p&gt;&lt;/h4&gt;&lt;/div&gt;</t>
  </si>
  <si>
    <t>Shadow Trap</t>
  </si>
  <si>
    <t>antipaladin 1, bard 1, bloodrager 1, cleric/oracle 1, mesmerist 1, occultist 1, psychic 1, shaman 1, sorcerer/wizard 1, witch 1</t>
  </si>
  <si>
    <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t>
  </si>
  <si>
    <t>&lt;p&gt;You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illumination.&lt;/p&gt;</t>
  </si>
  <si>
    <t>&lt;link rel="stylesheet"href="PF.css"&gt;&lt;div class="heading"&gt;&lt;p class="alignleft"&gt;Shadow Trap&lt;/p&gt;&lt;div style="clear: both;"&gt;&lt;/div&gt;&lt;/div&gt;&lt;div&gt;&lt;h5&gt;&lt;b&gt;School &lt;/b&gt;illusion (shadow); &lt;b&gt;Level &lt;/b&gt;antipaladin 1, bard 1, bloodrager 1, cleric/oracle 1, mesmerist 1, occultist 1, psychic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 (D)&lt;/h5&gt;&lt;h5&gt;&lt;b&gt;Saving Throw &lt;/b&gt;Will negates; &lt;b&gt;Spell Resistance &lt;/b&gt;yes&lt;/h5&gt;&lt;/div&gt;&lt;hr/&gt;&lt;div&gt;&lt;h5&gt;&lt;b&gt;DESCRIPTION&lt;/b&gt;&lt;/h5&gt;&lt;/div&gt;&lt;hr/&gt;&lt;div&gt;&lt;h4&gt;&lt;p&gt;You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illumination.&lt;/p&gt;&lt;/h4&gt;&lt;/div&gt;</t>
  </si>
  <si>
    <t>Shadowform</t>
  </si>
  <si>
    <t>antipaladin 4, bard 4, mesmerist 4, psychic 4, sorcerer/wizard 4, spiritualist 4, witch 4</t>
  </si>
  <si>
    <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shadowform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t>
  </si>
  <si>
    <t>&lt;p&gt;You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&lt;i&gt;shadowform&lt;/i&gt;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spell.&lt;/p&gt;</t>
  </si>
  <si>
    <t>&lt;link rel="stylesheet"href="PF.css"&gt;&lt;div class="heading"&gt;&lt;p class="alignleft"&gt;Shadowform&lt;/p&gt;&lt;div style="clear: both;"&gt;&lt;/div&gt;&lt;/div&gt;&lt;div&gt;&lt;h5&gt;&lt;b&gt;School &lt;/b&gt;illusion (shadow) [shadow&lt;sup&gt;UM&lt;/sup&gt;]; &lt;b&gt;Level &lt;/b&gt;antipaladin 4, bard 4, mesmerist 4, psychic 4, sorcerer/wizard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&lt;/b&gt;Will negates (see text); &lt;b&gt;Spell Resistance &lt;/b&gt;yes&lt;/h5&gt;&lt;/div&gt;&lt;hr/&gt;&lt;div&gt;&lt;h5&gt;&lt;b&gt;DESCRIPTION&lt;/b&gt;&lt;/h5&gt;&lt;/div&gt;&lt;hr/&gt;&lt;div&gt;&lt;h4&gt;&lt;p&gt;You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&lt;i&gt;shadowform&lt;/i&gt;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spell.&lt;/p&gt;&lt;/h4&gt;&lt;/div&gt;</t>
  </si>
  <si>
    <t>Umbral Infusion</t>
  </si>
  <si>
    <t>alchemist 4, antipaladin 4, cleric/oracle 4, occultist 4, psychic 4, shaman 4, sorcerer/wizard 4, witch 4</t>
  </si>
  <si>
    <t>one mindless undead creature</t>
  </si>
  <si>
    <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t>
  </si>
  <si>
    <t>&lt;p&gt;You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template.&lt;/p&gt;</t>
  </si>
  <si>
    <t>&lt;link rel="stylesheet"href="PF.css"&gt;&lt;div class="heading"&gt;&lt;p class="alignleft"&gt;Umbral Infusion&lt;/p&gt;&lt;div style="clear: both;"&gt;&lt;/div&gt;&lt;/div&gt;&lt;div&gt;&lt;h5&gt;&lt;b&gt;School &lt;/b&gt;necromancy [shadow&lt;sup&gt;UM&lt;/sup&gt;]; &lt;b&gt;Level &lt;/b&gt;alchemist 4, antipaladin 4, cleric/oracle 4, occultist 4, psychic 4,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mindless undead creature&lt;/h5&gt;&lt;h5&gt;&lt;b&gt;Duration &lt;/b&gt;1 minute/level&lt;/h5&gt;&lt;h5&gt;&lt;b&gt;Saving Throw &lt;/b&gt;Will negates; &lt;b&gt;Spell Resistance &lt;/b&gt;yes&lt;/h5&gt;&lt;/div&gt;&lt;hr/&gt;&lt;div&gt;&lt;h5&gt;&lt;b&gt;DESCRIPTION&lt;/b&gt;&lt;/h5&gt;&lt;/div&gt;&lt;hr/&gt;&lt;div&gt;&lt;h4&gt;&lt;p&gt;You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template.&lt;/p&gt;&lt;/h4&gt;&lt;/div&gt;</t>
  </si>
  <si>
    <t>Umbral Infusion, Mass</t>
  </si>
  <si>
    <t>one mindless undead creature/level, no two of which can be more than 30 ft. apart</t>
  </si>
  <si>
    <t>This spell functions as umbral infusion, except it can affect multiple mindless undead creatures.</t>
  </si>
  <si>
    <t>&lt;p&gt;This spell functions as &lt;i&gt;umbral infusion&lt;/i&gt;, except it can affect multiple mindless undead creatures.&lt;/p&gt;</t>
  </si>
  <si>
    <t>&lt;link rel="stylesheet"href="PF.css"&gt;&lt;div class="heading"&gt;&lt;p class="alignleft"&gt;Umbral Infusion, Mass&lt;/p&gt;&lt;div style="clear: both;"&gt;&lt;/div&gt;&lt;/div&gt;&lt;div&gt;&lt;h5&gt;&lt;b&gt;School &lt;/b&gt;necromancy [shadow&lt;sup&gt;UM&lt;/sup&gt;];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mindless undead creature/level, no two of which can be more than 30 ft. apart&lt;/h5&gt;&lt;h5&gt;&lt;b&gt;Duration &lt;/b&gt;1 minute/level&lt;/h5&gt;&lt;h5&gt;&lt;b&gt;Saving Throw &lt;/b&gt;Will negates; &lt;b&gt;Spell Resistance &lt;/b&gt;yes&lt;/h5&gt;&lt;/div&gt;&lt;hr/&gt;&lt;div&gt;&lt;h5&gt;&lt;b&gt;DESCRIPTION&lt;/b&gt;&lt;/h5&gt;&lt;/div&gt;&lt;hr/&gt;&lt;div&gt;&lt;h4&gt;&lt;p&gt;This spell functions as &lt;i&gt;umbral infusion&lt;/i&gt;, except it can affect multiple mindless undead creatures.&lt;/p&gt;&lt;/h4&gt;&lt;/div&gt;</t>
  </si>
  <si>
    <t>Absolution</t>
  </si>
  <si>
    <t>V, S, M (a vial of holy water), DF</t>
  </si>
  <si>
    <t>You purge impure thoughts from the target's mind and fill him with exultant relief at the forgiveness of his sins. Absolution ends all charm or compulsion effects affecting the target (including harmless compulsions, such as heroism) as per break enchantment. If the target was forced to perform any actions contrary to his alignment, monk vows, paladin oath, or similar code of conduct by that charm or compulsion effect, that action doesn't cause him to lose access to class abilities, including divine spellcasting.  Unlike an atonement spell, absolution can't reverse alignment change or the effects of willing transgressions, induce a creature to change its alignment, or restore class abilities lost because of misdeeds performed in the past. Absolution automatically works if the caster and the target share the same alignment or the same patron deity. If they don't, but their alignments are within one step of each other, absolution has a 5% chance of success per caster level. If neither of these is true, the spell automatically fails.  If using the honor subsystem (Pathfinder RPG Ultimate Campaign 160), casting absolution also eliminates the honor loss for events and actions committed by the target while he was affected by a charm or compulsion effect that the spell ended.</t>
  </si>
  <si>
    <t>&lt;p&gt;You purge impure thoughts from the target's mind and fill him with exultant relief at the forgiveness of his sins. &lt;i&gt;Absolution&lt;/i&gt; ends all charm or compulsion effects affecting the target (including harmless compulsions, such as heroism) as per &lt;i&gt;break enchantment&lt;/i&gt;. If the target was forced to perform any actions contrary to his alignment, monk vows, paladin oath, or similar code of conduct by that charm or compulsion effect, that action doesn't cause him to lose access to class abilities, including divine spellcasting.  Unlike an &lt;i&gt;atonement&lt;/i&gt; spell, &lt;i&gt;absolution&lt;/i&gt; can't reverse alignment change or the effects of willing transgressions, induce a creature to change its alignment, or restore class abilities lost because of misdeeds performed in the past. &lt;i&gt;Absolution&lt;/i&gt; automatically works if the caster and the target share the same alignment or the same patron deity. If they don't, but their alignments are within one step of each other, &lt;i&gt;absolution&lt;/i&gt; has a 5% chance of success per caster level. If neither of these is true, the spell automatically fails.  If using the honor subsystem (&lt;i&gt;Pathfinder RPG Ultimate Campaign&lt;/i&gt; 160), casting &lt;i&gt;absolution&lt;/i&gt; also eliminates the honor loss for events and actions committed by the target while he was affected by a charm or compulsion effect that the spell ended.&lt;/p&gt;</t>
  </si>
  <si>
    <t>Ultimate Intrigue</t>
  </si>
  <si>
    <t>&lt;link rel="stylesheet"href="PF.css"&gt;&lt;div class="heading"&gt;&lt;p class="alignleft"&gt;Absolution&lt;/p&gt;&lt;div style="clear: both;"&gt;&lt;/div&gt;&lt;/div&gt;&lt;div&gt;&lt;h5&gt;&lt;b&gt;School &lt;/b&gt;abjuration; &lt;b&gt;Level &lt;/b&gt;cleric/oracle 4, paladin 4&lt;/h5&gt;&lt;/div&gt;&lt;hr/&gt;&lt;div&gt;&lt;h5&gt;&lt;b&gt;CASTING&lt;/b&gt;&lt;/h5&gt;&lt;/div&gt;&lt;hr/&gt;&lt;div&gt;&lt;h5&gt;&lt;b&gt;Casting Time &lt;/b&gt;1 round&lt;/h5&gt;&lt;h5&gt;&lt;b&gt;Components &lt;/b&gt;V, S, M (a vial of holy water), DF&lt;/h5&gt;&lt;/div&gt;&lt;hr/&gt;&lt;div&gt;&lt;h5&gt;&lt;b&gt;EFFECT&lt;/b&gt;&lt;/h5&gt;&lt;/div&gt;&lt;hr/&gt;&lt;div&gt;&lt;h5&gt;&lt;b&gt;Range &lt;/b&gt;touch&lt;/h5&gt;&lt;h5&gt;&lt;b&gt;Targets &lt;/b&gt;living creature touched&lt;/h5&gt;&lt;h5&gt;&lt;b&gt;Duration &lt;/b&gt;instantaneous&lt;/h5&gt;&lt;h5&gt;&lt;b&gt;Saving Throw &lt;/b&gt;none; &lt;b&gt;Spell Resistance &lt;/b&gt;no&lt;/h5&gt;&lt;/div&gt;&lt;hr/&gt;&lt;div&gt;&lt;h5&gt;&lt;b&gt;DESCRIPTION&lt;/b&gt;&lt;/h5&gt;&lt;/div&gt;&lt;hr/&gt;&lt;div&gt;&lt;h4&gt;&lt;p&gt;You purge impure thoughts from the target's mind and fill him with exultant relief at the forgiveness of his sins. &lt;i&gt;Absolution&lt;/i&gt; ends all charm or compulsion effects affecting the target (including harmless compulsions, such as heroism) as per &lt;i&gt;break enchantment&lt;/i&gt;. If the target was forced to perform any actions contrary to his alignment, monk vows, paladin oath, or similar code of conduct by that charm or compulsion effect, that action doesn't cause him to lose access to class abilities, including divine spellcasting.  Unlike an &lt;i&gt;atonement&lt;/i&gt; spell, &lt;i&gt;absolution&lt;/i&gt; can't reverse alignment change or the effects of willing transgressions, induce a creature to change its alignment, or restore class abilities lost because of misdeeds performed in the past. &lt;i&gt;Absolution&lt;/i&gt; automatically works if the caster and the target share the same alignment or the same patron deity. If they don't, but their alignments are within one step of each other, &lt;i&gt;absolution&lt;/i&gt; has a 5% chance of success per caster level. If neither of these is true, the spell automatically fails.  If using the honor subsystem (&lt;i&gt;Pathfinder RPG Ultimate Campaign&lt;/i&gt; 160), casting &lt;i&gt;absolution&lt;/i&gt; also eliminates the honor loss for events and actions committed by the target while he was affected by a charm or compulsion effect that the spell ended.&lt;/p&gt;&lt;/h4&gt;&lt;/div&gt;</t>
  </si>
  <si>
    <t>Removes enchantments and forgives actions taken under their effects.</t>
  </si>
  <si>
    <t>Aerial Tracks</t>
  </si>
  <si>
    <t>druid 4, inquisitor 4, ranger 3, shaman 4</t>
  </si>
  <si>
    <t>circle centered on you, with a radius of 100 feet + 10 feet per level</t>
  </si>
  <si>
    <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t>
  </si>
  <si>
    <t>&lt;p&gt;You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ground.&lt;/p&gt;</t>
  </si>
  <si>
    <t>&lt;link rel="stylesheet"href="PF.css"&gt;&lt;div class="heading"&gt;&lt;p class="alignleft"&gt;Aerial Tracks&lt;/p&gt;&lt;div style="clear: both;"&gt;&lt;/div&gt;&lt;/div&gt;&lt;div&gt;&lt;h5&gt;&lt;b&gt;School &lt;/b&gt;divination [air]; &lt;b&gt;Level &lt;/b&gt;druid 4, inquisitor 4, ranger 3, shaman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&lt;/b&gt;circle centered on you, with a radius of 100 feet + 10 feet per level&lt;/h5&gt;&lt;h5&gt;&lt;b&gt;Duration &lt;/b&gt;1 hour/level&lt;/h5&gt;&lt;h5&gt;&lt;b&gt;Saving Throw &lt;/b&gt;none; &lt;b&gt;Spell Resistance &lt;/b&gt;no&lt;/h5&gt;&lt;/div&gt;&lt;hr/&gt;&lt;div&gt;&lt;h5&gt;&lt;b&gt;DESCRIPTION&lt;/b&gt;&lt;/h5&gt;&lt;/div&gt;&lt;hr/&gt;&lt;div&gt;&lt;h4&gt;&lt;p&gt;You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ground.&lt;/p&gt;&lt;/h4&gt;&lt;/div&gt;</t>
  </si>
  <si>
    <t>Track f lying creatures through the air.</t>
  </si>
  <si>
    <t>Animal Ambassador</t>
  </si>
  <si>
    <t>bard 4, druid 4, ranger 3, shaman 4</t>
  </si>
  <si>
    <t>one Medium or smaller animal</t>
  </si>
  <si>
    <t>1 day/level or until message is delivered</t>
  </si>
  <si>
    <t>You compel a single animal to travel to a spot you designate and deliver a message to a creature you identify. This spell is similar to animal messenger, but can affect larger animals. In addition, the target animal is temporarily awakened to sentience (as the awaken spell) for the duration of this spell, and it can use its increased mental acuity to come up with creative solutions to overcome obstacles to delivering its message. The awakened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animal ambassador can be a verbal message, which the awakened target animal can speak using its own voice or deliver using your voice. It can engage in conversation using its own intellect, knowledge, and linguistic abilities. The animal ambassador is loyal to you, but it is otherwise susceptible to mind-affecting effects like any other creature. You can also send your animal ambassador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animal ambassador spell fails and the animal becomes hostile toward you. The animal ambassador intelligently but single-mindedly attempts to deliver the message to its intended target, and you can't task it with other tasks like fighting, scouting, searching for traps, and so on. It leaves on its delivery once it receives its message.  Once the animal ambassador has located its target and delivered its message (and object, if desired), its enhanced mental abilities fade within 2d6 minutes. The spell then ends, even if its duration hasn't elapsed.</t>
  </si>
  <si>
    <t>&lt;p&gt;You compel a single animal to travel to a spot you designate and deliver a message to a creature you identify. This spell is similar to &lt;i&gt;animal messenger&lt;/i&gt;, but can affect larger animals. In addition, the target animal is temporarily &lt;i&gt;awaken&lt;/i&gt;ed to sentience (as the &lt;i&gt;awaken&lt;/i&gt; spell) for the duration of this spell, and it can use its increased mental acuity to come up with creative solutions to overcome obstacles to delivering its message. The &lt;i&gt;awaken&lt;/i&gt;ed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&lt;i&gt;animal ambassador&lt;/i&gt; can be a verbal message, which the &lt;i&gt;awaken&lt;/i&gt;ed target animal can speak using its own voice or deliver using your voice. It can engage in conversation using its own intellect, knowledge, and linguistic abilities. The &lt;i&gt;animal ambassador&lt;/i&gt; is loyal to you, but it is otherwise susceptible to mind-affecting effects like any other creature. You can also send your &lt;i&gt;animal ambassador&lt;/i&gt;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&lt;i&gt;animal ambassador&lt;/i&gt; spell fails and the animal becomes hostile toward you. The &lt;i&gt;animal ambassador&lt;/i&gt; intelligently but single-mindedly attempts to deliver the message to its intended target, and you can't task it with other tasks like fighting, scouting, searching for traps, and so on. It leaves on its delivery once it receives its message.  Once the &lt;i&gt;animal ambassador&lt;/i&gt; has located its target and delivered its message (and object, if desired), its enhanced mental abilities fade within 2d6 minutes. The spell then ends, even if its duration hasn't elapsed.&lt;/p&gt;</t>
  </si>
  <si>
    <t>&lt;link rel="stylesheet"href="PF.css"&gt;&lt;div class="heading"&gt;&lt;p class="alignleft"&gt;Animal Ambassador&lt;/p&gt;&lt;div style="clear: both;"&gt;&lt;/div&gt;&lt;/div&gt;&lt;div&gt;&lt;h5&gt;&lt;b&gt;School &lt;/b&gt;enchantment (compulsion) [mind-affecting]; &lt;b&gt;Level &lt;/b&gt;bard 4, druid 4, ranger 3, shaman 4&lt;/h5&gt;&lt;/div&gt;&lt;hr/&gt;&lt;div&gt;&lt;h5&gt;&lt;b&gt;CASTING&lt;/b&gt;&lt;/h5&gt;&lt;/div&gt;&lt;hr/&gt;&lt;div&gt;&lt;h5&gt;&lt;b&gt;Casting Time &lt;/b&gt;10 minutes&lt;/h5&gt;&lt;h5&gt;&lt;b&gt;Components &lt;/b&gt;V, S, M (a morsel of food the animal likes)&lt;/h5&gt;&lt;/div&gt;&lt;hr/&gt;&lt;div&gt;&lt;h5&gt;&lt;b&gt;EFFECT&lt;/b&gt;&lt;/h5&gt;&lt;/div&gt;&lt;hr/&gt;&lt;div&gt;&lt;h5&gt;&lt;b&gt;Range &lt;/b&gt;close (25 ft. + 5 ft./2 levels)&lt;/h5&gt;&lt;h5&gt;&lt;b&gt;Targets &lt;/b&gt;one Medium or smaller animal&lt;/h5&gt;&lt;h5&gt;&lt;b&gt;Duration &lt;/b&gt;1 day/level or until message is delivered&lt;/h5&gt;&lt;h5&gt;&lt;b&gt;Saving Throw &lt;/b&gt;none (see text); &lt;b&gt;Spell Resistance &lt;/b&gt;no&lt;/h5&gt;&lt;/div&gt;&lt;hr/&gt;&lt;div&gt;&lt;h5&gt;&lt;b&gt;DESCRIPTION&lt;/b&gt;&lt;/h5&gt;&lt;/div&gt;&lt;hr/&gt;&lt;div&gt;&lt;h4&gt;&lt;p&gt;You compel a single animal to travel to a spot you designate and deliver a message to a creature you identify. This spell is similar to &lt;i&gt;animal messenger&lt;/i&gt;, but can affect larger animals. In addition, the target animal is temporarily &lt;i&gt;awaken&lt;/i&gt;ed to sentience (as the &lt;i&gt;awaken&lt;/i&gt; spell) for the duration of this spell, and it can use its increased mental acuity to come up with creative solutions to overcome obstacles to delivering its message. The &lt;i&gt;awaken&lt;/i&gt;ed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&lt;i&gt;animal ambassador&lt;/i&gt; can be a verbal message, which the &lt;i&gt;awaken&lt;/i&gt;ed target animal can speak using its own voice or deliver using your voice. It can engage in conversation using its own intellect, knowledge, and linguistic abilities. The &lt;i&gt;animal ambassador&lt;/i&gt; is loyal to you, but it is otherwise susceptible to mind-affecting effects like any other creature. You can also send your &lt;i&gt;animal ambassador&lt;/i&gt;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&lt;i&gt;animal ambassador&lt;/i&gt; spell fails and the animal becomes hostile toward you. The &lt;i&gt;animal ambassador&lt;/i&gt; intelligently but single-mindedly attempts to deliver the message to its intended target, and you can't task it with other tasks like fighting, scouting, searching for traps, and so on. It leaves on its delivery once it receives its message.  Once the &lt;i&gt;animal ambassador&lt;/i&gt; has located its target and delivered its message (and object, if desired), its enhanced mental abilities fade within 2d6 minutes. The spell then ends, even if its duration hasn't elapsed.&lt;/p&gt;&lt;/h4&gt;&lt;/div&gt;</t>
  </si>
  <si>
    <t>Grant an animal messenger sentience to deliver your message.</t>
  </si>
  <si>
    <t>Aphasia</t>
  </si>
  <si>
    <t>bard 1, mesmerist 1, psychic 1, sorcerer/wizard 1, witch 1</t>
  </si>
  <si>
    <t>close (25 ft.+ 5 ft./2 levels)</t>
  </si>
  <si>
    <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Tongues counters and dispels aphasia, and a creature with the tongues spell active is immune to aphasia. Oracles with the tongues curse ignore aphasia in combat.</t>
  </si>
  <si>
    <t>&lt;p&gt;You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&lt;i&gt;Tongues&lt;/i&gt; counters and dispels &lt;i&gt;aphasia&lt;/i&gt;, and a creature with the &lt;i&gt;tongues&lt;/i&gt; spell active is immune to &lt;i&gt;aphasia&lt;/i&gt;. Oracles with the &lt;i&gt;tongues&lt;/i&gt; curse ignore &lt;i&gt;aphasia&lt;/i&gt; in combat.&lt;/p&gt;</t>
  </si>
  <si>
    <t>&lt;link rel="stylesheet"href="PF.css"&gt;&lt;div class="heading"&gt;&lt;p class="alignleft"&gt;Aphasia&lt;/p&gt;&lt;div style="clear: both;"&gt;&lt;/div&gt;&lt;/div&gt;&lt;div&gt;&lt;h5&gt;&lt;b&gt;School &lt;/b&gt;enchantment (compulsion) [mind-affecting]; &lt;b&gt;Level &lt;/b&gt;bard 1, mesmerist 1, psychic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&lt;/b&gt;1 round/level&lt;/h5&gt;&lt;h5&gt;&lt;b&gt;Saving Throw &lt;/b&gt;Will negates (see text); &lt;b&gt;Spell Resistance &lt;/b&gt;yes&lt;/h5&gt;&lt;/div&gt;&lt;hr/&gt;&lt;div&gt;&lt;h5&gt;&lt;b&gt;DESCRIPTION&lt;/b&gt;&lt;/h5&gt;&lt;/div&gt;&lt;hr/&gt;&lt;div&gt;&lt;h4&gt;&lt;p&gt;You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&lt;i&gt;Tongues&lt;/i&gt; counters and dispels &lt;i&gt;aphasia&lt;/i&gt;, and a creature with the &lt;i&gt;tongues&lt;/i&gt; spell active is immune to &lt;i&gt;aphasia&lt;/i&gt;. Oracles with the &lt;i&gt;tongues&lt;/i&gt; curse ignore &lt;i&gt;aphasia&lt;/i&gt; in combat.&lt;/p&gt;&lt;/h4&gt;&lt;/div&gt;</t>
  </si>
  <si>
    <t>Prevent a target from understanding language.</t>
  </si>
  <si>
    <t>Auditory Hallucination</t>
  </si>
  <si>
    <t>bard 1, magus 1, medium 1, mesmerist 1, occultist 1, psychic 1, sorcerer/wizard 1</t>
  </si>
  <si>
    <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t>
  </si>
  <si>
    <t>&lt;p&gt;You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spell.&lt;/p&gt;</t>
  </si>
  <si>
    <t>&lt;link rel="stylesheet"href="PF.css"&gt;&lt;div class="heading"&gt;&lt;p class="alignleft"&gt;Auditory Hallucination&lt;/p&gt;&lt;div style="clear: both;"&gt;&lt;/div&gt;&lt;/div&gt;&lt;div&gt;&lt;h5&gt;&lt;b&gt;School &lt;/b&gt;illusion (phantasm) [mind-affecting]; &lt;b&gt;Level &lt;/b&gt;bard 1, magus 1, medium 1, mesmerist 1, occultist 1, psychic 1, sorcerer/wizard 1&lt;/h5&gt;&lt;/div&gt;&lt;hr/&gt;&lt;div&gt;&lt;h5&gt;&lt;b&gt;CASTING&lt;/b&gt;&lt;/h5&gt;&lt;/div&gt;&lt;hr/&gt;&lt;div&gt;&lt;h5&gt;&lt;b&gt;Casting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&lt;/b&gt;concentration&lt;/h5&gt;&lt;h5&gt;&lt;b&gt;Saving Throw &lt;/b&gt;Will disbelief; &lt;b&gt;Spell Resistance &lt;/b&gt;yes&lt;/h5&gt;&lt;/div&gt;&lt;hr/&gt;&lt;div&gt;&lt;h5&gt;&lt;b&gt;DESCRIPTION&lt;/b&gt;&lt;/h5&gt;&lt;/div&gt;&lt;hr/&gt;&lt;div&gt;&lt;h4&gt;&lt;p&gt;You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spell.&lt;/p&gt;&lt;/h4&gt;&lt;/div&gt;</t>
  </si>
  <si>
    <t>Create a phantasm with auditory effects.</t>
  </si>
  <si>
    <t>Audiovisual Hallucination</t>
  </si>
  <si>
    <t>bard 3, magus 3, medium 2, mesmerist 3, occultist 3, psychic 3, sorcerer/wizard 3</t>
  </si>
  <si>
    <t>concentration + 3 rounds (D)</t>
  </si>
  <si>
    <t>This spell functions as auditory hallucination,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t>
  </si>
  <si>
    <t>&lt;p&gt;This spell functions as &lt;i&gt;auditory hallucination&lt;/i&gt;,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spell.&lt;/p&gt;</t>
  </si>
  <si>
    <t>&lt;link rel="stylesheet"href="PF.css"&gt;&lt;div class="heading"&gt;&lt;p class="alignleft"&gt;Audiovisual Hallucination&lt;/p&gt;&lt;div style="clear: both;"&gt;&lt;/div&gt;&lt;/div&gt;&lt;div&gt;&lt;h5&gt;&lt;b&gt;School &lt;/b&gt;illusion (phantasm) [mind-affecting]; &lt;b&gt;Level &lt;/b&gt;bard 3, magus 3, medium 2, mesmerist 3, occultist 3, psychic 3, sorcerer/wizard 3&lt;/h5&gt;&lt;/div&gt;&lt;hr/&gt;&lt;div&gt;&lt;h5&gt;&lt;b&gt;CASTING&lt;/b&gt;&lt;/h5&gt;&lt;/div&gt;&lt;hr/&gt;&lt;div&gt;&lt;h5&gt;&lt;b&gt;Casting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 + 3 rounds (D)&lt;/h5&gt;&lt;h5&gt;&lt;b&gt;Saving Throw &lt;/b&gt;Will disbelief; &lt;b&gt;Spell Resistance &lt;/b&gt;yes&lt;/h5&gt;&lt;/div&gt;&lt;hr/&gt;&lt;div&gt;&lt;h5&gt;&lt;b&gt;DESCRIPTION&lt;/b&gt;&lt;/h5&gt;&lt;/div&gt;&lt;hr/&gt;&lt;div&gt;&lt;h4&gt;&lt;p&gt;This spell functions as &lt;i&gt;auditory hallucination&lt;/i&gt;,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spell.&lt;/p&gt;&lt;/h4&gt;&lt;/div&gt;</t>
  </si>
  <si>
    <t>Create a phantasm with auditory and visual effects.</t>
  </si>
  <si>
    <t>Aura Of The Unremarkable</t>
  </si>
  <si>
    <t>bard 3, medium 2, mesmerist 3, psychic 3, sorcerer/wizard 4</t>
  </si>
  <si>
    <t>V, S, M (a white feather)</t>
  </si>
  <si>
    <t>non-allied creatures within a 30-ft. emanation</t>
  </si>
  <si>
    <t>1 minute/level (D) and instantaneous</t>
  </si>
  <si>
    <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t>
  </si>
  <si>
    <t>&lt;p&gt;An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normally.&lt;/p&gt;</t>
  </si>
  <si>
    <t>&lt;link rel="stylesheet"href="PF.css"&gt;&lt;div class="heading"&gt;&lt;p class="alignleft"&gt;Aura Of The Unremarkable&lt;/p&gt;&lt;div style="clear: both;"&gt;&lt;/div&gt;&lt;/div&gt;&lt;div&gt;&lt;h5&gt;&lt;b&gt;School &lt;/b&gt;enchantment (compulsion) [mind-affecting]; &lt;b&gt;Level &lt;/b&gt;bard 3, medium 2, mesmerist 3, psychic 3, sorcerer/wizard 4&lt;/h5&gt;&lt;/div&gt;&lt;hr/&gt;&lt;div&gt;&lt;h5&gt;&lt;b&gt;CASTING&lt;/b&gt;&lt;/h5&gt;&lt;/div&gt;&lt;hr/&gt;&lt;div&gt;&lt;h5&gt;&lt;b&gt;Casting Time &lt;/b&gt;1 standard action&lt;/h5&gt;&lt;h5&gt;&lt;b&gt;Components &lt;/b&gt;V, S, M (a white feather)&lt;/h5&gt;&lt;/div&gt;&lt;hr/&gt;&lt;div&gt;&lt;h5&gt;&lt;b&gt;EFFECT&lt;/b&gt;&lt;/h5&gt;&lt;/div&gt;&lt;hr/&gt;&lt;div&gt;&lt;h5&gt;&lt;b&gt;Range &lt;/b&gt;30 ft.&lt;/h5&gt;&lt;h5&gt;&lt;b&gt;Targets &lt;/b&gt;non-allied creatures within a 30-ft. emanation&lt;/h5&gt;&lt;h5&gt;&lt;b&gt;Duration &lt;/b&gt;1 minute/level (D) and instantaneous&lt;/h5&gt;&lt;h5&gt;&lt;b&gt;Saving Throw &lt;/b&gt;Will negates; &lt;b&gt;Spell Resistance &lt;/b&gt;yes&lt;/h5&gt;&lt;/div&gt;&lt;hr/&gt;&lt;div&gt;&lt;h5&gt;&lt;b&gt;DESCRIPTION&lt;/b&gt;&lt;/h5&gt;&lt;/div&gt;&lt;hr/&gt;&lt;div&gt;&lt;h4&gt;&lt;p&gt;An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normally.&lt;/p&gt;&lt;/h4&gt;&lt;/div&gt;</t>
  </si>
  <si>
    <t>Make actions seem mundane to nearby creatures.</t>
  </si>
  <si>
    <t>Bountiful Banquet</t>
  </si>
  <si>
    <t>bard 4, cleric/oracle 4, druid 4, shaman 4</t>
  </si>
  <si>
    <t>V, S, M (a turkey bone)</t>
  </si>
  <si>
    <t>feast for two creatures/level</t>
  </si>
  <si>
    <t>1 hour; see text</t>
  </si>
  <si>
    <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t>
  </si>
  <si>
    <t>&lt;p&gt;You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napkins.&lt;/p&gt;</t>
  </si>
  <si>
    <t>&lt;link rel="stylesheet"href="PF.css"&gt;&lt;div class="heading"&gt;&lt;p class="alignleft"&gt;Bountiful Banquet&lt;/p&gt;&lt;div style="clear: both;"&gt;&lt;/div&gt;&lt;/div&gt;&lt;div&gt;&lt;h5&gt;&lt;b&gt;School &lt;/b&gt;conjuration (creation); &lt;b&gt;Level &lt;/b&gt;bard 4, cleric/oracle 4, druid 4, shaman 4&lt;/h5&gt;&lt;/div&gt;&lt;hr/&gt;&lt;div&gt;&lt;h5&gt;&lt;b&gt;CASTING&lt;/b&gt;&lt;/h5&gt;&lt;/div&gt;&lt;hr/&gt;&lt;div&gt;&lt;h5&gt;&lt;b&gt;Casting Time &lt;/b&gt;10 minutes&lt;/h5&gt;&lt;h5&gt;&lt;b&gt;Components &lt;/b&gt;V, S, M (a turkey bone)&lt;/h5&gt;&lt;/div&gt;&lt;hr/&gt;&lt;div&gt;&lt;h5&gt;&lt;b&gt;EFFECT&lt;/b&gt;&lt;/h5&gt;&lt;/div&gt;&lt;hr/&gt;&lt;div&gt;&lt;h5&gt;&lt;b&gt;Range &lt;/b&gt;close (25 ft. + 5 ft./2 levels)&lt;/h5&gt;&lt;h5&gt;&lt;b&gt;Effect &lt;/b&gt;feast for two creatures/level&lt;/h5&gt;&lt;h5&gt;&lt;b&gt;Duration &lt;/b&gt;1 hour; see text&lt;/h5&gt;&lt;h5&gt;&lt;b&gt;Saving Throw &lt;/b&gt;none; &lt;b&gt;Spell Resistance &lt;/b&gt;no&lt;/h5&gt;&lt;/div&gt;&lt;hr/&gt;&lt;div&gt;&lt;h5&gt;&lt;b&gt;DESCRIPTION&lt;/b&gt;&lt;/h5&gt;&lt;/div&gt;&lt;hr/&gt;&lt;div&gt;&lt;h4&gt;&lt;p&gt;You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napkins.&lt;/p&gt;&lt;/h4&gt;&lt;/div&gt;</t>
  </si>
  <si>
    <t>Create a luxurious feast for two creatures/level.</t>
  </si>
  <si>
    <t>Break, Greater</t>
  </si>
  <si>
    <t>bloodrager 4, occultist 6, psychic 6, sorcerer/wizard 6</t>
  </si>
  <si>
    <t>V, S, M (an unbroken platinum tuning fork worth 100 gp)</t>
  </si>
  <si>
    <t>all Medium or smaller objects in a 30-ft. burst centered on you</t>
  </si>
  <si>
    <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t>
  </si>
  <si>
    <t>&lt;p&gt;You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immune.&lt;/p&gt;</t>
  </si>
  <si>
    <t>&lt;link rel="stylesheet"href="PF.css"&gt;&lt;div class="heading"&gt;&lt;p class="alignleft"&gt;Break, Greater&lt;/p&gt;&lt;div style="clear: both;"&gt;&lt;/div&gt;&lt;/div&gt;&lt;div&gt;&lt;h5&gt;&lt;b&gt;School &lt;/b&gt;transmutation; &lt;b&gt;Level &lt;/b&gt;bloodrager 4, occultist 6, psychic 6, sorcerer/wizard 6&lt;/h5&gt;&lt;/div&gt;&lt;hr/&gt;&lt;div&gt;&lt;h5&gt;&lt;b&gt;CASTING&lt;/b&gt;&lt;/h5&gt;&lt;/div&gt;&lt;hr/&gt;&lt;div&gt;&lt;h5&gt;&lt;b&gt;Casting Time &lt;/b&gt;1 round&lt;/h5&gt;&lt;h5&gt;&lt;b&gt;Components &lt;/b&gt;V, S, M (an unbroken platinum tuning fork worth 100 gp)&lt;/h5&gt;&lt;/div&gt;&lt;hr/&gt;&lt;div&gt;&lt;h5&gt;&lt;b&gt;EFFECT&lt;/b&gt;&lt;/h5&gt;&lt;/div&gt;&lt;hr/&gt;&lt;div&gt;&lt;h5&gt;&lt;b&gt;Range &lt;/b&gt;30 ft.&lt;/h5&gt;&lt;h5&gt;&lt;b&gt;Targets &lt;/b&gt;all Medium or smaller objects in a 30-ft. burst centered on you&lt;/h5&gt;&lt;h5&gt;&lt;b&gt;Duration &lt;/b&gt;instantaneous&lt;/h5&gt;&lt;h5&gt;&lt;b&gt;Saving Throw &lt;/b&gt;none; &lt;b&gt;Spell Resistance &lt;/b&gt;yes (object)&lt;/h5&gt;&lt;/div&gt;&lt;hr/&gt;&lt;div&gt;&lt;h5&gt;&lt;b&gt;DESCRIPTION&lt;/b&gt;&lt;/h5&gt;&lt;/div&gt;&lt;hr/&gt;&lt;div&gt;&lt;h4&gt;&lt;p&gt;You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immune.&lt;/p&gt;&lt;/h4&gt;&lt;/div&gt;</t>
  </si>
  <si>
    <t>Break all nearby objects.</t>
  </si>
  <si>
    <t>Build Trust</t>
  </si>
  <si>
    <t>bard 2, cleric/oracle 2, inquisitor 2, mesmerist 2, paladin 1, psychic 2</t>
  </si>
  <si>
    <t>V, S, M (a gold piece)</t>
  </si>
  <si>
    <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(Ultimate Campaign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t>
  </si>
  <si>
    <t>&lt;p&gt;You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(&lt;i&gt;Ultimate Campaign&lt;/i&gt;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check.&lt;/p&gt;</t>
  </si>
  <si>
    <t>&lt;link rel="stylesheet"href="PF.css"&gt;&lt;div class="heading"&gt;&lt;p class="alignleft"&gt;Build Trust&lt;/p&gt;&lt;div style="clear: both;"&gt;&lt;/div&gt;&lt;/div&gt;&lt;div&gt;&lt;h5&gt;&lt;b&gt;School &lt;/b&gt;divination; &lt;b&gt;Level &lt;/b&gt;bard 2, cleric/oracle 2, inquisitor 2, mesmerist 2, paladin 1, psychic 2&lt;/h5&gt;&lt;/div&gt;&lt;hr/&gt;&lt;div&gt;&lt;h5&gt;&lt;b&gt;CASTING&lt;/b&gt;&lt;/h5&gt;&lt;/div&gt;&lt;hr/&gt;&lt;div&gt;&lt;h5&gt;&lt;b&gt;Casting Time &lt;/b&gt;1 standard action&lt;/h5&gt;&lt;h5&gt;&lt;b&gt;Components &lt;/b&gt;V, S, M (a gold piece)&lt;/h5&gt;&lt;/div&gt;&lt;hr/&gt;&lt;div&gt;&lt;h5&gt;&lt;b&gt;EFFECT&lt;/b&gt;&lt;/h5&gt;&lt;/div&gt;&lt;hr/&gt;&lt;div&gt;&lt;h5&gt;&lt;b&gt;Range &lt;/b&gt;close (25 ft. + 5 ft./2 levels)&lt;/h5&gt;&lt;h5&gt;&lt;b&gt;Targets &lt;/b&gt;one creature&lt;/h5&gt;&lt;h5&gt;&lt;b&gt;Duration &lt;/b&gt;1 day/level; see text&lt;/h5&gt;&lt;h5&gt;&lt;b&gt;Saving Throw &lt;/b&gt;Will negates; &lt;b&gt;Spell Resistance &lt;/b&gt;yes&lt;/h5&gt;&lt;/div&gt;&lt;hr/&gt;&lt;div&gt;&lt;h5&gt;&lt;b&gt;DESCRIPTION&lt;/b&gt;&lt;/h5&gt;&lt;/div&gt;&lt;hr/&gt;&lt;div&gt;&lt;h4&gt;&lt;p&gt;You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(&lt;i&gt;Ultimate Campaign&lt;/i&gt;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check.&lt;/p&gt;&lt;/h4&gt;&lt;/div&gt;</t>
  </si>
  <si>
    <t>Gain various bonuses when interacting with the target.</t>
  </si>
  <si>
    <t>Charm Person, Mass</t>
  </si>
  <si>
    <t>bard 4, mesmerist 4, occultist 4, psychic 5, shaman 5, sorcerer/wizard 5, witch 5</t>
  </si>
  <si>
    <t>This spell functions like charm person, except that mass charm person affects a number of humanoid creatures whose combined Hit Dice don't exceed twice your level. If there are more potential targets than you can affect, you choose them one at a time until you reach the limit of HD you can affect. If you cast mass charm person on only one creature, you ignore the spell's HD limit.</t>
  </si>
  <si>
    <t>&lt;p&gt;This spell functions like &lt;i&gt;charm person&lt;/i&gt;, except that mass &lt;i&gt;charm person&lt;/i&gt; affects a number of humanoid creatures whose combined Hit Dice don't exceed twice your level. If there are more potential targets than you can affect, you choose them one at a time until you reach the limit of HD you can affect. If you cast mass &lt;i&gt;charm person&lt;/i&gt; on only one creature, you ignore the spell's HD limit.&lt;/p&gt;</t>
  </si>
  <si>
    <t>&lt;link rel="stylesheet"href="PF.css"&gt;&lt;div class="heading"&gt;&lt;p class="alignleft"&gt;Charm Person, Mass&lt;/p&gt;&lt;div style="clear: both;"&gt;&lt;/div&gt;&lt;/div&gt;&lt;div&gt;&lt;h5&gt;&lt;b&gt;School &lt;/b&gt;enchantment (charm) [mind-affecting]; &lt;b&gt;Level &lt;/b&gt;bard 4, mesmerist 4, occultist 4, psychic 5, shaman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humanoid creatures, no two of which can be more than 30 ft. apart&lt;/h5&gt;&lt;h5&gt;&lt;b&gt;Duration &lt;/b&gt;1 hour/level&lt;/h5&gt;&lt;h5&gt;&lt;b&gt;Saving Throw &lt;/b&gt;Will negates; &lt;b&gt;Spell Resistance &lt;/b&gt;yes&lt;/h5&gt;&lt;/div&gt;&lt;hr/&gt;&lt;div&gt;&lt;h5&gt;&lt;b&gt;DESCRIPTION&lt;/b&gt;&lt;/h5&gt;&lt;/div&gt;&lt;hr/&gt;&lt;div&gt;&lt;h4&gt;&lt;p&gt;This spell functions like &lt;i&gt;charm person&lt;/i&gt;, except that mass &lt;i&gt;charm person&lt;/i&gt; affects a number of humanoid creatures whose combined Hit Dice don't exceed twice your level. If there are more potential targets than you can affect, you choose them one at a time until you reach the limit of HD you can affect. If you cast mass &lt;i&gt;charm person&lt;/i&gt; on only one creature, you ignore the spell's HD limit.&lt;/p&gt;&lt;/h4&gt;&lt;/div&gt;</t>
  </si>
  <si>
    <t>As charm person, but affects multiple creatures within 30 ft.</t>
  </si>
  <si>
    <t>Codespeak</t>
  </si>
  <si>
    <t>bard 2, medium 2, mesmerist 2, occultist 2, psychic 2, sorcerer/wizard 2</t>
  </si>
  <si>
    <t>V, S, M (a complex rune inscribed on a slip of paper that is then placed under your tongue)</t>
  </si>
  <si>
    <t>you plus one willing creature per 2 levels, no two of which can be more than 30 ft. apart</t>
  </si>
  <si>
    <t>Upon casting this spell, all recipients gain the ability to speak a new language. This language sounds like random, babbling syllables to anyone not under the influence of the spell, but the targets understand each other perfectly.  Anyone using codespeak can read and write in this new language as well. Once the spell expires, however, any coded writing suddenly appears as gibberish. If the exact same group of individuals become the targets of a codespeak spell again, cast by the same caster, they can once again read any coded writings. A dedicated codebreaker can crack such writing's code, deciphering it one page at a time with a series of DC 30 Linguistics checks.  Comprehend languages doesn't enable a caster to understand the language of another's codespeak spell, but it does reveal that the targets are speaking a magical language. Tongues translates codespeak normally.</t>
  </si>
  <si>
    <t>&lt;p&gt;Upon casting this spell, all recipients gain the ability to speak a new language. This language sounds like random, babbling syllables to anyone not under the influence of the spell, but the targets understand each other perfectly.  Anyone using &lt;i&gt;codespeak&lt;/i&gt; can read and write in this new language as well. Once the spell expires, however, any coded writing suddenly appears as gibberish. If the exact same group of individuals become the targets of a &lt;i&gt;codespeak&lt;/i&gt; spell again, cast by the same caster, they can once again read any coded writings. A dedicated codebreaker can crack such writing's code, deciphering it one page at a time with a series of DC 30 Linguistics checks.  &lt;i&gt;Comprehend languages&lt;/i&gt; doesn't enable a caster to understand the language of another's &lt;i&gt;codespeak&lt;/i&gt; spell, but it does reveal that the targets are speaking a magical language. &lt;i&gt;Tongues&lt;/i&gt; translates &lt;i&gt;codespeak&lt;/i&gt; normally.&lt;/p&gt;</t>
  </si>
  <si>
    <t>&lt;link rel="stylesheet"href="PF.css"&gt;&lt;div class="heading"&gt;&lt;p class="alignleft"&gt;Codespeak&lt;/p&gt;&lt;div style="clear: both;"&gt;&lt;/div&gt;&lt;/div&gt;&lt;div&gt;&lt;h5&gt;&lt;b&gt;School &lt;/b&gt;transmutation; &lt;b&gt;Level &lt;/b&gt;bard 2, medium 2, mesmerist 2, occultist 2, psychic 2, sorcerer/wizard 2&lt;/h5&gt;&lt;/div&gt;&lt;hr/&gt;&lt;div&gt;&lt;h5&gt;&lt;b&gt;CASTING&lt;/b&gt;&lt;/h5&gt;&lt;/div&gt;&lt;hr/&gt;&lt;div&gt;&lt;h5&gt;&lt;b&gt;Casting Time &lt;/b&gt;1 standard action&lt;/h5&gt;&lt;h5&gt;&lt;b&gt;Components &lt;/b&gt;V, S, M (a complex rune inscribed on a slip of paper that is then placed under your tongue)&lt;/h5&gt;&lt;/div&gt;&lt;hr/&gt;&lt;div&gt;&lt;h5&gt;&lt;b&gt;EFFECT&lt;/b&gt;&lt;/h5&gt;&lt;/div&gt;&lt;hr/&gt;&lt;div&gt;&lt;h5&gt;&lt;b&gt;Range &lt;/b&gt;close (25 ft. + 5 ft./2 levels)&lt;/h5&gt;&lt;h5&gt;&lt;b&gt;Targets &lt;/b&gt;you plus one willing creature per 2 levels, no two of which can be more than 30 ft. apart&lt;/h5&gt;&lt;h5&gt;&lt;b&gt;Duration &lt;/b&gt;10 min./level (D)&lt;/h5&gt;&lt;h5&gt;&lt;b&gt;Saving Throw &lt;/b&gt;none; &lt;b&gt;Spell Resistance &lt;/b&gt;no&lt;/h5&gt;&lt;/div&gt;&lt;hr/&gt;&lt;div&gt;&lt;h5&gt;&lt;b&gt;DESCRIPTION&lt;/b&gt;&lt;/h5&gt;&lt;/div&gt;&lt;hr/&gt;&lt;div&gt;&lt;h4&gt;&lt;p&gt;Upon casting this spell, all recipients gain the ability to speak a new language. This language sounds like random, babbling syllables to anyone not under the influence of the spell, but the targets understand each other perfectly.  Anyone using &lt;i&gt;codespeak&lt;/i&gt; can read and write in this new language as well. Once the spell expires, however, any coded writing suddenly appears as gibberish. If the exact same group of individuals become the targets of a &lt;i&gt;codespeak&lt;/i&gt; spell again, cast by the same caster, they can once again read any coded writings. A dedicated codebreaker can crack such writing's code, deciphering it one page at a time with a series of DC 30 Linguistics checks.  &lt;i&gt;Comprehend languages&lt;/i&gt; doesn't enable a caster to understand the language of another's &lt;i&gt;codespeak&lt;/i&gt; spell, but it does reveal that the targets are speaking a magical language. &lt;i&gt;Tongues&lt;/i&gt; translates &lt;i&gt;codespeak&lt;/i&gt; normally.&lt;/p&gt;&lt;/h4&gt;&lt;/div&gt;</t>
  </si>
  <si>
    <t>Speak, read, and write a new code language.</t>
  </si>
  <si>
    <t>Complex Hallucination</t>
  </si>
  <si>
    <t>bard 4, magus 4, medium 3, mesmerist 4, occultist 4, psychic 4, sorcerer/wizard 4, witch 4</t>
  </si>
  <si>
    <t>This spell functions as audiovisual hallucination (see page 204), except that the phantasm you create can also include olfactory, tactile, and thermal effects.</t>
  </si>
  <si>
    <t>&lt;p&gt;This spell functions as &lt;i&gt;audiovisual hallucination&lt;/i&gt; (see page 204), except that the phantasm you create can also include olfactory, tactile, and thermal effects.&lt;/p&gt;</t>
  </si>
  <si>
    <t>&lt;link rel="stylesheet"href="PF.css"&gt;&lt;div class="heading"&gt;&lt;p class="alignleft"&gt;Complex Hallucination&lt;/p&gt;&lt;div style="clear: both;"&gt;&lt;/div&gt;&lt;/div&gt;&lt;div&gt;&lt;h5&gt;&lt;b&gt;School &lt;/b&gt;illusion (phantasm) [mind-affecting]; &lt;b&gt;Level &lt;/b&gt;bard 4, magus 4, medium 3, mesmerist 4, occultist 4, psychic 4, sorcerer/wizard 4, witch 4&lt;/h5&gt;&lt;/div&gt;&lt;hr/&gt;&lt;div&gt;&lt;h5&gt;&lt;b&gt;CASTING&lt;/b&gt;&lt;/h5&gt;&lt;/div&gt;&lt;hr/&gt;&lt;div&gt;&lt;h5&gt;&lt;b&gt;Casting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 + 3 rounds&lt;/h5&gt;&lt;h5&gt;&lt;b&gt;Saving Throw &lt;/b&gt;Will disbelief; &lt;b&gt;Spell Resistance &lt;/b&gt;yes&lt;/h5&gt;&lt;/div&gt;&lt;hr/&gt;&lt;div&gt;&lt;h5&gt;&lt;b&gt;DESCRIPTION&lt;/b&gt;&lt;/h5&gt;&lt;/div&gt;&lt;hr/&gt;&lt;div&gt;&lt;h4&gt;&lt;p&gt;This spell functions as &lt;i&gt;audiovisual hallucination&lt;/i&gt; (see page 204), except that the phantasm you create can also include olfactory, tactile, and thermal effects.&lt;/p&gt;&lt;/h4&gt;&lt;/div&gt;</t>
  </si>
  <si>
    <t>Create a phantasm with effects for all senses.</t>
  </si>
  <si>
    <t>Compulsive Liar</t>
  </si>
  <si>
    <t>bard 1, mesmerist 1, psychic 2, sorcerer/wizard 2, witch 2</t>
  </si>
  <si>
    <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zone of truth), the target is only able to say things that are neither true nor false.</t>
  </si>
  <si>
    <t>&lt;p&gt;The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&lt;i&gt;zone of&lt;/i&gt; truth), the target is only able to say things that are neither true nor false.&lt;/p&gt;</t>
  </si>
  <si>
    <t>&lt;link rel="stylesheet"href="PF.css"&gt;&lt;div class="heading"&gt;&lt;p class="alignleft"&gt;Compulsive Liar&lt;/p&gt;&lt;div style="clear: both;"&gt;&lt;/div&gt;&lt;/div&gt;&lt;div&gt;&lt;h5&gt;&lt;b&gt;School &lt;/b&gt;enchantment (compulsion) [mind-affecting]; &lt;b&gt;Level &lt;/b&gt;bard 1, mesmerist 1,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&lt;/b&gt;Will negates; &lt;b&gt;Spell Resistance &lt;/b&gt;yes&lt;/h5&gt;&lt;/div&gt;&lt;hr/&gt;&lt;div&gt;&lt;h5&gt;&lt;b&gt;DESCRIPTION&lt;/b&gt;&lt;/h5&gt;&lt;/div&gt;&lt;hr/&gt;&lt;div&gt;&lt;h4&gt;&lt;p&gt;The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&lt;i&gt;zone of&lt;/i&gt; truth), the target is only able to say things that are neither true nor false.&lt;/p&gt;&lt;/h4&gt;&lt;/div&gt;</t>
  </si>
  <si>
    <t>Prevent target from speaking the truth.</t>
  </si>
  <si>
    <t>Conditional Curse</t>
  </si>
  <si>
    <t>antipaladin 4, cleric/oracle 4, inquisitor 4, medium 3, mesmerist 3, occultist 4, psychic 5, shaman 4, sorcerer/wizard 5, spiritualist 5, witch 4</t>
  </si>
  <si>
    <t>This spell functions as bestow curse,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conditional curse with break enchantment or remove curse increases by 5.</t>
  </si>
  <si>
    <t>&lt;p&gt;This spell functions as &lt;i&gt;bestow curse&lt;/i&gt;,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&lt;i&gt;conditional curse&lt;/i&gt; with &lt;i&gt;break enchantment&lt;/i&gt; or &lt;i&gt;remove curse&lt;/i&gt; increases by 5.&lt;/p&gt;</t>
  </si>
  <si>
    <t>&lt;link rel="stylesheet"href="PF.css"&gt;&lt;div class="heading"&gt;&lt;p class="alignleft"&gt;Conditional Curse&lt;/p&gt;&lt;div style="clear: both;"&gt;&lt;/div&gt;&lt;/div&gt;&lt;div&gt;&lt;h5&gt;&lt;b&gt;School &lt;/b&gt;necromancy [curse&lt;sup&gt;UM&lt;/sup&gt;]; &lt;b&gt;Level &lt;/b&gt;antipaladin 4, cleric/oracle 4, inquisitor 4, medium 3, mesmerist 3, occultist 4, psychic 5, shaman 4, sorcerer/wizard 5, spiritualist 5,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 (see text)&lt;/h5&gt;&lt;h5&gt;&lt;b&gt;Saving Throw &lt;/b&gt;Will negates; &lt;b&gt;Spell Resistance &lt;/b&gt;yes&lt;/h5&gt;&lt;/div&gt;&lt;hr/&gt;&lt;div&gt;&lt;h5&gt;&lt;b&gt;DESCRIPTION&lt;/b&gt;&lt;/h5&gt;&lt;/div&gt;&lt;hr/&gt;&lt;div&gt;&lt;h4&gt;&lt;p&gt;This spell functions as &lt;i&gt;bestow curse&lt;/i&gt;,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&lt;i&gt;conditional curse&lt;/i&gt; with &lt;i&gt;break enchantment&lt;/i&gt; or &lt;i&gt;remove curse&lt;/i&gt; increases by 5.&lt;/p&gt;&lt;/h4&gt;&lt;/div&gt;</t>
  </si>
  <si>
    <t>Bestow a curse that is difficult to remove without fulfilling a condition.</t>
  </si>
  <si>
    <t>Conditional Favor</t>
  </si>
  <si>
    <t>antipaladin 1, bard 2, cleric/oracle 2, inquisitor 2, mesmerist 2, occultist 2, paladin 1, witch 2</t>
  </si>
  <si>
    <t>You must cast this spell immediately before casting another spell on the same creature, eliciting a promise or warning against a behavior and binding the target to the paired spell. If you don't cast a paired spell, conditional favor has no effect. The paired spell must be from the abjuration, conjuration (healing), enchantment, or transmutation school or subschool, and must be cast on a willing creature. If the spell's recipient violates the oath or prohibition while conditional favor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Conditional favor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t>
  </si>
  <si>
    <t>&lt;p&gt;You must cast this spell immediately before casting another spell on the same creature, eliciting a promise or warning against a behavior and binding the target to the paired spell. If you don't cast a paired spell, &lt;i&gt;conditional favor&lt;/i&gt; has no effect. The paired spell must be from the abjuration, conjuration (healing), enchantment, or transmutation school or subschool, and must be cast on a willing creature. If the spell's recipient violates the oath or prohibition while &lt;i&gt;conditional favor&lt;/i&gt;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&lt;i&gt;Conditional favor&lt;/i&gt;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benefit.&lt;/p&gt;</t>
  </si>
  <si>
    <t>&lt;link rel="stylesheet"href="PF.css"&gt;&lt;div class="heading"&gt;&lt;p class="alignleft"&gt;Conditional Favor&lt;/p&gt;&lt;div style="clear: both;"&gt;&lt;/div&gt;&lt;/div&gt;&lt;div&gt;&lt;h5&gt;&lt;b&gt;School &lt;/b&gt;abjuration; &lt;b&gt;Level &lt;/b&gt;antipaladin 1, bard 2, cleric/oracle 2, inquisitor 2, mesmerist 2, occultist 2, paladin 1, witch 2&lt;/h5&gt;&lt;/div&gt;&lt;hr/&gt;&lt;div&gt;&lt;h5&gt;&lt;b&gt;CASTING&lt;/b&gt;&lt;/h5&gt;&lt;/div&gt;&lt;hr/&gt;&lt;div&gt;&lt;h5&gt;&lt;b&gt;Casting Time &lt;/b&gt;1 swift action&lt;/h5&gt;&lt;h5&gt;&lt;b&gt;Components &lt;/b&gt;V&lt;/h5&gt;&lt;/div&gt;&lt;hr/&gt;&lt;div&gt;&lt;h5&gt;&lt;b&gt;EFFECT&lt;/b&gt;&lt;/h5&gt;&lt;/div&gt;&lt;hr/&gt;&lt;div&gt;&lt;h5&gt;&lt;b&gt;Targets &lt;/b&gt;1 creature&lt;/h5&gt;&lt;h5&gt;&lt;b&gt;Duration &lt;/b&gt;1 day/level (D)&lt;/h5&gt;&lt;h5&gt;&lt;b&gt;Saving Throw &lt;/b&gt;none (see below); &lt;b&gt;Spell Resistance &lt;/b&gt;yes&lt;/h5&gt;&lt;/div&gt;&lt;hr/&gt;&lt;div&gt;&lt;h5&gt;&lt;b&gt;DESCRIPTION&lt;/b&gt;&lt;/h5&gt;&lt;/div&gt;&lt;hr/&gt;&lt;div&gt;&lt;h4&gt;&lt;p&gt;You must cast this spell immediately before casting another spell on the same creature, eliciting a promise or warning against a behavior and binding the target to the paired spell. If you don't cast a paired spell, &lt;i&gt;conditional favor&lt;/i&gt; has no effect. The paired spell must be from the abjuration, conjuration (healing), enchantment, or transmutation school or subschool, and must be cast on a willing creature. If the spell's recipient violates the oath or prohibition while &lt;i&gt;conditional favor&lt;/i&gt;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&lt;i&gt;Conditional favor&lt;/i&gt;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benefit.&lt;/p&gt;&lt;/h4&gt;&lt;/div&gt;</t>
  </si>
  <si>
    <t>Provide another spell whose effects reverse if the target breaks a restriction.</t>
  </si>
  <si>
    <t>Conjuration Foil</t>
  </si>
  <si>
    <t>bard 4, magus 3, medium 4, occultist 4, psychic 4, sorcerer/wizard 4, spiritualist 4, summoner 3, witch 4</t>
  </si>
  <si>
    <t>20-foot radius spread</t>
  </si>
  <si>
    <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t>
  </si>
  <si>
    <t>&lt;p&gt;All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destination.&lt;/p&gt;</t>
  </si>
  <si>
    <t>&lt;link rel="stylesheet"href="PF.css"&gt;&lt;div class="heading"&gt;&lt;p class="alignleft"&gt;Conjuration Foil&lt;/p&gt;&lt;div style="clear: both;"&gt;&lt;/div&gt;&lt;/div&gt;&lt;div&gt;&lt;h5&gt;&lt;b&gt;School &lt;/b&gt;abjuration; &lt;b&gt;Level &lt;/b&gt;bard 4, magus 3, medium 4, occultist 4, psychic 4, sorcerer/wizard 4, spiritualist 4, summoner 3, witch 4&lt;/h5&gt;&lt;/div&gt;&lt;hr/&gt;&lt;div&gt;&lt;h5&gt;&lt;b&gt;CASTING&lt;/b&gt;&lt;/h5&gt;&lt;/div&gt;&lt;hr/&gt;&lt;div&gt;&lt;h5&gt;&lt;b&gt;Casting Time &lt;/b&gt;1 immediate action&lt;/h5&gt;&lt;h5&gt;&lt;b&gt;Components &lt;/b&gt;S&lt;/h5&gt;&lt;/div&gt;&lt;hr/&gt;&lt;div&gt;&lt;h5&gt;&lt;b&gt;EFFECT&lt;/b&gt;&lt;/h5&gt;&lt;/div&gt;&lt;hr/&gt;&lt;div&gt;&lt;h5&gt;&lt;b&gt;Range &lt;/b&gt;medium (100 ft. + 10 ft./level)&lt;/h5&gt;&lt;h5&gt;&lt;b&gt;Area &lt;/b&gt;20-foot radius spread&lt;/h5&gt;&lt;h5&gt;&lt;b&gt;Duration &lt;/b&gt;1 round&lt;/h5&gt;&lt;h5&gt;&lt;b&gt;Saving Throw &lt;/b&gt;Will partial (see text); &lt;b&gt;Spell Resistance &lt;/b&gt;yes (object)&lt;/h5&gt;&lt;/div&gt;&lt;hr/&gt;&lt;div&gt;&lt;h5&gt;&lt;b&gt;DESCRIPTION&lt;/b&gt;&lt;/h5&gt;&lt;/div&gt;&lt;hr/&gt;&lt;div&gt;&lt;h4&gt;&lt;p&gt;All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destination.&lt;/p&gt;&lt;/h4&gt;&lt;/div&gt;</t>
  </si>
  <si>
    <t>Interfere with nearby teleportation effects.</t>
  </si>
  <si>
    <t>Conjure Carriage</t>
  </si>
  <si>
    <t>bard 3, magus 3, sorcerer/wizard 3, summoner 3, witch 3</t>
  </si>
  <si>
    <t>V, S, M (a gourd)</t>
  </si>
  <si>
    <t>one quasi-real carriage, horses, and driver</t>
  </si>
  <si>
    <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unseen servant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t>
  </si>
  <si>
    <t>&lt;p&gt;You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&lt;i&gt;unseen servant&lt;/i&gt;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space.&lt;/p&gt;</t>
  </si>
  <si>
    <t>&lt;link rel="stylesheet"href="PF.css"&gt;&lt;div class="heading"&gt;&lt;p class="alignleft"&gt;Conjure Carriage&lt;/p&gt;&lt;div style="clear: both;"&gt;&lt;/div&gt;&lt;/div&gt;&lt;div&gt;&lt;h5&gt;&lt;b&gt;School &lt;/b&gt;conjuration (creation); &lt;b&gt;Level &lt;/b&gt;bard 3, magus 3, sorcerer/wizard 3, summoner 3, witch 3&lt;/h5&gt;&lt;/div&gt;&lt;hr/&gt;&lt;div&gt;&lt;h5&gt;&lt;b&gt;CASTING&lt;/b&gt;&lt;/h5&gt;&lt;/div&gt;&lt;hr/&gt;&lt;div&gt;&lt;h5&gt;&lt;b&gt;Casting Time &lt;/b&gt;1 round&lt;/h5&gt;&lt;h5&gt;&lt;b&gt;Components &lt;/b&gt;V, S, M (a gourd)&lt;/h5&gt;&lt;/div&gt;&lt;hr/&gt;&lt;div&gt;&lt;h5&gt;&lt;b&gt;EFFECT&lt;/b&gt;&lt;/h5&gt;&lt;/div&gt;&lt;hr/&gt;&lt;div&gt;&lt;h5&gt;&lt;b&gt;Range &lt;/b&gt;close (25 ft. + 5 ft./2 levels)&lt;/h5&gt;&lt;h5&gt;&lt;b&gt;Effect &lt;/b&gt;one quasi-real carriage, horses, and driver&lt;/h5&gt;&lt;h5&gt;&lt;b&gt;Duration &lt;/b&gt;1 hour/level (D)&lt;/h5&gt;&lt;h5&gt;&lt;b&gt;Saving Throw &lt;/b&gt;none; &lt;b&gt;Spell Resistance &lt;/b&gt;no&lt;/h5&gt;&lt;/div&gt;&lt;hr/&gt;&lt;div&gt;&lt;h5&gt;&lt;b&gt;DESCRIPTION&lt;/b&gt;&lt;/h5&gt;&lt;/div&gt;&lt;hr/&gt;&lt;div&gt;&lt;h4&gt;&lt;p&gt;You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&lt;i&gt;unseen servant&lt;/i&gt;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space.&lt;/p&gt;&lt;/h4&gt;&lt;/div&gt;</t>
  </si>
  <si>
    <t>Create a fine carriage.</t>
  </si>
  <si>
    <t>Contingent Venom</t>
  </si>
  <si>
    <t>shaman 4, sorcerer/wizard 4</t>
  </si>
  <si>
    <t>V, S, M (herbs used in antitoxins worth 100 gp)</t>
  </si>
  <si>
    <t>one dose of poison or one venomous creature</t>
  </si>
  <si>
    <t>This spell functions as languid venom (see page 218), but you can stipulate a specific condition or circumstance that will end the poison's onset time and cause it to take effect. The conditions for triggering the poison can be as general or as detailed as desired, but the triggers must be visual or audible (as per magic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contingent venom, and you can't change those decisions later.</t>
  </si>
  <si>
    <t>&lt;p&gt;This spell functions as &lt;i&gt;languid venom&lt;/i&gt; (see page 218), but you can stipulate a specific condition or circumstance that will end the poison's onset time and cause it to take effect. The conditions for triggering the poison can be as general or as detailed as desired, but the triggers must be visual or audible (as per &lt;i&gt;magic&lt;/i&gt;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&lt;i&gt;contingent venom&lt;/i&gt;, and you can't change those decisions later.&lt;/p&gt;</t>
  </si>
  <si>
    <t>&lt;link rel="stylesheet"href="PF.css"&gt;&lt;div class="heading"&gt;&lt;p class="alignleft"&gt;Contingent Venom&lt;/p&gt;&lt;div style="clear: both;"&gt;&lt;/div&gt;&lt;/div&gt;&lt;div&gt;&lt;h5&gt;&lt;b&gt;School &lt;/b&gt;necromancy [poison&lt;sup&gt;UM&lt;/sup&gt;]; &lt;b&gt;Level &lt;/b&gt;shaman 4, sorcerer/wizard 4&lt;/h5&gt;&lt;/div&gt;&lt;hr/&gt;&lt;div&gt;&lt;h5&gt;&lt;b&gt;CASTING&lt;/b&gt;&lt;/h5&gt;&lt;/div&gt;&lt;hr/&gt;&lt;div&gt;&lt;h5&gt;&lt;b&gt;Casting Time &lt;/b&gt;1 standard action&lt;/h5&gt;&lt;h5&gt;&lt;b&gt;Components &lt;/b&gt;V, S, M (herbs used in antitoxins worth 100 gp)&lt;/h5&gt;&lt;/div&gt;&lt;hr/&gt;&lt;div&gt;&lt;h5&gt;&lt;b&gt;EFFECT&lt;/b&gt;&lt;/h5&gt;&lt;/div&gt;&lt;hr/&gt;&lt;div&gt;&lt;h5&gt;&lt;b&gt;Range &lt;/b&gt;touch&lt;/h5&gt;&lt;h5&gt;&lt;b&gt;Targets &lt;/b&gt;one dose of poison or one venomous creature&lt;/h5&gt;&lt;h5&gt;&lt;b&gt;Duration &lt;/b&gt;permanent until discharged (D)&lt;/h5&gt;&lt;h5&gt;&lt;b&gt;Saving Throw &lt;/b&gt;Fortitude negates; &lt;b&gt;Spell Resistance &lt;/b&gt;yes&lt;/h5&gt;&lt;/div&gt;&lt;hr/&gt;&lt;div&gt;&lt;h5&gt;&lt;b&gt;DESCRIPTION&lt;/b&gt;&lt;/h5&gt;&lt;/div&gt;&lt;hr/&gt;&lt;div&gt;&lt;h4&gt;&lt;p&gt;This spell functions as &lt;i&gt;languid venom&lt;/i&gt; (see page 218), but you can stipulate a specific condition or circumstance that will end the poison's onset time and cause it to take effect. The conditions for triggering the poison can be as general or as detailed as desired, but the triggers must be visual or audible (as per &lt;i&gt;magic&lt;/i&gt;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&lt;i&gt;contingent venom&lt;/i&gt;, and you can't change those decisions later.&lt;/p&gt;&lt;/h4&gt;&lt;/div&gt;</t>
  </si>
  <si>
    <t>As languid venom, but with a triggering condition.</t>
  </si>
  <si>
    <t>Controlled Fireball</t>
  </si>
  <si>
    <t>fire, ruse</t>
  </si>
  <si>
    <t>bloodrager 4, magus 4, occultist 4, sorcerer/wizard 4</t>
  </si>
  <si>
    <t>This spell functions as fireball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fireball deals minimum damage in those squares.  Attempts to identify controlled fireball with a skill check incorrectly identify it as fireball (see the ruse descriptor o n page 192).</t>
  </si>
  <si>
    <t>&lt;p&gt;This spell functions as &lt;i&gt;fireball&lt;/i&gt;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&lt;i&gt;fireball&lt;/i&gt; deals minimum damage in those squares.  Attempts to identify controlled &lt;i&gt;fireball&lt;/i&gt; with a skill check incorrectly identify it as &lt;i&gt;fireball&lt;/i&gt; (see the ruse descriptor o n page 192).&lt;/p&gt;</t>
  </si>
  <si>
    <t>&lt;link rel="stylesheet"href="PF.css"&gt;&lt;div class="heading"&gt;&lt;p class="alignleft"&gt;Controlled Fireball&lt;/p&gt;&lt;div style="clear: both;"&gt;&lt;/div&gt;&lt;/div&gt;&lt;div&gt;&lt;h5&gt;&lt;b&gt;School &lt;/b&gt;evocation [fire, ruse]; &lt;b&gt;Level &lt;/b&gt;bloodrager 4, magus 4, occultist 4, sorcerer/wizard 4&lt;/h5&gt;&lt;/div&gt;&lt;hr/&gt;&lt;div&gt;&lt;h5&gt;&lt;b&gt;CASTING&lt;/b&gt;&lt;/h5&gt;&lt;/div&gt;&lt;hr/&gt;&lt;div&gt;&lt;h5&gt;&lt;b&gt;Casting Time &lt;/b&gt;1 standard action&lt;/h5&gt;&lt;h5&gt;&lt;b&gt;Components &lt;/b&gt;V, S, M (a ball of bat guano and sulfur)&lt;/h5&gt;&lt;/div&gt;&lt;hr/&gt;&lt;div&gt;&lt;h5&gt;&lt;b&gt;EFFECT&lt;/b&gt;&lt;/h5&gt;&lt;/div&gt;&lt;hr/&gt;&lt;div&gt;&lt;h5&gt;&lt;b&gt;Range &lt;/b&gt;long (400 ft. + 40 ft./level)&lt;/h5&gt;&lt;h5&gt;&lt;b&gt;Area &lt;/b&gt;20-foot-radius spread&lt;/h5&gt;&lt;h5&gt;&lt;b&gt;Duration &lt;/b&gt;instantaneous&lt;/h5&gt;&lt;h5&gt;&lt;b&gt;Saving Throw &lt;/b&gt;Reflex half; &lt;b&gt;Spell Resistance &lt;/b&gt;yes&lt;/h5&gt;&lt;/div&gt;&lt;hr/&gt;&lt;div&gt;&lt;h5&gt;&lt;b&gt;DESCRIPTION&lt;/b&gt;&lt;/h5&gt;&lt;/div&gt;&lt;hr/&gt;&lt;div&gt;&lt;h4&gt;&lt;p&gt;This spell functions as &lt;i&gt;fireball&lt;/i&gt;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&lt;i&gt;fireball&lt;/i&gt; deals minimum damage in those squares.  Attempts to identify controlled &lt;i&gt;fireball&lt;/i&gt; with a skill check incorrectly identify it as &lt;i&gt;fireball&lt;/i&gt; (see the ruse descriptor o n page 192).&lt;/p&gt;&lt;/h4&gt;&lt;/div&gt;</t>
  </si>
  <si>
    <t>As fireball, but secretly deals less damage to your allies.</t>
  </si>
  <si>
    <t>Crime Of Opportunity</t>
  </si>
  <si>
    <t>antipaladin 1, mesmerist 1</t>
  </si>
  <si>
    <t>V, S, M (a slit purse)</t>
  </si>
  <si>
    <t>You awaken a sudden criminal impulse in the target, compelling it to commit a criminal act as if affected by the crime wave spell.</t>
  </si>
  <si>
    <t>&lt;p&gt;You awaken a sudden criminal impulse in the target, compelling it to commit a criminal act as if affected by the &lt;i&gt;crime wave&lt;/i&gt; spell.&lt;/p&gt;</t>
  </si>
  <si>
    <t>&lt;link rel="stylesheet"href="PF.css"&gt;&lt;div class="heading"&gt;&lt;p class="alignleft"&gt;Crime Of Opportunity&lt;/p&gt;&lt;div style="clear: both;"&gt;&lt;/div&gt;&lt;/div&gt;&lt;div&gt;&lt;h5&gt;&lt;b&gt;School &lt;/b&gt;enchantment (compulsion) [mind-affecting]; &lt;b&gt;Level &lt;/b&gt;antipaladin 1, mesmerist 1&lt;/h5&gt;&lt;/div&gt;&lt;hr/&gt;&lt;div&gt;&lt;h5&gt;&lt;b&gt;CASTING&lt;/b&gt;&lt;/h5&gt;&lt;/div&gt;&lt;hr/&gt;&lt;div&gt;&lt;h5&gt;&lt;b&gt;Casting Time &lt;/b&gt;1 standard action&lt;/h5&gt;&lt;h5&gt;&lt;b&gt;Components &lt;/b&gt;V, S, M (a slit purse)&lt;/h5&gt;&lt;/div&gt;&lt;hr/&gt;&lt;div&gt;&lt;h5&gt;&lt;b&gt;EFFECT&lt;/b&gt;&lt;/h5&gt;&lt;/div&gt;&lt;hr/&gt;&lt;div&gt;&lt;h5&gt;&lt;b&gt;Range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awaken a sudden criminal impulse in the target, compelling it to commit a criminal act as if affected by the &lt;i&gt;crime wave&lt;/i&gt; spell.&lt;/p&gt;&lt;/h4&gt;&lt;/div&gt;</t>
  </si>
  <si>
    <t>Compel a target to take a criminal action.</t>
  </si>
  <si>
    <t>Crime Wave</t>
  </si>
  <si>
    <t>antipaladin 4, bard 5, mesmerist 5, psychic 7, sorcerer/wizard 7</t>
  </si>
  <si>
    <t>V, S, M (a tarnished coin)</t>
  </si>
  <si>
    <t>You instill overwhelming avarice in the targets and impel them toward a wild spree of larceny. Creatures affected by a crime wave must roll percentile dice each round to determine what action they take.  d% Behavior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crime wave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t>
  </si>
  <si>
    <t>&lt;p&gt;You instill overwhelming avarice in the targets and impel them toward a wild spree of larceny. Creatures affected by a &lt;i&gt;crime wave&lt;/i&gt; must roll percentile dice each round to determine what action they take.  &lt;b&gt;d% Behavior&lt;/b&gt;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&lt;i&gt;crime wave&lt;/i&gt;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check.&lt;/p&gt;</t>
  </si>
  <si>
    <t>&lt;link rel="stylesheet"href="PF.css"&gt;&lt;div class="heading"&gt;&lt;p class="alignleft"&gt;Crime Wave&lt;/p&gt;&lt;div style="clear: both;"&gt;&lt;/div&gt;&lt;/div&gt;&lt;div&gt;&lt;h5&gt;&lt;b&gt;School &lt;/b&gt;enchantment (compulsion) [mind-affecting]; &lt;b&gt;Level &lt;/b&gt;antipaladin 4, bard 5, mesmerist 5, psychic 7, sorcerer/wizard 7&lt;/h5&gt;&lt;/div&gt;&lt;hr/&gt;&lt;div&gt;&lt;h5&gt;&lt;b&gt;CASTING&lt;/b&gt;&lt;/h5&gt;&lt;/div&gt;&lt;hr/&gt;&lt;div&gt;&lt;h5&gt;&lt;b&gt;Casting Time &lt;/b&gt;1 standard action&lt;/h5&gt;&lt;h5&gt;&lt;b&gt;Components &lt;/b&gt;V, S, M (a tarnished coin)&lt;/h5&gt;&lt;/div&gt;&lt;hr/&gt;&lt;div&gt;&lt;h5&gt;&lt;b&gt;EFFECT&lt;/b&gt;&lt;/h5&gt;&lt;/div&gt;&lt;hr/&gt;&lt;div&gt;&lt;h5&gt;&lt;b&gt;Range &lt;/b&gt;medium (100 ft. + 10 ft./level)&lt;/h5&gt;&lt;h5&gt;&lt;b&gt;Targets &lt;/b&gt;one creature/level, no two of which can be more than 30 ft. apart&lt;/h5&gt;&lt;h5&gt;&lt;b&gt;Duration &lt;/b&gt;1 round/level (D)&lt;/h5&gt;&lt;h5&gt;&lt;b&gt;Saving Throw &lt;/b&gt;Will negates; &lt;b&gt;Spell Resistance &lt;/b&gt;yes&lt;/h5&gt;&lt;/div&gt;&lt;hr/&gt;&lt;div&gt;&lt;h5&gt;&lt;b&gt;DESCRIPTION&lt;/b&gt;&lt;/h5&gt;&lt;/div&gt;&lt;hr/&gt;&lt;div&gt;&lt;h4&gt;&lt;p&gt;You instill overwhelming avarice in the targets and impel them toward a wild spree of larceny. Creatures affected by a &lt;i&gt;crime wave&lt;/i&gt; must roll percentile dice each round to determine what action they take.   &lt;table border ='1'&gt;&lt;tr&gt;&lt;th&gt;d%&lt;/th&gt;&lt;th&gt;Behavior&lt;/th&gt;&lt;/tr&gt;&lt;tr&gt;&lt;td&gt;1-25&lt;/td&gt;&lt;td&gt;Act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throw).&lt;/td&gt;&lt;/tr&gt;&lt;tr&gt;&lt;td&gt;26-50&lt;/td&gt;&lt;td&gt;Attempt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taken.&lt;/td&gt;&lt;/tr&gt;&lt;tr&gt;&lt;td&gt;51-75&lt;/td&gt;&lt;td&gt;Attempt to break, destroy, or deface the nearest unattended manufactured object or structure. If the object or structure is too difficult to damage, the affected creature instead vandalizes or otherwise defaces its appearance.&lt;/td&gt;&lt;/tr&gt;&lt;tr&gt;&lt;td&gt;76-100&lt;/td&gt;&lt;td&gt;Attack the nearest creature (for this purpose, a familiar counts as part of the affected creature's self).&lt;/td&gt;&lt;/tr&gt;&lt;/table&gt;   A character affected by a &lt;i&gt;crime wave&lt;/i&gt;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check.&lt;/p&gt;&lt;/h4&gt;&lt;/div&gt;</t>
  </si>
  <si>
    <t>Compel targets to commit criminal actions.</t>
  </si>
  <si>
    <t>Cultural Adaptation</t>
  </si>
  <si>
    <t>bard 1, cleric/oracle 1, medium 1, occultist 1, psychic 1, sorcerer/wizard 1</t>
  </si>
  <si>
    <t>V, S, M/DF (a document written in the language of the culture to be emulated)</t>
  </si>
  <si>
    <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tongues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t>
  </si>
  <si>
    <t>&lt;p&gt;When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&lt;i&gt;tongues&lt;/i&gt;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1.&lt;/p&gt;</t>
  </si>
  <si>
    <t>&lt;link rel="stylesheet"href="PF.css"&gt;&lt;div class="heading"&gt;&lt;p class="alignleft"&gt;Cultural Adaptation&lt;/p&gt;&lt;div style="clear: both;"&gt;&lt;/div&gt;&lt;/div&gt;&lt;div&gt;&lt;h5&gt;&lt;b&gt;School &lt;/b&gt;divination; &lt;b&gt;Level &lt;/b&gt;bard 1, cleric/oracle 1, medium 1, occultist 1, psychic 1, sorcerer/wizard 1&lt;/h5&gt;&lt;/div&gt;&lt;hr/&gt;&lt;div&gt;&lt;h5&gt;&lt;b&gt;CASTING&lt;/b&gt;&lt;/h5&gt;&lt;/div&gt;&lt;hr/&gt;&lt;div&gt;&lt;h5&gt;&lt;b&gt;Casting Time &lt;/b&gt;1 standard action&lt;/h5&gt;&lt;h5&gt;&lt;b&gt;Components &lt;/b&gt;V, S, M/DF (a document written in the language of the culture to be emulated)&lt;/h5&gt;&lt;/div&gt;&lt;hr/&gt;&lt;div&gt;&lt;h5&gt;&lt;b&gt;EFFECT&lt;/b&gt;&lt;/h5&gt;&lt;/div&gt;&lt;hr/&gt;&lt;div&gt;&lt;h5&gt;&lt;b&gt;Range &lt;/b&gt;personal&lt;/h5&gt;&lt;h5&gt;&lt;b&gt;Targets &lt;/b&gt;you&lt;/h5&gt;&lt;h5&gt;&lt;b&gt;Duration &lt;/b&gt;10 minutes/level&lt;/h5&gt;&lt;/div&gt;&lt;hr/&gt;&lt;div&gt;&lt;h5&gt;&lt;b&gt;DESCRIPTION&lt;/b&gt;&lt;/h5&gt;&lt;/div&gt;&lt;hr/&gt;&lt;div&gt;&lt;h4&gt;&lt;p&gt;When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&lt;i&gt;tongues&lt;/i&gt;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1.&lt;/p&gt;&lt;/h4&gt;&lt;/div&gt;</t>
  </si>
  <si>
    <t>Adapt to fit the local culture.</t>
  </si>
  <si>
    <t>Curse Of The Outcast</t>
  </si>
  <si>
    <t>curseUM, emotionUM, mind-affecting</t>
  </si>
  <si>
    <t>bard 4, cleric/oracle 6, inquisitor 4, mesmerist 4, shaman 6, witch 6</t>
  </si>
  <si>
    <t>V, S, M (a handful of earthworms)</t>
  </si>
  <si>
    <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t>
  </si>
  <si>
    <t>&lt;p&gt;Everything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on).&lt;/p&gt;</t>
  </si>
  <si>
    <t>&lt;link rel="stylesheet"href="PF.css"&gt;&lt;div class="heading"&gt;&lt;p class="alignleft"&gt;Curse Of The Outcast&lt;/p&gt;&lt;div style="clear: both;"&gt;&lt;/div&gt;&lt;/div&gt;&lt;div&gt;&lt;h5&gt;&lt;b&gt;School &lt;/b&gt;enchantment (compulsion) [curse&lt;sup&gt;UM&lt;/sup&gt;, emotion&lt;sup&gt;UM&lt;/sup&gt;, mind-affecting]; &lt;b&gt;Level &lt;/b&gt;bard 4, cleric/oracle 6, inquisitor 4, mesmerist 4, shaman 6, witch 6&lt;/h5&gt;&lt;/div&gt;&lt;hr/&gt;&lt;div&gt;&lt;h5&gt;&lt;b&gt;CASTING&lt;/b&gt;&lt;/h5&gt;&lt;/div&gt;&lt;hr/&gt;&lt;div&gt;&lt;h5&gt;&lt;b&gt;Casting Time &lt;/b&gt;1 standard action&lt;/h5&gt;&lt;h5&gt;&lt;b&gt;Components &lt;/b&gt;V, S, M (a handful of earthworms)&lt;/h5&gt;&lt;/div&gt;&lt;hr/&gt;&lt;div&gt;&lt;h5&gt;&lt;b&gt;EFFECT&lt;/b&gt;&lt;/h5&gt;&lt;/div&gt;&lt;hr/&gt;&lt;div&gt;&lt;h5&gt;&lt;b&gt;Range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on).&lt;/p&gt;&lt;/h4&gt;&lt;/div&gt;</t>
  </si>
  <si>
    <t>Curse someone to rub people the wrong way.</t>
  </si>
  <si>
    <t>Dark Whispers</t>
  </si>
  <si>
    <t>language-dependent, shadowUM</t>
  </si>
  <si>
    <t>antipaladin 1, bard 2, cleric/oracle 2, sorcerer/wizard 2, summoner 2, witch 2</t>
  </si>
  <si>
    <t>V, S, F/DF (a scrap of black cloth)</t>
  </si>
  <si>
    <t>long (400 ft. plus 40 ft./level)</t>
  </si>
  <si>
    <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dark whispers.</t>
  </si>
  <si>
    <t>&lt;p&gt;You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&lt;i&gt;dark whispers&lt;/i&gt;.&lt;/p&gt;</t>
  </si>
  <si>
    <t>&lt;link rel="stylesheet"href="PF.css"&gt;&lt;div class="heading"&gt;&lt;p class="alignleft"&gt;Dark Whispers&lt;/p&gt;&lt;div style="clear: both;"&gt;&lt;/div&gt;&lt;/div&gt;&lt;div&gt;&lt;h5&gt;&lt;b&gt;School &lt;/b&gt;illusion (shadow) [language-dependent, shadow&lt;sup&gt;UM&lt;/sup&gt;]; &lt;b&gt;Level &lt;/b&gt;antipaladin 1, bard 2, cleric/oracle 2, sorcerer/wizard 2, summoner 2, witch 2&lt;/h5&gt;&lt;/div&gt;&lt;hr/&gt;&lt;div&gt;&lt;h5&gt;&lt;b&gt;CASTING&lt;/b&gt;&lt;/h5&gt;&lt;/div&gt;&lt;hr/&gt;&lt;div&gt;&lt;h5&gt;&lt;b&gt;Casting Time &lt;/b&gt;1 standard action&lt;/h5&gt;&lt;h5&gt;&lt;b&gt;Components &lt;/b&gt;V, S, F/DF (a scrap of black cloth)&lt;/h5&gt;&lt;/div&gt;&lt;hr/&gt;&lt;div&gt;&lt;h5&gt;&lt;b&gt;EFFECT&lt;/b&gt;&lt;/h5&gt;&lt;/div&gt;&lt;hr/&gt;&lt;div&gt;&lt;h5&gt;&lt;b&gt;Range &lt;/b&gt;long (400 ft. plus 40 ft./level)&lt;/h5&gt;&lt;h5&gt;&lt;b&gt;Targets &lt;/b&gt;one creature/level&lt;/h5&gt;&lt;h5&gt;&lt;b&gt;Duration &lt;/b&gt;10 minutes/level (D)&lt;/h5&gt;&lt;h5&gt;&lt;b&gt;Saving Throw &lt;/b&gt;none; &lt;b&gt;Spell Resistance &lt;/b&gt;yes&lt;/h5&gt;&lt;/div&gt;&lt;hr/&gt;&lt;div&gt;&lt;h5&gt;&lt;b&gt;DESCRIPTION&lt;/b&gt;&lt;/h5&gt;&lt;/div&gt;&lt;hr/&gt;&lt;div&gt;&lt;h4&gt;&lt;p&gt;You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&lt;i&gt;dark whispers&lt;/i&gt;.&lt;/p&gt;&lt;/h4&gt;&lt;/div&gt;</t>
  </si>
  <si>
    <t>Whisper through the shadows.</t>
  </si>
  <si>
    <t>Deadman's Contingency</t>
  </si>
  <si>
    <t>bard 4, cleric/oracle 4, psychic 4, sorcerer/wizard 4, witch 4</t>
  </si>
  <si>
    <t>10 minutes or more; see text</t>
  </si>
  <si>
    <t>V, S, M (a scorpion's tail), F (ivory statuette of you worth 1,500 gp)</t>
  </si>
  <si>
    <t>up to 1 hour/level plus 1d6 rounds (D); see text</t>
  </si>
  <si>
    <t>This spell functions as contingency, except as noted above. This spell also only comes into effect after your death and works only with certain spells. The companion spell triggers 1d6 rounds after your death. All decisions made involving the companion spell must be made when deadman's contingency is cast (including messages and recipients for spells like magic mouth or sending). If the spell targets an object or appears in a certain location, it must target or be centered on your corpse.  The following spells can be companion spells for deadman's contingency: animate dead (animating your corpse as an uncontrolled skeleton or zombie), disintegrate, fireball, gentle repose, magic mouth, major image (with a duration of 3 rounds), permanent image, sending, stinking cloud, and teleport object.</t>
  </si>
  <si>
    <t>&lt;p&gt;This spell functions as &lt;i&gt;contingency&lt;/i&gt;, except as noted above. This spell also only comes into effect after your death and works only with certain spells. The companion spell triggers 1d6 rounds after your death. All decisions made involving the companion spell must be made when deadman's &lt;i&gt;contingency&lt;/i&gt; is cast (including messages and recipients for spells like &lt;i&gt;magic mouth&lt;/i&gt; or &lt;i&gt;sending&lt;/i&gt;). If the spell targets an object or appears in a certain location, it must target or be centered on your corpse.  The following spells can be companion spells for deadman's &lt;i&gt;contingency&lt;/i&gt;: &lt;i&gt;animate dead&lt;/i&gt; (animating your corpse as an uncontrolled skeleton or zombie), &lt;i&gt;disintegrate&lt;/i&gt;, &lt;i&gt;fireball&lt;/i&gt;, &lt;i&gt;gentle repose&lt;/i&gt;, &lt;i&gt;magic mouth&lt;/i&gt;, &lt;i&gt;major image&lt;/i&gt; (with a duration of 3 rounds), &lt;i&gt;permanent image&lt;/i&gt;, &lt;i&gt;sending&lt;/i&gt;, &lt;i&gt;stinking cloud&lt;/i&gt;, and &lt;i&gt;teleport object&lt;/i&gt;.&lt;/p&gt;</t>
  </si>
  <si>
    <t>&lt;link rel="stylesheet"href="PF.css"&gt;&lt;div class="heading"&gt;&lt;p class="alignleft"&gt;Deadman's Contingency&lt;/p&gt;&lt;div style="clear: both;"&gt;&lt;/div&gt;&lt;/div&gt;&lt;div&gt;&lt;h5&gt;&lt;b&gt;School &lt;/b&gt;evocation; &lt;b&gt;Level &lt;/b&gt;bard 4, cleric/oracle 4, psychic 4, sorcerer/wizard 4, witch 4&lt;/h5&gt;&lt;/div&gt;&lt;hr/&gt;&lt;div&gt;&lt;h5&gt;&lt;b&gt;CASTING&lt;/b&gt;&lt;/h5&gt;&lt;/div&gt;&lt;hr/&gt;&lt;div&gt;&lt;h5&gt;&lt;b&gt;Casting Time &lt;/b&gt;10 minutes or more; see text&lt;/h5&gt;&lt;h5&gt;&lt;b&gt;Components &lt;/b&gt;V, S, M (a scorpion's tail), F (ivory statuette of you worth 1,500 gp)&lt;/h5&gt;&lt;/div&gt;&lt;hr/&gt;&lt;div&gt;&lt;h5&gt;&lt;b&gt;EFFECT&lt;/b&gt;&lt;/h5&gt;&lt;/div&gt;&lt;hr/&gt;&lt;div&gt;&lt;h5&gt;&lt;b&gt;Range &lt;/b&gt;personal&lt;/h5&gt;&lt;h5&gt;&lt;b&gt;Targets &lt;/b&gt;you&lt;/h5&gt;&lt;h5&gt;&lt;b&gt;Duration &lt;/b&gt;up to 1 hour/level plus 1d6 rounds (D); see text&lt;/h5&gt;&lt;/div&gt;&lt;hr/&gt;&lt;div&gt;&lt;h5&gt;&lt;b&gt;DESCRIPTION&lt;/b&gt;&lt;/h5&gt;&lt;/div&gt;&lt;hr/&gt;&lt;div&gt;&lt;h4&gt;&lt;p&gt;This spell functions as &lt;i&gt;contingency&lt;/i&gt;, except as noted above. This spell also only comes into effect after your death and works only with certain spells. The companion spell triggers 1d6 rounds after your death. All decisions made involving the companion spell must be made when deadman's &lt;i&gt;contingency&lt;/i&gt; is cast (including messages and recipients for spells like &lt;i&gt;magic mouth&lt;/i&gt; or &lt;i&gt;sending&lt;/i&gt;). If the spell targets an object or appears in a certain location, it must target or be centered on your corpse.  The following spells can be companion spells for deadman's &lt;i&gt;contingency&lt;/i&gt;: &lt;i&gt;animate dead&lt;/i&gt; (animating your corpse as an uncontrolled skeleton or zombie), &lt;i&gt;disintegrate&lt;/i&gt;, &lt;i&gt;fireball&lt;/i&gt;, &lt;i&gt;gentle repose&lt;/i&gt;, &lt;i&gt;magic mouth&lt;/i&gt;, &lt;i&gt;major image&lt;/i&gt; (with a duration of 3 rounds), &lt;i&gt;permanent image&lt;/i&gt;, &lt;i&gt;sending&lt;/i&gt;, &lt;i&gt;stinking cloud&lt;/i&gt;, and &lt;i&gt;teleport object&lt;/i&gt;.&lt;/p&gt;&lt;/h4&gt;&lt;/div&gt;</t>
  </si>
  <si>
    <t>Set one of a list of contingencies for your demise.</t>
  </si>
  <si>
    <t>Deceitful Veneer</t>
  </si>
  <si>
    <t>antipaladin 3, bard 4, inquisitor 4, medium 3, mesmerist 4, psychic 4, witch 5</t>
  </si>
  <si>
    <t>You subtly alter both the target's aura and subtle cues in its body language, tone of voice, and word choice, which makes everything that the target says seem to be a lie. Every statement that the target makes appears to be a lie under both magical scrutiny (such as discern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t>
  </si>
  <si>
    <t>&lt;p&gt;You subtly alter both the target's aura and subtle cues in its body language, tone of voice, and word choice, which makes everything that the target says seem to be a lie. Every statement that the target makes appears to be a lie under both magical scrutiny (such as &lt;i&gt;discern&lt;/i&gt;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others.&lt;/p&gt;</t>
  </si>
  <si>
    <t>&lt;link rel="stylesheet"href="PF.css"&gt;&lt;div class="heading"&gt;&lt;p class="alignleft"&gt;Deceitful Veneer&lt;/p&gt;&lt;div style="clear: both;"&gt;&lt;/div&gt;&lt;/div&gt;&lt;div&gt;&lt;h5&gt;&lt;b&gt;School &lt;/b&gt;illusion (glamer); &lt;b&gt;Level &lt;/b&gt;antipaladin 3, bard 4, inquisitor 4, medium 3, mesmerist 4, psychic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 (D)&lt;/h5&gt;&lt;h5&gt;&lt;b&gt;Saving Throw &lt;/b&gt;Will negates; &lt;b&gt;Spell Resistance &lt;/b&gt;yes&lt;/h5&gt;&lt;/div&gt;&lt;hr/&gt;&lt;div&gt;&lt;h5&gt;&lt;b&gt;DESCRIPTION&lt;/b&gt;&lt;/h5&gt;&lt;/div&gt;&lt;hr/&gt;&lt;div&gt;&lt;h4&gt;&lt;p&gt;You subtly alter both the target's aura and subtle cues in its body language, tone of voice, and word choice, which makes everything that the target says seem to be a lie. Every statement that the target makes appears to be a lie under both magical scrutiny (such as &lt;i&gt;discern&lt;/i&gt;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others.&lt;/p&gt;&lt;/h4&gt;&lt;/div&gt;</t>
  </si>
  <si>
    <t>Make someone seem like an obvious liar.</t>
  </si>
  <si>
    <t>Deflect Blame</t>
  </si>
  <si>
    <t>bard 2, mesmerist 2, psychic 2, sorcerer/wizard 3</t>
  </si>
  <si>
    <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t>
  </si>
  <si>
    <t>&lt;p&gt;You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lies.&lt;/p&gt;</t>
  </si>
  <si>
    <t>&lt;link rel="stylesheet"href="PF.css"&gt;&lt;div class="heading"&gt;&lt;p class="alignleft"&gt;Deflect Blame&lt;/p&gt;&lt;div style="clear: both;"&gt;&lt;/div&gt;&lt;/div&gt;&lt;div&gt;&lt;h5&gt;&lt;b&gt;School &lt;/b&gt;enchantment (compulsion) [mind-affecting]; &lt;b&gt;Level &lt;/b&gt;bard 2, mesmerist 2, psychic 2, sorcerer/wizard 3&lt;/h5&gt;&lt;/div&gt;&lt;hr/&gt;&lt;div&gt;&lt;h5&gt;&lt;b&gt;CASTING&lt;/b&gt;&lt;/h5&gt;&lt;/div&gt;&lt;hr/&gt;&lt;div&gt;&lt;h5&gt;&lt;b&gt;Casting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lies.&lt;/p&gt;&lt;/h4&gt;&lt;/div&gt;</t>
  </si>
  <si>
    <t>Blame someone else for your action.</t>
  </si>
  <si>
    <t>Demanding Message</t>
  </si>
  <si>
    <t>bard 3, medium 3, mesmerist 3, occultist 4, psychic 3, sorcerer/wizard 4, witch 4</t>
  </si>
  <si>
    <t>10 minutes/level, then 1 hour/level or until completed (D); see text</t>
  </si>
  <si>
    <t>This spell initially functions as message (allowing no save or spell resistance). Once during the message effect, you can concentrate as a standard action to issue a suggestion to one target as part of delivering a message. Spell resistance and a Will save apply to the suggestion, and it lasts for 1 hour per level or until completed.</t>
  </si>
  <si>
    <t>&lt;p&gt;This spell initially functions as &lt;i&gt;message&lt;/i&gt; (allowing no save or spell resistance). Once during the &lt;i&gt;message&lt;/i&gt; effect, you can concentrate as a standard action to issue a &lt;i&gt;suggestion&lt;/i&gt; to one target as part of delivering a &lt;i&gt;message&lt;/i&gt;. Spell resistance and a Will save apply to the &lt;i&gt;suggestion&lt;/i&gt;, and it lasts for 1 hour per level or until completed.&lt;/p&gt;</t>
  </si>
  <si>
    <t>&lt;link rel="stylesheet"href="PF.css"&gt;&lt;div class="heading"&gt;&lt;p class="alignleft"&gt;Demanding Message&lt;/p&gt;&lt;div style="clear: both;"&gt;&lt;/div&gt;&lt;/div&gt;&lt;div&gt;&lt;h5&gt;&lt;b&gt;School &lt;/b&gt;enchantment (compulsion) [language-dependent, mind-affecting]; &lt;b&gt;Level &lt;/b&gt;bard 3, medium 3, mesmerist 3, occultist 4, psychic 3, sorcerer/wizard 4, witch 4&lt;/h5&gt;&lt;/div&gt;&lt;hr/&gt;&lt;div&gt;&lt;h5&gt;&lt;b&gt;CASTING&lt;/b&gt;&lt;/h5&gt;&lt;/div&gt;&lt;hr/&gt;&lt;div&gt;&lt;h5&gt;&lt;b&gt;Casting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minutes/level, then 1 hour/level or until completed (D); see text&lt;/h5&gt;&lt;h5&gt;&lt;b&gt;Saving Throw &lt;/b&gt;Will negates (see text); &lt;b&gt;Spell Resistance &lt;/b&gt;yes; see text&lt;/h5&gt;&lt;/div&gt;&lt;hr/&gt;&lt;div&gt;&lt;h5&gt;&lt;b&gt;DESCRIPTION&lt;/b&gt;&lt;/h5&gt;&lt;/div&gt;&lt;hr/&gt;&lt;div&gt;&lt;h4&gt;&lt;p&gt;This spell initially functions as &lt;i&gt;message&lt;/i&gt; (allowing no save or spell resistance). Once during the &lt;i&gt;message&lt;/i&gt; effect, you can concentrate as a standard action to issue a &lt;i&gt;suggestion&lt;/i&gt; to one target as part of delivering a &lt;i&gt;message&lt;/i&gt;. Spell resistance and a Will save apply to the &lt;i&gt;suggestion&lt;/i&gt;, and it lasts for 1 hour per level or until completed.&lt;/p&gt;&lt;/h4&gt;&lt;/div&gt;</t>
  </si>
  <si>
    <t>Send messages as per message with a suggestion for one creature.</t>
  </si>
  <si>
    <t>Demanding Message, Mass</t>
  </si>
  <si>
    <t>bard 6, mesmerist 6, occultist 6, psychic 6, sorcerer/wizard 7, witch 7</t>
  </si>
  <si>
    <t>This spell functions as demanding message, except that you can issue one suggestion to each of the spell's targets instead of just one. Each time you do so, it takes a standard action. You can issue a different suggestion to each target.</t>
  </si>
  <si>
    <t>&lt;p&gt;This spell functions as &lt;i&gt;demanding message&lt;/i&gt;, except that you can issue one &lt;i&gt;suggestion&lt;/i&gt; to each of the spell's targets instead of just one. Each time you do so, it takes a standard action. You can issue a different &lt;i&gt;suggestion&lt;/i&gt; to each target.&lt;/p&gt;</t>
  </si>
  <si>
    <t>&lt;link rel="stylesheet"href="PF.css"&gt;&lt;div class="heading"&gt;&lt;p class="alignleft"&gt;Demanding Message, Mass&lt;/p&gt;&lt;div style="clear: both;"&gt;&lt;/div&gt;&lt;/div&gt;&lt;div&gt;&lt;h5&gt;&lt;b&gt;School &lt;/b&gt;enchantment (compulsion) [language-dependent, mind-affecting]; &lt;b&gt;Level &lt;/b&gt;bard 6, mesmerist 6, occultist 6, psychic 6, sorcerer/wizard 7, witch 7&lt;/h5&gt;&lt;/div&gt;&lt;hr/&gt;&lt;div&gt;&lt;h5&gt;&lt;b&gt;CASTING&lt;/b&gt;&lt;/h5&gt;&lt;/div&gt;&lt;hr/&gt;&lt;div&gt;&lt;h5&gt;&lt;b&gt;Casting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minutes/level, then 1 hour/level or until completed (D); see text&lt;/h5&gt;&lt;h5&gt;&lt;b&gt;Saving Throw &lt;/b&gt;Will negates (see text); &lt;b&gt;Spell Resistance &lt;/b&gt;yes; see text&lt;/h5&gt;&lt;/div&gt;&lt;hr/&gt;&lt;div&gt;&lt;h5&gt;&lt;b&gt;DESCRIPTION&lt;/b&gt;&lt;/h5&gt;&lt;/div&gt;&lt;hr/&gt;&lt;div&gt;&lt;h4&gt;&lt;p&gt;This spell functions as &lt;i&gt;demanding message&lt;/i&gt;, except that you can issue one &lt;i&gt;suggestion&lt;/i&gt; to each of the spell's targets instead of just one. Each time you do so, it takes a standard action. You can issue a different &lt;i&gt;suggestion&lt;/i&gt; to each target.&lt;/p&gt;&lt;/h4&gt;&lt;/div&gt;</t>
  </si>
  <si>
    <t>Send messages as per message with one suggestion for each creature.</t>
  </si>
  <si>
    <t>Desperate Weapon</t>
  </si>
  <si>
    <t>antipaladin 1, bard 1, bloodrager 1, cleric/oracle 1, inquisitor 1, magus 1, occultist 1, ranger 1, sorcerer/wizard 1</t>
  </si>
  <si>
    <t>one-handed improvised weapon</t>
  </si>
  <si>
    <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t>
  </si>
  <si>
    <t>&lt;p&gt;You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damage.&lt;/p&gt;</t>
  </si>
  <si>
    <t>&lt;link rel="stylesheet"href="PF.css"&gt;&lt;div class="heading"&gt;&lt;p class="alignleft"&gt;Desperate Weapon&lt;/p&gt;&lt;div style="clear: both;"&gt;&lt;/div&gt;&lt;/div&gt;&lt;div&gt;&lt;h5&gt;&lt;b&gt;School &lt;/b&gt;conjuration (creation); &lt;b&gt;Level &lt;/b&gt;antipaladin 1, bard 1, bloodrager 1, cleric/oracle 1, inquisitor 1, magus 1, occultist 1, ranger 1, sorcerer/wizard 1&lt;/h5&gt;&lt;/div&gt;&lt;hr/&gt;&lt;div&gt;&lt;h5&gt;&lt;b&gt;CASTING&lt;/b&gt;&lt;/h5&gt;&lt;/div&gt;&lt;hr/&gt;&lt;div&gt;&lt;h5&gt;&lt;b&gt;Casting Time &lt;/b&gt;1 swift action&lt;/h5&gt;&lt;h5&gt;&lt;b&gt;Components &lt;/b&gt;V&lt;/h5&gt;&lt;/div&gt;&lt;hr/&gt;&lt;div&gt;&lt;h5&gt;&lt;b&gt;EFFECT&lt;/b&gt;&lt;/h5&gt;&lt;/div&gt;&lt;hr/&gt;&lt;div&gt;&lt;h5&gt;&lt;b&gt;Range &lt;/b&gt;personal&lt;/h5&gt;&lt;h5&gt;&lt;b&gt;Effect &lt;/b&gt;one-handed improvised weapon&lt;/h5&gt;&lt;h5&gt;&lt;b&gt;Duration &lt;/b&gt;1 minute/level&lt;/h5&gt;&lt;h5&gt;&lt;b&gt;Saving Throw &lt;/b&gt;none; &lt;b&gt;Spell Resistance &lt;/b&gt;no&lt;/h5&gt;&lt;/div&gt;&lt;hr/&gt;&lt;div&gt;&lt;h5&gt;&lt;b&gt;DESCRIPTION&lt;/b&gt;&lt;/h5&gt;&lt;/div&gt;&lt;hr/&gt;&lt;div&gt;&lt;h4&gt;&lt;p&gt;You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damage.&lt;/p&gt;&lt;/h4&gt;&lt;/div&gt;</t>
  </si>
  <si>
    <t>Create an improvised weapon.</t>
  </si>
  <si>
    <t>Detect Anxieties</t>
  </si>
  <si>
    <t>antipaladin 2, bard 3, cleric/oracle 3, inquisitor 3, medium 2, mesmerist 2, paladin 3, psychic 2, sorcerer/wizard 3, spiritualist 3, witch 3</t>
  </si>
  <si>
    <t>V, S, F/DF (a medallion)</t>
  </si>
  <si>
    <t>This spell functions as detect thoughts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t>
  </si>
  <si>
    <t>&lt;p&gt;This spell functions as &lt;i&gt;detect thoughts&lt;/i&gt;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creature.&lt;/p&gt;</t>
  </si>
  <si>
    <t>&lt;link rel="stylesheet"href="PF.css"&gt;&lt;div class="heading"&gt;&lt;p class="alignleft"&gt;Detect Anxieties&lt;/p&gt;&lt;div style="clear: both;"&gt;&lt;/div&gt;&lt;/div&gt;&lt;div&gt;&lt;h5&gt;&lt;b&gt;School &lt;/b&gt;divination [mind-affecting]; &lt;b&gt;Level &lt;/b&gt;antipaladin 2, bard 3, cleric/oracle 3, inquisitor 3, medium 2, mesmerist 2, paladin 3, psychic 2, sorcerer/wizard 3, spiritualist 3, witch 3&lt;/h5&gt;&lt;/div&gt;&lt;hr/&gt;&lt;div&gt;&lt;h5&gt;&lt;b&gt;CASTING&lt;/b&gt;&lt;/h5&gt;&lt;/div&gt;&lt;hr/&gt;&lt;div&gt;&lt;h5&gt;&lt;b&gt;Casting Time &lt;/b&gt;1 standard action&lt;/h5&gt;&lt;h5&gt;&lt;b&gt;Components &lt;/b&gt;V, S, F/DF (a medallion)&lt;/h5&gt;&lt;/div&gt;&lt;hr/&gt;&lt;div&gt;&lt;h5&gt;&lt;b&gt;EFFECT&lt;/b&gt;&lt;/h5&gt;&lt;/div&gt;&lt;hr/&gt;&lt;div&gt;&lt;h5&gt;&lt;b&gt;Range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as &lt;i&gt;detect thoughts&lt;/i&gt;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creature.&lt;/p&gt;&lt;/h4&gt;&lt;/div&gt;</t>
  </si>
  <si>
    <t>Learn what makes creatures anxious.</t>
  </si>
  <si>
    <t>Detect Desires</t>
  </si>
  <si>
    <t>antipaladin 2, bard 2, cleric/oracle 3, inquisitor 3, medium 2, mesmerist 3, paladin 3, psychic 2, sorcerer/wizard 3, spiritualist 3, witch 3</t>
  </si>
  <si>
    <t>This spell functions as per detect thoughts,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t>
  </si>
  <si>
    <t>&lt;p&gt;This spell functions as per &lt;i&gt;detect thoughts&lt;/i&gt;,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it.&lt;/p&gt;</t>
  </si>
  <si>
    <t>&lt;link rel="stylesheet"href="PF.css"&gt;&lt;div class="heading"&gt;&lt;p class="alignleft"&gt;Detect Desires&lt;/p&gt;&lt;div style="clear: both;"&gt;&lt;/div&gt;&lt;/div&gt;&lt;div&gt;&lt;h5&gt;&lt;b&gt;School &lt;/b&gt;divination [mind-affecting]; &lt;b&gt;Level &lt;/b&gt;antipaladin 2, bard 2, cleric/oracle 3, inquisitor 3, medium 2, mesmerist 3, paladin 3, psychic 2, sorcerer/wizard 3, spiritualist 3, witch 3&lt;/h5&gt;&lt;/div&gt;&lt;hr/&gt;&lt;div&gt;&lt;h5&gt;&lt;b&gt;CASTING&lt;/b&gt;&lt;/h5&gt;&lt;/div&gt;&lt;hr/&gt;&lt;div&gt;&lt;h5&gt;&lt;b&gt;Casting Time &lt;/b&gt;1 standard action&lt;/h5&gt;&lt;h5&gt;&lt;b&gt;Components &lt;/b&gt;V, S, F/DF (a medallion)&lt;/h5&gt;&lt;/div&gt;&lt;hr/&gt;&lt;div&gt;&lt;h5&gt;&lt;b&gt;EFFECT&lt;/b&gt;&lt;/h5&gt;&lt;/div&gt;&lt;hr/&gt;&lt;div&gt;&lt;h5&gt;&lt;b&gt;Range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as per &lt;i&gt;detect thoughts&lt;/i&gt;,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it.&lt;/p&gt;&lt;/h4&gt;&lt;/div&gt;</t>
  </si>
  <si>
    <t>Learn what creatures desire.</t>
  </si>
  <si>
    <t>Detect Magic, Greater</t>
  </si>
  <si>
    <t>bard 2, cleric/oracle 2, druid 2, inquisitor 2, magus 2, medium 2, mesmerist 2, occultist 2, psychic 2, shaman 2, sorcerer/wizard 2, spiritualist 2, summoner 2, witch 2</t>
  </si>
  <si>
    <t>This spell functions as detect magic,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greater magic aura (see page 219) can obfuscate this information, making it seem that someone else cast the spell. Greater detect magic grants a saving throw against magic aura (but not greater magic aura).</t>
  </si>
  <si>
    <t>&lt;p&gt;This spell functions as &lt;i&gt;detect magic&lt;/i&gt;,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&lt;i&gt;greater &lt;i&gt;magic aura&lt;/i&gt;&lt;/i&gt; (see page 219) can obfuscate this information, making it seem that someone else cast the spell. Greater &lt;i&gt;detect magic&lt;/i&gt; grants a saving throw against &lt;i&gt;magic aura&lt;/i&gt; (but not &lt;i&gt;greater &lt;i&gt;magic aura&lt;/i&gt;&lt;/i&gt;).&lt;/p&gt;</t>
  </si>
  <si>
    <t>&lt;link rel="stylesheet"href="PF.css"&gt;&lt;div class="heading"&gt;&lt;p class="alignleft"&gt;Detect Magic, Greater&lt;/p&gt;&lt;div style="clear: both;"&gt;&lt;/div&gt;&lt;/div&gt;&lt;div&gt;&lt;h5&gt;&lt;b&gt;School &lt;/b&gt;divination; &lt;b&gt;Level &lt;/b&gt;bard 2, cleric/oracle 2, druid 2, inquisitor 2, magus 2, medium 2, mesmerist 2, occultist 2, psychic 2, shaman 2, sorcerer/wizard 2, spiritualist 2, summoner 2, witch 2&lt;/h5&gt;&lt;/div&gt;&lt;hr/&gt;&lt;div&gt;&lt;h5&gt;&lt;b&gt;CASTING&lt;/b&gt;&lt;/h5&gt;&lt;/div&gt;&lt;hr/&gt;&lt;div&gt;&lt;h5&gt;&lt;b&gt;Casting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&lt;/b&gt;no&lt;/h5&gt;&lt;/div&gt;&lt;hr/&gt;&lt;div&gt;&lt;h5&gt;&lt;b&gt;DESCRIPTION&lt;/b&gt;&lt;/h5&gt;&lt;/div&gt;&lt;hr/&gt;&lt;div&gt;&lt;h4&gt;&lt;p&gt;This spell functions as &lt;i&gt;detect magic&lt;/i&gt;,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&lt;i&gt;greater &lt;i&gt;magic aura&lt;/i&gt;&lt;/i&gt; (see page 219) can obfuscate this information, making it seem that someone else cast the spell. Greater &lt;i&gt;detect magic&lt;/i&gt; grants a saving throw against &lt;i&gt;magic aura&lt;/i&gt; (but not &lt;i&gt;greater &lt;i&gt;magic aura&lt;/i&gt;&lt;/i&gt;).&lt;/p&gt;&lt;/h4&gt;&lt;/div&gt;</t>
  </si>
  <si>
    <t>As detect magic, but learn more information.</t>
  </si>
  <si>
    <t>Detect The Faithful</t>
  </si>
  <si>
    <t>antipaladin 1, cleric/oracle 1, druid 1, inquisitor 1, paladin 1, ranger 1, shaman 1</t>
  </si>
  <si>
    <t>You can detect other worshipers of your deity (mortal worshipers, outsider servants, and so on). The amount of information revealed depends on how long you focus on a particular area or subject.  1st Round: Presence or absence of the faithful.  2nd Round: Number of individual faithful in the area.  3rd Round: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t>
  </si>
  <si>
    <t>&lt;p&gt;You can detect other worshipers of your deity (mortal worshipers, outsider servants, and so on). The amount of information revealed depends on how long you focus on a particular area or subject.  &lt;i&gt;1st Round&lt;/i&gt;: Presence or absence of the faithful.  &lt;i&gt;2nd Round&lt;/i&gt;: Number of individual faithful in the area.  &lt;i&gt;3rd Round&lt;/i&gt;: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spies.&lt;/p&gt;</t>
  </si>
  <si>
    <t>&lt;link rel="stylesheet"href="PF.css"&gt;&lt;div class="heading"&gt;&lt;p class="alignleft"&gt;Detect The Faithful&lt;/p&gt;&lt;div style="clear: both;"&gt;&lt;/div&gt;&lt;/div&gt;&lt;div&gt;&lt;h5&gt;&lt;b&gt;School &lt;/b&gt;divination; &lt;b&gt;Level &lt;/b&gt;antipaladin 1, cleric/oracle 1, druid 1, inquisitor 1, paladin 1, ranger 1, shaman 1&lt;/h5&gt;&lt;/div&gt;&lt;hr/&gt;&lt;div&gt;&lt;h5&gt;&lt;b&gt;CASTING&lt;/b&gt;&lt;/h5&gt;&lt;/div&gt;&lt;hr/&gt;&lt;div&gt;&lt;h5&gt;&lt;b&gt;Casting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can detect other worshipers of your deity (mortal worshipers, outsider servants, and so on). The amount of information revealed depends on how long you focus on a particular area or subject.  &lt;i&gt;1st Round&lt;/i&gt;: Presence or absence of the faithful.  &lt;i&gt;2nd Round&lt;/i&gt;: Number of individual faithful in the area.  &lt;i&gt;3rd Round&lt;/i&gt;: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spies.&lt;/p&gt;&lt;/h4&gt;&lt;/div&gt;</t>
  </si>
  <si>
    <t>Find others of the same faith.</t>
  </si>
  <si>
    <t>Disrupt Silence</t>
  </si>
  <si>
    <t>bard 2, cleric/oracle 3, inquisitor 3, psychic 3</t>
  </si>
  <si>
    <t>S, M (tiny silver bell, chime, or gong)</t>
  </si>
  <si>
    <t>10-ft.-radius emanation centered on a creature, object, or point in space</t>
  </si>
  <si>
    <t>You suppress magical sound-dampening effects within the area. Disrupt silence temporarily negates magical silence within its area, so that normal sounds can be heard within the overlapping areas of effect. Additionally, disrupt silence can automatically counter or dispel any magical silence effect of equal or lower level cast upon the same target, such as silence. If you cast disrupt silence on the target of a higher-level silence effect, it functions as dispel magic instead of its normal function.</t>
  </si>
  <si>
    <t>&lt;p&gt;You suppress magical sound-dampening effects within the area. &lt;i&gt;Disrupt &lt;i&gt;silence&lt;/i&gt;&lt;/i&gt; temporarily negates magical &lt;i&gt;silence&lt;/i&gt; within its area, so that normal sounds can be heard within the overlapping areas of effect. Additionally, &lt;i&gt;disrupt &lt;i&gt;silence&lt;/i&gt;&lt;/i&gt; can automatically counter or dispel any magical &lt;i&gt;silence&lt;/i&gt; effect of equal or lower level cast upon the same target, such as &lt;i&gt;silence&lt;/i&gt;. If you cast &lt;i&gt;disrupt &lt;i&gt;silence&lt;/i&gt;&lt;/i&gt; on the target of a higher-level &lt;i&gt;silence&lt;/i&gt; effect, it functions as &lt;i&gt;dispel magic&lt;/i&gt; instead of its normal function.&lt;/p&gt;</t>
  </si>
  <si>
    <t>&lt;link rel="stylesheet"href="PF.css"&gt;&lt;div class="heading"&gt;&lt;p class="alignleft"&gt;Disrupt Silence&lt;/p&gt;&lt;div style="clear: both;"&gt;&lt;/div&gt;&lt;/div&gt;&lt;div&gt;&lt;h5&gt;&lt;b&gt;School &lt;/b&gt;abjuration; &lt;b&gt;Level &lt;/b&gt;bard 2, cleric/oracle 3, inquisitor 3, psychic 3&lt;/h5&gt;&lt;/div&gt;&lt;hr/&gt;&lt;div&gt;&lt;h5&gt;&lt;b&gt;CASTING&lt;/b&gt;&lt;/h5&gt;&lt;/div&gt;&lt;hr/&gt;&lt;div&gt;&lt;h5&gt;&lt;b&gt;Casting Time &lt;/b&gt;1 standard action&lt;/h5&gt;&lt;h5&gt;&lt;b&gt;Components &lt;/b&gt;S, M (tiny silver bell, chime, or gong)&lt;/h5&gt;&lt;/div&gt;&lt;hr/&gt;&lt;div&gt;&lt;h5&gt;&lt;b&gt;EFFECT&lt;/b&gt;&lt;/h5&gt;&lt;/div&gt;&lt;hr/&gt;&lt;div&gt;&lt;h5&gt;&lt;b&gt;Range &lt;/b&gt;touch&lt;/h5&gt;&lt;h5&gt;&lt;b&gt;Area &lt;/b&gt;10-ft.-radius emanation centered on a creature, object, or point in space&lt;/h5&gt;&lt;h5&gt;&lt;b&gt;Duration &lt;/b&gt;1 round/level (D)&lt;/h5&gt;&lt;h5&gt;&lt;b&gt;Saving Throw &lt;/b&gt;Will negates; &lt;b&gt;Spell Resistance &lt;/b&gt;yes&lt;/h5&gt;&lt;/div&gt;&lt;hr/&gt;&lt;div&gt;&lt;h5&gt;&lt;b&gt;DESCRIPTION&lt;/b&gt;&lt;/h5&gt;&lt;/div&gt;&lt;hr/&gt;&lt;div&gt;&lt;h4&gt;&lt;p&gt;You suppress magical sound-dampening effects within the area. &lt;i&gt;Disrupt &lt;i&gt;silence&lt;/i&gt;&lt;/i&gt; temporarily negates magical &lt;i&gt;silence&lt;/i&gt; within its area, so that normal sounds can be heard within the overlapping areas of effect. Additionally, &lt;i&gt;disrupt &lt;i&gt;silence&lt;/i&gt;&lt;/i&gt; can automatically counter or dispel any magical &lt;i&gt;silence&lt;/i&gt; effect of equal or lower level cast upon the same target, such as &lt;i&gt;silence&lt;/i&gt;. If you cast &lt;i&gt;disrupt &lt;i&gt;silence&lt;/i&gt;&lt;/i&gt; on the target of a higher-level &lt;i&gt;silence&lt;/i&gt; effect, it functions as &lt;i&gt;dispel magic&lt;/i&gt; instead of its normal function.&lt;/p&gt;&lt;/h4&gt;&lt;/div&gt;</t>
  </si>
  <si>
    <t>Disrupt all silence effects in an area.</t>
  </si>
  <si>
    <t>Dress Corpse</t>
  </si>
  <si>
    <t>V, S, M (a pickled herring)</t>
  </si>
  <si>
    <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t>
  </si>
  <si>
    <t>&lt;p&gt;You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were.&lt;/p&gt;</t>
  </si>
  <si>
    <t>&lt;link rel="stylesheet"href="PF.css"&gt;&lt;div class="heading"&gt;&lt;p class="alignleft"&gt;Dress Corpse&lt;/p&gt;&lt;div style="clear: both;"&gt;&lt;/div&gt;&lt;/div&gt;&lt;div&gt;&lt;h5&gt;&lt;b&gt;School &lt;/b&gt;necromancy; &lt;b&gt;Level &lt;/b&gt;cleric/oracle 2, sorcerer/wizard 2, witch 2&lt;/h5&gt;&lt;/div&gt;&lt;hr/&gt;&lt;div&gt;&lt;h5&gt;&lt;b&gt;CASTING&lt;/b&gt;&lt;/h5&gt;&lt;/div&gt;&lt;hr/&gt;&lt;div&gt;&lt;h5&gt;&lt;b&gt;Casting Time &lt;/b&gt;1 standard action&lt;/h5&gt;&lt;h5&gt;&lt;b&gt;Components &lt;/b&gt;V, S, M (a pickled herring)&lt;/h5&gt;&lt;/div&gt;&lt;hr/&gt;&lt;div&gt;&lt;h5&gt;&lt;b&gt;EFFECT&lt;/b&gt;&lt;/h5&gt;&lt;/div&gt;&lt;hr/&gt;&lt;div&gt;&lt;h5&gt;&lt;b&gt;Range &lt;/b&gt;touch&lt;/h5&gt;&lt;h5&gt;&lt;b&gt;Targets &lt;/b&gt;corpse touched&lt;/h5&gt;&lt;h5&gt;&lt;b&gt;Duration &lt;/b&gt;instantaneous&lt;/h5&gt;&lt;h5&gt;&lt;b&gt;Saving Throw &lt;/b&gt;none; &lt;b&gt;Spell Resistance &lt;/b&gt;no&lt;/h5&gt;&lt;/div&gt;&lt;hr/&gt;&lt;div&gt;&lt;h5&gt;&lt;b&gt;DESCRIPTION&lt;/b&gt;&lt;/h5&gt;&lt;/div&gt;&lt;hr/&gt;&lt;div&gt;&lt;h4&gt;&lt;p&gt;You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were.&lt;/p&gt;&lt;/h4&gt;&lt;/div&gt;</t>
  </si>
  <si>
    <t>Doctor the evidence on a corpse.</t>
  </si>
  <si>
    <t>Entice Fey</t>
  </si>
  <si>
    <t>bard 6, druid 7, shaman 7</t>
  </si>
  <si>
    <t>one or two called fey, totaling no more than 12 Hit Dice, which can't appear more than 30 ft. apart</t>
  </si>
  <si>
    <t>This spell functions as lesser entice fey, except that the spell's whimsical calling can produce a single fey of 12 Hit Dice or less, or two fey of the same kind whose Hit Dice total no more than 12.</t>
  </si>
  <si>
    <t>&lt;p&gt;This spell functions as &lt;i&gt;lesser entice fey&lt;/i&gt;, except that the spell's whimsical calling can produce a single fey of 12 Hit Dice or less, or two fey of the same kind whose Hit Dice total no more than 12.&lt;/p&gt;</t>
  </si>
  <si>
    <t>&lt;link rel="stylesheet"href="PF.css"&gt;&lt;div class="heading"&gt;&lt;p class="alignleft"&gt;Entice Fey&lt;/p&gt;&lt;div style="clear: both;"&gt;&lt;/div&gt;&lt;/div&gt;&lt;div&gt;&lt;h5&gt;&lt;b&gt;School &lt;/b&gt;conjuration (calling); &lt;b&gt;Level &lt;/b&gt;bard 6, druid 7, shaman 7&lt;/h5&gt;&lt;/div&gt;&lt;hr/&gt;&lt;div&gt;&lt;h5&gt;&lt;b&gt;CASTING&lt;/b&gt;&lt;/h5&gt;&lt;/div&gt;&lt;hr/&gt;&lt;div&gt;&lt;h5&gt;&lt;b&gt;Casting Time &lt;/b&gt;10 minutes&lt;/h5&gt;&lt;h5&gt;&lt;b&gt;Components &lt;/b&gt;V, S, M (offerings worth 1,250 gp plus payment), DF&lt;/h5&gt;&lt;/div&gt;&lt;hr/&gt;&lt;div&gt;&lt;h5&gt;&lt;b&gt;EFFECT&lt;/b&gt;&lt;/h5&gt;&lt;/div&gt;&lt;hr/&gt;&lt;div&gt;&lt;h5&gt;&lt;b&gt;Range &lt;/b&gt;close (25 ft. + 5 ft./2 levels)&lt;/h5&gt;&lt;h5&gt;&lt;b&gt;Effect &lt;/b&gt;one or two called fey, totaling no more than 12 Hit Dice, which can't appear more than 30 ft. apart&lt;/h5&gt;&lt;h5&gt;&lt;b&gt;Duration &lt;/b&gt;instantaneous&lt;/h5&gt;&lt;h5&gt;&lt;b&gt;Saving Throw &lt;/b&gt;none; &lt;b&gt;Spell Resistance &lt;/b&gt;no&lt;/h5&gt;&lt;/div&gt;&lt;hr/&gt;&lt;div&gt;&lt;h5&gt;&lt;b&gt;DESCRIPTION&lt;/b&gt;&lt;/h5&gt;&lt;/div&gt;&lt;hr/&gt;&lt;div&gt;&lt;h4&gt;&lt;p&gt;This spell functions as &lt;i&gt;lesser entice fey&lt;/i&gt;, except that the spell's whimsical calling can produce a single fey of 12 Hit Dice or less, or two fey of the same kind whose Hit Dice total no more than 12.&lt;/p&gt;&lt;/h4&gt;&lt;/div&gt;</t>
  </si>
  <si>
    <t>Entice service from a fey of 12 Hit Dice or fewer.</t>
  </si>
  <si>
    <t>Entice Fey, Greater</t>
  </si>
  <si>
    <t>up to three called fey, totaling no more than 18 Hit Dice, no two of which can appear more than 30 ft. apart</t>
  </si>
  <si>
    <t>This spell functions as lesser entice fey, except the spell's whimsical calling can produce a single fey of 18 Hit Dice or less,  or up to three fey of the same kind whose Hit Dice total no more than 18.</t>
  </si>
  <si>
    <t>&lt;p&gt;This spell functions as &lt;i&gt;lesser entice fey&lt;/i&gt;, except the spell's whimsical calling can produce a single fey of 18 Hit Dice or less,  or up to three fey of the same kind whose Hit Dice total no more than 18.&lt;/p&gt;</t>
  </si>
  <si>
    <t>&lt;link rel="stylesheet"href="PF.css"&gt;&lt;div class="heading"&gt;&lt;p class="alignleft"&gt;Entice Fey, Greater&lt;/p&gt;&lt;div style="clear: both;"&gt;&lt;/div&gt;&lt;/div&gt;&lt;div&gt;&lt;h5&gt;&lt;b&gt;School &lt;/b&gt;conjuration (calling); &lt;b&gt;Level &lt;/b&gt;druid 9, shaman 9&lt;/h5&gt;&lt;/div&gt;&lt;hr/&gt;&lt;div&gt;&lt;h5&gt;&lt;b&gt;CASTING&lt;/b&gt;&lt;/h5&gt;&lt;/div&gt;&lt;hr/&gt;&lt;div&gt;&lt;h5&gt;&lt;b&gt;Casting Time &lt;/b&gt;10 minutes&lt;/h5&gt;&lt;h5&gt;&lt;b&gt;Components &lt;/b&gt;V, S, M (offerings worth 2,500 gp plus payment), DF&lt;/h5&gt;&lt;/div&gt;&lt;hr/&gt;&lt;div&gt;&lt;h5&gt;&lt;b&gt;EFFECT&lt;/b&gt;&lt;/h5&gt;&lt;/div&gt;&lt;hr/&gt;&lt;div&gt;&lt;h5&gt;&lt;b&gt;Range &lt;/b&gt;close (25 ft. + 5 ft./2 levels)&lt;/h5&gt;&lt;h5&gt;&lt;b&gt;Effect &lt;/b&gt;up to three called fey, totaling no more than 18 Hit Dice, no two of which can appear more than 30 ft. apart&lt;/h5&gt;&lt;h5&gt;&lt;b&gt;Duration &lt;/b&gt;instantaneous&lt;/h5&gt;&lt;h5&gt;&lt;b&gt;Saving Throw &lt;/b&gt;none; &lt;b&gt;Spell Resistance &lt;/b&gt;no&lt;/h5&gt;&lt;/div&gt;&lt;hr/&gt;&lt;div&gt;&lt;h5&gt;&lt;b&gt;DESCRIPTION&lt;/b&gt;&lt;/h5&gt;&lt;/div&gt;&lt;hr/&gt;&lt;div&gt;&lt;h4&gt;&lt;p&gt;This spell functions as &lt;i&gt;lesser entice fey&lt;/i&gt;, except the spell's whimsical calling can produce a single fey of 18 Hit Dice or less,  or up to three fey of the same kind whose Hit Dice total no more than 18.&lt;/p&gt;&lt;/h4&gt;&lt;/div&gt;</t>
  </si>
  <si>
    <t>Entice service from a fey of 18 Hit Dice or fewer.</t>
  </si>
  <si>
    <t>Entice Fey, Lesser</t>
  </si>
  <si>
    <t>bard 4, druid 5, medium 3, ranger 4, shaman 5</t>
  </si>
  <si>
    <t>one called fey with 6 Hit Dice or fewer</t>
  </si>
  <si>
    <t>This spell functions as lesser planar ally, except that you entice a fey of 6 HD or fewer to lend you its aid with an offering of music or something else it finds appealing. Like lesser planar ally,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t>
  </si>
  <si>
    <t>&lt;p&gt;This spell functions as &lt;i&gt;lesser planar ally&lt;/i&gt;, except that you entice a fey of 6 HD or fewer to lend you its aid with an offering of music or something else it finds appealing. Like &lt;i&gt;lesser planar ally&lt;/i&gt;,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payment.&lt;/p&gt;</t>
  </si>
  <si>
    <t>&lt;link rel="stylesheet"href="PF.css"&gt;&lt;div class="heading"&gt;&lt;p class="alignleft"&gt;Entice Fey, Lesser&lt;/p&gt;&lt;div style="clear: both;"&gt;&lt;/div&gt;&lt;/div&gt;&lt;div&gt;&lt;h5&gt;&lt;b&gt;School &lt;/b&gt;conjuration (calling); &lt;b&gt;Level &lt;/b&gt;bard 4, druid 5, medium 3, ranger 4, shaman 5&lt;/h5&gt;&lt;/div&gt;&lt;hr/&gt;&lt;div&gt;&lt;h5&gt;&lt;b&gt;CASTING&lt;/b&gt;&lt;/h5&gt;&lt;/div&gt;&lt;hr/&gt;&lt;div&gt;&lt;h5&gt;&lt;b&gt;Casting Time &lt;/b&gt;10 minutes&lt;/h5&gt;&lt;h5&gt;&lt;b&gt;Components &lt;/b&gt;V, S, M (offerings worth 500 gp plus payment, see text), DF&lt;/h5&gt;&lt;/div&gt;&lt;hr/&gt;&lt;div&gt;&lt;h5&gt;&lt;b&gt;EFFECT&lt;/b&gt;&lt;/h5&gt;&lt;/div&gt;&lt;hr/&gt;&lt;div&gt;&lt;h5&gt;&lt;b&gt;Range &lt;/b&gt;close (25 ft. + 5 ft./2 levels)&lt;/h5&gt;&lt;h5&gt;&lt;b&gt;Effect &lt;/b&gt;one called fey with 6 Hit Dice or fewer&lt;/h5&gt;&lt;h5&gt;&lt;b&gt;Duration &lt;/b&gt;instantaneous&lt;/h5&gt;&lt;h5&gt;&lt;b&gt;Saving Throw &lt;/b&gt;none; &lt;b&gt;Spell Resistance &lt;/b&gt;no&lt;/h5&gt;&lt;/div&gt;&lt;hr/&gt;&lt;div&gt;&lt;h5&gt;&lt;b&gt;DESCRIPTION&lt;/b&gt;&lt;/h5&gt;&lt;/div&gt;&lt;hr/&gt;&lt;div&gt;&lt;h4&gt;&lt;p&gt;This spell functions as &lt;i&gt;lesser planar ally&lt;/i&gt;, except that you entice a fey of 6 HD or fewer to lend you its aid with an offering of music or something else it finds appealing. Like &lt;i&gt;lesser planar ally&lt;/i&gt;,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payment.&lt;/p&gt;&lt;/h4&gt;&lt;/div&gt;</t>
  </si>
  <si>
    <t>Entice service from a fey of 6 Hit Dice or fewer.</t>
  </si>
  <si>
    <t>Fabricate Disguise</t>
  </si>
  <si>
    <t>alchemist 1, antipaladin 1, bard 1, inquisitor 1, psychic 1, sorcerer/wizard 1, witch 1</t>
  </si>
  <si>
    <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t>
  </si>
  <si>
    <t>&lt;p&gt;You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disguise.&lt;/p&gt;</t>
  </si>
  <si>
    <t>&lt;link rel="stylesheet"href="PF.css"&gt;&lt;div class="heading"&gt;&lt;p class="alignleft"&gt;Fabricate Disguise&lt;/p&gt;&lt;div style="clear: both;"&gt;&lt;/div&gt;&lt;/div&gt;&lt;div&gt;&lt;h5&gt;&lt;b&gt;School &lt;/b&gt;transmutation; &lt;b&gt;Level &lt;/b&gt;alchemist 1, antipaladin 1, bard 1, inquisitor 1, psychic 1, sorcerer/wizard 1, witch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&lt;/b&gt;instantaneous&lt;/h5&gt;&lt;/div&gt;&lt;hr/&gt;&lt;div&gt;&lt;h5&gt;&lt;b&gt;DESCRIPTION&lt;/b&gt;&lt;/h5&gt;&lt;/div&gt;&lt;hr/&gt;&lt;div&gt;&lt;h4&gt;&lt;p&gt;You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disguise.&lt;/p&gt;&lt;/h4&gt;&lt;/div&gt;</t>
  </si>
  <si>
    <t>Create a disguise in an instant.</t>
  </si>
  <si>
    <t>False Belief</t>
  </si>
  <si>
    <t>bard 2, mesmerist 2, psychic 2</t>
  </si>
  <si>
    <t>10 minutes, plus length of memory to be altered</t>
  </si>
  <si>
    <t>V, S, M (lemon juice and a scrap of parchment)</t>
  </si>
  <si>
    <t>You temporarily alter the target's memory (similar to modify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t>
  </si>
  <si>
    <t>&lt;p&gt;You temporarily alter the target's memory (similar to &lt;i&gt;modify&lt;/i&gt;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falsehood.&lt;/p&gt;</t>
  </si>
  <si>
    <t>&lt;link rel="stylesheet"href="PF.css"&gt;&lt;div class="heading"&gt;&lt;p class="alignleft"&gt;False Belief&lt;/p&gt;&lt;div style="clear: both;"&gt;&lt;/div&gt;&lt;/div&gt;&lt;div&gt;&lt;h5&gt;&lt;b&gt;School &lt;/b&gt;enchantment (compulsion) [mind-affecting]; &lt;b&gt;Level &lt;/b&gt;bard 2, mesmerist 2, psychic 2&lt;/h5&gt;&lt;/div&gt;&lt;hr/&gt;&lt;div&gt;&lt;h5&gt;&lt;b&gt;CASTING&lt;/b&gt;&lt;/h5&gt;&lt;/div&gt;&lt;hr/&gt;&lt;div&gt;&lt;h5&gt;&lt;b&gt;Casting Time &lt;/b&gt;10 minutes, plus length of memory to be altered&lt;/h5&gt;&lt;h5&gt;&lt;b&gt;Components &lt;/b&gt;V, S, M (lemon juice and a scrap of parchment)&lt;/h5&gt;&lt;/div&gt;&lt;hr/&gt;&lt;div&gt;&lt;h5&gt;&lt;b&gt;EFFECT&lt;/b&gt;&lt;/h5&gt;&lt;/div&gt;&lt;hr/&gt;&lt;div&gt;&lt;h5&gt;&lt;b&gt;Range &lt;/b&gt;touch&lt;/h5&gt;&lt;h5&gt;&lt;b&gt;Targets &lt;/b&gt;willing creature touched&lt;/h5&gt;&lt;h5&gt;&lt;b&gt;Duration &lt;/b&gt;1 hour/level&lt;/h5&gt;&lt;h5&gt;&lt;b&gt;Saving Throw &lt;/b&gt;none; &lt;b&gt;Spell Resistance &lt;/b&gt;yes&lt;/h5&gt;&lt;/div&gt;&lt;hr/&gt;&lt;div&gt;&lt;h5&gt;&lt;b&gt;DESCRIPTION&lt;/b&gt;&lt;/h5&gt;&lt;/div&gt;&lt;hr/&gt;&lt;div&gt;&lt;h4&gt;&lt;p&gt;You temporarily alter the target's memory (similar to &lt;i&gt;modify&lt;/i&gt;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falsehood.&lt;/p&gt;&lt;/h4&gt;&lt;/div&gt;</t>
  </si>
  <si>
    <t>Temporarily plant a false memory.</t>
  </si>
  <si>
    <t>False Future</t>
  </si>
  <si>
    <t>bard 3, cleric/oracle 4, medium 3, mesmerist 3, psychic 4, shaman 4, sorcerer/wizard 5, spiritualist 4, witch 4</t>
  </si>
  <si>
    <t>V, S, M (crushed jade worth 100 gp)</t>
  </si>
  <si>
    <t>Will negates or Will disbelief (see text)</t>
  </si>
  <si>
    <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false future.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false future.  False future can't be detected by detect magic or identify, but greater detect magic (see page 212) can detect it.</t>
  </si>
  <si>
    <t>&lt;p&gt;You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&lt;i&gt;false future&lt;/i&gt;.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&lt;i&gt;false future&lt;/i&gt;.  &lt;i&gt;False future&lt;/i&gt; can't be detected by &lt;i&gt;detect magic&lt;/i&gt; or &lt;i&gt;identify&lt;/i&gt;, but greater &lt;i&gt;detect magic&lt;/i&gt; (see page 212) can detect it.&lt;/p&gt;</t>
  </si>
  <si>
    <t>&lt;link rel="stylesheet"href="PF.css"&gt;&lt;div class="heading"&gt;&lt;p class="alignleft"&gt;False Future&lt;/p&gt;&lt;div style="clear: both;"&gt;&lt;/div&gt;&lt;/div&gt;&lt;div&gt;&lt;h5&gt;&lt;b&gt;School &lt;/b&gt;illusion (glamer); &lt;b&gt;Level &lt;/b&gt;bard 3, cleric/oracle 4, medium 3, mesmerist 3, psychic 4, shaman 4, sorcerer/wizard 5, spiritualist 4, witch 4&lt;/h5&gt;&lt;/div&gt;&lt;hr/&gt;&lt;div&gt;&lt;h5&gt;&lt;b&gt;CASTING&lt;/b&gt;&lt;/h5&gt;&lt;/div&gt;&lt;hr/&gt;&lt;div&gt;&lt;h5&gt;&lt;b&gt;Casting Time &lt;/b&gt;1 standard action&lt;/h5&gt;&lt;h5&gt;&lt;b&gt;Components &lt;/b&gt;V, S, M (crushed jade worth 100 gp)&lt;/h5&gt;&lt;/div&gt;&lt;hr/&gt;&lt;div&gt;&lt;h5&gt;&lt;b&gt;EFFECT&lt;/b&gt;&lt;/h5&gt;&lt;/div&gt;&lt;hr/&gt;&lt;div&gt;&lt;h5&gt;&lt;b&gt;Range &lt;/b&gt;touch&lt;/h5&gt;&lt;h5&gt;&lt;b&gt;Targets &lt;/b&gt;creature or object touched&lt;/h5&gt;&lt;h5&gt;&lt;b&gt;Duration &lt;/b&gt;1 hour/level (D)&lt;/h5&gt;&lt;h5&gt;&lt;b&gt;Saving Throw &lt;/b&gt;Will negates or Will disbelief (see text); &lt;b&gt;Spell Resistance &lt;/b&gt;yes&lt;/h5&gt;&lt;/div&gt;&lt;hr/&gt;&lt;div&gt;&lt;h5&gt;&lt;b&gt;DESCRIPTION&lt;/b&gt;&lt;/h5&gt;&lt;/div&gt;&lt;hr/&gt;&lt;div&gt;&lt;h4&gt;&lt;p&gt;You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&lt;i&gt;false future&lt;/i&gt;.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&lt;i&gt;false future&lt;/i&gt;.  &lt;i&gt;False future&lt;/i&gt; can't be detected by &lt;i&gt;detect magic&lt;/i&gt; or &lt;i&gt;identify&lt;/i&gt;, but greater &lt;i&gt;detect magic&lt;/i&gt; (see page 212) can detect it.&lt;/p&gt;&lt;/h4&gt;&lt;/div&gt;</t>
  </si>
  <si>
    <t>Cause divinations of the future to reveal the result you choose.</t>
  </si>
  <si>
    <t>False Resurrection</t>
  </si>
  <si>
    <t>chaotic, evil, ruse</t>
  </si>
  <si>
    <t>cleric/oracle 7, shaman 8, witch 8</t>
  </si>
  <si>
    <t>This spell functions as resurrection except that instead of recalling the dead soul to life, the spell calls a shadow demon with the advanced simple template (Pathfinder RPG Bestiary 67, 294) to possess the body. If you fail to overcome the subject's spell resistance, the subject's soul can negate the calling and gain the option to return to life (as resurrection) in the restored body. The possession otherwise functions (as possessionOA) except that the subject's soul is not present to resist. When false resurrection ends or the demon is removed from the subject, the demon returns to the Abyss, leaving the body alive but soulless (like that created by clone). If the soul hasn't been returned to life already, it has the option to return in the now-empty body if it still lives (as resurrection). If the body was killed, the demon is sent back to the Abyss but the subject remains dead.  Attempts to identify false resurrection with a skill check incorrectly identify it as resurrection (see the ruse descriptor on page 192). A fooled viewer mistakes false resurrection's aura as the lingering aura of an instantaneous conjuration effect.</t>
  </si>
  <si>
    <t>&lt;p&gt;This spell functions as &lt;i&gt;resurrection&lt;/i&gt; except that instead of recalling the dead soul to life, the spell calls a shadow demon with the advanced simple template (&lt;i&gt;Pathfinder RPG Bestiary&lt;/i&gt; 67, 294) to possess the body. If you fail to overcome the subject's spell resistance, the subject's soul can negate the calling and gain the option to return to life (as &lt;i&gt;resurrection&lt;/i&gt;) in the restored body. The possession otherwise functions (as possessionOA) except that the subject's soul is not present to resist. When &lt;i&gt;false&lt;/i&gt; &lt;i&gt;resurrection&lt;/i&gt; ends or the demon is removed from the subject, the demon returns to the Abyss, leaving the body alive but soulless (like that created by clone). If the soul hasn't been returned to life already, it has the option to return in the now-empty body if it still lives (as &lt;i&gt;resurrection&lt;/i&gt;). If the body was killed, the demon is sent back to the Abyss but the subject remains dead.  Attempts to identify &lt;i&gt;false&lt;/i&gt; &lt;i&gt;resurrection&lt;/i&gt; with a skill check incorrectly identify it as &lt;i&gt;resurrection&lt;/i&gt; (see the ruse descriptor on page 192). A fooled viewer mistakes &lt;i&gt;false&lt;/i&gt; &lt;i&gt;resurrection&lt;/i&gt;'s aura as the lingering aura of an instantaneous conjuration effect.&lt;/p&gt;</t>
  </si>
  <si>
    <t>&lt;link rel="stylesheet"href="PF.css"&gt;&lt;div class="heading"&gt;&lt;p class="alignleft"&gt;False Resurrection&lt;/p&gt;&lt;div style="clear: both;"&gt;&lt;/div&gt;&lt;/div&gt;&lt;div&gt;&lt;h5&gt;&lt;b&gt;School &lt;/b&gt;conjuration (calling) [chaotic, evil, ruse]; &lt;b&gt;Level &lt;/b&gt;cleric/oracle 7, shaman 8, witch 8&lt;/h5&gt;&lt;/div&gt;&lt;hr/&gt;&lt;div&gt;&lt;h5&gt;&lt;b&gt;CASTING&lt;/b&gt;&lt;/h5&gt;&lt;/div&gt;&lt;hr/&gt;&lt;div&gt;&lt;h5&gt;&lt;b&gt;Casting Time &lt;/b&gt;1 minute&lt;/h5&gt;&lt;h5&gt;&lt;b&gt;Components &lt;/b&gt;V, S, M (diamond worth 10,000 gp), DF&lt;/h5&gt;&lt;/div&gt;&lt;hr/&gt;&lt;div&gt;&lt;h5&gt;&lt;b&gt;EFFECT&lt;/b&gt;&lt;/h5&gt;&lt;/div&gt;&lt;hr/&gt;&lt;div&gt;&lt;h5&gt;&lt;b&gt;Range &lt;/b&gt;touch&lt;/h5&gt;&lt;h5&gt;&lt;b&gt;Targets &lt;/b&gt;dead creature touched&lt;/h5&gt;&lt;h5&gt;&lt;b&gt;Duration &lt;/b&gt;1 day/level&lt;/h5&gt;&lt;h5&gt;&lt;b&gt;Saving Throw &lt;/b&gt;none; &lt;b&gt;Spell Resistance &lt;/b&gt;yes (harmless)&lt;/h5&gt;&lt;/div&gt;&lt;hr/&gt;&lt;div&gt;&lt;h5&gt;&lt;b&gt;DESCRIPTION&lt;/b&gt;&lt;/h5&gt;&lt;/div&gt;&lt;hr/&gt;&lt;div&gt;&lt;h4&gt;&lt;p&gt;This spell functions as &lt;i&gt;resurrection&lt;/i&gt; except that instead of recalling the dead soul to life, the spell calls a shadow demon with the advanced simple template (&lt;i&gt;Pathfinder RPG Bestiary&lt;/i&gt; 67, 294) to possess the body. If you fail to overcome the subject's spell resistance, the subject's soul can negate the calling and gain the option to return to life (as &lt;i&gt;resurrection&lt;/i&gt;) in the restored body. The possession otherwise functions (as possessionOA) except that the subject's soul is not present to resist. When &lt;i&gt;false&lt;/i&gt; &lt;i&gt;resurrection&lt;/i&gt; ends or the demon is removed from the subject, the demon returns to the Abyss, leaving the body alive but soulless (like that created by clone). If the soul hasn't been returned to life already, it has the option to return in the now-empty body if it still lives (as &lt;i&gt;resurrection&lt;/i&gt;). If the body was killed, the demon is sent back to the Abyss but the subject remains dead.  Attempts to identify &lt;i&gt;false&lt;/i&gt; &lt;i&gt;resurrection&lt;/i&gt; with a skill check incorrectly identify it as &lt;i&gt;resurrection&lt;/i&gt; (see the ruse descriptor on page 192). A fooled viewer mistakes &lt;i&gt;false&lt;/i&gt; &lt;i&gt;resurrection&lt;/i&gt;'s aura as the lingering aura of an instantaneous conjuration effect.&lt;/p&gt;&lt;/h4&gt;&lt;/div&gt;</t>
  </si>
  <si>
    <t>Appear to resurrect someone but instead allow a shadow demon to possess the corpse.</t>
  </si>
  <si>
    <t>False Resurrection, Greater</t>
  </si>
  <si>
    <t>evil, lawful, ruse</t>
  </si>
  <si>
    <t>V, S, M (diamond worth 25,000 gp), DF</t>
  </si>
  <si>
    <t>This spell functions as false resurrection except that i t calls a belier devil with the young simple template (Pathfinder RPG Bestiary 2 85, 292) to possess the body and all parts of false resurrection that function like resurrection instead function like true resurrection.  Attempts to identify greater false resurrection with a skill check incorrectly identify it as true resurrection (see the ruse descriptor on page 192). A fooled viewer mistakes greater false resurrection's aura as the lingering aura of an instantaneous conjuration effect.</t>
  </si>
  <si>
    <t>&lt;p&gt;This spell functions as &lt;i&gt;false &lt;i&gt;resurrection&lt;/i&gt;&lt;/i&gt; except that i t calls a belier devil with the young simple template (&lt;i&gt;Pathfinder RPG Bestiary 2&lt;/i&gt; 85, 292) to possess the body and all parts of &lt;i&gt;false &lt;i&gt;resurrection&lt;/i&gt;&lt;/i&gt; that function like &lt;i&gt;resurrection&lt;/i&gt; instead function like true &lt;i&gt;resurrection&lt;/i&gt;.  Attempts to identify greater &lt;i&gt;false &lt;i&gt;resurrection&lt;/i&gt;&lt;/i&gt; with a skill check incorrectly identify it as true &lt;i&gt;resurrection&lt;/i&gt; (see the ruse descriptor on page 192). A fooled viewer mistakes greater &lt;i&gt;false &lt;i&gt;resurrection&lt;/i&gt;&lt;/i&gt;'s aura as the lingering aura of an instantaneous conjuration effect.&lt;/p&gt;</t>
  </si>
  <si>
    <t>&lt;link rel="stylesheet"href="PF.css"&gt;&lt;div class="heading"&gt;&lt;p class="alignleft"&gt;False Resurrection, Greater&lt;/p&gt;&lt;div style="clear: both;"&gt;&lt;/div&gt;&lt;/div&gt;&lt;div&gt;&lt;h5&gt;&lt;b&gt;School &lt;/b&gt;conjuration (calling) [evil, lawful, ruse]; &lt;b&gt;Level &lt;/b&gt;cleric/oracle 9&lt;/h5&gt;&lt;/div&gt;&lt;hr/&gt;&lt;div&gt;&lt;h5&gt;&lt;b&gt;CASTING&lt;/b&gt;&lt;/h5&gt;&lt;/div&gt;&lt;hr/&gt;&lt;div&gt;&lt;h5&gt;&lt;b&gt;Casting Time &lt;/b&gt;1 minute&lt;/h5&gt;&lt;h5&gt;&lt;b&gt;Components &lt;/b&gt;V, S, M (diamond worth 25,000 gp), DF&lt;/h5&gt;&lt;/div&gt;&lt;hr/&gt;&lt;div&gt;&lt;h5&gt;&lt;b&gt;EFFECT&lt;/b&gt;&lt;/h5&gt;&lt;/div&gt;&lt;hr/&gt;&lt;div&gt;&lt;h5&gt;&lt;b&gt;Range &lt;/b&gt;touch&lt;/h5&gt;&lt;h5&gt;&lt;b&gt;Targets &lt;/b&gt;dead creature touched&lt;/h5&gt;&lt;h5&gt;&lt;b&gt;Duration &lt;/b&gt;permanent&lt;/h5&gt;&lt;h5&gt;&lt;b&gt;Saving Throw &lt;/b&gt;none; &lt;b&gt;Spell Resistance &lt;/b&gt;yes (harmless)&lt;/h5&gt;&lt;/div&gt;&lt;hr/&gt;&lt;div&gt;&lt;h5&gt;&lt;b&gt;DESCRIPTION&lt;/b&gt;&lt;/h5&gt;&lt;/div&gt;&lt;hr/&gt;&lt;div&gt;&lt;h4&gt;&lt;p&gt;This spell functions as &lt;i&gt;false &lt;i&gt;resurrection&lt;/i&gt;&lt;/i&gt; except that i t calls a belier devil with the young simple template (&lt;i&gt;Pathfinder RPG Bestiary 2&lt;/i&gt; 85, 292) to possess the body and all parts of &lt;i&gt;false &lt;i&gt;resurrection&lt;/i&gt;&lt;/i&gt; that function like &lt;i&gt;resurrection&lt;/i&gt; instead function like true &lt;i&gt;resurrection&lt;/i&gt;.  Attempts to identify greater &lt;i&gt;false &lt;i&gt;resurrection&lt;/i&gt;&lt;/i&gt; with a skill check incorrectly identify it as true &lt;i&gt;resurrection&lt;/i&gt; (see the ruse descriptor on page 192). A fooled viewer mistakes greater &lt;i&gt;false &lt;i&gt;resurrection&lt;/i&gt;&lt;/i&gt;'s aura as the lingering aura of an instantaneous conjuration effect.&lt;/p&gt;&lt;/h4&gt;&lt;/div&gt;</t>
  </si>
  <si>
    <t>Appear to use true resurrection on someone but instead allow a belier devil to possess the corpse.</t>
  </si>
  <si>
    <t>False Vision, Greater</t>
  </si>
  <si>
    <t>bard 6, mesmerist 6, psychic 7, sorcerer/wizard 7</t>
  </si>
  <si>
    <t>V, S, M (a jade sphere worth 500 gp)</t>
  </si>
  <si>
    <t>This functions similarly to false vision,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scrying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(scrying) spell, and has no effect on viewers who are there in person.</t>
  </si>
  <si>
    <t>&lt;p&gt;This functions similarly to &lt;i&gt;false vision&lt;/i&gt;,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&lt;i&gt;scrying&lt;/i&gt;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(&lt;i&gt;scrying&lt;/i&gt;) spell, and has no effect on viewers who are there in person.&lt;/p&gt;</t>
  </si>
  <si>
    <t>&lt;link rel="stylesheet"href="PF.css"&gt;&lt;div class="heading"&gt;&lt;p class="alignleft"&gt;False Vision, Greater&lt;/p&gt;&lt;div style="clear: both;"&gt;&lt;/div&gt;&lt;/div&gt;&lt;div&gt;&lt;h5&gt;&lt;b&gt;School &lt;/b&gt;illusion (glamer); &lt;b&gt;Level &lt;/b&gt;bard 6, mesmerist 6, psychic 7, sorcerer/wizard 7&lt;/h5&gt;&lt;/div&gt;&lt;hr/&gt;&lt;div&gt;&lt;h5&gt;&lt;b&gt;CASTING&lt;/b&gt;&lt;/h5&gt;&lt;/div&gt;&lt;hr/&gt;&lt;div&gt;&lt;h5&gt;&lt;b&gt;Casting Time &lt;/b&gt;1 standard action&lt;/h5&gt;&lt;h5&gt;&lt;b&gt;Components &lt;/b&gt;V, S, M (a jade sphere worth 500 gp)&lt;/h5&gt;&lt;/div&gt;&lt;hr/&gt;&lt;div&gt;&lt;h5&gt;&lt;b&gt;EFFECT&lt;/b&gt;&lt;/h5&gt;&lt;/div&gt;&lt;hr/&gt;&lt;div&gt;&lt;h5&gt;&lt;b&gt;Range &lt;/b&gt;see text&lt;/h5&gt;&lt;h5&gt;&lt;b&gt;Targets &lt;/b&gt;one creature&lt;/h5&gt;&lt;h5&gt;&lt;b&gt;Duration &lt;/b&gt;1 hour/level (D)&lt;/h5&gt;&lt;h5&gt;&lt;b&gt;Saving Throw &lt;/b&gt;Will negates; &lt;b&gt;Spell Resistance &lt;/b&gt;no&lt;/h5&gt;&lt;/div&gt;&lt;hr/&gt;&lt;div&gt;&lt;h5&gt;&lt;b&gt;DESCRIPTION&lt;/b&gt;&lt;/h5&gt;&lt;/div&gt;&lt;hr/&gt;&lt;div&gt;&lt;h4&gt;&lt;p&gt;This functions similarly to &lt;i&gt;false vision&lt;/i&gt;,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&lt;i&gt;scrying&lt;/i&gt;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(&lt;i&gt;scrying&lt;/i&gt;) spell, and has no effect on viewers who are there in person.&lt;/p&gt;&lt;/h4&gt;&lt;/div&gt;</t>
  </si>
  <si>
    <t>As false vision, but moves with the target.</t>
  </si>
  <si>
    <t>Ghost Brand</t>
  </si>
  <si>
    <t>bard 4, occultist 3, spiritualist 4, witch 4</t>
  </si>
  <si>
    <t>V, S, M (a branding iron and a strip of white silk worth 10 gp)</t>
  </si>
  <si>
    <t>one willing creature and one object touched</t>
  </si>
  <si>
    <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ghost brand spell is dispelled while the object is inside the target's body,  the object bursts out of the target's flesh, dealing 3d6 points of piercing and slashing damage to the target that bypasses DR, as well as 1d6 points of bleed damage.</t>
  </si>
  <si>
    <t>&lt;p&gt;You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&lt;i&gt;ghost brand&lt;/i&gt; spell is dispelled while the object is inside the target's body,  the object bursts out of the target's flesh, dealing 3d6 points of piercing and slashing damage to the target that bypasses DR, as well as 1d6 points of bleed damage.&lt;/p&gt;</t>
  </si>
  <si>
    <t>&lt;link rel="stylesheet"href="PF.css"&gt;&lt;div class="heading"&gt;&lt;p class="alignleft"&gt;Ghost Brand&lt;/p&gt;&lt;div style="clear: both;"&gt;&lt;/div&gt;&lt;/div&gt;&lt;div&gt;&lt;h5&gt;&lt;b&gt;School &lt;/b&gt;transmutation [shadow&lt;sup&gt;UM&lt;/sup&gt;]; &lt;b&gt;Level &lt;/b&gt;bard 4, occultist 3, spiritualist 4, witch 4&lt;/h5&gt;&lt;/div&gt;&lt;hr/&gt;&lt;div&gt;&lt;h5&gt;&lt;b&gt;CASTING&lt;/b&gt;&lt;/h5&gt;&lt;/div&gt;&lt;hr/&gt;&lt;div&gt;&lt;h5&gt;&lt;b&gt;Casting Time &lt;/b&gt;10 minutes&lt;/h5&gt;&lt;h5&gt;&lt;b&gt;Components &lt;/b&gt;V, S, M (a branding iron and a strip of white silk worth 10 gp)&lt;/h5&gt;&lt;/div&gt;&lt;hr/&gt;&lt;div&gt;&lt;h5&gt;&lt;b&gt;EFFECT&lt;/b&gt;&lt;/h5&gt;&lt;/div&gt;&lt;hr/&gt;&lt;div&gt;&lt;h5&gt;&lt;b&gt;Range &lt;/b&gt;touch&lt;/h5&gt;&lt;h5&gt;&lt;b&gt;Targets &lt;/b&gt;one willing creature and one object touched&lt;/h5&gt;&lt;h5&gt;&lt;b&gt;Duration &lt;/b&gt;1 day/level (D)&lt;/h5&gt;&lt;h5&gt;&lt;b&gt;Saving Throw &lt;/b&gt;none; &lt;b&gt;Spell Resistance &lt;/b&gt;no&lt;/h5&gt;&lt;/div&gt;&lt;hr/&gt;&lt;div&gt;&lt;h5&gt;&lt;b&gt;DESCRIPTION&lt;/b&gt;&lt;/h5&gt;&lt;/div&gt;&lt;hr/&gt;&lt;div&gt;&lt;h4&gt;&lt;p&gt;You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&lt;i&gt;ghost brand&lt;/i&gt; spell is dispelled while the object is inside the target's body,  the object bursts out of the target's flesh, dealing 3d6 points of piercing and slashing damage to the target that bypasses DR, as well as 1d6 points of bleed damage.&lt;/p&gt;&lt;/h4&gt;&lt;/div&gt;</t>
  </si>
  <si>
    <t>Allow an item to transform into a brand and back.</t>
  </si>
  <si>
    <t>Glimpse Of Truth</t>
  </si>
  <si>
    <t>alchemist 5, cleric/oracle 4, druid 5, inquisitor 4, magus 5, medium 3, occultist 4, psychic 4, shaman 4, sorcerer/wizard 5, spiritualist 5, witch 5</t>
  </si>
  <si>
    <t>V, S, M (a tourmaline costing 50 gp)</t>
  </si>
  <si>
    <t>This spell functions like true seeing, except as noted above.</t>
  </si>
  <si>
    <t>&lt;p&gt;This spell functions like &lt;i&gt;true seeing&lt;/i&gt;, except as noted above.&lt;/p&gt;</t>
  </si>
  <si>
    <t>&lt;link rel="stylesheet"href="PF.css"&gt;&lt;div class="heading"&gt;&lt;p class="alignleft"&gt;Glimpse Of Truth&lt;/p&gt;&lt;div style="clear: both;"&gt;&lt;/div&gt;&lt;/div&gt;&lt;div&gt;&lt;h5&gt;&lt;b&gt;School &lt;/b&gt;divination; &lt;b&gt;Level &lt;/b&gt;alchemist 5, cleric/oracle 4, druid 5, inquisitor 4, magus 5, medium 3, occultist 4, psychic 4, shaman 4, sorcerer/wizard 5, spiritualist 5, witch 5&lt;/h5&gt;&lt;/div&gt;&lt;hr/&gt;&lt;div&gt;&lt;h5&gt;&lt;b&gt;CASTING&lt;/b&gt;&lt;/h5&gt;&lt;/div&gt;&lt;hr/&gt;&lt;div&gt;&lt;h5&gt;&lt;b&gt;Casting Time &lt;/b&gt;1 standard action&lt;/h5&gt;&lt;h5&gt;&lt;b&gt;Components &lt;/b&gt;V, S, M (a tourmaline costing 50 gp)&lt;/h5&gt;&lt;/div&gt;&lt;hr/&gt;&lt;div&gt;&lt;h5&gt;&lt;b&gt;EFFECT&lt;/b&gt;&lt;/h5&gt;&lt;/div&gt;&lt;hr/&gt;&lt;div&gt;&lt;h5&gt;&lt;b&gt;Range &lt;/b&gt;personal&lt;/h5&gt;&lt;h5&gt;&lt;b&gt;Targets &lt;/b&gt;you&lt;/h5&gt;&lt;h5&gt;&lt;b&gt;Duration &lt;/b&gt;1 round&lt;/h5&gt;&lt;h5&gt;&lt;b&gt;Saving Throw &lt;/b&gt;Will negates (harmless); &lt;b&gt;Spell Resistance &lt;/b&gt;yes (harmless)&lt;/h5&gt;&lt;/div&gt;&lt;hr/&gt;&lt;div&gt;&lt;h5&gt;&lt;b&gt;DESCRIPTION&lt;/b&gt;&lt;/h5&gt;&lt;/div&gt;&lt;hr/&gt;&lt;div&gt;&lt;h4&gt;&lt;p&gt;This spell functions like &lt;i&gt;true seeing&lt;/i&gt;, except as noted above.&lt;/p&gt;&lt;/h4&gt;&lt;/div&gt;</t>
  </si>
  <si>
    <t>Gain true seeing for 1 round.</t>
  </si>
  <si>
    <t>Handy Grapnel</t>
  </si>
  <si>
    <t>inquisitor 1, ranger 1, sorcerer/wizard 1</t>
  </si>
  <si>
    <t>V, S, M (an arrowhead)</t>
  </si>
  <si>
    <t>one ropelike object, length up to 50 ft. + 5 ft./level</t>
  </si>
  <si>
    <t>You cause the target rope to shrink and reshape itself into an arrow, bolt, or similar piece of ammunition, which you can shoot at any Medium or larger object. With a successful attack roll against an AC equal to 5 plus the hardness of the target object, the handy grapnel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handy grapnel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handy grapnel comes loose and any creature or object supported by the rope falls.</t>
  </si>
  <si>
    <t>&lt;p&gt;You cause the target rope to shrink and reshape itself into an arrow, bolt, or similar piece of ammunition, which you can shoot at any Medium or larger object. With a successful attack roll against an AC equal to 5 plus the hardness of the target object, the &lt;i&gt;handy grapnel&lt;/i&gt;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&lt;i&gt;handy grapnel&lt;/i&gt;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&lt;i&gt;handy grapnel&lt;/i&gt; comes loose and any creature or object supported by the rope falls.&lt;/p&gt;</t>
  </si>
  <si>
    <t>&lt;link rel="stylesheet"href="PF.css"&gt;&lt;div class="heading"&gt;&lt;p class="alignleft"&gt;Handy Grapnel&lt;/p&gt;&lt;div style="clear: both;"&gt;&lt;/div&gt;&lt;/div&gt;&lt;div&gt;&lt;h5&gt;&lt;b&gt;School &lt;/b&gt;transmutation; &lt;b&gt;Level &lt;/b&gt;inquisitor 1, ranger 1, sorcerer/wizard 1&lt;/h5&gt;&lt;/div&gt;&lt;hr/&gt;&lt;div&gt;&lt;h5&gt;&lt;b&gt;CASTING&lt;/b&gt;&lt;/h5&gt;&lt;/div&gt;&lt;hr/&gt;&lt;div&gt;&lt;h5&gt;&lt;b&gt;Casting Time &lt;/b&gt;1 standard action&lt;/h5&gt;&lt;h5&gt;&lt;b&gt;Components &lt;/b&gt;V, S, M (an arrowhead)&lt;/h5&gt;&lt;/div&gt;&lt;hr/&gt;&lt;div&gt;&lt;h5&gt;&lt;b&gt;EFFECT&lt;/b&gt;&lt;/h5&gt;&lt;/div&gt;&lt;hr/&gt;&lt;div&gt;&lt;h5&gt;&lt;b&gt;Range &lt;/b&gt;touch&lt;/h5&gt;&lt;h5&gt;&lt;b&gt;Targets &lt;/b&gt;one ropelike object, length up to 50 ft. + 5 ft./level&lt;/h5&gt;&lt;h5&gt;&lt;b&gt;Duration &lt;/b&gt;1 minute/level (D)&lt;/h5&gt;&lt;h5&gt;&lt;b&gt;Saving Throw &lt;/b&gt;Fortitude negates (object); &lt;b&gt;Spell Resistance &lt;/b&gt;no&lt;/h5&gt;&lt;/div&gt;&lt;hr/&gt;&lt;div&gt;&lt;h5&gt;&lt;b&gt;DESCRIPTION&lt;/b&gt;&lt;/h5&gt;&lt;/div&gt;&lt;hr/&gt;&lt;div&gt;&lt;h4&gt;&lt;p&gt;You cause the target rope to shrink and reshape itself into an arrow, bolt, or similar piece of ammunition, which you can shoot at any Medium or larger object. With a successful attack roll against an AC equal to 5 plus the hardness of the target object, the &lt;i&gt;handy grapnel&lt;/i&gt;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&lt;i&gt;handy grapnel&lt;/i&gt;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&lt;i&gt;handy grapnel&lt;/i&gt; comes loose and any creature or object supported by the rope falls.&lt;/p&gt;&lt;/h4&gt;&lt;/div&gt;</t>
  </si>
  <si>
    <t>Transform a ropelike object into a retracting grapple.</t>
  </si>
  <si>
    <t>Hidden Presence</t>
  </si>
  <si>
    <t>bard 2, inquisitor 2, mesmerist 2, psychic 2, sorcerer/wizard 2, witch 2</t>
  </si>
  <si>
    <t>V, S, M (eye drops made with extract of poppy)</t>
  </si>
  <si>
    <t>up to one creature per 3 caster levels</t>
  </si>
  <si>
    <t>You prevent the targets from having conscious awareness of your presence. You make yourself completely undetectable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detect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t>
  </si>
  <si>
    <t>&lt;p&gt;You prevent the targets from having conscious awareness of your presence. You make yourself completely un&lt;i&gt;detect&lt;/i&gt;able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&lt;i&gt;detect&lt;/i&gt;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throw.&lt;/p&gt;</t>
  </si>
  <si>
    <t>&lt;link rel="stylesheet"href="PF.css"&gt;&lt;div class="heading"&gt;&lt;p class="alignleft"&gt;Hidden Presence&lt;/p&gt;&lt;div style="clear: both;"&gt;&lt;/div&gt;&lt;/div&gt;&lt;div&gt;&lt;h5&gt;&lt;b&gt;School &lt;/b&gt;enchantment (compulsion) [mind-affecting]; &lt;b&gt;Level &lt;/b&gt;bard 2, inquisitor 2, mesmerist 2, psychic 2, sorcerer/wizard 2, witch 2&lt;/h5&gt;&lt;/div&gt;&lt;hr/&gt;&lt;div&gt;&lt;h5&gt;&lt;b&gt;CASTING&lt;/b&gt;&lt;/h5&gt;&lt;/div&gt;&lt;hr/&gt;&lt;div&gt;&lt;h5&gt;&lt;b&gt;Casting Time &lt;/b&gt;1 standard action&lt;/h5&gt;&lt;h5&gt;&lt;b&gt;Components &lt;/b&gt;V, S, M (eye drops made with extract of poppy)&lt;/h5&gt;&lt;/div&gt;&lt;hr/&gt;&lt;div&gt;&lt;h5&gt;&lt;b&gt;EFFECT&lt;/b&gt;&lt;/h5&gt;&lt;/div&gt;&lt;hr/&gt;&lt;div&gt;&lt;h5&gt;&lt;b&gt;Range &lt;/b&gt;close (25 ft. + 5 ft./2 levels)&lt;/h5&gt;&lt;h5&gt;&lt;b&gt;Targets &lt;/b&gt;up to one creature per 3 caster levels&lt;/h5&gt;&lt;h5&gt;&lt;b&gt;Duration &lt;/b&gt;1 minute/level (D)&lt;/h5&gt;&lt;h5&gt;&lt;b&gt;Saving Throw &lt;/b&gt;Will negates; &lt;b&gt;Spell Resistance &lt;/b&gt;yes&lt;/h5&gt;&lt;/div&gt;&lt;hr/&gt;&lt;div&gt;&lt;h5&gt;&lt;b&gt;DESCRIPTION&lt;/b&gt;&lt;/h5&gt;&lt;/div&gt;&lt;hr/&gt;&lt;div&gt;&lt;h4&gt;&lt;p&gt;You prevent the targets from having conscious awareness of your presence. You make yourself completely un&lt;i&gt;detect&lt;/i&gt;able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&lt;i&gt;detect&lt;/i&gt;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throw.&lt;/p&gt;&lt;/h4&gt;&lt;/div&gt;</t>
  </si>
  <si>
    <t>Prevent creatures from noticing your presence.</t>
  </si>
  <si>
    <t>Hollow Heroism</t>
  </si>
  <si>
    <t>mind-affecting, ruse</t>
  </si>
  <si>
    <t>bard 3, bloodrager 4, inquisitor 4, medium 3, psychic 4, sorcerer/wizard 4, spiritualist 4, summoner 4, witch 4</t>
  </si>
  <si>
    <t>This spell functions as heroism,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heroism with a skill check incorrectly identify it as heroism (see the ruse descriptor on page 192).</t>
  </si>
  <si>
    <t>&lt;p&gt;This spell functions as &lt;i&gt;heroism&lt;/i&gt;,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&lt;i&gt;heroism&lt;/i&gt; with a skill check incorrectly identify it as &lt;i&gt;heroism&lt;/i&gt; (see the ruse descriptor on page 192).&lt;/p&gt;</t>
  </si>
  <si>
    <t>&lt;link rel="stylesheet"href="PF.css"&gt;&lt;div class="heading"&gt;&lt;p class="alignleft"&gt;Hollow Heroism&lt;/p&gt;&lt;div style="clear: both;"&gt;&lt;/div&gt;&lt;/div&gt;&lt;div&gt;&lt;h5&gt;&lt;b&gt;School &lt;/b&gt;enchantment (compulsion) [mind-affecting, ruse]; &lt;b&gt;Level &lt;/b&gt;bard 3, bloodrager 4, inquisitor 4, medium 3, psychic 4, sorcerer/wizard 4, spiritualist 4, summoner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(harmless)&lt;/h5&gt;&lt;/div&gt;&lt;hr/&gt;&lt;div&gt;&lt;h5&gt;&lt;b&gt;DESCRIPTION&lt;/b&gt;&lt;/h5&gt;&lt;/div&gt;&lt;hr/&gt;&lt;div&gt;&lt;h4&gt;&lt;p&gt;This spell functions as &lt;i&gt;heroism&lt;/i&gt;,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&lt;i&gt;heroism&lt;/i&gt; with a skill check incorrectly identify it as &lt;i&gt;heroism&lt;/i&gt; (see the ruse descriptor on page 192).&lt;/p&gt;&lt;/h4&gt;&lt;/div&gt;</t>
  </si>
  <si>
    <t>Provide a heroism effect that you can reverse at any time.</t>
  </si>
  <si>
    <t>Hollow Heroism, Greater</t>
  </si>
  <si>
    <t>bard 6, psychic 7, sorcerer/wizard 7, witch 7</t>
  </si>
  <si>
    <t>This spell functions as greater heroism,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greater hollow heroism with a skill check incorrectly identify it as greater heroism (see the ruse descriptor on page 192).</t>
  </si>
  <si>
    <t>&lt;p&gt;This spell functions as &lt;i&gt;greater heroism&lt;/i&gt;,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&lt;i&gt;greater hollow heroism&lt;/i&gt; with a skill check incorrectly identify it as &lt;i&gt;greater heroism&lt;/i&gt; (see the ruse descriptor on page 192).&lt;/p&gt;</t>
  </si>
  <si>
    <t>&lt;link rel="stylesheet"href="PF.css"&gt;&lt;div class="heading"&gt;&lt;p class="alignleft"&gt;Hollow Heroism, Greater&lt;/p&gt;&lt;div style="clear: both;"&gt;&lt;/div&gt;&lt;/div&gt;&lt;div&gt;&lt;h5&gt;&lt;b&gt;School &lt;/b&gt;enchantment (compulsion) [mind-affecting, ruse]; &lt;b&gt;Level &lt;/b&gt;bard 6, psychic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(D)&lt;/h5&gt;&lt;h5&gt;&lt;b&gt;Saving Throw &lt;/b&gt;Will negates (harmless); &lt;b&gt;Spell Resistance &lt;/b&gt;yes (harmless)&lt;/h5&gt;&lt;/div&gt;&lt;hr/&gt;&lt;div&gt;&lt;h5&gt;&lt;b&gt;DESCRIPTION&lt;/b&gt;&lt;/h5&gt;&lt;/div&gt;&lt;hr/&gt;&lt;div&gt;&lt;h4&gt;&lt;p&gt;This spell functions as &lt;i&gt;greater heroism&lt;/i&gt;,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&lt;i&gt;greater hollow heroism&lt;/i&gt; with a skill check incorrectly identify it as &lt;i&gt;greater heroism&lt;/i&gt; (see the ruse descriptor on page 192).&lt;/p&gt;&lt;/h4&gt;&lt;/div&gt;</t>
  </si>
  <si>
    <t>Provide a greater heroism effect that you can reverse at any time.</t>
  </si>
  <si>
    <t>Illusion Of Treachery</t>
  </si>
  <si>
    <t>antipaladin 3, magus 4, mesmerist 3, occultist 4, psychic 4, sorcerer/wizard 4</t>
  </si>
  <si>
    <t>S, F (a tiny marionette)</t>
  </si>
  <si>
    <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t>
  </si>
  <si>
    <t>&lt;p&gt;You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disbelieve.&lt;/p&gt;</t>
  </si>
  <si>
    <t>&lt;link rel="stylesheet"href="PF.css"&gt;&lt;div class="heading"&gt;&lt;p class="alignleft"&gt;Illusion Of Treachery&lt;/p&gt;&lt;div style="clear: both;"&gt;&lt;/div&gt;&lt;/div&gt;&lt;div&gt;&lt;h5&gt;&lt;b&gt;School &lt;/b&gt;illusion (figment); &lt;b&gt;Level &lt;/b&gt;antipaladin 3, magus 4, mesmerist 3, occultist 4, psychic 4, sorcerer/wizard 4&lt;/h5&gt;&lt;/div&gt;&lt;hr/&gt;&lt;div&gt;&lt;h5&gt;&lt;b&gt;CASTING&lt;/b&gt;&lt;/h5&gt;&lt;/div&gt;&lt;hr/&gt;&lt;div&gt;&lt;h5&gt;&lt;b&gt;Casting Time &lt;/b&gt;1 standard action&lt;/h5&gt;&lt;h5&gt;&lt;b&gt;Components &lt;/b&gt;S, F (a tiny marionette)&lt;/h5&gt;&lt;/div&gt;&lt;hr/&gt;&lt;div&gt;&lt;h5&gt;&lt;b&gt;EFFECT&lt;/b&gt;&lt;/h5&gt;&lt;/div&gt;&lt;hr/&gt;&lt;div&gt;&lt;h5&gt;&lt;b&gt;Range &lt;/b&gt;close (25 ft. + 5 ft./2 levels)&lt;/h5&gt;&lt;h5&gt;&lt;b&gt;Targets &lt;/b&gt;one creature&lt;/h5&gt;&lt;h5&gt;&lt;b&gt;Duration &lt;/b&gt;1 round/level (D)&lt;/h5&gt;&lt;h5&gt;&lt;b&gt;Saving Throw &lt;/b&gt;Will disbelief; &lt;b&gt;Spell Resistance &lt;/b&gt;yes&lt;/h5&gt;&lt;/div&gt;&lt;hr/&gt;&lt;div&gt;&lt;h5&gt;&lt;b&gt;DESCRIPTION&lt;/b&gt;&lt;/h5&gt;&lt;/div&gt;&lt;hr/&gt;&lt;div&gt;&lt;h4&gt;&lt;p&gt;You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disbelieve.&lt;/p&gt;&lt;/h4&gt;&lt;/div&gt;</t>
  </si>
  <si>
    <t>Make it seem like another is also responsible for your attacks.</t>
  </si>
  <si>
    <t>Illusion Of Treachery, Greater</t>
  </si>
  <si>
    <t>antipaladin 4, magus 6, mesmerist 4, occultist 5, psychic 5, sorcerer/wizard 6</t>
  </si>
  <si>
    <t>you and one creature</t>
  </si>
  <si>
    <t>This spell functions as illusion of treachery except that it also conceals your own actions (as illusion of calmUC) and renders invisible all spell effects and ranged attacks originating from you until they reach the attack's target (this doesn't cause the attack's target to be unable to avoid the attack, as they still see the attack originating from the spell's target).</t>
  </si>
  <si>
    <t>&lt;p&gt;This spell functions as &lt;i&gt;&lt;i&gt;illusion of&lt;/i&gt; treachery&lt;/i&gt; except that it also conceals your own actions (as &lt;i&gt;illusion of&lt;/i&gt; calmUC) and renders invisible all spell effects and ranged attacks originating from you until they reach the attack's target (this doesn't cause the attack's target to be unable to avoid the attack, as they still see the attack originating from the spell's target).&lt;/p&gt;</t>
  </si>
  <si>
    <t>&lt;link rel="stylesheet"href="PF.css"&gt;&lt;div class="heading"&gt;&lt;p class="alignleft"&gt;Illusion Of Treachery, Greater&lt;/p&gt;&lt;div style="clear: both;"&gt;&lt;/div&gt;&lt;/div&gt;&lt;div&gt;&lt;h5&gt;&lt;b&gt;School &lt;/b&gt;illusion (figment); &lt;b&gt;Level &lt;/b&gt;antipaladin 4, magus 6, mesmerist 4, occultist 5, psychic 5, sorcerer/wizard 6&lt;/h5&gt;&lt;/div&gt;&lt;hr/&gt;&lt;div&gt;&lt;h5&gt;&lt;b&gt;CASTING&lt;/b&gt;&lt;/h5&gt;&lt;/div&gt;&lt;hr/&gt;&lt;div&gt;&lt;h5&gt;&lt;b&gt;Casting Time &lt;/b&gt;1 standard action&lt;/h5&gt;&lt;h5&gt;&lt;b&gt;Components &lt;/b&gt;S, F (a tiny marionette)&lt;/h5&gt;&lt;/div&gt;&lt;hr/&gt;&lt;div&gt;&lt;h5&gt;&lt;b&gt;EFFECT&lt;/b&gt;&lt;/h5&gt;&lt;/div&gt;&lt;hr/&gt;&lt;div&gt;&lt;h5&gt;&lt;b&gt;Range &lt;/b&gt;close (25 ft. + 5 ft./2 levels)&lt;/h5&gt;&lt;h5&gt;&lt;b&gt;Targets &lt;/b&gt;you and one creature&lt;/h5&gt;&lt;h5&gt;&lt;b&gt;Duration &lt;/b&gt;1 round/level (D)&lt;/h5&gt;&lt;h5&gt;&lt;b&gt;Saving Throw &lt;/b&gt;Will disbelief; &lt;b&gt;Spell Resistance &lt;/b&gt;yes&lt;/h5&gt;&lt;/div&gt;&lt;hr/&gt;&lt;div&gt;&lt;h5&gt;&lt;b&gt;DESCRIPTION&lt;/b&gt;&lt;/h5&gt;&lt;/div&gt;&lt;hr/&gt;&lt;div&gt;&lt;h4&gt;&lt;p&gt;This spell functions as &lt;i&gt;&lt;i&gt;illusion of&lt;/i&gt; treachery&lt;/i&gt; except that it also conceals your own actions (as &lt;i&gt;illusion of&lt;/i&gt; calmUC) and renders invisible all spell effects and ranged attacks originating from you until they reach the attack's target (this doesn't cause the attack's target to be unable to avoid the attack, as they still see the attack originating from the spell's target).&lt;/p&gt;&lt;/h4&gt;&lt;/div&gt;</t>
  </si>
  <si>
    <t>Make it seem like another is responsible for your attacks while concealing your own actions.</t>
  </si>
  <si>
    <t>Insect Spies</t>
  </si>
  <si>
    <t>druid 3, ranger 3, sorcerer/wizard 4, summoner 3, witch 4</t>
  </si>
  <si>
    <t>V, S, M (a drop of honey)</t>
  </si>
  <si>
    <t>up to one insect spy/4 levels</t>
  </si>
  <si>
    <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t>
  </si>
  <si>
    <t>&lt;p&gt;You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insects.&lt;/p&gt;</t>
  </si>
  <si>
    <t>&lt;link rel="stylesheet"href="PF.css"&gt;&lt;div class="heading"&gt;&lt;p class="alignleft"&gt;Insect Spies&lt;/p&gt;&lt;div style="clear: both;"&gt;&lt;/div&gt;&lt;/div&gt;&lt;div&gt;&lt;h5&gt;&lt;b&gt;School &lt;/b&gt;divination; &lt;b&gt;Level &lt;/b&gt;druid 3, ranger 3, sorcerer/wizard 4, summoner 3, witch 4&lt;/h5&gt;&lt;/div&gt;&lt;hr/&gt;&lt;div&gt;&lt;h5&gt;&lt;b&gt;CASTING&lt;/b&gt;&lt;/h5&gt;&lt;/div&gt;&lt;hr/&gt;&lt;div&gt;&lt;h5&gt;&lt;b&gt;Casting Time &lt;/b&gt;1 round&lt;/h5&gt;&lt;h5&gt;&lt;b&gt;Components &lt;/b&gt;V, S, M (a drop of honey)&lt;/h5&gt;&lt;/div&gt;&lt;hr/&gt;&lt;div&gt;&lt;h5&gt;&lt;b&gt;EFFECT&lt;/b&gt;&lt;/h5&gt;&lt;/div&gt;&lt;hr/&gt;&lt;div&gt;&lt;h5&gt;&lt;b&gt;Range &lt;/b&gt;close (25 ft. + 5 ft./2 levels)&lt;/h5&gt;&lt;h5&gt;&lt;b&gt;Effect &lt;/b&gt;up to one insect spy/4 levels&lt;/h5&gt;&lt;h5&gt;&lt;b&gt;Duration &lt;/b&gt;10 minutes/level (D)&lt;/h5&gt;&lt;h5&gt;&lt;b&gt;Saving Throw &lt;/b&gt;none; &lt;b&gt;Spell Resistance &lt;/b&gt;no&lt;/h5&gt;&lt;/div&gt;&lt;hr/&gt;&lt;div&gt;&lt;h5&gt;&lt;b&gt;DESCRIPTION&lt;/b&gt;&lt;/h5&gt;&lt;/div&gt;&lt;hr/&gt;&lt;div&gt;&lt;h4&gt;&lt;p&gt;You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insects.&lt;/p&gt;&lt;/h4&gt;&lt;/div&gt;</t>
  </si>
  <si>
    <t>Use magic beetles as spies.</t>
  </si>
  <si>
    <t>Insect Spies, Greater</t>
  </si>
  <si>
    <t>druid 6, sorcerer/wizard 7, summoner 6, witch 7</t>
  </si>
  <si>
    <t>As insect spies,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t>
  </si>
  <si>
    <t>&lt;p&gt;As &lt;i&gt;insect spies&lt;/i&gt;,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action.&lt;/p&gt;</t>
  </si>
  <si>
    <t>&lt;link rel="stylesheet"href="PF.css"&gt;&lt;div class="heading"&gt;&lt;p class="alignleft"&gt;Insect Spies, Greater&lt;/p&gt;&lt;div style="clear: both;"&gt;&lt;/div&gt;&lt;/div&gt;&lt;div&gt;&lt;h5&gt;&lt;b&gt;School &lt;/b&gt;divination; &lt;b&gt;Level &lt;/b&gt;druid 6, sorcerer/wizard 7, summoner 6, witch 7&lt;/h5&gt;&lt;/div&gt;&lt;hr/&gt;&lt;div&gt;&lt;h5&gt;&lt;b&gt;CASTING&lt;/b&gt;&lt;/h5&gt;&lt;/div&gt;&lt;hr/&gt;&lt;div&gt;&lt;h5&gt;&lt;b&gt;Casting Time &lt;/b&gt;1 round&lt;/h5&gt;&lt;h5&gt;&lt;b&gt;Components &lt;/b&gt;V, S, M (a drop of honey)&lt;/h5&gt;&lt;/div&gt;&lt;hr/&gt;&lt;div&gt;&lt;h5&gt;&lt;b&gt;EFFECT&lt;/b&gt;&lt;/h5&gt;&lt;/div&gt;&lt;hr/&gt;&lt;div&gt;&lt;h5&gt;&lt;b&gt;Range &lt;/b&gt;close (25 ft. + 5 ft./2 levels)&lt;/h5&gt;&lt;h5&gt;&lt;b&gt;Effect &lt;/b&gt;up to one insect spy/4 levels&lt;/h5&gt;&lt;h5&gt;&lt;b&gt;Duration &lt;/b&gt;10 minutes/level (D)&lt;/h5&gt;&lt;h5&gt;&lt;b&gt;Saving Throw &lt;/b&gt;none; &lt;b&gt;Spell Resistance &lt;/b&gt;no&lt;/h5&gt;&lt;/div&gt;&lt;hr/&gt;&lt;div&gt;&lt;h5&gt;&lt;b&gt;DESCRIPTION&lt;/b&gt;&lt;/h5&gt;&lt;/div&gt;&lt;hr/&gt;&lt;div&gt;&lt;h4&gt;&lt;p&gt;As &lt;i&gt;insect spies&lt;/i&gt;,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action.&lt;/p&gt;&lt;/h4&gt;&lt;/div&gt;</t>
  </si>
  <si>
    <t>Use magic beetles as spies and also share their senses.</t>
  </si>
  <si>
    <t>Instant Fake</t>
  </si>
  <si>
    <t>bard 3, inquisitor 3, magus 4, mesmerist 3, occultist 3, ranger 3, sorcerer/wizard 4</t>
  </si>
  <si>
    <t>V, S, M (a piece of costume jewelry)</t>
  </si>
  <si>
    <t>one object weighing no more than 1 lb./level</t>
  </si>
  <si>
    <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instant fake of a set of thieves' tools can't be used to pick a lock, a false warhammer can't harm a person or break an object, a suit of unreal chainmail offers no actual protection, and an illusory potion of cure light wounds doesn't heal any hit points when imbibed.</t>
  </si>
  <si>
    <t>&lt;p&gt;You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&lt;i&gt;instant fake&lt;/i&gt; of a set of thieves' tools can't be used to pick a lock, a false warhammer can't harm a person or break an object, a suit of unreal chainmail offers no actual protection, and an illusory &lt;i&gt;potion of cure light wounds&lt;/i&gt; doesn't heal any hit points when imbibed.&lt;/p&gt;</t>
  </si>
  <si>
    <t>&lt;link rel="stylesheet"href="PF.css"&gt;&lt;div class="heading"&gt;&lt;p class="alignleft"&gt;Instant Fake&lt;/p&gt;&lt;div style="clear: both;"&gt;&lt;/div&gt;&lt;/div&gt;&lt;div&gt;&lt;h5&gt;&lt;b&gt;School &lt;/b&gt;illusion (figment); &lt;b&gt;Level &lt;/b&gt;bard 3, inquisitor 3, magus 4, mesmerist 3, occultist 3, ranger 3, sorcerer/wizard 4&lt;/h5&gt;&lt;/div&gt;&lt;hr/&gt;&lt;div&gt;&lt;h5&gt;&lt;b&gt;CASTING&lt;/b&gt;&lt;/h5&gt;&lt;/div&gt;&lt;hr/&gt;&lt;div&gt;&lt;h5&gt;&lt;b&gt;Casting Time &lt;/b&gt;1 standard action&lt;/h5&gt;&lt;h5&gt;&lt;b&gt;Components &lt;/b&gt;V, S, M (a piece of costume jewelry)&lt;/h5&gt;&lt;/div&gt;&lt;hr/&gt;&lt;div&gt;&lt;h5&gt;&lt;b&gt;EFFECT&lt;/b&gt;&lt;/h5&gt;&lt;/div&gt;&lt;hr/&gt;&lt;div&gt;&lt;h5&gt;&lt;b&gt;Range &lt;/b&gt;1 object touched&lt;/h5&gt;&lt;h5&gt;&lt;b&gt;Targets &lt;/b&gt;one object weighing no more than 1 lb./level&lt;/h5&gt;&lt;h5&gt;&lt;b&gt;Duration &lt;/b&gt;1 minute/level&lt;/h5&gt;&lt;h5&gt;&lt;b&gt;Saving Throw &lt;/b&gt;Will disbelief (if interacted with); &lt;b&gt;Spell Resistance &lt;/b&gt;no&lt;/h5&gt;&lt;/div&gt;&lt;hr/&gt;&lt;div&gt;&lt;h5&gt;&lt;b&gt;DESCRIPTION&lt;/b&gt;&lt;/h5&gt;&lt;/div&gt;&lt;hr/&gt;&lt;div&gt;&lt;h4&gt;&lt;p&gt;You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&lt;i&gt;instant fake&lt;/i&gt; of a set of thieves' tools can't be used to pick a lock, a false warhammer can't harm a person or break an object, a suit of unreal chainmail offers no actual protection, and an illusory &lt;i&gt;potion of cure light wounds&lt;/i&gt; doesn't heal any hit points when imbibed.&lt;/p&gt;&lt;/h4&gt;&lt;/div&gt;</t>
  </si>
  <si>
    <t>Provide a short-term replica of an object.</t>
  </si>
  <si>
    <t>Instant Summons, Greater</t>
  </si>
  <si>
    <t>psychic 8, sorcerer/wizard 8, witch 8</t>
  </si>
  <si>
    <t>V, S, M (sapphires worth 1,000 gp each)</t>
  </si>
  <si>
    <t>up to one object per 3 caster levels, each weighing 10 lbs. or less whose longest dimension is 6 ft. or less</t>
  </si>
  <si>
    <t>This spell functions as instant summons,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arcane mark upon it.</t>
  </si>
  <si>
    <t>&lt;p&gt;This spell functions as &lt;i&gt;instant summons&lt;/i&gt;,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&lt;i&gt;arcane mark&lt;/i&gt; upon it.&lt;/p&gt;</t>
  </si>
  <si>
    <t>&lt;link rel="stylesheet"href="PF.css"&gt;&lt;div class="heading"&gt;&lt;p class="alignleft"&gt;Instant Summons, Greater&lt;/p&gt;&lt;div style="clear: both;"&gt;&lt;/div&gt;&lt;/div&gt;&lt;div&gt;&lt;h5&gt;&lt;b&gt;School &lt;/b&gt;conjuration (summoning); &lt;b&gt;Level &lt;/b&gt;psychic 8, sorcerer/wizard 8, witch 8&lt;/h5&gt;&lt;/div&gt;&lt;hr/&gt;&lt;div&gt;&lt;h5&gt;&lt;b&gt;CASTING&lt;/b&gt;&lt;/h5&gt;&lt;/div&gt;&lt;hr/&gt;&lt;div&gt;&lt;h5&gt;&lt;b&gt;Casting Time &lt;/b&gt;1 standard action&lt;/h5&gt;&lt;h5&gt;&lt;b&gt;Components &lt;/b&gt;V, S, M (sapphires worth 1,000 gp each)&lt;/h5&gt;&lt;/div&gt;&lt;hr/&gt;&lt;div&gt;&lt;h5&gt;&lt;b&gt;EFFECT&lt;/b&gt;&lt;/h5&gt;&lt;/div&gt;&lt;hr/&gt;&lt;div&gt;&lt;h5&gt;&lt;b&gt;Range &lt;/b&gt;see text&lt;/h5&gt;&lt;h5&gt;&lt;b&gt;Targets &lt;/b&gt;up to one object per 3 caster levels, each weighing 10 lbs. or less whose longest dimension is 6 ft. or less&lt;/h5&gt;&lt;h5&gt;&lt;b&gt;Duration &lt;/b&gt;permanent or until discharged&lt;/h5&gt;&lt;h5&gt;&lt;b&gt;Saving Throw &lt;/b&gt;none; &lt;b&gt;Spell Resistance &lt;/b&gt;no&lt;/h5&gt;&lt;/div&gt;&lt;hr/&gt;&lt;div&gt;&lt;h5&gt;&lt;b&gt;DESCRIPTION&lt;/b&gt;&lt;/h5&gt;&lt;/div&gt;&lt;hr/&gt;&lt;div&gt;&lt;h4&gt;&lt;p&gt;This spell functions as &lt;i&gt;instant summons&lt;/i&gt;,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&lt;i&gt;arcane mark&lt;/i&gt; upon it.&lt;/p&gt;&lt;/h4&gt;&lt;/div&gt;</t>
  </si>
  <si>
    <t>As instant summons, but for multiple objects and creatures.</t>
  </si>
  <si>
    <t>Know Peerage</t>
  </si>
  <si>
    <t>bard 1, cleric/oracle 2, inquisitor 2, medium 1, mesmerist 2, occultist 2, paladin 1, psychic 2, sorcerer/wizard 2</t>
  </si>
  <si>
    <t>V, S, M (thread from a tabard or livery)</t>
  </si>
  <si>
    <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t>
  </si>
  <si>
    <t>&lt;p&gt;You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lower.&lt;/p&gt;</t>
  </si>
  <si>
    <t>&lt;link rel="stylesheet"href="PF.css"&gt;&lt;div class="heading"&gt;&lt;p class="alignleft"&gt;Know Peerage&lt;/p&gt;&lt;div style="clear: both;"&gt;&lt;/div&gt;&lt;/div&gt;&lt;div&gt;&lt;h5&gt;&lt;b&gt;School &lt;/b&gt;divination [mind-affecting]; &lt;b&gt;Level &lt;/b&gt;bard 1, cleric/oracle 2, inquisitor 2, medium 1, mesmerist 2, occultist 2, paladin 1, psychic 2, sorcerer/wizard 2&lt;/h5&gt;&lt;/div&gt;&lt;hr/&gt;&lt;div&gt;&lt;h5&gt;&lt;b&gt;CASTING&lt;/b&gt;&lt;/h5&gt;&lt;/div&gt;&lt;hr/&gt;&lt;div&gt;&lt;h5&gt;&lt;b&gt;Casting Time &lt;/b&gt;1 standard action&lt;/h5&gt;&lt;h5&gt;&lt;b&gt;Components &lt;/b&gt;V, S, M (thread from a tabard or livery)&lt;/h5&gt;&lt;/div&gt;&lt;hr/&gt;&lt;div&gt;&lt;h5&gt;&lt;b&gt;EFFECT&lt;/b&gt;&lt;/h5&gt;&lt;/div&gt;&lt;hr/&gt;&lt;div&gt;&lt;h5&gt;&lt;b&gt;Range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lower.&lt;/p&gt;&lt;/h4&gt;&lt;/div&gt;</t>
  </si>
  <si>
    <t>Target uses your Knowledge (nobility) ranks.</t>
  </si>
  <si>
    <t>Languid Venom</t>
  </si>
  <si>
    <t>alchemist 2, shaman 2, sorcerer/wizard 2</t>
  </si>
  <si>
    <t>V, S, M (herbs used in antitoxins worth 25 gp)</t>
  </si>
  <si>
    <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languid venom, but instead saves at the end of the poison's onset time. If the poison is neutralized or otherwise cured prior to the end of its onset time, it is rendered harmless. Failing saves against multiple doses of languid venom have the normal cumulative effect for poisons (Pathfinder RPG Core Rulebook 558).  Languid venom is difficult to detect or identify. Detect poison and similar effects detect languid venom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obscure poison (see page 220)-those effects don't stack. Use only the caster level check with the higher DC and increase the DC of the check to identify the poison by the higher of the two.  If cast upon a venomous creature, languid venom delays the onset of that creature's poison when the creature next delivers its natural poison.</t>
  </si>
  <si>
    <t>&lt;p&gt;You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&lt;i&gt;languid venom&lt;/i&gt;, but instead saves at the end of the poison's onset time. If the poison is neutralized or otherwise cured prior to the end of its onset time, it is rendered harmless. Failing saves against multiple doses of &lt;i&gt;languid venom&lt;/i&gt; have the normal cumulative effect for poisons (&lt;i&gt;Pathfinder RPG Core Rulebook&lt;/i&gt; 558).  &lt;i&gt;Languid venom&lt;/i&gt; is difficult to detect or identify. &lt;i&gt;Detect poison&lt;/i&gt; and similar effects detect &lt;i&gt;languid venom&lt;/i&gt;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&lt;i&gt;obscure poison&lt;/i&gt; (see page 220)-those effects don't stack. Use only the caster level check with the higher DC and increase the DC of the check to identify the poison by the higher of the two.  If cast upon a venomous creature, &lt;i&gt;languid venom&lt;/i&gt; delays the onset of that creature's poison when the creature next delivers its natural poison.&lt;/p&gt;</t>
  </si>
  <si>
    <t>&lt;link rel="stylesheet"href="PF.css"&gt;&lt;div class="heading"&gt;&lt;p class="alignleft"&gt;Languid Venom&lt;/p&gt;&lt;div style="clear: both;"&gt;&lt;/div&gt;&lt;/div&gt;&lt;div&gt;&lt;h5&gt;&lt;b&gt;School &lt;/b&gt;necromancy [poison]; &lt;b&gt;Level &lt;/b&gt;alchemist 2, shaman 2, sorcerer/wizard 2&lt;/h5&gt;&lt;/div&gt;&lt;hr/&gt;&lt;div&gt;&lt;h5&gt;&lt;b&gt;CASTING&lt;/b&gt;&lt;/h5&gt;&lt;/div&gt;&lt;hr/&gt;&lt;div&gt;&lt;h5&gt;&lt;b&gt;Casting Time &lt;/b&gt;1 standard action&lt;/h5&gt;&lt;h5&gt;&lt;b&gt;Components &lt;/b&gt;V, S, M (herbs used in antitoxins worth 25 gp)&lt;/h5&gt;&lt;/div&gt;&lt;hr/&gt;&lt;div&gt;&lt;h5&gt;&lt;b&gt;EFFECT&lt;/b&gt;&lt;/h5&gt;&lt;/div&gt;&lt;hr/&gt;&lt;div&gt;&lt;h5&gt;&lt;b&gt;Range &lt;/b&gt;touch&lt;/h5&gt;&lt;h5&gt;&lt;b&gt;Targets &lt;/b&gt;one dose of poison or one venomous creature&lt;/h5&gt;&lt;h5&gt;&lt;b&gt;Duration &lt;/b&gt;permanent until discharged (D)&lt;/h5&gt;&lt;h5&gt;&lt;b&gt;Saving Throw &lt;/b&gt;Fortitude negates; &lt;b&gt;Spell Resistance &lt;/b&gt;yes&lt;/h5&gt;&lt;/div&gt;&lt;hr/&gt;&lt;div&gt;&lt;h5&gt;&lt;b&gt;DESCRIPTION&lt;/b&gt;&lt;/h5&gt;&lt;/div&gt;&lt;hr/&gt;&lt;div&gt;&lt;h4&gt;&lt;p&gt;You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&lt;i&gt;languid venom&lt;/i&gt;, but instead saves at the end of the poison's onset time. If the poison is neutralized or otherwise cured prior to the end of its onset time, it is rendered harmless. Failing saves against multiple doses of &lt;i&gt;languid venom&lt;/i&gt; have the normal cumulative effect for poisons (&lt;i&gt;Pathfinder RPG Core Rulebook&lt;/i&gt; 558).  &lt;i&gt;Languid venom&lt;/i&gt; is difficult to detect or identify. &lt;i&gt;Detect poison&lt;/i&gt; and similar effects detect &lt;i&gt;languid venom&lt;/i&gt;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&lt;i&gt;obscure poison&lt;/i&gt; (see page 220)-those effects don't stack. Use only the caster level check with the higher DC and increase the DC of the check to identify the poison by the higher of the two.  If cast upon a venomous creature, &lt;i&gt;languid venom&lt;/i&gt; delays the onset of that creature's poison when the creature next delivers its natural poison.&lt;/p&gt;&lt;/h4&gt;&lt;/div&gt;</t>
  </si>
  <si>
    <t>Delay a poison’s onset and hide its presence.</t>
  </si>
  <si>
    <t>Life Of Crime</t>
  </si>
  <si>
    <t>antipaladin 4, bard 6, mesmerist 6, psychic 8, sorcerer/wizard 8</t>
  </si>
  <si>
    <t>V, S, M (a black mask)</t>
  </si>
  <si>
    <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crime wave spell for 1 round.  Life of crime is particularly difficult to remove. Only a remove curse with a higher caster level than life of crime's caster level, or a limited wish, wish, or miracle can remove its effects.</t>
  </si>
  <si>
    <t>&lt;p&gt;You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&lt;i&gt;crime wave&lt;/i&gt; spell for 1 round.  &lt;i&gt;Life of crime&lt;/i&gt; is particularly difficult to remove. Only a &lt;i&gt;remove curse&lt;/i&gt; with a higher caster level than &lt;i&gt;life of&lt;/i&gt; crime's caster level, or a &lt;i&gt;limited &lt;i&gt;wish&lt;/i&gt;&lt;/i&gt;, &lt;i&gt;wish&lt;/i&gt;, or &lt;i&gt;miracle&lt;/i&gt; can remove its effects.&lt;/p&gt;</t>
  </si>
  <si>
    <t>&lt;link rel="stylesheet"href="PF.css"&gt;&lt;div class="heading"&gt;&lt;p class="alignleft"&gt;Life Of Crime&lt;/p&gt;&lt;div style="clear: both;"&gt;&lt;/div&gt;&lt;/div&gt;&lt;div&gt;&lt;h5&gt;&lt;b&gt;School &lt;/b&gt;enchantment (compulsion) [curse&lt;sup&gt;UM&lt;/sup&gt;, mind-affecting]; &lt;b&gt;Level &lt;/b&gt;antipaladin 4, bard 6, mesmerist 6, psychic 8, sorcerer/wizard 8&lt;/h5&gt;&lt;/div&gt;&lt;hr/&gt;&lt;div&gt;&lt;h5&gt;&lt;b&gt;CASTING&lt;/b&gt;&lt;/h5&gt;&lt;/div&gt;&lt;hr/&gt;&lt;div&gt;&lt;h5&gt;&lt;b&gt;Casting Time &lt;/b&gt;1 standard action&lt;/h5&gt;&lt;h5&gt;&lt;b&gt;Components &lt;/b&gt;V, S, M (a black mask)&lt;/h5&gt;&lt;/div&gt;&lt;hr/&gt;&lt;div&gt;&lt;h5&gt;&lt;b&gt;EFFECT&lt;/b&gt;&lt;/h5&gt;&lt;/div&gt;&lt;hr/&gt;&lt;div&gt;&lt;h5&gt;&lt;b&gt;Range &lt;/b&gt;close (25 ft. + 5 ft./2 levels)&lt;/h5&gt;&lt;h5&gt;&lt;b&gt;Targets &lt;/b&gt;one living creature&lt;/h5&gt;&lt;h5&gt;&lt;b&gt;Duration &lt;/b&gt;permanent&lt;/h5&gt;&lt;h5&gt;&lt;b&gt;Saving Throw &lt;/b&gt;Will negates; &lt;b&gt;Spell Resistance &lt;/b&gt;yes&lt;/h5&gt;&lt;/div&gt;&lt;hr/&gt;&lt;div&gt;&lt;h5&gt;&lt;b&gt;DESCRIPTION&lt;/b&gt;&lt;/h5&gt;&lt;/div&gt;&lt;hr/&gt;&lt;div&gt;&lt;h4&gt;&lt;p&gt;You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&lt;i&gt;crime wave&lt;/i&gt; spell for 1 round.  &lt;i&gt;Life of crime&lt;/i&gt; is particularly difficult to remove. Only a &lt;i&gt;remove curse&lt;/i&gt; with a higher caster level than &lt;i&gt;life of&lt;/i&gt; crime's caster level, or a &lt;i&gt;limited &lt;i&gt;wish&lt;/i&gt;&lt;/i&gt;, &lt;i&gt;wish&lt;/i&gt;, or &lt;i&gt;miracle&lt;/i&gt; can remove its effects.&lt;/p&gt;&lt;/h4&gt;&lt;/div&gt;</t>
  </si>
  <si>
    <t>Permanently turn someone into a crazed criminal.</t>
  </si>
  <si>
    <t>Mage's Decree</t>
  </si>
  <si>
    <t>bard 5, cleric/oracle 6, inquisitor 5, mesmerist 5, psychic 6, sorcerer/wizard 6, summoner 5, witch 6</t>
  </si>
  <si>
    <t>V, S, F (a brass cone or trumpet)</t>
  </si>
  <si>
    <t>up to 1 mile/level; see text</t>
  </si>
  <si>
    <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t>
  </si>
  <si>
    <t>&lt;p&gt;You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message.&lt;/p&gt;</t>
  </si>
  <si>
    <t>&lt;link rel="stylesheet"href="PF.css"&gt;&lt;div class="heading"&gt;&lt;p class="alignleft"&gt;Mage's Decree&lt;/p&gt;&lt;div style="clear: both;"&gt;&lt;/div&gt;&lt;/div&gt;&lt;div&gt;&lt;h5&gt;&lt;b&gt;School &lt;/b&gt;evocation; &lt;b&gt;Level &lt;/b&gt;bard 5, cleric/oracle 6, inquisitor 5, mesmerist 5, psychic 6, sorcerer/wizard 6, summoner 5, witch 6&lt;/h5&gt;&lt;/div&gt;&lt;hr/&gt;&lt;div&gt;&lt;h5&gt;&lt;b&gt;CASTING&lt;/b&gt;&lt;/h5&gt;&lt;/div&gt;&lt;hr/&gt;&lt;div&gt;&lt;h5&gt;&lt;b&gt;Casting Time &lt;/b&gt;1 standard action&lt;/h5&gt;&lt;h5&gt;&lt;b&gt;Components &lt;/b&gt;V, S, F (a brass cone or trumpet)&lt;/h5&gt;&lt;/div&gt;&lt;hr/&gt;&lt;div&gt;&lt;h5&gt;&lt;b&gt;EFFECT&lt;/b&gt;&lt;/h5&gt;&lt;/div&gt;&lt;hr/&gt;&lt;div&gt;&lt;h5&gt;&lt;b&gt;Range &lt;/b&gt;up to 1 mile/level; see text&lt;/h5&gt;&lt;h5&gt;&lt;b&gt;Targets &lt;/b&gt;see text&lt;/h5&gt;&lt;h5&gt;&lt;b&gt;Duration &lt;/b&gt;instantaneous&lt;/h5&gt;&lt;h5&gt;&lt;b&gt;Saving Throw &lt;/b&gt;none; &lt;b&gt;Spell Resistance &lt;/b&gt;no&lt;/h5&gt;&lt;/div&gt;&lt;hr/&gt;&lt;div&gt;&lt;h5&gt;&lt;b&gt;DESCRIPTION&lt;/b&gt;&lt;/h5&gt;&lt;/div&gt;&lt;hr/&gt;&lt;div&gt;&lt;h4&gt;&lt;p&gt;You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message.&lt;/p&gt;&lt;/h4&gt;&lt;/div&gt;</t>
  </si>
  <si>
    <t>Send a message to creatures within miles.</t>
  </si>
  <si>
    <t>Magic Aura, Greater</t>
  </si>
  <si>
    <t>bard 3, mesmerist 3, occultist 3, psychic 4, sorcerer/wizard 4</t>
  </si>
  <si>
    <t>V, S, F (a woolen handkerchief)</t>
  </si>
  <si>
    <t>one creature, or one object weighing up to 20 lbs./level</t>
  </si>
  <si>
    <t>If cast on an object, this spell functions as magic aura, except that if you have identified the unique spellcasting signatures of a specific individual with greater detect magic (see page 212) or a similar spell, you can make the magic aura appear to have been created by that individual. Alternatively, you can simply obscure all identifiers, making it more difficult to determine who cast the spell. In either case, if the object is the subject of a greater detect magic spell, any Spellcraft check made to identify the unique spellcasting identifiers of the aura automatically produce the  result you chose unless the observer disbelieves the spell with a successful Will save (as with magic aura, however, detect spells don't grant a save to disbelieve).  If cast on a creature, you can make that creature register to detect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arcane sight,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greater detect magic, causing the last spell that he cast to seem to be any spell of your choice.</t>
  </si>
  <si>
    <t>&lt;p&gt;If cast on an object, this spell functions as &lt;i&gt;magic aura&lt;/i&gt;, except that if you have identified the unique spellcasting signatures of a specific individual with &lt;i&gt;greater &lt;i&gt;detect&lt;/i&gt; magic&lt;/i&gt; (see page 212) or a similar spell, you can make the &lt;i&gt;magic aura&lt;/i&gt; appear to have been created by that individual. Alternatively, you can simply obscure all identifiers, making it more difficult to determine who cast the spell. In either case, if the object is the subject of a &lt;i&gt;greater &lt;i&gt;detect&lt;/i&gt; magic&lt;/i&gt; spell, any Spellcraft check made to identify the unique spellcasting identifiers of the aura automatically produce the  result you chose unless the observer disbelieves the spell with a successful Will save (as with &lt;i&gt;magic aura&lt;/i&gt;, however, &lt;i&gt;detect&lt;/i&gt; spells don't grant a save to disbelieve).  If cast on a creature, you can make that creature register to &lt;i&gt;detect&lt;/i&gt;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&lt;i&gt;arcane sight&lt;/i&gt;,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&lt;i&gt;greater &lt;i&gt;detect&lt;/i&gt; magic&lt;/i&gt;, causing the last spell that he cast to seem to be any spell of your choice.&lt;/p&gt;</t>
  </si>
  <si>
    <t>&lt;link rel="stylesheet"href="PF.css"&gt;&lt;div class="heading"&gt;&lt;p class="alignleft"&gt;Magic Aura, Greater&lt;/p&gt;&lt;div style="clear: both;"&gt;&lt;/div&gt;&lt;/div&gt;&lt;div&gt;&lt;h5&gt;&lt;b&gt;School &lt;/b&gt;illusion (glamer); &lt;b&gt;Level &lt;/b&gt;bard 3, mesmerist 3, occultist 3, psychic 4, sorcerer/wizard 4&lt;/h5&gt;&lt;/div&gt;&lt;hr/&gt;&lt;div&gt;&lt;h5&gt;&lt;b&gt;CASTING&lt;/b&gt;&lt;/h5&gt;&lt;/div&gt;&lt;hr/&gt;&lt;div&gt;&lt;h5&gt;&lt;b&gt;Casting Time &lt;/b&gt;1 standard action&lt;/h5&gt;&lt;h5&gt;&lt;b&gt;Components &lt;/b&gt;V, S, F (a woolen handkerchief)&lt;/h5&gt;&lt;/div&gt;&lt;hr/&gt;&lt;div&gt;&lt;h5&gt;&lt;b&gt;EFFECT&lt;/b&gt;&lt;/h5&gt;&lt;/div&gt;&lt;hr/&gt;&lt;div&gt;&lt;h5&gt;&lt;b&gt;Range &lt;/b&gt;close (25 ft. + 5 ft./2 levels)&lt;/h5&gt;&lt;h5&gt;&lt;b&gt;Targets &lt;/b&gt;one creature, or one object weighing up to 20 lbs./level&lt;/h5&gt;&lt;h5&gt;&lt;b&gt;Duration &lt;/b&gt;1 day/level (D)&lt;/h5&gt;&lt;h5&gt;&lt;b&gt;Saving Throw &lt;/b&gt;none (see text); &lt;b&gt;Spell Resistance &lt;/b&gt;no&lt;/h5&gt;&lt;/div&gt;&lt;hr/&gt;&lt;div&gt;&lt;h5&gt;&lt;b&gt;DESCRIPTION&lt;/b&gt;&lt;/h5&gt;&lt;/div&gt;&lt;hr/&gt;&lt;div&gt;&lt;h4&gt;&lt;p&gt;If cast on an object, this spell functions as &lt;i&gt;magic aura&lt;/i&gt;, except that if you have identified the unique spellcasting signatures of a specific individual with &lt;i&gt;greater &lt;i&gt;detect&lt;/i&gt; magic&lt;/i&gt; (see page 212) or a similar spell, you can make the &lt;i&gt;magic aura&lt;/i&gt; appear to have been created by that individual. Alternatively, you can simply obscure all identifiers, making it more difficult to determine who cast the spell. In either case, if the object is the subject of a &lt;i&gt;greater &lt;i&gt;detect&lt;/i&gt; magic&lt;/i&gt; spell, any Spellcraft check made to identify the unique spellcasting identifiers of the aura automatically produce the  result you chose unless the observer disbelieves the spell with a successful Will save (as with &lt;i&gt;magic aura&lt;/i&gt;, however, &lt;i&gt;detect&lt;/i&gt; spells don't grant a save to disbelieve).  If cast on a creature, you can make that creature register to &lt;i&gt;detect&lt;/i&gt;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&lt;i&gt;arcane sight&lt;/i&gt;,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&lt;i&gt;greater &lt;i&gt;detect&lt;/i&gt; magic&lt;/i&gt;, causing the last spell that he cast to seem to be any spell of your choice.&lt;/p&gt;&lt;/h4&gt;&lt;/div&gt;</t>
  </si>
  <si>
    <t>As magic aura, but also affects creatures and allows more options.</t>
  </si>
  <si>
    <t>Majestic Image</t>
  </si>
  <si>
    <t>bard 4, cleric/oracle 4, medium 4, mesmerist 4, occultist 4, sorcerer/wizard 4, spiritualist 4</t>
  </si>
  <si>
    <t>V, S, M (a drop of paint and a ball of clay)</t>
  </si>
  <si>
    <t>200 ft./level</t>
  </si>
  <si>
    <t>transfer consciousness to an object bearing your likeness</t>
  </si>
  <si>
    <t>You cast your consciousness into a single object within range that bears your likeness, as if choosing a specific image with the spell enter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t>
  </si>
  <si>
    <t>&lt;p&gt;You cast your consciousness into a single object within range that bears your likeness, as if choosing a specific image with the spell &lt;i&gt;enter&lt;/i&gt;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size.&lt;/p&gt;</t>
  </si>
  <si>
    <t>&lt;link rel="stylesheet"href="PF.css"&gt;&lt;div class="heading"&gt;&lt;p class="alignleft"&gt;Majestic Image&lt;/p&gt;&lt;div style="clear: both;"&gt;&lt;/div&gt;&lt;/div&gt;&lt;div&gt;&lt;h5&gt;&lt;b&gt;School &lt;/b&gt;transmutation; &lt;b&gt;Level &lt;/b&gt;bard 4, cleric/oracle 4, medium 4, mesmerist 4, occultist 4, sorcerer/wizard 4, spiritualist 4&lt;/h5&gt;&lt;/div&gt;&lt;hr/&gt;&lt;div&gt;&lt;h5&gt;&lt;b&gt;CASTING&lt;/b&gt;&lt;/h5&gt;&lt;/div&gt;&lt;hr/&gt;&lt;div&gt;&lt;h5&gt;&lt;b&gt;Casting Time &lt;/b&gt;1 standard action&lt;/h5&gt;&lt;h5&gt;&lt;b&gt;Components &lt;/b&gt;V, S, M (a drop of paint and a ball of clay)&lt;/h5&gt;&lt;/div&gt;&lt;hr/&gt;&lt;div&gt;&lt;h5&gt;&lt;b&gt;EFFECT&lt;/b&gt;&lt;/h5&gt;&lt;/div&gt;&lt;hr/&gt;&lt;div&gt;&lt;h5&gt;&lt;b&gt;Range &lt;/b&gt;200 ft./level&lt;/h5&gt;&lt;h5&gt;&lt;b&gt;Effect &lt;/b&gt;transfer consciousness to an object bearing your likeness&lt;/h5&gt;&lt;h5&gt;&lt;b&gt;Duration &lt;/b&gt;concentration&lt;/h5&gt;&lt;h5&gt;&lt;b&gt;Saving Throw &lt;/b&gt;Will negates (see text); &lt;b&gt;Spell Resistance &lt;/b&gt;yes&lt;/h5&gt;&lt;/div&gt;&lt;hr/&gt;&lt;div&gt;&lt;h5&gt;&lt;b&gt;DESCRIPTION&lt;/b&gt;&lt;/h5&gt;&lt;/div&gt;&lt;hr/&gt;&lt;div&gt;&lt;h4&gt;&lt;p&gt;You cast your consciousness into a single object within range that bears your likeness, as if choosing a specific image with the spell &lt;i&gt;enter&lt;/i&gt;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size.&lt;/p&gt;&lt;/h4&gt;&lt;/div&gt;</t>
  </si>
  <si>
    <t>As enter image, but also gain bonuses on social skills while in the image.</t>
  </si>
  <si>
    <t>Matchmaker</t>
  </si>
  <si>
    <t>bard 2, mesmerist 2, sorcerer/wizard 3, witch 3</t>
  </si>
  <si>
    <t>S, M (a rose petal)</t>
  </si>
  <si>
    <t>two living creatures</t>
  </si>
  <si>
    <t>Will partial, see text</t>
  </si>
  <si>
    <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t>
  </si>
  <si>
    <t>&lt;p&gt;You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other.&lt;/p&gt;</t>
  </si>
  <si>
    <t>&lt;link rel="stylesheet"href="PF.css"&gt;&lt;div class="heading"&gt;&lt;p class="alignleft"&gt;Matchmaker&lt;/p&gt;&lt;div style="clear: both;"&gt;&lt;/div&gt;&lt;/div&gt;&lt;div&gt;&lt;h5&gt;&lt;b&gt;School &lt;/b&gt;enchantment (charm) [mind-affecting]; &lt;b&gt;Level &lt;/b&gt;bard 2, mesmerist 2, sorcerer/wizard 3, witch 3&lt;/h5&gt;&lt;/div&gt;&lt;hr/&gt;&lt;div&gt;&lt;h5&gt;&lt;b&gt;CASTING&lt;/b&gt;&lt;/h5&gt;&lt;/div&gt;&lt;hr/&gt;&lt;div&gt;&lt;h5&gt;&lt;b&gt;Casting Time &lt;/b&gt;1 standard action&lt;/h5&gt;&lt;h5&gt;&lt;b&gt;Components &lt;/b&gt;S, M (a rose petal)&lt;/h5&gt;&lt;/div&gt;&lt;hr/&gt;&lt;div&gt;&lt;h5&gt;&lt;b&gt;EFFECT&lt;/b&gt;&lt;/h5&gt;&lt;/div&gt;&lt;hr/&gt;&lt;div&gt;&lt;h5&gt;&lt;b&gt;Range &lt;/b&gt;medium (100 ft. + 10 ft./level)&lt;/h5&gt;&lt;h5&gt;&lt;b&gt;Targets &lt;/b&gt;two living creatures&lt;/h5&gt;&lt;h5&gt;&lt;b&gt;Duration &lt;/b&gt;1 hour/level&lt;/h5&gt;&lt;h5&gt;&lt;b&gt;Saving Throw &lt;/b&gt;Will partial, see text; &lt;b&gt;Spell Resistance &lt;/b&gt;yes&lt;/h5&gt;&lt;/div&gt;&lt;hr/&gt;&lt;div&gt;&lt;h5&gt;&lt;b&gt;DESCRIPTION&lt;/b&gt;&lt;/h5&gt;&lt;/div&gt;&lt;hr/&gt;&lt;div&gt;&lt;h4&gt;&lt;p&gt;You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other.&lt;/p&gt;&lt;/h4&gt;&lt;/div&gt;</t>
  </si>
  <si>
    <t>Cause two creatures to fall in love.</t>
  </si>
  <si>
    <t>Meticulous Match</t>
  </si>
  <si>
    <t>bard 3, inquisitor 3, occultist 3, ranger 3, sorcerer/wizard 4, witch 4</t>
  </si>
  <si>
    <t>two objects touched</t>
  </si>
  <si>
    <t>Fort negates (object)</t>
  </si>
  <si>
    <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t>
  </si>
  <si>
    <t>&lt;p&gt;You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tissues.&lt;/p&gt;</t>
  </si>
  <si>
    <t>&lt;link rel="stylesheet"href="PF.css"&gt;&lt;div class="heading"&gt;&lt;p class="alignleft"&gt;Meticulous Match&lt;/p&gt;&lt;div style="clear: both;"&gt;&lt;/div&gt;&lt;/div&gt;&lt;div&gt;&lt;h5&gt;&lt;b&gt;School &lt;/b&gt;divination; &lt;b&gt;Level &lt;/b&gt;bard 3, inquisitor 3, occultist 3, ranger 3, sorcerer/wizard 4, witch 4&lt;/h5&gt;&lt;/div&gt;&lt;hr/&gt;&lt;div&gt;&lt;h5&gt;&lt;b&gt;CASTING&lt;/b&gt;&lt;/h5&gt;&lt;/div&gt;&lt;hr/&gt;&lt;div&gt;&lt;h5&gt;&lt;b&gt;Casting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&lt;/b&gt;two objects touched&lt;/h5&gt;&lt;h5&gt;&lt;b&gt;Duration &lt;/b&gt;?&lt;/h5&gt;&lt;h5&gt;&lt;b&gt;Saving Throw &lt;/b&gt;Fort negates (object); &lt;b&gt;Spell Resistance &lt;/b&gt;yes (object)&lt;/h5&gt;&lt;/div&gt;&lt;hr/&gt;&lt;div&gt;&lt;h5&gt;&lt;b&gt;DESCRIPTION&lt;/b&gt;&lt;/h5&gt;&lt;/div&gt;&lt;hr/&gt;&lt;div&gt;&lt;h4&gt;&lt;p&gt;You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tissues.&lt;/p&gt;&lt;/h4&gt;&lt;/div&gt;</t>
  </si>
  <si>
    <t>Determine if two things are identical.</t>
  </si>
  <si>
    <t>Obscure Poison</t>
  </si>
  <si>
    <t>alchemist 1, antipaladin 1, bard 1, cleric/oracle 1, druid 1, mesmerist 1, shaman 1, sorcerer/wizard 1, witch 1</t>
  </si>
  <si>
    <t>S, M (herbs used in antitoxins worth 10 gp)</t>
  </si>
  <si>
    <t>one dose of poison or one venomous creature touched</t>
  </si>
  <si>
    <t>You make the touched poison difficult to detect or identify. Detect poison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obscure poison disguises all of the creature's natural poisons in the same way.</t>
  </si>
  <si>
    <t>&lt;p&gt;You make the touched poison difficult to detect or identify. &lt;i&gt;Detect poison&lt;/i&gt;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&lt;i&gt;obscure poison&lt;/i&gt; disguises all of the creature's natural poisons in the same way.&lt;/p&gt;</t>
  </si>
  <si>
    <t>&lt;link rel="stylesheet"href="PF.css"&gt;&lt;div class="heading"&gt;&lt;p class="alignleft"&gt;Obscure Poison&lt;/p&gt;&lt;div style="clear: both;"&gt;&lt;/div&gt;&lt;/div&gt;&lt;div&gt;&lt;h5&gt;&lt;b&gt;School &lt;/b&gt;abjuration; &lt;b&gt;Level &lt;/b&gt;alchemist 1, antipaladin 1, bard 1, cleric/oracle 1, druid 1, mesmerist 1, shaman 1, sorcerer/wizard 1, witch 1&lt;/h5&gt;&lt;/div&gt;&lt;hr/&gt;&lt;div&gt;&lt;h5&gt;&lt;b&gt;CASTING&lt;/b&gt;&lt;/h5&gt;&lt;/div&gt;&lt;hr/&gt;&lt;div&gt;&lt;h5&gt;&lt;b&gt;Casting Time &lt;/b&gt;1 standard action&lt;/h5&gt;&lt;h5&gt;&lt;b&gt;Components &lt;/b&gt;S, M (herbs used in antitoxins worth 10 gp)&lt;/h5&gt;&lt;/div&gt;&lt;hr/&gt;&lt;div&gt;&lt;h5&gt;&lt;b&gt;EFFECT&lt;/b&gt;&lt;/h5&gt;&lt;/div&gt;&lt;hr/&gt;&lt;div&gt;&lt;h5&gt;&lt;b&gt;Range &lt;/b&gt;touch&lt;/h5&gt;&lt;h5&gt;&lt;b&gt;Targets &lt;/b&gt;one dose of poison or one venomous creature touched&lt;/h5&gt;&lt;h5&gt;&lt;b&gt;Duration &lt;/b&gt;1 hour/level&lt;/h5&gt;&lt;h5&gt;&lt;b&gt;Saving Throw &lt;/b&gt;none; &lt;b&gt;Spell Resistance &lt;/b&gt;no&lt;/h5&gt;&lt;/div&gt;&lt;hr/&gt;&lt;div&gt;&lt;h5&gt;&lt;b&gt;DESCRIPTION&lt;/b&gt;&lt;/h5&gt;&lt;/div&gt;&lt;hr/&gt;&lt;div&gt;&lt;h4&gt;&lt;p&gt;You make the touched poison difficult to detect or identify. &lt;i&gt;Detect poison&lt;/i&gt;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&lt;i&gt;obscure poison&lt;/i&gt; disguises all of the creature's natural poisons in the same way.&lt;/p&gt;&lt;/h4&gt;&lt;/div&gt;</t>
  </si>
  <si>
    <t>Make it harder to detect a poison or a venomous creature.</t>
  </si>
  <si>
    <t>Open And Shut</t>
  </si>
  <si>
    <t>bard 1, inquisitor 1, sorcerer/wizard 1, witch 1</t>
  </si>
  <si>
    <t>V, S, F (a doornail, doorknob, or hinge)</t>
  </si>
  <si>
    <t>one door, window, or similar portal no more than 10 feet by 10 feet in area</t>
  </si>
  <si>
    <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t>
  </si>
  <si>
    <t>&lt;p&gt;You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doors.&lt;/p&gt;</t>
  </si>
  <si>
    <t>&lt;link rel="stylesheet"href="PF.css"&gt;&lt;div class="heading"&gt;&lt;p class="alignleft"&gt;Open And Shut&lt;/p&gt;&lt;div style="clear: both;"&gt;&lt;/div&gt;&lt;/div&gt;&lt;div&gt;&lt;h5&gt;&lt;b&gt;School &lt;/b&gt;illusion (glamer); &lt;b&gt;Level &lt;/b&gt;bard 1, inquisitor 1, sorcerer/wizard 1, witch 1&lt;/h5&gt;&lt;/div&gt;&lt;hr/&gt;&lt;div&gt;&lt;h5&gt;&lt;b&gt;CASTING&lt;/b&gt;&lt;/h5&gt;&lt;/div&gt;&lt;hr/&gt;&lt;div&gt;&lt;h5&gt;&lt;b&gt;Casting Time &lt;/b&gt;1 swift action&lt;/h5&gt;&lt;h5&gt;&lt;b&gt;Components &lt;/b&gt;V, S, F (a doornail, doorknob, or hinge)&lt;/h5&gt;&lt;/div&gt;&lt;hr/&gt;&lt;div&gt;&lt;h5&gt;&lt;b&gt;EFFECT&lt;/b&gt;&lt;/h5&gt;&lt;/div&gt;&lt;hr/&gt;&lt;div&gt;&lt;h5&gt;&lt;b&gt;Range &lt;/b&gt;touch&lt;/h5&gt;&lt;h5&gt;&lt;b&gt;Targets &lt;/b&gt;one door, window, or similar portal no more than 10 feet by 10 feet in area&lt;/h5&gt;&lt;h5&gt;&lt;b&gt;Duration &lt;/b&gt;1 round/level (D)&lt;/h5&gt;&lt;h5&gt;&lt;b&gt;Saving Throw &lt;/b&gt;Will disbelief; &lt;b&gt;Spell Resistance &lt;/b&gt;no&lt;/h5&gt;&lt;/div&gt;&lt;hr/&gt;&lt;div&gt;&lt;h5&gt;&lt;b&gt;DESCRIPTION&lt;/b&gt;&lt;/h5&gt;&lt;/div&gt;&lt;hr/&gt;&lt;div&gt;&lt;h4&gt;&lt;p&gt;You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doors.&lt;/p&gt;&lt;/h4&gt;&lt;/div&gt;</t>
  </si>
  <si>
    <t>Obfuscate whether a door is open or closed.</t>
  </si>
  <si>
    <t>Open Book</t>
  </si>
  <si>
    <t>antipaladin 2, bard 2, inquisitor 2, mesmerist 2, psychic 2, sorcerer/wizard 3, witch 3</t>
  </si>
  <si>
    <t>V, S, M (a page torn from a book)</t>
  </si>
  <si>
    <t>You lay bare not only the mind of a target, but the target's history as well. The target takes a -2 penalty on saving throws against  divinations, and Diplomacy checks to gather information about the target gain a bonus equal to half your caster level (maximum +10).</t>
  </si>
  <si>
    <t>&lt;p&gt;You lay bare not only the mind of a target, but the target's history as well. The target takes a -2 penalty on saving throws against  divinations, and Diplomacy checks to gather information about the target gain a bonus equal to half your caster level (maximum +10).&lt;/p&gt;</t>
  </si>
  <si>
    <t>&lt;link rel="stylesheet"href="PF.css"&gt;&lt;div class="heading"&gt;&lt;p class="alignleft"&gt;Open Book&lt;/p&gt;&lt;div style="clear: both;"&gt;&lt;/div&gt;&lt;/div&gt;&lt;div&gt;&lt;h5&gt;&lt;b&gt;School &lt;/b&gt;divination [curse&lt;sup&gt;UM&lt;/sup&gt;]; &lt;b&gt;Level &lt;/b&gt;antipaladin 2, bard 2, inquisitor 2, mesmerist 2, psychic 2, sorcerer/wizard 3, witch 3&lt;/h5&gt;&lt;/div&gt;&lt;hr/&gt;&lt;div&gt;&lt;h5&gt;&lt;b&gt;CASTING&lt;/b&gt;&lt;/h5&gt;&lt;/div&gt;&lt;hr/&gt;&lt;div&gt;&lt;h5&gt;&lt;b&gt;Casting Time &lt;/b&gt;1 standard action&lt;/h5&gt;&lt;h5&gt;&lt;b&gt;Components &lt;/b&gt;V, S, M (a page torn from a book)&lt;/h5&gt;&lt;/div&gt;&lt;hr/&gt;&lt;div&gt;&lt;h5&gt;&lt;b&gt;EFFECT&lt;/b&gt;&lt;/h5&gt;&lt;/div&gt;&lt;hr/&gt;&lt;div&gt;&lt;h5&gt;&lt;b&gt;Range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lay bare not only the mind of a target, but the target's history as well. The target takes a -2 penalty on saving throws against  divinations, and Diplomacy checks to gather information about the target gain a bonus equal to half your caster level (maximum +10).&lt;/p&gt;&lt;/h4&gt;&lt;/div&gt;</t>
  </si>
  <si>
    <t>Make it permanently easier to learn more about a target.</t>
  </si>
  <si>
    <t>Overwhelming Poison</t>
  </si>
  <si>
    <t>antipaladin 4, cleric/oracle 6, druid 6, ranger 4, shaman 6, witch 6</t>
  </si>
  <si>
    <t>V, S, M (an adder's fang)</t>
  </si>
  <si>
    <t>one creature or one dose of poison; see text</t>
  </si>
  <si>
    <t>This spell increases the virulence of the targeted dose of poison, making the poison more difficult to resist. The poison is unaffected by delay poison, and the DC to remove it with neutralize poison is increased by 5. Additionally, the poison uses its own saving throw DC or overwhelming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t>
  </si>
  <si>
    <t>&lt;p&gt;This spell increases the virulence of the targeted dose of poison, making the poison more difficult to resist. The poison is unaffected by &lt;i&gt;delay poison&lt;/i&gt;, and the DC to remove it with &lt;i&gt;neutralize poison&lt;/i&gt; is increased by 5. Additionally, the poison uses its own saving throw DC or &lt;i&gt;overwhelming&lt;/i&gt;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duration.&lt;/p&gt;</t>
  </si>
  <si>
    <t>&lt;link rel="stylesheet"href="PF.css"&gt;&lt;div class="heading"&gt;&lt;p class="alignleft"&gt;Overwhelming Poison&lt;/p&gt;&lt;div style="clear: both;"&gt;&lt;/div&gt;&lt;/div&gt;&lt;div&gt;&lt;h5&gt;&lt;b&gt;School &lt;/b&gt;necromancy [poison]; &lt;b&gt;Level &lt;/b&gt;antipaladin 4, cleric/oracle 6, druid 6, ranger 4, shaman 6, witch 6&lt;/h5&gt;&lt;/div&gt;&lt;hr/&gt;&lt;div&gt;&lt;h5&gt;&lt;b&gt;CASTING&lt;/b&gt;&lt;/h5&gt;&lt;/div&gt;&lt;hr/&gt;&lt;div&gt;&lt;h5&gt;&lt;b&gt;Casting Time &lt;/b&gt;1 standard action&lt;/h5&gt;&lt;h5&gt;&lt;b&gt;Components &lt;/b&gt;V, S, M (an adder's fang)&lt;/h5&gt;&lt;/div&gt;&lt;hr/&gt;&lt;div&gt;&lt;h5&gt;&lt;b&gt;EFFECT&lt;/b&gt;&lt;/h5&gt;&lt;/div&gt;&lt;hr/&gt;&lt;div&gt;&lt;h5&gt;&lt;b&gt;Range &lt;/b&gt;close (25 ft. + 5 ft./2 levels)&lt;/h5&gt;&lt;h5&gt;&lt;b&gt;Targets &lt;/b&gt;one creature or one dose of poison; see text&lt;/h5&gt;&lt;h5&gt;&lt;b&gt;Duration &lt;/b&gt;10 minutes/level&lt;/h5&gt;&lt;h5&gt;&lt;b&gt;Saving Throw &lt;/b&gt;none; &lt;b&gt;Spell Resistance &lt;/b&gt;no&lt;/h5&gt;&lt;/div&gt;&lt;hr/&gt;&lt;div&gt;&lt;h5&gt;&lt;b&gt;DESCRIPTION&lt;/b&gt;&lt;/h5&gt;&lt;/div&gt;&lt;hr/&gt;&lt;div&gt;&lt;h4&gt;&lt;p&gt;This spell increases the virulence of the targeted dose of poison, making the poison more difficult to resist. The poison is unaffected by &lt;i&gt;delay poison&lt;/i&gt;, and the DC to remove it with &lt;i&gt;neutralize poison&lt;/i&gt; is increased by 5. Additionally, the poison uses its own saving throw DC or &lt;i&gt;overwhelming&lt;/i&gt;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duration.&lt;/p&gt;&lt;/h4&gt;&lt;/div&gt;</t>
  </si>
  <si>
    <t>Make a poison more difficult to resist.</t>
  </si>
  <si>
    <t>Pack Empathy</t>
  </si>
  <si>
    <t>bloodrager 3, druid 3, inquisitor 3, medium 2, ranger 2, sorcerer/wizard 3, spiritualist 3, summoner 3, witch 3</t>
  </si>
  <si>
    <t>you plus one willing living creature per 3 levels, no two of which can be more than 30 ft. apart</t>
  </si>
  <si>
    <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t>
  </si>
  <si>
    <t>&lt;p&gt;You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it.&lt;/p&gt;</t>
  </si>
  <si>
    <t>&lt;link rel="stylesheet"href="PF.css"&gt;&lt;div class="heading"&gt;&lt;p class="alignleft"&gt;Pack Empathy&lt;/p&gt;&lt;div style="clear: both;"&gt;&lt;/div&gt;&lt;/div&gt;&lt;div&gt;&lt;h5&gt;&lt;b&gt;School &lt;/b&gt;divination; &lt;b&gt;Level &lt;/b&gt;bloodrager 3, druid 3, inquisitor 3, medium 2, ranger 2, sorcerer/wizard 3, spiritualist 3, summoner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plus one willing living creature per 3 levels, no two of which can be more than 30 ft. apart&lt;/h5&gt;&lt;h5&gt;&lt;b&gt;Duration &lt;/b&gt;1 hour/level (D)&lt;/h5&gt;&lt;h5&gt;&lt;b&gt;Saving Throw &lt;/b&gt;none; &lt;b&gt;Spell Resistance &lt;/b&gt;no&lt;/h5&gt;&lt;/div&gt;&lt;hr/&gt;&lt;div&gt;&lt;h5&gt;&lt;b&gt;DESCRIPTION&lt;/b&gt;&lt;/h5&gt;&lt;/div&gt;&lt;hr/&gt;&lt;div&gt;&lt;h4&gt;&lt;p&gt;You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it.&lt;/p&gt;&lt;/h4&gt;&lt;/div&gt;</t>
  </si>
  <si>
    <t>Create an empathic bond with allies.</t>
  </si>
  <si>
    <t>Peacebond, Greater</t>
  </si>
  <si>
    <t>inquisitor 4, occultist 4, psychic 5, sorcerer/wizard 5, witch 5</t>
  </si>
  <si>
    <t>up to one weapon/level, no two of which can be more than 30 ft. apart</t>
  </si>
  <si>
    <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t>
  </si>
  <si>
    <t>&lt;p&gt;If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weapons.&lt;/p&gt;</t>
  </si>
  <si>
    <t>&lt;link rel="stylesheet"href="PF.css"&gt;&lt;div class="heading"&gt;&lt;p class="alignleft"&gt;Peacebond, Greater&lt;/p&gt;&lt;div style="clear: both;"&gt;&lt;/div&gt;&lt;/div&gt;&lt;div&gt;&lt;h5&gt;&lt;b&gt;School &lt;/b&gt;abjuration; &lt;b&gt;Level &lt;/b&gt;inquisitor 4, occultist 4, psychic 5, sorcerer/wizard 5, witch 5&lt;/h5&gt;&lt;/div&gt;&lt;hr/&gt;&lt;div&gt;&lt;h5&gt;&lt;b&gt;CASTING&lt;/b&gt;&lt;/h5&gt;&lt;/div&gt;&lt;hr/&gt;&lt;div&gt;&lt;h5&gt;&lt;b&gt;Casting Time &lt;/b&gt;1 standard action&lt;/h5&gt;&lt;h5&gt;&lt;b&gt;Components &lt;/b&gt;S&lt;/h5&gt;&lt;/div&gt;&lt;hr/&gt;&lt;div&gt;&lt;h5&gt;&lt;b&gt;EFFECT&lt;/b&gt;&lt;/h5&gt;&lt;/div&gt;&lt;hr/&gt;&lt;div&gt;&lt;h5&gt;&lt;b&gt;Range &lt;/b&gt;medium (100 ft. + 10 ft./level)&lt;/h5&gt;&lt;h5&gt;&lt;b&gt;Targets &lt;/b&gt;up to one weapon/level, no two of which can be more than 30 ft. apart&lt;/h5&gt;&lt;h5&gt;&lt;b&gt;Duration &lt;/b&gt;1 minute/level&lt;/h5&gt;&lt;h5&gt;&lt;b&gt;Saving Throw &lt;/b&gt;Will negates (object); &lt;b&gt;Spell Resistance &lt;/b&gt;yes (object)&lt;/h5&gt;&lt;/div&gt;&lt;hr/&gt;&lt;div&gt;&lt;h5&gt;&lt;b&gt;DESCRIPTION&lt;/b&gt;&lt;/h5&gt;&lt;/div&gt;&lt;hr/&gt;&lt;div&gt;&lt;h4&gt;&lt;p&gt;If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weapons.&lt;/p&gt;&lt;/h4&gt;&lt;/div&gt;</t>
  </si>
  <si>
    <t>As peacebond, but on multiple weapons, even if they aren’t sheathed.</t>
  </si>
  <si>
    <t>Permanent Hallucination</t>
  </si>
  <si>
    <t>psychic 7, sorcerer/wizard 7</t>
  </si>
  <si>
    <t>This spell functions as audiovisual hallucination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permanent hallucination, she can choose to end the effect entirely at any time.</t>
  </si>
  <si>
    <t>&lt;p&gt;This spell functions as &lt;i&gt;audiovisual hallucination&lt;/i&gt;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&lt;i&gt;permanent hallucination&lt;/i&gt;, she can choose to end the effect entirely at any time.&lt;/p&gt;</t>
  </si>
  <si>
    <t>&lt;link rel="stylesheet"href="PF.css"&gt;&lt;div class="heading"&gt;&lt;p class="alignleft"&gt;Permanent Hallucination&lt;/p&gt;&lt;div style="clear: both;"&gt;&lt;/div&gt;&lt;/div&gt;&lt;div&gt;&lt;h5&gt;&lt;b&gt;School &lt;/b&gt;illusion (phantasm) [mind-affecting]; &lt;b&gt;Level &lt;/b&gt;psychic 7, sorcerer/wizard 7&lt;/h5&gt;&lt;/div&gt;&lt;hr/&gt;&lt;div&gt;&lt;h5&gt;&lt;b&gt;CASTING&lt;/b&gt;&lt;/h5&gt;&lt;/div&gt;&lt;hr/&gt;&lt;div&gt;&lt;h5&gt;&lt;b&gt;Casting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creature&lt;/h5&gt;&lt;h5&gt;&lt;b&gt;Duration &lt;/b&gt;permanent (D)&lt;/h5&gt;&lt;h5&gt;&lt;b&gt;Saving Throw &lt;/b&gt;Will disbelief; &lt;b&gt;Spell Resistance &lt;/b&gt;yes&lt;/h5&gt;&lt;/div&gt;&lt;hr/&gt;&lt;div&gt;&lt;h5&gt;&lt;b&gt;DESCRIPTION&lt;/b&gt;&lt;/h5&gt;&lt;/div&gt;&lt;hr/&gt;&lt;div&gt;&lt;h4&gt;&lt;p&gt;This spell functions as &lt;i&gt;audiovisual hallucination&lt;/i&gt;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&lt;i&gt;permanent hallucination&lt;/i&gt;, she can choose to end the effect entirely at any time.&lt;/p&gt;&lt;/h4&gt;&lt;/div&gt;</t>
  </si>
  <si>
    <t>As scripted hallucination, but permanent.</t>
  </si>
  <si>
    <t>Phantasmal Affliction</t>
  </si>
  <si>
    <t>mesmerist 2, psychic 3, sorcerer/wizard 3, witch 3</t>
  </si>
  <si>
    <t>V, S, M (a drop of cod liver oil)</t>
  </si>
  <si>
    <t>Will disbelief, then Fortitude or Will negates (see text)</t>
  </si>
  <si>
    <t>You cause the creature to believe she has a debilitating affliction. The target can attempt a Will save to recognize the affliction as unreal. If that save fails, the creature suffers an imaginary affliction of your choice.  Curse: The target believes she has been cursed. She takes a permanent -4 penalty on attack rolls, saves, ability checks, and skill checks for 1 hour per caster level. After her save to disbelieve, the target attempts a second Will save to negate this effect.  Poison: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Wasting: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phantasmal affliction is not affected by normal cures like neutralize poison or remove disease, or other effects like delay poison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Phantasmal affliction is a spell effect and can be dispelled normally.  Placebo effectOA counters and dispels phantasmal affliction.</t>
  </si>
  <si>
    <t>&lt;p&gt;You cause the creature to believe she has a debilitating affliction. The target can attempt a Will save to recognize the affliction as unreal. If that save fails, the creature suffers an imaginary affliction of your choice.  &lt;i&gt;Curse&lt;/i&gt;: The target believes she has been cursed. She takes a permanent -4 penalty on attack rolls, saves, ability checks, and skill checks for 1 hour per caster level. After her save to disbelieve, the target attempts a second Will save to negate this effect.  &lt;i&gt;Poison&lt;/i&gt;: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&lt;i&gt;Wasting&lt;/i&gt;: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&lt;i&gt;phantasmal affliction&lt;/i&gt; is not affected by normal cures like &lt;i&gt;neutralize poison&lt;/i&gt; or &lt;i&gt;remove disease&lt;/i&gt;, or other effects like &lt;i&gt;delay poison&lt;/i&gt;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&lt;i&gt;Phantasmal affliction&lt;/i&gt; is a spell effect and can be dispelled normally.  &lt;i&gt;Placebo&lt;/i&gt; effectOA counters and dispels &lt;i&gt;phantasmal affliction&lt;/i&gt;.&lt;/p&gt;</t>
  </si>
  <si>
    <t>&lt;link rel="stylesheet"href="PF.css"&gt;&lt;div class="heading"&gt;&lt;p class="alignleft"&gt;Phantasmal Affliction&lt;/p&gt;&lt;div style="clear: both;"&gt;&lt;/div&gt;&lt;/div&gt;&lt;div&gt;&lt;h5&gt;&lt;b&gt;School &lt;/b&gt;illusion (phantasm) [mind-affecting]; &lt;b&gt;Level &lt;/b&gt;mesmerist 2, psychic 3, sorcerer/wizard 3, witch 3&lt;/h5&gt;&lt;/div&gt;&lt;hr/&gt;&lt;div&gt;&lt;h5&gt;&lt;b&gt;CASTING&lt;/b&gt;&lt;/h5&gt;&lt;/div&gt;&lt;hr/&gt;&lt;div&gt;&lt;h5&gt;&lt;b&gt;Casting Time &lt;/b&gt;1 standard action&lt;/h5&gt;&lt;h5&gt;&lt;b&gt;Components &lt;/b&gt;V, S, M (a drop of cod liver oil)&lt;/h5&gt;&lt;/div&gt;&lt;hr/&gt;&lt;div&gt;&lt;h5&gt;&lt;b&gt;EFFECT&lt;/b&gt;&lt;/h5&gt;&lt;/div&gt;&lt;hr/&gt;&lt;div&gt;&lt;h5&gt;&lt;b&gt;Range &lt;/b&gt;close (25 ft. + 5 ft./2 levels)&lt;/h5&gt;&lt;h5&gt;&lt;b&gt;Targets &lt;/b&gt;living creature&lt;/h5&gt;&lt;h5&gt;&lt;b&gt;Duration &lt;/b&gt;see text&lt;/h5&gt;&lt;h5&gt;&lt;b&gt;Saving Throw &lt;/b&gt;Will disbelief, then Fortitude or Will negates (see text); &lt;b&gt;Spell Resistance &lt;/b&gt;yes&lt;/h5&gt;&lt;/div&gt;&lt;hr/&gt;&lt;div&gt;&lt;h5&gt;&lt;b&gt;DESCRIPTION&lt;/b&gt;&lt;/h5&gt;&lt;/div&gt;&lt;hr/&gt;&lt;div&gt;&lt;h4&gt;&lt;p&gt;You cause the creature to believe she has a debilitating affliction. The target can attempt a Will save to recognize the affliction as unreal. If that save fails, the creature suffers an imaginary affliction of your choice.  &lt;i&gt;Curse&lt;/i&gt;: The target believes she has been cursed. She takes a permanent -4 penalty on attack rolls, saves, ability checks, and skill checks for 1 hour per caster level. After her save to disbelieve, the target attempts a second Will save to negate this effect.  &lt;i&gt;Poison&lt;/i&gt;: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&lt;i&gt;Wasting&lt;/i&gt;: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&lt;i&gt;phantasmal affliction&lt;/i&gt; is not affected by normal cures like &lt;i&gt;neutralize poison&lt;/i&gt; or &lt;i&gt;remove disease&lt;/i&gt;, or other effects like &lt;i&gt;delay poison&lt;/i&gt;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&lt;i&gt;Phantasmal affliction&lt;/i&gt; is a spell effect and can be dispelled normally.  &lt;i&gt;Placebo&lt;/i&gt; effectOA counters and dispels &lt;i&gt;phantasmal affliction&lt;/i&gt;.&lt;/p&gt;&lt;/h4&gt;&lt;/div&gt;</t>
  </si>
  <si>
    <t>Convince a target that it contracted an aff liction.</t>
  </si>
  <si>
    <t>Pocketful Of Vipers</t>
  </si>
  <si>
    <t>druid 3, occultist 3, ranger 3, shaman 3, witch 3</t>
  </si>
  <si>
    <t>V, S, M (a snake scale and fang)</t>
  </si>
  <si>
    <t>You set a magical ward upon the object touched, which must be a container such as a pouch, bag, backpack, or pocket. If any creature opens the container without first speaking a command word, 1d3 summoned venomous snakes (Pathfinder RPG Bestiary 255) appear, slithering out of the container and attacking that creature for 1 round/level before disappearing. They attack other creatures only if they themselves are attacked.</t>
  </si>
  <si>
    <t>&lt;p&gt;You set a magical ward upon the object touched, which must be a container such as a pouch, bag, backpack, or pocket. If any creature opens the container without first speaking a command word, 1d3 summoned venomous snakes (&lt;i&gt;Pathfinder RPG Bestiary&lt;/i&gt; 255) appear, slithering out of the container and attacking that creature for 1 round/level before disappearing. They attack other creatures only if they themselves are attacked.&lt;/p&gt;</t>
  </si>
  <si>
    <t>&lt;link rel="stylesheet"href="PF.css"&gt;&lt;div class="heading"&gt;&lt;p class="alignleft"&gt;Pocketful Of Vipers&lt;/p&gt;&lt;div style="clear: both;"&gt;&lt;/div&gt;&lt;/div&gt;&lt;div&gt;&lt;h5&gt;&lt;b&gt;School &lt;/b&gt;conjuration (summoning); &lt;b&gt;Level &lt;/b&gt;druid 3, occultist 3, ranger 3, shaman 3, witch 3&lt;/h5&gt;&lt;/div&gt;&lt;hr/&gt;&lt;div&gt;&lt;h5&gt;&lt;b&gt;CASTING&lt;/b&gt;&lt;/h5&gt;&lt;/div&gt;&lt;hr/&gt;&lt;div&gt;&lt;h5&gt;&lt;b&gt;Casting Time &lt;/b&gt;1 round&lt;/h5&gt;&lt;h5&gt;&lt;b&gt;Components &lt;/b&gt;V, S, M (a snake scale and fang)&lt;/h5&gt;&lt;/div&gt;&lt;hr/&gt;&lt;div&gt;&lt;h5&gt;&lt;b&gt;EFFECT&lt;/b&gt;&lt;/h5&gt;&lt;/div&gt;&lt;hr/&gt;&lt;div&gt;&lt;h5&gt;&lt;b&gt;Range &lt;/b&gt;touch&lt;/h5&gt;&lt;h5&gt;&lt;b&gt;Targets &lt;/b&gt;object touched&lt;/h5&gt;&lt;h5&gt;&lt;b&gt;Duration &lt;/b&gt;1 hour/level or until discharged (D)&lt;/h5&gt;&lt;h5&gt;&lt;b&gt;Saving Throw &lt;/b&gt;Fortitude negates (object); &lt;b&gt;Spell Resistance &lt;/b&gt;no&lt;/h5&gt;&lt;/div&gt;&lt;hr/&gt;&lt;div&gt;&lt;h5&gt;&lt;b&gt;DESCRIPTION&lt;/b&gt;&lt;/h5&gt;&lt;/div&gt;&lt;hr/&gt;&lt;div&gt;&lt;h4&gt;&lt;p&gt;You set a magical ward upon the object touched, which must be a container such as a pouch, bag, backpack, or pocket. If any creature opens the container without first speaking a command word, 1d3 summoned venomous snakes (&lt;i&gt;Pathfinder RPG Bestiary&lt;/i&gt; 255) appear, slithering out of the container and attacking that creature for 1 round/level before disappearing. They attack other creatures only if they themselves are attacked.&lt;/p&gt;&lt;/h4&gt;&lt;/div&gt;</t>
  </si>
  <si>
    <t>Ward a container with summoned vipers.</t>
  </si>
  <si>
    <t>Poisonous Balm</t>
  </si>
  <si>
    <t>poisonUM, ruse</t>
  </si>
  <si>
    <t>cleric/oracle 4, druid 5, occultist 4, shaman 4, witch 5</t>
  </si>
  <si>
    <t>instantaneous, then 1 hour or until triggered plus 6 rounds; see text</t>
  </si>
  <si>
    <t>Will partial (harmless), then Fortitude negates (see text)</t>
  </si>
  <si>
    <t>You mend the target's injuries, curing 3d8 hit points + 1 point per caster level (maximum +15) as cure serious wounds, but leaving its body laced with a subtle toxin that remains inert until you activate it. A target that decides to attempt the Will save and succeeds is healed for half (as cure serious wounds)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Detect poison reveals an inert poisonous balm only if the caster succeeds at a caster level check against a DC equal to 15 + your caster level. Attempts to identify poisonous balm with a skill check incorrectly identify it as cure serious wounds (see the ruse descriptor on page 192). A fooled viewer mistakes poisonous balm's aura as the lingering aura of an instantaneous effect.</t>
  </si>
  <si>
    <t>&lt;p&gt;You mend the target's injuries, curing 3d8 hit points + 1 point per caster level (maximum +15) as &lt;i&gt;&lt;i&gt;cure serious&lt;/i&gt; wounds&lt;/i&gt;, but leaving its body laced with a subtle toxin that remains inert until you activate it. A target that decides to attempt the Will save and succeeds is healed for half (as &lt;i&gt;&lt;i&gt;cure serious&lt;/i&gt; wounds&lt;/i&gt;)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&lt;i&gt;Detect poison&lt;/i&gt; reveals an inert &lt;i&gt;&lt;i&gt;poisonous&lt;/i&gt; balm&lt;/i&gt; only if the caster succeeds at a caster level check against a DC equal to 15 + your caster level. Attempts to identify &lt;i&gt;&lt;i&gt;poisonous&lt;/i&gt; balm&lt;/i&gt; with a skill check incorrectly identify it as &lt;i&gt;&lt;i&gt;cure serious&lt;/i&gt; wounds&lt;/i&gt; (see the ruse descriptor on page 192). A fooled viewer mistakes &lt;i&gt;&lt;i&gt;poisonous&lt;/i&gt; balm&lt;/i&gt;'s aura as the lingering aura of an instantaneous effect.&lt;/p&gt;</t>
  </si>
  <si>
    <t>&lt;link rel="stylesheet"href="PF.css"&gt;&lt;div class="heading"&gt;&lt;p class="alignleft"&gt;Poisonous Balm&lt;/p&gt;&lt;div style="clear: both;"&gt;&lt;/div&gt;&lt;/div&gt;&lt;div&gt;&lt;h5&gt;&lt;b&gt;School &lt;/b&gt;conjuration (healing) [poison&lt;sup&gt;UM&lt;/sup&gt;, ruse]; &lt;b&gt;Level &lt;/b&gt;cleric/oracle 4, druid 5, occultist 4, shaman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then 1 hour or until triggered plus 6 rounds; see text&lt;/h5&gt;&lt;h5&gt;&lt;b&gt;Saving Throw &lt;/b&gt;Will partial (harmless), then Fortitude negates (see text); &lt;b&gt;Spell Resistance &lt;/b&gt;yes&lt;/h5&gt;&lt;/div&gt;&lt;hr/&gt;&lt;div&gt;&lt;h5&gt;&lt;b&gt;DESCRIPTION&lt;/b&gt;&lt;/h5&gt;&lt;/div&gt;&lt;hr/&gt;&lt;div&gt;&lt;h4&gt;&lt;p&gt;You mend the target's injuries, curing 3d8 hit points + 1 point per caster level (maximum +15) as &lt;i&gt;&lt;i&gt;cure serious&lt;/i&gt; wounds&lt;/i&gt;, but leaving its body laced with a subtle toxin that remains inert until you activate it. A target that decides to attempt the Will save and succeeds is healed for half (as &lt;i&gt;&lt;i&gt;cure serious&lt;/i&gt; wounds&lt;/i&gt;)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&lt;i&gt;Detect poison&lt;/i&gt; reveals an inert &lt;i&gt;&lt;i&gt;poisonous&lt;/i&gt; balm&lt;/i&gt; only if the caster succeeds at a caster level check against a DC equal to 15 + your caster level. Attempts to identify &lt;i&gt;&lt;i&gt;poisonous&lt;/i&gt; balm&lt;/i&gt; with a skill check incorrectly identify it as &lt;i&gt;&lt;i&gt;cure serious&lt;/i&gt; wounds&lt;/i&gt; (see the ruse descriptor on page 192). A fooled viewer mistakes &lt;i&gt;&lt;i&gt;poisonous&lt;/i&gt; balm&lt;/i&gt;'s aura as the lingering aura of an instantaneous effect.&lt;/p&gt;&lt;/h4&gt;&lt;/div&gt;</t>
  </si>
  <si>
    <t>As cure serious wounds, but leave behind a latent venom.</t>
  </si>
  <si>
    <t>Pox Of Rumors</t>
  </si>
  <si>
    <t>bard 5, cleric/oracle 7, mesmerist 5, psychic 7, sorcerer/wizard 7, spiritualist 5, witch 7</t>
  </si>
  <si>
    <t>V, S, M (a physical connection to the target; see text)</t>
  </si>
  <si>
    <t>Will negates, then Will partial (see text)</t>
  </si>
  <si>
    <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scrying spell (including a +5 bonus if the target is on another plane), except that you can't cast pox of rumors without at least a possession or garment to use as the material component, and the target takes no penalty when you use a possession or garment and only a -5 penalty when you use a piece of the target's body. Pox of rumors is a curse, and until its duration expires, it can be removed only by remove curse or similar magic.</t>
  </si>
  <si>
    <t>&lt;p&gt;You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&lt;i&gt;scrying&lt;/i&gt; spell (including a +5 bonus if the target is on another plane), except that you can't cast &lt;i&gt;pox of rumors&lt;/i&gt; without at least a possession or garment to use as the material component, and the target takes no penalty when you use a possession or garment and only a -5 penalty when you use a piece of the target's body. &lt;i&gt;Pox of rumors&lt;/i&gt; is a curse, and until its duration expires, it can be removed only by &lt;i&gt;remove curse&lt;/i&gt; or similar magic.&lt;/p&gt;</t>
  </si>
  <si>
    <t>&lt;link rel="stylesheet"href="PF.css"&gt;&lt;div class="heading"&gt;&lt;p class="alignleft"&gt;Pox Of Rumors&lt;/p&gt;&lt;div style="clear: both;"&gt;&lt;/div&gt;&lt;/div&gt;&lt;div&gt;&lt;h5&gt;&lt;b&gt;School &lt;/b&gt;enchantment (compulsion) [curse&lt;sup&gt;UM&lt;/sup&gt;, mind-affecting]; &lt;b&gt;Level &lt;/b&gt;bard 5, cleric/oracle 7, mesmerist 5, psychic 7, sorcerer/wizard 7, spiritualist 5, witch 7&lt;/h5&gt;&lt;/div&gt;&lt;hr/&gt;&lt;div&gt;&lt;h5&gt;&lt;b&gt;CASTING&lt;/b&gt;&lt;/h5&gt;&lt;/div&gt;&lt;hr/&gt;&lt;div&gt;&lt;h5&gt;&lt;b&gt;Casting Time &lt;/b&gt;8 hours&lt;/h5&gt;&lt;h5&gt;&lt;b&gt;Components &lt;/b&gt;V, S, M (a physical connection to the target; see text)&lt;/h5&gt;&lt;/div&gt;&lt;hr/&gt;&lt;div&gt;&lt;h5&gt;&lt;b&gt;EFFECT&lt;/b&gt;&lt;/h5&gt;&lt;/div&gt;&lt;hr/&gt;&lt;div&gt;&lt;h5&gt;&lt;b&gt;Range &lt;/b&gt;see text&lt;/h5&gt;&lt;h5&gt;&lt;b&gt;Targets &lt;/b&gt;one creature&lt;/h5&gt;&lt;h5&gt;&lt;b&gt;Duration &lt;/b&gt;1 day/level&lt;/h5&gt;&lt;h5&gt;&lt;b&gt;Saving Throw &lt;/b&gt;Will negates, then Will partial (see text); &lt;b&gt;Spell Resistance &lt;/b&gt;yes&lt;/h5&gt;&lt;/div&gt;&lt;hr/&gt;&lt;div&gt;&lt;h5&gt;&lt;b&gt;DESCRIPTION&lt;/b&gt;&lt;/h5&gt;&lt;/div&gt;&lt;hr/&gt;&lt;div&gt;&lt;h4&gt;&lt;p&gt;You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&lt;i&gt;scrying&lt;/i&gt; spell (including a +5 bonus if the target is on another plane), except that you can't cast &lt;i&gt;pox of rumors&lt;/i&gt; without at least a possession or garment to use as the material component, and the target takes no penalty when you use a possession or garment and only a -5 penalty when you use a piece of the target's body. &lt;i&gt;Pox of rumors&lt;/i&gt; is a curse, and until its duration expires, it can be removed only by &lt;i&gt;remove curse&lt;/i&gt; or similar magic.&lt;/p&gt;&lt;/h4&gt;&lt;/div&gt;</t>
  </si>
  <si>
    <t>Curse a creature to attract nasty rumors.</t>
  </si>
  <si>
    <t>Prognostication</t>
  </si>
  <si>
    <t>cleric/oracle 6, inquisitor 6, medium 4, psychic 6, shaman 6, spiritualist 6, witch 6</t>
  </si>
  <si>
    <t>V, S, M (rare incense and tonics worth 250 gp)</t>
  </si>
  <si>
    <t>You glimpse the future. Prognostication functions as divination except that the spell can see up to a year and a day into the future. Because of the increased unpredictability of the distant future, prognostication is significantly more cryptic than the already-cryptic divination spell.</t>
  </si>
  <si>
    <t>&lt;p&gt;You glimpse the future. &lt;i&gt;Prognostication&lt;/i&gt; functions as &lt;i&gt;divination&lt;/i&gt; except that the spell can see up to a year and a day into the future. Because of the increased unpredictability of the distant future, &lt;i&gt;prognostication&lt;/i&gt; is significantly more cryptic than the already-cryptic &lt;i&gt;divination&lt;/i&gt; spell.&lt;/p&gt;</t>
  </si>
  <si>
    <t>&lt;link rel="stylesheet"href="PF.css"&gt;&lt;div class="heading"&gt;&lt;p class="alignleft"&gt;Prognostication&lt;/p&gt;&lt;div style="clear: both;"&gt;&lt;/div&gt;&lt;/div&gt;&lt;div&gt;&lt;h5&gt;&lt;b&gt;School &lt;/b&gt;divination; &lt;b&gt;Level &lt;/b&gt;cleric/oracle 6, inquisitor 6, medium 4, psychic 6, shaman 6, spiritualist 6, witch 6&lt;/h5&gt;&lt;/div&gt;&lt;hr/&gt;&lt;div&gt;&lt;h5&gt;&lt;b&gt;CASTING&lt;/b&gt;&lt;/h5&gt;&lt;/div&gt;&lt;hr/&gt;&lt;div&gt;&lt;h5&gt;&lt;b&gt;Casting Time &lt;/b&gt;8 hours&lt;/h5&gt;&lt;h5&gt;&lt;b&gt;Components &lt;/b&gt;V, S, M (rare incense and tonics worth 250 gp)&lt;/h5&gt;&lt;/div&gt;&lt;hr/&gt;&lt;div&gt;&lt;h5&gt;&lt;b&gt;EFFECT&lt;/b&gt;&lt;/h5&gt;&lt;/div&gt;&lt;hr/&gt;&lt;div&gt;&lt;h5&gt;&lt;b&gt;Range &lt;/b&gt;personal&lt;/h5&gt;&lt;h5&gt;&lt;b&gt;Targets &lt;/b&gt;you&lt;/h5&gt;&lt;h5&gt;&lt;b&gt;Duration &lt;/b&gt;instantaneous&lt;/h5&gt;&lt;/div&gt;&lt;hr/&gt;&lt;div&gt;&lt;h5&gt;&lt;b&gt;DESCRIPTION&lt;/b&gt;&lt;/h5&gt;&lt;/div&gt;&lt;hr/&gt;&lt;div&gt;&lt;h4&gt;&lt;p&gt;You glimpse the future. &lt;i&gt;Prognostication&lt;/i&gt; functions as &lt;i&gt;divination&lt;/i&gt; except that the spell can see up to a year and a day into the future. Because of the increased unpredictability of the distant future, &lt;i&gt;prognostication&lt;/i&gt; is significantly more cryptic than the already-cryptic &lt;i&gt;divination&lt;/i&gt; spell.&lt;/p&gt;&lt;/h4&gt;&lt;/div&gt;</t>
  </si>
  <si>
    <t>Gain cryptic information from further in the future than divination.</t>
  </si>
  <si>
    <t>Quieting Weapons</t>
  </si>
  <si>
    <t>bard 4, cleric/oracle 4, inquisitor 4, magus 4, occultist 4, psychic 4, ranger 3, sorcerer/wizard 4, spiritualist 4</t>
  </si>
  <si>
    <t>up to one natural or manufactured weapon per 3 caster levels</t>
  </si>
  <si>
    <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quieting weapons.</t>
  </si>
  <si>
    <t>&lt;p&gt;The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&lt;i&gt;quieting weapons&lt;/i&gt;.&lt;/p&gt;</t>
  </si>
  <si>
    <t>&lt;link rel="stylesheet"href="PF.css"&gt;&lt;div class="heading"&gt;&lt;p class="alignleft"&gt;Quieting Weapons&lt;/p&gt;&lt;div style="clear: both;"&gt;&lt;/div&gt;&lt;/div&gt;&lt;div&gt;&lt;h5&gt;&lt;b&gt;School &lt;/b&gt;illusion (glamer); &lt;b&gt;Level &lt;/b&gt;bard 4, cleric/oracle 4, inquisitor 4, magus 4, occultist 4, psychic 4, ranger 3, sorcerer/wizard 4, spiritualist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&lt;/b&gt;up to one natural or manufactured weapon per 3 caster levels&lt;/h5&gt;&lt;h5&gt;&lt;b&gt;Duration &lt;/b&gt;10 minutes/level&lt;/h5&gt;&lt;h5&gt;&lt;b&gt;Saving Throw &lt;/b&gt;Will negates (object); &lt;b&gt;Spell Resistance &lt;/b&gt;yes (object)&lt;/h5&gt;&lt;/div&gt;&lt;hr/&gt;&lt;div&gt;&lt;h5&gt;&lt;b&gt;DESCRIPTION&lt;/b&gt;&lt;/h5&gt;&lt;/div&gt;&lt;hr/&gt;&lt;div&gt;&lt;h4&gt;&lt;p&gt;The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&lt;i&gt;quieting weapons&lt;/i&gt;.&lt;/p&gt;&lt;/h4&gt;&lt;/div&gt;</t>
  </si>
  <si>
    <t>Weapons make no sound and quiet their victims.</t>
  </si>
  <si>
    <t>Red Hand Of The Killer</t>
  </si>
  <si>
    <t>bard 4, cleric/oracle 4, inquisitor 4, medium 3, occultist 4, paladin 4, psychic 5, sorcerer/wizard 5, spiritualist 4, witch 5</t>
  </si>
  <si>
    <t>V, S, M (a black candle), F (a corpse slain no more than 1 day ago per caster level)</t>
  </si>
  <si>
    <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disguise self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red hand of the killer, it can never act as the focus for another casting of red hand of the killer.</t>
  </si>
  <si>
    <t>&lt;p&gt;Drawing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&lt;i&gt;disguise self&lt;/i&gt;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&lt;i&gt;red hand of the killer&lt;/i&gt;, it can never act as the focus for another casting of &lt;i&gt;red hand of the killer&lt;/i&gt;.&lt;/p&gt;</t>
  </si>
  <si>
    <t>&lt;link rel="stylesheet"href="PF.css"&gt;&lt;div class="heading"&gt;&lt;p class="alignleft"&gt;Red Hand Of The Killer&lt;/p&gt;&lt;div style="clear: both;"&gt;&lt;/div&gt;&lt;/div&gt;&lt;div&gt;&lt;h5&gt;&lt;b&gt;School &lt;/b&gt;necromancy; &lt;b&gt;Level &lt;/b&gt;bard 4, cleric/oracle 4, inquisitor 4, medium 3, occultist 4, paladin 4, psychic 5, sorcerer/wizard 5, spiritualist 4, witch 5&lt;/h5&gt;&lt;/div&gt;&lt;hr/&gt;&lt;div&gt;&lt;h5&gt;&lt;b&gt;CASTING&lt;/b&gt;&lt;/h5&gt;&lt;/div&gt;&lt;hr/&gt;&lt;div&gt;&lt;h5&gt;&lt;b&gt;Casting Time &lt;/b&gt;1 standard action&lt;/h5&gt;&lt;h5&gt;&lt;b&gt;Components &lt;/b&gt;V, S, M (a black candle), F (a corpse slain no more than 1 day ago per caster level)&lt;/h5&gt;&lt;/div&gt;&lt;hr/&gt;&lt;div&gt;&lt;h5&gt;&lt;b&gt;EFFECT&lt;/b&gt;&lt;/h5&gt;&lt;/div&gt;&lt;hr/&gt;&lt;div&gt;&lt;h5&gt;&lt;b&gt;Range &lt;/b&gt;see text&lt;/h5&gt;&lt;h5&gt;&lt;b&gt;Targets &lt;/b&gt;one creature&lt;/h5&gt;&lt;h5&gt;&lt;b&gt;Duration &lt;/b&gt;1 day/level (D)&lt;/h5&gt;&lt;h5&gt;&lt;b&gt;Saving Throw &lt;/b&gt;Will negates; &lt;b&gt;Spell Resistance &lt;/b&gt;yes&lt;/h5&gt;&lt;/div&gt;&lt;hr/&gt;&lt;div&gt;&lt;h5&gt;&lt;b&gt;DESCRIPTION&lt;/b&gt;&lt;/h5&gt;&lt;/div&gt;&lt;hr/&gt;&lt;div&gt;&lt;h4&gt;&lt;p&gt;Drawing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&lt;i&gt;disguise self&lt;/i&gt;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&lt;i&gt;red hand of the killer&lt;/i&gt;, it can never act as the focus for another casting of &lt;i&gt;red hand of the killer&lt;/i&gt;.&lt;/p&gt;&lt;/h4&gt;&lt;/div&gt;</t>
  </si>
  <si>
    <t>Stain the hand of a creature’s killer red.</t>
  </si>
  <si>
    <t>Reincarnate Spy</t>
  </si>
  <si>
    <t>druid 6, shaman 6, witch 7</t>
  </si>
  <si>
    <t>V, S, DF, M (oils worth 2,500 gp and a possession or piece of the body of the creature to resemble)</t>
  </si>
  <si>
    <t>This spell functions as reincarnate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scrying and other such spells).</t>
  </si>
  <si>
    <t>&lt;p&gt;This spell functions as &lt;i&gt;reincarnate&lt;/i&gt;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&lt;i&gt;scrying&lt;/i&gt; and other such spells).&lt;/p&gt;</t>
  </si>
  <si>
    <t>&lt;link rel="stylesheet"href="PF.css"&gt;&lt;div class="heading"&gt;&lt;p class="alignleft"&gt;Reincarnate Spy&lt;/p&gt;&lt;div style="clear: both;"&gt;&lt;/div&gt;&lt;/div&gt;&lt;div&gt;&lt;h5&gt;&lt;b&gt;School &lt;/b&gt;conjuration (healing); &lt;b&gt;Level &lt;/b&gt;druid 6, shaman 6, witch 7&lt;/h5&gt;&lt;/div&gt;&lt;hr/&gt;&lt;div&gt;&lt;h5&gt;&lt;b&gt;CASTING&lt;/b&gt;&lt;/h5&gt;&lt;/div&gt;&lt;hr/&gt;&lt;div&gt;&lt;h5&gt;&lt;b&gt;Casting Time &lt;/b&gt;10 minutes&lt;/h5&gt;&lt;h5&gt;&lt;b&gt;Components &lt;/b&gt;V, S, DF, M (oils worth 2,500 gp and a possession or piece of the body of the creature to resemble)&lt;/h5&gt;&lt;/div&gt;&lt;hr/&gt;&lt;div&gt;&lt;h5&gt;&lt;b&gt;EFFECT&lt;/b&gt;&lt;/h5&gt;&lt;/div&gt;&lt;hr/&gt;&lt;div&gt;&lt;h5&gt;&lt;b&gt;Range &lt;/b&gt;touch&lt;/h5&gt;&lt;h5&gt;&lt;b&gt;Targets &lt;/b&gt;dead creature touched&lt;/h5&gt;&lt;h5&gt;&lt;b&gt;Duration &lt;/b&gt;instantaneous&lt;/h5&gt;&lt;h5&gt;&lt;b&gt;Saving Throw &lt;/b&gt;none (see text); &lt;b&gt;Spell Resistance &lt;/b&gt;yes&lt;/h5&gt;&lt;/div&gt;&lt;hr/&gt;&lt;div&gt;&lt;h5&gt;&lt;b&gt;DESCRIPTION&lt;/b&gt;&lt;/h5&gt;&lt;/div&gt;&lt;hr/&gt;&lt;div&gt;&lt;h4&gt;&lt;p&gt;This spell functions as &lt;i&gt;reincarnate&lt;/i&gt;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&lt;i&gt;scrying&lt;/i&gt; and other such spells).&lt;/p&gt;&lt;/h4&gt;&lt;/div&gt;</t>
  </si>
  <si>
    <t>As reincarnate, but creating a body similar to that of a chosen creature, and you secretly keep part of the body.</t>
  </si>
  <si>
    <t>Resplendent Mansion</t>
  </si>
  <si>
    <t>V, S, F (a miniature cornerstone carved from precious gemstones worth 500 gp)</t>
  </si>
  <si>
    <t>opulent mansion, up to 300 feet on a side and one story tall/4 levels</t>
  </si>
  <si>
    <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resplendent mansion contains the same types of foodstuffs and servants as a mage's magnificent mansion.  Each of the mansion's exterior doorways and windows are protected by alarm spells. You choose whether each alarm is audible or mental as you cast the spell, and each alarm has a different sound (for an audible alarm)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t>
  </si>
  <si>
    <t>&lt;p&gt;This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&lt;i&gt;resplendent mansion&lt;/i&gt; contains the same types of foodstuffs and servants as a mage's magnificent mansion.  Each of the mansion's exterior doorways and windows are protected by &lt;i&gt;alarm&lt;/i&gt; spells. You choose whether each &lt;i&gt;alarm&lt;/i&gt; is audible or mental as you cast the spell, and each &lt;i&gt;alarm&lt;/i&gt; has a different sound (for an audible &lt;i&gt;alarm&lt;/i&gt;)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mansion.&lt;/p&gt;</t>
  </si>
  <si>
    <t>&lt;link rel="stylesheet"href="PF.css"&gt;&lt;div class="heading"&gt;&lt;p class="alignleft"&gt;Resplendent Mansion&lt;/p&gt;&lt;div style="clear: both;"&gt;&lt;/div&gt;&lt;/div&gt;&lt;div&gt;&lt;h5&gt;&lt;b&gt;School &lt;/b&gt;conjuration (creation); &lt;b&gt;Level &lt;/b&gt;psychic 9, sorcerer/wizard 9&lt;/h5&gt;&lt;/div&gt;&lt;hr/&gt;&lt;div&gt;&lt;h5&gt;&lt;b&gt;CASTING&lt;/b&gt;&lt;/h5&gt;&lt;/div&gt;&lt;hr/&gt;&lt;div&gt;&lt;h5&gt;&lt;b&gt;Casting Time &lt;/b&gt;1 minute&lt;/h5&gt;&lt;h5&gt;&lt;b&gt;Components &lt;/b&gt;V, S, F (a miniature cornerstone carved from precious gemstones worth 500 gp)&lt;/h5&gt;&lt;/div&gt;&lt;hr/&gt;&lt;div&gt;&lt;h5&gt;&lt;b&gt;EFFECT&lt;/b&gt;&lt;/h5&gt;&lt;/div&gt;&lt;hr/&gt;&lt;div&gt;&lt;h5&gt;&lt;b&gt;Range &lt;/b&gt;long (400 ft. + 40 ft./level)&lt;/h5&gt;&lt;h5&gt;&lt;b&gt;Effect &lt;/b&gt;opulent mansion, up to 300 feet on a side and one story tall/4 levels&lt;/h5&gt;&lt;h5&gt;&lt;b&gt;Duration &lt;/b&gt;1 day/level (D)&lt;/h5&gt;&lt;h5&gt;&lt;b&gt;Saving Throw &lt;/b&gt;none; &lt;b&gt;Spell Resistance &lt;/b&gt;no&lt;/h5&gt;&lt;/div&gt;&lt;hr/&gt;&lt;div&gt;&lt;h5&gt;&lt;b&gt;DESCRIPTION&lt;/b&gt;&lt;/h5&gt;&lt;/div&gt;&lt;hr/&gt;&lt;div&gt;&lt;h4&gt;&lt;p&gt;This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&lt;i&gt;resplendent mansion&lt;/i&gt; contains the same types of foodstuffs and servants as a mage's magnificent mansion.  Each of the mansion's exterior doorways and windows are protected by &lt;i&gt;alarm&lt;/i&gt; spells. You choose whether each &lt;i&gt;alarm&lt;/i&gt; is audible or mental as you cast the spell, and each &lt;i&gt;alarm&lt;/i&gt; has a different sound (for an audible &lt;i&gt;alarm&lt;/i&gt;)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mansion.&lt;/p&gt;&lt;/h4&gt;&lt;/div&gt;</t>
  </si>
  <si>
    <t>Conjure an opulent mansion several stories tall.</t>
  </si>
  <si>
    <t>Rumormonger</t>
  </si>
  <si>
    <t>bard 2, inquisitor 2, medium 1, mesmerist 2, psychic 3</t>
  </si>
  <si>
    <t>1 rumor</t>
  </si>
  <si>
    <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t>
  </si>
  <si>
    <t>&lt;p&gt;You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rumor.&lt;/p&gt;</t>
  </si>
  <si>
    <t>&lt;link rel="stylesheet"href="PF.css"&gt;&lt;div class="heading"&gt;&lt;p class="alignleft"&gt;Rumormonger&lt;/p&gt;&lt;div style="clear: both;"&gt;&lt;/div&gt;&lt;/div&gt;&lt;div&gt;&lt;h5&gt;&lt;b&gt;School &lt;/b&gt;divination; &lt;b&gt;Level &lt;/b&gt;bard 2, inquisitor 2, medium 1, mesmerist 2, psychic 3&lt;/h5&gt;&lt;/div&gt;&lt;hr/&gt;&lt;div&gt;&lt;h5&gt;&lt;b&gt;CASTING&lt;/b&gt;&lt;/h5&gt;&lt;/div&gt;&lt;hr/&gt;&lt;div&gt;&lt;h5&gt;&lt;b&gt;Casting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ft./level)&lt;/h5&gt;&lt;h5&gt;&lt;b&gt;Effect &lt;/b&gt;1 rumor&lt;/h5&gt;&lt;h5&gt;&lt;b&gt;Duration &lt;/b&gt;1 day/level (D)&lt;/h5&gt;&lt;h5&gt;&lt;b&gt;Saving Throw &lt;/b&gt;Will negates (see text); &lt;b&gt;Spell Resistance &lt;/b&gt;yes&lt;/h5&gt;&lt;/div&gt;&lt;hr/&gt;&lt;div&gt;&lt;h5&gt;&lt;b&gt;DESCRIPTION&lt;/b&gt;&lt;/h5&gt;&lt;/div&gt;&lt;hr/&gt;&lt;div&gt;&lt;h4&gt;&lt;p&gt;You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rumor.&lt;/p&gt;&lt;/h4&gt;&lt;/div&gt;</t>
  </si>
  <si>
    <t>Follow a rumor to see where it spreads.</t>
  </si>
  <si>
    <t>Scripted Hallucination</t>
  </si>
  <si>
    <t>bard 5, magus 5, medium 4, mesmerist 5, occultist 5, psychic 5, sorcerer/wizard 5</t>
  </si>
  <si>
    <t>This spell functions as audiovisual hallucination (see page 204), except that the phantasm includes visual, auditory, olfactory, tactile, and thermal components, and the phantasm follows a complex script. The phantasm follows that script without y</t>
  </si>
  <si>
    <t>&lt;p&gt;This spell functions as &lt;i&gt;audiovisual hallucination&lt;/i&gt; (see page 204), except that the phantasm includes visual, auditory, olfactory, tactile, and thermal components, and the phantasm follows a complex script. The phantasm follows that script without y&lt;/p&gt;</t>
  </si>
  <si>
    <t>&lt;link rel="stylesheet"href="PF.css"&gt;&lt;div class="heading"&gt;&lt;p class="alignleft"&gt;Scripted Hallucination&lt;/p&gt;&lt;div style="clear: both;"&gt;&lt;/div&gt;&lt;/div&gt;&lt;div&gt;&lt;h5&gt;&lt;b&gt;School &lt;/b&gt;illusion (phantasm) [mind-affecting]; &lt;b&gt;Level &lt;/b&gt;bard 5, magus 5, medium 4, mesmerist 5, occultist 5, psychic 5, sorcerer/wizard 5&lt;/h5&gt;&lt;/div&gt;&lt;hr/&gt;&lt;div&gt;&lt;h5&gt;&lt;b&gt;CASTING&lt;/b&gt;&lt;/h5&gt;&lt;/div&gt;&lt;hr/&gt;&lt;div&gt;&lt;h5&gt;&lt;b&gt;Casting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&lt;/b&gt;1 minute/level (D)&lt;/h5&gt;&lt;h5&gt;&lt;b&gt;Saving Throw &lt;/b&gt;Will disbelief; &lt;b&gt;Spell Resistance &lt;/b&gt;yes&lt;/h5&gt;&lt;/div&gt;&lt;hr/&gt;&lt;div&gt;&lt;h5&gt;&lt;b&gt;DESCRIPTION&lt;/b&gt;&lt;/h5&gt;&lt;/div&gt;&lt;hr/&gt;&lt;div&gt;&lt;h4&gt;&lt;p&gt;This spell functions as &lt;i&gt;audiovisual hallucination&lt;/i&gt; (see page 204), except that the phantasm includes visual, auditory, olfactory, tactile, and thermal components, and the phantasm follows a complex script. The phantasm follows that script without y&lt;/p&gt;&lt;/h4&gt;&lt;/div&gt;</t>
  </si>
  <si>
    <t>As complex hallucination, but without concentration.</t>
  </si>
  <si>
    <t>Selective Alarm</t>
  </si>
  <si>
    <t>bard 3, inquisitor 3, occultist 3, psychic 3, ranger 2, sorcerer/wizard 3, spiritualist 3, summoner 3</t>
  </si>
  <si>
    <t>V, S, F/DF (a slender iron rod 1 foot in length)</t>
  </si>
  <si>
    <t>up to 20-ft.-radius emanation centered on a point in space</t>
  </si>
  <si>
    <t>This spell functions as alarm, except that you can tweak the spell to be more discerning in what types of creatures or objects trigger the alarm. Instead of being triggered whenever a creature of Tiny size or larger enters the warded area, you can set whatever triggering conditions you wish, as long as they are based on observable phenomenon. For example, you could cause the selective alarm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alarm be triggered by "something worth more than 5,000 gp" entering the area, or even "a weapon" entering the area, because an item's value and classification as a weapon is subjective, and might vary from one person to the next.</t>
  </si>
  <si>
    <t>&lt;p&gt;This spell functions as &lt;i&gt;alarm&lt;/i&gt;, except that you can tweak the spell to be more discerning in what types of creatures or objects trigger the &lt;i&gt;alarm&lt;/i&gt;. Instead of being triggered whenever a creature of Tiny size or larger enters the warded area, you can set whatever triggering conditions you wish, as long as they are based on observable phenomenon. For example, you could cause the selective &lt;i&gt;alarm&lt;/i&gt;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&lt;i&gt;alarm&lt;/i&gt; be triggered by "something worth more than 5,000 gp" entering the area, or even "a weapon" entering the area, because an item's value and classification as a weapon is subjective, and might vary from one person to the next.&lt;/p&gt;</t>
  </si>
  <si>
    <t>&lt;link rel="stylesheet"href="PF.css"&gt;&lt;div class="heading"&gt;&lt;p class="alignleft"&gt;Selective Alarm&lt;/p&gt;&lt;div style="clear: both;"&gt;&lt;/div&gt;&lt;/div&gt;&lt;div&gt;&lt;h5&gt;&lt;b&gt;School &lt;/b&gt;abjuration; &lt;b&gt;Level &lt;/b&gt;bard 3, inquisitor 3, occultist 3, psychic 3, ranger 2, sorcerer/wizard 3, spiritualist 3, summoner 3&lt;/h5&gt;&lt;/div&gt;&lt;hr/&gt;&lt;div&gt;&lt;h5&gt;&lt;b&gt;CASTING&lt;/b&gt;&lt;/h5&gt;&lt;/div&gt;&lt;hr/&gt;&lt;div&gt;&lt;h5&gt;&lt;b&gt;Casting Time &lt;/b&gt;1 standard action&lt;/h5&gt;&lt;h5&gt;&lt;b&gt;Components &lt;/b&gt;V, S, F/DF (a slender iron rod 1 foot in length)&lt;/h5&gt;&lt;/div&gt;&lt;hr/&gt;&lt;div&gt;&lt;h5&gt;&lt;b&gt;EFFECT&lt;/b&gt;&lt;/h5&gt;&lt;/div&gt;&lt;hr/&gt;&lt;div&gt;&lt;h5&gt;&lt;b&gt;Range &lt;/b&gt;close (25 ft. + 5 ft./2 levels)&lt;/h5&gt;&lt;h5&gt;&lt;b&gt;Area &lt;/b&gt;up to 20-ft.-radius emanation centered on a point in space&lt;/h5&gt;&lt;h5&gt;&lt;b&gt;Duration &lt;/b&gt;2 hours/level (D)&lt;/h5&gt;&lt;h5&gt;&lt;b&gt;Saving Throw &lt;/b&gt;none; &lt;b&gt;Spell Resistance &lt;/b&gt;no&lt;/h5&gt;&lt;/div&gt;&lt;hr/&gt;&lt;div&gt;&lt;h5&gt;&lt;b&gt;DESCRIPTION&lt;/b&gt;&lt;/h5&gt;&lt;/div&gt;&lt;hr/&gt;&lt;div&gt;&lt;h4&gt;&lt;p&gt;This spell functions as &lt;i&gt;alarm&lt;/i&gt;, except that you can tweak the spell to be more discerning in what types of creatures or objects trigger the &lt;i&gt;alarm&lt;/i&gt;. Instead of being triggered whenever a creature of Tiny size or larger enters the warded area, you can set whatever triggering conditions you wish, as long as they are based on observable phenomenon. For example, you could cause the selective &lt;i&gt;alarm&lt;/i&gt;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&lt;i&gt;alarm&lt;/i&gt; be triggered by "something worth more than 5,000 gp" entering the area, or even "a weapon" entering the area, because an item's value and classification as a weapon is subjective, and might vary from one person to the next.&lt;/p&gt;&lt;/h4&gt;&lt;/div&gt;</t>
  </si>
  <si>
    <t>As alarm, but only against selected creatures.</t>
  </si>
  <si>
    <t>Shamefully Overdressed</t>
  </si>
  <si>
    <t>bard 2, inquisitor 2, mesmerist 2, psychic 3</t>
  </si>
  <si>
    <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t>
  </si>
  <si>
    <t>&lt;p&gt;The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chooses.&lt;/p&gt;</t>
  </si>
  <si>
    <t>&lt;link rel="stylesheet"href="PF.css"&gt;&lt;div class="heading"&gt;&lt;p class="alignleft"&gt;Shamefully Overdressed&lt;/p&gt;&lt;div style="clear: both;"&gt;&lt;/div&gt;&lt;/div&gt;&lt;div&gt;&lt;h5&gt;&lt;b&gt;School &lt;/b&gt;enchantment (compulsion) [mind-affecting]; &lt;b&gt;Level &lt;/b&gt;bard 2, inquisitor 2, mesmerist 2,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&lt;/b&gt;creature touched&lt;/h5&gt;&lt;h5&gt;&lt;b&gt;Duration &lt;/b&gt;1 round/level (D)&lt;/h5&gt;&lt;h5&gt;&lt;b&gt;Saving Throw &lt;/b&gt;Will negates; &lt;b&gt;Spell Resistance &lt;/b&gt;yes&lt;/h5&gt;&lt;/div&gt;&lt;hr/&gt;&lt;div&gt;&lt;h5&gt;&lt;b&gt;DESCRIPTION&lt;/b&gt;&lt;/h5&gt;&lt;/div&gt;&lt;hr/&gt;&lt;div&gt;&lt;h4&gt;&lt;p&gt;The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chooses.&lt;/p&gt;&lt;/h4&gt;&lt;/div&gt;</t>
  </si>
  <si>
    <t>Force target to remove equipment.</t>
  </si>
  <si>
    <t>Shifted Steps</t>
  </si>
  <si>
    <t>alchemist 2, antipaladin 2, bard 2, inquisitor 2, magus 2, medium 2, mesmerist 2, occultist 2, psychic 2, sorcerer/wizard 2, spiritualist 2</t>
  </si>
  <si>
    <t>one creature or object up to 10 feet across</t>
  </si>
  <si>
    <t>Will negates (harmless) and Will disbelief (if interacted with); see text</t>
  </si>
  <si>
    <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t>
  </si>
  <si>
    <t>&lt;p&gt;You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glamer.&lt;/p&gt;</t>
  </si>
  <si>
    <t>&lt;link rel="stylesheet"href="PF.css"&gt;&lt;div class="heading"&gt;&lt;p class="alignleft"&gt;Shifted Steps&lt;/p&gt;&lt;div style="clear: both;"&gt;&lt;/div&gt;&lt;/div&gt;&lt;div&gt;&lt;h5&gt;&lt;b&gt;School &lt;/b&gt;illusion (glamer) [sonic]; &lt;b&gt;Level &lt;/b&gt;alchemist 2, antipaladin 2, bard 2, inquisitor 2, magus 2, medium 2, mesmerist 2, occultist 2, psychic 2, sorcerer/wizard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10 feet across&lt;/h5&gt;&lt;h5&gt;&lt;b&gt;Duration &lt;/b&gt;concentration + 1 round/level (D)&lt;/h5&gt;&lt;h5&gt;&lt;b&gt;Saving Throw &lt;/b&gt;Will negates (harmless) and Will disbelief (if interacted with); see text; &lt;b&gt;Spell Resistance &lt;/b&gt;no&lt;/h5&gt;&lt;/div&gt;&lt;hr/&gt;&lt;div&gt;&lt;h5&gt;&lt;b&gt;DESCRIPTION&lt;/b&gt;&lt;/h5&gt;&lt;/div&gt;&lt;hr/&gt;&lt;div&gt;&lt;h4&gt;&lt;p&gt;You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glamer.&lt;/p&gt;&lt;/h4&gt;&lt;/div&gt;</t>
  </si>
  <si>
    <t>Make a target sound as if elsewhere.</t>
  </si>
  <si>
    <t>Swallow Poison</t>
  </si>
  <si>
    <t>alchemist 5, druid 5, shaman 5, witch 5</t>
  </si>
  <si>
    <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swallow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t>
  </si>
  <si>
    <t>&lt;p&gt;A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&lt;i&gt;swallow&lt;/i&gt;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inert.&lt;/p&gt;</t>
  </si>
  <si>
    <t>&lt;link rel="stylesheet"href="PF.css"&gt;&lt;div class="heading"&gt;&lt;p class="alignleft"&gt;Swallow Poison&lt;/p&gt;&lt;div style="clear: both;"&gt;&lt;/div&gt;&lt;/div&gt;&lt;div&gt;&lt;h5&gt;&lt;b&gt;School &lt;/b&gt;transmutation; &lt;b&gt;Level &lt;/b&gt;alchemist 5, druid 5, shaman 5, witch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&lt;i&gt;swallow&lt;/i&gt;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inert.&lt;/p&gt;&lt;/h4&gt;&lt;/div&gt;</t>
  </si>
  <si>
    <t>Protect yourself from ingested poison, then spit it out in a cone.</t>
  </si>
  <si>
    <t>They Know</t>
  </si>
  <si>
    <t>emotionUM, fear</t>
  </si>
  <si>
    <t>bard 3, inquisitor 3, mesmerist 3, paladin 3, psychic 4, shaman 4, witch 4</t>
  </si>
  <si>
    <t>V, S, F/DF, M (a drop of black ink)</t>
  </si>
  <si>
    <t>one intelligent creature</t>
  </si>
  <si>
    <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t>
  </si>
  <si>
    <t>&lt;p&gt;You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hide.&lt;/p&gt;</t>
  </si>
  <si>
    <t>&lt;link rel="stylesheet"href="PF.css"&gt;&lt;div class="heading"&gt;&lt;p class="alignleft"&gt;They Know&lt;/p&gt;&lt;div style="clear: both;"&gt;&lt;/div&gt;&lt;/div&gt;&lt;div&gt;&lt;h5&gt;&lt;b&gt;School &lt;/b&gt;enchantment (compulsion) [emotion&lt;sup&gt;UM&lt;/sup&gt;, fear]; &lt;b&gt;Level &lt;/b&gt;bard 3, inquisitor 3, mesmerist 3, paladin 3, psychic 4, shaman 4, witch 4&lt;/h5&gt;&lt;/div&gt;&lt;hr/&gt;&lt;div&gt;&lt;h5&gt;&lt;b&gt;CASTING&lt;/b&gt;&lt;/h5&gt;&lt;/div&gt;&lt;hr/&gt;&lt;div&gt;&lt;h5&gt;&lt;b&gt;Casting Time &lt;/b&gt;1 standard action&lt;/h5&gt;&lt;h5&gt;&lt;b&gt;Components &lt;/b&gt;V, S, F/DF, M (a drop of black ink)&lt;/h5&gt;&lt;/div&gt;&lt;hr/&gt;&lt;div&gt;&lt;h5&gt;&lt;b&gt;EFFECT&lt;/b&gt;&lt;/h5&gt;&lt;/div&gt;&lt;hr/&gt;&lt;div&gt;&lt;h5&gt;&lt;b&gt;Range &lt;/b&gt;medium (100 ft. plus 10 ft./level)&lt;/h5&gt;&lt;h5&gt;&lt;b&gt;Targets &lt;/b&gt;one intelligent creature&lt;/h5&gt;&lt;h5&gt;&lt;b&gt;Duration &lt;/b&gt;1 minute/level (D)&lt;/h5&gt;&lt;h5&gt;&lt;b&gt;Saving Throw &lt;/b&gt;Will negates; &lt;b&gt;Spell Resistance &lt;/b&gt;yes&lt;/h5&gt;&lt;/div&gt;&lt;hr/&gt;&lt;div&gt;&lt;h5&gt;&lt;b&gt;DESCRIPTION&lt;/b&gt;&lt;/h5&gt;&lt;/div&gt;&lt;hr/&gt;&lt;div&gt;&lt;h4&gt;&lt;p&gt;You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hide.&lt;/p&gt;&lt;/h4&gt;&lt;/div&gt;</t>
  </si>
  <si>
    <t>Convince target that a nearby creature knows her greatest secret.</t>
  </si>
  <si>
    <t>Trace Teleport</t>
  </si>
  <si>
    <t>psychic 4, sorcerer/wizard 5</t>
  </si>
  <si>
    <t>V, S, F (a magnifying lens)</t>
  </si>
  <si>
    <t>40 feet</t>
  </si>
  <si>
    <t>You immediately become aware of any teleportation effects that begin or end within the spell's area. The spell's area radiates from you and moves as you move. You know the exact origin point of any teleportation effect that originates within the spell's area, and the exact end point of any teleportation effect that terminates within the spell's area. Further, you can detect the lingering traces of any teleportation effect that occurred up to 1 hour previously, in the same fashion. You intuitively know, to the nearest minute, when the teleportation effect occurred.  Whenever you detect the origin point or termination point of any teleportation effect with this spell, you can study that origin point or termination point for 1 round. If you do, you can attempt a caster level check (DC = 11 + the teleportation effect's caster level), taking a -5 penalty if the effect occurred more than 1 minute ago. If you succeed, you gain a glimpse of the teleportation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teleport or similar magic. You can't retry the caster level check, even if you cast trace teleport again.</t>
  </si>
  <si>
    <t>&lt;p&gt;You immediately become aware of any &lt;i&gt;teleport&lt;/i&gt;ation effects that begin or end within the spell's area. The spell's area radiates from you and moves as you move. You know the exact origin point of any &lt;i&gt;teleport&lt;/i&gt;ation effect that originates within the spell's area, and the exact end point of any &lt;i&gt;teleport&lt;/i&gt;ation effect that terminates within the spell's area. Further, you can detect the lingering traces of any &lt;i&gt;teleport&lt;/i&gt;ation effect that occurred up to 1 hour previously, in the same fashion. You intuitively know, to the nearest minute, when the &lt;i&gt;teleport&lt;/i&gt;ation effect occurred.  Whenever you detect the origin point or termination point of any &lt;i&gt;teleport&lt;/i&gt;ation effect with this spell, you can study that origin point or termination point for 1 round. If you do, you can attempt a caster level check (DC = 11 + the &lt;i&gt;teleport&lt;/i&gt;ation effect's caster level), taking a -5 penalty if the effect occurred more than 1 minute ago. If you succeed, you gain a glimpse of the &lt;i&gt;teleport&lt;/i&gt;ation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&lt;i&gt;teleport&lt;/i&gt; or similar magic. You can't retry the caster level check, even if you cast trace &lt;i&gt;teleport&lt;/i&gt; again.&lt;/p&gt;</t>
  </si>
  <si>
    <t>&lt;link rel="stylesheet"href="PF.css"&gt;&lt;div class="heading"&gt;&lt;p class="alignleft"&gt;Trace Teleport&lt;/p&gt;&lt;div style="clear: both;"&gt;&lt;/div&gt;&lt;/div&gt;&lt;div&gt;&lt;h5&gt;&lt;b&gt;School &lt;/b&gt;divination; &lt;b&gt;Level &lt;/b&gt;psychic 4, sorcerer/wizard 5&lt;/h5&gt;&lt;/div&gt;&lt;hr/&gt;&lt;div&gt;&lt;h5&gt;&lt;b&gt;CASTING&lt;/b&gt;&lt;/h5&gt;&lt;/div&gt;&lt;hr/&gt;&lt;div&gt;&lt;h5&gt;&lt;b&gt;Casting Time &lt;/b&gt;1 standard action&lt;/h5&gt;&lt;h5&gt;&lt;b&gt;Components &lt;/b&gt;V, S, F (a magnifying lens)&lt;/h5&gt;&lt;/div&gt;&lt;hr/&gt;&lt;div&gt;&lt;h5&gt;&lt;b&gt;EFFECT&lt;/b&gt;&lt;/h5&gt;&lt;/div&gt;&lt;hr/&gt;&lt;div&gt;&lt;h5&gt;&lt;b&gt;Range &lt;/b&gt;40 feet&lt;/h5&gt;&lt;h5&gt;&lt;b&gt;Area &lt;/b&gt;40-ft.-radius emanation centered on you&lt;/h5&gt;&lt;h5&gt;&lt;b&gt;Duration &lt;/b&gt;1 minute/level&lt;/h5&gt;&lt;h5&gt;&lt;b&gt;Saving Throw &lt;/b&gt;none; &lt;b&gt;Spell Resistance &lt;/b&gt;no&lt;/h5&gt;&lt;/div&gt;&lt;hr/&gt;&lt;div&gt;&lt;h5&gt;&lt;b&gt;DESCRIPTION&lt;/b&gt;&lt;/h5&gt;&lt;/div&gt;&lt;hr/&gt;&lt;div&gt;&lt;h4&gt;&lt;p&gt;You immediately become aware of any &lt;i&gt;teleport&lt;/i&gt;ation effects that begin or end within the spell's area. The spell's area radiates from you and moves as you move. You know the exact origin point of any &lt;i&gt;teleport&lt;/i&gt;ation effect that originates within the spell's area, and the exact end point of any &lt;i&gt;teleport&lt;/i&gt;ation effect that terminates within the spell's area. Further, you can detect the lingering traces of any &lt;i&gt;teleport&lt;/i&gt;ation effect that occurred up to 1 hour previously, in the same fashion. You intuitively know, to the nearest minute, when the &lt;i&gt;teleport&lt;/i&gt;ation effect occurred.  Whenever you detect the origin point or termination point of any &lt;i&gt;teleport&lt;/i&gt;ation effect with this spell, you can study that origin point or termination point for 1 round. If you do, you can attempt a caster level check (DC = 11 + the &lt;i&gt;teleport&lt;/i&gt;ation effect's caster level), taking a -5 penalty if the effect occurred more than 1 minute ago. If you succeed, you gain a glimpse of the &lt;i&gt;teleport&lt;/i&gt;ation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&lt;i&gt;teleport&lt;/i&gt; or similar magic. You can't retry the caster level check, even if you cast trace &lt;i&gt;teleport&lt;/i&gt; again.&lt;/p&gt;&lt;/h4&gt;&lt;/div&gt;</t>
  </si>
  <si>
    <t>Determine where and when teleportation occurred, and glimpse the origin or destination.</t>
  </si>
  <si>
    <t>Trade Items</t>
  </si>
  <si>
    <t>bard 3, mesmerist 3, sorcerer/wizard 4, summoner 3</t>
  </si>
  <si>
    <t>V, S, F (any held object weighing no more than 5 lbs./level)</t>
  </si>
  <si>
    <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Similarity DC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t>
  </si>
  <si>
    <t>&lt;p&gt;You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&lt;b&gt;Similarity&lt;/b&gt; &lt;b&gt;DC&lt;/b&gt;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-2&lt;/p&gt;</t>
  </si>
  <si>
    <t>&lt;link rel="stylesheet"href="PF.css"&gt;&lt;div class="heading"&gt;&lt;p class="alignleft"&gt;Trade Items&lt;/p&gt;&lt;div style="clear: both;"&gt;&lt;/div&gt;&lt;/div&gt;&lt;div&gt;&lt;h5&gt;&lt;b&gt;School &lt;/b&gt;conjuration (teleportation); &lt;b&gt;Level &lt;/b&gt;bard 3, mesmerist 3, sorcerer/wizard 4, summoner 3&lt;/h5&gt;&lt;/div&gt;&lt;hr/&gt;&lt;div&gt;&lt;h5&gt;&lt;b&gt;CASTING&lt;/b&gt;&lt;/h5&gt;&lt;/div&gt;&lt;hr/&gt;&lt;div&gt;&lt;h5&gt;&lt;b&gt;Casting Time &lt;/b&gt;1 standard action&lt;/h5&gt;&lt;h5&gt;&lt;b&gt;Components &lt;/b&gt;V, S, F (any held object weighing no more than 5 lbs./level)&lt;/h5&gt;&lt;/div&gt;&lt;hr/&gt;&lt;div&gt;&lt;h5&gt;&lt;b&gt;EFFECT&lt;/b&gt;&lt;/h5&gt;&lt;/div&gt;&lt;hr/&gt;&lt;div&gt;&lt;h5&gt;&lt;b&gt;Range &lt;/b&gt;close (25 ft. + 5 ft./2 levels)&lt;/h5&gt;&lt;h5&gt;&lt;b&gt;Targets &lt;/b&gt;one object weighing no more than 5 lbs./level&lt;/h5&gt;&lt;h5&gt;&lt;b&gt;Duration &lt;/b&gt;instantaneous&lt;/h5&gt;&lt;h5&gt;&lt;b&gt;Saving Throw &lt;/b&gt;Will negates (object); &lt;b&gt;Spell Resistance &lt;/b&gt;yes (object)&lt;/h5&gt;&lt;/div&gt;&lt;hr/&gt;&lt;div&gt;&lt;h5&gt;&lt;b&gt;DESCRIPTION&lt;/b&gt;&lt;/h5&gt;&lt;/div&gt;&lt;hr/&gt;&lt;div&gt;&lt;h4&gt;&lt;p&gt;You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&lt;table border ='1'&gt;&lt;tr&gt;&lt;th&gt;Similarity&lt;/th&gt;&lt;th&gt;DC&lt;/th&gt;&lt;/tr&gt;&lt;tr&gt;&lt;td&gt;The two objects are the same type of object (such as "keys," "swords," "scrolls")&lt;/td&gt;&lt;td&gt;+1&lt;/td&gt;&lt;/tr&gt;&lt;tr&gt;&lt;td&gt;The two objects are made of the same material&lt;/td&gt;&lt;td&gt;+1&lt;/td&gt;&lt;/tr&gt;&lt;tr&gt;&lt;td&gt;The two objects have the same weight (accurate to the nearest ounce)&lt;/td&gt;&lt;td&gt;+1&lt;/td&gt;&lt;/tr&gt;&lt;tr&gt;&lt;td&gt;The two objects are part of the same set or made in the exact same mold&lt;/td&gt;&lt;td&gt;+2&lt;/td&gt;&lt;/tr&gt;&lt;tr&gt;&lt;td&gt;The target object has a higher gp value than the focus item&lt;/td&gt;&lt;td&gt;-2&lt;/td&gt;&lt;/tr&gt;&lt;tr&gt;&lt;td&gt;The target object is tied its holder, such as a bonded item&lt;/td&gt;&lt;td&gt;-2&lt;/td&gt;&lt;/tr&gt;&lt;/table&gt;   &lt;/p&gt;&lt;/h4&gt;&lt;/div&gt;</t>
  </si>
  <si>
    <t>Swap a focus object with a target object.</t>
  </si>
  <si>
    <t>Treacherous Teleport</t>
  </si>
  <si>
    <t>magus 6, occultist 6, psychic 6, sorcerer/wizard 6, spiritualist 6, summoner 6, witch 6</t>
  </si>
  <si>
    <t>This spell functions as teleport except that you can opt to intentionally cause any number of the creatures traveling with you to suffer a mishap or arrive in a specific different location you visualize simultaneously with the original destination, or both.  Attempts to identify treacherous teleport with a skill check incorrectly identify it as teleport ( see t he r use d escriptor o n page 192).</t>
  </si>
  <si>
    <t>&lt;p&gt;This spell functions as &lt;i&gt;teleport&lt;/i&gt; except that you can opt to intentionally cause any number of the creatures traveling with you to suffer a mishap or arrive in a specific different location you visualize simultaneously with the original destination, or both.  Attempts to identify treacherous &lt;i&gt;teleport&lt;/i&gt; with a skill check incorrectly identify it as &lt;i&gt;teleport&lt;/i&gt; ( see t he r use d escriptor o n page 192).&lt;/p&gt;</t>
  </si>
  <si>
    <t>&lt;link rel="stylesheet"href="PF.css"&gt;&lt;div class="heading"&gt;&lt;p class="alignleft"&gt;Treacherous Teleport&lt;/p&gt;&lt;div style="clear: both;"&gt;&lt;/div&gt;&lt;/div&gt;&lt;div&gt;&lt;h5&gt;&lt;b&gt;School &lt;/b&gt;conjuration (teleportation) [ruse]; &lt;b&gt;Level &lt;/b&gt;magus 6, occultist 6, psychic 6, sorcerer/wizard 6, spiritualist 6, summoner 6, witch 6&lt;/h5&gt;&lt;/div&gt;&lt;hr/&gt;&lt;div&gt;&lt;h5&gt;&lt;b&gt;CASTING&lt;/b&gt;&lt;/h5&gt;&lt;/div&gt;&lt;hr/&gt;&lt;div&gt;&lt;h5&gt;&lt;b&gt;Casting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as &lt;i&gt;teleport&lt;/i&gt; except that you can opt to intentionally cause any number of the creatures traveling with you to suffer a mishap or arrive in a specific different location you visualize simultaneously with the original destination, or both.  Attempts to identify treacherous &lt;i&gt;teleport&lt;/i&gt; with a skill check incorrectly identify it as &lt;i&gt;teleport&lt;/i&gt; ( see t he r use d escriptor o n page 192).&lt;/p&gt;&lt;/h4&gt;&lt;/div&gt;</t>
  </si>
  <si>
    <t>As teleport, except you choose some creatures to suffer a mishap or go elsewhere.</t>
  </si>
  <si>
    <t>Triggered Hallucination</t>
  </si>
  <si>
    <t>bard 6, magus 6, mesmerist 6, occultist 6, psychic 6, sorcerer/wizard 6</t>
  </si>
  <si>
    <t>V, S, M (jade dust worth 25 gp)</t>
  </si>
  <si>
    <t>permanent until triggered, then 1 minute/level</t>
  </si>
  <si>
    <t>This spell functions as audiovisual hallucination (see page 204), except that this spell's phantasm has no apparent effect until a specific condition occurs. You must overcome the target's spell resistance to plant the triggered hallucination, but the target doesn't attempt a Will save to disbelieve the illusion until the condition occurs (at which point it receives an automatic Will save, as with audiovisual hallucination).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Triggered hallucination uses the target's senses to notice triggers.</t>
  </si>
  <si>
    <t>&lt;p&gt;This spell functions as &lt;i&gt;&lt;i&gt;audiovisual&lt;/i&gt; hallucination&lt;/i&gt; (see page 204), except that this spell's phantasm has no apparent effect until a specific condition occurs. You must overcome the target's spell resistance to plant the &lt;i&gt;triggered hallucination&lt;/i&gt;, but the target doesn't attempt a Will save to disbelieve the illusion until the condition occurs (at which point it receives an automatic Will save, as with &lt;i&gt;&lt;i&gt;audiovisual&lt;/i&gt; hallucination&lt;/i&gt;).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&lt;i&gt;Triggered hallucination&lt;/i&gt; uses the target's senses to notice triggers.&lt;/p&gt;</t>
  </si>
  <si>
    <t>&lt;link rel="stylesheet"href="PF.css"&gt;&lt;div class="heading"&gt;&lt;p class="alignleft"&gt;Triggered Hallucination&lt;/p&gt;&lt;div style="clear: both;"&gt;&lt;/div&gt;&lt;/div&gt;&lt;div&gt;&lt;h5&gt;&lt;b&gt;School &lt;/b&gt;illusion (phantasm) [mind-affecting]; &lt;b&gt;Level &lt;/b&gt;bard 6, magus 6, mesmerist 6, occultist 6, psychic 6, sorcerer/wizard 6&lt;/h5&gt;&lt;/div&gt;&lt;hr/&gt;&lt;div&gt;&lt;h5&gt;&lt;b&gt;CASTING&lt;/b&gt;&lt;/h5&gt;&lt;/div&gt;&lt;hr/&gt;&lt;div&gt;&lt;h5&gt;&lt;b&gt;Casting Time &lt;/b&gt;1 standard action&lt;/h5&gt;&lt;h5&gt;&lt;b&gt;Components &lt;/b&gt;V, S, M (jade dust worth 25 gp)&lt;/h5&gt;&lt;/div&gt;&lt;hr/&gt;&lt;div&gt;&lt;h5&gt;&lt;b&gt;EFFECT&lt;/b&gt;&lt;/h5&gt;&lt;/div&gt;&lt;hr/&gt;&lt;div&gt;&lt;h5&gt;&lt;b&gt;Range &lt;/b&gt;long (400 ft. + 40 ft./level)&lt;/h5&gt;&lt;h5&gt;&lt;b&gt;Targets &lt;/b&gt;one creature&lt;/h5&gt;&lt;h5&gt;&lt;b&gt;Duration &lt;/b&gt;permanent until triggered, then 1 minute/level&lt;/h5&gt;&lt;h5&gt;&lt;b&gt;Saving Throw &lt;/b&gt;Will disbelief; &lt;b&gt;Spell Resistance &lt;/b&gt;yes&lt;/h5&gt;&lt;/div&gt;&lt;hr/&gt;&lt;div&gt;&lt;h5&gt;&lt;b&gt;DESCRIPTION&lt;/b&gt;&lt;/h5&gt;&lt;/div&gt;&lt;hr/&gt;&lt;div&gt;&lt;h4&gt;&lt;p&gt;This spell functions as &lt;i&gt;&lt;i&gt;audiovisual&lt;/i&gt; hallucination&lt;/i&gt; (see page 204), except that this spell's phantasm has no apparent effect until a specific condition occurs. You must overcome the target's spell resistance to plant the &lt;i&gt;triggered hallucination&lt;/i&gt;, but the target doesn't attempt a Will save to disbelieve the illusion until the condition occurs (at which point it receives an automatic Will save, as with &lt;i&gt;&lt;i&gt;audiovisual&lt;/i&gt; hallucination&lt;/i&gt;).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&lt;i&gt;Triggered hallucination&lt;/i&gt; uses the target's senses to notice triggers.&lt;/p&gt;&lt;/h4&gt;&lt;/div&gt;</t>
  </si>
  <si>
    <t>As scripted hallucination, but it only appears when triggered.</t>
  </si>
  <si>
    <t>True Prognostication</t>
  </si>
  <si>
    <t>cleric/oracle 8, psychic 8, shaman 8, witch 8</t>
  </si>
  <si>
    <t>V, S, M (rare incense and tonics worth 1,000 gp)</t>
  </si>
  <si>
    <t>True prognostication functions as divination except that the spell can see up to 100 years into the future. Because of the extreme unpredictability of the far-distant future, true prognostication is incredibly cryptic when used to learn about events on such large a scale.</t>
  </si>
  <si>
    <t>&lt;p&gt;&lt;i&gt;True prognostication&lt;/i&gt; functions as &lt;i&gt;divination&lt;/i&gt; except that the spell can see up to 100 years into the future. Because of the extreme unpredictability of the far-distant future, &lt;i&gt;true prognostication&lt;/i&gt; is incredibly cryptic when used to learn about events on such large a scale.&lt;/p&gt;</t>
  </si>
  <si>
    <t>&lt;link rel="stylesheet"href="PF.css"&gt;&lt;div class="heading"&gt;&lt;p class="alignleft"&gt;True Prognostication&lt;/p&gt;&lt;div style="clear: both;"&gt;&lt;/div&gt;&lt;/div&gt;&lt;div&gt;&lt;h5&gt;&lt;b&gt;School &lt;/b&gt;divination; &lt;b&gt;Level &lt;/b&gt;cleric/oracle 8, psychic 8, shaman 8, witch 8&lt;/h5&gt;&lt;/div&gt;&lt;hr/&gt;&lt;div&gt;&lt;h5&gt;&lt;b&gt;CASTING&lt;/b&gt;&lt;/h5&gt;&lt;/div&gt;&lt;hr/&gt;&lt;div&gt;&lt;h5&gt;&lt;b&gt;Casting Time &lt;/b&gt;1 week&lt;/h5&gt;&lt;h5&gt;&lt;b&gt;Components &lt;/b&gt;V, S, M (rare incense and tonics worth 1,000 gp)&lt;/h5&gt;&lt;/div&gt;&lt;hr/&gt;&lt;div&gt;&lt;h5&gt;&lt;b&gt;EFFECT&lt;/b&gt;&lt;/h5&gt;&lt;/div&gt;&lt;hr/&gt;&lt;div&gt;&lt;h5&gt;&lt;b&gt;Range &lt;/b&gt;personal&lt;/h5&gt;&lt;h5&gt;&lt;b&gt;Targets &lt;/b&gt;you&lt;/h5&gt;&lt;h5&gt;&lt;b&gt;Duration &lt;/b&gt;instantaneous&lt;/h5&gt;&lt;/div&gt;&lt;hr/&gt;&lt;div&gt;&lt;h5&gt;&lt;b&gt;DESCRIPTION&lt;/b&gt;&lt;/h5&gt;&lt;/div&gt;&lt;hr/&gt;&lt;div&gt;&lt;h4&gt;&lt;p&gt;&lt;i&gt;True prognostication&lt;/i&gt; functions as &lt;i&gt;divination&lt;/i&gt; except that the spell can see up to 100 years into the future. Because of the extreme unpredictability of the far-distant future, &lt;i&gt;true prognostication&lt;/i&gt; is incredibly cryptic when used to learn about events on such large a scale.&lt;/p&gt;&lt;/h4&gt;&lt;/div&gt;</t>
  </si>
  <si>
    <t>Gain incredibly cryptic information from the distant future.</t>
  </si>
  <si>
    <t>Underbrush Decoy</t>
  </si>
  <si>
    <t>one non-creature plant of size Tiny, Small, or Medium</t>
  </si>
  <si>
    <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t>
  </si>
  <si>
    <t>&lt;p&gt;You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subterfuge.&lt;/p&gt;</t>
  </si>
  <si>
    <t>&lt;link rel="stylesheet"href="PF.css"&gt;&lt;div class="heading"&gt;&lt;p class="alignleft"&gt;Underbrush Decoy&lt;/p&gt;&lt;div style="clear: both;"&gt;&lt;/div&gt;&lt;/div&gt;&lt;div&gt;&lt;h5&gt;&lt;b&gt;School &lt;/b&gt;transmutation; &lt;b&gt;Level &lt;/b&gt;druid 1, ranger 1, shaman 1&lt;/h5&gt;&lt;/div&gt;&lt;hr/&gt;&lt;div&gt;&lt;h5&gt;&lt;b&gt;CASTING&lt;/b&gt;&lt;/h5&gt;&lt;/div&gt;&lt;hr/&gt;&lt;div&gt;&lt;h5&gt;&lt;b&gt;Casting Time &lt;/b&gt;1 swift action&lt;/h5&gt;&lt;h5&gt;&lt;b&gt;Components &lt;/b&gt;S&lt;/h5&gt;&lt;/div&gt;&lt;hr/&gt;&lt;div&gt;&lt;h5&gt;&lt;b&gt;EFFECT&lt;/b&gt;&lt;/h5&gt;&lt;/div&gt;&lt;hr/&gt;&lt;div&gt;&lt;h5&gt;&lt;b&gt;Range &lt;/b&gt;close (25 ft. + 5 ft./2 levels)&lt;/h5&gt;&lt;h5&gt;&lt;b&gt;Targets &lt;/b&gt;one non-creature plant of size Tiny, Small, or Medium&lt;/h5&gt;&lt;h5&gt;&lt;b&gt;Duration &lt;/b&gt;1 round&lt;/h5&gt;&lt;h5&gt;&lt;b&gt;Saving Throw &lt;/b&gt;Will negates (object); &lt;b&gt;Spell Resistance &lt;/b&gt;yes (object)&lt;/h5&gt;&lt;/div&gt;&lt;hr/&gt;&lt;div&gt;&lt;h5&gt;&lt;b&gt;DESCRIPTION&lt;/b&gt;&lt;/h5&gt;&lt;/div&gt;&lt;hr/&gt;&lt;div&gt;&lt;h4&gt;&lt;p&gt;You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subterfuge.&lt;/p&gt;&lt;/h4&gt;&lt;/div&gt;</t>
  </si>
  <si>
    <t>Create a rustling distraction to hide.</t>
  </si>
  <si>
    <t>Undetectable Trap</t>
  </si>
  <si>
    <t>antipaladin 2, occultist 3, ranger 2</t>
  </si>
  <si>
    <t>V, S, M (a square of black silk worth 50 gp)</t>
  </si>
  <si>
    <t>trap touched</t>
  </si>
  <si>
    <t>You shroud a single trap with a powerful illusion to make it more difficult to locate. Spells like detect magic can't locate any magic aura from either the target trap or from undetectable trap. Furthermore, a character under the effect of the find traps spell doesn't receive an automatic chance to locate the target trap when she comes within 10 feet of it, and the bonus on Perception checks from find traps doesn't apply to attempts to notice the target trap. Add 1/2 your caster level to the DC for any creature without the trapfinding class ability to notice the target trap with Perception checks.  A ranger with the ranger traps class feature (Pathfinder RPG Ultimate Magic 64) can cast this spell on a ranger trap he creates as part of the same action he uses to prepare a ranger trap. This doesn't reduce the spell's casting time if such a ranger casts this spell on an ordinary trap, even one that he created himself using Craft (traps).</t>
  </si>
  <si>
    <t>&lt;p&gt;You shroud a single trap with a powerful illusion to make it more difficult to locate. Spells like &lt;i&gt;detect magic&lt;/i&gt; can't locate any magic aura from either the target trap or from &lt;i&gt;undetectable trap&lt;/i&gt;. Furthermore, a character under the effect of the &lt;i&gt;find traps&lt;/i&gt; spell doesn't receive an automatic chance to locate the target trap when she comes within 10 feet of it, and the bonus on Perception checks from &lt;i&gt;find traps&lt;/i&gt; doesn't apply to attempts to notice the target trap. Add 1/2 your caster level to the DC for any creature without the trapfinding class ability to notice the target trap with Perception checks.  A ranger with the ranger traps class feature (&lt;i&gt;Pathfinder RPG Ultimate Magic&lt;/i&gt; 64) can cast this spell on a ranger trap he creates as part of the same action he uses to prepare a ranger trap. This doesn't reduce the spell's casting time if such a ranger casts this spell on an ordinary trap, even one that he created himself using Craft (traps).&lt;/p&gt;</t>
  </si>
  <si>
    <t>&lt;link rel="stylesheet"href="PF.css"&gt;&lt;div class="heading"&gt;&lt;p class="alignleft"&gt;Undetectable Trap&lt;/p&gt;&lt;div style="clear: both;"&gt;&lt;/div&gt;&lt;/div&gt;&lt;div&gt;&lt;h5&gt;&lt;b&gt;School &lt;/b&gt;illusion (glamer); &lt;b&gt;Level &lt;/b&gt;antipaladin 2, occultist 3, ranger 2&lt;/h5&gt;&lt;/div&gt;&lt;hr/&gt;&lt;div&gt;&lt;h5&gt;&lt;b&gt;CASTING&lt;/b&gt;&lt;/h5&gt;&lt;/div&gt;&lt;hr/&gt;&lt;div&gt;&lt;h5&gt;&lt;b&gt;Casting Time &lt;/b&gt;10 minutes (see text)&lt;/h5&gt;&lt;h5&gt;&lt;b&gt;Components &lt;/b&gt;V, S, M (a square of black silk worth 50 gp)&lt;/h5&gt;&lt;/div&gt;&lt;hr/&gt;&lt;div&gt;&lt;h5&gt;&lt;b&gt;EFFECT&lt;/b&gt;&lt;/h5&gt;&lt;/div&gt;&lt;hr/&gt;&lt;div&gt;&lt;h5&gt;&lt;b&gt;Range &lt;/b&gt;touch&lt;/h5&gt;&lt;h5&gt;&lt;b&gt;Targets &lt;/b&gt;trap touched&lt;/h5&gt;&lt;h5&gt;&lt;b&gt;Duration &lt;/b&gt;1 day/level (D)&lt;/h5&gt;&lt;h5&gt;&lt;b&gt;Saving Throw &lt;/b&gt;none; &lt;b&gt;Spell Resistance &lt;/b&gt;no&lt;/h5&gt;&lt;/div&gt;&lt;hr/&gt;&lt;div&gt;&lt;h5&gt;&lt;b&gt;DESCRIPTION&lt;/b&gt;&lt;/h5&gt;&lt;/div&gt;&lt;hr/&gt;&lt;div&gt;&lt;h4&gt;&lt;p&gt;You shroud a single trap with a powerful illusion to make it more difficult to locate. Spells like &lt;i&gt;detect magic&lt;/i&gt; can't locate any magic aura from either the target trap or from &lt;i&gt;undetectable trap&lt;/i&gt;. Furthermore, a character under the effect of the &lt;i&gt;find traps&lt;/i&gt; spell doesn't receive an automatic chance to locate the target trap when she comes within 10 feet of it, and the bonus on Perception checks from &lt;i&gt;find traps&lt;/i&gt; doesn't apply to attempts to notice the target trap. Add 1/2 your caster level to the DC for any creature without the trapfinding class ability to notice the target trap with Perception checks.  A ranger with the ranger traps class feature (&lt;i&gt;Pathfinder RPG Ultimate Magic&lt;/i&gt; 64) can cast this spell on a ranger trap he creates as part of the same action he uses to prepare a ranger trap. This doesn't reduce the spell's casting time if such a ranger casts this spell on an ordinary trap, even one that he created himself using Craft (traps).&lt;/p&gt;&lt;/h4&gt;&lt;/div&gt;</t>
  </si>
  <si>
    <t>Make a trap extremely difficult to find.</t>
  </si>
  <si>
    <t>Unerring Tracker</t>
  </si>
  <si>
    <t>alchemist 5, druid 6, occultist 4, ranger 4</t>
  </si>
  <si>
    <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Unerring tracker can't track creatures under the effect of a pass without trace spell, as those creatures leave no trail at all, but can track creatures using nondetection (though not mind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t>
  </si>
  <si>
    <t>&lt;p&gt;During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&lt;i&gt;Unerring tracker&lt;/i&gt; can't track creatures under the effect of a &lt;i&gt;pass without trace&lt;/i&gt; spell, as those creatures leave no trail at all, but can track creatures using &lt;i&gt;nondetection&lt;/i&gt; (though not &lt;i&gt;mind&lt;/i&gt;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trail.&lt;/p&gt;</t>
  </si>
  <si>
    <t>&lt;link rel="stylesheet"href="PF.css"&gt;&lt;div class="heading"&gt;&lt;p class="alignleft"&gt;Unerring Tracker&lt;/p&gt;&lt;div style="clear: both;"&gt;&lt;/div&gt;&lt;/div&gt;&lt;div&gt;&lt;h5&gt;&lt;b&gt;School &lt;/b&gt;divination; &lt;b&gt;Level &lt;/b&gt;alchemist 5, druid 6, occultist 4, ranger 4&lt;/h5&gt;&lt;/div&gt;&lt;hr/&gt;&lt;div&gt;&lt;h5&gt;&lt;b&gt;CASTING&lt;/b&gt;&lt;/h5&gt;&lt;/div&gt;&lt;hr/&gt;&lt;div&gt;&lt;h5&gt;&lt;b&gt;Casting Time &lt;/b&gt;10 minutes&lt;/h5&gt;&lt;h5&gt;&lt;b&gt;Components &lt;/b&gt;V, S, DF&lt;/h5&gt;&lt;/div&gt;&lt;hr/&gt;&lt;div&gt;&lt;h5&gt;&lt;b&gt;EFFECT&lt;/b&gt;&lt;/h5&gt;&lt;/div&gt;&lt;hr/&gt;&lt;div&gt;&lt;h5&gt;&lt;b&gt;Range &lt;/b&gt;personal&lt;/h5&gt;&lt;h5&gt;&lt;b&gt;Targets &lt;/b&gt;you&lt;/h5&gt;&lt;h5&gt;&lt;b&gt;Duration &lt;/b&gt;10 minutes/level&lt;/h5&gt;&lt;h5&gt;&lt;b&gt;Saving Throw &lt;/b&gt;none; &lt;b&gt;Spell Resistance &lt;/b&gt;no&lt;/h5&gt;&lt;/div&gt;&lt;hr/&gt;&lt;div&gt;&lt;h5&gt;&lt;b&gt;DESCRIPTION&lt;/b&gt;&lt;/h5&gt;&lt;/div&gt;&lt;hr/&gt;&lt;div&gt;&lt;h4&gt;&lt;p&gt;During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&lt;i&gt;Unerring tracker&lt;/i&gt; can't track creatures under the effect of a &lt;i&gt;pass without trace&lt;/i&gt; spell, as those creatures leave no trail at all, but can track creatures using &lt;i&gt;nondetection&lt;/i&gt; (though not &lt;i&gt;mind&lt;/i&gt;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trail.&lt;/p&gt;&lt;/h4&gt;&lt;/div&gt;</t>
  </si>
  <si>
    <t>Follow an entire trail unerringly.</t>
  </si>
  <si>
    <t>Urban Step</t>
  </si>
  <si>
    <t>bard 2, magus 3, occultist 3, sorcerer/wizard 3, summoner 3</t>
  </si>
  <si>
    <t>V, S, M (scrap of cobweb)</t>
  </si>
  <si>
    <t>two doors or other portals in range</t>
  </si>
  <si>
    <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t>
  </si>
  <si>
    <t>&lt;p&gt;You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turn.&lt;/p&gt;</t>
  </si>
  <si>
    <t>&lt;link rel="stylesheet"href="PF.css"&gt;&lt;div class="heading"&gt;&lt;p class="alignleft"&gt;Urban Step&lt;/p&gt;&lt;div style="clear: both;"&gt;&lt;/div&gt;&lt;/div&gt;&lt;div&gt;&lt;h5&gt;&lt;b&gt;School &lt;/b&gt;conjuration (teleportation); &lt;b&gt;Level &lt;/b&gt;bard 2, magus 3, occultist 3, sorcerer/wizard 3, summoner 3&lt;/h5&gt;&lt;/div&gt;&lt;hr/&gt;&lt;div&gt;&lt;h5&gt;&lt;b&gt;CASTING&lt;/b&gt;&lt;/h5&gt;&lt;/div&gt;&lt;hr/&gt;&lt;div&gt;&lt;h5&gt;&lt;b&gt;Casting Time &lt;/b&gt;1 standard action&lt;/h5&gt;&lt;h5&gt;&lt;b&gt;Components &lt;/b&gt;V, S, M (scrap of cobweb)&lt;/h5&gt;&lt;/div&gt;&lt;hr/&gt;&lt;div&gt;&lt;h5&gt;&lt;b&gt;EFFECT&lt;/b&gt;&lt;/h5&gt;&lt;/div&gt;&lt;hr/&gt;&lt;div&gt;&lt;h5&gt;&lt;b&gt;Range &lt;/b&gt;medium (100 ft. + 10 ft./level)&lt;/h5&gt;&lt;h5&gt;&lt;b&gt;Targets &lt;/b&gt;two doors or other portals in range&lt;/h5&gt;&lt;h5&gt;&lt;b&gt;Duration &lt;/b&gt;1 round&lt;/h5&gt;&lt;/div&gt;&lt;hr/&gt;&lt;div&gt;&lt;h5&gt;&lt;b&gt;DESCRIPTION&lt;/b&gt;&lt;/h5&gt;&lt;/div&gt;&lt;hr/&gt;&lt;div&gt;&lt;h4&gt;&lt;p&gt;You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turn.&lt;/p&gt;&lt;/h4&gt;&lt;/div&gt;</t>
  </si>
  <si>
    <t>Step into one doorway and out another.</t>
  </si>
  <si>
    <t>Vicarious View</t>
  </si>
  <si>
    <t>bard 4, medium 3, mesmerist 4, occultist 4, psychic 4, shaman 4, sorcerer/wizard 4, spiritualist 4, witch 4</t>
  </si>
  <si>
    <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vicarious view doesn't allow magically or supernaturally enhanced senses to work through it.</t>
  </si>
  <si>
    <t>&lt;p&gt;You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&lt;i&gt;vicarious view&lt;/i&gt; doesn't allow magically or supernaturally enhanced senses to work through it.&lt;/p&gt;</t>
  </si>
  <si>
    <t>&lt;link rel="stylesheet"href="PF.css"&gt;&lt;div class="heading"&gt;&lt;p class="alignleft"&gt;Vicarious View&lt;/p&gt;&lt;div style="clear: both;"&gt;&lt;/div&gt;&lt;/div&gt;&lt;div&gt;&lt;h5&gt;&lt;b&gt;School &lt;/b&gt;divination (scrying); &lt;b&gt;Level &lt;/b&gt;bard 4, medium 3, mesmerist 4, occultist 4, psychic 4, shaman 4, sorcerer/wizard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&lt;/b&gt;magical sensor&lt;/h5&gt;&lt;h5&gt;&lt;b&gt;Duration &lt;/b&gt;1 minute/level (D)&lt;/h5&gt;&lt;h5&gt;&lt;b&gt;Saving Throw &lt;/b&gt;Will negates (object); &lt;b&gt;Spell Resistance &lt;/b&gt;yes (object)&lt;/h5&gt;&lt;/div&gt;&lt;hr/&gt;&lt;div&gt;&lt;h5&gt;&lt;b&gt;DESCRIPTION&lt;/b&gt;&lt;/h5&gt;&lt;/div&gt;&lt;hr/&gt;&lt;div&gt;&lt;h4&gt;&lt;p&gt;You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&lt;i&gt;vicarious view&lt;/i&gt; doesn't allow magically or supernaturally enhanced senses to work through it.&lt;/p&gt;&lt;/h4&gt;&lt;/div&gt;</t>
  </si>
  <si>
    <t>Plant a scrying sensor that you can use to spy on a creature, object, or location.</t>
  </si>
  <si>
    <t>Voluminous Vocabulary</t>
  </si>
  <si>
    <t>alchemist 3, bard 2, cleric/oracle 3, inquisitor 2, medium 2, mesmerist 2, occultist 2, psychic 3, shaman 4, sorcerer/wizard 3, spiritualist 3, witch 3</t>
  </si>
  <si>
    <t>V, S, M (a quill)</t>
  </si>
  <si>
    <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comprehend languages,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t>
  </si>
  <si>
    <t>&lt;p&gt;You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&lt;i&gt;comprehend languages&lt;/i&gt;,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ambiguity.&lt;/p&gt;</t>
  </si>
  <si>
    <t>&lt;link rel="stylesheet"href="PF.css"&gt;&lt;div class="heading"&gt;&lt;p class="alignleft"&gt;Voluminous Vocabulary&lt;/p&gt;&lt;div style="clear: both;"&gt;&lt;/div&gt;&lt;/div&gt;&lt;div&gt;&lt;h5&gt;&lt;b&gt;School &lt;/b&gt;divination; &lt;b&gt;Level &lt;/b&gt;alchemist 3, bard 2, cleric/oracle 3, inquisitor 2, medium 2, mesmerist 2, occultist 2, psychic 3, shaman 4, sorcerer/wizard 3, spiritualist 3, witch 3&lt;/h5&gt;&lt;/div&gt;&lt;hr/&gt;&lt;div&gt;&lt;h5&gt;&lt;b&gt;CASTING&lt;/b&gt;&lt;/h5&gt;&lt;/div&gt;&lt;hr/&gt;&lt;div&gt;&lt;h5&gt;&lt;b&gt;Casting Time &lt;/b&gt;1 standard action&lt;/h5&gt;&lt;h5&gt;&lt;b&gt;Components &lt;/b&gt;V, S, M (a quill)&lt;/h5&gt;&lt;/div&gt;&lt;hr/&gt;&lt;div&gt;&lt;h5&gt;&lt;b&gt;EFFECT&lt;/b&gt;&lt;/h5&gt;&lt;/div&gt;&lt;hr/&gt;&lt;div&gt;&lt;h5&gt;&lt;b&gt;Range &lt;/b&gt;touch&lt;/h5&gt;&lt;h5&gt;&lt;b&gt;Targets &lt;/b&gt;creature touched&lt;/h5&gt;&lt;h5&gt;&lt;b&gt;Duration &lt;/b&gt;8 hours (D)&lt;/h5&gt;&lt;h5&gt;&lt;b&gt;Saving Throw &lt;/b&gt;Will negates (harmless); &lt;b&gt;Spell Resistance &lt;/b&gt;yes (harmless)&lt;/h5&gt;&lt;/div&gt;&lt;hr/&gt;&lt;div&gt;&lt;h5&gt;&lt;b&gt;DESCRIPTION&lt;/b&gt;&lt;/h5&gt;&lt;/div&gt;&lt;hr/&gt;&lt;div&gt;&lt;h4&gt;&lt;p&gt;You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&lt;i&gt;comprehend languages&lt;/i&gt;,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ambiguity.&lt;/p&gt;&lt;/h4&gt;&lt;/div&gt;</t>
  </si>
  <si>
    <t>Grant ability to speak, read, and write one or more languages for 8 hours.</t>
  </si>
  <si>
    <t>Wizened Appearance</t>
  </si>
  <si>
    <t>alchemist 1, bard 1, medium 1, mesmerist 1, occultist 1, psychic 1, sorcerer/wizard 1, witch 1</t>
  </si>
  <si>
    <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Wizened appearance and youthful appearanceUM counter and dispel each other.</t>
  </si>
  <si>
    <t>&lt;p&gt;You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&lt;i&gt;Wizened appearance&lt;/i&gt; and &lt;i&gt;youthful&lt;/i&gt; appearanceUM counter and dispel each other.&lt;/p&gt;</t>
  </si>
  <si>
    <t>&lt;link rel="stylesheet"href="PF.css"&gt;&lt;div class="heading"&gt;&lt;p class="alignleft"&gt;Wizened Appearance&lt;/p&gt;&lt;div style="clear: both;"&gt;&lt;/div&gt;&lt;/div&gt;&lt;div&gt;&lt;h5&gt;&lt;b&gt;School &lt;/b&gt;transmutation (polymorph); &lt;b&gt;Level &lt;/b&gt;alchemist 1, bard 1, medium 1, mesmerist 1, occultist 1, psychic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&lt;b&gt;Spell Resistance &lt;/b&gt;yes&lt;/h5&gt;&lt;/div&gt;&lt;hr/&gt;&lt;div&gt;&lt;h5&gt;&lt;b&gt;DESCRIPTION&lt;/b&gt;&lt;/h5&gt;&lt;/div&gt;&lt;hr/&gt;&lt;div&gt;&lt;h4&gt;&lt;p&gt;You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&lt;i&gt;Wizened appearance&lt;/i&gt; and &lt;i&gt;youthful&lt;/i&gt; appearanceUM counter and dispel each other.&lt;/p&gt;&lt;/h4&gt;&lt;/div&gt;</t>
  </si>
  <si>
    <t>Make a target appear as an older version of itself.</t>
  </si>
  <si>
    <t>Guardian Armor</t>
  </si>
  <si>
    <t>antipaladin 1, bloodrager 1, cleric/oracle 1, inquisitor 1, magus 1, occultist 1, paladin 1, sorcerer/wizard 1</t>
  </si>
  <si>
    <t>V, S, F (armor worn)</t>
  </si>
  <si>
    <t>one willing creature; see below</t>
  </si>
  <si>
    <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guardian armor was already wearing armor, the armor wearing it is removed from the target's body and falls undamaged into an adjacent square.</t>
  </si>
  <si>
    <t>&lt;p&gt;This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&lt;i&gt;guardian armor&lt;/i&gt; was already wearing armor, the armor wearing it is removed from the target's body and falls undamaged into an adjacent square.&lt;/p&gt;</t>
  </si>
  <si>
    <t>Armor Masters Handbook</t>
  </si>
  <si>
    <t>&lt;link rel="stylesheet"href="PF.css"&gt;&lt;div class="heading"&gt;&lt;p class="alignleft"&gt;Guardian Armor&lt;/p&gt;&lt;div style="clear: both;"&gt;&lt;/div&gt;&lt;/div&gt;&lt;div&gt;&lt;h5&gt;&lt;b&gt;School &lt;/b&gt;conjuration (teleportation); &lt;b&gt;Level &lt;/b&gt;antipaladin 1, bloodrager 1, cleric/oracle 1, inquisitor 1, magus 1, occultist 1, paladin 1, sorcerer/wizard 1&lt;/h5&gt;&lt;/div&gt;&lt;hr/&gt;&lt;div&gt;&lt;h5&gt;&lt;b&gt;CASTING&lt;/b&gt;&lt;/h5&gt;&lt;/div&gt;&lt;hr/&gt;&lt;div&gt;&lt;h5&gt;&lt;b&gt;Casting Time &lt;/b&gt;1 immediate action&lt;/h5&gt;&lt;h5&gt;&lt;b&gt;Components &lt;/b&gt;V, S, F (armor worn)&lt;/h5&gt;&lt;/div&gt;&lt;hr/&gt;&lt;div&gt;&lt;h5&gt;&lt;b&gt;EFFECT&lt;/b&gt;&lt;/h5&gt;&lt;/div&gt;&lt;hr/&gt;&lt;div&gt;&lt;h5&gt;&lt;b&gt;Range &lt;/b&gt;close (25 ft. + 5 ft./2 levels)&lt;/h5&gt;&lt;h5&gt;&lt;b&gt;Targets &lt;/b&gt;one willing creature; see below&lt;/h5&gt;&lt;h5&gt;&lt;b&gt;Duration &lt;/b&gt;instantaneous&lt;/h5&gt;&lt;h5&gt;&lt;b&gt;Saving Throw &lt;/b&gt;none; &lt;b&gt;Spell Resistance &lt;/b&gt;yes&lt;/h5&gt;&lt;/div&gt;&lt;hr/&gt;&lt;div&gt;&lt;h5&gt;&lt;b&gt;DESCRIPTION&lt;/b&gt;&lt;/h5&gt;&lt;/div&gt;&lt;hr/&gt;&lt;div&gt;&lt;h4&gt;&lt;p&gt;This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&lt;i&gt;guardian armor&lt;/i&gt; was already wearing armor, the armor wearing it is removed from the target's body and falls undamaged into an adjacent square.&lt;/p&gt;&lt;/h4&gt;&lt;/div&gt;</t>
  </si>
  <si>
    <t>Revenant Armor</t>
  </si>
  <si>
    <t>antipaladin 3, cleric/oracle 4, magus 4, medium 4, occultist 4, paladin 3, shaman 3, sorcerer/wizard 4, spiritualist 3, witch 3</t>
  </si>
  <si>
    <t>V, S, F (one suit of armor)</t>
  </si>
  <si>
    <t>one suit of armor</t>
  </si>
  <si>
    <t>1 day/level or 1 hour/level; see below</t>
  </si>
  <si>
    <t>This spell endows a suit of armor with a singular purpose realized only after its wearer goes unconscious or is killed; whenever the wearer of a suit of armor warded by revenant armor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Pathfinder RPG Bestiary). Once animated, the revenant armor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t>
  </si>
  <si>
    <t>&lt;p&gt;This spell endows a suit of armor with a singular purpose realized only after its wearer goes unconscious or is killed; whenever the wearer of a suit of armor warded by &lt;i&gt;revenant armor&lt;/i&gt;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&lt;i&gt;Pathfinder RPG&lt;/i&gt; Bestiary). Once animated, the &lt;i&gt;revenant armor&lt;/i&gt;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ends.&lt;/p&gt;</t>
  </si>
  <si>
    <t>&lt;link rel="stylesheet"href="PF.css"&gt;&lt;div class="heading"&gt;&lt;p class="alignleft"&gt;Revenant Armor&lt;/p&gt;&lt;div style="clear: both;"&gt;&lt;/div&gt;&lt;/div&gt;&lt;div&gt;&lt;h5&gt;&lt;b&gt;School &lt;/b&gt;transmutation; &lt;b&gt;Level &lt;/b&gt;antipaladin 3, cleric/oracle 4, magus 4, medium 4, occultist 4, paladin 3, shaman 3, sorcerer/wizard 4, spiritualist 3, witch 3&lt;/h5&gt;&lt;/div&gt;&lt;hr/&gt;&lt;div&gt;&lt;h5&gt;&lt;b&gt;CASTING&lt;/b&gt;&lt;/h5&gt;&lt;/div&gt;&lt;hr/&gt;&lt;div&gt;&lt;h5&gt;&lt;b&gt;Casting Time &lt;/b&gt;1 standard action&lt;/h5&gt;&lt;h5&gt;&lt;b&gt;Components &lt;/b&gt;V, S, F (one suit of armor)&lt;/h5&gt;&lt;/div&gt;&lt;hr/&gt;&lt;div&gt;&lt;h5&gt;&lt;b&gt;EFFECT&lt;/b&gt;&lt;/h5&gt;&lt;/div&gt;&lt;hr/&gt;&lt;div&gt;&lt;h5&gt;&lt;b&gt;Range &lt;/b&gt;close (25 ft. + 5 ft./2 levels)&lt;/h5&gt;&lt;h5&gt;&lt;b&gt;Targets &lt;/b&gt;one suit of armor&lt;/h5&gt;&lt;h5&gt;&lt;b&gt;Duration &lt;/b&gt;1 day/level or 1 hour/level; see below&lt;/h5&gt;&lt;h5&gt;&lt;b&gt;Saving Throw &lt;/b&gt;none; &lt;b&gt;Spell Resistance &lt;/b&gt;no&lt;/h5&gt;&lt;/div&gt;&lt;hr/&gt;&lt;div&gt;&lt;h5&gt;&lt;b&gt;DESCRIPTION&lt;/b&gt;&lt;/h5&gt;&lt;/div&gt;&lt;hr/&gt;&lt;div&gt;&lt;h4&gt;&lt;p&gt;This spell endows a suit of armor with a singular purpose realized only after its wearer goes unconscious or is killed; whenever the wearer of a suit of armor warded by &lt;i&gt;revenant armor&lt;/i&gt;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&lt;i&gt;Pathfinder RPG&lt;/i&gt; Bestiary). Once animated, the &lt;i&gt;revenant armor&lt;/i&gt;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ends.&lt;/p&gt;&lt;/h4&gt;&lt;/div&gt;</t>
  </si>
  <si>
    <t>Shield Of Shards</t>
  </si>
  <si>
    <t>bloodrager 1, cleric/oracle 2, inquisitor 2, magus 2, medium 2, paladin 1, shaman 2</t>
  </si>
  <si>
    <t>V, S, F (a shield)</t>
  </si>
  <si>
    <t>one shield you wield</t>
  </si>
  <si>
    <t>This defensive spell must be cast on a shield you are currently wielding, and fractures the shield into two shards, plus one additional shard per 2 caster levels (to a maximum of 12 shards at 20th level). While shield of shards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t>
  </si>
  <si>
    <t>&lt;p&gt;This defensive spell must be cast on a shield you are currently wielding, and fractures the shield into two shards, plus one additional shard per 2 caster levels (to a maximum of 12 shards at 20th level). While &lt;i&gt;shield of shards&lt;/i&gt;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square.&lt;/p&gt;</t>
  </si>
  <si>
    <t>&lt;link rel="stylesheet"href="PF.css"&gt;&lt;div class="heading"&gt;&lt;p class="alignleft"&gt;Shield Of Shards&lt;/p&gt;&lt;div style="clear: both;"&gt;&lt;/div&gt;&lt;/div&gt;&lt;div&gt;&lt;h5&gt;&lt;b&gt;School &lt;/b&gt;transmutation; &lt;b&gt;Level &lt;/b&gt;bloodrager 1, cleric/oracle 2, inquisitor 2, magus 2, medium 2, paladin 1, shaman 2&lt;/h5&gt;&lt;/div&gt;&lt;hr/&gt;&lt;div&gt;&lt;h5&gt;&lt;b&gt;CASTING&lt;/b&gt;&lt;/h5&gt;&lt;/div&gt;&lt;hr/&gt;&lt;div&gt;&lt;h5&gt;&lt;b&gt;Casting Time &lt;/b&gt;1 standard action&lt;/h5&gt;&lt;h5&gt;&lt;b&gt;Components &lt;/b&gt;V, S, F (a shield)&lt;/h5&gt;&lt;/div&gt;&lt;hr/&gt;&lt;div&gt;&lt;h5&gt;&lt;b&gt;EFFECT&lt;/b&gt;&lt;/h5&gt;&lt;/div&gt;&lt;hr/&gt;&lt;div&gt;&lt;h5&gt;&lt;b&gt;Range &lt;/b&gt;personal&lt;/h5&gt;&lt;h5&gt;&lt;b&gt;Targets &lt;/b&gt;one shield you wield&lt;/h5&gt;&lt;h5&gt;&lt;b&gt;Duration &lt;/b&gt;1 round/level&lt;/h5&gt;&lt;h5&gt;&lt;b&gt;Saving Throw &lt;/b&gt;none; &lt;b&gt;Spell Resistance &lt;/b&gt;no&lt;/h5&gt;&lt;/div&gt;&lt;hr/&gt;&lt;div&gt;&lt;h5&gt;&lt;b&gt;DESCRIPTION&lt;/b&gt;&lt;/h5&gt;&lt;/div&gt;&lt;hr/&gt;&lt;div&gt;&lt;h4&gt;&lt;p&gt;This defensive spell must be cast on a shield you are currently wielding, and fractures the shield into two shards, plus one additional shard per 2 caster levels (to a maximum of 12 shards at 20th level). While &lt;i&gt;shield of shards&lt;/i&gt;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square.&lt;/p&gt;&lt;/h4&gt;&lt;/div&gt;</t>
  </si>
  <si>
    <t>Spiritual Squire</t>
  </si>
  <si>
    <t>antipaladin 2, cleric/oracle 2, inquisitor 2, paladin 2, shaman 2, spiritualist 2</t>
  </si>
  <si>
    <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disintegrate, dispel magic, a rod of cancellation, or a sphere of annihilation affects it. A spiritual ally's AC against touch attacks is 10.</t>
  </si>
  <si>
    <t>&lt;p&gt;This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&lt;i&gt;disintegrate&lt;/i&gt;, &lt;i&gt;dispel magic&lt;/i&gt;, a &lt;i&gt;rod of cancellation&lt;/i&gt;, or a &lt;i&gt;sphere of annihilation&lt;/i&gt; affects it. A spiritual ally's AC against touch attacks is 10.&lt;/p&gt;</t>
  </si>
  <si>
    <t>&lt;link rel="stylesheet"href="PF.css"&gt;&lt;div class="heading"&gt;&lt;p class="alignleft"&gt;Spiritual Squire&lt;/p&gt;&lt;div style="clear: both;"&gt;&lt;/div&gt;&lt;/div&gt;&lt;div&gt;&lt;h5&gt;&lt;b&gt;School &lt;/b&gt;evocation [force]; &lt;b&gt;Level &lt;/b&gt;antipaladin 2, cleric/oracle 2, inquisitor 2, paladin 2, shaman 2, spiritualist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ft./level)&lt;/h5&gt;&lt;h5&gt;&lt;b&gt;Duration &lt;/b&gt;1 minute/level (D)&lt;/h5&gt;&lt;h5&gt;&lt;b&gt;Saving Throw &lt;/b&gt;none; &lt;b&gt;Spell Resistance &lt;/b&gt;no&lt;/h5&gt;&lt;/div&gt;&lt;hr/&gt;&lt;div&gt;&lt;h5&gt;&lt;b&gt;DESCRIPTION&lt;/b&gt;&lt;/h5&gt;&lt;/div&gt;&lt;hr/&gt;&lt;div&gt;&lt;h4&gt;&lt;p&gt;This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&lt;i&gt;disintegrate&lt;/i&gt;, &lt;i&gt;dispel magic&lt;/i&gt;, a &lt;i&gt;rod of cancellation&lt;/i&gt;, or a &lt;i&gt;sphere of annihilation&lt;/i&gt; affects it. A spiritual ally's AC against touch attacks is 10.&lt;/p&gt;&lt;/h4&gt;&lt;/div&gt;</t>
  </si>
  <si>
    <t>Bone Fists</t>
  </si>
  <si>
    <t>bloodrager 2, cleric/oracle 2, druid 2, psychic 2, shaman 2, sorcerer/wizard 2, witch 2</t>
  </si>
  <si>
    <t>V, S, M (the knucklebone of a dire animal)</t>
  </si>
  <si>
    <t>1 creature/level, no two of which can be more than 30 feet apart</t>
  </si>
  <si>
    <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t>
  </si>
  <si>
    <t>&lt;p&gt;The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proficient.&lt;/p&gt;</t>
  </si>
  <si>
    <t>Magic Tactics Toolbox</t>
  </si>
  <si>
    <t>&lt;link rel="stylesheet"href="PF.css"&gt;&lt;div class="heading"&gt;&lt;p class="alignleft"&gt;Bone Fists&lt;/p&gt;&lt;div style="clear: both;"&gt;&lt;/div&gt;&lt;/div&gt;&lt;div&gt;&lt;h5&gt;&lt;b&gt;School &lt;/b&gt;necromancy; &lt;b&gt;Level &lt;/b&gt;bloodrager 2, cleric/oracle 2, druid 2, psychic 2, shaman 2, sorcerer/wizard 2, witch 2&lt;/h5&gt;&lt;/div&gt;&lt;hr/&gt;&lt;div&gt;&lt;h5&gt;&lt;b&gt;CASTING&lt;/b&gt;&lt;/h5&gt;&lt;/div&gt;&lt;hr/&gt;&lt;div&gt;&lt;h5&gt;&lt;b&gt;Casting Time &lt;/b&gt;1 standard action&lt;/h5&gt;&lt;h5&gt;&lt;b&gt;Components &lt;/b&gt;V, S, M (the knucklebone of a dire animal)&lt;/h5&gt;&lt;/div&gt;&lt;hr/&gt;&lt;div&gt;&lt;h5&gt;&lt;b&gt;EFFECT&lt;/b&gt;&lt;/h5&gt;&lt;/div&gt;&lt;hr/&gt;&lt;div&gt;&lt;h5&gt;&lt;b&gt;Range &lt;/b&gt;close (25 ft. + 5 ft./2 levels)&lt;/h5&gt;&lt;h5&gt;&lt;b&gt;Targets &lt;/b&gt;1 creature/level, no two of which can be more than 30 feet apart&lt;/h5&gt;&lt;h5&gt;&lt;b&gt;Duration &lt;/b&gt;1 minute/level&lt;/h5&gt;&lt;h5&gt;&lt;b&gt;Saving Throw &lt;/b&gt;none (harmless); &lt;b&gt;Spell Resistance &lt;/b&gt;no&lt;/h5&gt;&lt;/div&gt;&lt;hr/&gt;&lt;div&gt;&lt;h5&gt;&lt;b&gt;DESCRIPTION&lt;/b&gt;&lt;/h5&gt;&lt;/div&gt;&lt;hr/&gt;&lt;div&gt;&lt;h4&gt;&lt;p&gt;The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proficient.&lt;/p&gt;&lt;/h4&gt;&lt;/div&gt;</t>
  </si>
  <si>
    <t>Flash Forward</t>
  </si>
  <si>
    <t>alchemist 4, antipaladin 4, bard 4, bloodrager 4, inquisitor 4, magus 4, medium 4, occultist 4, paladin 4, psychic 5, sorcerer/wizard 5</t>
  </si>
  <si>
    <t>V, S, F (a single gear or bit of clockwork)</t>
  </si>
  <si>
    <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t>
  </si>
  <si>
    <t>&lt;p&gt;You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location.&lt;/p&gt;</t>
  </si>
  <si>
    <t>&lt;link rel="stylesheet"href="PF.css"&gt;&lt;div class="heading"&gt;&lt;p class="alignleft"&gt;Flash Forward&lt;/p&gt;&lt;div style="clear: both;"&gt;&lt;/div&gt;&lt;/div&gt;&lt;div&gt;&lt;h5&gt;&lt;b&gt;School &lt;/b&gt;conjuration (teleportation); &lt;b&gt;Level &lt;/b&gt;alchemist 4, antipaladin 4, bard 4, bloodrager 4, inquisitor 4, magus 4, medium 4, occultist 4, paladin 4, psychic 5, sorcerer/wizard 5&lt;/h5&gt;&lt;/div&gt;&lt;hr/&gt;&lt;div&gt;&lt;h5&gt;&lt;b&gt;CASTING&lt;/b&gt;&lt;/h5&gt;&lt;/div&gt;&lt;hr/&gt;&lt;div&gt;&lt;h5&gt;&lt;b&gt;Casting Time &lt;/b&gt;1 standard action&lt;/h5&gt;&lt;h5&gt;&lt;b&gt;Components &lt;/b&gt;V, S, F (a single gear or bit of clockwork)&lt;/h5&gt;&lt;/div&gt;&lt;hr/&gt;&lt;div&gt;&lt;h5&gt;&lt;b&gt;EFFECT&lt;/b&gt;&lt;/h5&gt;&lt;/div&gt;&lt;hr/&gt;&lt;div&gt;&lt;h5&gt;&lt;b&gt;Range &lt;/b&gt;personal&lt;/h5&gt;&lt;h5&gt;&lt;b&gt;Targets &lt;/b&gt;you&lt;/h5&gt;&lt;h5&gt;&lt;b&gt;Duration &lt;/b&gt;instantaneous&lt;/h5&gt;&lt;h5&gt;&lt;b&gt;Saving Throw &lt;/b&gt;none (harmless); &lt;b&gt;Spell Resistance &lt;/b&gt;no&lt;/h5&gt;&lt;/div&gt;&lt;hr/&gt;&lt;div&gt;&lt;h5&gt;&lt;b&gt;DESCRIPTION&lt;/b&gt;&lt;/h5&gt;&lt;/div&gt;&lt;hr/&gt;&lt;div&gt;&lt;h4&gt;&lt;p&gt;You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location.&lt;/p&gt;&lt;/h4&gt;&lt;/div&gt;</t>
  </si>
  <si>
    <t>Particulate Form</t>
  </si>
  <si>
    <t>cleric/oracle 7, occultist 5, psychic 7, sorcerer/wizard 7, witch 7</t>
  </si>
  <si>
    <t>V, S, M (a pinch of fine sand)</t>
  </si>
  <si>
    <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t>
  </si>
  <si>
    <t>&lt;p&gt;The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throw.&lt;/p&gt;</t>
  </si>
  <si>
    <t>&lt;link rel="stylesheet"href="PF.css"&gt;&lt;div class="heading"&gt;&lt;p class="alignleft"&gt;Particulate Form&lt;/p&gt;&lt;div style="clear: both;"&gt;&lt;/div&gt;&lt;/div&gt;&lt;div&gt;&lt;h5&gt;&lt;b&gt;School &lt;/b&gt;transmutation; &lt;b&gt;Level &lt;/b&gt;cleric/oracle 7, occultist 5, psychic 7, sorcerer/wizard 7, witch 7&lt;/h5&gt;&lt;/div&gt;&lt;hr/&gt;&lt;div&gt;&lt;h5&gt;&lt;b&gt;CASTING&lt;/b&gt;&lt;/h5&gt;&lt;/div&gt;&lt;hr/&gt;&lt;div&gt;&lt;h5&gt;&lt;b&gt;Casting Time &lt;/b&gt;1 standard action&lt;/h5&gt;&lt;h5&gt;&lt;b&gt;Components &lt;/b&gt;V, S, M (a pinch of fine sand)&lt;/h5&gt;&lt;/div&gt;&lt;hr/&gt;&lt;div&gt;&lt;h5&gt;&lt;b&gt;EFFECT&lt;/b&gt;&lt;/h5&gt;&lt;/div&gt;&lt;hr/&gt;&lt;div&gt;&lt;h5&gt;&lt;b&gt;Range &lt;/b&gt;close (25 ft. + 5 ft./2 levels)&lt;/h5&gt;&lt;h5&gt;&lt;b&gt;Targets &lt;/b&gt;1 creature/level, no two of which can be more than 30 feet apart&lt;/h5&gt;&lt;h5&gt;&lt;b&gt;Duration &lt;/b&gt;1 round/level (D)&lt;/h5&gt;&lt;h5&gt;&lt;b&gt;Saving Throw &lt;/b&gt;none (harmless); &lt;b&gt;Spell Resistance &lt;/b&gt;no&lt;/h5&gt;&lt;/div&gt;&lt;hr/&gt;&lt;div&gt;&lt;h5&gt;&lt;b&gt;DESCRIPTION&lt;/b&gt;&lt;/h5&gt;&lt;/div&gt;&lt;hr/&gt;&lt;div&gt;&lt;h4&gt;&lt;p&gt;The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throw.&lt;/p&gt;&lt;/h4&gt;&lt;/div&gt;</t>
  </si>
  <si>
    <t>Phasic Challenge</t>
  </si>
  <si>
    <t>cleric/oracle 8, psychic 8, shaman 8, sorcerer/wizard 8, spiritualist 6, witch 7</t>
  </si>
  <si>
    <t>V, S, M (a scrap of a knight's banner)</t>
  </si>
  <si>
    <t>two creatures within 60 feet of one another; see text</t>
  </si>
  <si>
    <t>Will negates (see below)</t>
  </si>
  <si>
    <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t>
  </si>
  <si>
    <t>&lt;p&gt;You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them.&lt;/p&gt;</t>
  </si>
  <si>
    <t>&lt;link rel="stylesheet"href="PF.css"&gt;&lt;div class="heading"&gt;&lt;p class="alignleft"&gt;Phasic Challenge&lt;/p&gt;&lt;div style="clear: both;"&gt;&lt;/div&gt;&lt;/div&gt;&lt;div&gt;&lt;h5&gt;&lt;b&gt;School &lt;/b&gt;transmutation; &lt;b&gt;Level &lt;/b&gt;cleric/oracle 8, psychic 8, shaman 8, sorcerer/wizard 8, spiritualist 6, witch 7&lt;/h5&gt;&lt;/div&gt;&lt;hr/&gt;&lt;div&gt;&lt;h5&gt;&lt;b&gt;CASTING&lt;/b&gt;&lt;/h5&gt;&lt;/div&gt;&lt;hr/&gt;&lt;div&gt;&lt;h5&gt;&lt;b&gt;Casting Time &lt;/b&gt;1 standard action&lt;/h5&gt;&lt;h5&gt;&lt;b&gt;Components &lt;/b&gt;V, S, M (a scrap of a knight's banner)&lt;/h5&gt;&lt;/div&gt;&lt;hr/&gt;&lt;div&gt;&lt;h5&gt;&lt;b&gt;EFFECT&lt;/b&gt;&lt;/h5&gt;&lt;/div&gt;&lt;hr/&gt;&lt;div&gt;&lt;h5&gt;&lt;b&gt;Range &lt;/b&gt;short (25 ft. + 5 ft./2 levels)&lt;/h5&gt;&lt;h5&gt;&lt;b&gt;Targets &lt;/b&gt;two creatures within 60 feet of one another; see text&lt;/h5&gt;&lt;h5&gt;&lt;b&gt;Duration &lt;/b&gt;1 round/level (D)&lt;/h5&gt;&lt;h5&gt;&lt;b&gt;Saving Throw &lt;/b&gt;Will negates (see below); &lt;b&gt;Spell Resistance &lt;/b&gt;yes&lt;/h5&gt;&lt;/div&gt;&lt;hr/&gt;&lt;div&gt;&lt;h5&gt;&lt;b&gt;DESCRIPTION&lt;/b&gt;&lt;/h5&gt;&lt;/div&gt;&lt;hr/&gt;&lt;div&gt;&lt;h4&gt;&lt;p&gt;You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them.&lt;/p&gt;&lt;/h4&gt;&lt;/div&gt;</t>
  </si>
  <si>
    <t>Spellcurse</t>
  </si>
  <si>
    <t>antipaladin 2, cleric/oracle 3, inquisitor 2, occultist 4, psychic 3, shaman 4, witch 3</t>
  </si>
  <si>
    <t>V, S, M (a fragment of a destroyed magical item)</t>
  </si>
  <si>
    <t>You disrupt any spell energy affecting your target, causing that energy to crackle with power and harm the target. The target takes 1d6 points of damage for each spell with a duration of 1 round or greater currently affecting it. The spells themselves are not dispelled or modified.</t>
  </si>
  <si>
    <t>&lt;p&gt;You disrupt any spell energy affecting your target, causing that energy to crackle with power and harm the target. The target takes 1d6 points of damage for each spell with a duration of 1 round or greater currently affecting it. The spells themselves are not dispelled or modified.&lt;/p&gt;</t>
  </si>
  <si>
    <t>&lt;link rel="stylesheet"href="PF.css"&gt;&lt;div class="heading"&gt;&lt;p class="alignleft"&gt;Spellcurse&lt;/p&gt;&lt;div style="clear: both;"&gt;&lt;/div&gt;&lt;/div&gt;&lt;div&gt;&lt;h5&gt;&lt;b&gt;School &lt;/b&gt;necromancy [curse&lt;sup&gt;UM&lt;/sup&gt;]; &lt;b&gt;Level &lt;/b&gt;antipaladin 2, cleric/oracle 3, inquisitor 2, occultist 4, psychic 3, shaman 4, witch 3&lt;/h5&gt;&lt;/div&gt;&lt;hr/&gt;&lt;div&gt;&lt;h5&gt;&lt;b&gt;CASTING&lt;/b&gt;&lt;/h5&gt;&lt;/div&gt;&lt;hr/&gt;&lt;div&gt;&lt;h5&gt;&lt;b&gt;Casting Time &lt;/b&gt;1 standard action&lt;/h5&gt;&lt;h5&gt;&lt;b&gt;Components &lt;/b&gt;V, S, M (a fragment of a destroyed magical item)&lt;/h5&gt;&lt;/div&gt;&lt;hr/&gt;&lt;div&gt;&lt;h5&gt;&lt;b&gt;EFFECT&lt;/b&gt;&lt;/h5&gt;&lt;/div&gt;&lt;hr/&gt;&lt;div&gt;&lt;h5&gt;&lt;b&gt;Range &lt;/b&gt;medium (100 ft. + 10 ft./level)&lt;/h5&gt;&lt;h5&gt;&lt;b&gt;Targets &lt;/b&gt;one creature&lt;/h5&gt;&lt;h5&gt;&lt;b&gt;Duration &lt;/b&gt;instantaneous&lt;/h5&gt;&lt;h5&gt;&lt;b&gt;Saving Throw &lt;/b&gt;Will half; &lt;b&gt;Spell Resistance &lt;/b&gt;yes&lt;/h5&gt;&lt;/div&gt;&lt;hr/&gt;&lt;div&gt;&lt;h5&gt;&lt;b&gt;DESCRIPTION&lt;/b&gt;&lt;/h5&gt;&lt;/div&gt;&lt;hr/&gt;&lt;div&gt;&lt;h4&gt;&lt;p&gt;You disrupt any spell energy affecting your target, causing that energy to crackle with power and harm the target. The target takes 1d6 points of damage for each spell with a duration of 1 round or greater currently affecting it. The spells themselves are not dispelled or modified.&lt;/p&gt;&lt;/h4&gt;&lt;/div&gt;</t>
  </si>
  <si>
    <t>Warp Metal</t>
  </si>
  <si>
    <t>bloodrager 4, cleric/oracle 4, druid 4, medium 4, occultist 4, psychic 4, sorcerer/wizard 4</t>
  </si>
  <si>
    <t>V, S, M (a twisted wire)</t>
  </si>
  <si>
    <t>1 Small wooden object/level, all within a 20-ft. radius; see text</t>
  </si>
  <si>
    <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unwarp metal (effectively warping it back to normal) with this spell. Make whole, on the other hand, does nothing to repair a warped item.  You can combine multiple consecutive castings of warp metal to warp (or unwarp) an object that is too large for you to warp with a single casting. Until the object is completely warped, it suffers no ill effects.</t>
  </si>
  <si>
    <t>&lt;p&gt;You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un&lt;i&gt;warp metal&lt;/i&gt; (effectively warping it back to normal) with this spell. &lt;i&gt;Make whole&lt;/i&gt;, on the other hand, does nothing to repair a warped item.  You can combine multiple consecutive castings of &lt;i&gt;warp metal&lt;/i&gt; to warp (or unwarp) an object that is too large for you to warp with a single casting. Until the object is completely warped, it suffers no ill effects.&lt;/p&gt;</t>
  </si>
  <si>
    <t>&lt;link rel="stylesheet"href="PF.css"&gt;&lt;div class="heading"&gt;&lt;p class="alignleft"&gt;Warp Metal&lt;/p&gt;&lt;div style="clear: both;"&gt;&lt;/div&gt;&lt;/div&gt;&lt;div&gt;&lt;h5&gt;&lt;b&gt;School &lt;/b&gt;transmutation [earth]; &lt;b&gt;Level &lt;/b&gt;bloodrager 4, cleric/oracle 4, druid 4, medium 4, occultist 4, psychic 4, sorcerer/wizard 4&lt;/h5&gt;&lt;/div&gt;&lt;hr/&gt;&lt;div&gt;&lt;h5&gt;&lt;b&gt;CASTING&lt;/b&gt;&lt;/h5&gt;&lt;/div&gt;&lt;hr/&gt;&lt;div&gt;&lt;h5&gt;&lt;b&gt;Casting Time &lt;/b&gt;1 standard action&lt;/h5&gt;&lt;h5&gt;&lt;b&gt;Components &lt;/b&gt;V, S, M (a twisted wire)&lt;/h5&gt;&lt;/div&gt;&lt;hr/&gt;&lt;div&gt;&lt;h5&gt;&lt;b&gt;EFFECT&lt;/b&gt;&lt;/h5&gt;&lt;/div&gt;&lt;hr/&gt;&lt;div&gt;&lt;h5&gt;&lt;b&gt;Range &lt;/b&gt;close (25 ft. plus 5 ft./2 levels)&lt;/h5&gt;&lt;h5&gt;&lt;b&gt;Targets &lt;/b&gt;1 Small wooden object/level, all within a 20-ft. radius; see text&lt;/h5&gt;&lt;h5&gt;&lt;b&gt;Duration &lt;/b&gt;instantaneous&lt;/h5&gt;&lt;h5&gt;&lt;b&gt;Saving Throw &lt;/b&gt;Will negates (object); &lt;b&gt;Spell Resistance &lt;/b&gt;yes (object)&lt;/h5&gt;&lt;/div&gt;&lt;hr/&gt;&lt;div&gt;&lt;h5&gt;&lt;b&gt;DESCRIPTION&lt;/b&gt;&lt;/h5&gt;&lt;/div&gt;&lt;hr/&gt;&lt;div&gt;&lt;h4&gt;&lt;p&gt;You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un&lt;i&gt;warp metal&lt;/i&gt; (effectively warping it back to normal) with this spell. &lt;i&gt;Make whole&lt;/i&gt;, on the other hand, does nothing to repair a warped item.  You can combine multiple consecutive castings of &lt;i&gt;warp metal&lt;/i&gt; to warp (or unwarp) an object that is too large for you to warp with a single casting. Until the object is completely warped, it suffers no ill effects.&lt;/p&gt;&lt;/h4&gt;&lt;/div&gt;</t>
  </si>
  <si>
    <t>Biting Words</t>
  </si>
  <si>
    <t>bard 1, bloodrager 1</t>
  </si>
  <si>
    <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biting words by shouting instead of speaking intelligibly. When doing so, the amount of damage dealt by the attack is reduced to 1d4 + 1/2 your Strength or Charisma modifier (whichever is higher), but the spell doesn't count as having the language-dependent descriptor for that attack.</t>
  </si>
  <si>
    <t>&lt;p&gt;Your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&lt;i&gt;biting words&lt;/i&gt; by shouting instead of speaking intelligibly. When doing so, the amount of damage dealt by the attack is reduced to 1d4 + 1/2 your Strength or Charisma modifier (whichever is higher), but the spell doesn't count as having the language-dependent descriptor for that attack.&lt;/p&gt;</t>
  </si>
  <si>
    <t>&lt;link rel="stylesheet"href="PF.css"&gt;&lt;div class="heading"&gt;&lt;p class="alignleft"&gt;Biting Words&lt;/p&gt;&lt;div style="clear: both;"&gt;&lt;/div&gt;&lt;/div&gt;&lt;div&gt;&lt;h5&gt;&lt;b&gt;School &lt;/b&gt;evocation [language-dependent, sonic]; &lt;b&gt;Level &lt;/b&gt;bard 1, bloodrager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negates (harmless); &lt;b&gt;Spell Resistance &lt;/b&gt;no&lt;/h5&gt;&lt;/div&gt;&lt;hr/&gt;&lt;div&gt;&lt;h5&gt;&lt;b&gt;DESCRIPTION&lt;/b&gt;&lt;/h5&gt;&lt;/div&gt;&lt;hr/&gt;&lt;div&gt;&lt;h4&gt;&lt;p&gt;Your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&lt;i&gt;biting words&lt;/i&gt; by shouting instead of speaking intelligibly. When doing so, the amount of damage dealt by the attack is reduced to 1d4 + 1/2 your Strength or Charisma modifier (whichever is higher), but the spell doesn't count as having the language-dependent descriptor for that attack.&lt;/p&gt;&lt;/h4&gt;&lt;/div&gt;</t>
  </si>
  <si>
    <t>Bouncing Bomb Admixture</t>
  </si>
  <si>
    <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t>
  </si>
  <si>
    <t>&lt;p&gt;Upon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instead.&lt;/p&gt;</t>
  </si>
  <si>
    <t>&lt;link rel="stylesheet"href="PF.css"&gt;&lt;div class="heading"&gt;&lt;p class="alignleft"&gt;Bouncing Bomb Admixture&lt;/p&gt;&lt;div style="clear: both;"&gt;&lt;/div&gt;&lt;/div&gt;&lt;div&gt;&lt;h5&gt;&lt;b&gt;School &lt;/b&gt;transmutation; &lt;b&gt;Level &lt;/b&gt;alchemist 3&lt;/h5&gt;&lt;/div&gt;&lt;hr/&gt;&lt;div&gt;&lt;h5&gt;&lt;b&gt;CASTING&lt;/b&gt;&lt;/h5&gt;&lt;/div&gt;&lt;hr/&gt;&lt;div&gt;&lt;h5&gt;&lt;b&gt;Casting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round&lt;/h5&gt;&lt;h5&gt;&lt;b&gt;Saving Throw &lt;/b&gt;Will negates (harmless); &lt;b&gt;Spell Resistance &lt;/b&gt;no&lt;/h5&gt;&lt;/div&gt;&lt;hr/&gt;&lt;div&gt;&lt;h5&gt;&lt;b&gt;DESCRIPTION&lt;/b&gt;&lt;/h5&gt;&lt;/div&gt;&lt;hr/&gt;&lt;div&gt;&lt;h4&gt;&lt;p&gt;Upon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instead.&lt;/p&gt;&lt;/h4&gt;&lt;/div&gt;</t>
  </si>
  <si>
    <t>Release The Hounds</t>
  </si>
  <si>
    <t>bard 5, druid 5, shaman 5, sorcerer/wizard 5, summoner 5, witch 5</t>
  </si>
  <si>
    <t>V, S, M/DF (shards of a canine's fang)</t>
  </si>
  <si>
    <t>one pack of canines</t>
  </si>
  <si>
    <t>This spell summons a pack of canines that respond to the spellcaster's commands and act in perfect unison, causing them to function like a swarm. The pack uses the statistics for a winter wolf (Pathfinder RPG Bestiary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t>
  </si>
  <si>
    <t>&lt;p&gt;This spell summons a pack of canines that respond to the spellcaster's commands and act in perfect unison, causing them to function like a swarm. The pack uses the statistics for a winter wolf (&lt;i&gt;Pathfinder RPG Bestiary&lt;/i&gt;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work.&lt;/p&gt;</t>
  </si>
  <si>
    <t>&lt;link rel="stylesheet"href="PF.css"&gt;&lt;div class="heading"&gt;&lt;p class="alignleft"&gt;Release The Hounds&lt;/p&gt;&lt;div style="clear: both;"&gt;&lt;/div&gt;&lt;/div&gt;&lt;div&gt;&lt;h5&gt;&lt;b&gt;School &lt;/b&gt;conjuration (summoning); &lt;b&gt;Level &lt;/b&gt;bard 5, druid 5, shaman 5, sorcerer/wizard 5, summoner 5, witch 5&lt;/h5&gt;&lt;/div&gt;&lt;hr/&gt;&lt;div&gt;&lt;h5&gt;&lt;b&gt;CASTING&lt;/b&gt;&lt;/h5&gt;&lt;/div&gt;&lt;hr/&gt;&lt;div&gt;&lt;h5&gt;&lt;b&gt;Casting Time &lt;/b&gt;1 standard action&lt;/h5&gt;&lt;h5&gt;&lt;b&gt;Components &lt;/b&gt;V, S, M/DF (shards of a canine's fang)&lt;/h5&gt;&lt;/div&gt;&lt;hr/&gt;&lt;div&gt;&lt;h5&gt;&lt;b&gt;EFFECT&lt;/b&gt;&lt;/h5&gt;&lt;/div&gt;&lt;hr/&gt;&lt;div&gt;&lt;h5&gt;&lt;b&gt;Range &lt;/b&gt;close (25 ft. + 5 ft./2 levels)&lt;/h5&gt;&lt;h5&gt;&lt;b&gt;Effect &lt;/b&gt;one pack of canines&lt;/h5&gt;&lt;h5&gt;&lt;b&gt;Duration &lt;/b&gt;1 round/level (D)&lt;/h5&gt;&lt;h5&gt;&lt;b&gt;Saving Throw &lt;/b&gt;none; &lt;b&gt;Spell Resistance &lt;/b&gt;no&lt;/h5&gt;&lt;/div&gt;&lt;hr/&gt;&lt;div&gt;&lt;h5&gt;&lt;b&gt;DESCRIPTION&lt;/b&gt;&lt;/h5&gt;&lt;/div&gt;&lt;hr/&gt;&lt;div&gt;&lt;h4&gt;&lt;p&gt;This spell summons a pack of canines that respond to the spellcaster's commands and act in perfect unison, causing them to function like a swarm. The pack uses the statistics for a winter wolf (&lt;i&gt;Pathfinder RPG Bestiary&lt;/i&gt;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work.&lt;/p&gt;&lt;/h4&gt;&lt;/div&gt;</t>
  </si>
  <si>
    <t>Roaming Pit</t>
  </si>
  <si>
    <t>cleric/oracle 6, druid 6, psychic 6, sorcerer/wizard 5, summoner 5</t>
  </si>
  <si>
    <t>V, S, M (powered diamond dust worth 10 gp)</t>
  </si>
  <si>
    <t>mobile 10-ft.-by-10-ft. hole, 10 ft. deep/2 levels</t>
  </si>
  <si>
    <t>This spell functions as create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t>
  </si>
  <si>
    <t>&lt;p&gt;This spell functions as &lt;i&gt;create&lt;/i&gt;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relocated.&lt;/p&gt;</t>
  </si>
  <si>
    <t>&lt;link rel="stylesheet"href="PF.css"&gt;&lt;div class="heading"&gt;&lt;p class="alignleft"&gt;Roaming Pit&lt;/p&gt;&lt;div style="clear: both;"&gt;&lt;/div&gt;&lt;/div&gt;&lt;div&gt;&lt;h5&gt;&lt;b&gt;School &lt;/b&gt;conjuration (creation); &lt;b&gt;Level &lt;/b&gt;cleric/oracle 6, druid 6, psychic 6, sorcerer/wizard 5, summoner 5&lt;/h5&gt;&lt;/div&gt;&lt;hr/&gt;&lt;div&gt;&lt;h5&gt;&lt;b&gt;CASTING&lt;/b&gt;&lt;/h5&gt;&lt;/div&gt;&lt;hr/&gt;&lt;div&gt;&lt;h5&gt;&lt;b&gt;Casting Time &lt;/b&gt;1 standard action&lt;/h5&gt;&lt;h5&gt;&lt;b&gt;Components &lt;/b&gt;V, S, M (powered diamond dust worth 10 gp)&lt;/h5&gt;&lt;/div&gt;&lt;hr/&gt;&lt;div&gt;&lt;h5&gt;&lt;b&gt;EFFECT&lt;/b&gt;&lt;/h5&gt;&lt;/div&gt;&lt;hr/&gt;&lt;div&gt;&lt;h5&gt;&lt;b&gt;Range &lt;/b&gt;medium (100 ft. + 10 ft./level)&lt;/h5&gt;&lt;h5&gt;&lt;b&gt;Effect &lt;/b&gt;mobile 10-ft.-by-10-ft. hole, 10 ft. deep/2 levels&lt;/h5&gt;&lt;h5&gt;&lt;b&gt;Duration &lt;/b&gt;1 round/level&lt;/h5&gt;&lt;h5&gt;&lt;b&gt;Saving Throw &lt;/b&gt;Reflex negates; &lt;b&gt;Spell Resistance &lt;/b&gt;no&lt;/h5&gt;&lt;/div&gt;&lt;hr/&gt;&lt;div&gt;&lt;h5&gt;&lt;b&gt;DESCRIPTION&lt;/b&gt;&lt;/h5&gt;&lt;/div&gt;&lt;hr/&gt;&lt;div&gt;&lt;h4&gt;&lt;p&gt;This spell functions as &lt;i&gt;create&lt;/i&gt;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relocated.&lt;/p&gt;&lt;/h4&gt;&lt;/div&gt;</t>
  </si>
  <si>
    <t>Wall Of Bone</t>
  </si>
  <si>
    <t>antipaladin 4, bloodrager 4, cleric/oracle 4, psychic 4, sorcerer/wizard 4, spiritualist 4</t>
  </si>
  <si>
    <t>V, S, M (a polished humanoid femur)</t>
  </si>
  <si>
    <t>solid wall of humanoid bones with an area of up to one 5-ft. square/level</t>
  </si>
  <si>
    <t>This spell creates a vertical wall of skeletal arms that attaches itself to any solid surface. The wall of bone works identically to wall of stone e xcept a s n oted a bove a nd i n t his s pell description. The wall of bone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t>
  </si>
  <si>
    <t>&lt;p&gt;This spell creates a vertical wall of skeletal arms that attaches itself to any solid surface. The &lt;i&gt;wall of bone&lt;/i&gt; works identically to &lt;i&gt;wall of stone&lt;/i&gt; e xcept a s n oted a bove a nd i n t his s pell description. The &lt;i&gt;wall of bone&lt;/i&gt;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CMB.&lt;/p&gt;</t>
  </si>
  <si>
    <t>&lt;link rel="stylesheet"href="PF.css"&gt;&lt;div class="heading"&gt;&lt;p class="alignleft"&gt;Wall Of Bone&lt;/p&gt;&lt;div style="clear: both;"&gt;&lt;/div&gt;&lt;/div&gt;&lt;div&gt;&lt;h5&gt;&lt;b&gt;School &lt;/b&gt;necromancy; &lt;b&gt;Level &lt;/b&gt;antipaladin 4, bloodrager 4, cleric/oracle 4, psychic 4, sorcerer/wizard 4, spiritualist 4&lt;/h5&gt;&lt;/div&gt;&lt;hr/&gt;&lt;div&gt;&lt;h5&gt;&lt;b&gt;CASTING&lt;/b&gt;&lt;/h5&gt;&lt;/div&gt;&lt;hr/&gt;&lt;div&gt;&lt;h5&gt;&lt;b&gt;Casting Time &lt;/b&gt;1 standard action&lt;/h5&gt;&lt;h5&gt;&lt;b&gt;Components &lt;/b&gt;V, S, M (a polished humanoid femur)&lt;/h5&gt;&lt;/div&gt;&lt;hr/&gt;&lt;div&gt;&lt;h5&gt;&lt;b&gt;EFFECT&lt;/b&gt;&lt;/h5&gt;&lt;/div&gt;&lt;hr/&gt;&lt;div&gt;&lt;h5&gt;&lt;b&gt;Range &lt;/b&gt;close (25 ft. + 5 ft./2 level)&lt;/h5&gt;&lt;h5&gt;&lt;b&gt;Effect &lt;/b&gt;solid wall of humanoid bones with an area of up to one 5-ft. square/level&lt;/h5&gt;&lt;h5&gt;&lt;b&gt;Duration &lt;/b&gt;1 minute/level&lt;/h5&gt;&lt;h5&gt;&lt;b&gt;Saving Throw &lt;/b&gt;none; &lt;b&gt;Spell Resistance &lt;/b&gt;yes; see text&lt;/h5&gt;&lt;/div&gt;&lt;hr/&gt;&lt;div&gt;&lt;h5&gt;&lt;b&gt;DESCRIPTION&lt;/b&gt;&lt;/h5&gt;&lt;/div&gt;&lt;hr/&gt;&lt;div&gt;&lt;h4&gt;&lt;p&gt;This spell creates a vertical wall of skeletal arms that attaches itself to any solid surface. The &lt;i&gt;wall of bone&lt;/i&gt; works identically to &lt;i&gt;wall of stone&lt;/i&gt; e xcept a s n oted a bove a nd i n t his s pell description. The &lt;i&gt;wall of bone&lt;/i&gt;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CMB.&lt;/p&gt;&lt;/h4&gt;&lt;/div&gt;</t>
  </si>
  <si>
    <t>Akashic Communion</t>
  </si>
  <si>
    <t>bard 3, medium 3, mesmerist 4, occultist 3, psychic 3, shaman 3, sorcerer/wizard 4, spiritualist 4, witch 3</t>
  </si>
  <si>
    <t>V, S, M/DF (a square of reflective silver worth 100 gp)</t>
  </si>
  <si>
    <t>You attempt to obtain a glimpse of some specific event from the Akashic Record (Occult Adventures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t>
  </si>
  <si>
    <t>&lt;p&gt;You attempt to obtain a glimpse of some specific event from the Akashic Record (&lt;i&gt;Occult Adventures&lt;/i&gt;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level.&lt;/p&gt;</t>
  </si>
  <si>
    <t>&lt;link rel="stylesheet"href="PF.css"&gt;&lt;div class="heading"&gt;&lt;p class="alignleft"&gt;Akashic Communion&lt;/p&gt;&lt;div style="clear: both;"&gt;&lt;/div&gt;&lt;/div&gt;&lt;div&gt;&lt;h5&gt;&lt;b&gt;School &lt;/b&gt;divination; &lt;b&gt;Level &lt;/b&gt;bard 3, medium 3, mesmerist 4, occultist 3, psychic 3, shaman 3, sorcerer/wizard 4, spiritualist 4, witch 3&lt;/h5&gt;&lt;/div&gt;&lt;hr/&gt;&lt;div&gt;&lt;h5&gt;&lt;b&gt;CASTING&lt;/b&gt;&lt;/h5&gt;&lt;/div&gt;&lt;hr/&gt;&lt;div&gt;&lt;h5&gt;&lt;b&gt;Casting Time &lt;/b&gt;10 minutes&lt;/h5&gt;&lt;h5&gt;&lt;b&gt;Components &lt;/b&gt;V, S, M/DF (a square of reflective silver worth 100 gp)&lt;/h5&gt;&lt;/div&gt;&lt;hr/&gt;&lt;div&gt;&lt;h5&gt;&lt;b&gt;EFFECT&lt;/b&gt;&lt;/h5&gt;&lt;/div&gt;&lt;hr/&gt;&lt;div&gt;&lt;h5&gt;&lt;b&gt;Range &lt;/b&gt;personal&lt;/h5&gt;&lt;h5&gt;&lt;b&gt;Duration &lt;/b&gt;1 minute/level&lt;/h5&gt;&lt;/div&gt;&lt;hr/&gt;&lt;div&gt;&lt;h5&gt;&lt;b&gt;DESCRIPTION&lt;/b&gt;&lt;/h5&gt;&lt;/div&gt;&lt;hr/&gt;&lt;div&gt;&lt;h4&gt;&lt;p&gt;You attempt to obtain a glimpse of some specific event from the Akashic Record (&lt;i&gt;Occult Adventures&lt;/i&gt;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level.&lt;/p&gt;&lt;/h4&gt;&lt;/div&gt;</t>
  </si>
  <si>
    <t>Bind Sage</t>
  </si>
  <si>
    <t>occultist 5, psychic 5, shaman 5, sorcerer/wizard 4, summoner 4, witch 5</t>
  </si>
  <si>
    <t>one caulborn (Pathfinder RPG Bestiary 3 48)</t>
  </si>
  <si>
    <t>This variant of planar binding is specifically used to call one of the most knowledgeable types of outsiders: the immortal and prophetic caulborn (Pathfinder RPG Bestiary 3 48). This spell calls a single caulborn into a specially prepared trap. The caster of this spell can compel a bound caulborn only to provide information (using its Knowledge skills or detect thoughts); attempts to compel the caulborn to fight, guard a location, or perform some other task automatically fail.  This spell otherwise functions as planar binding.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t>
  </si>
  <si>
    <t>&lt;p&gt;This variant of &lt;i&gt;planar binding&lt;/i&gt; is specifically used to call one of the most knowledgeable types of outsiders: the immortal and prophetic caulborn (&lt;i&gt;Pathfinder RPG Bestiary 3&lt;/i&gt; 48). This spell calls a single caulborn into a specially prepared trap. The caster of this spell can compel a bound caulborn only to provide information (using its Knowledge skills or &lt;i&gt;detect&lt;/i&gt; thoughts); attempts to compel the caulborn to fight, guard a location, or perform some other task automatically fail.  This spell otherwise functions as &lt;i&gt;planar binding&lt;/i&gt;.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called.&lt;/p&gt;</t>
  </si>
  <si>
    <t>&lt;link rel="stylesheet"href="PF.css"&gt;&lt;div class="heading"&gt;&lt;p class="alignleft"&gt;Bind Sage&lt;/p&gt;&lt;div style="clear: both;"&gt;&lt;/div&gt;&lt;/div&gt;&lt;div&gt;&lt;h5&gt;&lt;b&gt;School &lt;/b&gt;conjuration (calling); &lt;b&gt;Level &lt;/b&gt;occultist 5, psychic 5, shaman 5, sorcerer/wizard 4, summoner 4, witch 5&lt;/h5&gt;&lt;/div&gt;&lt;hr/&gt;&lt;div&gt;&lt;h5&gt;&lt;b&gt;CASTING&lt;/b&gt;&lt;/h5&gt;&lt;/div&gt;&lt;hr/&gt;&lt;div&gt;&lt;h5&gt;&lt;b&gt;Casting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&lt;/b&gt;one caulborn (Pathfinder RPG Bestiary 3 48)&lt;/h5&gt;&lt;h5&gt;&lt;b&gt;Duration &lt;/b&gt;instantaneous&lt;/h5&gt;&lt;h5&gt;&lt;b&gt;Saving Throw &lt;/b&gt;Will negates; &lt;b&gt;Spell Resistance &lt;/b&gt;no and yes; see text&lt;/h5&gt;&lt;/div&gt;&lt;hr/&gt;&lt;div&gt;&lt;h5&gt;&lt;b&gt;DESCRIPTION&lt;/b&gt;&lt;/h5&gt;&lt;/div&gt;&lt;hr/&gt;&lt;div&gt;&lt;h4&gt;&lt;p&gt;This variant of &lt;i&gt;planar binding&lt;/i&gt; is specifically used to call one of the most knowledgeable types of outsiders: the immortal and prophetic caulborn (&lt;i&gt;Pathfinder RPG Bestiary 3&lt;/i&gt; 48). This spell calls a single caulborn into a specially prepared trap. The caster of this spell can compel a bound caulborn only to provide information (using its Knowledge skills or &lt;i&gt;detect&lt;/i&gt; thoughts); attempts to compel the caulborn to fight, guard a location, or perform some other task automatically fail.  This spell otherwise functions as &lt;i&gt;planar binding&lt;/i&gt;.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called.&lt;/p&gt;&lt;/h4&gt;&lt;/div&gt;</t>
  </si>
  <si>
    <t>Secluded Grimoire</t>
  </si>
  <si>
    <t>magus 1, sorcerer/wizard 1</t>
  </si>
  <si>
    <t>spellbook touched</t>
  </si>
  <si>
    <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t>
  </si>
  <si>
    <t>&lt;p&gt;This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normally.&lt;/p&gt;</t>
  </si>
  <si>
    <t>&lt;link rel="stylesheet"href="PF.css"&gt;&lt;div class="heading"&gt;&lt;p class="alignleft"&gt;Secluded Grimoire&lt;/p&gt;&lt;div style="clear: both;"&gt;&lt;/div&gt;&lt;/div&gt;&lt;div&gt;&lt;h5&gt;&lt;b&gt;School &lt;/b&gt;conjuration (summoning); &lt;b&gt;Level &lt;/b&gt;magus 1, sorcerer/wizard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&lt;/b&gt;spellbook touched&lt;/h5&gt;&lt;h5&gt;&lt;b&gt;Duration &lt;/b&gt;instantaneous&lt;/h5&gt;&lt;h5&gt;&lt;b&gt;Saving Throw &lt;/b&gt;none; &lt;b&gt;Spell Resistance &lt;/b&gt;no&lt;/h5&gt;&lt;/div&gt;&lt;hr/&gt;&lt;div&gt;&lt;h5&gt;&lt;b&gt;DESCRIPTION&lt;/b&gt;&lt;/h5&gt;&lt;/div&gt;&lt;hr/&gt;&lt;div&gt;&lt;h4&gt;&lt;p&gt;This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normally.&lt;/p&gt;&lt;/h4&gt;&lt;/div&gt;</t>
  </si>
  <si>
    <t>Alaznist's Jinx</t>
  </si>
  <si>
    <t>antipaladin 4, bard 4, cleric/oracle 6, inquisitor 5, occultist 5, psychic 6, shaman 5, sorcerer/wizard 6, witch 5</t>
  </si>
  <si>
    <t>You inflict a curse similar to the spell burn spellblight (Pathfinder RPG Ultimate Magic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t>
  </si>
  <si>
    <t>&lt;p&gt;You inflict a curse similar to the spell burn spellblight (&lt;i&gt;Pathfinder RPG Ultimate Magic&lt;/i&gt;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caster.&lt;/p&gt;</t>
  </si>
  <si>
    <t>&lt;link rel="stylesheet"href="PF.css"&gt;&lt;div class="heading"&gt;&lt;p class="alignleft"&gt;Alaznist's Jinx&lt;/p&gt;&lt;div style="clear: both;"&gt;&lt;/div&gt;&lt;/div&gt;&lt;div&gt;&lt;h5&gt;&lt;b&gt;School &lt;/b&gt;evocation [curse&lt;sup&gt;UM&lt;/sup&gt;]; &lt;b&gt;Level &lt;/b&gt;antipaladin 4, bard 4, cleric/oracle 6, inquisitor 5, occultist 5, psychic 6, shaman 5, sorcerer/wizard 6,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inflict a curse similar to the spell burn spellblight (&lt;i&gt;Pathfinder RPG Ultimate Magic&lt;/i&gt;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caster.&lt;/p&gt;&lt;/h4&gt;&lt;/div&gt;</t>
  </si>
  <si>
    <t>Flexile Curse</t>
  </si>
  <si>
    <t>bard 3, cleric/oracle 5, inquisitor 3, psychic 5, sorcerer/wizard 5, witch 3</t>
  </si>
  <si>
    <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t>
  </si>
  <si>
    <t>&lt;p&gt;You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restored.&lt;/p&gt;</t>
  </si>
  <si>
    <t>&lt;link rel="stylesheet"href="PF.css"&gt;&lt;div class="heading"&gt;&lt;p class="alignleft"&gt;Flexile Curse&lt;/p&gt;&lt;div style="clear: both;"&gt;&lt;/div&gt;&lt;/div&gt;&lt;div&gt;&lt;h5&gt;&lt;b&gt;School &lt;/b&gt;transmutation [curse&lt;sup&gt;UM&lt;/sup&gt;]; &lt;b&gt;Level &lt;/b&gt;bard 3, cleric/oracle 5, inquisitor 3, psychic 5, sorcerer/wizard 5,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restored.&lt;/p&gt;&lt;/h4&gt;&lt;/div&gt;</t>
  </si>
  <si>
    <t>Irregular Size</t>
  </si>
  <si>
    <t>antipaladin 3, bloodrager 4, cleric/oracle 3, medium 2, mesmerist 3, occultist 3, shaman 3, sorcerer/wizard 4, spiritualist 4, witch 3</t>
  </si>
  <si>
    <t>You curse a creature so one set of its limbs (typically its arms, legs, or wings) shrivels in size.  Arms: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t>
  </si>
  <si>
    <t>&lt;p&gt;You curse a creature so one set of its limbs (typically its arms, legs, or wings) shrivels in size.  &lt;i&gt;Arms&lt;/i&gt;: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size.&lt;/p&gt;</t>
  </si>
  <si>
    <t>&lt;link rel="stylesheet"href="PF.css"&gt;&lt;div class="heading"&gt;&lt;p class="alignleft"&gt;Irregular Size&lt;/p&gt;&lt;div style="clear: both;"&gt;&lt;/div&gt;&lt;/div&gt;&lt;div&gt;&lt;h5&gt;&lt;b&gt;School &lt;/b&gt;transmutation [curse&lt;sup&gt;UM&lt;/sup&gt;]; &lt;b&gt;Level &lt;/b&gt;antipaladin 3, bloodrager 4, cleric/oracle 3, medium 2, mesmerist 3, occultist 3, shaman 3, sorcerer/wizard 4, spiritualist 4,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&lt;/b&gt;yes&lt;/h5&gt;&lt;/div&gt;&lt;hr/&gt;&lt;div&gt;&lt;h5&gt;&lt;b&gt;DESCRIPTION&lt;/b&gt;&lt;/h5&gt;&lt;/div&gt;&lt;hr/&gt;&lt;div&gt;&lt;h4&gt;&lt;p&gt;You curse a creature so one set of its limbs (typically its arms, legs, or wings) shrivels in size.  &lt;i&gt;Arms&lt;/i&gt;: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size.&lt;/p&gt;&lt;/h4&gt;&lt;/div&gt;</t>
  </si>
  <si>
    <t>Itching Curse</t>
  </si>
  <si>
    <t>antipaladin 1, bard 1, druid 1, inquisitor 1, occultist 1, shaman 1, sorcerer/wizard 1, witch 1</t>
  </si>
  <si>
    <t>one living creature with 5 HD or fewer</t>
  </si>
  <si>
    <t>You curse the target with a distracting, unbearable itch. Unless the target scratches as a move action, it takes a -1 penalty on attack rolls, saving throws, skill checks, and ability checks.</t>
  </si>
  <si>
    <t>&lt;p&gt;You curse the target with a distracting, unbearable itch. Unless the target scratches as a move action, it takes a -1 penalty on attack rolls, saving throws, skill checks, and ability checks.&lt;/p&gt;</t>
  </si>
  <si>
    <t>&lt;link rel="stylesheet"href="PF.css"&gt;&lt;div class="heading"&gt;&lt;p class="alignleft"&gt;Itching Curse&lt;/p&gt;&lt;div style="clear: both;"&gt;&lt;/div&gt;&lt;/div&gt;&lt;div&gt;&lt;h5&gt;&lt;b&gt;School &lt;/b&gt;necromancy [curse&lt;sup&gt;UM&lt;/sup&gt;]; &lt;b&gt;Level &lt;/b&gt;antipaladin 1, bard 1, druid 1, inquisitor 1, occultist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 with 5 HD or fewer&lt;/h5&gt;&lt;h5&gt;&lt;b&gt;Duration &lt;/b&gt;1 hour/level (D)&lt;/h5&gt;&lt;h5&gt;&lt;b&gt;Saving Throw &lt;/b&gt;Will negates; &lt;b&gt;Spell Resistance &lt;/b&gt;yes&lt;/h5&gt;&lt;/div&gt;&lt;hr/&gt;&lt;div&gt;&lt;h5&gt;&lt;b&gt;DESCRIPTION&lt;/b&gt;&lt;/h5&gt;&lt;/div&gt;&lt;hr/&gt;&lt;div&gt;&lt;h4&gt;&lt;p&gt;You curse the target with a distracting, unbearable itch. Unless the target scratches as a move action, it takes a -1 penalty on attack rolls, saving throws, skill checks, and ability checks.&lt;/p&gt;&lt;/h4&gt;&lt;/div&gt;</t>
  </si>
  <si>
    <t>Kalistocrat's Nightmare</t>
  </si>
  <si>
    <t>alchemist 2, bard 2, cleric/oracle 3, inquisitor 2, investigator 2, magus 2, occultist 2, sorcerer/wizard 3, witch 2</t>
  </si>
  <si>
    <t>V, S, M (a copper piece)</t>
  </si>
  <si>
    <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remove curse (which can affect up to 50 coins with a single casting) or a similar spell can restore them to their previous material.</t>
  </si>
  <si>
    <t>&lt;p&gt;You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&lt;i&gt;remove curse&lt;/i&gt; (which can affect up to 50 coins with a single casting) or a similar spell can restore them to their previous material.&lt;/p&gt;</t>
  </si>
  <si>
    <t>&lt;link rel="stylesheet"href="PF.css"&gt;&lt;div class="heading"&gt;&lt;p class="alignleft"&gt;Kalistocrat's Nightmare&lt;/p&gt;&lt;div style="clear: both;"&gt;&lt;/div&gt;&lt;/div&gt;&lt;div&gt;&lt;h5&gt;&lt;b&gt;School &lt;/b&gt;transmutation [curse&lt;sup&gt;UM&lt;/sup&gt;]; &lt;b&gt;Level &lt;/b&gt;alchemist 2, bard 2, cleric/oracle 3, inquisitor 2, investigator 2, magus 2, occultist 2, sorcerer/wizard 3, witch 2&lt;/h5&gt;&lt;/div&gt;&lt;hr/&gt;&lt;div&gt;&lt;h5&gt;&lt;b&gt;CASTING&lt;/b&gt;&lt;/h5&gt;&lt;/div&gt;&lt;hr/&gt;&lt;div&gt;&lt;h5&gt;&lt;b&gt;Casting Time &lt;/b&gt;1 standard action&lt;/h5&gt;&lt;h5&gt;&lt;b&gt;Components &lt;/b&gt;V, S, M (a copper piece)&lt;/h5&gt;&lt;/div&gt;&lt;hr/&gt;&lt;div&gt;&lt;h5&gt;&lt;b&gt;EFFECT&lt;/b&gt;&lt;/h5&gt;&lt;/div&gt;&lt;hr/&gt;&lt;div&gt;&lt;h5&gt;&lt;b&gt;Range &lt;/b&gt;touch&lt;/h5&gt;&lt;h5&gt;&lt;b&gt;Targets &lt;/b&gt;creature touched&lt;/h5&gt;&lt;h5&gt;&lt;b&gt;Duration &lt;/b&gt;1 hour/level (see text)&lt;/h5&gt;&lt;h5&gt;&lt;b&gt;Saving Throw &lt;/b&gt;Will negates; &lt;b&gt;Spell Resistance &lt;/b&gt;yes&lt;/h5&gt;&lt;/div&gt;&lt;hr/&gt;&lt;div&gt;&lt;h5&gt;&lt;b&gt;DESCRIPTION&lt;/b&gt;&lt;/h5&gt;&lt;/div&gt;&lt;hr/&gt;&lt;div&gt;&lt;h4&gt;&lt;p&gt;You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&lt;i&gt;remove curse&lt;/i&gt; (which can affect up to 50 coins with a single casting) or a similar spell can restore them to their previous material.&lt;/p&gt;&lt;/h4&gt;&lt;/div&gt;</t>
  </si>
  <si>
    <t>Lost Legacy</t>
  </si>
  <si>
    <t>bard 6, cleric/oracle 7, inquisitor 6, occultist 6, psychic 7, sorcerer/wizard 7, witch 6</t>
  </si>
  <si>
    <t>V, S, DF/F (a holy symbol of a dead or forgotten deity, or flag of a fallen or forgotten nation)</t>
  </si>
  <si>
    <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t>
  </si>
  <si>
    <t>&lt;p&gt;You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restored.&lt;/p&gt;</t>
  </si>
  <si>
    <t>&lt;link rel="stylesheet"href="PF.css"&gt;&lt;div class="heading"&gt;&lt;p class="alignleft"&gt;Lost Legacy&lt;/p&gt;&lt;div style="clear: both;"&gt;&lt;/div&gt;&lt;/div&gt;&lt;div&gt;&lt;h5&gt;&lt;b&gt;School &lt;/b&gt;enchantment [curse&lt;sup&gt;UM&lt;/sup&gt;, mind-affecting]; &lt;b&gt;Level &lt;/b&gt;bard 6, cleric/oracle 7, inquisitor 6, occultist 6, psychic 7, sorcerer/wizard 7, witch 6&lt;/h5&gt;&lt;/div&gt;&lt;hr/&gt;&lt;div&gt;&lt;h5&gt;&lt;b&gt;CASTING&lt;/b&gt;&lt;/h5&gt;&lt;/div&gt;&lt;hr/&gt;&lt;div&gt;&lt;h5&gt;&lt;b&gt;Casting Time &lt;/b&gt;1 standard action&lt;/h5&gt;&lt;h5&gt;&lt;b&gt;Components &lt;/b&gt;V, S, DF/F (a holy symbol of a dead or forgotten deity, or flag of a fallen or forgotten nation)&lt;/h5&gt;&lt;/div&gt;&lt;hr/&gt;&lt;div&gt;&lt;h5&gt;&lt;b&gt;EFFECT&lt;/b&gt;&lt;/h5&gt;&lt;/div&gt;&lt;hr/&gt;&lt;div&gt;&lt;h5&gt;&lt;b&gt;Range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restored.&lt;/p&gt;&lt;/h4&gt;&lt;/div&gt;</t>
  </si>
  <si>
    <t>Earsend</t>
  </si>
  <si>
    <t>alchemist 4, sorcerer/wizard 4, witch 4</t>
  </si>
  <si>
    <t>V, S, M (butterfly wing)</t>
  </si>
  <si>
    <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t>
  </si>
  <si>
    <t>&lt;p&gt;You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point.&lt;/p&gt;</t>
  </si>
  <si>
    <t>&lt;link rel="stylesheet"href="PF.css"&gt;&lt;div class="heading"&gt;&lt;p class="alignleft"&gt;Earsend&lt;/p&gt;&lt;div style="clear: both;"&gt;&lt;/div&gt;&lt;/div&gt;&lt;div&gt;&lt;h5&gt;&lt;b&gt;School &lt;/b&gt;necromancy; &lt;b&gt;Level &lt;/b&gt;alchemist 4, sorcerer/wizard 4, witch 4&lt;/h5&gt;&lt;/div&gt;&lt;hr/&gt;&lt;div&gt;&lt;h5&gt;&lt;b&gt;CASTING&lt;/b&gt;&lt;/h5&gt;&lt;/div&gt;&lt;hr/&gt;&lt;div&gt;&lt;h5&gt;&lt;b&gt;Casting Time &lt;/b&gt;1 standard action&lt;/h5&gt;&lt;h5&gt;&lt;b&gt;Components &lt;/b&gt;V, S, M (butterfly wing)&lt;/h5&gt;&lt;/div&gt;&lt;hr/&gt;&lt;div&gt;&lt;h5&gt;&lt;b&gt;EFFECT&lt;/b&gt;&lt;/h5&gt;&lt;/div&gt;&lt;hr/&gt;&lt;div&gt;&lt;h5&gt;&lt;b&gt;Range &lt;/b&gt;close (25 ft. + 5 ft./2 levels)&lt;/h5&gt;&lt;h5&gt;&lt;b&gt;Targets &lt;/b&gt;creature touched&lt;/h5&gt;&lt;h5&gt;&lt;b&gt;Duration &lt;/b&gt;10 minutes/level&lt;/h5&gt;&lt;h5&gt;&lt;b&gt;Saving Throw &lt;/b&gt;Will negates (harmless); &lt;b&gt;Spell Resistance &lt;/b&gt;no&lt;/h5&gt;&lt;/div&gt;&lt;hr/&gt;&lt;div&gt;&lt;h5&gt;&lt;b&gt;DESCRIPTION&lt;/b&gt;&lt;/h5&gt;&lt;/div&gt;&lt;hr/&gt;&lt;div&gt;&lt;h4&gt;&lt;p&gt;You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point.&lt;/p&gt;&lt;/h4&gt;&lt;/div&gt;</t>
  </si>
  <si>
    <t>Hidden Blades</t>
  </si>
  <si>
    <t>alchemist 2, antipaladin 2, bard 2, inquisitor 2, magus 2, sorcerer/wizard 2, summoner 2</t>
  </si>
  <si>
    <t>V, S, M (a shard of glass)</t>
  </si>
  <si>
    <t>weapon or ammunition touched; see text</t>
  </si>
  <si>
    <t>You render a target weapon or up to 50 pieces of ammunition invisible, granting the wielder a +20 bonus on Sleight of Hand checks made to conceal the weapon or ammunition and a +5 circumstance bonus on Bluff checks to feint with the weapon or ammunition.</t>
  </si>
  <si>
    <t>&lt;p&gt;You render a target weapon or up to 50 pieces of ammunition invisible, granting the wielder a +20 bonus on Sleight of Hand checks made to conceal the weapon or ammunition and a +5 circumstance bonus on Bluff checks to feint with the weapon or ammunition.&lt;/p&gt;</t>
  </si>
  <si>
    <t>&lt;link rel="stylesheet"href="PF.css"&gt;&lt;div class="heading"&gt;&lt;p class="alignleft"&gt;Hidden Blades&lt;/p&gt;&lt;div style="clear: both;"&gt;&lt;/div&gt;&lt;/div&gt;&lt;div&gt;&lt;h5&gt;&lt;b&gt;School &lt;/b&gt;illusion (glamer); &lt;b&gt;Level &lt;/b&gt;alchemist 2, antipaladin 2, bard 2, inquisitor 2, magus 2, sorcerer/wizard 2, summoner 2&lt;/h5&gt;&lt;/div&gt;&lt;hr/&gt;&lt;div&gt;&lt;h5&gt;&lt;b&gt;CASTING&lt;/b&gt;&lt;/h5&gt;&lt;/div&gt;&lt;hr/&gt;&lt;div&gt;&lt;h5&gt;&lt;b&gt;Casting Time &lt;/b&gt;1 standard action&lt;/h5&gt;&lt;h5&gt;&lt;b&gt;Components &lt;/b&gt;V, S, M (a shard of glass)&lt;/h5&gt;&lt;/div&gt;&lt;hr/&gt;&lt;div&gt;&lt;h5&gt;&lt;b&gt;EFFECT&lt;/b&gt;&lt;/h5&gt;&lt;/div&gt;&lt;hr/&gt;&lt;div&gt;&lt;h5&gt;&lt;b&gt;Range &lt;/b&gt;touch&lt;/h5&gt;&lt;h5&gt;&lt;b&gt;Targets &lt;/b&gt;weapon or ammunition touched; see text&lt;/h5&gt;&lt;h5&gt;&lt;b&gt;Duration &lt;/b&gt;10 minutes/level&lt;/h5&gt;&lt;h5&gt;&lt;b&gt;Saving Throw &lt;/b&gt;Will negates (harmless, object); &lt;b&gt;Spell Resistance &lt;/b&gt;yes (harmless, object)&lt;/h5&gt;&lt;/div&gt;&lt;hr/&gt;&lt;div&gt;&lt;h5&gt;&lt;b&gt;DESCRIPTION&lt;/b&gt;&lt;/h5&gt;&lt;/div&gt;&lt;hr/&gt;&lt;div&gt;&lt;h4&gt;&lt;p&gt;You render a target weapon or up to 50 pieces of ammunition invisible, granting the wielder a +20 bonus on Sleight of Hand checks made to conceal the weapon or ammunition and a +5 circumstance bonus on Bluff checks to feint with the weapon or ammunition.&lt;/p&gt;&lt;/h4&gt;&lt;/div&gt;</t>
  </si>
  <si>
    <t>Impenetrable Veil</t>
  </si>
  <si>
    <t>bard 6, mesmerist 6, psychic 9, sorcerer/wizard 9, spiritualist 6, witch 9</t>
  </si>
  <si>
    <t>V, S, M (dust from the Dimension of Dreams worth 1,250 gp)</t>
  </si>
  <si>
    <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crystal ball), that creature must succeed at a caster level check with a DC equal to the target's Stealth bonus to discern any information about the target, and on a failed check cannot do so for the spell's duration.</t>
  </si>
  <si>
    <t>&lt;p&gt;You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&lt;i&gt;crystal&lt;/i&gt; ball), that creature must succeed at a caster level check with a DC equal to the target's Stealth bonus to discern any information about the target, and on a failed check cannot do so for the spell's duration.&lt;/p&gt;</t>
  </si>
  <si>
    <t>&lt;link rel="stylesheet"href="PF.css"&gt;&lt;div class="heading"&gt;&lt;p class="alignleft"&gt;Impenetrable Veil&lt;/p&gt;&lt;div style="clear: both;"&gt;&lt;/div&gt;&lt;/div&gt;&lt;div&gt;&lt;h5&gt;&lt;b&gt;School &lt;/b&gt;abjuration; &lt;b&gt;Level &lt;/b&gt;bard 6, mesmerist 6, psychic 9, sorcerer/wizard 9, spiritualist 6, witch 9&lt;/h5&gt;&lt;/div&gt;&lt;hr/&gt;&lt;div&gt;&lt;h5&gt;&lt;b&gt;CASTING&lt;/b&gt;&lt;/h5&gt;&lt;/div&gt;&lt;hr/&gt;&lt;div&gt;&lt;h5&gt;&lt;b&gt;Casting Time &lt;/b&gt;1 standard action&lt;/h5&gt;&lt;h5&gt;&lt;b&gt;Components &lt;/b&gt;V, S, M (dust from the Dimension of Dreams worth 1,250 gp)&lt;/h5&gt;&lt;/div&gt;&lt;hr/&gt;&lt;div&gt;&lt;h5&gt;&lt;b&gt;EFFECT&lt;/b&gt;&lt;/h5&gt;&lt;/div&gt;&lt;hr/&gt;&lt;div&gt;&lt;h5&gt;&lt;b&gt;Range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&lt;i&gt;crystal&lt;/i&gt; ball), that creature must succeed at a caster level check with a DC equal to the target's Stealth bonus to discern any information about the target, and on a failed check cannot do so for the spell's duration.&lt;/p&gt;&lt;/h4&gt;&lt;/div&gt;</t>
  </si>
  <si>
    <t>Innocuous Shape</t>
  </si>
  <si>
    <t>alchemist 4, psychic 4, shaman 4, sorcerer/wizard 4, witch 4</t>
  </si>
  <si>
    <t>V, S, M (a handful of dandelion seeds)</t>
  </si>
  <si>
    <t>This spell transforms a creature into a Medium or smaller animal or humanoid of no more than 1 Hit Die. If you use this spell to cause the target to take on the form of an animal, the spell functions as beast shape II. If the form is that of a humanoid, the spell can function as alter self, youthful appearanceUM, or both, such that you can transform a creature into a generic, youthful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t>
  </si>
  <si>
    <t>&lt;p&gt;This spell transforms a creature into a Medium or smaller animal or humanoid of no more than 1 Hit Die. If you use this spell to cause the target to take on the form of an animal, the spell functions as &lt;i&gt;beast shape II&lt;/i&gt;. If the form is that of a humanoid, the spell can function as &lt;i&gt;alter self&lt;/i&gt;, &lt;i&gt;youthful&lt;/i&gt; appearanceUM, or both, such that you can transform a creature into a generic, &lt;i&gt;youthful&lt;/i&gt;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otherwise.&lt;/p&gt;</t>
  </si>
  <si>
    <t>&lt;link rel="stylesheet"href="PF.css"&gt;&lt;div class="heading"&gt;&lt;p class="alignleft"&gt;Innocuous Shape&lt;/p&gt;&lt;div style="clear: both;"&gt;&lt;/div&gt;&lt;/div&gt;&lt;div&gt;&lt;h5&gt;&lt;b&gt;School &lt;/b&gt;transmutation (polymorph); &lt;b&gt;Level &lt;/b&gt;alchemist 4, psychic 4, shaman 4, sorcerer/wizard 4, witch 4&lt;/h5&gt;&lt;/div&gt;&lt;hr/&gt;&lt;div&gt;&lt;h5&gt;&lt;b&gt;CASTING&lt;/b&gt;&lt;/h5&gt;&lt;/div&gt;&lt;hr/&gt;&lt;div&gt;&lt;h5&gt;&lt;b&gt;Casting Time &lt;/b&gt;1 standard action&lt;/h5&gt;&lt;h5&gt;&lt;b&gt;Components &lt;/b&gt;V, S, M (a handful of dandelion seeds)&lt;/h5&gt;&lt;/div&gt;&lt;hr/&gt;&lt;div&gt;&lt;h5&gt;&lt;b&gt;EFFECT&lt;/b&gt;&lt;/h5&gt;&lt;/div&gt;&lt;hr/&gt;&lt;div&gt;&lt;h5&gt;&lt;b&gt;Range &lt;/b&gt;touch&lt;/h5&gt;&lt;h5&gt;&lt;b&gt;Targets &lt;/b&gt;living creature touched&lt;/h5&gt;&lt;h5&gt;&lt;b&gt;Duration &lt;/b&gt;1 minute/level (D)&lt;/h5&gt;&lt;h5&gt;&lt;b&gt;Saving Throw &lt;/b&gt;Will negates (harmless); &lt;b&gt;Spell Resistance &lt;/b&gt;yes (harmless)&lt;/h5&gt;&lt;/div&gt;&lt;hr/&gt;&lt;div&gt;&lt;h5&gt;&lt;b&gt;DESCRIPTION&lt;/b&gt;&lt;/h5&gt;&lt;/div&gt;&lt;hr/&gt;&lt;div&gt;&lt;h4&gt;&lt;p&gt;This spell transforms a creature into a Medium or smaller animal or humanoid of no more than 1 Hit Die. If you use this spell to cause the target to take on the form of an animal, the spell functions as &lt;i&gt;beast shape II&lt;/i&gt;. If the form is that of a humanoid, the spell can function as &lt;i&gt;alter self&lt;/i&gt;, &lt;i&gt;youthful&lt;/i&gt; appearanceUM, or both, such that you can transform a creature into a generic, &lt;i&gt;youthful&lt;/i&gt;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otherwise.&lt;/p&gt;&lt;/h4&gt;&lt;/div&gt;</t>
  </si>
  <si>
    <t>Nondetection, Lesser</t>
  </si>
  <si>
    <t>alchemist 2, antipaladin 2, inquisitor 2, ranger 3, sorcerer/wizard 2, summoner 2</t>
  </si>
  <si>
    <t>This spell functions like nondetection, except it blocks the effects of only divination spells and effects that target an area, rather than you or an object in your possession specifically. For example, lesser nondetection doesn't ward you against a spellcaster who is attempting to scry on you with the scrying spell or find an object in your possession with locate object, but it does protect  you against effects that target an area you happen to be in, such as detect spells or clairaudience/clairvoyance.</t>
  </si>
  <si>
    <t>&lt;p&gt;This spell functions like &lt;i&gt;nondetection&lt;/i&gt;, except it blocks the effects of only divination spells and effects that target an area, rather than you or an object in your possession specifically. For example, lesser &lt;i&gt;nondetection&lt;/i&gt; doesn't ward you against a spellcaster who is attempting to scry on you with the &lt;i&gt;scrying&lt;/i&gt; spell or find an object in your possession with &lt;i&gt;locate object&lt;/i&gt;, but it does protect  you against effects that target an area you happen to be in, such as detect spells or &lt;i&gt;clairaudience/clairvoyance&lt;/i&gt;.&lt;/p&gt;</t>
  </si>
  <si>
    <t>&lt;link rel="stylesheet"href="PF.css"&gt;&lt;div class="heading"&gt;&lt;p class="alignleft"&gt;Nondetection, Lesser&lt;/p&gt;&lt;div style="clear: both;"&gt;&lt;/div&gt;&lt;/div&gt;&lt;div&gt;&lt;h5&gt;&lt;b&gt;School &lt;/b&gt;abjuration; &lt;b&gt;Level &lt;/b&gt;alchemist 2, antipaladin 2, inquisitor 2, ranger 3, sorcerer/wizard 2, summoner 2&lt;/h5&gt;&lt;/div&gt;&lt;hr/&gt;&lt;div&gt;&lt;h5&gt;&lt;b&gt;CASTING&lt;/b&gt;&lt;/h5&gt;&lt;/div&gt;&lt;hr/&gt;&lt;div&gt;&lt;h5&gt;&lt;b&gt;Casting Time &lt;/b&gt;1 standard action&lt;/h5&gt;&lt;h5&gt;&lt;b&gt;Components &lt;/b&gt;V, S, M (a drop of mercury)&lt;/h5&gt;&lt;/div&gt;&lt;hr/&gt;&lt;div&gt;&lt;h5&gt;&lt;b&gt;EFFECT&lt;/b&gt;&lt;/h5&gt;&lt;/div&gt;&lt;hr/&gt;&lt;div&gt;&lt;h5&gt;&lt;b&gt;Range &lt;/b&gt;close (25 ft. + 5 ft./2 levels)&lt;/h5&gt;&lt;h5&gt;&lt;b&gt;Targets &lt;/b&gt;creature touched&lt;/h5&gt;&lt;h5&gt;&lt;b&gt;Duration &lt;/b&gt;1 minute/level&lt;/h5&gt;&lt;h5&gt;&lt;b&gt;Saving Throw &lt;/b&gt;Will negates (harmless); &lt;b&gt;Spell Resistance &lt;/b&gt;no&lt;/h5&gt;&lt;/div&gt;&lt;hr/&gt;&lt;div&gt;&lt;h5&gt;&lt;b&gt;DESCRIPTION&lt;/b&gt;&lt;/h5&gt;&lt;/div&gt;&lt;hr/&gt;&lt;div&gt;&lt;h4&gt;&lt;p&gt;This spell functions like &lt;i&gt;nondetection&lt;/i&gt;, except it blocks the effects of only divination spells and effects that target an area, rather than you or an object in your possession specifically. For example, lesser &lt;i&gt;nondetection&lt;/i&gt; doesn't ward you against a spellcaster who is attempting to scry on you with the &lt;i&gt;scrying&lt;/i&gt; spell or find an object in your possession with &lt;i&gt;locate object&lt;/i&gt;, but it does protect  you against effects that target an area you happen to be in, such as detect spells or &lt;i&gt;clairaudience/clairvoyance&lt;/i&gt;.&lt;/p&gt;&lt;/h4&gt;&lt;/div&gt;</t>
  </si>
  <si>
    <t>Phantasmal Reminder</t>
  </si>
  <si>
    <t>antipaladin 3, bard 4, mesmerist 3, psychic 3, shaman 4, sorcerer/wizard 3, witch 3</t>
  </si>
  <si>
    <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shield other spell).  If the target of a phantasmal reminder attack succeeds at the Will save to disbelieve the memory loop and either has natural telepathy or is wearing a helm of telepathy, the memory of damage automatically rebounds to affect you. You must immediately attempt a Will save to disbelieve; if you fail, you take half the spell's damage yourself.</t>
  </si>
  <si>
    <t>&lt;p&gt;You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&lt;i&gt;shield other&lt;/i&gt; spell).  If the target of a &lt;i&gt;phantasmal reminder&lt;/i&gt; attack succeeds at the Will save to disbelieve the memory loop and either has natural telepathy or is wearing a &lt;i&gt;helm of telepathy&lt;/i&gt;, the memory of damage automatically rebounds to affect you. You must immediately attempt a Will save to disbelieve; if you fail, you take half the spell's damage yourself.&lt;/p&gt;</t>
  </si>
  <si>
    <t>&lt;link rel="stylesheet"href="PF.css"&gt;&lt;div class="heading"&gt;&lt;p class="alignleft"&gt;Phantasmal Reminder&lt;/p&gt;&lt;div style="clear: both;"&gt;&lt;/div&gt;&lt;/div&gt;&lt;div&gt;&lt;h5&gt;&lt;b&gt;School &lt;/b&gt;illusion (phantasm) [mind-affecting]; &lt;b&gt;Level &lt;/b&gt;antipaladin 3, bard 4, mesmerist 3, psychic 3, shaman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 (see text)&lt;/h5&gt;&lt;h5&gt;&lt;b&gt;Saving Throw &lt;/b&gt;Will disbelief, then Fortitude partial; see text; &lt;b&gt;Spell Resistance &lt;/b&gt;yes&lt;/h5&gt;&lt;/div&gt;&lt;hr/&gt;&lt;div&gt;&lt;h5&gt;&lt;b&gt;DESCRIPTION&lt;/b&gt;&lt;/h5&gt;&lt;/div&gt;&lt;hr/&gt;&lt;div&gt;&lt;h4&gt;&lt;p&gt;You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&lt;i&gt;shield other&lt;/i&gt; spell).  If the target of a &lt;i&gt;phantasmal reminder&lt;/i&gt; attack succeeds at the Will save to disbelieve the memory loop and either has natural telepathy or is wearing a &lt;i&gt;helm of telepathy&lt;/i&gt;, the memory of damage automatically rebounds to affect you. You must immediately attempt a Will save to disbelieve; if you fail, you take half the spell's damage yourself.&lt;/p&gt;&lt;/h4&gt;&lt;/div&gt;</t>
  </si>
  <si>
    <t>Symbol Of Distraction</t>
  </si>
  <si>
    <t>bard 6, cleric/oracle 6, mesmerist 6, occultist 4, psychic 6, sorcerer/wizard 6, witch 6</t>
  </si>
  <si>
    <t>0 feet; see text</t>
  </si>
  <si>
    <t>This spell functions like symbol of death, except that all creatures within the radius of a symbol of distraction instead become fascinated by the symbol for 10 minutes per caster level. Unlike symbol of death, symbol of distraction has no hit point limit; once triggered, a symbol of distraction simply remains active for a duration of 10 minutes x your caster level. All fascinated creatures move toward the symbol of distraction,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t>
  </si>
  <si>
    <t>&lt;p&gt;This spell functions like &lt;i&gt;symbol of death&lt;/i&gt;, except that all creatures within the radius of a &lt;i&gt;symbol of distraction&lt;/i&gt; instead become fascinated by the symbol for 10 minutes per caster level. Unlike &lt;i&gt;symbol of death&lt;/i&gt;, &lt;i&gt;symbol of distraction&lt;/i&gt; has no hit point limit; once triggered, a &lt;i&gt;symbol of distraction&lt;/i&gt; simply remains active for a duration of 10 minutes x your caster level. All fascinated creatures move toward the &lt;i&gt;symbol of distraction&lt;/i&gt;,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effect.&lt;/p&gt;</t>
  </si>
  <si>
    <t>&lt;link rel="stylesheet"href="PF.css"&gt;&lt;div class="heading"&gt;&lt;p class="alignleft"&gt;Symbol Of Distraction&lt;/p&gt;&lt;div style="clear: both;"&gt;&lt;/div&gt;&lt;/div&gt;&lt;div&gt;&lt;h5&gt;&lt;b&gt;School &lt;/b&gt;enchantment (compulsion) [mind-affecting]; &lt;b&gt;Level &lt;/b&gt;bard 6, cleric/oracle 6, mesmerist 6, occultist 4, psychic 6, sorcerer/wizard 6, witch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feet;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&lt;i&gt;symbol of death&lt;/i&gt;, except that all creatures within the radius of a &lt;i&gt;symbol of distraction&lt;/i&gt; instead become fascinated by the symbol for 10 minutes per caster level. Unlike &lt;i&gt;symbol of death&lt;/i&gt;, &lt;i&gt;symbol of distraction&lt;/i&gt; has no hit point limit; once triggered, a &lt;i&gt;symbol of distraction&lt;/i&gt; simply remains active for a duration of 10 minutes x your caster level. All fascinated creatures move toward the &lt;i&gt;symbol of distraction&lt;/i&gt;,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effect.&lt;/p&gt;&lt;/h4&gt;&lt;/div&gt;</t>
  </si>
  <si>
    <t>Touch Of Slumber</t>
  </si>
  <si>
    <t>bard 6, cleric/oracle 5, druid 5, psychic 6, shaman 5, sorcerer/wizard 5, witch 6</t>
  </si>
  <si>
    <t>V, S, M (a bit of seaweed)</t>
  </si>
  <si>
    <t>nonhostile creature touched</t>
  </si>
  <si>
    <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t>
  </si>
  <si>
    <t>&lt;p&gt;This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action).&lt;/p&gt;</t>
  </si>
  <si>
    <t>&lt;link rel="stylesheet"href="PF.css"&gt;&lt;div class="heading"&gt;&lt;p class="alignleft"&gt;Touch Of Slumber&lt;/p&gt;&lt;div style="clear: both;"&gt;&lt;/div&gt;&lt;/div&gt;&lt;div&gt;&lt;h5&gt;&lt;b&gt;School &lt;/b&gt;enchantment (compulsion) [mind-affecting]; &lt;b&gt;Level &lt;/b&gt;bard 6, cleric/oracle 5, druid 5, psychic 6, shaman 5, sorcerer/wizard 5, witch 6&lt;/h5&gt;&lt;/div&gt;&lt;hr/&gt;&lt;div&gt;&lt;h5&gt;&lt;b&gt;CASTING&lt;/b&gt;&lt;/h5&gt;&lt;/div&gt;&lt;hr/&gt;&lt;div&gt;&lt;h5&gt;&lt;b&gt;Casting Time &lt;/b&gt;1 standard action&lt;/h5&gt;&lt;h5&gt;&lt;b&gt;Components &lt;/b&gt;V, S, M (a bit of seaweed)&lt;/h5&gt;&lt;/div&gt;&lt;hr/&gt;&lt;div&gt;&lt;h5&gt;&lt;b&gt;EFFECT&lt;/b&gt;&lt;/h5&gt;&lt;/div&gt;&lt;hr/&gt;&lt;div&gt;&lt;h5&gt;&lt;b&gt;Range &lt;/b&gt;touch&lt;/h5&gt;&lt;h5&gt;&lt;b&gt;Targets &lt;/b&gt;nonhostile creature touched&lt;/h5&gt;&lt;h5&gt;&lt;b&gt;Duration &lt;/b&gt;instantaneous&lt;/h5&gt;&lt;h5&gt;&lt;b&gt;Saving Throw &lt;/b&gt;Will negates; &lt;b&gt;Spell Resistance &lt;/b&gt;yes&lt;/h5&gt;&lt;/div&gt;&lt;hr/&gt;&lt;div&gt;&lt;h5&gt;&lt;b&gt;DESCRIPTION&lt;/b&gt;&lt;/h5&gt;&lt;/div&gt;&lt;hr/&gt;&lt;div&gt;&lt;h4&gt;&lt;p&gt;This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action).&lt;/p&gt;&lt;/h4&gt;&lt;/div&gt;</t>
  </si>
  <si>
    <t>Apathy</t>
  </si>
  <si>
    <t>bard 4, mesmerist 4, psychic 5, sorcerer/wizard 5, witch 5</t>
  </si>
  <si>
    <t>S, V, M (a shiny bead)</t>
  </si>
  <si>
    <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apathy,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t>
  </si>
  <si>
    <t>&lt;p&gt;You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&lt;i&gt;apathy&lt;/i&gt;,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ends.&lt;/p&gt;</t>
  </si>
  <si>
    <t>Inner Sea Intrigue</t>
  </si>
  <si>
    <t>&lt;link rel="stylesheet"href="PF.css"&gt;&lt;div class="heading"&gt;&lt;p class="alignleft"&gt;Apathy&lt;/p&gt;&lt;div style="clear: both;"&gt;&lt;/div&gt;&lt;/div&gt;&lt;div&gt;&lt;h5&gt;&lt;b&gt;School &lt;/b&gt;enchantment (compulsion) [emotion&lt;sup&gt;UM&lt;/sup&gt;, mind-affecting]; &lt;b&gt;Level &lt;/b&gt;bard 4, mesmerist 4, psychic 5, sorcerer/wizard 5, witch 5&lt;/h5&gt;&lt;/div&gt;&lt;hr/&gt;&lt;div&gt;&lt;h5&gt;&lt;b&gt;CASTING&lt;/b&gt;&lt;/h5&gt;&lt;/div&gt;&lt;hr/&gt;&lt;div&gt;&lt;h5&gt;&lt;b&gt;Casting Time &lt;/b&gt;1 standard action&lt;/h5&gt;&lt;h5&gt;&lt;b&gt;Components &lt;/b&gt;S, V, M (a shiny bead)&lt;/h5&gt;&lt;/div&gt;&lt;hr/&gt;&lt;div&gt;&lt;h5&gt;&lt;b&gt;EFFECT&lt;/b&gt;&lt;/h5&gt;&lt;/div&gt;&lt;hr/&gt;&lt;div&gt;&lt;h5&gt;&lt;b&gt;Range &lt;/b&gt;long (400 ft. + 40 ft./level)&lt;/h5&gt;&lt;h5&gt;&lt;b&gt;Targets &lt;/b&gt;one creature&lt;/h5&gt;&lt;h5&gt;&lt;b&gt;Duration &lt;/b&gt;1 hour/level&lt;/h5&gt;&lt;h5&gt;&lt;b&gt;Saving Throw &lt;/b&gt;Will negates; &lt;b&gt;Spell Resistance &lt;/b&gt;yes&lt;/h5&gt;&lt;/div&gt;&lt;hr/&gt;&lt;div&gt;&lt;h5&gt;&lt;b&gt;DESCRIPTION&lt;/b&gt;&lt;/h5&gt;&lt;/div&gt;&lt;hr/&gt;&lt;div&gt;&lt;h4&gt;&lt;p&gt;You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&lt;i&gt;apathy&lt;/i&gt;,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ends.&lt;/p&gt;&lt;/h4&gt;&lt;/div&gt;</t>
  </si>
  <si>
    <t>Assumed Likeness</t>
  </si>
  <si>
    <t>bard 1, magus 2, medium 1, mesmerist 1, occultist 2, psychic 2, sorcerer/wizard 2</t>
  </si>
  <si>
    <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disguise self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Emotion Effect  Fear +4 bonus on Intimidate checks  Hate +2 bonus on attack rolls, -2 penalty to AC  Lust +4 bonus on Sleight of Hand checks  Respect +4 bonus on Diplomacy checks  Trust +4 bonus on Bluff checks</t>
  </si>
  <si>
    <t>&lt;p&gt;You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&lt;i&gt;disguise self&lt;/i&gt;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&lt;table border ='1'&gt;&lt;tr&gt;&lt;th&gt;Emotion&lt;/th&gt;&lt;th&gt;Effect&lt;/th&gt;&lt;/tr&gt;&lt;tr&gt;&lt;td&gt;Fear&lt;/td&gt;&lt;td&gt;+4 bonus on Intimidate checks&lt;/td&gt;&lt;/tr&gt;&lt;tr&gt;&lt;td&gt;Hate&lt;/td&gt;&lt;td&gt;+2 bonus on attack rolls, -2 penalty to AC&lt;/td&gt;&lt;/tr&gt;&lt;tr&gt;&lt;td&gt;Lust&lt;/td&gt;&lt;td&gt;+4 bonus on Sleight of Hand checks&lt;/td&gt;&lt;/tr&gt;&lt;tr&gt;&lt;td&gt;Respect&lt;/td&gt;&lt;td&gt;+4 bonus on Diplomacy checks&lt;/td&gt;&lt;/tr&gt;&lt;tr&gt;&lt;td&gt;Trust&lt;/td&gt;&lt;td&gt;+4 bonus on Bluff checks&lt;/td&gt;&lt;/tr&gt;&lt;/table&gt;   &lt;/p&gt;</t>
  </si>
  <si>
    <t>&lt;link rel="stylesheet"href="PF.css"&gt;&lt;div class="heading"&gt;&lt;p class="alignleft"&gt;Assumed Likeness&lt;/p&gt;&lt;div style="clear: both;"&gt;&lt;/div&gt;&lt;/div&gt;&lt;div&gt;&lt;h5&gt;&lt;b&gt;School &lt;/b&gt;illusion (phantasm) [emotion&lt;sup&gt;UM&lt;/sup&gt;, mind-affecting]; &lt;b&gt;Level &lt;/b&gt;bard 1, magus 2, medium 1, mesmerist 1, occultist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&lt;/b&gt;10 minutes/level (D)&lt;/h5&gt;&lt;h5&gt;&lt;b&gt;Saving Throw &lt;/b&gt;Will disbelief; &lt;b&gt;Spell Resistance &lt;/b&gt;yes&lt;/h5&gt;&lt;/div&gt;&lt;hr/&gt;&lt;div&gt;&lt;h5&gt;&lt;b&gt;DESCRIPTION&lt;/b&gt;&lt;/h5&gt;&lt;/div&gt;&lt;hr/&gt;&lt;div&gt;&lt;h4&gt;&lt;p&gt;You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&lt;i&gt;disguise self&lt;/i&gt;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&lt;table border ='1'&gt;&lt;tr&gt;&lt;th&gt;Emotion&lt;/th&gt;&lt;th&gt;Effect&lt;/th&gt;&lt;/tr&gt;&lt;tr&gt;&lt;td&gt;Fear&lt;/td&gt;&lt;td&gt;+4 bonus on Intimidate checks&lt;/td&gt;&lt;/tr&gt;&lt;tr&gt;&lt;td&gt;Hate&lt;/td&gt;&lt;td&gt;+2 bonus on attack rolls, -2 penalty to AC&lt;/td&gt;&lt;/tr&gt;&lt;tr&gt;&lt;td&gt;Lust&lt;/td&gt;&lt;td&gt;+4 bonus on Sleight of Hand checks&lt;/td&gt;&lt;/tr&gt;&lt;tr&gt;&lt;td&gt;Respect&lt;/td&gt;&lt;td&gt;+4 bonus on Diplomacy checks&lt;/td&gt;&lt;/tr&gt;&lt;tr&gt;&lt;td&gt;Trust&lt;/td&gt;&lt;td&gt;+4 bonus on Bluff checks&lt;/td&gt;&lt;/tr&gt;&lt;/table&gt;   &lt;/p&gt;&lt;/h4&gt;&lt;/div&gt;</t>
  </si>
  <si>
    <t>Calistria's Guardian Wasps</t>
  </si>
  <si>
    <t>druid 3, psychic 3, ranger 3, sorcerer/wizard 3</t>
  </si>
  <si>
    <t>V, S, M (a glob of spiced honey)</t>
  </si>
  <si>
    <t>swarm of wasps that builds a nest; see text</t>
  </si>
  <si>
    <t>You summon a wasp swarm (Pathfinder RPG Bestiary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alarm,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t>
  </si>
  <si>
    <t>&lt;p&gt;You summon a wasp swarm (&lt;i&gt;Pathfinder RPG Bestiary&lt;/i&gt;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&lt;i&gt;alarm&lt;/i&gt;,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disappear.&lt;/p&gt;</t>
  </si>
  <si>
    <t>&lt;link rel="stylesheet"href="PF.css"&gt;&lt;div class="heading"&gt;&lt;p class="alignleft"&gt;Calistria's Guardian Wasps&lt;/p&gt;&lt;div style="clear: both;"&gt;&lt;/div&gt;&lt;/div&gt;&lt;div&gt;&lt;h5&gt;&lt;b&gt;School &lt;/b&gt;conjuration (summoning); &lt;b&gt;Level &lt;/b&gt;druid 3, psychic 3, ranger 3, sorcerer/wizard 3&lt;/h5&gt;&lt;/div&gt;&lt;hr/&gt;&lt;div&gt;&lt;h5&gt;&lt;b&gt;CASTING&lt;/b&gt;&lt;/h5&gt;&lt;/div&gt;&lt;hr/&gt;&lt;div&gt;&lt;h5&gt;&lt;b&gt;Casting Time &lt;/b&gt;10 minutes; see text&lt;/h5&gt;&lt;h5&gt;&lt;b&gt;Components &lt;/b&gt;V, S, M (a glob of spiced honey)&lt;/h5&gt;&lt;/div&gt;&lt;hr/&gt;&lt;div&gt;&lt;h5&gt;&lt;b&gt;EFFECT&lt;/b&gt;&lt;/h5&gt;&lt;/div&gt;&lt;hr/&gt;&lt;div&gt;&lt;h5&gt;&lt;b&gt;Range &lt;/b&gt;close (25 ft. + 5 ft./2 levels)&lt;/h5&gt;&lt;h5&gt;&lt;b&gt;Effect &lt;/b&gt;swarm of wasps that builds a nest; see text&lt;/h5&gt;&lt;h5&gt;&lt;b&gt;Duration &lt;/b&gt;1 day/level&lt;/h5&gt;&lt;h5&gt;&lt;b&gt;Saving Throw &lt;/b&gt;none; &lt;b&gt;Spell Resistance &lt;/b&gt;no&lt;/h5&gt;&lt;/div&gt;&lt;hr/&gt;&lt;div&gt;&lt;h5&gt;&lt;b&gt;DESCRIPTION&lt;/b&gt;&lt;/h5&gt;&lt;/div&gt;&lt;hr/&gt;&lt;div&gt;&lt;h4&gt;&lt;p&gt;You summon a wasp swarm (&lt;i&gt;Pathfinder RPG Bestiary&lt;/i&gt;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&lt;i&gt;alarm&lt;/i&gt;,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disappear.&lt;/p&gt;&lt;/h4&gt;&lt;/div&gt;</t>
  </si>
  <si>
    <t>Commune With Texts</t>
  </si>
  <si>
    <t>bard 5, cleric/oracle 6, inquisitor 6, medium 4, occultist 4, psychic 6, sorcerer/wizard 5, spiritualist 6</t>
  </si>
  <si>
    <t>V, S, M (incense worth 250 gp)</t>
  </si>
  <si>
    <t>a collection of texts</t>
  </si>
  <si>
    <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(Pathfinder RPG Ultimate Intrigue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stone tell.</t>
  </si>
  <si>
    <t>&lt;p&gt;You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(&lt;i&gt;Pathfinder RPG Ultimate Intrigue&lt;/i&gt;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&lt;i&gt;stone tell&lt;/i&gt;.&lt;/p&gt;</t>
  </si>
  <si>
    <t>&lt;link rel="stylesheet"href="PF.css"&gt;&lt;div class="heading"&gt;&lt;p class="alignleft"&gt;Commune With Texts&lt;/p&gt;&lt;div style="clear: both;"&gt;&lt;/div&gt;&lt;/div&gt;&lt;div&gt;&lt;h5&gt;&lt;b&gt;School &lt;/b&gt;divination; &lt;b&gt;Level &lt;/b&gt;bard 5, cleric/oracle 6, inquisitor 6, medium 4, occultist 4, psychic 6, sorcerer/wizard 5, spiritualist 6&lt;/h5&gt;&lt;/div&gt;&lt;hr/&gt;&lt;div&gt;&lt;h5&gt;&lt;b&gt;CASTING&lt;/b&gt;&lt;/h5&gt;&lt;/div&gt;&lt;hr/&gt;&lt;div&gt;&lt;h5&gt;&lt;b&gt;Casting Time &lt;/b&gt;1 minute&lt;/h5&gt;&lt;h5&gt;&lt;b&gt;Components &lt;/b&gt;V, S, M (incense worth 250 gp)&lt;/h5&gt;&lt;/div&gt;&lt;hr/&gt;&lt;div&gt;&lt;h5&gt;&lt;b&gt;EFFECT&lt;/b&gt;&lt;/h5&gt;&lt;/div&gt;&lt;hr/&gt;&lt;div&gt;&lt;h5&gt;&lt;b&gt;Range &lt;/b&gt;close (25 ft. + 5 ft./2 levels)&lt;/h5&gt;&lt;h5&gt;&lt;b&gt;Targets &lt;/b&gt;a collection of texts&lt;/h5&gt;&lt;h5&gt;&lt;b&gt;Duration &lt;/b&gt;1 hour/level&lt;/h5&gt;&lt;/div&gt;&lt;hr/&gt;&lt;div&gt;&lt;h5&gt;&lt;b&gt;DESCRIPTION&lt;/b&gt;&lt;/h5&gt;&lt;/div&gt;&lt;hr/&gt;&lt;div&gt;&lt;h4&gt;&lt;p&gt;You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(&lt;i&gt;Pathfinder RPG Ultimate Intrigue&lt;/i&gt;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&lt;i&gt;stone tell&lt;/i&gt;.&lt;/p&gt;&lt;/h4&gt;&lt;/div&gt;</t>
  </si>
  <si>
    <t>Daggermark's Exchange</t>
  </si>
  <si>
    <t>alchemist 2, cleric/oracle 3, druid 2, occultist 3, psychic 3, sorcerer/wizard 3</t>
  </si>
  <si>
    <t>V, S, M (a dose of poison)</t>
  </si>
  <si>
    <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t>
  </si>
  <si>
    <t>&lt;p&gt;You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price.&lt;/p&gt;</t>
  </si>
  <si>
    <t>&lt;link rel="stylesheet"href="PF.css"&gt;&lt;div class="heading"&gt;&lt;p class="alignleft"&gt;Daggermark's Exchange&lt;/p&gt;&lt;div style="clear: both;"&gt;&lt;/div&gt;&lt;/div&gt;&lt;div&gt;&lt;h5&gt;&lt;b&gt;School &lt;/b&gt;transmutation [poison&lt;sup&gt;UM&lt;/sup&gt;]; &lt;b&gt;Level &lt;/b&gt;alchemist 2, cleric/oracle 3, druid 2, occultist 3, psychic 3, sorcerer/wizard 3&lt;/h5&gt;&lt;/div&gt;&lt;hr/&gt;&lt;div&gt;&lt;h5&gt;&lt;b&gt;CASTING&lt;/b&gt;&lt;/h5&gt;&lt;/div&gt;&lt;hr/&gt;&lt;div&gt;&lt;h5&gt;&lt;b&gt;Casting Time &lt;/b&gt;1 standard action&lt;/h5&gt;&lt;h5&gt;&lt;b&gt;Components &lt;/b&gt;V, S, M (a dose of poison)&lt;/h5&gt;&lt;/div&gt;&lt;hr/&gt;&lt;div&gt;&lt;h5&gt;&lt;b&gt;EFFECT&lt;/b&gt;&lt;/h5&gt;&lt;/div&gt;&lt;hr/&gt;&lt;div&gt;&lt;h5&gt;&lt;b&gt;Range &lt;/b&gt;personal&lt;/h5&gt;&lt;h5&gt;&lt;b&gt;Targets &lt;/b&gt;you&lt;/h5&gt;&lt;h5&gt;&lt;b&gt;Duration &lt;/b&gt;instantaneous&lt;/h5&gt;&lt;/div&gt;&lt;hr/&gt;&lt;div&gt;&lt;h5&gt;&lt;b&gt;DESCRIPTION&lt;/b&gt;&lt;/h5&gt;&lt;/div&gt;&lt;hr/&gt;&lt;div&gt;&lt;h4&gt;&lt;p&gt;You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price.&lt;/p&gt;&lt;/h4&gt;&lt;/div&gt;</t>
  </si>
  <si>
    <t>Diminished Detection</t>
  </si>
  <si>
    <t>S, V, M (a piece of wool)</t>
  </si>
  <si>
    <t>You can avoid being detected when you are on the edges of some divination spells' ranges. Whenever you would normally be within the area of effect of a detection spell (such as detect magic, detect evil, or detect undead), the area of effect is reduced by half for the purposes of the spell's caster detecting you or your possessions. The caster of the detect spell is unaware of this reduction in her spell's range; she simply does not detect you.</t>
  </si>
  <si>
    <t>&lt;p&gt;You can avoid being &lt;i&gt;detect&lt;/i&gt;ed when you are on the edges of some divination spells' ranges. Whenever you would normally be within the area of effect of a &lt;i&gt;detect&lt;/i&gt;ion spell (such as &lt;i&gt;&lt;i&gt;detect&lt;/i&gt; magic&lt;/i&gt;, &lt;i&gt;&lt;i&gt;detect&lt;/i&gt; evil&lt;/i&gt;, or &lt;i&gt;detect&lt;/i&gt; undead), the area of effect is reduced by half for the purposes of the spell's caster &lt;i&gt;detect&lt;/i&gt;ing you or your possessions. The caster of the &lt;i&gt;detect&lt;/i&gt; spell is unaware of this reduction in her spell's range; she simply does not &lt;i&gt;detect&lt;/i&gt; you.&lt;/p&gt;</t>
  </si>
  <si>
    <t>&lt;link rel="stylesheet"href="PF.css"&gt;&lt;div class="heading"&gt;&lt;p class="alignleft"&gt;Diminished Detection&lt;/p&gt;&lt;div style="clear: both;"&gt;&lt;/div&gt;&lt;/div&gt;&lt;div&gt;&lt;h5&gt;&lt;b&gt;School &lt;/b&gt;abjuration; &lt;b&gt;Level &lt;/b&gt;alchemist 2, bard 2, sorcerer/wizard 2, witch 2&lt;/h5&gt;&lt;/div&gt;&lt;hr/&gt;&lt;div&gt;&lt;h5&gt;&lt;b&gt;CASTING&lt;/b&gt;&lt;/h5&gt;&lt;/div&gt;&lt;hr/&gt;&lt;div&gt;&lt;h5&gt;&lt;b&gt;Casting Time &lt;/b&gt;1 standard action&lt;/h5&gt;&lt;h5&gt;&lt;b&gt;Components &lt;/b&gt;S, V, M (a piece of wool)&lt;/h5&gt;&lt;/div&gt;&lt;hr/&gt;&lt;div&gt;&lt;h5&gt;&lt;b&gt;EFFECT&lt;/b&gt;&lt;/h5&gt;&lt;/div&gt;&lt;hr/&gt;&lt;div&gt;&lt;h5&gt;&lt;b&gt;Range &lt;/b&gt;personal&lt;/h5&gt;&lt;h5&gt;&lt;b&gt;Targets &lt;/b&gt;you&lt;/h5&gt;&lt;h5&gt;&lt;b&gt;Duration &lt;/b&gt;1 hour/level&lt;/h5&gt;&lt;/div&gt;&lt;hr/&gt;&lt;div&gt;&lt;h5&gt;&lt;b&gt;DESCRIPTION&lt;/b&gt;&lt;/h5&gt;&lt;/div&gt;&lt;hr/&gt;&lt;div&gt;&lt;h4&gt;&lt;p&gt;You can avoid being detected when you are on the edges of some divination spells' ranges. Whenever you would normally be within the area of effect of a detection spell (such as &lt;i&gt;&lt;i&gt;detect&lt;/i&gt; magic&lt;/i&gt;, &lt;i&gt;&lt;i&gt;detect&lt;/i&gt; evil&lt;/i&gt;, or &lt;i&gt;detect&lt;/i&gt; undead), the area of effect is reduced by half for the purposes of the spell's caster detecting you or your possessions. The caster of the &lt;i&gt;detect&lt;/i&gt; spell is unaware of this reduction in her spell's range; she simply does not &lt;i&gt;detect&lt;/i&gt; you.&lt;/p&gt;&lt;/h4&gt;&lt;/div&gt;</t>
  </si>
  <si>
    <t>Dongun Shaper's Touch</t>
  </si>
  <si>
    <t>alchemist 2, occultist 3, sorcerer/wizard 3</t>
  </si>
  <si>
    <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t>
  </si>
  <si>
    <t>&lt;p&gt;You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effect.&lt;/p&gt;</t>
  </si>
  <si>
    <t>&lt;link rel="stylesheet"href="PF.css"&gt;&lt;div class="heading"&gt;&lt;p class="alignleft"&gt;Dongun Shaper's Touch&lt;/p&gt;&lt;div style="clear: both;"&gt;&lt;/div&gt;&lt;/div&gt;&lt;div&gt;&lt;h5&gt;&lt;b&gt;School &lt;/b&gt;transmutation; &lt;b&gt;Level &lt;/b&gt;alchemist 2, occultist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&lt;/b&gt;concentration, up to 1 round/level&lt;/h5&gt;&lt;h5&gt;&lt;b&gt;Saving Throw &lt;/b&gt;none; &lt;b&gt;Spell Resistance &lt;/b&gt;no&lt;/h5&gt;&lt;/div&gt;&lt;hr/&gt;&lt;div&gt;&lt;h5&gt;&lt;b&gt;DESCRIPTION&lt;/b&gt;&lt;/h5&gt;&lt;/div&gt;&lt;hr/&gt;&lt;div&gt;&lt;h4&gt;&lt;p&gt;You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effect.&lt;/p&gt;&lt;/h4&gt;&lt;/div&gt;</t>
  </si>
  <si>
    <t>Dream Reality</t>
  </si>
  <si>
    <t>alchemist 5, bard 5, cleric/oracle 6, mesmerist 5, occultist 5, psychic 6, sorcerer/wizard 6</t>
  </si>
  <si>
    <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modify memory is cast upon it before the spell ends, the target remembers these events. A target under the effect of lullaby before this spell is cast applies its penalty to the saving throw against this spell.</t>
  </si>
  <si>
    <t>&lt;p&gt;You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&lt;i&gt;modify memory&lt;/i&gt; is cast upon it before the spell ends, the target remembers these events. A target under the effect of &lt;i&gt;lullaby&lt;/i&gt; before this spell is cast applies its penalty to the saving throw against this spell.&lt;/p&gt;</t>
  </si>
  <si>
    <t>&lt;link rel="stylesheet"href="PF.css"&gt;&lt;div class="heading"&gt;&lt;p class="alignleft"&gt;Dream Reality&lt;/p&gt;&lt;div style="clear: both;"&gt;&lt;/div&gt;&lt;/div&gt;&lt;div&gt;&lt;h5&gt;&lt;b&gt;School &lt;/b&gt;illusion (compulsion) [mind-affecting]; &lt;b&gt;Level &lt;/b&gt;alchemist 5, bard 5, cleric/oracle 6, mesmerist 5, occultist 5, psychic 6, sorcerer/wizard 6&lt;/h5&gt;&lt;/div&gt;&lt;hr/&gt;&lt;div&gt;&lt;h5&gt;&lt;b&gt;CASTING&lt;/b&gt;&lt;/h5&gt;&lt;/div&gt;&lt;hr/&gt;&lt;div&gt;&lt;h5&gt;&lt;b&gt;Casting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minute/level (D)&lt;/h5&gt;&lt;h5&gt;&lt;b&gt;Saving Throw &lt;/b&gt;Will disbelief; &lt;b&gt;Spell Resistance &lt;/b&gt;yes&lt;/h5&gt;&lt;/div&gt;&lt;hr/&gt;&lt;div&gt;&lt;h5&gt;&lt;b&gt;DESCRIPTION&lt;/b&gt;&lt;/h5&gt;&lt;/div&gt;&lt;hr/&gt;&lt;div&gt;&lt;h4&gt;&lt;p&gt;You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&lt;i&gt;modify memory&lt;/i&gt; is cast upon it before the spell ends, the target remembers these events. A target under the effect of &lt;i&gt;lullaby&lt;/i&gt; before this spell is cast applies its penalty to the saving throw against this spell.&lt;/p&gt;&lt;/h4&gt;&lt;/div&gt;</t>
  </si>
  <si>
    <t>Implant Urge</t>
  </si>
  <si>
    <t>bard 1, medium 1, mesmerist 1, sorcerer/wizard 1, spiritualist 1, witch 1</t>
  </si>
  <si>
    <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t>
  </si>
  <si>
    <t>&lt;p&gt;You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check.&lt;/p&gt;</t>
  </si>
  <si>
    <t>&lt;link rel="stylesheet"href="PF.css"&gt;&lt;div class="heading"&gt;&lt;p class="alignleft"&gt;Implant Urge&lt;/p&gt;&lt;div style="clear: both;"&gt;&lt;/div&gt;&lt;/div&gt;&lt;div&gt;&lt;h5&gt;&lt;b&gt;School &lt;/b&gt;enchantment (compulsion) [mind-affecting]; &lt;b&gt;Level &lt;/b&gt;bard 1, medium 1, mesmerist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partial; &lt;b&gt;Spell Resistance &lt;/b&gt;yes&lt;/h5&gt;&lt;/div&gt;&lt;hr/&gt;&lt;div&gt;&lt;h5&gt;&lt;b&gt;DESCRIPTION&lt;/b&gt;&lt;/h5&gt;&lt;/div&gt;&lt;hr/&gt;&lt;div&gt;&lt;h4&gt;&lt;p&gt;You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check.&lt;/p&gt;&lt;/h4&gt;&lt;/div&gt;</t>
  </si>
  <si>
    <t>Inveigle Monster</t>
  </si>
  <si>
    <t>V, M (a drop of alcohol)</t>
  </si>
  <si>
    <t>This spell functions as inveigle person except as noted above.</t>
  </si>
  <si>
    <t>&lt;p&gt;This spell functions as &lt;i&gt;inveigle person&lt;/i&gt; except as noted above.&lt;/p&gt;</t>
  </si>
  <si>
    <t>&lt;link rel="stylesheet"href="PF.css"&gt;&lt;div class="heading"&gt;&lt;p class="alignleft"&gt;Inveigle Monster&lt;/p&gt;&lt;div style="clear: both;"&gt;&lt;/div&gt;&lt;/div&gt;&lt;div&gt;&lt;h5&gt;&lt;b&gt;School &lt;/b&gt;enchantment (charm) [mind-affecting]; &lt;b&gt;Level &lt;/b&gt;bard 5, mesmerist 5, psychic 6, sorcerer/wizard 7, witch 7&lt;/h5&gt;&lt;/div&gt;&lt;hr/&gt;&lt;div&gt;&lt;h5&gt;&lt;b&gt;CASTING&lt;/b&gt;&lt;/h5&gt;&lt;/div&gt;&lt;hr/&gt;&lt;div&gt;&lt;h5&gt;&lt;b&gt;Casting Time &lt;/b&gt;1 standard action&lt;/h5&gt;&lt;h5&gt;&lt;b&gt;Components &lt;/b&gt;V, M (a drop of alcohol)&lt;/h5&gt;&lt;/div&gt;&lt;hr/&gt;&lt;div&gt;&lt;h5&gt;&lt;b&gt;EFFECT&lt;/b&gt;&lt;/h5&gt;&lt;/div&gt;&lt;hr/&gt;&lt;div&gt;&lt;h5&gt;&lt;b&gt;Range &lt;/b&gt;close (25 ft. + 5 ft./2 levels)&lt;/h5&gt;&lt;h5&gt;&lt;b&gt;Targets &lt;/b&gt;one living creature&lt;/h5&gt;&lt;h5&gt;&lt;b&gt;Duration &lt;/b&gt;1 day/level&lt;/h5&gt;&lt;h5&gt;&lt;b&gt;Saving Throw &lt;/b&gt;Will negates; &lt;b&gt;Spell Resistance &lt;/b&gt;yes&lt;/h5&gt;&lt;/div&gt;&lt;hr/&gt;&lt;div&gt;&lt;h5&gt;&lt;b&gt;DESCRIPTION&lt;/b&gt;&lt;/h5&gt;&lt;/div&gt;&lt;hr/&gt;&lt;div&gt;&lt;h4&gt;&lt;p&gt;This spell functions as &lt;i&gt;inveigle person&lt;/i&gt; except as noted above.&lt;/p&gt;&lt;/h4&gt;&lt;/div&gt;</t>
  </si>
  <si>
    <t>Inveigle Person</t>
  </si>
  <si>
    <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(Pathfinder RPG Core Rulebook 209).</t>
  </si>
  <si>
    <t>&lt;p&gt;You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(&lt;i&gt;Pathfinder RPG Core Rulebook&lt;/i&gt; 209).&lt;/p&gt;</t>
  </si>
  <si>
    <t>&lt;link rel="stylesheet"href="PF.css"&gt;&lt;div class="heading"&gt;&lt;p class="alignleft"&gt;Inveigle Person&lt;/p&gt;&lt;div style="clear: both;"&gt;&lt;/div&gt;&lt;/div&gt;&lt;div&gt;&lt;h5&gt;&lt;b&gt;School &lt;/b&gt;enchantment (charm) [mind-affecting]; &lt;b&gt;Level &lt;/b&gt;bard 3, mesmerist 3, psychic 3, sorcerer/wizard 4, witch 4&lt;/h5&gt;&lt;/div&gt;&lt;hr/&gt;&lt;div&gt;&lt;h5&gt;&lt;b&gt;CASTING&lt;/b&gt;&lt;/h5&gt;&lt;/div&gt;&lt;hr/&gt;&lt;div&gt;&lt;h5&gt;&lt;b&gt;Casting Time &lt;/b&gt;1 standard action&lt;/h5&gt;&lt;h5&gt;&lt;b&gt;Components &lt;/b&gt;V, M (a drop of alcohol)&lt;/h5&gt;&lt;/div&gt;&lt;hr/&gt;&lt;div&gt;&lt;h5&gt;&lt;b&gt;EFFECT&lt;/b&gt;&lt;/h5&gt;&lt;/div&gt;&lt;hr/&gt;&lt;div&gt;&lt;h5&gt;&lt;b&gt;Range &lt;/b&gt;close (25 ft. + 5 ft./2 levels)&lt;/h5&gt;&lt;h5&gt;&lt;b&gt;Targets &lt;/b&gt;one humanoid creature&lt;/h5&gt;&lt;h5&gt;&lt;b&gt;Duration &lt;/b&gt;1 hour/level&lt;/h5&gt;&lt;h5&gt;&lt;b&gt;Saving Throw &lt;/b&gt;Will negates; &lt;b&gt;Spell Resistance &lt;/b&gt;yes&lt;/h5&gt;&lt;/div&gt;&lt;hr/&gt;&lt;div&gt;&lt;h5&gt;&lt;b&gt;DESCRIPTION&lt;/b&gt;&lt;/h5&gt;&lt;/div&gt;&lt;hr/&gt;&lt;div&gt;&lt;h4&gt;&lt;p&gt;You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(&lt;i&gt;Pathfinder RPG Core Rulebook&lt;/i&gt; 209).&lt;/p&gt;&lt;/h4&gt;&lt;/div&gt;</t>
  </si>
  <si>
    <t>Nex's Secret Workshop</t>
  </si>
  <si>
    <t>medium 4, mesmerist 5, occultist 5, psychic 5, sorcerer/wizard 5, spiritualist 5, summoner 5</t>
  </si>
  <si>
    <t>V, S, M (diamond dust worth 150 gp)</t>
  </si>
  <si>
    <t>any number of creatures or objects in range</t>
  </si>
  <si>
    <t>Designed to protect a large number of items from rivals of the Arclords of Nex, this spell functions as nondetection except as noted above. You can exclude any creatures or objects in the spell's range when casting this spell, if you wish.</t>
  </si>
  <si>
    <t>&lt;p&gt;Designed to protect a large number of items from rivals of the Arclords of Nex, this spell functions as &lt;i&gt;nondetection&lt;/i&gt; except as noted above. You can exclude any creatures or objects in the spell's range when casting this spell, if you wish.&lt;/p&gt;</t>
  </si>
  <si>
    <t>&lt;link rel="stylesheet"href="PF.css"&gt;&lt;div class="heading"&gt;&lt;p class="alignleft"&gt;Nex's Secret Workshop&lt;/p&gt;&lt;div style="clear: both;"&gt;&lt;/div&gt;&lt;/div&gt;&lt;div&gt;&lt;h5&gt;&lt;b&gt;School &lt;/b&gt;abjuration; &lt;b&gt;Level &lt;/b&gt;medium 4, mesmerist 5, occultist 5, psychic 5, sorcerer/wizard 5, spiritualist 5, summoner 5&lt;/h5&gt;&lt;/div&gt;&lt;hr/&gt;&lt;div&gt;&lt;h5&gt;&lt;b&gt;CASTING&lt;/b&gt;&lt;/h5&gt;&lt;/div&gt;&lt;hr/&gt;&lt;div&gt;&lt;h5&gt;&lt;b&gt;Casting Time &lt;/b&gt;1 standard action&lt;/h5&gt;&lt;h5&gt;&lt;b&gt;Components &lt;/b&gt;V, S, M (diamond dust worth 150 gp)&lt;/h5&gt;&lt;/div&gt;&lt;hr/&gt;&lt;div&gt;&lt;h5&gt;&lt;b&gt;EFFECT&lt;/b&gt;&lt;/h5&gt;&lt;/div&gt;&lt;hr/&gt;&lt;div&gt;&lt;h5&gt;&lt;b&gt;Range &lt;/b&gt;close (25 ft. + 5 ft./2 levels)&lt;/h5&gt;&lt;h5&gt;&lt;b&gt;Targets &lt;/b&gt;any number of creatures or objects in range&lt;/h5&gt;&lt;h5&gt;&lt;b&gt;Duration &lt;/b&gt;1 hour/level&lt;/h5&gt;&lt;h5&gt;&lt;b&gt;Saving Throw &lt;/b&gt;Will negates (harmless, object); &lt;b&gt;Spell Resistance &lt;/b&gt;yes (harmless, object)&lt;/h5&gt;&lt;/div&gt;&lt;hr/&gt;&lt;div&gt;&lt;h5&gt;&lt;b&gt;DESCRIPTION&lt;/b&gt;&lt;/h5&gt;&lt;/div&gt;&lt;hr/&gt;&lt;div&gt;&lt;h4&gt;&lt;p&gt;Designed to protect a large number of items from rivals of the Arclords of Nex, this spell functions as &lt;i&gt;nondetection&lt;/i&gt; except as noted above. You can exclude any creatures or objects in the spell's range when casting this spell, if you wish.&lt;/p&gt;&lt;/h4&gt;&lt;/div&gt;</t>
  </si>
  <si>
    <t>Oath Of Anonymity</t>
  </si>
  <si>
    <t>bard 0, inquisitor 0, medium 0, paladin 1, sorcerer/wizard 0</t>
  </si>
  <si>
    <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t>
  </si>
  <si>
    <t>&lt;p&gt;You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before.&lt;/p&gt;</t>
  </si>
  <si>
    <t>&lt;link rel="stylesheet"href="PF.css"&gt;&lt;div class="heading"&gt;&lt;p class="alignleft"&gt;Oath Of Anonymity&lt;/p&gt;&lt;div style="clear: both;"&gt;&lt;/div&gt;&lt;/div&gt;&lt;div&gt;&lt;h5&gt;&lt;b&gt;School &lt;/b&gt;illusion (glamer); &lt;b&gt;Level &lt;/b&gt;bard 0, inquisitor 0, medium 0, paladin 1, sorcerer/wizard 0&lt;/h5&gt;&lt;/div&gt;&lt;hr/&gt;&lt;div&gt;&lt;h5&gt;&lt;b&gt;CASTING&lt;/b&gt;&lt;/h5&gt;&lt;/div&gt;&lt;hr/&gt;&lt;div&gt;&lt;h5&gt;&lt;b&gt;Casting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&lt;/b&gt;10 minutes/level&lt;/h5&gt;&lt;/div&gt;&lt;hr/&gt;&lt;div&gt;&lt;h5&gt;&lt;b&gt;DESCRIPTION&lt;/b&gt;&lt;/h5&gt;&lt;/div&gt;&lt;hr/&gt;&lt;div&gt;&lt;h4&gt;&lt;p&gt;You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before.&lt;/p&gt;&lt;/h4&gt;&lt;/div&gt;</t>
  </si>
  <si>
    <t>Recorporeal Incarnation</t>
  </si>
  <si>
    <t>sorcerer/wizard 7, witch 7</t>
  </si>
  <si>
    <t>V, S, F (a gem worth at least 250 gp)</t>
  </si>
  <si>
    <t>one willing living creature and one humanoid corpse</t>
  </si>
  <si>
    <t>1 week/level</t>
  </si>
  <si>
    <t>Recorporeal incarnation effectively replaces the target living creature's body with that of the target corpse. The target corpse must be fresh-either dead for no more than 24 hours or appropriately preserved by an effect such as gentle repose.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alter self as well as any immunities, weapon proficiencies, weaknesses, and spell resistance the dead target had while living. The living target gains a +20 circumstance bonus on Disguise checks to impersonate the individual whose corpse is targeted by this spell. The disguise created by recorporeal incarnation lasts for a number of weeks equal to your caster level, or until the focus item is moved more than 30 feet away from the living target. When the effect ends, the living target returns to its normal form, sloughing off the corpse's flesh.  The greatest strength of recorporeal incarnation is the difficulty of detecting it as a disguise. If subjected to detect magic, the living target sheds no magical aura, though the focus item gives off an aura of strong necromantic magic. True seeing does not reveal the living target's true form, since the corpse's flesh magically obscures it. The spell detect undead and similar effects indicate the living target is an undead creature, but the target is not truly undead, and is not affected by any other effects that target undead creatures. Recorporeal incarnation does not disguise the target's alignment.  If the living target of recorporeal incarnation dies while the spell is in effect, the spell continues. Any raise dead or similar spell cast upon that target resurrects that target, not the corpse flesh. Since recorporeal incarnation destroys the majority of the target corpse's physical remains, the target corpse cannot be restored to life except by miracle, resurrection, true resurrection, or wish.  Recorporeal incarnation can be made permanent by a 15th-level caster using permanency with a material component worth 17,500 gp.</t>
  </si>
  <si>
    <t>&lt;p&gt;&lt;i&gt;Recorporeal incarnation&lt;/i&gt; effectively replaces the target living creature's body with that of the target corpse. The target corpse must be fresh-either dead for no more than 24 hours or appropriately preserved by an effect such as &lt;i&gt;gentle repose&lt;/i&gt;.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&lt;i&gt;alter self&lt;/i&gt; as well as any immunities, weapon proficiencies, weaknesses, and spell resistance the dead target had while living. The living target gains a +20 circumstance bonus on Disguise checks to impersonate the individual whose corpse is targeted by this spell. The disguise created by &lt;i&gt;recorporeal incarnation&lt;/i&gt; lasts for a number of weeks equal to your caster level, or until the focus item is moved more than 30 feet away from the living target. When the effect ends, the living target returns to its normal form, sloughing off the corpse's flesh.  The greatest strength of &lt;i&gt;recorporeal incarnation&lt;/i&gt; is the difficulty of detecting it as a disguise. If subjected to &lt;i&gt;detect magic&lt;/i&gt;, the living target sheds no magical aura, though the focus item gives off an aura of strong necromantic magic. &lt;i&gt;True seeing&lt;/i&gt; does not reveal the living target's true form, since the corpse's flesh magically obscures it. The spell &lt;i&gt;detect undead&lt;/i&gt; and similar effects indicate the living target is an undead creature, but the target is not truly undead, and is not affected by any other effects that target undead creatures. &lt;i&gt;Recorporeal incarnation&lt;/i&gt; does not disguise the target's alignment.  If the living target of &lt;i&gt;recorporeal incarnation&lt;/i&gt; dies while the spell is in effect, the spell continues. Any &lt;i&gt;raise dead&lt;/i&gt; or similar spell cast upon that target resurrects that target, not the corpse flesh. Since &lt;i&gt;recorporeal incarnation&lt;/i&gt; destroys the majority of the target corpse's physical remains, the target corpse cannot be restored to life except by &lt;i&gt;miracle&lt;/i&gt;, &lt;i&gt;resurrection&lt;/i&gt;, true &lt;i&gt;resurrection&lt;/i&gt;, or &lt;i&gt;wish&lt;/i&gt;.  &lt;i&gt;Recorporeal incarnation&lt;/i&gt; can be made permanent by a 15th-level caster using &lt;i&gt;permanency&lt;/i&gt; with a material component worth 17,500 gp.&lt;/p&gt;</t>
  </si>
  <si>
    <t>&lt;link rel="stylesheet"href="PF.css"&gt;&lt;div class="heading"&gt;&lt;p class="alignleft"&gt;Recorporeal Incarnation&lt;/p&gt;&lt;div style="clear: both;"&gt;&lt;/div&gt;&lt;/div&gt;&lt;div&gt;&lt;h5&gt;&lt;b&gt;School &lt;/b&gt;necromancy; &lt;b&gt;Level &lt;/b&gt;sorcerer/wizard 7, witch 7&lt;/h5&gt;&lt;/div&gt;&lt;hr/&gt;&lt;div&gt;&lt;h5&gt;&lt;b&gt;CASTING&lt;/b&gt;&lt;/h5&gt;&lt;/div&gt;&lt;hr/&gt;&lt;div&gt;&lt;h5&gt;&lt;b&gt;Casting Time &lt;/b&gt;10 minutes&lt;/h5&gt;&lt;h5&gt;&lt;b&gt;Components &lt;/b&gt;V, S, F (a gem worth at least 250 gp)&lt;/h5&gt;&lt;/div&gt;&lt;hr/&gt;&lt;div&gt;&lt;h5&gt;&lt;b&gt;EFFECT&lt;/b&gt;&lt;/h5&gt;&lt;/div&gt;&lt;hr/&gt;&lt;div&gt;&lt;h5&gt;&lt;b&gt;Range &lt;/b&gt;touch&lt;/h5&gt;&lt;h5&gt;&lt;b&gt;Targets &lt;/b&gt;one willing living creature and one humanoid corpse&lt;/h5&gt;&lt;h5&gt;&lt;b&gt;Duration &lt;/b&gt;1 week/level&lt;/h5&gt;&lt;h5&gt;&lt;b&gt;Saving Throw &lt;/b&gt;none; &lt;b&gt;Spell Resistance &lt;/b&gt;no&lt;/h5&gt;&lt;/div&gt;&lt;hr/&gt;&lt;div&gt;&lt;h5&gt;&lt;b&gt;DESCRIPTION&lt;/b&gt;&lt;/h5&gt;&lt;/div&gt;&lt;hr/&gt;&lt;div&gt;&lt;h4&gt;&lt;p&gt;&lt;i&gt;Recorporeal incarnation&lt;/i&gt; effectively replaces the target living creature's body with that of the target corpse. The target corpse must be fresh-either dead for no more than 24 hours or appropriately preserved by an effect such as &lt;i&gt;gentle repose&lt;/i&gt;.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&lt;i&gt;alter self&lt;/i&gt; as well as any immunities, weapon proficiencies, weaknesses, and spell resistance the dead target had while living. The living target gains a +20 circumstance bonus on Disguise checks to impersonate the individual whose corpse is targeted by this spell. The disguise created by &lt;i&gt;recorporeal incarnation&lt;/i&gt; lasts for a number of weeks equal to your caster level, or until the focus item is moved more than 30 feet away from the living target. When the effect ends, the living target returns to its normal form, sloughing off the corpse's flesh.  The greatest strength of &lt;i&gt;recorporeal incarnation&lt;/i&gt; is the difficulty of detecting it as a disguise. If subjected to &lt;i&gt;detect magic&lt;/i&gt;, the living target sheds no magical aura, though the focus item gives off an aura of strong necromantic magic. &lt;i&gt;True seeing&lt;/i&gt; does not reveal the living target's true form, since the corpse's flesh magically obscures it. The spell &lt;i&gt;detect undead&lt;/i&gt; and similar effects indicate the living target is an undead creature, but the target is not truly undead, and is not affected by any other effects that target undead creatures. &lt;i&gt;Recorporeal incarnation&lt;/i&gt; does not disguise the target's alignment.  If the living target of &lt;i&gt;recorporeal incarnation&lt;/i&gt; dies while the spell is in effect, the spell continues. Any &lt;i&gt;raise dead&lt;/i&gt; or similar spell cast upon that target resurrects that target, not the corpse flesh. Since &lt;i&gt;recorporeal incarnation&lt;/i&gt; destroys the majority of the target corpse's physical remains, the target corpse cannot be restored to life except by &lt;i&gt;miracle&lt;/i&gt;, &lt;i&gt;resurrection&lt;/i&gt;, true &lt;i&gt;resurrection&lt;/i&gt;, or &lt;i&gt;wish&lt;/i&gt;.  &lt;i&gt;Recorporeal incarnation&lt;/i&gt; can be made permanent by a 15th-level caster using &lt;i&gt;permanency&lt;/i&gt; with a material component worth 17,500 gp.&lt;/p&gt;&lt;/h4&gt;&lt;/div&gt;</t>
  </si>
  <si>
    <t>Rotting Alliance</t>
  </si>
  <si>
    <t>curseUM, diseaseUM</t>
  </si>
  <si>
    <t>cleric/oracle 8, druid 8, inquisitor 6, occultist 6, witch 8</t>
  </si>
  <si>
    <t>one living creature/level, no two of which can be more than 60 feet apart</t>
  </si>
  <si>
    <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remove curse followed by a successful casting of remove disease while the target is within 100 feet of at least one other target. When the curse remains on only one target, it ends automatically.</t>
  </si>
  <si>
    <t>&lt;p&gt;You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&lt;i&gt;remove curse&lt;/i&gt; followed by a successful casting of &lt;i&gt;remove disease&lt;/i&gt; while the target is within 100 feet of at least one other target. When the curse remains on only one target, it ends automatically.&lt;/p&gt;</t>
  </si>
  <si>
    <t>&lt;link rel="stylesheet"href="PF.css"&gt;&lt;div class="heading"&gt;&lt;p class="alignleft"&gt;Rotting Alliance&lt;/p&gt;&lt;div style="clear: both;"&gt;&lt;/div&gt;&lt;/div&gt;&lt;div&gt;&lt;h5&gt;&lt;b&gt;School &lt;/b&gt;necromancy [curse&lt;sup&gt;UM&lt;/sup&gt;, disease&lt;sup&gt;UM&lt;/sup&gt;]; &lt;b&gt;Level &lt;/b&gt;cleric/oracle 8, druid 8, inquisitor 6, occultist 6,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60 feet apart&lt;/h5&gt;&lt;h5&gt;&lt;b&gt;Duration &lt;/b&gt;permanent&lt;/h5&gt;&lt;h5&gt;&lt;b&gt;Saving Throw &lt;/b&gt;Fortitude negates; &lt;b&gt;Spell Resistance &lt;/b&gt;yes&lt;/h5&gt;&lt;/div&gt;&lt;hr/&gt;&lt;div&gt;&lt;h5&gt;&lt;b&gt;DESCRIPTION&lt;/b&gt;&lt;/h5&gt;&lt;/div&gt;&lt;hr/&gt;&lt;div&gt;&lt;h4&gt;&lt;p&gt;You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&lt;i&gt;remove curse&lt;/i&gt; followed by a successful casting of &lt;i&gt;remove disease&lt;/i&gt; while the target is within 100 feet of at least one other target. When the curse remains on only one target, it ends automatically.&lt;/p&gt;&lt;/h4&gt;&lt;/div&gt;</t>
  </si>
  <si>
    <t>Sealed Sending</t>
  </si>
  <si>
    <t>one nonmagical parchment with a written message</t>
  </si>
  <si>
    <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t>
  </si>
  <si>
    <t>&lt;p&gt;You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level.&lt;/p&gt;</t>
  </si>
  <si>
    <t>&lt;link rel="stylesheet"href="PF.css"&gt;&lt;div class="heading"&gt;&lt;p class="alignleft"&gt;Sealed Sending&lt;/p&gt;&lt;div style="clear: both;"&gt;&lt;/div&gt;&lt;/div&gt;&lt;div&gt;&lt;h5&gt;&lt;b&gt;School &lt;/b&gt;conjuration (creation) [language-dependent]; &lt;b&gt;Level &lt;/b&gt;sorcerer/wizard 5&lt;/h5&gt;&lt;/div&gt;&lt;hr/&gt;&lt;div&gt;&lt;h5&gt;&lt;b&gt;CASTING&lt;/b&gt;&lt;/h5&gt;&lt;/div&gt;&lt;hr/&gt;&lt;div&gt;&lt;h5&gt;&lt;b&gt;Casting Time &lt;/b&gt;1 standard action&lt;/h5&gt;&lt;h5&gt;&lt;b&gt;Components &lt;/b&gt;V, S&lt;/h5&gt;&lt;/div&gt;&lt;hr/&gt;&lt;div&gt;&lt;h5&gt;&lt;b&gt;EFFECT&lt;/b&gt;&lt;/h5&gt;&lt;/div&gt;&lt;hr/&gt;&lt;div&gt;&lt;h5&gt;&lt;b&gt;Range &lt;/b&gt;unlimited&lt;/h5&gt;&lt;h5&gt;&lt;b&gt;Effect &lt;/b&gt;one nonmagical parchment with a written message&lt;/h5&gt;&lt;h5&gt;&lt;b&gt;Duration &lt;/b&gt;1 hour/level or until discharged&lt;/h5&gt;&lt;h5&gt;&lt;b&gt;Saving Throw &lt;/b&gt;none (harmless); &lt;b&gt;Spell Resistance &lt;/b&gt;no (harmless)&lt;/h5&gt;&lt;/div&gt;&lt;hr/&gt;&lt;div&gt;&lt;h5&gt;&lt;b&gt;DESCRIPTION&lt;/b&gt;&lt;/h5&gt;&lt;/div&gt;&lt;hr/&gt;&lt;div&gt;&lt;h4&gt;&lt;p&gt;You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level.&lt;/p&gt;&lt;/h4&gt;&lt;/div&gt;</t>
  </si>
  <si>
    <t>Searching Shadows</t>
  </si>
  <si>
    <t>shadows in a 10-foot-radius spread</t>
  </si>
  <si>
    <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t>
  </si>
  <si>
    <t>&lt;p&gt;Strands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pounds.&lt;/p&gt;</t>
  </si>
  <si>
    <t>&lt;link rel="stylesheet"href="PF.css"&gt;&lt;div class="heading"&gt;&lt;p class="alignleft"&gt;Searching Shadows&lt;/p&gt;&lt;div style="clear: both;"&gt;&lt;/div&gt;&lt;/div&gt;&lt;div&gt;&lt;h5&gt;&lt;b&gt;School &lt;/b&gt;illusion (shadow) [shadow&lt;sup&gt;UM&lt;/sup&gt;]; &lt;b&gt;Level &lt;/b&gt;bard 2, sorcerer/wizard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&lt;/b&gt;shadows in a 10-foot-radius spread&lt;/h5&gt;&lt;h5&gt;&lt;b&gt;Duration &lt;/b&gt;concentration&lt;/h5&gt;&lt;h5&gt;&lt;b&gt;Saving Throw &lt;/b&gt;Reflex partial; &lt;b&gt;Spell Resistance &lt;/b&gt;yes&lt;/h5&gt;&lt;/div&gt;&lt;hr/&gt;&lt;div&gt;&lt;h5&gt;&lt;b&gt;DESCRIPTION&lt;/b&gt;&lt;/h5&gt;&lt;/div&gt;&lt;hr/&gt;&lt;div&gt;&lt;h4&gt;&lt;p&gt;Strands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pounds.&lt;/p&gt;&lt;/h4&gt;&lt;/div&gt;</t>
  </si>
  <si>
    <t>Seeds Of Influence</t>
  </si>
  <si>
    <t>bard 3, medium 3, mesmerist 3, psychic 4, sorcerer/wizard 4, witch 4</t>
  </si>
  <si>
    <t>S, M (a rose)</t>
  </si>
  <si>
    <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seeds of influence as if those spells were modified by Enlarge Spell (the modified spell doesn't take longer to cast and doesn't use a higher-level spell slot). Whenever the target succeeds at a saving throw against a divination or mind-affecting spell you cast, seeds of influence ends for that target. A creature can  be subject to only one seeds of influence spell at a time; later castings of seeds of influence remove any previous casting.</t>
  </si>
  <si>
    <t>&lt;p&gt;You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&lt;i&gt;seeds of influence&lt;/i&gt; as if those spells were modified by Enlarge Spell (the modified spell doesn't take longer to cast and doesn't use a higher-level spell slot). Whenever the target succeeds at a saving throw against a divination or mind-affecting spell you cast, &lt;i&gt;seeds of influence&lt;/i&gt; ends for that target. A creature can  be subject to only one &lt;i&gt;seeds of influence&lt;/i&gt; spell at a time; later castings of &lt;i&gt;seeds of influence&lt;/i&gt; remove any previous casting.&lt;/p&gt;</t>
  </si>
  <si>
    <t>&lt;link rel="stylesheet"href="PF.css"&gt;&lt;div class="heading"&gt;&lt;p class="alignleft"&gt;Seeds Of Influence&lt;/p&gt;&lt;div style="clear: both;"&gt;&lt;/div&gt;&lt;/div&gt;&lt;div&gt;&lt;h5&gt;&lt;b&gt;School &lt;/b&gt;enchantment (compulsion) [emotion&lt;sup&gt;UM&lt;/sup&gt;, mind-affecting]; &lt;b&gt;Level &lt;/b&gt;bard 3, medium 3, mesmerist 3, psychic 4, sorcerer/wizard 4, witch 4&lt;/h5&gt;&lt;/div&gt;&lt;hr/&gt;&lt;div&gt;&lt;h5&gt;&lt;b&gt;CASTING&lt;/b&gt;&lt;/h5&gt;&lt;/div&gt;&lt;hr/&gt;&lt;div&gt;&lt;h5&gt;&lt;b&gt;Casting Time &lt;/b&gt;1 standard action&lt;/h5&gt;&lt;h5&gt;&lt;b&gt;Components &lt;/b&gt;S, M (a rose)&lt;/h5&gt;&lt;/div&gt;&lt;hr/&gt;&lt;div&gt;&lt;h5&gt;&lt;b&gt;EFFECT&lt;/b&gt;&lt;/h5&gt;&lt;/div&gt;&lt;hr/&gt;&lt;div&gt;&lt;h5&gt;&lt;b&gt;Range &lt;/b&gt;close (25 ft. + 5 ft./2 levels)&lt;/h5&gt;&lt;h5&gt;&lt;b&gt;Targets &lt;/b&gt;one creature&lt;/h5&gt;&lt;h5&gt;&lt;b&gt;Duration &lt;/b&gt;1 hour/level (D)&lt;/h5&gt;&lt;h5&gt;&lt;b&gt;Saving Throw &lt;/b&gt;Will negates; &lt;b&gt;Spell Resistance &lt;/b&gt;yes&lt;/h5&gt;&lt;/div&gt;&lt;hr/&gt;&lt;div&gt;&lt;h5&gt;&lt;b&gt;DESCRIPTION&lt;/b&gt;&lt;/h5&gt;&lt;/div&gt;&lt;hr/&gt;&lt;div&gt;&lt;h4&gt;&lt;p&gt;You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&lt;i&gt;seeds of influence&lt;/i&gt; as if those spells were modified by Enlarge Spell (the modified spell doesn't take longer to cast and doesn't use a higher-level spell slot). Whenever the target succeeds at a saving throw against a divination or mind-affecting spell you cast, &lt;i&gt;seeds of influence&lt;/i&gt; ends for that target. A creature can  be subject to only one &lt;i&gt;seeds of influence&lt;/i&gt; spell at a time; later castings of &lt;i&gt;seeds of influence&lt;/i&gt; remove any previous casting.&lt;/p&gt;&lt;/h4&gt;&lt;/div&gt;</t>
  </si>
  <si>
    <t>Seeds Of Influence, Greater</t>
  </si>
  <si>
    <t>bard 5, medium 4, mesmerist 5, psychic 7, sorcerer/wizard 7, witch 7</t>
  </si>
  <si>
    <t>This spell functions as seeds of influence,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seeds of influence is active grant no protection against greater seeds of influence.</t>
  </si>
  <si>
    <t>&lt;p&gt;This spell functions as &lt;i&gt;seeds of influence&lt;/i&gt;,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&lt;i&gt;seeds of influence&lt;/i&gt; is active grant no protection against greater &lt;i&gt;seeds of influence&lt;/i&gt;.&lt;/p&gt;</t>
  </si>
  <si>
    <t>&lt;link rel="stylesheet"href="PF.css"&gt;&lt;div class="heading"&gt;&lt;p class="alignleft"&gt;Seeds Of Influence, Greater&lt;/p&gt;&lt;div style="clear: both;"&gt;&lt;/div&gt;&lt;/div&gt;&lt;div&gt;&lt;h5&gt;&lt;b&gt;School &lt;/b&gt;enchantment (compulsion) [emotion&lt;sup&gt;UM&lt;/sup&gt;, mind-affecting]; &lt;b&gt;Level &lt;/b&gt;bard 5, medium 4, mesmerist 5, psychic 7, sorcerer/wizard 7, witch 7&lt;/h5&gt;&lt;/div&gt;&lt;hr/&gt;&lt;div&gt;&lt;h5&gt;&lt;b&gt;CASTING&lt;/b&gt;&lt;/h5&gt;&lt;/div&gt;&lt;hr/&gt;&lt;div&gt;&lt;h5&gt;&lt;b&gt;Casting Time &lt;/b&gt;1 standard action&lt;/h5&gt;&lt;h5&gt;&lt;b&gt;Components &lt;/b&gt;S, M (a rose)&lt;/h5&gt;&lt;/div&gt;&lt;hr/&gt;&lt;div&gt;&lt;h5&gt;&lt;b&gt;EFFECT&lt;/b&gt;&lt;/h5&gt;&lt;/div&gt;&lt;hr/&gt;&lt;div&gt;&lt;h5&gt;&lt;b&gt;Range &lt;/b&gt;close (25 ft. + 5 ft./2 levels)&lt;/h5&gt;&lt;h5&gt;&lt;b&gt;Targets &lt;/b&gt;one creature&lt;/h5&gt;&lt;h5&gt;&lt;b&gt;Duration &lt;/b&gt;1 day/level (D)&lt;/h5&gt;&lt;h5&gt;&lt;b&gt;Saving Throw &lt;/b&gt;Will negates; &lt;b&gt;Spell Resistance &lt;/b&gt;yes&lt;/h5&gt;&lt;/div&gt;&lt;hr/&gt;&lt;div&gt;&lt;h5&gt;&lt;b&gt;DESCRIPTION&lt;/b&gt;&lt;/h5&gt;&lt;/div&gt;&lt;hr/&gt;&lt;div&gt;&lt;h4&gt;&lt;p&gt;This spell functions as &lt;i&gt;seeds of influence&lt;/i&gt;,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&lt;i&gt;seeds of influence&lt;/i&gt; is active grant no protection against greater &lt;i&gt;seeds of influence&lt;/i&gt;.&lt;/p&gt;&lt;/h4&gt;&lt;/div&gt;</t>
  </si>
  <si>
    <t>Seek Shelter</t>
  </si>
  <si>
    <t>bard 4, cleric/oracle 5, inquisitor 4, mesmerist 4, psychic 5, sorcerer/wizard 5, summoner 4, witch 5</t>
  </si>
  <si>
    <t>all non-hostile creatures with 4 or fewer HD in a 30-ft. spread</t>
  </si>
  <si>
    <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t>
  </si>
  <si>
    <t>&lt;p&gt;You send an empathic urge to seek safety both as fast as possible and in an orderly fashion, and to remain in such secure locations for the duration of the spell. &lt;b&gt;Targets&lt;/b&gt;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provoked.&lt;/p&gt;</t>
  </si>
  <si>
    <t>&lt;link rel="stylesheet"href="PF.css"&gt;&lt;div class="heading"&gt;&lt;p class="alignleft"&gt;Seek Shelter&lt;/p&gt;&lt;div style="clear: both;"&gt;&lt;/div&gt;&lt;/div&gt;&lt;div&gt;&lt;h5&gt;&lt;b&gt;School &lt;/b&gt;enchantment (compulsion) [fear, mind-affecting]; &lt;b&gt;Level &lt;/b&gt;bard 4, cleric/oracle 5, inquisitor 4, mesmerist 4, psychic 5, sorcerer/wizard 5, summoner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&lt;/b&gt;all non-hostile creatures with 4 or fewer HD in a 30-ft. spread&lt;/h5&gt;&lt;h5&gt;&lt;b&gt;Duration &lt;/b&gt;1 hour/level (D)&lt;/h5&gt;&lt;h5&gt;&lt;b&gt;Saving Throw &lt;/b&gt;Will negates (harmless); &lt;b&gt;Spell Resistance &lt;/b&gt;yes&lt;/h5&gt;&lt;/div&gt;&lt;hr/&gt;&lt;div&gt;&lt;h5&gt;&lt;b&gt;DESCRIPTION&lt;/b&gt;&lt;/h5&gt;&lt;/div&gt;&lt;hr/&gt;&lt;div&gt;&lt;h4&gt;&lt;p&gt;You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provoked.&lt;/p&gt;&lt;/h4&gt;&lt;/div&gt;</t>
  </si>
  <si>
    <t>Substitute Trail</t>
  </si>
  <si>
    <t>1 creature/level; see text</t>
  </si>
  <si>
    <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true seeing.</t>
  </si>
  <si>
    <t>&lt;p&gt;This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</si>
  <si>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&lt;link rel="stylesheet"href="PF.css"&gt;&lt;div class="heading"&gt;&lt;p class="alignleft"&gt;Substitute Trail&lt;/p&gt;&lt;div style="clear: both;"&gt;&lt;/div&gt;&lt;/div&gt;&lt;div&gt;&lt;h5&gt;&lt;b&gt;School &lt;/b&gt;transmutation; &lt;b&gt;Level &lt;/b&gt;druid 4, ranger 4&lt;/h5&gt;&lt;/div&gt;&lt;hr/&gt;&lt;div&gt;&lt;h5&gt;&lt;b&gt;CASTING&lt;/b&gt;&lt;/h5&gt;&lt;/div&gt;&lt;hr/&gt;&lt;div&gt;&lt;h5&gt;&lt;b&gt;Casting Time &lt;/b&gt;1 standard action&lt;/h5&gt;&lt;h5&gt;&lt;b&gt;Components &lt;/b&gt;V, S&lt;/h5&gt;&lt;/div&gt;&lt;hr/&gt;&lt;div&gt;&lt;h5&gt;&lt;b&gt;EFFECT&lt;/b&gt;&lt;/h5&gt;&lt;/div&gt;&lt;hr/&gt;&lt;div&gt;&lt;h5&gt;&lt;b&gt;Targets &lt;/b&gt;1 creature/level; see text&lt;/h5&gt;&lt;h5&gt;&lt;b&gt;Duration &lt;/b&gt;1 day/level (D)&lt;/h5&gt;&lt;h5&gt;&lt;b&gt;Saving Throw &lt;/b&gt;none; &lt;b&gt;Spell Resistance &lt;/b&gt;no&lt;/h5&gt;&lt;/div&gt;&lt;hr/&gt;&lt;div&gt;&lt;h5&gt;&lt;b&gt;DESCRIPTION&lt;/b&gt;&lt;/h5&gt;&lt;/div&gt;&lt;hr/&gt;&lt;div&gt;&lt;h4&gt;&lt;p&gt;This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&lt;i&gt;true seeing&lt;/i&gt;.&lt;/p&gt;&lt;/h4&gt;&lt;/div&gt;</t>
  </si>
  <si>
    <t>Transfiguring Touch</t>
  </si>
  <si>
    <t>alchemist 5, occultist 6, sorcerer/wizard 6</t>
  </si>
  <si>
    <t>V, S, M (alchemical reagents worth 1 gp or the value of the created material, whichever is more)</t>
  </si>
  <si>
    <t>object touched, up to 1 cubic foot per level</t>
  </si>
  <si>
    <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t>
  </si>
  <si>
    <t>&lt;p&gt;You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platinum).&lt;/p&gt;</t>
  </si>
  <si>
    <t>&lt;link rel="stylesheet"href="PF.css"&gt;&lt;div class="heading"&gt;&lt;p class="alignleft"&gt;Transfiguring Touch&lt;/p&gt;&lt;div style="clear: both;"&gt;&lt;/div&gt;&lt;/div&gt;&lt;div&gt;&lt;h5&gt;&lt;b&gt;School &lt;/b&gt;transmutation; &lt;b&gt;Level &lt;/b&gt;alchemist 5, occultist 6, sorcerer/wizard 6&lt;/h5&gt;&lt;/div&gt;&lt;hr/&gt;&lt;div&gt;&lt;h5&gt;&lt;b&gt;CASTING&lt;/b&gt;&lt;/h5&gt;&lt;/div&gt;&lt;hr/&gt;&lt;div&gt;&lt;h5&gt;&lt;b&gt;Casting Time &lt;/b&gt;1 standard action&lt;/h5&gt;&lt;h5&gt;&lt;b&gt;Components &lt;/b&gt;V, S, M (alchemical reagents worth 1 gp or the value of the created material, whichever is more)&lt;/h5&gt;&lt;/div&gt;&lt;hr/&gt;&lt;div&gt;&lt;h5&gt;&lt;b&gt;EFFECT&lt;/b&gt;&lt;/h5&gt;&lt;/div&gt;&lt;hr/&gt;&lt;div&gt;&lt;h5&gt;&lt;b&gt;Range &lt;/b&gt;touch&lt;/h5&gt;&lt;h5&gt;&lt;b&gt;Targets &lt;/b&gt;object touched, up to 1 cubic foot per level&lt;/h5&gt;&lt;h5&gt;&lt;b&gt;Duration &lt;/b&gt;instantaneous&lt;/h5&gt;&lt;h5&gt;&lt;b&gt;Saving Throw &lt;/b&gt;none; &lt;b&gt;Spell Resistance &lt;/b&gt;no&lt;/h5&gt;&lt;/div&gt;&lt;hr/&gt;&lt;div&gt;&lt;h5&gt;&lt;b&gt;DESCRIPTION&lt;/b&gt;&lt;/h5&gt;&lt;/div&gt;&lt;hr/&gt;&lt;div&gt;&lt;h4&gt;&lt;p&gt;You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platinum).&lt;/p&gt;&lt;/h4&gt;&lt;/div&gt;</t>
  </si>
  <si>
    <t>True Skill</t>
  </si>
  <si>
    <t>alchemist 1, bard 1, magus 1, medium 1, psychic 1, sorcerer/wizard 1</t>
  </si>
  <si>
    <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t>
  </si>
  <si>
    <t>&lt;p&gt;When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1).&lt;/p&gt;</t>
  </si>
  <si>
    <t>&lt;link rel="stylesheet"href="PF.css"&gt;&lt;div class="heading"&gt;&lt;p class="alignleft"&gt;True Skill&lt;/p&gt;&lt;div style="clear: both;"&gt;&lt;/div&gt;&lt;/div&gt;&lt;div&gt;&lt;h5&gt;&lt;b&gt;School &lt;/b&gt;divination; &lt;b&gt;Level &lt;/b&gt;alchemist 1, bard 1, magus 1, medium 1, psychic 1, sorcerer/wizard 1&lt;/h5&gt;&lt;/div&gt;&lt;hr/&gt;&lt;div&gt;&lt;h5&gt;&lt;b&gt;CASTING&lt;/b&gt;&lt;/h5&gt;&lt;/div&gt;&lt;hr/&gt;&lt;div&gt;&lt;h5&gt;&lt;b&gt;Casting Time &lt;/b&gt;1 standard action&lt;/h5&gt;&lt;h5&gt;&lt;b&gt;Components &lt;/b&gt;S, V&lt;/h5&gt;&lt;/div&gt;&lt;hr/&gt;&lt;div&gt;&lt;h5&gt;&lt;b&gt;EFFECT&lt;/b&gt;&lt;/h5&gt;&lt;/div&gt;&lt;hr/&gt;&lt;div&gt;&lt;h5&gt;&lt;b&gt;Range &lt;/b&gt;personal&lt;/h5&gt;&lt;h5&gt;&lt;b&gt;Targets &lt;/b&gt;you&lt;/h5&gt;&lt;h5&gt;&lt;b&gt;Duration &lt;/b&gt;1 minute/level&lt;/h5&gt;&lt;/div&gt;&lt;hr/&gt;&lt;div&gt;&lt;h5&gt;&lt;b&gt;DESCRIPTION&lt;/b&gt;&lt;/h5&gt;&lt;/div&gt;&lt;hr/&gt;&lt;div&gt;&lt;h4&gt;&lt;p&gt;When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1).&lt;/p&gt;&lt;/h4&gt;&lt;/div&gt;</t>
  </si>
  <si>
    <t>Violent Accident</t>
  </si>
  <si>
    <t>cleric/oracle 2, mesmerist 2, occultist 2, witch 2</t>
  </si>
  <si>
    <t>1 day or until discharged</t>
  </si>
  <si>
    <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t>
  </si>
  <si>
    <t>&lt;p&gt;You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target.&lt;/p&gt;</t>
  </si>
  <si>
    <t>&lt;link rel="stylesheet"href="PF.css"&gt;&lt;div class="heading"&gt;&lt;p class="alignleft"&gt;Violent Accident&lt;/p&gt;&lt;div style="clear: both;"&gt;&lt;/div&gt;&lt;/div&gt;&lt;div&gt;&lt;h5&gt;&lt;b&gt;School &lt;/b&gt;transmutation [curse&lt;sup&gt;UM&lt;/sup&gt;]; &lt;b&gt;Level &lt;/b&gt;cleric/oracle 2, mesmerist 2, occultist 2, witch 2&lt;/h5&gt;&lt;/div&gt;&lt;hr/&gt;&lt;div&gt;&lt;h5&gt;&lt;b&gt;CASTING&lt;/b&gt;&lt;/h5&gt;&lt;/div&gt;&lt;hr/&gt;&lt;div&gt;&lt;h5&gt;&lt;b&gt;Casting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creature&lt;/h5&gt;&lt;h5&gt;&lt;b&gt;Duration &lt;/b&gt;1 day or until discharged&lt;/h5&gt;&lt;h5&gt;&lt;b&gt;Saving Throw &lt;/b&gt;Reflex half; see text; &lt;b&gt;Spell Resistance &lt;/b&gt;yes&lt;/h5&gt;&lt;/div&gt;&lt;hr/&gt;&lt;div&gt;&lt;h5&gt;&lt;b&gt;DESCRIPTION&lt;/b&gt;&lt;/h5&gt;&lt;/div&gt;&lt;hr/&gt;&lt;div&gt;&lt;h4&gt;&lt;p&gt;You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target.&lt;/p&gt;&lt;/h4&gt;&lt;/div&gt;</t>
  </si>
  <si>
    <t>Wandering Trail</t>
  </si>
  <si>
    <t>up to one creature/level within 180 feet</t>
  </si>
  <si>
    <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true seeing.</t>
  </si>
  <si>
    <t>&lt;p&gt;You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</si>
  <si>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&lt;link rel="stylesheet"href="PF.css"&gt;&lt;div class="heading"&gt;&lt;p class="alignleft"&gt;Wandering Trail&lt;/p&gt;&lt;div style="clear: both;"&gt;&lt;/div&gt;&lt;/div&gt;&lt;div&gt;&lt;h5&gt;&lt;b&gt;School &lt;/b&gt;transmutation; &lt;b&gt;Level &lt;/b&gt;druid 6&lt;/h5&gt;&lt;/div&gt;&lt;hr/&gt;&lt;div&gt;&lt;h5&gt;&lt;b&gt;CASTING&lt;/b&gt;&lt;/h5&gt;&lt;/div&gt;&lt;hr/&gt;&lt;div&gt;&lt;h5&gt;&lt;b&gt;Casting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mile/level&lt;/h5&gt;&lt;h5&gt;&lt;b&gt;Targets &lt;/b&gt;up to one creature/level within 180 feet&lt;/h5&gt;&lt;h5&gt;&lt;b&gt;Duration &lt;/b&gt;1 day/level (D)&lt;/h5&gt;&lt;h5&gt;&lt;b&gt;Saving Throw &lt;/b&gt;none; &lt;b&gt;Spell Resistance &lt;/b&gt;no&lt;/h5&gt;&lt;/div&gt;&lt;hr/&gt;&lt;div&gt;&lt;h5&gt;&lt;b&gt;DESCRIPTION&lt;/b&gt;&lt;/h5&gt;&lt;/div&gt;&lt;hr/&gt;&lt;div&gt;&lt;h4&gt;&lt;p&gt;You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&lt;i&gt;true seeing&lt;/i&gt;.&lt;/p&gt;&lt;/h4&gt;&lt;/div&gt;</t>
  </si>
  <si>
    <t>Heretic's Tongue</t>
  </si>
  <si>
    <t>cleric/oracle 5, inquisitor 5, mesmerist 6</t>
  </si>
  <si>
    <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t>
  </si>
  <si>
    <t>&lt;p&gt;You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rounds.&lt;/p&gt;</t>
  </si>
  <si>
    <t>AP 107</t>
  </si>
  <si>
    <t>&lt;link rel="stylesheet"href="PF.css"&gt;&lt;div class="heading"&gt;&lt;p class="alignleft"&gt;Heretic's Tongue&lt;/p&gt;&lt;div style="clear: both;"&gt;&lt;/div&gt;&lt;/div&gt;&lt;div&gt;&lt;h5&gt;&lt;b&gt;School &lt;/b&gt;enchantment [mind-affecting]; &lt;b&gt;Level &lt;/b&gt;cleric/oracle 5, inquisitor 5, mesmerist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creature&lt;/h5&gt;&lt;h5&gt;&lt;b&gt;Duration &lt;/b&gt;1 round/level&lt;/h5&gt;&lt;h5&gt;&lt;b&gt;Saving Throw &lt;/b&gt;Will negates; &lt;b&gt;Spell Resistance &lt;/b&gt;yes&lt;/h5&gt;&lt;/div&gt;&lt;hr/&gt;&lt;div&gt;&lt;h5&gt;&lt;b&gt;DESCRIPTION&lt;/b&gt;&lt;/h5&gt;&lt;/div&gt;&lt;hr/&gt;&lt;div&gt;&lt;h4&gt;&lt;p&gt;You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rounds.&lt;/p&gt;&lt;/h4&gt;&lt;/div&gt;</t>
  </si>
  <si>
    <t>Watchful Animal</t>
  </si>
  <si>
    <t>druid 4, ranger 4, shaman 4, sorcerer/wizard 4, witch 4</t>
  </si>
  <si>
    <t>V, S, M/DF (a desiccated fly)</t>
  </si>
  <si>
    <t>You place a scrying sensor on your animal companion or familiar. This allows the animal companion or familiar to function as if it were an insect summoned by the greater insect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t>
  </si>
  <si>
    <t>&lt;p&gt;You place a scrying sensor on your animal companion or familiar. This allows the animal companion or familiar to function as if it were an insect summoned by the &lt;i&gt;greater insect&lt;/i&gt;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spell.&lt;/p&gt;</t>
  </si>
  <si>
    <t>Spymaster's Handbook</t>
  </si>
  <si>
    <t>&lt;link rel="stylesheet"href="PF.css"&gt;&lt;div class="heading"&gt;&lt;p class="alignleft"&gt;Watchful Animal&lt;/p&gt;&lt;div style="clear: both;"&gt;&lt;/div&gt;&lt;/div&gt;&lt;div&gt;&lt;h5&gt;&lt;b&gt;School &lt;/b&gt;divination (scrying); &lt;b&gt;Level &lt;/b&gt;druid 4, ranger 4, shaman 4, sorcerer/wizard 4, witch 4&lt;/h5&gt;&lt;/div&gt;&lt;hr/&gt;&lt;div&gt;&lt;h5&gt;&lt;b&gt;CASTING&lt;/b&gt;&lt;/h5&gt;&lt;/div&gt;&lt;hr/&gt;&lt;div&gt;&lt;h5&gt;&lt;b&gt;Casting Time &lt;/b&gt;10 minutes&lt;/h5&gt;&lt;h5&gt;&lt;b&gt;Components &lt;/b&gt;V, S, M/DF (a desiccated fly)&lt;/h5&gt;&lt;/div&gt;&lt;hr/&gt;&lt;div&gt;&lt;h5&gt;&lt;b&gt;EFFECT&lt;/b&gt;&lt;/h5&gt;&lt;/div&gt;&lt;hr/&gt;&lt;div&gt;&lt;h5&gt;&lt;b&gt;Range &lt;/b&gt;medium (100 ft. plus 10 ft./level)&lt;/h5&gt;&lt;h5&gt;&lt;b&gt;Effect &lt;/b&gt;magical sensor&lt;/h5&gt;&lt;h5&gt;&lt;b&gt;Duration &lt;/b&gt;10 minutes/level&lt;/h5&gt;&lt;h5&gt;&lt;b&gt;Saving Throw &lt;/b&gt;none; &lt;b&gt;Spell Resistance &lt;/b&gt;no&lt;/h5&gt;&lt;/div&gt;&lt;hr/&gt;&lt;div&gt;&lt;h5&gt;&lt;b&gt;DESCRIPTION&lt;/b&gt;&lt;/h5&gt;&lt;/div&gt;&lt;hr/&gt;&lt;div&gt;&lt;h4&gt;&lt;p&gt;You place a scrying sensor on your animal companion or familiar. This allows the animal companion or familiar to function as if it were an insect summoned by the &lt;i&gt;greater insect&lt;/i&gt;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spell.&lt;/p&gt;&lt;/h4&gt;&lt;/div&gt;</t>
  </si>
  <si>
    <t>Trial By Fire</t>
  </si>
  <si>
    <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t>
  </si>
  <si>
    <t>&lt;p&gt;You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action.&lt;/p&gt;</t>
  </si>
  <si>
    <t>&lt;link rel="stylesheet"href="PF.css"&gt;&lt;div class="heading"&gt;&lt;p class="alignleft"&gt;Trial By Fire&lt;/p&gt;&lt;div style="clear: both;"&gt;&lt;/div&gt;&lt;/div&gt;&lt;div&gt;&lt;h5&gt;&lt;b&gt;School &lt;/b&gt;evocation [fire]; &lt;b&gt;Level &lt;/b&gt;antipaladin 3, cleric/oracle 3, inquisitor 3, paladin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action.&lt;/p&gt;&lt;/h4&gt;&lt;/div&gt;</t>
  </si>
  <si>
    <t>Claim Identity</t>
  </si>
  <si>
    <t>alchemist 3, antipaladin 3, bard 3, druid 4, inquisitor 3, shaman 4, sorcerer/wizard 4, witch 3</t>
  </si>
  <si>
    <t>V, S, M (a needle and thread)</t>
  </si>
  <si>
    <t>humanoid creature touched</t>
  </si>
  <si>
    <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alter self, and gain a +10 bonus on Disguise checks to impersonate the original subject of this spell; you take no penalties on this check if the original target is of a different race, age, size, or gender.  Claim identity prevents any other polymorph effects from restoring the target's true face for the spell's duration, though the target can still assume other forms or faces via magic or any natural shapechanging ability.</t>
  </si>
  <si>
    <t>&lt;p&gt;You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&lt;i&gt;alter self&lt;/i&gt;, and gain a +10 bonus on Disguise checks to impersonate the original subject of this spell; you take no penalties on this check if the original target is of a different race, age, size, or gender.  &lt;i&gt;Claim identity&lt;/i&gt; prevents any other polymorph effects from restoring the target's true face for the spell's duration, though the target can still assume other forms or faces via magic or any natural shapechanging ability.&lt;/p&gt;</t>
  </si>
  <si>
    <t>&lt;link rel="stylesheet"href="PF.css"&gt;&lt;div class="heading"&gt;&lt;p class="alignleft"&gt;Claim Identity&lt;/p&gt;&lt;div style="clear: both;"&gt;&lt;/div&gt;&lt;/div&gt;&lt;div&gt;&lt;h5&gt;&lt;b&gt;School &lt;/b&gt;transmutation (polymorph); &lt;b&gt;Level &lt;/b&gt;alchemist 3, antipaladin 3, bard 3, druid 4, inquisitor 3, shaman 4, sorcerer/wizard 4, witch 3&lt;/h5&gt;&lt;/div&gt;&lt;hr/&gt;&lt;div&gt;&lt;h5&gt;&lt;b&gt;CASTING&lt;/b&gt;&lt;/h5&gt;&lt;/div&gt;&lt;hr/&gt;&lt;div&gt;&lt;h5&gt;&lt;b&gt;Casting Time &lt;/b&gt;1 standard action&lt;/h5&gt;&lt;h5&gt;&lt;b&gt;Components &lt;/b&gt;V, S, M (a needle and thread)&lt;/h5&gt;&lt;/div&gt;&lt;hr/&gt;&lt;div&gt;&lt;h5&gt;&lt;b&gt;EFFECT&lt;/b&gt;&lt;/h5&gt;&lt;/div&gt;&lt;hr/&gt;&lt;div&gt;&lt;h5&gt;&lt;b&gt;Range &lt;/b&gt;touch&lt;/h5&gt;&lt;h5&gt;&lt;b&gt;Targets &lt;/b&gt;humanoid creature touched&lt;/h5&gt;&lt;h5&gt;&lt;b&gt;Duration &lt;/b&gt;1 hour/level&lt;/h5&gt;&lt;h5&gt;&lt;b&gt;Saving Throw &lt;/b&gt;Fortitude negates; &lt;b&gt;Spell Resistance &lt;/b&gt;yes&lt;/h5&gt;&lt;/div&gt;&lt;hr/&gt;&lt;div&gt;&lt;h5&gt;&lt;b&gt;DESCRIPTION&lt;/b&gt;&lt;/h5&gt;&lt;/div&gt;&lt;hr/&gt;&lt;div&gt;&lt;h4&gt;&lt;p&gt;You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&lt;i&gt;alter self&lt;/i&gt;, and gain a +10 bonus on Disguise checks to impersonate the original subject of this spell; you take no penalties on this check if the original target is of a different race, age, size, or gender.  &lt;i&gt;Claim identity&lt;/i&gt; prevents any other polymorph effects from restoring the target's true face for the spell's duration, though the target can still assume other forms or faces via magic or any natural shapechanging ability.&lt;/p&gt;&lt;/h4&gt;&lt;/div&gt;</t>
  </si>
  <si>
    <t>Claim Identity, Greater</t>
  </si>
  <si>
    <t>alchemist 5, antipaladin 4, bard 5, druid 6, inquisitor 5, shaman 6, sorcerer/wizard 6, witch 5</t>
  </si>
  <si>
    <t>V, S, M (a silver needle costing 100 gp)</t>
  </si>
  <si>
    <t>This spell functions as per claim identity,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claim identity, and reverts to its natural form upon removing the mask. Any damage dealt to the mask immediately ends this spell.</t>
  </si>
  <si>
    <t>&lt;p&gt;This spell functions as per &lt;i&gt;claim identity&lt;/i&gt;,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&lt;i&gt;claim identity&lt;/i&gt;, and reverts to its natural form upon removing the mask. Any damage dealt to the mask immediately ends this spell.&lt;/p&gt;</t>
  </si>
  <si>
    <t>&lt;link rel="stylesheet"href="PF.css"&gt;&lt;div class="heading"&gt;&lt;p class="alignleft"&gt;Claim Identity, Greater&lt;/p&gt;&lt;div style="clear: both;"&gt;&lt;/div&gt;&lt;/div&gt;&lt;div&gt;&lt;h5&gt;&lt;b&gt;School &lt;/b&gt;transmutation (polymorph); &lt;b&gt;Level &lt;/b&gt;alchemist 5, antipaladin 4, bard 5, druid 6, inquisitor 5, shaman 6, sorcerer/wizard 6, witch 5&lt;/h5&gt;&lt;/div&gt;&lt;hr/&gt;&lt;div&gt;&lt;h5&gt;&lt;b&gt;CASTING&lt;/b&gt;&lt;/h5&gt;&lt;/div&gt;&lt;hr/&gt;&lt;div&gt;&lt;h5&gt;&lt;b&gt;Casting Time &lt;/b&gt;1 standard action&lt;/h5&gt;&lt;h5&gt;&lt;b&gt;Components &lt;/b&gt;V, S, M (a silver needle costing 100 gp)&lt;/h5&gt;&lt;/div&gt;&lt;hr/&gt;&lt;div&gt;&lt;h5&gt;&lt;b&gt;EFFECT&lt;/b&gt;&lt;/h5&gt;&lt;/div&gt;&lt;hr/&gt;&lt;div&gt;&lt;h5&gt;&lt;b&gt;Range &lt;/b&gt;touch&lt;/h5&gt;&lt;h5&gt;&lt;b&gt;Targets &lt;/b&gt;humanoid creature touched&lt;/h5&gt;&lt;h5&gt;&lt;b&gt;Duration &lt;/b&gt;1 hour/level&lt;/h5&gt;&lt;h5&gt;&lt;b&gt;Saving Throw &lt;/b&gt;Fortitude negates; &lt;b&gt;Spell Resistance &lt;/b&gt;yes&lt;/h5&gt;&lt;/div&gt;&lt;hr/&gt;&lt;div&gt;&lt;h5&gt;&lt;b&gt;DESCRIPTION&lt;/b&gt;&lt;/h5&gt;&lt;/div&gt;&lt;hr/&gt;&lt;div&gt;&lt;h4&gt;&lt;p&gt;This spell functions as per &lt;i&gt;claim identity&lt;/i&gt;,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&lt;i&gt;claim identity&lt;/i&gt;, and reverts to its natural form upon removing the mask. Any damage dealt to the mask immediately ends this spell.&lt;/p&gt;&lt;/h4&gt;&lt;/div&gt;</t>
  </si>
  <si>
    <t>Egorian Diplomacy</t>
  </si>
  <si>
    <t>bard 1, cleric/oracle 1, inquisitor 1, magus 1, mesmerist 1, psychic 1</t>
  </si>
  <si>
    <t>V, S, M (a bent coin)</t>
  </si>
  <si>
    <t>instant; see text</t>
  </si>
  <si>
    <t>As part of casting this spell, you can attempt a single Intimidate skill check to make a target act friendly toward you. If you succeed, the target assists you normally, but Egorian diplomacy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Egorian diplomacy for 24 hours.</t>
  </si>
  <si>
    <t>&lt;p&gt;As part of casting this spell, you can attempt a single Intimidate skill check to make a target act friendly toward you. If you succeed, the target assists you normally, but &lt;i&gt;Egorian diplomacy&lt;/i&gt;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&lt;i&gt;Egorian diplomacy&lt;/i&gt; for 24 hours.&lt;/p&gt;</t>
  </si>
  <si>
    <t>&lt;link rel="stylesheet"href="PF.css"&gt;&lt;div class="heading"&gt;&lt;p class="alignleft"&gt;Egorian Diplomacy&lt;/p&gt;&lt;div style="clear: both;"&gt;&lt;/div&gt;&lt;/div&gt;&lt;div&gt;&lt;h5&gt;&lt;b&gt;School &lt;/b&gt;enchantment (compulsion) [mind-affecting]; &lt;b&gt;Level &lt;/b&gt;bard 1, cleric/oracle 1, inquisitor 1, magus 1, mesmerist 1, psychic 1&lt;/h5&gt;&lt;/div&gt;&lt;hr/&gt;&lt;div&gt;&lt;h5&gt;&lt;b&gt;CASTING&lt;/b&gt;&lt;/h5&gt;&lt;/div&gt;&lt;hr/&gt;&lt;div&gt;&lt;h5&gt;&lt;b&gt;Casting Time &lt;/b&gt;1 standard action&lt;/h5&gt;&lt;h5&gt;&lt;b&gt;Components &lt;/b&gt;V, S, M (a bent coin)&lt;/h5&gt;&lt;/div&gt;&lt;hr/&gt;&lt;div&gt;&lt;h5&gt;&lt;b&gt;EFFECT&lt;/b&gt;&lt;/h5&gt;&lt;/div&gt;&lt;hr/&gt;&lt;div&gt;&lt;h5&gt;&lt;b&gt;Range &lt;/b&gt;close (25 ft. + 5 ft./2 levels)&lt;/h5&gt;&lt;h5&gt;&lt;b&gt;Targets &lt;/b&gt;one creature&lt;/h5&gt;&lt;h5&gt;&lt;b&gt;Duration &lt;/b&gt;instant; see text&lt;/h5&gt;&lt;h5&gt;&lt;b&gt;Saving Throw &lt;/b&gt;Will negates; &lt;b&gt;Spell Resistance &lt;/b&gt;yes&lt;/h5&gt;&lt;/div&gt;&lt;hr/&gt;&lt;div&gt;&lt;h5&gt;&lt;b&gt;DESCRIPTION&lt;/b&gt;&lt;/h5&gt;&lt;/div&gt;&lt;hr/&gt;&lt;div&gt;&lt;h4&gt;&lt;p&gt;As part of casting this spell, you can attempt a single Intimidate skill check to make a target act friendly toward you. If you succeed, the target assists you normally, but &lt;i&gt;Egorian diplomacy&lt;/i&gt;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&lt;i&gt;Egorian diplomacy&lt;/i&gt; for 24 hours.&lt;/p&gt;&lt;/h4&gt;&lt;/div&gt;</t>
  </si>
  <si>
    <t>Garrulous Grin</t>
  </si>
  <si>
    <t>antipaladin 2, bard 2, inquisitor 2, mesmerist 2, psychic 2, shaman 2, spiritualist 2, witch 3</t>
  </si>
  <si>
    <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t>
  </si>
  <si>
    <t>&lt;p&gt;This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attitude.&lt;/p&gt;</t>
  </si>
  <si>
    <t>&lt;link rel="stylesheet"href="PF.css"&gt;&lt;div class="heading"&gt;&lt;p class="alignleft"&gt;Garrulous Grin&lt;/p&gt;&lt;div style="clear: both;"&gt;&lt;/div&gt;&lt;/div&gt;&lt;div&gt;&lt;h5&gt;&lt;b&gt;School &lt;/b&gt;necromancy [fear, mind-affecting]; &lt;b&gt;Level &lt;/b&gt;antipaladin 2, bard 2, inquisitor 2, mesmerist 2, psychic 2, shaman 2, spiritualist 2, witch 3&lt;/h5&gt;&lt;/div&gt;&lt;hr/&gt;&lt;div&gt;&lt;h5&gt;&lt;b&gt;CASTING&lt;/b&gt;&lt;/h5&gt;&lt;/div&gt;&lt;hr/&gt;&lt;div&gt;&lt;h5&gt;&lt;b&gt;Casting Time &lt;/b&gt;1 round&lt;/h5&gt;&lt;h5&gt;&lt;b&gt;Components &lt;/b&gt;S&lt;/h5&gt;&lt;/div&gt;&lt;hr/&gt;&lt;div&gt;&lt;h5&gt;&lt;b&gt;EFFECT&lt;/b&gt;&lt;/h5&gt;&lt;/div&gt;&lt;hr/&gt;&lt;div&gt;&lt;h5&gt;&lt;b&gt;Range &lt;/b&gt;close (25 ft. + 5 ft./2 levels)&lt;/h5&gt;&lt;h5&gt;&lt;b&gt;Targets &lt;/b&gt;one creature&lt;/h5&gt;&lt;h5&gt;&lt;b&gt;Duration &lt;/b&gt;1 hour/level (D)&lt;/h5&gt;&lt;h5&gt;&lt;b&gt;Saving Throw &lt;/b&gt;Will negates; &lt;b&gt;Spell Resistance &lt;/b&gt;yes&lt;/h5&gt;&lt;/div&gt;&lt;hr/&gt;&lt;div&gt;&lt;h5&gt;&lt;b&gt;DESCRIPTION&lt;/b&gt;&lt;/h5&gt;&lt;/div&gt;&lt;hr/&gt;&lt;div&gt;&lt;h4&gt;&lt;p&gt;This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attitude.&lt;/p&gt;&lt;/h4&gt;&lt;/div&gt;</t>
  </si>
  <si>
    <t>Insect Scouts</t>
  </si>
  <si>
    <t>antipaladin 4, bard 4, druid 2, inquisitor 3, psychic 4, ranger 2, shaman 2, sorcerer/wizard 3, summoner 3, witch 3</t>
  </si>
  <si>
    <t>S, M (a drop of honey)</t>
  </si>
  <si>
    <t>one insect scout/4 levels</t>
  </si>
  <si>
    <t>1d6 hours, plus 1 hour/level; see text</t>
  </si>
  <si>
    <t>A favorite in the creaking courts of Ustalav, insect scouts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t>
  </si>
  <si>
    <t>&lt;p&gt;A favorite in the creaking courts of Ustalav, &lt;i&gt;insect scouts&lt;/i&gt;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overhear.&lt;/p&gt;</t>
  </si>
  <si>
    <t>&lt;link rel="stylesheet"href="PF.css"&gt;&lt;div class="heading"&gt;&lt;p class="alignleft"&gt;Insect Scouts&lt;/p&gt;&lt;div style="clear: both;"&gt;&lt;/div&gt;&lt;/div&gt;&lt;div&gt;&lt;h5&gt;&lt;b&gt;School &lt;/b&gt;divination; &lt;b&gt;Level &lt;/b&gt;antipaladin 4, bard 4, druid 2, inquisitor 3, psychic 4, ranger 2, shaman 2, sorcerer/wizard 3, summoner 3, witch 3&lt;/h5&gt;&lt;/div&gt;&lt;hr/&gt;&lt;div&gt;&lt;h5&gt;&lt;b&gt;CASTING&lt;/b&gt;&lt;/h5&gt;&lt;/div&gt;&lt;hr/&gt;&lt;div&gt;&lt;h5&gt;&lt;b&gt;Casting Time &lt;/b&gt;1 round&lt;/h5&gt;&lt;h5&gt;&lt;b&gt;Components &lt;/b&gt;S, M (a drop of honey)&lt;/h5&gt;&lt;/div&gt;&lt;hr/&gt;&lt;div&gt;&lt;h5&gt;&lt;b&gt;EFFECT&lt;/b&gt;&lt;/h5&gt;&lt;/div&gt;&lt;hr/&gt;&lt;div&gt;&lt;h5&gt;&lt;b&gt;Range &lt;/b&gt;close (25 ft. + 5 ft./2 levels)&lt;/h5&gt;&lt;h5&gt;&lt;b&gt;Effect &lt;/b&gt;one insect scout/4 levels&lt;/h5&gt;&lt;h5&gt;&lt;b&gt;Duration &lt;/b&gt;1d6 hours, plus 1 hour/level; see text&lt;/h5&gt;&lt;h5&gt;&lt;b&gt;Saving Throw &lt;/b&gt;none; &lt;b&gt;Spell Resistance &lt;/b&gt;no&lt;/h5&gt;&lt;/div&gt;&lt;hr/&gt;&lt;div&gt;&lt;h5&gt;&lt;b&gt;DESCRIPTION&lt;/b&gt;&lt;/h5&gt;&lt;/div&gt;&lt;hr/&gt;&lt;div&gt;&lt;h4&gt;&lt;p&gt;A favorite in the creaking courts of Ustalav, &lt;i&gt;insect scouts&lt;/i&gt;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overhear.&lt;/p&gt;&lt;/h4&gt;&lt;/div&gt;</t>
  </si>
  <si>
    <t>Passing Fancy</t>
  </si>
  <si>
    <t>bard 2, mesmerist 2, psychic 2, sorcerer/wizard 2, witch 2</t>
  </si>
  <si>
    <t>4d4 rounds (D)</t>
  </si>
  <si>
    <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Passing fancy has no effect on a creature with an Intelligence of 2 or less.  Because the target talks and interacts with its usual cadence, onlookers take a -10 penalty on Sense Motive checks to notice that anything is amiss with the target's behavior.</t>
  </si>
  <si>
    <t>&lt;p&gt;Taldor's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&lt;i&gt;Passing fancy&lt;/i&gt; has no effect on a creature with an Intelligence of 2 or less.  Because the target talks and interacts with its usual cadence, onlookers take a -10 penalty on Sense Motive checks to notice that anything is amiss with the target's behavior.&lt;/p&gt;</t>
  </si>
  <si>
    <t>&lt;link rel="stylesheet"href="PF.css"&gt;&lt;div class="heading"&gt;&lt;p class="alignleft"&gt;Passing Fancy&lt;/p&gt;&lt;div style="clear: both;"&gt;&lt;/div&gt;&lt;/div&gt;&lt;div&gt;&lt;h5&gt;&lt;b&gt;School &lt;/b&gt;enchantment (compulsion) [mind-affecting]; &lt;b&gt;Level &lt;/b&gt;bard 2, mesmerist 2,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&lt;/b&gt;4d4 rounds (D)&lt;/h5&gt;&lt;h5&gt;&lt;b&gt;Saving Throw &lt;/b&gt;Will negates; &lt;b&gt;Spell Resistance &lt;/b&gt;yes&lt;/h5&gt;&lt;/div&gt;&lt;hr/&gt;&lt;div&gt;&lt;h5&gt;&lt;b&gt;DESCRIPTION&lt;/b&gt;&lt;/h5&gt;&lt;/div&gt;&lt;hr/&gt;&lt;div&gt;&lt;h4&gt;&lt;p&gt;Taldor's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&lt;i&gt;Passing fancy&lt;/i&gt; has no effect on a creature with an Intelligence of 2 or less.  Because the target talks and interacts with its usual cadence, onlookers take a -10 penalty on Sense Motive checks to notice that anything is amiss with the target's behavior.&lt;/p&gt;&lt;/h4&gt;&lt;/div&gt;</t>
  </si>
  <si>
    <t>Passing Fancy, Mass</t>
  </si>
  <si>
    <t>This spell functions as per passing fancy except as noted above.</t>
  </si>
  <si>
    <t>&lt;p&gt;This spell functions as per &lt;i&gt;passing fancy&lt;/i&gt; except as noted above.&lt;/p&gt;</t>
  </si>
  <si>
    <t>&lt;link rel="stylesheet"href="PF.css"&gt;&lt;div class="heading"&gt;&lt;p class="alignleft"&gt;Passing Fancy, Mass&lt;/p&gt;&lt;div style="clear: both;"&gt;&lt;/div&gt;&lt;/div&gt;&lt;div&gt;&lt;h5&gt;&lt;b&gt;School &lt;/b&gt;enchantment (compulsion) [mind-affecting]; &lt;b&gt;Level &lt;/b&gt;bard 4, mesmerist 4, psychic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30 ft. apart&lt;/h5&gt;&lt;h5&gt;&lt;b&gt;Duration &lt;/b&gt;4d4 rounds (D)&lt;/h5&gt;&lt;h5&gt;&lt;b&gt;Saving Throw &lt;/b&gt;Will negates; &lt;b&gt;Spell Resistance &lt;/b&gt;yes&lt;/h5&gt;&lt;/div&gt;&lt;hr/&gt;&lt;div&gt;&lt;h5&gt;&lt;b&gt;DESCRIPTION&lt;/b&gt;&lt;/h5&gt;&lt;/div&gt;&lt;hr/&gt;&lt;div&gt;&lt;h4&gt;&lt;p&gt;This spell functions as per &lt;i&gt;passing fancy&lt;/i&gt; except as noted above.&lt;/p&gt;&lt;/h4&gt;&lt;/div&gt;</t>
  </si>
  <si>
    <t>Scribe's Binding</t>
  </si>
  <si>
    <t>occultist 6, sorcerer/wizard 9, witch 9</t>
  </si>
  <si>
    <t>V, S, F (a book bound in precious metals and treated with rare oils, worth 1,000 gp per HD of the target)</t>
  </si>
  <si>
    <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modify memory spell-appear in a subtly different script; a successful DC 35 Linguistics check is needed to identify this.  Spells that modify or remove text-such as erase or secret page-also affect the target's memory if they persist after its release. Modify memory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freedom, miracle, or wish. Polymorph any object restores the target's normal form for 24 hours. Scribe's binding makes the imprisoning tome supernaturally durable (hardness 20, 10 hp per HD the imprisoned creature had). Destroying the tome immediately slays the creature imprisoned within.</t>
  </si>
  <si>
    <t>&lt;p&gt;Hermea's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&lt;i&gt;modify memory&lt;/i&gt; spell-appear in a subtly different script; a successful DC 35 Linguistics check is needed to identify this.  Spells that modify or remove text-such as &lt;i&gt;erase&lt;/i&gt; or &lt;i&gt;secret page&lt;/i&gt;-also affect the target's memory if they persist after its release. &lt;i&gt;Modify memory&lt;/i&gt;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&lt;i&gt;freedom&lt;/i&gt;, &lt;i&gt;miracle&lt;/i&gt;, or &lt;i&gt;wish&lt;/i&gt;. &lt;i&gt;Polymorph any object&lt;/i&gt; restores the target's normal form for 24 hours. Scribe's binding makes the imprisoning tome supernaturally durable (hardness 20, 10 hp per HD the imprisoned creature had). Destroying the tome immediately slays the creature imprisoned within.&lt;/p&gt;</t>
  </si>
  <si>
    <t>&lt;link rel="stylesheet"href="PF.css"&gt;&lt;div class="heading"&gt;&lt;p class="alignleft"&gt;Scribe's Binding&lt;/p&gt;&lt;div style="clear: both;"&gt;&lt;/div&gt;&lt;/div&gt;&lt;div&gt;&lt;h5&gt;&lt;b&gt;School &lt;/b&gt;transmutation (polymorph); &lt;b&gt;Level &lt;/b&gt;occultist 6, sorcerer/wizard 9, witch 9&lt;/h5&gt;&lt;/div&gt;&lt;hr/&gt;&lt;div&gt;&lt;h5&gt;&lt;b&gt;CASTING&lt;/b&gt;&lt;/h5&gt;&lt;/div&gt;&lt;hr/&gt;&lt;div&gt;&lt;h5&gt;&lt;b&gt;Casting Time &lt;/b&gt;1 standard action&lt;/h5&gt;&lt;h5&gt;&lt;b&gt;Components &lt;/b&gt;V, S, F (a book bound in precious metals and treated with rare oils, worth 1,000 gp per HD of the target)&lt;/h5&gt;&lt;/div&gt;&lt;hr/&gt;&lt;div&gt;&lt;h5&gt;&lt;b&gt;EFFECT&lt;/b&gt;&lt;/h5&gt;&lt;/div&gt;&lt;hr/&gt;&lt;div&gt;&lt;h5&gt;&lt;b&gt;Range &lt;/b&gt;close (25 ft. + 5 ft./2 levels)&lt;/h5&gt;&lt;h5&gt;&lt;b&gt;Targets &lt;/b&gt;creature touched&lt;/h5&gt;&lt;h5&gt;&lt;b&gt;Duration &lt;/b&gt;permanent&lt;/h5&gt;&lt;h5&gt;&lt;b&gt;Saving Throw &lt;/b&gt;Fortitude negates; &lt;b&gt;Spell Resistance &lt;/b&gt;yes&lt;/h5&gt;&lt;/div&gt;&lt;hr/&gt;&lt;div&gt;&lt;h5&gt;&lt;b&gt;DESCRIPTION&lt;/b&gt;&lt;/h5&gt;&lt;/div&gt;&lt;hr/&gt;&lt;div&gt;&lt;h4&gt;&lt;p&gt;Hermea's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&lt;i&gt;modify memory&lt;/i&gt; spell-appear in a subtly different script; a successful DC 35 Linguistics check is needed to identify this.  Spells that modify or remove text-such as &lt;i&gt;erase&lt;/i&gt; or &lt;i&gt;secret page&lt;/i&gt;-also affect the target's memory if they persist after its release. &lt;i&gt;Modify memory&lt;/i&gt;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&lt;i&gt;freedom&lt;/i&gt;, &lt;i&gt;miracle&lt;/i&gt;, or &lt;i&gt;wish&lt;/i&gt;. &lt;i&gt;Polymorph any object&lt;/i&gt; restores the target's normal form for 24 hours. Scribe's binding makes the imprisoning tome supernaturally durable (hardness 20, 10 hp per HD the imprisoned creature had). Destroying the tome immediately slays the creature imprisoned within.&lt;/p&gt;&lt;/h4&gt;&lt;/div&gt;</t>
  </si>
  <si>
    <t>Apsu's Shining Scales</t>
  </si>
  <si>
    <t>draconic, good</t>
  </si>
  <si>
    <t>alchemist 3, bloodrager 3, medium 3, sorcerer/wizard 3</t>
  </si>
  <si>
    <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elixir of dragon breath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t>
  </si>
  <si>
    <t>&lt;p&gt;You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&lt;i&gt;elixir of dragon breath&lt;/i&gt;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spell.&lt;/p&gt;</t>
  </si>
  <si>
    <t>Legacy Of Dragons</t>
  </si>
  <si>
    <t>&lt;link rel="stylesheet"href="PF.css"&gt;&lt;div class="heading"&gt;&lt;p class="alignleft"&gt;Apsu's Shining Scales&lt;/p&gt;&lt;div style="clear: both;"&gt;&lt;/div&gt;&lt;/div&gt;&lt;div&gt;&lt;h5&gt;&lt;b&gt;School &lt;/b&gt;evocation [draconic, good]; &lt;b&gt;Level &lt;/b&gt;alchemist 3, bloodrager 3, medium 3, sorcerer/wizard 3&lt;/h5&gt;&lt;/div&gt;&lt;hr/&gt;&lt;div&gt;&lt;h5&gt;&lt;b&gt;CASTING&lt;/b&gt;&lt;/h5&gt;&lt;/div&gt;&lt;hr/&gt;&lt;div&gt;&lt;h5&gt;&lt;b&gt;Casting Time &lt;/b&gt;1 standard action&lt;/h5&gt;&lt;h5&gt;&lt;b&gt;Components &lt;/b&gt;V, S, M (a drop of mercury)&lt;/h5&gt;&lt;/div&gt;&lt;hr/&gt;&lt;div&gt;&lt;h5&gt;&lt;b&gt;EFFECT&lt;/b&gt;&lt;/h5&gt;&lt;/div&gt;&lt;hr/&gt;&lt;div&gt;&lt;h5&gt;&lt;b&gt;Range &lt;/b&gt;personal&lt;/h5&gt;&lt;h5&gt;&lt;b&gt;Targets &lt;/b&gt;you&lt;/h5&gt;&lt;h5&gt;&lt;b&gt;Duration &lt;/b&gt;1 minute/level&lt;/h5&gt;&lt;h5&gt;&lt;b&gt;Saving Throw &lt;/b&gt;Will negates (harmless); &lt;b&gt;Spell Resistance &lt;/b&gt;no&lt;/h5&gt;&lt;/div&gt;&lt;hr/&gt;&lt;div&gt;&lt;h5&gt;&lt;b&gt;DESCRIPTION&lt;/b&gt;&lt;/h5&gt;&lt;/div&gt;&lt;hr/&gt;&lt;div&gt;&lt;h4&gt;&lt;p&gt;You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&lt;i&gt;elixir of dragon breath&lt;/i&gt;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spell.&lt;/p&gt;&lt;/h4&gt;&lt;/div&gt;</t>
  </si>
  <si>
    <t>Dahak's Release</t>
  </si>
  <si>
    <t>draconic, evil, mind-affecting</t>
  </si>
  <si>
    <t>mesmerist 5, occultist 5, shaman 5, sorcerer/wizard 5, witch 5</t>
  </si>
  <si>
    <t>V, S, M (a dried drop of blood)</t>
  </si>
  <si>
    <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d% Behavior  1-25 Target attacks the creature nearest to it.  26-75 Target attacks its nearest ally.  76-100 Target always attacks the last creature to attack it.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confusion and rage-any creature immune to confusion or rage is immune to this spell, and any ability or effect that ends confusion or rage (such as calm emotions) can end this spell.  Antipaladins, bloodragers, clerics, and inquisitors who worship Dahak add Dahak's release to their spell lists as a 4th-level spell.</t>
  </si>
  <si>
    <t>&lt;p&gt;You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&lt;table border ='1'&gt;&lt;tr&gt;&lt;th&gt;d%&lt;/th&gt;&lt;th&gt;Behavior&lt;/th&gt;&lt;/tr&gt;&lt;tr&gt;&lt;td&gt;1-25&lt;/td&gt;&lt;td&gt;Target attacks the creature nearest to it.&lt;/td&gt;&lt;/tr&gt;&lt;tr&gt;&lt;td&gt;26-75&lt;/td&gt;&lt;td&gt;Target attacks its nearest ally.&lt;/td&gt;&lt;/tr&gt;&lt;tr&gt;&lt;td&gt;76-100&lt;/td&gt;&lt;td&gt;Target always attacks the last creature to attack it.&lt;/td&gt;&lt;/tr&gt;&lt;/table&gt;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&lt;i&gt;confusion&lt;/i&gt; and &lt;i&gt;rage&lt;/i&gt;-any creature immune to &lt;i&gt;confusion&lt;/i&gt; or &lt;i&gt;rage&lt;/i&gt; is immune to this spell, and any ability or effect that ends &lt;i&gt;confusion&lt;/i&gt; or &lt;i&gt;rage&lt;/i&gt; (such as &lt;i&gt;calm&lt;/i&gt; emotions) can end this spell.  Antipaladins, blood&lt;i&gt;rage&lt;/i&gt;rs, clerics, and inquisitors who worship Dahak add Dahak's release to their spell lists as a 4th-level spell.&lt;/p&gt;</t>
  </si>
  <si>
    <t>&lt;link rel="stylesheet"href="PF.css"&gt;&lt;div class="heading"&gt;&lt;p class="alignleft"&gt;Dahak's Release&lt;/p&gt;&lt;div style="clear: both;"&gt;&lt;/div&gt;&lt;/div&gt;&lt;div&gt;&lt;h5&gt;&lt;b&gt;School &lt;/b&gt;enchantment (compulsion) [draconic, evil, mind-affecting]; &lt;b&gt;Level &lt;/b&gt;mesmerist 5, occultist 5, shaman 5, sorcerer/wizard 5, witch 5&lt;/h5&gt;&lt;/div&gt;&lt;hr/&gt;&lt;div&gt;&lt;h5&gt;&lt;b&gt;CASTING&lt;/b&gt;&lt;/h5&gt;&lt;/div&gt;&lt;hr/&gt;&lt;div&gt;&lt;h5&gt;&lt;b&gt;Casting Time &lt;/b&gt;1 standard action&lt;/h5&gt;&lt;h5&gt;&lt;b&gt;Components &lt;/b&gt;V, S, M (a dried drop of blood)&lt;/h5&gt;&lt;/div&gt;&lt;hr/&gt;&lt;div&gt;&lt;h5&gt;&lt;b&gt;EFFECT&lt;/b&gt;&lt;/h5&gt;&lt;/div&gt;&lt;hr/&gt;&lt;div&gt;&lt;h5&gt;&lt;b&gt;Range &lt;/b&gt;touch&lt;/h5&gt;&lt;h5&gt;&lt;b&gt;Targets &lt;/b&gt;creature touched&lt;/h5&gt;&lt;h5&gt;&lt;b&gt;Duration &lt;/b&gt;1 round/level&lt;/h5&gt;&lt;h5&gt;&lt;b&gt;Saving Throw &lt;/b&gt;Will negates; &lt;b&gt;Spell Resistance &lt;/b&gt;yes&lt;/h5&gt;&lt;/div&gt;&lt;hr/&gt;&lt;div&gt;&lt;h5&gt;&lt;b&gt;DESCRIPTION&lt;/b&gt;&lt;/h5&gt;&lt;/div&gt;&lt;hr/&gt;&lt;div&gt;&lt;h4&gt;&lt;p&gt;You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&lt;table border ='1'&gt;&lt;tr&gt;&lt;th&gt;d%&lt;/th&gt;&lt;th&gt;Behavior&lt;/th&gt;&lt;/tr&gt;&lt;tr&gt;&lt;td&gt;1-25&lt;/td&gt;&lt;td&gt;Target attacks the creature nearest to it.&lt;/td&gt;&lt;/tr&gt;&lt;tr&gt;&lt;td&gt;26-75&lt;/td&gt;&lt;td&gt;Target attacks its nearest ally.&lt;/td&gt;&lt;/tr&gt;&lt;tr&gt;&lt;td&gt;76-100&lt;/td&gt;&lt;td&gt;Target always attacks the last creature to attack it.&lt;/td&gt;&lt;/tr&gt;&lt;/table&gt;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&lt;i&gt;confusion&lt;/i&gt; and &lt;i&gt;rage&lt;/i&gt;-any creature immune to &lt;i&gt;confusion&lt;/i&gt; or &lt;i&gt;rage&lt;/i&gt; is immune to this spell, and any ability or effect that ends &lt;i&gt;confusion&lt;/i&gt; or &lt;i&gt;rage&lt;/i&gt; (such as &lt;i&gt;calm&lt;/i&gt; emotions) can end this spell.  Antipaladins, blood&lt;i&gt;rage&lt;/i&gt;rs, clerics, and inquisitors who worship Dahak add Dahak's release to their spell lists as a 4th-level spell.&lt;/p&gt;&lt;/h4&gt;&lt;/div&gt;</t>
  </si>
  <si>
    <t>Draconic Ally</t>
  </si>
  <si>
    <t>antipaladin 3, bloodrager 3, paladin 3, psychic 3, occultist 3, sorcerer/wizard 3, spiritualist 3, summoner 3</t>
  </si>
  <si>
    <t>V, S, M (a scale from a dragon and 250 gp)</t>
  </si>
  <si>
    <t>one intelligent draconic servant</t>
  </si>
  <si>
    <t>You create a semi-living intelligent draconic servant that loyally obeys and serves you. Treat this servant as a pseudodragon with all of the abilities granted by one of the following spells: form of the alien dragon I, form of the dragon I, or form of the exotic dragon I. Your draconic ally can use its breath weapon once per day. Once conjured, the creature is not limited to the spell's range, and can go a considerable distance to carry out missions at your command. The draconic ally speaks one language of your choice that you know. You cannot have more than one draconic ally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draconic ally to their spell lists as a 3rd-level spell.</t>
  </si>
  <si>
    <t>&lt;p&gt;You create a semi-living intelligent draconic servant that loyally obeys and serves you. Treat this servant as a pseudodragon with all of the abilities granted by one of the following spells: &lt;i&gt;form of the alien dragon I&lt;/i&gt;, &lt;i&gt;form of the dragon I&lt;/i&gt;, or &lt;i&gt;form of the exotic dragon I&lt;/i&gt;. Your &lt;i&gt;draconic ally&lt;/i&gt; can use its breath weapon once per day. Once conjured, the creature is not limited to the spell's range, and can go a considerable distance to carry out missions at your command. The &lt;i&gt;draconic ally&lt;/i&gt; speaks one language of your choice that you know. You cannot have more than one &lt;i&gt;draconic ally&lt;/i&gt;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&lt;i&gt;draconic ally&lt;/i&gt; to their spell lists as a 3rd-level spell.&lt;/p&gt;</t>
  </si>
  <si>
    <t>&lt;link rel="stylesheet"href="PF.css"&gt;&lt;div class="heading"&gt;&lt;p class="alignleft"&gt;Draconic Ally&lt;/p&gt;&lt;div style="clear: both;"&gt;&lt;/div&gt;&lt;/div&gt;&lt;div&gt;&lt;h5&gt;&lt;b&gt;School &lt;/b&gt;conjuration (creation) [draconic]; &lt;b&gt;Level &lt;/b&gt;antipaladin 3, bloodrager 3, paladin 3, psychic 3, occultist 3, sorcerer/wizard 3, spiritualist 3, summoner 3&lt;/h5&gt;&lt;/div&gt;&lt;hr/&gt;&lt;div&gt;&lt;h5&gt;&lt;b&gt;CASTING&lt;/b&gt;&lt;/h5&gt;&lt;/div&gt;&lt;hr/&gt;&lt;div&gt;&lt;h5&gt;&lt;b&gt;Casting Time &lt;/b&gt;10 minutes&lt;/h5&gt;&lt;h5&gt;&lt;b&gt;Components &lt;/b&gt;V, S, M (a scale from a dragon and 250 gp)&lt;/h5&gt;&lt;/div&gt;&lt;hr/&gt;&lt;div&gt;&lt;h5&gt;&lt;b&gt;EFFECT&lt;/b&gt;&lt;/h5&gt;&lt;/div&gt;&lt;hr/&gt;&lt;div&gt;&lt;h5&gt;&lt;b&gt;Range &lt;/b&gt;close (25 ft. + 5 ft./2 levels)&lt;/h5&gt;&lt;h5&gt;&lt;b&gt;Effect &lt;/b&gt;one intelligent draconic servant&lt;/h5&gt;&lt;h5&gt;&lt;b&gt;Duration &lt;/b&gt;1 day/level (D)&lt;/h5&gt;&lt;h5&gt;&lt;b&gt;Saving Throw &lt;/b&gt;none; &lt;b&gt;Spell Resistance &lt;/b&gt;no&lt;/h5&gt;&lt;/div&gt;&lt;hr/&gt;&lt;div&gt;&lt;h5&gt;&lt;b&gt;DESCRIPTION&lt;/b&gt;&lt;/h5&gt;&lt;/div&gt;&lt;hr/&gt;&lt;div&gt;&lt;h4&gt;&lt;p&gt;You create a semi-living intelligent draconic servant that loyally obeys and serves you. Treat this servant as a pseudodragon with all of the abilities granted by one of the following spells: &lt;i&gt;form of the alien dragon I&lt;/i&gt;, &lt;i&gt;form of the dragon I&lt;/i&gt;, or &lt;i&gt;form of the exotic dragon I&lt;/i&gt;. Your &lt;i&gt;draconic ally&lt;/i&gt; can use its breath weapon once per day. Once conjured, the creature is not limited to the spell's range, and can go a considerable distance to carry out missions at your command. The &lt;i&gt;draconic ally&lt;/i&gt; speaks one language of your choice that you know. You cannot have more than one &lt;i&gt;draconic ally&lt;/i&gt;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&lt;i&gt;draconic ally&lt;/i&gt; to their spell lists as a 3rd-level spell.&lt;/p&gt;&lt;/h4&gt;&lt;/div&gt;</t>
  </si>
  <si>
    <t>Draconic Malice</t>
  </si>
  <si>
    <t>antipaladin 3, bard 3, bloodrager 3, cleric/oracle 3, inquisitor 3, mesmerist 3, psychic 3, shaman 3, sorcerer/wizard 3, witch 3</t>
  </si>
  <si>
    <t>10-foot aura centered on you</t>
  </si>
  <si>
    <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t>
  </si>
  <si>
    <t>&lt;p&gt;You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duration.&lt;/p&gt;</t>
  </si>
  <si>
    <t>&lt;link rel="stylesheet"href="PF.css"&gt;&lt;div class="heading"&gt;&lt;p class="alignleft"&gt;Draconic Malice&lt;/p&gt;&lt;div style="clear: both;"&gt;&lt;/div&gt;&lt;/div&gt;&lt;div&gt;&lt;h5&gt;&lt;b&gt;School &lt;/b&gt;enchantment [draconic]; &lt;b&gt;Level &lt;/b&gt;antipaladin 3, bard 3, bloodrager 3, cleric/oracle 3, inquisitor 3, mesmerist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&lt;/b&gt;you&lt;/h5&gt;&lt;h5&gt;&lt;b&gt;Effect &lt;/b&gt;10-foot aura centered on you&lt;/h5&gt;&lt;h5&gt;&lt;b&gt;Duration &lt;/b&gt;1 minute/level&lt;/h5&gt;&lt;h5&gt;&lt;b&gt;Saving Throw &lt;/b&gt;Will negates (harmless); &lt;b&gt;Spell Resistance &lt;/b&gt;no&lt;/h5&gt;&lt;/div&gt;&lt;hr/&gt;&lt;div&gt;&lt;h5&gt;&lt;b&gt;DESCRIPTION&lt;/b&gt;&lt;/h5&gt;&lt;/div&gt;&lt;hr/&gt;&lt;div&gt;&lt;h4&gt;&lt;p&gt;You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duration.&lt;/p&gt;&lt;/h4&gt;&lt;/div&gt;</t>
  </si>
  <si>
    <t>Form Of The Alien Dragon I</t>
  </si>
  <si>
    <t>alchemist 6, magus 6, psychic 7, sorcerer/wizard 6</t>
  </si>
  <si>
    <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Astral Dragon: 30-foot cone of force (damage dice are d4s instead of d8s), psychic resilience (Pathfinder RPG Bestiary 5 297).  Dream Dragon: 30-foot cone of electricity, dream fortress, dreamsight (Bestiary 5 90).  Etheric Dragon: 30-foot line of force (damage dice are d4s instead of d8s), gaseous form (only when taking no actions other than move actions for a round, and only for a maximum of 1 round/caster level for each casting of form of the alien dragon).  Lunar Dragon: 60-foot line of cold, cold resistance 20, burrow 20 feet.  Nightmare Dragon: 30-foot cone of acid, see in darkness, +4 on saves vs. mind-affecting effects.  Occult Dragon: 30-foot cone of cold or fire, +4 resistance bonus on saving throws against evil spells and effects, natural armor bonus to AC increases to +6.  Solar Dragon: 60-foot line of fire, fire resistance 30, vulnerability to cold.  Time Dragon: 30-foot cone of electricity, cold resistance 20, +4 bonus on initiative checks.  Void Dragon: 30-foot cone of cold, cold resistance 20, +4 bonus on saves vs. emotion spells and effects.  Vortex Dragon: 30-foot cone of fire, fire resistance 30, vulnerability to cold.</t>
  </si>
  <si>
    <t>&lt;p&gt;You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&lt;br&gt;&lt;b&gt;Astral&lt;/b&gt; &lt;b&gt;Dragon&lt;/b&gt;: 30-foot cone of force (damage dice are d4s instead of d8s), psychic resilience (&lt;i&gt;Pathfinder RPG &lt;i&gt;Bestiary 5&lt;/i&gt;&lt;/i&gt; 297).  &lt;br&gt;&lt;b&gt;Dream&lt;/b&gt; &lt;b&gt;Dragon&lt;/b&gt;: 30-foot cone of electricity, dream fortress, dreamsight (&lt;i&gt;Bestiary 5&lt;/i&gt; 90).  &lt;br&gt;&lt;b&gt;Etheric Dragon&lt;/b&gt;: 30-foot line of force (damage dice are d4s instead of d8s), &lt;i&gt;gaseous form&lt;/i&gt; (only when taking no actions other than move actions for a round, and only for a maximum of 1 round/caster level for each casting of &lt;i&gt;form of the alien&lt;/i&gt; dragon).  &lt;br&gt;&lt;b&gt;Lunar Dragon&lt;/b&gt;: 60-foot line of cold, cold resistance 20, burrow 20 feet.  &lt;br&gt;&lt;b&gt;Nightmare Dragon&lt;/b&gt;: 30-foot cone of acid, see in darkness, +4 on saves vs. mind-affecting effects.  &lt;br&gt;&lt;b&gt;Occult Dragon&lt;/b&gt;: 30-foot cone of cold or fire, +4 resistance bonus on saving throws against evil spells and effects, natural armor bonus to AC increases to +6.  &lt;br&gt;&lt;b&gt;Solar Dragon&lt;/b&gt;: 60-foot line of fire, fire resistance 30, vulnerability to cold.  &lt;br&gt;&lt;b&gt;Time Dragon&lt;/b&gt;: 30-foot cone of electricity, cold resistance 20, +4 bonus on initiative checks.  &lt;br&gt;&lt;b&gt;Void Dragon&lt;/b&gt;: 30-foot cone of cold, cold resistance 20, +4 bonus on saves vs. emotion spells and effects.  &lt;br&gt;&lt;b&gt;Vortex Dragon&lt;/b&gt;: 30-foot cone of fire, fire resistance 30, vulnerability to cold.&lt;/p&gt;</t>
  </si>
  <si>
    <t>&lt;link rel="stylesheet"href="PF.css"&gt;&lt;div class="heading"&gt;&lt;p class="alignleft"&gt;Form Of The Alien Dragon I&lt;/p&gt;&lt;div style="clear: both;"&gt;&lt;/div&gt;&lt;/div&gt;&lt;div&gt;&lt;h5&gt;&lt;b&gt;School &lt;/b&gt;transmutation (polymorph); &lt;b&gt;Level &lt;/b&gt;alchemist 6, magus 6, psychic 7, sorcerer/wizard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&lt;br&gt;&lt;b&gt;Astral&lt;/b&gt; &lt;b&gt;Dragon&lt;/b&gt;: 30-foot cone of force (damage dice are d4s instead of d8s), psychic resilience (&lt;i&gt;Pathfinder RPG &lt;i&gt;Bestiary 5&lt;/i&gt;&lt;/i&gt; 297).  &lt;br&gt;&lt;b&gt;Dream&lt;/b&gt; &lt;b&gt;Dragon&lt;/b&gt;: 30-foot cone of electricity, dream fortress, dreamsight (&lt;i&gt;Bestiary 5&lt;/i&gt; 90).  &lt;br&gt;&lt;b&gt;Etheric Dragon&lt;/b&gt;: 30-foot line of force (damage dice are d4s instead of d8s), &lt;i&gt;gaseous form&lt;/i&gt; (only when taking no actions other than move actions for a round, and only for a maximum of 1 round/caster level for each casting of &lt;i&gt;form of the alien&lt;/i&gt; dragon).  &lt;br&gt;&lt;b&gt;Lunar Dragon&lt;/b&gt;: 60-foot line of cold, cold resistance 20, burrow 20 feet.  &lt;br&gt;&lt;b&gt;Nightmare Dragon&lt;/b&gt;: 30-foot cone of acid, see in darkness, +4 on saves vs. mind-affecting effects.  &lt;br&gt;&lt;b&gt;Occult Dragon&lt;/b&gt;: 30-foot cone of cold or fire, +4 resistance bonus on saving throws against evil spells and effects, natural armor bonus to AC increases to +6.  &lt;br&gt;&lt;b&gt;Solar Dragon&lt;/b&gt;: 60-foot line of fire, fire resistance 30, vulnerability to cold.  &lt;br&gt;&lt;b&gt;Time Dragon&lt;/b&gt;: 30-foot cone of electricity, cold resistance 20, +4 bonus on initiative checks.  &lt;br&gt;&lt;b&gt;Void Dragon&lt;/b&gt;: 30-foot cone of cold, cold resistance 20, +4 bonus on saves vs. emotion spells and effects.  &lt;br&gt;&lt;b&gt;Vortex Dragon&lt;/b&gt;: 30-foot cone of fire, fire resistance 30, vulnerability to cold.&lt;/p&gt;&lt;/h4&gt;&lt;/div&gt;</t>
  </si>
  <si>
    <t>Form Of The Alien Dragon II</t>
  </si>
  <si>
    <t>psychic 8, sorcerer/wizard 7</t>
  </si>
  <si>
    <t>This spell functions as per form of the alien dragon I,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t>
  </si>
  <si>
    <t>&lt;p&gt;This spell functions as per &lt;i&gt;form of the alien dragon I&lt;/i&gt;,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cones.&lt;/p&gt;</t>
  </si>
  <si>
    <t>&lt;link rel="stylesheet"href="PF.css"&gt;&lt;div class="heading"&gt;&lt;p class="alignleft"&gt;Form Of The Alien Dragon II&lt;/p&gt;&lt;div style="clear: both;"&gt;&lt;/div&gt;&lt;/div&gt;&lt;div&gt;&lt;h5&gt;&lt;b&gt;School &lt;/b&gt;transmutation (polymorph); &lt;b&gt;Level &lt;/b&gt;psychic 8, 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&lt;/b&gt;no&lt;/h5&gt;&lt;/div&gt;&lt;hr/&gt;&lt;div&gt;&lt;h5&gt;&lt;b&gt;DESCRIPTION&lt;/b&gt;&lt;/h5&gt;&lt;/div&gt;&lt;hr/&gt;&lt;div&gt;&lt;h4&gt;&lt;p&gt;This spell functions as per &lt;i&gt;form of the alien dragon I&lt;/i&gt;,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cones.&lt;/p&gt;&lt;/h4&gt;&lt;/div&gt;</t>
  </si>
  <si>
    <t>Form Of The Alien Dragon III</t>
  </si>
  <si>
    <t>psychic 9, sorcerer/wizard 8</t>
  </si>
  <si>
    <t>This spell functions as per form of the alien dragon II,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form of the alien dragon I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</si>
  <si>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alien dragon I&lt;/i&gt;I&lt;/i&gt;,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&lt;i&gt;form of the alien dragon I&lt;/i&gt;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</si>
  <si>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&lt;link rel="stylesheet"href="PF.css"&gt;&lt;div class="heading"&gt;&lt;p class="alignleft"&gt;Form Of The Alien Dragon III&lt;/p&gt;&lt;div style="clear: both;"&gt;&lt;/div&gt;&lt;/div&gt;&lt;div&gt;&lt;h5&gt;&lt;b&gt;School &lt;/b&gt;transmutation (polymorph); &lt;b&gt;Level &lt;/b&gt;psychic 9, 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&lt;/b&gt;no&lt;/h5&gt;&lt;/div&gt;&lt;hr/&gt;&lt;div&gt;&lt;h5&gt;&lt;b&gt;DESCRIPTION&lt;/b&gt;&lt;/h5&gt;&lt;/div&gt;&lt;hr/&gt;&lt;div&gt;&lt;h4&gt;&lt;p&gt;This spell functions as per &lt;i&gt;&lt;i&gt;form of the alien dragon I&lt;/i&gt;I&lt;/i&gt;,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&lt;i&gt;form of the alien dragon I&lt;/i&gt;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cones.&lt;/p&gt;&lt;/h4&gt;&lt;/div&gt;</t>
  </si>
  <si>
    <t>Form Of The Exotic Dragon I</t>
  </si>
  <si>
    <t>alchemist 6, druid 7, sorcerer/wizard 6</t>
  </si>
  <si>
    <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Brine Dragon: 60-foot line of acid, acid resistance 20, swim 60 feet.  Cloud Dragon: 30-foot cone of electricity, electricity resistance 20, swim 40 feet.  Crystal Dragon: 30-foot cone of sonic (damage dice are d6s instead of d8s), sonic resistance 20, climb 20 feet, burrow 20 feet.  Forest Dragon: 30-foot cone of piercing, burrow 20 feet, climb 30 feet.  Magma Dragon: 30-foot cone of fire, fire resistance 30, vulnerability to cold.  Sea Dragon: 30-foot cone of fire, electricity resistance 20, swim 40 feet.  Sky Dragon: 30-foot cone of electricity, electricity resistance 20, improve fly speed maneuverability to average.  Sovereign Dragon: 30-foot cone of sonic (damage dice are d6s instead of d8s), spell resistance equal to 13 + the spell's level.  Umbral Dragon: 30-foot cone of negative energy (damage dice are d6s instead of d8s; doesn't heal undead creatures), cold resistance 20, +4 on saves vs. death effects.  Underworld Dragon: 30-foot cone of fire, fire resistance 20, vulnerability to cold, burrow 20 feet.</t>
  </si>
  <si>
    <t>&lt;p&gt;You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&lt;br&gt;&lt;b&gt;Brine Dragon&lt;/b&gt;: 60-foot line of acid, acid resistance 20, swim 60 feet.  &lt;br&gt;&lt;b&gt;Cloud Dragon&lt;/b&gt;: 30-foot cone of electricity, electricity resistance 20, swim 40 feet.  &lt;br&gt;&lt;b&gt;Crystal Dragon&lt;/b&gt;: 30-foot cone of sonic (damage dice are d6s instead of d8s), sonic resistance 20, climb 20 feet, burrow 20 feet.  &lt;br&gt;&lt;b&gt;Forest Dragon&lt;/b&gt;: 30-foot cone of piercing, burrow 20 feet, climb 30 feet.  &lt;br&gt;&lt;b&gt;Magma Dragon&lt;/b&gt;: 30-foot cone of fire, fire resistance 30, vulnerability to cold.  &lt;br&gt;&lt;b&gt;Sea Dragon&lt;/b&gt;: 30-foot cone of fire, electricity resistance 20, swim 40 feet.  &lt;br&gt;&lt;b&gt;Sky Dragon&lt;/b&gt;: 30-foot cone of electricity, electricity resistance 20, improve fly speed maneuverability to average.  &lt;br&gt;&lt;b&gt;Sovereign Dragon&lt;/b&gt;: 30-foot cone of sonic (damage dice are d6s instead of d8s), spell resistance equal to 13 + the spell's level.  &lt;br&gt;&lt;b&gt;Umbral Dragon&lt;/b&gt;: 30-foot cone of negative energy (damage dice are d6s instead of d8s; doesn't heal undead creatures), cold resistance 20, +4 on saves vs. death effects.  &lt;br&gt;&lt;b&gt;Underworld Dragon&lt;/b&gt;: 30-foot cone of fire, fire resistance 20, vulnerability to cold, burrow 20 feet.&lt;/p&gt;</t>
  </si>
  <si>
    <t>&lt;link rel="stylesheet"href="PF.css"&gt;&lt;div class="heading"&gt;&lt;p class="alignleft"&gt;Form Of The Exotic Dragon I&lt;/p&gt;&lt;div style="clear: both;"&gt;&lt;/div&gt;&lt;/div&gt;&lt;div&gt;&lt;h5&gt;&lt;b&gt;School &lt;/b&gt;transmutation (polymorph); &lt;b&gt;Level &lt;/b&gt;alchemist 6, druid 7, sorcerer/wizard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&lt;br&gt;&lt;b&gt;Brine Dragon&lt;/b&gt;: 60-foot line of acid, acid resistance 20, swim 60 feet.  &lt;br&gt;&lt;b&gt;Cloud Dragon&lt;/b&gt;: 30-foot cone of electricity, electricity resistance 20, swim 40 feet.  &lt;br&gt;&lt;b&gt;Crystal Dragon&lt;/b&gt;: 30-foot cone of sonic (damage dice are d6s instead of d8s), sonic resistance 20, climb 20 feet, burrow 20 feet.  &lt;br&gt;&lt;b&gt;Forest Dragon&lt;/b&gt;: 30-foot cone of piercing, burrow 20 feet, climb 30 feet.  &lt;br&gt;&lt;b&gt;Magma Dragon&lt;/b&gt;: 30-foot cone of fire, fire resistance 30, vulnerability to cold.  &lt;br&gt;&lt;b&gt;Sea Dragon&lt;/b&gt;: 30-foot cone of fire, electricity resistance 20, swim 40 feet.  &lt;br&gt;&lt;b&gt;Sky Dragon&lt;/b&gt;: 30-foot cone of electricity, electricity resistance 20, improve fly speed maneuverability to average.  &lt;br&gt;&lt;b&gt;Sovereign Dragon&lt;/b&gt;: 30-foot cone of sonic (damage dice are d6s instead of d8s), spell resistance equal to 13 + the spell's level.  &lt;br&gt;&lt;b&gt;Umbral Dragon&lt;/b&gt;: 30-foot cone of negative energy (damage dice are d6s instead of d8s; doesn't heal undead creatures), cold resistance 20, +4 on saves vs. death effects.  &lt;br&gt;&lt;b&gt;Underworld Dragon&lt;/b&gt;: 30-foot cone of fire, fire resistance 20, vulnerability to cold, burrow 20 feet.&lt;/p&gt;&lt;/h4&gt;&lt;/div&gt;</t>
  </si>
  <si>
    <t>Form Of The Exotic Dragon II</t>
  </si>
  <si>
    <t>druid 8, sorcerer/wizard 7</t>
  </si>
  <si>
    <t>This spell functions as per form of the exotic dragon I,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t>
  </si>
  <si>
    <t>&lt;p&gt;This spell functions as per &lt;i&gt;form of the exotic dragon I&lt;/i&gt;,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cones.&lt;/p&gt;</t>
  </si>
  <si>
    <t>&lt;link rel="stylesheet"href="PF.css"&gt;&lt;div class="heading"&gt;&lt;p class="alignleft"&gt;Form Of The Exotic Dragon II&lt;/p&gt;&lt;div style="clear: both;"&gt;&lt;/div&gt;&lt;/div&gt;&lt;div&gt;&lt;h5&gt;&lt;b&gt;School &lt;/b&gt;transmutation (polymorph); &lt;b&gt;Level &lt;/b&gt;druid 8, 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&lt;/b&gt;no&lt;/h5&gt;&lt;/div&gt;&lt;hr/&gt;&lt;div&gt;&lt;h5&gt;&lt;b&gt;DESCRIPTION&lt;/b&gt;&lt;/h5&gt;&lt;/div&gt;&lt;hr/&gt;&lt;div&gt;&lt;h4&gt;&lt;p&gt;This spell functions as per &lt;i&gt;form of the exotic dragon I&lt;/i&gt;,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cones.&lt;/p&gt;&lt;/h4&gt;&lt;/div&gt;</t>
  </si>
  <si>
    <t>Form Of The Exotic Dragon III</t>
  </si>
  <si>
    <t>druid 9, sorcerer/wizard 8</t>
  </si>
  <si>
    <t>This spell functions as per form of the exotic dragon II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form of the exotic dragon I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</si>
  <si>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exotic dragon I&lt;/i&gt;I&lt;/i&gt;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&lt;i&gt;form of the exotic dragon I&lt;/i&gt;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</si>
  <si>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&lt;link rel="stylesheet"href="PF.css"&gt;&lt;div class="heading"&gt;&lt;p class="alignleft"&gt;Form Of The Exotic Dragon III&lt;/p&gt;&lt;div style="clear: both;"&gt;&lt;/div&gt;&lt;/div&gt;&lt;div&gt;&lt;h5&gt;&lt;b&gt;School &lt;/b&gt;transmutation (polymorph); &lt;b&gt;Level &lt;/b&gt;druid 9, 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&lt;/b&gt;no&lt;/h5&gt;&lt;/div&gt;&lt;hr/&gt;&lt;div&gt;&lt;h5&gt;&lt;b&gt;DESCRIPTION&lt;/b&gt;&lt;/h5&gt;&lt;/div&gt;&lt;hr/&gt;&lt;div&gt;&lt;h4&gt;&lt;p&gt;This spell functions as per &lt;i&gt;&lt;i&gt;form of the exotic dragon I&lt;/i&gt;I&lt;/i&gt;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&lt;i&gt;form of the exotic dragon I&lt;/i&gt;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cones.&lt;/p&gt;&lt;/h4&gt;&lt;/div&gt;</t>
  </si>
  <si>
    <t>Hermean Potential</t>
  </si>
  <si>
    <t>medium 1, mesmerist 1, psychic 1, witch 1</t>
  </si>
  <si>
    <t>V, S, F (a gold dragon scale)</t>
  </si>
  <si>
    <t>You gift the target with the ability to perfect its actions via mental clarity. On the next attack roll, saving throw, ability check, or skill check the target attempts, it rolls twice and takes the more favorable result. For every 5 caster levels you have, the target can roll twice on an additional attack roll, saving throw, ability check, or skill check (to a maximum of 5 rolls at 20th level).  Hermean potential is countered and dispelled by ill omenAPG, but does not itself counter or dispel ill omen.</t>
  </si>
  <si>
    <t>&lt;p&gt;You gift the target with the ability to perfect its actions via mental clarity. On the next attack roll, saving throw, ability check, or sk&lt;i&gt;ill&lt;/i&gt; check the target attempts, it rolls twice and takes the more favorable result. For every 5 caster levels you have, the target can roll twice on an additional attack roll, saving throw, ability check, or sk&lt;i&gt;ill&lt;/i&gt; check (to a maximum of 5 rolls at 20th level).  &lt;i&gt;Hermean potential&lt;/i&gt; is countered and dispelled by &lt;i&gt;ill&lt;/i&gt; omenAPG, but does not itself counter or dispel &lt;i&gt;ill&lt;/i&gt; omen.&lt;/p&gt;</t>
  </si>
  <si>
    <t>&lt;link rel="stylesheet"href="PF.css"&gt;&lt;div class="heading"&gt;&lt;p class="alignleft"&gt;Hermean Potential&lt;/p&gt;&lt;div style="clear: both;"&gt;&lt;/div&gt;&lt;/div&gt;&lt;div&gt;&lt;h5&gt;&lt;b&gt;School &lt;/b&gt;enchantment (compulsion) [mind-affecting]; &lt;b&gt;Level &lt;/b&gt;medium 1, mesmerist 1, psychic 1, witch 1&lt;/h5&gt;&lt;/div&gt;&lt;hr/&gt;&lt;div&gt;&lt;h5&gt;&lt;b&gt;CASTING&lt;/b&gt;&lt;/h5&gt;&lt;/div&gt;&lt;hr/&gt;&lt;div&gt;&lt;h5&gt;&lt;b&gt;Casting Time &lt;/b&gt;1 standard action&lt;/h5&gt;&lt;h5&gt;&lt;b&gt;Components &lt;/b&gt;V, S, F (a gold dragon scale)&lt;/h5&gt;&lt;/div&gt;&lt;hr/&gt;&lt;div&gt;&lt;h5&gt;&lt;b&gt;EFFECT&lt;/b&gt;&lt;/h5&gt;&lt;/div&gt;&lt;hr/&gt;&lt;div&gt;&lt;h5&gt;&lt;b&gt;Range &lt;/b&gt;touch&lt;/h5&gt;&lt;h5&gt;&lt;b&gt;Targets &lt;/b&gt;creature touched&lt;/h5&gt;&lt;h5&gt;&lt;b&gt;Duration &lt;/b&gt;1 minute/level&lt;/h5&gt;&lt;h5&gt;&lt;b&gt;Saving Throw &lt;/b&gt;Will negates (harmless); &lt;b&gt;Spell Resistance &lt;/b&gt;no&lt;/h5&gt;&lt;/div&gt;&lt;hr/&gt;&lt;div&gt;&lt;h5&gt;&lt;b&gt;DESCRIPTION&lt;/b&gt;&lt;/h5&gt;&lt;/div&gt;&lt;hr/&gt;&lt;div&gt;&lt;h4&gt;&lt;p&gt;You gift the target with the ability to perfect its actions via mental clarity. On the next attack roll, saving throw, ability check, or sk&lt;i&gt;ill&lt;/i&gt; check the target attempts, it rolls twice and takes the more favorable result. For every 5 caster levels you have, the target can roll twice on an additional attack roll, saving throw, ability check, or sk&lt;i&gt;ill&lt;/i&gt; check (to a maximum of 5 rolls at 20th level).  &lt;i&gt;Hermean potential&lt;/i&gt; is countered and dispelled by &lt;i&gt;ill&lt;/i&gt; omenAPG, but does not itself counter or dispel &lt;i&gt;ill&lt;/i&gt; omen.&lt;/p&gt;&lt;/h4&gt;&lt;/div&gt;</t>
  </si>
  <si>
    <t>Scales Of Deflection</t>
  </si>
  <si>
    <t>bloodrager 2, magus 3, occultist 3, paladin 3, psychic 3, sorcerer/wizard 3, spiritualist 3, summoner 3</t>
  </si>
  <si>
    <t>V, M (a dragon scale)</t>
  </si>
  <si>
    <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t>
  </si>
  <si>
    <t>&lt;p&gt;Brilliant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turn.&lt;/p&gt;</t>
  </si>
  <si>
    <t>&lt;link rel="stylesheet"href="PF.css"&gt;&lt;div class="heading"&gt;&lt;p class="alignleft"&gt;Scales Of Deflection&lt;/p&gt;&lt;div style="clear: both;"&gt;&lt;/div&gt;&lt;/div&gt;&lt;div&gt;&lt;h5&gt;&lt;b&gt;School &lt;/b&gt;abjuration [draconic]; &lt;b&gt;Level &lt;/b&gt;bloodrager 2, magus 3, occultist 3, paladin 3, psychic 3, sorcerer/wizard 3, spiritualist 3, summoner 3&lt;/h5&gt;&lt;/div&gt;&lt;hr/&gt;&lt;div&gt;&lt;h5&gt;&lt;b&gt;CASTING&lt;/b&gt;&lt;/h5&gt;&lt;/div&gt;&lt;hr/&gt;&lt;div&gt;&lt;h5&gt;&lt;b&gt;Casting Time &lt;/b&gt;1 standard action&lt;/h5&gt;&lt;h5&gt;&lt;b&gt;Components &lt;/b&gt;V, M (a dragon scale)&lt;/h5&gt;&lt;/div&gt;&lt;hr/&gt;&lt;div&gt;&lt;h5&gt;&lt;b&gt;EFFECT&lt;/b&gt;&lt;/h5&gt;&lt;/div&gt;&lt;hr/&gt;&lt;div&gt;&lt;h5&gt;&lt;b&gt;Range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turn.&lt;/p&gt;&lt;/h4&gt;&lt;/div&gt;</t>
  </si>
  <si>
    <t>Tail Strike</t>
  </si>
  <si>
    <t>alchemist 4, antipaladin 3, bloodrager 3, medium 3, paladin 3, sorcerer/wizard 3</t>
  </si>
  <si>
    <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tail strike to their class spell lists as a 4th-level spell.</t>
  </si>
  <si>
    <t>&lt;p&gt;You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&lt;i&gt;tail strike&lt;/i&gt; to their class spell lists as a 4th-level spell.&lt;/p&gt;</t>
  </si>
  <si>
    <t>&lt;link rel="stylesheet"href="PF.css"&gt;&lt;div class="heading"&gt;&lt;p class="alignleft"&gt;Tail Strike&lt;/p&gt;&lt;div style="clear: both;"&gt;&lt;/div&gt;&lt;/div&gt;&lt;div&gt;&lt;h5&gt;&lt;b&gt;School &lt;/b&gt;transmutation [draconic]; &lt;b&gt;Level &lt;/b&gt;alchemist 4, antipaladin 3, bloodrager 3, medium 3, paladin 3, sorcerer/wizard 3&lt;/h5&gt;&lt;/div&gt;&lt;hr/&gt;&lt;div&gt;&lt;h5&gt;&lt;b&gt;CASTING&lt;/b&gt;&lt;/h5&gt;&lt;/div&gt;&lt;hr/&gt;&lt;div&gt;&lt;h5&gt;&lt;b&gt;Casting Time &lt;/b&gt;1 standard action&lt;/h5&gt;&lt;h5&gt;&lt;b&gt;Components &lt;/b&gt;V, M (a dragon scale)&lt;/h5&gt;&lt;/div&gt;&lt;hr/&gt;&lt;div&gt;&lt;h5&gt;&lt;b&gt;EFFECT&lt;/b&gt;&lt;/h5&gt;&lt;/div&gt;&lt;hr/&gt;&lt;div&gt;&lt;h5&gt;&lt;b&gt;Range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&lt;i&gt;tail strike&lt;/i&gt; to their class spell lists as a 4th-level spell.&lt;/p&gt;&lt;/h4&gt;&lt;/div&gt;</t>
  </si>
  <si>
    <t>Absurdity</t>
  </si>
  <si>
    <t>bard 2, medium 2, mesmerist 2, psychic 2, spiritualist 2</t>
  </si>
  <si>
    <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Absurdity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phantasmal killer) affects them normally, and effects that ignore immunity to fear also ignore absurdity.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anticipate perilUM or find traps) from alerting the affected character to danger.</t>
  </si>
  <si>
    <t>&lt;p&gt;Your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&lt;i&gt;Absurdity&lt;/i&gt;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&lt;i&gt;phantasmal&lt;/i&gt; killer) affects them normally, and effects that ignore immunity to fear also ignore &lt;i&gt;absurdity&lt;/i&gt;.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&lt;i&gt;anticipate&lt;/i&gt; perilUM or &lt;i&gt;find&lt;/i&gt; traps) from alerting the affected character to danger.&lt;/p&gt;</t>
  </si>
  <si>
    <t>Horror Adventures</t>
  </si>
  <si>
    <t>&lt;link rel="stylesheet"href="PF.css"&gt;&lt;div class="heading"&gt;&lt;p class="alignleft"&gt;Absurdity&lt;/p&gt;&lt;div style="clear: both;"&gt;&lt;/div&gt;&lt;/div&gt;&lt;div&gt;&lt;h5&gt;&lt;b&gt;School &lt;/b&gt;illusion (phantasm) [emotion&lt;sup&gt;UM&lt;/sup&gt;, mind-affecting]; &lt;b&gt;Level &lt;/b&gt;bard 2, medium 2, mesmerist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one creature/level, no two of which can be more than 30 ft. apart&lt;/h5&gt;&lt;h5&gt;&lt;b&gt;Duration &lt;/b&gt;1 minute/level (D)&lt;/h5&gt;&lt;h5&gt;&lt;b&gt;Saving Throw &lt;/b&gt;Will negates; &lt;b&gt;Spell Resistance &lt;/b&gt;no&lt;/h5&gt;&lt;/div&gt;&lt;hr/&gt;&lt;div&gt;&lt;h5&gt;&lt;b&gt;DESCRIPTION&lt;/b&gt;&lt;/h5&gt;&lt;/div&gt;&lt;hr/&gt;&lt;div&gt;&lt;h4&gt;&lt;p&gt;Your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&lt;i&gt;Absurdity&lt;/i&gt;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&lt;i&gt;phantasmal&lt;/i&gt; killer) affects them normally, and effects that ignore immunity to fear also ignore &lt;i&gt;absurdity&lt;/i&gt;.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&lt;i&gt;anticipate&lt;/i&gt; perilUM or &lt;i&gt;find&lt;/i&gt; traps) from alerting the affected character to danger.&lt;/p&gt;&lt;/h4&gt;&lt;/div&gt;</t>
  </si>
  <si>
    <t xml:space="preserve"> Threats seem like a ridiculous farce.</t>
  </si>
  <si>
    <t>Alleviate Corruption</t>
  </si>
  <si>
    <t>cleric/oracle 6, psychic 6, shaman 6, spiritualist 6, witch 6</t>
  </si>
  <si>
    <t>V, S, M (rare herbs, incense, and jewels worth 500 gp/the target's character level or HD)</t>
  </si>
  <si>
    <t>one creature other than yourself</t>
  </si>
  <si>
    <t>You combat the rising corruption (see page 14) in another creature or advance the long-term process of exorcising it entirely. This spell has two purposes, and you choose which application to use at the time of casting.  Combat Corruption: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Remove Corruption: You can remove 1 manifestation level from the target creature, as well as the most recently acquired manifestation and its corresponding gift and stain. Doing this also reduces the power of gifts and stains that vary based upon manifestation level. This application of alleviate corruption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alleviate corruption on yourself automatically fails, as does casting it on a target who has fully succumbed to a corruption (failed three saving throws against it). A creature can be the beneficiary of this spell only once per week, whether it succeeds or not.</t>
  </si>
  <si>
    <t>&lt;p&gt;You combat the rising corruption (see page 14) in another creature or advance the long-term process of exorcising it entirely. This spell has two purposes, and you choose which application to use at the time of casting.  &lt;i&gt;Combat Corruption&lt;/i&gt;: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&lt;i&gt;Remove Corruption&lt;/i&gt;: You can remove 1 manifestation level from the target creature, as well as the most recently acquired manifestation and its corresponding gift and stain. Doing this also reduces the power of gifts and stains that vary based upon manifestation level. This application of &lt;i&gt;alleviate corruption&lt;/i&gt;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&lt;i&gt;alleviate corruption&lt;/i&gt; on yourself automatically fails, as does casting it on a target who has fully succumbed to a corruption (failed three saving throws against it). A creature can be the beneficiary of this spell only once per week, whether it succeeds or not.&lt;/p&gt;</t>
  </si>
  <si>
    <t>&lt;link rel="stylesheet"href="PF.css"&gt;&lt;div class="heading"&gt;&lt;p class="alignleft"&gt;Alleviate Corruption&lt;/p&gt;&lt;div style="clear: both;"&gt;&lt;/div&gt;&lt;/div&gt;&lt;div&gt;&lt;h5&gt;&lt;b&gt;School &lt;/b&gt;abjuration; &lt;b&gt;Level &lt;/b&gt;cleric/oracle 6, psychic 6, shaman 6, spiritualist 6, witch 6&lt;/h5&gt;&lt;/div&gt;&lt;hr/&gt;&lt;div&gt;&lt;h5&gt;&lt;b&gt;CASTING&lt;/b&gt;&lt;/h5&gt;&lt;/div&gt;&lt;hr/&gt;&lt;div&gt;&lt;h5&gt;&lt;b&gt;Casting Time &lt;/b&gt;1 minute&lt;/h5&gt;&lt;h5&gt;&lt;b&gt;Components &lt;/b&gt;V, S, M (rare herbs, incense, and jewels worth 500 gp/the target's character level or HD)&lt;/h5&gt;&lt;/div&gt;&lt;hr/&gt;&lt;div&gt;&lt;h5&gt;&lt;b&gt;EFFECT&lt;/b&gt;&lt;/h5&gt;&lt;/div&gt;&lt;hr/&gt;&lt;div&gt;&lt;h5&gt;&lt;b&gt;Range &lt;/b&gt;touch&lt;/h5&gt;&lt;h5&gt;&lt;b&gt;Targets &lt;/b&gt;one creature other than yourself&lt;/h5&gt;&lt;h5&gt;&lt;b&gt;Duration &lt;/b&gt;instantaneous&lt;/h5&gt;&lt;h5&gt;&lt;b&gt;Saving Throw &lt;/b&gt;Will negates (harmless); &lt;b&gt;Spell Resistance &lt;/b&gt;yes (harmless)&lt;/h5&gt;&lt;/div&gt;&lt;hr/&gt;&lt;div&gt;&lt;h5&gt;&lt;b&gt;DESCRIPTION&lt;/b&gt;&lt;/h5&gt;&lt;/div&gt;&lt;hr/&gt;&lt;div&gt;&lt;h4&gt;&lt;p&gt;You combat the rising corruption (see page 14) in another creature or advance the long-term process of exorcising it entirely. This spell has two purposes, and you choose which application to use at the time of casting.  &lt;i&gt;Combat Corruption&lt;/i&gt;: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&lt;i&gt;Remove Corruption&lt;/i&gt;: You can remove 1 manifestation level from the target creature, as well as the most recently acquired manifestation and its corresponding gift and stain. Doing this also reduces the power of gifts and stains that vary based upon manifestation level. This application of &lt;i&gt;alleviate corruption&lt;/i&gt;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&lt;i&gt;alleviate corruption&lt;/i&gt; on yourself automatically fails, as does casting it on a target who has fully succumbed to a corruption (failed three saving throws against it). A creature can be the beneficiary of this spell only once per week, whether it succeeds or not.&lt;/p&gt;&lt;/h4&gt;&lt;/div&gt;</t>
  </si>
  <si>
    <t xml:space="preserve"> Attempt to weaken a corruption’s effect at risk to yourself.</t>
  </si>
  <si>
    <t>Appearance Of Life</t>
  </si>
  <si>
    <t>cleric/oracle 3, medium 2, mesmerist 3, psychic 3, sorcerer/wizard 3, spiritualist 3, witch 3</t>
  </si>
  <si>
    <t>V, S, M (one Tiny or larger living creature)</t>
  </si>
  <si>
    <t>long (400 ft. + 40 ft./caster level)</t>
  </si>
  <si>
    <t>one or more undead creatures</t>
  </si>
  <si>
    <t>Will disbelief or Will negates (see text)</t>
  </si>
  <si>
    <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detect undead, requiring the caster to succeed at a caster check (DC = 11 + your caster level) for the spell to determine the creatures are undead.  Appearance of life can be made permanent with a permanency spell by a caster of 12th level or higher for the cost of 10,000 gp.</t>
  </si>
  <si>
    <t>&lt;p&gt;The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&lt;i&gt;detect undead&lt;/i&gt;, requiring the caster to succeed at a caster check (DC = 11 + your caster level) for the spell to determine the creatures are undead.  &lt;i&gt;Appearance of life&lt;/i&gt; can be made permanent with a &lt;i&gt;permanency&lt;/i&gt; spell by a caster of 12th level or higher for the cost of 10,000 gp.&lt;/p&gt;</t>
  </si>
  <si>
    <t>&lt;link rel="stylesheet"href="PF.css"&gt;&lt;div class="heading"&gt;&lt;p class="alignleft"&gt;Appearance Of Life&lt;/p&gt;&lt;div style="clear: both;"&gt;&lt;/div&gt;&lt;/div&gt;&lt;div&gt;&lt;h5&gt;&lt;b&gt;School &lt;/b&gt;illusion (glamer) [evil]; &lt;b&gt;Level &lt;/b&gt;cleric/oracle 3, medium 2, mesmerist 3, psychic 3, sorcerer/wizard 3, spiritualist 3, witch 3&lt;/h5&gt;&lt;/div&gt;&lt;hr/&gt;&lt;div&gt;&lt;h5&gt;&lt;b&gt;CASTING&lt;/b&gt;&lt;/h5&gt;&lt;/div&gt;&lt;hr/&gt;&lt;div&gt;&lt;h5&gt;&lt;b&gt;Casting Time &lt;/b&gt;1 round&lt;/h5&gt;&lt;h5&gt;&lt;b&gt;Components &lt;/b&gt;V, S, M (one Tiny or larger living creature)&lt;/h5&gt;&lt;/div&gt;&lt;hr/&gt;&lt;div&gt;&lt;h5&gt;&lt;b&gt;EFFECT&lt;/b&gt;&lt;/h5&gt;&lt;/div&gt;&lt;hr/&gt;&lt;div&gt;&lt;h5&gt;&lt;b&gt;Range &lt;/b&gt;long (400 ft. + 40 ft./caster level)&lt;/h5&gt;&lt;h5&gt;&lt;b&gt;Targets &lt;/b&gt;one or more undead creatures&lt;/h5&gt;&lt;h5&gt;&lt;b&gt;Duration &lt;/b&gt;10 minutes/level (D)&lt;/h5&gt;&lt;h5&gt;&lt;b&gt;Saving Throw &lt;/b&gt;Will disbelief or Will negates (see text); &lt;b&gt;Spell Resistance &lt;/b&gt;no&lt;/h5&gt;&lt;/div&gt;&lt;hr/&gt;&lt;div&gt;&lt;h5&gt;&lt;b&gt;DESCRIPTION&lt;/b&gt;&lt;/h5&gt;&lt;/div&gt;&lt;hr/&gt;&lt;div&gt;&lt;h4&gt;&lt;p&gt;The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&lt;i&gt;detect undead&lt;/i&gt;, requiring the caster to succeed at a caster check (DC = 11 + your caster level) for the spell to determine the creatures are undead.  &lt;i&gt;Appearance of life&lt;/i&gt; can be made permanent with a &lt;i&gt;permanency&lt;/i&gt; spell by a caster of 12th level or higher for the cost of 10,000 gp.&lt;/p&gt;&lt;/h4&gt;&lt;/div&gt;</t>
  </si>
  <si>
    <t xml:space="preserve"> Undead appear to be alive.</t>
  </si>
  <si>
    <t>Assume Appearance</t>
  </si>
  <si>
    <t>alchemist 3, bard 3, medium 3, mesmerist 3, occultist 3, psychic 3, shaman 3, sorcerer/wizard 3, spiritualist 3, summoner 3, witch 3</t>
  </si>
  <si>
    <t>V, S, F (corpse of the deceased creature whose form you plan to assume)</t>
  </si>
  <si>
    <t>This spell functions similarly to alter self,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gentle repose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assume appearance immediately ends.</t>
  </si>
  <si>
    <t>&lt;p&gt;This spell functions similarly to &lt;i&gt;alter self&lt;/i&gt;,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&lt;i&gt;gentle repose&lt;/i&gt;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&lt;i&gt;assume appearance&lt;/i&gt; immediately ends.&lt;/p&gt;</t>
  </si>
  <si>
    <t>&lt;link rel="stylesheet"href="PF.css"&gt;&lt;div class="heading"&gt;&lt;p class="alignleft"&gt;Assume Appearance&lt;/p&gt;&lt;div style="clear: both;"&gt;&lt;/div&gt;&lt;/div&gt;&lt;div&gt;&lt;h5&gt;&lt;b&gt;School &lt;/b&gt;transmutation (polymorph); &lt;b&gt;Level &lt;/b&gt;alchemist 3, bard 3, medium 3, mesmerist 3, occultist 3, psychic 3, shaman 3, sorcerer/wizard 3, spiritualist 3, summoner 3, witch 3&lt;/h5&gt;&lt;/div&gt;&lt;hr/&gt;&lt;div&gt;&lt;h5&gt;&lt;b&gt;CASTING&lt;/b&gt;&lt;/h5&gt;&lt;/div&gt;&lt;hr/&gt;&lt;div&gt;&lt;h5&gt;&lt;b&gt;Casting Time &lt;/b&gt;1 minute&lt;/h5&gt;&lt;h5&gt;&lt;b&gt;Components &lt;/b&gt;V, S, F (corpse of the deceased creature whose form you plan to assume)&lt;/h5&gt;&lt;/div&gt;&lt;hr/&gt;&lt;div&gt;&lt;h5&gt;&lt;b&gt;EFFECT&lt;/b&gt;&lt;/h5&gt;&lt;/div&gt;&lt;hr/&gt;&lt;div&gt;&lt;h5&gt;&lt;b&gt;Range &lt;/b&gt;personal&lt;/h5&gt;&lt;h5&gt;&lt;b&gt;Targets &lt;/b&gt;you&lt;/h5&gt;&lt;h5&gt;&lt;b&gt;Duration &lt;/b&gt;1 day/level (D)&lt;/h5&gt;&lt;/div&gt;&lt;hr/&gt;&lt;div&gt;&lt;h5&gt;&lt;b&gt;DESCRIPTION&lt;/b&gt;&lt;/h5&gt;&lt;/div&gt;&lt;hr/&gt;&lt;div&gt;&lt;h4&gt;&lt;p&gt;This spell functions similarly to &lt;i&gt;alter self&lt;/i&gt;,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&lt;i&gt;gentle repose&lt;/i&gt;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&lt;i&gt;assume appearance&lt;/i&gt; immediately ends.&lt;/p&gt;&lt;/h4&gt;&lt;/div&gt;</t>
  </si>
  <si>
    <t xml:space="preserve"> Use a creature’s corpse to adopt its form.</t>
  </si>
  <si>
    <t>Assume Appearance, Greater</t>
  </si>
  <si>
    <t>alchemist 4, bard 4, medium 4, mesmerist 4, occultist 4, psychic 4, shaman 4, sorcerer/wizard 4, spiritualist 4, summoner 4, witch 4</t>
  </si>
  <si>
    <t>V, S, F (corpse or likeness of the deceased creature whose form you plan to assume)</t>
  </si>
  <si>
    <t>This spell functions similar to assume appearance,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vocal alterationUM (speak with dead can also be used to fulfill this requirement). The spell doesn't grant insight into the dead creature's mannerisms.  Additionally, if a likeness used as a focus for the spell is kept on your person or within 30 feet at all times, the aura of greater assume appearance is redirected to the likeness instead of to you, similar to a reverse application of the misdirection spell.</t>
  </si>
  <si>
    <t>&lt;p&gt;This spell functions similar to &lt;i&gt;assume appearance&lt;/i&gt;,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&lt;i&gt;vocal&lt;/i&gt; alterationUM (&lt;i&gt;speak with dead&lt;/i&gt; can also be used to fulfill this requirement). The spell doesn't grant insight into the dead creature's mannerisms.  Additionally, if a likeness used as a focus for the spell is kept on your person or within 30 feet at all times, the aura of greater &lt;i&gt;assume appearance&lt;/i&gt; is redirected to the likeness instead of to you, similar to a reverse application of the &lt;i&gt;misdirection&lt;/i&gt; spell.&lt;/p&gt;</t>
  </si>
  <si>
    <t>&lt;link rel="stylesheet"href="PF.css"&gt;&lt;div class="heading"&gt;&lt;p class="alignleft"&gt;Assume Appearance, Greater&lt;/p&gt;&lt;div style="clear: both;"&gt;&lt;/div&gt;&lt;/div&gt;&lt;div&gt;&lt;h5&gt;&lt;b&gt;School &lt;/b&gt;transmutation (polymorph); &lt;b&gt;Level &lt;/b&gt;alchemist 4, bard 4, medium 4, mesmerist 4, occultist 4, psychic 4, shaman 4, sorcerer/wizard 4, spiritualist 4, summoner 4, witch 4&lt;/h5&gt;&lt;/div&gt;&lt;hr/&gt;&lt;div&gt;&lt;h5&gt;&lt;b&gt;CASTING&lt;/b&gt;&lt;/h5&gt;&lt;/div&gt;&lt;hr/&gt;&lt;div&gt;&lt;h5&gt;&lt;b&gt;Casting Time &lt;/b&gt;1 minute&lt;/h5&gt;&lt;h5&gt;&lt;b&gt;Components &lt;/b&gt;V, S, F (corpse or likeness of the deceased creature whose form you plan to assume)&lt;/h5&gt;&lt;/div&gt;&lt;hr/&gt;&lt;div&gt;&lt;h5&gt;&lt;b&gt;EFFECT&lt;/b&gt;&lt;/h5&gt;&lt;/div&gt;&lt;hr/&gt;&lt;div&gt;&lt;h5&gt;&lt;b&gt;Range &lt;/b&gt;personal&lt;/h5&gt;&lt;h5&gt;&lt;b&gt;Targets &lt;/b&gt;you&lt;/h5&gt;&lt;h5&gt;&lt;b&gt;Duration &lt;/b&gt;1 day/level (D)&lt;/h5&gt;&lt;/div&gt;&lt;hr/&gt;&lt;div&gt;&lt;h5&gt;&lt;b&gt;DESCRIPTION&lt;/b&gt;&lt;/h5&gt;&lt;/div&gt;&lt;hr/&gt;&lt;div&gt;&lt;h4&gt;&lt;p&gt;This spell functions similar to &lt;i&gt;assume appearance&lt;/i&gt;,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&lt;i&gt;vocal&lt;/i&gt; alterationUM (&lt;i&gt;speak with dead&lt;/i&gt; can also be used to fulfill this requirement). The spell doesn't grant insight into the dead creature's mannerisms.  Additionally, if a likeness used as a focus for the spell is kept on your person or within 30 feet at all times, the aura of greater &lt;i&gt;assume appearance&lt;/i&gt; is redirected to the likeness instead of to you, similar to a reverse application of the &lt;i&gt;misdirection&lt;/i&gt; spell.&lt;/p&gt;&lt;/h4&gt;&lt;/div&gt;</t>
  </si>
  <si>
    <t xml:space="preserve"> Use a likeness to adopt a dead creature’s form.</t>
  </si>
  <si>
    <t>Ban Corruption</t>
  </si>
  <si>
    <t>cleric/oracle 5, inquisitor 4, medium 3, occultist 4, paladin 4, shaman 5</t>
  </si>
  <si>
    <t>V, S, F (a ceremonial dagger)</t>
  </si>
  <si>
    <t>concentration plus 1 round/level, up to 1 hour/level</t>
  </si>
  <si>
    <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t>
  </si>
  <si>
    <t>&lt;p&gt;You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times.&lt;/p&gt;</t>
  </si>
  <si>
    <t>&lt;link rel="stylesheet"href="PF.css"&gt;&lt;div class="heading"&gt;&lt;p class="alignleft"&gt;Ban Corruption&lt;/p&gt;&lt;div style="clear: both;"&gt;&lt;/div&gt;&lt;/div&gt;&lt;div&gt;&lt;h5&gt;&lt;b&gt;School &lt;/b&gt;abjuration [good]; &lt;b&gt;Level &lt;/b&gt;cleric/oracle 5, inquisitor 4, medium 3, occultist 4, paladin 4, shaman 5&lt;/h5&gt;&lt;/div&gt;&lt;hr/&gt;&lt;div&gt;&lt;h5&gt;&lt;b&gt;CASTING&lt;/b&gt;&lt;/h5&gt;&lt;/div&gt;&lt;hr/&gt;&lt;div&gt;&lt;h5&gt;&lt;b&gt;Casting Time &lt;/b&gt;1 standard action&lt;/h5&gt;&lt;h5&gt;&lt;b&gt;Components &lt;/b&gt;V, S, F (a ceremonial dagger)&lt;/h5&gt;&lt;/div&gt;&lt;hr/&gt;&lt;div&gt;&lt;h5&gt;&lt;b&gt;EFFECT&lt;/b&gt;&lt;/h5&gt;&lt;/div&gt;&lt;hr/&gt;&lt;div&gt;&lt;h5&gt;&lt;b&gt;Area &lt;/b&gt;30-ft.-radius emanation centered on you&lt;/h5&gt;&lt;h5&gt;&lt;b&gt;Duration &lt;/b&gt;concentration plus 1 round/level, up to 1 hour/level&lt;/h5&gt;&lt;h5&gt;&lt;b&gt;Saving Throw &lt;/b&gt;Will negates; &lt;b&gt;Spell Resistance &lt;/b&gt;yes&lt;/h5&gt;&lt;/div&gt;&lt;hr/&gt;&lt;div&gt;&lt;h5&gt;&lt;b&gt;DESCRIPTION&lt;/b&gt;&lt;/h5&gt;&lt;/div&gt;&lt;hr/&gt;&lt;div&gt;&lt;h4&gt;&lt;p&gt;You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times.&lt;/p&gt;&lt;/h4&gt;&lt;/div&gt;</t>
  </si>
  <si>
    <t xml:space="preserve"> Eliminate the gifts of nearby corrupted creatures.</t>
  </si>
  <si>
    <t>Barbed Chains</t>
  </si>
  <si>
    <t>antipaladin 1, bloodrager 1, cleric/oracle 1, inquisitor 1, occultist 1, shaman 1, summoner 1</t>
  </si>
  <si>
    <t>V, S, M (a length of chain doused with fresh blood)</t>
  </si>
  <si>
    <t>a chain sharpened at one end</t>
  </si>
  <si>
    <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t>
  </si>
  <si>
    <t>&lt;p&gt;You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stack.&lt;/p&gt;</t>
  </si>
  <si>
    <t>&lt;link rel="stylesheet"href="PF.css"&gt;&lt;div class="heading"&gt;&lt;p class="alignleft"&gt;Barbed Chains&lt;/p&gt;&lt;div style="clear: both;"&gt;&lt;/div&gt;&lt;/div&gt;&lt;div&gt;&lt;h5&gt;&lt;b&gt;School &lt;/b&gt;conjuration (summoning) [emotion&lt;sup&gt;UM&lt;/sup&gt;, fear, mind-affecting]; &lt;b&gt;Level &lt;/b&gt;antipaladin 1, bloodrager 1, cleric/oracle 1, inquisitor 1, occultist 1, shaman 1, summoner 1&lt;/h5&gt;&lt;/div&gt;&lt;hr/&gt;&lt;div&gt;&lt;h5&gt;&lt;b&gt;CASTING&lt;/b&gt;&lt;/h5&gt;&lt;/div&gt;&lt;hr/&gt;&lt;div&gt;&lt;h5&gt;&lt;b&gt;Casting Time &lt;/b&gt;1 standard action&lt;/h5&gt;&lt;h5&gt;&lt;b&gt;Components &lt;/b&gt;V, S, M (a length of chain doused with fresh blood)&lt;/h5&gt;&lt;/div&gt;&lt;hr/&gt;&lt;div&gt;&lt;h5&gt;&lt;b&gt;EFFECT&lt;/b&gt;&lt;/h5&gt;&lt;/div&gt;&lt;hr/&gt;&lt;div&gt;&lt;h5&gt;&lt;b&gt;Range &lt;/b&gt;close (25 ft. + 5 ft./level)&lt;/h5&gt;&lt;h5&gt;&lt;b&gt;Effect &lt;/b&gt;a chain sharpened at one end&lt;/h5&gt;&lt;h5&gt;&lt;b&gt;Duration &lt;/b&gt;instantaneous&lt;/h5&gt;&lt;h5&gt;&lt;b&gt;Saving Throw &lt;/b&gt;Will partial (see text); &lt;b&gt;Spell Resistance &lt;/b&gt;no&lt;/h5&gt;&lt;/div&gt;&lt;hr/&gt;&lt;div&gt;&lt;h5&gt;&lt;b&gt;DESCRIPTION&lt;/b&gt;&lt;/h5&gt;&lt;/div&gt;&lt;hr/&gt;&lt;div&gt;&lt;h4&gt;&lt;p&gt;You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stack.&lt;/p&gt;&lt;/h4&gt;&lt;/div&gt;</t>
  </si>
  <si>
    <t xml:space="preserve"> Hellish chains attack and cause a target to become shaken.</t>
  </si>
  <si>
    <t>Blood Ties</t>
  </si>
  <si>
    <t>antipaladin 4, cleric/oracle 5, druid 5, inquisitor 5, psychic 5, shaman 5, witch 5</t>
  </si>
  <si>
    <t>V, S, F (a small length of crimson string)</t>
  </si>
  <si>
    <t>unlimited (see text)</t>
  </si>
  <si>
    <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t>
  </si>
  <si>
    <t>&lt;p&gt;One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siblings.&lt;/p&gt;</t>
  </si>
  <si>
    <t>&lt;link rel="stylesheet"href="PF.css"&gt;&lt;div class="heading"&gt;&lt;p class="alignleft"&gt;Blood Ties&lt;/p&gt;&lt;div style="clear: both;"&gt;&lt;/div&gt;&lt;/div&gt;&lt;div&gt;&lt;h5&gt;&lt;b&gt;School &lt;/b&gt;necromancy [evil]; &lt;b&gt;Level &lt;/b&gt;antipaladin 4, cleric/oracle 5, druid 5, inquisitor 5, psychic 5, shaman 5, witch 5&lt;/h5&gt;&lt;/div&gt;&lt;hr/&gt;&lt;div&gt;&lt;h5&gt;&lt;b&gt;CASTING&lt;/b&gt;&lt;/h5&gt;&lt;/div&gt;&lt;hr/&gt;&lt;div&gt;&lt;h5&gt;&lt;b&gt;Casting Time &lt;/b&gt;1 standard action&lt;/h5&gt;&lt;h5&gt;&lt;b&gt;Components &lt;/b&gt;V, S, F (a small length of crimson string)&lt;/h5&gt;&lt;/div&gt;&lt;hr/&gt;&lt;div&gt;&lt;h5&gt;&lt;b&gt;EFFECT&lt;/b&gt;&lt;/h5&gt;&lt;/div&gt;&lt;hr/&gt;&lt;div&gt;&lt;h5&gt;&lt;b&gt;Range &lt;/b&gt;unlimited (see text)&lt;/h5&gt;&lt;h5&gt;&lt;b&gt;Targets &lt;/b&gt;two living creatures&lt;/h5&gt;&lt;h5&gt;&lt;b&gt;Duration &lt;/b&gt;1 day/level (D)&lt;/h5&gt;&lt;h5&gt;&lt;b&gt;Saving Throw &lt;/b&gt;Will negates (see text); &lt;b&gt;Spell Resistance &lt;/b&gt;no&lt;/h5&gt;&lt;/div&gt;&lt;hr/&gt;&lt;div&gt;&lt;h5&gt;&lt;b&gt;DESCRIPTION&lt;/b&gt;&lt;/h5&gt;&lt;/div&gt;&lt;hr/&gt;&lt;div&gt;&lt;h4&gt;&lt;p&gt;One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siblings.&lt;/p&gt;&lt;/h4&gt;&lt;/div&gt;</t>
  </si>
  <si>
    <t xml:space="preserve"> When a target is harmed, so is the target’s relative.</t>
  </si>
  <si>
    <t>Bloodbath</t>
  </si>
  <si>
    <t>antipaladin 1, bloodrager 1, cleric/oracle 2, inquisitor 2, medium 1, psychic 2, sorcerer/wizard 2, spiritualist 2, witch 2</t>
  </si>
  <si>
    <t>up to one living creature/level, no two of which can be more than 30 feet apart</t>
  </si>
  <si>
    <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t>
  </si>
  <si>
    <t>&lt;p&gt;You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yourself.&lt;/p&gt;</t>
  </si>
  <si>
    <t>&lt;link rel="stylesheet"href="PF.css"&gt;&lt;div class="heading"&gt;&lt;p class="alignleft"&gt;Bloodbath&lt;/p&gt;&lt;div style="clear: both;"&gt;&lt;/div&gt;&lt;/div&gt;&lt;div&gt;&lt;h5&gt;&lt;b&gt;School &lt;/b&gt;necromancy; &lt;b&gt;Level &lt;/b&gt;antipaladin 1, bloodrager 1, cleric/oracle 2, inquisitor 2, medium 1, psychic 2, sorcerer/wizard 2, spiritualist 2, witch 2&lt;/h5&gt;&lt;/div&gt;&lt;hr/&gt;&lt;div&gt;&lt;h5&gt;&lt;b&gt;CASTING&lt;/b&gt;&lt;/h5&gt;&lt;/div&gt;&lt;hr/&gt;&lt;div&gt;&lt;h5&gt;&lt;b&gt;Casting Time &lt;/b&gt;1 standard action&lt;/h5&gt;&lt;h5&gt;&lt;b&gt;Components &lt;/b&gt;V, S, F (a ceremonial dagger)&lt;/h5&gt;&lt;/div&gt;&lt;hr/&gt;&lt;div&gt;&lt;h5&gt;&lt;b&gt;EFFECT&lt;/b&gt;&lt;/h5&gt;&lt;/div&gt;&lt;hr/&gt;&lt;div&gt;&lt;h5&gt;&lt;b&gt;Range &lt;/b&gt;close (25 ft. + 5 ft./level)&lt;/h5&gt;&lt;h5&gt;&lt;b&gt;Targets &lt;/b&gt;up to one living creature/level, no two of which can be more than 30 feet apart&lt;/h5&gt;&lt;h5&gt;&lt;b&gt;Duration &lt;/b&gt;1 round/level (D)&lt;/h5&gt;&lt;h5&gt;&lt;b&gt;Saving Throw &lt;/b&gt;Fortitude negates; &lt;b&gt;Spell Resistance &lt;/b&gt;yes&lt;/h5&gt;&lt;/div&gt;&lt;hr/&gt;&lt;div&gt;&lt;h5&gt;&lt;b&gt;DESCRIPTION&lt;/b&gt;&lt;/h5&gt;&lt;/div&gt;&lt;hr/&gt;&lt;div&gt;&lt;h4&gt;&lt;p&gt;You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yourself.&lt;/p&gt;&lt;/h4&gt;&lt;/div&gt;</t>
  </si>
  <si>
    <t xml:space="preserve"> Cause yourself and enemies to bleed.</t>
  </si>
  <si>
    <t>Boneshaker</t>
  </si>
  <si>
    <t>antipaladin 1, cleric/oracle 2, inquisitor 2, sorcerer/wizard 2, spiritualist 2, witch 2</t>
  </si>
  <si>
    <t>V, S, F (human-shaped fetish made of bones)</t>
  </si>
  <si>
    <t>one living creature or undead creature with a skeleton</t>
  </si>
  <si>
    <t>Fortitude partial or negates (see text)</t>
  </si>
  <si>
    <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t>
  </si>
  <si>
    <t>&lt;p&gt;By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effect.&lt;/p&gt;</t>
  </si>
  <si>
    <t>&lt;link rel="stylesheet"href="PF.css"&gt;&lt;div class="heading"&gt;&lt;p class="alignleft"&gt;Boneshaker&lt;/p&gt;&lt;div style="clear: both;"&gt;&lt;/div&gt;&lt;/div&gt;&lt;div&gt;&lt;h5&gt;&lt;b&gt;School &lt;/b&gt;necromancy; &lt;b&gt;Level &lt;/b&gt;antipaladin 1, cleric/oracle 2, inquisitor 2, sorcerer/wizard 2, spiritualist 2, witch 2&lt;/h5&gt;&lt;/div&gt;&lt;hr/&gt;&lt;div&gt;&lt;h5&gt;&lt;b&gt;CASTING&lt;/b&gt;&lt;/h5&gt;&lt;/div&gt;&lt;hr/&gt;&lt;div&gt;&lt;h5&gt;&lt;b&gt;Casting Time &lt;/b&gt;1 standard action&lt;/h5&gt;&lt;h5&gt;&lt;b&gt;Components &lt;/b&gt;V, S, F (human-shaped fetish made of bones)&lt;/h5&gt;&lt;/div&gt;&lt;hr/&gt;&lt;div&gt;&lt;h5&gt;&lt;b&gt;EFFECT&lt;/b&gt;&lt;/h5&gt;&lt;/div&gt;&lt;hr/&gt;&lt;div&gt;&lt;h5&gt;&lt;b&gt;Range &lt;/b&gt;medium (100 ft. + 10 ft./level)&lt;/h5&gt;&lt;h5&gt;&lt;b&gt;Targets &lt;/b&gt;one living creature or undead creature with a skeleton&lt;/h5&gt;&lt;h5&gt;&lt;b&gt;Duration &lt;/b&gt;instantaneous&lt;/h5&gt;&lt;h5&gt;&lt;b&gt;Saving Throw &lt;/b&gt;Fortitude partial or negates (see text); &lt;b&gt;Spell Resistance &lt;/b&gt;yes&lt;/h5&gt;&lt;/div&gt;&lt;hr/&gt;&lt;div&gt;&lt;h5&gt;&lt;b&gt;DESCRIPTION&lt;/b&gt;&lt;/h5&gt;&lt;/div&gt;&lt;hr/&gt;&lt;div&gt;&lt;h4&gt;&lt;p&gt;By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effect.&lt;/p&gt;&lt;/h4&gt;&lt;/div&gt;</t>
  </si>
  <si>
    <t xml:space="preserve"> Momentarily control a living or undead creature’s skeleton.</t>
  </si>
  <si>
    <t>Borrow Corruption</t>
  </si>
  <si>
    <t>antipaladin 2, cleric/oracle 4, druid 4, medium 2, occultist 3, psychic 4, shaman 4, witch 4</t>
  </si>
  <si>
    <t>V, S, M (a dirty scrap of a good priest's raiment)</t>
  </si>
  <si>
    <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greater restoration, miracle, or wish can remove this decrease. A single casting of greater restoration removes one decrease of sanity from casting borrow corruption, while a casting of miracle or wish removes them all.</t>
  </si>
  <si>
    <t>&lt;p&gt;You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&lt;i&gt;greater restoration&lt;/i&gt;, &lt;i&gt;miracle&lt;/i&gt;, or &lt;i&gt;wish&lt;/i&gt; can remove this decrease. A single casting of &lt;i&gt;greater restoration&lt;/i&gt; removes one decrease of sanity from casting &lt;i&gt;borrow corruption&lt;/i&gt;, while a casting of &lt;i&gt;miracle&lt;/i&gt; or &lt;i&gt;wish&lt;/i&gt; removes them all.&lt;/p&gt;</t>
  </si>
  <si>
    <t>&lt;link rel="stylesheet"href="PF.css"&gt;&lt;div class="heading"&gt;&lt;p class="alignleft"&gt;Borrow Corruption&lt;/p&gt;&lt;div style="clear: both;"&gt;&lt;/div&gt;&lt;/div&gt;&lt;div&gt;&lt;h5&gt;&lt;b&gt;School &lt;/b&gt;transmutation [evil]; &lt;b&gt;Level &lt;/b&gt;antipaladin 2, cleric/oracle 4, druid 4, medium 2, occultist 3, psychic 4, shaman 4, witch 4&lt;/h5&gt;&lt;/div&gt;&lt;hr/&gt;&lt;div&gt;&lt;h5&gt;&lt;b&gt;CASTING&lt;/b&gt;&lt;/h5&gt;&lt;/div&gt;&lt;hr/&gt;&lt;div&gt;&lt;h5&gt;&lt;b&gt;Casting Time &lt;/b&gt;1 standard action&lt;/h5&gt;&lt;h5&gt;&lt;b&gt;Components &lt;/b&gt;V, S, M (a dirty scrap of a good priest's raiment)&lt;/h5&gt;&lt;/div&gt;&lt;hr/&gt;&lt;div&gt;&lt;h5&gt;&lt;b&gt;EFFECT&lt;/b&gt;&lt;/h5&gt;&lt;/div&gt;&lt;hr/&gt;&lt;div&gt;&lt;h5&gt;&lt;b&gt;Range &lt;/b&gt;touch&lt;/h5&gt;&lt;h5&gt;&lt;b&gt;Targets &lt;/b&gt;creature touched&lt;/h5&gt;&lt;h5&gt;&lt;b&gt;Duration &lt;/b&gt;1 minute/level (D)&lt;/h5&gt;&lt;h5&gt;&lt;b&gt;Saving Throw &lt;/b&gt;none; &lt;b&gt;Spell Resistance &lt;/b&gt;no&lt;/h5&gt;&lt;/div&gt;&lt;hr/&gt;&lt;div&gt;&lt;h5&gt;&lt;b&gt;DESCRIPTION&lt;/b&gt;&lt;/h5&gt;&lt;/div&gt;&lt;hr/&gt;&lt;div&gt;&lt;h4&gt;&lt;p&gt;You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&lt;i&gt;greater restoration&lt;/i&gt;, &lt;i&gt;miracle&lt;/i&gt;, or &lt;i&gt;wish&lt;/i&gt; can remove this decrease. A single casting of &lt;i&gt;greater restoration&lt;/i&gt; removes one decrease of sanity from casting &lt;i&gt;borrow corruption&lt;/i&gt;, while a casting of &lt;i&gt;miracle&lt;/i&gt; or &lt;i&gt;wish&lt;/i&gt; removes them all.&lt;/p&gt;&lt;/h4&gt;&lt;/div&gt;</t>
  </si>
  <si>
    <t xml:space="preserve"> Temporarily gain the effects of a corrupted creature’s manifestations.</t>
  </si>
  <si>
    <t>Charnel House</t>
  </si>
  <si>
    <t>antipaladin 3, cleric/oracle 5, mesmerist 5, psychic 5, sorcerer/wizard 5, witch 5</t>
  </si>
  <si>
    <t>20-ft. cube (S)</t>
  </si>
  <si>
    <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t>
  </si>
  <si>
    <t>&lt;p&gt;By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check.&lt;/p&gt;</t>
  </si>
  <si>
    <t>&lt;link rel="stylesheet"href="PF.css"&gt;&lt;div class="heading"&gt;&lt;p class="alignleft"&gt;Charnel House&lt;/p&gt;&lt;div style="clear: both;"&gt;&lt;/div&gt;&lt;/div&gt;&lt;div&gt;&lt;h5&gt;&lt;b&gt;School &lt;/b&gt;illusion (shadow) [evil, shadow&lt;sup&gt;UM&lt;/sup&gt;]; &lt;b&gt;Level &lt;/b&gt;antipaladin 3, cleric/oracle 5, mesmerist 5, psychic 5, sorcerer/wizard 5, witch 5&lt;/h5&gt;&lt;/div&gt;&lt;hr/&gt;&lt;div&gt;&lt;h5&gt;&lt;b&gt;CASTING&lt;/b&gt;&lt;/h5&gt;&lt;/div&gt;&lt;hr/&gt;&lt;div&gt;&lt;h5&gt;&lt;b&gt;Casting Time &lt;/b&gt;10 minutes&lt;/h5&gt;&lt;h5&gt;&lt;b&gt;Components &lt;/b&gt;V, S, M (one Tiny or larger living creature)&lt;/h5&gt;&lt;/div&gt;&lt;hr/&gt;&lt;div&gt;&lt;h5&gt;&lt;b&gt;EFFECT&lt;/b&gt;&lt;/h5&gt;&lt;/div&gt;&lt;hr/&gt;&lt;div&gt;&lt;h5&gt;&lt;b&gt;Range &lt;/b&gt;close (25 ft. + 5 ft./2 levels)&lt;/h5&gt;&lt;h5&gt;&lt;b&gt;Area &lt;/b&gt;20-ft. cube (S)&lt;/h5&gt;&lt;h5&gt;&lt;b&gt;Duration &lt;/b&gt;10 minutes/level&lt;/h5&gt;&lt;h5&gt;&lt;b&gt;Saving Throw &lt;/b&gt;Will partial; &lt;b&gt;Spell Resistance &lt;/b&gt;no&lt;/h5&gt;&lt;/div&gt;&lt;hr/&gt;&lt;div&gt;&lt;h5&gt;&lt;b&gt;DESCRIPTION&lt;/b&gt;&lt;/h5&gt;&lt;/div&gt;&lt;hr/&gt;&lt;div&gt;&lt;h4&gt;&lt;p&gt;By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check.&lt;/p&gt;&lt;/h4&gt;&lt;/div&gt;</t>
  </si>
  <si>
    <t xml:space="preserve"> Create an area of semi-real gore.</t>
  </si>
  <si>
    <t>Compelling Rant</t>
  </si>
  <si>
    <t>bard 5, cleric/oracle 5, inquisitor 5, mesmerist 5, psychic 5, sorcerer/wizard 5</t>
  </si>
  <si>
    <t>V, S, M/DF (a handwritten sheet of notes)</t>
  </si>
  <si>
    <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greater restoration, miracle, or wish can remove this decrease. A single casting of greater restoration removes one decrease in sanity from casting compelling rant, while a casting of miracle or wish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t>
  </si>
  <si>
    <t>&lt;p&gt;You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&lt;i&gt;greater restoration&lt;/i&gt;, &lt;i&gt;miracle&lt;/i&gt;, or &lt;i&gt;wish&lt;/i&gt; can remove this decrease. A single casting of &lt;i&gt;greater restoration&lt;/i&gt; removes one decrease in sanity from casting &lt;i&gt;compelling rant&lt;/i&gt;, while a casting of &lt;i&gt;miracle&lt;/i&gt; or &lt;i&gt;wish&lt;/i&gt;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ended.&lt;/p&gt;</t>
  </si>
  <si>
    <t>&lt;link rel="stylesheet"href="PF.css"&gt;&lt;div class="heading"&gt;&lt;p class="alignleft"&gt;Compelling Rant&lt;/p&gt;&lt;div style="clear: both;"&gt;&lt;/div&gt;&lt;/div&gt;&lt;div&gt;&lt;h5&gt;&lt;b&gt;School &lt;/b&gt;enchantment (charm); &lt;b&gt;Level &lt;/b&gt;bard 5, cleric/oracle 5, inquisitor 5, mesmerist 5, psychic 5, sorcerer/wizard 5&lt;/h5&gt;&lt;/div&gt;&lt;hr/&gt;&lt;div&gt;&lt;h5&gt;&lt;b&gt;CASTING&lt;/b&gt;&lt;/h5&gt;&lt;/div&gt;&lt;hr/&gt;&lt;div&gt;&lt;h5&gt;&lt;b&gt;Casting Time &lt;/b&gt;1 minute&lt;/h5&gt;&lt;h5&gt;&lt;b&gt;Components &lt;/b&gt;V, S, M/DF (a handwritten sheet of notes)&lt;/h5&gt;&lt;/div&gt;&lt;hr/&gt;&lt;div&gt;&lt;h5&gt;&lt;b&gt;EFFECT&lt;/b&gt;&lt;/h5&gt;&lt;/div&gt;&lt;hr/&gt;&lt;div&gt;&lt;h5&gt;&lt;b&gt;Range &lt;/b&gt;medium (100 ft. + 10 ft./level)&lt;/h5&gt;&lt;h5&gt;&lt;b&gt;Targets &lt;/b&gt;any number of creatures&lt;/h5&gt;&lt;h5&gt;&lt;b&gt;Duration &lt;/b&gt;concentration plus 1 round/level, up to 1 hour/level&lt;/h5&gt;&lt;h5&gt;&lt;b&gt;Saving Throw &lt;/b&gt;Will negates (see text); &lt;b&gt;Spell Resistance &lt;/b&gt;no&lt;/h5&gt;&lt;/div&gt;&lt;hr/&gt;&lt;div&gt;&lt;h5&gt;&lt;b&gt;DESCRIPTION&lt;/b&gt;&lt;/h5&gt;&lt;/div&gt;&lt;hr/&gt;&lt;div&gt;&lt;h4&gt;&lt;p&gt;You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&lt;i&gt;greater restoration&lt;/i&gt;, &lt;i&gt;miracle&lt;/i&gt;, or &lt;i&gt;wish&lt;/i&gt; can remove this decrease. A single casting of &lt;i&gt;greater restoration&lt;/i&gt; removes one decrease in sanity from casting &lt;i&gt;compelling rant&lt;/i&gt;, while a casting of &lt;i&gt;miracle&lt;/i&gt; or &lt;i&gt;wish&lt;/i&gt;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ended.&lt;/p&gt;&lt;/h4&gt;&lt;/div&gt;</t>
  </si>
  <si>
    <t xml:space="preserve"> People believe your ridiculous speech as long as you keep talking.</t>
  </si>
  <si>
    <t>Contact Entity I</t>
  </si>
  <si>
    <t>cleric/oracle 2, medium 1, occultist 2, psychic 2, shaman 2, sorcerer/wizard 2, summoner 2, witch 2</t>
  </si>
  <si>
    <t>100 miles</t>
  </si>
  <si>
    <t>up to 20 entities of 6 HD or fewer; see text</t>
  </si>
  <si>
    <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contact entity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scrying,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t>
  </si>
  <si>
    <t>&lt;p&gt;You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&lt;i&gt;contact entity&lt;/i&gt;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&lt;i&gt;scrying&lt;/i&gt;,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table.&lt;/p&gt;</t>
  </si>
  <si>
    <t>&lt;link rel="stylesheet"href="PF.css"&gt;&lt;div class="heading"&gt;&lt;p class="alignleft"&gt;Contact Entity I&lt;/p&gt;&lt;div style="clear: both;"&gt;&lt;/div&gt;&lt;/div&gt;&lt;div&gt;&lt;h5&gt;&lt;b&gt;School &lt;/b&gt;evocation; &lt;b&gt;Level &lt;/b&gt;cleric/oracle 2, medium 1, occultist 2, psychic 2, shaman 2, sorcerer/wizard 2, summoner 2, witch 2&lt;/h5&gt;&lt;/div&gt;&lt;hr/&gt;&lt;div&gt;&lt;h5&gt;&lt;b&gt;CASTING&lt;/b&gt;&lt;/h5&gt;&lt;/div&gt;&lt;hr/&gt;&lt;div&gt;&lt;h5&gt;&lt;b&gt;Casting Time &lt;/b&gt;1 minute&lt;/h5&gt;&lt;h5&gt;&lt;b&gt;Components &lt;/b&gt;V, S, M (see text)&lt;/h5&gt;&lt;/div&gt;&lt;hr/&gt;&lt;div&gt;&lt;h5&gt;&lt;b&gt;EFFECT&lt;/b&gt;&lt;/h5&gt;&lt;/div&gt;&lt;hr/&gt;&lt;div&gt;&lt;h5&gt;&lt;b&gt;Range &lt;/b&gt;100 miles&lt;/h5&gt;&lt;h5&gt;&lt;b&gt;Targets &lt;/b&gt;up to 20 entities of 6 HD or fewer; see text&lt;/h5&gt;&lt;h5&gt;&lt;b&gt;Duration &lt;/b&gt;instantaneous&lt;/h5&gt;&lt;h5&gt;&lt;b&gt;Saving Throw &lt;/b&gt;none; &lt;b&gt;Spell Resistance &lt;/b&gt;no&lt;/h5&gt;&lt;/div&gt;&lt;hr/&gt;&lt;div&gt;&lt;h5&gt;&lt;b&gt;DESCRIPTION&lt;/b&gt;&lt;/h5&gt;&lt;/div&gt;&lt;hr/&gt;&lt;div&gt;&lt;h4&gt;&lt;p&gt;You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&lt;i&gt;contact entity&lt;/i&gt;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&lt;i&gt;scrying&lt;/i&gt;,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table.&lt;/p&gt;&lt;/h4&gt;&lt;/div&gt;</t>
  </si>
  <si>
    <t xml:space="preserve"> Ask eldritch entities to find and converse with you.</t>
  </si>
  <si>
    <t>Contact Entity II</t>
  </si>
  <si>
    <t>cleric/oracle 3, medium 2, occultist 3, psychic 3, shaman 3, sorcerer/wizard 3, summoner 3, witch 3</t>
  </si>
  <si>
    <t>200 miles</t>
  </si>
  <si>
    <t>up to 20 entities of 12 HD or fewer</t>
  </si>
  <si>
    <t>This spell functions like contact entity I, except that you can contact creatures from the contact entity II list, and as noted above.</t>
  </si>
  <si>
    <t>&lt;p&gt;This spell functions like &lt;i&gt;contact entity I&lt;/i&gt;, except that you can contact creatures from the &lt;i&gt;contact entity II&lt;/i&gt; list, and as noted above.&lt;/p&gt;</t>
  </si>
  <si>
    <t>&lt;link rel="stylesheet"href="PF.css"&gt;&lt;div class="heading"&gt;&lt;p class="alignleft"&gt;Contact Entity II&lt;/p&gt;&lt;div style="clear: both;"&gt;&lt;/div&gt;&lt;/div&gt;&lt;div&gt;&lt;h5&gt;&lt;b&gt;School &lt;/b&gt;evocation; &lt;b&gt;Level &lt;/b&gt;cleric/oracle 3, medium 2, occultist 3, psychic 3, shaman 3, sorcerer/wizard 3, summoner 3, witch 3&lt;/h5&gt;&lt;/div&gt;&lt;hr/&gt;&lt;div&gt;&lt;h5&gt;&lt;b&gt;CASTING&lt;/b&gt;&lt;/h5&gt;&lt;/div&gt;&lt;hr/&gt;&lt;div&gt;&lt;h5&gt;&lt;b&gt;Casting Time &lt;/b&gt;1 minute&lt;/h5&gt;&lt;h5&gt;&lt;b&gt;Components &lt;/b&gt;V, S, M (see text)&lt;/h5&gt;&lt;/div&gt;&lt;hr/&gt;&lt;div&gt;&lt;h5&gt;&lt;b&gt;EFFECT&lt;/b&gt;&lt;/h5&gt;&lt;/div&gt;&lt;hr/&gt;&lt;div&gt;&lt;h5&gt;&lt;b&gt;Range &lt;/b&gt;200 miles&lt;/h5&gt;&lt;h5&gt;&lt;b&gt;Targets &lt;/b&gt;up to 20 entities of 12 HD or fewer&lt;/h5&gt;&lt;h5&gt;&lt;b&gt;Duration &lt;/b&gt;instantaneous&lt;/h5&gt;&lt;h5&gt;&lt;b&gt;Saving Throw &lt;/b&gt;none; &lt;b&gt;Spell Resistance &lt;/b&gt;no&lt;/h5&gt;&lt;/div&gt;&lt;hr/&gt;&lt;div&gt;&lt;h5&gt;&lt;b&gt;DESCRIPTION&lt;/b&gt;&lt;/h5&gt;&lt;/div&gt;&lt;hr/&gt;&lt;div&gt;&lt;h4&gt;&lt;p&gt;This spell functions like &lt;i&gt;contact entity I&lt;/i&gt;, except that you can contact creatures from the &lt;i&gt;contact entity II&lt;/i&gt; list, and as noted above.&lt;/p&gt;&lt;/h4&gt;&lt;/div&gt;</t>
  </si>
  <si>
    <t xml:space="preserve"> Ask more powerful eldritch entities to find and converse with you.</t>
  </si>
  <si>
    <t>Contact Entity III</t>
  </si>
  <si>
    <t>cleric/oracle 5, medium 3, occultist 4, psychic 5, shaman 5, sorcerer/wizard 5, summoner 4, witch 5</t>
  </si>
  <si>
    <t>up to 20 entities of 18 HD or fewer</t>
  </si>
  <si>
    <t>This spell functions like contact entity II, except that you can contact creatures from the contact entity III list, and as noted above. Additionally, if a contacted creature has telepathy, it can send a telepathic message to you of up to 10 words.</t>
  </si>
  <si>
    <t>&lt;p&gt;This spell functions like &lt;i&gt;contact entity II&lt;/i&gt;, except that you can contact creatures from the &lt;i&gt;contact entity III&lt;/i&gt; list, and as noted above. Additionally, if a contacted creature has telepathy, it can send a telepathic message to you of up to 10 words.&lt;/p&gt;</t>
  </si>
  <si>
    <t>&lt;link rel="stylesheet"href="PF.css"&gt;&lt;div class="heading"&gt;&lt;p class="alignleft"&gt;Contact Entity III&lt;/p&gt;&lt;div style="clear: both;"&gt;&lt;/div&gt;&lt;/div&gt;&lt;div&gt;&lt;h5&gt;&lt;b&gt;School &lt;/b&gt;evocation; &lt;b&gt;Level &lt;/b&gt;cleric/oracle 5, medium 3, occultist 4, psychic 5, shaman 5, sorcerer/wizard 5, summoner 4, witch 5&lt;/h5&gt;&lt;/div&gt;&lt;hr/&gt;&lt;div&gt;&lt;h5&gt;&lt;b&gt;CASTING&lt;/b&gt;&lt;/h5&gt;&lt;/div&gt;&lt;hr/&gt;&lt;div&gt;&lt;h5&gt;&lt;b&gt;Casting Time &lt;/b&gt;1 minute&lt;/h5&gt;&lt;h5&gt;&lt;b&gt;Components &lt;/b&gt;V, S, M (see text)&lt;/h5&gt;&lt;/div&gt;&lt;hr/&gt;&lt;div&gt;&lt;h5&gt;&lt;b&gt;EFFECT&lt;/b&gt;&lt;/h5&gt;&lt;/div&gt;&lt;hr/&gt;&lt;div&gt;&lt;h5&gt;&lt;b&gt;Range &lt;/b&gt;200 miles&lt;/h5&gt;&lt;h5&gt;&lt;b&gt;Targets &lt;/b&gt;up to 20 entities of 18 HD or fewer&lt;/h5&gt;&lt;h5&gt;&lt;b&gt;Duration &lt;/b&gt;instantaneous&lt;/h5&gt;&lt;h5&gt;&lt;b&gt;Saving Throw &lt;/b&gt;none; &lt;b&gt;Spell Resistance &lt;/b&gt;no&lt;/h5&gt;&lt;/div&gt;&lt;hr/&gt;&lt;div&gt;&lt;h5&gt;&lt;b&gt;DESCRIPTION&lt;/b&gt;&lt;/h5&gt;&lt;/div&gt;&lt;hr/&gt;&lt;div&gt;&lt;h4&gt;&lt;p&gt;This spell functions like &lt;i&gt;contact entity II&lt;/i&gt;, except that you can contact creatures from the &lt;i&gt;contact entity III&lt;/i&gt; list, and as noted above. Additionally, if a contacted creature has telepathy, it can send a telepathic message to you of up to 10 words.&lt;/p&gt;&lt;/h4&gt;&lt;/div&gt;</t>
  </si>
  <si>
    <t xml:space="preserve"> Ask very powerful eldritch entities to find and converse with you, or they may reply telepathically.</t>
  </si>
  <si>
    <t>Contact Entity IV</t>
  </si>
  <si>
    <t>cleric/oracle 7, medium 4, occultist 6, psychic 7, shaman 7, sorcerer/wizard 7, summoner 6, witch 7</t>
  </si>
  <si>
    <t>500 miles</t>
  </si>
  <si>
    <t>up to 20 entities of 24 HD or fewer</t>
  </si>
  <si>
    <t>This spell functions like contact entity III, except that you can contact creatures from the contact entity IV list, and as noted above.</t>
  </si>
  <si>
    <t>&lt;p&gt;This spell functions like &lt;i&gt;contact entity III&lt;/i&gt;, except that you can contact creatures from the &lt;i&gt;contact entity IV&lt;/i&gt; list, and as noted above.&lt;/p&gt;</t>
  </si>
  <si>
    <t>&lt;link rel="stylesheet"href="PF.css"&gt;&lt;div class="heading"&gt;&lt;p class="alignleft"&gt;Contact Entity IV&lt;/p&gt;&lt;div style="clear: both;"&gt;&lt;/div&gt;&lt;/div&gt;&lt;div&gt;&lt;h5&gt;&lt;b&gt;School &lt;/b&gt;evocation; &lt;b&gt;Level &lt;/b&gt;cleric/oracle 7, medium 4, occultist 6, psychic 7, shaman 7, sorcerer/wizard 7, summoner 6, witch 7&lt;/h5&gt;&lt;/div&gt;&lt;hr/&gt;&lt;div&gt;&lt;h5&gt;&lt;b&gt;CASTING&lt;/b&gt;&lt;/h5&gt;&lt;/div&gt;&lt;hr/&gt;&lt;div&gt;&lt;h5&gt;&lt;b&gt;Casting Time &lt;/b&gt;1 minute&lt;/h5&gt;&lt;h5&gt;&lt;b&gt;Components &lt;/b&gt;V, S, M (see text)&lt;/h5&gt;&lt;/div&gt;&lt;hr/&gt;&lt;div&gt;&lt;h5&gt;&lt;b&gt;EFFECT&lt;/b&gt;&lt;/h5&gt;&lt;/div&gt;&lt;hr/&gt;&lt;div&gt;&lt;h5&gt;&lt;b&gt;Range &lt;/b&gt;500 miles&lt;/h5&gt;&lt;h5&gt;&lt;b&gt;Targets &lt;/b&gt;up to 20 entities of 24 HD or fewer&lt;/h5&gt;&lt;h5&gt;&lt;b&gt;Duration &lt;/b&gt;instantaneous&lt;/h5&gt;&lt;h5&gt;&lt;b&gt;Saving Throw &lt;/b&gt;none; &lt;b&gt;Spell Resistance &lt;/b&gt;no&lt;/h5&gt;&lt;/div&gt;&lt;hr/&gt;&lt;div&gt;&lt;h5&gt;&lt;b&gt;DESCRIPTION&lt;/b&gt;&lt;/h5&gt;&lt;/div&gt;&lt;hr/&gt;&lt;div&gt;&lt;h4&gt;&lt;p&gt;This spell functions like &lt;i&gt;contact entity III&lt;/i&gt;, except that you can contact creatures from the &lt;i&gt;contact entity IV&lt;/i&gt; list, and as noted above.&lt;/p&gt;&lt;/h4&gt;&lt;/div&gt;</t>
  </si>
  <si>
    <t xml:space="preserve"> Ask extraordinarily powerful eldritch entities to find and converse with you, or they may reply telepathically.</t>
  </si>
  <si>
    <t>Cruel Jaunt</t>
  </si>
  <si>
    <t>evil, fear, mind-affecting</t>
  </si>
  <si>
    <t>antipaladin 4, cleric/oracle 6, inquisitor 6, magus 6, psychic 6, shaman 6, sorcerer/wizard 6, witch 6</t>
  </si>
  <si>
    <t>V, S, M/DF (a dilated human eyeball)</t>
  </si>
  <si>
    <t>medium (100 feet + 10 ft./level)</t>
  </si>
  <si>
    <t>You gain the ability to detect fear, as per sense fear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dimension door. You can't teleport if there are no creatures suffering from a fear effect in range.</t>
  </si>
  <si>
    <t>&lt;p&gt;You gain the ability to detect fear, as per &lt;i&gt;sense fear&lt;/i&gt;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&lt;i&gt;dimension door&lt;/i&gt;. You can't teleport if there are no creatures suffering from a fear effect in range.&lt;/p&gt;</t>
  </si>
  <si>
    <t>&lt;link rel="stylesheet"href="PF.css"&gt;&lt;div class="heading"&gt;&lt;p class="alignleft"&gt;Cruel Jaunt&lt;/p&gt;&lt;div style="clear: both;"&gt;&lt;/div&gt;&lt;/div&gt;&lt;div&gt;&lt;h5&gt;&lt;b&gt;School &lt;/b&gt;conjuration (teleportation) [evil, fear, mind-affecting]; &lt;b&gt;Level &lt;/b&gt;antipaladin 4, cleric/oracle 6, inquisitor 6, magus 6, psychic 6, shaman 6, sorcerer/wizard 6, witch 6&lt;/h5&gt;&lt;/div&gt;&lt;hr/&gt;&lt;div&gt;&lt;h5&gt;&lt;b&gt;CASTING&lt;/b&gt;&lt;/h5&gt;&lt;/div&gt;&lt;hr/&gt;&lt;div&gt;&lt;h5&gt;&lt;b&gt;Casting Time &lt;/b&gt;1 standard action&lt;/h5&gt;&lt;h5&gt;&lt;b&gt;Components &lt;/b&gt;V, S, M/DF (a dilated human eyeball)&lt;/h5&gt;&lt;/div&gt;&lt;hr/&gt;&lt;div&gt;&lt;h5&gt;&lt;b&gt;EFFECT&lt;/b&gt;&lt;/h5&gt;&lt;/div&gt;&lt;hr/&gt;&lt;div&gt;&lt;h5&gt;&lt;b&gt;Range &lt;/b&gt;medium (100 feet + 10 ft./level)&lt;/h5&gt;&lt;h5&gt;&lt;b&gt;Targets &lt;/b&gt;you&lt;/h5&gt;&lt;h5&gt;&lt;b&gt;Duration &lt;/b&gt;1 round/level (D)&lt;/h5&gt;&lt;h5&gt;&lt;b&gt;Saving Throw &lt;/b&gt;none; &lt;b&gt;Spell Resistance &lt;/b&gt;no&lt;/h5&gt;&lt;/div&gt;&lt;hr/&gt;&lt;div&gt;&lt;h5&gt;&lt;b&gt;DESCRIPTION&lt;/b&gt;&lt;/h5&gt;&lt;/div&gt;&lt;hr/&gt;&lt;div&gt;&lt;h4&gt;&lt;p&gt;You gain the ability to detect fear, as per &lt;i&gt;sense fear&lt;/i&gt;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&lt;i&gt;dimension door&lt;/i&gt;. You can't teleport if there are no creatures suffering from a fear effect in range.&lt;/p&gt;&lt;/h4&gt;&lt;/div&gt;</t>
  </si>
  <si>
    <t xml:space="preserve"> Sense creatures suffering from fear, then teleport close to them.</t>
  </si>
  <si>
    <t>Curse Of Fell Seasons</t>
  </si>
  <si>
    <t>curseUM, darkness</t>
  </si>
  <si>
    <t>druid 9, shaman 9, sorcerer/wizard 9, witch 9</t>
  </si>
  <si>
    <t>V, S, F (darkwood carving of a tree worth 15,000 gp)</t>
  </si>
  <si>
    <t>2-mile radius emanating from the touched point</t>
  </si>
  <si>
    <t>By touching the ground, you drastically change the weather in the area, as the unseasonable weather curse (see page 145). The focus merges into the cursed area as part of the spell and can only be retrieved if the curse is lifted.</t>
  </si>
  <si>
    <t>&lt;p&gt;By touching the ground, you drastically change the weather in the area, as the unseasonable weather curse (see page 145). The focus merges into the cursed area as part of the spell and can only be retrieved if the curse is lifted.&lt;/p&gt;</t>
  </si>
  <si>
    <t>&lt;link rel="stylesheet"href="PF.css"&gt;&lt;div class="heading"&gt;&lt;p class="alignleft"&gt;Curse Of Fell Seasons&lt;/p&gt;&lt;div style="clear: both;"&gt;&lt;/div&gt;&lt;/div&gt;&lt;div&gt;&lt;h5&gt;&lt;b&gt;School &lt;/b&gt;transmutation [curse&lt;sup&gt;UM&lt;/sup&gt;, darkness]; &lt;b&gt;Level &lt;/b&gt;druid 9, shaman 9, sorcerer/wizard 9, witch 9&lt;/h5&gt;&lt;/div&gt;&lt;hr/&gt;&lt;div&gt;&lt;h5&gt;&lt;b&gt;CASTING&lt;/b&gt;&lt;/h5&gt;&lt;/div&gt;&lt;hr/&gt;&lt;div&gt;&lt;h5&gt;&lt;b&gt;Casting Time &lt;/b&gt;10 minutes&lt;/h5&gt;&lt;h5&gt;&lt;b&gt;Components &lt;/b&gt;V, S, F (darkwood carving of a tree worth 15,000 gp)&lt;/h5&gt;&lt;/div&gt;&lt;hr/&gt;&lt;div&gt;&lt;h5&gt;&lt;b&gt;EFFECT&lt;/b&gt;&lt;/h5&gt;&lt;/div&gt;&lt;hr/&gt;&lt;div&gt;&lt;h5&gt;&lt;b&gt;Range &lt;/b&gt;touch&lt;/h5&gt;&lt;h5&gt;&lt;b&gt;Area &lt;/b&gt;2-mile radius emanating from the touched point&lt;/h5&gt;&lt;h5&gt;&lt;b&gt;Duration &lt;/b&gt;permanent (D)&lt;/h5&gt;&lt;h5&gt;&lt;b&gt;Saving Throw &lt;/b&gt;none; &lt;b&gt;Spell Resistance &lt;/b&gt;no&lt;/h5&gt;&lt;/div&gt;&lt;hr/&gt;&lt;div&gt;&lt;h5&gt;&lt;b&gt;DESCRIPTION&lt;/b&gt;&lt;/h5&gt;&lt;/div&gt;&lt;hr/&gt;&lt;div&gt;&lt;h4&gt;&lt;p&gt;By touching the ground, you drastically change the weather in the area, as the unseasonable weather curse (see page 145). The focus merges into the cursed area as part of the spell and can only be retrieved if the curse is lifted.&lt;/p&gt;&lt;/h4&gt;&lt;/div&gt;</t>
  </si>
  <si>
    <t xml:space="preserve"> Curse an area’s weather.</t>
  </si>
  <si>
    <t>Curse Of Night</t>
  </si>
  <si>
    <t>V, S, F (jet gemstones worth a total of 10,000 gp)</t>
  </si>
  <si>
    <t>none (see curse text)</t>
  </si>
  <si>
    <t>By touching the ground, you curse an area to remain in bleak darkness, as the endless night curse (see page 143). The focus merges into the cursed area as part of the spell and can only be retrieved if the curse is lifted.</t>
  </si>
  <si>
    <t>&lt;p&gt;By touching the ground, you curse an area to remain in bleak darkness, as the endless night curse (see page 143). The focus merges into the cursed area as part of the spell and can only be retrieved if the curse is lifted.&lt;/p&gt;</t>
  </si>
  <si>
    <t>&lt;link rel="stylesheet"href="PF.css"&gt;&lt;div class="heading"&gt;&lt;p class="alignleft"&gt;Curse Of Night&lt;/p&gt;&lt;div style="clear: both;"&gt;&lt;/div&gt;&lt;/div&gt;&lt;div&gt;&lt;h5&gt;&lt;b&gt;School &lt;/b&gt;evocation [curse&lt;sup&gt;UM&lt;/sup&gt;, darkness]; &lt;b&gt;Level &lt;/b&gt;cleric/oracle 8, druid 8, sorcerer/wizard 8, witch 8&lt;/h5&gt;&lt;/div&gt;&lt;hr/&gt;&lt;div&gt;&lt;h5&gt;&lt;b&gt;CASTING&lt;/b&gt;&lt;/h5&gt;&lt;/div&gt;&lt;hr/&gt;&lt;div&gt;&lt;h5&gt;&lt;b&gt;Casting Time &lt;/b&gt;10 minutes&lt;/h5&gt;&lt;h5&gt;&lt;b&gt;Components &lt;/b&gt;V, S, F (jet gemstones worth a total of 10,000 gp)&lt;/h5&gt;&lt;/div&gt;&lt;hr/&gt;&lt;div&gt;&lt;h5&gt;&lt;b&gt;EFFECT&lt;/b&gt;&lt;/h5&gt;&lt;/div&gt;&lt;hr/&gt;&lt;div&gt;&lt;h5&gt;&lt;b&gt;Range &lt;/b&gt;touch&lt;/h5&gt;&lt;h5&gt;&lt;b&gt;Area &lt;/b&gt;1-mile radius emanating from the touched point&lt;/h5&gt;&lt;h5&gt;&lt;b&gt;Duration &lt;/b&gt;permanent (D)&lt;/h5&gt;&lt;h5&gt;&lt;b&gt;Saving Throw &lt;/b&gt;none (see curse text); &lt;b&gt;Spell Resistance &lt;/b&gt;no&lt;/h5&gt;&lt;/div&gt;&lt;hr/&gt;&lt;div&gt;&lt;h5&gt;&lt;b&gt;DESCRIPTION&lt;/b&gt;&lt;/h5&gt;&lt;/div&gt;&lt;hr/&gt;&lt;div&gt;&lt;h4&gt;&lt;p&gt;By touching the ground, you curse an area to remain in bleak darkness, as the endless night curse (see page 143). The focus merges into the cursed area as part of the spell and can only be retrieved if the curse is lifted.&lt;/p&gt;&lt;/h4&gt;&lt;/div&gt;</t>
  </si>
  <si>
    <t xml:space="preserve"> Curse an area with eternal night.</t>
  </si>
  <si>
    <t>Curse Terrain, Lesser</t>
  </si>
  <si>
    <t>curseUM, evil</t>
  </si>
  <si>
    <t>cleric/oracle 2, druid 2, shaman 2, sorcerer/wizard 2, witch 2</t>
  </si>
  <si>
    <t>V, S, M (the heart of a creature that dwelled in the area and powdered onyx worth 350 gp)</t>
  </si>
  <si>
    <t>300-ft. radius emanating from the touched point</t>
  </si>
  <si>
    <t>1 day (D)</t>
  </si>
  <si>
    <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Curse terrain spells can be made permanent with a permanency spell. The minimum caster level and gp cost are shown on the table. The spell is still dismissable if made permanent.  Spell Minimum Caster Level GP Cost  Lesser curse terrain 9th 2,500 gp  Curse terrain 11th 7,500 gp  Greater curse terrain 15th 17,500 gp  Supreme curse terrain 19th 27,500 gp</t>
  </si>
  <si>
    <t>&lt;p&gt;By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&lt;i&gt;Curse terrain&lt;/i&gt; spells can be made permanent with a &lt;i&gt;permanency&lt;/i&gt; spell. The minimum caster level and gp cost are shown on the table. The spell is still dismissable if made permanent.     &lt;table border ='1'&gt;&lt;tr&gt;&lt;th&gt;Spell&lt;/th&gt;&lt;th&gt;Minimum Caster Level&lt;/th&gt;&lt;th&gt;GP Cost&lt;/th&gt;&lt;/tr&gt;&lt;tr&gt;&lt;td&gt;Lesser curse terrain&lt;/td&gt;&lt;td&gt;9th&lt;/td&gt;&lt;td&gt;2,500 gp&lt;/td&gt;&lt;/tr&gt;&lt;tr&gt;&lt;td&gt;Curse terrain&lt;/td&gt;&lt;td&gt;11th&lt;/td&gt;&lt;td&gt;7,500 gp&lt;/td&gt;&lt;/tr&gt;&lt;tr&gt;&lt;td&gt;Greater curse terrain&lt;/td&gt;&lt;td&gt;15th&lt;/td&gt;&lt;td&gt;17,500 gp&lt;/td&gt;&lt;/tr&gt;&lt;tr&gt;&lt;td&gt;Supreme curse terrain&lt;/td&gt;&lt;td&gt;19th&lt;/td&gt;&lt;td&gt;27,500 gp&lt;/td&gt;&lt;/tr&gt;&lt;/table&gt;   &lt;/p&gt;</t>
  </si>
  <si>
    <t>&lt;link rel="stylesheet"href="PF.css"&gt;&lt;div class="heading"&gt;&lt;p class="alignleft"&gt;Curse Terrain, Lesser&lt;/p&gt;&lt;div style="clear: both;"&gt;&lt;/div&gt;&lt;/div&gt;&lt;div&gt;&lt;h5&gt;&lt;b&gt;School &lt;/b&gt;necromancy [curse&lt;sup&gt;UM&lt;/sup&gt;, evil]; &lt;b&gt;Level &lt;/b&gt;cleric/oracle 2, druid 2, shaman 2, sorcerer/wizard 2, witch 2&lt;/h5&gt;&lt;/div&gt;&lt;hr/&gt;&lt;div&gt;&lt;h5&gt;&lt;b&gt;CASTING&lt;/b&gt;&lt;/h5&gt;&lt;/div&gt;&lt;hr/&gt;&lt;div&gt;&lt;h5&gt;&lt;b&gt;Casting Time &lt;/b&gt;10 minutes&lt;/h5&gt;&lt;h5&gt;&lt;b&gt;Components &lt;/b&gt;V, S, M (the heart of a creature that dwelled in the area and powdered onyx worth 350 gp)&lt;/h5&gt;&lt;/div&gt;&lt;hr/&gt;&lt;div&gt;&lt;h5&gt;&lt;b&gt;EFFECT&lt;/b&gt;&lt;/h5&gt;&lt;/div&gt;&lt;hr/&gt;&lt;div&gt;&lt;h5&gt;&lt;b&gt;Range &lt;/b&gt;touch&lt;/h5&gt;&lt;h5&gt;&lt;b&gt;Area &lt;/b&gt;300-ft.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&lt;i&gt;Curse terrain&lt;/i&gt; spells can be made permanent with a &lt;i&gt;permanency&lt;/i&gt; spell. The minimum caster level and gp cost are shown on the table. The spell is still dismissable if made permanent.     &lt;table border ='1'&gt;&lt;tr&gt;&lt;th&gt;Spell&lt;/th&gt;&lt;th&gt;Minimum Caster Level&lt;/th&gt;&lt;th&gt;GP Cost&lt;/th&gt;&lt;/tr&gt;&lt;tr&gt;&lt;td&gt;Lesser curse terrain&lt;/td&gt;&lt;td&gt;9th&lt;/td&gt;&lt;td&gt;2,500 gp&lt;/td&gt;&lt;/tr&gt;&lt;tr&gt;&lt;td&gt;Curse terrain&lt;/td&gt;&lt;td&gt;11th&lt;/td&gt;&lt;td&gt;7,500 gp&lt;/td&gt;&lt;/tr&gt;&lt;tr&gt;&lt;td&gt;Greater curse terrain&lt;/td&gt;&lt;td&gt;15th&lt;/td&gt;&lt;td&gt;17,500 gp&lt;/td&gt;&lt;/tr&gt;&lt;tr&gt;&lt;td&gt;Supreme curse terrain&lt;/td&gt;&lt;td&gt;19th&lt;/td&gt;&lt;td&gt;27,500 gp&lt;/td&gt;&lt;/tr&gt;&lt;/table&gt;   &lt;/p&gt;&lt;/h4&gt;&lt;/div&gt;</t>
  </si>
  <si>
    <t xml:space="preserve"> Curse an area with three mild hazards.</t>
  </si>
  <si>
    <t>Curse Terrain</t>
  </si>
  <si>
    <t>cleric/oracle 4, druid 4, shaman 4, sorcerer/wizard 4, witch 4</t>
  </si>
  <si>
    <t>V, S, M (the heart of a creature that dwelled in the area and powdered onyx worth 700 gp)</t>
  </si>
  <si>
    <t>By touching the ground, you curse the land with four unnatural hazards. This functions as lesser curse terrain, but with the effects of the major perilous demesne curse (see page 145).</t>
  </si>
  <si>
    <t>&lt;p&gt;By touching the ground, you curse the land with four unnatural hazards. This functions as &lt;i&gt;lesser curse terrain&lt;/i&gt;, but with the effects of the major perilous demesne curse (see page 145).&lt;/p&gt;</t>
  </si>
  <si>
    <t>&lt;link rel="stylesheet"href="PF.css"&gt;&lt;div class="heading"&gt;&lt;p class="alignleft"&gt;Curse Terrain&lt;/p&gt;&lt;div style="clear: both;"&gt;&lt;/div&gt;&lt;/div&gt;&lt;div&gt;&lt;h5&gt;&lt;b&gt;School &lt;/b&gt;necromancy [curse&lt;sup&gt;UM&lt;/sup&gt;, evil]; &lt;b&gt;Level &lt;/b&gt;cleric/oracle 4, druid 4, shaman 4, sorcerer/wizard 4, witch 4&lt;/h5&gt;&lt;/div&gt;&lt;hr/&gt;&lt;div&gt;&lt;h5&gt;&lt;b&gt;CASTING&lt;/b&gt;&lt;/h5&gt;&lt;/div&gt;&lt;hr/&gt;&lt;div&gt;&lt;h5&gt;&lt;b&gt;Casting Time &lt;/b&gt;10 minutes&lt;/h5&gt;&lt;h5&gt;&lt;b&gt;Components &lt;/b&gt;V, S, M (the heart of a creature that dwelled in the area and powdered onyx worth 700 gp)&lt;/h5&gt;&lt;/div&gt;&lt;hr/&gt;&lt;div&gt;&lt;h5&gt;&lt;b&gt;EFFECT&lt;/b&gt;&lt;/h5&gt;&lt;/div&gt;&lt;hr/&gt;&lt;div&gt;&lt;h5&gt;&lt;b&gt;Range &lt;/b&gt;touch&lt;/h5&gt;&lt;h5&gt;&lt;b&gt;Area &lt;/b&gt;1-mile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four unnatural hazards. This functions as &lt;i&gt;lesser curse terrain&lt;/i&gt;, but with the effects of the major perilous demesne curse (see page 145).&lt;/p&gt;&lt;/h4&gt;&lt;/div&gt;</t>
  </si>
  <si>
    <t xml:space="preserve"> Curse an area with four hazards.</t>
  </si>
  <si>
    <t>Curse Terrain, Greater</t>
  </si>
  <si>
    <t>cleric/oracle 6, druid 6, shaman 6, sorcerer/wizard 6, witch 6</t>
  </si>
  <si>
    <t>V, S, M (the heart of a creature that dwelled in the area and powdered onyx worth 1,500 gp)</t>
  </si>
  <si>
    <t>5-mile radius emanating from the touched point</t>
  </si>
  <si>
    <t>By touching the ground, you curse the land with six unnatural hazards. This functions as lesser curse terrain, but with the effects of the greater perilous demesne curse (see page 145).</t>
  </si>
  <si>
    <t>&lt;p&gt;By touching the ground, you curse the land with six unnatural hazards. This functions as &lt;i&gt;lesser curse terrain&lt;/i&gt;, but with the effects of the greater perilous demesne curse (see page 145).&lt;/p&gt;</t>
  </si>
  <si>
    <t>&lt;link rel="stylesheet"href="PF.css"&gt;&lt;div class="heading"&gt;&lt;p class="alignleft"&gt;Curse Terrain, Greater&lt;/p&gt;&lt;div style="clear: both;"&gt;&lt;/div&gt;&lt;/div&gt;&lt;div&gt;&lt;h5&gt;&lt;b&gt;School &lt;/b&gt;necromancy [curse&lt;sup&gt;UM&lt;/sup&gt;, evil]; &lt;b&gt;Level &lt;/b&gt;cleric/oracle 6, druid 6, shaman 6, sorcerer/wizard 6, witch 6&lt;/h5&gt;&lt;/div&gt;&lt;hr/&gt;&lt;div&gt;&lt;h5&gt;&lt;b&gt;CASTING&lt;/b&gt;&lt;/h5&gt;&lt;/div&gt;&lt;hr/&gt;&lt;div&gt;&lt;h5&gt;&lt;b&gt;Casting Time &lt;/b&gt;10 minutes&lt;/h5&gt;&lt;h5&gt;&lt;b&gt;Components &lt;/b&gt;V, S, M (the heart of a creature that dwelled in the area and powdered onyx worth 1,500 gp)&lt;/h5&gt;&lt;/div&gt;&lt;hr/&gt;&lt;div&gt;&lt;h5&gt;&lt;b&gt;EFFECT&lt;/b&gt;&lt;/h5&gt;&lt;/div&gt;&lt;hr/&gt;&lt;div&gt;&lt;h5&gt;&lt;b&gt;Range &lt;/b&gt;touch&lt;/h5&gt;&lt;h5&gt;&lt;b&gt;Area &lt;/b&gt;5-mile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six unnatural hazards. This functions as &lt;i&gt;lesser curse terrain&lt;/i&gt;, but with the effects of the greater perilous demesne curse (see page 145).&lt;/p&gt;&lt;/h4&gt;&lt;/div&gt;</t>
  </si>
  <si>
    <t xml:space="preserve"> Curse an area with six dangerous hazards.</t>
  </si>
  <si>
    <t>Curse Terrain, Supreme</t>
  </si>
  <si>
    <t>cleric/oracle 8, druid 8, shaman 8, sorcerer/wizard 8, witch 8</t>
  </si>
  <si>
    <t>V, S, M (the heart of a creature that dwelled in the area and powdered onyx worth 4,000 gp)</t>
  </si>
  <si>
    <t>By touching the ground, you curse the land with seven unnatural hazards. This functions as lesser curse terrain, but with the effects of the grand perilous demesne curse (see page 144).</t>
  </si>
  <si>
    <t>&lt;p&gt;By touching the ground, you curse the land with seven unnatural hazards. This functions as &lt;i&gt;lesser curse terrain&lt;/i&gt;, but with the effects of the grand perilous demesne curse (see page 144).&lt;/p&gt;</t>
  </si>
  <si>
    <t>&lt;link rel="stylesheet"href="PF.css"&gt;&lt;div class="heading"&gt;&lt;p class="alignleft"&gt;Curse Terrain, Supreme&lt;/p&gt;&lt;div style="clear: both;"&gt;&lt;/div&gt;&lt;/div&gt;&lt;div&gt;&lt;h5&gt;&lt;b&gt;School &lt;/b&gt;necromancy [curse&lt;sup&gt;UM&lt;/sup&gt;, evil]; &lt;b&gt;Level &lt;/b&gt;cleric/oracle 8, druid 8, shaman 8, sorcerer/wizard 8, witch 8&lt;/h5&gt;&lt;/div&gt;&lt;hr/&gt;&lt;div&gt;&lt;h5&gt;&lt;b&gt;CASTING&lt;/b&gt;&lt;/h5&gt;&lt;/div&gt;&lt;hr/&gt;&lt;div&gt;&lt;h5&gt;&lt;b&gt;Casting Time &lt;/b&gt;10 minutes&lt;/h5&gt;&lt;h5&gt;&lt;b&gt;Components &lt;/b&gt;V, S, M (the heart of a creature that dwelled in the area and powdered onyx worth 4,000 gp)&lt;/h5&gt;&lt;/div&gt;&lt;hr/&gt;&lt;div&gt;&lt;h5&gt;&lt;b&gt;EFFECT&lt;/b&gt;&lt;/h5&gt;&lt;/div&gt;&lt;hr/&gt;&lt;div&gt;&lt;h5&gt;&lt;b&gt;Range &lt;/b&gt;touch&lt;/h5&gt;&lt;h5&gt;&lt;b&gt;Area &lt;/b&gt;5-mile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seven unnatural hazards. This functions as &lt;i&gt;lesser curse terrain&lt;/i&gt;, but with the effects of the grand perilous demesne curse (see page 144).&lt;/p&gt;&lt;/h4&gt;&lt;/div&gt;</t>
  </si>
  <si>
    <t xml:space="preserve"> Curse an area with seven deadly hazards.</t>
  </si>
  <si>
    <t>Damnation</t>
  </si>
  <si>
    <t>V, S, M/DF (a drop of holy water)</t>
  </si>
  <si>
    <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desecrate. A creature subject  to the harmful effects of an evil spell are unaffected unless it voluntarily accepted the spell's effects.</t>
  </si>
  <si>
    <t>&lt;p&gt;You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&lt;i&gt;desecrate&lt;/i&gt;. A creature subject  to the harmful effects of an evil spell are unaffected unless it voluntarily accepted the spell's effects.&lt;/p&gt;</t>
  </si>
  <si>
    <t>&lt;link rel="stylesheet"href="PF.css"&gt;&lt;div class="heading"&gt;&lt;p class="alignleft"&gt;Damnation&lt;/p&gt;&lt;div style="clear: both;"&gt;&lt;/div&gt;&lt;/div&gt;&lt;div&gt;&lt;h5&gt;&lt;b&gt;School &lt;/b&gt;evocation [good]; &lt;b&gt;Level &lt;/b&gt;cleric/oracle 3, inquisitor 3, paladin 3&lt;/h5&gt;&lt;/div&gt;&lt;hr/&gt;&lt;div&gt;&lt;h5&gt;&lt;b&gt;CASTING&lt;/b&gt;&lt;/h5&gt;&lt;/div&gt;&lt;hr/&gt;&lt;div&gt;&lt;h5&gt;&lt;b&gt;Casting Time &lt;/b&gt;1 standard action&lt;/h5&gt;&lt;h5&gt;&lt;b&gt;Components &lt;/b&gt;V, S, M/DF (a drop of holy water)&lt;/h5&gt;&lt;/div&gt;&lt;hr/&gt;&lt;div&gt;&lt;h5&gt;&lt;b&gt;EFFECT&lt;/b&gt;&lt;/h5&gt;&lt;/div&gt;&lt;hr/&gt;&lt;div&gt;&lt;h5&gt;&lt;b&gt;Area &lt;/b&gt;30-ft.-radius burst centered on you&lt;/h5&gt;&lt;h5&gt;&lt;b&gt;Duration &lt;/b&gt;instantaneous&lt;/h5&gt;&lt;h5&gt;&lt;b&gt;Saving Throw &lt;/b&gt;Will half; &lt;b&gt;Spell Resistance &lt;/b&gt;yes&lt;/h5&gt;&lt;/div&gt;&lt;hr/&gt;&lt;div&gt;&lt;h5&gt;&lt;b&gt;DESCRIPTION&lt;/b&gt;&lt;/h5&gt;&lt;/div&gt;&lt;hr/&gt;&lt;div&gt;&lt;h4&gt;&lt;p&gt;You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&lt;i&gt;desecrate&lt;/i&gt;. A creature subject  to the harmful effects of an evil spell are unaffected unless it voluntarily accepted the spell's effects.&lt;/p&gt;&lt;/h4&gt;&lt;/div&gt;</t>
  </si>
  <si>
    <t xml:space="preserve"> Punish creatures for evil spells they know or that affect them.</t>
  </si>
  <si>
    <t>Death Clutch</t>
  </si>
  <si>
    <t>cleric/oracle 8, druid 9, psychic 8, sorcerer/wizard 8, witch 8</t>
  </si>
  <si>
    <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regenerate spell before the beginning of your next turn, the creature gains the normal benefits of that spell and, thanks to its heart's regeneration, it doesn't immediately die when your next turn begins. If a creature that dies from death clutch is brought back from the dead by a breath of life or raise dead spell, it must also be targeted with regenerate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t>
  </si>
  <si>
    <t>&lt;p&gt;Chanting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&lt;i&gt;regenerate&lt;/i&gt; spell before the beginning of your next turn, the creature gains the normal benefits of that spell and, thanks to its heart's regeneration, it doesn't immediately die when your next turn begins. If a creature that dies from &lt;i&gt;death clutch&lt;/i&gt; is brought back from the dead by a &lt;i&gt;breath of life&lt;/i&gt; or &lt;i&gt;raise dead&lt;/i&gt; spell, it must also be targeted with &lt;i&gt;regenerate&lt;/i&gt;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chest.&lt;/p&gt;</t>
  </si>
  <si>
    <t>&lt;link rel="stylesheet"href="PF.css"&gt;&lt;div class="heading"&gt;&lt;p class="alignleft"&gt;Death Clutch&lt;/p&gt;&lt;div style="clear: both;"&gt;&lt;/div&gt;&lt;/div&gt;&lt;div&gt;&lt;h5&gt;&lt;b&gt;School &lt;/b&gt;necromancy [death, evil]; &lt;b&gt;Level &lt;/b&gt;cleric/oracle 8, druid 9, psychic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partial (see text); &lt;b&gt;Spell Resistance &lt;/b&gt;yes&lt;/h5&gt;&lt;/div&gt;&lt;hr/&gt;&lt;div&gt;&lt;h5&gt;&lt;b&gt;DESCRIPTION&lt;/b&gt;&lt;/h5&gt;&lt;/div&gt;&lt;hr/&gt;&lt;div&gt;&lt;h4&gt;&lt;p&gt;Chanting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&lt;i&gt;regenerate&lt;/i&gt; spell before the beginning of your next turn, the creature gains the normal benefits of that spell and, thanks to its heart's regeneration, it doesn't immediately die when your next turn begins. If a creature that dies from &lt;i&gt;death clutch&lt;/i&gt; is brought back from the dead by a &lt;i&gt;breath of life&lt;/i&gt; or &lt;i&gt;raise dead&lt;/i&gt; spell, it must also be targeted with &lt;i&gt;regenerate&lt;/i&gt;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chest.&lt;/p&gt;&lt;/h4&gt;&lt;/div&gt;</t>
  </si>
  <si>
    <t xml:space="preserve"> Rip out someone’s heart.</t>
  </si>
  <si>
    <t>Decapitate</t>
  </si>
  <si>
    <t>inquisitor 5, magus 6, psychic 6, sorcerer/wizard 6</t>
  </si>
  <si>
    <t>V, S, F (a sliver from a guillotine blade)</t>
  </si>
  <si>
    <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t>
  </si>
  <si>
    <t>&lt;p&gt;You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damage.&lt;/p&gt;</t>
  </si>
  <si>
    <t>&lt;link rel="stylesheet"href="PF.css"&gt;&lt;div class="heading"&gt;&lt;p class="alignleft"&gt;Decapitate&lt;/p&gt;&lt;div style="clear: both;"&gt;&lt;/div&gt;&lt;/div&gt;&lt;div&gt;&lt;h5&gt;&lt;b&gt;School &lt;/b&gt;evocation; &lt;b&gt;Level &lt;/b&gt;inquisitor 5, magus 6, psychic 6, sorcerer/wizard 6&lt;/h5&gt;&lt;/div&gt;&lt;hr/&gt;&lt;div&gt;&lt;h5&gt;&lt;b&gt;CASTING&lt;/b&gt;&lt;/h5&gt;&lt;/div&gt;&lt;hr/&gt;&lt;div&gt;&lt;h5&gt;&lt;b&gt;Casting Time &lt;/b&gt;1 immediate action&lt;/h5&gt;&lt;h5&gt;&lt;b&gt;Components &lt;/b&gt;V, S, F (a sliver from a guillotine blade)&lt;/h5&gt;&lt;/div&gt;&lt;hr/&gt;&lt;div&gt;&lt;h5&gt;&lt;b&gt;EFFECT&lt;/b&gt;&lt;/h5&gt;&lt;/div&gt;&lt;hr/&gt;&lt;div&gt;&lt;h5&gt;&lt;b&gt;Range &lt;/b&gt;close (25 ft. + 5 ft./2 levels)&lt;/h5&gt;&lt;h5&gt;&lt;b&gt;Targets &lt;/b&gt;one creature (see text)&lt;/h5&gt;&lt;h5&gt;&lt;b&gt;Duration &lt;/b&gt;instantaneous&lt;/h5&gt;&lt;h5&gt;&lt;b&gt;Saving Throw &lt;/b&gt;Fortitude partial (see text); &lt;b&gt;Spell Resistance &lt;/b&gt;yes&lt;/h5&gt;&lt;/div&gt;&lt;hr/&gt;&lt;div&gt;&lt;h5&gt;&lt;b&gt;DESCRIPTION&lt;/b&gt;&lt;/h5&gt;&lt;/div&gt;&lt;hr/&gt;&lt;div&gt;&lt;h4&gt;&lt;p&gt;You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damage.&lt;/p&gt;&lt;/h4&gt;&lt;/div&gt;</t>
  </si>
  <si>
    <t xml:space="preserve"> Turn a critical hit into a decapitation.</t>
  </si>
  <si>
    <t>Decollate</t>
  </si>
  <si>
    <t>alchemist 4, antipaladin 4, cleric/oracle 5, psychic 6, sorcerer/wizard 5, spiritualist 4, witch 5</t>
  </si>
  <si>
    <t>V, S, F (a red wax pencil)</t>
  </si>
  <si>
    <t>one willing humanoid or monstrous humanoid creature</t>
  </si>
  <si>
    <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t>
  </si>
  <si>
    <t>&lt;p&gt;A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harm.&lt;/p&gt;</t>
  </si>
  <si>
    <t>&lt;link rel="stylesheet"href="PF.css"&gt;&lt;div class="heading"&gt;&lt;p class="alignleft"&gt;Decollate&lt;/p&gt;&lt;div style="clear: both;"&gt;&lt;/div&gt;&lt;/div&gt;&lt;div&gt;&lt;h5&gt;&lt;b&gt;School &lt;/b&gt;necromancy; &lt;b&gt;Level &lt;/b&gt;alchemist 4, antipaladin 4, cleric/oracle 5, psychic 6, sorcerer/wizard 5, spiritualist 4, witch 5&lt;/h5&gt;&lt;/div&gt;&lt;hr/&gt;&lt;div&gt;&lt;h5&gt;&lt;b&gt;CASTING&lt;/b&gt;&lt;/h5&gt;&lt;/div&gt;&lt;hr/&gt;&lt;div&gt;&lt;h5&gt;&lt;b&gt;Casting Time &lt;/b&gt;1 standard action&lt;/h5&gt;&lt;h5&gt;&lt;b&gt;Components &lt;/b&gt;V, S, F (a red wax pencil)&lt;/h5&gt;&lt;/div&gt;&lt;hr/&gt;&lt;div&gt;&lt;h5&gt;&lt;b&gt;EFFECT&lt;/b&gt;&lt;/h5&gt;&lt;/div&gt;&lt;hr/&gt;&lt;div&gt;&lt;h5&gt;&lt;b&gt;Range &lt;/b&gt;touch&lt;/h5&gt;&lt;h5&gt;&lt;b&gt;Targets &lt;/b&gt;one willing humanoid or monstrous humanoid creature&lt;/h5&gt;&lt;h5&gt;&lt;b&gt;Duration &lt;/b&gt;24 hours&lt;/h5&gt;&lt;h5&gt;&lt;b&gt;Saving Throw &lt;/b&gt;none; &lt;b&gt;Spell Resistance &lt;/b&gt;yes (harmless)&lt;/h5&gt;&lt;/div&gt;&lt;hr/&gt;&lt;div&gt;&lt;h5&gt;&lt;b&gt;DESCRIPTION&lt;/b&gt;&lt;/h5&gt;&lt;/div&gt;&lt;hr/&gt;&lt;div&gt;&lt;h4&gt;&lt;p&gt;A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harm.&lt;/p&gt;&lt;/h4&gt;&lt;/div&gt;</t>
  </si>
  <si>
    <t xml:space="preserve"> A target can safely remove its head.</t>
  </si>
  <si>
    <t>Dreadscape</t>
  </si>
  <si>
    <t>bard 3, medium 3, mesmerist 3, psychic 4, sorcerer/wizard 4</t>
  </si>
  <si>
    <t>V, S, M (a pinch of black sand)</t>
  </si>
  <si>
    <t>up to one creature/level, no two of which can be more than 30 feet apart</t>
  </si>
  <si>
    <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dreadscape, that creature takes 1d6 points of Wisdom damage, though only once per casting of dreadscape.  If your campaign uses the sanity system (see page 12), creatures that become frightened or panicked take 2d6 sanity damage instead of Wisdom damage.</t>
  </si>
  <si>
    <t>&lt;p&gt;Your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&lt;i&gt;dreadscape&lt;/i&gt;, that creature takes 1d6 points of Wisdom damage, though only once per casting of &lt;i&gt;dreadscape&lt;/i&gt;.  If your campaign uses the sanity system (see page 12), creatures that become frightened or panicked take 2d6 sanity damage instead of Wisdom damage.&lt;/p&gt;</t>
  </si>
  <si>
    <t>&lt;link rel="stylesheet"href="PF.css"&gt;&lt;div class="heading"&gt;&lt;p class="alignleft"&gt;Dreadscape&lt;/p&gt;&lt;div style="clear: both;"&gt;&lt;/div&gt;&lt;/div&gt;&lt;div&gt;&lt;h5&gt;&lt;b&gt;School &lt;/b&gt;illusion (phantasm) [emotion&lt;sup&gt;UM&lt;/sup&gt;, fear, mind-affecting]; &lt;b&gt;Level &lt;/b&gt;bard 3, medium 3, mesmerist 3, psychic 4, sorcerer/wizard 4&lt;/h5&gt;&lt;/div&gt;&lt;hr/&gt;&lt;div&gt;&lt;h5&gt;&lt;b&gt;CASTING&lt;/b&gt;&lt;/h5&gt;&lt;/div&gt;&lt;hr/&gt;&lt;div&gt;&lt;h5&gt;&lt;b&gt;Casting Time &lt;/b&gt;1 standard action&lt;/h5&gt;&lt;h5&gt;&lt;b&gt;Components &lt;/b&gt;V, S, M (a pinch of black sand)&lt;/h5&gt;&lt;/div&gt;&lt;hr/&gt;&lt;div&gt;&lt;h5&gt;&lt;b&gt;EFFECT&lt;/b&gt;&lt;/h5&gt;&lt;/div&gt;&lt;hr/&gt;&lt;div&gt;&lt;h5&gt;&lt;b&gt;Range &lt;/b&gt;close (25 ft. + 5 ft./2 levels)&lt;/h5&gt;&lt;h5&gt;&lt;b&gt;Targets &lt;/b&gt;up to one creature/level, no two of which can be more than 30 feet apart&lt;/h5&gt;&lt;h5&gt;&lt;b&gt;Duration &lt;/b&gt;10 minutes/level&lt;/h5&gt;&lt;h5&gt;&lt;b&gt;Saving Throw &lt;/b&gt;Will negates; &lt;b&gt;Spell Resistance &lt;/b&gt;yes&lt;/h5&gt;&lt;/div&gt;&lt;hr/&gt;&lt;div&gt;&lt;h5&gt;&lt;b&gt;DESCRIPTION&lt;/b&gt;&lt;/h5&gt;&lt;/div&gt;&lt;hr/&gt;&lt;div&gt;&lt;h4&gt;&lt;p&gt;Your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&lt;i&gt;dreadscape&lt;/i&gt;, that creature takes 1d6 points of Wisdom damage, though only once per casting of &lt;i&gt;dreadscape&lt;/i&gt;.  If your campaign uses the sanity system (see page 12), creatures that become frightened or panicked take 2d6 sanity damage instead of Wisdom damage.&lt;/p&gt;&lt;/h4&gt;&lt;/div&gt;</t>
  </si>
  <si>
    <t xml:space="preserve"> Surroundings and unfamiliar creatures seem like something out of a nightmare.</t>
  </si>
  <si>
    <t>Flesh Puppet</t>
  </si>
  <si>
    <t>antipaladin 2, cleric/oracle 3, occultist 3, shaman 3, sorcerer/wizard 4, spiritualist 3, witch 4</t>
  </si>
  <si>
    <t>V, S, M (an onyx worth 25 gp and a silken string)</t>
  </si>
  <si>
    <t>one corpse touched</t>
  </si>
  <si>
    <t>You animate one corpse that has been dead no more than 48 hours. It rises as a zombie (Pathfinder RPG Bestiary 288) that is magically tethered to you and obeys your commands. As noted in animate dead,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flesh puppet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flesh puppet or flesh puppet horde on a new corpse.</t>
  </si>
  <si>
    <t>&lt;p&gt;You animate one corpse that has been dead no more than 48 hours. It rises as a zombie (&lt;i&gt;Pathfinder RPG Bestiary&lt;/i&gt; 288) that is magically tethered to you and obeys your commands. As noted in &lt;i&gt;animate dead&lt;/i&gt;,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&lt;i&gt;flesh puppet&lt;/i&gt;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&lt;i&gt;flesh puppet&lt;/i&gt; or &lt;i&gt;flesh puppet&lt;/i&gt; horde on a new corpse.&lt;/p&gt;</t>
  </si>
  <si>
    <t>&lt;link rel="stylesheet"href="PF.css"&gt;&lt;div class="heading"&gt;&lt;p class="alignleft"&gt;Flesh Puppet&lt;/p&gt;&lt;div style="clear: both;"&gt;&lt;/div&gt;&lt;/div&gt;&lt;div&gt;&lt;h5&gt;&lt;b&gt;School &lt;/b&gt;necromancy [evil]; &lt;b&gt;Level &lt;/b&gt;antipaladin 2, cleric/oracle 3, occultist 3, shaman 3, sorcerer/wizard 4, spiritualist 3, witch 4&lt;/h5&gt;&lt;/div&gt;&lt;hr/&gt;&lt;div&gt;&lt;h5&gt;&lt;b&gt;CASTING&lt;/b&gt;&lt;/h5&gt;&lt;/div&gt;&lt;hr/&gt;&lt;div&gt;&lt;h5&gt;&lt;b&gt;Casting Time &lt;/b&gt;1 round&lt;/h5&gt;&lt;h5&gt;&lt;b&gt;Components &lt;/b&gt;V, S, M (an onyx worth 25 gp and a silken string)&lt;/h5&gt;&lt;/div&gt;&lt;hr/&gt;&lt;div&gt;&lt;h5&gt;&lt;b&gt;EFFECT&lt;/b&gt;&lt;/h5&gt;&lt;/div&gt;&lt;hr/&gt;&lt;div&gt;&lt;h5&gt;&lt;b&gt;Range &lt;/b&gt;touch&lt;/h5&gt;&lt;h5&gt;&lt;b&gt;Targets &lt;/b&gt;one corpse touched&lt;/h5&gt;&lt;h5&gt;&lt;b&gt;Duration &lt;/b&gt;permanent (D)&lt;/h5&gt;&lt;h5&gt;&lt;b&gt;Saving Throw &lt;/b&gt;none; &lt;b&gt;Spell Resistance &lt;/b&gt;no&lt;/h5&gt;&lt;/div&gt;&lt;hr/&gt;&lt;div&gt;&lt;h5&gt;&lt;b&gt;DESCRIPTION&lt;/b&gt;&lt;/h5&gt;&lt;/div&gt;&lt;hr/&gt;&lt;div&gt;&lt;h4&gt;&lt;p&gt;You animate one corpse that has been dead no more than 48 hours. It rises as a zombie (&lt;i&gt;Pathfinder RPG Bestiary&lt;/i&gt; 288) that is magically tethered to you and obeys your commands. As noted in &lt;i&gt;animate dead&lt;/i&gt;,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&lt;i&gt;flesh puppet&lt;/i&gt;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&lt;i&gt;flesh puppet&lt;/i&gt; or &lt;i&gt;flesh puppet&lt;/i&gt; horde on a new corpse.&lt;/p&gt;&lt;/h4&gt;&lt;/div&gt;</t>
  </si>
  <si>
    <t xml:space="preserve"> Control a zombie in human guise.</t>
  </si>
  <si>
    <t>Flesh Puppet Horde</t>
  </si>
  <si>
    <t>antipaladin 3, cleric/oracle 4, occultist 4, shaman 4, sorcerer/wizard 5, spiritualist 4, witch 5</t>
  </si>
  <si>
    <t>V, S, M (an onyx worth 50 gp for each zombie and a silken string)</t>
  </si>
  <si>
    <t>This spell functions as flesh puppet, but can animate multiple zombies. As noted in animate dead,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flesh puppet requires a swift action, you can issue commands to only one zombie per round, though zombies you previously commanded continue to follow their orders. Likewise, you can command only one zombie to speak per round.  Unlike with flesh puppet, you can command a zombie to attack. If you do, all your zombies immediately gain the staggered quality and no longer appear to be alive.  This spell ends automatically if you cast flesh puppet or flesh puppet horde on a new corpse.</t>
  </si>
  <si>
    <t>&lt;p&gt;This spell functions as &lt;i&gt;flesh puppet&lt;/i&gt;, but can animate multiple zombies. As noted in &lt;i&gt;animate dead&lt;/i&gt;,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&lt;i&gt;flesh puppet&lt;/i&gt; requires a swift action, you can issue commands to only one zombie per round, though zombies you previously commanded continue to follow their orders. Likewise, you can command only one zombie to speak per round.  Unlike with &lt;i&gt;flesh puppet&lt;/i&gt;, you can command a zombie to attack. If you do, all your zombies immediately gain the staggered quality and no longer appear to be alive.  This spell ends automatically if you cast &lt;i&gt;flesh puppet&lt;/i&gt; or &lt;i&gt;flesh puppet&lt;/i&gt; horde on a new corpse.&lt;/p&gt;</t>
  </si>
  <si>
    <t>&lt;link rel="stylesheet"href="PF.css"&gt;&lt;div class="heading"&gt;&lt;p class="alignleft"&gt;Flesh Puppet Horde&lt;/p&gt;&lt;div style="clear: both;"&gt;&lt;/div&gt;&lt;/div&gt;&lt;div&gt;&lt;h5&gt;&lt;b&gt;School &lt;/b&gt;necromancy [evil]; &lt;b&gt;Level &lt;/b&gt;antipaladin 3, cleric/oracle 4, occultist 4, shaman 4, sorcerer/wizard 5, spiritualist 4, witch 5&lt;/h5&gt;&lt;/div&gt;&lt;hr/&gt;&lt;div&gt;&lt;h5&gt;&lt;b&gt;CASTING&lt;/b&gt;&lt;/h5&gt;&lt;/div&gt;&lt;hr/&gt;&lt;div&gt;&lt;h5&gt;&lt;b&gt;Casting Time &lt;/b&gt;10 minutes&lt;/h5&gt;&lt;h5&gt;&lt;b&gt;Components &lt;/b&gt;V, S, M (an onyx worth 50 gp for each zombie and a silken string)&lt;/h5&gt;&lt;/div&gt;&lt;hr/&gt;&lt;div&gt;&lt;h5&gt;&lt;b&gt;EFFECT&lt;/b&gt;&lt;/h5&gt;&lt;/div&gt;&lt;hr/&gt;&lt;div&gt;&lt;h5&gt;&lt;b&gt;Range &lt;/b&gt;touch&lt;/h5&gt;&lt;h5&gt;&lt;b&gt;Targets &lt;/b&gt;one or more corpses touched&lt;/h5&gt;&lt;h5&gt;&lt;b&gt;Duration &lt;/b&gt;permanent (D)&lt;/h5&gt;&lt;h5&gt;&lt;b&gt;Saving Throw &lt;/b&gt;none; &lt;b&gt;Spell Resistance &lt;/b&gt;no&lt;/h5&gt;&lt;/div&gt;&lt;hr/&gt;&lt;div&gt;&lt;h5&gt;&lt;b&gt;DESCRIPTION&lt;/b&gt;&lt;/h5&gt;&lt;/div&gt;&lt;hr/&gt;&lt;div&gt;&lt;h4&gt;&lt;p&gt;This spell functions as &lt;i&gt;flesh puppet&lt;/i&gt;, but can animate multiple zombies. As noted in &lt;i&gt;animate dead&lt;/i&gt;,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&lt;i&gt;flesh puppet&lt;/i&gt; requires a swift action, you can issue commands to only one zombie per round, though zombies you previously commanded continue to follow their orders. Likewise, you can command only one zombie to speak per round.  Unlike with &lt;i&gt;flesh puppet&lt;/i&gt;, you can command a zombie to attack. If you do, all your zombies immediately gain the staggered quality and no longer appear to be alive.  This spell ends automatically if you cast &lt;i&gt;flesh puppet&lt;/i&gt; or &lt;i&gt;flesh puppet&lt;/i&gt; horde on a new corpse.&lt;/p&gt;&lt;/h4&gt;&lt;/div&gt;</t>
  </si>
  <si>
    <t xml:space="preserve"> Control multiple zombies in human guise.</t>
  </si>
  <si>
    <t>Flesh Wall</t>
  </si>
  <si>
    <t>cleric/oracle 6, shaman 6, sorcerer/wizard 6, spiritualist 5, summoner 5, witch 6</t>
  </si>
  <si>
    <t>V, S, M (one corpse for every 5-ft. square of the wall), DF</t>
  </si>
  <si>
    <t>a wall of corpses with an area of up to one 5-ft. square/ level (S)</t>
  </si>
  <si>
    <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flesh wall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(Bestiary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flesh wall. However, they and any other corpses in the wall revert back to inanimate corpses when the spell ends.</t>
  </si>
  <si>
    <t>&lt;p&gt;You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&lt;i&gt;flesh wall&lt;/i&gt;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(&lt;i&gt;Bestiary&lt;/i&gt;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&lt;i&gt;flesh wall&lt;/i&gt;. However, they and any other corpses in the wall revert back to inanimate corpses when the spell ends.&lt;/p&gt;</t>
  </si>
  <si>
    <t>&lt;link rel="stylesheet"href="PF.css"&gt;&lt;div class="heading"&gt;&lt;p class="alignleft"&gt;Flesh Wall&lt;/p&gt;&lt;div style="clear: both;"&gt;&lt;/div&gt;&lt;/div&gt;&lt;div&gt;&lt;h5&gt;&lt;b&gt;School &lt;/b&gt;necromancy [evil]; &lt;b&gt;Level &lt;/b&gt;cleric/oracle 6, shaman 6, sorcerer/wizard 6, spiritualist 5, summoner 5, witch 6&lt;/h5&gt;&lt;/div&gt;&lt;hr/&gt;&lt;div&gt;&lt;h5&gt;&lt;b&gt;CASTING&lt;/b&gt;&lt;/h5&gt;&lt;/div&gt;&lt;hr/&gt;&lt;div&gt;&lt;h5&gt;&lt;b&gt;Casting Time &lt;/b&gt;1 standard action&lt;/h5&gt;&lt;h5&gt;&lt;b&gt;Components &lt;/b&gt;V, S, M (one corpse for every 5-ft. square of the wall), DF&lt;/h5&gt;&lt;/div&gt;&lt;hr/&gt;&lt;div&gt;&lt;h5&gt;&lt;b&gt;EFFECT&lt;/b&gt;&lt;/h5&gt;&lt;/div&gt;&lt;hr/&gt;&lt;div&gt;&lt;h5&gt;&lt;b&gt;Range &lt;/b&gt;medium (100 ft. + 10 ft./level)&lt;/h5&gt;&lt;h5&gt;&lt;b&gt;Effect &lt;/b&gt;a wall of corpses with an area of up to one 5-ft. square/ level (S)&lt;/h5&gt;&lt;h5&gt;&lt;b&gt;Duration &lt;/b&gt;concentration + 1 round/level (D)&lt;/h5&gt;&lt;h5&gt;&lt;b&gt;Saving Throw &lt;/b&gt;none; &lt;b&gt;Spell Resistance &lt;/b&gt;no&lt;/h5&gt;&lt;/div&gt;&lt;hr/&gt;&lt;div&gt;&lt;h5&gt;&lt;b&gt;DESCRIPTION&lt;/b&gt;&lt;/h5&gt;&lt;/div&gt;&lt;hr/&gt;&lt;div&gt;&lt;h4&gt;&lt;p&gt;You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&lt;i&gt;flesh wall&lt;/i&gt;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(&lt;i&gt;Bestiary&lt;/i&gt;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&lt;i&gt;flesh wall&lt;/i&gt;. However, they and any other corpses in the wall revert back to inanimate corpses when the spell ends.&lt;/p&gt;&lt;/h4&gt;&lt;/div&gt;</t>
  </si>
  <si>
    <t xml:space="preserve"> Create a wall of zombies.</t>
  </si>
  <si>
    <t>Flickering Lights</t>
  </si>
  <si>
    <t>bard 2, cleric/oracle 2, inquisitor 2, magus 2, occultist 2, shaman 2, sorcerer/wizard 2</t>
  </si>
  <si>
    <t>V, S, M (a patch of white cloth and a patch of black cloth)</t>
  </si>
  <si>
    <t>contiguous area consisting of one 10-foot cube/level (S)</t>
  </si>
  <si>
    <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d% Illumination level  1-10 Supernatural darkness  11-25 Darkness  26-50 Dim light  51-90 Normal light  91-00 Bright light  Even darkvision can't see through supernatural darkness (as deeper darkness). Bright light affects creatures with light blindness or light sensitivity. For the purpose of superseding its effects with higher-level light or darkness spells, flickering lights counts as a light spell when it increases the ambient light level and a darkness spell when it decreases the ambient light level.</t>
  </si>
  <si>
    <t>&lt;p&gt;You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&lt;table border ='1'&gt;&lt;tr&gt;&lt;th&gt;d%&lt;/th&gt;&lt;th&gt;Illumination level&lt;/th&gt;&lt;/tr&gt;&lt;tr&gt;&lt;td&gt;1-10&lt;/td&gt;&lt;td&gt;Supernatural darkness&lt;/td&gt;&lt;/tr&gt;&lt;tr&gt;&lt;td&gt;11-25&lt;/td&gt;&lt;td&gt;Darkness&lt;/td&gt;&lt;/tr&gt;&lt;tr&gt;&lt;td&gt;26-50&lt;/td&gt;&lt;td&gt;Dim light&lt;/td&gt;&lt;/tr&gt;&lt;tr&gt;&lt;td&gt;51-90&lt;/td&gt;&lt;td&gt;Normal light&lt;/td&gt;&lt;/tr&gt;&lt;tr&gt;&lt;td&gt;91-00&lt;/td&gt;&lt;td&gt;Bright light&lt;/td&gt;&lt;/tr&gt;&lt;/table&gt;     Even darkvision can't see through supernatural darkness (as &lt;i&gt;deeper&lt;/i&gt; darkness). Bright light affects creatures with light blindness or light sensitivity. For the purpose of superseding its effects with higher-level light or darkness spells, &lt;i&gt;flickering lights&lt;/i&gt; counts as a light spell when it increases the ambient light level and a darkness spell when it decreases the ambient light level.&lt;/p&gt;</t>
  </si>
  <si>
    <t>&lt;link rel="stylesheet"href="PF.css"&gt;&lt;div class="heading"&gt;&lt;p class="alignleft"&gt;Flickering Lights&lt;/p&gt;&lt;div style="clear: both;"&gt;&lt;/div&gt;&lt;/div&gt;&lt;div&gt;&lt;h5&gt;&lt;b&gt;School &lt;/b&gt;evocation [darkness, light]; &lt;b&gt;Level &lt;/b&gt;bard 2, cleric/oracle 2, inquisitor 2, magus 2, occultist 2, shaman 2, sorcerer/wizard 2&lt;/h5&gt;&lt;/div&gt;&lt;hr/&gt;&lt;div&gt;&lt;h5&gt;&lt;b&gt;CASTING&lt;/b&gt;&lt;/h5&gt;&lt;/div&gt;&lt;hr/&gt;&lt;div&gt;&lt;h5&gt;&lt;b&gt;Casting Time &lt;/b&gt;1 round&lt;/h5&gt;&lt;h5&gt;&lt;b&gt;Components &lt;/b&gt;V, S, M (a patch of white cloth and a patch of black cloth)&lt;/h5&gt;&lt;/div&gt;&lt;hr/&gt;&lt;div&gt;&lt;h5&gt;&lt;b&gt;EFFECT&lt;/b&gt;&lt;/h5&gt;&lt;/div&gt;&lt;hr/&gt;&lt;div&gt;&lt;h5&gt;&lt;b&gt;Range &lt;/b&gt;medium (100 ft. + 10 ft./level)&lt;/h5&gt;&lt;h5&gt;&lt;b&gt;Area &lt;/b&gt;contiguous area consisting of one 10-foot cube/level (S)&lt;/h5&gt;&lt;h5&gt;&lt;b&gt;Duration &lt;/b&gt;1 round/level&lt;/h5&gt;&lt;h5&gt;&lt;b&gt;Saving Throw &lt;/b&gt;Will negates; &lt;b&gt;Spell Resistance &lt;/b&gt;yes&lt;/h5&gt;&lt;/div&gt;&lt;hr/&gt;&lt;div&gt;&lt;h5&gt;&lt;b&gt;DESCRIPTION&lt;/b&gt;&lt;/h5&gt;&lt;/div&gt;&lt;hr/&gt;&lt;div&gt;&lt;h4&gt;&lt;p&gt;You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&lt;table border ='1'&gt;&lt;tr&gt;&lt;th&gt;d%&lt;/th&gt;&lt;th&gt;Illumination level&lt;/th&gt;&lt;/tr&gt;&lt;tr&gt;&lt;td&gt;1-10&lt;/td&gt;&lt;td&gt;Supernatural darkness&lt;/td&gt;&lt;/tr&gt;&lt;tr&gt;&lt;td&gt;11-25&lt;/td&gt;&lt;td&gt;Darkness&lt;/td&gt;&lt;/tr&gt;&lt;tr&gt;&lt;td&gt;26-50&lt;/td&gt;&lt;td&gt;Dim light&lt;/td&gt;&lt;/tr&gt;&lt;tr&gt;&lt;td&gt;51-90&lt;/td&gt;&lt;td&gt;Normal light&lt;/td&gt;&lt;/tr&gt;&lt;tr&gt;&lt;td&gt;91-00&lt;/td&gt;&lt;td&gt;Bright light&lt;/td&gt;&lt;/tr&gt;&lt;/table&gt;     Even darkvision can't see through supernatural darkness (as &lt;i&gt;deeper&lt;/i&gt; darkness). Bright light affects creatures with light blindness or light sensitivity. For the purpose of superseding its effects with higher-level light or darkness spells, &lt;i&gt;flickering lights&lt;/i&gt; counts as a light spell when it increases the ambient light level and a darkness spell when it decreases the ambient light level.&lt;/p&gt;&lt;/h4&gt;&lt;/div&gt;</t>
  </si>
  <si>
    <t xml:space="preserve"> Create an area of inconsistent lighting.</t>
  </si>
  <si>
    <t>Grasping Corpse</t>
  </si>
  <si>
    <t>antipaladin 1, cleric/oracle 1, occultist 1, shaman 1, sorcerer/wizard 1, spiritualist 1, witch 1</t>
  </si>
  <si>
    <t>V, S, M (pinch of powdered onyx worth 1 gp)</t>
  </si>
  <si>
    <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t>
  </si>
  <si>
    <t>&lt;p&gt;You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5/slashing.&lt;/p&gt;</t>
  </si>
  <si>
    <t>&lt;link rel="stylesheet"href="PF.css"&gt;&lt;div class="heading"&gt;&lt;p class="alignleft"&gt;Grasping Corpse&lt;/p&gt;&lt;div style="clear: both;"&gt;&lt;/div&gt;&lt;/div&gt;&lt;div&gt;&lt;h5&gt;&lt;b&gt;School &lt;/b&gt;necromancy [evil]; &lt;b&gt;Level &lt;/b&gt;antipaladin 1, cleric/oracle 1, occultist 1, shaman 1, sorcerer/wizard 1, spiritualist 1, witch 1&lt;/h5&gt;&lt;/div&gt;&lt;hr/&gt;&lt;div&gt;&lt;h5&gt;&lt;b&gt;CASTING&lt;/b&gt;&lt;/h5&gt;&lt;/div&gt;&lt;hr/&gt;&lt;div&gt;&lt;h5&gt;&lt;b&gt;Casting Time &lt;/b&gt;1 standard action&lt;/h5&gt;&lt;h5&gt;&lt;b&gt;Components &lt;/b&gt;V, S, M (pinch of powdered onyx worth 1 gp)&lt;/h5&gt;&lt;/div&gt;&lt;hr/&gt;&lt;div&gt;&lt;h5&gt;&lt;b&gt;EFFECT&lt;/b&gt;&lt;/h5&gt;&lt;/div&gt;&lt;hr/&gt;&lt;div&gt;&lt;h5&gt;&lt;b&gt;Range &lt;/b&gt;close (25 ft. + 5 ft./2 levels)&lt;/h5&gt;&lt;h5&gt;&lt;b&gt;Targets &lt;/b&gt;one corpse&lt;/h5&gt;&lt;h5&gt;&lt;b&gt;Duration &lt;/b&gt;instantaneous&lt;/h5&gt;&lt;h5&gt;&lt;b&gt;Saving Throw &lt;/b&gt;none; &lt;b&gt;Spell Resistance &lt;/b&gt;no&lt;/h5&gt;&lt;/div&gt;&lt;hr/&gt;&lt;div&gt;&lt;h5&gt;&lt;b&gt;DESCRIPTION&lt;/b&gt;&lt;/h5&gt;&lt;/div&gt;&lt;hr/&gt;&lt;div&gt;&lt;h4&gt;&lt;p&gt;You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5/slashing.&lt;/p&gt;&lt;/h4&gt;&lt;/div&gt;</t>
  </si>
  <si>
    <t xml:space="preserve"> Cause a corpse to grab or trip a foe.</t>
  </si>
  <si>
    <t>Green Caress</t>
  </si>
  <si>
    <t>druid 6, ranger 4, shaman 6, witch 6</t>
  </si>
  <si>
    <t>V, S, M (pinch of moss or a kudzu leaf)</t>
  </si>
  <si>
    <t>7 days (see text)</t>
  </si>
  <si>
    <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green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green caress.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Break enchantment, dispel magic, and remove curse can end the spell before the duration expires, but the spell is contagious. If a caster level check attempt to remove green caress fails by 5 or more, the creature who attempted to remove the effect must attempt a Fortitude saving throw as if it had just been targeted with the spell. If the spell's target attempts to remove the effect from itself and fails, it causes the spell to behave as if affected by plant growth (as described below).  Polymorph any object ends the spell and totally restores the target without any risk to the caster, even after the target has been finally transformed, as do limited wish, miracle, and wish (treat polymorph any object as if it had an instantaneous duration if it is used in this way). If the target is in the area of a plant growth spell as it is cast, it must attempt a Fortitude save at green caress's  DC or immediately take another 1d4 points of ability damage to each physical ability score; this stacks with multiple castings of plant growth. If the target is in the area of diminish plants as it is cast, it ignores the next ability damage from green caress to one of its three physical ability scores (chosen randomly); this doesn't stack with multiple castings of diminish plants.</t>
  </si>
  <si>
    <t>&lt;p&gt;You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&lt;i&gt;green&lt;/i&gt;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&lt;i&gt;&lt;i&gt;green&lt;/i&gt; caress&lt;/i&gt;.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&lt;i&gt;Break enchantment&lt;/i&gt;, &lt;i&gt;dispel magic&lt;/i&gt;, and &lt;i&gt;remove curse&lt;/i&gt; can end the spell before the duration expires, but the spell is contagious. If a caster level check attempt to remove &lt;i&gt;&lt;i&gt;green&lt;/i&gt; caress&lt;/i&gt; fails by 5 or more, the creature who attempted to remove the effect must attempt a Fortitude saving throw as if it had just been targeted with the spell. If the spell's target attempts to remove the effect from itself and fails, it causes the spell to behave as if affected by &lt;i&gt;plant growth&lt;/i&gt; (as described below).  &lt;i&gt;Polymorph any object&lt;/i&gt; ends the spell and totally restores the target without any risk to the caster, even after the target has been finally transformed, as do &lt;i&gt;limited &lt;i&gt;wish&lt;/i&gt;&lt;/i&gt;, &lt;i&gt;miracle&lt;/i&gt;, and &lt;i&gt;wish&lt;/i&gt; (treat &lt;i&gt;polymorph any object&lt;/i&gt; as if it had an instantaneous duration if it is used in this way). If the target is in the area of a &lt;i&gt;plant growth&lt;/i&gt; spell as it is cast, it must attempt a Fortitude save at &lt;i&gt;&lt;i&gt;green&lt;/i&gt; caress&lt;/i&gt;'s  DC or immediately take another 1d4 points of ability damage to each physical ability score; this stacks with multiple castings of &lt;i&gt;plant growth&lt;/i&gt;. If the target is in the area of &lt;i&gt;diminish plants&lt;/i&gt; as it is cast, it ignores the next ability damage from &lt;i&gt;&lt;i&gt;green&lt;/i&gt; caress&lt;/i&gt; to one of its three physical ability scores (chosen randomly); this doesn't stack with multiple castings of &lt;i&gt;diminish plants&lt;/i&gt;.&lt;/p&gt;</t>
  </si>
  <si>
    <t>&lt;link rel="stylesheet"href="PF.css"&gt;&lt;div class="heading"&gt;&lt;p class="alignleft"&gt;Green Caress&lt;/p&gt;&lt;div style="clear: both;"&gt;&lt;/div&gt;&lt;/div&gt;&lt;div&gt;&lt;h5&gt;&lt;b&gt;School &lt;/b&gt;transmutation; &lt;b&gt;Level &lt;/b&gt;druid 6, ranger 4, shaman 6, witch 6&lt;/h5&gt;&lt;/div&gt;&lt;hr/&gt;&lt;div&gt;&lt;h5&gt;&lt;b&gt;CASTING&lt;/b&gt;&lt;/h5&gt;&lt;/div&gt;&lt;hr/&gt;&lt;div&gt;&lt;h5&gt;&lt;b&gt;Casting Time &lt;/b&gt;1 standard action&lt;/h5&gt;&lt;h5&gt;&lt;b&gt;Components &lt;/b&gt;V, S, M (pinch of moss or a kudzu leaf)&lt;/h5&gt;&lt;/div&gt;&lt;hr/&gt;&lt;div&gt;&lt;h5&gt;&lt;b&gt;EFFECT&lt;/b&gt;&lt;/h5&gt;&lt;/div&gt;&lt;hr/&gt;&lt;div&gt;&lt;h5&gt;&lt;b&gt;Range &lt;/b&gt;touch&lt;/h5&gt;&lt;h5&gt;&lt;b&gt;Targets &lt;/b&gt;one living creature&lt;/h5&gt;&lt;h5&gt;&lt;b&gt;Duration &lt;/b&gt;7 days (see text)&lt;/h5&gt;&lt;h5&gt;&lt;b&gt;Saving Throw &lt;/b&gt;Fortitude partial (see text); &lt;b&gt;Spell Resistance &lt;/b&gt;yes&lt;/h5&gt;&lt;/div&gt;&lt;hr/&gt;&lt;div&gt;&lt;h5&gt;&lt;b&gt;DESCRIPTION&lt;/b&gt;&lt;/h5&gt;&lt;/div&gt;&lt;hr/&gt;&lt;div&gt;&lt;h4&gt;&lt;p&gt;You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&lt;i&gt;green&lt;/i&gt;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&lt;i&gt;&lt;i&gt;green&lt;/i&gt; caress&lt;/i&gt;.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&lt;i&gt;Break enchantment&lt;/i&gt;, &lt;i&gt;dispel magic&lt;/i&gt;, and &lt;i&gt;remove curse&lt;/i&gt; can end the spell before the duration expires, but the spell is contagious. If a caster level check attempt to remove &lt;i&gt;&lt;i&gt;green&lt;/i&gt; caress&lt;/i&gt; fails by 5 or more, the creature who attempted to remove the effect must attempt a Fortitude saving throw as if it had just been targeted with the spell. If the spell's target attempts to remove the effect from itself and fails, it causes the spell to behave as if affected by &lt;i&gt;plant growth&lt;/i&gt; (as described below).  &lt;i&gt;Polymorph any object&lt;/i&gt; ends the spell and totally restores the target without any risk to the caster, even after the target has been finally transformed, as do &lt;i&gt;limited &lt;i&gt;wish&lt;/i&gt;&lt;/i&gt;, &lt;i&gt;miracle&lt;/i&gt;, and &lt;i&gt;wish&lt;/i&gt; (treat &lt;i&gt;polymorph any object&lt;/i&gt; as if it had an instantaneous duration if it is used in this way). If the target is in the area of a &lt;i&gt;plant growth&lt;/i&gt; spell as it is cast, it must attempt a Fortitude save at &lt;i&gt;&lt;i&gt;green&lt;/i&gt; caress&lt;/i&gt;'s  DC or immediately take another 1d4 points of ability damage to each physical ability score; this stacks with multiple castings of &lt;i&gt;plant growth&lt;/i&gt;. If the target is in the area of &lt;i&gt;diminish plants&lt;/i&gt; as it is cast, it ignores the next ability damage from &lt;i&gt;&lt;i&gt;green&lt;/i&gt; caress&lt;/i&gt; to one of its three physical ability scores (chosen randomly); this doesn't stack with multiple castings of &lt;i&gt;diminish plants&lt;/i&gt;.&lt;/p&gt;&lt;/h4&gt;&lt;/div&gt;</t>
  </si>
  <si>
    <t xml:space="preserve"> Slowly transform a creature into an inanimate plant.</t>
  </si>
  <si>
    <t>Hedging Weapons</t>
  </si>
  <si>
    <t>antipaladin 1, cleric/oracle 1, inquisitor 1, paladin 1</t>
  </si>
  <si>
    <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t>
  </si>
  <si>
    <t>&lt;p&gt;A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weapons.&lt;/p&gt;</t>
  </si>
  <si>
    <t>&lt;link rel="stylesheet"href="PF.css"&gt;&lt;div class="heading"&gt;&lt;p class="alignleft"&gt;Hedging Weapons&lt;/p&gt;&lt;div style="clear: both;"&gt;&lt;/div&gt;&lt;/div&gt;&lt;div&gt;&lt;h5&gt;&lt;b&gt;School &lt;/b&gt;abjuration [force]; &lt;b&gt;Level &lt;/b&gt;antipaladin 1, cleric/oracle 1, inquisitor 1, paladin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(D)&lt;/h5&gt;&lt;/div&gt;&lt;hr/&gt;&lt;div&gt;&lt;h5&gt;&lt;b&gt;DESCRIPTION&lt;/b&gt;&lt;/h5&gt;&lt;/div&gt;&lt;hr/&gt;&lt;div&gt;&lt;h4&gt;&lt;p&gt;A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weapons.&lt;/p&gt;&lt;/h4&gt;&lt;/div&gt;</t>
  </si>
  <si>
    <t xml:space="preserve"> Floating weapons protect you and make ranged attacks.</t>
  </si>
  <si>
    <t>Holy Javelin</t>
  </si>
  <si>
    <t>javelin of divine energy</t>
  </si>
  <si>
    <t>1 round + 1 round/4 levels</t>
  </si>
  <si>
    <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holy javelin glows like a torch, and this light clearly indicates the impaled creature's location, even if it turns invisible. Since this light is not a light effect, just the glow of a conjured javelin, darkness spells always suppress it, even if they are lower level.</t>
  </si>
  <si>
    <t>&lt;p&gt;You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&lt;i&gt;holy javelin&lt;/i&gt; glows like a torch, and this light clearly indicates the impaled creature's location, even if it turns invisible. Since this light is not a light effect, just the glow of a conjured javelin, darkness spells always suppress it, even if they are lower level.&lt;/p&gt;</t>
  </si>
  <si>
    <t>&lt;link rel="stylesheet"href="PF.css"&gt;&lt;div class="heading"&gt;&lt;p class="alignleft"&gt;Holy Javelin&lt;/p&gt;&lt;div style="clear: both;"&gt;&lt;/div&gt;&lt;/div&gt;&lt;div&gt;&lt;h5&gt;&lt;b&gt;School &lt;/b&gt;conjuration (creation) [good]; &lt;b&gt;Level &lt;/b&gt;cleric/oracle 3, inquisitor 3, paladin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&lt;/b&gt;javelin of divine energy&lt;/h5&gt;&lt;h5&gt;&lt;b&gt;Duration &lt;/b&gt;1 round + 1 round/4 levels&lt;/h5&gt;&lt;h5&gt;&lt;b&gt;Saving Throw &lt;/b&gt;none; &lt;b&gt;Spell Resistance &lt;/b&gt;yes&lt;/h5&gt;&lt;/div&gt;&lt;hr/&gt;&lt;div&gt;&lt;h5&gt;&lt;b&gt;DESCRIPTION&lt;/b&gt;&lt;/h5&gt;&lt;/div&gt;&lt;hr/&gt;&lt;div&gt;&lt;h4&gt;&lt;p&gt;You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&lt;i&gt;holy javelin&lt;/i&gt; glows like a torch, and this light clearly indicates the impaled creature's location, even if it turns invisible. Since this light is not a light effect, just the glow of a conjured javelin, darkness spells always suppress it, even if they are lower level.&lt;/p&gt;&lt;/h4&gt;&lt;/div&gt;</t>
  </si>
  <si>
    <t xml:space="preserve"> Deal ongoing damage to evil creatures and apply penalties.</t>
  </si>
  <si>
    <t>Horrific Doubles</t>
  </si>
  <si>
    <t>bard 4, bloodrager 4, medium 3, mesmerist 4, psychic 4, sorcerer/wizard 4</t>
  </si>
  <si>
    <t>You create several illusory doubles of yourself, where you and each image all seem slightly off or wrong in appearance. Treat this spell as mirror image,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mirror image).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t>
  </si>
  <si>
    <t>&lt;p&gt;You create several illusory doubles of yourself, where you and each image all seem slightly off or wrong in appearance. Treat this spell as &lt;i&gt;&lt;i&gt;mirror&lt;/i&gt; image&lt;/i&gt;,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&lt;i&gt;&lt;i&gt;mirror&lt;/i&gt; image&lt;/i&gt;).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damage.&lt;/p&gt;</t>
  </si>
  <si>
    <t>&lt;link rel="stylesheet"href="PF.css"&gt;&lt;div class="heading"&gt;&lt;p class="alignleft"&gt;Horrific Doubles&lt;/p&gt;&lt;div style="clear: both;"&gt;&lt;/div&gt;&lt;/div&gt;&lt;div&gt;&lt;h5&gt;&lt;b&gt;School &lt;/b&gt;illusion (figment); &lt;b&gt;Level &lt;/b&gt;bard 4, bloodrager 4, medium 3, mesmerist 4, psychic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create several illusory doubles of yourself, where you and each image all seem slightly off or wrong in appearance. Treat this spell as &lt;i&gt;&lt;i&gt;mirror&lt;/i&gt; image&lt;/i&gt;,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&lt;i&gt;&lt;i&gt;mirror&lt;/i&gt; image&lt;/i&gt;).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damage.&lt;/p&gt;&lt;/h4&gt;&lt;/div&gt;</t>
  </si>
  <si>
    <t xml:space="preserve"> Call forth disturbing mirror images.</t>
  </si>
  <si>
    <t>Hunger For Flesh</t>
  </si>
  <si>
    <t>antipaladin 3, cleric/oracle 4, psychic 4, shaman 4, sorcerer/wizard 4, spiritualist 4, witch 4</t>
  </si>
  <si>
    <t>V, S, M/DF (a ghoul fang)</t>
  </si>
  <si>
    <t>one humanoid, magical beast, or monstrous humanoid</t>
  </si>
  <si>
    <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t>
  </si>
  <si>
    <t>&lt;p&gt;Your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turn.&lt;/p&gt;</t>
  </si>
  <si>
    <t>&lt;link rel="stylesheet"href="PF.css"&gt;&lt;div class="heading"&gt;&lt;p class="alignleft"&gt;Hunger For Flesh&lt;/p&gt;&lt;div style="clear: both;"&gt;&lt;/div&gt;&lt;/div&gt;&lt;div&gt;&lt;h5&gt;&lt;b&gt;School &lt;/b&gt;necromancy [evil, mind-affecting]; &lt;b&gt;Level &lt;/b&gt;antipaladin 3, cleric/oracle 4, psychic 4, shaman 4, sorcerer/wizard 4, spiritualist 4, witch 4&lt;/h5&gt;&lt;/div&gt;&lt;hr/&gt;&lt;div&gt;&lt;h5&gt;&lt;b&gt;CASTING&lt;/b&gt;&lt;/h5&gt;&lt;/div&gt;&lt;hr/&gt;&lt;div&gt;&lt;h5&gt;&lt;b&gt;Casting Time &lt;/b&gt;1 standard action&lt;/h5&gt;&lt;h5&gt;&lt;b&gt;Components &lt;/b&gt;V, S, M/DF (a ghoul fang)&lt;/h5&gt;&lt;/div&gt;&lt;hr/&gt;&lt;div&gt;&lt;h5&gt;&lt;b&gt;EFFECT&lt;/b&gt;&lt;/h5&gt;&lt;/div&gt;&lt;hr/&gt;&lt;div&gt;&lt;h5&gt;&lt;b&gt;Range &lt;/b&gt;close (25 ft. + 5 ft./2 levels)&lt;/h5&gt;&lt;h5&gt;&lt;b&gt;Targets &lt;/b&gt;one humanoid, magical beast, or monstrous humanoid&lt;/h5&gt;&lt;h5&gt;&lt;b&gt;Duration &lt;/b&gt;1 round/level&lt;/h5&gt;&lt;h5&gt;&lt;b&gt;Saving Throw &lt;/b&gt;Will negates; &lt;b&gt;Spell Resistance &lt;/b&gt;yes&lt;/h5&gt;&lt;/div&gt;&lt;hr/&gt;&lt;div&gt;&lt;h5&gt;&lt;b&gt;DESCRIPTION&lt;/b&gt;&lt;/h5&gt;&lt;/div&gt;&lt;hr/&gt;&lt;div&gt;&lt;h4&gt;&lt;p&gt;Your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turn.&lt;/p&gt;&lt;/h4&gt;&lt;/div&gt;</t>
  </si>
  <si>
    <t xml:space="preserve"> Give a creature a bite attack and a hunger for its own kind’s flesh.</t>
  </si>
  <si>
    <t>Hunger For Flesh, Mass</t>
  </si>
  <si>
    <t>cleric/oracle 7, psychic 7, shaman 7, sorcerer/wizard 7, spiritualist 6, witch 7</t>
  </si>
  <si>
    <t>one humanoid, magical beast, or monstrous humanoid/ level, no two of which can be more than 30 feet apart</t>
  </si>
  <si>
    <t>This spell functions like hunger for flesh, except that it affects multiple targets. When forced to feed by the spell, affected creatures attack creatures not affected by this spell if there are any such appropriate creatures nearby, but otherwise they attack other affected creatures.</t>
  </si>
  <si>
    <t>&lt;p&gt;This spell functions like &lt;i&gt;hunger for flesh&lt;/i&gt;, except that it affects multiple targets. When forced to feed by the spell, affected creatures attack creatures not affected by this spell if there are any such appropriate creatures nearby, but otherwise they attack other affected creatures.&lt;/p&gt;</t>
  </si>
  <si>
    <t>&lt;link rel="stylesheet"href="PF.css"&gt;&lt;div class="heading"&gt;&lt;p class="alignleft"&gt;Hunger For Flesh, Mass&lt;/p&gt;&lt;div style="clear: both;"&gt;&lt;/div&gt;&lt;/div&gt;&lt;div&gt;&lt;h5&gt;&lt;b&gt;School &lt;/b&gt;necromancy [evil, mind-affecting]; &lt;b&gt;Level &lt;/b&gt;cleric/oracle 7, psychic 7, shaman 7, sorcerer/wizard 7, spiritualist 6, witch 7&lt;/h5&gt;&lt;/div&gt;&lt;hr/&gt;&lt;div&gt;&lt;h5&gt;&lt;b&gt;CASTING&lt;/b&gt;&lt;/h5&gt;&lt;/div&gt;&lt;hr/&gt;&lt;div&gt;&lt;h5&gt;&lt;b&gt;Casting Time &lt;/b&gt;1 standard action&lt;/h5&gt;&lt;h5&gt;&lt;b&gt;Components &lt;/b&gt;V, S, M/DF (a ghoul fang)&lt;/h5&gt;&lt;/div&gt;&lt;hr/&gt;&lt;div&gt;&lt;h5&gt;&lt;b&gt;EFFECT&lt;/b&gt;&lt;/h5&gt;&lt;/div&gt;&lt;hr/&gt;&lt;div&gt;&lt;h5&gt;&lt;b&gt;Range &lt;/b&gt;close (25 ft. + 5 ft./2 levels)&lt;/h5&gt;&lt;h5&gt;&lt;b&gt;Targets &lt;/b&gt;one humanoid, magical beast, or monstrous humanoid/ level, no two of which can be more than 30 feet apart&lt;/h5&gt;&lt;h5&gt;&lt;b&gt;Duration &lt;/b&gt;1 round/level&lt;/h5&gt;&lt;h5&gt;&lt;b&gt;Saving Throw &lt;/b&gt;Will negates; &lt;b&gt;Spell Resistance &lt;/b&gt;yes&lt;/h5&gt;&lt;/div&gt;&lt;hr/&gt;&lt;div&gt;&lt;h5&gt;&lt;b&gt;DESCRIPTION&lt;/b&gt;&lt;/h5&gt;&lt;/div&gt;&lt;hr/&gt;&lt;div&gt;&lt;h4&gt;&lt;p&gt;This spell functions like &lt;i&gt;hunger for flesh&lt;/i&gt;, except that it affects multiple targets. When forced to feed by the spell, affected creatures attack creatures not affected by this spell if there are any such appropriate creatures nearby, but otherwise they attack other affected creatures.&lt;/p&gt;&lt;/h4&gt;&lt;/div&gt;</t>
  </si>
  <si>
    <t xml:space="preserve"> Give creatures bite attacks and a hunger for their own kind’s flesh.</t>
  </si>
  <si>
    <t>Impossible Angles</t>
  </si>
  <si>
    <t>medium 3, mesmerist 4, occultist 4, psychic 5, sorcerer/wizard 5</t>
  </si>
  <si>
    <t>V, S, M (a melted prism)</t>
  </si>
  <si>
    <t>contiguous area up to one 5-foot cube/caster level (S)</t>
  </si>
  <si>
    <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(Pathfinder RPG Core Rulebook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t>
  </si>
  <si>
    <t>&lt;p&gt;You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(&lt;i&gt;Pathfinder RPG Core Rulebook&lt;/i&gt;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save.&lt;/p&gt;</t>
  </si>
  <si>
    <t>&lt;link rel="stylesheet"href="PF.css"&gt;&lt;div class="heading"&gt;&lt;p class="alignleft"&gt;Impossible Angles&lt;/p&gt;&lt;div style="clear: both;"&gt;&lt;/div&gt;&lt;/div&gt;&lt;div&gt;&lt;h5&gt;&lt;b&gt;School &lt;/b&gt;illusion (figment); &lt;b&gt;Level &lt;/b&gt;medium 3, mesmerist 4, occultist 4, psychic 5, sorcerer/wizard 5&lt;/h5&gt;&lt;/div&gt;&lt;hr/&gt;&lt;div&gt;&lt;h5&gt;&lt;b&gt;CASTING&lt;/b&gt;&lt;/h5&gt;&lt;/div&gt;&lt;hr/&gt;&lt;div&gt;&lt;h5&gt;&lt;b&gt;Casting Time &lt;/b&gt;1 standard action&lt;/h5&gt;&lt;h5&gt;&lt;b&gt;Components &lt;/b&gt;V, S, M (a melted prism)&lt;/h5&gt;&lt;/div&gt;&lt;hr/&gt;&lt;div&gt;&lt;h5&gt;&lt;b&gt;EFFECT&lt;/b&gt;&lt;/h5&gt;&lt;/div&gt;&lt;hr/&gt;&lt;div&gt;&lt;h5&gt;&lt;b&gt;Range &lt;/b&gt;medium (100 ft. + 10 ft./level)&lt;/h5&gt;&lt;h5&gt;&lt;b&gt;Area &lt;/b&gt;contiguous area up to one 5-foot cube/caster level (S)&lt;/h5&gt;&lt;h5&gt;&lt;b&gt;Duration &lt;/b&gt;1 minute/level&lt;/h5&gt;&lt;h5&gt;&lt;b&gt;Saving Throw &lt;/b&gt;Will negates; &lt;b&gt;Spell Resistance &lt;/b&gt;yes&lt;/h5&gt;&lt;/div&gt;&lt;hr/&gt;&lt;div&gt;&lt;h5&gt;&lt;b&gt;DESCRIPTION&lt;/b&gt;&lt;/h5&gt;&lt;/div&gt;&lt;hr/&gt;&lt;div&gt;&lt;h4&gt;&lt;p&gt;You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(&lt;i&gt;Pathfinder RPG Core Rulebook&lt;/i&gt;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save.&lt;/p&gt;&lt;/h4&gt;&lt;/div&gt;</t>
  </si>
  <si>
    <t xml:space="preserve"> Distort geometry in an area.</t>
  </si>
  <si>
    <t>Life Blast</t>
  </si>
  <si>
    <t>V, S, M (a dead leaf)</t>
  </si>
  <si>
    <t>150 ft.</t>
  </si>
  <si>
    <t>150-ft. line</t>
  </si>
  <si>
    <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t>
  </si>
  <si>
    <t>&lt;p&gt;This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obstacles.&lt;/p&gt;</t>
  </si>
  <si>
    <t>&lt;link rel="stylesheet"href="PF.css"&gt;&lt;div class="heading"&gt;&lt;p class="alignleft"&gt;Life Blast&lt;/p&gt;&lt;div style="clear: both;"&gt;&lt;/div&gt;&lt;/div&gt;&lt;div&gt;&lt;h5&gt;&lt;b&gt;School &lt;/b&gt;necromancy; &lt;b&gt;Level &lt;/b&gt;druid 4, ranger 3, shaman 4&lt;/h5&gt;&lt;/div&gt;&lt;hr/&gt;&lt;div&gt;&lt;h5&gt;&lt;b&gt;CASTING&lt;/b&gt;&lt;/h5&gt;&lt;/div&gt;&lt;hr/&gt;&lt;div&gt;&lt;h5&gt;&lt;b&gt;Casting Time &lt;/b&gt;1 standard action&lt;/h5&gt;&lt;h5&gt;&lt;b&gt;Components &lt;/b&gt;V, S, M (a dead leaf)&lt;/h5&gt;&lt;/div&gt;&lt;hr/&gt;&lt;div&gt;&lt;h5&gt;&lt;b&gt;EFFECT&lt;/b&gt;&lt;/h5&gt;&lt;/div&gt;&lt;hr/&gt;&lt;div&gt;&lt;h5&gt;&lt;b&gt;Range &lt;/b&gt;150 ft.&lt;/h5&gt;&lt;h5&gt;&lt;b&gt;Area &lt;/b&gt;150-ft. line&lt;/h5&gt;&lt;h5&gt;&lt;b&gt;Duration &lt;/b&gt;instantaneous&lt;/h5&gt;&lt;h5&gt;&lt;b&gt;Saving Throw &lt;/b&gt;Will half; &lt;b&gt;Spell Resistance &lt;/b&gt;yes&lt;/h5&gt;&lt;/div&gt;&lt;hr/&gt;&lt;div&gt;&lt;h5&gt;&lt;b&gt;DESCRIPTION&lt;/b&gt;&lt;/h5&gt;&lt;/div&gt;&lt;hr/&gt;&lt;div&gt;&lt;h4&gt;&lt;p&gt;This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obstacles.&lt;/p&gt;&lt;/h4&gt;&lt;/div&gt;</t>
  </si>
  <si>
    <t xml:space="preserve"> Drain life from local vegetation to launch a blast of positive energy.</t>
  </si>
  <si>
    <t>Locate Gate</t>
  </si>
  <si>
    <t>bard 5, cleric/oracle 5, occultist 5, psychic 5, sorcerer/wizard 5, summoner 5</t>
  </si>
  <si>
    <t>V, S, F/DF (a small lodestone sphere)</t>
  </si>
  <si>
    <t>circle centered on you with a radius of 400 ft. + 40 ft./level</t>
  </si>
  <si>
    <t>You sense the direction of the nearest teleportation circle (permanent or with a remaining duration), gate spell, or other effect which magically connects two different locations (for example, an active magic item, a creature's special ability, or unique adventure location). Locate gate detects only spells or effects with a permanent or ongoing duration, not instantaneous effects like dimension door or teleport.  Locate gate can be blocked by spells like nondetection, if the effect originates from a specific object or creature. However, spell effects can't likewise be warded. For example, ring gates are a specific object, but a permanent teleportation circle is not (the surface in which it's inscribed doesn't count). Locate gate isn't blocked by lead, water, or other physical environmental conditions, but it is blocked by any intervening area that is dimensionally warded (such as by dimensional lock or forbiddance).</t>
  </si>
  <si>
    <t>&lt;p&gt;You sense the direction of the nearest &lt;i&gt;&lt;i&gt;teleport&lt;/i&gt;ation circle&lt;/i&gt; (permanent or with a remaining duration), &lt;i&gt;gate&lt;/i&gt; spell, or other effect which magically connects two different locations (for example, an active magic item, a creature's special ability, or unique adventure location). Locate &lt;i&gt;gate&lt;/i&gt; detects only spells or effects with a permanent or ongoing duration, not instantaneous effects like &lt;i&gt;dimension door&lt;/i&gt; or &lt;i&gt;teleport&lt;/i&gt;.  Locate &lt;i&gt;gate&lt;/i&gt; can be blocked by spells like &lt;i&gt;nondetection&lt;/i&gt;, if the effect originates from a specific object or creature. However, spell effects can't likewise be warded. For example, ring &lt;i&gt;gate&lt;/i&gt;s are a specific object, but a permanent &lt;i&gt;&lt;i&gt;teleport&lt;/i&gt;ation circle&lt;/i&gt; is not (the surface in which it's inscribed doesn't count). Locate &lt;i&gt;gate&lt;/i&gt; isn't blocked by lead, water, or other physical environmental conditions, but it is blocked by any intervening area that is dimensionally warded (such as by &lt;i&gt;dimensional lock&lt;/i&gt; or forbiddance).&lt;/p&gt;</t>
  </si>
  <si>
    <t>&lt;link rel="stylesheet"href="PF.css"&gt;&lt;div class="heading"&gt;&lt;p class="alignleft"&gt;Locate Gate&lt;/p&gt;&lt;div style="clear: both;"&gt;&lt;/div&gt;&lt;/div&gt;&lt;div&gt;&lt;h5&gt;&lt;b&gt;School &lt;/b&gt;divination; &lt;b&gt;Level &lt;/b&gt;bard 5, cleric/oracle 5, occultist 5, psychic 5, sorcerer/wizard 5, summoner 5&lt;/h5&gt;&lt;/div&gt;&lt;hr/&gt;&lt;div&gt;&lt;h5&gt;&lt;b&gt;CASTING&lt;/b&gt;&lt;/h5&gt;&lt;/div&gt;&lt;hr/&gt;&lt;div&gt;&lt;h5&gt;&lt;b&gt;Casting Time &lt;/b&gt;1 standard action&lt;/h5&gt;&lt;h5&gt;&lt;b&gt;Components &lt;/b&gt;V, S, F/DF (a small lodestone sphere)&lt;/h5&gt;&lt;/div&gt;&lt;hr/&gt;&lt;div&gt;&lt;h5&gt;&lt;b&gt;EFFECT&lt;/b&gt;&lt;/h5&gt;&lt;/div&gt;&lt;hr/&gt;&lt;div&gt;&lt;h5&gt;&lt;b&gt;Range &lt;/b&gt;long (400 ft. + 40 ft./level)&lt;/h5&gt;&lt;h5&gt;&lt;b&gt;Area &lt;/b&gt;circle centered on you with a radius of 400 ft. + 40 ft./level&lt;/h5&gt;&lt;h5&gt;&lt;b&gt;Duration &lt;/b&gt;1 minute/level&lt;/h5&gt;&lt;h5&gt;&lt;b&gt;Saving Throw &lt;/b&gt;none; &lt;b&gt;Spell Resistance &lt;/b&gt;no&lt;/h5&gt;&lt;/div&gt;&lt;hr/&gt;&lt;div&gt;&lt;h5&gt;&lt;b&gt;DESCRIPTION&lt;/b&gt;&lt;/h5&gt;&lt;/div&gt;&lt;hr/&gt;&lt;div&gt;&lt;h4&gt;&lt;p&gt;You sense the direction of the nearest &lt;i&gt;teleportation circle&lt;/i&gt; (permanent or with a remaining duration), &lt;i&gt;gate&lt;/i&gt; spell, or other effect which magically connects two different locations (for example, an active magic item, a creature's special ability, or unique adventure location). Locate &lt;i&gt;gate&lt;/i&gt; detects only spells or effects with a permanent or ongoing duration, not instantaneous effects like &lt;i&gt;dimension door&lt;/i&gt; or &lt;i&gt;teleport&lt;/i&gt;.  Locate &lt;i&gt;gate&lt;/i&gt; can be blocked by spells like &lt;i&gt;nondetection&lt;/i&gt;, if the effect originates from a specific object or creature. However, spell effects can't likewise be warded. For example, ring &lt;i&gt;gate&lt;/i&gt;s are a specific object, but a permanent &lt;i&gt;teleportation circle&lt;/i&gt; is not (the surface in which it's inscribed doesn't count). Locate &lt;i&gt;gate&lt;/i&gt; isn't blocked by lead, water, or other physical environmental conditions, but it is blocked by any intervening area that is dimensionally warded (such as by &lt;i&gt;dimensional lock&lt;/i&gt; or forbiddance).&lt;/p&gt;&lt;/h4&gt;&lt;/div&gt;</t>
  </si>
  <si>
    <t xml:space="preserve"> Find a nearby magical portal.</t>
  </si>
  <si>
    <t>Mad Sultan's Melody</t>
  </si>
  <si>
    <t>bard 3, mesmerist 4, occultist 4, psychic 4, sorcerer/wizard 4, witch 4</t>
  </si>
  <si>
    <t>V, S, F (masterwork flute, pipe, or string instrument)</t>
  </si>
  <si>
    <t>one creature/2 levels, no two of which may be more than 30 ft. apart (see text)</t>
  </si>
  <si>
    <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t>
  </si>
  <si>
    <t>&lt;p&gt;You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damage.&lt;/p&gt;</t>
  </si>
  <si>
    <t>&lt;link rel="stylesheet"href="PF.css"&gt;&lt;div class="heading"&gt;&lt;p class="alignleft"&gt;Mad Sultan's Melody&lt;/p&gt;&lt;div style="clear: both;"&gt;&lt;/div&gt;&lt;/div&gt;&lt;div&gt;&lt;h5&gt;&lt;b&gt;School &lt;/b&gt;enchantment (compulsion) [mind-affecting, sonic]; &lt;b&gt;Level &lt;/b&gt;bard 3, mesmerist 4, occultist 4, psychic 4, sorcerer/wizard 4, witch 4&lt;/h5&gt;&lt;/div&gt;&lt;hr/&gt;&lt;div&gt;&lt;h5&gt;&lt;b&gt;CASTING&lt;/b&gt;&lt;/h5&gt;&lt;/div&gt;&lt;hr/&gt;&lt;div&gt;&lt;h5&gt;&lt;b&gt;Casting Time &lt;/b&gt;1 standard action&lt;/h5&gt;&lt;h5&gt;&lt;b&gt;Components &lt;/b&gt;V, S, F (masterwork flute, pipe, or string instrument)&lt;/h5&gt;&lt;/div&gt;&lt;hr/&gt;&lt;div&gt;&lt;h5&gt;&lt;b&gt;EFFECT&lt;/b&gt;&lt;/h5&gt;&lt;/div&gt;&lt;hr/&gt;&lt;div&gt;&lt;h5&gt;&lt;b&gt;Range &lt;/b&gt;close (25 ft. + 5 ft./2 levels)&lt;/h5&gt;&lt;h5&gt;&lt;b&gt;Targets &lt;/b&gt;one creature/2 levels, no two of which may be more than 30 ft. apart (see text)&lt;/h5&gt;&lt;h5&gt;&lt;b&gt;Duration &lt;/b&gt;1 round/level (D)&lt;/h5&gt;&lt;h5&gt;&lt;b&gt;Saving Throw &lt;/b&gt;Will negates; &lt;b&gt;Spell Resistance &lt;/b&gt;yes&lt;/h5&gt;&lt;/div&gt;&lt;hr/&gt;&lt;div&gt;&lt;h5&gt;&lt;b&gt;DESCRIPTION&lt;/b&gt;&lt;/h5&gt;&lt;/div&gt;&lt;hr/&gt;&lt;div&gt;&lt;h4&gt;&lt;p&gt;You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damage.&lt;/p&gt;&lt;/h4&gt;&lt;/div&gt;</t>
  </si>
  <si>
    <t xml:space="preserve"> Bizarre cacophony fascinates eldritch creatures.</t>
  </si>
  <si>
    <t>Massacre</t>
  </si>
  <si>
    <t>cleric/oracle 9, psychic 9, shaman 9, sorcerer/wizard 9, witch 9</t>
  </si>
  <si>
    <t>V, S, M (a flask of ectoplasmic residue)</t>
  </si>
  <si>
    <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t>
  </si>
  <si>
    <t>&lt;p&gt;You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affected.&lt;/p&gt;</t>
  </si>
  <si>
    <t>&lt;link rel="stylesheet"href="PF.css"&gt;&lt;div class="heading"&gt;&lt;p class="alignleft"&gt;Massacre&lt;/p&gt;&lt;div style="clear: both;"&gt;&lt;/div&gt;&lt;/div&gt;&lt;div&gt;&lt;h5&gt;&lt;b&gt;School &lt;/b&gt;necromancy [death]; &lt;b&gt;Level &lt;/b&gt;cleric/oracle 9, psychic 9, shaman 9, sorcerer/wizard 9, witch 9&lt;/h5&gt;&lt;/div&gt;&lt;hr/&gt;&lt;div&gt;&lt;h5&gt;&lt;b&gt;CASTING&lt;/b&gt;&lt;/h5&gt;&lt;/div&gt;&lt;hr/&gt;&lt;div&gt;&lt;h5&gt;&lt;b&gt;Casting Time &lt;/b&gt;1 standard action&lt;/h5&gt;&lt;h5&gt;&lt;b&gt;Components &lt;/b&gt;V, S, M (a flask of ectoplasmic residue)&lt;/h5&gt;&lt;/div&gt;&lt;hr/&gt;&lt;div&gt;&lt;h5&gt;&lt;b&gt;EFFECT&lt;/b&gt;&lt;/h5&gt;&lt;/div&gt;&lt;hr/&gt;&lt;div&gt;&lt;h5&gt;&lt;b&gt;Area &lt;/b&gt;60-ft. line&lt;/h5&gt;&lt;h5&gt;&lt;b&gt;Duration &lt;/b&gt;instantaneous&lt;/h5&gt;&lt;h5&gt;&lt;b&gt;Saving Throw &lt;/b&gt;Fortitude negates; &lt;b&gt;Spell Resistance &lt;/b&gt;yes&lt;/h5&gt;&lt;/div&gt;&lt;hr/&gt;&lt;div&gt;&lt;h5&gt;&lt;b&gt;DESCRIPTION&lt;/b&gt;&lt;/h5&gt;&lt;/div&gt;&lt;hr/&gt;&lt;div&gt;&lt;h4&gt;&lt;p&gt;You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affected.&lt;/p&gt;&lt;/h4&gt;&lt;/div&gt;</t>
  </si>
  <si>
    <t xml:space="preserve"> Slaughter creatures in a line.</t>
  </si>
  <si>
    <t>Maze Of Madness And Suffering</t>
  </si>
  <si>
    <t>psychic 9, sorcerer/wizard 9, witch 9</t>
  </si>
  <si>
    <t>V, S, M (an ornate puzzle box worth 1,000 gp and soaked in fresh blood)</t>
  </si>
  <si>
    <t>Will partial, see below</t>
  </si>
  <si>
    <t>This spell works like maze, except the DC of the Intelligence check to escape is 22 and each round a creature remains in the maze a different effect occurs depending on which section of the maze it is in. Roll on the following table each time the creature attempts an Intelligence check to escape the maze to see which part of the maze it wanders through; if a creature doesn't attempt an Intelligence check, it stays in the same section and suffers that section's effects. Any conditions or damage taken persist for the listed duration even if the creature exits the maze before then, but conditions don't stack with themselves.  d% Maze Section  1-20 Circus  21-40 Haunted forest  41-60 Hellscape  61-80 Oasis of respite  81-100 Strange city  Circus: The creature finds itself in a nightmarish circus of giant beasts, garishly painted faces, and hideous, mocking laughter. The creature must succeed at a Will save or gain a lesser madness (see page 182). The save uses the madness's normal DC.  Haunted Forest: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maze, but it takes 3d6 points of slashing and piercing damage from the trees' branches.  Hellscape: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maze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Oasis of Respite: Whether it appears as a beautiful glade, a perfumed palace, or a literal desert oasis, this section of the maze is supernaturally peaceful, especially in comparison to the rest of the maze. The creature must succeed at a Will save or become fascinated for 1 round. The creature can't attempt to escape the maze while fascinated. A creature that fails three consecutive saving throws to this fascination enters a state of lethargy and gives up ever escaping the maze, remaining in this area until the spell ends on its own in 10 minutes (as per maze).  Strange City: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t>
  </si>
  <si>
    <t>&lt;p&gt;This spell works like &lt;i&gt;maze&lt;/i&gt;, except the DC of the Intelligence check to escape is 22 and each round a creature remains in the &lt;i&gt;maze&lt;/i&gt; a different effect occurs depending on which section of the &lt;i&gt;maze&lt;/i&gt; it is in. Roll on the following table each time the creature attempts an Intelligence check to escape the &lt;i&gt;maze&lt;/i&gt; to see which part of the &lt;i&gt;maze&lt;/i&gt; it wanders through; if a creature doesn't attempt an Intelligence check, it stays in the same section and suffers that section's effects. Any conditions or damage taken persist for the listed duration even if the creature exits the &lt;i&gt;maze&lt;/i&gt; before then, but conditions don't stack with themselves.     &lt;table border ='1'&gt;&lt;tr&gt;&lt;th&gt;d%&lt;/th&gt;&lt;th&gt;Maze Section&lt;/th&gt;&lt;/tr&gt;&lt;tr&gt;&lt;td&gt;1-20&lt;/td&gt;&lt;td&gt;Circus&lt;/td&gt;&lt;/tr&gt;&lt;tr&gt;&lt;td&gt;21-40&lt;/td&gt;&lt;td&gt;Haunted forest&lt;/td&gt;&lt;/tr&gt;&lt;tr&gt;&lt;td&gt;41-60&lt;/td&gt;&lt;td&gt;Hellscape&lt;/td&gt;&lt;/tr&gt;&lt;tr&gt;&lt;td&gt;61-80&lt;/td&gt;&lt;td&gt;Oasis of respite&lt;/td&gt;&lt;/tr&gt;&lt;tr&gt;&lt;td&gt;81-100&lt;/td&gt;&lt;td&gt;Strange city&lt;/td&gt;&lt;/tr&gt;&lt;/table&gt;     &lt;i&gt;Circus&lt;/i&gt;: The creature finds itself in a nightmarish circus of giant beasts, garishly painted faces, and hideous, mocking laughter. The creature must succeed at a Will save or gain a lesser madness (see page 182). The save uses the madness's normal DC.  &lt;i&gt;Haunted Forest&lt;/i&gt;: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&lt;i&gt;maze&lt;/i&gt;, but it takes 3d6 points of slashing and piercing damage from the trees' branches.  &lt;i&gt;Hellscape&lt;/i&gt;: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&lt;i&gt;maze&lt;/i&gt;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&lt;i&gt;Oasis of Respite&lt;/i&gt;: Whether it appears as a beautiful glade, a perfumed palace, or a literal desert oasis, this section of the &lt;i&gt;maze&lt;/i&gt; is supernaturally peaceful, especially in comparison to the rest of the &lt;i&gt;maze&lt;/i&gt;. The creature must succeed at a Will save or become fascinated for 1 round. The creature can't attempt to escape the &lt;i&gt;maze&lt;/i&gt; while fascinated. A creature that fails three consecutive saving throws to this fascination enters a state of lethargy and gives up ever escaping the &lt;i&gt;maze&lt;/i&gt;, remaining in this area until the spell ends on its own in 10 minutes (as per &lt;i&gt;maze&lt;/i&gt;).  &lt;i&gt;Strange City&lt;/i&gt;: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damage.&lt;/p&gt;</t>
  </si>
  <si>
    <t>&lt;link rel="stylesheet"href="PF.css"&gt;&lt;div class="heading"&gt;&lt;p class="alignleft"&gt;Maze Of Madness And Suffering&lt;/p&gt;&lt;div style="clear: both;"&gt;&lt;/div&gt;&lt;/div&gt;&lt;div&gt;&lt;h5&gt;&lt;b&gt;School &lt;/b&gt;conjuration (teleportation) [evil, mind-affecting]; &lt;b&gt;Level &lt;/b&gt;psychic 9, sorcerer/wizard 9, witch 9&lt;/h5&gt;&lt;/div&gt;&lt;hr/&gt;&lt;div&gt;&lt;h5&gt;&lt;b&gt;CASTING&lt;/b&gt;&lt;/h5&gt;&lt;/div&gt;&lt;hr/&gt;&lt;div&gt;&lt;h5&gt;&lt;b&gt;Casting Time &lt;/b&gt;1 standard action&lt;/h5&gt;&lt;h5&gt;&lt;b&gt;Components &lt;/b&gt;V, S, M (an ornate puzzle box worth 1,000 gp and soaked in fresh blood)&lt;/h5&gt;&lt;/div&gt;&lt;hr/&gt;&lt;div&gt;&lt;h5&gt;&lt;b&gt;EFFECT&lt;/b&gt;&lt;/h5&gt;&lt;/div&gt;&lt;hr/&gt;&lt;div&gt;&lt;h5&gt;&lt;b&gt;Range &lt;/b&gt;close (25 ft. + 5 ft./2 levels)&lt;/h5&gt;&lt;h5&gt;&lt;b&gt;Targets &lt;/b&gt;one creature&lt;/h5&gt;&lt;h5&gt;&lt;b&gt;Duration &lt;/b&gt;see text&lt;/h5&gt;&lt;h5&gt;&lt;b&gt;Saving Throw &lt;/b&gt;Will partial, see below; &lt;b&gt;Spell Resistance &lt;/b&gt;yes&lt;/h5&gt;&lt;/div&gt;&lt;hr/&gt;&lt;div&gt;&lt;h5&gt;&lt;b&gt;DESCRIPTION&lt;/b&gt;&lt;/h5&gt;&lt;/div&gt;&lt;hr/&gt;&lt;div&gt;&lt;h4&gt;&lt;p&gt;This spell works like &lt;i&gt;maze&lt;/i&gt;, except the DC of the Intelligence check to escape is 22 and each round a creature remains in the &lt;i&gt;maze&lt;/i&gt; a different effect occurs depending on which section of the &lt;i&gt;maze&lt;/i&gt; it is in. Roll on the following table each time the creature attempts an Intelligence check to escape the &lt;i&gt;maze&lt;/i&gt; to see which part of the &lt;i&gt;maze&lt;/i&gt; it wanders through; if a creature doesn't attempt an Intelligence check, it stays in the same section and suffers that section's effects. Any conditions or damage taken persist for the listed duration even if the creature exits the &lt;i&gt;maze&lt;/i&gt; before then, but conditions don't stack with themselves.     &lt;table border ='1'&gt;&lt;tr&gt;&lt;th&gt;d%&lt;/th&gt;&lt;th&gt;Maze Section&lt;/th&gt;&lt;/tr&gt;&lt;tr&gt;&lt;td&gt;1-20&lt;/td&gt;&lt;td&gt;Circus&lt;/td&gt;&lt;/tr&gt;&lt;tr&gt;&lt;td&gt;21-40&lt;/td&gt;&lt;td&gt;Haunted forest&lt;/td&gt;&lt;/tr&gt;&lt;tr&gt;&lt;td&gt;41-60&lt;/td&gt;&lt;td&gt;Hellscape&lt;/td&gt;&lt;/tr&gt;&lt;tr&gt;&lt;td&gt;61-80&lt;/td&gt;&lt;td&gt;Oasis of respite&lt;/td&gt;&lt;/tr&gt;&lt;tr&gt;&lt;td&gt;81-100&lt;/td&gt;&lt;td&gt;Strange city&lt;/td&gt;&lt;/tr&gt;&lt;/table&gt;     &lt;i&gt;Circus&lt;/i&gt;: The creature finds itself in a nightmarish circus of giant beasts, garishly painted faces, and hideous, mocking laughter. The creature must succeed at a Will save or gain a lesser madness (see page 182). The save uses the madness's normal DC.  &lt;i&gt;Haunted Forest&lt;/i&gt;: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&lt;i&gt;maze&lt;/i&gt;, but it takes 3d6 points of slashing and piercing damage from the trees' branches.  &lt;i&gt;Hellscape&lt;/i&gt;: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&lt;i&gt;maze&lt;/i&gt;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&lt;i&gt;Oasis of Respite&lt;/i&gt;: Whether it appears as a beautiful glade, a perfumed palace, or a literal desert oasis, this section of the &lt;i&gt;maze&lt;/i&gt; is supernaturally peaceful, especially in comparison to the rest of the &lt;i&gt;maze&lt;/i&gt;. The creature must succeed at a Will save or become fascinated for 1 round. The creature can't attempt to escape the &lt;i&gt;maze&lt;/i&gt; while fascinated. A creature that fails three consecutive saving throws to this fascination enters a state of lethargy and gives up ever escaping the &lt;i&gt;maze&lt;/i&gt;, remaining in this area until the spell ends on its own in 10 minutes (as per &lt;i&gt;maze&lt;/i&gt;).  &lt;i&gt;Strange City&lt;/i&gt;: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damage.&lt;/p&gt;&lt;/h4&gt;&lt;/div&gt;</t>
  </si>
  <si>
    <t xml:space="preserve"> Send a target into a dangerous extradimensional maze.</t>
  </si>
  <si>
    <t>Night Terrors</t>
  </si>
  <si>
    <t>emotionUM, evil, mind-affecting</t>
  </si>
  <si>
    <t>bard 6, mesmerist 6, psychic 6, sorcerer/wizard 6, witch 6</t>
  </si>
  <si>
    <t>V, S, M/DF (a drop of black ink)</t>
  </si>
  <si>
    <t>intelligent creature touched</t>
  </si>
  <si>
    <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lesser restoration provide any respite. Each restless night, the target takes 1d4 points of Wisdom damage, which also can't be recovered by magic while night terrors is active.  The images from previous nightmares continue to haunt the target's mind while awake. If the target has rested at least once while affected by night terrors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night terrors, but multiple attempts to rest in a given day do not afford the target multiple saves. A creature that  successfully saves against night terrors ends the spell and rests normally that night but gains the benefits of only that night's rest, not any benefits missed on previous nights.  If your campaign uses the sanity system (see page 12), the target takes 1d8 points of sanity damage instead of Wisdom damage.</t>
  </si>
  <si>
    <t>&lt;p&gt;The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&lt;i&gt;lesser restoration&lt;/i&gt; provide any respite. Each restless night, the target takes 1d4 points of Wisdom damage, which also can't be recovered by magic while &lt;i&gt;night terrors&lt;/i&gt; is active.  The images from previous nightmares continue to haunt the target's mind while awake. If the target has rested at least once while affected by &lt;i&gt;night terrors&lt;/i&gt;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&lt;i&gt;night terrors&lt;/i&gt;, but multiple attempts to rest in a given day do not afford the target multiple saves. A creature that  successfully saves against &lt;i&gt;night terrors&lt;/i&gt; ends the spell and rests normally that night but gains the benefits of only that night's rest, not any benefits missed on previous nights.  If your campaign uses the sanity system (see page 12), the target takes 1d8 points of sanity damage instead of Wisdom damage.&lt;/p&gt;</t>
  </si>
  <si>
    <t>&lt;link rel="stylesheet"href="PF.css"&gt;&lt;div class="heading"&gt;&lt;p class="alignleft"&gt;Night Terrors&lt;/p&gt;&lt;div style="clear: both;"&gt;&lt;/div&gt;&lt;/div&gt;&lt;div&gt;&lt;h5&gt;&lt;b&gt;School &lt;/b&gt;illusion (phantasm) [emotion&lt;sup&gt;UM&lt;/sup&gt;, evil, mind-affecting]; &lt;b&gt;Level &lt;/b&gt;bard 6, mesmerist 6, psychic 6, sorcerer/wizard 6, witch 6&lt;/h5&gt;&lt;/div&gt;&lt;hr/&gt;&lt;div&gt;&lt;h5&gt;&lt;b&gt;CASTING&lt;/b&gt;&lt;/h5&gt;&lt;/div&gt;&lt;hr/&gt;&lt;div&gt;&lt;h5&gt;&lt;b&gt;Casting Time &lt;/b&gt;1 standard action&lt;/h5&gt;&lt;h5&gt;&lt;b&gt;Components &lt;/b&gt;V, S, M/DF (a drop of black ink)&lt;/h5&gt;&lt;/div&gt;&lt;hr/&gt;&lt;div&gt;&lt;h5&gt;&lt;b&gt;EFFECT&lt;/b&gt;&lt;/h5&gt;&lt;/div&gt;&lt;hr/&gt;&lt;div&gt;&lt;h5&gt;&lt;b&gt;Range &lt;/b&gt;touch&lt;/h5&gt;&lt;h5&gt;&lt;b&gt;Targets &lt;/b&gt;intelligent creature touched&lt;/h5&gt;&lt;h5&gt;&lt;b&gt;Duration &lt;/b&gt;1 day/level (D)&lt;/h5&gt;&lt;h5&gt;&lt;b&gt;Saving Throw &lt;/b&gt;Will negates; &lt;b&gt;Spell Resistance &lt;/b&gt;yes&lt;/h5&gt;&lt;/div&gt;&lt;hr/&gt;&lt;div&gt;&lt;h5&gt;&lt;b&gt;DESCRIPTION&lt;/b&gt;&lt;/h5&gt;&lt;/div&gt;&lt;hr/&gt;&lt;div&gt;&lt;h4&gt;&lt;p&gt;The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&lt;i&gt;lesser restoration&lt;/i&gt; provide any respite. Each restless night, the target takes 1d4 points of Wisdom damage, which also can't be recovered by magic while &lt;i&gt;night terrors&lt;/i&gt; is active.  The images from previous nightmares continue to haunt the target's mind while awake. If the target has rested at least once while affected by &lt;i&gt;night terrors&lt;/i&gt;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&lt;i&gt;night terrors&lt;/i&gt;, but multiple attempts to rest in a given day do not afford the target multiple saves. A creature that  successfully saves against &lt;i&gt;night terrors&lt;/i&gt; ends the spell and rests normally that night but gains the benefits of only that night's rest, not any benefits missed on previous nights.  If your campaign uses the sanity system (see page 12), the target takes 1d8 points of sanity damage instead of Wisdom damage.&lt;/p&gt;&lt;/h4&gt;&lt;/div&gt;</t>
  </si>
  <si>
    <t xml:space="preserve"> Disturb a creature’s rest with dark dreams.</t>
  </si>
  <si>
    <t>Pessimism</t>
  </si>
  <si>
    <t>bard 4, medium 4, mesmerist 4, psychic 5, sorcerer/wizard 5, witch 5</t>
  </si>
  <si>
    <t>V, S, M/DF (a shard of a broken mirror)</t>
  </si>
  <si>
    <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pessimism becomes -3 for 1 round. This increased penalty doesn't stack, even if multiple catastrophes occur on the same round.</t>
  </si>
  <si>
    <t>&lt;p&gt;You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&lt;i&gt;pessimism&lt;/i&gt; becomes -3 for 1 round. This increased penalty doesn't stack, even if multiple catastrophes occur on the same round.&lt;/p&gt;</t>
  </si>
  <si>
    <t>&lt;link rel="stylesheet"href="PF.css"&gt;&lt;div class="heading"&gt;&lt;p class="alignleft"&gt;Pessimism&lt;/p&gt;&lt;div style="clear: both;"&gt;&lt;/div&gt;&lt;/div&gt;&lt;div&gt;&lt;h5&gt;&lt;b&gt;School &lt;/b&gt;enchantment (compulsion) [emotion&lt;sup&gt;UM&lt;/sup&gt;, mind-affecting]; &lt;b&gt;Level &lt;/b&gt;bard 4, medium 4, mesmerist 4, psychic 5, sorcerer/wizard 5, witch 5&lt;/h5&gt;&lt;/div&gt;&lt;hr/&gt;&lt;div&gt;&lt;h5&gt;&lt;b&gt;CASTING&lt;/b&gt;&lt;/h5&gt;&lt;/div&gt;&lt;hr/&gt;&lt;div&gt;&lt;h5&gt;&lt;b&gt;Casting Time &lt;/b&gt;1 standard action&lt;/h5&gt;&lt;h5&gt;&lt;b&gt;Components &lt;/b&gt;V, S, M/DF (a shard of a broken mirror)&lt;/h5&gt;&lt;/div&gt;&lt;hr/&gt;&lt;div&gt;&lt;h5&gt;&lt;b&gt;EFFECT&lt;/b&gt;&lt;/h5&gt;&lt;/div&gt;&lt;hr/&gt;&lt;div&gt;&lt;h5&gt;&lt;b&gt;Range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&lt;i&gt;pessimism&lt;/i&gt; becomes -3 for 1 round. This increased penalty doesn't stack, even if multiple catastrophes occur on the same round.&lt;/p&gt;&lt;/h4&gt;&lt;/div&gt;</t>
  </si>
  <si>
    <t xml:space="preserve"> Force a creature to see the negative side of things.</t>
  </si>
  <si>
    <t>Phantasmal Asphyxiation</t>
  </si>
  <si>
    <t>medium 3, mesmerist 4, psychic 4, sorcerer/wizard 4, spiritualist 4, witch 4</t>
  </si>
  <si>
    <t>V, S, M (an empty vial)</t>
  </si>
  <si>
    <t>Will disbelief, then Fortitude partial (see text)</t>
  </si>
  <si>
    <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t>
  </si>
  <si>
    <t>&lt;p&gt;Your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breathe.&lt;/p&gt;</t>
  </si>
  <si>
    <t>&lt;link rel="stylesheet"href="PF.css"&gt;&lt;div class="heading"&gt;&lt;p class="alignleft"&gt;Phantasmal Asphyxiation&lt;/p&gt;&lt;div style="clear: both;"&gt;&lt;/div&gt;&lt;/div&gt;&lt;div&gt;&lt;h5&gt;&lt;b&gt;School &lt;/b&gt;illusion (phantasm) [mind-affecting]; &lt;b&gt;Level &lt;/b&gt;medium 3, mesmerist 4, psychic 4, sorcerer/wizard 4, spiritualist 4, witch 4&lt;/h5&gt;&lt;/div&gt;&lt;hr/&gt;&lt;div&gt;&lt;h5&gt;&lt;b&gt;CASTING&lt;/b&gt;&lt;/h5&gt;&lt;/div&gt;&lt;hr/&gt;&lt;div&gt;&lt;h5&gt;&lt;b&gt;Casting Time &lt;/b&gt;1 standard action&lt;/h5&gt;&lt;h5&gt;&lt;b&gt;Components &lt;/b&gt;V, S, M (an empty vial)&lt;/h5&gt;&lt;/div&gt;&lt;hr/&gt;&lt;div&gt;&lt;h5&gt;&lt;b&gt;EFFECT&lt;/b&gt;&lt;/h5&gt;&lt;/div&gt;&lt;hr/&gt;&lt;div&gt;&lt;h5&gt;&lt;b&gt;Range &lt;/b&gt;medium (100 ft. + 10 ft./level)&lt;/h5&gt;&lt;h5&gt;&lt;b&gt;Targets &lt;/b&gt;one living creature&lt;/h5&gt;&lt;h5&gt;&lt;b&gt;Duration &lt;/b&gt;1 round/level (D)&lt;/h5&gt;&lt;h5&gt;&lt;b&gt;Saving Throw &lt;/b&gt;Will disbelief, then Fortitude partial (see text); &lt;b&gt;Spell Resistance &lt;/b&gt;yes&lt;/h5&gt;&lt;/div&gt;&lt;hr/&gt;&lt;div&gt;&lt;h5&gt;&lt;b&gt;DESCRIPTION&lt;/b&gt;&lt;/h5&gt;&lt;/div&gt;&lt;hr/&gt;&lt;div&gt;&lt;h4&gt;&lt;p&gt;Your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breathe.&lt;/p&gt;&lt;/h4&gt;&lt;/div&gt;</t>
  </si>
  <si>
    <t xml:space="preserve"> Trick a creature into thinking it can’t breathe.</t>
  </si>
  <si>
    <t>Phantasmal Putrefaction</t>
  </si>
  <si>
    <t>medium 4, mesmerist 5, sorcerer/wizard 6, witch 6</t>
  </si>
  <si>
    <t>You implant within the minds of your targets the illusion that their skin is rotting away, large rents are appearing all over their bodies, and their internal organs are spilling out into a putrid half-liquid mass at their feet. Those who fail to disbelieve phantasmal putrefaction immediately take 1d4 points of Wisdom damage. This damage occurs only once. Each round at the beginning of its turn, an affected target receives another Will save to disbelieve the effect, and targets that fail must succeed at a Fortitude save or faint, falling asleep as per sleep (except that it isn't a magical sleep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t>
  </si>
  <si>
    <t>&lt;p&gt;You implant within the minds of your targets the illusion that their skin is rotting away, large rents are appearing all over their bodies, and their internal organs are spilling out into a putrid half-liquid mass at their feet. Those who fail to disbelieve &lt;i&gt;phantasmal putrefaction&lt;/i&gt; immediately take 1d4 points of Wisdom damage. This damage occurs only once. Each round at the beginning of its turn, an affected target receives another Will save to disbelieve the effect, and targets that fail must succeed at a Fortitude save or faint, falling a&lt;i&gt;sleep&lt;/i&gt; as per &lt;i&gt;sleep&lt;/i&gt; (except that it isn't a magical &lt;i&gt;sleep&lt;/i&gt;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damage.&lt;/p&gt;</t>
  </si>
  <si>
    <t>&lt;link rel="stylesheet"href="PF.css"&gt;&lt;div class="heading"&gt;&lt;p class="alignleft"&gt;Phantasmal Putrefaction&lt;/p&gt;&lt;div style="clear: both;"&gt;&lt;/div&gt;&lt;/div&gt;&lt;div&gt;&lt;h5&gt;&lt;b&gt;School &lt;/b&gt;illusion (phantasm) [fear, mind-affecting]; &lt;b&gt;Level &lt;/b&gt;medium 4, mesmerist 5, sorcerer/wizard 6,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 (D)&lt;/h5&gt;&lt;h5&gt;&lt;b&gt;Saving Throw &lt;/b&gt;Will disbelief, then Fortitude partial (see text); &lt;b&gt;Spell Resistance &lt;/b&gt;yes&lt;/h5&gt;&lt;/div&gt;&lt;hr/&gt;&lt;div&gt;&lt;h5&gt;&lt;b&gt;DESCRIPTION&lt;/b&gt;&lt;/h5&gt;&lt;/div&gt;&lt;hr/&gt;&lt;div&gt;&lt;h4&gt;&lt;p&gt;You implant within the minds of your targets the illusion that their skin is rotting away, large rents are appearing all over their bodies, and their internal organs are spilling out into a putrid half-liquid mass at their feet. Those who fail to disbelieve &lt;i&gt;phantasmal putrefaction&lt;/i&gt; immediately take 1d4 points of Wisdom damage. This damage occurs only once. Each round at the beginning of its turn, an affected target receives another Will save to disbelieve the effect, and targets that fail must succeed at a Fortitude save or faint, falling a&lt;i&gt;sleep&lt;/i&gt; as per &lt;i&gt;sleep&lt;/i&gt; (except that it isn't a magical &lt;i&gt;sleep&lt;/i&gt;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damage.&lt;/p&gt;&lt;/h4&gt;&lt;/div&gt;</t>
  </si>
  <si>
    <t xml:space="preserve"> Trick creatures into thinking their flesh is rotting.</t>
  </si>
  <si>
    <t>Phobia</t>
  </si>
  <si>
    <t>bard 5, mesmerist 5, psychic 6, sorcerer/wizard 6, witch 6</t>
  </si>
  <si>
    <t>V, S, M (a single white hair)</t>
  </si>
  <si>
    <t>You instill the target with an intense, instinctual fear of a condition or circumstance, more powerful than the phobia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phobia to a creature with natural racial darkvision, see in darkness, blindsight, or similar senses), enclosed spaces (places that require the creature to squeeze),heights (10 times the  target's height, and you can't apply this phobia to creatures with a natural fly speed), or water (you can't apply this phobia to aquatic creatures or creatures with a natural swim speed).  When the target takes damage of the energy type (for an energy type phobia),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phobia until its shaken condition ends, even if it continues to be exposed to its phobia.  A creature panicked by phobia can begin to act normally 1 minute after it ceases being able to perceive its phobia or after taking the energy damage if the phobia is an energy type, though the shaken condition ends immediately after the creature can no longer perceive its phobia. Break enchantment, heal, limited wish, miracle, or wish can remove a phobia spell.</t>
  </si>
  <si>
    <t>&lt;p&gt;You instill the target with an intense, instinctual fear of a condition or circumstance, more powerful than the &lt;i&gt;phobia&lt;/i&gt;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&lt;i&gt;phobia&lt;/i&gt; to a creature with natural racial darkvision, see in darkness, blindsight, or similar senses), enclosed spaces (places that require the creature to squeeze),heights (10 times the  target's height, and you can't apply this &lt;i&gt;phobia&lt;/i&gt; to creatures with a natural fly speed), or water (you can't apply this &lt;i&gt;phobia&lt;/i&gt; to aquatic creatures or creatures with a natural swim speed).  When the target takes damage of the energy type (for an energy type &lt;i&gt;phobia&lt;/i&gt;),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&lt;i&gt;phobia&lt;/i&gt; until its shaken condition ends, even if it continues to be exposed to its &lt;i&gt;phobia&lt;/i&gt;.  A creature panicked by &lt;i&gt;phobia&lt;/i&gt; can begin to act normally 1 minute after it ceases being able to perceive its &lt;i&gt;phobia&lt;/i&gt; or after taking the energy damage if the &lt;i&gt;phobia&lt;/i&gt; is an energy type, though the shaken condition ends immediately after the creature can no longer perceive its &lt;i&gt;phobia&lt;/i&gt;. &lt;i&gt;Break enchantment&lt;/i&gt;, &lt;i&gt;heal&lt;/i&gt;, &lt;i&gt;limited &lt;i&gt;wish&lt;/i&gt;&lt;/i&gt;, &lt;i&gt;miracle&lt;/i&gt;, or &lt;i&gt;wish&lt;/i&gt; can remove a &lt;i&gt;phobia&lt;/i&gt; spell.&lt;/p&gt;</t>
  </si>
  <si>
    <t>&lt;link rel="stylesheet"href="PF.css"&gt;&lt;div class="heading"&gt;&lt;p class="alignleft"&gt;Phobia&lt;/p&gt;&lt;div style="clear: both;"&gt;&lt;/div&gt;&lt;/div&gt;&lt;div&gt;&lt;h5&gt;&lt;b&gt;School &lt;/b&gt;enchantment (compulsion) [emotion&lt;sup&gt;UM&lt;/sup&gt;, fear, mind-affecting]; &lt;b&gt;Level &lt;/b&gt;bard 5, mesmerist 5, psychic 6, sorcerer/wizard 6, witch 6&lt;/h5&gt;&lt;/div&gt;&lt;hr/&gt;&lt;div&gt;&lt;h5&gt;&lt;b&gt;CASTING&lt;/b&gt;&lt;/h5&gt;&lt;/div&gt;&lt;hr/&gt;&lt;div&gt;&lt;h5&gt;&lt;b&gt;Casting Time &lt;/b&gt;1 standard action&lt;/h5&gt;&lt;h5&gt;&lt;b&gt;Components &lt;/b&gt;V, S, M (a single white hair)&lt;/h5&gt;&lt;/div&gt;&lt;hr/&gt;&lt;div&gt;&lt;h5&gt;&lt;b&gt;EFFECT&lt;/b&gt;&lt;/h5&gt;&lt;/div&gt;&lt;hr/&gt;&lt;div&gt;&lt;h5&gt;&lt;b&gt;Range &lt;/b&gt;close (25 ft. + 5 ft./2 levels)&lt;/h5&gt;&lt;h5&gt;&lt;b&gt;Targets &lt;/b&gt;one intelligent creature&lt;/h5&gt;&lt;h5&gt;&lt;b&gt;Duration &lt;/b&gt;instantaneous&lt;/h5&gt;&lt;h5&gt;&lt;b&gt;Saving Throw &lt;/b&gt;Will negates; &lt;b&gt;Spell Resistance &lt;/b&gt;yes&lt;/h5&gt;&lt;/div&gt;&lt;hr/&gt;&lt;div&gt;&lt;h5&gt;&lt;b&gt;DESCRIPTION&lt;/b&gt;&lt;/h5&gt;&lt;/div&gt;&lt;hr/&gt;&lt;div&gt;&lt;h4&gt;&lt;p&gt;You instill the target with an intense, instinctual fear of a condition or circumstance, more powerful than the &lt;i&gt;phobia&lt;/i&gt;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&lt;i&gt;phobia&lt;/i&gt; to a creature with natural racial darkvision, see in darkness, blindsight, or similar senses), enclosed spaces (places that require the creature to squeeze),heights (10 times the  target's height, and you can't apply this &lt;i&gt;phobia&lt;/i&gt; to creatures with a natural fly speed), or water (you can't apply this &lt;i&gt;phobia&lt;/i&gt; to aquatic creatures or creatures with a natural swim speed).  When the target takes damage of the energy type (for an energy type &lt;i&gt;phobia&lt;/i&gt;),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&lt;i&gt;phobia&lt;/i&gt; until its shaken condition ends, even if it continues to be exposed to its &lt;i&gt;phobia&lt;/i&gt;.  A creature panicked by &lt;i&gt;phobia&lt;/i&gt; can begin to act normally 1 minute after it ceases being able to perceive its &lt;i&gt;phobia&lt;/i&gt; or after taking the energy damage if the &lt;i&gt;phobia&lt;/i&gt; is an energy type, though the shaken condition ends immediately after the creature can no longer perceive its &lt;i&gt;phobia&lt;/i&gt;. &lt;i&gt;Break enchantment&lt;/i&gt;, &lt;i&gt;heal&lt;/i&gt;, &lt;i&gt;limited &lt;i&gt;wish&lt;/i&gt;&lt;/i&gt;, &lt;i&gt;miracle&lt;/i&gt;, or &lt;i&gt;wish&lt;/i&gt; can remove a &lt;i&gt;phobia&lt;/i&gt; spell.&lt;/p&gt;&lt;/h4&gt;&lt;/div&gt;</t>
  </si>
  <si>
    <t xml:space="preserve"> Induce an irrational fear in a creature to the point of madness.</t>
  </si>
  <si>
    <t>Plundered Power</t>
  </si>
  <si>
    <t>cleric/oracle 7, druid 7, occultist 6, shaman 7, sorcerer/wizard 7, summoner 6, witch 7</t>
  </si>
  <si>
    <t>V, S, M (crushed rubies worth 2,500 gp and a major organ from the sacrificed target, see text)</t>
  </si>
  <si>
    <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invisibility (self only), but not unique spell-like abilities possessed by the creature. Abilities with altered effects are still altered, so a creature activating the bloodstone for greater teleport (self only) would affect only itself and a bloodstone storing summon monster II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dominate person.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t>
  </si>
  <si>
    <t>&lt;p&gt;You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&lt;i&gt;invisibility&lt;/i&gt; (self only), but not unique spell-like abilities possessed by the creature. Abilities with altered effects are still altered, so a creature activating the bloodstone for &lt;i&gt;greater teleport&lt;/i&gt; (self only) would affect only itself and a bloodstone storing &lt;i&gt;summon monster II&lt;/i&gt;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&lt;i&gt;dominate person&lt;/i&gt;.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life.&lt;/p&gt;</t>
  </si>
  <si>
    <t>&lt;link rel="stylesheet"href="PF.css"&gt;&lt;div class="heading"&gt;&lt;p class="alignleft"&gt;Plundered Power&lt;/p&gt;&lt;div style="clear: both;"&gt;&lt;/div&gt;&lt;/div&gt;&lt;div&gt;&lt;h5&gt;&lt;b&gt;School &lt;/b&gt;necromancy [evil]; &lt;b&gt;Level &lt;/b&gt;cleric/oracle 7, druid 7, occultist 6, shaman 7, sorcerer/wizard 7, summoner 6, witch 7&lt;/h5&gt;&lt;/div&gt;&lt;hr/&gt;&lt;div&gt;&lt;h5&gt;&lt;b&gt;CASTING&lt;/b&gt;&lt;/h5&gt;&lt;/div&gt;&lt;hr/&gt;&lt;div&gt;&lt;h5&gt;&lt;b&gt;Casting Time &lt;/b&gt;10 minutes&lt;/h5&gt;&lt;h5&gt;&lt;b&gt;Components &lt;/b&gt;V, S, M (crushed rubies worth 2,500 gp and a major organ from the sacrificed target, see text)&lt;/h5&gt;&lt;/div&gt;&lt;hr/&gt;&lt;div&gt;&lt;h5&gt;&lt;b&gt;EFFECT&lt;/b&gt;&lt;/h5&gt;&lt;/div&gt;&lt;hr/&gt;&lt;div&gt;&lt;h5&gt;&lt;b&gt;Range &lt;/b&gt;close (25 ft. + 5 ft./2 levels)&lt;/h5&gt;&lt;h5&gt;&lt;b&gt;Targets &lt;/b&gt;one creature&lt;/h5&gt;&lt;h5&gt;&lt;b&gt;Duration &lt;/b&gt;1 day/level&lt;/h5&gt;&lt;h5&gt;&lt;b&gt;Saving Throw &lt;/b&gt;Will negates; &lt;b&gt;Spell Resistance &lt;/b&gt;no&lt;/h5&gt;&lt;/div&gt;&lt;hr/&gt;&lt;div&gt;&lt;h5&gt;&lt;b&gt;DESCRIPTION&lt;/b&gt;&lt;/h5&gt;&lt;/div&gt;&lt;hr/&gt;&lt;div&gt;&lt;h4&gt;&lt;p&gt;You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&lt;i&gt;invisibility&lt;/i&gt; (self only), but not unique spell-like abilities possessed by the creature. Abilities with altered effects are still altered, so a creature activating the bloodstone for &lt;i&gt;greater teleport&lt;/i&gt; (self only) would affect only itself and a bloodstone storing &lt;i&gt;summon monster II&lt;/i&gt;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&lt;i&gt;dominate person&lt;/i&gt;.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life.&lt;/p&gt;&lt;/h4&gt;&lt;/div&gt;</t>
  </si>
  <si>
    <t xml:space="preserve"> Kill a creature and steal its strongest spell-like ability.</t>
  </si>
  <si>
    <t>Profane Nimbus</t>
  </si>
  <si>
    <t>antipaladin 4, cleric/oracle 5, inquisitor 5</t>
  </si>
  <si>
    <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t>
  </si>
  <si>
    <t>&lt;p&gt;You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throw.&lt;/p&gt;</t>
  </si>
  <si>
    <t>&lt;link rel="stylesheet"href="PF.css"&gt;&lt;div class="heading"&gt;&lt;p class="alignleft"&gt;Profane Nimbus&lt;/p&gt;&lt;div style="clear: both;"&gt;&lt;/div&gt;&lt;/div&gt;&lt;div&gt;&lt;h5&gt;&lt;b&gt;School &lt;/b&gt;evocation [evil]; &lt;b&gt;Level &lt;/b&gt;antipaladin 4, 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throw.&lt;/p&gt;&lt;/h4&gt;&lt;/div&gt;</t>
  </si>
  <si>
    <t xml:space="preserve"> Unholy energy damages good creatures that attack you and protects you from good attacks.</t>
  </si>
  <si>
    <t>Pyrotechnic Eruption</t>
  </si>
  <si>
    <t>bloodrager 3, magus 4, occultist 4, sorcerer/wizard 4</t>
  </si>
  <si>
    <t>V, S, M (a pinch of coal)</t>
  </si>
  <si>
    <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pyrotechnic eruption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t>
  </si>
  <si>
    <t>&lt;p&gt;The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&lt;i&gt;pyrotechnic eruption&lt;/i&gt;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turn.&lt;/p&gt;</t>
  </si>
  <si>
    <t>&lt;link rel="stylesheet"href="PF.css"&gt;&lt;div class="heading"&gt;&lt;p class="alignleft"&gt;Pyrotechnic Eruption&lt;/p&gt;&lt;div style="clear: both;"&gt;&lt;/div&gt;&lt;/div&gt;&lt;div&gt;&lt;h5&gt;&lt;b&gt;School &lt;/b&gt;evocation [fire]; &lt;b&gt;Level &lt;/b&gt;bloodrager 3, magus 4, occultist 4, sorcerer/wizard 4&lt;/h5&gt;&lt;/div&gt;&lt;hr/&gt;&lt;div&gt;&lt;h5&gt;&lt;b&gt;CASTING&lt;/b&gt;&lt;/h5&gt;&lt;/div&gt;&lt;hr/&gt;&lt;div&gt;&lt;h5&gt;&lt;b&gt;Casting Time &lt;/b&gt;1 standard action&lt;/h5&gt;&lt;h5&gt;&lt;b&gt;Components &lt;/b&gt;V, S, M (a pinch of coal)&lt;/h5&gt;&lt;/div&gt;&lt;hr/&gt;&lt;div&gt;&lt;h5&gt;&lt;b&gt;EFFECT&lt;/b&gt;&lt;/h5&gt;&lt;/div&gt;&lt;hr/&gt;&lt;div&gt;&lt;h5&gt;&lt;b&gt;Range &lt;/b&gt;medium (100 ft. + 10 ft./level)&lt;/h5&gt;&lt;h5&gt;&lt;b&gt;Targets &lt;/b&gt;one creature&lt;/h5&gt;&lt;h5&gt;&lt;b&gt;Duration &lt;/b&gt;see text&lt;/h5&gt;&lt;h5&gt;&lt;b&gt;Saving Throw &lt;/b&gt;Reflex half (see text); &lt;b&gt;Spell Resistance &lt;/b&gt;yes&lt;/h5&gt;&lt;/div&gt;&lt;hr/&gt;&lt;div&gt;&lt;h5&gt;&lt;b&gt;DESCRIPTION&lt;/b&gt;&lt;/h5&gt;&lt;/div&gt;&lt;hr/&gt;&lt;div&gt;&lt;h4&gt;&lt;p&gt;The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&lt;i&gt;pyrotechnic eruption&lt;/i&gt;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turn.&lt;/p&gt;&lt;/h4&gt;&lt;/div&gt;</t>
  </si>
  <si>
    <t xml:space="preserve"> Erupting flames burn a target several times.</t>
  </si>
  <si>
    <t>Quick Change</t>
  </si>
  <si>
    <t>alchemist 2, bard 2, bloodrager 2, druid 2, inquisitor 2, magus 2, medium 2, mesmerist 2, occultist 2, ranger 2, shaman 2, sorcerer/wizard 2, spiritualist 2, summoner 2, witch 2</t>
  </si>
  <si>
    <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t>
  </si>
  <si>
    <t>&lt;p&gt;If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attack.&lt;/p&gt;</t>
  </si>
  <si>
    <t>&lt;link rel="stylesheet"href="PF.css"&gt;&lt;div class="heading"&gt;&lt;p class="alignleft"&gt;Quick Change&lt;/p&gt;&lt;div style="clear: both;"&gt;&lt;/div&gt;&lt;/div&gt;&lt;div&gt;&lt;h5&gt;&lt;b&gt;School &lt;/b&gt;transmutation (polymorph); &lt;b&gt;Level &lt;/b&gt;alchemist 2, bard 2, bloodrager 2, druid 2, inquisitor 2, magus 2, medium 2, mesmerist 2, occultist 2, ranger 2, shaman 2, sorcerer/wizard 2, spiritualist 2, summoner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attack.&lt;/p&gt;&lt;/h4&gt;&lt;/div&gt;</t>
  </si>
  <si>
    <t xml:space="preserve"> Use change shape as a swift action and surprise foes.</t>
  </si>
  <si>
    <t>Rigor Mortis</t>
  </si>
  <si>
    <t>painUM</t>
  </si>
  <si>
    <t>cleric/oracle 4, magus 4, occultist 4, psychic 4, shaman 4, sorcerer/wizard 4, spiritualist 3, witch 4</t>
  </si>
  <si>
    <t>V, S, M/DF (a knucklebone)</t>
  </si>
  <si>
    <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t>
  </si>
  <si>
    <t>&lt;p&gt;The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movement.&lt;/p&gt;</t>
  </si>
  <si>
    <t>&lt;link rel="stylesheet"href="PF.css"&gt;&lt;div class="heading"&gt;&lt;p class="alignleft"&gt;Rigor Mortis&lt;/p&gt;&lt;div style="clear: both;"&gt;&lt;/div&gt;&lt;/div&gt;&lt;div&gt;&lt;h5&gt;&lt;b&gt;School &lt;/b&gt;transmutation [pain&lt;sup&gt;UM&lt;/sup&gt;]; &lt;b&gt;Level &lt;/b&gt;cleric/oracle 4, magus 4, occultist 4, psychic 4, shaman 4, sorcerer/wizard 4, spiritualist 3, witch 4&lt;/h5&gt;&lt;/div&gt;&lt;hr/&gt;&lt;div&gt;&lt;h5&gt;&lt;b&gt;CASTING&lt;/b&gt;&lt;/h5&gt;&lt;/div&gt;&lt;hr/&gt;&lt;div&gt;&lt;h5&gt;&lt;b&gt;Casting Time &lt;/b&gt;1 standard action&lt;/h5&gt;&lt;h5&gt;&lt;b&gt;Components &lt;/b&gt;V, S, M/DF (a knucklebone)&lt;/h5&gt;&lt;/div&gt;&lt;hr/&gt;&lt;div&gt;&lt;h5&gt;&lt;b&gt;EFFECT&lt;/b&gt;&lt;/h5&gt;&lt;/div&gt;&lt;hr/&gt;&lt;div&gt;&lt;h5&gt;&lt;b&gt;Range &lt;/b&gt;medium (100 ft. + 10 ft./level)&lt;/h5&gt;&lt;h5&gt;&lt;b&gt;Targets &lt;/b&gt;one living creature&lt;/h5&gt;&lt;h5&gt;&lt;b&gt;Duration &lt;/b&gt;instantaneous; see text&lt;/h5&gt;&lt;h5&gt;&lt;b&gt;Saving Throw &lt;/b&gt;Fortitude partial (see text); &lt;b&gt;Spell Resistance &lt;/b&gt;yes&lt;/h5&gt;&lt;/div&gt;&lt;hr/&gt;&lt;div&gt;&lt;h5&gt;&lt;b&gt;DESCRIPTION&lt;/b&gt;&lt;/h5&gt;&lt;/div&gt;&lt;hr/&gt;&lt;div&gt;&lt;h4&gt;&lt;p&gt;The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movement.&lt;/p&gt;&lt;/h4&gt;&lt;/div&gt;</t>
  </si>
  <si>
    <t xml:space="preserve"> Painfully swell a target’s joints.</t>
  </si>
  <si>
    <t>Sacramental Seal</t>
  </si>
  <si>
    <t>V, S, F (an object worth at least 2,000 gp)</t>
  </si>
  <si>
    <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freedom, miracle, or wish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sacramental seal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t>
  </si>
  <si>
    <t>&lt;p&gt;You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&lt;i&gt;freedom&lt;/i&gt;, &lt;i&gt;miracle&lt;/i&gt;, or &lt;i&gt;wish&lt;/i&gt;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&lt;i&gt;sacramental seal&lt;/i&gt;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example).&lt;/p&gt;</t>
  </si>
  <si>
    <t>&lt;link rel="stylesheet"href="PF.css"&gt;&lt;div class="heading"&gt;&lt;p class="alignleft"&gt;Sacramental Seal&lt;/p&gt;&lt;div style="clear: both;"&gt;&lt;/div&gt;&lt;/div&gt;&lt;div&gt;&lt;h5&gt;&lt;b&gt;School &lt;/b&gt;necromancy; &lt;b&gt;Level &lt;/b&gt;cleric/oracle 8&lt;/h5&gt;&lt;/div&gt;&lt;hr/&gt;&lt;div&gt;&lt;h5&gt;&lt;b&gt;CASTING&lt;/b&gt;&lt;/h5&gt;&lt;/div&gt;&lt;hr/&gt;&lt;div&gt;&lt;h5&gt;&lt;b&gt;Casting Time &lt;/b&gt;1 round&lt;/h5&gt;&lt;h5&gt;&lt;b&gt;Components &lt;/b&gt;V, S, F (an object worth at least 2,000 gp)&lt;/h5&gt;&lt;/div&gt;&lt;hr/&gt;&lt;div&gt;&lt;h5&gt;&lt;b&gt;EFFECT&lt;/b&gt;&lt;/h5&gt;&lt;/div&gt;&lt;hr/&gt;&lt;div&gt;&lt;h5&gt;&lt;b&gt;Range &lt;/b&gt;touch&lt;/h5&gt;&lt;h5&gt;&lt;b&gt;Targets &lt;/b&gt;creature touched&lt;/h5&gt;&lt;h5&gt;&lt;b&gt;Duration &lt;/b&gt;instantaneous&lt;/h5&gt;&lt;h5&gt;&lt;b&gt;Saving Throw &lt;/b&gt;Will negates; &lt;b&gt;Spell Resistance &lt;/b&gt;yes&lt;/h5&gt;&lt;/div&gt;&lt;hr/&gt;&lt;div&gt;&lt;h5&gt;&lt;b&gt;DESCRIPTION&lt;/b&gt;&lt;/h5&gt;&lt;/div&gt;&lt;hr/&gt;&lt;div&gt;&lt;h4&gt;&lt;p&gt;You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&lt;i&gt;freedom&lt;/i&gt;, &lt;i&gt;miracle&lt;/i&gt;, or &lt;i&gt;wish&lt;/i&gt;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&lt;i&gt;sacramental seal&lt;/i&gt;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example).&lt;/p&gt;&lt;/h4&gt;&lt;/div&gt;</t>
  </si>
  <si>
    <t xml:space="preserve"> Seal a creature away inside the spell’s focus.</t>
  </si>
  <si>
    <t>Sacred Nimbus</t>
  </si>
  <si>
    <t>cleric/oracle 5, inquisitor 5, paladin 4</t>
  </si>
  <si>
    <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t>
  </si>
  <si>
    <t>&lt;p&gt;You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throw.&lt;/p&gt;</t>
  </si>
  <si>
    <t>&lt;link rel="stylesheet"href="PF.css"&gt;&lt;div class="heading"&gt;&lt;p class="alignleft"&gt;Sacred Nimbus&lt;/p&gt;&lt;div style="clear: both;"&gt;&lt;/div&gt;&lt;/div&gt;&lt;div&gt;&lt;h5&gt;&lt;b&gt;School &lt;/b&gt;evocation [good]; &lt;b&gt;Level &lt;/b&gt;cleric/oracle 5, inquisitor 5, paladin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throw.&lt;/p&gt;&lt;/h4&gt;&lt;/div&gt;</t>
  </si>
  <si>
    <t xml:space="preserve"> Holy energy damages evil creatures that attack you and protects you from evil attacks.</t>
  </si>
  <si>
    <t>Screaming Flames</t>
  </si>
  <si>
    <t>evil, fire, mind-affecting</t>
  </si>
  <si>
    <t>antipaladin 3, cleric/oracle 3</t>
  </si>
  <si>
    <t>V, S, M/DF (a charred animal or humanoid skull fragment)</t>
  </si>
  <si>
    <t>a sheet of flame up to 15 ft. long and 10 ft. high that moves 15 ft. in a straight line.</t>
  </si>
  <si>
    <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t>
  </si>
  <si>
    <t>&lt;p&gt;A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damage.&lt;/p&gt;</t>
  </si>
  <si>
    <t>&lt;link rel="stylesheet"href="PF.css"&gt;&lt;div class="heading"&gt;&lt;p class="alignleft"&gt;Screaming Flames&lt;/p&gt;&lt;div style="clear: both;"&gt;&lt;/div&gt;&lt;/div&gt;&lt;div&gt;&lt;h5&gt;&lt;b&gt;School &lt;/b&gt;evocation [evil, fire, mind-affecting]; &lt;b&gt;Level &lt;/b&gt;antipaladin 3, cleric/oracle 3&lt;/h5&gt;&lt;/div&gt;&lt;hr/&gt;&lt;div&gt;&lt;h5&gt;&lt;b&gt;CASTING&lt;/b&gt;&lt;/h5&gt;&lt;/div&gt;&lt;hr/&gt;&lt;div&gt;&lt;h5&gt;&lt;b&gt;Casting Time &lt;/b&gt;1 standard action&lt;/h5&gt;&lt;h5&gt;&lt;b&gt;Components &lt;/b&gt;V, S, M/DF (a charred animal or humanoid skull fragment)&lt;/h5&gt;&lt;/div&gt;&lt;hr/&gt;&lt;div&gt;&lt;h5&gt;&lt;b&gt;EFFECT&lt;/b&gt;&lt;/h5&gt;&lt;/div&gt;&lt;hr/&gt;&lt;div&gt;&lt;h5&gt;&lt;b&gt;Range &lt;/b&gt;close (25 ft. + 5 ft./2 levels)&lt;/h5&gt;&lt;h5&gt;&lt;b&gt;Effect &lt;/b&gt;a sheet of flame up to 15 ft. long and 10 ft. high that moves 15 ft. in a straight line.&lt;/h5&gt;&lt;h5&gt;&lt;b&gt;Duration &lt;/b&gt;instantaneous&lt;/h5&gt;&lt;h5&gt;&lt;b&gt;Saving Throw &lt;/b&gt;Reflex half and Will negates (see text); &lt;b&gt;Spell Resistance &lt;/b&gt;yes&lt;/h5&gt;&lt;/div&gt;&lt;hr/&gt;&lt;div&gt;&lt;h5&gt;&lt;b&gt;DESCRIPTION&lt;/b&gt;&lt;/h5&gt;&lt;/div&gt;&lt;hr/&gt;&lt;div&gt;&lt;h4&gt;&lt;p&gt;A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damage.&lt;/p&gt;&lt;/h4&gt;&lt;/div&gt;</t>
  </si>
  <si>
    <t xml:space="preserve"> Send forth a wave of flames screaming with the agony of the damned.</t>
  </si>
  <si>
    <t>Sense Fear</t>
  </si>
  <si>
    <t>antipaladin 1, bloodrager 1, cleric/oracle 2, druid 2, inquisitor 2, medium 1, mesmerist 2, occultist 2, psychic 2, ranger 2, shaman 2, spiritualist 2, witch 2</t>
  </si>
  <si>
    <t>V, S, M/DF (a patch of fur)</t>
  </si>
  <si>
    <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t>
  </si>
  <si>
    <t>&lt;p&gt;You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blindsense.&lt;/p&gt;</t>
  </si>
  <si>
    <t>&lt;link rel="stylesheet"href="PF.css"&gt;&lt;div class="heading"&gt;&lt;p class="alignleft"&gt;Sense Fear&lt;/p&gt;&lt;div style="clear: both;"&gt;&lt;/div&gt;&lt;/div&gt;&lt;div&gt;&lt;h5&gt;&lt;b&gt;School &lt;/b&gt;divination; &lt;b&gt;Level &lt;/b&gt;antipaladin 1, bloodrager 1, cleric/oracle 2, druid 2, inquisitor 2, medium 1, mesmerist 2, occultist 2, psychic 2, ranger 2, shaman 2, spiritualist 2, witch 2&lt;/h5&gt;&lt;/div&gt;&lt;hr/&gt;&lt;div&gt;&lt;h5&gt;&lt;b&gt;CASTING&lt;/b&gt;&lt;/h5&gt;&lt;/div&gt;&lt;hr/&gt;&lt;div&gt;&lt;h5&gt;&lt;b&gt;Casting Time &lt;/b&gt;1 standard action&lt;/h5&gt;&lt;h5&gt;&lt;b&gt;Components &lt;/b&gt;V, S, M/DF (a patch of fur)&lt;/h5&gt;&lt;/div&gt;&lt;hr/&gt;&lt;div&gt;&lt;h5&gt;&lt;b&gt;EFFECT&lt;/b&gt;&lt;/h5&gt;&lt;/div&gt;&lt;hr/&gt;&lt;div&gt;&lt;h5&gt;&lt;b&gt;Range &lt;/b&gt;personal&lt;/h5&gt;&lt;h5&gt;&lt;b&gt;Targets &lt;/b&gt;you&lt;/h5&gt;&lt;h5&gt;&lt;b&gt;Duration &lt;/b&gt;10 minutes/level (D)&lt;/h5&gt;&lt;/div&gt;&lt;hr/&gt;&lt;div&gt;&lt;h5&gt;&lt;b&gt;DESCRIPTION&lt;/b&gt;&lt;/h5&gt;&lt;/div&gt;&lt;hr/&gt;&lt;div&gt;&lt;h4&gt;&lt;p&gt;You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blindsense.&lt;/p&gt;&lt;/h4&gt;&lt;/div&gt;</t>
  </si>
  <si>
    <t xml:space="preserve"> Perceive nearby creatures that are experiencing fear.</t>
  </si>
  <si>
    <t>Sense Madness</t>
  </si>
  <si>
    <t>cleric/oracle 2, inquisitor 2, medium 2, occultist 2, paladin 2, psychic 2</t>
  </si>
  <si>
    <t>creatures in range (see text)</t>
  </si>
  <si>
    <t>You can sense the presence of mental disturbance in creatures within range, focusing your detection on one creature each round. If the target is currently suffering from any form of madness (see page 182) or addiction (GameMastery Guide 236), has total sanity damage greater than or equal to its sanity edge (see page 12), or is under a magical compulsion that could be detected by detect magic,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detect magic. If successful, you can identify the specific spell affecting the target. You gain a +4 bonus on your Spellcraft check if the effect is confusion, insanity, or a similar effect that explicitly causes madness or insanity. If you successfully identify such an effect with sense madness,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t>
  </si>
  <si>
    <t>&lt;p&gt;You can sense the presence of mental disturbance in creatures within range, focusing your detection on one creature each round. If the target is currently suffering from any form of madness (see page 182) or addiction (&lt;i&gt;GameMastery Guide&lt;/i&gt; 236), has total sanity damage greater than or equal to its sanity edge (see page 12), or is under a magical compulsion that could be detected by &lt;i&gt;detect magic&lt;/i&gt;,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&lt;i&gt;detect magic&lt;/i&gt;. If successful, you can identify the specific spell affecting the target. You gain a +4 bonus on your Spellcraft check if the effect is &lt;i&gt;confusion&lt;/i&gt;, &lt;i&gt;insanity&lt;/i&gt;, or a similar effect that explicitly causes madness or &lt;i&gt;insanity&lt;/i&gt;. If you successfully identify such an effect with &lt;i&gt;sense madness&lt;/i&gt;,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again.&lt;/p&gt;</t>
  </si>
  <si>
    <t>&lt;link rel="stylesheet"href="PF.css"&gt;&lt;div class="heading"&gt;&lt;p class="alignleft"&gt;Sense Madness&lt;/p&gt;&lt;div style="clear: both;"&gt;&lt;/div&gt;&lt;/div&gt;&lt;div&gt;&lt;h5&gt;&lt;b&gt;School &lt;/b&gt;divination; &lt;b&gt;Level &lt;/b&gt;cleric/oracle 2, inquisitor 2, medium 2, occultist 2, paladin 2, psychic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&lt;/b&gt;creatures in range (see text)&lt;/h5&gt;&lt;h5&gt;&lt;b&gt;Duration &lt;/b&gt;concentration, up to 1 round/level (D)&lt;/h5&gt;&lt;h5&gt;&lt;b&gt;Saving Throw &lt;/b&gt;none; &lt;b&gt;Spell Resistance &lt;/b&gt;no&lt;/h5&gt;&lt;/div&gt;&lt;hr/&gt;&lt;div&gt;&lt;h5&gt;&lt;b&gt;DESCRIPTION&lt;/b&gt;&lt;/h5&gt;&lt;/div&gt;&lt;hr/&gt;&lt;div&gt;&lt;h4&gt;&lt;p&gt;You can sense the presence of mental disturbance in creatures within range, focusing your detection on one creature each round. If the target is currently suffering from any form of madness (see page 182) or addiction (&lt;i&gt;GameMastery Guide&lt;/i&gt; 236), has total sanity damage greater than or equal to its sanity edge (see page 12), or is under a magical compulsion that could be detected by &lt;i&gt;detect magic&lt;/i&gt;,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&lt;i&gt;detect magic&lt;/i&gt;. If successful, you can identify the specific spell affecting the target. You gain a +4 bonus on your Spellcraft check if the effect is &lt;i&gt;confusion&lt;/i&gt;, &lt;i&gt;insanity&lt;/i&gt;, or a similar effect that explicitly causes madness or &lt;i&gt;insanity&lt;/i&gt;. If you successfully identify such an effect with &lt;i&gt;sense madness&lt;/i&gt;,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again.&lt;/p&gt;&lt;/h4&gt;&lt;/div&gt;</t>
  </si>
  <si>
    <t xml:space="preserve"> Determine mental disturbances in nearby creatures.</t>
  </si>
  <si>
    <t>Sleepwalking Suggestion</t>
  </si>
  <si>
    <t>bard 4, medium 3, mesmerist 4, psychic 5, sorcerer/wizard 5, witch 5</t>
  </si>
  <si>
    <t>V, S, M (two doses of oil of taggit worth 180 gp total)</t>
  </si>
  <si>
    <t>Will negates or none (see text)</t>
  </si>
  <si>
    <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sleepwalking suggestion on a creature that is unconscious for any reason other than sleep automatically fail. A creature affected by sleepwalking suggestion is unaware it has been programmed to act in its sleep (unless awoken because it was about to cause harm).</t>
  </si>
  <si>
    <t>&lt;p&gt;You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&lt;i&gt;sleepwalking suggestion&lt;/i&gt; on a creature that is unconscious for any reason other than sleep automatically fail. A creature affected by &lt;i&gt;sleepwalking suggestion&lt;/i&gt; is unaware it has been programmed to act in its sleep (unless awoken because it was about to cause harm).&lt;/p&gt;</t>
  </si>
  <si>
    <t>&lt;link rel="stylesheet"href="PF.css"&gt;&lt;div class="heading"&gt;&lt;p class="alignleft"&gt;Sleepwalking Suggestion&lt;/p&gt;&lt;div style="clear: both;"&gt;&lt;/div&gt;&lt;/div&gt;&lt;div&gt;&lt;h5&gt;&lt;b&gt;School &lt;/b&gt;enchantment (compulsion) [mind-affecting]; &lt;b&gt;Level &lt;/b&gt;bard 4, medium 3, mesmerist 4, psychic 5, sorcerer/wizard 5, witch 5&lt;/h5&gt;&lt;/div&gt;&lt;hr/&gt;&lt;div&gt;&lt;h5&gt;&lt;b&gt;CASTING&lt;/b&gt;&lt;/h5&gt;&lt;/div&gt;&lt;hr/&gt;&lt;div&gt;&lt;h5&gt;&lt;b&gt;Casting Time &lt;/b&gt;1 standard action&lt;/h5&gt;&lt;h5&gt;&lt;b&gt;Components &lt;/b&gt;V, S, M (two doses of oil of taggit worth 180 gp total)&lt;/h5&gt;&lt;/div&gt;&lt;hr/&gt;&lt;div&gt;&lt;h5&gt;&lt;b&gt;EFFECT&lt;/b&gt;&lt;/h5&gt;&lt;/div&gt;&lt;hr/&gt;&lt;div&gt;&lt;h5&gt;&lt;b&gt;Range &lt;/b&gt;close (25 ft. + 5 ft./2 levels)&lt;/h5&gt;&lt;h5&gt;&lt;b&gt;Targets &lt;/b&gt;one creature&lt;/h5&gt;&lt;h5&gt;&lt;b&gt;Duration &lt;/b&gt;24 hours&lt;/h5&gt;&lt;h5&gt;&lt;b&gt;Saving Throw &lt;/b&gt;Will negates or none (see text); &lt;b&gt;Spell Resistance &lt;/b&gt;yes&lt;/h5&gt;&lt;/div&gt;&lt;hr/&gt;&lt;div&gt;&lt;h5&gt;&lt;b&gt;DESCRIPTION&lt;/b&gt;&lt;/h5&gt;&lt;/div&gt;&lt;hr/&gt;&lt;div&gt;&lt;h4&gt;&lt;p&gt;You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&lt;i&gt;sleepwalking suggestion&lt;/i&gt; on a creature that is unconscious for any reason other than sleep automatically fail. A creature affected by &lt;i&gt;sleepwalking suggestion&lt;/i&gt; is unaware it has been programmed to act in its sleep (unless awoken because it was about to cause harm).&lt;/p&gt;&lt;/h4&gt;&lt;/div&gt;</t>
  </si>
  <si>
    <t xml:space="preserve"> Cause a creature to perform a suggested action while asleep.</t>
  </si>
  <si>
    <t>Slough</t>
  </si>
  <si>
    <t>cleric/oracle 5, occultist 4, psychic 5, sorcerer/wizard 5, spiritualist 4, witch 5</t>
  </si>
  <si>
    <t>V, S, M/DF (a pinch of dried skin flakes)</t>
  </si>
  <si>
    <t>medium (100 ft. + 10 ft./levels)</t>
  </si>
  <si>
    <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t>
  </si>
  <si>
    <t>&lt;p&gt;The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end.&lt;/p&gt;</t>
  </si>
  <si>
    <t>&lt;link rel="stylesheet"href="PF.css"&gt;&lt;div class="heading"&gt;&lt;p class="alignleft"&gt;Slough&lt;/p&gt;&lt;div style="clear: both;"&gt;&lt;/div&gt;&lt;/div&gt;&lt;div&gt;&lt;h5&gt;&lt;b&gt;School &lt;/b&gt;transmutation [evil]; &lt;b&gt;Level &lt;/b&gt;cleric/oracle 5, occultist 4, psychic 5, sorcerer/wizard 5, spiritualist 4, witch 5&lt;/h5&gt;&lt;/div&gt;&lt;hr/&gt;&lt;div&gt;&lt;h5&gt;&lt;b&gt;CASTING&lt;/b&gt;&lt;/h5&gt;&lt;/div&gt;&lt;hr/&gt;&lt;div&gt;&lt;h5&gt;&lt;b&gt;Casting Time &lt;/b&gt;1 standard action&lt;/h5&gt;&lt;h5&gt;&lt;b&gt;Components &lt;/b&gt;V, S, M/DF (a pinch of dried skin flakes)&lt;/h5&gt;&lt;/div&gt;&lt;hr/&gt;&lt;div&gt;&lt;h5&gt;&lt;b&gt;EFFECT&lt;/b&gt;&lt;/h5&gt;&lt;/div&gt;&lt;hr/&gt;&lt;div&gt;&lt;h5&gt;&lt;b&gt;Range &lt;/b&gt;medium (100 ft. + 10 ft./levels)&lt;/h5&gt;&lt;h5&gt;&lt;b&gt;Targets &lt;/b&gt;one living creature&lt;/h5&gt;&lt;h5&gt;&lt;b&gt;Duration &lt;/b&gt;instantaneous&lt;/h5&gt;&lt;h5&gt;&lt;b&gt;Saving Throw &lt;/b&gt;Fortitude negates; &lt;b&gt;Spell Resistance &lt;/b&gt;yes&lt;/h5&gt;&lt;/div&gt;&lt;hr/&gt;&lt;div&gt;&lt;h5&gt;&lt;b&gt;DESCRIPTION&lt;/b&gt;&lt;/h5&gt;&lt;/div&gt;&lt;hr/&gt;&lt;div&gt;&lt;h4&gt;&lt;p&gt;The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end.&lt;/p&gt;&lt;/h4&gt;&lt;/div&gt;</t>
  </si>
  <si>
    <t xml:space="preserve"> Slough off a target’s skin.</t>
  </si>
  <si>
    <t>Stave Off Corruption</t>
  </si>
  <si>
    <t>1 day/2 caster levels</t>
  </si>
  <si>
    <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t>
  </si>
  <si>
    <t>&lt;p&gt;You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gp.&lt;/p&gt;</t>
  </si>
  <si>
    <t>&lt;link rel="stylesheet"href="PF.css"&gt;&lt;div class="heading"&gt;&lt;p class="alignleft"&gt;Stave Off Corruption&lt;/p&gt;&lt;div style="clear: both;"&gt;&lt;/div&gt;&lt;/div&gt;&lt;div&gt;&lt;h5&gt;&lt;b&gt;School &lt;/b&gt;abjuration; &lt;b&gt;Level &lt;/b&gt;cleric/oracle 2, paladin 2&lt;/h5&gt;&lt;/div&gt;&lt;hr/&gt;&lt;div&gt;&lt;h5&gt;&lt;b&gt;CASTING&lt;/b&gt;&lt;/h5&gt;&lt;/div&gt;&lt;hr/&gt;&lt;div&gt;&lt;h5&gt;&lt;b&gt;Casting Time &lt;/b&gt;1 standard action&lt;/h5&gt;&lt;h5&gt;&lt;b&gt;Components &lt;/b&gt;V, S, M (see text)&lt;/h5&gt;&lt;/div&gt;&lt;hr/&gt;&lt;div&gt;&lt;h5&gt;&lt;b&gt;EFFECT&lt;/b&gt;&lt;/h5&gt;&lt;/div&gt;&lt;hr/&gt;&lt;div&gt;&lt;h5&gt;&lt;b&gt;Range &lt;/b&gt;touch&lt;/h5&gt;&lt;h5&gt;&lt;b&gt;Targets &lt;/b&gt;one creature&lt;/h5&gt;&lt;h5&gt;&lt;b&gt;Duration &lt;/b&gt;1 day/2 caster levels&lt;/h5&gt;&lt;h5&gt;&lt;b&gt;Saving Throw &lt;/b&gt;Will negates (harmless); &lt;b&gt;Spell Resistance &lt;/b&gt;yes (harmless)&lt;/h5&gt;&lt;/div&gt;&lt;hr/&gt;&lt;div&gt;&lt;h5&gt;&lt;b&gt;DESCRIPTION&lt;/b&gt;&lt;/h5&gt;&lt;/div&gt;&lt;hr/&gt;&lt;div&gt;&lt;h4&gt;&lt;p&gt;You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gp.&lt;/p&gt;&lt;/h4&gt;&lt;/div&gt;</t>
  </si>
  <si>
    <t xml:space="preserve"> Protect against a corruption’s progression.</t>
  </si>
  <si>
    <t>Straitjacket</t>
  </si>
  <si>
    <t>inquisitor 4, occultist 4, sorcerer/wizard 5, summoner 5</t>
  </si>
  <si>
    <t>V, S, M (leather strap)</t>
  </si>
  <si>
    <t>close (25 ft. + 5 ft./2 caster levels)</t>
  </si>
  <si>
    <t>You cause a straitjacket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straitjacket.  A creature can attempt to escape the straitjacket with a combat maneuver check or Escape Artist check, with a DC equal to 10 + your caster level + your Intelligence, Wisdom, or Charisma modifier, whichever is highest.</t>
  </si>
  <si>
    <t>&lt;p&gt;You cause a &lt;i&gt;straitjacket&lt;/i&gt;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&lt;i&gt;straitjacket&lt;/i&gt;.  A creature can attempt to escape the &lt;i&gt;straitjacket&lt;/i&gt; with a combat maneuver check or Escape Artist check, with a DC equal to 10 + your caster level + your Intelligence, Wisdom, or Charisma modifier, whichever is highest.&lt;/p&gt;</t>
  </si>
  <si>
    <t>&lt;link rel="stylesheet"href="PF.css"&gt;&lt;div class="heading"&gt;&lt;p class="alignleft"&gt;Straitjacket&lt;/p&gt;&lt;div style="clear: both;"&gt;&lt;/div&gt;&lt;/div&gt;&lt;div&gt;&lt;h5&gt;&lt;b&gt;School &lt;/b&gt;conjuration (creation); &lt;b&gt;Level &lt;/b&gt;inquisitor 4, occultist 4, sorcerer/wizard 5, summoner 5&lt;/h5&gt;&lt;/div&gt;&lt;hr/&gt;&lt;div&gt;&lt;h5&gt;&lt;b&gt;CASTING&lt;/b&gt;&lt;/h5&gt;&lt;/div&gt;&lt;hr/&gt;&lt;div&gt;&lt;h5&gt;&lt;b&gt;Casting Time &lt;/b&gt;1 standard action&lt;/h5&gt;&lt;h5&gt;&lt;b&gt;Components &lt;/b&gt;V, S, M (leather strap)&lt;/h5&gt;&lt;/div&gt;&lt;hr/&gt;&lt;div&gt;&lt;h5&gt;&lt;b&gt;EFFECT&lt;/b&gt;&lt;/h5&gt;&lt;/div&gt;&lt;hr/&gt;&lt;div&gt;&lt;h5&gt;&lt;b&gt;Range &lt;/b&gt;close (25 ft. + 5 ft./2 caster levels)&lt;/h5&gt;&lt;h5&gt;&lt;b&gt;Targets &lt;/b&gt;one creature&lt;/h5&gt;&lt;h5&gt;&lt;b&gt;Duration &lt;/b&gt;1 round/level (D)&lt;/h5&gt;&lt;h5&gt;&lt;b&gt;Saving Throw &lt;/b&gt;none; &lt;b&gt;Spell Resistance &lt;/b&gt;yes&lt;/h5&gt;&lt;/div&gt;&lt;hr/&gt;&lt;div&gt;&lt;h5&gt;&lt;b&gt;DESCRIPTION&lt;/b&gt;&lt;/h5&gt;&lt;/div&gt;&lt;hr/&gt;&lt;div&gt;&lt;h4&gt;&lt;p&gt;You cause a &lt;i&gt;straitjacket&lt;/i&gt;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&lt;i&gt;straitjacket&lt;/i&gt;.  A creature can attempt to escape the &lt;i&gt;straitjacket&lt;/i&gt; with a combat maneuver check or Escape Artist check, with a DC equal to 10 + your caster level + your Intelligence, Wisdom, or Charisma modifier, whichever is highest.&lt;/p&gt;&lt;/h4&gt;&lt;/div&gt;</t>
  </si>
  <si>
    <t xml:space="preserve"> Restrain a creature’s arms and grant it a second saving throw against certain magic.</t>
  </si>
  <si>
    <t>Symbol Of Exsanguination</t>
  </si>
  <si>
    <t>bloodrager 2, cleric/oracle 3, occultist 2, sorcerer/wizard 3, witch 3</t>
  </si>
  <si>
    <t>V, S, M (powdered garnet and bloodstone worth a total of 500 gp)</t>
  </si>
  <si>
    <t>This spell functions like symbol of death, except that each creature within the radius of symbol of exsanguination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symbol of death, symbol of exsanguination has no hit point limit on the creatures it can affect. Once triggered, a symbol of exsanguination remains active for 10 minutes per caster level.  Magic traps such as symbol of exsanguination are hard to detect and disable. While any character can use Perception to find a symbol, only a character who has the trapfinding class feature can use Disable Device to disarm it. The DC in each case is equal to 25 + spell level, or 28 (27 for a bloodrager) for symbol of exsanguination.</t>
  </si>
  <si>
    <t>&lt;p&gt;This spell functions like &lt;i&gt;symbol of death&lt;/i&gt;, except that each creature within the radius of &lt;i&gt;symbol of exsanguination&lt;/i&gt;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&lt;i&gt;symbol of death&lt;/i&gt;, &lt;i&gt;symbol of exsanguination&lt;/i&gt; has no hit point limit on the creatures it can affect. Once triggered, a &lt;i&gt;symbol of exsanguination&lt;/i&gt; remains active for 10 minutes per caster level.  Magic traps such as &lt;i&gt;symbol of exsanguination&lt;/i&gt; are hard to detect and disable. While any character can use Perception to find a symbol, only a character who has the trapfinding class feature can use Disable Device to disarm it. The DC in each case is equal to 25 + spell level, or 28 (27 for a bloodrager) for &lt;i&gt;symbol of exsanguination&lt;/i&gt;.&lt;/p&gt;</t>
  </si>
  <si>
    <t>&lt;link rel="stylesheet"href="PF.css"&gt;&lt;div class="heading"&gt;&lt;p class="alignleft"&gt;Symbol Of Exsanguination&lt;/p&gt;&lt;div style="clear: both;"&gt;&lt;/div&gt;&lt;/div&gt;&lt;div&gt;&lt;h5&gt;&lt;b&gt;School &lt;/b&gt;necromancy [evil]; &lt;b&gt;Level &lt;/b&gt;bloodrager 2, cleric/oracle 3, occultist 2, sorcerer/wizard 3, witch 3&lt;/h5&gt;&lt;/div&gt;&lt;hr/&gt;&lt;div&gt;&lt;h5&gt;&lt;b&gt;CASTING&lt;/b&gt;&lt;/h5&gt;&lt;/div&gt;&lt;hr/&gt;&lt;div&gt;&lt;h5&gt;&lt;b&gt;Casting Time &lt;/b&gt;10 minutes&lt;/h5&gt;&lt;h5&gt;&lt;b&gt;Components &lt;/b&gt;V, S, M (powdered garnet and bloodstone worth a total of 500 gp)&lt;/h5&gt;&lt;/div&gt;&lt;hr/&gt;&lt;div&gt;&lt;h5&gt;&lt;b&gt;EFFECT&lt;/b&gt;&lt;/h5&gt;&lt;/div&gt;&lt;hr/&gt;&lt;div&gt;&lt;h5&gt;&lt;b&gt;Range &lt;/b&gt;0 ft.; see text&lt;/h5&gt;&lt;h5&gt;&lt;b&gt;Effect &lt;/b&gt;one symbol&lt;/h5&gt;&lt;h5&gt;&lt;b&gt;Duration &lt;/b&gt;10 minutes/level&lt;/h5&gt;&lt;h5&gt;&lt;b&gt;Saving Throw &lt;/b&gt;Fortitude negates; &lt;b&gt;Spell Resistance &lt;/b&gt;yes&lt;/h5&gt;&lt;/div&gt;&lt;hr/&gt;&lt;div&gt;&lt;h5&gt;&lt;b&gt;DESCRIPTION&lt;/b&gt;&lt;/h5&gt;&lt;/div&gt;&lt;hr/&gt;&lt;div&gt;&lt;h4&gt;&lt;p&gt;This spell functions like &lt;i&gt;symbol of death&lt;/i&gt;, except that each creature within the radius of &lt;i&gt;symbol of exsanguination&lt;/i&gt;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&lt;i&gt;symbol of death&lt;/i&gt;, &lt;i&gt;symbol of exsanguination&lt;/i&gt; has no hit point limit on the creatures it can affect. Once triggered, a &lt;i&gt;symbol of exsanguination&lt;/i&gt; remains active for 10 minutes per caster level.  Magic traps such as &lt;i&gt;symbol of exsanguination&lt;/i&gt; are hard to detect and disable. While any character can use Perception to find a symbol, only a character who has the trapfinding class feature can use Disable Device to disarm it. The DC in each case is equal to 25 + spell level, or 28 (27 for a bloodrager) for &lt;i&gt;symbol of exsanguination&lt;/i&gt;.&lt;/p&gt;&lt;/h4&gt;&lt;/div&gt;</t>
  </si>
  <si>
    <t xml:space="preserve"> Triggered rune causes nearby creatures to bleed.</t>
  </si>
  <si>
    <t>Temporary Graft</t>
  </si>
  <si>
    <t>alchemist 3, bloodrager 3, magus 4, occultist 3, sorcerer/wizard 4</t>
  </si>
  <si>
    <t>V, S, F (a dismembered body part)</t>
  </si>
  <si>
    <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Fins: The fins grant you a 40 foot swim speed.  Head: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Leg: The leg increases your base movement speed by 5 feet and grants you a +2 bonus to CMD against overrun and trip combat maneuvers (the usual bonus for having an extra leg).  Wings: The wings grant you a 40-foot fly speed (poor maneuverability).</t>
  </si>
  <si>
    <t>&lt;p&gt;You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&lt;i&gt;Fins&lt;/i&gt;: The fins grant you a 40 foot swim speed.  &lt;i&gt;Head&lt;/i&gt;: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&lt;i&gt;Leg&lt;/i&gt;: The leg increases your base movement speed by 5 feet and grants you a +2 bonus to CMD against overrun and trip combat maneuvers (the usual bonus for having an extra leg).  &lt;i&gt;Wings&lt;/i&gt;: The wings grant you a 40-foot fly speed (poor maneuverability).&lt;/p&gt;</t>
  </si>
  <si>
    <t>&lt;link rel="stylesheet"href="PF.css"&gt;&lt;div class="heading"&gt;&lt;p class="alignleft"&gt;Temporary Graft&lt;/p&gt;&lt;div style="clear: both;"&gt;&lt;/div&gt;&lt;/div&gt;&lt;div&gt;&lt;h5&gt;&lt;b&gt;School &lt;/b&gt;transmutation; &lt;b&gt;Level &lt;/b&gt;alchemist 3, bloodrager 3, magus 4, occultist 3, sorcerer/wizard 4&lt;/h5&gt;&lt;/div&gt;&lt;hr/&gt;&lt;div&gt;&lt;h5&gt;&lt;b&gt;CASTING&lt;/b&gt;&lt;/h5&gt;&lt;/div&gt;&lt;hr/&gt;&lt;div&gt;&lt;h5&gt;&lt;b&gt;Casting Time &lt;/b&gt;1 standard action&lt;/h5&gt;&lt;h5&gt;&lt;b&gt;Components &lt;/b&gt;V, S, F (a dismembered body part)&lt;/h5&gt;&lt;/div&gt;&lt;hr/&gt;&lt;div&gt;&lt;h5&gt;&lt;b&gt;EFFECT&lt;/b&gt;&lt;/h5&gt;&lt;/div&gt;&lt;hr/&gt;&lt;div&gt;&lt;h5&gt;&lt;b&gt;Range &lt;/b&gt;personal&lt;/h5&gt;&lt;h5&gt;&lt;b&gt;Targets &lt;/b&gt;you&lt;/h5&gt;&lt;h5&gt;&lt;b&gt;Duration &lt;/b&gt;1 minute/level (D)&lt;/h5&gt;&lt;/div&gt;&lt;hr/&gt;&lt;div&gt;&lt;h5&gt;&lt;b&gt;DESCRIPTION&lt;/b&gt;&lt;/h5&gt;&lt;/div&gt;&lt;hr/&gt;&lt;div&gt;&lt;h4&gt;&lt;p&gt;You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&lt;i&gt;Fins&lt;/i&gt;: The fins grant you a 40 foot swim speed.  &lt;i&gt;Head&lt;/i&gt;: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&lt;i&gt;Leg&lt;/i&gt;: The leg increases your base movement speed by 5 feet and grants you a +2 bonus to CMD against overrun and trip combat maneuvers (the usual bonus for having an extra leg).  &lt;i&gt;Wings&lt;/i&gt;: The wings grant you a 40-foot fly speed (poor maneuverability).&lt;/p&gt;&lt;/h4&gt;&lt;/div&gt;</t>
  </si>
  <si>
    <t xml:space="preserve"> Graft a body part onto yourself to gain one of several benefits.</t>
  </si>
  <si>
    <t>Torpid Reanimation</t>
  </si>
  <si>
    <t>antipaladin 4, cleric/oracle 4, occultist 4, shaman 4, sorcerer/wizard 5, spiritualist 4</t>
  </si>
  <si>
    <t>V, S, M (an onyx gem worth at least 25 gp per HD of the undead)</t>
  </si>
  <si>
    <t>1 day/caster level and instantaneous (see text)</t>
  </si>
  <si>
    <t>This spell works like animate dead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animate dead still applies.</t>
  </si>
  <si>
    <t>&lt;p&gt;This spell works like &lt;i&gt;animate dead&lt;/i&gt;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&lt;i&gt;animate dead&lt;/i&gt; still applies.&lt;/p&gt;</t>
  </si>
  <si>
    <t>&lt;link rel="stylesheet"href="PF.css"&gt;&lt;div class="heading"&gt;&lt;p class="alignleft"&gt;Torpid Reanimation&lt;/p&gt;&lt;div style="clear: both;"&gt;&lt;/div&gt;&lt;/div&gt;&lt;div&gt;&lt;h5&gt;&lt;b&gt;School &lt;/b&gt;necromancy [evil]; &lt;b&gt;Level &lt;/b&gt;antipaladin 4, cleric/oracle 4, occultist 4, shaman 4, sorcerer/wizard 5, spiritualist 4&lt;/h5&gt;&lt;/div&gt;&lt;hr/&gt;&lt;div&gt;&lt;h5&gt;&lt;b&gt;CASTING&lt;/b&gt;&lt;/h5&gt;&lt;/div&gt;&lt;hr/&gt;&lt;div&gt;&lt;h5&gt;&lt;b&gt;Casting Time &lt;/b&gt;1 standard action&lt;/h5&gt;&lt;h5&gt;&lt;b&gt;Components &lt;/b&gt;V, S, M (an onyx gem worth at least 25 gp per HD of the undead)&lt;/h5&gt;&lt;/div&gt;&lt;hr/&gt;&lt;div&gt;&lt;h5&gt;&lt;b&gt;EFFECT&lt;/b&gt;&lt;/h5&gt;&lt;/div&gt;&lt;hr/&gt;&lt;div&gt;&lt;h5&gt;&lt;b&gt;Range &lt;/b&gt;touch&lt;/h5&gt;&lt;h5&gt;&lt;b&gt;Targets &lt;/b&gt;one or more corpses touched&lt;/h5&gt;&lt;h5&gt;&lt;b&gt;Duration &lt;/b&gt;1 day/caster level and instantaneous (see text)&lt;/h5&gt;&lt;h5&gt;&lt;b&gt;Saving Throw &lt;/b&gt;none; &lt;b&gt;Spell Resistance &lt;/b&gt;no&lt;/h5&gt;&lt;/div&gt;&lt;hr/&gt;&lt;div&gt;&lt;h5&gt;&lt;b&gt;DESCRIPTION&lt;/b&gt;&lt;/h5&gt;&lt;/div&gt;&lt;hr/&gt;&lt;div&gt;&lt;h4&gt;&lt;p&gt;This spell works like &lt;i&gt;animate dead&lt;/i&gt;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&lt;i&gt;animate dead&lt;/i&gt; still applies.&lt;/p&gt;&lt;/h4&gt;&lt;/div&gt;</t>
  </si>
  <si>
    <t xml:space="preserve"> Animate dead when a specific trigger condition occurs.</t>
  </si>
  <si>
    <t>Verminous Transformation</t>
  </si>
  <si>
    <t>alchemist 6, shaman 7, witch 7</t>
  </si>
  <si>
    <t>V, S, M (a handful of bat wings, insects, and rat tails)</t>
  </si>
  <si>
    <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t>
  </si>
  <si>
    <t>&lt;p&gt;You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penalty.&lt;/p&gt;</t>
  </si>
  <si>
    <t>&lt;link rel="stylesheet"href="PF.css"&gt;&lt;div class="heading"&gt;&lt;p class="alignleft"&gt;Verminous Transformation&lt;/p&gt;&lt;div style="clear: both;"&gt;&lt;/div&gt;&lt;/div&gt;&lt;div&gt;&lt;h5&gt;&lt;b&gt;School &lt;/b&gt;transmutation (polymorph); &lt;b&gt;Level &lt;/b&gt;alchemist 6, shaman 7, witch 7&lt;/h5&gt;&lt;/div&gt;&lt;hr/&gt;&lt;div&gt;&lt;h5&gt;&lt;b&gt;CASTING&lt;/b&gt;&lt;/h5&gt;&lt;/div&gt;&lt;hr/&gt;&lt;div&gt;&lt;h5&gt;&lt;b&gt;Casting Time &lt;/b&gt;1 standard action&lt;/h5&gt;&lt;h5&gt;&lt;b&gt;Components &lt;/b&gt;V, S, M (a handful of bat wings, insects, and rat tails)&lt;/h5&gt;&lt;/div&gt;&lt;hr/&gt;&lt;div&gt;&lt;h5&gt;&lt;b&gt;EFFECT&lt;/b&gt;&lt;/h5&gt;&lt;/div&gt;&lt;hr/&gt;&lt;div&gt;&lt;h5&gt;&lt;b&gt;Range &lt;/b&gt;personal&lt;/h5&gt;&lt;h5&gt;&lt;b&gt;Targets &lt;/b&gt;you&lt;/h5&gt;&lt;h5&gt;&lt;b&gt;Duration &lt;/b&gt;1 round/level (D)&lt;/h5&gt;&lt;/div&gt;&lt;hr/&gt;&lt;div&gt;&lt;h5&gt;&lt;b&gt;DESCRIPTION&lt;/b&gt;&lt;/h5&gt;&lt;/div&gt;&lt;hr/&gt;&lt;div&gt;&lt;h4&gt;&lt;p&gt;You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penalty.&lt;/p&gt;&lt;/h4&gt;&lt;/div&gt;</t>
  </si>
  <si>
    <t xml:space="preserve"> Partially transform into a swarm.</t>
  </si>
  <si>
    <t>Vile Dog Transformation</t>
  </si>
  <si>
    <t>antipaladin 3, cleric/oracle 5, druid 5, shaman 5, sorcerer/wizard 5, witch 5</t>
  </si>
  <si>
    <t>V, S, M (a strip of leather)</t>
  </si>
  <si>
    <t>one or more dogs touched</t>
  </si>
  <si>
    <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(Bestiary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summon monster spell. If you buy dogs to use with this spell, they cost 15 gp for a lap dog, 25 gp for a guard dog, or 150 gp for a riding dog (Pathfinder RPG Ultimate Equipment 82). Any kind of dog can be transformed by this spell and has the same statistics.</t>
  </si>
  <si>
    <t>&lt;p&gt;You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(&lt;i&gt;Bestiary&lt;/i&gt;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&lt;i&gt;summon monster&lt;/i&gt; spell. If you buy dogs to use with this spell, they cost 15 gp for a lap dog, 25 gp for a guard dog, or 150 gp for a riding dog (&lt;i&gt;Pathfinder RPG Ultimate Equipment&lt;/i&gt; 82). Any kind of dog can be transformed by this spell and has the same statistics.&lt;/p&gt;</t>
  </si>
  <si>
    <t>&lt;link rel="stylesheet"href="PF.css"&gt;&lt;div class="heading"&gt;&lt;p class="alignleft"&gt;Vile Dog Transformation&lt;/p&gt;&lt;div style="clear: both;"&gt;&lt;/div&gt;&lt;/div&gt;&lt;div&gt;&lt;h5&gt;&lt;b&gt;School &lt;/b&gt;transmutation (polymorph) [evil]; &lt;b&gt;Level &lt;/b&gt;antipaladin 3, cleric/oracle 5, druid 5, shaman 5, sorcerer/wizard 5, witch 5&lt;/h5&gt;&lt;/div&gt;&lt;hr/&gt;&lt;div&gt;&lt;h5&gt;&lt;b&gt;CASTING&lt;/b&gt;&lt;/h5&gt;&lt;/div&gt;&lt;hr/&gt;&lt;div&gt;&lt;h5&gt;&lt;b&gt;Casting Time &lt;/b&gt;10 minutes&lt;/h5&gt;&lt;h5&gt;&lt;b&gt;Components &lt;/b&gt;V, S, M (a strip of leather)&lt;/h5&gt;&lt;/div&gt;&lt;hr/&gt;&lt;div&gt;&lt;h5&gt;&lt;b&gt;EFFECT&lt;/b&gt;&lt;/h5&gt;&lt;/div&gt;&lt;hr/&gt;&lt;div&gt;&lt;h5&gt;&lt;b&gt;Range &lt;/b&gt;touch&lt;/h5&gt;&lt;h5&gt;&lt;b&gt;Targets &lt;/b&gt;one or more dogs touched&lt;/h5&gt;&lt;h5&gt;&lt;b&gt;Duration &lt;/b&gt;1 hour/level&lt;/h5&gt;&lt;h5&gt;&lt;b&gt;Saving Throw &lt;/b&gt;Will negates (see text); &lt;b&gt;Spell Resistance &lt;/b&gt;no&lt;/h5&gt;&lt;/div&gt;&lt;hr/&gt;&lt;div&gt;&lt;h5&gt;&lt;b&gt;DESCRIPTION&lt;/b&gt;&lt;/h5&gt;&lt;/div&gt;&lt;hr/&gt;&lt;div&gt;&lt;h4&gt;&lt;p&gt;You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(&lt;i&gt;Bestiary&lt;/i&gt;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&lt;i&gt;summon monster&lt;/i&gt; spell. If you buy dogs to use with this spell, they cost 15 gp for a lap dog, 25 gp for a guard dog, or 150 gp for a riding dog (&lt;i&gt;Pathfinder RPG Ultimate Equipment&lt;/i&gt; 82). Any kind of dog can be transformed by this spell and has the same statistics.&lt;/p&gt;&lt;/h4&gt;&lt;/div&gt;</t>
  </si>
  <si>
    <t xml:space="preserve"> Transform ordinary dogs into fiendish minions.</t>
  </si>
  <si>
    <t>Waves Of Blood</t>
  </si>
  <si>
    <t>bloodrager 3, magus 3, psychic 3, sorcerer/wizard 3, spiritualist 3, witch 3</t>
  </si>
  <si>
    <t>V, S, M (a drop of the caster's blood)</t>
  </si>
  <si>
    <t>instantaneous and 1 round; see text</t>
  </si>
  <si>
    <t>Reflex negates, Fortitude negates (see text)</t>
  </si>
  <si>
    <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t>
  </si>
  <si>
    <t>&lt;p&gt;You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up.&lt;/p&gt;</t>
  </si>
  <si>
    <t>&lt;link rel="stylesheet"href="PF.css"&gt;&lt;div class="heading"&gt;&lt;p class="alignleft"&gt;Waves Of Blood&lt;/p&gt;&lt;div style="clear: both;"&gt;&lt;/div&gt;&lt;/div&gt;&lt;div&gt;&lt;h5&gt;&lt;b&gt;School &lt;/b&gt;conjuration (creation); &lt;b&gt;Level &lt;/b&gt;bloodrager 3, magus 3, psychic 3, sorcerer/wizard 3, spiritualist 3, witch 3&lt;/h5&gt;&lt;/div&gt;&lt;hr/&gt;&lt;div&gt;&lt;h5&gt;&lt;b&gt;CASTING&lt;/b&gt;&lt;/h5&gt;&lt;/div&gt;&lt;hr/&gt;&lt;div&gt;&lt;h5&gt;&lt;b&gt;Casting Time &lt;/b&gt;1 standard action&lt;/h5&gt;&lt;h5&gt;&lt;b&gt;Components &lt;/b&gt;V, S, M (a drop of the caster's blood)&lt;/h5&gt;&lt;/div&gt;&lt;hr/&gt;&lt;div&gt;&lt;h5&gt;&lt;b&gt;EFFECT&lt;/b&gt;&lt;/h5&gt;&lt;/div&gt;&lt;hr/&gt;&lt;div&gt;&lt;h5&gt;&lt;b&gt;Range &lt;/b&gt;30 ft.&lt;/h5&gt;&lt;h5&gt;&lt;b&gt;Area &lt;/b&gt;cone-shaped burst&lt;/h5&gt;&lt;h5&gt;&lt;b&gt;Duration &lt;/b&gt;instantaneous and 1 round; see text&lt;/h5&gt;&lt;h5&gt;&lt;b&gt;Saving Throw &lt;/b&gt;Reflex negates, Fortitude negates (see text); &lt;b&gt;Spell Resistance &lt;/b&gt;no&lt;/h5&gt;&lt;/div&gt;&lt;hr/&gt;&lt;div&gt;&lt;h5&gt;&lt;b&gt;DESCRIPTION&lt;/b&gt;&lt;/h5&gt;&lt;/div&gt;&lt;hr/&gt;&lt;div&gt;&lt;h4&gt;&lt;p&gt;You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up.&lt;/p&gt;&lt;/h4&gt;&lt;/div&gt;</t>
  </si>
  <si>
    <t xml:space="preserve"> A cone of blood pushes creatures, sickens them, and makes the ground slick.</t>
  </si>
  <si>
    <t>Wither Limb</t>
  </si>
  <si>
    <t>cleric/oracle 6, inquisitor 6, shaman 6, sorcerer/wizard 6, spiritualist 5, witch 6</t>
  </si>
  <si>
    <t>You cause one limb of the target to shrivel and weaken. The target takes 2d6 points of damage. The points are permanently lost until the target's limb is restored by heal, limited wish, miracle,  regenerate, or wish. Wither limb affects only living creatures of the humanoid or monstrous humanoid type, or similar bipedal creatures at the GM's discretion. You choose the limb affected. This spell's effects stack, until all a target's arms and legs (or equivalent limbs) are withered.  Arm: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Leg: The creature's movement speeds are halved, except for flying or other speeds that don't involve its legs. If multiple castings of this spell wither all of a creature's legs, it can only crawl at a speed of 5 feet each round.  Wing: The creature loses access to any fly speed that depends on its wings if even a single wing is withered.</t>
  </si>
  <si>
    <t>&lt;p&gt;You cause one limb of the target to shrivel and weaken. The target takes 2d6 points of damage. The points are permanently lost until the target's limb is restored by &lt;i&gt;heal&lt;/i&gt;, &lt;i&gt;limited &lt;i&gt;wish&lt;/i&gt;&lt;/i&gt;, &lt;i&gt;miracle&lt;/i&gt;,  &lt;i&gt;regenerate&lt;/i&gt;, or &lt;i&gt;wish&lt;/i&gt;. &lt;i&gt;Wither limb&lt;/i&gt; affects only living creatures of the humanoid or monstrous humanoid type, or similar bipedal creatures at the GM's discretion. You choose the limb affected. This spell's effects stack, until all a target's arms and legs (or equivalent limbs) are withered.  &lt;i&gt;Arm&lt;/i&gt;: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&lt;i&gt;Leg&lt;/i&gt;: The creature's movement speeds are halved, except for flying or other speeds that don't involve its legs. If multiple castings of this spell wither all of a creature's legs, it can only crawl at a speed of 5 feet each round.  &lt;i&gt;Wing&lt;/i&gt;: The creature loses access to any fly speed that depends on its wings if even a single wing is withered.&lt;/p&gt;</t>
  </si>
  <si>
    <t>&lt;link rel="stylesheet"href="PF.css"&gt;&lt;div class="heading"&gt;&lt;p class="alignleft"&gt;Wither Limb&lt;/p&gt;&lt;div style="clear: both;"&gt;&lt;/div&gt;&lt;/div&gt;&lt;div&gt;&lt;h5&gt;&lt;b&gt;School &lt;/b&gt;necromancy; &lt;b&gt;Level &lt;/b&gt;cleric/oracle 6, inquisitor 6, shaman 6, sorcerer/wizard 6, spiritualist 5,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&lt;/b&gt;yes&lt;/h5&gt;&lt;/div&gt;&lt;hr/&gt;&lt;div&gt;&lt;h5&gt;&lt;b&gt;DESCRIPTION&lt;/b&gt;&lt;/h5&gt;&lt;/div&gt;&lt;hr/&gt;&lt;div&gt;&lt;h4&gt;&lt;p&gt;You cause one limb of the target to shrivel and weaken. The target takes 2d6 points of damage. The points are permanently lost until the target's limb is restored by &lt;i&gt;heal&lt;/i&gt;, &lt;i&gt;limited &lt;i&gt;wish&lt;/i&gt;&lt;/i&gt;, &lt;i&gt;miracle&lt;/i&gt;,  &lt;i&gt;regenerate&lt;/i&gt;, or &lt;i&gt;wish&lt;/i&gt;. &lt;i&gt;Wither limb&lt;/i&gt; affects only living creatures of the humanoid or monstrous humanoid type, or similar bipedal creatures at the GM's discretion. You choose the limb affected. This spell's effects stack, until all a target's arms and legs (or equivalent limbs) are withered.  &lt;i&gt;Arm&lt;/i&gt;: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&lt;i&gt;Leg&lt;/i&gt;: The creature's movement speeds are halved, except for flying or other speeds that don't involve its legs. If multiple castings of this spell wither all of a creature's legs, it can only crawl at a speed of 5 feet each round.  &lt;i&gt;Wing&lt;/i&gt;: The creature loses access to any fly speed that depends on its wings if even a single wing is withered.&lt;/p&gt;&lt;/h4&gt;&lt;/div&gt;</t>
  </si>
  <si>
    <t xml:space="preserve"> Make one of the target’s limbs useless.</t>
  </si>
  <si>
    <t>Besmara's Grasping Depths</t>
  </si>
  <si>
    <t>haunted</t>
  </si>
  <si>
    <t>cleric/oracle 5, inquisitor 6, shaman 6, spiritualist 5, witch 6</t>
  </si>
  <si>
    <t>V, S, M/DF (a vial of sea water)</t>
  </si>
  <si>
    <t>one 5-ft. cube/level (S)</t>
  </si>
  <si>
    <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(Pathfinder RPG Core Rulebook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t>
  </si>
  <si>
    <t>&lt;p&gt;You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(&lt;i&gt;Pathfinder RPG Core Rulebook&lt;/i&gt;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ends.&lt;/p&gt;</t>
  </si>
  <si>
    <t>Haunted Heroes Handbook</t>
  </si>
  <si>
    <t>&lt;link rel="stylesheet"href="PF.css"&gt;&lt;div class="heading"&gt;&lt;p class="alignleft"&gt;Besmara's Grasping Depths&lt;/p&gt;&lt;div style="clear: both;"&gt;&lt;/div&gt;&lt;/div&gt;&lt;div&gt;&lt;h5&gt;&lt;b&gt;School &lt;/b&gt;necromancy (haunted) [emotion&lt;sup&gt;UM&lt;/sup&gt;, fear, mind-affecting]; &lt;b&gt;Level &lt;/b&gt;cleric/oracle 5, inquisitor 6, shaman 6, spiritualist 5, witch 6&lt;/h5&gt;&lt;/div&gt;&lt;hr/&gt;&lt;div&gt;&lt;h5&gt;&lt;b&gt;CASTING&lt;/b&gt;&lt;/h5&gt;&lt;/div&gt;&lt;hr/&gt;&lt;div&gt;&lt;h5&gt;&lt;b&gt;Casting Time &lt;/b&gt;1 standard action&lt;/h5&gt;&lt;h5&gt;&lt;b&gt;Components &lt;/b&gt;V, S, M/DF (a vial of sea water)&lt;/h5&gt;&lt;/div&gt;&lt;hr/&gt;&lt;div&gt;&lt;h5&gt;&lt;b&gt;EFFECT&lt;/b&gt;&lt;/h5&gt;&lt;/div&gt;&lt;hr/&gt;&lt;div&gt;&lt;h5&gt;&lt;b&gt;Range &lt;/b&gt;close (25 ft. + 5 ft./2 levels)&lt;/h5&gt;&lt;h5&gt;&lt;b&gt;Area &lt;/b&gt;one 5-ft. cube/level (S)&lt;/h5&gt;&lt;h5&gt;&lt;b&gt;Duration &lt;/b&gt;see text&lt;/h5&gt;&lt;h5&gt;&lt;b&gt;Saving Throw &lt;/b&gt;Will partial; see text; &lt;b&gt;Spell Resistance &lt;/b&gt;yes&lt;/h5&gt;&lt;/div&gt;&lt;hr/&gt;&lt;div&gt;&lt;h5&gt;&lt;b&gt;DESCRIPTION&lt;/b&gt;&lt;/h5&gt;&lt;/div&gt;&lt;hr/&gt;&lt;div&gt;&lt;h4&gt;&lt;p&gt;You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(&lt;i&gt;Pathfinder RPG Core Rulebook&lt;/i&gt;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ends.&lt;/p&gt;&lt;/h4&gt;&lt;/div&gt;&lt;div&gt;&lt;h5&gt;&lt;b&gt;Haunt Statistics&lt;/b&gt;&lt;/h5&gt;&lt;/div&gt;&lt;div&gt;&lt;h5&gt;&lt;b&gt;Notice&lt;/b&gt; Perception DC 30 (to detect the smell of brine)  &lt;br&gt;&lt;b&gt;hp &lt;/b&gt;5 hp/level; &lt;b&gt;Trigger&lt;/b&gt; proximity; &lt;b&gt;Reset&lt;/b&gt; none&lt;/h5&gt;&lt;/div&gt;</t>
  </si>
  <si>
    <t>Notice Perception DC 30 (to detect the smell of brine)  hp 5 hp/level; Trigger proximity; Reset none</t>
  </si>
  <si>
    <t>Crafter's Nightmare</t>
  </si>
  <si>
    <t>bard 2, druid 2, medium 1, mesmerist 2, occultist 2, psychic 2, sorcerer/wizard 2, spiritualist 2, witch 2</t>
  </si>
  <si>
    <t>You concentrate feelings of competitiveness, envy, and ill will into a poltergeist-like haunt that wreaks havoc on its victim's long-term endeavors. Every time a creature in the affected area attempts a Craft or Profession check to generate income, create an item, or earn capital (Pathfinder RPG Ultimate Campaign 85), any skill check required for crafting or repairing a magic item, or any skill check required for an occult ritual (Pathfinder RPG Occult Adventures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t>
  </si>
  <si>
    <t>&lt;p&gt;You concentrate feelings of competitiveness, envy, and ill will into a poltergeist-like haunt that wreaks havoc on its victim's long-term endeavors. Every time a creature in the affected area attempts a Craft or Profession check to generate income, create an item, or earn capital (&lt;i&gt;Pathfinder RPG Ultimate Campaign&lt;/i&gt; 85), any skill check required for crafting or repairing a magic item, or any skill check required for an occult ritual (&lt;i&gt;Pathfinder RPG Occult Adventures&lt;/i&gt;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round.&lt;/p&gt;</t>
  </si>
  <si>
    <t>&lt;link rel="stylesheet"href="PF.css"&gt;&lt;div class="heading"&gt;&lt;p class="alignleft"&gt;Crafter's Nightmare&lt;/p&gt;&lt;div style="clear: both;"&gt;&lt;/div&gt;&lt;/div&gt;&lt;div&gt;&lt;h5&gt;&lt;b&gt;School &lt;/b&gt;necromancy (haunted) [emotion&lt;sup&gt;UM&lt;/sup&gt;, fear, mind-affecting]; &lt;b&gt;Level &lt;/b&gt;bard 2, druid 2, medium 1, mesmerist 2, occultist 2, psychic 2, sorcerer/wizard 2, spiritualist 2, witch 2&lt;/h5&gt;&lt;/div&gt;&lt;hr/&gt;&lt;div&gt;&lt;h5&gt;&lt;b&gt;CASTING&lt;/b&gt;&lt;/h5&gt;&lt;/div&gt;&lt;hr/&gt;&lt;div&gt;&lt;h5&gt;&lt;b&gt;Casting Time &lt;/b&gt;1 standard action&lt;/h5&gt;&lt;h5&gt;&lt;b&gt;Components &lt;/b&gt;V, S, M (a broken tool)&lt;/h5&gt;&lt;/div&gt;&lt;hr/&gt;&lt;div&gt;&lt;h5&gt;&lt;b&gt;EFFECT&lt;/b&gt;&lt;/h5&gt;&lt;/div&gt;&lt;hr/&gt;&lt;div&gt;&lt;h5&gt;&lt;b&gt;Range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concentrate feelings of competitiveness, envy, and ill will into a poltergeist-like haunt that wreaks havoc on its victim's long-term endeavors. Every time a creature in the affected area attempts a Craft or Profession check to generate income, create an item, or earn capital (&lt;i&gt;Pathfinder RPG Ultimate Campaign&lt;/i&gt; 85), any skill check required for crafting or repairing a magic item, or any skill check required for an occult ritual (&lt;i&gt;Pathfinder RPG Occult Adventures&lt;/i&gt;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round.&lt;/p&gt;&lt;/h4&gt;&lt;/div&gt;&lt;div&gt;&lt;h5&gt;&lt;b&gt;Haunt Statistics&lt;/b&gt;&lt;/h5&gt;&lt;/div&gt;&lt;div&gt;&lt;h5&gt;&lt;b&gt;Notice&lt;/b&gt; Perception DC 20 (to hear faint, sinister laughter)  &lt;br&gt;&lt;b&gt;hp &lt;/b&gt;2 hp/level; &lt;b&gt;Trigger&lt;/b&gt; skill check or spell (see text); &lt;b&gt;Reset&lt;/b&gt; none&lt;/h5&gt;&lt;/div&gt;</t>
  </si>
  <si>
    <t>Notice Perception DC 20 (to hear faint, sinister laughter)  hp 2 hp/level; Trigger skill check or spell (see text); Reset none</t>
  </si>
  <si>
    <t>Frigid Souls</t>
  </si>
  <si>
    <t>cold, emotionUM, fear, mind-affecting</t>
  </si>
  <si>
    <t>cleric/oracle 4, druid 4, ranger 3, shaman 4, sorcerer/wizard 4, witch 4</t>
  </si>
  <si>
    <t>V, S, DF/M (a bloody icicle)</t>
  </si>
  <si>
    <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t>
  </si>
  <si>
    <t>&lt;p&gt;You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round.&lt;/p&gt;</t>
  </si>
  <si>
    <t>&lt;link rel="stylesheet"href="PF.css"&gt;&lt;div class="heading"&gt;&lt;p class="alignleft"&gt;Frigid Souls&lt;/p&gt;&lt;div style="clear: both;"&gt;&lt;/div&gt;&lt;/div&gt;&lt;div&gt;&lt;h5&gt;&lt;b&gt;School &lt;/b&gt;necromancy (haunted) [cold, emotion&lt;sup&gt;UM&lt;/sup&gt;, fear, mind-affecting]; &lt;b&gt;Level &lt;/b&gt;cleric/oracle 4, druid 4, ranger 3, shaman 4, sorcerer/wizard 4, witch 4&lt;/h5&gt;&lt;/div&gt;&lt;hr/&gt;&lt;div&gt;&lt;h5&gt;&lt;b&gt;CASTING&lt;/b&gt;&lt;/h5&gt;&lt;/div&gt;&lt;hr/&gt;&lt;div&gt;&lt;h5&gt;&lt;b&gt;Casting Time &lt;/b&gt;1 standard action&lt;/h5&gt;&lt;h5&gt;&lt;b&gt;Components &lt;/b&gt;V, S, DF/M (a bloody icicle)&lt;/h5&gt;&lt;/div&gt;&lt;hr/&gt;&lt;div&gt;&lt;h5&gt;&lt;b&gt;EFFECT&lt;/b&gt;&lt;/h5&gt;&lt;/div&gt;&lt;hr/&gt;&lt;div&gt;&lt;h5&gt;&lt;b&gt;Range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round.&lt;/p&gt;&lt;/h4&gt;&lt;/div&gt;&lt;div&gt;&lt;h5&gt;&lt;b&gt;Haunt Statistics&lt;/b&gt;&lt;/h5&gt;&lt;/div&gt;&lt;div&gt;&lt;h5&gt;&lt;b&gt;Notice&lt;/b&gt; Perception DC 25 (to feel a biting chill as if through the touch of a frozen hand)  &lt;br&gt;&lt;b&gt;hp &lt;/b&gt;2 hp/level; &lt;b&gt;Trigger&lt;/b&gt; proximity; &lt;b&gt;Reset&lt;/b&gt; none&lt;/h5&gt;&lt;/div&gt;</t>
  </si>
  <si>
    <t>Notice Perception DC 25 (to feel a biting chill as if through the touch of a frozen hand)  hp 2 hp/level; Trigger proximity; Reset none</t>
  </si>
  <si>
    <t>Grim Stalker</t>
  </si>
  <si>
    <t>death, emotionUM, fear, mind-affecting</t>
  </si>
  <si>
    <t>cleric/oracle 7, magus 6, shaman 7, sorcerer/wizard 7, summoner 6, witch 7</t>
  </si>
  <si>
    <t>V, S, DF/M (a hound's fang)</t>
  </si>
  <si>
    <t>one object touched</t>
  </si>
  <si>
    <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nightmare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phantasmal killer.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(Pathfinder RPG Bestiary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t>
  </si>
  <si>
    <t>&lt;p&gt;You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&lt;i&gt;nightmare&lt;/i&gt;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&lt;i&gt;phantasmal killer&lt;/i&gt;.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(&lt;i&gt;Pathfinder RPG Bestiary&lt;/i&gt;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disappears.&lt;/p&gt;</t>
  </si>
  <si>
    <t>&lt;link rel="stylesheet"href="PF.css"&gt;&lt;div class="heading"&gt;&lt;p class="alignleft"&gt;Grim Stalker&lt;/p&gt;&lt;div style="clear: both;"&gt;&lt;/div&gt;&lt;/div&gt;&lt;div&gt;&lt;h5&gt;&lt;b&gt;School &lt;/b&gt;necromancy (haunted) [death, emotion&lt;sup&gt;UM&lt;/sup&gt;, fear, mind-affecting]; &lt;b&gt;Level &lt;/b&gt;cleric/oracle 7, magus 6, shaman 7, sorcerer/wizard 7, summoner 6, witch 7&lt;/h5&gt;&lt;/div&gt;&lt;hr/&gt;&lt;div&gt;&lt;h5&gt;&lt;b&gt;CASTING&lt;/b&gt;&lt;/h5&gt;&lt;/div&gt;&lt;hr/&gt;&lt;div&gt;&lt;h5&gt;&lt;b&gt;Casting Time &lt;/b&gt;1 minute&lt;/h5&gt;&lt;h5&gt;&lt;b&gt;Components &lt;/b&gt;V, S, DF/M (a hound's fang)&lt;/h5&gt;&lt;/div&gt;&lt;hr/&gt;&lt;div&gt;&lt;h5&gt;&lt;b&gt;EFFECT&lt;/b&gt;&lt;/h5&gt;&lt;/div&gt;&lt;hr/&gt;&lt;div&gt;&lt;h5&gt;&lt;b&gt;Range &lt;/b&gt;touch&lt;/h5&gt;&lt;h5&gt;&lt;b&gt;Targets &lt;/b&gt;one object touched&lt;/h5&gt;&lt;h5&gt;&lt;b&gt;Duration &lt;/b&gt;1 day/level (D)&lt;/h5&gt;&lt;h5&gt;&lt;b&gt;Saving Throw &lt;/b&gt;Will negates (object); see text; &lt;b&gt;Spell Resistance &lt;/b&gt;yes (object)&lt;/h5&gt;&lt;/div&gt;&lt;hr/&gt;&lt;div&gt;&lt;h5&gt;&lt;b&gt;DESCRIPTION&lt;/b&gt;&lt;/h5&gt;&lt;/div&gt;&lt;hr/&gt;&lt;div&gt;&lt;h4&gt;&lt;p&gt;You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&lt;i&gt;nightmare&lt;/i&gt;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&lt;i&gt;phantasmal killer&lt;/i&gt;.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(&lt;i&gt;Pathfinder RPG Bestiary&lt;/i&gt;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disappears.&lt;/p&gt;&lt;/h4&gt;&lt;/div&gt;&lt;div&gt;&lt;h5&gt;&lt;b&gt;Haunt Statistics&lt;/b&gt;&lt;/h5&gt;&lt;/div&gt;&lt;div&gt;&lt;h5&gt;&lt;b&gt;Notice&lt;/b&gt; Perception DC 30 (to see a black dog darting toward the target out of the corner of the eye)  &lt;br&gt;&lt;b&gt;hp &lt;/b&gt;4 hp/level; &lt;b&gt;Trigger&lt;/b&gt; touch (object); &lt;b&gt;Reset&lt;/b&gt; none&lt;/h5&gt;&lt;/div&gt;</t>
  </si>
  <si>
    <t>Notice Perception DC 30 (to see a black dog darting toward the target out of the corner of the eye)  hp 4 hp/level; Trigger touch (object); Reset none</t>
  </si>
  <si>
    <t>Horrifying Visage</t>
  </si>
  <si>
    <t>bard 3, cleric/oracle 3, inquisitor 3, magus 3, psychic 3, shaman 3, sorcerer/wizard 3, spiritualist 3, witch 3</t>
  </si>
  <si>
    <t>You channel residual feelings of terror into the minds of creatures within the area, causing those fears to manifest when confronted with a specific object. All creatures in the area must succeed at a Will save or acquire a phobia (Pathfinder RPG GameMastery Guide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t>
  </si>
  <si>
    <t>&lt;p&gt;You channel residual feelings of terror into the minds of creatures within the area, causing those fears to manifest when confronted with a specific object. All creatures in the area must succeed at a Will save or acquire a phobia (&lt;i&gt;Pathfinder RPG GameMastery Guide&lt;/i&gt;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round.&lt;/p&gt;</t>
  </si>
  <si>
    <t>&lt;link rel="stylesheet"href="PF.css"&gt;&lt;div class="heading"&gt;&lt;p class="alignleft"&gt;Horrifying Visage&lt;/p&gt;&lt;div style="clear: both;"&gt;&lt;/div&gt;&lt;/div&gt;&lt;div&gt;&lt;h5&gt;&lt;b&gt;School &lt;/b&gt;necromancy (haunted) [emotion&lt;sup&gt;UM&lt;/sup&gt;, fear, mind-affecting]; &lt;b&gt;Level &lt;/b&gt;bard 3, cleric/oracle 3, inquisitor 3, magus 3, psychic 3, shaman 3, sorcerer/wizard 3, spiritualist 3, witch 3&lt;/h5&gt;&lt;/div&gt;&lt;hr/&gt;&lt;div&gt;&lt;h5&gt;&lt;b&gt;CASTING&lt;/b&gt;&lt;/h5&gt;&lt;/div&gt;&lt;hr/&gt;&lt;div&gt;&lt;h5&gt;&lt;b&gt;Casting Time &lt;/b&gt;1 standard action&lt;/h5&gt;&lt;h5&gt;&lt;b&gt;Components &lt;/b&gt;V, S, M (a live spider)&lt;/h5&gt;&lt;/div&gt;&lt;hr/&gt;&lt;div&gt;&lt;h5&gt;&lt;b&gt;EFFECT&lt;/b&gt;&lt;/h5&gt;&lt;/div&gt;&lt;hr/&gt;&lt;div&gt;&lt;h5&gt;&lt;b&gt;Range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channel residual feelings of terror into the minds of creatures within the area, causing those fears to manifest when confronted with a specific object. All creatures in the area must succeed at a Will save or acquire a phobia (&lt;i&gt;Pathfinder RPG GameMastery Guide&lt;/i&gt;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round.&lt;/p&gt;&lt;/h4&gt;&lt;/div&gt;&lt;div&gt;&lt;h5&gt;&lt;b&gt;Haunt Statistics&lt;/b&gt;&lt;/h5&gt;&lt;/div&gt;&lt;div&gt;&lt;h5&gt;&lt;b&gt;Notice&lt;/b&gt; Perception DC 25 (to hear a distant cry of fright, or see a horrified ghostly face appear over a victim's face)  &lt;br&gt;&lt;b&gt;hp &lt;/b&gt;2 hp/level; &lt;b&gt;Trigger&lt;/b&gt; proximity; &lt;b&gt;Reset&lt;/b&gt; none&lt;/h5&gt;&lt;/div&gt;</t>
  </si>
  <si>
    <t>Notice Perception DC 25 (to hear a distant cry of fright, or see a horrified ghostly face appear over a victim's face)  hp 2 hp/level; Trigger proximity; Reset none</t>
  </si>
  <si>
    <t>Mischievous Shadow</t>
  </si>
  <si>
    <t>bard 4, magus 4, medium 3, shaman 4, sorcerer/wizard 4, spiritualist 4, summoner 4, witch 4</t>
  </si>
  <si>
    <t>V, S, M (a black candle)</t>
  </si>
  <si>
    <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mischievous shadow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mischievous shadow makes such a disruption, the spell's haunt-like manifestation occurs during that round.</t>
  </si>
  <si>
    <t>&lt;p&gt;You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&lt;i&gt;mischievous shadow&lt;/i&gt;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&lt;i&gt;mischievous shadow&lt;/i&gt; makes such a disruption, the spell's haunt-like manifestation occurs during that round.&lt;/p&gt;</t>
  </si>
  <si>
    <t>&lt;link rel="stylesheet"href="PF.css"&gt;&lt;div class="heading"&gt;&lt;p class="alignleft"&gt;Mischievous Shadow&lt;/p&gt;&lt;div style="clear: both;"&gt;&lt;/div&gt;&lt;/div&gt;&lt;div&gt;&lt;h5&gt;&lt;b&gt;School &lt;/b&gt;necromancy (haunted) [emotion&lt;sup&gt;UM&lt;/sup&gt;, fear, mind-affecting]; &lt;b&gt;Level &lt;/b&gt;bard 4, magus 4, medium 3, shaman 4, sorcerer/wizard 4, spiritualist 4, summoner 4, witch 4&lt;/h5&gt;&lt;/div&gt;&lt;hr/&gt;&lt;div&gt;&lt;h5&gt;&lt;b&gt;CASTING&lt;/b&gt;&lt;/h5&gt;&lt;/div&gt;&lt;hr/&gt;&lt;div&gt;&lt;h5&gt;&lt;b&gt;Casting Time &lt;/b&gt;1 standard action&lt;/h5&gt;&lt;h5&gt;&lt;b&gt;Components &lt;/b&gt;V, S, M (a black candle)&lt;/h5&gt;&lt;/div&gt;&lt;hr/&gt;&lt;div&gt;&lt;h5&gt;&lt;b&gt;EFFECT&lt;/b&gt;&lt;/h5&gt;&lt;/div&gt;&lt;hr/&gt;&lt;div&gt;&lt;h5&gt;&lt;b&gt;Range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&lt;i&gt;mischievous shadow&lt;/i&gt;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&lt;i&gt;mischievous shadow&lt;/i&gt; makes such a disruption, the spell's haunt-like manifestation occurs during that round.&lt;/p&gt;&lt;/h4&gt;&lt;/div&gt;&lt;div&gt;&lt;h5&gt;&lt;b&gt;Haunt Statistics&lt;/b&gt;&lt;/h5&gt;&lt;/div&gt;&lt;div&gt;&lt;h5&gt;&lt;b&gt;Notice&lt;/b&gt; Perception DC 25 (to see a target's shadow act incongruously with its physical motions)  &lt;br&gt;&lt;b&gt;hp &lt;/b&gt;2 hp/level; &lt;b&gt;Trigger&lt;/b&gt; proximity; &lt;b&gt;Reset&lt;/b&gt; none&lt;/h5&gt;&lt;/div&gt;</t>
  </si>
  <si>
    <t>Notice Perception DC 25 (to see a target's shadow act incongruously with its physical motions)  hp 2 hp/level; Trigger proximity; Reset none</t>
  </si>
  <si>
    <t>Skin Tag</t>
  </si>
  <si>
    <t>alchemist 1, medium 1, occultist 1, shaman 1, sorcerer/wizard 1, witch 1</t>
  </si>
  <si>
    <t>V, S, M (beverage or food item, plus special reagents worth 25 gp)</t>
  </si>
  <si>
    <t>touch (object); 1 mile (remote effects)</t>
  </si>
  <si>
    <t>1 beverage or piece of food touched</t>
  </si>
  <si>
    <t>1 day plus 1 day/level (D)</t>
  </si>
  <si>
    <t>none (object), Fortitude negates; see text</t>
  </si>
  <si>
    <t>no (object), yes (creature)</t>
  </si>
  <si>
    <t>You mix a malign spirit into a piece of food, a drink, or some other item to be consumed (including alchemical items, potions, elixirs, or similar items). The skin tag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scrying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t>
  </si>
  <si>
    <t>&lt;p&gt;You mix a malign spirit into a piece of food, a drink, or some other item to be consumed (including alchemical items, potions, elixirs, or similar items). The &lt;i&gt;skin tag&lt;/i&gt;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&lt;i&gt;scrying&lt;/i&gt;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round.&lt;/p&gt;</t>
  </si>
  <si>
    <t>&lt;link rel="stylesheet"href="PF.css"&gt;&lt;div class="heading"&gt;&lt;p class="alignleft"&gt;Skin Tag&lt;/p&gt;&lt;div style="clear: both;"&gt;&lt;/div&gt;&lt;/div&gt;&lt;div&gt;&lt;h5&gt;&lt;b&gt;School &lt;/b&gt;necromancy (haunted) [emotion&lt;sup&gt;UM&lt;/sup&gt;, fear, mind-affecting]; &lt;b&gt;Level &lt;/b&gt;alchemist 1, medium 1, occultist 1, shaman 1, sorcerer/wizard 1, witch 1&lt;/h5&gt;&lt;/div&gt;&lt;hr/&gt;&lt;div&gt;&lt;h5&gt;&lt;b&gt;CASTING&lt;/b&gt;&lt;/h5&gt;&lt;/div&gt;&lt;hr/&gt;&lt;div&gt;&lt;h5&gt;&lt;b&gt;Casting Time &lt;/b&gt;1 minute&lt;/h5&gt;&lt;h5&gt;&lt;b&gt;Components &lt;/b&gt;V, S, M (beverage or food item, plus special reagents worth 25 gp)&lt;/h5&gt;&lt;/div&gt;&lt;hr/&gt;&lt;div&gt;&lt;h5&gt;&lt;b&gt;EFFECT&lt;/b&gt;&lt;/h5&gt;&lt;/div&gt;&lt;hr/&gt;&lt;div&gt;&lt;h5&gt;&lt;b&gt;Range &lt;/b&gt;touch (object); 1 mile (remote effects)&lt;/h5&gt;&lt;h5&gt;&lt;b&gt;Targets &lt;/b&gt;1 beverage or piece of food touched&lt;/h5&gt;&lt;h5&gt;&lt;b&gt;Duration &lt;/b&gt;1 day plus 1 day/level (D)&lt;/h5&gt;&lt;h5&gt;&lt;b&gt;Saving Throw &lt;/b&gt;none (object), Fortitude negates; see text; &lt;b&gt;Spell Resistance &lt;/b&gt;no (object), yes (creature)&lt;/h5&gt;&lt;/div&gt;&lt;hr/&gt;&lt;div&gt;&lt;h5&gt;&lt;b&gt;DESCRIPTION&lt;/b&gt;&lt;/h5&gt;&lt;/div&gt;&lt;hr/&gt;&lt;div&gt;&lt;h4&gt;&lt;p&gt;You mix a malign spirit into a piece of food, a drink, or some other item to be consumed (including alchemical items, potions, elixirs, or similar items). The &lt;i&gt;skin tag&lt;/i&gt;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&lt;i&gt;scrying&lt;/i&gt;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round.&lt;/p&gt;&lt;/h4&gt;&lt;/div&gt;&lt;div&gt;&lt;h5&gt;&lt;b&gt;Haunt Statistics&lt;/b&gt;&lt;/h5&gt;&lt;/div&gt;&lt;div&gt;&lt;h5&gt;&lt;b&gt;Notice&lt;/b&gt; Perception DC 20 (to taste a hint of rot) or DC 25 (if the affected creature is wearing armor or heavy clothing)  &lt;br&gt;&lt;b&gt;hp &lt;/b&gt;5 hp; &lt;b&gt;Trigger&lt;/b&gt; conditional (using the item or the spell's remote effect); &lt;b&gt;Reset&lt;/b&gt; none&lt;/h5&gt;&lt;/div&gt;</t>
  </si>
  <si>
    <t>Notice Perception DC 20 (to taste a hint of rot) or DC 25 (if the affected creature is wearing armor or heavy clothing)  hp 5 hp; Trigger conditional (using the item or the spell's remote effect); Reset none</t>
  </si>
  <si>
    <t>Unsettling Presence</t>
  </si>
  <si>
    <t>bard 2, medium 1, mesmerist 2, occultist 2, psychic 2, shaman 2, sorcerer/wizard 2, witch 2</t>
  </si>
  <si>
    <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t>
  </si>
  <si>
    <t>&lt;p&gt;Those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occurs.&lt;/p&gt;</t>
  </si>
  <si>
    <t>&lt;link rel="stylesheet"href="PF.css"&gt;&lt;div class="heading"&gt;&lt;p class="alignleft"&gt;Unsettling Presence&lt;/p&gt;&lt;div style="clear: both;"&gt;&lt;/div&gt;&lt;/div&gt;&lt;div&gt;&lt;h5&gt;&lt;b&gt;School &lt;/b&gt;necromancy (haunted) [emotion&lt;sup&gt;UM&lt;/sup&gt;, fear, mind-affecting]; &lt;b&gt;Level &lt;/b&gt;bard 2, medium 1, mesmerist 2, occultist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occurs.&lt;/p&gt;&lt;/h4&gt;&lt;/div&gt;&lt;div&gt;&lt;h5&gt;&lt;b&gt;Haunt Statistics&lt;/b&gt;&lt;/h5&gt;&lt;/div&gt;&lt;div&gt;&lt;h5&gt;&lt;b&gt;Notice&lt;/b&gt; Perception DC 20 (to feel a sudden sense of dread, or to hear victims' names whispered behind their backs)  &lt;br&gt;&lt;b&gt;hp &lt;/b&gt;2 hp/level; &lt;b&gt;Trigger&lt;/b&gt; proximity; &lt;b&gt;Reset&lt;/b&gt; none&lt;/h5&gt;&lt;/div&gt;</t>
  </si>
  <si>
    <t>Notice Perception DC 20 (to feel a sudden sense of dread, or to hear victims' names whispered behind their backs)  hp 2 hp/level; Trigger proximity; Reset none</t>
  </si>
  <si>
    <t>Urgathoa's Beacon</t>
  </si>
  <si>
    <t>emotionUM, evil, fear, mind-affecting</t>
  </si>
  <si>
    <t>antipaladin 2, cleric/oracle 2, inquisitor 2</t>
  </si>
  <si>
    <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hide from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t>
  </si>
  <si>
    <t>&lt;p&gt;You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&lt;i&gt;hide from&lt;/i&gt;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round.&lt;/p&gt;</t>
  </si>
  <si>
    <t>&lt;link rel="stylesheet"href="PF.css"&gt;&lt;div class="heading"&gt;&lt;p class="alignleft"&gt;Urgathoa's Beacon&lt;/p&gt;&lt;div style="clear: both;"&gt;&lt;/div&gt;&lt;/div&gt;&lt;div&gt;&lt;h5&gt;&lt;b&gt;School &lt;/b&gt;necromancy (haunted) [emotion&lt;sup&gt;UM&lt;/sup&gt;, evil, fear, mind-affecting]; &lt;b&gt;Level &lt;/b&gt;antipaladin 2, cleric/oracle 2, inquisitor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&lt;i&gt;hide from&lt;/i&gt;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round.&lt;/p&gt;&lt;/h4&gt;&lt;/div&gt;&lt;div&gt;&lt;h5&gt;&lt;b&gt;Haunt Statistics&lt;/b&gt;&lt;/h5&gt;&lt;/div&gt;&lt;div&gt;&lt;h5&gt;&lt;b&gt;Notice&lt;/b&gt; Perception DC 20 (to see a pale light briefly in the area)  &lt;br&gt;&lt;b&gt;hp &lt;/b&gt;2 hp/level; &lt;b&gt;Trigger&lt;/b&gt; proximity; &lt;b&gt;Reset&lt;/b&gt; none&lt;/h5&gt;&lt;/div&gt;</t>
  </si>
  <si>
    <t>Notice Perception DC 20 (to see a pale light briefly in the area)  hp 2 hp/level; Trigger proximity; Reset none</t>
  </si>
  <si>
    <t>Yellow Sign</t>
  </si>
  <si>
    <t>bard 6, cleric/oracle 9, sorcerer/wizard 9, witch 9</t>
  </si>
  <si>
    <t>V, S, M (ochre and sulfur, plus powdered gold worth a total of 15,000 gp)</t>
  </si>
  <si>
    <t>This spell functions as per symbol of death, save that creatures that succumb to this spell become dominated (as per dominate monster) by Hastur. This causes such creatures to seek to aid any obvious minions or worshipers of Hastur in sight, and any true worshiper of Hastur can command the affected creatures as if that worshiper had been the one to  dominate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Yellow Sign in this way, the effects last for 1 round per level. Once triggered, the Yellow Sign remains active for 10 minutes per caster level.  There is a 1% chance when a creature fails its saving throw against this spell that Hastur takes note and, for reasons of his own, decides to control the target personally. In this case, the actions taken by the dominated creature are left to the GM to determine, but the effects of this spell's Yellow Sign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(Pathfinder RPG Bestiary 4 140). Whether or not the Great Old One ever chooses to do so is left to the GM to determine.  Yellow Sign can be made permanent with a permanency spell by a caster of 18th level or higher for the cost of 40,000 gp.</t>
  </si>
  <si>
    <t>&lt;p&gt;This spell functions as per &lt;i&gt;symbol of death&lt;/i&gt;, save that creatures that succumb to this spell become &lt;i&gt;dominate&lt;/i&gt;d (as per &lt;i&gt;dominate&lt;/i&gt; monster) by Hastur. This causes such creatures to seek to aid any obvious minions or worshipers of Hastur in sight, and any true worshiper of Hastur can command the affected creatures as if that worshiper had been the one to  &lt;i&gt;dominate&lt;/i&gt;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&lt;i&gt;Yellow Sign&lt;/i&gt; in this way, the effects last for 1 round per level. Once triggered, the &lt;i&gt;Yellow Sign&lt;/i&gt; remains active for 10 minutes per caster level.  There is a 1% chance when a creature fails its saving throw against this spell that Hastur takes note and, for reasons of his own, decides to control the target personally. In this case, the actions taken by the &lt;i&gt;dominate&lt;/i&gt;d creature are left to the GM to determine, but the effects of this spell's &lt;i&gt;Yellow Sign&lt;/i&gt;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(&lt;i&gt;Pathfinder RPG Bestiary 4&lt;/i&gt; 140). Whether or not the Great Old One ever chooses to do so is left to the GM to determine.  &lt;i&gt;Yellow Sign&lt;/i&gt; can be made permanent with a &lt;i&gt;permanency&lt;/i&gt; spell by a caster of 18th level or higher for the cost of 40,000 gp.&lt;/p&gt;</t>
  </si>
  <si>
    <t>AP 110</t>
  </si>
  <si>
    <t>&lt;link rel="stylesheet"href="PF.css"&gt;&lt;div class="heading"&gt;&lt;p class="alignleft"&gt;Yellow Sign&lt;/p&gt;&lt;div style="clear: both;"&gt;&lt;/div&gt;&lt;/div&gt;&lt;div&gt;&lt;h5&gt;&lt;b&gt;School &lt;/b&gt;enchantment (compulsion) [mind-affecting]; &lt;b&gt;Level &lt;/b&gt;bard 6, cleric/oracle 9, sorcerer/wizard 9, witch 9 (Hastur)&lt;/h5&gt;&lt;/div&gt;&lt;hr/&gt;&lt;div&gt;&lt;h5&gt;&lt;b&gt;CASTING&lt;/b&gt;&lt;/h5&gt;&lt;/div&gt;&lt;hr/&gt;&lt;div&gt;&lt;h5&gt;&lt;b&gt;Casting Time &lt;/b&gt;10 minutes&lt;/h5&gt;&lt;h5&gt;&lt;b&gt;Components &lt;/b&gt;V, S, M (ochre and sulfur, plus powdered gold worth a total of 15,000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per &lt;i&gt;symbol of death&lt;/i&gt;, save that creatures that succumb to this spell become dominated (as per &lt;i&gt;dominate&lt;/i&gt; monster) by Hastur. This causes such creatures to seek to aid any obvious minions or worshipers of Hastur in sight, and any true worshiper of Hastur can command the affected creatures as if that worshiper had been the one to  &lt;i&gt;dominate&lt;/i&gt;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&lt;i&gt;Yellow Sign&lt;/i&gt; in this way, the effects last for 1 round per level. Once triggered, the &lt;i&gt;Yellow Sign&lt;/i&gt; remains active for 10 minutes per caster level.  There is a 1% chance when a creature fails its saving throw against this spell that Hastur takes note and, for reasons of his own, decides to control the target personally. In this case, the actions taken by the dominated creature are left to the GM to determine, but the effects of this spell's &lt;i&gt;Yellow Sign&lt;/i&gt;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(&lt;i&gt;Pathfinder RPG Bestiary 4&lt;/i&gt; 140). Whether or not the Great Old One ever chooses to do so is left to the GM to determine.  &lt;i&gt;Yellow Sign&lt;/i&gt; can be made permanent with a &lt;i&gt;permanency&lt;/i&gt; spell by a caster of 18th level or higher for the cost of 40,000 gp.&lt;/p&gt;&lt;/h4&gt;&lt;/div&gt;</t>
  </si>
  <si>
    <t>Hastur</t>
  </si>
  <si>
    <t>Janni's Jaunt</t>
  </si>
  <si>
    <t>cleric/oracle 4, medium 3, psychic 4, shaman 6, sorcerer/wizard 6, summoner 5, witch 6</t>
  </si>
  <si>
    <t>This spell functions as per plane shift, but with the following exceptions. First, you are able to transport only willing creatures. Second, the spell can transport you and any other willing targets only to an Elemental Plane, the Astral Plane, or the Material Plane.</t>
  </si>
  <si>
    <t>&lt;p&gt;This spell functions as per &lt;i&gt;plane shift&lt;/i&gt;, but with the following exceptions. First, you are able to transport only willing creatures. Second, the spell can transport you and any other willing targets only to an Elemental Plane, the Astral Plane, or the Material Plane.&lt;/p&gt;</t>
  </si>
  <si>
    <t>Planes Of Power</t>
  </si>
  <si>
    <t>&lt;link rel="stylesheet"href="PF.css"&gt;&lt;div class="heading"&gt;&lt;p class="alignleft"&gt;Janni's Jaunt&lt;/p&gt;&lt;div style="clear: both;"&gt;&lt;/div&gt;&lt;/div&gt;&lt;div&gt;&lt;h5&gt;&lt;b&gt;School &lt;/b&gt;conjuration (teleportation); &lt;b&gt;Level &lt;/b&gt;cleric/oracle 4, medium 3, psychic 4, shaman 6, sorcerer/wizard 6, summoner 5, witch 6&lt;/h5&gt;&lt;/div&gt;&lt;hr/&gt;&lt;div&gt;&lt;h5&gt;&lt;b&gt;CASTING&lt;/b&gt;&lt;/h5&gt;&lt;/div&gt;&lt;hr/&gt;&lt;div&gt;&lt;h5&gt;&lt;b&gt;Casting Time &lt;/b&gt;1 standard action&lt;/h5&gt;&lt;h5&gt;&lt;b&gt;Components &lt;/b&gt;V, S, F (a forked metal rod attuned to the plane of travel)&lt;/h5&gt;&lt;/div&gt;&lt;hr/&gt;&lt;div&gt;&lt;h5&gt;&lt;b&gt;EFFECT&lt;/b&gt;&lt;/h5&gt;&lt;/div&gt;&lt;hr/&gt;&lt;div&gt;&lt;h5&gt;&lt;b&gt;Range &lt;/b&gt;touch&lt;/h5&gt;&lt;h5&gt;&lt;b&gt;Targets &lt;/b&gt;creature touched, or up to eight willing creatures joining hands&lt;/h5&gt;&lt;h5&gt;&lt;b&gt;Duration &lt;/b&gt;instantaneous&lt;/h5&gt;&lt;h5&gt;&lt;b&gt;Saving Throw &lt;/b&gt;Will negates; &lt;b&gt;Spell Resistance &lt;/b&gt;yes&lt;/h5&gt;&lt;/div&gt;&lt;hr/&gt;&lt;div&gt;&lt;h5&gt;&lt;b&gt;DESCRIPTION&lt;/b&gt;&lt;/h5&gt;&lt;/div&gt;&lt;hr/&gt;&lt;div&gt;&lt;h4&gt;&lt;p&gt;This spell functions as per &lt;i&gt;plane shift&lt;/i&gt;, but with the following exceptions. First, you are able to transport only willing creatures. Second, the spell can transport you and any other willing targets only to an Elemental Plane, the Astral Plane, or the Material Plane.&lt;/p&gt;&lt;/h4&gt;&lt;/div&gt;</t>
  </si>
  <si>
    <t>Medusa's Bane</t>
  </si>
  <si>
    <t>V, S, M (tiny fragment of a mirror)</t>
  </si>
  <si>
    <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t>
  </si>
  <si>
    <t>&lt;p&gt;This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ends.&lt;/p&gt;</t>
  </si>
  <si>
    <t>Divine Anthology</t>
  </si>
  <si>
    <t>&lt;link rel="stylesheet"href="PF.css"&gt;&lt;div class="heading"&gt;&lt;p class="alignleft"&gt;Medusa's Bane&lt;/p&gt;&lt;div style="clear: both;"&gt;&lt;/div&gt;&lt;/div&gt;&lt;div&gt;&lt;h5&gt;&lt;b&gt;School &lt;/b&gt;abjuration; &lt;b&gt;Level &lt;/b&gt;sorcerer/wizard 4, witch 4&lt;/h5&gt;&lt;/div&gt;&lt;hr/&gt;&lt;div&gt;&lt;h5&gt;&lt;b&gt;CASTING&lt;/b&gt;&lt;/h5&gt;&lt;/div&gt;&lt;hr/&gt;&lt;div&gt;&lt;h5&gt;&lt;b&gt;Casting Time &lt;/b&gt;1 standard action&lt;/h5&gt;&lt;h5&gt;&lt;b&gt;Components &lt;/b&gt;V, S, M (tiny fragment of a mirror)&lt;/h5&gt;&lt;/div&gt;&lt;hr/&gt;&lt;div&gt;&lt;h5&gt;&lt;b&gt;EFFECT&lt;/b&gt;&lt;/h5&gt;&lt;/div&gt;&lt;hr/&gt;&lt;div&gt;&lt;h5&gt;&lt;b&gt;Range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ends.&lt;/p&gt;&lt;/h4&gt;&lt;/div&gt;</t>
  </si>
  <si>
    <t>Enlightened Step</t>
  </si>
  <si>
    <t>air, meditative</t>
  </si>
  <si>
    <t>cleric/oracle 6, druid 6, shaman 6</t>
  </si>
  <si>
    <t>V, M (soothing incense worth 600 gp)</t>
  </si>
  <si>
    <t>Through careful regulation of your body's mystical energies, thoughtful control of your poise and balance, and the focus in your mind on the surety of each and every step you take, you are able to make your steps lighter than air. This grants you the benefits of air walk, except as noted above. Additionally, at any time during the spell's duration, you can expend the spell's remaining duration as a swift action in order to gain a fly speed of 120 feet with perfect maneuverability for 1 minute. After this time, the spell ends.</t>
  </si>
  <si>
    <t>&lt;p&gt;Through careful regulation of your body's mystical energies, thoughtful control of your poise and balance, and the focus in your mind on the surety of each and every step you take, you are able to make your steps lighter than air. This grants you the benefits of &lt;i&gt;air walk&lt;/i&gt;, except as noted above. Additionally, at any time during the spell's duration, you can expend the spell's remaining duration as a swift action in order to gain a fly speed of 120 feet with perfect maneuverability for 1 minute. After this time, the spell ends.&lt;/p&gt;</t>
  </si>
  <si>
    <t>&lt;link rel="stylesheet"href="PF.css"&gt;&lt;div class="heading"&gt;&lt;p class="alignleft"&gt;Enlightened Step&lt;/p&gt;&lt;div style="clear: both;"&gt;&lt;/div&gt;&lt;/div&gt;&lt;div&gt;&lt;h5&gt;&lt;b&gt;School &lt;/b&gt;transmutation [air, meditative]; &lt;b&gt;Level &lt;/b&gt;cleric/oracle 6, druid 6, shaman 6&lt;/h5&gt;&lt;/div&gt;&lt;hr/&gt;&lt;div&gt;&lt;h5&gt;&lt;b&gt;CASTING&lt;/b&gt;&lt;/h5&gt;&lt;/div&gt;&lt;hr/&gt;&lt;div&gt;&lt;h5&gt;&lt;b&gt;Casting Time &lt;/b&gt;1 hour&lt;/h5&gt;&lt;h5&gt;&lt;b&gt;Components &lt;/b&gt;V, M (soothing incense worth 600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discharged&lt;/h5&gt;&lt;/div&gt;&lt;hr/&gt;&lt;div&gt;&lt;h5&gt;&lt;b&gt;DESCRIPTION&lt;/b&gt;&lt;/h5&gt;&lt;/div&gt;&lt;hr/&gt;&lt;div&gt;&lt;h4&gt;&lt;p&gt;Through careful regulation of your body's mystical energies, thoughtful control of your poise and balance, and the focus in your mind on the surety of each and every step you take, you are able to make your steps lighter than air. This grants you the benefits of &lt;i&gt;air walk&lt;/i&gt;, except as noted above. Additionally, at any time during the spell's duration, you can expend the spell's remaining duration as a swift action in order to gain a fly speed of 120 feet with perfect maneuverability for 1 minute. After this time, the spell ends.&lt;/p&gt;&lt;/h4&gt;&lt;/div&gt;</t>
  </si>
  <si>
    <t>Firewalker's Meditation</t>
  </si>
  <si>
    <t>cleric/oracle 4, druid 4, paladin 3, shaman 4, wizard 4</t>
  </si>
  <si>
    <t>V, M (soothing incense worth 400 gp)</t>
  </si>
  <si>
    <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t>
  </si>
  <si>
    <t>&lt;p&gt;You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ends.&lt;/p&gt;</t>
  </si>
  <si>
    <t>&lt;link rel="stylesheet"href="PF.css"&gt;&lt;div class="heading"&gt;&lt;p class="alignleft"&gt;Firewalker's Meditation&lt;/p&gt;&lt;div style="clear: both;"&gt;&lt;/div&gt;&lt;/div&gt;&lt;div&gt;&lt;h5&gt;&lt;b&gt;School &lt;/b&gt;abjuration [meditative]; &lt;b&gt;Level &lt;/b&gt;cleric/oracle 4, druid 4, paladin 3, shaman 4, wizard 4&lt;/h5&gt;&lt;/div&gt;&lt;hr/&gt;&lt;div&gt;&lt;h5&gt;&lt;b&gt;CASTING&lt;/b&gt;&lt;/h5&gt;&lt;/div&gt;&lt;hr/&gt;&lt;div&gt;&lt;h5&gt;&lt;b&gt;Casting Time &lt;/b&gt;1 hour&lt;/h5&gt;&lt;h5&gt;&lt;b&gt;Components &lt;/b&gt;V, M (soothing incense worth 400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ends.&lt;/p&gt;&lt;/h4&gt;&lt;/div&gt;</t>
  </si>
  <si>
    <t>Rite Of Bodily Purity</t>
  </si>
  <si>
    <t>cleric/oracle 1, druid 1, paladin 1, ranger 1, shaman 1</t>
  </si>
  <si>
    <t>V, M (soothing incense worth 100 gp)</t>
  </si>
  <si>
    <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t>
  </si>
  <si>
    <t>&lt;p&gt;You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ends.&lt;/p&gt;</t>
  </si>
  <si>
    <t>&lt;link rel="stylesheet"href="PF.css"&gt;&lt;div class="heading"&gt;&lt;p class="alignleft"&gt;Rite Of Bodily Purity&lt;/p&gt;&lt;div style="clear: both;"&gt;&lt;/div&gt;&lt;/div&gt;&lt;div&gt;&lt;h5&gt;&lt;b&gt;School &lt;/b&gt;abjuration [meditative]; &lt;b&gt;Level &lt;/b&gt;cleric/oracle 1, druid 1, paladin 1, ranger 1, shaman 1&lt;/h5&gt;&lt;/div&gt;&lt;hr/&gt;&lt;div&gt;&lt;h5&gt;&lt;b&gt;CASTING&lt;/b&gt;&lt;/h5&gt;&lt;/div&gt;&lt;hr/&gt;&lt;div&gt;&lt;h5&gt;&lt;b&gt;Casting Time &lt;/b&gt;1 hour&lt;/h5&gt;&lt;h5&gt;&lt;b&gt;Components &lt;/b&gt;V, M (soothing incense worth 100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ends.&lt;/p&gt;&lt;/h4&gt;&lt;/div&gt;</t>
  </si>
  <si>
    <t>Rite Of Centered Mind</t>
  </si>
  <si>
    <t>cleric/oracle 1, druid 1, shaman 1, wizard 1</t>
  </si>
  <si>
    <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t>
  </si>
  <si>
    <t>&lt;p&gt;You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ends.&lt;/p&gt;</t>
  </si>
  <si>
    <t>&lt;link rel="stylesheet"href="PF.css"&gt;&lt;div class="heading"&gt;&lt;p class="alignleft"&gt;Rite Of Centered Mind&lt;/p&gt;&lt;div style="clear: both;"&gt;&lt;/div&gt;&lt;/div&gt;&lt;div&gt;&lt;h5&gt;&lt;b&gt;School &lt;/b&gt;abjuration [meditative]; &lt;b&gt;Level &lt;/b&gt;cleric/oracle 1, druid 1, shaman 1, wizard 1&lt;/h5&gt;&lt;/div&gt;&lt;hr/&gt;&lt;div&gt;&lt;h5&gt;&lt;b&gt;CASTING&lt;/b&gt;&lt;/h5&gt;&lt;/div&gt;&lt;hr/&gt;&lt;div&gt;&lt;h5&gt;&lt;b&gt;Casting Time &lt;/b&gt;1 hour&lt;/h5&gt;&lt;h5&gt;&lt;b&gt;Components &lt;/b&gt;V, M (soothing incense worth 100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ends.&lt;/p&gt;&lt;/h4&gt;&lt;/div&gt;</t>
  </si>
  <si>
    <t>See Beyond</t>
  </si>
  <si>
    <t>cleric/oracle 3, shaman 3, witch 3, wizard 3</t>
  </si>
  <si>
    <t>V, M (soothing incense worth 300 gp)</t>
  </si>
  <si>
    <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ring of x-ray vision) for 5 rounds. After this time, the spell ends.</t>
  </si>
  <si>
    <t>&lt;p&gt;You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&lt;i&gt;ring of x-ray&lt;/i&gt; vision) for 5 rounds. After this time, the spell ends.&lt;/p&gt;</t>
  </si>
  <si>
    <t>&lt;link rel="stylesheet"href="PF.css"&gt;&lt;div class="heading"&gt;&lt;p class="alignleft"&gt;See Beyond&lt;/p&gt;&lt;div style="clear: both;"&gt;&lt;/div&gt;&lt;/div&gt;&lt;div&gt;&lt;h5&gt;&lt;b&gt;School &lt;/b&gt;divination [meditative]; &lt;b&gt;Level &lt;/b&gt;cleric/oracle 3, shaman 3, witch 3, wizard 3&lt;/h5&gt;&lt;/div&gt;&lt;hr/&gt;&lt;div&gt;&lt;h5&gt;&lt;b&gt;CASTING&lt;/b&gt;&lt;/h5&gt;&lt;/div&gt;&lt;hr/&gt;&lt;div&gt;&lt;h5&gt;&lt;b&gt;Casting Time &lt;/b&gt;1 hour&lt;/h5&gt;&lt;h5&gt;&lt;b&gt;Components &lt;/b&gt;V, M (soothing incense worth 300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&lt;i&gt;ring of x-ray&lt;/i&gt; vision) for 5 rounds. After this time, the spell ends.&lt;/p&gt;&lt;/h4&gt;&lt;/div&gt;</t>
  </si>
  <si>
    <t>Spirit Bonds</t>
  </si>
  <si>
    <t>you; see text</t>
  </si>
  <si>
    <t>You heighten your awareness of up to one willing creature or object per 3 caster levels, each of which must be within 30 feet of you during the entire hour you spend preparing spells and casting spirit bonds.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Pathfinder RPG Occult Adventures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t>
  </si>
  <si>
    <t>&lt;p&gt;You heighten your awareness of up to one willing creature or object per 3 caster levels, each of which must be within 30 feet of you during the entire hour you spend preparing spells and casting &lt;i&gt;spirit bonds&lt;/i&gt;.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&lt;i&gt;Pathfinder RPG Occult Adventures&lt;/i&gt;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objects.&lt;/p&gt;</t>
  </si>
  <si>
    <t>&lt;link rel="stylesheet"href="PF.css"&gt;&lt;div class="heading"&gt;&lt;p class="alignleft"&gt;Spirit Bonds&lt;/p&gt;&lt;div style="clear: both;"&gt;&lt;/div&gt;&lt;/div&gt;&lt;div&gt;&lt;h5&gt;&lt;b&gt;School &lt;/b&gt;divination [meditative]; &lt;b&gt;Level &lt;/b&gt;cleric/oracle 3, shaman 3, witch 3, wizard 3&lt;/h5&gt;&lt;/div&gt;&lt;hr/&gt;&lt;div&gt;&lt;h5&gt;&lt;b&gt;CASTING&lt;/b&gt;&lt;/h5&gt;&lt;/div&gt;&lt;hr/&gt;&lt;div&gt;&lt;h5&gt;&lt;b&gt;Casting Time &lt;/b&gt;1 hour&lt;/h5&gt;&lt;h5&gt;&lt;b&gt;Components &lt;/b&gt;V, M (soothing incense worth 300 gp)&lt;/h5&gt;&lt;/div&gt;&lt;hr/&gt;&lt;div&gt;&lt;h5&gt;&lt;b&gt;EFFECT&lt;/b&gt;&lt;/h5&gt;&lt;/div&gt;&lt;hr/&gt;&lt;div&gt;&lt;h5&gt;&lt;b&gt;Range &lt;/b&gt;personal&lt;/h5&gt;&lt;h5&gt;&lt;b&gt;Targets &lt;/b&gt;you; see text&lt;/h5&gt;&lt;h5&gt;&lt;b&gt;Duration &lt;/b&gt;24 hours or until discharged&lt;/h5&gt;&lt;/div&gt;&lt;hr/&gt;&lt;div&gt;&lt;h5&gt;&lt;b&gt;DESCRIPTION&lt;/b&gt;&lt;/h5&gt;&lt;/div&gt;&lt;hr/&gt;&lt;div&gt;&lt;h4&gt;&lt;p&gt;You heighten your awareness of up to one willing creature or object per 3 caster levels, each of which must be within 30 feet of you during the entire hour you spend preparing spells and casting &lt;i&gt;spirit bonds&lt;/i&gt;.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&lt;i&gt;Pathfinder RPG Occult Adventures&lt;/i&gt;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objects.&lt;/p&gt;&lt;/h4&gt;&lt;/div&gt;</t>
  </si>
  <si>
    <t>Visualization Of The Body</t>
  </si>
  <si>
    <t>cleric/oracle 2, druid 2, magus 2, ranger 2, shaman 2, wizard 2</t>
  </si>
  <si>
    <t>V, M (soothing incense worth 200 gp)</t>
  </si>
  <si>
    <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Constitution: You immediately regain a number of hit points equal to 1d8 + your total character level.  Dexterity: You gain a +4 dodge bonus to your Armor Class for 3 rounds.  Strength: You gain a +6 bonus on all Strength checks to break objects and on checks to escape or establish grapples for 1 minute.</t>
  </si>
  <si>
    <t>&lt;p&gt;You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&lt;br&gt;&lt;b&gt;Constitution&lt;/b&gt;: You immediately regain a number of hit points equal to 1d8 + your total character level.  &lt;br&gt;&lt;b&gt;Dexterity&lt;/b&gt;: You gain a +4 dodge bonus to your Armor Class for 3 rounds.  &lt;br&gt;&lt;b&gt;Strength&lt;/b&gt;: You gain a +6 bonus on all Strength checks to break objects and on checks to escape or establish grapples for 1 minute.&lt;/p&gt;</t>
  </si>
  <si>
    <t>&lt;link rel="stylesheet"href="PF.css"&gt;&lt;div class="heading"&gt;&lt;p class="alignleft"&gt;Visualization Of The Body&lt;/p&gt;&lt;div style="clear: both;"&gt;&lt;/div&gt;&lt;/div&gt;&lt;div&gt;&lt;h5&gt;&lt;b&gt;School &lt;/b&gt;transmutation [meditative]; &lt;b&gt;Level &lt;/b&gt;cleric/oracle 2, druid 2, magus 2, ranger 2, shaman 2, wizard 2&lt;/h5&gt;&lt;/div&gt;&lt;hr/&gt;&lt;div&gt;&lt;h5&gt;&lt;b&gt;CASTING&lt;/b&gt;&lt;/h5&gt;&lt;/div&gt;&lt;hr/&gt;&lt;div&gt;&lt;h5&gt;&lt;b&gt;Casting Time &lt;/b&gt;1 hour&lt;/h5&gt;&lt;h5&gt;&lt;b&gt;Components &lt;/b&gt;V, M (soothing incense worth 200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&lt;br&gt;&lt;b&gt;Constitution&lt;/b&gt;: You immediately regain a number of hit points equal to 1d8 + your total character level.  &lt;br&gt;&lt;b&gt;Dexterity&lt;/b&gt;: You gain a +4 dodge bonus to your Armor Class for 3 rounds.  &lt;br&gt;&lt;b&gt;Strength&lt;/b&gt;: You gain a +6 bonus on all Strength checks to break objects and on checks to escape or establish grapples for 1 minute.&lt;/p&gt;&lt;/h4&gt;&lt;/div&gt;</t>
  </si>
  <si>
    <t>Visualization Of The Mind</t>
  </si>
  <si>
    <t>cleric/oracle 2, shaman 2, wizard 2</t>
  </si>
  <si>
    <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Charisma: You are immediately infused with a wave of supernatural luck, and gain a +2 luck bonus on all d20 rolls for 1 minute.  Intelligence: You immediately gain a flash of insight, and gain a number of ranks equal to your Hit Dice in any skill in which you have no ranks. These ranks last for 1 minute, during which time you can also treat that skill as a class skill.  Wisdom: When you fail a Will save, you can immediately attempt that saving throw again, gaining a +4 bonus on the new saving throw to resist the effect.</t>
  </si>
  <si>
    <t>&lt;p&gt;You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&lt;br&gt;&lt;b&gt;Charisma&lt;/b&gt;: You are immediately infused with a wave of supernatural luck, and gain a +2 luck bonus on all d20 rolls for 1 minute.  &lt;br&gt;&lt;b&gt;Intelligence&lt;/b&gt;: You immediately gain a flash of insight, and gain a number of ranks equal to your Hit Dice in any skill in which you have no ranks. These ranks last for 1 minute, during which time you can also treat that skill as a class skill.  &lt;br&gt;&lt;b&gt;Wisdom&lt;/b&gt;: When you fail a Will save, you can immediately attempt that saving throw again, gaining a +4 bonus on the new saving throw to resist the effect.&lt;/p&gt;</t>
  </si>
  <si>
    <t>&lt;link rel="stylesheet"href="PF.css"&gt;&lt;div class="heading"&gt;&lt;p class="alignleft"&gt;Visualization Of The Mind&lt;/p&gt;&lt;div style="clear: both;"&gt;&lt;/div&gt;&lt;/div&gt;&lt;div&gt;&lt;h5&gt;&lt;b&gt;School &lt;/b&gt;transmutation [meditative]; &lt;b&gt;Level &lt;/b&gt;cleric/oracle 2, shaman 2, wizard 2&lt;/h5&gt;&lt;/div&gt;&lt;hr/&gt;&lt;div&gt;&lt;h5&gt;&lt;b&gt;CASTING&lt;/b&gt;&lt;/h5&gt;&lt;/div&gt;&lt;hr/&gt;&lt;div&gt;&lt;h5&gt;&lt;b&gt;Casting Time &lt;/b&gt;1 hour&lt;/h5&gt;&lt;h5&gt;&lt;b&gt;Components &lt;/b&gt;V, M (soothing incense worth 200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&lt;br&gt;&lt;b&gt;Charisma&lt;/b&gt;: You are immediately infused with a wave of supernatural luck, and gain a +2 luck bonus on all d20 rolls for 1 minute.  &lt;br&gt;&lt;b&gt;Intelligence&lt;/b&gt;: You immediately gain a flash of insight, and gain a number of ranks equal to your Hit Dice in any skill in which you have no ranks. These ranks last for 1 minute, during which time you can also treat that skill as a class skill.  &lt;br&gt;&lt;b&gt;Wisdom&lt;/b&gt;: When you fail a Will save, you can immediately attempt that saving throw again, gaining a +4 bonus on the new saving throw to resist the effect.&lt;/p&gt;&lt;/h4&gt;&lt;/div&gt;</t>
  </si>
  <si>
    <t>Bereave</t>
  </si>
  <si>
    <t>bard 3, cleric/oracle 4, mesmerist 3, psychic 4, witch 4</t>
  </si>
  <si>
    <t>V, S, M/DF (a broken chain link)</t>
  </si>
  <si>
    <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bane or bless. Allies of an affected creature must succeed at a melee touch attack to affect the subject with touch spells, and an affected creature cannot voluntarily fail a saving throw even if the effect is harmless (such as cure light wounds). An affected creature still counts as her own ally and can target herself with abilities, effects, and spells normally.</t>
  </si>
  <si>
    <t>&lt;p&gt;An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&lt;i&gt;bane&lt;/i&gt; or &lt;i&gt;bless&lt;/i&gt;. Allies of an affected creature must succeed at a melee touch attack to affect the subject with touch spells, and an affected creature cannot voluntarily fail a saving throw even if the effect is harmless (such as &lt;i&gt;cure light&lt;/i&gt; wounds). An affected creature still counts as her own ally and can target herself with abilities, effects, and spells normally.&lt;/p&gt;</t>
  </si>
  <si>
    <t>Inner Sea Temples</t>
  </si>
  <si>
    <t>&lt;link rel="stylesheet"href="PF.css"&gt;&lt;div class="heading"&gt;&lt;p class="alignleft"&gt;Bereave&lt;/p&gt;&lt;div style="clear: both;"&gt;&lt;/div&gt;&lt;/div&gt;&lt;div&gt;&lt;h5&gt;&lt;b&gt;School &lt;/b&gt;enchantment (compulsion) [mind-affecting]; &lt;b&gt;Level &lt;/b&gt;bard 3, cleric/oracle 4, mesmerist 3, psychic 4, witch 4&lt;/h5&gt;&lt;/div&gt;&lt;hr/&gt;&lt;div&gt;&lt;h5&gt;&lt;b&gt;CASTING&lt;/b&gt;&lt;/h5&gt;&lt;/div&gt;&lt;hr/&gt;&lt;div&gt;&lt;h5&gt;&lt;b&gt;Casting Time &lt;/b&gt;1 standard action&lt;/h5&gt;&lt;h5&gt;&lt;b&gt;Components &lt;/b&gt;V, S, M/DF (a broken chain link)&lt;/h5&gt;&lt;/div&gt;&lt;hr/&gt;&lt;div&gt;&lt;h5&gt;&lt;b&gt;EFFECT&lt;/b&gt;&lt;/h5&gt;&lt;/div&gt;&lt;hr/&gt;&lt;div&gt;&lt;h5&gt;&lt;b&gt;Range &lt;/b&gt;medium (100 ft. + 10 ft./level)&lt;/h5&gt;&lt;h5&gt;&lt;b&gt;Targets &lt;/b&gt;all creatures in a 15-ft.-radius burst&lt;/h5&gt;&lt;h5&gt;&lt;b&gt;Duration &lt;/b&gt;1 round/level&lt;/h5&gt;&lt;h5&gt;&lt;b&gt;Saving Throw &lt;/b&gt;Will negates; &lt;b&gt;Spell Resistance &lt;/b&gt;yes&lt;/h5&gt;&lt;/div&gt;&lt;hr/&gt;&lt;div&gt;&lt;h5&gt;&lt;b&gt;DESCRIPTION&lt;/b&gt;&lt;/h5&gt;&lt;/div&gt;&lt;hr/&gt;&lt;div&gt;&lt;h4&gt;&lt;p&gt;An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&lt;i&gt;bane&lt;/i&gt; or &lt;i&gt;bless&lt;/i&gt;. Allies of an affected creature must succeed at a melee touch attack to affect the subject with touch spells, and an affected creature cannot voluntarily fail a saving throw even if the effect is harmless (such as &lt;i&gt;cure light&lt;/i&gt; wounds). An affected creature still counts as her own ally and can target herself with abilities, effects, and spells normally.&lt;/p&gt;&lt;/h4&gt;&lt;/div&gt;</t>
  </si>
  <si>
    <t>Overstimulate</t>
  </si>
  <si>
    <t>alchemist 2, bard 2, bloodrager 2, cleric/oracle 2, druid 2, psychic 2, ranger 2, shaman 2, summoner 2, witch 2</t>
  </si>
  <si>
    <t>V, S, M/DF (smelling salts)</t>
  </si>
  <si>
    <t>You deprive a creature of the blissful oblivion of unconsciousness, either to keep it going despite grievous injuries or to prolong its suffering. For the duration of the spell, the target gains the ferocity ability (Pathfinder RPG Bestiary 300), allowing it to remain conscious and continue fighting even if its hit point total is below 0. The target is still staggered and loses 1 hit point each round, and the target still dies when its hit point total reaches a negative amount equal to its Constitution score.</t>
  </si>
  <si>
    <t>&lt;p&gt;You deprive a creature of the blissful oblivion of unconsciousness, either to keep it going despite grievous injuries or to prolong its suffering. For the duration of the spell, the target gains the ferocity ability (&lt;i&gt;Pathfinder RPG Bestiary&lt;/i&gt; 300), allowing it to remain conscious and continue fighting even if its hit point total is below 0. The target is still staggered and loses 1 hit point each round, and the target still dies when its hit point total reaches a negative amount equal to its Constitution score.&lt;/p&gt;</t>
  </si>
  <si>
    <t>&lt;link rel="stylesheet"href="PF.css"&gt;&lt;div class="heading"&gt;&lt;p class="alignleft"&gt;Overstimulate&lt;/p&gt;&lt;div style="clear: both;"&gt;&lt;/div&gt;&lt;/div&gt;&lt;div&gt;&lt;h5&gt;&lt;b&gt;School &lt;/b&gt;transmutation; &lt;b&gt;Level &lt;/b&gt;alchemist 2, bard 2, bloodrager 2, cleric/oracle 2, druid 2, psychic 2, ranger 2, shaman 2, summoner 2, witch 2&lt;/h5&gt;&lt;/div&gt;&lt;hr/&gt;&lt;div&gt;&lt;h5&gt;&lt;b&gt;CASTING&lt;/b&gt;&lt;/h5&gt;&lt;/div&gt;&lt;hr/&gt;&lt;div&gt;&lt;h5&gt;&lt;b&gt;Casting Time &lt;/b&gt;1 standard action&lt;/h5&gt;&lt;h5&gt;&lt;b&gt;Components &lt;/b&gt;V, S, M/DF (smelling salts)&lt;/h5&gt;&lt;/div&gt;&lt;hr/&gt;&lt;div&gt;&lt;h5&gt;&lt;b&gt;EFFECT&lt;/b&gt;&lt;/h5&gt;&lt;/div&gt;&lt;hr/&gt;&lt;div&gt;&lt;h5&gt;&lt;b&gt;Range &lt;/b&gt;close (25 ft. + 5 ft./2 levels)&lt;/h5&gt;&lt;h5&gt;&lt;b&gt;Targets &lt;/b&gt;one creature&lt;/h5&gt;&lt;h5&gt;&lt;b&gt;Duration &lt;/b&gt;1 round/level&lt;/h5&gt;&lt;h5&gt;&lt;b&gt;Saving Throw &lt;/b&gt;Fortitude negates (harmless); &lt;b&gt;Spell Resistance &lt;/b&gt;yes (harmless)&lt;/h5&gt;&lt;/div&gt;&lt;hr/&gt;&lt;div&gt;&lt;h5&gt;&lt;b&gt;DESCRIPTION&lt;/b&gt;&lt;/h5&gt;&lt;/div&gt;&lt;hr/&gt;&lt;div&gt;&lt;h4&gt;&lt;p&gt;You deprive a creature of the blissful oblivion of unconsciousness, either to keep it going despite grievous injuries or to prolong its suffering. For the duration of the spell, the target gains the ferocity ability (&lt;i&gt;Pathfinder RPG Bestiary&lt;/i&gt; 300), allowing it to remain conscious and continue fighting even if its hit point total is below 0. The target is still staggered and loses 1 hit point each round, and the target still dies when its hit point total reaches a negative amount equal to its Constitution score.&lt;/p&gt;&lt;/h4&gt;&lt;/div&gt;</t>
  </si>
  <si>
    <t>Scarify</t>
  </si>
  <si>
    <t>adept 1, alchemist 1, antipaladin 1, cleric/oracle 1, druid 1, inquisitor 1, shaman 1, spiritualist 1, witch 1</t>
  </si>
  <si>
    <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t>
  </si>
  <si>
    <t>&lt;p&gt;Your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endured.&lt;/p&gt;</t>
  </si>
  <si>
    <t>&lt;link rel="stylesheet"href="PF.css"&gt;&lt;div class="heading"&gt;&lt;p class="alignleft"&gt;Scarify&lt;/p&gt;&lt;div style="clear: both;"&gt;&lt;/div&gt;&lt;/div&gt;&lt;div&gt;&lt;h5&gt;&lt;b&gt;School &lt;/b&gt;necromancy; &lt;b&gt;Level &lt;/b&gt;adept 1, alchemist 1, antipaladin 1, cleric/oracle 1, druid 1, inquisitor 1, shaman 1, spiritualist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endured.&lt;/p&gt;&lt;/h4&gt;&lt;/div&gt;</t>
  </si>
  <si>
    <t>Shroud Of Darkness</t>
  </si>
  <si>
    <t>antipaladin 4, bard 5, cleric/oracle 5, inquisitor 5, mesmerist 4, shaman 5, sorcerer/wizard 5</t>
  </si>
  <si>
    <t>V, S, M/DF (a pinch of black sand)</t>
  </si>
  <si>
    <t>one creature/3 levels, no two of which can be more than 30 ft. apart</t>
  </si>
  <si>
    <t>With a dark incantation and a gesture of your hand over your eyes, you cause a shroud of darkness to descend upon the targets of this spell. The subjects treat the light level as two steps lower than normal for the duration of this spell. Bright light becomes dim light, normal light becomes darkness, and areas of dim light and darkness become supernaturally dark (as darkness, but even creatures with darkvision cannot see).</t>
  </si>
  <si>
    <t>&lt;p&gt;With a dark incantation and a gesture of your hand over your eyes, you cause a shroud of &lt;i&gt;darkness&lt;/i&gt; to descend upon the targets of this spell. The subjects treat the light level as two steps lower than normal for the duration of this spell. Bright light becomes dim light, normal light becomes &lt;i&gt;darkness&lt;/i&gt;, and areas of dim light and &lt;i&gt;darkness&lt;/i&gt; become supernaturally dark (as &lt;i&gt;darkness&lt;/i&gt;, but even creatures with darkvision cannot see).&lt;/p&gt;</t>
  </si>
  <si>
    <t>&lt;link rel="stylesheet"href="PF.css"&gt;&lt;div class="heading"&gt;&lt;p class="alignleft"&gt;Shroud Of Darkness&lt;/p&gt;&lt;div style="clear: both;"&gt;&lt;/div&gt;&lt;/div&gt;&lt;div&gt;&lt;h5&gt;&lt;b&gt;School &lt;/b&gt;evocation [darkness]; &lt;b&gt;Level &lt;/b&gt;antipaladin 4, bard 5, cleric/oracle 5, inquisitor 5, mesmerist 4, shaman 5, sorcerer/wizard 5&lt;/h5&gt;&lt;/div&gt;&lt;hr/&gt;&lt;div&gt;&lt;h5&gt;&lt;b&gt;CASTING&lt;/b&gt;&lt;/h5&gt;&lt;/div&gt;&lt;hr/&gt;&lt;div&gt;&lt;h5&gt;&lt;b&gt;Casting Time &lt;/b&gt;1 standard action&lt;/h5&gt;&lt;h5&gt;&lt;b&gt;Components &lt;/b&gt;V, S, M/DF (a pinch of black sand)&lt;/h5&gt;&lt;/div&gt;&lt;hr/&gt;&lt;div&gt;&lt;h5&gt;&lt;b&gt;EFFECT&lt;/b&gt;&lt;/h5&gt;&lt;/div&gt;&lt;hr/&gt;&lt;div&gt;&lt;h5&gt;&lt;b&gt;Range &lt;/b&gt;medium (100 ft. + 10 ft./level)&lt;/h5&gt;&lt;h5&gt;&lt;b&gt;Targets &lt;/b&gt;one creature/3 levels, no two of which can be more than 30 ft. apart&lt;/h5&gt;&lt;h5&gt;&lt;b&gt;Duration &lt;/b&gt;1 round/level (D)&lt;/h5&gt;&lt;h5&gt;&lt;b&gt;Saving Throw &lt;/b&gt;Will negates; &lt;b&gt;Spell Resistance &lt;/b&gt;yes&lt;/h5&gt;&lt;/div&gt;&lt;hr/&gt;&lt;div&gt;&lt;h5&gt;&lt;b&gt;DESCRIPTION&lt;/b&gt;&lt;/h5&gt;&lt;/div&gt;&lt;hr/&gt;&lt;div&gt;&lt;h4&gt;&lt;p&gt;With a dark incantation and a gesture of your hand over your eyes, you cause a shroud of &lt;i&gt;darkness&lt;/i&gt; to descend upon the targets of this spell. The subjects treat the light level as two steps lower than normal for the duration of this spell. Bright light becomes dim light, normal light becomes &lt;i&gt;darkness&lt;/i&gt;, and areas of dim light and &lt;i&gt;darkness&lt;/i&gt; become supernaturally dark (as &lt;i&gt;darkness&lt;/i&gt;, but even creatures with darkvision cannot see).&lt;/p&gt;&lt;/h4&gt;&lt;/div&gt;</t>
  </si>
  <si>
    <t>Ferment</t>
  </si>
  <si>
    <t>alchemist 1, bard 1, cleric/oracle 1, druid 1, sorcerer/wizard 1, witch 1</t>
  </si>
  <si>
    <t>V, S, M (a drop of ale, mead, or wine)</t>
  </si>
  <si>
    <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ferment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t>
  </si>
  <si>
    <t>&lt;p&gt;This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&lt;i&gt;ferment&lt;/i&gt;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5.&lt;/p&gt;</t>
  </si>
  <si>
    <t>&lt;link rel="stylesheet"href="PF.css"&gt;&lt;div class="heading"&gt;&lt;p class="alignleft"&gt;Ferment&lt;/p&gt;&lt;div style="clear: both;"&gt;&lt;/div&gt;&lt;/div&gt;&lt;div&gt;&lt;h5&gt;&lt;b&gt;School &lt;/b&gt;transmutation; &lt;b&gt;Level &lt;/b&gt;alchemist 1, bard 1, cleric/oracle 1, druid 1, sorcerer/wizard 1, witch 1&lt;/h5&gt;&lt;/div&gt;&lt;hr/&gt;&lt;div&gt;&lt;h5&gt;&lt;b&gt;CASTING&lt;/b&gt;&lt;/h5&gt;&lt;/div&gt;&lt;hr/&gt;&lt;div&gt;&lt;h5&gt;&lt;b&gt;Casting Time &lt;/b&gt;1 standard action&lt;/h5&gt;&lt;h5&gt;&lt;b&gt;Components &lt;/b&gt;V, S, M (a drop of ale, mead, or wine)&lt;/h5&gt;&lt;/div&gt;&lt;hr/&gt;&lt;div&gt;&lt;h5&gt;&lt;b&gt;EFFECT&lt;/b&gt;&lt;/h5&gt;&lt;/div&gt;&lt;hr/&gt;&lt;div&gt;&lt;h5&gt;&lt;b&gt;Range &lt;/b&gt;touch&lt;/h5&gt;&lt;h5&gt;&lt;b&gt;Targets &lt;/b&gt;object touched&lt;/h5&gt;&lt;h5&gt;&lt;b&gt;Duration &lt;/b&gt;10 minutes/level&lt;/h5&gt;&lt;h5&gt;&lt;b&gt;Saving Throw &lt;/b&gt;Fortitude negates (object); &lt;b&gt;Spell Resistance &lt;/b&gt;yes (object)&lt;/h5&gt;&lt;/div&gt;&lt;hr/&gt;&lt;div&gt;&lt;h5&gt;&lt;b&gt;DESCRIPTION&lt;/b&gt;&lt;/h5&gt;&lt;/div&gt;&lt;hr/&gt;&lt;div&gt;&lt;h4&gt;&lt;p&gt;This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&lt;i&gt;ferment&lt;/i&gt;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5.&lt;/p&gt;&lt;/h4&gt;&lt;/div&gt;</t>
  </si>
  <si>
    <t>Free Spirit</t>
  </si>
  <si>
    <t>bard 3, cleric/oracle 3, druid 3, medium 3, shaman 3, spiritualist 3, witch 3</t>
  </si>
  <si>
    <t>This spell allows you to channel the essence of Cayden Cailean's philosophy, giving you the benefits of a freedom of movement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t>
  </si>
  <si>
    <t>&lt;p&gt;This spell allows you to channel the essence of Cayden Cailean's philosophy, giving you the benefits of a &lt;i&gt;freedom of movement&lt;/i&gt;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ends.&lt;/p&gt;</t>
  </si>
  <si>
    <t>&lt;link rel="stylesheet"href="PF.css"&gt;&lt;div class="heading"&gt;&lt;p class="alignleft"&gt;Free Spirit&lt;/p&gt;&lt;div style="clear: both;"&gt;&lt;/div&gt;&lt;/div&gt;&lt;div&gt;&lt;h5&gt;&lt;b&gt;School &lt;/b&gt;abjuration; &lt;b&gt;Level &lt;/b&gt;bard 3, cleric/oracle 3, druid 3, medium 3, shaman 3, spiritualist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allows you to channel the essence of Cayden Cailean's philosophy, giving you the benefits of a &lt;i&gt;freedom of movement&lt;/i&gt;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ends.&lt;/p&gt;&lt;/h4&gt;&lt;/div&gt;</t>
  </si>
  <si>
    <t>Knock, Mass</t>
  </si>
  <si>
    <t>cleric/oracle 6, inquisitor 6, mesmerist 6, occultist 6, psychic 6, sorcerer/wizard 6</t>
  </si>
  <si>
    <t>one means of closure/level, no two of which can be more than 30 feet apart</t>
  </si>
  <si>
    <t>Also known as "unshackle," this spell functions as knock, but works on multiple means of closure at once.</t>
  </si>
  <si>
    <t>&lt;p&gt;Also known as "unshackle," this spell functions as &lt;i&gt;knock&lt;/i&gt;, but works on multiple means of closure at once.&lt;/p&gt;</t>
  </si>
  <si>
    <t>&lt;link rel="stylesheet"href="PF.css"&gt;&lt;div class="heading"&gt;&lt;p class="alignleft"&gt;Knock, Mass&lt;/p&gt;&lt;div style="clear: both;"&gt;&lt;/div&gt;&lt;/div&gt;&lt;div&gt;&lt;h5&gt;&lt;b&gt;School &lt;/b&gt;transmutation; &lt;b&gt;Level &lt;/b&gt;cleric/oracle 6, inquisitor 6, mesmerist 6, occultist 6, psychic 6, sorcerer/wizard 6&lt;/h5&gt;&lt;/div&gt;&lt;hr/&gt;&lt;div&gt;&lt;h5&gt;&lt;b&gt;CASTING&lt;/b&gt;&lt;/h5&gt;&lt;/div&gt;&lt;hr/&gt;&lt;div&gt;&lt;h5&gt;&lt;b&gt;Casting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means of closure/level, no two of which can be more than 30 feet apart&lt;/h5&gt;&lt;h5&gt;&lt;b&gt;Duration &lt;/b&gt;instantaneous&lt;/h5&gt;&lt;h5&gt;&lt;b&gt;Saving Throw &lt;/b&gt;none; &lt;b&gt;Spell Resistance &lt;/b&gt;no&lt;/h5&gt;&lt;/div&gt;&lt;hr/&gt;&lt;div&gt;&lt;h5&gt;&lt;b&gt;DESCRIPTION&lt;/b&gt;&lt;/h5&gt;&lt;/div&gt;&lt;hr/&gt;&lt;div&gt;&lt;h4&gt;&lt;p&gt;Also known as "unshackle," this spell functions as &lt;i&gt;knock&lt;/i&gt;, but works on multiple means of closure at once.&lt;/p&gt;&lt;/h4&gt;&lt;/div&gt;</t>
  </si>
  <si>
    <t>Spirit Share</t>
  </si>
  <si>
    <t>alchemist 1, bard 1, cleric/oracle 1, druid 1, occultist 1, shaman 1, sorcerer/wizard 1, witch 1</t>
  </si>
  <si>
    <t>V, S, F (liquid to be shared)</t>
  </si>
  <si>
    <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t>
  </si>
  <si>
    <t>&lt;p&gt;This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her.&lt;/p&gt;</t>
  </si>
  <si>
    <t>&lt;link rel="stylesheet"href="PF.css"&gt;&lt;div class="heading"&gt;&lt;p class="alignleft"&gt;Spirit Share&lt;/p&gt;&lt;div style="clear: both;"&gt;&lt;/div&gt;&lt;/div&gt;&lt;div&gt;&lt;h5&gt;&lt;b&gt;School &lt;/b&gt;transmutation; &lt;b&gt;Level &lt;/b&gt;alchemist 1, bard 1, cleric/oracle 1, druid 1, occultist 1, shaman 1, sorcerer/wizard 1, witch 1&lt;/h5&gt;&lt;/div&gt;&lt;hr/&gt;&lt;div&gt;&lt;h5&gt;&lt;b&gt;CASTING&lt;/b&gt;&lt;/h5&gt;&lt;/div&gt;&lt;hr/&gt;&lt;div&gt;&lt;h5&gt;&lt;b&gt;Casting Time &lt;/b&gt;1 standard action&lt;/h5&gt;&lt;h5&gt;&lt;b&gt;Components &lt;/b&gt;V, S, F (liquid to be shared)&lt;/h5&gt;&lt;/div&gt;&lt;hr/&gt;&lt;div&gt;&lt;h5&gt;&lt;b&gt;EFFECT&lt;/b&gt;&lt;/h5&gt;&lt;/div&gt;&lt;hr/&gt;&lt;div&gt;&lt;h5&gt;&lt;b&gt;Range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her.&lt;/p&gt;&lt;/h4&gt;&lt;/div&gt;</t>
  </si>
  <si>
    <t>Soul Vault</t>
  </si>
  <si>
    <t>cleric/oracle 3, druid 4, inquisitor 3, psychic 5, shaman 3, sorcerer/wizard 4, spiritualist 2, witch 4</t>
  </si>
  <si>
    <t>This spell protects the target's soul by briefly enveloping the target in an ethereal vault. The target gains a +4 bonus on saving throws against spells and effects that would trap or redirect its soul (such as magic jar, soul bind, and trap the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soul vault as a 4th level spell, if it isn't normally on her class spell list. Soul vault can be made permanent with the permanency spell at a cost of 7,500 gp and a minimum caster level of 11th.</t>
  </si>
  <si>
    <t>&lt;p&gt;This spell protects the target's soul by briefly enveloping the target in an ethereal vault. The target gains a +4 bonus on saving throws against spells and effects that would trap or redirect its soul (such as &lt;i&gt;magic jar&lt;/i&gt;, &lt;i&gt;soul bind&lt;/i&gt;, and &lt;i&gt;trap the&lt;/i&gt;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&lt;i&gt;soul vault&lt;/i&gt; as a 4th level spell, if it isn't normally on her class spell list. &lt;i&gt;Soul vault&lt;/i&gt; can be made permanent with the &lt;i&gt;permanency&lt;/i&gt; spell at a cost of 7,500 gp and a minimum caster level of 11th.&lt;/p&gt;</t>
  </si>
  <si>
    <t>&lt;link rel="stylesheet"href="PF.css"&gt;&lt;div class="heading"&gt;&lt;p class="alignleft"&gt;Soul Vault&lt;/p&gt;&lt;div style="clear: both;"&gt;&lt;/div&gt;&lt;/div&gt;&lt;div&gt;&lt;h5&gt;&lt;b&gt;School &lt;/b&gt;abjuration; &lt;b&gt;Level &lt;/b&gt;cleric/oracle 3, druid 4, inquisitor 3, psychic 5, shaman 3, sorcerer/wizard 4, spiritualist 2, witch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&lt;/b&gt;yes&lt;/h5&gt;&lt;/div&gt;&lt;hr/&gt;&lt;div&gt;&lt;h5&gt;&lt;b&gt;DESCRIPTION&lt;/b&gt;&lt;/h5&gt;&lt;/div&gt;&lt;hr/&gt;&lt;div&gt;&lt;h4&gt;&lt;p&gt;This spell protects the target's soul by briefly enveloping the target in an ethereal vault. The target gains a +4 bonus on saving throws against spells and effects that would trap or redirect its soul (such as &lt;i&gt;magic jar&lt;/i&gt;, &lt;i&gt;soul bind&lt;/i&gt;, and &lt;i&gt;trap the&lt;/i&gt;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&lt;i&gt;soul vault&lt;/i&gt; as a 4th level spell, if it isn't normally on her class spell list. &lt;i&gt;Soul vault&lt;/i&gt; can be made permanent with the &lt;i&gt;permanency&lt;/i&gt; spell at a cost of 7,500 gp and a minimum caster level of 11th.&lt;/p&gt;&lt;/h4&gt;&lt;/div&gt;</t>
  </si>
  <si>
    <t>True Appraisal</t>
  </si>
  <si>
    <t>bard 1, cleric/oracle 1, inquisitor 1, occultist 1, witch 1</t>
  </si>
  <si>
    <t>V, F (gold coin)</t>
  </si>
  <si>
    <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t>
  </si>
  <si>
    <t>&lt;p&gt;You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price.&lt;/p&gt;</t>
  </si>
  <si>
    <t>&lt;link rel="stylesheet"href="PF.css"&gt;&lt;div class="heading"&gt;&lt;p class="alignleft"&gt;True Appraisal&lt;/p&gt;&lt;div style="clear: both;"&gt;&lt;/div&gt;&lt;/div&gt;&lt;div&gt;&lt;h5&gt;&lt;b&gt;School &lt;/b&gt;divination; &lt;b&gt;Level &lt;/b&gt;bard 1, cleric/oracle 1, inquisitor 1, occultist 1, witch 1&lt;/h5&gt;&lt;/div&gt;&lt;hr/&gt;&lt;div&gt;&lt;h5&gt;&lt;b&gt;CASTING&lt;/b&gt;&lt;/h5&gt;&lt;/div&gt;&lt;hr/&gt;&lt;div&gt;&lt;h5&gt;&lt;b&gt;Casting Time &lt;/b&gt;1 standard action&lt;/h5&gt;&lt;h5&gt;&lt;b&gt;Components &lt;/b&gt;V, F (gold coin)&lt;/h5&gt;&lt;/div&gt;&lt;hr/&gt;&lt;div&gt;&lt;h5&gt;&lt;b&gt;EFFECT&lt;/b&gt;&lt;/h5&gt;&lt;/div&gt;&lt;hr/&gt;&lt;div&gt;&lt;h5&gt;&lt;b&gt;Range &lt;/b&gt;personal&lt;/h5&gt;&lt;h5&gt;&lt;b&gt;Targets &lt;/b&gt;you&lt;/h5&gt;&lt;h5&gt;&lt;b&gt;Duration &lt;/b&gt;8 hours&lt;/h5&gt;&lt;h5&gt;&lt;b&gt;Saving Throw &lt;/b&gt;none; &lt;b&gt;Spell Resistance &lt;/b&gt;no&lt;/h5&gt;&lt;/div&gt;&lt;hr/&gt;&lt;div&gt;&lt;h5&gt;&lt;b&gt;DESCRIPTION&lt;/b&gt;&lt;/h5&gt;&lt;/div&gt;&lt;hr/&gt;&lt;div&gt;&lt;h4&gt;&lt;p&gt;You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price.&lt;/p&gt;&lt;/h4&gt;&lt;/div&gt;</t>
  </si>
  <si>
    <t>Funereal Weapon</t>
  </si>
  <si>
    <t>cleric/oracle 1, inquisitor 1, occultist 1, paladin 1</t>
  </si>
  <si>
    <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Funereal weapon affects the DR of only undead creatures.</t>
  </si>
  <si>
    <t>&lt;p&gt;You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&lt;i&gt;Funereal weapon&lt;/i&gt; affects the DR of only undead creatures.&lt;/p&gt;</t>
  </si>
  <si>
    <t>&lt;link rel="stylesheet"href="PF.css"&gt;&lt;div class="heading"&gt;&lt;p class="alignleft"&gt;Funereal Weapon&lt;/p&gt;&lt;div style="clear: both;"&gt;&lt;/div&gt;&lt;/div&gt;&lt;div&gt;&lt;h5&gt;&lt;b&gt;School &lt;/b&gt;transmutation; &lt;b&gt;Level &lt;/b&gt;cleric/oracle 1, inquisitor 1, occultist 1, paladin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&lt;i&gt;Funereal weapon&lt;/i&gt; affects the DR of only undead creatures.&lt;/p&gt;&lt;/h4&gt;&lt;/div&gt;</t>
  </si>
  <si>
    <t>Necrostasis</t>
  </si>
  <si>
    <t>cleric/oracle 2, inquisitor 2, shaman 2, sorcerer/wizard 3, spiritualist 2, witch 2</t>
  </si>
  <si>
    <t>V, S, M/DF (a finger bone)</t>
  </si>
  <si>
    <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t>
  </si>
  <si>
    <t>&lt;p&gt;You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instead.&lt;/p&gt;</t>
  </si>
  <si>
    <t>&lt;link rel="stylesheet"href="PF.css"&gt;&lt;div class="heading"&gt;&lt;p class="alignleft"&gt;Necrostasis&lt;/p&gt;&lt;div style="clear: both;"&gt;&lt;/div&gt;&lt;/div&gt;&lt;div&gt;&lt;h5&gt;&lt;b&gt;School &lt;/b&gt;necromancy; &lt;b&gt;Level &lt;/b&gt;cleric/oracle 2, inquisitor 2, shaman 2, sorcerer/wizard 3, spiritualist 2, witch 2&lt;/h5&gt;&lt;/div&gt;&lt;hr/&gt;&lt;div&gt;&lt;h5&gt;&lt;b&gt;CASTING&lt;/b&gt;&lt;/h5&gt;&lt;/div&gt;&lt;hr/&gt;&lt;div&gt;&lt;h5&gt;&lt;b&gt;Casting Time &lt;/b&gt;1 standard action&lt;/h5&gt;&lt;h5&gt;&lt;b&gt;Components &lt;/b&gt;V, S, M/DF (a finger bone)&lt;/h5&gt;&lt;/div&gt;&lt;hr/&gt;&lt;div&gt;&lt;h5&gt;&lt;b&gt;EFFECT&lt;/b&gt;&lt;/h5&gt;&lt;/div&gt;&lt;hr/&gt;&lt;div&gt;&lt;h5&gt;&lt;b&gt;Range &lt;/b&gt;close (25 ft. + 5 ft./2 levels)&lt;/h5&gt;&lt;h5&gt;&lt;b&gt;Targets &lt;/b&gt;one undead creature&lt;/h5&gt;&lt;h5&gt;&lt;b&gt;Duration &lt;/b&gt;1 round/level (D)&lt;/h5&gt;&lt;h5&gt;&lt;b&gt;Saving Throw &lt;/b&gt;Will negates; &lt;b&gt;Spell Resistance &lt;/b&gt;yes&lt;/h5&gt;&lt;/div&gt;&lt;hr/&gt;&lt;div&gt;&lt;h5&gt;&lt;b&gt;DESCRIPTION&lt;/b&gt;&lt;/h5&gt;&lt;/div&gt;&lt;hr/&gt;&lt;div&gt;&lt;h4&gt;&lt;p&gt;You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instead.&lt;/p&gt;&lt;/h4&gt;&lt;/div&gt;</t>
  </si>
  <si>
    <t>Preserve</t>
  </si>
  <si>
    <t>adept 1, cleric/oracle 1, medium 1, occultist 1, ranger 1, shaman 1, sorcerer/wizard 1, spiritualist 1, witch 1</t>
  </si>
  <si>
    <t>V, S, M/DF (a pinch of salt)</t>
  </si>
  <si>
    <t>one or more objects touched, up to 1 lb./level</t>
  </si>
  <si>
    <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putrefy food and drinkAPG. When the duration of preserve expires, the objects resume aging at their normal rate.  The spell also works on severed body parts and the bodies of small creatures as per gentle repose, provided that the weight of the creature or part does not exceed the spell's limit.  Preserve can be made permanent with a permanency spell by a caster of 9th level or higher for 500 gp.</t>
  </si>
  <si>
    <t>&lt;p&gt;You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&lt;i&gt;putrefy food and&lt;/i&gt; drinkAPG. When the duration of &lt;i&gt;preserve&lt;/i&gt; expires, the objects resume aging at their normal rate.  The spell also works on severed body parts and the bodies of small creatures as per &lt;i&gt;gentle repose&lt;/i&gt;, provided that the weight of the creature or part does not exceed the spell's limit.  &lt;i&gt;Preserve&lt;/i&gt; can be made permanent with a &lt;i&gt;permanency&lt;/i&gt; spell by a caster of 9th level or higher for 500 gp.&lt;/p&gt;</t>
  </si>
  <si>
    <t>&lt;link rel="stylesheet"href="PF.css"&gt;&lt;div class="heading"&gt;&lt;p class="alignleft"&gt;Preserve&lt;/p&gt;&lt;div style="clear: both;"&gt;&lt;/div&gt;&lt;/div&gt;&lt;div&gt;&lt;h5&gt;&lt;b&gt;School &lt;/b&gt;necromancy; &lt;b&gt;Level &lt;/b&gt;adept 1, cleric/oracle 1, medium 1, occultist 1, ranger 1, shaman 1, sorcerer/wizard 1, spiritualist 1, witch 1&lt;/h5&gt;&lt;/div&gt;&lt;hr/&gt;&lt;div&gt;&lt;h5&gt;&lt;b&gt;CASTING&lt;/b&gt;&lt;/h5&gt;&lt;/div&gt;&lt;hr/&gt;&lt;div&gt;&lt;h5&gt;&lt;b&gt;Casting Time &lt;/b&gt;1 standard action&lt;/h5&gt;&lt;h5&gt;&lt;b&gt;Components &lt;/b&gt;V, S, M/DF (a pinch of salt)&lt;/h5&gt;&lt;/div&gt;&lt;hr/&gt;&lt;div&gt;&lt;h5&gt;&lt;b&gt;EFFECT&lt;/b&gt;&lt;/h5&gt;&lt;/div&gt;&lt;hr/&gt;&lt;div&gt;&lt;h5&gt;&lt;b&gt;Range &lt;/b&gt;touch&lt;/h5&gt;&lt;h5&gt;&lt;b&gt;Targets &lt;/b&gt;one or more objects touched, up to 1 lb./level&lt;/h5&gt;&lt;h5&gt;&lt;b&gt;Duration &lt;/b&gt;1 week&lt;/h5&gt;&lt;h5&gt;&lt;b&gt;Saving Throw &lt;/b&gt;Will negates (object); &lt;b&gt;Spell Resistance &lt;/b&gt;yes (object)&lt;/h5&gt;&lt;/div&gt;&lt;hr/&gt;&lt;div&gt;&lt;h5&gt;&lt;b&gt;DESCRIPTION&lt;/b&gt;&lt;/h5&gt;&lt;/div&gt;&lt;hr/&gt;&lt;div&gt;&lt;h4&gt;&lt;p&gt;You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&lt;i&gt;putrefy food and&lt;/i&gt; drinkAPG. When the duration of &lt;i&gt;preserve&lt;/i&gt; expires, the objects resume aging at their normal rate.  The spell also works on severed body parts and the bodies of small creatures as per &lt;i&gt;gentle repose&lt;/i&gt;, provided that the weight of the creature or part does not exceed the spell's limit.  &lt;i&gt;Preserve&lt;/i&gt; can be made permanent with a &lt;i&gt;permanency&lt;/i&gt; spell by a caster of 9th level or higher for 500 gp.&lt;/p&gt;&lt;/h4&gt;&lt;/div&gt;</t>
  </si>
  <si>
    <t>Spiral Ascent</t>
  </si>
  <si>
    <t>you and touched objects</t>
  </si>
  <si>
    <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t>
  </si>
  <si>
    <t>&lt;p&gt;You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direction.&lt;/p&gt;</t>
  </si>
  <si>
    <t>&lt;link rel="stylesheet"href="PF.css"&gt;&lt;div class="heading"&gt;&lt;p class="alignleft"&gt;Spiral Ascent&lt;/p&gt;&lt;div style="clear: both;"&gt;&lt;/div&gt;&lt;/div&gt;&lt;div&gt;&lt;h5&gt;&lt;b&gt;School &lt;/b&gt;conjuration (teleportation); &lt;b&gt;Level &lt;/b&gt;cleric/oracle 3, inquisitor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&lt;/b&gt;you and touched objects&lt;/h5&gt;&lt;h5&gt;&lt;b&gt;Duration &lt;/b&gt;instantaneous&lt;/h5&gt;&lt;h5&gt;&lt;b&gt;Saving Throw &lt;/b&gt;Will negates (object); &lt;b&gt;Spell Resistance &lt;/b&gt;yes (object)&lt;/h5&gt;&lt;/div&gt;&lt;hr/&gt;&lt;div&gt;&lt;h5&gt;&lt;b&gt;DESCRIPTION&lt;/b&gt;&lt;/h5&gt;&lt;/div&gt;&lt;hr/&gt;&lt;div&gt;&lt;h4&gt;&lt;p&gt;You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direction.&lt;/p&gt;&lt;/h4&gt;&lt;/div&gt;</t>
  </si>
  <si>
    <t>Spiral Descent</t>
  </si>
  <si>
    <t>This spell functions as spiral ascent, except the destination and direction of travel is downward from your current location.</t>
  </si>
  <si>
    <t>&lt;p&gt;This spell functions as &lt;i&gt;spiral ascent&lt;/i&gt;, except the destination and direction of travel is downward from your current location.&lt;/p&gt;</t>
  </si>
  <si>
    <t>&lt;link rel="stylesheet"href="PF.css"&gt;&lt;div class="heading"&gt;&lt;p class="alignleft"&gt;Spiral Descent&lt;/p&gt;&lt;div style="clear: both;"&gt;&lt;/div&gt;&lt;/div&gt;&lt;div&gt;&lt;h5&gt;&lt;b&gt;School &lt;/b&gt;conjuration (teleportation); &lt;b&gt;Level &lt;/b&gt;cleric/oracle 2, inquisitor 2&lt;/h5&gt;&lt;/div&gt;&lt;hr/&gt;&lt;div&gt;&lt;h5&gt;&lt;b&gt;CASTING&lt;/b&gt;&lt;/h5&gt;&lt;/div&gt;&lt;hr/&gt;&lt;div&gt;&lt;h5&gt;&lt;b&gt;Casting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&lt;/b&gt;you and touched objects&lt;/h5&gt;&lt;h5&gt;&lt;b&gt;Duration &lt;/b&gt;instantaneous&lt;/h5&gt;&lt;h5&gt;&lt;b&gt;Saving Throw &lt;/b&gt;Will negates (object); &lt;b&gt;Spell Resistance &lt;/b&gt;yes (object)&lt;/h5&gt;&lt;/div&gt;&lt;hr/&gt;&lt;div&gt;&lt;h5&gt;&lt;b&gt;DESCRIPTION&lt;/b&gt;&lt;/h5&gt;&lt;/div&gt;&lt;hr/&gt;&lt;div&gt;&lt;h4&gt;&lt;p&gt;This spell functions as &lt;i&gt;spiral ascent&lt;/i&gt;, except the destination and direction of travel is downward from your current location.&lt;/p&gt;&lt;/h4&gt;&lt;/div&gt;</t>
  </si>
  <si>
    <t>Betraying Sting</t>
  </si>
  <si>
    <t>cleric/oracle 6, occultist 6, psychic 6, shaman 6, witch 6</t>
  </si>
  <si>
    <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t>
  </si>
  <si>
    <t>&lt;p&gt;You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have.&lt;/p&gt;</t>
  </si>
  <si>
    <t>&lt;link rel="stylesheet"href="PF.css"&gt;&lt;div class="heading"&gt;&lt;p class="alignleft"&gt;Betraying Sting&lt;/p&gt;&lt;div style="clear: both;"&gt;&lt;/div&gt;&lt;/div&gt;&lt;div&gt;&lt;h5&gt;&lt;b&gt;School &lt;/b&gt;evocation; &lt;b&gt;Level &lt;/b&gt;cleric/oracle 6, occultist 6, psychic 6, shaman 6, witch 6&lt;/h5&gt;&lt;/div&gt;&lt;hr/&gt;&lt;div&gt;&lt;h5&gt;&lt;b&gt;CASTING&lt;/b&gt;&lt;/h5&gt;&lt;/div&gt;&lt;hr/&gt;&lt;div&gt;&lt;h5&gt;&lt;b&gt;Casting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ft./level)&lt;/h5&gt;&lt;h5&gt;&lt;b&gt;Targets &lt;/b&gt;one creature&lt;/h5&gt;&lt;h5&gt;&lt;b&gt;Duration &lt;/b&gt;instantaneous&lt;/h5&gt;&lt;h5&gt;&lt;b&gt;Saving Throw &lt;/b&gt;Will partial; &lt;b&gt;Spell Resistance &lt;/b&gt;yes&lt;/h5&gt;&lt;/div&gt;&lt;hr/&gt;&lt;div&gt;&lt;h5&gt;&lt;b&gt;DESCRIPTION&lt;/b&gt;&lt;/h5&gt;&lt;/div&gt;&lt;hr/&gt;&lt;div&gt;&lt;h4&gt;&lt;p&gt;You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have.&lt;/p&gt;&lt;/h4&gt;&lt;/div&gt;</t>
  </si>
  <si>
    <t>Harvest Knowledge</t>
  </si>
  <si>
    <t>alchemist 4, antipaladin 4, bard 4, inquisitor 4, mesmerist 4, psychic 4, sorcerer/wizard 4, witch 4</t>
  </si>
  <si>
    <t>V, S, M (a piece of lodestone)</t>
  </si>
  <si>
    <t>one creature or object; see text</t>
  </si>
  <si>
    <t>You touch a creature and temporarily absorb its knowledge for yourself. If the target fails its saving throw, you can sort through its lore and memories. You can retrieve one answer to a specific question per minute, as through sifting through the creature's surface thoughts with detect thoughts.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iron flask or the spell trap the soul, by touching the associated receptacle.</t>
  </si>
  <si>
    <t>&lt;p&gt;You touch a creature and temporarily absorb its knowledge for yourself. If the target fails its saving throw, you can sort through its lore and memories. You can retrieve one answer to a specific question per minute, as through sifting through the creature's surface thoughts with &lt;i&gt;detect thoughts&lt;/i&gt;.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&lt;i&gt;iron flask&lt;/i&gt; or the spell &lt;i&gt;trap the soul&lt;/i&gt;, by touching the associated receptacle.&lt;/p&gt;</t>
  </si>
  <si>
    <t>&lt;link rel="stylesheet"href="PF.css"&gt;&lt;div class="heading"&gt;&lt;p class="alignleft"&gt;Harvest Knowledge&lt;/p&gt;&lt;div style="clear: both;"&gt;&lt;/div&gt;&lt;/div&gt;&lt;div&gt;&lt;h5&gt;&lt;b&gt;School &lt;/b&gt;divination [mind-affecting]; &lt;b&gt;Level &lt;/b&gt;alchemist 4, antipaladin 4, bard 4, inquisitor 4, mesmerist 4, psychic 4, sorcerer/wizard 4, witch 4&lt;/h5&gt;&lt;/div&gt;&lt;hr/&gt;&lt;div&gt;&lt;h5&gt;&lt;b&gt;CASTING&lt;/b&gt;&lt;/h5&gt;&lt;/div&gt;&lt;hr/&gt;&lt;div&gt;&lt;h5&gt;&lt;b&gt;Casting Time &lt;/b&gt;1 standard action&lt;/h5&gt;&lt;h5&gt;&lt;b&gt;Components &lt;/b&gt;V, S, M (a piece of lodestone)&lt;/h5&gt;&lt;/div&gt;&lt;hr/&gt;&lt;div&gt;&lt;h5&gt;&lt;b&gt;EFFECT&lt;/b&gt;&lt;/h5&gt;&lt;/div&gt;&lt;hr/&gt;&lt;div&gt;&lt;h5&gt;&lt;b&gt;Range &lt;/b&gt;touch (see text)&lt;/h5&gt;&lt;h5&gt;&lt;b&gt;Targets &lt;/b&gt;one creature or object; see text&lt;/h5&gt;&lt;h5&gt;&lt;b&gt;Duration &lt;/b&gt;concentration, up to 1 minute/level&lt;/h5&gt;&lt;h5&gt;&lt;b&gt;Saving Throw &lt;/b&gt;Will negates; see text; &lt;b&gt;Spell Resistance &lt;/b&gt;no&lt;/h5&gt;&lt;/div&gt;&lt;hr/&gt;&lt;div&gt;&lt;h5&gt;&lt;b&gt;DESCRIPTION&lt;/b&gt;&lt;/h5&gt;&lt;/div&gt;&lt;hr/&gt;&lt;div&gt;&lt;h4&gt;&lt;p&gt;You touch a creature and temporarily absorb its knowledge for yourself. If the target fails its saving throw, you can sort through its lore and memories. You can retrieve one answer to a specific question per minute, as through sifting through the creature's surface thoughts with &lt;i&gt;detect thoughts&lt;/i&gt;.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&lt;i&gt;iron flask&lt;/i&gt; or the spell &lt;i&gt;trap the soul&lt;/i&gt;, by touching the associated receptacle.&lt;/p&gt;&lt;/h4&gt;&lt;/div&gt;</t>
  </si>
  <si>
    <t>Incessant Buzzing</t>
  </si>
  <si>
    <t>antipaladin 1, bard 1, psychic 1, shaman 1, sorcerer/wizard 1, witch 1</t>
  </si>
  <si>
    <t>V, S, M/DF (insect wing)</t>
  </si>
  <si>
    <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t>
  </si>
  <si>
    <t>&lt;p&gt;You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difficult.&lt;/p&gt;</t>
  </si>
  <si>
    <t>&lt;link rel="stylesheet"href="PF.css"&gt;&lt;div class="heading"&gt;&lt;p class="alignleft"&gt;Incessant Buzzing&lt;/p&gt;&lt;div style="clear: both;"&gt;&lt;/div&gt;&lt;/div&gt;&lt;div&gt;&lt;h5&gt;&lt;b&gt;School &lt;/b&gt;illusion (figment); &lt;b&gt;Level &lt;/b&gt;antipaladin 1, bard 1, psychic 1, shaman 1, sorcerer/wizard 1, witch 1&lt;/h5&gt;&lt;/div&gt;&lt;hr/&gt;&lt;div&gt;&lt;h5&gt;&lt;b&gt;CASTING&lt;/b&gt;&lt;/h5&gt;&lt;/div&gt;&lt;hr/&gt;&lt;div&gt;&lt;h5&gt;&lt;b&gt;Casting Time &lt;/b&gt;1 standard action&lt;/h5&gt;&lt;h5&gt;&lt;b&gt;Components &lt;/b&gt;V, S, M/DF (insect wing)&lt;/h5&gt;&lt;/div&gt;&lt;hr/&gt;&lt;div&gt;&lt;h5&gt;&lt;b&gt;EFFECT&lt;/b&gt;&lt;/h5&gt;&lt;/div&gt;&lt;hr/&gt;&lt;div&gt;&lt;h5&gt;&lt;b&gt;Range &lt;/b&gt;medium (100 ft. +10 ft./level)&lt;/h5&gt;&lt;h5&gt;&lt;b&gt;Effect &lt;/b&gt;10-ft.-diameter sphere&lt;/h5&gt;&lt;h5&gt;&lt;b&gt;Duration &lt;/b&gt;1 round/level&lt;/h5&gt;&lt;h5&gt;&lt;b&gt;Saving Throw &lt;/b&gt;Will negates; &lt;b&gt;Spell Resistance &lt;/b&gt;yes&lt;/h5&gt;&lt;/div&gt;&lt;hr/&gt;&lt;div&gt;&lt;h5&gt;&lt;b&gt;DESCRIPTION&lt;/b&gt;&lt;/h5&gt;&lt;/div&gt;&lt;hr/&gt;&lt;div&gt;&lt;h4&gt;&lt;p&gt;You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difficult.&lt;/p&gt;&lt;/h4&gt;&lt;/div&gt;</t>
  </si>
  <si>
    <t>Painful Revelation</t>
  </si>
  <si>
    <t>one ongoing illusion effect</t>
  </si>
  <si>
    <t>You augment an ongoing illusion effect to strike out painfully at creatures that see through it. When a creature successfully disbelieves an illusion that is the target of painful revelation, it takes 1d6 points of nonlethal damage for every 2 caster levels you have (maximum 10d6) and is staggered for 1d4 rounds. A successful Will save reduces the nonlethal damage by half and negates the staggered effect. Once painful revelation has been triggered, the spell ends.  However, creatures under the effect of spells such as true seeing that automatically pierce illusions are not subject to this effect.</t>
  </si>
  <si>
    <t>&lt;p&gt;You augment an ongoing illusion effect to strike out painfully at creatures that see through it. When a creature successfully disbelieves an illusion that is the target of &lt;i&gt;painful revelation&lt;/i&gt;, it takes 1d6 points of nonlethal damage for every 2 caster levels you have (maximum 10d6) and is staggered for 1d4 rounds. A successful Will save reduces the nonlethal damage by half and negates the staggered effect. Once &lt;i&gt;painful revelation&lt;/i&gt; has been triggered, the spell ends.  However, creatures under the effect of spells such as &lt;i&gt;true seeing&lt;/i&gt; that automatically pierce illusions are not subject to this effect.&lt;/p&gt;</t>
  </si>
  <si>
    <t>&lt;link rel="stylesheet"href="PF.css"&gt;&lt;div class="heading"&gt;&lt;p class="alignleft"&gt;Painful Revelation&lt;/p&gt;&lt;div style="clear: both;"&gt;&lt;/div&gt;&lt;/div&gt;&lt;div&gt;&lt;h5&gt;&lt;b&gt;School &lt;/b&gt;abjuration [mind-affecting, pain&lt;sup&gt;UM&lt;/sup&gt;]; &lt;b&gt;Level &lt;/b&gt;antipaladin 2, bard 2, mesmerist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ongoing illusion effect&lt;/h5&gt;&lt;h5&gt;&lt;b&gt;Duration &lt;/b&gt;1 hour/level or until discharged&lt;/h5&gt;&lt;h5&gt;&lt;b&gt;Saving Throw &lt;/b&gt;Will partial; &lt;b&gt;Spell Resistance &lt;/b&gt;no&lt;/h5&gt;&lt;/div&gt;&lt;hr/&gt;&lt;div&gt;&lt;h5&gt;&lt;b&gt;DESCRIPTION&lt;/b&gt;&lt;/h5&gt;&lt;/div&gt;&lt;hr/&gt;&lt;div&gt;&lt;h4&gt;&lt;p&gt;You augment an ongoing illusion effect to strike out painfully at creatures that see through it. When a creature successfully disbelieves an illusion that is the target of &lt;i&gt;painful revelation&lt;/i&gt;, it takes 1d6 points of nonlethal damage for every 2 caster levels you have (maximum 10d6) and is staggered for 1d4 rounds. A successful Will save reduces the nonlethal damage by half and negates the staggered effect. Once &lt;i&gt;painful revelation&lt;/i&gt; has been triggered, the spell ends.  However, creatures under the effect of spells such as &lt;i&gt;true seeing&lt;/i&gt; that automatically pierce illusions are not subject to this effect.&lt;/p&gt;&lt;/h4&gt;&lt;/div&gt;</t>
  </si>
  <si>
    <t>Pillow Talk</t>
  </si>
  <si>
    <t>bard 3, inquisitor 3, mesmerist 3, psychic 3, sorcerer/wizard 3, witch 3</t>
  </si>
  <si>
    <t>sleeping, living creature touched</t>
  </si>
  <si>
    <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pillow talk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t>
  </si>
  <si>
    <t>&lt;p&gt;This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&lt;i&gt;pillow talk&lt;/i&gt;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gave.&lt;/p&gt;</t>
  </si>
  <si>
    <t>&lt;link rel="stylesheet"href="PF.css"&gt;&lt;div class="heading"&gt;&lt;p class="alignleft"&gt;Pillow Talk&lt;/p&gt;&lt;div style="clear: both;"&gt;&lt;/div&gt;&lt;/div&gt;&lt;div&gt;&lt;h5&gt;&lt;b&gt;School &lt;/b&gt;enchantment (compulsion) [language-dependent, mind-affecting]; &lt;b&gt;Level &lt;/b&gt;bard 3, inquisitor 3, mesmerist 3, psychic 3, sorcerer/wizard 3, witch 3&lt;/h5&gt;&lt;/div&gt;&lt;hr/&gt;&lt;div&gt;&lt;h5&gt;&lt;b&gt;CASTING&lt;/b&gt;&lt;/h5&gt;&lt;/div&gt;&lt;hr/&gt;&lt;div&gt;&lt;h5&gt;&lt;b&gt;Casting Time &lt;/b&gt;10 minutes&lt;/h5&gt;&lt;h5&gt;&lt;b&gt;Components &lt;/b&gt;S&lt;/h5&gt;&lt;/div&gt;&lt;hr/&gt;&lt;div&gt;&lt;h5&gt;&lt;b&gt;EFFECT&lt;/b&gt;&lt;/h5&gt;&lt;/div&gt;&lt;hr/&gt;&lt;div&gt;&lt;h5&gt;&lt;b&gt;Range &lt;/b&gt;touch&lt;/h5&gt;&lt;h5&gt;&lt;b&gt;Targets &lt;/b&gt;sleeping, living creature touched&lt;/h5&gt;&lt;h5&gt;&lt;b&gt;Duration &lt;/b&gt;1 minute/level&lt;/h5&gt;&lt;h5&gt;&lt;b&gt;Saving Throw &lt;/b&gt;Will negates; see text; &lt;b&gt;Spell Resistance &lt;/b&gt;yes&lt;/h5&gt;&lt;/div&gt;&lt;hr/&gt;&lt;div&gt;&lt;h5&gt;&lt;b&gt;DESCRIPTION&lt;/b&gt;&lt;/h5&gt;&lt;/div&gt;&lt;hr/&gt;&lt;div&gt;&lt;h4&gt;&lt;p&gt;This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&lt;i&gt;pillow talk&lt;/i&gt;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gave.&lt;/p&gt;&lt;/h4&gt;&lt;/div&gt;</t>
  </si>
  <si>
    <t>Reveal Secrets</t>
  </si>
  <si>
    <t>bard 1, inquisitor 1, mesmerist 1, psychic 1, sorcerer/wizard 1, witch 1</t>
  </si>
  <si>
    <t>V, S, M (a drop of alcoholic liquid)</t>
  </si>
  <si>
    <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t>
  </si>
  <si>
    <t>&lt;p&gt;When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asked.&lt;/p&gt;</t>
  </si>
  <si>
    <t>&lt;link rel="stylesheet"href="PF.css"&gt;&lt;div class="heading"&gt;&lt;p class="alignleft"&gt;Reveal Secrets&lt;/p&gt;&lt;div style="clear: both;"&gt;&lt;/div&gt;&lt;/div&gt;&lt;div&gt;&lt;h5&gt;&lt;b&gt;School &lt;/b&gt;enchantment (compulsion) [language-dependent, mind-affecting]; &lt;b&gt;Level &lt;/b&gt;bard 1, inquisitor 1, mesmerist 1, psychic 1, sorcerer/wizard 1, witch 1&lt;/h5&gt;&lt;/div&gt;&lt;hr/&gt;&lt;div&gt;&lt;h5&gt;&lt;b&gt;CASTING&lt;/b&gt;&lt;/h5&gt;&lt;/div&gt;&lt;hr/&gt;&lt;div&gt;&lt;h5&gt;&lt;b&gt;Casting Time &lt;/b&gt;1 standard action&lt;/h5&gt;&lt;h5&gt;&lt;b&gt;Components &lt;/b&gt;V, S, M (a drop of alcoholic liquid)&lt;/h5&gt;&lt;/div&gt;&lt;hr/&gt;&lt;div&gt;&lt;h5&gt;&lt;b&gt;EFFECT&lt;/b&gt;&lt;/h5&gt;&lt;/div&gt;&lt;hr/&gt;&lt;div&gt;&lt;h5&gt;&lt;b&gt;Range &lt;/b&gt;touch&lt;/h5&gt;&lt;h5&gt;&lt;b&gt;Targets &lt;/b&gt;creature touched&lt;/h5&gt;&lt;h5&gt;&lt;b&gt;Duration &lt;/b&gt;1 round&lt;/h5&gt;&lt;h5&gt;&lt;b&gt;Saving Throw &lt;/b&gt;Will negates; &lt;b&gt;Spell Resistance &lt;/b&gt;yes&lt;/h5&gt;&lt;/div&gt;&lt;hr/&gt;&lt;div&gt;&lt;h5&gt;&lt;b&gt;DESCRIPTION&lt;/b&gt;&lt;/h5&gt;&lt;/div&gt;&lt;hr/&gt;&lt;div&gt;&lt;h4&gt;&lt;p&gt;When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asked.&lt;/p&gt;&lt;/h4&gt;&lt;/div&gt;</t>
  </si>
  <si>
    <t>Sadomasochism</t>
  </si>
  <si>
    <t>antipaladin 3, cleric/oracle 3, inquisitor 3, magus 4, sorcerer/wizard 4, witch 4</t>
  </si>
  <si>
    <t>While subject to this spell, anytime you are dealt damage, your attacker must roll damage for the attack twice and take the higher result, but the attacker must also succeed at a Will saving throw or be demoralized (Pathfinder RPG Core Rulebook 99) for 1 round. Each time you deal damage to a creature demoralized by this spell, you roll damage twice and take the higher result. This spell originally appeared in Pathfinder Campaign Setting: Inner Sea Gods.</t>
  </si>
  <si>
    <t>&lt;p&gt;While subject to this spell, anytime you are dealt damage, your attacker must roll damage for the attack twice and take the higher result, but the attacker must also succeed at a Will saving throw or be demoralized (&lt;i&gt;Pathfinder RPG Core Rulebook&lt;/i&gt; 99) for 1 round. Each time you deal damage to a creature demoralized by this spell, you roll damage twice and take the higher result. This spell originally appeared in &lt;i&gt;Pathfinder Campaign Setting&lt;/i&gt;: &lt;i&gt;Inner Sea Gods&lt;/i&gt;.&lt;/p&gt;</t>
  </si>
  <si>
    <t>Curse Of The Crimson Throne Chapter Appendix</t>
  </si>
  <si>
    <t>&lt;link rel="stylesheet"href="PF.css"&gt;&lt;div class="heading"&gt;&lt;p class="alignleft"&gt;Sadomasochism&lt;/p&gt;&lt;div style="clear: both;"&gt;&lt;/div&gt;&lt;/div&gt;&lt;div&gt;&lt;h5&gt;&lt;b&gt;School &lt;/b&gt;necromancy [pain]; &lt;b&gt;Level &lt;/b&gt;antipaladin 3, cleric/oracle 3, inquisitor 3, magus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&lt;/b&gt;Will negates, see text; &lt;b&gt;Spell Resistance &lt;/b&gt;yes&lt;/h5&gt;&lt;/div&gt;&lt;hr/&gt;&lt;div&gt;&lt;h5&gt;&lt;b&gt;DESCRIPTION&lt;/b&gt;&lt;/h5&gt;&lt;/div&gt;&lt;hr/&gt;&lt;div&gt;&lt;h4&gt;&lt;p&gt;While subject to this spell, anytime you are dealt damage, your attacker must roll damage for the attack twice and take the higher result, but the attacker must also succeed at a Will saving throw or be demoralized (&lt;i&gt;Pathfinder RPG Core Rulebook&lt;/i&gt; 99) for 1 round. Each time you deal damage to a creature demoralized by this spell, you roll damage twice and take the higher result. This spell originally appeared in &lt;i&gt;Pathfinder Campaign Setting&lt;/i&gt;: &lt;i&gt;Inner Sea Gods&lt;/i&gt;.&lt;/p&gt;&lt;/h4&gt;&lt;/div&gt;</t>
  </si>
  <si>
    <t>Infuse Decay</t>
  </si>
  <si>
    <t>V, S, F (a set of fine mortician's tools worth 100 gp)</t>
  </si>
  <si>
    <t>corporeal undead touched; see text</t>
  </si>
  <si>
    <t>This spell functions as per imbue with spell ability, except it can only target corporeal undead creatures, and can only transfer touch spells. The number and level of spells the subject can be granted depends on the undead creature's Hit Dice; even multiple castings of infuse decay can't exceed this limit.  HD of Undead Touch Spells Infused  5 or lower One 1st-level spell  6-10 One or two 1st-level spells  11 or higher One or two 1st-level spells and one 2nd-level spell  Once you cast infuse decay, you can't prepare a new 4th-level spell to replace it (see imbue with spell ability on page 299 of the Pathfinder RPG Core Rulebook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t>
  </si>
  <si>
    <t>&lt;p&gt;This spell functions as per &lt;i&gt;imbue with spell ability&lt;/i&gt;, except it can only target corporeal undead creatures, and can only transfer touch spells. The number and level of spells the subject can be granted depends on the undead creature's Hit Dice; even multiple castings of &lt;i&gt;infuse decay&lt;/i&gt; can't exceed this limit.   &lt;table border ='1'&gt;&lt;tr&gt;&lt;th&gt;HD of Undead&lt;/th&gt;&lt;th&gt;Touch Spells Infused&lt;/th&gt;&lt;/tr&gt;&lt;tr&gt;&lt;td&gt;5 or lower&lt;/td&gt;&lt;td&gt;One 1st-level spell&lt;/td&gt;&lt;/tr&gt;&lt;tr&gt;&lt;td&gt;6-10&lt;/td&gt;&lt;td&gt;One or two 1st-level spells&lt;/td&gt;&lt;/tr&gt;&lt;tr&gt;&lt;td&gt;11 or higher&lt;/td&gt;&lt;td&gt;One or two 1st-level spells and one 2nd-level spell&lt;/td&gt;&lt;/tr&gt;&lt;/table&gt;   Once you cast &lt;i&gt;infuse decay&lt;/i&gt;, you can't prepare a new 4th-level spell to replace it (see &lt;i&gt;imbue with spell ability&lt;/i&gt; on page 299 of the &lt;i&gt;Pathfinder RPG Core Rulebook&lt;/i&gt;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makes.&lt;/p&gt;</t>
  </si>
  <si>
    <t>&lt;link rel="stylesheet"href="PF.css"&gt;&lt;div class="heading"&gt;&lt;p class="alignleft"&gt;Infuse Decay&lt;/p&gt;&lt;div style="clear: both;"&gt;&lt;/div&gt;&lt;/div&gt;&lt;div&gt;&lt;h5&gt;&lt;b&gt;School &lt;/b&gt;necromancy [evil]; &lt;b&gt;Level &lt;/b&gt;sorcerer/wizard 4, witch 4&lt;/h5&gt;&lt;/div&gt;&lt;hr/&gt;&lt;div&gt;&lt;h5&gt;&lt;b&gt;CASTING&lt;/b&gt;&lt;/h5&gt;&lt;/div&gt;&lt;hr/&gt;&lt;div&gt;&lt;h5&gt;&lt;b&gt;Casting Time &lt;/b&gt;10 minutes&lt;/h5&gt;&lt;h5&gt;&lt;b&gt;Components &lt;/b&gt;V, S, F (a set of fine mortician's tools worth 100 gp)&lt;/h5&gt;&lt;/div&gt;&lt;hr/&gt;&lt;div&gt;&lt;h5&gt;&lt;b&gt;EFFECT&lt;/b&gt;&lt;/h5&gt;&lt;/div&gt;&lt;hr/&gt;&lt;div&gt;&lt;h5&gt;&lt;b&gt;Range &lt;/b&gt;touch&lt;/h5&gt;&lt;h5&gt;&lt;b&gt;Area &lt;/b&gt;corporeal undead touched; see text&lt;/h5&gt;&lt;h5&gt;&lt;b&gt;Duration &lt;/b&gt;permanent until discharged (D)&lt;/h5&gt;&lt;h5&gt;&lt;b&gt;Saving Throw &lt;/b&gt;Will negates (harmless); &lt;b&gt;Spell Resistance &lt;/b&gt;yes (harmless)&lt;/h5&gt;&lt;/div&gt;&lt;hr/&gt;&lt;div&gt;&lt;h5&gt;&lt;b&gt;DESCRIPTION&lt;/b&gt;&lt;/h5&gt;&lt;/div&gt;&lt;hr/&gt;&lt;div&gt;&lt;h4&gt;&lt;p&gt;This spell functions as per &lt;i&gt;imbue with spell ability&lt;/i&gt;, except it can only target corporeal undead creatures, and can only transfer touch spells. The number and level of spells the subject can be granted depends on the undead creature's Hit Dice; even multiple castings of &lt;i&gt;infuse decay&lt;/i&gt; can't exceed this limit.   &lt;table border ='1'&gt;&lt;tr&gt;&lt;th&gt;HD of Undead&lt;/th&gt;&lt;th&gt;Touch Spells Infused&lt;/th&gt;&lt;/tr&gt;&lt;tr&gt;&lt;td&gt;5 or lower&lt;/td&gt;&lt;td&gt;One 1st-level spell&lt;/td&gt;&lt;/tr&gt;&lt;tr&gt;&lt;td&gt;6-10&lt;/td&gt;&lt;td&gt;One or two 1st-level spells&lt;/td&gt;&lt;/tr&gt;&lt;tr&gt;&lt;td&gt;11 or higher&lt;/td&gt;&lt;td&gt;One or two 1st-level spells and one 2nd-level spell&lt;/td&gt;&lt;/tr&gt;&lt;/table&gt;   Once you cast &lt;i&gt;infuse decay&lt;/i&gt;, you can't prepare a new 4th-level spell to replace it (see &lt;i&gt;imbue with spell ability&lt;/i&gt; on page 299 of the &lt;i&gt;Pathfinder RPG Core Rulebook&lt;/i&gt;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makes.&lt;/p&gt;&lt;/h4&gt;&lt;/div&gt;</t>
  </si>
  <si>
    <t>Unlock Flesh</t>
  </si>
  <si>
    <t>V, S,F (any slashing weapon or cutting tool)</t>
  </si>
  <si>
    <t>1 round/level (living target) or instantaneous (undead target); see below</t>
  </si>
  <si>
    <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t>
  </si>
  <si>
    <t>&lt;p&gt;By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effects.&lt;/p&gt;</t>
  </si>
  <si>
    <t>&lt;link rel="stylesheet"href="PF.css"&gt;&lt;div class="heading"&gt;&lt;p class="alignleft"&gt;Unlock Flesh&lt;/p&gt;&lt;div style="clear: both;"&gt;&lt;/div&gt;&lt;/div&gt;&lt;div&gt;&lt;h5&gt;&lt;b&gt;School &lt;/b&gt;necromancy; &lt;b&gt;Level &lt;/b&gt;sorcerer/wizard 1, witch 1&lt;/h5&gt;&lt;/div&gt;&lt;hr/&gt;&lt;div&gt;&lt;h5&gt;&lt;b&gt;CASTING&lt;/b&gt;&lt;/h5&gt;&lt;/div&gt;&lt;hr/&gt;&lt;div&gt;&lt;h5&gt;&lt;b&gt;Casting Time &lt;/b&gt;1 standard action&lt;/h5&gt;&lt;h5&gt;&lt;b&gt;Components &lt;/b&gt;V, S,F (any slashing weapon or cutting tool)&lt;/h5&gt;&lt;/div&gt;&lt;hr/&gt;&lt;div&gt;&lt;h5&gt;&lt;b&gt;EFFECT&lt;/b&gt;&lt;/h5&gt;&lt;/div&gt;&lt;hr/&gt;&lt;div&gt;&lt;h5&gt;&lt;b&gt;Range &lt;/b&gt;touch&lt;/h5&gt;&lt;h5&gt;&lt;b&gt;Area &lt;/b&gt;creature touched&lt;/h5&gt;&lt;h5&gt;&lt;b&gt;Duration &lt;/b&gt;1 round/level (living target) or instantaneous (undead target); see below&lt;/h5&gt;&lt;h5&gt;&lt;b&gt;Saving Throw &lt;/b&gt;Fort negates; &lt;b&gt;Spell Resistance &lt;/b&gt;yes&lt;/h5&gt;&lt;/div&gt;&lt;hr/&gt;&lt;div&gt;&lt;h5&gt;&lt;b&gt;DESCRIPTION&lt;/b&gt;&lt;/h5&gt;&lt;/div&gt;&lt;hr/&gt;&lt;div&gt;&lt;h4&gt;&lt;p&gt;By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effects.&lt;/p&gt;&lt;/h4&gt;&lt;/div&gt;</t>
  </si>
  <si>
    <t>Bit Of Luck</t>
  </si>
  <si>
    <t>alchemist 4, bard 3, cleric/oracle 4, psychic 4, shaman 4, sorcerer/wizard 4, witch 4</t>
  </si>
  <si>
    <t>V, S, M (a four-leaf clover)</t>
  </si>
  <si>
    <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t>
  </si>
  <si>
    <t>&lt;p&gt;For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bonus.&lt;/p&gt;</t>
  </si>
  <si>
    <t>Blood Of The Beast</t>
  </si>
  <si>
    <t>&lt;link rel="stylesheet"href="PF.css"&gt;&lt;div class="heading"&gt;&lt;p class="alignleft"&gt;Bit Of Luck&lt;/p&gt;&lt;div style="clear: both;"&gt;&lt;/div&gt;&lt;/div&gt;&lt;div&gt;&lt;h5&gt;&lt;b&gt;School &lt;/b&gt;evocation; &lt;b&gt;Level &lt;/b&gt;alchemist 4, bard 3, cleric/oracle 4, psychic 4, shaman 4, sorcerer/wizard 4, witch 4&lt;/h5&gt;&lt;/div&gt;&lt;hr/&gt;&lt;div&gt;&lt;h5&gt;&lt;b&gt;CASTING&lt;/b&gt;&lt;/h5&gt;&lt;/div&gt;&lt;hr/&gt;&lt;div&gt;&lt;h5&gt;&lt;b&gt;Casting Time &lt;/b&gt;1 standard action&lt;/h5&gt;&lt;h5&gt;&lt;b&gt;Components &lt;/b&gt;V, S, M (a four-leaf clover)&lt;/h5&gt;&lt;/div&gt;&lt;hr/&gt;&lt;div&gt;&lt;h5&gt;&lt;b&gt;EFFECT&lt;/b&gt;&lt;/h5&gt;&lt;/div&gt;&lt;hr/&gt;&lt;div&gt;&lt;h5&gt;&lt;b&gt;Range &lt;/b&gt;personal&lt;/h5&gt;&lt;h5&gt;&lt;b&gt;Targets &lt;/b&gt;you&lt;/h5&gt;&lt;h5&gt;&lt;b&gt;Duration &lt;/b&gt;10 minutes/level&lt;/h5&gt;&lt;/div&gt;&lt;hr/&gt;&lt;div&gt;&lt;h5&gt;&lt;b&gt;DESCRIPTION&lt;/b&gt;&lt;/h5&gt;&lt;/div&gt;&lt;hr/&gt;&lt;div&gt;&lt;h4&gt;&lt;p&gt;For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bonus.&lt;/p&gt;&lt;/h4&gt;&lt;/div&gt;</t>
  </si>
  <si>
    <t>Curse Of Befouled Fortune</t>
  </si>
  <si>
    <t>antipaladin 3, bloodrager 4, cleric/oracle 3, shaman 3, sorcerer/wizard 4, spiritualist 3, witch 3</t>
  </si>
  <si>
    <t>You curse the target, making it incredibly unlucky. While affected by curse of befouled fortune,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break enchantment, limited wish, miracle, remove curse, or wish spell.</t>
  </si>
  <si>
    <t>&lt;p&gt;You curse the target, making it incredibly unlucky. While affected by &lt;i&gt;curse of befouled fortune&lt;/i&gt;,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&lt;i&gt;break enchantment&lt;/i&gt;, &lt;i&gt;limited &lt;i&gt;wish&lt;/i&gt;&lt;/i&gt;, &lt;i&gt;miracle&lt;/i&gt;, &lt;i&gt;remove curse&lt;/i&gt;, or &lt;i&gt;wish&lt;/i&gt; spell.&lt;/p&gt;</t>
  </si>
  <si>
    <t>&lt;link rel="stylesheet"href="PF.css"&gt;&lt;div class="heading"&gt;&lt;p class="alignleft"&gt;Curse Of Befouled Fortune&lt;/p&gt;&lt;div style="clear: both;"&gt;&lt;/div&gt;&lt;/div&gt;&lt;div&gt;&lt;h5&gt;&lt;b&gt;School &lt;/b&gt;necromancy [curse]; &lt;b&gt;Level &lt;/b&gt;antipaladin 3, bloodrager 4, cleric/oracle 3, shaman 3, sorcerer/wizard 4, spiritualist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curse the target, making it incredibly unlucky. While affected by &lt;i&gt;curse of befouled fortune&lt;/i&gt;,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&lt;i&gt;break enchantment&lt;/i&gt;, &lt;i&gt;limited &lt;i&gt;wish&lt;/i&gt;&lt;/i&gt;, &lt;i&gt;miracle&lt;/i&gt;, &lt;i&gt;remove curse&lt;/i&gt;, or &lt;i&gt;wish&lt;/i&gt; spell.&lt;/p&gt;&lt;/h4&gt;&lt;/div&gt;</t>
  </si>
  <si>
    <t>Pouncing Fury</t>
  </si>
  <si>
    <t>alchemist 2, bloodrager 2, druid 2, magus 2, ranger 2, sorcerer/wizard 2, witch 2</t>
  </si>
  <si>
    <t>While this spell is active, whenever you make a charge, you can attack with all claw natural attacks you have as part of the attack, as per the pounce universal monster rule (Pathfinder RPG Bestiary 302). I f you h ave additional abilities that g rant a bonus to damage on a charge, only the first attack benefits from these bonuses. Additionally, when you make an attack of opportunity, you can expend one additional attack of opportunity that round to make one additional claw attack against the target.</t>
  </si>
  <si>
    <t>&lt;p&gt;While this spell is active, whenever you make a charge, you can attack with all claw natural attacks you have as part of the attack, as per the pounce universal monster rule (&lt;i&gt;Pathfinder RPG Bestiary&lt;/i&gt; 302). I f you h ave additional abilities that g rant a bonus to damage on a charge, only the first attack benefits from these bonuses. Additionally, when you make an attack of opportunity, you can expend one additional attack of opportunity that round to make one additional claw attack against the target.&lt;/p&gt;</t>
  </si>
  <si>
    <t>&lt;link rel="stylesheet"href="PF.css"&gt;&lt;div class="heading"&gt;&lt;p class="alignleft"&gt;Pouncing Fury&lt;/p&gt;&lt;div style="clear: both;"&gt;&lt;/div&gt;&lt;/div&gt;&lt;div&gt;&lt;h5&gt;&lt;b&gt;School &lt;/b&gt;transmutation (polymorph); &lt;b&gt;Level &lt;/b&gt;alchemist 2, bloodrager 2, druid 2, magus 2, ranger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round/level&lt;/h5&gt;&lt;/div&gt;&lt;hr/&gt;&lt;div&gt;&lt;h5&gt;&lt;b&gt;DESCRIPTION&lt;/b&gt;&lt;/h5&gt;&lt;/div&gt;&lt;hr/&gt;&lt;div&gt;&lt;h4&gt;&lt;p&gt;While this spell is active, whenever you make a charge, you can attack with all claw natural attacks you have as part of the attack, as per the pounce universal monster rule (&lt;i&gt;Pathfinder RPG Bestiary&lt;/i&gt; 302). I f you h ave additional abilities that g rant a bonus to damage on a charge, only the first attack benefits from these bonuses. Additionally, when you make an attack of opportunity, you can expend one additional attack of opportunity that round to make one additional claw attack against the target.&lt;/p&gt;&lt;/h4&gt;&lt;/div&gt;</t>
  </si>
  <si>
    <t>Batrachian Surge</t>
  </si>
  <si>
    <t>bloodrager 1, druid 1, inquisitor 1, ranger 1, summoner 1</t>
  </si>
  <si>
    <t>1 round + 1 round/3 levels (D)</t>
  </si>
  <si>
    <t>You tap into your latent amphibian strengths, unlocking a short-lived physical talent. Armor or gear you are wearing adjusts to your new shape for the duration of the spell. When you cast batrachian surge, choose one of the following features to gain its associated benefits. You can have only one batrachian surge spell active on you at a time.  Gills: Your throat expands, and gill slits appear along your neck. You can breathe underwater.  Leaping: Your legs elongate and become especially muscular. You are always treated as having a running start when attempting Acrobatics checks to jump, and you gain a competence bonus on Acrobatics checks to jump equal to your caster level.  Swimming: You grow a large tadpole tail, and your other limbs shrink slightly. You gain a swim speed equal to your base land speed.  Tongue: Your tongue extends to the length of your body. Increase your reach by 5 feet when delivering touch spells. This increased reach doesn't stack with any other spells or abilities that affect your reach.</t>
  </si>
  <si>
    <t>&lt;p&gt;You tap into your latent amphibian strengths, unlocking a short-lived physical talent. Armor or gear you are wearing adjusts to your new shape for the duration of the spell. When you cast &lt;i&gt;batrachian surge&lt;/i&gt;, choose one of the following features to gain its associated benefits. You can have only one &lt;i&gt;batrachian surge&lt;/i&gt; spell active on you at a time.  &lt;b&gt;Gills&lt;/b&gt;: Your throat expands, and gill slits appear along your neck. You can breathe underwater.  &lt;b&gt;Leaping&lt;/b&gt;: Your legs elongate and become especially muscular. You are always treated as having a running start when attempting Acrobatics checks to jump, and you gain a competence bonus on Acrobatics checks to jump equal to your caster level.  &lt;b&gt;Swimming&lt;/b&gt;: You grow a large tadpole tail, and your other limbs shrink slightly. You gain a swim speed equal to your base land speed.  &lt;b&gt;Tongue&lt;/b&gt;: Your tongue extends to the length of your body. Increase your reach by 5 feet when delivering touch spells. This increased reach doesn't stack with any other spells or abilities that affect your reach.&lt;/p&gt;</t>
  </si>
  <si>
    <t>&lt;link rel="stylesheet"href="PF.css"&gt;&lt;div class="heading"&gt;&lt;p class="alignleft"&gt;Batrachian Surge&lt;/p&gt;&lt;div style="clear: both;"&gt;&lt;/div&gt;&lt;/div&gt;&lt;div&gt;&lt;h5&gt;&lt;b&gt;School &lt;/b&gt;transmutation; &lt;b&gt;Level &lt;/b&gt;bloodrager 1, druid 1, inquisitor 1, ranger 1, summoner 1&lt;/h5&gt;&lt;/div&gt;&lt;hr/&gt;&lt;div&gt;&lt;h5&gt;&lt;b&gt;CASTING&lt;/b&gt;&lt;/h5&gt;&lt;/div&gt;&lt;hr/&gt;&lt;div&gt;&lt;h5&gt;&lt;b&gt;Casting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 + 1 round/3 levels (D)&lt;/h5&gt;&lt;h5&gt;&lt;b&gt;Saving Throw &lt;/b&gt;none; &lt;b&gt;Spell Resistance &lt;/b&gt;yes (harmless)&lt;/h5&gt;&lt;/div&gt;&lt;hr/&gt;&lt;div&gt;&lt;h5&gt;&lt;b&gt;DESCRIPTION&lt;/b&gt;&lt;/h5&gt;&lt;/div&gt;&lt;hr/&gt;&lt;div&gt;&lt;h4&gt;&lt;p&gt;You tap into your latent amphibian strengths, unlocking a short-lived physical talent. Armor or gear you are wearing adjusts to your new shape for the duration of the spell. When you cast &lt;i&gt;batrachian surge&lt;/i&gt;, choose one of the following features to gain its associated benefits. You can have only one &lt;i&gt;batrachian surge&lt;/i&gt; spell active on you at a time.  &lt;b&gt;Gills&lt;/b&gt;: Your throat expands, and gill slits appear along your neck. You can breathe underwater.  &lt;b&gt;Leaping&lt;/b&gt;: Your legs elongate and become especially muscular. You are always treated as having a running start when attempting Acrobatics checks to jump, and you gain a competence bonus on Acrobatics checks to jump equal to your caster level.  &lt;b&gt;Swimming&lt;/b&gt;: You grow a large tadpole tail, and your other limbs shrink slightly. You gain a swim speed equal to your base land speed.  &lt;b&gt;Tongue&lt;/b&gt;: Your tongue extends to the length of your body. Increase your reach by 5 feet when delivering touch spells. This increased reach doesn't stack with any other spells or abilities that affect your reach.&lt;/p&gt;&lt;/h4&gt;&lt;/div&gt;</t>
  </si>
  <si>
    <t>Sweat Poison</t>
  </si>
  <si>
    <t>alchemist 2, druid 3, inquisitor 3, ranger 2</t>
  </si>
  <si>
    <t>Glands along your neck, back, or wrists swell and exude a viscous injury poison (save Fort DC 14; frequency 1/round for 4 rounds; effect 1d2 Str; cure 1 save).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save DC increases by 1, the number of rounds it lasts increases by 1/2 (round down), and the number of saves required to cure it increases by 1/4 (round down). If you have the toxic skin alternate racial trait (Advanced Race Guide 190), you can expend one daily use as a free action to enhance this spell's poison's damage to 1d3 Strength and its starting save DC to 15.</t>
  </si>
  <si>
    <t>&lt;p&gt;Glands along your neck, back, or wrists swell and exude a viscous injury poison (&lt;i&gt;save&lt;/i&gt; Fort DC 14; &lt;i&gt;frequency&lt;/i&gt; 1/round for 4 rounds; &lt;i&gt;effect&lt;/i&gt; 1d2 Str; &lt;i&gt;cure&lt;/i&gt; 1 &lt;i&gt;save&lt;/i&gt;).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&lt;i&gt;save&lt;/i&gt; DC increases by 1, the number of rounds it lasts increases by 1/2 (round down), and the number of &lt;i&gt;save&lt;/i&gt;s required to &lt;i&gt;cure&lt;/i&gt; it increases by 1/4 (round down). If you have the toxic skin alternate racial trait (&lt;i&gt;Advanced Race Guide&lt;/i&gt; 190), you can expend one daily use as a free action to enhance this spell's poison's damage to 1d3 Strength and its starting &lt;i&gt;save&lt;/i&gt; DC to 15.&lt;/p&gt;</t>
  </si>
  <si>
    <t>&lt;link rel="stylesheet"href="PF.css"&gt;&lt;div class="heading"&gt;&lt;p class="alignleft"&gt;Sweat Poison&lt;/p&gt;&lt;div style="clear: both;"&gt;&lt;/div&gt;&lt;/div&gt;&lt;div&gt;&lt;h5&gt;&lt;b&gt;School &lt;/b&gt;necromancy [poison]; &lt;b&gt;Level &lt;/b&gt;alchemist 2, druid 3, inquisitor 3, ranger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&lt;/b&gt;no&lt;/h5&gt;&lt;/div&gt;&lt;hr/&gt;&lt;div&gt;&lt;h5&gt;&lt;b&gt;DESCRIPTION&lt;/b&gt;&lt;/h5&gt;&lt;/div&gt;&lt;hr/&gt;&lt;div&gt;&lt;h4&gt;&lt;p&gt;Glands along your neck, back, or wrists swell and exude a viscous injury poison (&lt;i&gt;save&lt;/i&gt; Fort DC 14; &lt;i&gt;frequency&lt;/i&gt; 1/round for 4 rounds; &lt;i&gt;effect&lt;/i&gt; 1d2 Str; &lt;i&gt;cure&lt;/i&gt; 1 &lt;i&gt;save&lt;/i&gt;).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&lt;i&gt;save&lt;/i&gt; DC increases by 1, the number of rounds it lasts increases by 1/2 (round down), and the number of &lt;i&gt;save&lt;/i&gt;s required to &lt;i&gt;cure&lt;/i&gt; it increases by 1/4 (round down). If you have the toxic skin alternate racial trait (&lt;i&gt;Advanced Race Guide&lt;/i&gt; 190), you can expend one daily use as a free action to enhance this spell's poison's damage to 1d3 Strength and its starting &lt;i&gt;save&lt;/i&gt; DC to 15.&lt;/p&gt;&lt;/h4&gt;&lt;/div&gt;</t>
  </si>
  <si>
    <t>Contagious Suggestion</t>
  </si>
  <si>
    <t>bard 4, medium 4, mesmerist 4, occultist 5, psychic 5, sorcerer/wizard 5, witch 5</t>
  </si>
  <si>
    <t>1 hour/level or until completed (D)</t>
  </si>
  <si>
    <t>This spell functions as per suggestion, except the target can pass on the enchantment to other targets. The target is compelled to communicate your suggestion to another creature, forcing the new target to attempt a saving throw as if it were the initial target. If a secondary target successfully saves, the suggestion effect on the initial target isn't negated. If a secondary target fails, it is placed under the same compulsion as the initial target and can further spread the suggestion. This spell can affect a total number of Hit Dice of creatures equal to your caster level. Creatures that save against this spell cannot be affected by that particular casting of contagious suggestion for 24 hours.</t>
  </si>
  <si>
    <t>&lt;p&gt;This spell functions as per &lt;i&gt;suggestion&lt;/i&gt;, except the target can pass on the enchantment to other targets. The target is compelled to communicate your &lt;i&gt;suggestion&lt;/i&gt; to another creature, forcing the new target to attempt a saving throw as if it were the initial target. If a secondary target successfully saves, the &lt;i&gt;suggestion&lt;/i&gt; effect on the initial target isn't negated. If a secondary target fails, it is placed under the same compulsion as the initial target and can further spread the &lt;i&gt;suggestion&lt;/i&gt;. This spell can affect a total number of Hit Dice of creatures equal to your caster level. Creatures that save against this spell cannot be affected by that particular casting of contagious &lt;i&gt;suggestion&lt;/i&gt; for 24 hours.&lt;/p&gt;</t>
  </si>
  <si>
    <t>&lt;link rel="stylesheet"href="PF.css"&gt;&lt;div class="heading"&gt;&lt;p class="alignleft"&gt;Contagious Suggestion&lt;/p&gt;&lt;div style="clear: both;"&gt;&lt;/div&gt;&lt;/div&gt;&lt;div&gt;&lt;h5&gt;&lt;b&gt;School &lt;/b&gt;enchantment (compulsion) [language-dependent, mind-affecting]; &lt;b&gt;Level &lt;/b&gt;bard 4, medium 4, mesmerist 4, occultist 5, psychic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living creature&lt;/h5&gt;&lt;h5&gt;&lt;b&gt;Duration &lt;/b&gt;1 hour/level or until completed (D)&lt;/h5&gt;&lt;/div&gt;&lt;hr/&gt;&lt;div&gt;&lt;h5&gt;&lt;b&gt;DESCRIPTION&lt;/b&gt;&lt;/h5&gt;&lt;/div&gt;&lt;hr/&gt;&lt;div&gt;&lt;h4&gt;&lt;p&gt;This spell functions as per &lt;i&gt;suggestion&lt;/i&gt;, except the target can pass on the enchantment to other targets. The target is compelled to communicate your &lt;i&gt;suggestion&lt;/i&gt; to another creature, forcing the new target to attempt a saving throw as if it were the initial target. If a secondary target successfully saves, the &lt;i&gt;suggestion&lt;/i&gt; effect on the initial target isn't negated. If a secondary target fails, it is placed under the same compulsion as the initial target and can further spread the &lt;i&gt;suggestion&lt;/i&gt;. This spell can affect a total number of Hit Dice of creatures equal to your caster level. Creatures that save against this spell cannot be affected by that particular casting of contagious &lt;i&gt;suggestion&lt;/i&gt; for 24 hours.&lt;/p&gt;&lt;/h4&gt;&lt;/div&gt;</t>
  </si>
  <si>
    <t>Gullibility</t>
  </si>
  <si>
    <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gullibility increases by one step; an impossible lie seems far-fetched, a far-fetched lie seems unlikely, and an unlikely lie seems believable.  A creature gains no benefits from glibness on B luff checks to lie to or deceive a creature that is under the effects of gullibility; in effect, gullibility r enders a t arget s o w illing t o believe what others say that glibness cannot make their words any more believable.</t>
  </si>
  <si>
    <t>&lt;p&gt;You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&lt;i&gt;gullibility&lt;/i&gt; increases by one step; an impossible lie seems far-fetched, a far-fetched lie seems unlikely, and an unlikely lie seems believable.  A creature gains no benefits from &lt;i&gt;glibness&lt;/i&gt; on B luff checks to lie to or deceive a creature that is under the effects of &lt;i&gt;gullibility&lt;/i&gt;; in effect, &lt;i&gt;gullibility&lt;/i&gt; r enders a t arget s o w illing t o believe what others say that &lt;i&gt;glibness&lt;/i&gt; cannot make their words any more believable.&lt;/p&gt;</t>
  </si>
  <si>
    <t>&lt;link rel="stylesheet"href="PF.css"&gt;&lt;div class="heading"&gt;&lt;p class="alignleft"&gt;Gullibility&lt;/p&gt;&lt;div style="clear: both;"&gt;&lt;/div&gt;&lt;/div&gt;&lt;div&gt;&lt;h5&gt;&lt;b&gt;School &lt;/b&gt;enchantment (charm) [mind-affecting]; &lt;b&gt;Level &lt;/b&gt;antipaladin 3, bard 3, inquisitor 3, mesmerist 3,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&lt;/b&gt;10 minutes/level (D)&lt;/h5&gt;&lt;h5&gt;&lt;b&gt;Saving Throw &lt;/b&gt;Will negates; &lt;b&gt;Spell Resistance &lt;/b&gt;yes&lt;/h5&gt;&lt;/div&gt;&lt;hr/&gt;&lt;div&gt;&lt;h5&gt;&lt;b&gt;DESCRIPTION&lt;/b&gt;&lt;/h5&gt;&lt;/div&gt;&lt;hr/&gt;&lt;div&gt;&lt;h4&gt;&lt;p&gt;You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&lt;i&gt;gullibility&lt;/i&gt; increases by one step; an impossible lie seems far-fetched, a far-fetched lie seems unlikely, and an unlikely lie seems believable.  A creature gains no benefits from &lt;i&gt;glibness&lt;/i&gt; on B luff checks to lie to or deceive a creature that is under the effects of &lt;i&gt;gullibility&lt;/i&gt;; in effect, &lt;i&gt;gullibility&lt;/i&gt; r enders a t arget s o w illing t o believe what others say that &lt;i&gt;glibness&lt;/i&gt; cannot make their words any more believable.&lt;/p&gt;&lt;/h4&gt;&lt;/div&gt;</t>
  </si>
  <si>
    <t>Hypnotism, Greater</t>
  </si>
  <si>
    <t>bard 4, mesmerist 4, occultist 4, psychic 4, sorcerer/wizard 4, witch 4</t>
  </si>
  <si>
    <t>This functions as hypnotism, except it affects 2 Hit Die of creatures per caster level you have. You can make up to five requests (instead of a single request) to each creature affected by the spell, and the requests can be as long and as complicated as you desire (though they still must be reasonable).</t>
  </si>
  <si>
    <t>&lt;p&gt;This functions as &lt;i&gt;hypnotism&lt;/i&gt;, except it affects 2 Hit Die of creatures per caster level you have. You can make up to five requests (instead of a single request) to each creature affected by the spell, and the requests can be as long and as complicated as you desire (though they still must be reasonable).&lt;/p&gt;</t>
  </si>
  <si>
    <t>&lt;link rel="stylesheet"href="PF.css"&gt;&lt;div class="heading"&gt;&lt;p class="alignleft"&gt;Hypnotism, Greater&lt;/p&gt;&lt;div style="clear: both;"&gt;&lt;/div&gt;&lt;/div&gt;&lt;div&gt;&lt;h5&gt;&lt;b&gt;School &lt;/b&gt;enchantment (compulsion) [mind-affecting]; &lt;b&gt;Level &lt;/b&gt;bard 4, mesmerist 4, occultist 4, psychic 4, sorcerer/wizard 4, witch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&lt;/b&gt;several living creatures, no two of which may be more than 30 ft. apart&lt;/h5&gt;&lt;h5&gt;&lt;b&gt;Duration &lt;/b&gt;10 minutes/level (D)&lt;/h5&gt;&lt;h5&gt;&lt;b&gt;Saving Throw &lt;/b&gt;Will negates; &lt;b&gt;Spell Resistance &lt;/b&gt;yes&lt;/h5&gt;&lt;/div&gt;&lt;hr/&gt;&lt;div&gt;&lt;h5&gt;&lt;b&gt;DESCRIPTION&lt;/b&gt;&lt;/h5&gt;&lt;/div&gt;&lt;hr/&gt;&lt;div&gt;&lt;h4&gt;&lt;p&gt;This functions as &lt;i&gt;hypnotism&lt;/i&gt;, except it affects 2 Hit Die of creatures per caster level you have. You can make up to five requests (instead of a single request) to each creature affected by the spell, and the requests can be as long and as complicated as you desire (though they still must be reasonable).&lt;/p&gt;&lt;/h4&gt;&lt;/div&gt;</t>
  </si>
  <si>
    <t>Metabolic Molting</t>
  </si>
  <si>
    <t>cleric/oracle 6, druid 6, shaman 6, witch 6</t>
  </si>
  <si>
    <t>V, S, M (a valuable gemstone worth at least 250 gp)</t>
  </si>
  <si>
    <t>willing creature or dead body touched</t>
  </si>
  <si>
    <t>You encase the willing subject in a jeweled shell that has the same hardness and hit points as 5 inches of iron (hardness 10, hp 150). For 7 days, the subject enters a state of suspended animation (as per temporal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metabolic molting can bring a target back to life, as long as it has been dead for no more than 1 hour when the spell is cast. When the spell is used on such a creature, the creature comes back to life after 7 days and stabilizes at 0 hit points. A creature brought back to life through metabolic molting gains 1 permanent negative level, or 2 points of Constitution drain if it is 1st level. Like raise dead, this spell can't save creatures slain by death effects.</t>
  </si>
  <si>
    <t>&lt;p&gt;You encase the willing subject in a jeweled shell that has the same hardness and hit points as 5 inches of iron (hardness 10, hp 150). For 7 days, the subject enters a state of suspended animation (as per &lt;i&gt;temporal&lt;/i&gt;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&lt;i&gt;metabolic molting&lt;/i&gt; can bring a target back to life, as long as it has been dead for no more than 1 hour when the spell is cast. When the spell is used on such a creature, the creature comes back to life after 7 days and stabilizes at 0 hit points. A creature brought back to life through &lt;i&gt;metabolic molting&lt;/i&gt; gains 1 permanent negative level, or 2 points of Constitution drain if it is 1st level. Like &lt;i&gt;raise dead&lt;/i&gt;, this spell can't save creatures slain by death effects.&lt;/p&gt;</t>
  </si>
  <si>
    <t>&lt;link rel="stylesheet"href="PF.css"&gt;&lt;div class="heading"&gt;&lt;p class="alignleft"&gt;Metabolic Molting&lt;/p&gt;&lt;div style="clear: both;"&gt;&lt;/div&gt;&lt;/div&gt;&lt;div&gt;&lt;h5&gt;&lt;b&gt;School &lt;/b&gt;transmutation; &lt;b&gt;Level &lt;/b&gt;cleric/oracle 6, druid 6, shaman 6, witch 6&lt;/h5&gt;&lt;/div&gt;&lt;hr/&gt;&lt;div&gt;&lt;h5&gt;&lt;b&gt;CASTING&lt;/b&gt;&lt;/h5&gt;&lt;/div&gt;&lt;hr/&gt;&lt;div&gt;&lt;h5&gt;&lt;b&gt;Casting Time &lt;/b&gt;10 minutes&lt;/h5&gt;&lt;h5&gt;&lt;b&gt;Components &lt;/b&gt;V, S, M (a valuable gemstone worth at least 250 gp)&lt;/h5&gt;&lt;/div&gt;&lt;hr/&gt;&lt;div&gt;&lt;h5&gt;&lt;b&gt;EFFECT&lt;/b&gt;&lt;/h5&gt;&lt;/div&gt;&lt;hr/&gt;&lt;div&gt;&lt;h5&gt;&lt;b&gt;Range &lt;/b&gt;touch&lt;/h5&gt;&lt;h5&gt;&lt;b&gt;Targets &lt;/b&gt;willing creature or dead body touched&lt;/h5&gt;&lt;h5&gt;&lt;b&gt;Duration &lt;/b&gt;see text&lt;/h5&gt;&lt;h5&gt;&lt;b&gt;Saving Throw &lt;/b&gt;Will negates (harmless); &lt;b&gt;Spell Resistance &lt;/b&gt;no&lt;/h5&gt;&lt;/div&gt;&lt;hr/&gt;&lt;div&gt;&lt;h5&gt;&lt;b&gt;DESCRIPTION&lt;/b&gt;&lt;/h5&gt;&lt;/div&gt;&lt;hr/&gt;&lt;div&gt;&lt;h4&gt;&lt;p&gt;You encase the willing subject in a jeweled shell that has the same hardness and hit points as 5 inches of iron (hardness 10, hp 150). For 7 days, the subject enters a state of suspended animation (as per &lt;i&gt;temporal&lt;/i&gt;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&lt;i&gt;metabolic molting&lt;/i&gt; can bring a target back to life, as long as it has been dead for no more than 1 hour when the spell is cast. When the spell is used on such a creature, the creature comes back to life after 7 days and stabilizes at 0 hit points. A creature brought back to life through &lt;i&gt;metabolic molting&lt;/i&gt; gains 1 permanent negative level, or 2 points of Constitution drain if it is 1st level. Like &lt;i&gt;raise dead&lt;/i&gt;, this spell can't save creatures slain by death effects.&lt;/p&gt;&lt;/h4&gt;&lt;/div&gt;</t>
  </si>
  <si>
    <t>Naga Shape I</t>
  </si>
  <si>
    <t>alchemist 4, bloodrager 4, magus 4, sorcerer/wizard 4</t>
  </si>
  <si>
    <t>V, S, M (a piece of the creature whose form you want to assume)</t>
  </si>
  <si>
    <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beast shape II,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t>
  </si>
  <si>
    <t>&lt;p&gt;Whenever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&lt;i&gt;beast shape II&lt;/i&gt;,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scent.&lt;/p&gt;</t>
  </si>
  <si>
    <t>&lt;link rel="stylesheet"href="PF.css"&gt;&lt;div class="heading"&gt;&lt;p class="alignleft"&gt;Naga Shape I&lt;/p&gt;&lt;div style="clear: both;"&gt;&lt;/div&gt;&lt;/div&gt;&lt;div&gt;&lt;h5&gt;&lt;b&gt;School &lt;/b&gt;transmutation (polymorph); &lt;b&gt;Level &lt;/b&gt;alchemist 4, bloodrager 4, magus 4, sorcerer/wizard 4&lt;/h5&gt;&lt;/div&gt;&lt;hr/&gt;&lt;div&gt;&lt;h5&gt;&lt;b&gt;CASTING&lt;/b&gt;&lt;/h5&gt;&lt;/div&gt;&lt;hr/&gt;&lt;div&gt;&lt;h5&gt;&lt;b&gt;Casting Time &lt;/b&gt;1 standard action&lt;/h5&gt;&lt;h5&gt;&lt;b&gt;Components &lt;/b&gt;V, S, M (a piece of the creature whose form you want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&lt;i&gt;beast shape II&lt;/i&gt;,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scent.&lt;/p&gt;&lt;/h4&gt;&lt;/div&gt;</t>
  </si>
  <si>
    <t>Naga Shape II</t>
  </si>
  <si>
    <t>alchemist 5, bloodrager 5, magus 5, sorcerer/wizard 5</t>
  </si>
  <si>
    <t>This spell functions as naga shape I.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t>
  </si>
  <si>
    <t>&lt;p&gt;This spell functions as &lt;i&gt;naga shape I&lt;/i&gt;.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spit.&lt;/p&gt;</t>
  </si>
  <si>
    <t>&lt;link rel="stylesheet"href="PF.css"&gt;&lt;div class="heading"&gt;&lt;p class="alignleft"&gt;Naga Shape II&lt;/p&gt;&lt;div style="clear: both;"&gt;&lt;/div&gt;&lt;/div&gt;&lt;div&gt;&lt;h5&gt;&lt;b&gt;School &lt;/b&gt;transmutation (polymorph); &lt;b&gt;Level &lt;/b&gt;alchemist 5, bloodrager 5, magus 5, sorcerer/wizard 5&lt;/h5&gt;&lt;/div&gt;&lt;hr/&gt;&lt;div&gt;&lt;h5&gt;&lt;b&gt;CASTING&lt;/b&gt;&lt;/h5&gt;&lt;/div&gt;&lt;hr/&gt;&lt;div&gt;&lt;h5&gt;&lt;b&gt;Casting Time &lt;/b&gt;1 standard action&lt;/h5&gt;&lt;h5&gt;&lt;b&gt;Components &lt;/b&gt;V, S, M (a piece of the creature whose form you want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&lt;i&gt;naga shape I&lt;/i&gt;.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spit.&lt;/p&gt;&lt;/h4&gt;&lt;/div&gt;</t>
  </si>
  <si>
    <t>Naga Shape III</t>
  </si>
  <si>
    <t>alchemist 6, bloodrager 6, magus 6, sorcerer/wizard 6</t>
  </si>
  <si>
    <t>This spell functions as naga shape I.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t>
  </si>
  <si>
    <t>&lt;p&gt;This spell functions as &lt;i&gt;naga shape I&lt;/i&gt;.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spit.&lt;/p&gt;</t>
  </si>
  <si>
    <t>&lt;link rel="stylesheet"href="PF.css"&gt;&lt;div class="heading"&gt;&lt;p class="alignleft"&gt;Naga Shape III&lt;/p&gt;&lt;div style="clear: both;"&gt;&lt;/div&gt;&lt;/div&gt;&lt;div&gt;&lt;h5&gt;&lt;b&gt;School &lt;/b&gt;transmutation (polymorph); &lt;b&gt;Level &lt;/b&gt;alchemist 6, bloodrager 6, magus 6, sorcerer/wizard 6&lt;/h5&gt;&lt;/div&gt;&lt;hr/&gt;&lt;div&gt;&lt;h5&gt;&lt;b&gt;CASTING&lt;/b&gt;&lt;/h5&gt;&lt;/div&gt;&lt;hr/&gt;&lt;div&gt;&lt;h5&gt;&lt;b&gt;Casting Time &lt;/b&gt;1 standard action&lt;/h5&gt;&lt;h5&gt;&lt;b&gt;Components &lt;/b&gt;V, S, M (a piece of the creature whose form you want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&lt;i&gt;naga shape I&lt;/i&gt;.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spit.&lt;/p&gt;&lt;/h4&gt;&lt;/div&gt;</t>
  </si>
  <si>
    <t>Depilate</t>
  </si>
  <si>
    <t>bard 1, druid 1, sorcerer/wizard 1, witch 1</t>
  </si>
  <si>
    <t>S, M (a sliver of cow's tongue)</t>
  </si>
  <si>
    <t>one creature with hair or fur</t>
  </si>
  <si>
    <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break enchantment, remove curse, or similar effect instantly regrows the target's hair or fur and removes the spell's effects.</t>
  </si>
  <si>
    <t>&lt;p&gt;This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&lt;i&gt;break enchantment&lt;/i&gt;, &lt;i&gt;remove curse&lt;/i&gt;, or similar effect instantly regrows the target's hair or fur and removes the spell's effects.&lt;/p&gt;</t>
  </si>
  <si>
    <t>&lt;link rel="stylesheet"href="PF.css"&gt;&lt;div class="heading"&gt;&lt;p class="alignleft"&gt;Depilate&lt;/p&gt;&lt;div style="clear: both;"&gt;&lt;/div&gt;&lt;/div&gt;&lt;div&gt;&lt;h5&gt;&lt;b&gt;School &lt;/b&gt;necromancy; &lt;b&gt;Level &lt;/b&gt;bard 1, druid 1, sorcerer/wizard 1, witch 1&lt;/h5&gt;&lt;/div&gt;&lt;hr/&gt;&lt;div&gt;&lt;h5&gt;&lt;b&gt;CASTING&lt;/b&gt;&lt;/h5&gt;&lt;/div&gt;&lt;hr/&gt;&lt;div&gt;&lt;h5&gt;&lt;b&gt;Casting Time &lt;/b&gt;1 round&lt;/h5&gt;&lt;h5&gt;&lt;b&gt;Components &lt;/b&gt;S, M (a sliver of cow's tongue)&lt;/h5&gt;&lt;/div&gt;&lt;hr/&gt;&lt;div&gt;&lt;h5&gt;&lt;b&gt;EFFECT&lt;/b&gt;&lt;/h5&gt;&lt;/div&gt;&lt;hr/&gt;&lt;div&gt;&lt;h5&gt;&lt;b&gt;Range &lt;/b&gt;medium (100 ft. + 10 ft./level)&lt;/h5&gt;&lt;h5&gt;&lt;b&gt;Targets &lt;/b&gt;one creature with hair or fur&lt;/h5&gt;&lt;h5&gt;&lt;b&gt;Duration &lt;/b&gt;instantaneous&lt;/h5&gt;&lt;h5&gt;&lt;b&gt;Saving Throw &lt;/b&gt;Will negates; &lt;b&gt;Spell Resistance &lt;/b&gt;yes&lt;/h5&gt;&lt;/div&gt;&lt;hr/&gt;&lt;div&gt;&lt;h5&gt;&lt;b&gt;DESCRIPTION&lt;/b&gt;&lt;/h5&gt;&lt;/div&gt;&lt;hr/&gt;&lt;div&gt;&lt;h4&gt;&lt;p&gt;This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&lt;i&gt;break enchantment&lt;/i&gt;, &lt;i&gt;remove curse&lt;/i&gt;, or similar effect instantly regrows the target's hair or fur and removes the spell's effects.&lt;/p&gt;&lt;/h4&gt;&lt;/div&gt;</t>
  </si>
  <si>
    <t>Fumblestep</t>
  </si>
  <si>
    <t>mesmerist 1, sorcerer/wizard 1, spiritualist 1, witch 1</t>
  </si>
  <si>
    <t>V, S, M (a sharp pebble)</t>
  </si>
  <si>
    <t>Fumblestep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t>
  </si>
  <si>
    <t>&lt;p&gt;&lt;i&gt;Fumblestep&lt;/i&gt;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effects.&lt;/p&gt;</t>
  </si>
  <si>
    <t>&lt;link rel="stylesheet"href="PF.css"&gt;&lt;div class="heading"&gt;&lt;p class="alignleft"&gt;Fumblestep&lt;/p&gt;&lt;div style="clear: both;"&gt;&lt;/div&gt;&lt;/div&gt;&lt;div&gt;&lt;h5&gt;&lt;b&gt;School &lt;/b&gt;conjuration; &lt;b&gt;Level &lt;/b&gt;mesmerist 1, sorcerer/wizard 1, spiritualist 1, witch 1&lt;/h5&gt;&lt;/div&gt;&lt;hr/&gt;&lt;div&gt;&lt;h5&gt;&lt;b&gt;CASTING&lt;/b&gt;&lt;/h5&gt;&lt;/div&gt;&lt;hr/&gt;&lt;div&gt;&lt;h5&gt;&lt;b&gt;Casting Time &lt;/b&gt;1 standard action&lt;/h5&gt;&lt;h5&gt;&lt;b&gt;Components &lt;/b&gt;V, S, M (a sharp pebble)&lt;/h5&gt;&lt;/div&gt;&lt;hr/&gt;&lt;div&gt;&lt;h5&gt;&lt;b&gt;EFFECT&lt;/b&gt;&lt;/h5&gt;&lt;/div&gt;&lt;hr/&gt;&lt;div&gt;&lt;h5&gt;&lt;b&gt;Range &lt;/b&gt;close (25 ft. + 5 ft./2 levels)&lt;/h5&gt;&lt;h5&gt;&lt;b&gt;Targets &lt;/b&gt;one creature&lt;/h5&gt;&lt;h5&gt;&lt;b&gt;Duration &lt;/b&gt;1 minute/level or until discharged (see text)&lt;/h5&gt;&lt;h5&gt;&lt;b&gt;Saving Throw &lt;/b&gt;none (see text); &lt;b&gt;Spell Resistance &lt;/b&gt;yes&lt;/h5&gt;&lt;/div&gt;&lt;hr/&gt;&lt;div&gt;&lt;h5&gt;&lt;b&gt;DESCRIPTION&lt;/b&gt;&lt;/h5&gt;&lt;/div&gt;&lt;hr/&gt;&lt;div&gt;&lt;h4&gt;&lt;p&gt;&lt;i&gt;Fumblestep&lt;/i&gt;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effects.&lt;/p&gt;&lt;/h4&gt;&lt;/div&gt;</t>
  </si>
  <si>
    <t>Lightfingers</t>
  </si>
  <si>
    <t>psychic 1, spiritualist 1, witch 1</t>
  </si>
  <si>
    <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lightfingers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t>
  </si>
  <si>
    <t>&lt;p&gt;A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&lt;i&gt;lightfingers&lt;/i&gt;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obvious.&lt;/p&gt;</t>
  </si>
  <si>
    <t>&lt;link rel="stylesheet"href="PF.css"&gt;&lt;div class="heading"&gt;&lt;p class="alignleft"&gt;Lightfingers&lt;/p&gt;&lt;div style="clear: both;"&gt;&lt;/div&gt;&lt;/div&gt;&lt;div&gt;&lt;h5&gt;&lt;b&gt;School &lt;/b&gt;transmutation; &lt;b&gt;Level &lt;/b&gt;psychic 1, spiritualist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&lt;i&gt;lightfingers&lt;/i&gt;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obvious.&lt;/p&gt;&lt;/h4&gt;&lt;/div&gt;</t>
  </si>
  <si>
    <t>Amnesia</t>
  </si>
  <si>
    <t>bard 4, medium 3, mesmerist 4, psychic 4, sorcerer/wizard 4</t>
  </si>
  <si>
    <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amnesia. It retains its base attack bonus, saving throws bonuses, Combat Maneuver Bonus, Combat Maneuver Defense, total experience points, Hit Dice, and hit points. If the target gains a character level while suffering from amnesia, it can use any abilities gained by that class level normally. If the class level it gained was from a class in which it already has levels, it gains the abilities of a 1st-level character of that class, even though it is technically of a higher level in that class. If the amnesia is cured, the target regains the full abilities of the class, including those gained from any levels taken while suffering from this condition. Amnesia can be removed only by heal, limited wish, miracle, psychic surgeryOA, or wish.</t>
  </si>
  <si>
    <t>&lt;p&gt;You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&lt;i&gt;amnesia&lt;/i&gt;. It retains its base attack bonus, saving throws bonuses, Combat Maneuver Bonus, Combat Maneuver Defense, total experience points, Hit Dice, and hit points. If the target gains a character level while suffering from &lt;i&gt;amnesia&lt;/i&gt;, it can use any abilities gained by that class level normally. If the class level it gained was from a class in which it already has levels, it gains the abilities of a 1st-level character of that class, even though it is technically of a higher level in that class. If the &lt;i&gt;amnesia&lt;/i&gt; is cured, the target regains the full abilities of the class, including those gained from any levels taken while suffering from this condition. &lt;i&gt;Amnesia&lt;/i&gt; can be removed only by &lt;i&gt;heal&lt;/i&gt;, &lt;i&gt;limited &lt;i&gt;wish&lt;/i&gt;&lt;/i&gt;, &lt;i&gt;miracle&lt;/i&gt;, &lt;i&gt;psychic&lt;/i&gt; surgeryOA, or &lt;i&gt;wish&lt;/i&gt;.&lt;/p&gt;</t>
  </si>
  <si>
    <t>Villain Codex</t>
  </si>
  <si>
    <t>&lt;link rel="stylesheet"href="PF.css"&gt;&lt;div class="heading"&gt;&lt;p class="alignleft"&gt;Amnesia&lt;/p&gt;&lt;div style="clear: both;"&gt;&lt;/div&gt;&lt;/div&gt;&lt;div&gt;&lt;h5&gt;&lt;b&gt;School &lt;/b&gt;enchantment (compulsion) [mind-affecting]; &lt;b&gt;Level &lt;/b&gt;bard 4, medium 3, mesmerist 4, psychic 4, sorcerer/wizard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&lt;i&gt;amnesia&lt;/i&gt;. It retains its base attack bonus, saving throws bonuses, Combat Maneuver Bonus, Combat Maneuver Defense, total experience points, Hit Dice, and hit points. If the target gains a character level while suffering from &lt;i&gt;amnesia&lt;/i&gt;, it can use any abilities gained by that class level normally. If the class level it gained was from a class in which it already has levels, it gains the abilities of a 1st-level character of that class, even though it is technically of a higher level in that class. If the &lt;i&gt;amnesia&lt;/i&gt; is cured, the target regains the full abilities of the class, including those gained from any levels taken while suffering from this condition. &lt;i&gt;Amnesia&lt;/i&gt; can be removed only by &lt;i&gt;heal&lt;/i&gt;, &lt;i&gt;limited &lt;i&gt;wish&lt;/i&gt;&lt;/i&gt;, &lt;i&gt;miracle&lt;/i&gt;, &lt;i&gt;psychic&lt;/i&gt; surgeryOA, or &lt;i&gt;wish&lt;/i&gt;.&lt;/p&gt;&lt;/h4&gt;&lt;/div&gt;</t>
  </si>
  <si>
    <t>Appearance Of Life, Greater</t>
  </si>
  <si>
    <t>cleric/oracle 5, medium 4, mesmerist 5, psychic 5, sorcerer/wizard 5, spiritualist 4, witch 5</t>
  </si>
  <si>
    <t>one willing undead creature touched</t>
  </si>
  <si>
    <t>This spell functions as appearance of life (Pathfinder RPG Horror Adventures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t>
  </si>
  <si>
    <t>&lt;p&gt;This spell functions as &lt;i&gt;appearance of life&lt;/i&gt; (Pathfinder &lt;i&gt;RPG Horror Adventures&lt;/i&gt;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penalty.&lt;/p&gt;</t>
  </si>
  <si>
    <t>&lt;link rel="stylesheet"href="PF.css"&gt;&lt;div class="heading"&gt;&lt;p class="alignleft"&gt;Appearance Of Life, Greater&lt;/p&gt;&lt;div style="clear: both;"&gt;&lt;/div&gt;&lt;/div&gt;&lt;div&gt;&lt;h5&gt;&lt;b&gt;School &lt;/b&gt;illusion (glamer); &lt;b&gt;Level &lt;/b&gt;cleric/oracle 5, medium 4, mesmerist 5, psychic 5, sorcerer/wizard 5, spiritualist 4, witch 5&lt;/h5&gt;&lt;/div&gt;&lt;hr/&gt;&lt;div&gt;&lt;h5&gt;&lt;b&gt;CASTING&lt;/b&gt;&lt;/h5&gt;&lt;/div&gt;&lt;hr/&gt;&lt;div&gt;&lt;h5&gt;&lt;b&gt;Casting Time &lt;/b&gt;1 round&lt;/h5&gt;&lt;h5&gt;&lt;b&gt;Components &lt;/b&gt;V, S, M (one Tiny or larger living creature)&lt;/h5&gt;&lt;/div&gt;&lt;hr/&gt;&lt;div&gt;&lt;h5&gt;&lt;b&gt;EFFECT&lt;/b&gt;&lt;/h5&gt;&lt;/div&gt;&lt;hr/&gt;&lt;div&gt;&lt;h5&gt;&lt;b&gt;Range &lt;/b&gt;touch&lt;/h5&gt;&lt;h5&gt;&lt;b&gt;Targets &lt;/b&gt;one willing undead creature touched&lt;/h5&gt;&lt;h5&gt;&lt;b&gt;Duration &lt;/b&gt;1 hour/level&lt;/h5&gt;&lt;h5&gt;&lt;b&gt;Saving Throw &lt;/b&gt;Will disbelief or Will negates (see text); &lt;b&gt;Spell Resistance &lt;/b&gt;no&lt;/h5&gt;&lt;/div&gt;&lt;hr/&gt;&lt;div&gt;&lt;h5&gt;&lt;b&gt;DESCRIPTION&lt;/b&gt;&lt;/h5&gt;&lt;/div&gt;&lt;hr/&gt;&lt;div&gt;&lt;h4&gt;&lt;p&gt;This spell functions as &lt;i&gt;appearance of life&lt;/i&gt; (Pathfinder &lt;i&gt;RPG Horror Adventures&lt;/i&gt;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penalty.&lt;/p&gt;&lt;/h4&gt;&lt;/div&gt;</t>
  </si>
  <si>
    <t>Covetous Urge</t>
  </si>
  <si>
    <t>curse, language-dependent, mind-affecting</t>
  </si>
  <si>
    <t>bard 2, sorcerer/wizard 2, summoner 2, witch 2</t>
  </si>
  <si>
    <t>V, S, M (a golden coin)</t>
  </si>
  <si>
    <t>one living creature with 7 HD or fewer</t>
  </si>
  <si>
    <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Break enchantment, limited wish, miracle, remove curse, or wish can each end covetous urge before the duration expires. Dispel magic does not affect covetous urge.</t>
  </si>
  <si>
    <t>&lt;p&gt;You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&lt;i&gt;Break enchantment&lt;/i&gt;, &lt;i&gt;limited &lt;i&gt;wish&lt;/i&gt;&lt;/i&gt;, &lt;i&gt;miracle&lt;/i&gt;, &lt;i&gt;remove curse&lt;/i&gt;, or &lt;i&gt;wish&lt;/i&gt; can each end &lt;i&gt;covetous urge&lt;/i&gt; before the duration expires. &lt;i&gt;Dispel magic&lt;/i&gt; does not affect &lt;i&gt;covetous urge&lt;/i&gt;.&lt;/p&gt;</t>
  </si>
  <si>
    <t>&lt;link rel="stylesheet"href="PF.css"&gt;&lt;div class="heading"&gt;&lt;p class="alignleft"&gt;Covetous Urge&lt;/p&gt;&lt;div style="clear: both;"&gt;&lt;/div&gt;&lt;/div&gt;&lt;div&gt;&lt;h5&gt;&lt;b&gt;School &lt;/b&gt;enchantment (compulsion) [curse, language-dependent, mind-affecting]; &lt;b&gt;Level &lt;/b&gt;bard 2, sorcerer/wizard 2, summoner 2, witch 2&lt;/h5&gt;&lt;/div&gt;&lt;hr/&gt;&lt;div&gt;&lt;h5&gt;&lt;b&gt;CASTING&lt;/b&gt;&lt;/h5&gt;&lt;/div&gt;&lt;hr/&gt;&lt;div&gt;&lt;h5&gt;&lt;b&gt;Casting Time &lt;/b&gt;1 standard action&lt;/h5&gt;&lt;h5&gt;&lt;b&gt;Components &lt;/b&gt;V, S, M (a golden coin)&lt;/h5&gt;&lt;/div&gt;&lt;hr/&gt;&lt;div&gt;&lt;h5&gt;&lt;b&gt;EFFECT&lt;/b&gt;&lt;/h5&gt;&lt;/div&gt;&lt;hr/&gt;&lt;div&gt;&lt;h5&gt;&lt;b&gt;Range &lt;/b&gt;close (25 ft. + 5 ft./2 levels)&lt;/h5&gt;&lt;h5&gt;&lt;b&gt;Targets &lt;/b&gt;one living creature with 7 HD or fewer&lt;/h5&gt;&lt;h5&gt;&lt;b&gt;Duration &lt;/b&gt;1 minute/level (D)&lt;/h5&gt;&lt;h5&gt;&lt;b&gt;Saving Throw &lt;/b&gt;Will negates; &lt;b&gt;Spell Resistance &lt;/b&gt;yes&lt;/h5&gt;&lt;/div&gt;&lt;hr/&gt;&lt;div&gt;&lt;h5&gt;&lt;b&gt;DESCRIPTION&lt;/b&gt;&lt;/h5&gt;&lt;/div&gt;&lt;hr/&gt;&lt;div&gt;&lt;h4&gt;&lt;p&gt;You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&lt;i&gt;Break enchantment&lt;/i&gt;, &lt;i&gt;limited &lt;i&gt;wish&lt;/i&gt;&lt;/i&gt;, &lt;i&gt;miracle&lt;/i&gt;, &lt;i&gt;remove curse&lt;/i&gt;, or &lt;i&gt;wish&lt;/i&gt; can each end &lt;i&gt;covetous urge&lt;/i&gt; before the duration expires. &lt;i&gt;Dispel magic&lt;/i&gt; does not affect &lt;i&gt;covetous urge&lt;/i&gt;.&lt;/p&gt;&lt;/h4&gt;&lt;/div&gt;</t>
  </si>
  <si>
    <t>Hide Bruises</t>
  </si>
  <si>
    <t>antipaladin 1, bard 1, inquisitor 1, mesmerist 1, occultist 1, psychic 1, sorcerer/wizard 1, witch 1</t>
  </si>
  <si>
    <t>V, S, M (drop of blood)</t>
  </si>
  <si>
    <t>none and Will disbelief (see text)</t>
  </si>
  <si>
    <t>The target's wounds to seem to disappear. A creature attempting a Heal check to tell the severity of the target's injuries takes a -10 penalty on that check. A creature that physically touches the glamered areas can attempt a Will save to recognize it as an illusion.</t>
  </si>
  <si>
    <t>&lt;p&gt;The target's wounds to seem to disappear. A creature attempting a Heal check to tell the severity of the target's injuries takes a -10 penalty on that check. A creature that physically touches the glamered areas can attempt a Will save to recognize it as an illusion.&lt;/p&gt;</t>
  </si>
  <si>
    <t>&lt;link rel="stylesheet"href="PF.css"&gt;&lt;div class="heading"&gt;&lt;p class="alignleft"&gt;Hide Bruises&lt;/p&gt;&lt;div style="clear: both;"&gt;&lt;/div&gt;&lt;/div&gt;&lt;div&gt;&lt;h5&gt;&lt;b&gt;School &lt;/b&gt;illusion (glamer); &lt;b&gt;Level &lt;/b&gt;antipaladin 1, bard 1, inquisitor 1, mesmerist 1, occultist 1, psychic 1, sorcerer/wizard 1, witch 1&lt;/h5&gt;&lt;/div&gt;&lt;hr/&gt;&lt;div&gt;&lt;h5&gt;&lt;b&gt;CASTING&lt;/b&gt;&lt;/h5&gt;&lt;/div&gt;&lt;hr/&gt;&lt;div&gt;&lt;h5&gt;&lt;b&gt;Casting Time &lt;/b&gt;1 standard action&lt;/h5&gt;&lt;h5&gt;&lt;b&gt;Components &lt;/b&gt;V, S, M (drop of blood)&lt;/h5&gt;&lt;/div&gt;&lt;hr/&gt;&lt;div&gt;&lt;h5&gt;&lt;b&gt;EFFECT&lt;/b&gt;&lt;/h5&gt;&lt;/div&gt;&lt;hr/&gt;&lt;div&gt;&lt;h5&gt;&lt;b&gt;Range &lt;/b&gt;touch&lt;/h5&gt;&lt;h5&gt;&lt;b&gt;Targets &lt;/b&gt;one creature touched&lt;/h5&gt;&lt;h5&gt;&lt;b&gt;Duration &lt;/b&gt;10 minutes/level (D)&lt;/h5&gt;&lt;h5&gt;&lt;b&gt;Saving Throw &lt;/b&gt;none and Will disbelief (see text); &lt;b&gt;Spell Resistance &lt;/b&gt;yes (harmless)&lt;/h5&gt;&lt;/div&gt;&lt;hr/&gt;&lt;div&gt;&lt;h5&gt;&lt;b&gt;DESCRIPTION&lt;/b&gt;&lt;/h5&gt;&lt;/div&gt;&lt;hr/&gt;&lt;div&gt;&lt;h4&gt;&lt;p&gt;The target's wounds to seem to disappear. A creature attempting a Heal check to tell the severity of the target's injuries takes a -10 penalty on that check. A creature that physically touches the glamered areas can attempt a Will save to recognize it as an illusion.&lt;/p&gt;&lt;/h4&gt;&lt;/div&gt;</t>
  </si>
  <si>
    <t>Resist Starvation</t>
  </si>
  <si>
    <t>antipaladin 1, cleric/oracle 1, shaman 1</t>
  </si>
  <si>
    <t>V, S, M (crumb of food)</t>
  </si>
  <si>
    <t>If the target doesn't eat on the day this spell is cast on it, the DC to avoid taking nonlethal damage from starvation on the following day doesn't increase by 1. This spell fails if the target hasn't already attempted at least one Constitution check to avoid starvation.</t>
  </si>
  <si>
    <t>&lt;p&gt;If the target doesn't eat on the day this spell is cast on it, the DC to avoid taking nonlethal damage from starvation on the following day doesn't increase by 1. This spell fails if the target hasn't already attempted at least one Constitution check to avoid starvation.&lt;/p&gt;</t>
  </si>
  <si>
    <t>&lt;link rel="stylesheet"href="PF.css"&gt;&lt;div class="heading"&gt;&lt;p class="alignleft"&gt;Resist Starvation&lt;/p&gt;&lt;div style="clear: both;"&gt;&lt;/div&gt;&lt;/div&gt;&lt;div&gt;&lt;h5&gt;&lt;b&gt;School &lt;/b&gt;transmutation; &lt;b&gt;Level &lt;/b&gt;antipaladin 1, cleric/oracle 1, shaman 1&lt;/h5&gt;&lt;/div&gt;&lt;hr/&gt;&lt;div&gt;&lt;h5&gt;&lt;b&gt;CASTING&lt;/b&gt;&lt;/h5&gt;&lt;/div&gt;&lt;hr/&gt;&lt;div&gt;&lt;h5&gt;&lt;b&gt;Casting Time &lt;/b&gt;1 standard action&lt;/h5&gt;&lt;h5&gt;&lt;b&gt;Components &lt;/b&gt;V, S, M (crumb of food)&lt;/h5&gt;&lt;/div&gt;&lt;hr/&gt;&lt;div&gt;&lt;h5&gt;&lt;b&gt;EFFECT&lt;/b&gt;&lt;/h5&gt;&lt;/div&gt;&lt;hr/&gt;&lt;div&gt;&lt;h5&gt;&lt;b&gt;Range &lt;/b&gt;touch&lt;/h5&gt;&lt;h5&gt;&lt;b&gt;Targets &lt;/b&gt;one living creature touched&lt;/h5&gt;&lt;h5&gt;&lt;b&gt;Duration &lt;/b&gt;1 day/level&lt;/h5&gt;&lt;h5&gt;&lt;b&gt;Saving Throw &lt;/b&gt;Will negates (harmless); &lt;b&gt;Spell Resistance &lt;/b&gt;yes (harmless)&lt;/h5&gt;&lt;/div&gt;&lt;hr/&gt;&lt;div&gt;&lt;h5&gt;&lt;b&gt;DESCRIPTION&lt;/b&gt;&lt;/h5&gt;&lt;/div&gt;&lt;hr/&gt;&lt;div&gt;&lt;h4&gt;&lt;p&gt;If the target doesn't eat on the day this spell is cast on it, the DC to avoid taking nonlethal damage from starvation on the following day doesn't increase by 1. This spell fails if the target hasn't already attempted at least one Constitution check to avoid starvation.&lt;/p&gt;&lt;/h4&gt;&lt;/div&gt;</t>
  </si>
  <si>
    <t>Beacon Of Guilt</t>
  </si>
  <si>
    <t>bard 2, inquisitor 2, occultist 2, sorcerer/wizard 2</t>
  </si>
  <si>
    <t>24 hours or until discharged, then instantaneous</t>
  </si>
  <si>
    <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faerie fire (spell resistance applies). The curse bestowed by this spell cannot be dispelled, but a break enchantment, limited wish, miracle, remove curse, or wish spell can remove it.</t>
  </si>
  <si>
    <t>&lt;p&gt;You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&lt;i&gt;faerie fire&lt;/i&gt; (spell resistance applies). The curse bestowed by this spell cannot be dispelled, but a &lt;i&gt;break enchantment&lt;/i&gt;, &lt;i&gt;limited &lt;i&gt;wish&lt;/i&gt;&lt;/i&gt;, &lt;i&gt;miracle&lt;/i&gt;, &lt;i&gt;remove curse&lt;/i&gt;, or &lt;i&gt;wish&lt;/i&gt; spell can remove it.&lt;/p&gt;</t>
  </si>
  <si>
    <t>&lt;link rel="stylesheet"href="PF.css"&gt;&lt;div class="heading"&gt;&lt;p class="alignleft"&gt;Beacon Of Guilt&lt;/p&gt;&lt;div style="clear: both;"&gt;&lt;/div&gt;&lt;/div&gt;&lt;div&gt;&lt;h5&gt;&lt;b&gt;School &lt;/b&gt;evocation [curse]; &lt;b&gt;Level &lt;/b&gt;bard 2, inquisitor 2, occultist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&lt;/b&gt;24 hours or until discharged, then instantaneous&lt;/h5&gt;&lt;h5&gt;&lt;b&gt;Saving Throw &lt;/b&gt;Will negates (object); see text; &lt;b&gt;Spell Resistance &lt;/b&gt;yes&lt;/h5&gt;&lt;/div&gt;&lt;hr/&gt;&lt;div&gt;&lt;h5&gt;&lt;b&gt;DESCRIPTION&lt;/b&gt;&lt;/h5&gt;&lt;/div&gt;&lt;hr/&gt;&lt;div&gt;&lt;h4&gt;&lt;p&gt;You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&lt;i&gt;faerie fire&lt;/i&gt; (spell resistance applies). The curse bestowed by this spell cannot be dispelled, but a &lt;i&gt;break enchantment&lt;/i&gt;, &lt;i&gt;limited &lt;i&gt;wish&lt;/i&gt;&lt;/i&gt;, &lt;i&gt;miracle&lt;/i&gt;, &lt;i&gt;remove curse&lt;/i&gt;, or &lt;i&gt;wish&lt;/i&gt; spell can remove it.&lt;/p&gt;&lt;/h4&gt;&lt;/div&gt;</t>
  </si>
  <si>
    <t>Escape Alarm</t>
  </si>
  <si>
    <t>bard 2, inquisitor 2, occultist 2, psychic 2, ranger 2, sorcerer/wizard 2, spiritualist 2, summoner 2</t>
  </si>
  <si>
    <t>V, S, F (a short segment of a chain)</t>
  </si>
  <si>
    <t>ten 10-foot cubes/level</t>
  </si>
  <si>
    <t>You place a ward on an area that notifies you when a creature exits it. This functions as alarm, except as noted. It alerts you when a creature leaves, rather than enters, the area, and you can't select a password to bypass its effects. Instead, when you place an escape alarm, you can attune up to one additional creature per caster level to the spell. You are automatically attuned to your own escape alarm and don't count against the limit. Attuned creatures can enter and exit the spell's area without triggering the alarm. If you select a mental alarm rather than an audible one, all attuned creatures receive the mental alert when someone exits the warded area.</t>
  </si>
  <si>
    <t>&lt;p&gt;You place a ward on an area that notifies you when a creature exits it. This functions as &lt;i&gt;alarm&lt;/i&gt;, except as noted. It alerts you when a creature leaves, rather than enters, the area, and you can't select a password to bypass its effects. Instead, when you place an escape &lt;i&gt;alarm&lt;/i&gt;, you can attune up to one additional creature per caster level to the spell. You are automatically attuned to your own escape &lt;i&gt;alarm&lt;/i&gt; and don't count against the limit. Attuned creatures can enter and exit the spell's area without triggering the &lt;i&gt;alarm&lt;/i&gt;. If you select a mental &lt;i&gt;alarm&lt;/i&gt; rather than an audible one, all attuned creatures receive the mental alert when someone exits the warded area.&lt;/p&gt;</t>
  </si>
  <si>
    <t>&lt;link rel="stylesheet"href="PF.css"&gt;&lt;div class="heading"&gt;&lt;p class="alignleft"&gt;Escape Alarm&lt;/p&gt;&lt;div style="clear: both;"&gt;&lt;/div&gt;&lt;/div&gt;&lt;div&gt;&lt;h5&gt;&lt;b&gt;School &lt;/b&gt;abjuration; &lt;b&gt;Level &lt;/b&gt;bard 2, inquisitor 2, occultist 2, psychic 2, ranger 2, sorcerer/wizard 2, spiritualist 2, summoner 2&lt;/h5&gt;&lt;/div&gt;&lt;hr/&gt;&lt;div&gt;&lt;h5&gt;&lt;b&gt;CASTING&lt;/b&gt;&lt;/h5&gt;&lt;/div&gt;&lt;hr/&gt;&lt;div&gt;&lt;h5&gt;&lt;b&gt;Casting Time &lt;/b&gt;1 standard action&lt;/h5&gt;&lt;h5&gt;&lt;b&gt;Components &lt;/b&gt;V, S, F (a short segment of a chain)&lt;/h5&gt;&lt;/div&gt;&lt;hr/&gt;&lt;div&gt;&lt;h5&gt;&lt;b&gt;EFFECT&lt;/b&gt;&lt;/h5&gt;&lt;/div&gt;&lt;hr/&gt;&lt;div&gt;&lt;h5&gt;&lt;b&gt;Range &lt;/b&gt;medium (100 ft. plus 10 ft./level)&lt;/h5&gt;&lt;h5&gt;&lt;b&gt;Area &lt;/b&gt;ten 10-foot cubes/level&lt;/h5&gt;&lt;h5&gt;&lt;b&gt;Duration &lt;/b&gt;24 hours&lt;/h5&gt;&lt;h5&gt;&lt;b&gt;Saving Throw &lt;/b&gt;none; &lt;b&gt;Spell Resistance &lt;/b&gt;no&lt;/h5&gt;&lt;/div&gt;&lt;hr/&gt;&lt;div&gt;&lt;h5&gt;&lt;b&gt;DESCRIPTION&lt;/b&gt;&lt;/h5&gt;&lt;/div&gt;&lt;hr/&gt;&lt;div&gt;&lt;h4&gt;&lt;p&gt;You place a ward on an area that notifies you when a creature exits it. This functions as &lt;i&gt;alarm&lt;/i&gt;, except as noted. It alerts you when a creature leaves, rather than enters, the area, and you can't select a password to bypass its effects. Instead, when you place an escape &lt;i&gt;alarm&lt;/i&gt;, you can attune up to one additional creature per caster level to the spell. You are automatically attuned to your own escape &lt;i&gt;alarm&lt;/i&gt; and don't count against the limit. Attuned creatures can enter and exit the spell's area without triggering the &lt;i&gt;alarm&lt;/i&gt;. If you select a mental &lt;i&gt;alarm&lt;/i&gt; rather than an audible one, all attuned creatures receive the mental alert when someone exits the warded area.&lt;/p&gt;&lt;/h4&gt;&lt;/div&gt;</t>
  </si>
  <si>
    <t>Outbreak</t>
  </si>
  <si>
    <t>antipaladin 2, bloodrager 3, cleric/oracle 2, druid 2, sorcerer/wizard 3</t>
  </si>
  <si>
    <t>20-ft. burst</t>
  </si>
  <si>
    <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t>
  </si>
  <si>
    <t>&lt;p&gt;You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creatures.&lt;/p&gt;</t>
  </si>
  <si>
    <t>&lt;link rel="stylesheet"href="PF.css"&gt;&lt;div class="heading"&gt;&lt;p class="alignleft"&gt;Outbreak&lt;/p&gt;&lt;div style="clear: both;"&gt;&lt;/div&gt;&lt;/div&gt;&lt;div&gt;&lt;h5&gt;&lt;b&gt;School &lt;/b&gt;necromancy; &lt;b&gt;Level &lt;/b&gt;antipaladin 2, bloodrager 3, cleric/oracle 2, druid 2,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&lt;/b&gt;20-ft. burst&lt;/h5&gt;&lt;h5&gt;&lt;b&gt;Duration &lt;/b&gt;instantaneous&lt;/h5&gt;&lt;h5&gt;&lt;b&gt;Saving Throw &lt;/b&gt;Fortitude partial; &lt;b&gt;Spell Resistance &lt;/b&gt;yes&lt;/h5&gt;&lt;/div&gt;&lt;hr/&gt;&lt;div&gt;&lt;h5&gt;&lt;b&gt;DESCRIPTION&lt;/b&gt;&lt;/h5&gt;&lt;/div&gt;&lt;hr/&gt;&lt;div&gt;&lt;h4&gt;&lt;p&gt;You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creatures.&lt;/p&gt;&lt;/h4&gt;&lt;/div&gt;</t>
  </si>
  <si>
    <t>Virulent Miasma</t>
  </si>
  <si>
    <t>antipaladin 2, bloodrager 3, druid 3, sorcerer/wizard 3</t>
  </si>
  <si>
    <t>V, S, M (a dried scab from a diseased creature)</t>
  </si>
  <si>
    <t>Virulent miasma creates fog like fog cloud,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t>
  </si>
  <si>
    <t>&lt;p&gt;&lt;i&gt;Virulent miasma&lt;/i&gt; creates fog like &lt;i&gt;fog cloud&lt;/i&gt;,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fog.&lt;/p&gt;</t>
  </si>
  <si>
    <t>&lt;link rel="stylesheet"href="PF.css"&gt;&lt;div class="heading"&gt;&lt;p class="alignleft"&gt;Virulent Miasma&lt;/p&gt;&lt;div style="clear: both;"&gt;&lt;/div&gt;&lt;/div&gt;&lt;div&gt;&lt;h5&gt;&lt;b&gt;School &lt;/b&gt;necromancy; &lt;b&gt;Level &lt;/b&gt;antipaladin 2, bloodrager 3, druid 3, sorcerer/wizard 3&lt;/h5&gt;&lt;/div&gt;&lt;hr/&gt;&lt;div&gt;&lt;h5&gt;&lt;b&gt;CASTING&lt;/b&gt;&lt;/h5&gt;&lt;/div&gt;&lt;hr/&gt;&lt;div&gt;&lt;h5&gt;&lt;b&gt;Casting Time &lt;/b&gt;1 standard action&lt;/h5&gt;&lt;h5&gt;&lt;b&gt;Components &lt;/b&gt;V, S, M (a dried scab from a diseased creature)&lt;/h5&gt;&lt;/div&gt;&lt;hr/&gt;&lt;div&gt;&lt;h5&gt;&lt;b&gt;EFFECT&lt;/b&gt;&lt;/h5&gt;&lt;/div&gt;&lt;hr/&gt;&lt;div&gt;&lt;h5&gt;&lt;b&gt;Range &lt;/b&gt;medium (100 ft. + 10 ft./level)&lt;/h5&gt;&lt;h5&gt;&lt;b&gt;Effect &lt;/b&gt;cloud spreads in 20-ft. radius, 20 ft. high&lt;/h5&gt;&lt;h5&gt;&lt;b&gt;Duration &lt;/b&gt;1 round/level&lt;/h5&gt;&lt;h5&gt;&lt;b&gt;Saving Throw &lt;/b&gt;Fortitude negates (see text); &lt;b&gt;Spell Resistance &lt;/b&gt;see text&lt;/h5&gt;&lt;/div&gt;&lt;hr/&gt;&lt;div&gt;&lt;h5&gt;&lt;b&gt;DESCRIPTION&lt;/b&gt;&lt;/h5&gt;&lt;/div&gt;&lt;hr/&gt;&lt;div&gt;&lt;h4&gt;&lt;p&gt;&lt;i&gt;Virulent miasma&lt;/i&gt; creates fog like &lt;i&gt;fog cloud&lt;/i&gt;,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fog.&lt;/p&gt;&lt;/h4&gt;&lt;/div&gt;</t>
  </si>
  <si>
    <t>Cloak Of Shadows</t>
  </si>
  <si>
    <t>evil, shadow</t>
  </si>
  <si>
    <t>antipaladin 4, bard 5, mesmerist 5, sorcerer/wizard 5, spiritualist 5</t>
  </si>
  <si>
    <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(Pathfinder RPG Bestiary 2 301). Such creatures suffer a 50% miss chance (though you don't gain total concealment) and your competence bonus on Stealth checks increases to +10 with respect to such creatures.</t>
  </si>
  <si>
    <t>&lt;p&gt;You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(&lt;i&gt;Pathfinder RPG Bestiary 2&lt;/i&gt; 301). Such creatures suffer a 50% miss chance (though you don't gain total concealment) and your competence bonus on Stealth checks increases to +10 with respect to such creatures.&lt;/p&gt;</t>
  </si>
  <si>
    <t>&lt;link rel="stylesheet"href="PF.css"&gt;&lt;div class="heading"&gt;&lt;p class="alignleft"&gt;Cloak Of Shadows&lt;/p&gt;&lt;div style="clear: both;"&gt;&lt;/div&gt;&lt;/div&gt;&lt;div&gt;&lt;h5&gt;&lt;b&gt;School &lt;/b&gt;illusion (shadow) [evil, shadow]; &lt;b&gt;Level &lt;/b&gt;antipaladin 4, bard 5, mesmerist 5, 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(&lt;i&gt;Pathfinder RPG Bestiary 2&lt;/i&gt; 301). Such creatures suffer a 50% miss chance (though you don't gain total concealment) and your competence bonus on Stealth checks increases to +10 with respect to such creatures.&lt;/p&gt;&lt;/h4&gt;&lt;/div&gt;</t>
  </si>
  <si>
    <t>Shadow Claws</t>
  </si>
  <si>
    <t>antipaladin 1, bard 2, bloodrager 2, magus 2, sorcerer/wizard 2, spiritualist 2</t>
  </si>
  <si>
    <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t>
  </si>
  <si>
    <t>&lt;p&gt;You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DC).&lt;/p&gt;</t>
  </si>
  <si>
    <t>&lt;link rel="stylesheet"href="PF.css"&gt;&lt;div class="heading"&gt;&lt;p class="alignleft"&gt;Shadow Claws&lt;/p&gt;&lt;div style="clear: both;"&gt;&lt;/div&gt;&lt;/div&gt;&lt;div&gt;&lt;h5&gt;&lt;b&gt;School &lt;/b&gt;illusion (shadow) [shadow]; &lt;b&gt;Level &lt;/b&gt;antipaladin 1, bard 2, bloodrager 2, magus 2, sorcerer/wizard 2, spiritualist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DC).&lt;/p&gt;&lt;/h4&gt;&lt;/div&gt;</t>
  </si>
  <si>
    <t>Shadow Jaunt</t>
  </si>
  <si>
    <t>antipaladin 3, bard 4, sorcerer/wizard 4, spiritualist 4, summoner 4</t>
  </si>
  <si>
    <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t>
  </si>
  <si>
    <t>&lt;p&gt;You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range).&lt;/p&gt;</t>
  </si>
  <si>
    <t>&lt;link rel="stylesheet"href="PF.css"&gt;&lt;div class="heading"&gt;&lt;p class="alignleft"&gt;Shadow Jaunt&lt;/p&gt;&lt;div style="clear: both;"&gt;&lt;/div&gt;&lt;/div&gt;&lt;div&gt;&lt;h5&gt;&lt;b&gt;School &lt;/b&gt;illusion (shadow) [shadow]; &lt;b&gt;Level &lt;/b&gt;antipaladin 3, bard 4, sorcerer/wizard 4, spiritualist 4, summoner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&lt;/b&gt;you&lt;/h5&gt;&lt;h5&gt;&lt;b&gt;Duration &lt;/b&gt;instantaneous and 1 round; see text&lt;/h5&gt;&lt;/div&gt;&lt;hr/&gt;&lt;div&gt;&lt;h5&gt;&lt;b&gt;DESCRIPTION&lt;/b&gt;&lt;/h5&gt;&lt;/div&gt;&lt;hr/&gt;&lt;div&gt;&lt;h4&gt;&lt;p&gt;You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range).&lt;/p&gt;&lt;/h4&gt;&lt;/div&gt;</t>
  </si>
  <si>
    <t>Shield Of Wings</t>
  </si>
  <si>
    <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t>
  </si>
  <si>
    <t>&lt;p&gt;You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end.&lt;/p&gt;</t>
  </si>
  <si>
    <t>Paths Of The Righteous</t>
  </si>
  <si>
    <t>&lt;link rel="stylesheet"href="PF.css"&gt;&lt;div class="heading"&gt;&lt;p class="alignleft"&gt;Shield Of Wings&lt;/p&gt;&lt;div style="clear: both;"&gt;&lt;/div&gt;&lt;/div&gt;&lt;div&gt;&lt;h5&gt;&lt;b&gt;School &lt;/b&gt;transmutation [fire]; &lt;b&gt;Level &lt;/b&gt;cleric/oracle 3, inquisitor 3, paladin 3, ranger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(see below)&lt;/h5&gt;&lt;h5&gt;&lt;b&gt;Saving Throw &lt;/b&gt;none; &lt;b&gt;Spell Resistance &lt;/b&gt;no&lt;/h5&gt;&lt;/div&gt;&lt;hr/&gt;&lt;div&gt;&lt;h5&gt;&lt;b&gt;DESCRIPTION&lt;/b&gt;&lt;/h5&gt;&lt;/div&gt;&lt;hr/&gt;&lt;div&gt;&lt;h4&gt;&lt;p&gt;You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end.&lt;/p&gt;&lt;/h4&gt;&lt;/div&gt;</t>
  </si>
  <si>
    <t>Charm Fey</t>
  </si>
  <si>
    <t>one fey creature</t>
  </si>
  <si>
    <t>This spell functions as charm person, except it affects a fey instead of a humanoid.</t>
  </si>
  <si>
    <t>&lt;p&gt;This spell functions as &lt;i&gt;charm person&lt;/i&gt;, except it affects a fey instead of a humanoid.&lt;/p&gt;</t>
  </si>
  <si>
    <t>The First World Realm Of The Fey</t>
  </si>
  <si>
    <t>&lt;link rel="stylesheet"href="PF.css"&gt;&lt;div class="heading"&gt;&lt;p class="alignleft"&gt;Charm Fey&lt;/p&gt;&lt;div style="clear: both;"&gt;&lt;/div&gt;&lt;/div&gt;&lt;div&gt;&lt;h5&gt;&lt;b&gt;School &lt;/b&gt;enchantment (compulsion) [mind-affecting]; &lt;b&gt;Level &lt;/b&gt;bard 1, sorcerer/wizard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fey creature&lt;/h5&gt;&lt;h5&gt;&lt;b&gt;Duration &lt;/b&gt;1 hour/level&lt;/h5&gt;&lt;h5&gt;&lt;b&gt;Saving Throw &lt;/b&gt;Will negates; &lt;b&gt;Spell Resistance &lt;/b&gt;yes&lt;/h5&gt;&lt;/div&gt;&lt;hr/&gt;&lt;div&gt;&lt;h5&gt;&lt;b&gt;DESCRIPTION&lt;/b&gt;&lt;/h5&gt;&lt;/div&gt;&lt;hr/&gt;&lt;div&gt;&lt;h4&gt;&lt;p&gt;This spell functions as &lt;i&gt;charm person&lt;/i&gt;, except it affects a fey instead of a humanoid.&lt;/p&gt;&lt;/h4&gt;&lt;/div&gt;</t>
  </si>
  <si>
    <t>Fey Gate</t>
  </si>
  <si>
    <t>bard 6, cleric/oracle 8, druid 8, sorcerer/wizard 8, summoner 6, witch 8</t>
  </si>
  <si>
    <t>This spell functions similarly to the planar travel function of  gate, except it can be used only to travel between points on the Material Plane and the First World, and comes with additional dangers.  When cast, this spell forms a circular portal between 5 and 20 feet in diameter (caster's choice) oriented in the direction you desire when it comes into being (typically vertical and facing you). The portal is full of gray fog that blocks all sight.  Anyone or anything that moves through the portal is shunted instantly to a random point on the First World (the same point for everything traveling via a particular casting). At the end of the spell's duration, the caster can attempt a DC 30 Spellcraft check. On a success, the portal remains open for 1d4+1 days.  While the spell always deposits travelers on solid ground in the First World, it conveys no protections against whatever creatures or environmental hazards may be present there.</t>
  </si>
  <si>
    <t>&lt;p&gt;This spell functions similarly to the planar travel function of  &lt;i&gt;gate&lt;/i&gt;, except it can be used only to travel between points on the Material Plane and the First World, and comes with additional dangers.  When cast, this spell forms a circular portal between 5 and 20 feet in diameter (caster's choice) oriented in the direction you desire when it comes into being (typically vertical and facing you). The portal is full of gray fog that blocks all sight.  Anyone or anything that moves through the portal is shunted instantly to a random point on the First World (the same point for everything traveling via a particular casting). At the end of the spell's duration, the caster can attempt a DC 30 Spellcraft check. On a success, the portal remains open for 1d4+1 days.  While the spell always deposits travelers on solid ground in the First World, it conveys no protections against whatever creatures or environmental hazards may be present there.&lt;/p&gt;</t>
  </si>
  <si>
    <t>&lt;link rel="stylesheet"href="PF.css"&gt;&lt;div class="heading"&gt;&lt;p class="alignleft"&gt;Fey Gate&lt;/p&gt;&lt;div style="clear: both;"&gt;&lt;/div&gt;&lt;/div&gt;&lt;div&gt;&lt;h5&gt;&lt;b&gt;School &lt;/b&gt;conjuration (teleportation); &lt;b&gt;Level &lt;/b&gt;bard 6, cleric/oracle 8, druid 8, sorcerer/wizard 8, summoner 6,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levels)&lt;/h5&gt;&lt;h5&gt;&lt;b&gt;Duration &lt;/b&gt;1 round/level; see text&lt;/h5&gt;&lt;h5&gt;&lt;b&gt;Saving Throw &lt;/b&gt;none; &lt;b&gt;Spell Resistance &lt;/b&gt;no&lt;/h5&gt;&lt;/div&gt;&lt;hr/&gt;&lt;div&gt;&lt;h5&gt;&lt;b&gt;DESCRIPTION&lt;/b&gt;&lt;/h5&gt;&lt;/div&gt;&lt;hr/&gt;&lt;div&gt;&lt;h4&gt;&lt;p&gt;This spell functions similarly to the planar travel function of  &lt;i&gt;gate&lt;/i&gt;, except it can be used only to travel between points on the Material Plane and the First World, and comes with additional dangers.  When cast, this spell forms a circular portal between 5 and 20 feet in diameter (caster's choice) oriented in the direction you desire when it comes into being (typically vertical and facing you). The portal is full of gray fog that blocks all sight.  Anyone or anything that moves through the portal is shunted instantly to a random point on the First World (the same point for everything traveling via a particular casting). At the end of the spell's duration, the caster can attempt a DC 30 Spellcraft check. On a success, the portal remains open for 1d4+1 days.  While the spell always deposits travelers on solid ground in the First World, it conveys no protections against whatever creatures or environmental hazards may be present there.&lt;/p&gt;&lt;/h4&gt;&lt;/div&gt;</t>
  </si>
  <si>
    <t>Hold Fey</t>
  </si>
  <si>
    <t>This spell functions as per hold person, except it affects a fey instead of a humanoid.</t>
  </si>
  <si>
    <t>&lt;p&gt;This spell functions as per &lt;i&gt;hold person&lt;/i&gt;, except it affects a fey instead of a humanoid.&lt;/p&gt;</t>
  </si>
  <si>
    <t>&lt;link rel="stylesheet"href="PF.css"&gt;&lt;div class="heading"&gt;&lt;p class="alignleft"&gt;Hold Fey&lt;/p&gt;&lt;div style="clear: both;"&gt;&lt;/div&gt;&lt;/div&gt;&lt;div&gt;&lt;h5&gt;&lt;b&gt;School &lt;/b&gt;enchantment (compulsion) [mind-affecting]; &lt;b&gt;Level &lt;/b&gt;bard 2, cleric/oracle 2, inquisitor 2, sorcerer/wizard 3, witch 2&lt;/h5&gt;&lt;/div&gt;&lt;hr/&gt;&lt;div&gt;&lt;h5&gt;&lt;b&gt;CASTING&lt;/b&gt;&lt;/h5&gt;&lt;/div&gt;&lt;hr/&gt;&lt;div&gt;&lt;h5&gt;&lt;b&gt;Casting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fey creature&lt;/h5&gt;&lt;h5&gt;&lt;b&gt;Duration &lt;/b&gt;1 round/level (D); see text&lt;/h5&gt;&lt;h5&gt;&lt;b&gt;Saving Throw &lt;/b&gt;Will negates; see text; &lt;b&gt;Spell Resistance &lt;/b&gt;yes&lt;/h5&gt;&lt;/div&gt;&lt;hr/&gt;&lt;div&gt;&lt;h5&gt;&lt;b&gt;DESCRIPTION&lt;/b&gt;&lt;/h5&gt;&lt;/div&gt;&lt;hr/&gt;&lt;div&gt;&lt;h4&gt;&lt;p&gt;This spell functions as per &lt;i&gt;hold person&lt;/i&gt;, except it affects a fey instead of a humanoid.&lt;/p&gt;&lt;/h4&gt;&lt;/div&gt;</t>
  </si>
  <si>
    <t>Iron Stake</t>
  </si>
  <si>
    <t>cleric/oracle 3, druid 3, inquisitor 2, ranger 2, sorcerer/wizard 3, witch 3</t>
  </si>
  <si>
    <t>V, S, M (a pinch of iron filings)</t>
  </si>
  <si>
    <t>This spell creates a foot-long spike of cold iron that you fling at your target as a ranged touch attack. The stake is treated as a magic cold iron weapon for the purposes of overcoming damage reduction, and deals 1d6 points of piercing damage for every 2 caster levels you have.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of its spells or spell-like abilities-the DC of this check is equal to 15 + twice the spell's level. If the creature fails the check, its spell is wasted.</t>
  </si>
  <si>
    <t>&lt;p&gt;This spell creates a foot-long spike of cold iron that you fling at your target as a ranged touch attack. The stake is treated as a magic cold iron weapon for the purposes of overcoming damage reduction, and deals 1d6 points of piercing damage for every 2 caster levels you have.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of its spells or spell-like abilities-the DC of this check is equal to 15 + twice the spell's level. If the creature fails the check, its spell is wasted.&lt;/p&gt;</t>
  </si>
  <si>
    <t>&lt;link rel="stylesheet"href="PF.css"&gt;&lt;div class="heading"&gt;&lt;p class="alignleft"&gt;Iron Stake&lt;/p&gt;&lt;div style="clear: both;"&gt;&lt;/div&gt;&lt;/div&gt;&lt;div&gt;&lt;h5&gt;&lt;b&gt;School &lt;/b&gt;conjuration (creation); &lt;b&gt;Level &lt;/b&gt;cleric/oracle 3, druid 3, inquisitor 2, ranger 2, sorcerer/wizard 3, witch 3&lt;/h5&gt;&lt;/div&gt;&lt;hr/&gt;&lt;div&gt;&lt;h5&gt;&lt;b&gt;CASTING&lt;/b&gt;&lt;/h5&gt;&lt;/div&gt;&lt;hr/&gt;&lt;div&gt;&lt;h5&gt;&lt;b&gt;Casting Time &lt;/b&gt;1 standard action&lt;/h5&gt;&lt;h5&gt;&lt;b&gt;Components &lt;/b&gt;V, S, M (a pinch of iron filings)&lt;/h5&gt;&lt;/div&gt;&lt;hr/&gt;&lt;div&gt;&lt;h5&gt;&lt;b&gt;EFFECT&lt;/b&gt;&lt;/h5&gt;&lt;/div&gt;&lt;hr/&gt;&lt;div&gt;&lt;h5&gt;&lt;b&gt;Range &lt;/b&gt;close (25 ft. + 5 ft./2 levels)&lt;/h5&gt;&lt;h5&gt;&lt;b&gt;Duration &lt;/b&gt;instantaneous or 1 round/level; see text&lt;/h5&gt;&lt;h5&gt;&lt;b&gt;Saving Throw &lt;/b&gt;Fortitude partial; &lt;b&gt;Spell Resistance &lt;/b&gt;no&lt;/h5&gt;&lt;/div&gt;&lt;hr/&gt;&lt;div&gt;&lt;h5&gt;&lt;b&gt;DESCRIPTION&lt;/b&gt;&lt;/h5&gt;&lt;/div&gt;&lt;hr/&gt;&lt;div&gt;&lt;h4&gt;&lt;p&gt;This spell creates a foot-long spike of cold iron that you fling at your target as a ranged touch attack. The stake is treated as a magic cold iron weapon for the purposes of overcoming damage reduction, and deals 1d6 points of piercing damage for every 2 caster levels you have.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of its spells or spell-like abilities-the DC of this check is equal to 15 + twice the spell's level. If the creature fails the check, its spell is wasted.&lt;/p&gt;&lt;/h4&gt;&lt;/div&gt;</t>
  </si>
  <si>
    <t>Locate Portal</t>
  </si>
  <si>
    <t>bard 2, cleric/oracle 2, druid 2, psychic 2, ranger 1, shaman 2, sorcerer/wizard 2, summoner 2, witch 2</t>
  </si>
  <si>
    <t>circle, centered on you, with a radius of 1 mile/level</t>
  </si>
  <si>
    <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t>
  </si>
  <si>
    <t>&lt;p&gt;When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them.&lt;/p&gt;</t>
  </si>
  <si>
    <t>&lt;link rel="stylesheet"href="PF.css"&gt;&lt;div class="heading"&gt;&lt;p class="alignleft"&gt;Locate Portal&lt;/p&gt;&lt;div style="clear: both;"&gt;&lt;/div&gt;&lt;/div&gt;&lt;div&gt;&lt;h5&gt;&lt;b&gt;School &lt;/b&gt;divination; &lt;b&gt;Level &lt;/b&gt;bard 2, cleric/oracle 2, druid 2, psychic 2, ranger 1, shaman 2, sorcerer/wizard 2, summoner 2, witch 2&lt;/h5&gt;&lt;/div&gt;&lt;hr/&gt;&lt;div&gt;&lt;h5&gt;&lt;b&gt;CASTING&lt;/b&gt;&lt;/h5&gt;&lt;/div&gt;&lt;hr/&gt;&lt;div&gt;&lt;h5&gt;&lt;b&gt;Casting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&lt;/b&gt;circle, centered on you, with a radius of 1 mile/level&lt;/h5&gt;&lt;h5&gt;&lt;b&gt;Duration &lt;/b&gt;concentration, up to 1 minute/level&lt;/h5&gt;&lt;/div&gt;&lt;hr/&gt;&lt;div&gt;&lt;h5&gt;&lt;b&gt;DESCRIPTION&lt;/b&gt;&lt;/h5&gt;&lt;/div&gt;&lt;hr/&gt;&lt;div&gt;&lt;h4&gt;&lt;p&gt;When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them.&lt;/p&gt;&lt;/h4&gt;&lt;/div&gt;</t>
  </si>
  <si>
    <t>Planar Orientation</t>
  </si>
  <si>
    <t>bard 1, cleric/oracle 1, druid 1, inquisitor 1, psychic 1, ranger 1, shaman 1, summoner 1, witch 1, sorcerer/wizard 1</t>
  </si>
  <si>
    <t>This spell helps creatures accustomed to the concrete reality of the Material Plane to navigate within the confusing realities of other planes. When cast, it functions as know direction,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t>
  </si>
  <si>
    <t>&lt;p&gt;This spell helps creatures accustomed to the concrete reality of the Material Plane to navigate within the confusing realities of other planes. When cast, it functions as &lt;i&gt;know direction&lt;/i&gt;,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Plane.&lt;/p&gt;</t>
  </si>
  <si>
    <t>&lt;link rel="stylesheet"href="PF.css"&gt;&lt;div class="heading"&gt;&lt;p class="alignleft"&gt;Planar Orientation&lt;/p&gt;&lt;div style="clear: both;"&gt;&lt;/div&gt;&lt;/div&gt;&lt;div&gt;&lt;h5&gt;&lt;b&gt;School &lt;/b&gt;divination; &lt;b&gt;Level &lt;/b&gt;bard 1, cleric/oracle 1, druid 1, inquisitor 1, psychic 1, ranger 1, shaman 1, summoner 1, witch 1, sorcerer/wizard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helps creatures accustomed to the concrete reality of the Material Plane to navigate within the confusing realities of other planes. When cast, it functions as &lt;i&gt;know direction&lt;/i&gt;,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Plane.&lt;/p&gt;&lt;/h4&gt;&lt;/div&gt;</t>
  </si>
  <si>
    <t>Fool's Gold</t>
  </si>
  <si>
    <t>bard 1, medium 1, mesmerist 1, psychic 1, sorcerer/wizard 1</t>
  </si>
  <si>
    <t>V, S, M (a copper piece or silver piece)</t>
  </si>
  <si>
    <t>objects touched</t>
  </si>
  <si>
    <t>none or Will disbelief (see text)</t>
  </si>
  <si>
    <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t>
  </si>
  <si>
    <t>&lt;p&gt;You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illusion.&lt;/p&gt;</t>
  </si>
  <si>
    <t>&lt;link rel="stylesheet"href="PF.css"&gt;&lt;div class="heading"&gt;&lt;p class="alignleft"&gt;Fool's Gold&lt;/p&gt;&lt;div style="clear: both;"&gt;&lt;/div&gt;&lt;/div&gt;&lt;div&gt;&lt;h5&gt;&lt;b&gt;School &lt;/b&gt;illusion; &lt;b&gt;Level &lt;/b&gt;bard 1, medium 1, mesmerist 1, psychic 1, sorcerer/wizard 1&lt;/h5&gt;&lt;/div&gt;&lt;hr/&gt;&lt;div&gt;&lt;h5&gt;&lt;b&gt;CASTING&lt;/b&gt;&lt;/h5&gt;&lt;/div&gt;&lt;hr/&gt;&lt;div&gt;&lt;h5&gt;&lt;b&gt;Casting Time &lt;/b&gt;1 standard action&lt;/h5&gt;&lt;h5&gt;&lt;b&gt;Components &lt;/b&gt;V, S, M (a copper piece or silver piece)&lt;/h5&gt;&lt;/div&gt;&lt;hr/&gt;&lt;div&gt;&lt;h5&gt;&lt;b&gt;EFFECT&lt;/b&gt;&lt;/h5&gt;&lt;/div&gt;&lt;hr/&gt;&lt;div&gt;&lt;h5&gt;&lt;b&gt;Range &lt;/b&gt;touch&lt;/h5&gt;&lt;h5&gt;&lt;b&gt;Targets &lt;/b&gt;objects touched&lt;/h5&gt;&lt;h5&gt;&lt;b&gt;Duration &lt;/b&gt;1 hour/level&lt;/h5&gt;&lt;h5&gt;&lt;b&gt;Saving Throw &lt;/b&gt;none or Will disbelief (see text); &lt;b&gt;Spell Resistance &lt;/b&gt;no&lt;/h5&gt;&lt;/div&gt;&lt;hr/&gt;&lt;div&gt;&lt;h5&gt;&lt;b&gt;DESCRIPTION&lt;/b&gt;&lt;/h5&gt;&lt;/div&gt;&lt;hr/&gt;&lt;div&gt;&lt;h4&gt;&lt;p&gt;You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illusion.&lt;/p&gt;&lt;/h4&gt;&lt;/div&gt;</t>
  </si>
  <si>
    <t>Burning Entanglement</t>
  </si>
  <si>
    <t>40-ft.-radius spread</t>
  </si>
  <si>
    <t>Reflex negates or partial (see text)</t>
  </si>
  <si>
    <t>This spell functions as per entangle, except it sets the foliage on fire. A creature that begins its turn entangled by the spell takes 4d6 points of fire damage (Reflex half), and a creature that begins its turn in the area but is not entangled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t>
  </si>
  <si>
    <t>&lt;p&gt;This spell functions as per &lt;i&gt;entangle&lt;/i&gt;, except it sets the foliage on fire. A creature that begins its turn &lt;i&gt;entangle&lt;/i&gt;d by the spell takes 4d6 points of fire damage (Reflex half), and a creature that begins its turn in the area but is not &lt;i&gt;entangle&lt;/i&gt;d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entirely.&lt;/p&gt;</t>
  </si>
  <si>
    <t>&lt;link rel="stylesheet"href="PF.css"&gt;&lt;div class="heading"&gt;&lt;p class="alignleft"&gt;Burning Entanglement&lt;/p&gt;&lt;div style="clear: both;"&gt;&lt;/div&gt;&lt;/div&gt;&lt;div&gt;&lt;h5&gt;&lt;b&gt;School &lt;/b&gt;evocation; &lt;b&gt;Level &lt;/b&gt;druid 3, ranger 3, shaman 3, witch 3&lt;/h5&gt;&lt;/div&gt;&lt;hr/&gt;&lt;div&gt;&lt;h5&gt;&lt;b&gt;CASTING&lt;/b&gt;&lt;/h5&gt;&lt;/div&gt;&lt;hr/&gt;&lt;div&gt;&lt;h5&gt;&lt;b&gt;Casting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&lt;/b&gt;40-ft.-radius spread&lt;/h5&gt;&lt;h5&gt;&lt;b&gt;Duration &lt;/b&gt;1 round/level&lt;/h5&gt;&lt;h5&gt;&lt;b&gt;Saving Throw &lt;/b&gt;Reflex negates or partial (see text); &lt;b&gt;Spell Resistance &lt;/b&gt;no&lt;/h5&gt;&lt;/div&gt;&lt;hr/&gt;&lt;div&gt;&lt;h5&gt;&lt;b&gt;DESCRIPTION&lt;/b&gt;&lt;/h5&gt;&lt;/div&gt;&lt;hr/&gt;&lt;div&gt;&lt;h4&gt;&lt;p&gt;This spell functions as per &lt;i&gt;entangle&lt;/i&gt;, except it sets the foliage on fire. A creature that begins its turn &lt;i&gt;entangle&lt;/i&gt;d by the spell takes 4d6 points of fire damage (Reflex half), and a creature that begins its turn in the area but is not &lt;i&gt;entangle&lt;/i&gt;d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entirely.&lt;/p&gt;&lt;/h4&gt;&lt;/div&gt;</t>
  </si>
  <si>
    <t>Nature's Paths</t>
  </si>
  <si>
    <t>bard 1, druid 1, inquisitor 1, ranger 1, shaman 1, witch 1</t>
  </si>
  <si>
    <t>V, S, M/DF (a smooth stone)</t>
  </si>
  <si>
    <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(Pathfinder RPG Core Rulebook 171-172). Up to one creature per caster level traveling with the target can also benefit from the effect. The spell functions only outdoors and does not function in magically altered terrain.</t>
  </si>
  <si>
    <t>&lt;p&gt;The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(&lt;i&gt;Pathfinder RPG Core Rulebook&lt;/i&gt; 171-172). Up to one creature per caster level traveling with the target can also benefit from the effect. The spell functions only outdoors and does not function in magically altered terrain.&lt;/p&gt;</t>
  </si>
  <si>
    <t>&lt;link rel="stylesheet"href="PF.css"&gt;&lt;div class="heading"&gt;&lt;p class="alignleft"&gt;Nature's Paths&lt;/p&gt;&lt;div style="clear: both;"&gt;&lt;/div&gt;&lt;/div&gt;&lt;div&gt;&lt;h5&gt;&lt;b&gt;School &lt;/b&gt;divination; &lt;b&gt;Level &lt;/b&gt;bard 1, druid 1, inquisitor 1, ranger 1, shaman 1, witch 1&lt;/h5&gt;&lt;/div&gt;&lt;hr/&gt;&lt;div&gt;&lt;h5&gt;&lt;b&gt;CASTING&lt;/b&gt;&lt;/h5&gt;&lt;/div&gt;&lt;hr/&gt;&lt;div&gt;&lt;h5&gt;&lt;b&gt;Casting Time &lt;/b&gt;1 standard action&lt;/h5&gt;&lt;h5&gt;&lt;b&gt;Components &lt;/b&gt;V, S, M/DF (a smooth stone)&lt;/h5&gt;&lt;/div&gt;&lt;hr/&gt;&lt;div&gt;&lt;h5&gt;&lt;b&gt;EFFECT&lt;/b&gt;&lt;/h5&gt;&lt;/div&gt;&lt;hr/&gt;&lt;div&gt;&lt;h5&gt;&lt;b&gt;Range &lt;/b&gt;touch&lt;/h5&gt;&lt;h5&gt;&lt;b&gt;Targets &lt;/b&gt;one creature&lt;/h5&gt;&lt;h5&gt;&lt;b&gt;Duration &lt;/b&gt;8 hours (D)&lt;/h5&gt;&lt;h5&gt;&lt;b&gt;Saving Throw &lt;/b&gt;Will negates (harmless); &lt;b&gt;Spell Resistance &lt;/b&gt;yes (harmless)&lt;/h5&gt;&lt;/div&gt;&lt;hr/&gt;&lt;div&gt;&lt;h5&gt;&lt;b&gt;DESCRIPTION&lt;/b&gt;&lt;/h5&gt;&lt;/div&gt;&lt;hr/&gt;&lt;div&gt;&lt;h4&gt;&lt;p&gt;The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(&lt;i&gt;Pathfinder RPG Core Rulebook&lt;/i&gt; 171-172). Up to one creature per caster level traveling with the target can also benefit from the effect. The spell functions only outdoors and does not function in magically altered terrain.&lt;/p&gt;&lt;/h4&gt;&lt;/div&gt;</t>
  </si>
  <si>
    <t>Sand Table</t>
  </si>
  <si>
    <t>bard 3, medium 3, ranger 3, sorcerer/wizard 4</t>
  </si>
  <si>
    <t>V, S, M (handful of sand)</t>
  </si>
  <si>
    <t>Sand table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sand table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t>
  </si>
  <si>
    <t>&lt;p&gt;&lt;i&gt;Sand table&lt;/i&gt;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&lt;i&gt;sand table&lt;/i&gt;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instantly.&lt;/p&gt;</t>
  </si>
  <si>
    <t>&lt;link rel="stylesheet"href="PF.css"&gt;&lt;div class="heading"&gt;&lt;p class="alignleft"&gt;Sand Table&lt;/p&gt;&lt;div style="clear: both;"&gt;&lt;/div&gt;&lt;/div&gt;&lt;div&gt;&lt;h5&gt;&lt;b&gt;School &lt;/b&gt;divination; &lt;b&gt;Level &lt;/b&gt;bard 3, medium 3, ranger 3, sorcerer/wizard 4&lt;/h5&gt;&lt;/div&gt;&lt;hr/&gt;&lt;div&gt;&lt;h5&gt;&lt;b&gt;CASTING&lt;/b&gt;&lt;/h5&gt;&lt;/div&gt;&lt;hr/&gt;&lt;div&gt;&lt;h5&gt;&lt;b&gt;Casting Time &lt;/b&gt;10 minutes&lt;/h5&gt;&lt;h5&gt;&lt;b&gt;Components &lt;/b&gt;V, S, M (handful of sand)&lt;/h5&gt;&lt;/div&gt;&lt;hr/&gt;&lt;div&gt;&lt;h5&gt;&lt;b&gt;EFFECT&lt;/b&gt;&lt;/h5&gt;&lt;/div&gt;&lt;hr/&gt;&lt;div&gt;&lt;h5&gt;&lt;b&gt;Range &lt;/b&gt;see text&lt;/h5&gt;&lt;h5&gt;&lt;b&gt;Duration &lt;/b&gt;1 hour/level (D)&lt;/h5&gt;&lt;h5&gt;&lt;b&gt;Saving Throw &lt;/b&gt;none; &lt;b&gt;Spell Resistance &lt;/b&gt;no&lt;/h5&gt;&lt;/div&gt;&lt;hr/&gt;&lt;div&gt;&lt;h5&gt;&lt;b&gt;DESCRIPTION&lt;/b&gt;&lt;/h5&gt;&lt;/div&gt;&lt;hr/&gt;&lt;div&gt;&lt;h4&gt;&lt;p&gt;&lt;i&gt;Sand table&lt;/i&gt;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&lt;i&gt;sand table&lt;/i&gt;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instantly.&lt;/p&gt;&lt;/h4&gt;&lt;/div&gt;</t>
  </si>
  <si>
    <t>Dousing Rain</t>
  </si>
  <si>
    <t>bard 2, druid 2, shaman 2, witch 2</t>
  </si>
  <si>
    <t>V, S, M/DF (a drop of water)</t>
  </si>
  <si>
    <t>cylinder (10-ft. radius, 40 ft. high)</t>
  </si>
  <si>
    <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t>
  </si>
  <si>
    <t>&lt;p&gt;With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point.&lt;/p&gt;</t>
  </si>
  <si>
    <t>&lt;link rel="stylesheet"href="PF.css"&gt;&lt;div class="heading"&gt;&lt;p class="alignleft"&gt;Dousing Rain&lt;/p&gt;&lt;div style="clear: both;"&gt;&lt;/div&gt;&lt;/div&gt;&lt;div&gt;&lt;h5&gt;&lt;b&gt;School &lt;/b&gt;evocation [water]; &lt;b&gt;Level &lt;/b&gt;bard 2, druid 2, shaman 2, witch 2&lt;/h5&gt;&lt;/div&gt;&lt;hr/&gt;&lt;div&gt;&lt;h5&gt;&lt;b&gt;CASTING&lt;/b&gt;&lt;/h5&gt;&lt;/div&gt;&lt;hr/&gt;&lt;div&gt;&lt;h5&gt;&lt;b&gt;Casting Time &lt;/b&gt;1 standard action&lt;/h5&gt;&lt;h5&gt;&lt;b&gt;Components &lt;/b&gt;V, S, M/DF (a drop of water)&lt;/h5&gt;&lt;/div&gt;&lt;hr/&gt;&lt;div&gt;&lt;h5&gt;&lt;b&gt;EFFECT&lt;/b&gt;&lt;/h5&gt;&lt;/div&gt;&lt;hr/&gt;&lt;div&gt;&lt;h5&gt;&lt;b&gt;Range &lt;/b&gt;medium (100 ft. + 10 ft./level)&lt;/h5&gt;&lt;h5&gt;&lt;b&gt;Area &lt;/b&gt;cylinder (10-ft. radius, 40 ft. high)&lt;/h5&gt;&lt;h5&gt;&lt;b&gt;Duration &lt;/b&gt;1 round/level (D)&lt;/h5&gt;&lt;h5&gt;&lt;b&gt;Saving Throw &lt;/b&gt;none; &lt;b&gt;Spell Resistance &lt;/b&gt;no&lt;/h5&gt;&lt;/div&gt;&lt;hr/&gt;&lt;div&gt;&lt;h5&gt;&lt;b&gt;DESCRIPTION&lt;/b&gt;&lt;/h5&gt;&lt;/div&gt;&lt;hr/&gt;&lt;div&gt;&lt;h4&gt;&lt;p&gt;With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point.&lt;/p&gt;&lt;/h4&gt;&lt;/div&gt;</t>
  </si>
  <si>
    <t>Reinvigorating Wind</t>
  </si>
  <si>
    <t>air, mind-affecting</t>
  </si>
  <si>
    <t>bard 2, druid 3, shaman 2, witch 3</t>
  </si>
  <si>
    <t>V, S, M/DF (a flower petal)</t>
  </si>
  <si>
    <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t>
  </si>
  <si>
    <t>&lt;p&gt;You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normal.&lt;/p&gt;</t>
  </si>
  <si>
    <t>&lt;link rel="stylesheet"href="PF.css"&gt;&lt;div class="heading"&gt;&lt;p class="alignleft"&gt;Reinvigorating Wind&lt;/p&gt;&lt;div style="clear: both;"&gt;&lt;/div&gt;&lt;/div&gt;&lt;div&gt;&lt;h5&gt;&lt;b&gt;School &lt;/b&gt;enchantment (compulsion) [air, mind-affecting]; &lt;b&gt;Level &lt;/b&gt;bard 2, druid 3, shaman 2, witch 3&lt;/h5&gt;&lt;/div&gt;&lt;hr/&gt;&lt;div&gt;&lt;h5&gt;&lt;b&gt;CASTING&lt;/b&gt;&lt;/h5&gt;&lt;/div&gt;&lt;hr/&gt;&lt;div&gt;&lt;h5&gt;&lt;b&gt;Casting Time &lt;/b&gt;1 standard action&lt;/h5&gt;&lt;h5&gt;&lt;b&gt;Components &lt;/b&gt;V, S, M/DF (a flower petal)&lt;/h5&gt;&lt;/div&gt;&lt;hr/&gt;&lt;div&gt;&lt;h5&gt;&lt;b&gt;EFFECT&lt;/b&gt;&lt;/h5&gt;&lt;/div&gt;&lt;hr/&gt;&lt;div&gt;&lt;h5&gt;&lt;b&gt;Range &lt;/b&gt;30 ft.&lt;/h5&gt;&lt;h5&gt;&lt;b&gt;Area &lt;/b&gt;cone-shaped burst&lt;/h5&gt;&lt;h5&gt;&lt;b&gt;Duration &lt;/b&gt;instantaneous&lt;/h5&gt;&lt;h5&gt;&lt;b&gt;Saving Throw &lt;/b&gt;Will negates (harmless); &lt;b&gt;Spell Resistance &lt;/b&gt;yes (harmless)&lt;/h5&gt;&lt;/div&gt;&lt;hr/&gt;&lt;div&gt;&lt;h5&gt;&lt;b&gt;DESCRIPTION&lt;/b&gt;&lt;/h5&gt;&lt;/div&gt;&lt;hr/&gt;&lt;div&gt;&lt;h4&gt;&lt;p&gt;You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normal.&lt;/p&gt;&lt;/h4&gt;&lt;/div&gt;</t>
  </si>
  <si>
    <t>Steady Saddle</t>
  </si>
  <si>
    <t>antipaladin 1, druid 1, paladin 1, ranger 1</t>
  </si>
  <si>
    <t>saddle touched</t>
  </si>
  <si>
    <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t>
  </si>
  <si>
    <t>&lt;p&gt;A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2.&lt;/p&gt;</t>
  </si>
  <si>
    <t>&lt;link rel="stylesheet"href="PF.css"&gt;&lt;div class="heading"&gt;&lt;p class="alignleft"&gt;Steady Saddle&lt;/p&gt;&lt;div style="clear: both;"&gt;&lt;/div&gt;&lt;/div&gt;&lt;div&gt;&lt;h5&gt;&lt;b&gt;School &lt;/b&gt;transmutation; &lt;b&gt;Level &lt;/b&gt;antipaladin 1, druid 1, paladin 1, ranger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&lt;/b&gt;saddle touched&lt;/h5&gt;&lt;h5&gt;&lt;b&gt;Duration &lt;/b&gt;1 minute/level (D)&lt;/h5&gt;&lt;h5&gt;&lt;b&gt;Saving Throw &lt;/b&gt;Will negates (harmless, object); &lt;b&gt;Spell Resistance &lt;/b&gt;yes (harmless, object)&lt;/h5&gt;&lt;/div&gt;&lt;hr/&gt;&lt;div&gt;&lt;h5&gt;&lt;b&gt;DESCRIPTION&lt;/b&gt;&lt;/h5&gt;&lt;/div&gt;&lt;hr/&gt;&lt;div&gt;&lt;h4&gt;&lt;p&gt;A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2.&lt;/p&gt;&lt;/h4&gt;&lt;/div&gt;</t>
  </si>
  <si>
    <t>Wicker Horse</t>
  </si>
  <si>
    <t>occultist 2, shaman 2, summoner 2, witch 2</t>
  </si>
  <si>
    <t>V, S, M/DF (a reed or twig)</t>
  </si>
  <si>
    <t>a horselike wicker construct</t>
  </si>
  <si>
    <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barkskin,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t>
  </si>
  <si>
    <t>&lt;p&gt;Reeds,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&lt;i&gt;barkskin&lt;/i&gt;,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apart.&lt;/p&gt;</t>
  </si>
  <si>
    <t>&lt;link rel="stylesheet"href="PF.css"&gt;&lt;div class="heading"&gt;&lt;p class="alignleft"&gt;Wicker Horse&lt;/p&gt;&lt;div style="clear: both;"&gt;&lt;/div&gt;&lt;/div&gt;&lt;div&gt;&lt;h5&gt;&lt;b&gt;School &lt;/b&gt;conjuration (creation); &lt;b&gt;Level &lt;/b&gt;occultist 2, shaman 2, summoner 2, witch 2&lt;/h5&gt;&lt;/div&gt;&lt;hr/&gt;&lt;div&gt;&lt;h5&gt;&lt;b&gt;CASTING&lt;/b&gt;&lt;/h5&gt;&lt;/div&gt;&lt;hr/&gt;&lt;div&gt;&lt;h5&gt;&lt;b&gt;Casting Time &lt;/b&gt;10 minutes; see text&lt;/h5&gt;&lt;h5&gt;&lt;b&gt;Components &lt;/b&gt;V, S, M/DF (a reed or twig)&lt;/h5&gt;&lt;/div&gt;&lt;hr/&gt;&lt;div&gt;&lt;h5&gt;&lt;b&gt;EFFECT&lt;/b&gt;&lt;/h5&gt;&lt;/div&gt;&lt;hr/&gt;&lt;div&gt;&lt;h5&gt;&lt;b&gt;Range &lt;/b&gt;touch&lt;/h5&gt;&lt;h5&gt;&lt;b&gt;Effect &lt;/b&gt;a horselike wicker construct&lt;/h5&gt;&lt;h5&gt;&lt;b&gt;Duration &lt;/b&gt;1 hour/level (D)&lt;/h5&gt;&lt;h5&gt;&lt;b&gt;Saving Throw &lt;/b&gt;none; &lt;b&gt;Spell Resistance &lt;/b&gt;no&lt;/h5&gt;&lt;/div&gt;&lt;hr/&gt;&lt;div&gt;&lt;h5&gt;&lt;b&gt;DESCRIPTION&lt;/b&gt;&lt;/h5&gt;&lt;/div&gt;&lt;hr/&gt;&lt;div&gt;&lt;h4&gt;&lt;p&gt;Reeds,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&lt;i&gt;barkskin&lt;/i&gt;,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apart.&lt;/p&gt;&lt;/h4&gt;&lt;/div&gt;</t>
  </si>
  <si>
    <t>Book Ward</t>
  </si>
  <si>
    <t>V, S, M/DF (a drop of clear oil)</t>
  </si>
  <si>
    <t>one touched object of up to 10 pounds/level</t>
  </si>
  <si>
    <t>1 day/level or until discharged (see text)</t>
  </si>
  <si>
    <t>Yes (harmless, object)</t>
  </si>
  <si>
    <t>As protection from energy, except as noted above and that the spell only protects against acid and fire damage. While the energy protection remains, the item is also completely waterproof (this protection extends to other liquids as well, such as alcohol and oil).</t>
  </si>
  <si>
    <t>&lt;p&gt;As &lt;i&gt;protection from energy&lt;/i&gt;, except as noted above and that the spell only protects against acid and fire damage. While the energy protection remains, the item is also completely waterproof (this protection extends to other liquids as well, such as alcohol and oil).&lt;/p&gt;</t>
  </si>
  <si>
    <t>Seekers of Secrets</t>
  </si>
  <si>
    <t>&lt;link rel="stylesheet"href="PF.css"&gt;&lt;div class="heading"&gt;&lt;p class="alignleft"&gt;Book Ward&lt;/p&gt;&lt;div style="clear: both;"&gt;&lt;/div&gt;&lt;/div&gt;&lt;div&gt;&lt;h5&gt;&lt;b&gt;School &lt;/b&gt;abjuration; &lt;b&gt;Level &lt;/b&gt;bard 2, cleric/oracle 2, sorcerer/wizard 2&lt;/h5&gt;&lt;/div&gt;&lt;hr/&gt;&lt;div&gt;&lt;h5&gt;&lt;b&gt;CASTING&lt;/b&gt;&lt;/h5&gt;&lt;/div&gt;&lt;hr/&gt;&lt;div&gt;&lt;h5&gt;&lt;b&gt;Casting Time &lt;/b&gt;1 standard action&lt;/h5&gt;&lt;h5&gt;&lt;b&gt;Components &lt;/b&gt;V, S, M/DF (a drop of clear oil)&lt;/h5&gt;&lt;/div&gt;&lt;hr/&gt;&lt;div&gt;&lt;h5&gt;&lt;b&gt;EFFECT&lt;/b&gt;&lt;/h5&gt;&lt;/div&gt;&lt;hr/&gt;&lt;div&gt;&lt;h5&gt;&lt;b&gt;Range &lt;/b&gt;touch&lt;/h5&gt;&lt;h5&gt;&lt;b&gt;Targets &lt;/b&gt;one touched object of up to 10 pounds/level&lt;/h5&gt;&lt;h5&gt;&lt;b&gt;Duration &lt;/b&gt;1 day/level or until discharged (see text)&lt;/h5&gt;&lt;h5&gt;&lt;b&gt;Saving Throw &lt;/b&gt;Will negates (harmless, object); &lt;b&gt;Spell Resistance &lt;/b&gt;Yes (harmless, object)&lt;/h5&gt;&lt;/div&gt;&lt;hr/&gt;&lt;div&gt;&lt;h5&gt;&lt;b&gt;DESCRIPTION&lt;/b&gt;&lt;/h5&gt;&lt;/div&gt;&lt;hr/&gt;&lt;div&gt;&lt;h4&gt;&lt;p&gt;As &lt;i&gt;protection from energy&lt;/i&gt;, except as noted above and that the spell only protects against acid and fire damage. While the energy protection remains, the item is also completely waterproof (this protection extends to other liquids as well, such as alcohol and oil).&lt;/p&gt;&lt;/h4&gt;&lt;/div&gt;</t>
  </si>
  <si>
    <t>Questing Stone</t>
  </si>
  <si>
    <t>touch and unlimited</t>
  </si>
  <si>
    <t>one ioun stone touched</t>
  </si>
  <si>
    <t>This spell functions like arcane eye, except that it uses an ioun stone as a visible scrying sensor. The ioun stone moves at the same rate as an arcane eye, and may pass through holes or spaces as small as 2 inches in diameter. It can enter another plane of existence using a gate or similar portal, but the caster loses contact with the sensor should this occur. The enhanced ioun stone has AC 24, 10 hp, hardness 5, fly speed 30 (perfect), and a +16 Stealth bonus. The stone does not provide you with its normal benefits while you are using it as a scrying sensor.</t>
  </si>
  <si>
    <t>&lt;p&gt;This spell functions like &lt;i&gt;arcane eye&lt;/i&gt;, except that it uses an &lt;i&gt;ioun stone&lt;/i&gt; as a visible scrying sensor. The &lt;i&gt;ioun stone&lt;/i&gt; moves at the same rate as an &lt;i&gt;arcane eye&lt;/i&gt;, and may pass through holes or spaces as small as 2 inches in diameter. It can enter another plane of existence using a &lt;i&gt;gate&lt;/i&gt; or similar portal, but the caster loses contact with the sensor should this occur. The enhanced &lt;i&gt;ioun stone&lt;/i&gt; has AC 24, 10 hp, hardness 5, fly speed 30 (perfect), and a +16 Stealth bonus. The stone does not provide you with its normal benefits while you are using it as a scrying sensor.&lt;/p&gt;</t>
  </si>
  <si>
    <t>&lt;link rel="stylesheet"href="PF.css"&gt;&lt;div class="heading"&gt;&lt;p class="alignleft"&gt;Questing Stone&lt;/p&gt;&lt;div style="clear: both;"&gt;&lt;/div&gt;&lt;/div&gt;&lt;div&gt;&lt;h5&gt;&lt;b&gt;School &lt;/b&gt;divination; &lt;b&gt;Level &lt;/b&gt;bard 4, sorcerer/wizard 4&lt;/h5&gt;&lt;/div&gt;&lt;hr/&gt;&lt;div&gt;&lt;h5&gt;&lt;b&gt;CASTING&lt;/b&gt;&lt;/h5&gt;&lt;/div&gt;&lt;hr/&gt;&lt;div&gt;&lt;h5&gt;&lt;b&gt;Casting Time &lt;/b&gt;10 minutes&lt;/h5&gt;&lt;h5&gt;&lt;b&gt;Components &lt;/b&gt;V, S, F&lt;/h5&gt;&lt;/div&gt;&lt;hr/&gt;&lt;div&gt;&lt;h5&gt;&lt;b&gt;EFFECT&lt;/b&gt;&lt;/h5&gt;&lt;/div&gt;&lt;hr/&gt;&lt;div&gt;&lt;h5&gt;&lt;b&gt;Range &lt;/b&gt;touch and unlimited&lt;/h5&gt;&lt;h5&gt;&lt;b&gt;Targets &lt;/b&gt;one ioun stone touched&lt;/h5&gt;&lt;h5&gt;&lt;b&gt;Duration &lt;/b&gt;1 minute/level (D)&lt;/h5&gt;&lt;h5&gt;&lt;b&gt;Saving Throw &lt;/b&gt;none; &lt;b&gt;Spell Resistance &lt;/b&gt;no&lt;/h5&gt;&lt;/div&gt;&lt;hr/&gt;&lt;div&gt;&lt;h5&gt;&lt;b&gt;DESCRIPTION&lt;/b&gt;&lt;/h5&gt;&lt;/div&gt;&lt;hr/&gt;&lt;div&gt;&lt;h4&gt;&lt;p&gt;This spell functions like &lt;i&gt;arcane eye&lt;/i&gt;, except that it uses an &lt;i&gt;ioun stone&lt;/i&gt; as a visible scrying sensor. The &lt;i&gt;ioun stone&lt;/i&gt; moves at the same rate as an &lt;i&gt;arcane eye&lt;/i&gt;, and may pass through holes or spaces as small as 2 inches in diameter. It can enter another plane of existence using a &lt;i&gt;gate&lt;/i&gt; or similar portal, but the caster loses contact with the sensor should this occur. The enhanced &lt;i&gt;ioun stone&lt;/i&gt; has AC 24, 10 hp, hardness 5, fly speed 30 (perfect), and a +16 Stealth bonus. The stone does not provide you with its normal benefits while you are using it as a scrying sensor.&lt;/p&gt;&lt;/h4&gt;&lt;/div&gt;</t>
  </si>
  <si>
    <t>Revelation</t>
  </si>
  <si>
    <t>bard 2, cleric/oracle 3, sorcerer/wizard 3</t>
  </si>
  <si>
    <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  At the GM's option, this spell may instead give you a clue or other piece of useful information. In this case you may communicate the clue to others and retain knowledge of it after the spell's duration has expired.</t>
  </si>
  <si>
    <t>&lt;p&gt;You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others.&lt;/p&gt;&lt;p&gt;At the GM's option, this spell may instead give you a clue or other piece of useful information. In this case you may communicate the clue to others and retain knowledge of it after the spell's duration has expired.&lt;/p&gt;</t>
  </si>
  <si>
    <t>&lt;link rel="stylesheet"href="PF.css"&gt;&lt;div class="heading"&gt;&lt;p class="alignleft"&gt;Revelation&lt;/p&gt;&lt;div style="clear: both;"&gt;&lt;/div&gt;&lt;/div&gt;&lt;div&gt;&lt;h5&gt;&lt;b&gt;School &lt;/b&gt;divination; &lt;b&gt;Level &lt;/b&gt;bard 2, cleric/oracle 3, sorcerer/wizard 3&lt;/h5&gt;&lt;/div&gt;&lt;hr/&gt;&lt;div&gt;&lt;h5&gt;&lt;b&gt;CASTING&lt;/b&gt;&lt;/h5&gt;&lt;/div&gt;&lt;hr/&gt;&lt;div&gt;&lt;h5&gt;&lt;b&gt;Casting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&lt;/b&gt;1 round/level; see text&lt;/h5&gt;&lt;/div&gt;&lt;hr/&gt;&lt;div&gt;&lt;h5&gt;&lt;b&gt;DESCRIPTION&lt;/b&gt;&lt;/h5&gt;&lt;/div&gt;&lt;hr/&gt;&lt;div&gt;&lt;h4&gt;&lt;p&gt;You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others.&lt;/p&gt;&lt;p&gt;At the GM's option, this spell may instead give you a clue or other piece of useful information. In this case you may communicate the clue to others and retain knowledge of it after the spell's duration has expired.&lt;/p&gt;&lt;/h4&gt;&lt;/div&gt;</t>
  </si>
  <si>
    <t>Scrivener's Chant</t>
  </si>
  <si>
    <t>bard 0, cleric/oracle 0, sorcerer/wizard 0</t>
  </si>
  <si>
    <t>V, S, M (fine sand and a vial of ink)</t>
  </si>
  <si>
    <t>one or more written objects</t>
  </si>
  <si>
    <t>This spell imbues a quill with animate energy and rapidly transcribes words from one page to another. The quill copies a written work at the rate of one normal-sized page per minute.  The Linguistics skill can be used to make a convincing copy, but otherwise the reproduction is written in the hand of the caster.  You must concentrate upon the material being duplicated for the spell's duration and provide new blank pages as required.  The scrivener's chant requires blank paper and a quill or other writing materials, in addition to the material components.  This spell cannot duplicate magical writing (including spells and magical scrolls), though it can duplicate non-magical writing from a magical source.</t>
  </si>
  <si>
    <t>&lt;p&gt;This spell imbues a quill with animate energy and rapidly transcribes words from one page to another. The quill copies a written work at the rate of one normal-sized page per minute.&lt;/p&gt;&lt;p&gt;The Linguistics skill can be used to make a convincing copy, but otherwise the reproduction is written in the hand of the caster.&lt;/p&gt;&lt;p&gt;You must concentrate upon the material being duplicated for the spell's duration and provide new blank pages as required.&lt;/p&gt;&lt;p&gt;The &lt;i&gt;scrivener's chant&lt;/i&gt; requires blank paper and a quill or other writing materials, in addition to the material components.&lt;/p&gt;&lt;p&gt;This spell cannot duplicate magical writing (including spells and magical scrolls), though it can duplicate non-magical writing from a magical source.&lt;/p&gt;</t>
  </si>
  <si>
    <t>&lt;link rel="stylesheet"href="PF.css"&gt;&lt;div class="heading"&gt;&lt;p class="alignleft"&gt;Scrivener's Chant&lt;/p&gt;&lt;div style="clear: both;"&gt;&lt;/div&gt;&lt;/div&gt;&lt;div&gt;&lt;h5&gt;&lt;b&gt;School &lt;/b&gt;transmutation; &lt;b&gt;Level &lt;/b&gt;bard 0, cleric/oracle 0, sorcerer/wizard 0&lt;/h5&gt;&lt;/div&gt;&lt;hr/&gt;&lt;div&gt;&lt;h5&gt;&lt;b&gt;CASTING&lt;/b&gt;&lt;/h5&gt;&lt;/div&gt;&lt;hr/&gt;&lt;div&gt;&lt;h5&gt;&lt;b&gt;Casting Time &lt;/b&gt;1 standard action&lt;/h5&gt;&lt;h5&gt;&lt;b&gt;Components &lt;/b&gt;V, S, M (fine sand and a vial of ink)&lt;/h5&gt;&lt;/div&gt;&lt;hr/&gt;&lt;div&gt;&lt;h5&gt;&lt;b&gt;EFFECT&lt;/b&gt;&lt;/h5&gt;&lt;/div&gt;&lt;hr/&gt;&lt;div&gt;&lt;h5&gt;&lt;b&gt;Range &lt;/b&gt;5 ft.&lt;/h5&gt;&lt;h5&gt;&lt;b&gt;Targets &lt;/b&gt;one or more written objects&lt;/h5&gt;&lt;h5&gt;&lt;b&gt;Duration &lt;/b&gt;concentration, up to 1 minute/level&lt;/h5&gt;&lt;h5&gt;&lt;b&gt;Saving Throw &lt;/b&gt;Will (harmless, object); &lt;b&gt;Spell Resistance &lt;/b&gt;yes (object)&lt;/h5&gt;&lt;/div&gt;&lt;hr/&gt;&lt;div&gt;&lt;h5&gt;&lt;b&gt;DESCRIPTION&lt;/b&gt;&lt;/h5&gt;&lt;/div&gt;&lt;hr/&gt;&lt;div&gt;&lt;h4&gt;&lt;p&gt;This spell imbues a quill with animate energy and rapidly transcribes words from one page to another. The quill copies a written work at the rate of one normal-sized page per minute.&lt;/p&gt;&lt;p&gt;The Linguistics skill can be used to make a convincing copy, but otherwise the reproduction is written in the hand of the caster.&lt;/p&gt;&lt;p&gt;You must concentrate upon the material being duplicated for the spell's duration and provide new blank pages as required.&lt;/p&gt;&lt;p&gt;The &lt;i&gt;scrivener's chant&lt;/i&gt; requires blank paper and a quill or other writing materials, in addition to the material components.&lt;/p&gt;&lt;p&gt;This spell cannot duplicate magical writing (including spells and magical scrolls), though it can duplicate non-magical writing from a magical source.&lt;/p&gt;&lt;/h4&gt;&lt;/div&gt;</t>
  </si>
  <si>
    <t>Cursed Treasure</t>
  </si>
  <si>
    <t>V, S, M (a platinum piece)</t>
  </si>
  <si>
    <t>unattended object touched</t>
  </si>
  <si>
    <t>permanent until discharged, then permanent (see text)</t>
  </si>
  <si>
    <t>Fortitude negates (object), then Will negates (see text)</t>
  </si>
  <si>
    <t>yes (object), then yes (see text)</t>
  </si>
  <si>
    <t>You touch a piece of treasure or container filled with treasure and place a terrible curse upon it, choosing from any option available with bestow curse.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t>
  </si>
  <si>
    <t>&lt;p&gt;You touch a piece of treasure or container filled with treasure and place a terrible curse upon it, choosing from any option available with &lt;i&gt;bestow curse&lt;/i&gt;.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instead.&lt;/p&gt;</t>
  </si>
  <si>
    <t>&lt;link rel="stylesheet"href="PF.css"&gt;&lt;div class="heading"&gt;&lt;p class="alignleft"&gt;Cursed Treasure&lt;/p&gt;&lt;div style="clear: both;"&gt;&lt;/div&gt;&lt;/div&gt;&lt;div&gt;&lt;h5&gt;&lt;b&gt;School &lt;/b&gt;necromancy [curse]; &lt;b&gt;Level &lt;/b&gt;antipaladin 3, bloodrager 4, cleric/oracle 3, shaman 3, sorcerer/wizard 4, spiritualist 3, witch 3&lt;/h5&gt;&lt;/div&gt;&lt;hr/&gt;&lt;div&gt;&lt;h5&gt;&lt;b&gt;CASTING&lt;/b&gt;&lt;/h5&gt;&lt;/div&gt;&lt;hr/&gt;&lt;div&gt;&lt;h5&gt;&lt;b&gt;Casting Time &lt;/b&gt;1 minute&lt;/h5&gt;&lt;h5&gt;&lt;b&gt;Components &lt;/b&gt;V, S, M (a platinum piece)&lt;/h5&gt;&lt;/div&gt;&lt;hr/&gt;&lt;div&gt;&lt;h5&gt;&lt;b&gt;EFFECT&lt;/b&gt;&lt;/h5&gt;&lt;/div&gt;&lt;hr/&gt;&lt;div&gt;&lt;h5&gt;&lt;b&gt;Range &lt;/b&gt;touch&lt;/h5&gt;&lt;h5&gt;&lt;b&gt;Targets &lt;/b&gt;unattended object touched&lt;/h5&gt;&lt;h5&gt;&lt;b&gt;Duration &lt;/b&gt;permanent until discharged, then permanent (see text)&lt;/h5&gt;&lt;h5&gt;&lt;b&gt;Saving Throw &lt;/b&gt;Fortitude negates (object), then Will negates (see text); &lt;b&gt;Spell Resistance &lt;/b&gt;yes (object), then yes (see text)&lt;/h5&gt;&lt;/div&gt;&lt;hr/&gt;&lt;div&gt;&lt;h5&gt;&lt;b&gt;DESCRIPTION&lt;/b&gt;&lt;/h5&gt;&lt;/div&gt;&lt;hr/&gt;&lt;div&gt;&lt;h4&gt;&lt;p&gt;You touch a piece of treasure or container filled with treasure and place a terrible curse upon it, choosing from any option available with &lt;i&gt;bestow curse&lt;/i&gt;.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instead.&lt;/p&gt;&lt;/h4&gt;&lt;/div&gt;</t>
  </si>
  <si>
    <t>Rotgut</t>
  </si>
  <si>
    <t>antipaladin 2, bard 2, cleric/oracle 2, inquisitor 2, occultist 2</t>
  </si>
  <si>
    <t>V, S, M (a pinch of hops)</t>
  </si>
  <si>
    <t>1 gallon of water/level</t>
  </si>
  <si>
    <t>You transform the target into a cheap alcohol of your choice, such as beer, grog, mead, rum, or wine. The alcohol doesn't taste good, but it's drinkable and just as effective as normal alcohol in making creatures inebriated (Pathfinder RPG GameMastery Guide 237). This spell doesn't work on holy water, potions, magical liquids, or water that is part of a creature.</t>
  </si>
  <si>
    <t>&lt;p&gt;You transform the target into a cheap alcohol of your choice, such as beer, grog, mead, rum, or wine. The alcohol doesn't taste good, but it's drinkable and just as effective as normal alcohol in making creatures inebriated (&lt;i&gt;Pathfinder RPG GameMastery Guide&lt;/i&gt; 237). This spell doesn't work on holy water, potions, magical liquids, or water that is part of a creature.&lt;/p&gt;</t>
  </si>
  <si>
    <t>&lt;link rel="stylesheet"href="PF.css"&gt;&lt;div class="heading"&gt;&lt;p class="alignleft"&gt;Rotgut&lt;/p&gt;&lt;div style="clear: both;"&gt;&lt;/div&gt;&lt;/div&gt;&lt;div&gt;&lt;h5&gt;&lt;b&gt;School &lt;/b&gt;transmutation; &lt;b&gt;Level &lt;/b&gt;antipaladin 2, bard 2, cleric/oracle 2, inquisitor 2, occultist 2&lt;/h5&gt;&lt;/div&gt;&lt;hr/&gt;&lt;div&gt;&lt;h5&gt;&lt;b&gt;CASTING&lt;/b&gt;&lt;/h5&gt;&lt;/div&gt;&lt;hr/&gt;&lt;div&gt;&lt;h5&gt;&lt;b&gt;Casting Time &lt;/b&gt;1 round&lt;/h5&gt;&lt;h5&gt;&lt;b&gt;Components &lt;/b&gt;V, S, M (a pinch of hops)&lt;/h5&gt;&lt;/div&gt;&lt;hr/&gt;&lt;div&gt;&lt;h5&gt;&lt;b&gt;EFFECT&lt;/b&gt;&lt;/h5&gt;&lt;/div&gt;&lt;hr/&gt;&lt;div&gt;&lt;h5&gt;&lt;b&gt;Range &lt;/b&gt;close (25 ft. + 5 ft./level)&lt;/h5&gt;&lt;h5&gt;&lt;b&gt;Targets &lt;/b&gt;1 gallon of water/level&lt;/h5&gt;&lt;h5&gt;&lt;b&gt;Duration &lt;/b&gt;instantaneous&lt;/h5&gt;&lt;h5&gt;&lt;b&gt;Saving Throw &lt;/b&gt;Fortitude negates (object); &lt;b&gt;Spell Resistance &lt;/b&gt;yes (object)&lt;/h5&gt;&lt;/div&gt;&lt;hr/&gt;&lt;div&gt;&lt;h5&gt;&lt;b&gt;DESCRIPTION&lt;/b&gt;&lt;/h5&gt;&lt;/div&gt;&lt;hr/&gt;&lt;div&gt;&lt;h4&gt;&lt;p&gt;You transform the target into a cheap alcohol of your choice, such as beer, grog, mead, rum, or wine. The alcohol doesn't taste good, but it's drinkable and just as effective as normal alcohol in making creatures inebriated (&lt;i&gt;Pathfinder RPG GameMastery Guide&lt;/i&gt; 237). This spell doesn't work on holy water, potions, magical liquids, or water that is part of a creature.&lt;/p&gt;&lt;/h4&gt;&lt;/div&gt;</t>
  </si>
  <si>
    <t>Walk The Plank</t>
  </si>
  <si>
    <t>V, S, M (a shark tooth and a splinter of a ship's hull)</t>
  </si>
  <si>
    <t>20-ft.-by-20-ft. hole, 10 ft. deep/4 levels</t>
  </si>
  <si>
    <t>1 round plus 1 round/level</t>
  </si>
  <si>
    <t>This spell functions as per create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(Pathfinder RPG Bestiary 294, 247) for every 4 caster levels you have (maximum four advanced sharks). If desired, when you cast the spell, you can substitute two of the summoned sharks for one great white shark (Pathfinder RPG Bestiary 4 241). These sharks immediately attack any creature that falls into the pit, even you. If multiple creatures fall in the pit, the sharks attack randomly. When the spell ends, creatures inside the hole rise up with the bottom of the pit, as normal for create pit, but the conjured water and sharks vanish.</t>
  </si>
  <si>
    <t>&lt;p&gt;This spell functions as per &lt;i&gt;create&lt;/i&gt;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(&lt;i&gt;Pathfinder RPG Bestiary&lt;/i&gt; 294, 247) for every 4 caster levels you have (maximum four advanced sharks). If desired, when you cast the spell, you can substitute two of the summoned sharks for one great white shark (&lt;i&gt;Pathfinder RPG Bestiary&lt;/i&gt; 4 241). These sharks immediately attack any creature that falls into the pit, even you. If multiple creatures fall in the pit, the sharks attack randomly. When the spell ends, creatures inside the hole rise up with the bottom of the pit, as normal for &lt;i&gt;create&lt;/i&gt; pit, but the conjured water and sharks vanish.&lt;/p&gt;</t>
  </si>
  <si>
    <t>&lt;link rel="stylesheet"href="PF.css"&gt;&lt;div class="heading"&gt;&lt;p class="alignleft"&gt;Walk The Plank&lt;/p&gt;&lt;div style="clear: both;"&gt;&lt;/div&gt;&lt;/div&gt;&lt;div&gt;&lt;h5&gt;&lt;b&gt;School &lt;/b&gt;conjuration (creation); &lt;b&gt;Level &lt;/b&gt;sorcerer/wizard 5, summoner 5&lt;/h5&gt;&lt;/div&gt;&lt;hr/&gt;&lt;div&gt;&lt;h5&gt;&lt;b&gt;CASTING&lt;/b&gt;&lt;/h5&gt;&lt;/div&gt;&lt;hr/&gt;&lt;div&gt;&lt;h5&gt;&lt;b&gt;Casting Time &lt;/b&gt;1 standard action&lt;/h5&gt;&lt;h5&gt;&lt;b&gt;Components &lt;/b&gt;V, S, M (a shark tooth and a splinter of a ship's hull)&lt;/h5&gt;&lt;/div&gt;&lt;hr/&gt;&lt;div&gt;&lt;h5&gt;&lt;b&gt;EFFECT&lt;/b&gt;&lt;/h5&gt;&lt;/div&gt;&lt;hr/&gt;&lt;div&gt;&lt;h5&gt;&lt;b&gt;Range &lt;/b&gt;close (25 ft. + 5 ft./level)&lt;/h5&gt;&lt;h5&gt;&lt;b&gt;Effect &lt;/b&gt;20-ft.-by-20-ft. hole, 10 ft. deep/4 levels&lt;/h5&gt;&lt;h5&gt;&lt;b&gt;Duration &lt;/b&gt;1 round plus 1 round/level&lt;/h5&gt;&lt;h5&gt;&lt;b&gt;Saving Throw &lt;/b&gt;Reflex negates (see text); &lt;b&gt;Spell Resistance &lt;/b&gt;no&lt;/h5&gt;&lt;/div&gt;&lt;hr/&gt;&lt;div&gt;&lt;h5&gt;&lt;b&gt;DESCRIPTION&lt;/b&gt;&lt;/h5&gt;&lt;/div&gt;&lt;hr/&gt;&lt;div&gt;&lt;h4&gt;&lt;p&gt;This spell functions as per &lt;i&gt;create&lt;/i&gt;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(&lt;i&gt;Pathfinder RPG Bestiary&lt;/i&gt; 294, 247) for every 4 caster levels you have (maximum four advanced sharks). If desired, when you cast the spell, you can substitute two of the summoned sharks for one great white shark (&lt;i&gt;Pathfinder RPG Bestiary&lt;/i&gt; 4 241). These sharks immediately attack any creature that falls into the pit, even you. If multiple creatures fall in the pit, the sharks attack randomly. When the spell ends, creatures inside the hole rise up with the bottom of the pit, as normal for &lt;i&gt;create&lt;/i&gt; pit, but the conjured water and sharks vanish.&lt;/p&gt;&lt;/h4&gt;&lt;/div&gt;</t>
  </si>
  <si>
    <t>Hobble</t>
  </si>
  <si>
    <t>bard 1, bloodrager 1, inquisitor 1, magus 1, mesmerist 1, ranger 1, sorcerer/wizard 1</t>
  </si>
  <si>
    <t>V, S, M (a drop of glue)</t>
  </si>
  <si>
    <t>one creature/level, no two of which can be more than 20 feet apart</t>
  </si>
  <si>
    <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t>
  </si>
  <si>
    <t>&lt;p&gt;This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effect.&lt;/p&gt;</t>
  </si>
  <si>
    <t>&lt;link rel="stylesheet"href="PF.css"&gt;&lt;div class="heading"&gt;&lt;p class="alignleft"&gt;Hobble&lt;/p&gt;&lt;div style="clear: both;"&gt;&lt;/div&gt;&lt;/div&gt;&lt;div&gt;&lt;h5&gt;&lt;b&gt;School &lt;/b&gt;transmutation; &lt;b&gt;Level &lt;/b&gt;bard 1, bloodrager 1, inquisitor 1, magus 1, mesmerist 1, ranger 1, sorcerer/wizard 1&lt;/h5&gt;&lt;/div&gt;&lt;hr/&gt;&lt;div&gt;&lt;h5&gt;&lt;b&gt;CASTING&lt;/b&gt;&lt;/h5&gt;&lt;/div&gt;&lt;hr/&gt;&lt;div&gt;&lt;h5&gt;&lt;b&gt;Casting Time &lt;/b&gt;1 standard action&lt;/h5&gt;&lt;h5&gt;&lt;b&gt;Components &lt;/b&gt;V, S, M (a drop of glue)&lt;/h5&gt;&lt;/div&gt;&lt;hr/&gt;&lt;div&gt;&lt;h5&gt;&lt;b&gt;EFFECT&lt;/b&gt;&lt;/h5&gt;&lt;/div&gt;&lt;hr/&gt;&lt;div&gt;&lt;h5&gt;&lt;b&gt;Range &lt;/b&gt;close (25 ft. + 5 ft./2 levels)&lt;/h5&gt;&lt;h5&gt;&lt;b&gt;Targets &lt;/b&gt;one creature/level, no two of which can be more than 20 feet apart&lt;/h5&gt;&lt;h5&gt;&lt;b&gt;Duration &lt;/b&gt;1 round/level&lt;/h5&gt;&lt;h5&gt;&lt;b&gt;Saving Throw &lt;/b&gt;Fortitude negates; &lt;b&gt;Spell Resistance &lt;/b&gt;yes&lt;/h5&gt;&lt;/div&gt;&lt;hr/&gt;&lt;div&gt;&lt;h5&gt;&lt;b&gt;DESCRIPTION&lt;/b&gt;&lt;/h5&gt;&lt;/div&gt;&lt;hr/&gt;&lt;div&gt;&lt;h4&gt;&lt;p&gt;This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effect.&lt;/p&gt;&lt;/h4&gt;&lt;/div&gt;</t>
  </si>
  <si>
    <t>Hoodwink</t>
  </si>
  <si>
    <t>bard 2, medium 2, mesmerist 2, occultist 2, sorcerer/wizard 2, psychic 2</t>
  </si>
  <si>
    <t>V, S, M (small piece of black cloth)</t>
  </si>
  <si>
    <t>close (25 ft. +5 ft./level)</t>
  </si>
  <si>
    <t>You befuddle the targets' senses, preventing the targets from clearly perceiving their surroundings.  Instead, hoodwinked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hoodwink, the spell's effect ends immediately for that target only.</t>
  </si>
  <si>
    <t>&lt;p&gt;You befuddle the targets' senses, preventing the targets from clearly perceiving their surroundings.  Instead, &lt;i&gt;hoodwink&lt;/i&gt;ed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&lt;i&gt;hoodwink&lt;/i&gt;, the spell's effect ends immediately for that target only.&lt;/p&gt;</t>
  </si>
  <si>
    <t>&lt;link rel="stylesheet"href="PF.css"&gt;&lt;div class="heading"&gt;&lt;p class="alignleft"&gt;Hoodwink&lt;/p&gt;&lt;div style="clear: both;"&gt;&lt;/div&gt;&lt;/div&gt;&lt;div&gt;&lt;h5&gt;&lt;b&gt;School &lt;/b&gt;enchantment (compulsion) [mind-affecting]; &lt;b&gt;Level &lt;/b&gt;bard 2, medium 2, mesmerist 2, occultist 2, sorcerer/wizard 2, psychic 2&lt;/h5&gt;&lt;/div&gt;&lt;hr/&gt;&lt;div&gt;&lt;h5&gt;&lt;b&gt;CASTING&lt;/b&gt;&lt;/h5&gt;&lt;/div&gt;&lt;hr/&gt;&lt;div&gt;&lt;h5&gt;&lt;b&gt;Casting Time &lt;/b&gt;1 standard action&lt;/h5&gt;&lt;h5&gt;&lt;b&gt;Components &lt;/b&gt;V, S, M (small piece of black cloth)&lt;/h5&gt;&lt;/div&gt;&lt;hr/&gt;&lt;div&gt;&lt;h5&gt;&lt;b&gt;EFFECT&lt;/b&gt;&lt;/h5&gt;&lt;/div&gt;&lt;hr/&gt;&lt;div&gt;&lt;h5&gt;&lt;b&gt;Range &lt;/b&gt;close (25 ft. +5 ft./level)&lt;/h5&gt;&lt;h5&gt;&lt;b&gt;Targets &lt;/b&gt;up to one creature/level, no two of which can be more than 30 ft. apart&lt;/h5&gt;&lt;h5&gt;&lt;b&gt;Duration &lt;/b&gt;1 hour/level (D)&lt;/h5&gt;&lt;h5&gt;&lt;b&gt;Saving Throw &lt;/b&gt;Will negates; &lt;b&gt;Spell Resistance &lt;/b&gt;yes&lt;/h5&gt;&lt;/div&gt;&lt;hr/&gt;&lt;div&gt;&lt;h5&gt;&lt;b&gt;DESCRIPTION&lt;/b&gt;&lt;/h5&gt;&lt;/div&gt;&lt;hr/&gt;&lt;div&gt;&lt;h4&gt;&lt;p&gt;You befuddle the targets' senses, preventing the targets from clearly perceiving their surroundings.  Instead, &lt;i&gt;hoodwink&lt;/i&gt;ed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&lt;i&gt;hoodwink&lt;/i&gt;, the spell's effect ends immediately for that target only.&lt;/p&gt;&lt;/h4&gt;&lt;/div&gt;</t>
  </si>
  <si>
    <t>Geomessage</t>
  </si>
  <si>
    <t>bard 3, medium 3, occultist 3, ranger 3, sorcerer/wizard 4</t>
  </si>
  <si>
    <t>V, S, M (a scrap of vellum)</t>
  </si>
  <si>
    <t>surface touched</t>
  </si>
  <si>
    <t>You create a written message of 50 words or fewer, or else an image, a drawing, or a similar diagram. The figment hangs invisible and obscured upon the target surface for the duration of the spell. Another casting of geomessage is needed to cause the figment to arrange itself into the intended message.  When you cast the spell, you can choose to incorporate a passphrase into the spell. If you do so, the message is protected as if nondetection had been cast on it for the full duration of the spell, though creatures that cast geomessage on the surface and speak the passphrase ignore the nondetection effect and cause the image to become visible until the caster speaks the passphrase again.  Without a passphrase, the message simply remains invisible to those who cast geomessage. Detection methods like detect magic and see invisibility indicate the message's presence but do not reveal its contents.</t>
  </si>
  <si>
    <t>&lt;p&gt;You create a written message of 50 words or fewer, or else an image, a drawing, or a similar diagram. The figment hangs invisible and obscured upon the target surface for the duration of the spell. Another casting of &lt;i&gt;geomessage&lt;/i&gt; is needed to cause the figment to arrange itself into the intended message.  When you cast the spell, you can choose to incorporate a passphrase into the spell. If you do so, the message is protected as if &lt;i&gt;nondetection&lt;/i&gt; had been cast on it for the full duration of the spell, though creatures that cast &lt;i&gt;geomessage&lt;/i&gt; on the surface and speak the passphrase ignore the &lt;i&gt;nondetection&lt;/i&gt; effect and cause the image to become visible until the caster speaks the passphrase again.  Without a passphrase, the message simply remains invisible to those who cast &lt;i&gt;geomessage&lt;/i&gt;. Detection methods like &lt;i&gt;detect magic&lt;/i&gt; and &lt;i&gt;see invisibility&lt;/i&gt; indicate the message's presence but do not reveal its contents.&lt;/p&gt;</t>
  </si>
  <si>
    <t>&lt;link rel="stylesheet"href="PF.css"&gt;&lt;div class="heading"&gt;&lt;p class="alignleft"&gt;Geomessage&lt;/p&gt;&lt;div style="clear: both;"&gt;&lt;/div&gt;&lt;/div&gt;&lt;div&gt;&lt;h5&gt;&lt;b&gt;School &lt;/b&gt;illusion (figment); &lt;b&gt;Level &lt;/b&gt;bard 3, medium 3, occultist 3, ranger 3, sorcerer/wizard 4&lt;/h5&gt;&lt;/div&gt;&lt;hr/&gt;&lt;div&gt;&lt;h5&gt;&lt;b&gt;CASTING&lt;/b&gt;&lt;/h5&gt;&lt;/div&gt;&lt;hr/&gt;&lt;div&gt;&lt;h5&gt;&lt;b&gt;Casting Time &lt;/b&gt;1 minute&lt;/h5&gt;&lt;h5&gt;&lt;b&gt;Components &lt;/b&gt;V, S, M (a scrap of vellum)&lt;/h5&gt;&lt;/div&gt;&lt;hr/&gt;&lt;div&gt;&lt;h5&gt;&lt;b&gt;EFFECT&lt;/b&gt;&lt;/h5&gt;&lt;/div&gt;&lt;hr/&gt;&lt;div&gt;&lt;h5&gt;&lt;b&gt;Range &lt;/b&gt;touch&lt;/h5&gt;&lt;h5&gt;&lt;b&gt;Targets &lt;/b&gt;surface touched&lt;/h5&gt;&lt;h5&gt;&lt;b&gt;Duration &lt;/b&gt;1 day/level&lt;/h5&gt;&lt;h5&gt;&lt;b&gt;Saving Throw &lt;/b&gt;none; &lt;b&gt;Spell Resistance &lt;/b&gt;no&lt;/h5&gt;&lt;/div&gt;&lt;hr/&gt;&lt;div&gt;&lt;h5&gt;&lt;b&gt;DESCRIPTION&lt;/b&gt;&lt;/h5&gt;&lt;/div&gt;&lt;hr/&gt;&lt;div&gt;&lt;h4&gt;&lt;p&gt;You create a written message of 50 words or fewer, or else an image, a drawing, or a similar diagram. The figment hangs invisible and obscured upon the target surface for the duration of the spell. Another casting of &lt;i&gt;geomessage&lt;/i&gt; is needed to cause the figment to arrange itself into the intended message.  When you cast the spell, you can choose to incorporate a passphrase into the spell. If you do so, the message is protected as if &lt;i&gt;nondetection&lt;/i&gt; had been cast on it for the full duration of the spell, though creatures that cast &lt;i&gt;geomessage&lt;/i&gt; on the surface and speak the passphrase ignore the &lt;i&gt;nondetection&lt;/i&gt; effect and cause the image to become visible until the caster speaks the passphrase again.  Without a passphrase, the message simply remains invisible to those who cast &lt;i&gt;geomessage&lt;/i&gt;. Detection methods like &lt;i&gt;detect magic&lt;/i&gt; and &lt;i&gt;see invisibility&lt;/i&gt; indicate the message's presence but do not reveal its contents.&lt;/p&gt;&lt;/h4&gt;&lt;/div&gt;</t>
  </si>
  <si>
    <t>Protection From Spores</t>
  </si>
  <si>
    <t>alchemist 2, cleric/oracle 2, druid 2, ranger 1, shaman 2, witch 2</t>
  </si>
  <si>
    <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Protection from spores offers no protection against fungal infestations created by the seeded, by the spell what grows within, or by Xhamen-Dor.</t>
  </si>
  <si>
    <t>&lt;p&gt;With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&lt;i&gt;Protection from spores&lt;/i&gt; offers no protection against fungal infestations created by the seeded, by the spell &lt;i&gt;what grows within&lt;/i&gt;, or by Xhamen-Dor.&lt;/p&gt;</t>
  </si>
  <si>
    <t>AP 113</t>
  </si>
  <si>
    <t>&lt;link rel="stylesheet"href="PF.css"&gt;&lt;div class="heading"&gt;&lt;p class="alignleft"&gt;Protection From Spores&lt;/p&gt;&lt;div style="clear: both;"&gt;&lt;/div&gt;&lt;/div&gt;&lt;div&gt;&lt;h5&gt;&lt;b&gt;School &lt;/b&gt;abjuration; &lt;b&gt;Level &lt;/b&gt;alchemist 2, cleric/oracle 2, druid 2, ranger 1, shaman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&lt;/b&gt;no&lt;/h5&gt;&lt;/div&gt;&lt;hr/&gt;&lt;div&gt;&lt;h5&gt;&lt;b&gt;DESCRIPTION&lt;/b&gt;&lt;/h5&gt;&lt;/div&gt;&lt;hr/&gt;&lt;div&gt;&lt;h4&gt;&lt;p&gt;With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&lt;i&gt;Protection from spores&lt;/i&gt; offers no protection against fungal infestations created by the seeded, by the spell &lt;i&gt;what grows within&lt;/i&gt;, or by Xhamen-Dor.&lt;/p&gt;&lt;/h4&gt;&lt;/div&gt;</t>
  </si>
  <si>
    <t>What Grows Within</t>
  </si>
  <si>
    <t>bard 6, cleric/oracle 6, druid 6, mesmerist 6, psychic 6, sorcerer/wizard 6, witch 6</t>
  </si>
  <si>
    <t>By speaking the name "Xhamen-Dor," you infuse yourself with the essence of the Inmost Blot and gain a +3 profane bonus on Will saving throws for the spell's duration. When you prepare what grows within for the first time, or the first time you use it via a spell-completion or spell-trigger item, you can thereafter be targeted by Xhamen-Dor's infected dreams ability (see page 86). As long as you are under the effects of what grows within, your mind-affecting spells carry this supernatural taint within them and can infect those who succumb to those effects.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what grows within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what grows within in this manner, the remaining duration of what grows within is reduced by 1 round. If you affect multiple creatures in a round, you choose the order in which they must save against the effects of what grows within, and reduce the spell's remaining duration by 1 round each time one of them is affected by the infestation.  Lesser Seeded Infestation-save Fortitude DC = spell's save DC; onset immediate; frequency 1/day; effect 1d4 Constitution drain; cure none. This infestation can be cured by magic alone. A creature whose Constitution is reduced to 0 by this infestation dies and rises from death in 1d4 rounds as a seeded creature (see page 90). This is an infestation effect.</t>
  </si>
  <si>
    <t>&lt;p&gt;By speaking the name "Xhamen-Dor," you infuse yourself with the essence of the Inmost Blot and gain a +3 profane bonus on Will saving throws for the spell's duration. When you prepare &lt;i&gt;what grows within&lt;/i&gt; for the first time, or the first time you use it via a spell-completion or spell-trigger item, you can thereafter be targeted by Xhamen-Dor's infected dreams ability (see page 86). As long as you are under the &lt;i&gt;effect&lt;/i&gt;s of &lt;i&gt;what grows within&lt;/i&gt;, your mind-affecting spells carry this supernatural taint within them and can infect those who succumb to those &lt;i&gt;effect&lt;/i&gt;s.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&lt;i&gt;what grows within&lt;/i&gt;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&lt;i&gt;what grows within&lt;/i&gt; in this manner, the remaining duration of &lt;i&gt;what grows within&lt;/i&gt; is reduced by 1 round. If you affect multiple creatures in a round, you choose the order in which they must save against the &lt;i&gt;effect&lt;/i&gt;s of &lt;i&gt;what grows within&lt;/i&gt;, and reduce the spell's remaining duration by 1 round each time one of them is affected by the infestation.  Lesser Seeded Infestation-save Fortitude DC = spell's save DC; &lt;i&gt;onset&lt;/i&gt; immediate; &lt;i&gt;frequency&lt;/i&gt; 1/day; &lt;i&gt;effect&lt;/i&gt; 1d4 Constitution drain; &lt;i&gt;cure&lt;/i&gt; none. This infestation can be &lt;i&gt;cure&lt;/i&gt;d by magic alone. A creature whose Constitution is reduced to 0 by this infestation dies and rises from death in 1d4 rounds as a seeded creature (see page 90). This is an infestation &lt;i&gt;effect&lt;/i&gt;.&lt;/p&gt;</t>
  </si>
  <si>
    <t>&lt;link rel="stylesheet"href="PF.css"&gt;&lt;div class="heading"&gt;&lt;p class="alignleft"&gt;What Grows Within&lt;/p&gt;&lt;div style="clear: both;"&gt;&lt;/div&gt;&lt;/div&gt;&lt;div&gt;&lt;h5&gt;&lt;b&gt;School &lt;/b&gt;necromancy [evil]; &lt;b&gt;Level &lt;/b&gt;bard 6, cleric/oracle 6, druid 6, mesmerist 6, psychic 6, sorcerer/wizard 6, witch 6&lt;/h5&gt;&lt;/div&gt;&lt;hr/&gt;&lt;div&gt;&lt;h5&gt;&lt;b&gt;CASTING&lt;/b&gt;&lt;/h5&gt;&lt;/div&gt;&lt;hr/&gt;&lt;div&gt;&lt;h5&gt;&lt;b&gt;Casting Time &lt;/b&gt;1 swift action&lt;/h5&gt;&lt;h5&gt;&lt;b&gt;Components &lt;/b&gt;V&lt;/h5&gt;&lt;/div&gt;&lt;hr/&gt;&lt;div&gt;&lt;h5&gt;&lt;b&gt;EFFECT&lt;/b&gt;&lt;/h5&gt;&lt;/div&gt;&lt;hr/&gt;&lt;div&gt;&lt;h5&gt;&lt;b&gt;Range &lt;/b&gt;personal&lt;/h5&gt;&lt;h5&gt;&lt;b&gt;Effect &lt;/b&gt;you&lt;/h5&gt;&lt;h5&gt;&lt;b&gt;Duration &lt;/b&gt;1 round/level&lt;/h5&gt;&lt;h5&gt;&lt;b&gt;Saving Throw &lt;/b&gt;see text; &lt;b&gt;Spell Resistance &lt;/b&gt;no&lt;/h5&gt;&lt;/div&gt;&lt;hr/&gt;&lt;div&gt;&lt;h5&gt;&lt;b&gt;DESCRIPTION&lt;/b&gt;&lt;/h5&gt;&lt;/div&gt;&lt;hr/&gt;&lt;div&gt;&lt;h4&gt;&lt;p&gt;By speaking the name "Xhamen-Dor," you infuse yourself with the essence of the Inmost Blot and gain a +3 profane bonus on Will saving throws for the spell's duration. When you prepare &lt;i&gt;what grows within&lt;/i&gt; for the first time, or the first time you use it via a spell-completion or spell-trigger item, you can thereafter be targeted by Xhamen-Dor's infected dreams ability (see page 86). As long as you are under the &lt;i&gt;effect&lt;/i&gt;s of &lt;i&gt;what grows within&lt;/i&gt;, your mind-affecting spells carry this supernatural taint within them and can infect those who succumb to those &lt;i&gt;effect&lt;/i&gt;s.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&lt;i&gt;what grows within&lt;/i&gt;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&lt;i&gt;what grows within&lt;/i&gt; in this manner, the remaining duration of &lt;i&gt;what grows within&lt;/i&gt; is reduced by 1 round. If you affect multiple creatures in a round, you choose the order in which they must save against the &lt;i&gt;effect&lt;/i&gt;s of &lt;i&gt;what grows within&lt;/i&gt;, and reduce the spell's remaining duration by 1 round each time one of them is affected by the infestation.  Lesser Seeded Infestation-save Fortitude DC = spell's save DC; &lt;i&gt;onset&lt;/i&gt; immediate; &lt;i&gt;frequency&lt;/i&gt; 1/day; &lt;i&gt;effect&lt;/i&gt; 1d4 Constitution drain; &lt;i&gt;cure&lt;/i&gt; none. This infestation can be &lt;i&gt;cure&lt;/i&gt;d by magic alone. A creature whose Constitution is reduced to 0 by this infestation dies and rises from death in 1d4 rounds as a seeded creature (see page 90). This is an infestation &lt;i&gt;effect&lt;/i&gt;.&lt;/p&gt;&lt;/h4&gt;&lt;/div&gt;</t>
  </si>
  <si>
    <t>Litany Of Truth</t>
  </si>
  <si>
    <t>inquisitor 6, paladin 4</t>
  </si>
  <si>
    <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t>
  </si>
  <si>
    <t>&lt;p&gt;With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title.&lt;/p&gt;</t>
  </si>
  <si>
    <t>Qadira Jewel Of The East</t>
  </si>
  <si>
    <t>&lt;link rel="stylesheet"href="PF.css"&gt;&lt;div class="heading"&gt;&lt;p class="alignleft"&gt;Litany Of Truth&lt;/p&gt;&lt;div style="clear: both;"&gt;&lt;/div&gt;&lt;/div&gt;&lt;div&gt;&lt;h5&gt;&lt;b&gt;School &lt;/b&gt;divination [language-dependent]; &lt;b&gt;Level &lt;/b&gt;inquisitor 6,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title.&lt;/p&gt;&lt;/h4&gt;&lt;/div&gt;</t>
  </si>
  <si>
    <t>Balance Of Suffering</t>
  </si>
  <si>
    <t>cleric/oracle 6, inquisitor 6, occultist 6, shaman 6, spiritualist 6, witch 6</t>
  </si>
  <si>
    <t>one living creature and another single living or undead creature</t>
  </si>
  <si>
    <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t>
  </si>
  <si>
    <t>&lt;p&gt;You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harmed.&lt;/p&gt;</t>
  </si>
  <si>
    <t>Healer's Handbook</t>
  </si>
  <si>
    <t>&lt;link rel="stylesheet"href="PF.css"&gt;&lt;div class="heading"&gt;&lt;p class="alignleft"&gt;Balance Of Suffering&lt;/p&gt;&lt;div style="clear: both;"&gt;&lt;/div&gt;&lt;/div&gt;&lt;div&gt;&lt;h5&gt;&lt;b&gt;School &lt;/b&gt;conjuration (healing) [death]; &lt;b&gt;Level &lt;/b&gt;cleric/oracle 6, inquisitor 6, occultist 6, shaman 6, spiritualist 6, witch 6&lt;/h5&gt;&lt;/div&gt;&lt;hr/&gt;&lt;div&gt;&lt;h5&gt;&lt;b&gt;CASTING&lt;/b&gt;&lt;/h5&gt;&lt;/div&gt;&lt;hr/&gt;&lt;div&gt;&lt;h5&gt;&lt;b&gt;Casting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 and another single living or undead creature&lt;/h5&gt;&lt;h5&gt;&lt;b&gt;Duration &lt;/b&gt;instantaneous&lt;/h5&gt;&lt;h5&gt;&lt;b&gt;Saving Throw &lt;/b&gt;Will half; see text; &lt;b&gt;Spell Resistance &lt;/b&gt;yes; see text&lt;/h5&gt;&lt;/div&gt;&lt;hr/&gt;&lt;div&gt;&lt;h5&gt;&lt;b&gt;DESCRIPTION&lt;/b&gt;&lt;/h5&gt;&lt;/div&gt;&lt;hr/&gt;&lt;div&gt;&lt;h4&gt;&lt;p&gt;You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harmed.&lt;/p&gt;&lt;/h4&gt;&lt;/div&gt;</t>
  </si>
  <si>
    <t>Curative Distillation</t>
  </si>
  <si>
    <t>alchemist 2, cleric/oracle 3</t>
  </si>
  <si>
    <t>V, S, M (healing herb, alchemical remedy, or potion of a healing spell worth at least 50 gp)</t>
  </si>
  <si>
    <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t>
  </si>
  <si>
    <t>&lt;p&gt;You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restore.&lt;/p&gt;</t>
  </si>
  <si>
    <t>&lt;link rel="stylesheet"href="PF.css"&gt;&lt;div class="heading"&gt;&lt;p class="alignleft"&gt;Curative Distillation&lt;/p&gt;&lt;div style="clear: both;"&gt;&lt;/div&gt;&lt;/div&gt;&lt;div&gt;&lt;h5&gt;&lt;b&gt;School &lt;/b&gt;conjuration (healing); &lt;b&gt;Level &lt;/b&gt;alchemist 2, cleric/oracle 3&lt;/h5&gt;&lt;/div&gt;&lt;hr/&gt;&lt;div&gt;&lt;h5&gt;&lt;b&gt;CASTING&lt;/b&gt;&lt;/h5&gt;&lt;/div&gt;&lt;hr/&gt;&lt;div&gt;&lt;h5&gt;&lt;b&gt;Casting Time &lt;/b&gt;1 standard action&lt;/h5&gt;&lt;h5&gt;&lt;b&gt;Components &lt;/b&gt;V, S, M (healing herb, alchemical remedy, or potion of a healing spell worth at least 50 gp)&lt;/h5&gt;&lt;/div&gt;&lt;hr/&gt;&lt;div&gt;&lt;h5&gt;&lt;b&gt;EFFECT&lt;/b&gt;&lt;/h5&gt;&lt;/div&gt;&lt;hr/&gt;&lt;div&gt;&lt;h5&gt;&lt;b&gt;Range &lt;/b&gt;touch&lt;/h5&gt;&lt;h5&gt;&lt;b&gt;Targets &lt;/b&gt;one living creature touched&lt;/h5&gt;&lt;h5&gt;&lt;b&gt;Duration &lt;/b&gt;instantaneous&lt;/h5&gt;&lt;h5&gt;&lt;b&gt;Saving Throw &lt;/b&gt;Will half (harmless); &lt;b&gt;Spell Resistance &lt;/b&gt;yes (harmless)&lt;/h5&gt;&lt;/div&gt;&lt;hr/&gt;&lt;div&gt;&lt;h5&gt;&lt;b&gt;DESCRIPTION&lt;/b&gt;&lt;/h5&gt;&lt;/div&gt;&lt;hr/&gt;&lt;div&gt;&lt;h4&gt;&lt;p&gt;You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restore.&lt;/p&gt;&lt;/h4&gt;&lt;/div&gt;</t>
  </si>
  <si>
    <t>Healing Flames</t>
  </si>
  <si>
    <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t>
  </si>
  <si>
    <t>&lt;p&gt;You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cases.&lt;/p&gt;</t>
  </si>
  <si>
    <t>&lt;link rel="stylesheet"href="PF.css"&gt;&lt;div class="heading"&gt;&lt;p class="alignleft"&gt;Healing Flames&lt;/p&gt;&lt;div style="clear: both;"&gt;&lt;/div&gt;&lt;/div&gt;&lt;div&gt;&lt;h5&gt;&lt;b&gt;School &lt;/b&gt;conjuration (healing) [fire, good]; &lt;b&gt;Level &lt;/b&gt;cleric/oracle 4, inquisitor 4, paladin 4&lt;/h5&gt;&lt;/div&gt;&lt;hr/&gt;&lt;div&gt;&lt;h5&gt;&lt;b&gt;CASTING&lt;/b&gt;&lt;/h5&gt;&lt;/div&gt;&lt;hr/&gt;&lt;div&gt;&lt;h5&gt;&lt;b&gt;Casting Time &lt;/b&gt;1 standard action&lt;/h5&gt;&lt;h5&gt;&lt;b&gt;Components &lt;/b&gt;V, S, DF&lt;/h5&gt;&lt;/div&gt;&lt;hr/&gt;&lt;div&gt;&lt;h5&gt;&lt;b&gt;EFFECT&lt;/b&gt;&lt;/h5&gt;&lt;/div&gt;&lt;hr/&gt;&lt;div&gt;&lt;h5&gt;&lt;b&gt;Area &lt;/b&gt;10-ft.-radius burst, centered on you&lt;/h5&gt;&lt;h5&gt;&lt;b&gt;Duration &lt;/b&gt;instantaneous&lt;/h5&gt;&lt;h5&gt;&lt;b&gt;Saving Throw &lt;/b&gt;Reflex half; see text; &lt;b&gt;Spell Resistance &lt;/b&gt;yes&lt;/h5&gt;&lt;/div&gt;&lt;hr/&gt;&lt;div&gt;&lt;h5&gt;&lt;b&gt;DESCRIPTION&lt;/b&gt;&lt;/h5&gt;&lt;/div&gt;&lt;hr/&gt;&lt;div&gt;&lt;h4&gt;&lt;p&gt;You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cases.&lt;/p&gt;&lt;/h4&gt;&lt;/div&gt;</t>
  </si>
  <si>
    <t>Healing Token</t>
  </si>
  <si>
    <t>cleric/oracle 2, druid 2, inquisitor 2, paladin 2, ranger 2, shaman 2</t>
  </si>
  <si>
    <t>one touched holy symbol per 3 caster levels</t>
  </si>
  <si>
    <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mass cure light wounds, the ability or spell affects the creature that pleaded for healing as well as any other creatures within the healing spell's normal range that are also holding a holy symbol imbued with this spell.  So, for example, when you use mass cure light wounds through a holy symbol that has been turned into a token of healing, that spell would heal the creature holding the token that pleaded for healing as well as one creature per level that is also holding a token (no two of which can be more than 30 feet apart). However, the mass cure light wounds spell would heal only creatures within range that are holding tokens.</t>
  </si>
  <si>
    <t>&lt;p&gt;You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&lt;i&gt;mass cure light wounds&lt;/i&gt;, the ability or spell affects the creature that pleaded for healing as well as any other creatures within the healing spell's normal range that are also holding a holy symbol imbued with this spell.  So, for example, when you use &lt;i&gt;mass cure light wounds&lt;/i&gt; through a holy symbol that has been turned into a token of healing, that spell would heal the creature holding the token that pleaded for healing as well as one creature per level that is also holding a token (no two of which can be more than 30 feet apart). However, the &lt;i&gt;mass cure light wounds&lt;/i&gt; spell would heal only creatures within range that are holding tokens.&lt;/p&gt;</t>
  </si>
  <si>
    <t>&lt;link rel="stylesheet"href="PF.css"&gt;&lt;div class="heading"&gt;&lt;p class="alignleft"&gt;Healing Token&lt;/p&gt;&lt;div style="clear: both;"&gt;&lt;/div&gt;&lt;/div&gt;&lt;div&gt;&lt;h5&gt;&lt;b&gt;School &lt;/b&gt;conjuration (healing); &lt;b&gt;Level &lt;/b&gt;cleric/oracle 2, druid 2, inquisitor 2, paladin 2, ranger 2, shaman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holy symbol per 3 caster levels&lt;/h5&gt;&lt;h5&gt;&lt;b&gt;Duration &lt;/b&gt;10 minutes/level&lt;/h5&gt;&lt;h5&gt;&lt;b&gt;Saving Throw &lt;/b&gt;Will negates (object); &lt;b&gt;Spell Resistance &lt;/b&gt;yes (object)&lt;/h5&gt;&lt;/div&gt;&lt;hr/&gt;&lt;div&gt;&lt;h5&gt;&lt;b&gt;DESCRIPTION&lt;/b&gt;&lt;/h5&gt;&lt;/div&gt;&lt;hr/&gt;&lt;div&gt;&lt;h4&gt;&lt;p&gt;You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&lt;i&gt;mass cure light wounds&lt;/i&gt;, the ability or spell affects the creature that pleaded for healing as well as any other creatures within the healing spell's normal range that are also holding a holy symbol imbued with this spell.  So, for example, when you use &lt;i&gt;mass cure light wounds&lt;/i&gt; through a holy symbol that has been turned into a token of healing, that spell would heal the creature holding the token that pleaded for healing as well as one creature per level that is also holding a token (no two of which can be more than 30 feet apart). However, the &lt;i&gt;mass cure light wounds&lt;/i&gt; spell would heal only creatures within range that are holding tokens.&lt;/p&gt;&lt;/h4&gt;&lt;/div&gt;</t>
  </si>
  <si>
    <t>Inspiring Recovery</t>
  </si>
  <si>
    <t>cleric/oracle 6, inquisitor 6, paladin 4, ranger 4</t>
  </si>
  <si>
    <t>one target creature and all its allies within 60 feet; see text</t>
  </si>
  <si>
    <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t>
  </si>
  <si>
    <t>&lt;p&gt;You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life.&lt;/p&gt;</t>
  </si>
  <si>
    <t>&lt;link rel="stylesheet"href="PF.css"&gt;&lt;div class="heading"&gt;&lt;p class="alignleft"&gt;Inspiring Recovery&lt;/p&gt;&lt;div style="clear: both;"&gt;&lt;/div&gt;&lt;/div&gt;&lt;div&gt;&lt;h5&gt;&lt;b&gt;School &lt;/b&gt;conjuration (healing) [mind-affecting]; &lt;b&gt;Level &lt;/b&gt;cleric/oracle 6, inquisitor 6, paladin 4, ranger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target creature and all its allies within 60 feet; see text&lt;/h5&gt;&lt;h5&gt;&lt;b&gt;Duration &lt;/b&gt;instantaneous and 1 minute&lt;/h5&gt;&lt;h5&gt;&lt;b&gt;Saving Throw &lt;/b&gt;Will half (harmless); &lt;b&gt;Spell Resistance &lt;/b&gt;yes (harmless)&lt;/h5&gt;&lt;/div&gt;&lt;hr/&gt;&lt;div&gt;&lt;h5&gt;&lt;b&gt;DESCRIPTION&lt;/b&gt;&lt;/h5&gt;&lt;/div&gt;&lt;hr/&gt;&lt;div&gt;&lt;h4&gt;&lt;p&gt;You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life.&lt;/p&gt;&lt;/h4&gt;&lt;/div&gt;</t>
  </si>
  <si>
    <t>Purify Body</t>
  </si>
  <si>
    <t>alchemist 4, cleric/oracle 4, medium 4, paladin 4, psychic 5</t>
  </si>
  <si>
    <t>instantaneous and 1 hour or until discharged</t>
  </si>
  <si>
    <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t>
  </si>
  <si>
    <t>&lt;p&gt;You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sickened.&lt;/p&gt;</t>
  </si>
  <si>
    <t>&lt;link rel="stylesheet"href="PF.css"&gt;&lt;div class="heading"&gt;&lt;p class="alignleft"&gt;Purify Body&lt;/p&gt;&lt;div style="clear: both;"&gt;&lt;/div&gt;&lt;/div&gt;&lt;div&gt;&lt;h5&gt;&lt;b&gt;School &lt;/b&gt;conjuration (healing); &lt;b&gt;Level &lt;/b&gt;alchemist 4, cleric/oracle 4, medium 4, paladin 4, psychic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and 1 hour or until discharged&lt;/h5&gt;&lt;h5&gt;&lt;b&gt;Saving Throw &lt;/b&gt;Will negates (harmless); &lt;b&gt;Spell Resistance &lt;/b&gt;yes (harmless)&lt;/h5&gt;&lt;/div&gt;&lt;hr/&gt;&lt;div&gt;&lt;h5&gt;&lt;b&gt;DESCRIPTION&lt;/b&gt;&lt;/h5&gt;&lt;/div&gt;&lt;hr/&gt;&lt;div&gt;&lt;h4&gt;&lt;p&gt;You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sickened.&lt;/p&gt;&lt;/h4&gt;&lt;/div&gt;</t>
  </si>
  <si>
    <t>Befuddled Combatant</t>
  </si>
  <si>
    <t>bard 5, mesmerist 5, psychic 5, shaman 5, sorcerer/wizard 5, witch 5</t>
  </si>
  <si>
    <t>V, S, M (cooked noodles)</t>
  </si>
  <si>
    <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incendiary cloud spell that was cast before the target became affected by this spell).</t>
  </si>
  <si>
    <t>&lt;p&gt;As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&lt;i&gt;incendiary cloud&lt;/i&gt; spell that was cast before the target became affected by this spell).&lt;/p&gt;</t>
  </si>
  <si>
    <t>&lt;link rel="stylesheet"href="PF.css"&gt;&lt;div class="heading"&gt;&lt;p class="alignleft"&gt;Befuddled Combatant&lt;/p&gt;&lt;div style="clear: both;"&gt;&lt;/div&gt;&lt;/div&gt;&lt;div&gt;&lt;h5&gt;&lt;b&gt;School &lt;/b&gt;enchantment (compulsion) [curse, mind-affecting]; &lt;b&gt;Level &lt;/b&gt;bard 5, mesmerist 5, psychic 5, shaman 5, sorcerer/wizard 5, witch 5&lt;/h5&gt;&lt;/div&gt;&lt;hr/&gt;&lt;div&gt;&lt;h5&gt;&lt;b&gt;CASTING&lt;/b&gt;&lt;/h5&gt;&lt;/div&gt;&lt;hr/&gt;&lt;div&gt;&lt;h5&gt;&lt;b&gt;Casting Time &lt;/b&gt;1 standard action&lt;/h5&gt;&lt;h5&gt;&lt;b&gt;Components &lt;/b&gt;V, S, M (cooked noodles)&lt;/h5&gt;&lt;/div&gt;&lt;hr/&gt;&lt;div&gt;&lt;h5&gt;&lt;b&gt;EFFECT&lt;/b&gt;&lt;/h5&gt;&lt;/div&gt;&lt;hr/&gt;&lt;div&gt;&lt;h5&gt;&lt;b&gt;Range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&lt;i&gt;incendiary cloud&lt;/i&gt; spell that was cast before the target became affected by this spell).&lt;/p&gt;&lt;/h4&gt;&lt;/div&gt;</t>
  </si>
  <si>
    <t>Enchantment Sight</t>
  </si>
  <si>
    <t>alchemist 2, bard 2, cleric/oracle 2, inquisitor 2, medium 2, mesmerist 2, occultist 2, paladin 2, psychic 2, sorcerer/wizard 2, spiritualist 2, witch 2</t>
  </si>
  <si>
    <t>Duration 10 minutes/level (D)</t>
  </si>
  <si>
    <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detect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Enchantment sight can be made permanent with a permanency spell cast by a caster of 9th level or higher, at a cost of 2,500 gp.</t>
  </si>
  <si>
    <t>&lt;p&gt;Your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&lt;i&gt;detect&lt;/i&gt;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&lt;i&gt;Enchantment sight&lt;/i&gt; can be made permanent with a &lt;i&gt;permanency&lt;/i&gt; spell cast by a caster of 9th level or higher, at a cost of 2,500 gp.&lt;/p&gt;</t>
  </si>
  <si>
    <t>Heroes Of The High Court</t>
  </si>
  <si>
    <t>&lt;link rel="stylesheet"href="PF.css"&gt;&lt;div class="heading"&gt;&lt;p class="alignleft"&gt;Enchantment Sight&lt;/p&gt;&lt;div style="clear: both;"&gt;&lt;/div&gt;&lt;/div&gt;&lt;div&gt;&lt;h5&gt;&lt;b&gt;School &lt;/b&gt;divination; &lt;b&gt;Level &lt;/b&gt;alchemist 2, bard 2, cleric/oracle 2, inquisitor 2, medium 2, mesmerist 2, occultist 2, paladin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&lt;/b&gt;you&lt;/h5&gt;&lt;h5&gt;&lt;b&gt;Effect &lt;/b&gt;Duration 10 minutes/level (D)&lt;/h5&gt;&lt;/div&gt;&lt;hr/&gt;&lt;div&gt;&lt;h5&gt;&lt;b&gt;DESCRIPTION&lt;/b&gt;&lt;/h5&gt;&lt;/div&gt;&lt;hr/&gt;&lt;div&gt;&lt;h4&gt;&lt;p&gt;Your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&lt;i&gt;detect&lt;/i&gt;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&lt;i&gt;Enchantment sight&lt;/i&gt; can be made permanent with a &lt;i&gt;permanency&lt;/i&gt; spell cast by a caster of 9th level or higher, at a cost of 2,500 gp.&lt;/p&gt;&lt;/h4&gt;&lt;/div&gt;</t>
  </si>
  <si>
    <t>Reveal Emotions</t>
  </si>
  <si>
    <t>medium 3, mesmerist 4, occultist 4, psychic 4, spiritualist 4</t>
  </si>
  <si>
    <t>You create an area that draws out a creature's emotion aura (Pathfinder RPG Occult Adventures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t>
  </si>
  <si>
    <t>&lt;p&gt;You create an area that draws out a creature's emotion aura (&lt;i&gt;Pathfinder RPG Occult Adventures&lt;/i&gt;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area.&lt;/p&gt;</t>
  </si>
  <si>
    <t>&lt;link rel="stylesheet"href="PF.css"&gt;&lt;div class="heading"&gt;&lt;p class="alignleft"&gt;Reveal Emotions&lt;/p&gt;&lt;div style="clear: both;"&gt;&lt;/div&gt;&lt;/div&gt;&lt;div&gt;&lt;h5&gt;&lt;b&gt;School &lt;/b&gt;divination; &lt;b&gt;Level &lt;/b&gt;medium 3, mesmerist 4, occultist 4, psychic 4, spiritualist 4&lt;/h5&gt;&lt;/div&gt;&lt;hr/&gt;&lt;div&gt;&lt;h5&gt;&lt;b&gt;CASTING&lt;/b&gt;&lt;/h5&gt;&lt;/div&gt;&lt;hr/&gt;&lt;div&gt;&lt;h5&gt;&lt;b&gt;Casting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levels)&lt;/h5&gt;&lt;h5&gt;&lt;b&gt;Area &lt;/b&gt;40-ft.-radius spread&lt;/h5&gt;&lt;h5&gt;&lt;b&gt;Duration &lt;/b&gt;1 hour/level (D)&lt;/h5&gt;&lt;h5&gt;&lt;b&gt;Saving Throw &lt;/b&gt;none; &lt;b&gt;Spell Resistance &lt;/b&gt;yes&lt;/h5&gt;&lt;/div&gt;&lt;hr/&gt;&lt;div&gt;&lt;h5&gt;&lt;b&gt;DESCRIPTION&lt;/b&gt;&lt;/h5&gt;&lt;/div&gt;&lt;hr/&gt;&lt;div&gt;&lt;h4&gt;&lt;p&gt;You create an area that draws out a creature's emotion aura (&lt;i&gt;Pathfinder RPG Occult Adventures&lt;/i&gt;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area.&lt;/p&gt;&lt;/h4&gt;&lt;/div&gt;</t>
  </si>
  <si>
    <t>Shroud Of Innocuity</t>
  </si>
  <si>
    <t>bard 3, medium 3, mesmerist 3, psychic 3, shaman 3, sorcerer/wizard 3, witch 3</t>
  </si>
  <si>
    <t>one willing creature plus one/2 caster levels, no two of which can be more than 30 ft. apart</t>
  </si>
  <si>
    <t>none (harmless); see text</t>
  </si>
  <si>
    <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t>
  </si>
  <si>
    <t>&lt;p&gt;All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target.&lt;/p&gt;</t>
  </si>
  <si>
    <t>&lt;link rel="stylesheet"href="PF.css"&gt;&lt;div class="heading"&gt;&lt;p class="alignleft"&gt;Shroud Of Innocuity&lt;/p&gt;&lt;div style="clear: both;"&gt;&lt;/div&gt;&lt;/div&gt;&lt;div&gt;&lt;h5&gt;&lt;b&gt;School &lt;/b&gt;illusion (glamer); &lt;b&gt;Level &lt;/b&gt;bard 3, medium 3, mesmerist 3, psychic 3, shaman 3, sorcerer/wizard 3, witch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willing creature plus one/2 caster levels, no two of which can be more than 30 ft. apart&lt;/h5&gt;&lt;h5&gt;&lt;b&gt;Duration &lt;/b&gt;1 hour/level (D)&lt;/h5&gt;&lt;h5&gt;&lt;b&gt;Saving Throw &lt;/b&gt;none (harmless); see text; &lt;b&gt;Spell Resistance &lt;/b&gt;no&lt;/h5&gt;&lt;/div&gt;&lt;hr/&gt;&lt;div&gt;&lt;h5&gt;&lt;b&gt;DESCRIPTION&lt;/b&gt;&lt;/h5&gt;&lt;/div&gt;&lt;hr/&gt;&lt;div&gt;&lt;h4&gt;&lt;p&gt;All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target.&lt;/p&gt;&lt;/h4&gt;&lt;/div&gt;</t>
  </si>
  <si>
    <t>Speechreader's Sight</t>
  </si>
  <si>
    <t>alchemist 1, bard 1, cleric/oracle 1, inquisitor 1, medium 1, mesmerist 1, occultist 1, psychic 1, sorcerer/wizard 1, spiritualist 1, witch 1</t>
  </si>
  <si>
    <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permanency spell cast by a caster of 9th level or higher, at a cost of 2,500 gp.</t>
  </si>
  <si>
    <t>&lt;p&gt;If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&lt;i&gt;permanency&lt;/i&gt; spell cast by a caster of 9th level or higher, at a cost of 2,500 gp.&lt;/p&gt;</t>
  </si>
  <si>
    <t>&lt;link rel="stylesheet"href="PF.css"&gt;&lt;div class="heading"&gt;&lt;p class="alignleft"&gt;Speechreader's Sight&lt;/p&gt;&lt;div style="clear: both;"&gt;&lt;/div&gt;&lt;/div&gt;&lt;div&gt;&lt;h5&gt;&lt;b&gt;School &lt;/b&gt;divination; &lt;b&gt;Level &lt;/b&gt;alchemist 1, bard 1, cleric/oracle 1, inquisitor 1, medium 1, mesmerist 1, occultist 1, psychic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&lt;i&gt;permanency&lt;/i&gt; spell cast by a caster of 9th level or higher, at a cost of 2,500 gp.&lt;/p&gt;&lt;/h4&gt;&lt;/div&gt;</t>
  </si>
  <si>
    <t>False Face</t>
  </si>
  <si>
    <t>alchemist 1, bard 1, inquisitor 1, mesmerist 1, sorcerer/wizard 1, witch 1</t>
  </si>
  <si>
    <t>V, S, M (a folded-paper mask)</t>
  </si>
  <si>
    <t>This spell alters details of your appearance so that you are no longer recognizable as yourself. Your new appearance is within the norms for your race, ethnicity, and gender. You lack control over the details of your appearance; however, when casting false face, you can choose an appearance you previously used, allowing you to maintain specific identities.</t>
  </si>
  <si>
    <t>&lt;p&gt;This spell alters details of your appearance so that you are no longer recognizable as yourself. Your new appearance is within the norms for your race, ethnicity, and gender. You lack control over the details of your appearance; however, when casting &lt;i&gt;false face&lt;/i&gt;, you can choose an appearance you previously used, allowing you to maintain specific identities.&lt;/p&gt;</t>
  </si>
  <si>
    <t>&lt;link rel="stylesheet"href="PF.css"&gt;&lt;div class="heading"&gt;&lt;p class="alignleft"&gt;False Face&lt;/p&gt;&lt;div style="clear: both;"&gt;&lt;/div&gt;&lt;/div&gt;&lt;div&gt;&lt;h5&gt;&lt;b&gt;School &lt;/b&gt;transmutation (polymorph); &lt;b&gt;Level &lt;/b&gt;alchemist 1, bard 1, inquisitor 1, mesmerist 1, sorcerer/wizard 1, witch 1&lt;/h5&gt;&lt;/div&gt;&lt;hr/&gt;&lt;div&gt;&lt;h5&gt;&lt;b&gt;CASTING&lt;/b&gt;&lt;/h5&gt;&lt;/div&gt;&lt;hr/&gt;&lt;div&gt;&lt;h5&gt;&lt;b&gt;Casting Time &lt;/b&gt;1 standard action&lt;/h5&gt;&lt;h5&gt;&lt;b&gt;Components &lt;/b&gt;V, S, M (a folded-paper mask)&lt;/h5&gt;&lt;/div&gt;&lt;hr/&gt;&lt;div&gt;&lt;h5&gt;&lt;b&gt;EFFECT&lt;/b&gt;&lt;/h5&gt;&lt;/div&gt;&lt;hr/&gt;&lt;div&gt;&lt;h5&gt;&lt;b&gt;Range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alters details of your appearance so that you are no longer recognizable as yourself. Your new appearance is within the norms for your race, ethnicity, and gender. You lack control over the details of your appearance; however, when casting &lt;i&gt;false face&lt;/i&gt;, you can choose an appearance you previously used, allowing you to maintain specific identities.&lt;/p&gt;&lt;/h4&gt;&lt;/div&gt;</t>
  </si>
  <si>
    <t>Perceive Betrayal</t>
  </si>
  <si>
    <t>cleric/oracle 6, inquisitor 4, sorcerer/wizard 7, witch 6</t>
  </si>
  <si>
    <t>V, S, M (12 drops of blood), F (a silver circlet worth 500 gp)</t>
  </si>
  <si>
    <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Ill Will: Someone dislikes your liege, but isn't planning to act against her.  Plotting: Someone is actively conspiring against your liege.  Imminent: Someone is in the process of carrying out a plot against your liege.  Creatures that are immune to mind-affecting or thought-detecting effects cannot have their intent detected by perceive betrayal.</t>
  </si>
  <si>
    <t>&lt;p&gt;By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&lt;i&gt;Ill Will&lt;/i&gt;: Someone dislikes your liege, but isn't planning to act against her.  &lt;i&gt;Plotting&lt;/i&gt;: Someone is actively conspiring against your liege.  &lt;i&gt;Imminent&lt;/i&gt;: Someone is in the process of carrying out a plot against your liege.  Creatures that are immune to mind-affecting or thought-detecting effects cannot have their intent detected by &lt;i&gt;perceive betrayal&lt;/i&gt;.&lt;/p&gt;</t>
  </si>
  <si>
    <t>&lt;link rel="stylesheet"href="PF.css"&gt;&lt;div class="heading"&gt;&lt;p class="alignleft"&gt;Perceive Betrayal&lt;/p&gt;&lt;div style="clear: both;"&gt;&lt;/div&gt;&lt;/div&gt;&lt;div&gt;&lt;h5&gt;&lt;b&gt;School &lt;/b&gt;divination; &lt;b&gt;Level &lt;/b&gt;cleric/oracle 6, inquisitor 4, sorcerer/wizard 7, witch 6&lt;/h5&gt;&lt;/div&gt;&lt;hr/&gt;&lt;div&gt;&lt;h5&gt;&lt;b&gt;CASTING&lt;/b&gt;&lt;/h5&gt;&lt;/div&gt;&lt;hr/&gt;&lt;div&gt;&lt;h5&gt;&lt;b&gt;Casting Time &lt;/b&gt;1 minute&lt;/h5&gt;&lt;h5&gt;&lt;b&gt;Components &lt;/b&gt;V, S, M (12 drops of blood), F (a silver circlet worth 500 gp)&lt;/h5&gt;&lt;/div&gt;&lt;hr/&gt;&lt;div&gt;&lt;h5&gt;&lt;b&gt;EFFECT&lt;/b&gt;&lt;/h5&gt;&lt;/div&gt;&lt;hr/&gt;&lt;div&gt;&lt;h5&gt;&lt;b&gt;Range &lt;/b&gt;personal&lt;/h5&gt;&lt;h5&gt;&lt;b&gt;Targets &lt;/b&gt;you&lt;/h5&gt;&lt;h5&gt;&lt;b&gt;Duration &lt;/b&gt;1 hour/level&lt;/h5&gt;&lt;/div&gt;&lt;hr/&gt;&lt;div&gt;&lt;h5&gt;&lt;b&gt;DESCRIPTION&lt;/b&gt;&lt;/h5&gt;&lt;/div&gt;&lt;hr/&gt;&lt;div&gt;&lt;h4&gt;&lt;p&gt;By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&lt;i&gt;Ill Will&lt;/i&gt;: Someone dislikes your liege, but isn't planning to act against her.  &lt;i&gt;Plotting&lt;/i&gt;: Someone is actively conspiring against your liege.  &lt;i&gt;Imminent&lt;/i&gt;: Someone is in the process of carrying out a plot against your liege.  Creatures that are immune to mind-affecting or thought-detecting effects cannot have their intent detected by &lt;i&gt;perceive betrayal&lt;/i&gt;.&lt;/p&gt;&lt;/h4&gt;&lt;/div&gt;</t>
  </si>
  <si>
    <t>Pierce Facade</t>
  </si>
  <si>
    <t>alchemist 1, bard 1, cleric/oracle 1, inquisitor 1, psychic 1, sorcerer/wizard 1, witch 1</t>
  </si>
  <si>
    <t>V, S, M/DF (an eagle's eye)</t>
  </si>
  <si>
    <t>The target gains a +5 insight bonus on Perception checks to see through disguises. This bonus increases to +10 at caster level 7th.</t>
  </si>
  <si>
    <t>&lt;p&gt;The target gains a +5 insight bonus on Perception checks to see through disguises. This bonus increases to +10 at caster level 7th.&lt;/p&gt;</t>
  </si>
  <si>
    <t>&lt;link rel="stylesheet"href="PF.css"&gt;&lt;div class="heading"&gt;&lt;p class="alignleft"&gt;Pierce Facade&lt;/p&gt;&lt;div style="clear: both;"&gt;&lt;/div&gt;&lt;/div&gt;&lt;div&gt;&lt;h5&gt;&lt;b&gt;School &lt;/b&gt;divination; &lt;b&gt;Level &lt;/b&gt;alchemist 1, bard 1, cleric/oracle 1, inquisitor 1, psychic 1, sorcerer/wizard 1, witch 1&lt;/h5&gt;&lt;/div&gt;&lt;hr/&gt;&lt;div&gt;&lt;h5&gt;&lt;b&gt;CASTING&lt;/b&gt;&lt;/h5&gt;&lt;/div&gt;&lt;hr/&gt;&lt;div&gt;&lt;h5&gt;&lt;b&gt;Casting Time &lt;/b&gt;1 standard action&lt;/h5&gt;&lt;h5&gt;&lt;b&gt;Components &lt;/b&gt;V, S, M/DF (an eagle's eye)&lt;/h5&gt;&lt;/div&gt;&lt;hr/&gt;&lt;div&gt;&lt;h5&gt;&lt;b&gt;EFFECT&lt;/b&gt;&lt;/h5&gt;&lt;/div&gt;&lt;hr/&gt;&lt;div&gt;&lt;h5&gt;&lt;b&gt;Range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(harmless)&lt;/h5&gt;&lt;/div&gt;&lt;hr/&gt;&lt;div&gt;&lt;h5&gt;&lt;b&gt;DESCRIPTION&lt;/b&gt;&lt;/h5&gt;&lt;/div&gt;&lt;hr/&gt;&lt;div&gt;&lt;h4&gt;&lt;p&gt;The target gains a +5 insight bonus on Perception checks to see through disguises. This bonus increases to +10 at caster level 7th.&lt;/p&gt;&lt;/h4&gt;&lt;/div&gt;</t>
  </si>
  <si>
    <t>Aura Of Distraction</t>
  </si>
  <si>
    <t>psychic 2, sorcerer/wizard 2, witch 2</t>
  </si>
  <si>
    <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aura of distraction.</t>
  </si>
  <si>
    <t>&lt;p&gt;You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&lt;i&gt;aura of distraction&lt;/i&gt;.&lt;/p&gt;</t>
  </si>
  <si>
    <t>Psychic Anthology</t>
  </si>
  <si>
    <t>&lt;link rel="stylesheet"href="PF.css"&gt;&lt;div class="heading"&gt;&lt;p class="alignleft"&gt;Aura Of Distraction&lt;/p&gt;&lt;div style="clear: both;"&gt;&lt;/div&gt;&lt;/div&gt;&lt;div&gt;&lt;h5&gt;&lt;b&gt;School &lt;/b&gt;enchantment [mind-affecting]; &lt;b&gt;Level &lt;/b&gt;psychic 2, sorcerer/wizard 2, witch 2&lt;/h5&gt;&lt;/div&gt;&lt;hr/&gt;&lt;div&gt;&lt;h5&gt;&lt;b&gt;CASTING&lt;/b&gt;&lt;/h5&gt;&lt;/div&gt;&lt;hr/&gt;&lt;div&gt;&lt;h5&gt;&lt;b&gt;Casting Time &lt;/b&gt;1 standard action&lt;/h5&gt;&lt;h5&gt;&lt;b&gt;Components &lt;/b&gt;V, S&lt;/h5&gt;&lt;/div&gt;&lt;hr/&gt;&lt;div&gt;&lt;h5&gt;&lt;b&gt;EFFECT&lt;/b&gt;&lt;/h5&gt;&lt;/div&gt;&lt;hr/&gt;&lt;div&gt;&lt;h5&gt;&lt;b&gt;Area &lt;/b&gt;20-ft.-radius emanation centered on you&lt;/h5&gt;&lt;h5&gt;&lt;b&gt;Duration &lt;/b&gt;1 minute/level (D)&lt;/h5&gt;&lt;h5&gt;&lt;b&gt;Saving Throw &lt;/b&gt;Will negates; &lt;b&gt;Spell Resistance &lt;/b&gt;yes&lt;/h5&gt;&lt;/div&gt;&lt;hr/&gt;&lt;div&gt;&lt;h5&gt;&lt;b&gt;DESCRIPTION&lt;/b&gt;&lt;/h5&gt;&lt;/div&gt;&lt;hr/&gt;&lt;div&gt;&lt;h4&gt;&lt;p&gt;You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&lt;i&gt;aura of distraction&lt;/i&gt;.&lt;/p&gt;&lt;/h4&gt;&lt;/div&gt;</t>
  </si>
  <si>
    <t>Burst Of Force</t>
  </si>
  <si>
    <t>psychic 5, sorcerer/wizard 5</t>
  </si>
  <si>
    <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t>
  </si>
  <si>
    <t>&lt;p&gt;With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prone.&lt;/p&gt;</t>
  </si>
  <si>
    <t>&lt;link rel="stylesheet"href="PF.css"&gt;&lt;div class="heading"&gt;&lt;p class="alignleft"&gt;Burst Of Force&lt;/p&gt;&lt;div style="clear: both;"&gt;&lt;/div&gt;&lt;/div&gt;&lt;div&gt;&lt;h5&gt;&lt;b&gt;School &lt;/b&gt;evocation [force]; &lt;b&gt;Level &lt;/b&gt;psychic 5, sorcerer/wizard 5&lt;/h5&gt;&lt;/div&gt;&lt;hr/&gt;&lt;div&gt;&lt;h5&gt;&lt;b&gt;CASTING&lt;/b&gt;&lt;/h5&gt;&lt;/div&gt;&lt;hr/&gt;&lt;div&gt;&lt;h5&gt;&lt;b&gt;Casting Time &lt;/b&gt;1 standard action&lt;/h5&gt;&lt;h5&gt;&lt;b&gt;Components &lt;/b&gt;V&lt;/h5&gt;&lt;/div&gt;&lt;hr/&gt;&lt;div&gt;&lt;h5&gt;&lt;b&gt;EFFECT&lt;/b&gt;&lt;/h5&gt;&lt;/div&gt;&lt;hr/&gt;&lt;div&gt;&lt;h5&gt;&lt;b&gt;Area &lt;/b&gt;20-ft.-radius burst centered on you&lt;/h5&gt;&lt;h5&gt;&lt;b&gt;Duration &lt;/b&gt;instantaneous&lt;/h5&gt;&lt;h5&gt;&lt;b&gt;Saving Throw &lt;/b&gt;Fortitude half (see text); &lt;b&gt;Spell Resistance &lt;/b&gt;yes&lt;/h5&gt;&lt;/div&gt;&lt;hr/&gt;&lt;div&gt;&lt;h5&gt;&lt;b&gt;DESCRIPTION&lt;/b&gt;&lt;/h5&gt;&lt;/div&gt;&lt;hr/&gt;&lt;div&gt;&lt;h4&gt;&lt;p&gt;With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prone.&lt;/p&gt;&lt;/h4&gt;&lt;/div&gt;</t>
  </si>
  <si>
    <t>Debilitating Pain</t>
  </si>
  <si>
    <t>psychic 3, witch 3</t>
  </si>
  <si>
    <t>1 round/3 levels</t>
  </si>
  <si>
    <t>The target is overcome with intense pain, causing it to be stunned on a failed save or dazed for 1 round on a successful save.</t>
  </si>
  <si>
    <t>&lt;p&gt;The target is overcome with intense pain, causing it to be stunned on a failed save or dazed for 1 round on a successful save.&lt;/p&gt;</t>
  </si>
  <si>
    <t>&lt;link rel="stylesheet"href="PF.css"&gt;&lt;div class="heading"&gt;&lt;p class="alignleft"&gt;Debilitating Pain&lt;/p&gt;&lt;div style="clear: both;"&gt;&lt;/div&gt;&lt;/div&gt;&lt;div&gt;&lt;h5&gt;&lt;b&gt;School &lt;/b&gt;enchantment (compulsion) [mind-affecting, pain&lt;sup&gt;UM&lt;/sup&gt;]; &lt;b&gt;Level &lt;/b&gt;psychic 3, witch 3&lt;/h5&gt;&lt;/div&gt;&lt;hr/&gt;&lt;div&gt;&lt;h5&gt;&lt;b&gt;CASTING&lt;/b&gt;&lt;/h5&gt;&lt;/div&gt;&lt;hr/&gt;&lt;div&gt;&lt;h5&gt;&lt;b&gt;Casting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 round/3 levels&lt;/h5&gt;&lt;h5&gt;&lt;b&gt;Saving Throw &lt;/b&gt;Will partial (see text); &lt;b&gt;Spell Resistance &lt;/b&gt;yes&lt;/h5&gt;&lt;/div&gt;&lt;hr/&gt;&lt;div&gt;&lt;h5&gt;&lt;b&gt;DESCRIPTION&lt;/b&gt;&lt;/h5&gt;&lt;/div&gt;&lt;hr/&gt;&lt;div&gt;&lt;h4&gt;&lt;p&gt;The target is overcome with intense pain, causing it to be stunned on a failed save or dazed for 1 round on a successful save.&lt;/p&gt;&lt;/h4&gt;&lt;/div&gt;</t>
  </si>
  <si>
    <t>Debilitating Pain, Mass</t>
  </si>
  <si>
    <t>psychic 5, witch 5</t>
  </si>
  <si>
    <t>This spell functions as per debilitating pain, except you can target one creature for every 4 caster levels you have.</t>
  </si>
  <si>
    <t>&lt;p&gt;This spell functions as per &lt;i&gt;debilitating pain&lt;/i&gt;, except you can target one creature for every 4 caster levels you have.&lt;/p&gt;</t>
  </si>
  <si>
    <t>&lt;link rel="stylesheet"href="PF.css"&gt;&lt;div class="heading"&gt;&lt;p class="alignleft"&gt;Debilitating Pain, Mass&lt;/p&gt;&lt;div style="clear: both;"&gt;&lt;/div&gt;&lt;/div&gt;&lt;div&gt;&lt;h5&gt;&lt;b&gt;School &lt;/b&gt;enchantment (compulsion) [mind-affecting, pain&lt;sup&gt;UM&lt;/sup&gt;]; &lt;b&gt;Level &lt;/b&gt;psychic 5, witch 5&lt;/h5&gt;&lt;/div&gt;&lt;hr/&gt;&lt;div&gt;&lt;h5&gt;&lt;b&gt;CASTING&lt;/b&gt;&lt;/h5&gt;&lt;/div&gt;&lt;hr/&gt;&lt;div&gt;&lt;h5&gt;&lt;b&gt;Casting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creature/4 levels&lt;/h5&gt;&lt;h5&gt;&lt;b&gt;Duration &lt;/b&gt;1 round/3 levels&lt;/h5&gt;&lt;h5&gt;&lt;b&gt;Saving Throw &lt;/b&gt;Will partial (see text); &lt;b&gt;Spell Resistance &lt;/b&gt;yes&lt;/h5&gt;&lt;/div&gt;&lt;hr/&gt;&lt;div&gt;&lt;h5&gt;&lt;b&gt;DESCRIPTION&lt;/b&gt;&lt;/h5&gt;&lt;/div&gt;&lt;hr/&gt;&lt;div&gt;&lt;h4&gt;&lt;p&gt;This spell functions as per &lt;i&gt;debilitating pain&lt;/i&gt;, except you can target one creature for every 4 caster levels you have.&lt;/p&gt;&lt;/h4&gt;&lt;/div&gt;</t>
  </si>
  <si>
    <t>Glimpse Of The Akashic</t>
  </si>
  <si>
    <t>1 day or until discharged (see text)</t>
  </si>
  <si>
    <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t>
  </si>
  <si>
    <t>&lt;p&gt;You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minute.&lt;/p&gt;</t>
  </si>
  <si>
    <t>&lt;link rel="stylesheet"href="PF.css"&gt;&lt;div class="heading"&gt;&lt;p class="alignleft"&gt;Glimpse Of The Akashic&lt;/p&gt;&lt;div style="clear: both;"&gt;&lt;/div&gt;&lt;/div&gt;&lt;div&gt;&lt;h5&gt;&lt;b&gt;School &lt;/b&gt;divination; &lt;b&gt;Level &lt;/b&gt;psychic 8&lt;/h5&gt;&lt;/div&gt;&lt;hr/&gt;&lt;div&gt;&lt;h5&gt;&lt;b&gt;CASTING&lt;/b&gt;&lt;/h5&gt;&lt;/div&gt;&lt;hr/&gt;&lt;div&gt;&lt;h5&gt;&lt;b&gt;Casting Time &lt;/b&gt;1 full-round action&lt;/h5&gt;&lt;h5&gt;&lt;b&gt;Components &lt;/b&gt;V, S&lt;/h5&gt;&lt;/div&gt;&lt;hr/&gt;&lt;div&gt;&lt;h5&gt;&lt;b&gt;EFFECT&lt;/b&gt;&lt;/h5&gt;&lt;/div&gt;&lt;hr/&gt;&lt;div&gt;&lt;h5&gt;&lt;b&gt;Range &lt;/b&gt;personal&lt;/h5&gt;&lt;h5&gt;&lt;b&gt;Targets &lt;/b&gt;you&lt;/h5&gt;&lt;h5&gt;&lt;b&gt;Duration &lt;/b&gt;1 day or until discharged (see text)&lt;/h5&gt;&lt;/div&gt;&lt;hr/&gt;&lt;div&gt;&lt;h5&gt;&lt;b&gt;DESCRIPTION&lt;/b&gt;&lt;/h5&gt;&lt;/div&gt;&lt;hr/&gt;&lt;div&gt;&lt;h4&gt;&lt;p&gt;You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minute.&lt;/p&gt;&lt;/h4&gt;&lt;/div&gt;</t>
  </si>
  <si>
    <t>Reflexive Barrier</t>
  </si>
  <si>
    <t>magus 3, psychic 3</t>
  </si>
  <si>
    <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t>
  </si>
  <si>
    <t>&lt;p&gt;In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revealed.&lt;/p&gt;</t>
  </si>
  <si>
    <t>&lt;link rel="stylesheet"href="PF.css"&gt;&lt;div class="heading"&gt;&lt;p class="alignleft"&gt;Reflexive Barrier&lt;/p&gt;&lt;div style="clear: both;"&gt;&lt;/div&gt;&lt;/div&gt;&lt;div&gt;&lt;h5&gt;&lt;b&gt;School &lt;/b&gt;evocation [force]; &lt;b&gt;Level &lt;/b&gt;magus 3, psychic 3&lt;/h5&gt;&lt;/div&gt;&lt;hr/&gt;&lt;div&gt;&lt;h5&gt;&lt;b&gt;CASTING&lt;/b&gt;&lt;/h5&gt;&lt;/div&gt;&lt;hr/&gt;&lt;div&gt;&lt;h5&gt;&lt;b&gt;Casting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&lt;/b&gt;1 round (see text)&lt;/h5&gt;&lt;h5&gt;&lt;b&gt;Saving Throw &lt;/b&gt;none (harmless); &lt;b&gt;Spell Resistance &lt;/b&gt;no (harmless)&lt;/h5&gt;&lt;/div&gt;&lt;hr/&gt;&lt;div&gt;&lt;h5&gt;&lt;b&gt;DESCRIPTION&lt;/b&gt;&lt;/h5&gt;&lt;/div&gt;&lt;hr/&gt;&lt;div&gt;&lt;h4&gt;&lt;p&gt;In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revealed.&lt;/p&gt;&lt;/h4&gt;&lt;/div&gt;</t>
  </si>
  <si>
    <t>Rend Body I</t>
  </si>
  <si>
    <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heals hit point damage, but the limb can be restored only by powerful healing effects such as heal or regeneration. If the damage reduces the target's hit points to below 0, all of its limbs are affected in this fashion.  Creatures without discernible anatomy or limbs are unaffected by rend body.</t>
  </si>
  <si>
    <t>&lt;p&gt;You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&lt;i&gt;heal&lt;/i&gt;s hit point damage, but the limb can be restored only by powerful &lt;i&gt;heal&lt;/i&gt;ing effects such as &lt;i&gt;heal&lt;/i&gt; or &lt;i&gt;regeneration&lt;/i&gt;. If the damage reduces the target's hit points to below 0, all of its limbs are affected in this fashion.  Creatures without discernible anatomy or limbs are unaffected by &lt;i&gt;rend body&lt;/i&gt;.&lt;/p&gt;</t>
  </si>
  <si>
    <t>&lt;link rel="stylesheet"href="PF.css"&gt;&lt;div class="heading"&gt;&lt;p class="alignleft"&gt;Rend Body I&lt;/p&gt;&lt;div style="clear: both;"&gt;&lt;/div&gt;&lt;/div&gt;&lt;div&gt;&lt;h5&gt;&lt;b&gt;School &lt;/b&gt;evocation; &lt;b&gt;Level &lt;/b&gt;psychic 5&lt;/h5&gt;&lt;/div&gt;&lt;hr/&gt;&lt;div&gt;&lt;h5&gt;&lt;b&gt;CASTING&lt;/b&gt;&lt;/h5&gt;&lt;/div&gt;&lt;hr/&gt;&lt;div&gt;&lt;h5&gt;&lt;b&gt;Casting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heals hit point damage, but the limb can be restored only by powerful healing effects such as &lt;i&gt;heal&lt;/i&gt; or &lt;i&gt;regeneration&lt;/i&gt;. If the damage reduces the target's hit points to below 0, all of its limbs are affected in this fashion.  Creatures without discernible anatomy or limbs are unaffected by &lt;i&gt;rend body&lt;/i&gt;.&lt;/p&gt;&lt;/h4&gt;&lt;/div&gt;</t>
  </si>
  <si>
    <t>Rend Body II</t>
  </si>
  <si>
    <t>This spell functions as per rend body I, but the target takes 1d8 points of damage per caster level you have (maximum 10d8). This spell can be undercast.</t>
  </si>
  <si>
    <t>&lt;p&gt;This spell functions as per &lt;i&gt;rend body I&lt;/i&gt;, but the target takes 1d8 points of damage per caster level you have (maximum 10d8). This spell can be undercast.&lt;/p&gt;</t>
  </si>
  <si>
    <t>&lt;link rel="stylesheet"href="PF.css"&gt;&lt;div class="heading"&gt;&lt;p class="alignleft"&gt;Rend Body II&lt;/p&gt;&lt;div style="clear: both;"&gt;&lt;/div&gt;&lt;/div&gt;&lt;div&gt;&lt;h5&gt;&lt;b&gt;School &lt;/b&gt;evocation; &lt;b&gt;Level &lt;/b&gt;psychic 6&lt;/h5&gt;&lt;/div&gt;&lt;hr/&gt;&lt;div&gt;&lt;h5&gt;&lt;b&gt;CASTING&lt;/b&gt;&lt;/h5&gt;&lt;/div&gt;&lt;hr/&gt;&lt;div&gt;&lt;h5&gt;&lt;b&gt;Casting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&lt;/b&gt;yes&lt;/h5&gt;&lt;/div&gt;&lt;hr/&gt;&lt;div&gt;&lt;h5&gt;&lt;b&gt;DESCRIPTION&lt;/b&gt;&lt;/h5&gt;&lt;/div&gt;&lt;hr/&gt;&lt;div&gt;&lt;h4&gt;&lt;p&gt;This spell functions as per &lt;i&gt;rend body I&lt;/i&gt;, but the target takes 1d8 points of damage per caster level you have (maximum 10d8). This spell can be undercast.&lt;/p&gt;&lt;/h4&gt;&lt;/div&gt;</t>
  </si>
  <si>
    <t>Rend Body III</t>
  </si>
  <si>
    <t>This spell functions as per rend body I, but the target takes 1d8 points of damage per caster level you have (maximum 15d8), and if a limb is ripped from its body, the target is sickened for as long as the bleed damage persists. This spell can be undercast.</t>
  </si>
  <si>
    <t>&lt;p&gt;This spell functions as per &lt;i&gt;rend body I&lt;/i&gt;, but the target takes 1d8 points of damage per caster level you have (maximum 15d8), and if a limb is ripped from its body, the target is sickened for as long as the bleed damage persists. This spell can be undercast.&lt;/p&gt;</t>
  </si>
  <si>
    <t>&lt;link rel="stylesheet"href="PF.css"&gt;&lt;div class="heading"&gt;&lt;p class="alignleft"&gt;Rend Body III&lt;/p&gt;&lt;div style="clear: both;"&gt;&lt;/div&gt;&lt;/div&gt;&lt;div&gt;&lt;h5&gt;&lt;b&gt;School &lt;/b&gt;evocation; &lt;b&gt;Level &lt;/b&gt;psychic 7&lt;/h5&gt;&lt;/div&gt;&lt;hr/&gt;&lt;div&gt;&lt;h5&gt;&lt;b&gt;CASTING&lt;/b&gt;&lt;/h5&gt;&lt;/div&gt;&lt;hr/&gt;&lt;div&gt;&lt;h5&gt;&lt;b&gt;Casting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&lt;/b&gt;yes&lt;/h5&gt;&lt;/div&gt;&lt;hr/&gt;&lt;div&gt;&lt;h5&gt;&lt;b&gt;DESCRIPTION&lt;/b&gt;&lt;/h5&gt;&lt;/div&gt;&lt;hr/&gt;&lt;div&gt;&lt;h4&gt;&lt;p&gt;This spell functions as per &lt;i&gt;rend body I&lt;/i&gt;, but the target takes 1d8 points of damage per caster level you have (maximum 15d8), and if a limb is ripped from its body, the target is sickened for as long as the bleed damage persists. This spell can be undercast.&lt;/p&gt;&lt;/h4&gt;&lt;/div&gt;</t>
  </si>
  <si>
    <t>Rend Body IV</t>
  </si>
  <si>
    <t>This functions as per rend body III, but the target takes 1d8 points of damage per caster level (maximum 20d8), and one of the target's limbs is ripped off if the amount of damage dealt is greater than 1/4 of its maximum hit point total. This spell can be undercast.</t>
  </si>
  <si>
    <t>&lt;p&gt;This functions as per &lt;i&gt;rend body III&lt;/i&gt;, but the target takes 1d8 points of damage per caster level (maximum 20d8), and one of the target's limbs is ripped off if the amount of damage dealt is greater than 1/4 of its maximum hit point total. This spell can be undercast.&lt;/p&gt;</t>
  </si>
  <si>
    <t>&lt;link rel="stylesheet"href="PF.css"&gt;&lt;div class="heading"&gt;&lt;p class="alignleft"&gt;Rend Body IV&lt;/p&gt;&lt;div style="clear: both;"&gt;&lt;/div&gt;&lt;/div&gt;&lt;div&gt;&lt;h5&gt;&lt;b&gt;School &lt;/b&gt;evocation; &lt;b&gt;Level &lt;/b&gt;psychic 8&lt;/h5&gt;&lt;/div&gt;&lt;hr/&gt;&lt;div&gt;&lt;h5&gt;&lt;b&gt;CASTING&lt;/b&gt;&lt;/h5&gt;&lt;/div&gt;&lt;hr/&gt;&lt;div&gt;&lt;h5&gt;&lt;b&gt;Casting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&lt;/b&gt;yes&lt;/h5&gt;&lt;/div&gt;&lt;hr/&gt;&lt;div&gt;&lt;h5&gt;&lt;b&gt;DESCRIPTION&lt;/b&gt;&lt;/h5&gt;&lt;/div&gt;&lt;hr/&gt;&lt;div&gt;&lt;h4&gt;&lt;p&gt;This functions as per &lt;i&gt;rend body III&lt;/i&gt;, but the target takes 1d8 points of damage per caster level (maximum 20d8), and one of the target's limbs is ripped off if the amount of damage dealt is greater than 1/4 of its maximum hit point total. This spell can be undercast.&lt;/p&gt;&lt;/h4&gt;&lt;/div&gt;</t>
  </si>
  <si>
    <t>Sensory Overload</t>
  </si>
  <si>
    <t>1 round /level</t>
  </si>
  <si>
    <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t>
  </si>
  <si>
    <t>&lt;p&gt;You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negated.&lt;/p&gt;</t>
  </si>
  <si>
    <t>&lt;link rel="stylesheet"href="PF.css"&gt;&lt;div class="heading"&gt;&lt;p class="alignleft"&gt;Sensory Overload&lt;/p&gt;&lt;div style="clear: both;"&gt;&lt;/div&gt;&lt;/div&gt;&lt;div&gt;&lt;h5&gt;&lt;b&gt;School &lt;/b&gt;enchantment (compulsion) [mind-affecting]; &lt;b&gt;Level &lt;/b&gt;psychic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creature&lt;/h5&gt;&lt;h5&gt;&lt;b&gt;Duration &lt;/b&gt;1 round /level&lt;/h5&gt;&lt;h5&gt;&lt;b&gt;Saving Throw &lt;/b&gt;Will negates (see text); &lt;b&gt;Spell Resistance &lt;/b&gt;yes&lt;/h5&gt;&lt;/div&gt;&lt;hr/&gt;&lt;div&gt;&lt;h5&gt;&lt;b&gt;DESCRIPTION&lt;/b&gt;&lt;/h5&gt;&lt;/div&gt;&lt;hr/&gt;&lt;div&gt;&lt;h4&gt;&lt;p&gt;You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negated.&lt;/p&gt;&lt;/h4&gt;&lt;/div&gt;</t>
  </si>
  <si>
    <t>Telekinetic Strikes</t>
  </si>
  <si>
    <t>magus 2, psychic 2, sorcerer/wizard 2</t>
  </si>
  <si>
    <t>The touched creature's limbs are charged with telekinetic force. For the duration of the spell, the target's unarmed attacks or natural weapons deal an additional 1d4 points of force damage on each successful unarmed melee attack.</t>
  </si>
  <si>
    <t>&lt;p&gt;The touched creature's limbs are charged with telekinetic force. For the duration of the spell, the target's unarmed attacks or natural weapons deal an additional 1d4 points of force damage on each successful unarmed melee attack.&lt;/p&gt;</t>
  </si>
  <si>
    <t>&lt;link rel="stylesheet"href="PF.css"&gt;&lt;div class="heading"&gt;&lt;p class="alignleft"&gt;Telekinetic Strikes&lt;/p&gt;&lt;div style="clear: both;"&gt;&lt;/div&gt;&lt;/div&gt;&lt;div&gt;&lt;h5&gt;&lt;b&gt;School &lt;/b&gt;evocation [force]; &lt;b&gt;Level &lt;/b&gt;magus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&lt;/b&gt;1 minute/level&lt;/h5&gt;&lt;h5&gt;&lt;b&gt;Saving Throw &lt;/b&gt;Will negates (harmless); &lt;b&gt;Spell Resistance &lt;/b&gt;yes (harmless)&lt;/h5&gt;&lt;/div&gt;&lt;hr/&gt;&lt;div&gt;&lt;h5&gt;&lt;b&gt;DESCRIPTION&lt;/b&gt;&lt;/h5&gt;&lt;/div&gt;&lt;hr/&gt;&lt;div&gt;&lt;h4&gt;&lt;p&gt;The touched creature's limbs are charged with telekinetic force. For the duration of the spell, the target's unarmed attacks or natural weapons deal an additional 1d4 points of force damage on each successful unarmed melee attack.&lt;/p&gt;&lt;/h4&gt;&lt;/div&gt;</t>
  </si>
  <si>
    <t>Thought Worm I</t>
  </si>
  <si>
    <t>You implant a minor suggestion within the target creature's psyche that makes it less inclined to resist mental intrusion. The target creature takes a -2 penalty on Will saves against all mind-affecting spells and effects for the duration of the spell.</t>
  </si>
  <si>
    <t>&lt;p&gt;You implant a minor suggestion within the target creature's psyche that makes it less inclined to resist mental intrusion. The target creature takes a -2 penalty on Will saves against all mind-affecting spells and effects for the duration of the spell.&lt;/p&gt;</t>
  </si>
  <si>
    <t>&lt;link rel="stylesheet"href="PF.css"&gt;&lt;div class="heading"&gt;&lt;p class="alignleft"&gt;Thought Worm I&lt;/p&gt;&lt;div style="clear: both;"&gt;&lt;/div&gt;&lt;/div&gt;&lt;div&gt;&lt;h5&gt;&lt;b&gt;School &lt;/b&gt;enchantment (compulsion) [mind-affecting];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implant a minor suggestion within the target creature's psyche that makes it less inclined to resist mental intrusion. The target creature takes a -2 penalty on Will saves against all mind-affecting spells and effects for the duration of the spell.&lt;/p&gt;&lt;/h4&gt;&lt;/div&gt;</t>
  </si>
  <si>
    <t>Thought Worm II</t>
  </si>
  <si>
    <t>This spell functions as per thought worm I, but the penalty on Will saves is -4. This spell can be undercast.</t>
  </si>
  <si>
    <t>&lt;p&gt;This spell functions as per &lt;i&gt;thought worm I&lt;/i&gt;, but the penalty on Will saves is -4. This spell can be undercast.&lt;/p&gt;</t>
  </si>
  <si>
    <t>&lt;link rel="stylesheet"href="PF.css"&gt;&lt;div class="heading"&gt;&lt;p class="alignleft"&gt;Thought Worm II&lt;/p&gt;&lt;div style="clear: both;"&gt;&lt;/div&gt;&lt;/div&gt;&lt;div&gt;&lt;h5&gt;&lt;b&gt;School &lt;/b&gt;enchantment (compulsion)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&lt;/b&gt;yes&lt;/h5&gt;&lt;/div&gt;&lt;hr/&gt;&lt;div&gt;&lt;h5&gt;&lt;b&gt;DESCRIPTION&lt;/b&gt;&lt;/h5&gt;&lt;/div&gt;&lt;hr/&gt;&lt;div&gt;&lt;h4&gt;&lt;p&gt;This spell functions as per &lt;i&gt;thought worm I&lt;/i&gt;, but the penalty on Will saves is -4. This spell can be undercast.&lt;/p&gt;&lt;/h4&gt;&lt;/div&gt;</t>
  </si>
  <si>
    <t>Thought Worm III</t>
  </si>
  <si>
    <t>This functions as per thought worm II, except a target that succeeds at its Will save still takes a -2 penalty on Will saves against your mind-affecting spells and effects for the same duration. This spell can be undercast.</t>
  </si>
  <si>
    <t>&lt;p&gt;This functions as per &lt;i&gt;thought worm II&lt;/i&gt;, except a target that succeeds at its Will save still takes a -2 penalty on Will saves against your mind-affecting spells and effects for the same duration. This spell can be undercast.&lt;/p&gt;</t>
  </si>
  <si>
    <t>&lt;link rel="stylesheet"href="PF.css"&gt;&lt;div class="heading"&gt;&lt;p class="alignleft"&gt;Thought Worm III&lt;/p&gt;&lt;div style="clear: both;"&gt;&lt;/div&gt;&lt;/div&gt;&lt;div&gt;&lt;h5&gt;&lt;b&gt;School &lt;/b&gt;enchantment (compulsion)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&lt;/b&gt;yes&lt;/h5&gt;&lt;/div&gt;&lt;hr/&gt;&lt;div&gt;&lt;h5&gt;&lt;b&gt;DESCRIPTION&lt;/b&gt;&lt;/h5&gt;&lt;/div&gt;&lt;hr/&gt;&lt;div&gt;&lt;h4&gt;&lt;p&gt;This functions as per &lt;i&gt;thought worm II&lt;/i&gt;, except a target that succeeds at its Will save still takes a -2 penalty on Will saves against your mind-affecting spells and effects for the same duration. This spell can be undercast.&lt;/p&gt;&lt;/h4&gt;&lt;/div&gt;</t>
  </si>
  <si>
    <t>Thought Worm IV</t>
  </si>
  <si>
    <t>This functions as per thought worm III, except that the penalty on Will saves is -6 and a target that succeeds at its Will save still takes a -3 penalty on Will saves against your mind-affecting spells and effects for the same duration. This spell can be undercast.</t>
  </si>
  <si>
    <t>&lt;p&gt;This functions as per &lt;i&gt;thought worm III&lt;/i&gt;, except that the penalty on Will saves is -6 and a target that succeeds at its Will save still takes a -3 penalty on Will saves against your mind-affecting spells and effects for the same duration. This spell can be undercast.&lt;/p&gt;</t>
  </si>
  <si>
    <t>&lt;link rel="stylesheet"href="PF.css"&gt;&lt;div class="heading"&gt;&lt;p class="alignleft"&gt;Thought Worm IV&lt;/p&gt;&lt;div style="clear: both;"&gt;&lt;/div&gt;&lt;/div&gt;&lt;div&gt;&lt;h5&gt;&lt;b&gt;School &lt;/b&gt;enchantment (compulsion)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&lt;/b&gt;yes&lt;/h5&gt;&lt;/div&gt;&lt;hr/&gt;&lt;div&gt;&lt;h5&gt;&lt;b&gt;DESCRIPTION&lt;/b&gt;&lt;/h5&gt;&lt;/div&gt;&lt;hr/&gt;&lt;div&gt;&lt;h4&gt;&lt;p&gt;This functions as per &lt;i&gt;thought worm III&lt;/i&gt;, except that the penalty on Will saves is -6 and a target that succeeds at its Will save still takes a -3 penalty on Will saves against your mind-affecting spells and effects for the same duration. This spell can be undercast.&lt;/p&gt;&lt;/h4&gt;&lt;/div&gt;</t>
  </si>
  <si>
    <t>Ja Noi Aspect</t>
  </si>
  <si>
    <t>alchemist 3, bloodrager 3, druid 3, magus 3, ranger 3, sorcerer/wizard 3</t>
  </si>
  <si>
    <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t>
  </si>
  <si>
    <t>&lt;p&gt;You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result.&lt;/p&gt;</t>
  </si>
  <si>
    <t>AP 115</t>
  </si>
  <si>
    <t>&lt;link rel="stylesheet"href="PF.css"&gt;&lt;div class="heading"&gt;&lt;p class="alignleft"&gt;Ja Noi Aspect&lt;/p&gt;&lt;div style="clear: both;"&gt;&lt;/div&gt;&lt;/div&gt;&lt;div&gt;&lt;h5&gt;&lt;b&gt;School &lt;/b&gt;transmutation (polymorph); &lt;b&gt;Level &lt;/b&gt;alchemist 3, bloodrager 3, druid 3, magus 3, ranger 3, sorcerer/wizard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 see below)&lt;/h5&gt;&lt;h5&gt;&lt;b&gt;Saving Throw &lt;/b&gt;none; &lt;b&gt;Spell Resistance &lt;/b&gt;yes (harmless)&lt;/h5&gt;&lt;/div&gt;&lt;hr/&gt;&lt;div&gt;&lt;h5&gt;&lt;b&gt;DESCRIPTION&lt;/b&gt;&lt;/h5&gt;&lt;/div&gt;&lt;hr/&gt;&lt;div&gt;&lt;h4&gt;&lt;p&gt;You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result.&lt;/p&gt;&lt;/h4&gt;&lt;/div&gt;</t>
  </si>
  <si>
    <t>Opportunistic Loyalty</t>
  </si>
  <si>
    <t>antipaladin 1, cleric/oracle 1, inquisitor 1, mesmerist 1, psychic 1, witch 1</t>
  </si>
  <si>
    <t>Cast this spell when a creature within range casts a spell that provides an effect for its allies (such as bless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opportunistic loyalty has no effect.</t>
  </si>
  <si>
    <t>&lt;p&gt;Cast this spell when a creature within range casts a spell that provides an effect for its allies (such as &lt;i&gt;bless&lt;/i&gt;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&lt;i&gt;opportunistic loyalty&lt;/i&gt; has no effect.&lt;/p&gt;</t>
  </si>
  <si>
    <t>&lt;link rel="stylesheet"href="PF.css"&gt;&lt;div class="heading"&gt;&lt;p class="alignleft"&gt;Opportunistic Loyalty&lt;/p&gt;&lt;div style="clear: both;"&gt;&lt;/div&gt;&lt;/div&gt;&lt;div&gt;&lt;h5&gt;&lt;b&gt;School &lt;/b&gt;enchantment (compulsion); &lt;b&gt;Level &lt;/b&gt;antipaladin 1, cleric/oracle 1, inquisitor 1, mesmerist 1, psychic 1, witch 1&lt;/h5&gt;&lt;/div&gt;&lt;hr/&gt;&lt;div&gt;&lt;h5&gt;&lt;b&gt;CASTING&lt;/b&gt;&lt;/h5&gt;&lt;/div&gt;&lt;hr/&gt;&lt;div&gt;&lt;h5&gt;&lt;b&gt;Casting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&lt;/b&gt;yes&lt;/h5&gt;&lt;/div&gt;&lt;hr/&gt;&lt;div&gt;&lt;h5&gt;&lt;b&gt;DESCRIPTION&lt;/b&gt;&lt;/h5&gt;&lt;/div&gt;&lt;hr/&gt;&lt;div&gt;&lt;h4&gt;&lt;p&gt;Cast this spell when a creature within range casts a spell that provides an effect for its allies (such as &lt;i&gt;bless&lt;/i&gt;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&lt;i&gt;opportunistic loyalty&lt;/i&gt; has no effect.&lt;/p&gt;&lt;/h4&gt;&lt;/div&gt;</t>
  </si>
  <si>
    <t>Spectral Scout</t>
  </si>
  <si>
    <t>bard 3, druid 3, ranger 3, shaman 3, sorcerer/wizard 3</t>
  </si>
  <si>
    <t>one incorporeal animal of size Tiny or smaller</t>
  </si>
  <si>
    <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t>
  </si>
  <si>
    <t>&lt;p&gt;You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objective.&lt;/p&gt;</t>
  </si>
  <si>
    <t>AP 116</t>
  </si>
  <si>
    <t>&lt;link rel="stylesheet"href="PF.css"&gt;&lt;div class="heading"&gt;&lt;p class="alignleft"&gt;Spectral Scout&lt;/p&gt;&lt;div style="clear: both;"&gt;&lt;/div&gt;&lt;/div&gt;&lt;div&gt;&lt;h5&gt;&lt;b&gt;School &lt;/b&gt;conjuration (creation); &lt;b&gt;Level &lt;/b&gt;bard 3, druid 3, ranger 3, shaman 3, sorcerer/wizard 3&lt;/h5&gt;&lt;/div&gt;&lt;hr/&gt;&lt;div&gt;&lt;h5&gt;&lt;b&gt;CASTING&lt;/b&gt;&lt;/h5&gt;&lt;/div&gt;&lt;hr/&gt;&lt;div&gt;&lt;h5&gt;&lt;b&gt;Casting Time &lt;/b&gt;1 minute&lt;/h5&gt;&lt;h5&gt;&lt;b&gt;Components &lt;/b&gt;V, S&lt;/h5&gt;&lt;/div&gt;&lt;hr/&gt;&lt;div&gt;&lt;h5&gt;&lt;b&gt;EFFECT&lt;/b&gt;&lt;/h5&gt;&lt;/div&gt;&lt;hr/&gt;&lt;div&gt;&lt;h5&gt;&lt;b&gt;Range &lt;/b&gt;1 mile&lt;/h5&gt;&lt;h5&gt;&lt;b&gt;Effect &lt;/b&gt;one incorporeal animal of size Tiny or smaller&lt;/h5&gt;&lt;h5&gt;&lt;b&gt;Duration &lt;/b&gt;10 minutes/level (D)&lt;/h5&gt;&lt;h5&gt;&lt;b&gt;Saving Throw &lt;/b&gt;none; &lt;b&gt;Spell Resistance &lt;/b&gt;no&lt;/h5&gt;&lt;/div&gt;&lt;hr/&gt;&lt;div&gt;&lt;h5&gt;&lt;b&gt;DESCRIPTION&lt;/b&gt;&lt;/h5&gt;&lt;/div&gt;&lt;hr/&gt;&lt;div&gt;&lt;h4&gt;&lt;p&gt;You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objective.&lt;/p&gt;&lt;/h4&gt;&lt;/div&gt;</t>
  </si>
  <si>
    <t>Sylvan Hideaway</t>
  </si>
  <si>
    <t>V, S, M (one pound of unworked stone or wood)</t>
  </si>
  <si>
    <t>one 5-foot square of touched earth</t>
  </si>
  <si>
    <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t>
  </si>
  <si>
    <t>&lt;p&gt;When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square.&lt;/p&gt;</t>
  </si>
  <si>
    <t>&lt;link rel="stylesheet"href="PF.css"&gt;&lt;div class="heading"&gt;&lt;p class="alignleft"&gt;Sylvan Hideaway&lt;/p&gt;&lt;div style="clear: both;"&gt;&lt;/div&gt;&lt;/div&gt;&lt;div&gt;&lt;h5&gt;&lt;b&gt;School &lt;/b&gt;conjuration (creation); &lt;b&gt;Level &lt;/b&gt;druid 3, ranger 3, shaman 3&lt;/h5&gt;&lt;/div&gt;&lt;hr/&gt;&lt;div&gt;&lt;h5&gt;&lt;b&gt;CASTING&lt;/b&gt;&lt;/h5&gt;&lt;/div&gt;&lt;hr/&gt;&lt;div&gt;&lt;h5&gt;&lt;b&gt;Casting Time &lt;/b&gt;1 standard action&lt;/h5&gt;&lt;h5&gt;&lt;b&gt;Components &lt;/b&gt;V, S, M (one pound of unworked stone or wood)&lt;/h5&gt;&lt;/div&gt;&lt;hr/&gt;&lt;div&gt;&lt;h5&gt;&lt;b&gt;EFFECT&lt;/b&gt;&lt;/h5&gt;&lt;/div&gt;&lt;hr/&gt;&lt;div&gt;&lt;h5&gt;&lt;b&gt;Range &lt;/b&gt;touch&lt;/h5&gt;&lt;h5&gt;&lt;b&gt;Targets &lt;/b&gt;one 5-foot square of touched earth&lt;/h5&gt;&lt;h5&gt;&lt;b&gt;Duration &lt;/b&gt;2 hours/level (D)&lt;/h5&gt;&lt;h5&gt;&lt;b&gt;Saving Throw &lt;/b&gt;none; &lt;b&gt;Spell Resistance &lt;/b&gt;no&lt;/h5&gt;&lt;/div&gt;&lt;hr/&gt;&lt;div&gt;&lt;h5&gt;&lt;b&gt;DESCRIPTION&lt;/b&gt;&lt;/h5&gt;&lt;/div&gt;&lt;hr/&gt;&lt;div&gt;&lt;h4&gt;&lt;p&gt;When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square.&lt;/p&gt;&lt;/h4&gt;&lt;/div&gt;</t>
  </si>
  <si>
    <t>Diminish Resistance</t>
  </si>
  <si>
    <t>bard 2, cleric/oracle 2, inquisitor 2, magus 2, mesmerist 2, psychic 2, sorcerer/wizard 2, witch 2</t>
  </si>
  <si>
    <t>You weaken a creature's resistance against one energy type you select: acid, cold, electricity, fire, or sonic. The creature's resistance to that energy type decreases by 5 (minimum 0). This spell reduces the creature's resistance by an additional 5 for every 5 caster levels beyond 3rd, to a maximum of 20 at 18th level.</t>
  </si>
  <si>
    <t>&lt;p&gt;You weaken a creature's resistance against one energy type you select: acid, cold, electricity, fire, or sonic. The creature's resistance to that energy type decreases by 5 (minimum 0). This spell reduces the creature's resistance by an additional 5 for every 5 caster levels beyond 3rd, to a maximum of 20 at 18th level.&lt;/p&gt;</t>
  </si>
  <si>
    <t>Monster Hunter's Handbook</t>
  </si>
  <si>
    <t>&lt;link rel="stylesheet"href="PF.css"&gt;&lt;div class="heading"&gt;&lt;p class="alignleft"&gt;Diminish Resistance&lt;/p&gt;&lt;div style="clear: both;"&gt;&lt;/div&gt;&lt;/div&gt;&lt;div&gt;&lt;h5&gt;&lt;b&gt;School &lt;/b&gt;transmutation; &lt;b&gt;Level &lt;/b&gt;bard 2, cleric/oracle 2, inquisitor 2, magus 2, mesmerist 2, psychic 2, sorcerer/wizard 2, witch 2&lt;/h5&gt;&lt;/div&gt;&lt;hr/&gt;&lt;div&gt;&lt;h5&gt;&lt;b&gt;CASTING&lt;/b&gt;&lt;/h5&gt;&lt;/div&gt;&lt;hr/&gt;&lt;div&gt;&lt;h5&gt;&lt;b&gt;Casting Time &lt;/b&gt;1 standard action&lt;/h5&gt;&lt;h5&gt;&lt;b&gt;Components &lt;/b&gt;V, S, M/DF&lt;/h5&gt;&lt;/div&gt;&lt;hr/&gt;&lt;div&gt;&lt;h5&gt;&lt;b&gt;EFFECT&lt;/b&gt;&lt;/h5&gt;&lt;/div&gt;&lt;hr/&gt;&lt;div&gt;&lt;h5&gt;&lt;b&gt;Range &lt;/b&gt;medium (100 ft. + 10 ft./level)&lt;/h5&gt;&lt;h5&gt;&lt;b&gt;Targets &lt;/b&gt;one creature&lt;/h5&gt;&lt;h5&gt;&lt;b&gt;Duration &lt;/b&gt;1 round/level (D)&lt;/h5&gt;&lt;h5&gt;&lt;b&gt;Saving Throw &lt;/b&gt;Fortitude negates; &lt;b&gt;Spell Resistance &lt;/b&gt;yes&lt;/h5&gt;&lt;/div&gt;&lt;hr/&gt;&lt;div&gt;&lt;h5&gt;&lt;b&gt;DESCRIPTION&lt;/b&gt;&lt;/h5&gt;&lt;/div&gt;&lt;hr/&gt;&lt;div&gt;&lt;h4&gt;&lt;p&gt;You weaken a creature's resistance against one energy type you select: acid, cold, electricity, fire, or sonic. The creature's resistance to that energy type decreases by 5 (minimum 0). This spell reduces the creature's resistance by an additional 5 for every 5 caster levels beyond 3rd, to a maximum of 20 at 18th level.&lt;/p&gt;&lt;/h4&gt;&lt;/div&gt;</t>
  </si>
  <si>
    <t>Guarding Knowledge</t>
  </si>
  <si>
    <t>alchemist 3, bard 3, cleric/oracle 3, inquisitor 2, occultist 3, psychic 3, sorcerer/wizard 3</t>
  </si>
  <si>
    <t>V, S, M/DF (see text)</t>
  </si>
  <si>
    <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t>
  </si>
  <si>
    <t>&lt;p&gt;Upon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+6.&lt;/p&gt;</t>
  </si>
  <si>
    <t>&lt;link rel="stylesheet"href="PF.css"&gt;&lt;div class="heading"&gt;&lt;p class="alignleft"&gt;Guarding Knowledge&lt;/p&gt;&lt;div style="clear: both;"&gt;&lt;/div&gt;&lt;/div&gt;&lt;div&gt;&lt;h5&gt;&lt;b&gt;School &lt;/b&gt;abjuration; &lt;b&gt;Level &lt;/b&gt;alchemist 3, bard 3, cleric/oracle 3, inquisitor 2, occultist 3, psychic 3, sorcerer/wizard 3&lt;/h5&gt;&lt;/div&gt;&lt;hr/&gt;&lt;div&gt;&lt;h5&gt;&lt;b&gt;CASTING&lt;/b&gt;&lt;/h5&gt;&lt;/div&gt;&lt;hr/&gt;&lt;div&gt;&lt;h5&gt;&lt;b&gt;Casting Time &lt;/b&gt;1 standard action&lt;/h5&gt;&lt;h5&gt;&lt;b&gt;Components &lt;/b&gt;V, S, M/DF (see text)&lt;/h5&gt;&lt;/div&gt;&lt;hr/&gt;&lt;div&gt;&lt;h5&gt;&lt;b&gt;EFFECT&lt;/b&gt;&lt;/h5&gt;&lt;/div&gt;&lt;hr/&gt;&lt;div&gt;&lt;h5&gt;&lt;b&gt;Range &lt;/b&gt;personal&lt;/h5&gt;&lt;h5&gt;&lt;b&gt;Targets &lt;/b&gt;you&lt;/h5&gt;&lt;h5&gt;&lt;b&gt;Duration &lt;/b&gt;1 minute/level (D)&lt;/h5&gt;&lt;/div&gt;&lt;hr/&gt;&lt;div&gt;&lt;h5&gt;&lt;b&gt;DESCRIPTION&lt;/b&gt;&lt;/h5&gt;&lt;/div&gt;&lt;hr/&gt;&lt;div&gt;&lt;h4&gt;&lt;p&gt;Upon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+6.&lt;/p&gt;&lt;/h4&gt;&lt;/div&gt;</t>
  </si>
  <si>
    <t>Huntmaster's Spear</t>
  </si>
  <si>
    <t>antipaladin 1, bloodrager 2, druid 2, inquisitor 2, magus 2, occultist 2, paladin 1, ranger 1, shaman 2</t>
  </si>
  <si>
    <t>nonmagical spear touched</t>
  </si>
  <si>
    <t>Choose one creature type (and subtype, if applicable) from the ranger's favored enemy list. When you cast this spell, the targeted spear hums with destructive energy and functions as a +1 spear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bane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t>
  </si>
  <si>
    <t>&lt;p&gt;Choose one creature type (and subtype, if applicable) from the ranger's favored enemy list. When you cast this spell, the targeted spear hums with destructive energy and functions as a &lt;i&gt;+1 spear&lt;/i&gt;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&lt;i&gt;bane&lt;/i&gt;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round.&lt;/p&gt;</t>
  </si>
  <si>
    <t>&lt;link rel="stylesheet"href="PF.css"&gt;&lt;div class="heading"&gt;&lt;p class="alignleft"&gt;Huntmaster's Spear&lt;/p&gt;&lt;div style="clear: both;"&gt;&lt;/div&gt;&lt;/div&gt;&lt;div&gt;&lt;h5&gt;&lt;b&gt;School &lt;/b&gt;transmutation; &lt;b&gt;Level &lt;/b&gt;antipaladin 1, bloodrager 2, druid 2, inquisitor 2, magus 2, occultist 2, paladin 1, ranger 1, shaman 2&lt;/h5&gt;&lt;/div&gt;&lt;hr/&gt;&lt;div&gt;&lt;h5&gt;&lt;b&gt;CASTING&lt;/b&gt;&lt;/h5&gt;&lt;/div&gt;&lt;hr/&gt;&lt;div&gt;&lt;h5&gt;&lt;b&gt;Casting Time &lt;/b&gt;10 minutes&lt;/h5&gt;&lt;h5&gt;&lt;b&gt;Components &lt;/b&gt;V, S, M/DF (see text)&lt;/h5&gt;&lt;/div&gt;&lt;hr/&gt;&lt;div&gt;&lt;h5&gt;&lt;b&gt;EFFECT&lt;/b&gt;&lt;/h5&gt;&lt;/div&gt;&lt;hr/&gt;&lt;div&gt;&lt;h5&gt;&lt;b&gt;Range &lt;/b&gt;touch&lt;/h5&gt;&lt;h5&gt;&lt;b&gt;Targets &lt;/b&gt;nonmagical spear touched&lt;/h5&gt;&lt;h5&gt;&lt;b&gt;Duration &lt;/b&gt;24 hours or until discharged&lt;/h5&gt;&lt;h5&gt;&lt;b&gt;Saving Throw &lt;/b&gt;Will negates (harmless, object); &lt;b&gt;Spell Resistance &lt;/b&gt;yes (harmless, object)&lt;/h5&gt;&lt;/div&gt;&lt;hr/&gt;&lt;div&gt;&lt;h5&gt;&lt;b&gt;DESCRIPTION&lt;/b&gt;&lt;/h5&gt;&lt;/div&gt;&lt;hr/&gt;&lt;div&gt;&lt;h4&gt;&lt;p&gt;Choose one creature type (and subtype, if applicable) from the ranger's favored enemy list. When you cast this spell, the targeted spear hums with destructive energy and functions as a &lt;i&gt;+1 spear&lt;/i&gt;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&lt;i&gt;bane&lt;/i&gt;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round.&lt;/p&gt;&lt;/h4&gt;&lt;/div&gt;</t>
  </si>
  <si>
    <t>Protection From Natural Attacks</t>
  </si>
  <si>
    <t>alchemist 3, druid 4, psychic 4, ranger 2, shaman 4, spiritualist 3, summoner 3</t>
  </si>
  <si>
    <t>V, S, M/DF (a scale from a lizard)</t>
  </si>
  <si>
    <t>Upon casting this spell, select one type of natural attack from the following: bite, claw, gore, hoof, pincers, slam, sting, swarm, tail slap, talon, tentacle, or wing. For the duration of the spell, the target gains DR 5/- against all attacks from natural weapons of the selected type.</t>
  </si>
  <si>
    <t>&lt;p&gt;Upon casting this spell, select one type of natural attack from the following: bite, claw, gore, hoof, pincers, slam, sting, swarm, tail slap, talon, tentacle, or wing. For the duration of the spell, the target gains DR 5/- against all attacks from natural weapons of the selected type.&lt;/p&gt;</t>
  </si>
  <si>
    <t>&lt;link rel="stylesheet"href="PF.css"&gt;&lt;div class="heading"&gt;&lt;p class="alignleft"&gt;Protection From Natural Attacks&lt;/p&gt;&lt;div style="clear: both;"&gt;&lt;/div&gt;&lt;/div&gt;&lt;div&gt;&lt;h5&gt;&lt;b&gt;School &lt;/b&gt;abjuration; &lt;b&gt;Level &lt;/b&gt;alchemist 3, druid 4, psychic 4, ranger 2, shaman 4, spiritualist 3, summoner 3&lt;/h5&gt;&lt;/div&gt;&lt;hr/&gt;&lt;div&gt;&lt;h5&gt;&lt;b&gt;CASTING&lt;/b&gt;&lt;/h5&gt;&lt;/div&gt;&lt;hr/&gt;&lt;div&gt;&lt;h5&gt;&lt;b&gt;Casting Time &lt;/b&gt;1 standard action&lt;/h5&gt;&lt;h5&gt;&lt;b&gt;Components &lt;/b&gt;V, S, M/DF (a scale from a lizard)&lt;/h5&gt;&lt;/div&gt;&lt;hr/&gt;&lt;div&gt;&lt;h5&gt;&lt;b&gt;EFFECT&lt;/b&gt;&lt;/h5&gt;&lt;/div&gt;&lt;hr/&gt;&lt;div&gt;&lt;h5&gt;&lt;b&gt;Range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(harmless)&lt;/h5&gt;&lt;/div&gt;&lt;hr/&gt;&lt;div&gt;&lt;h5&gt;&lt;b&gt;DESCRIPTION&lt;/b&gt;&lt;/h5&gt;&lt;/div&gt;&lt;hr/&gt;&lt;div&gt;&lt;h4&gt;&lt;p&gt;Upon casting this spell, select one type of natural attack from the following: bite, claw, gore, hoof, pincers, slam, sting, swarm, tail slap, talon, tentacle, or wing. For the duration of the spell, the target gains DR 5/- against all attacks from natural weapons of the selected type.&lt;/p&gt;&lt;/h4&gt;&lt;/div&gt;</t>
  </si>
  <si>
    <t>Repugnant Taste</t>
  </si>
  <si>
    <t>alchemist 3, bard 3, druid 4, mesmerist 3, ranger 3, shaman 4, witch 4</t>
  </si>
  <si>
    <t>V, S, M/DF (mustard seed)</t>
  </si>
  <si>
    <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t>
  </si>
  <si>
    <t>&lt;p&gt;The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turn.&lt;/p&gt;</t>
  </si>
  <si>
    <t>&lt;link rel="stylesheet"href="PF.css"&gt;&lt;div class="heading"&gt;&lt;p class="alignleft"&gt;Repugnant Taste&lt;/p&gt;&lt;div style="clear: both;"&gt;&lt;/div&gt;&lt;/div&gt;&lt;div&gt;&lt;h5&gt;&lt;b&gt;School &lt;/b&gt;transmutation [poison]; &lt;b&gt;Level &lt;/b&gt;alchemist 3, bard 3, druid 4, mesmerist 3, ranger 3, shaman 4, witch 4&lt;/h5&gt;&lt;/div&gt;&lt;hr/&gt;&lt;div&gt;&lt;h5&gt;&lt;b&gt;CASTING&lt;/b&gt;&lt;/h5&gt;&lt;/div&gt;&lt;hr/&gt;&lt;div&gt;&lt;h5&gt;&lt;b&gt;Casting Time &lt;/b&gt;1 standard action&lt;/h5&gt;&lt;h5&gt;&lt;b&gt;Components &lt;/b&gt;V, S, M/DF (mustard seed)&lt;/h5&gt;&lt;/div&gt;&lt;hr/&gt;&lt;div&gt;&lt;h5&gt;&lt;b&gt;EFFECT&lt;/b&gt;&lt;/h5&gt;&lt;/div&gt;&lt;hr/&gt;&lt;div&gt;&lt;h5&gt;&lt;b&gt;Range &lt;/b&gt;touch&lt;/h5&gt;&lt;h5&gt;&lt;b&gt;Targets &lt;/b&gt;creature touched&lt;/h5&gt;&lt;h5&gt;&lt;b&gt;Duration &lt;/b&gt;10 minute/level&lt;/h5&gt;&lt;h5&gt;&lt;b&gt;Saving Throw &lt;/b&gt;Fortitude negates (harmless); &lt;b&gt;Spell Resistance &lt;/b&gt;yes (harmless)&lt;/h5&gt;&lt;/div&gt;&lt;hr/&gt;&lt;div&gt;&lt;h5&gt;&lt;b&gt;DESCRIPTION&lt;/b&gt;&lt;/h5&gt;&lt;/div&gt;&lt;hr/&gt;&lt;div&gt;&lt;h4&gt;&lt;p&gt;The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turn.&lt;/p&gt;&lt;/h4&gt;&lt;/div&gt;</t>
  </si>
  <si>
    <t>Barghest Feast</t>
  </si>
  <si>
    <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t>
  </si>
  <si>
    <t>&lt;p&gt;The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+5).&lt;/p&gt;</t>
  </si>
  <si>
    <t>AP 117</t>
  </si>
  <si>
    <t>&lt;link rel="stylesheet"href="PF.css"&gt;&lt;div class="heading"&gt;&lt;p class="alignleft"&gt;Barghest Feast&lt;/p&gt;&lt;div style="clear: both;"&gt;&lt;/div&gt;&lt;/div&gt;&lt;div&gt;&lt;h5&gt;&lt;b&gt;School &lt;/b&gt;transmutation [evil]; &lt;b&gt;Level &lt;/b&gt;alchemist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touched&lt;/h5&gt;&lt;h5&gt;&lt;b&gt;Duration &lt;/b&gt;10 minutes/level; see text&lt;/h5&gt;&lt;h5&gt;&lt;b&gt;Saving Throw &lt;/b&gt;Will negates (harmless); &lt;b&gt;Spell Resistance &lt;/b&gt;yes (harmless)&lt;/h5&gt;&lt;/div&gt;&lt;hr/&gt;&lt;div&gt;&lt;h5&gt;&lt;b&gt;DESCRIPTION&lt;/b&gt;&lt;/h5&gt;&lt;/div&gt;&lt;hr/&gt;&lt;div&gt;&lt;h4&gt;&lt;p&gt;The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+5).&lt;/p&gt;&lt;/h4&gt;&lt;/div&gt;</t>
  </si>
  <si>
    <t>Hobbling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</si>
  <si>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</si>
  <si>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feet).&lt;/p&gt;</t>
  </si>
  <si>
    <t>&lt;link rel="stylesheet"href="PF.css"&gt;&lt;div class="heading"&gt;&lt;p class="alignleft"&gt;Hobbling Bomb Admixture&lt;/p&gt;&lt;div style="clear: both;"&gt;&lt;/div&gt;&lt;/div&gt;&lt;div&gt;&lt;h5&gt;&lt;b&gt;School &lt;/b&gt;transmutation; &lt;b&gt;Level &lt;/b&gt;alchemist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feet).&lt;/p&gt;&lt;/h4&gt;&lt;/div&gt;</t>
  </si>
  <si>
    <t>Grasp</t>
  </si>
  <si>
    <t>bard 0, cleric/oracle 0, druid 0, magus 0, psychic 0, sorcerer/wizard 0, witch 0</t>
  </si>
  <si>
    <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t>
  </si>
  <si>
    <t>&lt;p&gt;You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climbing.&lt;/p&gt;</t>
  </si>
  <si>
    <t>Heroes Of The Darklands</t>
  </si>
  <si>
    <t>&lt;link rel="stylesheet"href="PF.css"&gt;&lt;div class="heading"&gt;&lt;p class="alignleft"&gt;Grasp&lt;/p&gt;&lt;div style="clear: both;"&gt;&lt;/div&gt;&lt;/div&gt;&lt;div&gt;&lt;h5&gt;&lt;b&gt;School &lt;/b&gt;divination; &lt;b&gt;Level &lt;/b&gt;bard 0, cleric/oracle 0, druid 0, magus 0, psychic 0, sorcerer/wizard 0, witch 0&lt;/h5&gt;&lt;/div&gt;&lt;hr/&gt;&lt;div&gt;&lt;h5&gt;&lt;b&gt;CASTING&lt;/b&gt;&lt;/h5&gt;&lt;/div&gt;&lt;hr/&gt;&lt;div&gt;&lt;h5&gt;&lt;b&gt;Casting Time &lt;/b&gt;1 immediate action&lt;/h5&gt;&lt;h5&gt;&lt;b&gt;Components &lt;/b&gt;V&lt;/h5&gt;&lt;/div&gt;&lt;hr/&gt;&lt;div&gt;&lt;h5&gt;&lt;b&gt;EFFECT&lt;/b&gt;&lt;/h5&gt;&lt;/div&gt;&lt;hr/&gt;&lt;div&gt;&lt;h5&gt;&lt;b&gt;Range &lt;/b&gt;personal&lt;/h5&gt;&lt;h5&gt;&lt;b&gt;Duration &lt;/b&gt;instantaneous&lt;/h5&gt;&lt;h5&gt;&lt;b&gt;Saving Throw &lt;/b&gt;none; &lt;b&gt;Spell Resistance &lt;/b&gt;no&lt;/h5&gt;&lt;/div&gt;&lt;hr/&gt;&lt;div&gt;&lt;h5&gt;&lt;b&gt;DESCRIPTION&lt;/b&gt;&lt;/h5&gt;&lt;/div&gt;&lt;hr/&gt;&lt;div&gt;&lt;h4&gt;&lt;p&gt;You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climbing.&lt;/p&gt;&lt;/h4&gt;&lt;/div&gt;</t>
  </si>
  <si>
    <t>Mage's Crawl Space</t>
  </si>
  <si>
    <t>bard 2, shaman 2, sorcerer/wizard 2, witch 2</t>
  </si>
  <si>
    <t>V, S, M (a piece of clay)</t>
  </si>
  <si>
    <t>5-foot sphere centered on yourself</t>
  </si>
  <si>
    <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t>
  </si>
  <si>
    <t>&lt;p&gt;When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with.&lt;/p&gt;</t>
  </si>
  <si>
    <t>&lt;link rel="stylesheet"href="PF.css"&gt;&lt;div class="heading"&gt;&lt;p class="alignleft"&gt;Mage's Crawl Space&lt;/p&gt;&lt;div style="clear: both;"&gt;&lt;/div&gt;&lt;/div&gt;&lt;div&gt;&lt;h5&gt;&lt;b&gt;School &lt;/b&gt;transmutation; &lt;b&gt;Level &lt;/b&gt;bard 2, shaman 2, sorcerer/wizard 2, witch 2&lt;/h5&gt;&lt;/div&gt;&lt;hr/&gt;&lt;div&gt;&lt;h5&gt;&lt;b&gt;CASTING&lt;/b&gt;&lt;/h5&gt;&lt;/div&gt;&lt;hr/&gt;&lt;div&gt;&lt;h5&gt;&lt;b&gt;Casting Time &lt;/b&gt;1 standard action&lt;/h5&gt;&lt;h5&gt;&lt;b&gt;Components &lt;/b&gt;V, S, M (a piece of clay)&lt;/h5&gt;&lt;/div&gt;&lt;hr/&gt;&lt;div&gt;&lt;h5&gt;&lt;b&gt;EFFECT&lt;/b&gt;&lt;/h5&gt;&lt;/div&gt;&lt;hr/&gt;&lt;div&gt;&lt;h5&gt;&lt;b&gt;Range &lt;/b&gt;personal&lt;/h5&gt;&lt;h5&gt;&lt;b&gt;Effect &lt;/b&gt;5-foot sphere centered on yourself&lt;/h5&gt;&lt;h5&gt;&lt;b&gt;Duration &lt;/b&gt;1 hour/level (D)&lt;/h5&gt;&lt;h5&gt;&lt;b&gt;Saving Throw &lt;/b&gt;none; &lt;b&gt;Spell Resistance &lt;/b&gt;no&lt;/h5&gt;&lt;/div&gt;&lt;hr/&gt;&lt;div&gt;&lt;h5&gt;&lt;b&gt;DESCRIPTION&lt;/b&gt;&lt;/h5&gt;&lt;/div&gt;&lt;hr/&gt;&lt;div&gt;&lt;h4&gt;&lt;p&gt;When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with.&lt;/p&gt;&lt;/h4&gt;&lt;/div&gt;</t>
  </si>
  <si>
    <t>Rock Whip</t>
  </si>
  <si>
    <t>cleric/oracle 2, druid 2, magus 2, ranger 1, shaman 2, sorcerer/wizard 2, witch 2</t>
  </si>
  <si>
    <t>whip of earth and stone</t>
  </si>
  <si>
    <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t>
  </si>
  <si>
    <t>&lt;p&gt;A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modifier.&lt;/p&gt;</t>
  </si>
  <si>
    <t>&lt;link rel="stylesheet"href="PF.css"&gt;&lt;div class="heading"&gt;&lt;p class="alignleft"&gt;Rock Whip&lt;/p&gt;&lt;div style="clear: both;"&gt;&lt;/div&gt;&lt;/div&gt;&lt;div&gt;&lt;h5&gt;&lt;b&gt;School &lt;/b&gt;conjuration (creation); &lt;b&gt;Level &lt;/b&gt;cleric/oracle 2, druid 2, magus 2, ranger 1,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earth and stone&lt;/h5&gt;&lt;h5&gt;&lt;b&gt;Duration &lt;/b&gt;1 round/level (D)&lt;/h5&gt;&lt;h5&gt;&lt;b&gt;Saving Throw &lt;/b&gt;none; &lt;b&gt;Spell Resistance &lt;/b&gt;no&lt;/h5&gt;&lt;/div&gt;&lt;hr/&gt;&lt;div&gt;&lt;h5&gt;&lt;b&gt;DESCRIPTION&lt;/b&gt;&lt;/h5&gt;&lt;/div&gt;&lt;hr/&gt;&lt;div&gt;&lt;h4&gt;&lt;p&gt;A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modifier.&lt;/p&gt;&lt;/h4&gt;&lt;/div&gt;</t>
  </si>
  <si>
    <t>Shadowfade</t>
  </si>
  <si>
    <t>bard 1, inquisitor 1, magus 1, mesmerist 1, sorcerer/wizard 1, summoner 1</t>
  </si>
  <si>
    <t>V, S, M (a blindfold)</t>
  </si>
  <si>
    <t>In areas of darkness, the target of shadowfade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t>
  </si>
  <si>
    <t>&lt;p&gt;In areas of darkness, the target of &lt;i&gt;shadowfade&lt;/i&gt;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action.&lt;/p&gt;</t>
  </si>
  <si>
    <t>&lt;link rel="stylesheet"href="PF.css"&gt;&lt;div class="heading"&gt;&lt;p class="alignleft"&gt;Shadowfade&lt;/p&gt;&lt;div style="clear: both;"&gt;&lt;/div&gt;&lt;/div&gt;&lt;div&gt;&lt;h5&gt;&lt;b&gt;School &lt;/b&gt;illusion (shadow); &lt;b&gt;Level &lt;/b&gt;bard 1, inquisitor 1, magus 1, mesmerist 1, sorcerer/wizard 1, summoner 1&lt;/h5&gt;&lt;/div&gt;&lt;hr/&gt;&lt;div&gt;&lt;h5&gt;&lt;b&gt;CASTING&lt;/b&gt;&lt;/h5&gt;&lt;/div&gt;&lt;hr/&gt;&lt;div&gt;&lt;h5&gt;&lt;b&gt;Casting Time &lt;/b&gt;1 standard action&lt;/h5&gt;&lt;h5&gt;&lt;b&gt;Components &lt;/b&gt;V, S, M (a blindfold)&lt;/h5&gt;&lt;/div&gt;&lt;hr/&gt;&lt;div&gt;&lt;h5&gt;&lt;b&gt;EFFECT&lt;/b&gt;&lt;/h5&gt;&lt;/div&gt;&lt;hr/&gt;&lt;div&gt;&lt;h5&gt;&lt;b&gt;Range &lt;/b&gt;touch&lt;/h5&gt;&lt;h5&gt;&lt;b&gt;Targets &lt;/b&gt;creature touched&lt;/h5&gt;&lt;h5&gt;&lt;b&gt;Duration &lt;/b&gt;1 minutes/level (D)&lt;/h5&gt;&lt;h5&gt;&lt;b&gt;Saving Throw &lt;/b&gt;Will negates (harmless); &lt;b&gt;Spell Resistance &lt;/b&gt;yes (harmless)&lt;/h5&gt;&lt;/div&gt;&lt;hr/&gt;&lt;div&gt;&lt;h5&gt;&lt;b&gt;DESCRIPTION&lt;/b&gt;&lt;/h5&gt;&lt;/div&gt;&lt;hr/&gt;&lt;div&gt;&lt;h4&gt;&lt;p&gt;In areas of darkness, the target of &lt;i&gt;shadowfade&lt;/i&gt;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action.&lt;/p&gt;&lt;/h4&gt;&lt;/div&gt;</t>
  </si>
  <si>
    <t>Skyshroud</t>
  </si>
  <si>
    <t>bard 3, cleric/oracle 3, skald 3, sorcerer/wizard 3</t>
  </si>
  <si>
    <t>V, S, F (a jar of earth from the surface)</t>
  </si>
  <si>
    <t>long (400 ft. + 40 ft./level); see text</t>
  </si>
  <si>
    <t>hemisphere that cannot extend beyond four 10-ft. cubes + one 10-ft. cube/level (S)</t>
  </si>
  <si>
    <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call lightning).  Light created by this effect functions normally and harms creatures vulnerable to bright light or direct sunlight.</t>
  </si>
  <si>
    <t>&lt;p&gt;The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&lt;i&gt;call&lt;/i&gt; lightning).  Light created by this effect functions normally and harms creatures vulnerable to bright light or direct sunlight.&lt;/p&gt;</t>
  </si>
  <si>
    <t>&lt;link rel="stylesheet"href="PF.css"&gt;&lt;div class="heading"&gt;&lt;p class="alignleft"&gt;Skyshroud&lt;/p&gt;&lt;div style="clear: both;"&gt;&lt;/div&gt;&lt;/div&gt;&lt;div&gt;&lt;h5&gt;&lt;b&gt;School &lt;/b&gt;divination (scrying); &lt;b&gt;Level &lt;/b&gt;bard 3, cleric/oracle 3, skald 3, sorcerer/wizard 3&lt;/h5&gt;&lt;/div&gt;&lt;hr/&gt;&lt;div&gt;&lt;h5&gt;&lt;b&gt;CASTING&lt;/b&gt;&lt;/h5&gt;&lt;/div&gt;&lt;hr/&gt;&lt;div&gt;&lt;h5&gt;&lt;b&gt;Casting Time &lt;/b&gt;1 minute&lt;/h5&gt;&lt;h5&gt;&lt;b&gt;Components &lt;/b&gt;V, S, F (a jar of earth from the surface)&lt;/h5&gt;&lt;/div&gt;&lt;hr/&gt;&lt;div&gt;&lt;h5&gt;&lt;b&gt;EFFECT&lt;/b&gt;&lt;/h5&gt;&lt;/div&gt;&lt;hr/&gt;&lt;div&gt;&lt;h5&gt;&lt;b&gt;Range &lt;/b&gt;long (400 ft. + 40 ft./level); see text&lt;/h5&gt;&lt;h5&gt;&lt;b&gt;Effect &lt;/b&gt;hemisphere that cannot extend beyond four 10-ft. cubes + one 10-ft. cube/level (S)&lt;/h5&gt;&lt;h5&gt;&lt;b&gt;Duration &lt;/b&gt;1 hour/level&lt;/h5&gt;&lt;h5&gt;&lt;b&gt;Saving Throw &lt;/b&gt;none; &lt;b&gt;Spell Resistance &lt;/b&gt;no&lt;/h5&gt;&lt;/div&gt;&lt;hr/&gt;&lt;div&gt;&lt;h5&gt;&lt;b&gt;DESCRIPTION&lt;/b&gt;&lt;/h5&gt;&lt;/div&gt;&lt;hr/&gt;&lt;div&gt;&lt;h4&gt;&lt;p&gt;The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&lt;i&gt;call&lt;/i&gt; lightning).  Light created by this effect functions normally and harms creatures vulnerable to bright light or direct sunlight.&lt;/p&gt;&lt;/h4&gt;&lt;/div&gt;</t>
  </si>
  <si>
    <t>Concealed Breath</t>
  </si>
  <si>
    <t>alchemist 4, cleric/oracle 4, druid 4, shaman 4, sorcerer/wizard 4, summoner 4</t>
  </si>
  <si>
    <t>S, M/DF (a palm-sized stone)</t>
  </si>
  <si>
    <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t>
  </si>
  <si>
    <t>&lt;p&gt;This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breathe.&lt;/p&gt;</t>
  </si>
  <si>
    <t>&lt;link rel="stylesheet"href="PF.css"&gt;&lt;div class="heading"&gt;&lt;p class="alignleft"&gt;Concealed Breath&lt;/p&gt;&lt;div style="clear: both;"&gt;&lt;/div&gt;&lt;/div&gt;&lt;div&gt;&lt;h5&gt;&lt;b&gt;School &lt;/b&gt;transmutation; &lt;b&gt;Level &lt;/b&gt;alchemist 4, cleric/oracle 4, druid 4, shaman 4, sorcerer/wizard 4, summoner 4&lt;/h5&gt;&lt;/div&gt;&lt;hr/&gt;&lt;div&gt;&lt;h5&gt;&lt;b&gt;CASTING&lt;/b&gt;&lt;/h5&gt;&lt;/div&gt;&lt;hr/&gt;&lt;div&gt;&lt;h5&gt;&lt;b&gt;Casting Time &lt;/b&gt;1 standard action&lt;/h5&gt;&lt;h5&gt;&lt;b&gt;Components &lt;/b&gt;S, M/DF (a palm-sized stone)&lt;/h5&gt;&lt;/div&gt;&lt;hr/&gt;&lt;div&gt;&lt;h5&gt;&lt;b&gt;EFFECT&lt;/b&gt;&lt;/h5&gt;&lt;/div&gt;&lt;hr/&gt;&lt;div&gt;&lt;h5&gt;&lt;b&gt;Range &lt;/b&gt;touch&lt;/h5&gt;&lt;h5&gt;&lt;b&gt;Targets &lt;/b&gt;living creatures touched&lt;/h5&gt;&lt;h5&gt;&lt;b&gt;Duration &lt;/b&gt;1 hour/level; see text&lt;/h5&gt;&lt;h5&gt;&lt;b&gt;Saving Throw &lt;/b&gt;Will negates (harmless); &lt;b&gt;Spell Resistance &lt;/b&gt;yes (harmless)&lt;/h5&gt;&lt;/div&gt;&lt;hr/&gt;&lt;div&gt;&lt;h5&gt;&lt;b&gt;DESCRIPTION&lt;/b&gt;&lt;/h5&gt;&lt;/div&gt;&lt;hr/&gt;&lt;div&gt;&lt;h4&gt;&lt;p&gt;This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breathe.&lt;/p&gt;&lt;/h4&gt;&lt;/div&gt;</t>
  </si>
  <si>
    <t>Morning Sun</t>
  </si>
  <si>
    <t>cleric/oracle 7, druid 7, inquisitor 6, shaman 7</t>
  </si>
  <si>
    <t>V, S, M (500 gp worth of gold dust)</t>
  </si>
  <si>
    <t>Fortitude negates and Reflex half, see text</t>
  </si>
  <si>
    <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t>
  </si>
  <si>
    <t>&lt;p&gt;This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half.&lt;/p&gt;</t>
  </si>
  <si>
    <t>&lt;link rel="stylesheet"href="PF.css"&gt;&lt;div class="heading"&gt;&lt;p class="alignleft"&gt;Morning Sun&lt;/p&gt;&lt;div style="clear: both;"&gt;&lt;/div&gt;&lt;/div&gt;&lt;div&gt;&lt;h5&gt;&lt;b&gt;School &lt;/b&gt;evocation [light]; &lt;b&gt;Level &lt;/b&gt;cleric/oracle 7, druid 7, inquisitor 6, shaman 7&lt;/h5&gt;&lt;/div&gt;&lt;hr/&gt;&lt;div&gt;&lt;h5&gt;&lt;b&gt;CASTING&lt;/b&gt;&lt;/h5&gt;&lt;/div&gt;&lt;hr/&gt;&lt;div&gt;&lt;h5&gt;&lt;b&gt;Casting Time &lt;/b&gt;1 standard action&lt;/h5&gt;&lt;h5&gt;&lt;b&gt;Components &lt;/b&gt;V, S, M (500 gp worth of gold dust)&lt;/h5&gt;&lt;/div&gt;&lt;hr/&gt;&lt;div&gt;&lt;h5&gt;&lt;b&gt;EFFECT&lt;/b&gt;&lt;/h5&gt;&lt;/div&gt;&lt;hr/&gt;&lt;div&gt;&lt;h5&gt;&lt;b&gt;Range &lt;/b&gt;close (25 ft. + 5 ft./2 levels)&lt;/h5&gt;&lt;h5&gt;&lt;b&gt;Area &lt;/b&gt;60-ft. radius&lt;/h5&gt;&lt;h5&gt;&lt;b&gt;Duration &lt;/b&gt;1 minute/level (D)&lt;/h5&gt;&lt;h5&gt;&lt;b&gt;Saving Throw &lt;/b&gt;Fortitude negates and Reflex half, see text; &lt;b&gt;Spell Resistance &lt;/b&gt;no&lt;/h5&gt;&lt;/div&gt;&lt;hr/&gt;&lt;div&gt;&lt;h5&gt;&lt;b&gt;DESCRIPTION&lt;/b&gt;&lt;/h5&gt;&lt;/div&gt;&lt;hr/&gt;&lt;div&gt;&lt;h4&gt;&lt;p&gt;This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half.&lt;/p&gt;&lt;/h4&gt;&lt;/div&gt;</t>
  </si>
  <si>
    <t>Pale Flame</t>
  </si>
  <si>
    <t>V, S, M (caphorite shard)</t>
  </si>
  <si>
    <t>This spell functions as per produce flame,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t>
  </si>
  <si>
    <t>&lt;p&gt;This spell functions as per &lt;i&gt;produce flame&lt;/i&gt;,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+10).&lt;/p&gt;</t>
  </si>
  <si>
    <t>&lt;link rel="stylesheet"href="PF.css"&gt;&lt;div class="heading"&gt;&lt;p class="alignleft"&gt;Pale Flame&lt;/p&gt;&lt;div style="clear: both;"&gt;&lt;/div&gt;&lt;/div&gt;&lt;div&gt;&lt;h5&gt;&lt;b&gt;School &lt;/b&gt;evocation [fire]; &lt;b&gt;Level &lt;/b&gt;druid 2, shaman 2&lt;/h5&gt;&lt;/div&gt;&lt;hr/&gt;&lt;div&gt;&lt;h5&gt;&lt;b&gt;CASTING&lt;/b&gt;&lt;/h5&gt;&lt;/div&gt;&lt;hr/&gt;&lt;div&gt;&lt;h5&gt;&lt;b&gt;Casting Time &lt;/b&gt;1 standard action&lt;/h5&gt;&lt;h5&gt;&lt;b&gt;Components &lt;/b&gt;V, S, M (caphorite shard)&lt;/h5&gt;&lt;/div&gt;&lt;hr/&gt;&lt;div&gt;&lt;h5&gt;&lt;b&gt;EFFECT&lt;/b&gt;&lt;/h5&gt;&lt;/div&gt;&lt;hr/&gt;&lt;div&gt;&lt;h5&gt;&lt;b&gt;Range &lt;/b&gt;0 ft.&lt;/h5&gt;&lt;h5&gt;&lt;b&gt;Effect &lt;/b&gt;flame in your palm&lt;/h5&gt;&lt;h5&gt;&lt;b&gt;Duration &lt;/b&gt;1 minute/level (D)&lt;/h5&gt;&lt;h5&gt;&lt;b&gt;Saving Throw &lt;/b&gt;none; &lt;b&gt;Spell Resistance &lt;/b&gt;yes&lt;/h5&gt;&lt;/div&gt;&lt;hr/&gt;&lt;div&gt;&lt;h5&gt;&lt;b&gt;DESCRIPTION&lt;/b&gt;&lt;/h5&gt;&lt;/div&gt;&lt;hr/&gt;&lt;div&gt;&lt;h4&gt;&lt;p&gt;This spell functions as per &lt;i&gt;produce flame&lt;/i&gt;,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+10).&lt;/p&gt;&lt;/h4&gt;&lt;/div&gt;</t>
  </si>
  <si>
    <t>Radiation Ward</t>
  </si>
  <si>
    <t>alchemist 2, cleric/oracle 2, druid 2, ranger 1, shaman 2, sorcerer/wizard 2</t>
  </si>
  <si>
    <t>A creature warded by this spell gains a +4 bonus on saving throws against radiation-based effects. In addition, the warded creature is immediately aware when it enters an area  of radiation, as well as the radiation level (low, medium, high, or severe) suffusing the area.</t>
  </si>
  <si>
    <t>&lt;p&gt;A creature warded by this spell gains a +4 bonus on saving throws against radiation-based effects. In addition, the warded creature is immediately aware when it enters an area  of radiation, as well as the radiation level (low, medium, high, or severe) suffusing the area.&lt;/p&gt;</t>
  </si>
  <si>
    <t>&lt;link rel="stylesheet"href="PF.css"&gt;&lt;div class="heading"&gt;&lt;p class="alignleft"&gt;Radiation Ward&lt;/p&gt;&lt;div style="clear: both;"&gt;&lt;/div&gt;&lt;/div&gt;&lt;div&gt;&lt;h5&gt;&lt;b&gt;School &lt;/b&gt;abjuration; &lt;b&gt;Level &lt;/b&gt;alchemist 2, cleric/oracle 2, druid 2, ranger 1, shaman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&lt;/b&gt;Fort negates (harmless); &lt;b&gt;Spell Resistance &lt;/b&gt;yes (harmless)&lt;/h5&gt;&lt;/div&gt;&lt;hr/&gt;&lt;div&gt;&lt;h5&gt;&lt;b&gt;DESCRIPTION&lt;/b&gt;&lt;/h5&gt;&lt;/div&gt;&lt;hr/&gt;&lt;div&gt;&lt;h4&gt;&lt;p&gt;A creature warded by this spell gains a +4 bonus on saving throws against radiation-based effects. In addition, the warded creature is immediately aware when it enters an area  of radiation, as well as the radiation level (low, medium, high, or severe) suffusing the area.&lt;/p&gt;&lt;/h4&gt;&lt;/div&gt;</t>
  </si>
  <si>
    <t>Animus Mine</t>
  </si>
  <si>
    <t>mesmerist 2, psychic 3</t>
  </si>
  <si>
    <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t>
  </si>
  <si>
    <t>&lt;p&gt;You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time.&lt;/p&gt;</t>
  </si>
  <si>
    <t>&lt;link rel="stylesheet"href="PF.css"&gt;&lt;div class="heading"&gt;&lt;p class="alignleft"&gt;Animus Mine&lt;/p&gt;&lt;div style="clear: both;"&gt;&lt;/div&gt;&lt;/div&gt;&lt;div&gt;&lt;h5&gt;&lt;b&gt;School &lt;/b&gt;abjuration [mind-affecting]; &lt;b&gt;Level &lt;/b&gt;mesmerist 2,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hour/level or until discharged&lt;/h5&gt;&lt;h5&gt;&lt;b&gt;Saving Throw &lt;/b&gt;Will negates (harmless); &lt;b&gt;Spell Resistance &lt;/b&gt;no&lt;/h5&gt;&lt;/div&gt;&lt;hr/&gt;&lt;div&gt;&lt;h5&gt;&lt;b&gt;DESCRIPTION&lt;/b&gt;&lt;/h5&gt;&lt;/div&gt;&lt;hr/&gt;&lt;div&gt;&lt;h4&gt;&lt;p&gt;You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time.&lt;/p&gt;&lt;/h4&gt;&lt;/div&gt;</t>
  </si>
  <si>
    <t>Animus Mine, Greater</t>
  </si>
  <si>
    <t>This functions as per animus mine,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t>
  </si>
  <si>
    <t>&lt;p&gt;This functions as per &lt;i&gt;animus mine&lt;/i&gt;,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mine.&lt;/p&gt;</t>
  </si>
  <si>
    <t>&lt;link rel="stylesheet"href="PF.css"&gt;&lt;div class="heading"&gt;&lt;p class="alignleft"&gt;Animus Mine, Greater&lt;/p&gt;&lt;div style="clear: both;"&gt;&lt;/div&gt;&lt;/div&gt;&lt;div&gt;&lt;h5&gt;&lt;b&gt;School &lt;/b&gt;abjuration [mind-affecting]; &lt;b&gt;Level &lt;/b&gt;mesmerist 4, psychic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hour/level or until discharged&lt;/h5&gt;&lt;h5&gt;&lt;b&gt;Saving Throw &lt;/b&gt;Will negates (harmless); &lt;b&gt;Spell Resistance &lt;/b&gt;no&lt;/h5&gt;&lt;/div&gt;&lt;hr/&gt;&lt;div&gt;&lt;h5&gt;&lt;b&gt;DESCRIPTION&lt;/b&gt;&lt;/h5&gt;&lt;/div&gt;&lt;hr/&gt;&lt;div&gt;&lt;h4&gt;&lt;p&gt;This functions as per &lt;i&gt;animus mine&lt;/i&gt;,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mine.&lt;/p&gt;&lt;/h4&gt;&lt;/div&gt;</t>
  </si>
  <si>
    <t>Entomb</t>
  </si>
  <si>
    <t>druid 8, shaman 8, sorcerer/wizard 8</t>
  </si>
  <si>
    <t>V, S, M (a pristine geode worth at least 1,000 gp)</t>
  </si>
  <si>
    <t>up to three 10-ft. cubes/level (S)</t>
  </si>
  <si>
    <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daylight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t>
  </si>
  <si>
    <t>&lt;p&gt;You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&lt;i&gt;daylight&lt;/i&gt;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returning.&lt;/p&gt;</t>
  </si>
  <si>
    <t>&lt;link rel="stylesheet"href="PF.css"&gt;&lt;div class="heading"&gt;&lt;p class="alignleft"&gt;Entomb&lt;/p&gt;&lt;div style="clear: both;"&gt;&lt;/div&gt;&lt;/div&gt;&lt;div&gt;&lt;h5&gt;&lt;b&gt;School &lt;/b&gt;transmutation [earth]; &lt;b&gt;Level &lt;/b&gt;druid 8, shaman 8, sorcerer/wizard 8&lt;/h5&gt;&lt;/div&gt;&lt;hr/&gt;&lt;div&gt;&lt;h5&gt;&lt;b&gt;CASTING&lt;/b&gt;&lt;/h5&gt;&lt;/div&gt;&lt;hr/&gt;&lt;div&gt;&lt;h5&gt;&lt;b&gt;Casting Time &lt;/b&gt;1 minute&lt;/h5&gt;&lt;h5&gt;&lt;b&gt;Components &lt;/b&gt;V, S, M (a pristine geode worth at least 1,000 gp)&lt;/h5&gt;&lt;/div&gt;&lt;hr/&gt;&lt;div&gt;&lt;h5&gt;&lt;b&gt;EFFECT&lt;/b&gt;&lt;/h5&gt;&lt;/div&gt;&lt;hr/&gt;&lt;div&gt;&lt;h5&gt;&lt;b&gt;Range &lt;/b&gt;medium (100 ft. + 10 ft./level)&lt;/h5&gt;&lt;h5&gt;&lt;b&gt;Effect &lt;/b&gt;up to three 10-ft. cubes/level (S)&lt;/h5&gt;&lt;h5&gt;&lt;b&gt;Duration &lt;/b&gt;permanent&lt;/h5&gt;&lt;h5&gt;&lt;b&gt;Saving Throw &lt;/b&gt;none; &lt;b&gt;Spell Resistance &lt;/b&gt;no&lt;/h5&gt;&lt;/div&gt;&lt;hr/&gt;&lt;div&gt;&lt;h5&gt;&lt;b&gt;DESCRIPTION&lt;/b&gt;&lt;/h5&gt;&lt;/div&gt;&lt;hr/&gt;&lt;div&gt;&lt;h4&gt;&lt;p&gt;You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&lt;i&gt;daylight&lt;/i&gt;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returning.&lt;/p&gt;&lt;/h4&gt;&lt;/div&gt;</t>
  </si>
  <si>
    <t>Intensify Psyche</t>
  </si>
  <si>
    <t>bard 1, cleric/oracle 2, medium 2, mesmerist 1, psychic 2, sorcerer/wizard 2, spiritualist 2, witch 2</t>
  </si>
  <si>
    <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t>
  </si>
  <si>
    <t>&lt;p&gt;A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descriptor.&lt;/p&gt;</t>
  </si>
  <si>
    <t>&lt;link rel="stylesheet"href="PF.css"&gt;&lt;div class="heading"&gt;&lt;p class="alignleft"&gt;Intensify Psyche&lt;/p&gt;&lt;div style="clear: both;"&gt;&lt;/div&gt;&lt;/div&gt;&lt;div&gt;&lt;h5&gt;&lt;b&gt;School &lt;/b&gt;enchantment [emotion, mind-affecting]; &lt;b&gt;Level &lt;/b&gt;bard 1, cleric/oracle 2, medium 2, mesmerist 1,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 level)&lt;/h5&gt;&lt;h5&gt;&lt;b&gt;Effect &lt;/b&gt;one creature&lt;/h5&gt;&lt;h5&gt;&lt;b&gt;Duration &lt;/b&gt;1 minute/level&lt;/h5&gt;&lt;h5&gt;&lt;b&gt;Saving Throw &lt;/b&gt;Will negates; &lt;b&gt;Spell Resistance &lt;/b&gt;yes&lt;/h5&gt;&lt;/div&gt;&lt;hr/&gt;&lt;div&gt;&lt;h5&gt;&lt;b&gt;DESCRIPTION&lt;/b&gt;&lt;/h5&gt;&lt;/div&gt;&lt;hr/&gt;&lt;div&gt;&lt;h4&gt;&lt;p&gt;A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descriptor.&lt;/p&gt;&lt;/h4&gt;&lt;/div&gt;</t>
  </si>
  <si>
    <t>Surface Excursion</t>
  </si>
  <si>
    <t>magus 5, occultist 4, psychic 5, shaman 5, sorcerer/wizard 5, spiritualist 4, summoner 4, witch 5</t>
  </si>
  <si>
    <t>V, S, M (a handful of soil that has been in the sun for at least 6 hours)</t>
  </si>
  <si>
    <t>you plus up to one willing creature per 3 levels</t>
  </si>
  <si>
    <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t>
  </si>
  <si>
    <t>&lt;p&gt;You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transportation.&lt;/p&gt;</t>
  </si>
  <si>
    <t>&lt;link rel="stylesheet"href="PF.css"&gt;&lt;div class="heading"&gt;&lt;p class="alignleft"&gt;Surface Excursion&lt;/p&gt;&lt;div style="clear: both;"&gt;&lt;/div&gt;&lt;/div&gt;&lt;div&gt;&lt;h5&gt;&lt;b&gt;School &lt;/b&gt;conjuration (teleportation); &lt;b&gt;Level &lt;/b&gt;magus 5, occultist 4, psychic 5, shaman 5, sorcerer/wizard 5, spiritualist 4, summoner 4, witch 5&lt;/h5&gt;&lt;/div&gt;&lt;hr/&gt;&lt;div&gt;&lt;h5&gt;&lt;b&gt;CASTING&lt;/b&gt;&lt;/h5&gt;&lt;/div&gt;&lt;hr/&gt;&lt;div&gt;&lt;h5&gt;&lt;b&gt;Casting Time &lt;/b&gt;3 rounds&lt;/h5&gt;&lt;h5&gt;&lt;b&gt;Components &lt;/b&gt;V, S, M (a handful of soil that has been in the sun for at least 6 hours)&lt;/h5&gt;&lt;/div&gt;&lt;hr/&gt;&lt;div&gt;&lt;h5&gt;&lt;b&gt;EFFECT&lt;/b&gt;&lt;/h5&gt;&lt;/div&gt;&lt;hr/&gt;&lt;div&gt;&lt;h5&gt;&lt;b&gt;Range &lt;/b&gt;touch&lt;/h5&gt;&lt;h5&gt;&lt;b&gt;Effect &lt;/b&gt;you plus up to one willing creature per 3 levels&lt;/h5&gt;&lt;h5&gt;&lt;b&gt;Duration &lt;/b&gt;1 hour/level (D)&lt;/h5&gt;&lt;h5&gt;&lt;b&gt;Saving Throw &lt;/b&gt;Will negates (harmless); &lt;b&gt;Spell Resistance &lt;/b&gt;no&lt;/h5&gt;&lt;/div&gt;&lt;hr/&gt;&lt;div&gt;&lt;h5&gt;&lt;b&gt;DESCRIPTION&lt;/b&gt;&lt;/h5&gt;&lt;/div&gt;&lt;hr/&gt;&lt;div&gt;&lt;h4&gt;&lt;p&gt;You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transportation.&lt;/p&gt;&lt;/h4&gt;&lt;/div&gt;</t>
  </si>
  <si>
    <t>Cold Iron Fetters</t>
  </si>
  <si>
    <t>cleric/oracle 5, inquisitor 4, occultist 5, ranger 3, shaman 5, sorcerer/wizard 5, summoner 4, witch 5</t>
  </si>
  <si>
    <t>V, S, M/DF (miniature cold iron shackle)</t>
  </si>
  <si>
    <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dimension door, teleport, or tree meld) for the duration of the spell.</t>
  </si>
  <si>
    <t>&lt;p&gt;Cold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&lt;i&gt;dimension door&lt;/i&gt;, &lt;i&gt;teleport&lt;/i&gt;, or tree meld) for the duration of the spell.&lt;/p&gt;</t>
  </si>
  <si>
    <t>Legacy Of The First World</t>
  </si>
  <si>
    <t>&lt;link rel="stylesheet"href="PF.css"&gt;&lt;div class="heading"&gt;&lt;p class="alignleft"&gt;Cold Iron Fetters&lt;/p&gt;&lt;div style="clear: both;"&gt;&lt;/div&gt;&lt;/div&gt;&lt;div&gt;&lt;h5&gt;&lt;b&gt;School &lt;/b&gt;conjuration (creation); &lt;b&gt;Level &lt;/b&gt;cleric/oracle 5, inquisitor 4, occultist 5, ranger 3, shaman 5, sorcerer/wizard 5, summoner 4, witch 5&lt;/h5&gt;&lt;/div&gt;&lt;hr/&gt;&lt;div&gt;&lt;h5&gt;&lt;b&gt;CASTING&lt;/b&gt;&lt;/h5&gt;&lt;/div&gt;&lt;hr/&gt;&lt;div&gt;&lt;h5&gt;&lt;b&gt;Casting Time &lt;/b&gt;1 standard action&lt;/h5&gt;&lt;h5&gt;&lt;b&gt;Components &lt;/b&gt;V, S, M/DF (miniature cold iron shackle)&lt;/h5&gt;&lt;/div&gt;&lt;hr/&gt;&lt;div&gt;&lt;h5&gt;&lt;b&gt;EFFECT&lt;/b&gt;&lt;/h5&gt;&lt;/div&gt;&lt;hr/&gt;&lt;div&gt;&lt;h5&gt;&lt;b&gt;Range &lt;/b&gt;medium (100 ft. + 10 ft./level)&lt;/h5&gt;&lt;h5&gt;&lt;b&gt;Targets &lt;/b&gt;one creature&lt;/h5&gt;&lt;h5&gt;&lt;b&gt;Duration &lt;/b&gt;1 round/level (D)&lt;/h5&gt;&lt;h5&gt;&lt;b&gt;Saving Throw &lt;/b&gt;Reflex negates; &lt;b&gt;Spell Resistance &lt;/b&gt;no&lt;/h5&gt;&lt;/div&gt;&lt;hr/&gt;&lt;div&gt;&lt;h5&gt;&lt;b&gt;DESCRIPTION&lt;/b&gt;&lt;/h5&gt;&lt;/div&gt;&lt;hr/&gt;&lt;div&gt;&lt;h4&gt;&lt;p&gt;Cold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&lt;i&gt;dimension door&lt;/i&gt;, &lt;i&gt;teleport&lt;/i&gt;, or tree meld) for the duration of the spell.&lt;/p&gt;&lt;/h4&gt;&lt;/div&gt;</t>
  </si>
  <si>
    <t>Iron Spine</t>
  </si>
  <si>
    <t>cleric/oracle 4, magus 3, sorcerer/wizard 3, witch 3</t>
  </si>
  <si>
    <t>V, S, M/DF (cold iron ingot)</t>
  </si>
  <si>
    <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t>
  </si>
  <si>
    <t>&lt;p&gt;You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carapace.&lt;/p&gt;</t>
  </si>
  <si>
    <t>&lt;link rel="stylesheet"href="PF.css"&gt;&lt;div class="heading"&gt;&lt;p class="alignleft"&gt;Iron Spine&lt;/p&gt;&lt;div style="clear: both;"&gt;&lt;/div&gt;&lt;/div&gt;&lt;div&gt;&lt;h5&gt;&lt;b&gt;School &lt;/b&gt;transmutation; &lt;b&gt;Level &lt;/b&gt;cleric/oracle 4, magus 3, sorcerer/wizard 3, witch 3&lt;/h5&gt;&lt;/div&gt;&lt;hr/&gt;&lt;div&gt;&lt;h5&gt;&lt;b&gt;CASTING&lt;/b&gt;&lt;/h5&gt;&lt;/div&gt;&lt;hr/&gt;&lt;div&gt;&lt;h5&gt;&lt;b&gt;Casting Time &lt;/b&gt;1 standard action&lt;/h5&gt;&lt;h5&gt;&lt;b&gt;Components &lt;/b&gt;V, S, M/DF (cold iron ingot)&lt;/h5&gt;&lt;/div&gt;&lt;hr/&gt;&lt;div&gt;&lt;h5&gt;&lt;b&gt;EFFECT&lt;/b&gt;&lt;/h5&gt;&lt;/div&gt;&lt;hr/&gt;&lt;div&gt;&lt;h5&gt;&lt;b&gt;Range &lt;/b&gt;medium (100 ft. + 10 ft./level)&lt;/h5&gt;&lt;h5&gt;&lt;b&gt;Targets &lt;/b&gt;one living creature&lt;/h5&gt;&lt;h5&gt;&lt;b&gt;Duration &lt;/b&gt;1 round/level&lt;/h5&gt;&lt;h5&gt;&lt;b&gt;Saving Throw &lt;/b&gt;no; &lt;b&gt;Spell Resistance &lt;/b&gt;yes&lt;/h5&gt;&lt;/div&gt;&lt;hr/&gt;&lt;div&gt;&lt;h5&gt;&lt;b&gt;DESCRIPTION&lt;/b&gt;&lt;/h5&gt;&lt;/div&gt;&lt;hr/&gt;&lt;div&gt;&lt;h4&gt;&lt;p&gt;You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carapace.&lt;/p&gt;&lt;/h4&gt;&lt;/div&gt;</t>
  </si>
  <si>
    <t>Mortal Terror</t>
  </si>
  <si>
    <t>antipaladin 2, bard 2, cleric/oracle 2, inquisitor 2, mesmerist 2, psychic 2, shaman 2, sorcerer/wizard 2, witch 2</t>
  </si>
  <si>
    <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t>
  </si>
  <si>
    <t>&lt;p&gt;You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round.&lt;/p&gt;</t>
  </si>
  <si>
    <t>&lt;link rel="stylesheet"href="PF.css"&gt;&lt;div class="heading"&gt;&lt;p class="alignleft"&gt;Mortal Terror&lt;/p&gt;&lt;div style="clear: both;"&gt;&lt;/div&gt;&lt;/div&gt;&lt;div&gt;&lt;h5&gt;&lt;b&gt;School &lt;/b&gt;enchantment [fear, mind-affecting]; &lt;b&gt;Level &lt;/b&gt;antipaladin 2, bard 2, cleric/oracle 2, inquisitor 2, mesmerist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round.&lt;/p&gt;&lt;/h4&gt;&lt;/div&gt;</t>
  </si>
  <si>
    <t>Alluring Spores</t>
  </si>
  <si>
    <t>V, S, M/DF (a clump of pollen)</t>
  </si>
  <si>
    <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t>
  </si>
  <si>
    <t>&lt;p&gt;This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you.&lt;/p&gt;</t>
  </si>
  <si>
    <t>&lt;link rel="stylesheet"href="PF.css"&gt;&lt;div class="heading"&gt;&lt;p class="alignleft"&gt;Alluring Spores&lt;/p&gt;&lt;div style="clear: both;"&gt;&lt;/div&gt;&lt;/div&gt;&lt;div&gt;&lt;h5&gt;&lt;b&gt;School &lt;/b&gt;conjuration (creation); &lt;b&gt;Level &lt;/b&gt;druid 2, shaman 2, witch 2&lt;/h5&gt;&lt;/div&gt;&lt;hr/&gt;&lt;div&gt;&lt;h5&gt;&lt;b&gt;CASTING&lt;/b&gt;&lt;/h5&gt;&lt;/div&gt;&lt;hr/&gt;&lt;div&gt;&lt;h5&gt;&lt;b&gt;Casting Time &lt;/b&gt;1 standard action&lt;/h5&gt;&lt;h5&gt;&lt;b&gt;Components &lt;/b&gt;V, S, M/DF (a clump of pollen)&lt;/h5&gt;&lt;/div&gt;&lt;hr/&gt;&lt;div&gt;&lt;h5&gt;&lt;b&gt;EFFECT&lt;/b&gt;&lt;/h5&gt;&lt;/div&gt;&lt;hr/&gt;&lt;div&gt;&lt;h5&gt;&lt;b&gt;Range &lt;/b&gt;medium (100 ft. + 10 ft./level)&lt;/h5&gt;&lt;h5&gt;&lt;b&gt;Area &lt;/b&gt;20-ft.-radius spread&lt;/h5&gt;&lt;h5&gt;&lt;b&gt;Duration &lt;/b&gt;1 minute/level&lt;/h5&gt;&lt;h5&gt;&lt;b&gt;Saving Throw &lt;/b&gt;Fortitude negates; &lt;b&gt;Spell Resistance &lt;/b&gt;yes&lt;/h5&gt;&lt;/div&gt;&lt;hr/&gt;&lt;div&gt;&lt;h5&gt;&lt;b&gt;DESCRIPTION&lt;/b&gt;&lt;/h5&gt;&lt;/div&gt;&lt;hr/&gt;&lt;div&gt;&lt;h4&gt;&lt;p&gt;This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you.&lt;/p&gt;&lt;/h4&gt;&lt;/div&gt;</t>
  </si>
  <si>
    <t>Strand Of The Tangled Knot</t>
  </si>
  <si>
    <t>cleric/oracle 1, inquisitor 1, shaman 1, witch 1</t>
  </si>
  <si>
    <t>V, S, M/DF (a small knot of twine)</t>
  </si>
  <si>
    <t>You mimic tugging at the Green Mother's legendary Tangled Knot to subtly alter your fate. The next single attack made against you takes a -10 penalty. If that attack is a critical hit, it is instead treated as a normal hit.</t>
  </si>
  <si>
    <t>&lt;p&gt;You mimic tugging at the Green Mother's legendary Tangled Knot to subtly alter your fate. The next single attack made against you takes a -10 penalty. If that attack is a critical hit, it is instead treated as a normal hit.&lt;/p&gt;</t>
  </si>
  <si>
    <t>&lt;link rel="stylesheet"href="PF.css"&gt;&lt;div class="heading"&gt;&lt;p class="alignleft"&gt;Strand Of The Tangled Knot&lt;/p&gt;&lt;div style="clear: both;"&gt;&lt;/div&gt;&lt;/div&gt;&lt;div&gt;&lt;h5&gt;&lt;b&gt;School &lt;/b&gt;abjuration; &lt;b&gt;Level &lt;/b&gt;cleric/oracle 1, inquisitor 1, shaman 1, witch 1&lt;/h5&gt;&lt;/div&gt;&lt;hr/&gt;&lt;div&gt;&lt;h5&gt;&lt;b&gt;CASTING&lt;/b&gt;&lt;/h5&gt;&lt;/div&gt;&lt;hr/&gt;&lt;div&gt;&lt;h5&gt;&lt;b&gt;Casting Time &lt;/b&gt;1 standard action&lt;/h5&gt;&lt;h5&gt;&lt;b&gt;Components &lt;/b&gt;V, S, M/DF (a small knot of twine)&lt;/h5&gt;&lt;/div&gt;&lt;hr/&gt;&lt;div&gt;&lt;h5&gt;&lt;b&gt;EFFECT&lt;/b&gt;&lt;/h5&gt;&lt;/div&gt;&lt;hr/&gt;&lt;div&gt;&lt;h5&gt;&lt;b&gt;Range &lt;/b&gt;personal&lt;/h5&gt;&lt;h5&gt;&lt;b&gt;Targets &lt;/b&gt;you&lt;/h5&gt;&lt;h5&gt;&lt;b&gt;Duration &lt;/b&gt;1 round/level (D)&lt;/h5&gt;&lt;/div&gt;&lt;hr/&gt;&lt;div&gt;&lt;h5&gt;&lt;b&gt;DESCRIPTION&lt;/b&gt;&lt;/h5&gt;&lt;/div&gt;&lt;hr/&gt;&lt;div&gt;&lt;h4&gt;&lt;p&gt;You mimic tugging at the Green Mother's legendary Tangled Knot to subtly alter your fate. The next single attack made against you takes a -10 penalty. If that attack is a critical hit, it is instead treated as a normal hit.&lt;/p&gt;&lt;/h4&gt;&lt;/div&gt;</t>
  </si>
  <si>
    <t>Thirsting Entanglement</t>
  </si>
  <si>
    <t>druid 4, ranger 4, shaman 4</t>
  </si>
  <si>
    <t>This spell functions as entangle, except the plants latch on to targets and drain away their vitality. Any creature that fails a save to avoid becoming entangled or fails a check to break free takes 1d2 points of Constitution damage.</t>
  </si>
  <si>
    <t>&lt;p&gt;This spell functions as &lt;i&gt;entangle&lt;/i&gt;, except the plants latch on to targets and drain away their vitality. Any creature that fails a save to avoid becoming &lt;i&gt;entangle&lt;/i&gt;d or fails a check to break free takes 1d2 points of Constitution damage.&lt;/p&gt;</t>
  </si>
  <si>
    <t>&lt;link rel="stylesheet"href="PF.css"&gt;&lt;div class="heading"&gt;&lt;p class="alignleft"&gt;Thirsting Entanglement&lt;/p&gt;&lt;div style="clear: both;"&gt;&lt;/div&gt;&lt;/div&gt;&lt;div&gt;&lt;h5&gt;&lt;b&gt;School &lt;/b&gt;transmutation; &lt;b&gt;Level &lt;/b&gt;druid 4, ranger 4, shaman 4&lt;/h5&gt;&lt;/div&gt;&lt;hr/&gt;&lt;div&gt;&lt;h5&gt;&lt;b&gt;CASTING&lt;/b&gt;&lt;/h5&gt;&lt;/div&gt;&lt;hr/&gt;&lt;div&gt;&lt;h5&gt;&lt;b&gt;Casting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functions as &lt;i&gt;entangle&lt;/i&gt;, except the plants latch on to targets and drain away their vitality. Any creature that fails a save to avoid becoming &lt;i&gt;entangle&lt;/i&gt;d or fails a check to break free takes 1d2 points of Constitution damage.&lt;/p&gt;&lt;/h4&gt;&lt;/div&gt;</t>
  </si>
  <si>
    <t>Threefold Face</t>
  </si>
  <si>
    <t>medium 3, sorcerer/wizard 3, witch 3</t>
  </si>
  <si>
    <t>V, S, M/DF (a three-pointed knot)</t>
  </si>
  <si>
    <t>Duration 9 minutes</t>
  </si>
  <si>
    <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blindness/ deafness to blind you). You lose all-around vision if even a single face becomes blind. This spell doesn't grant you additional magic item slots or additional heads. When threefold face ends, you gain all the conditions from all three faces, for good or ill.</t>
  </si>
  <si>
    <t>&lt;p&gt;You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&lt;i&gt;blindness/ deafness&lt;/i&gt; to blind you). You lose all-around vision if even a single face becomes blind. This spell doesn't grant you additional magic item slots or additional heads. When &lt;i&gt;threefold face&lt;/i&gt; ends, you gain all the conditions from all three faces, for good or ill.&lt;/p&gt;</t>
  </si>
  <si>
    <t>&lt;link rel="stylesheet"href="PF.css"&gt;&lt;div class="heading"&gt;&lt;p class="alignleft"&gt;Threefold Face&lt;/p&gt;&lt;div style="clear: both;"&gt;&lt;/div&gt;&lt;/div&gt;&lt;div&gt;&lt;h5&gt;&lt;b&gt;School &lt;/b&gt;transmutation; &lt;b&gt;Level &lt;/b&gt;medium 3, sorcerer/wizard 3, witch 3&lt;/h5&gt;&lt;/div&gt;&lt;hr/&gt;&lt;div&gt;&lt;h5&gt;&lt;b&gt;CASTING&lt;/b&gt;&lt;/h5&gt;&lt;/div&gt;&lt;hr/&gt;&lt;div&gt;&lt;h5&gt;&lt;b&gt;Casting Time &lt;/b&gt;1 standard action&lt;/h5&gt;&lt;h5&gt;&lt;b&gt;Components &lt;/b&gt;V, S, M/DF (a three-pointed knot)&lt;/h5&gt;&lt;/div&gt;&lt;hr/&gt;&lt;div&gt;&lt;h5&gt;&lt;b&gt;EFFECT&lt;/b&gt;&lt;/h5&gt;&lt;/div&gt;&lt;hr/&gt;&lt;div&gt;&lt;h5&gt;&lt;b&gt;Range &lt;/b&gt;personal&lt;/h5&gt;&lt;h5&gt;&lt;b&gt;Targets &lt;/b&gt;you&lt;/h5&gt;&lt;h5&gt;&lt;b&gt;Effect &lt;/b&gt;Duration 9 minutes&lt;/h5&gt;&lt;/div&gt;&lt;hr/&gt;&lt;div&gt;&lt;h5&gt;&lt;b&gt;DESCRIPTION&lt;/b&gt;&lt;/h5&gt;&lt;/div&gt;&lt;hr/&gt;&lt;div&gt;&lt;h4&gt;&lt;p&gt;You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&lt;i&gt;blindness/ deafness&lt;/i&gt; to blind you). You lose all-around vision if even a single face becomes blind. This spell doesn't grant you additional magic item slots or additional heads. When &lt;i&gt;threefold face&lt;/i&gt; ends, you gain all the conditions from all three faces, for good or ill.&lt;/p&gt;&lt;/h4&gt;&lt;/div&gt;</t>
  </si>
  <si>
    <t>Threefold Form</t>
  </si>
  <si>
    <t>druid 9, psychic 9, witch 9</t>
  </si>
  <si>
    <t>V, S, F (a green, three-pointed knot made of mithral worth 729 gp)</t>
  </si>
  <si>
    <t>9 rounds</t>
  </si>
  <si>
    <t>You pull forth idealized versions of yourself at various ages from your mind, splitting into three copies of yourself. Threefold form functions as bilocation (Pathfinder RPG Occult Adventures 158), except there are three of you instead of two, and each of the three bodies is under the effect of threefold aspectAPG with a different idealized age. Other than the differences from threefold aspect, each body shares all other effects with you, as normal for bilocation.</t>
  </si>
  <si>
    <t>&lt;p&gt;You pull forth idealized versions of yourself at various ages from your mind, splitting into three copies of yourself. &lt;i&gt;Threefold form&lt;/i&gt; functions as &lt;i&gt;bilocation&lt;/i&gt; (Pathfinder &lt;i&gt;RPG Occult Adventures&lt;/i&gt; 158), except there are three of you instead of two, and each of the three bodies is under the effect of &lt;i&gt;threefold&lt;/i&gt; aspectAPG with a different idealized age. Other than the differences from &lt;i&gt;threefold&lt;/i&gt; aspect, each body shares all other effects with you, as normal for &lt;i&gt;bilocation&lt;/i&gt;.&lt;/p&gt;</t>
  </si>
  <si>
    <t>&lt;link rel="stylesheet"href="PF.css"&gt;&lt;div class="heading"&gt;&lt;p class="alignleft"&gt;Threefold Form&lt;/p&gt;&lt;div style="clear: both;"&gt;&lt;/div&gt;&lt;/div&gt;&lt;div&gt;&lt;h5&gt;&lt;b&gt;School &lt;/b&gt;divination; &lt;b&gt;Level &lt;/b&gt;druid 9, psychic 9, witch 9&lt;/h5&gt;&lt;/div&gt;&lt;hr/&gt;&lt;div&gt;&lt;h5&gt;&lt;b&gt;CASTING&lt;/b&gt;&lt;/h5&gt;&lt;/div&gt;&lt;hr/&gt;&lt;div&gt;&lt;h5&gt;&lt;b&gt;Casting Time &lt;/b&gt;1 standard action&lt;/h5&gt;&lt;h5&gt;&lt;b&gt;Components &lt;/b&gt;V, S, F (a green, three-pointed knot made of mithral worth 729 gp)&lt;/h5&gt;&lt;/div&gt;&lt;hr/&gt;&lt;div&gt;&lt;h5&gt;&lt;b&gt;EFFECT&lt;/b&gt;&lt;/h5&gt;&lt;/div&gt;&lt;hr/&gt;&lt;div&gt;&lt;h5&gt;&lt;b&gt;Range &lt;/b&gt;personal&lt;/h5&gt;&lt;h5&gt;&lt;b&gt;Targets &lt;/b&gt;you&lt;/h5&gt;&lt;h5&gt;&lt;b&gt;Duration &lt;/b&gt;9 rounds&lt;/h5&gt;&lt;/div&gt;&lt;hr/&gt;&lt;div&gt;&lt;h5&gt;&lt;b&gt;DESCRIPTION&lt;/b&gt;&lt;/h5&gt;&lt;/div&gt;&lt;hr/&gt;&lt;div&gt;&lt;h4&gt;&lt;p&gt;You pull forth idealized versions of yourself at various ages from your mind, splitting into three copies of yourself. &lt;i&gt;Threefold form&lt;/i&gt; functions as &lt;i&gt;bilocation&lt;/i&gt; (Pathfinder &lt;i&gt;RPG Occult Adventures&lt;/i&gt; 158), except there are three of you instead of two, and each of the three bodies is under the effect of &lt;i&gt;threefold&lt;/i&gt; aspectAPG with a different idealized age. Other than the differences from &lt;i&gt;threefold&lt;/i&gt; aspect, each body shares all other effects with you, as normal for &lt;i&gt;bilocation&lt;/i&gt;.&lt;/p&gt;&lt;/h4&gt;&lt;/div&gt;</t>
  </si>
  <si>
    <t>Threefold Sight</t>
  </si>
  <si>
    <t>bard 3, medium 3, occultist 3, psychic 3, sorcerer/wizard 3, witch 3</t>
  </si>
  <si>
    <t>3 minutes</t>
  </si>
  <si>
    <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threefold sight ends immediately.</t>
  </si>
  <si>
    <t>&lt;p&gt;You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&lt;i&gt;threefold sight&lt;/i&gt; ends immediately.&lt;/p&gt;</t>
  </si>
  <si>
    <t>&lt;link rel="stylesheet"href="PF.css"&gt;&lt;div class="heading"&gt;&lt;p class="alignleft"&gt;Threefold Sight&lt;/p&gt;&lt;div style="clear: both;"&gt;&lt;/div&gt;&lt;/div&gt;&lt;div&gt;&lt;h5&gt;&lt;b&gt;School &lt;/b&gt;divination; &lt;b&gt;Level &lt;/b&gt;bard 3, medium 3, occultist 3, psychic 3, sorcerer/wizard 3, witch 3&lt;/h5&gt;&lt;/div&gt;&lt;hr/&gt;&lt;div&gt;&lt;h5&gt;&lt;b&gt;CASTING&lt;/b&gt;&lt;/h5&gt;&lt;/div&gt;&lt;hr/&gt;&lt;div&gt;&lt;h5&gt;&lt;b&gt;Casting Time &lt;/b&gt;1 standard action&lt;/h5&gt;&lt;h5&gt;&lt;b&gt;Components &lt;/b&gt;V, S, M/DF (a three-pointed knot)&lt;/h5&gt;&lt;/div&gt;&lt;hr/&gt;&lt;div&gt;&lt;h5&gt;&lt;b&gt;EFFECT&lt;/b&gt;&lt;/h5&gt;&lt;/div&gt;&lt;hr/&gt;&lt;div&gt;&lt;h5&gt;&lt;b&gt;Range &lt;/b&gt;personal&lt;/h5&gt;&lt;h5&gt;&lt;b&gt;Targets &lt;/b&gt;you&lt;/h5&gt;&lt;h5&gt;&lt;b&gt;Duration &lt;/b&gt;3 minutes&lt;/h5&gt;&lt;/div&gt;&lt;hr/&gt;&lt;div&gt;&lt;h5&gt;&lt;b&gt;DESCRIPTION&lt;/b&gt;&lt;/h5&gt;&lt;/div&gt;&lt;hr/&gt;&lt;div&gt;&lt;h4&gt;&lt;p&gt;You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&lt;i&gt;threefold sight&lt;/i&gt; ends immediately.&lt;/p&gt;&lt;/h4&gt;&lt;/div&gt;</t>
  </si>
  <si>
    <t>Ally Across Time</t>
  </si>
  <si>
    <t>bard 2, cleric/oracle 2, inquisitor 2, medium 1, psychic 2, ranger 1, sorcerer/wizard 2</t>
  </si>
  <si>
    <t>one 5-ft. cube of temporal possibility/2 levels</t>
  </si>
  <si>
    <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t>
  </si>
  <si>
    <t>&lt;p&gt;You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once.&lt;/p&gt;</t>
  </si>
  <si>
    <t>&lt;link rel="stylesheet"href="PF.css"&gt;&lt;div class="heading"&gt;&lt;p class="alignleft"&gt;Ally Across Time&lt;/p&gt;&lt;div style="clear: both;"&gt;&lt;/div&gt;&lt;/div&gt;&lt;div&gt;&lt;h5&gt;&lt;b&gt;School &lt;/b&gt;conjuration (summoning); &lt;b&gt;Level &lt;/b&gt;bard 2, cleric/oracle 2, inquisitor 2, medium 1, psychic 2, ranger 1,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5-ft. cube of temporal possibility/2 levels&lt;/h5&gt;&lt;h5&gt;&lt;b&gt;Duration &lt;/b&gt;1 round/level&lt;/h5&gt;&lt;h5&gt;&lt;b&gt;Saving Throw &lt;/b&gt;none; &lt;b&gt;Spell Resistance &lt;/b&gt;no&lt;/h5&gt;&lt;/div&gt;&lt;hr/&gt;&lt;div&gt;&lt;h5&gt;&lt;b&gt;DESCRIPTION&lt;/b&gt;&lt;/h5&gt;&lt;/div&gt;&lt;hr/&gt;&lt;div&gt;&lt;h4&gt;&lt;p&gt;You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once.&lt;/p&gt;&lt;/h4&gt;&lt;/div&gt;</t>
  </si>
  <si>
    <t>Army Across Time</t>
  </si>
  <si>
    <t>bard 4, cleric/oracle 5, inquisitor 4, medium 3, psychic 5, ranger 3, sorcerer/wizard 5</t>
  </si>
  <si>
    <t>five 5-ft. cubes of temporal possibility plus one additional cube/level</t>
  </si>
  <si>
    <t>This spell functions as ally across time as noted above with  two exceptions. First, you can summon one duplicate per caster level before the spell ends. Second, you can have up to one duplicate in existence at a time for every 3 caster levels you have.</t>
  </si>
  <si>
    <t>&lt;p&gt;This spell functions as &lt;i&gt;ally across time&lt;/i&gt; as noted above with  two exceptions. First, you can summon one duplicate per caster level before the spell ends. Second, you can have up to one duplicate in existence at a time for every 3 caster levels you have.&lt;/p&gt;</t>
  </si>
  <si>
    <t>&lt;link rel="stylesheet"href="PF.css"&gt;&lt;div class="heading"&gt;&lt;p class="alignleft"&gt;Army Across Time&lt;/p&gt;&lt;div style="clear: both;"&gt;&lt;/div&gt;&lt;/div&gt;&lt;div&gt;&lt;h5&gt;&lt;b&gt;School &lt;/b&gt;conjuration (summoning); &lt;b&gt;Level &lt;/b&gt;bard 4, cleric/oracle 5, inquisitor 4, medium 3, psychic 5, ranger 3, sorcerer/wizard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&lt;/b&gt;five 5-ft. cubes of temporal possibility plus one additional cube/level&lt;/h5&gt;&lt;h5&gt;&lt;b&gt;Duration &lt;/b&gt;1 round/level&lt;/h5&gt;&lt;h5&gt;&lt;b&gt;Saving Throw &lt;/b&gt;none; &lt;b&gt;Spell Resistance &lt;/b&gt;no&lt;/h5&gt;&lt;/div&gt;&lt;hr/&gt;&lt;div&gt;&lt;h5&gt;&lt;b&gt;DESCRIPTION&lt;/b&gt;&lt;/h5&gt;&lt;/div&gt;&lt;hr/&gt;&lt;div&gt;&lt;h4&gt;&lt;p&gt;This spell functions as &lt;i&gt;ally across time&lt;/i&gt; as noted above with  two exceptions. First, you can summon one duplicate per caster level before the spell ends. Second, you can have up to one duplicate in existence at a time for every 3 caster levels you have.&lt;/p&gt;&lt;/h4&gt;&lt;/div&gt;</t>
  </si>
  <si>
    <t>Temporal Divergence</t>
  </si>
  <si>
    <t>psychic 7, sorcerer/wizard 7, witch 7</t>
  </si>
  <si>
    <t>V, S, M (mithral wishbone worth 100 gp)</t>
  </si>
  <si>
    <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temporal stasis on a demon and fireball on a group of orcs. Seeing that the demon succeeds at its saving throw against temporal stasis and that the fireball kills many orcs, the wizard chooses the fireball to take effect. The temporal stasis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t>
  </si>
  <si>
    <t>&lt;p&gt;This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&lt;i&gt;temporal stasis&lt;/i&gt; on a demon and &lt;i&gt;fireball&lt;/i&gt; on a group of orcs. Seeing that the demon succeeds at its saving throw against &lt;i&gt;temporal stasis&lt;/i&gt; and that the &lt;i&gt;fireball&lt;/i&gt; kills many orcs, the wizard chooses the &lt;i&gt;fireball&lt;/i&gt; to take effect. The &lt;i&gt;temporal stasis&lt;/i&gt;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effect.&lt;/p&gt;</t>
  </si>
  <si>
    <t>&lt;link rel="stylesheet"href="PF.css"&gt;&lt;div class="heading"&gt;&lt;p class="alignleft"&gt;Temporal Divergence&lt;/p&gt;&lt;div style="clear: both;"&gt;&lt;/div&gt;&lt;/div&gt;&lt;div&gt;&lt;h5&gt;&lt;b&gt;School &lt;/b&gt;transmutation; &lt;b&gt;Level &lt;/b&gt;psychic 7, sorcerer/wizard 7, witch 7&lt;/h5&gt;&lt;/div&gt;&lt;hr/&gt;&lt;div&gt;&lt;h5&gt;&lt;b&gt;CASTING&lt;/b&gt;&lt;/h5&gt;&lt;/div&gt;&lt;hr/&gt;&lt;div&gt;&lt;h5&gt;&lt;b&gt;Casting Time &lt;/b&gt;1 swift action&lt;/h5&gt;&lt;h5&gt;&lt;b&gt;Components &lt;/b&gt;V, S, M (mithral wishbone worth 100 gp)&lt;/h5&gt;&lt;/div&gt;&lt;hr/&gt;&lt;div&gt;&lt;h5&gt;&lt;b&gt;EFFECT&lt;/b&gt;&lt;/h5&gt;&lt;/div&gt;&lt;hr/&gt;&lt;div&gt;&lt;h5&gt;&lt;b&gt;Range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&lt;i&gt;temporal stasis&lt;/i&gt; on a demon and &lt;i&gt;fireball&lt;/i&gt; on a group of orcs. Seeing that the demon succeeds at its saving throw against &lt;i&gt;temporal stasis&lt;/i&gt; and that the &lt;i&gt;fireball&lt;/i&gt; kills many orcs, the wizard chooses the &lt;i&gt;fireball&lt;/i&gt; to take effect. The &lt;i&gt;temporal stasis&lt;/i&gt;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effect.&lt;/p&gt;&lt;/h4&gt;&lt;/div&gt;</t>
  </si>
  <si>
    <t>Temporal Regression</t>
  </si>
  <si>
    <t>druid 9, psychic 8, sorcerer/wizard 8, witch 8</t>
  </si>
  <si>
    <t>V, S, F (hourglass filled with powdered horacalcum worth 1,500 gp)</t>
  </si>
  <si>
    <t>personal and close (25 ft. + 5 ft./2 levels; see below)</t>
  </si>
  <si>
    <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Temporal regression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t>
  </si>
  <si>
    <t>&lt;p&gt;When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&lt;i&gt;Temporal regression&lt;/i&gt;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focus.&lt;/p&gt;</t>
  </si>
  <si>
    <t>&lt;link rel="stylesheet"href="PF.css"&gt;&lt;div class="heading"&gt;&lt;p class="alignleft"&gt;Temporal Regression&lt;/p&gt;&lt;div style="clear: both;"&gt;&lt;/div&gt;&lt;/div&gt;&lt;div&gt;&lt;h5&gt;&lt;b&gt;School &lt;/b&gt;conjuration (teleportation); &lt;b&gt;Level &lt;/b&gt;druid 9, psychic 8, sorcerer/wizard 8, witch 8&lt;/h5&gt;&lt;/div&gt;&lt;hr/&gt;&lt;div&gt;&lt;h5&gt;&lt;b&gt;CASTING&lt;/b&gt;&lt;/h5&gt;&lt;/div&gt;&lt;hr/&gt;&lt;div&gt;&lt;h5&gt;&lt;b&gt;Casting Time &lt;/b&gt;1 standard action&lt;/h5&gt;&lt;h5&gt;&lt;b&gt;Components &lt;/b&gt;V, S, F (hourglass filled with powdered horacalcum worth 1,500 gp)&lt;/h5&gt;&lt;/div&gt;&lt;hr/&gt;&lt;div&gt;&lt;h5&gt;&lt;b&gt;EFFECT&lt;/b&gt;&lt;/h5&gt;&lt;/div&gt;&lt;hr/&gt;&lt;div&gt;&lt;h5&gt;&lt;b&gt;Range &lt;/b&gt;personal and close (25 ft. + 5 ft./2 levels; see below)&lt;/h5&gt;&lt;h5&gt;&lt;b&gt;Duration &lt;/b&gt;1 round/level or until discharged&lt;/h5&gt;&lt;h5&gt;&lt;b&gt;Saving Throw &lt;/b&gt;none; &lt;b&gt;Spell Resistance &lt;/b&gt;no&lt;/h5&gt;&lt;/div&gt;&lt;hr/&gt;&lt;div&gt;&lt;h5&gt;&lt;b&gt;DESCRIPTION&lt;/b&gt;&lt;/h5&gt;&lt;/div&gt;&lt;hr/&gt;&lt;div&gt;&lt;h4&gt;&lt;p&gt;When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&lt;i&gt;Temporal regression&lt;/i&gt;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focus.&lt;/p&gt;&lt;/h4&gt;&lt;/div&gt;</t>
  </si>
  <si>
    <t>Blade Of Light</t>
  </si>
  <si>
    <t>This spell infuses a weapon with pure sunlight (the weapon need not be a bladed weapon). A weapon enhanced by this spell sheds light as if daylight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ghost touch weapon special ability. The weapon automatically confirms critical hits against foes that are vulnerable to sunlight.</t>
  </si>
  <si>
    <t>&lt;p&gt;This spell infuses a weapon with pure sunlight (the weapon need not be a bladed weapon). A weapon enhanced by this spell sheds light as if &lt;i&gt;daylight&lt;/i&gt;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&lt;i&gt;ghost touch&lt;/i&gt; weapon special ability. The weapon automatically confirms critical hits against foes that are vulnerable to sunlight.&lt;/p&gt;</t>
  </si>
  <si>
    <t>Adventurer's Guide</t>
  </si>
  <si>
    <t>&lt;link rel="stylesheet"href="PF.css"&gt;&lt;div class="heading"&gt;&lt;p class="alignleft"&gt;Blade Of Light&lt;/p&gt;&lt;div style="clear: both;"&gt;&lt;/div&gt;&lt;/div&gt;&lt;div&gt;&lt;h5&gt;&lt;b&gt;School &lt;/b&gt;transmutation [good]; &lt;b&gt;Level &lt;/b&gt;cleric/oracle 4, inquisitor 4, 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melee weapon&lt;/h5&gt;&lt;h5&gt;&lt;b&gt;Duration &lt;/b&gt;1 round/level&lt;/h5&gt;&lt;h5&gt;&lt;b&gt;Saving Throw &lt;/b&gt;none; &lt;b&gt;Spell Resistance &lt;/b&gt;no&lt;/h5&gt;&lt;/div&gt;&lt;hr/&gt;&lt;div&gt;&lt;h5&gt;&lt;b&gt;DESCRIPTION&lt;/b&gt;&lt;/h5&gt;&lt;/div&gt;&lt;hr/&gt;&lt;div&gt;&lt;h4&gt;&lt;p&gt;This spell infuses a weapon with pure sunlight (the weapon need not be a bladed weapon). A weapon enhanced by this spell sheds light as if &lt;i&gt;daylight&lt;/i&gt;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&lt;i&gt;ghost touch&lt;/i&gt; weapon special ability. The weapon automatically confirms critical hits against foes that are vulnerable to sunlight.&lt;/p&gt;&lt;/h4&gt;&lt;/div&gt;</t>
  </si>
  <si>
    <t>Burning Sands</t>
  </si>
  <si>
    <t>druid 1, ranger 1, shaman 1, sorcerer/wizard 1, witch 1</t>
  </si>
  <si>
    <t>V, S, M (a handful of sand)/DF</t>
  </si>
  <si>
    <t>20-ft. radius</t>
  </si>
  <si>
    <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t>
  </si>
  <si>
    <t>&lt;p&gt;You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dealt).&lt;/p&gt;</t>
  </si>
  <si>
    <t>&lt;link rel="stylesheet"href="PF.css"&gt;&lt;div class="heading"&gt;&lt;p class="alignleft"&gt;Burning Sands&lt;/p&gt;&lt;div style="clear: both;"&gt;&lt;/div&gt;&lt;/div&gt;&lt;div&gt;&lt;h5&gt;&lt;b&gt;School &lt;/b&gt;conjuration (creation) [earth, fire]; &lt;b&gt;Level &lt;/b&gt;druid 1, ranger 1, shaman 1, sorcerer/wizard 1, witch 1&lt;/h5&gt;&lt;/div&gt;&lt;hr/&gt;&lt;div&gt;&lt;h5&gt;&lt;b&gt;CASTING&lt;/b&gt;&lt;/h5&gt;&lt;/div&gt;&lt;hr/&gt;&lt;div&gt;&lt;h5&gt;&lt;b&gt;Casting Time &lt;/b&gt;1 standard action&lt;/h5&gt;&lt;h5&gt;&lt;b&gt;Components &lt;/b&gt;V, S, M (a handful of sand)/DF&lt;/h5&gt;&lt;/div&gt;&lt;hr/&gt;&lt;div&gt;&lt;h5&gt;&lt;b&gt;EFFECT&lt;/b&gt;&lt;/h5&gt;&lt;/div&gt;&lt;hr/&gt;&lt;div&gt;&lt;h5&gt;&lt;b&gt;Range &lt;/b&gt;medium (100 ft. + 10 ft./level)&lt;/h5&gt;&lt;h5&gt;&lt;b&gt;Area &lt;/b&gt;20-ft. radius&lt;/h5&gt;&lt;h5&gt;&lt;b&gt;Duration &lt;/b&gt;1 round/level&lt;/h5&gt;&lt;h5&gt;&lt;b&gt;Saving Throw &lt;/b&gt;none; &lt;b&gt;Spell Resistance &lt;/b&gt;no&lt;/h5&gt;&lt;/div&gt;&lt;hr/&gt;&lt;div&gt;&lt;h5&gt;&lt;b&gt;DESCRIPTION&lt;/b&gt;&lt;/h5&gt;&lt;/div&gt;&lt;hr/&gt;&lt;div&gt;&lt;h4&gt;&lt;p&gt;You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dealt).&lt;/p&gt;&lt;/h4&gt;&lt;/div&gt;</t>
  </si>
  <si>
    <t>Cleansing Fire</t>
  </si>
  <si>
    <t>good, fire</t>
  </si>
  <si>
    <t>30-ft. radius emanating from the touched point</t>
  </si>
  <si>
    <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dispel magic. Any attempt to cast a spell with the evil descriptor inside the ring of flames is targeted by a</t>
  </si>
  <si>
    <t>&lt;p&gt;A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&lt;i&gt;dispel magic&lt;/i&gt;. Any attempt to cast a spell with the evil descriptor inside the ring of flames is targeted by a&lt;/p&gt;</t>
  </si>
  <si>
    <t>&lt;link rel="stylesheet"href="PF.css"&gt;&lt;div class="heading"&gt;&lt;p class="alignleft"&gt;Cleansing Fire&lt;/p&gt;&lt;div style="clear: both;"&gt;&lt;/div&gt;&lt;/div&gt;&lt;div&gt;&lt;h5&gt;&lt;b&gt;School &lt;/b&gt;evocation [good, fire]; &lt;b&gt;Level &lt;/b&gt;cleric/oracle 5, inquisitor 4, 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&lt;/b&gt;touch&lt;/h5&gt;&lt;h5&gt;&lt;b&gt;Area &lt;/b&gt;30-ft. radius emanating from the touched point&lt;/h5&gt;&lt;h5&gt;&lt;b&gt;Duration &lt;/b&gt;concentration, up to 1 round/level&lt;/h5&gt;&lt;h5&gt;&lt;b&gt;Saving Throw &lt;/b&gt;none; &lt;b&gt;Spell Resistance &lt;/b&gt;yes&lt;/h5&gt;&lt;/div&gt;&lt;hr/&gt;&lt;div&gt;&lt;h5&gt;&lt;b&gt;DESCRIPTION&lt;/b&gt;&lt;/h5&gt;&lt;/div&gt;&lt;hr/&gt;&lt;div&gt;&lt;h4&gt;&lt;p&gt;A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&lt;i&gt;dispel magic&lt;/i&gt;. Any attempt to cast a spell with the evil descriptor inside the ring of flames is targeted by a&lt;/p&gt;&lt;/h4&gt;&lt;/div&gt;</t>
  </si>
  <si>
    <t>Sun's Disdain</t>
  </si>
  <si>
    <t>bloodrager 2, cleric/oracle 2, inquisitor 2, shaman 2, sorcerer/wizard 2, witch 2</t>
  </si>
  <si>
    <t>V, S, M (a piece of glass)/DF</t>
  </si>
  <si>
    <t>You alter a creature so the touch of the sun is hostile to it. The cursed creature gains light blindness and is blinded for 1 round if exposed to bright light, such as sunlight or the daylight spell. The cursed creature is dazzled as long as it remains in areas of bright light, and it is treated as being particularly susceptible to sunlight for the purposes of resolving spells like searing light, sunbeam, and sunburst.</t>
  </si>
  <si>
    <t>&lt;p&gt;You alter a creature so the touch of the sun is hostile to it. The cursed creature gains &lt;i&gt;light&lt;/i&gt; blindness and is blinded for 1 round if exposed to bright &lt;i&gt;light&lt;/i&gt;, such as sun&lt;i&gt;light&lt;/i&gt; or the &lt;i&gt;day&lt;i&gt;light&lt;/i&gt;&lt;/i&gt; spell. The cursed creature is dazzled as long as it remains in areas of bright &lt;i&gt;light&lt;/i&gt;, and it is treated as being particularly susceptible to sun&lt;i&gt;light&lt;/i&gt; for the purposes of resolving spells like searing &lt;i&gt;light&lt;/i&gt;, &lt;i&gt;sunbeam&lt;/i&gt;, and &lt;i&gt;sunburst&lt;/i&gt;.&lt;/p&gt;</t>
  </si>
  <si>
    <t>&lt;link rel="stylesheet"href="PF.css"&gt;&lt;div class="heading"&gt;&lt;p class="alignleft"&gt;Sun's Disdain&lt;/p&gt;&lt;div style="clear: both;"&gt;&lt;/div&gt;&lt;/div&gt;&lt;div&gt;&lt;h5&gt;&lt;b&gt;School &lt;/b&gt;transmutation [curse&lt;sup&gt;UM&lt;/sup&gt;]; &lt;b&gt;Level &lt;/b&gt;bloodrager 2, cleric/oracle 2, inquisitor 2, shaman 2, sorcerer/wizard 2, witch 2&lt;/h5&gt;&lt;/div&gt;&lt;hr/&gt;&lt;div&gt;&lt;h5&gt;&lt;b&gt;CASTING&lt;/b&gt;&lt;/h5&gt;&lt;/div&gt;&lt;hr/&gt;&lt;div&gt;&lt;h5&gt;&lt;b&gt;Casting Time &lt;/b&gt;1 standard action&lt;/h5&gt;&lt;h5&gt;&lt;b&gt;Components &lt;/b&gt;V, S, M (a piece of glass)/DF&lt;/h5&gt;&lt;/div&gt;&lt;hr/&gt;&lt;div&gt;&lt;h5&gt;&lt;b&gt;EFFECT&lt;/b&gt;&lt;/h5&gt;&lt;/div&gt;&lt;hr/&gt;&lt;div&gt;&lt;h5&gt;&lt;b&gt;Range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alter a creature so the touch of the sun is hostile to it. The cursed creature gains &lt;i&gt;light&lt;/i&gt; blindness and is blinded for 1 round if exposed to bright &lt;i&gt;light&lt;/i&gt;, such as sunlight or the &lt;i&gt;day&lt;i&gt;light&lt;/i&gt;&lt;/i&gt; spell. The cursed creature is dazzled as long as it remains in areas of bright &lt;i&gt;light&lt;/i&gt;, and it is treated as being particularly susceptible to sunlight for the purposes of resolving spells like searing &lt;i&gt;light&lt;/i&gt;, &lt;i&gt;sunbeam&lt;/i&gt;, and &lt;i&gt;sunburst&lt;/i&gt;.&lt;/p&gt;&lt;/h4&gt;&lt;/div&gt;</t>
  </si>
  <si>
    <t>Sun's Disdain, Mass</t>
  </si>
  <si>
    <t>bloodrager 5, cleric/oracle 5, inquisitor 5, shaman 5, sorcerer/wizard 5, witch 5</t>
  </si>
  <si>
    <t>This spell functions like sun's disdain, except that it can affect multiple creatures.</t>
  </si>
  <si>
    <t>&lt;p&gt;This spell functions like sun's disdain, except that it can affect multiple creatures.&lt;/p&gt;</t>
  </si>
  <si>
    <t>&lt;link rel="stylesheet"href="PF.css"&gt;&lt;div class="heading"&gt;&lt;p class="alignleft"&gt;Sun's Disdain, Mass&lt;/p&gt;&lt;div style="clear: both;"&gt;&lt;/div&gt;&lt;/div&gt;&lt;div&gt;&lt;h5&gt;&lt;b&gt;School &lt;/b&gt;transmutation [curse&lt;sup&gt;UM&lt;/sup&gt;]; &lt;b&gt;Level &lt;/b&gt;bloodrager 5, cleric/oracle 5, inquisitor 5, shaman 5, sorcerer/wizard 5, witch 5&lt;/h5&gt;&lt;/div&gt;&lt;hr/&gt;&lt;div&gt;&lt;h5&gt;&lt;b&gt;CASTING&lt;/b&gt;&lt;/h5&gt;&lt;/div&gt;&lt;hr/&gt;&lt;div&gt;&lt;h5&gt;&lt;b&gt;Casting Time &lt;/b&gt;1 standard action&lt;/h5&gt;&lt;h5&gt;&lt;b&gt;Components &lt;/b&gt;V, S, M (a piece of glass)/DF&lt;/h5&gt;&lt;/div&gt;&lt;hr/&gt;&lt;div&gt;&lt;h5&gt;&lt;b&gt;EFFECT&lt;/b&gt;&lt;/h5&gt;&lt;/div&gt;&lt;hr/&gt;&lt;div&gt;&lt;h5&gt;&lt;b&gt;Range &lt;/b&gt;long (400 ft. + 40 ft./level)&lt;/h5&gt;&lt;h5&gt;&lt;b&gt;Targets &lt;/b&gt;one creature/level, no two of which can be more than 30 ft. apart&lt;/h5&gt;&lt;h5&gt;&lt;b&gt;Duration &lt;/b&gt;permanent&lt;/h5&gt;&lt;h5&gt;&lt;b&gt;Saving Throw &lt;/b&gt;Will negates; &lt;b&gt;Spell Resistance &lt;/b&gt;yes&lt;/h5&gt;&lt;/div&gt;&lt;hr/&gt;&lt;div&gt;&lt;h5&gt;&lt;b&gt;DESCRIPTION&lt;/b&gt;&lt;/h5&gt;&lt;/div&gt;&lt;hr/&gt;&lt;div&gt;&lt;h4&gt;&lt;p&gt;This spell functions like sun's disdain, except that it can affect multiple creatures.&lt;/p&gt;&lt;/h4&gt;&lt;/div&gt;</t>
  </si>
  <si>
    <t>Sunstalker</t>
  </si>
  <si>
    <t>bard 3, ranger 3, sorcerer/wizard 3</t>
  </si>
  <si>
    <t>A touched creature becomes invisible (as per invisibility) as long as it is in direct sunlight (or bright light shed by a daylight spell). If an action the target creature takes causes the invisible creature to become visible but does not end the sunstalker spell's duration, the creature can use this spell's magic to become invisible again as a standard action as long as it stands in an area of sunlight (as defined above). The creature gains only concealment (20% miss chance) in normal light.</t>
  </si>
  <si>
    <t>&lt;p&gt;A touched creature becomes invisible (as per invisibility) as long as it is in direct sunlight (or bright light shed by a &lt;i&gt;daylight&lt;/i&gt; spell). If an action the target creature takes causes the invisible creature to become visible but does not end the &lt;i&gt;sunstalker&lt;/i&gt; spell's duration, the creature can use this spell's magic to become invisible again as a standard action as long as it stands in an area of sunlight (as defined above). The creature gains only concealment (20% miss chance) in normal light.&lt;/p&gt;</t>
  </si>
  <si>
    <t>&lt;link rel="stylesheet"href="PF.css"&gt;&lt;div class="heading"&gt;&lt;p class="alignleft"&gt;Sunstalker&lt;/p&gt;&lt;div style="clear: both;"&gt;&lt;/div&gt;&lt;/div&gt;&lt;div&gt;&lt;h5&gt;&lt;b&gt;School &lt;/b&gt;illusion (glamer); &lt;b&gt;Level &lt;/b&gt;bard 3, ranger 3, sorcerer/wizard 3&lt;/h5&gt;&lt;/div&gt;&lt;hr/&gt;&lt;div&gt;&lt;h5&gt;&lt;b&gt;CASTING&lt;/b&gt;&lt;/h5&gt;&lt;/div&gt;&lt;hr/&gt;&lt;div&gt;&lt;h5&gt;&lt;b&gt;Casting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round/level&lt;/h5&gt;&lt;h5&gt;&lt;b&gt;Saving Throw &lt;/b&gt;Will negates (harmless); &lt;b&gt;Spell Resistance &lt;/b&gt;yes&lt;/h5&gt;&lt;/div&gt;&lt;hr/&gt;&lt;div&gt;&lt;h5&gt;&lt;b&gt;DESCRIPTION&lt;/b&gt;&lt;/h5&gt;&lt;/div&gt;&lt;hr/&gt;&lt;div&gt;&lt;h4&gt;&lt;p&gt;A touched creature becomes invisible (as per invisibility) as long as it is in direct sunlight (or bright light shed by a &lt;i&gt;daylight&lt;/i&gt; spell). If an action the target creature takes causes the invisible creature to become visible but does not end the &lt;i&gt;sunstalker&lt;/i&gt; spell's duration, the creature can use this spell's magic to become invisible again as a standard action as long as it stands in an area of sunlight (as defined above). The creature gains only concealment (20% miss chance) in normal light.&lt;/p&gt;&lt;/h4&gt;&lt;/div&gt;</t>
  </si>
  <si>
    <t>Aldori Alacrity</t>
  </si>
  <si>
    <t>alchemist 2, bard 2, magus 2</t>
  </si>
  <si>
    <t>V, S, M (ginger root shavings)</t>
  </si>
  <si>
    <t>This spell's energy quickens your steps, allowing fancy footwork. You gain a +10-foot enhancement bonus to your speed and a +1 dodge bonus to your AC. These bonuses do not stack with those granted by haste or similar effects. While under the effects of Aldori alacrity, you can take 5-foot steps in difficult terrain.</t>
  </si>
  <si>
    <t>&lt;p&gt;This spell's energy quickens your steps, allowing fancy footwork. You gain a +10-foot enhancement bonus to your speed and a +1 dodge bonus to your AC. These bonuses do not stack with those granted by &lt;i&gt;haste&lt;/i&gt; or similar effects. While under the effects of &lt;i&gt;Aldori alacrity&lt;/i&gt;, you can take 5-foot steps in difficult terrain.&lt;/p&gt;</t>
  </si>
  <si>
    <t>&lt;link rel="stylesheet"href="PF.css"&gt;&lt;div class="heading"&gt;&lt;p class="alignleft"&gt;Aldori Alacrity&lt;/p&gt;&lt;div style="clear: both;"&gt;&lt;/div&gt;&lt;/div&gt;&lt;div&gt;&lt;h5&gt;&lt;b&gt;School &lt;/b&gt;transmutation; &lt;b&gt;Level &lt;/b&gt;alchemist 2, bard 2, magus 2&lt;/h5&gt;&lt;/div&gt;&lt;hr/&gt;&lt;div&gt;&lt;h5&gt;&lt;b&gt;CASTING&lt;/b&gt;&lt;/h5&gt;&lt;/div&gt;&lt;hr/&gt;&lt;div&gt;&lt;h5&gt;&lt;b&gt;Casting Time &lt;/b&gt;1 standard action&lt;/h5&gt;&lt;h5&gt;&lt;b&gt;Components &lt;/b&gt;V, S, M (ginger root shavings)&lt;/h5&gt;&lt;/div&gt;&lt;hr/&gt;&lt;div&gt;&lt;h5&gt;&lt;b&gt;EFFECT&lt;/b&gt;&lt;/h5&gt;&lt;/div&gt;&lt;hr/&gt;&lt;div&gt;&lt;h5&gt;&lt;b&gt;Range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spell's energy quickens your steps, allowing fancy footwork. You gain a +10-foot enhancement bonus to your speed and a +1 dodge bonus to your AC. These bonuses do not stack with those granted by &lt;i&gt;haste&lt;/i&gt; or similar effects. While under the effects of &lt;i&gt;Aldori alacrity&lt;/i&gt;, you can take 5-foot steps in difficult terrain.&lt;/p&gt;&lt;/h4&gt;&lt;/div&gt;</t>
  </si>
  <si>
    <t>Contest Of Skill</t>
  </si>
  <si>
    <t>bard 2, cleric/oracle 3, magus 2, paladin 2</t>
  </si>
  <si>
    <t>V, S, M (a tiny gong)</t>
  </si>
  <si>
    <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contest of skill, it can select one additional creature within range of the spell to suffer the effects of the spell as well (Will negates). If this secondary target negates this spell with a successful save, the duration of contest of skill on the primary target is reduced to 1 round.</t>
  </si>
  <si>
    <t>&lt;p&gt;The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&lt;i&gt;contest of skill&lt;/i&gt;, it can select one additional creature within range of the spell to suffer the effects of the spell as well (Will negates). If this secondary target negates this spell with a successful save, the duration of &lt;i&gt;contest of skill&lt;/i&gt; on the primary target is reduced to 1 round.&lt;/p&gt;</t>
  </si>
  <si>
    <t>&lt;link rel="stylesheet"href="PF.css"&gt;&lt;div class="heading"&gt;&lt;p class="alignleft"&gt;Contest Of Skill&lt;/p&gt;&lt;div style="clear: both;"&gt;&lt;/div&gt;&lt;/div&gt;&lt;div&gt;&lt;h5&gt;&lt;b&gt;School &lt;/b&gt;transmutation [curse&lt;sup&gt;UM&lt;/sup&gt;]; &lt;b&gt;Level &lt;/b&gt;bard 2, cleric/oracle 3, magus 2, paladin 2&lt;/h5&gt;&lt;/div&gt;&lt;hr/&gt;&lt;div&gt;&lt;h5&gt;&lt;b&gt;CASTING&lt;/b&gt;&lt;/h5&gt;&lt;/div&gt;&lt;hr/&gt;&lt;div&gt;&lt;h5&gt;&lt;b&gt;Casting Time &lt;/b&gt;1 standard action&lt;/h5&gt;&lt;h5&gt;&lt;b&gt;Components &lt;/b&gt;V, S, M (a tiny gong)&lt;/h5&gt;&lt;/div&gt;&lt;hr/&gt;&lt;div&gt;&lt;h5&gt;&lt;b&gt;EFFECT&lt;/b&gt;&lt;/h5&gt;&lt;/div&gt;&lt;hr/&gt;&lt;div&gt;&lt;h5&gt;&lt;b&gt;Range &lt;/b&gt;close (25 ft. plus 5 ft./2 levels)&lt;/h5&gt;&lt;h5&gt;&lt;b&gt;Targets &lt;/b&gt;one creature&lt;/h5&gt;&lt;h5&gt;&lt;b&gt;Duration &lt;/b&gt;1 minute/level&lt;/h5&gt;&lt;h5&gt;&lt;b&gt;Saving Throw &lt;/b&gt;Will negates; &lt;b&gt;Spell Resistance &lt;/b&gt;yes&lt;/h5&gt;&lt;/div&gt;&lt;hr/&gt;&lt;div&gt;&lt;h5&gt;&lt;b&gt;DESCRIPTION&lt;/b&gt;&lt;/h5&gt;&lt;/div&gt;&lt;hr/&gt;&lt;div&gt;&lt;h4&gt;&lt;p&gt;The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&lt;i&gt;contest of skill&lt;/i&gt;, it can select one additional creature within range of the spell to suffer the effects of the spell as well (Will negates). If this secondary target negates this spell with a successful save, the duration of &lt;i&gt;contest of skill&lt;/i&gt; on the primary target is reduced to 1 round.&lt;/p&gt;&lt;/h4&gt;&lt;/div&gt;</t>
  </si>
  <si>
    <t>Deivon's Parry</t>
  </si>
  <si>
    <t>bard 1, magus 1</t>
  </si>
  <si>
    <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t>
  </si>
  <si>
    <t>&lt;p&gt;Originally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effect.&lt;/p&gt;</t>
  </si>
  <si>
    <t>&lt;link rel="stylesheet"href="PF.css"&gt;&lt;div class="heading"&gt;&lt;p class="alignleft"&gt;Deivon's Parry&lt;/p&gt;&lt;div style="clear: both;"&gt;&lt;/div&gt;&lt;/div&gt;&lt;div&gt;&lt;h5&gt;&lt;b&gt;School &lt;/b&gt;transmutation; &lt;b&gt;Level &lt;/b&gt;bard 1, magus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effect.&lt;/p&gt;&lt;/h4&gt;&lt;/div&gt;</t>
  </si>
  <si>
    <t>Tactical Adaptation</t>
  </si>
  <si>
    <t>V, S, F (a gold and sapphire ring worth 500 gp, which the caster must wear for the spell's duration)</t>
  </si>
  <si>
    <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tactical adaptation spell at a time.</t>
  </si>
  <si>
    <t>&lt;p&gt;This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&lt;i&gt;tactical adaptation&lt;/i&gt; spell at a time.&lt;/p&gt;</t>
  </si>
  <si>
    <t>&lt;link rel="stylesheet"href="PF.css"&gt;&lt;div class="heading"&gt;&lt;p class="alignleft"&gt;Tactical Adaptation&lt;/p&gt;&lt;div style="clear: both;"&gt;&lt;/div&gt;&lt;/div&gt;&lt;div&gt;&lt;h5&gt;&lt;b&gt;School &lt;/b&gt;transmutation; &lt;b&gt;Level &lt;/b&gt;magus 3&lt;/h5&gt;&lt;/div&gt;&lt;hr/&gt;&lt;div&gt;&lt;h5&gt;&lt;b&gt;CASTING&lt;/b&gt;&lt;/h5&gt;&lt;/div&gt;&lt;hr/&gt;&lt;div&gt;&lt;h5&gt;&lt;b&gt;Casting Time &lt;/b&gt;1 standard action&lt;/h5&gt;&lt;h5&gt;&lt;b&gt;Components &lt;/b&gt;V, S, F (a gold and sapphire ring worth 500 gp, which the caster must wear for the spell's duration)&lt;/h5&gt;&lt;/div&gt;&lt;hr/&gt;&lt;div&gt;&lt;h5&gt;&lt;b&gt;EFFECT&lt;/b&gt;&lt;/h5&gt;&lt;/div&gt;&lt;hr/&gt;&lt;div&gt;&lt;h5&gt;&lt;b&gt;Range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&lt;i&gt;tactical adaptation&lt;/i&gt; spell at a time.&lt;/p&gt;&lt;/h4&gt;&lt;/div&gt;</t>
  </si>
  <si>
    <t>Tieldlara's Feint</t>
  </si>
  <si>
    <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t>
  </si>
  <si>
    <t>&lt;p&gt;With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ends.&lt;/p&gt;</t>
  </si>
  <si>
    <t>&lt;link rel="stylesheet"href="PF.css"&gt;&lt;div class="heading"&gt;&lt;p class="alignleft"&gt;Tieldlara's Feint&lt;/p&gt;&lt;div style="clear: both;"&gt;&lt;/div&gt;&lt;/div&gt;&lt;div&gt;&lt;h5&gt;&lt;b&gt;School &lt;/b&gt;enchantment (charm) [mind-affecting]; &lt;b&gt;Level &lt;/b&gt;bard 2&lt;/h5&gt;&lt;/div&gt;&lt;hr/&gt;&lt;div&gt;&lt;h5&gt;&lt;b&gt;CASTING&lt;/b&gt;&lt;/h5&gt;&lt;/div&gt;&lt;hr/&gt;&lt;div&gt;&lt;h5&gt;&lt;b&gt;Casting Time &lt;/b&gt;1 standard action&lt;/h5&gt;&lt;h5&gt;&lt;b&gt;Components &lt;/b&gt;V, S&lt;/h5&gt;&lt;/div&gt;&lt;hr/&gt;&lt;div&gt;&lt;h5&gt;&lt;b&gt;EFFECT&lt;/b&gt;&lt;/h5&gt;&lt;/div&gt;&lt;hr/&gt;&lt;div&gt;&lt;h5&gt;&lt;b&gt;Range &lt;/b&gt;20 ft.&lt;/h5&gt;&lt;h5&gt;&lt;b&gt;Targets &lt;/b&gt;one creature&lt;/h5&gt;&lt;h5&gt;&lt;b&gt;Duration &lt;/b&gt;1 round/level&lt;/h5&gt;&lt;h5&gt;&lt;b&gt;Saving Throw &lt;/b&gt;Will negates; &lt;b&gt;Spell Resistance &lt;/b&gt;yes&lt;/h5&gt;&lt;/div&gt;&lt;hr/&gt;&lt;div&gt;&lt;h5&gt;&lt;b&gt;DESCRIPTION&lt;/b&gt;&lt;/h5&gt;&lt;/div&gt;&lt;hr/&gt;&lt;div&gt;&lt;h4&gt;&lt;p&gt;With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ends.&lt;/p&gt;&lt;/h4&gt;&lt;/div&gt;</t>
  </si>
  <si>
    <t>Deceptive Redundancy</t>
  </si>
  <si>
    <t>bard 5, mesmerist 5, psychic 5, sorcerer/wizard 5</t>
  </si>
  <si>
    <t>10 minutes/level or until triggered, then 1 round/level</t>
  </si>
  <si>
    <t>You create a contingent ward that defies those who would dispel your magic, convincing them that their spell worked. When a spell such as dispel magic would end one of your spells that's affecting you, you can dismiss deceptive redundancy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Deceptive redundancy is most effective when hiding auras for spells that don't have easily perceived effects, rather than visually obvious spells such as enlarge person or fire shield.</t>
  </si>
  <si>
    <t>&lt;p&gt;You create a contingent ward that defies those who would dispel your magic, convincing them that their spell worked. When a spell such as &lt;i&gt;dispel magic&lt;/i&gt; would end one of your spells that's affecting you, you can dismiss &lt;i&gt;deceptive redundancy&lt;/i&gt;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&lt;i&gt;Deceptive redundancy&lt;/i&gt; is most effective when hiding auras for spells that don't have easily perceived effects, rather than visually obvious spells such as &lt;i&gt;enlarge person&lt;/i&gt; or &lt;i&gt;fire shield&lt;/i&gt;.&lt;/p&gt;</t>
  </si>
  <si>
    <t>&lt;link rel="stylesheet"href="PF.css"&gt;&lt;div class="heading"&gt;&lt;p class="alignleft"&gt;Deceptive Redundancy&lt;/p&gt;&lt;div style="clear: both;"&gt;&lt;/div&gt;&lt;/div&gt;&lt;div&gt;&lt;h5&gt;&lt;b&gt;School &lt;/b&gt;illusion (glamer); &lt;b&gt;Level &lt;/b&gt;bard 5, mesmerist 5, psychic 5,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&lt;/b&gt;10 minutes/level or until triggered, then 1 round/level&lt;/h5&gt;&lt;h5&gt;&lt;b&gt;Saving Throw &lt;/b&gt;none; &lt;b&gt;Spell Resistance &lt;/b&gt;no&lt;/h5&gt;&lt;/div&gt;&lt;hr/&gt;&lt;div&gt;&lt;h5&gt;&lt;b&gt;DESCRIPTION&lt;/b&gt;&lt;/h5&gt;&lt;/div&gt;&lt;hr/&gt;&lt;div&gt;&lt;h4&gt;&lt;p&gt;You create a contingent ward that defies those who would dispel your magic, convincing them that their spell worked. When a spell such as &lt;i&gt;dispel magic&lt;/i&gt; would end one of your spells that's affecting you, you can dismiss &lt;i&gt;deceptive redundancy&lt;/i&gt;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&lt;i&gt;Deceptive redundancy&lt;/i&gt; is most effective when hiding auras for spells that don't have easily perceived effects, rather than visually obvious spells such as &lt;i&gt;enlarge person&lt;/i&gt; or &lt;i&gt;fire shield&lt;/i&gt;.&lt;/p&gt;&lt;/h4&gt;&lt;/div&gt;</t>
  </si>
  <si>
    <t>Haunting Reminder</t>
  </si>
  <si>
    <t>antipaladin 1, bard 2, inquisitor 2, mesmerist 2, psychic 2, sorcerer/wizard 2</t>
  </si>
  <si>
    <t>12 hours + 2 hours/level or until triggered, then 1 day/level</t>
  </si>
  <si>
    <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t>
  </si>
  <si>
    <t>&lt;p&gt;As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descriptor.&lt;/p&gt;</t>
  </si>
  <si>
    <t>&lt;link rel="stylesheet"href="PF.css"&gt;&lt;div class="heading"&gt;&lt;p class="alignleft"&gt;Haunting Reminder&lt;/p&gt;&lt;div style="clear: both;"&gt;&lt;/div&gt;&lt;/div&gt;&lt;div&gt;&lt;h5&gt;&lt;b&gt;School &lt;/b&gt;enchantment [fear, mind-affecting]; &lt;b&gt;Level &lt;/b&gt;antipaladin 1, bard 2, inquisitor 2, mesmerist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&lt;/b&gt;12 hours + 2 hours/level or until triggered, then 1 day/level&lt;/h5&gt;&lt;h5&gt;&lt;b&gt;Saving Throw &lt;/b&gt;Will negates; &lt;b&gt;Spell Resistance &lt;/b&gt;yes&lt;/h5&gt;&lt;/div&gt;&lt;hr/&gt;&lt;div&gt;&lt;h5&gt;&lt;b&gt;DESCRIPTION&lt;/b&gt;&lt;/h5&gt;&lt;/div&gt;&lt;hr/&gt;&lt;div&gt;&lt;h4&gt;&lt;p&gt;As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descriptor.&lt;/p&gt;&lt;/h4&gt;&lt;/div&gt;</t>
  </si>
  <si>
    <t>Obscured Script</t>
  </si>
  <si>
    <t>bard 2, mesmerist 2, occultist 2, psychic 2, sorcerer/wizard 2</t>
  </si>
  <si>
    <t>V, S, M (a scrap of paper bearing a simple sentence written in at least five languages)</t>
  </si>
  <si>
    <t>one touched page, scroll, inscription, book, or other document no more than 3 feet in any dimension</t>
  </si>
  <si>
    <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Obscured script can be made permanent with a permanency spell by a caster of 10th level or higher for the cost of 5,000 gp.</t>
  </si>
  <si>
    <t>&lt;p&gt;You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&lt;i&gt;Obscured script&lt;/i&gt; can be made permanent with a &lt;i&gt;permanency&lt;/i&gt; spell by a caster of 10th level or higher for the cost of 5,000 gp.&lt;/p&gt;</t>
  </si>
  <si>
    <t>&lt;link rel="stylesheet"href="PF.css"&gt;&lt;div class="heading"&gt;&lt;p class="alignleft"&gt;Obscured Script&lt;/p&gt;&lt;div style="clear: both;"&gt;&lt;/div&gt;&lt;/div&gt;&lt;div&gt;&lt;h5&gt;&lt;b&gt;School &lt;/b&gt;illusion (phantasm); &lt;b&gt;Level &lt;/b&gt;bard 2, mesmerist 2, occultist 2, psychic 2, sorcerer/wizard 2&lt;/h5&gt;&lt;/div&gt;&lt;hr/&gt;&lt;div&gt;&lt;h5&gt;&lt;b&gt;CASTING&lt;/b&gt;&lt;/h5&gt;&lt;/div&gt;&lt;hr/&gt;&lt;div&gt;&lt;h5&gt;&lt;b&gt;Casting Time &lt;/b&gt;1 standard action&lt;/h5&gt;&lt;h5&gt;&lt;b&gt;Components &lt;/b&gt;V, S, M (a scrap of paper bearing a simple sentence written in at least five languages)&lt;/h5&gt;&lt;/div&gt;&lt;hr/&gt;&lt;div&gt;&lt;h5&gt;&lt;b&gt;EFFECT&lt;/b&gt;&lt;/h5&gt;&lt;/div&gt;&lt;hr/&gt;&lt;div&gt;&lt;h5&gt;&lt;b&gt;Range &lt;/b&gt;touch&lt;/h5&gt;&lt;h5&gt;&lt;b&gt;Targets &lt;/b&gt;one touched page, scroll, inscription, book, or other document no more than 3 feet in any dimension&lt;/h5&gt;&lt;h5&gt;&lt;b&gt;Duration &lt;/b&gt;24 hours (D)&lt;/h5&gt;&lt;h5&gt;&lt;b&gt;Saving Throw &lt;/b&gt;none; see text; &lt;b&gt;Spell Resistance &lt;/b&gt;no&lt;/h5&gt;&lt;/div&gt;&lt;hr/&gt;&lt;div&gt;&lt;h5&gt;&lt;b&gt;DESCRIPTION&lt;/b&gt;&lt;/h5&gt;&lt;/div&gt;&lt;hr/&gt;&lt;div&gt;&lt;h4&gt;&lt;p&gt;You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&lt;i&gt;Obscured script&lt;/i&gt; can be made permanent with a &lt;i&gt;permanency&lt;/i&gt; spell by a caster of 10th level or higher for the cost of 5,000 gp.&lt;/p&gt;&lt;/h4&gt;&lt;/div&gt;</t>
  </si>
  <si>
    <t>Sympathetic Aura</t>
  </si>
  <si>
    <t>This spell functions like magic aura, except it extends its altered aura to similar items in a 5-foot radius. For this purpose, similar items must be alike in approximate shape, composition, and function, so a potion of cure light wounds targeted by this spell to appear nonmagical would also obscure the auras of nearby potions, elixirs, and oils, as well as flasks. Items other than the targeted item retain their altered aura for 1 round per caster level after being removed from the spell's area.</t>
  </si>
  <si>
    <t>&lt;p&gt;This spell functions like &lt;i&gt;magic aura&lt;/i&gt;, except it extends its altered aura to similar items in a 5-foot radius. For this purpose, similar items must be alike in approximate shape, composition, and function, so a &lt;i&gt;potion of cure light wounds&lt;/i&gt; targeted by this spell to appear nonmagical would also obscure the auras of nearby potions, elixirs, and oils, as well as flasks. Items other than the targeted item retain their altered aura for 1 round per caster level after being removed from the spell's area.&lt;/p&gt;</t>
  </si>
  <si>
    <t>&lt;link rel="stylesheet"href="PF.css"&gt;&lt;div class="heading"&gt;&lt;p class="alignleft"&gt;Sympathetic Aura&lt;/p&gt;&lt;div style="clear: both;"&gt;&lt;/div&gt;&lt;/div&gt;&lt;div&gt;&lt;h5&gt;&lt;b&gt;School &lt;/b&gt;illusion (glamer); &lt;b&gt;Level &lt;/b&gt;bard 2, mesmerist 2, occultist 2, psychic 2, sorcerer/wizard 2&lt;/h5&gt;&lt;/div&gt;&lt;hr/&gt;&lt;div&gt;&lt;h5&gt;&lt;b&gt;CASTING&lt;/b&gt;&lt;/h5&gt;&lt;/div&gt;&lt;hr/&gt;&lt;div&gt;&lt;h5&gt;&lt;b&gt;Casting Time &lt;/b&gt;1 standard action&lt;/h5&gt;&lt;h5&gt;&lt;b&gt;Components &lt;/b&gt;V, S, F (a small square of silk that must be passed over the object that receives the aura)&lt;/h5&gt;&lt;/div&gt;&lt;hr/&gt;&lt;div&gt;&lt;h5&gt;&lt;b&gt;EFFECT&lt;/b&gt;&lt;/h5&gt;&lt;/div&gt;&lt;hr/&gt;&lt;div&gt;&lt;h5&gt;&lt;b&gt;Range &lt;/b&gt;touch&lt;/h5&gt;&lt;h5&gt;&lt;b&gt;Targets &lt;/b&gt;one touched object weighing up to 5 lbs./level&lt;/h5&gt;&lt;h5&gt;&lt;b&gt;Duration &lt;/b&gt;1 day/level (D)&lt;/h5&gt;&lt;h5&gt;&lt;b&gt;Saving Throw &lt;/b&gt;none (see text); &lt;b&gt;Spell Resistance &lt;/b&gt;no&lt;/h5&gt;&lt;/div&gt;&lt;hr/&gt;&lt;div&gt;&lt;h5&gt;&lt;b&gt;DESCRIPTION&lt;/b&gt;&lt;/h5&gt;&lt;/div&gt;&lt;hr/&gt;&lt;div&gt;&lt;h4&gt;&lt;p&gt;This spell functions like &lt;i&gt;magic aura&lt;/i&gt;, except it extends its altered aura to similar items in a 5-foot radius. For this purpose, similar items must be alike in approximate shape, composition, and function, so a &lt;i&gt;potion of cure light wounds&lt;/i&gt; targeted by this spell to appear nonmagical would also obscure the auras of nearby potions, elixirs, and oils, as well as flasks. Items other than the targeted item retain their altered aura for 1 round per caster level after being removed from the spell's area.&lt;/p&gt;&lt;/h4&gt;&lt;/div&gt;</t>
  </si>
  <si>
    <t>Fungal Blisters</t>
  </si>
  <si>
    <t>alchemist 2, druid 2, sorcerer/wizard 2, witch 2</t>
  </si>
  <si>
    <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t>
  </si>
  <si>
    <t>&lt;p&gt;When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points.&lt;/p&gt;</t>
  </si>
  <si>
    <t>AP 119</t>
  </si>
  <si>
    <t>&lt;link rel="stylesheet"href="PF.css"&gt;&lt;div class="heading"&gt;&lt;p class="alignleft"&gt;Fungal Blisters&lt;/p&gt;&lt;div style="clear: both;"&gt;&lt;/div&gt;&lt;/div&gt;&lt;div&gt;&lt;h5&gt;&lt;b&gt;School &lt;/b&gt;transmutation; &lt;b&gt;Level &lt;/b&gt;alchemist 2, druid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points.&lt;/p&gt;&lt;/h4&gt;&lt;/div&gt;</t>
  </si>
  <si>
    <t>Sebaceous Twin</t>
  </si>
  <si>
    <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sebaceous twin counts as a disease effect with a DC equal to the spell's saving throw DC.</t>
  </si>
  <si>
    <t>&lt;p&gt;By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&lt;i&gt;sebaceous twin&lt;/i&gt; counts as a disease effect with a DC equal to the spell's saving throw DC.&lt;/p&gt;</t>
  </si>
  <si>
    <t>&lt;link rel="stylesheet"href="PF.css"&gt;&lt;div class="heading"&gt;&lt;p class="alignleft"&gt;Sebaceous Twin&lt;/p&gt;&lt;div style="clear: both;"&gt;&lt;/div&gt;&lt;/div&gt;&lt;div&gt;&lt;h5&gt;&lt;b&gt;School &lt;/b&gt;transmutation; &lt;b&gt;Level &lt;/b&gt;cleric/oracle 3, druid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 (see text)&lt;/h5&gt;&lt;h5&gt;&lt;b&gt;Saving Throw &lt;/b&gt;none (see text); &lt;b&gt;Spell Resistance &lt;/b&gt;yes&lt;/h5&gt;&lt;/div&gt;&lt;hr/&gt;&lt;div&gt;&lt;h5&gt;&lt;b&gt;DESCRIPTION&lt;/b&gt;&lt;/h5&gt;&lt;/div&gt;&lt;hr/&gt;&lt;div&gt;&lt;h4&gt;&lt;p&gt;By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&lt;i&gt;sebaceous twin&lt;/i&gt; counts as a disease effect with a DC equal to the spell's saving throw DC.&lt;/p&gt;&lt;/h4&gt;&lt;/div&gt;</t>
  </si>
  <si>
    <t>Allied Cloak</t>
  </si>
  <si>
    <t>bard 3, bloodrager 3, magus 3, occultist 2, sorcerer/wizard 3, summoner 3</t>
  </si>
  <si>
    <t>V, S, F (cloak or outer garment)</t>
  </si>
  <si>
    <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t>
  </si>
  <si>
    <t>&lt;p&gt;You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action.&lt;/p&gt;</t>
  </si>
  <si>
    <t>Adventurer's Armory 2</t>
  </si>
  <si>
    <t>&lt;link rel="stylesheet"href="PF.css"&gt;&lt;div class="heading"&gt;&lt;p class="alignleft"&gt;Allied Cloak&lt;/p&gt;&lt;div style="clear: both;"&gt;&lt;/div&gt;&lt;/div&gt;&lt;div&gt;&lt;h5&gt;&lt;b&gt;School &lt;/b&gt;abjuration; &lt;b&gt;Level &lt;/b&gt;bard 3, bloodrager 3, magus 3, occultist 2, sorcerer/wizard 3, summoner 3&lt;/h5&gt;&lt;/div&gt;&lt;hr/&gt;&lt;div&gt;&lt;h5&gt;&lt;b&gt;CASTING&lt;/b&gt;&lt;/h5&gt;&lt;/div&gt;&lt;hr/&gt;&lt;div&gt;&lt;h5&gt;&lt;b&gt;Casting Time &lt;/b&gt;1 standard action&lt;/h5&gt;&lt;h5&gt;&lt;b&gt;Components &lt;/b&gt;V, S, F (cloak or outer garment)&lt;/h5&gt;&lt;/div&gt;&lt;hr/&gt;&lt;div&gt;&lt;h5&gt;&lt;b&gt;EFFECT&lt;/b&gt;&lt;/h5&gt;&lt;/div&gt;&lt;hr/&gt;&lt;div&gt;&lt;h5&gt;&lt;b&gt;Range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action.&lt;/p&gt;&lt;/h4&gt;&lt;/div&gt;</t>
  </si>
  <si>
    <t>Billowing Skirt</t>
  </si>
  <si>
    <t>bard 2, inquisitor 2, occultist 2, shaman 2, sorcerer/wizard 2, witch 2</t>
  </si>
  <si>
    <t>V, S, F (a skirt, kilt, or gown)</t>
  </si>
  <si>
    <t>A skirt, kilt, or gown you are wearing enables you to control your falls through the air. A creature wearing the enchanted item of clothing falls slowly as if affected by feather fall and can attempt a DC 15 Fly skill check as a move action to hover in place for 1 round.</t>
  </si>
  <si>
    <t>&lt;p&gt;A skirt, kilt, or gown you are wearing enables you to control your falls through the air. A creature wearing the enchanted item of clothing falls slowly as if affected by &lt;i&gt;feather fall&lt;/i&gt; and can attempt a DC 15 Fly skill check as a move action to hover in place for 1 round.&lt;/p&gt;</t>
  </si>
  <si>
    <t>&lt;link rel="stylesheet"href="PF.css"&gt;&lt;div class="heading"&gt;&lt;p class="alignleft"&gt;Billowing Skirt&lt;/p&gt;&lt;div style="clear: both;"&gt;&lt;/div&gt;&lt;/div&gt;&lt;div&gt;&lt;h5&gt;&lt;b&gt;School &lt;/b&gt;transmutation; &lt;b&gt;Level &lt;/b&gt;bard 2, inquisitor 2, occultist 2, shaman 2, sorcerer/wizard 2, witch 2&lt;/h5&gt;&lt;/div&gt;&lt;hr/&gt;&lt;div&gt;&lt;h5&gt;&lt;b&gt;CASTING&lt;/b&gt;&lt;/h5&gt;&lt;/div&gt;&lt;hr/&gt;&lt;div&gt;&lt;h5&gt;&lt;b&gt;Casting Time &lt;/b&gt;1 standard action&lt;/h5&gt;&lt;h5&gt;&lt;b&gt;Components &lt;/b&gt;V, S, F (a skirt, kilt, or gown)&lt;/h5&gt;&lt;/div&gt;&lt;hr/&gt;&lt;div&gt;&lt;h5&gt;&lt;b&gt;EFFECT&lt;/b&gt;&lt;/h5&gt;&lt;/div&gt;&lt;hr/&gt;&lt;div&gt;&lt;h5&gt;&lt;b&gt;Range &lt;/b&gt;personal&lt;/h5&gt;&lt;h5&gt;&lt;b&gt;Targets &lt;/b&gt;you&lt;/h5&gt;&lt;h5&gt;&lt;b&gt;Duration &lt;/b&gt;1 minute/level&lt;/h5&gt;&lt;h5&gt;&lt;b&gt;Saving Throw &lt;/b&gt;none; &lt;b&gt;Spell Resistance &lt;/b&gt;no&lt;/h5&gt;&lt;/div&gt;&lt;hr/&gt;&lt;div&gt;&lt;h5&gt;&lt;b&gt;DESCRIPTION&lt;/b&gt;&lt;/h5&gt;&lt;/div&gt;&lt;hr/&gt;&lt;div&gt;&lt;h4&gt;&lt;p&gt;A skirt, kilt, or gown you are wearing enables you to control your falls through the air. A creature wearing the enchanted item of clothing falls slowly as if affected by &lt;i&gt;feather fall&lt;/i&gt; and can attempt a DC 15 Fly skill check as a move action to hover in place for 1 round.&lt;/p&gt;&lt;/h4&gt;&lt;/div&gt;</t>
  </si>
  <si>
    <t>Grappling Scarf</t>
  </si>
  <si>
    <t>bard 1, inquisitor 1, occultist 1, skald 1, sorcerer/wizard 1</t>
  </si>
  <si>
    <t>V, S, F (scarf)</t>
  </si>
  <si>
    <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t>
  </si>
  <si>
    <t>&lt;p&gt;A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it.&lt;/p&gt;</t>
  </si>
  <si>
    <t>&lt;link rel="stylesheet"href="PF.css"&gt;&lt;div class="heading"&gt;&lt;p class="alignleft"&gt;Grappling Scarf&lt;/p&gt;&lt;div style="clear: both;"&gt;&lt;/div&gt;&lt;/div&gt;&lt;div&gt;&lt;h5&gt;&lt;b&gt;School &lt;/b&gt;transmutation; &lt;b&gt;Level &lt;/b&gt;bard 1, inquisitor 1, occultist 1, skald 1, sorcerer/wizard 1&lt;/h5&gt;&lt;/div&gt;&lt;hr/&gt;&lt;div&gt;&lt;h5&gt;&lt;b&gt;CASTING&lt;/b&gt;&lt;/h5&gt;&lt;/div&gt;&lt;hr/&gt;&lt;div&gt;&lt;h5&gt;&lt;b&gt;Casting Time &lt;/b&gt;1 standard action&lt;/h5&gt;&lt;h5&gt;&lt;b&gt;Components &lt;/b&gt;V, S, F (scarf)&lt;/h5&gt;&lt;/div&gt;&lt;hr/&gt;&lt;div&gt;&lt;h5&gt;&lt;b&gt;EFFECT&lt;/b&gt;&lt;/h5&gt;&lt;/div&gt;&lt;hr/&gt;&lt;div&gt;&lt;h5&gt;&lt;b&gt;Range &lt;/b&gt;personal&lt;/h5&gt;&lt;h5&gt;&lt;b&gt;Targets &lt;/b&gt;you&lt;/h5&gt;&lt;h5&gt;&lt;b&gt;Duration &lt;/b&gt;1 minute/level&lt;/h5&gt;&lt;h5&gt;&lt;b&gt;Saving Throw &lt;/b&gt;none; &lt;b&gt;Spell Resistance &lt;/b&gt;no&lt;/h5&gt;&lt;/div&gt;&lt;hr/&gt;&lt;div&gt;&lt;h5&gt;&lt;b&gt;DESCRIPTION&lt;/b&gt;&lt;/h5&gt;&lt;/div&gt;&lt;hr/&gt;&lt;div&gt;&lt;h4&gt;&lt;p&gt;A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it.&lt;/p&gt;&lt;/h4&gt;&lt;/div&gt;</t>
  </si>
  <si>
    <t>Restful Cloak</t>
  </si>
  <si>
    <t>cleric/oracle 2, druid 2, occultist 2, paladin 2, ranger 2, shaman 2</t>
  </si>
  <si>
    <t>V, S, F (cloak)</t>
  </si>
  <si>
    <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restful tent. At the end of the spell's duration, the tent transforms back into a cloak. If the tent is moved prior to the expiration of the spell's duration, the spell immediately ends.</t>
  </si>
  <si>
    <t>&lt;p&gt;A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&lt;i&gt;restful tent&lt;/i&gt;. At the end of the spell's duration, the tent transforms back into a cloak. If the tent is moved prior to the expiration of the spell's duration, the spell immediately ends.&lt;/p&gt;</t>
  </si>
  <si>
    <t>&lt;link rel="stylesheet"href="PF.css"&gt;&lt;div class="heading"&gt;&lt;p class="alignleft"&gt;Restful Cloak&lt;/p&gt;&lt;div style="clear: both;"&gt;&lt;/div&gt;&lt;/div&gt;&lt;div&gt;&lt;h5&gt;&lt;b&gt;School &lt;/b&gt;conjuration (healing); &lt;b&gt;Level &lt;/b&gt;cleric/oracle 2, druid 2, occultist 2, paladin 2, ranger 2, shaman 2&lt;/h5&gt;&lt;/div&gt;&lt;hr/&gt;&lt;div&gt;&lt;h5&gt;&lt;b&gt;CASTING&lt;/b&gt;&lt;/h5&gt;&lt;/div&gt;&lt;hr/&gt;&lt;div&gt;&lt;h5&gt;&lt;b&gt;Casting Time &lt;/b&gt;1 standard action&lt;/h5&gt;&lt;h5&gt;&lt;b&gt;Components &lt;/b&gt;V, S, F (cloak)&lt;/h5&gt;&lt;/div&gt;&lt;hr/&gt;&lt;div&gt;&lt;h5&gt;&lt;b&gt;EFFECT&lt;/b&gt;&lt;/h5&gt;&lt;/div&gt;&lt;hr/&gt;&lt;div&gt;&lt;h5&gt;&lt;b&gt;Range &lt;/b&gt;personal&lt;/h5&gt;&lt;h5&gt;&lt;b&gt;Targets &lt;/b&gt;you&lt;/h5&gt;&lt;h5&gt;&lt;b&gt;Duration &lt;/b&gt;1 hour/level&lt;/h5&gt;&lt;h5&gt;&lt;b&gt;Saving Throw &lt;/b&gt;none; &lt;b&gt;Spell Resistance &lt;/b&gt;no&lt;/h5&gt;&lt;/div&gt;&lt;hr/&gt;&lt;div&gt;&lt;h5&gt;&lt;b&gt;DESCRIPTION&lt;/b&gt;&lt;/h5&gt;&lt;/div&gt;&lt;hr/&gt;&lt;div&gt;&lt;h4&gt;&lt;p&gt;A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&lt;i&gt;restful tent&lt;/i&gt;. At the end of the spell's duration, the tent transforms back into a cloak. If the tent is moved prior to the expiration of the spell's duration, the spell immediately ends.&lt;/p&gt;&lt;/h4&gt;&lt;/div&gt;</t>
  </si>
  <si>
    <t>Sculpted Cape</t>
  </si>
  <si>
    <t>bard 1, occultist 1, ranger 1, shaman 1, sorcerer/wizard 1, witch 1</t>
  </si>
  <si>
    <t>V, S, F (cape or loose outer garment)</t>
  </si>
  <si>
    <t>Your cape, cloak, or shawl stiffens and maintains its shape even if removed. A sculpted cape has hardness 2 and a number of hit points equal to your caster level, and it can support 1 pound of weight per caster level. An unworn sculpted cape can provide cover.</t>
  </si>
  <si>
    <t>&lt;p&gt;Your cape, cloak, or shawl stiffens and maintains its shape even if removed. A &lt;i&gt;sculpted cape&lt;/i&gt; has hardness 2 and a number of hit points equal to your caster level, and it can support 1 pound of weight per caster level. An unworn &lt;i&gt;sculpted cape&lt;/i&gt; can provide cover.&lt;/p&gt;</t>
  </si>
  <si>
    <t>&lt;link rel="stylesheet"href="PF.css"&gt;&lt;div class="heading"&gt;&lt;p class="alignleft"&gt;Sculpted Cape&lt;/p&gt;&lt;div style="clear: both;"&gt;&lt;/div&gt;&lt;/div&gt;&lt;div&gt;&lt;h5&gt;&lt;b&gt;School &lt;/b&gt;transmutation; &lt;b&gt;Level &lt;/b&gt;bard 1, occultist 1, ranger 1, shaman 1, sorcerer/wizard 1, witch 1&lt;/h5&gt;&lt;/div&gt;&lt;hr/&gt;&lt;div&gt;&lt;h5&gt;&lt;b&gt;CASTING&lt;/b&gt;&lt;/h5&gt;&lt;/div&gt;&lt;hr/&gt;&lt;div&gt;&lt;h5&gt;&lt;b&gt;Casting Time &lt;/b&gt;1 standard action&lt;/h5&gt;&lt;h5&gt;&lt;b&gt;Components &lt;/b&gt;V, S, F (cape or loose outer garment)&lt;/h5&gt;&lt;/div&gt;&lt;hr/&gt;&lt;div&gt;&lt;h5&gt;&lt;b&gt;EFFECT&lt;/b&gt;&lt;/h5&gt;&lt;/div&gt;&lt;hr/&gt;&lt;div&gt;&lt;h5&gt;&lt;b&gt;Range &lt;/b&gt;personal&lt;/h5&gt;&lt;h5&gt;&lt;b&gt;Targets &lt;/b&gt;you&lt;/h5&gt;&lt;h5&gt;&lt;b&gt;Duration &lt;/b&gt;1 minute/level&lt;/h5&gt;&lt;h5&gt;&lt;b&gt;Saving Throw &lt;/b&gt;none; &lt;b&gt;Spell Resistance &lt;/b&gt;no&lt;/h5&gt;&lt;/div&gt;&lt;hr/&gt;&lt;div&gt;&lt;h5&gt;&lt;b&gt;DESCRIPTION&lt;/b&gt;&lt;/h5&gt;&lt;/div&gt;&lt;hr/&gt;&lt;div&gt;&lt;h4&gt;&lt;p&gt;Your cape, cloak, or shawl stiffens and maintains its shape even if removed. A &lt;i&gt;sculpted cape&lt;/i&gt; has hardness 2 and a number of hit points equal to your caster level, and it can support 1 pound of weight per caster level. An unworn &lt;i&gt;sculpted cape&lt;/i&gt; can provide cover.&lt;/p&gt;&lt;/h4&gt;&lt;/div&gt;</t>
  </si>
  <si>
    <t>Surefoot Boots</t>
  </si>
  <si>
    <t>druid 2, occultist 2, ranger 2, shaman 2</t>
  </si>
  <si>
    <t>V, S, F (footwear)</t>
  </si>
  <si>
    <t>You touch your boots, shoes, or other footwear and imbue them with the ability to find purchase on even the most treacherous ground. While the spell is in effect, the footwear's wearer treats any Acrobatics skill check to balance as though the wearer had rolled a 20.</t>
  </si>
  <si>
    <t>&lt;p&gt;You touch your boots, shoes, or other footwear and imbue them with the ability to find purchase on even the most treacherous ground. While the spell is in effect, the footwear's wearer treats any Acrobatics skill check to balance as though the wearer had rolled a 20.&lt;/p&gt;</t>
  </si>
  <si>
    <t>&lt;link rel="stylesheet"href="PF.css"&gt;&lt;div class="heading"&gt;&lt;p class="alignleft"&gt;Surefoot Boots&lt;/p&gt;&lt;div style="clear: both;"&gt;&lt;/div&gt;&lt;/div&gt;&lt;div&gt;&lt;h5&gt;&lt;b&gt;School &lt;/b&gt;transmutation; &lt;b&gt;Level &lt;/b&gt;druid 2, occultist 2, ranger 2, shaman 2&lt;/h5&gt;&lt;/div&gt;&lt;hr/&gt;&lt;div&gt;&lt;h5&gt;&lt;b&gt;CASTING&lt;/b&gt;&lt;/h5&gt;&lt;/div&gt;&lt;hr/&gt;&lt;div&gt;&lt;h5&gt;&lt;b&gt;Casting Time &lt;/b&gt;1 standard action&lt;/h5&gt;&lt;h5&gt;&lt;b&gt;Components &lt;/b&gt;V, S, F (footwear)&lt;/h5&gt;&lt;/div&gt;&lt;hr/&gt;&lt;div&gt;&lt;h5&gt;&lt;b&gt;EFFECT&lt;/b&gt;&lt;/h5&gt;&lt;/div&gt;&lt;hr/&gt;&lt;div&gt;&lt;h5&gt;&lt;b&gt;Range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&lt;/b&gt;no&lt;/h5&gt;&lt;/div&gt;&lt;hr/&gt;&lt;div&gt;&lt;h5&gt;&lt;b&gt;DESCRIPTION&lt;/b&gt;&lt;/h5&gt;&lt;/div&gt;&lt;hr/&gt;&lt;div&gt;&lt;h4&gt;&lt;p&gt;You touch your boots, shoes, or other footwear and imbue them with the ability to find purchase on even the most treacherous ground. While the spell is in effect, the footwear's wearer treats any Acrobatics skill check to balance as though the wearer had rolled a 20.&lt;/p&gt;&lt;/h4&gt;&lt;/div&gt;</t>
  </si>
  <si>
    <t>Aquatic Trail</t>
  </si>
  <si>
    <t>druid 3, inquisitor 3, ranger 2, shaman 3</t>
  </si>
  <si>
    <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t>
  </si>
  <si>
    <t>&lt;p&gt;You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zones.&lt;/p&gt;</t>
  </si>
  <si>
    <t>Aquatic Adventures</t>
  </si>
  <si>
    <t>&lt;link rel="stylesheet"href="PF.css"&gt;&lt;div class="heading"&gt;&lt;p class="alignleft"&gt;Aquatic Trail&lt;/p&gt;&lt;div style="clear: both;"&gt;&lt;/div&gt;&lt;/div&gt;&lt;div&gt;&lt;h5&gt;&lt;b&gt;School &lt;/b&gt;divination [water]; &lt;b&gt;Level &lt;/b&gt;druid 3, inquisitor 3, ranger 2, shaman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&lt;/b&gt;circle centered on you, with a radius of 100 feet + 10 feet per level&lt;/h5&gt;&lt;h5&gt;&lt;b&gt;Duration &lt;/b&gt;1 hour/level&lt;/h5&gt;&lt;h5&gt;&lt;b&gt;Saving Throw &lt;/b&gt;none; &lt;b&gt;Spell Resistance &lt;/b&gt;no&lt;/h5&gt;&lt;/div&gt;&lt;hr/&gt;&lt;div&gt;&lt;h5&gt;&lt;b&gt;DESCRIPTION&lt;/b&gt;&lt;/h5&gt;&lt;/div&gt;&lt;hr/&gt;&lt;div&gt;&lt;h4&gt;&lt;p&gt;You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zones.&lt;/p&gt;&lt;/h4&gt;&lt;/div&gt;</t>
  </si>
  <si>
    <t>Extreme Buoyancy</t>
  </si>
  <si>
    <t>alchemist 2, bard 2, druid 2, medium 2, occultist 2, psychic 2, ranger 2, shaman 2</t>
  </si>
  <si>
    <t>V, S, M (a bag of air), DF</t>
  </si>
  <si>
    <t>The target's buoyancy becomes and stays swiftly rising, regardless of how dense the target and its gear are. Among other effects, the target needs to succeed at a DC 20 Swim check to submerge itself and to stay submerged (see Buoyancy on page 43).</t>
  </si>
  <si>
    <t>&lt;p&gt;The target's buoyancy becomes and stays swiftly rising, regardless of how dense the target and its gear are. Among other effects, the target needs to succeed at a DC 20 Swim check to submerge itself and to stay submerged (see Buoyancy on page 43).&lt;/p&gt;</t>
  </si>
  <si>
    <t>&lt;link rel="stylesheet"href="PF.css"&gt;&lt;div class="heading"&gt;&lt;p class="alignleft"&gt;Extreme Buoyancy&lt;/p&gt;&lt;div style="clear: both;"&gt;&lt;/div&gt;&lt;/div&gt;&lt;div&gt;&lt;h5&gt;&lt;b&gt;School &lt;/b&gt;evocation; &lt;b&gt;Level &lt;/b&gt;alchemist 2, bard 2, druid 2, medium 2, occultist 2, psychic 2, ranger 2, shaman 2&lt;/h5&gt;&lt;/div&gt;&lt;hr/&gt;&lt;div&gt;&lt;h5&gt;&lt;b&gt;CASTING&lt;/b&gt;&lt;/h5&gt;&lt;/div&gt;&lt;hr/&gt;&lt;div&gt;&lt;h5&gt;&lt;b&gt;Casting Time &lt;/b&gt;1 standard action&lt;/h5&gt;&lt;h5&gt;&lt;b&gt;Components &lt;/b&gt;V, S, M (a bag of air), DF&lt;/h5&gt;&lt;/div&gt;&lt;hr/&gt;&lt;div&gt;&lt;h5&gt;&lt;b&gt;EFFECT&lt;/b&gt;&lt;/h5&gt;&lt;/div&gt;&lt;hr/&gt;&lt;div&gt;&lt;h5&gt;&lt;b&gt;Range &lt;/b&gt;touch&lt;/h5&gt;&lt;h5&gt;&lt;b&gt;Targets &lt;/b&gt;creature touched&lt;/h5&gt;&lt;h5&gt;&lt;b&gt;Duration &lt;/b&gt;10 minutes/level&lt;/h5&gt;&lt;h5&gt;&lt;b&gt;Saving Throw &lt;/b&gt;Will negates; &lt;b&gt;Spell Resistance &lt;/b&gt;yes&lt;/h5&gt;&lt;/div&gt;&lt;hr/&gt;&lt;div&gt;&lt;h5&gt;&lt;b&gt;DESCRIPTION&lt;/b&gt;&lt;/h5&gt;&lt;/div&gt;&lt;hr/&gt;&lt;div&gt;&lt;h4&gt;&lt;p&gt;The target's buoyancy becomes and stays swiftly rising, regardless of how dense the target and its gear are. Among other effects, the target needs to succeed at a DC 20 Swim check to submerge itself and to stay submerged (see Buoyancy on page 43).&lt;/p&gt;&lt;/h4&gt;&lt;/div&gt;</t>
  </si>
  <si>
    <t>Free Swim</t>
  </si>
  <si>
    <t>alchemist 3, bard 3, cleric/oracle 3, druid 3, inquisitor 3, medium 3, mesmerist 3, occultist 3, psychic 3, ranger 3, spiritualist 3</t>
  </si>
  <si>
    <t>V, S, M (a strip of kelp bound to the target), DF</t>
  </si>
  <si>
    <t>The target can move and attack underwater normally without the usual penalties involved with underwater combat, as if under the effects of freedom of movement. However, the target doesn't gain any protections against grapple, paralysis, and magical effects that impede movement (such as solid fog, slow, and web).</t>
  </si>
  <si>
    <t>&lt;p&gt;The target can move and attack underwater normally without the usual penalties involved with underwater combat, as if under the effects of &lt;i&gt;freedom of movement&lt;/i&gt;. However, the target doesn't gain any protections against grapple, paralysis, and magical effects that impede movement (such as &lt;i&gt;solid fog&lt;/i&gt;, &lt;i&gt;slow&lt;/i&gt;, and web).&lt;/p&gt;</t>
  </si>
  <si>
    <t>&lt;link rel="stylesheet"href="PF.css"&gt;&lt;div class="heading"&gt;&lt;p class="alignleft"&gt;Free Swim&lt;/p&gt;&lt;div style="clear: both;"&gt;&lt;/div&gt;&lt;/div&gt;&lt;div&gt;&lt;h5&gt;&lt;b&gt;School &lt;/b&gt;abjuration; &lt;b&gt;Level &lt;/b&gt;alchemist 3, bard 3, cleric/oracle 3, druid 3, inquisitor 3, medium 3, mesmerist 3, occultist 3, psychic 3, ranger 3, spiritualist 3&lt;/h5&gt;&lt;/div&gt;&lt;hr/&gt;&lt;div&gt;&lt;h5&gt;&lt;b&gt;CASTING&lt;/b&gt;&lt;/h5&gt;&lt;/div&gt;&lt;hr/&gt;&lt;div&gt;&lt;h5&gt;&lt;b&gt;Casting Time &lt;/b&gt;1 standard action&lt;/h5&gt;&lt;h5&gt;&lt;b&gt;Components &lt;/b&gt;V, S, M (a strip of kelp bound to the target), DF&lt;/h5&gt;&lt;/div&gt;&lt;hr/&gt;&lt;div&gt;&lt;h5&gt;&lt;b&gt;EFFECT&lt;/b&gt;&lt;/h5&gt;&lt;/div&gt;&lt;hr/&gt;&lt;div&gt;&lt;h5&gt;&lt;b&gt;Range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(harmless)&lt;/h5&gt;&lt;/div&gt;&lt;hr/&gt;&lt;div&gt;&lt;h5&gt;&lt;b&gt;DESCRIPTION&lt;/b&gt;&lt;/h5&gt;&lt;/div&gt;&lt;hr/&gt;&lt;div&gt;&lt;h4&gt;&lt;p&gt;The target can move and attack underwater normally without the usual penalties involved with underwater combat, as if under the effects of &lt;i&gt;freedom of movement&lt;/i&gt;. However, the target doesn't gain any protections against grapple, paralysis, and magical effects that impede movement (such as &lt;i&gt;solid fog&lt;/i&gt;, &lt;i&gt;slow&lt;/i&gt;, and web).&lt;/p&gt;&lt;/h4&gt;&lt;/div&gt;</t>
  </si>
  <si>
    <t>Invisibility Bubble</t>
  </si>
  <si>
    <t>alchemist 2, antipaladin 2, bard 2, inquisitor 2, magus 2, medium 2, mesmerist 2, occultist 2, psychic 2, sorcerer/wizard 2, spiritualist 2, summoner 2</t>
  </si>
  <si>
    <t>V, S, M (a needle from a sea urchin)</t>
  </si>
  <si>
    <t>touched creature's space, up to one 5-foot-cube</t>
  </si>
  <si>
    <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invisibility pops the bubble and ends the spell early. On land, the bubble is clearly visible, acting much as invisibility does in the water. Unlike with invisibility, the inside of the bubble blocks light from escaping the bubble, meaning that light sources inside the bubble don't illuminate past its edges, but also don't reveal a telltale glow.</t>
  </si>
  <si>
    <t>&lt;p&gt;A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&lt;i&gt;invisibility&lt;/i&gt; pops the bubble and ends the spell early. On land, the bubble is clearly visible, acting much as &lt;i&gt;invisibility&lt;/i&gt; does in the water. Unlike with &lt;i&gt;invisibility&lt;/i&gt;, the inside of the bubble blocks light from escaping the bubble, meaning that light sources inside the bubble don't illuminate past its edges, but also don't reveal a telltale glow.&lt;/p&gt;</t>
  </si>
  <si>
    <t>&lt;link rel="stylesheet"href="PF.css"&gt;&lt;div class="heading"&gt;&lt;p class="alignleft"&gt;Invisibility Bubble&lt;/p&gt;&lt;div style="clear: both;"&gt;&lt;/div&gt;&lt;/div&gt;&lt;div&gt;&lt;h5&gt;&lt;b&gt;School &lt;/b&gt;illusion (glamer); &lt;b&gt;Level &lt;/b&gt;alchemist 2, antipaladin 2, bard 2, inquisitor 2, magus 2, medium 2, mesmerist 2, occultist 2, psychic 2, sorcerer/wizard 2, spiritualist 2, summoner 2&lt;/h5&gt;&lt;/div&gt;&lt;hr/&gt;&lt;div&gt;&lt;h5&gt;&lt;b&gt;CASTING&lt;/b&gt;&lt;/h5&gt;&lt;/div&gt;&lt;hr/&gt;&lt;div&gt;&lt;h5&gt;&lt;b&gt;Casting Time &lt;/b&gt;1 standard action&lt;/h5&gt;&lt;h5&gt;&lt;b&gt;Components &lt;/b&gt;V, S, M (a needle from a sea urchin)&lt;/h5&gt;&lt;/div&gt;&lt;hr/&gt;&lt;div&gt;&lt;h5&gt;&lt;b&gt;EFFECT&lt;/b&gt;&lt;/h5&gt;&lt;/div&gt;&lt;hr/&gt;&lt;div&gt;&lt;h5&gt;&lt;b&gt;Range &lt;/b&gt;touch&lt;/h5&gt;&lt;h5&gt;&lt;b&gt;Area &lt;/b&gt;touched creature's space, up to one 5-foot-cube&lt;/h5&gt;&lt;h5&gt;&lt;b&gt;Duration &lt;/b&gt;1 minute/level (D)&lt;/h5&gt;&lt;h5&gt;&lt;b&gt;Saving Throw &lt;/b&gt;Will negates (harmless); &lt;b&gt;Spell Resistance &lt;/b&gt;yes (harmless)&lt;/h5&gt;&lt;/div&gt;&lt;hr/&gt;&lt;div&gt;&lt;h5&gt;&lt;b&gt;DESCRIPTION&lt;/b&gt;&lt;/h5&gt;&lt;/div&gt;&lt;hr/&gt;&lt;div&gt;&lt;h4&gt;&lt;p&gt;A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&lt;i&gt;invisibility&lt;/i&gt; pops the bubble and ends the spell early. On land, the bubble is clearly visible, acting much as &lt;i&gt;invisibility&lt;/i&gt; does in the water. Unlike with &lt;i&gt;invisibility&lt;/i&gt;, the inside of the bubble blocks light from escaping the bubble, meaning that light sources inside the bubble don't illuminate past its edges, but also don't reveal a telltale glow.&lt;/p&gt;&lt;/h4&gt;&lt;/div&gt;</t>
  </si>
  <si>
    <t>Invisibility Bubble, Giant</t>
  </si>
  <si>
    <t>bard 3, mesmerist 3, occultist 3, psychic 3, sorcerer/wizard 3, summoner 3</t>
  </si>
  <si>
    <t>10-ft.-radius emanation centered on the touched creature's space</t>
  </si>
  <si>
    <t>This functions as per invisibility bubble, but the bubble is larger, which allows you to target a creature of up to size Gargantuan, or allows more creatures into the bubble.</t>
  </si>
  <si>
    <t>&lt;p&gt;This functions as per &lt;i&gt;invisibility bubble&lt;/i&gt;, but the bubble is larger, which allows you to target a creature of up to size Gargantuan, or allows more creatures into the bubble.&lt;/p&gt;</t>
  </si>
  <si>
    <t>&lt;link rel="stylesheet"href="PF.css"&gt;&lt;div class="heading"&gt;&lt;p class="alignleft"&gt;Invisibility Bubble, Giant&lt;/p&gt;&lt;div style="clear: both;"&gt;&lt;/div&gt;&lt;/div&gt;&lt;div&gt;&lt;h5&gt;&lt;b&gt;School &lt;/b&gt;illusion (glamer); &lt;b&gt;Level &lt;/b&gt;bard 3, mesmerist 3, occultist 3, psychic 3, sorcerer/wizard 3, summoner 3&lt;/h5&gt;&lt;/div&gt;&lt;hr/&gt;&lt;div&gt;&lt;h5&gt;&lt;b&gt;CASTING&lt;/b&gt;&lt;/h5&gt;&lt;/div&gt;&lt;hr/&gt;&lt;div&gt;&lt;h5&gt;&lt;b&gt;Casting Time &lt;/b&gt;1 standard action&lt;/h5&gt;&lt;h5&gt;&lt;b&gt;Components &lt;/b&gt;V, S, M (a needle from a sea urchin)&lt;/h5&gt;&lt;/div&gt;&lt;hr/&gt;&lt;div&gt;&lt;h5&gt;&lt;b&gt;EFFECT&lt;/b&gt;&lt;/h5&gt;&lt;/div&gt;&lt;hr/&gt;&lt;div&gt;&lt;h5&gt;&lt;b&gt;Range &lt;/b&gt;touch&lt;/h5&gt;&lt;h5&gt;&lt;b&gt;Area &lt;/b&gt;10-ft.-radius emanation centered on the touched creature's space&lt;/h5&gt;&lt;h5&gt;&lt;b&gt;Duration &lt;/b&gt;1 minute/level (D)&lt;/h5&gt;&lt;h5&gt;&lt;b&gt;Saving Throw &lt;/b&gt;Will negates (harmless); &lt;b&gt;Spell Resistance &lt;/b&gt;yes (harmless)&lt;/h5&gt;&lt;/div&gt;&lt;hr/&gt;&lt;div&gt;&lt;h5&gt;&lt;b&gt;DESCRIPTION&lt;/b&gt;&lt;/h5&gt;&lt;/div&gt;&lt;hr/&gt;&lt;div&gt;&lt;h4&gt;&lt;p&gt;This functions as per &lt;i&gt;invisibility bubble&lt;/i&gt;, but the bubble is larger, which allows you to target a creature of up to size Gargantuan, or allows more creatures into the bubble.&lt;/p&gt;&lt;/h4&gt;&lt;/div&gt;</t>
  </si>
  <si>
    <t>Invisibility Bubble, Mass</t>
  </si>
  <si>
    <t>mesmerist 6, psychic 7, sorcerer/wizard 7, summoner 6</t>
  </si>
  <si>
    <t>This functions as per invisibility bubble,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t>
  </si>
  <si>
    <t>&lt;p&gt;This functions as per &lt;i&gt;invisibility bubble&lt;/i&gt;,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feet.&lt;/p&gt;</t>
  </si>
  <si>
    <t>&lt;link rel="stylesheet"href="PF.css"&gt;&lt;div class="heading"&gt;&lt;p class="alignleft"&gt;Invisibility Bubble, Mass&lt;/p&gt;&lt;div style="clear: both;"&gt;&lt;/div&gt;&lt;/div&gt;&lt;div&gt;&lt;h5&gt;&lt;b&gt;School &lt;/b&gt;illusion (glamer); &lt;b&gt;Level &lt;/b&gt;mesmerist 6, psychic 7, sorcerer/wizard 7, summoner 6&lt;/h5&gt;&lt;/div&gt;&lt;hr/&gt;&lt;div&gt;&lt;h5&gt;&lt;b&gt;CASTING&lt;/b&gt;&lt;/h5&gt;&lt;/div&gt;&lt;hr/&gt;&lt;div&gt;&lt;h5&gt;&lt;b&gt;Casting Time &lt;/b&gt;1 standard action&lt;/h5&gt;&lt;h5&gt;&lt;b&gt;Components &lt;/b&gt;V, S, M (a needle from a sea urchin)&lt;/h5&gt;&lt;/div&gt;&lt;hr/&gt;&lt;div&gt;&lt;h5&gt;&lt;b&gt;EFFECT&lt;/b&gt;&lt;/h5&gt;&lt;/div&gt;&lt;hr/&gt;&lt;div&gt;&lt;h5&gt;&lt;b&gt;Range &lt;/b&gt;long (400 ft. + 40 ft./level)&lt;/h5&gt;&lt;h5&gt;&lt;b&gt;Area &lt;/b&gt;10-ft.-radius emanation centered on the touched creature's space&lt;/h5&gt;&lt;h5&gt;&lt;b&gt;Targets &lt;/b&gt;any number of creatures, no two of which can be more than 180 ft. apart&lt;/h5&gt;&lt;h5&gt;&lt;b&gt;Duration &lt;/b&gt;1 minute/level (D)&lt;/h5&gt;&lt;h5&gt;&lt;b&gt;Saving Throw &lt;/b&gt;Will negates (harmless); &lt;b&gt;Spell Resistance &lt;/b&gt;yes (harmless)&lt;/h5&gt;&lt;/div&gt;&lt;hr/&gt;&lt;div&gt;&lt;h5&gt;&lt;b&gt;DESCRIPTION&lt;/b&gt;&lt;/h5&gt;&lt;/div&gt;&lt;hr/&gt;&lt;div&gt;&lt;h4&gt;&lt;p&gt;This functions as per &lt;i&gt;invisibility bubble&lt;/i&gt;,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feet.&lt;/p&gt;&lt;/h4&gt;&lt;/div&gt;</t>
  </si>
  <si>
    <t>Lead Anchor</t>
  </si>
  <si>
    <t>alchemist 2, bard 2, druid 2, medium 2, occultist 2, psychic 2, ranger 2, shaman 2, witch 2</t>
  </si>
  <si>
    <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lead anchor a useful spell both for exploring the sea floor and for drowning an air-breathing foe in the water.</t>
  </si>
  <si>
    <t>&lt;p&gt;The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&lt;i&gt;lead anchor&lt;/i&gt; a useful spell both for exploring the sea floor and for drowning an air-breathing foe in the water.&lt;/p&gt;</t>
  </si>
  <si>
    <t>&lt;link rel="stylesheet"href="PF.css"&gt;&lt;div class="heading"&gt;&lt;p class="alignleft"&gt;Lead Anchor&lt;/p&gt;&lt;div style="clear: both;"&gt;&lt;/div&gt;&lt;/div&gt;&lt;div&gt;&lt;h5&gt;&lt;b&gt;School &lt;/b&gt;evocation; &lt;b&gt;Level &lt;/b&gt;alchemist 2, bard 2, druid 2, medium 2, occultist 2, psychic 2, ranger 2, shaman 2, witch 2&lt;/h5&gt;&lt;/div&gt;&lt;hr/&gt;&lt;div&gt;&lt;h5&gt;&lt;b&gt;CASTING&lt;/b&gt;&lt;/h5&gt;&lt;/div&gt;&lt;hr/&gt;&lt;div&gt;&lt;h5&gt;&lt;b&gt;Casting Time &lt;/b&gt;1 standard action&lt;/h5&gt;&lt;h5&gt;&lt;b&gt;Components &lt;/b&gt;V, S, M (a bag of air), DF&lt;/h5&gt;&lt;/div&gt;&lt;hr/&gt;&lt;div&gt;&lt;h5&gt;&lt;b&gt;EFFECT&lt;/b&gt;&lt;/h5&gt;&lt;/div&gt;&lt;hr/&gt;&lt;div&gt;&lt;h5&gt;&lt;b&gt;Range &lt;/b&gt;touch&lt;/h5&gt;&lt;h5&gt;&lt;b&gt;Targets &lt;/b&gt;creature touched&lt;/h5&gt;&lt;h5&gt;&lt;b&gt;Duration &lt;/b&gt;10 minutes/level&lt;/h5&gt;&lt;h5&gt;&lt;b&gt;Saving Throw &lt;/b&gt;Will negates; &lt;b&gt;Spell Resistance &lt;/b&gt;yes&lt;/h5&gt;&lt;/div&gt;&lt;hr/&gt;&lt;div&gt;&lt;h5&gt;&lt;b&gt;DESCRIPTION&lt;/b&gt;&lt;/h5&gt;&lt;/div&gt;&lt;hr/&gt;&lt;div&gt;&lt;h4&gt;&lt;p&gt;The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&lt;i&gt;lead anchor&lt;/i&gt; a useful spell both for exploring the sea floor and for drowning an air-breathing foe in the water.&lt;/p&gt;&lt;/h4&gt;&lt;/div&gt;</t>
  </si>
  <si>
    <t>Life Current</t>
  </si>
  <si>
    <t>cleric/oracle 3, druid 3, paladin 3, ranger 3, shaman 3</t>
  </si>
  <si>
    <t>current or portion of current up to 20 feet wide and 100 feet long</t>
  </si>
  <si>
    <t>You infuse the current with positive energy. At the start of their turn when the current moves them, living creatures in the current's area heal 1d6 hit points per 10 feet of the current's speed (maximum 6d6). Undead creatures in the current instead take an equal amount of damage.</t>
  </si>
  <si>
    <t>&lt;p&gt;You infuse the current with positive energy. At the start of their turn when the current moves them, living creatures in the current's area heal 1d6 hit points per 10 feet of the current's speed (maximum 6d6). Undead creatures in the current instead take an equal amount of damage.&lt;/p&gt;</t>
  </si>
  <si>
    <t>&lt;link rel="stylesheet"href="PF.css"&gt;&lt;div class="heading"&gt;&lt;p class="alignleft"&gt;Life Current&lt;/p&gt;&lt;div style="clear: both;"&gt;&lt;/div&gt;&lt;/div&gt;&lt;div&gt;&lt;h5&gt;&lt;b&gt;School &lt;/b&gt;conjuration (healing) [water]; &lt;b&gt;Level &lt;/b&gt;cleric/oracle 3, druid 3, paladin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&lt;/b&gt;current or portion of current up to 20 feet wide and 100 feet long&lt;/h5&gt;&lt;h5&gt;&lt;b&gt;Duration &lt;/b&gt;1 round&lt;/h5&gt;&lt;h5&gt;&lt;b&gt;Saving Throw &lt;/b&gt;Will half; &lt;b&gt;Spell Resistance &lt;/b&gt;yes&lt;/h5&gt;&lt;/div&gt;&lt;hr/&gt;&lt;div&gt;&lt;h5&gt;&lt;b&gt;DESCRIPTION&lt;/b&gt;&lt;/h5&gt;&lt;/div&gt;&lt;hr/&gt;&lt;div&gt;&lt;h4&gt;&lt;p&gt;You infuse the current with positive energy. At the start of their turn when the current moves them, living creatures in the current's area heal 1d6 hit points per 10 feet of the current's speed (maximum 6d6). Undead creatures in the current instead take an equal amount of damage.&lt;/p&gt;&lt;/h4&gt;&lt;/div&gt;</t>
  </si>
  <si>
    <t>Neutral Buoyancy</t>
  </si>
  <si>
    <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t>
  </si>
  <si>
    <t>&lt;p&gt;The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ease.&lt;/p&gt;</t>
  </si>
  <si>
    <t>&lt;link rel="stylesheet"href="PF.css"&gt;&lt;div class="heading"&gt;&lt;p class="alignleft"&gt;Neutral Buoyancy&lt;/p&gt;&lt;div style="clear: both;"&gt;&lt;/div&gt;&lt;/div&gt;&lt;div&gt;&lt;h5&gt;&lt;b&gt;School &lt;/b&gt;evocation; &lt;b&gt;Level &lt;/b&gt;alchemist 2, bard 2, druid 2, medium 2, occultist 2, psychic 2, ranger 2, shaman 2&lt;/h5&gt;&lt;/div&gt;&lt;hr/&gt;&lt;div&gt;&lt;h5&gt;&lt;b&gt;CASTING&lt;/b&gt;&lt;/h5&gt;&lt;/div&gt;&lt;hr/&gt;&lt;div&gt;&lt;h5&gt;&lt;b&gt;Casting Time &lt;/b&gt;1 standard action&lt;/h5&gt;&lt;h5&gt;&lt;b&gt;Components &lt;/b&gt;V, S, M (a bag of air), DF&lt;/h5&gt;&lt;/div&gt;&lt;hr/&gt;&lt;div&gt;&lt;h5&gt;&lt;b&gt;EFFECT&lt;/b&gt;&lt;/h5&gt;&lt;/div&gt;&lt;hr/&gt;&lt;div&gt;&lt;h5&gt;&lt;b&gt;Range &lt;/b&gt;touch&lt;/h5&gt;&lt;h5&gt;&lt;b&gt;Targets &lt;/b&gt;creature touched&lt;/h5&gt;&lt;h5&gt;&lt;b&gt;Duration &lt;/b&gt;10 minutes/level&lt;/h5&gt;&lt;h5&gt;&lt;b&gt;Saving Throw &lt;/b&gt;Will negates; &lt;b&gt;Spell Resistance &lt;/b&gt;yes&lt;/h5&gt;&lt;/div&gt;&lt;hr/&gt;&lt;div&gt;&lt;h5&gt;&lt;b&gt;DESCRIPTION&lt;/b&gt;&lt;/h5&gt;&lt;/div&gt;&lt;hr/&gt;&lt;div&gt;&lt;h4&gt;&lt;p&gt;The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ease.&lt;/p&gt;&lt;/h4&gt;&lt;/div&gt;</t>
  </si>
  <si>
    <t>Pressure Adaptation</t>
  </si>
  <si>
    <t>alchemist 3, bloodrager 3, cleric/oracle 3, druid 3, paladin 3, psychic 3, ranger 3, shaman 3, summoner 3</t>
  </si>
  <si>
    <t>V, S, M (slime from a cephalopod)</t>
  </si>
  <si>
    <t>The target adapts incredibly quickly to changes in pressure, adjusting to 100 feet of new pressure (or the entire shift, in the case of an instantaneous shift within its native range; see page 48) after just one successful Fortitude saving throw instead of the usual five.</t>
  </si>
  <si>
    <t>&lt;p&gt;The target adapts incredibly quickly to changes in pressure, adjusting to 100 feet of new pressure (or the entire shift, in the case of an instantaneous shift within its native range; see page 48) after just one successful Fortitude saving throw instead of the usual five.&lt;/p&gt;</t>
  </si>
  <si>
    <t>&lt;link rel="stylesheet"href="PF.css"&gt;&lt;div class="heading"&gt;&lt;p class="alignleft"&gt;Pressure Adaptation&lt;/p&gt;&lt;div style="clear: both;"&gt;&lt;/div&gt;&lt;/div&gt;&lt;div&gt;&lt;h5&gt;&lt;b&gt;School &lt;/b&gt;abjuration; &lt;b&gt;Level &lt;/b&gt;alchemist 3, bloodrager 3, cleric/oracle 3, druid 3, paladin 3, psychic 3, ranger 3, shaman 3, summoner 3&lt;/h5&gt;&lt;/div&gt;&lt;hr/&gt;&lt;div&gt;&lt;h5&gt;&lt;b&gt;CASTING&lt;/b&gt;&lt;/h5&gt;&lt;/div&gt;&lt;hr/&gt;&lt;div&gt;&lt;h5&gt;&lt;b&gt;Casting Time &lt;/b&gt;1 standard action&lt;/h5&gt;&lt;h5&gt;&lt;b&gt;Components &lt;/b&gt;V, S, M (slime from a cephalopod)&lt;/h5&gt;&lt;/div&gt;&lt;hr/&gt;&lt;div&gt;&lt;h5&gt;&lt;b&gt;EFFECT&lt;/b&gt;&lt;/h5&gt;&lt;/div&gt;&lt;hr/&gt;&lt;div&gt;&lt;h5&gt;&lt;b&gt;Range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 (harmless)&lt;/h5&gt;&lt;/div&gt;&lt;hr/&gt;&lt;div&gt;&lt;h5&gt;&lt;b&gt;DESCRIPTION&lt;/b&gt;&lt;/h5&gt;&lt;/div&gt;&lt;hr/&gt;&lt;div&gt;&lt;h4&gt;&lt;p&gt;The target adapts incredibly quickly to changes in pressure, adjusting to 100 feet of new pressure (or the entire shift, in the case of an instantaneous shift within its native range; see page 48) after just one successful Fortitude saving throw instead of the usual five.&lt;/p&gt;&lt;/h4&gt;&lt;/div&gt;</t>
  </si>
  <si>
    <t>Stabilize Pressure</t>
  </si>
  <si>
    <t>alchemist 2, bloodrager 2, cleric/oracle 2, druid 2, paladin 2, psychic 2, ranger 2, shaman 2, summoner 2</t>
  </si>
  <si>
    <t>V, S, M (a piece of shell)</t>
  </si>
  <si>
    <t>You instantly stabilize the target's pressure, causing it to adjust to its current pressure all at once. This doesn't help it readjust to future pressure changes.</t>
  </si>
  <si>
    <t>&lt;p&gt;You instantly stabilize the target's pressure, causing it to adjust to its current pressure all at once. This doesn't help it readjust to future pressure changes.&lt;/p&gt;</t>
  </si>
  <si>
    <t>&lt;link rel="stylesheet"href="PF.css"&gt;&lt;div class="heading"&gt;&lt;p class="alignleft"&gt;Stabilize Pressure&lt;/p&gt;&lt;div style="clear: both;"&gt;&lt;/div&gt;&lt;/div&gt;&lt;div&gt;&lt;h5&gt;&lt;b&gt;School &lt;/b&gt;abjuration; &lt;b&gt;Level &lt;/b&gt;alchemist 2, bloodrager 2, cleric/oracle 2, druid 2, paladin 2, psychic 2, ranger 2, shaman 2, summoner 2&lt;/h5&gt;&lt;/div&gt;&lt;hr/&gt;&lt;div&gt;&lt;h5&gt;&lt;b&gt;CASTING&lt;/b&gt;&lt;/h5&gt;&lt;/div&gt;&lt;hr/&gt;&lt;div&gt;&lt;h5&gt;&lt;b&gt;Casting Time &lt;/b&gt;1 standard action&lt;/h5&gt;&lt;h5&gt;&lt;b&gt;Components &lt;/b&gt;V, S, M (a piece of shell)&lt;/h5&gt;&lt;/div&gt;&lt;hr/&gt;&lt;div&gt;&lt;h5&gt;&lt;b&gt;EFFECT&lt;/b&gt;&lt;/h5&gt;&lt;/div&gt;&lt;hr/&gt;&lt;div&gt;&lt;h5&gt;&lt;b&gt;Range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(harmless)&lt;/h5&gt;&lt;/div&gt;&lt;hr/&gt;&lt;div&gt;&lt;h5&gt;&lt;b&gt;DESCRIPTION&lt;/b&gt;&lt;/h5&gt;&lt;/div&gt;&lt;hr/&gt;&lt;div&gt;&lt;h4&gt;&lt;p&gt;You instantly stabilize the target's pressure, causing it to adjust to its current pressure all at once. This doesn't help it readjust to future pressure changes.&lt;/p&gt;&lt;/h4&gt;&lt;/div&gt;</t>
  </si>
  <si>
    <t>Steam Ray Fusillade</t>
  </si>
  <si>
    <t>V, S, M (a scraping from a hydrothermal vent)</t>
  </si>
  <si>
    <t>For the duration of the spell, you can fire three rays of steam once per round as a standard action (and you also fire three such rays as part of casting the spell). These rays function similarly to the rays from scorching ray (you can fire them at close range, they're ranged touch attacks, they deal 4d6 points of fire damage each, and spell resistance negates  them) except that they work both underwater and above water without a caster level check for being a fire spell.</t>
  </si>
  <si>
    <t>&lt;p&gt;For the duration of the spell, you can fire three rays of steam once per round as a standard action (and you also fire three such rays as part of casting the spell). These rays function similarly to the rays from &lt;i&gt;scorching ray&lt;/i&gt; (you can fire them at close range, they're ranged touch attacks, they deal 4d6 points of fire damage each, and spell resistance negates  them) except that they work both underwater and above water without a caster level check for being a fire spell.&lt;/p&gt;</t>
  </si>
  <si>
    <t>&lt;link rel="stylesheet"href="PF.css"&gt;&lt;div class="heading"&gt;&lt;p class="alignleft"&gt;Steam Ray Fusillade&lt;/p&gt;&lt;div style="clear: both;"&gt;&lt;/div&gt;&lt;/div&gt;&lt;div&gt;&lt;h5&gt;&lt;b&gt;School &lt;/b&gt;evocation [fire, water]; &lt;b&gt;Level &lt;/b&gt;sorcerer/wizard 7&lt;/h5&gt;&lt;/div&gt;&lt;hr/&gt;&lt;div&gt;&lt;h5&gt;&lt;b&gt;CASTING&lt;/b&gt;&lt;/h5&gt;&lt;/div&gt;&lt;hr/&gt;&lt;div&gt;&lt;h5&gt;&lt;b&gt;Casting Time &lt;/b&gt;1 standard action&lt;/h5&gt;&lt;h5&gt;&lt;b&gt;Components &lt;/b&gt;V, S, M (a scraping from a hydrothermal vent)&lt;/h5&gt;&lt;/div&gt;&lt;hr/&gt;&lt;div&gt;&lt;h5&gt;&lt;b&gt;EFFECT&lt;/b&gt;&lt;/h5&gt;&lt;/div&gt;&lt;hr/&gt;&lt;div&gt;&lt;h5&gt;&lt;b&gt;Range &lt;/b&gt;personal&lt;/h5&gt;&lt;h5&gt;&lt;b&gt;Targets &lt;/b&gt;you&lt;/h5&gt;&lt;h5&gt;&lt;b&gt;Duration &lt;/b&gt;1 round/level&lt;/h5&gt;&lt;/div&gt;&lt;hr/&gt;&lt;div&gt;&lt;h5&gt;&lt;b&gt;DESCRIPTION&lt;/b&gt;&lt;/h5&gt;&lt;/div&gt;&lt;hr/&gt;&lt;div&gt;&lt;h4&gt;&lt;p&gt;For the duration of the spell, you can fire three rays of steam once per round as a standard action (and you also fire three such rays as part of casting the spell). These rays function similarly to the rays from &lt;i&gt;scorching ray&lt;/i&gt; (you can fire them at close range, they're ranged touch attacks, they deal 4d6 points of fire damage each, and spell resistance negates  them) except that they work both underwater and above water without a caster level check for being a fire spell.&lt;/p&gt;&lt;/h4&gt;&lt;/div&gt;</t>
  </si>
  <si>
    <t>Unlife Current</t>
  </si>
  <si>
    <t>antipaladin 3, cleric/oracle 3, druid 3, ranger 3, shaman 3</t>
  </si>
  <si>
    <t>This functions as life current except you infuse the current with negative energy, so it heals undead and harms living creatures.</t>
  </si>
  <si>
    <t>&lt;p&gt;This functions as &lt;i&gt;life current&lt;/i&gt; except you infuse the current with negative energy, so it heals undead and harms living creatures.&lt;/p&gt;</t>
  </si>
  <si>
    <t>&lt;link rel="stylesheet"href="PF.css"&gt;&lt;div class="heading"&gt;&lt;p class="alignleft"&gt;Unlife Current&lt;/p&gt;&lt;div style="clear: both;"&gt;&lt;/div&gt;&lt;/div&gt;&lt;div&gt;&lt;h5&gt;&lt;b&gt;School &lt;/b&gt;conjuration (healing) [water]; &lt;b&gt;Level &lt;/b&gt;antipaladin 3, cleric/oracle 3, druid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&lt;/b&gt;current or portion of current up to 20 feet wide and 100 feet long&lt;/h5&gt;&lt;h5&gt;&lt;b&gt;Duration &lt;/b&gt;1 round&lt;/h5&gt;&lt;h5&gt;&lt;b&gt;Saving Throw &lt;/b&gt;Will half; &lt;b&gt;Spell Resistance &lt;/b&gt;yes&lt;/h5&gt;&lt;/div&gt;&lt;hr/&gt;&lt;div&gt;&lt;h5&gt;&lt;b&gt;DESCRIPTION&lt;/b&gt;&lt;/h5&gt;&lt;/div&gt;&lt;hr/&gt;&lt;div&gt;&lt;h4&gt;&lt;p&gt;This functions as &lt;i&gt;life current&lt;/i&gt; except you infuse the current with negative energy, so it heals undead and harms living creatures.&lt;/p&gt;&lt;/h4&gt;&lt;/div&gt;</t>
  </si>
  <si>
    <t>Wave Form</t>
  </si>
  <si>
    <t>bloodrager 4, cleric/oracle 4, druid 4, shaman 4, sorcerer/wizard 4</t>
  </si>
  <si>
    <t>Error- missing semicolon</t>
  </si>
  <si>
    <t>Saving Throw see text  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t>
  </si>
  <si>
    <t>&lt;p&gt;&lt;b&gt;Saving Throw&lt;/b&gt; see text  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prone.&lt;/p&gt;</t>
  </si>
  <si>
    <t>&lt;link rel="stylesheet"href="PF.css"&gt;&lt;div class="heading"&gt;&lt;p class="alignleft"&gt;Wave Form&lt;/p&gt;&lt;div style="clear: both;"&gt;&lt;/div&gt;&lt;/div&gt;&lt;div&gt;&lt;h5&gt;&lt;b&gt;School &lt;/b&gt;transmutation [water]; &lt;b&gt;Level &lt;/b&gt;bloodrager 4, cleric/oracle 4, druid 4, shaman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&lt;/b&gt;instantaneous&lt;/h5&gt;&lt;h5&gt;&lt;b&gt;Saving Throw &lt;/b&gt;Error- missing semicolon; &lt;b&gt;Spell Resistance &lt;/b&gt;&lt;/h5&gt;&lt;/div&gt;&lt;hr/&gt;&lt;div&gt;&lt;h5&gt;&lt;b&gt;DESCRIPTION&lt;/b&gt;&lt;/h5&gt;&lt;/div&gt;&lt;hr/&gt;&lt;div&gt;&lt;h4&gt;&lt;p&gt;&lt;b&gt;Saving Throw&lt;/b&gt; see text  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prone.&lt;/p&gt;&lt;/h4&gt;&lt;/div&gt;</t>
  </si>
  <si>
    <t>Absorb Rune I</t>
  </si>
  <si>
    <t>bard 4, cleric/oracle 4, magus 4, occultist 4, sorcerer/wizard 4</t>
  </si>
  <si>
    <t>V, S, M (a white silk glove worth 25 gp)</t>
  </si>
  <si>
    <t>one spell effect</t>
  </si>
  <si>
    <t>instantaneous plus 1 minute/ level (see text)</t>
  </si>
  <si>
    <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Absorb rune I affects only runes whose effects are equivalent to a spell of 3rd level or lower. An attempt to use absorb rune I on a more powerful effect automatically triggers the rune when you touch it.</t>
  </si>
  <si>
    <t>&lt;p&gt;This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&lt;i&gt;Absorb rune I&lt;/i&gt; affects only runes whose effects are equivalent to a spell of 3rd level or lower. An attempt to use &lt;i&gt;absorb rune I&lt;/i&gt; on a more powerful effect automatically triggers the rune when you touch it.&lt;/p&gt;</t>
  </si>
  <si>
    <t>&lt;link rel="stylesheet"href="PF.css"&gt;&lt;div class="heading"&gt;&lt;p class="alignleft"&gt;Absorb Rune I&lt;/p&gt;&lt;div style="clear: both;"&gt;&lt;/div&gt;&lt;/div&gt;&lt;div&gt;&lt;h5&gt;&lt;b&gt;School &lt;/b&gt;abjuration; &lt;b&gt;Level &lt;/b&gt;bard 4, cleric/oracle 4, magus 4, occultist 4, sorcerer/wizard 4&lt;/h5&gt;&lt;/div&gt;&lt;hr/&gt;&lt;div&gt;&lt;h5&gt;&lt;b&gt;CASTING&lt;/b&gt;&lt;/h5&gt;&lt;/div&gt;&lt;hr/&gt;&lt;div&gt;&lt;h5&gt;&lt;b&gt;Casting Time &lt;/b&gt;1 standard action&lt;/h5&gt;&lt;h5&gt;&lt;b&gt;Components &lt;/b&gt;V, S, M (a white silk glove worth 25 gp)&lt;/h5&gt;&lt;/div&gt;&lt;hr/&gt;&lt;div&gt;&lt;h5&gt;&lt;b&gt;EFFECT&lt;/b&gt;&lt;/h5&gt;&lt;/div&gt;&lt;hr/&gt;&lt;div&gt;&lt;h5&gt;&lt;b&gt;Range &lt;/b&gt;touch&lt;/h5&gt;&lt;h5&gt;&lt;b&gt;Targets &lt;/b&gt;one spell effect&lt;/h5&gt;&lt;h5&gt;&lt;b&gt;Duration &lt;/b&gt;instantaneous plus 1 minute/ level (see text)&lt;/h5&gt;&lt;h5&gt;&lt;b&gt;Saving Throw &lt;/b&gt;Will negates (harmless); &lt;b&gt;Spell Resistance &lt;/b&gt;yes (harmless)&lt;/h5&gt;&lt;/div&gt;&lt;hr/&gt;&lt;div&gt;&lt;h5&gt;&lt;b&gt;DESCRIPTION&lt;/b&gt;&lt;/h5&gt;&lt;/div&gt;&lt;hr/&gt;&lt;div&gt;&lt;h4&gt;&lt;p&gt;This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&lt;i&gt;Absorb rune I&lt;/i&gt; affects only runes whose effects are equivalent to a spell of 3rd level or lower. An attempt to use &lt;i&gt;absorb rune I&lt;/i&gt; on a more powerful effect automatically triggers the rune when you touch it.&lt;/p&gt;&lt;/h4&gt;&lt;/div&gt;</t>
  </si>
  <si>
    <t>Absorb Rune II</t>
  </si>
  <si>
    <t>bard 6, cleric/oracle 6, magus 6, occultist 6, sorcerer/wizard 6</t>
  </si>
  <si>
    <t>This spell functions like absorb rune I, but it can affect runes equivalent to a spell of 5th level or lower.</t>
  </si>
  <si>
    <t>&lt;p&gt;This spell functions like &lt;i&gt;absorb rune I&lt;/i&gt;, but it can affect runes equivalent to a spell of 5th level or lower.&lt;/p&gt;</t>
  </si>
  <si>
    <t>&lt;link rel="stylesheet"href="PF.css"&gt;&lt;div class="heading"&gt;&lt;p class="alignleft"&gt;Absorb Rune II&lt;/p&gt;&lt;div style="clear: both;"&gt;&lt;/div&gt;&lt;/div&gt;&lt;div&gt;&lt;h5&gt;&lt;b&gt;School &lt;/b&gt;abjuration; &lt;b&gt;Level &lt;/b&gt;bard 6, cleric/oracle 6, magus 6, occultist 6, sorcerer/wizard 6&lt;/h5&gt;&lt;/div&gt;&lt;hr/&gt;&lt;div&gt;&lt;h5&gt;&lt;b&gt;CASTING&lt;/b&gt;&lt;/h5&gt;&lt;/div&gt;&lt;hr/&gt;&lt;div&gt;&lt;h5&gt;&lt;b&gt;Casting Time &lt;/b&gt;1 standard action&lt;/h5&gt;&lt;h5&gt;&lt;b&gt;Components &lt;/b&gt;V, S, M (a white silk glove worth 25 gp)&lt;/h5&gt;&lt;/div&gt;&lt;hr/&gt;&lt;div&gt;&lt;h5&gt;&lt;b&gt;EFFECT&lt;/b&gt;&lt;/h5&gt;&lt;/div&gt;&lt;hr/&gt;&lt;div&gt;&lt;h5&gt;&lt;b&gt;Range &lt;/b&gt;touch&lt;/h5&gt;&lt;h5&gt;&lt;b&gt;Targets &lt;/b&gt;one spell effect&lt;/h5&gt;&lt;h5&gt;&lt;b&gt;Duration &lt;/b&gt;instantaneous plus 1 minute/ level (see text)&lt;/h5&gt;&lt;h5&gt;&lt;b&gt;Saving Throw &lt;/b&gt;Will negates (harmless); &lt;b&gt;Spell Resistance &lt;/b&gt;yes (harmless)&lt;/h5&gt;&lt;/div&gt;&lt;hr/&gt;&lt;div&gt;&lt;h5&gt;&lt;b&gt;DESCRIPTION&lt;/b&gt;&lt;/h5&gt;&lt;/div&gt;&lt;hr/&gt;&lt;div&gt;&lt;h4&gt;&lt;p&gt;This spell functions like &lt;i&gt;absorb rune I&lt;/i&gt;, but it can affect runes equivalent to a spell of 5th level or lower.&lt;/p&gt;&lt;/h4&gt;&lt;/div&gt;</t>
  </si>
  <si>
    <t>Absorb Rune III</t>
  </si>
  <si>
    <t>This spell functions like absorb rune I, but it can affect runes equivalent to a spell of 8th level or lower.</t>
  </si>
  <si>
    <t>&lt;p&gt;This spell functions like &lt;i&gt;absorb rune I&lt;/i&gt;, but it can affect runes equivalent to a spell of 8th level or lower.&lt;/p&gt;</t>
  </si>
  <si>
    <t>&lt;link rel="stylesheet"href="PF.css"&gt;&lt;div class="heading"&gt;&lt;p class="alignleft"&gt;Absorb Rune III&lt;/p&gt;&lt;div style="clear: both;"&gt;&lt;/div&gt;&lt;/div&gt;&lt;div&gt;&lt;h5&gt;&lt;b&gt;School &lt;/b&gt;abjuration; &lt;b&gt;Level &lt;/b&gt;cleric/oracle 9, sorcerer/wizard 9&lt;/h5&gt;&lt;/div&gt;&lt;hr/&gt;&lt;div&gt;&lt;h5&gt;&lt;b&gt;CASTING&lt;/b&gt;&lt;/h5&gt;&lt;/div&gt;&lt;hr/&gt;&lt;div&gt;&lt;h5&gt;&lt;b&gt;Casting Time &lt;/b&gt;1 standard action&lt;/h5&gt;&lt;h5&gt;&lt;b&gt;Components &lt;/b&gt;V, S, M (a white silk glove worth 25 gp)&lt;/h5&gt;&lt;/div&gt;&lt;hr/&gt;&lt;div&gt;&lt;h5&gt;&lt;b&gt;EFFECT&lt;/b&gt;&lt;/h5&gt;&lt;/div&gt;&lt;hr/&gt;&lt;div&gt;&lt;h5&gt;&lt;b&gt;Range &lt;/b&gt;touch&lt;/h5&gt;&lt;h5&gt;&lt;b&gt;Targets &lt;/b&gt;one spell effect&lt;/h5&gt;&lt;h5&gt;&lt;b&gt;Duration &lt;/b&gt;instantaneous plus 1 minute/ level (see text)&lt;/h5&gt;&lt;h5&gt;&lt;b&gt;Saving Throw &lt;/b&gt;Will negates (harmless); &lt;b&gt;Spell Resistance &lt;/b&gt;yes (harmless)&lt;/h5&gt;&lt;/div&gt;&lt;hr/&gt;&lt;div&gt;&lt;h5&gt;&lt;b&gt;DESCRIPTION&lt;/b&gt;&lt;/h5&gt;&lt;/div&gt;&lt;hr/&gt;&lt;div&gt;&lt;h4&gt;&lt;p&gt;This spell functions like &lt;i&gt;absorb rune I&lt;/i&gt;, but it can affect runes equivalent to a spell of 8th level or lower.&lt;/p&gt;&lt;/h4&gt;&lt;/div&gt;</t>
  </si>
  <si>
    <t>Hidden Knowledge</t>
  </si>
  <si>
    <t>up to 1 day/level (see text)</t>
  </si>
  <si>
    <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detect magic spell or a successful Linguistics or Spellcraft check (DC 20 + your Intelligence modifier) reveals an enchanted tattoo, but not its contents. The effects of hidden knowledge can be dispelled normally, in which case the knowledge is completely lost.</t>
  </si>
  <si>
    <t>&lt;p&gt;This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&lt;i&gt;detect magic&lt;/i&gt; spell or a successful Linguistics or Spellcraft check (DC 20 + your Intelligence modifier) reveals an enchanted tattoo, but not its contents. The effects of &lt;i&gt;hidden knowledge&lt;/i&gt; can be dispelled normally, in which case the knowledge is completely lost.&lt;/p&gt;</t>
  </si>
  <si>
    <t>&lt;link rel="stylesheet"href="PF.css"&gt;&lt;div class="heading"&gt;&lt;p class="alignleft"&gt;Hidden Knowledge&lt;/p&gt;&lt;div style="clear: both;"&gt;&lt;/div&gt;&lt;/div&gt;&lt;div&gt;&lt;h5&gt;&lt;b&gt;School &lt;/b&gt;transmutation; &lt;b&gt;Level &lt;/b&gt;bard 2, medium 2, mesmerist 2, occultist 2, psychic 2, sorcerer/wizard 2&lt;/h5&gt;&lt;/div&gt;&lt;hr/&gt;&lt;div&gt;&lt;h5&gt;&lt;b&gt;CASTING&lt;/b&gt;&lt;/h5&gt;&lt;/div&gt;&lt;hr/&gt;&lt;div&gt;&lt;h5&gt;&lt;b&gt;Casting Time &lt;/b&gt;1 round&lt;/h5&gt;&lt;h5&gt;&lt;b&gt;Components &lt;/b&gt;V, S, M (a drop of ink)&lt;/h5&gt;&lt;/div&gt;&lt;hr/&gt;&lt;div&gt;&lt;h5&gt;&lt;b&gt;EFFECT&lt;/b&gt;&lt;/h5&gt;&lt;/div&gt;&lt;hr/&gt;&lt;div&gt;&lt;h5&gt;&lt;b&gt;Range &lt;/b&gt;personal&lt;/h5&gt;&lt;h5&gt;&lt;b&gt;Targets &lt;/b&gt;you&lt;/h5&gt;&lt;h5&gt;&lt;b&gt;Duration &lt;/b&gt;up to 1 day/level (see text)&lt;/h5&gt;&lt;/div&gt;&lt;hr/&gt;&lt;div&gt;&lt;h5&gt;&lt;b&gt;DESCRIPTION&lt;/b&gt;&lt;/h5&gt;&lt;/div&gt;&lt;hr/&gt;&lt;div&gt;&lt;h4&gt;&lt;p&gt;This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&lt;i&gt;detect magic&lt;/i&gt; spell or a successful Linguistics or Spellcraft check (DC 20 + your Intelligence modifier) reveals an enchanted tattoo, but not its contents. The effects of &lt;i&gt;hidden knowledge&lt;/i&gt; can be dispelled normally, in which case the knowledge is completely lost.&lt;/p&gt;&lt;/h4&gt;&lt;/div&gt;</t>
  </si>
  <si>
    <t>Rune Trace</t>
  </si>
  <si>
    <t>bard 1, cleric/oracle 1, occultist 1, psychic 1, sorcerer/wizard 1</t>
  </si>
  <si>
    <t>V, S, M (pinch of powdered gemstones worth 25 gp)</t>
  </si>
  <si>
    <t>rune touched</t>
  </si>
  <si>
    <t>By immersing yourself fully in the intricacies of a carved or written rune of any kind, you can divine the elements of that rune's nature. While casting rune trace,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Age: You learn if the rune was placed within the last 24 hours, within the last month, within the last year, within the last decade, within the last century, or prior to the last century.  Insight: If you have cast rune trace on a magical rune, you gain a +5 bonus on all skill rolls and checks to dispel, disable, or otherwise tamper with the rune.  Language: You learn what language the character of the rune is taken from, or in the case of a rune that has no language, you learn that it is a unique image.  Purpose: You learn the general purpose of the rune (such as whether it's a decoration, information, a magical defense, or a warning).</t>
  </si>
  <si>
    <t>&lt;p&gt;By immersing yourself fully in the intricacies of a carved or written rune of any kind, you can divine the elements of that rune's nature. While casting &lt;i&gt;rune trace&lt;/i&gt;,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&lt;br&gt;&lt;b&gt;Age&lt;/b&gt;: You learn if the rune was placed within the last 24 hours, within the last month, within the last year, within the last decade, within the last century, or prior to the last century.  &lt;br&gt;&lt;b&gt;Insight&lt;/b&gt;: If you have cast &lt;i&gt;rune trace&lt;/i&gt; on a magical rune, you gain a +5 bonus on all skill rolls and checks to dispel, disable, or otherwise tamper with the rune.  &lt;br&gt;&lt;b&gt;Language&lt;/b&gt;: You learn what language the character of the rune is taken from, or in the case of a rune that has no language, you learn that it is a unique image.  &lt;b&gt;Purpose&lt;/b&gt;: You learn the general purpose of the rune (such as whether it's a decoration, information, a magical defense, or a warning).&lt;/p&gt;</t>
  </si>
  <si>
    <t>&lt;link rel="stylesheet"href="PF.css"&gt;&lt;div class="heading"&gt;&lt;p class="alignleft"&gt;Rune Trace&lt;/p&gt;&lt;div style="clear: both;"&gt;&lt;/div&gt;&lt;/div&gt;&lt;div&gt;&lt;h5&gt;&lt;b&gt;School &lt;/b&gt;divination; &lt;b&gt;Level &lt;/b&gt;bard 1, cleric/oracle 1, occultist 1, psychic 1, sorcerer/wizard 1&lt;/h5&gt;&lt;/div&gt;&lt;hr/&gt;&lt;div&gt;&lt;h5&gt;&lt;b&gt;CASTING&lt;/b&gt;&lt;/h5&gt;&lt;/div&gt;&lt;hr/&gt;&lt;div&gt;&lt;h5&gt;&lt;b&gt;Casting Time &lt;/b&gt;1 minute&lt;/h5&gt;&lt;h5&gt;&lt;b&gt;Components &lt;/b&gt;V, S, M (pinch of powdered gemstones worth 25 gp)&lt;/h5&gt;&lt;/div&gt;&lt;hr/&gt;&lt;div&gt;&lt;h5&gt;&lt;b&gt;EFFECT&lt;/b&gt;&lt;/h5&gt;&lt;/div&gt;&lt;hr/&gt;&lt;div&gt;&lt;h5&gt;&lt;b&gt;Range &lt;/b&gt;touch&lt;/h5&gt;&lt;h5&gt;&lt;b&gt;Targets &lt;/b&gt;rune touched&lt;/h5&gt;&lt;h5&gt;&lt;b&gt;Duration &lt;/b&gt;instantaneous&lt;/h5&gt;&lt;h5&gt;&lt;b&gt;Saving Throw &lt;/b&gt;none; &lt;b&gt;Spell Resistance &lt;/b&gt;no&lt;/h5&gt;&lt;/div&gt;&lt;hr/&gt;&lt;div&gt;&lt;h5&gt;&lt;b&gt;DESCRIPTION&lt;/b&gt;&lt;/h5&gt;&lt;/div&gt;&lt;hr/&gt;&lt;div&gt;&lt;h4&gt;&lt;p&gt;By immersing yourself fully in the intricacies of a carved or written rune of any kind, you can divine the elements of that rune's nature. While casting &lt;i&gt;rune trace&lt;/i&gt;,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&lt;br&gt;&lt;b&gt;Age&lt;/b&gt;: You learn if the rune was placed within the last 24 hours, within the last month, within the last year, within the last decade, within the last century, or prior to the last century.  &lt;br&gt;&lt;b&gt;Insight&lt;/b&gt;: If you have cast &lt;i&gt;rune trace&lt;/i&gt; on a magical rune, you gain a +5 bonus on all skill rolls and checks to dispel, disable, or otherwise tamper with the rune.  &lt;br&gt;&lt;b&gt;Language&lt;/b&gt;: You learn what language the character of the rune is taken from, or in the case of a rune that has no language, you learn that it is a unique image.  &lt;b&gt;Purpose&lt;/b&gt;: You learn the general purpose of the rune (such as whether it's a decoration, information, a magical defense, or a warning).&lt;/p&gt;&lt;/h4&gt;&lt;/div&gt;</t>
  </si>
  <si>
    <t>Rune Of Rule</t>
  </si>
  <si>
    <t>bard 2, occultist 2, sorcerer/wizard 2, witch 2</t>
  </si>
  <si>
    <t>V, S, M (vial of paint worth 25 gp)</t>
  </si>
  <si>
    <t>1 day or until activated (see description)</t>
  </si>
  <si>
    <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rune of rule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rune of rule at a time. Charity: A creature bearing this mark gains a +5 insight bonus on a single attack roll or skill check attempted at the request of another creature, provided the creature bearing this mark does not gain any immediate benefit or reward for making the roll or attempting the check. Generosity: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Humility: When a creature activates the rune of humility, it does not provoke attacks of opportunity for 1 round. Kindness: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Love: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Temperance: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Zeal: A creature that activates the rune of zeal gains a +3 bonus on Will saves, and the save DCs of all language-dependent effects created by the creature increase by 1; these effects last for 1 round.</t>
  </si>
  <si>
    <t>&lt;p&gt;Investigations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&lt;i&gt;rune of rule&lt;/i&gt;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&lt;i&gt;rune of rule&lt;/i&gt; at a time. &lt;b&gt;Charity&lt;/b&gt;: A creature bearing this mark gains a +5 insight bonus on a single attack roll or skill check attempted at the request of another creature, provided the creature bearing this mark does not gain any immediate benefit or reward for making the roll or attempting the check. &lt;b&gt;Generosity&lt;/b&gt;: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&lt;b&gt;Humility&lt;/b&gt;: When a creature activates the rune of humility, it does not provoke attacks of opportunity for 1 round. &lt;b&gt;Kindness&lt;/b&gt;: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&lt;b&gt;Love&lt;/b&gt;: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&lt;b&gt;Temperance&lt;/b&gt;: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&lt;b&gt;Zeal&lt;/b&gt;: A creature that activates the rune of zeal gains a +3 bonus on Will saves, and the save DCs of all language-dependent effects created by the creature increase by 1; these effects last for 1 round.&lt;/p&gt;</t>
  </si>
  <si>
    <t>&lt;link rel="stylesheet"href="PF.css"&gt;&lt;div class="heading"&gt;&lt;p class="alignleft"&gt;Rune Of Rule&lt;/p&gt;&lt;div style="clear: both;"&gt;&lt;/div&gt;&lt;/div&gt;&lt;div&gt;&lt;h5&gt;&lt;b&gt;School &lt;/b&gt;transmutation; &lt;b&gt;Level &lt;/b&gt;bard 2, occultist 2, sorcerer/wizard 2, witch 2&lt;/h5&gt;&lt;/div&gt;&lt;hr/&gt;&lt;div&gt;&lt;h5&gt;&lt;b&gt;CASTING&lt;/b&gt;&lt;/h5&gt;&lt;/div&gt;&lt;hr/&gt;&lt;div&gt;&lt;h5&gt;&lt;b&gt;Casting Time &lt;/b&gt;1 minute&lt;/h5&gt;&lt;h5&gt;&lt;b&gt;Components &lt;/b&gt;V, S, M (vial of paint worth 25 gp)&lt;/h5&gt;&lt;/div&gt;&lt;hr/&gt;&lt;div&gt;&lt;h5&gt;&lt;b&gt;EFFECT&lt;/b&gt;&lt;/h5&gt;&lt;/div&gt;&lt;hr/&gt;&lt;div&gt;&lt;h5&gt;&lt;b&gt;Range &lt;/b&gt;close (25 ft. + 5 ft./2 levels)&lt;/h5&gt;&lt;h5&gt;&lt;b&gt;Targets &lt;/b&gt;one living creature&lt;/h5&gt;&lt;h5&gt;&lt;b&gt;Duration &lt;/b&gt;1 day or until activated (see description)&lt;/h5&gt;&lt;h5&gt;&lt;b&gt;Saving Throw &lt;/b&gt;Will (harmless); &lt;b&gt;Spell Resistance &lt;/b&gt;yes (harmless)&lt;/h5&gt;&lt;/div&gt;&lt;hr/&gt;&lt;div&gt;&lt;h5&gt;&lt;b&gt;DESCRIPTION&lt;/b&gt;&lt;/h5&gt;&lt;/div&gt;&lt;hr/&gt;&lt;div&gt;&lt;h4&gt;&lt;p&gt;Investigations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&lt;i&gt;rune of rule&lt;/i&gt;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&lt;i&gt;rune of rule&lt;/i&gt; at a time. &lt;br&gt;&lt;b&gt;Charity&lt;/b&gt;: A creature bearing this mark gains a +5 insight bonus on a single attack roll or skill check attempted at the request of another creature, provided the creature bearing this mark does not gain any immediate benefit or reward for making the roll or attempting the check. &lt;br&gt;&lt;b&gt;Generosity&lt;/b&gt;: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&lt;br&gt;&lt;b&gt;Humility&lt;/b&gt;: When a creature activates the rune of humility, it does not provoke attacks of opportunity for 1 round. &lt;br&gt;&lt;b&gt;Kindness&lt;/b&gt;: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&lt;br&gt;&lt;b&gt;Love&lt;/b&gt;: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&lt;br&gt;&lt;b&gt;Temperance&lt;/b&gt;: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&lt;br&gt;&lt;b&gt;Zeal&lt;/b&gt;: A creature that activates the rune of zeal gains a +3 bonus on Will saves, and the save DCs of all language-dependent effects created by the creature increase by 1; these effects last for 1 round.&lt;/p&gt;&lt;/h4&gt;&lt;/div&gt;</t>
  </si>
  <si>
    <t>Slave To Sin</t>
  </si>
  <si>
    <t>bard 2, cleric/oracle 3, inquisitor 3, mesmerist 2, paladin 2, sorcerer/wizard 3, witch 3</t>
  </si>
  <si>
    <t>V, S, M/DF (a scrap of paper inscribed with the Sihedron rune)</t>
  </si>
  <si>
    <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t>
  </si>
  <si>
    <t>&lt;p&gt;This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beauty).&lt;/p&gt;</t>
  </si>
  <si>
    <t>&lt;link rel="stylesheet"href="PF.css"&gt;&lt;div class="heading"&gt;&lt;p class="alignleft"&gt;Slave To Sin&lt;/p&gt;&lt;div style="clear: both;"&gt;&lt;/div&gt;&lt;/div&gt;&lt;div&gt;&lt;h5&gt;&lt;b&gt;School &lt;/b&gt;enchantment (compulsion) [emotion&lt;sup&gt;UM&lt;/sup&gt;, mind-affecting]; &lt;b&gt;Level &lt;/b&gt;bard 2, cleric/oracle 3, inquisitor 3, mesmerist 2, paladin 2, sorcerer/wizard 3, witch 3&lt;/h5&gt;&lt;/div&gt;&lt;hr/&gt;&lt;div&gt;&lt;h5&gt;&lt;b&gt;CASTING&lt;/b&gt;&lt;/h5&gt;&lt;/div&gt;&lt;hr/&gt;&lt;div&gt;&lt;h5&gt;&lt;b&gt;Casting Time &lt;/b&gt;1 standard action&lt;/h5&gt;&lt;h5&gt;&lt;b&gt;Components &lt;/b&gt;V, S, M/DF (a scrap of paper inscribed with the Sihedron rune)&lt;/h5&gt;&lt;/div&gt;&lt;hr/&gt;&lt;div&gt;&lt;h5&gt;&lt;b&gt;EFFECT&lt;/b&gt;&lt;/h5&gt;&lt;/div&gt;&lt;hr/&gt;&lt;div&gt;&lt;h5&gt;&lt;b&gt;Range &lt;/b&gt;close (25 ft. + 5 ft./2 levels)&lt;/h5&gt;&lt;h5&gt;&lt;b&gt;Targets &lt;/b&gt;one living creature&lt;/h5&gt;&lt;h5&gt;&lt;b&gt;Duration &lt;/b&gt;1 round/level&lt;/h5&gt;&lt;h5&gt;&lt;b&gt;Saving Throw &lt;/b&gt;Will negates (see below); &lt;b&gt;Spell Resistance &lt;/b&gt;yes&lt;/h5&gt;&lt;/div&gt;&lt;hr/&gt;&lt;div&gt;&lt;h5&gt;&lt;b&gt;DESCRIPTION&lt;/b&gt;&lt;/h5&gt;&lt;/div&gt;&lt;hr/&gt;&lt;div&gt;&lt;h4&gt;&lt;p&gt;This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beauty).&lt;/p&gt;&lt;/h4&gt;&lt;/div&gt;</t>
  </si>
  <si>
    <t>Detect Charm</t>
  </si>
  <si>
    <t>bard 1, cleric/oracle 1, inquisitor 1, medium 1, mesmerist 1, occultist 1, paladin 1, psychic 1, shaman 1, sorcerer/wizard 1, spiritualist 1, witch 1</t>
  </si>
  <si>
    <t>V, S Range 60 ft.</t>
  </si>
  <si>
    <t>This spell functions as per detect magic, except that it detects only charm, compulsion, and possession effects. You immediately detect the strength and location of each such aura on all creatures in the area. You can attempt to identify the properties of each aura (see Spellcraft on page 106 the Pathfinder RPG Core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t>
  </si>
  <si>
    <t>&lt;p&gt;This spell functions as per &lt;i&gt;detect magic&lt;/i&gt;, except that it detects only charm, compulsion, and possession effects. You immediately detect the strength and location of each such aura on all creatures in the area. You can attempt to identify the properties of each aura (see Spellcraft on page 106 the &lt;i&gt;Pathfinder RPG Core&lt;/i&gt;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area).&lt;/p&gt;</t>
  </si>
  <si>
    <t>&lt;link rel="stylesheet"href="PF.css"&gt;&lt;div class="heading"&gt;&lt;p class="alignleft"&gt;Detect Charm&lt;/p&gt;&lt;div style="clear: both;"&gt;&lt;/div&gt;&lt;/div&gt;&lt;div&gt;&lt;h5&gt;&lt;b&gt;School &lt;/b&gt;divination; &lt;b&gt;Level &lt;/b&gt;bard 1, cleric/oracle 1, inquisitor 1, medium 1, mesmerist 1, occultist 1, paladin 1, psychic 1, shaman 1, sorcerer/wizard 1, spiritualist 1, witch 1&lt;/h5&gt;&lt;/div&gt;&lt;hr/&gt;&lt;div&gt;&lt;h5&gt;&lt;b&gt;CASTING&lt;/b&gt;&lt;/h5&gt;&lt;/div&gt;&lt;hr/&gt;&lt;div&gt;&lt;h5&gt;&lt;b&gt;Casting Time &lt;/b&gt;1 standard action&lt;/h5&gt;&lt;h5&gt;&lt;b&gt;Components &lt;/b&gt;V, S Range 60 ft.&lt;/h5&gt;&lt;/div&gt;&lt;hr/&gt;&lt;div&gt;&lt;h5&gt;&lt;b&gt;EFFECT&lt;/b&gt;&lt;/h5&gt;&lt;/div&gt;&lt;hr/&gt;&lt;div&gt;&lt;h5&gt;&lt;b&gt;Area &lt;/b&gt;cone-shaped emanation&lt;/h5&gt;&lt;h5&gt;&lt;b&gt;Duration &lt;/b&gt;concentration, up to 1 minute/level (D)&lt;/h5&gt;&lt;h5&gt;&lt;b&gt;Saving Throw &lt;/b&gt;none; &lt;b&gt;Spell Resistance &lt;/b&gt;no&lt;/h5&gt;&lt;/div&gt;&lt;hr/&gt;&lt;div&gt;&lt;h5&gt;&lt;b&gt;DESCRIPTION&lt;/b&gt;&lt;/h5&gt;&lt;/div&gt;&lt;hr/&gt;&lt;div&gt;&lt;h4&gt;&lt;p&gt;This spell functions as per &lt;i&gt;detect magic&lt;/i&gt;, except that it detects only charm, compulsion, and possession effects. You immediately detect the strength and location of each such aura on all creatures in the area. You can attempt to identify the properties of each aura (see Spellcraft on page 106 the &lt;i&gt;Pathfinder RPG Core&lt;/i&gt;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area).&lt;/p&gt;&lt;/h4&gt;&lt;/div&gt;</t>
  </si>
  <si>
    <t>Summon Flight Of Eagles</t>
  </si>
  <si>
    <t>bloodrager 4, druid 6, ranger 4, shaman 6, sorcerer/wizard 6, summoner 6, witch 6</t>
  </si>
  <si>
    <t>V, S, F (a gold feather worth 100 gp)</t>
  </si>
  <si>
    <t>1d4+1 summoned creatures</t>
  </si>
  <si>
    <t>You summon 1d4+1 giant eagles to serve as you designate. The summoned birds can fight if you wish, but can also serve as mounts.</t>
  </si>
  <si>
    <t>&lt;p&gt;You summon 1d4+1 giant eagles to serve as you designate. The summoned birds can fight if you wish, but can also serve as mounts.&lt;/p&gt;</t>
  </si>
  <si>
    <t>&lt;link rel="stylesheet"href="PF.css"&gt;&lt;div class="heading"&gt;&lt;p class="alignleft"&gt;Summon Flight Of Eagles&lt;/p&gt;&lt;div style="clear: both;"&gt;&lt;/div&gt;&lt;/div&gt;&lt;div&gt;&lt;h5&gt;&lt;b&gt;School &lt;/b&gt;conjuration (summoning); &lt;b&gt;Level &lt;/b&gt;bloodrager 4, druid 6, ranger 4, shaman 6, sorcerer/wizard 6, summoner 6, witch 6&lt;/h5&gt;&lt;/div&gt;&lt;hr/&gt;&lt;div&gt;&lt;h5&gt;&lt;b&gt;CASTING&lt;/b&gt;&lt;/h5&gt;&lt;/div&gt;&lt;hr/&gt;&lt;div&gt;&lt;h5&gt;&lt;b&gt;Casting Time &lt;/b&gt;1 round&lt;/h5&gt;&lt;h5&gt;&lt;b&gt;Components &lt;/b&gt;V, S, F (a gold feather worth 100 gp)&lt;/h5&gt;&lt;/div&gt;&lt;hr/&gt;&lt;div&gt;&lt;h5&gt;&lt;b&gt;EFFECT&lt;/b&gt;&lt;/h5&gt;&lt;/div&gt;&lt;hr/&gt;&lt;div&gt;&lt;h5&gt;&lt;b&gt;Range &lt;/b&gt;close (25 ft. + 5 ft./2 levels)&lt;/h5&gt;&lt;h5&gt;&lt;b&gt;Effect &lt;/b&gt;1d4+1 summoned creatures&lt;/h5&gt;&lt;h5&gt;&lt;b&gt;Duration &lt;/b&gt;10 minutes/level&lt;/h5&gt;&lt;h5&gt;&lt;b&gt;Saving Throw &lt;/b&gt;none; &lt;b&gt;Spell Resistance &lt;/b&gt;no&lt;/h5&gt;&lt;/div&gt;&lt;hr/&gt;&lt;div&gt;&lt;h5&gt;&lt;b&gt;DESCRIPTION&lt;/b&gt;&lt;/h5&gt;&lt;/div&gt;&lt;hr/&gt;&lt;div&gt;&lt;h4&gt;&lt;p&gt;You summon 1d4+1 giant eagles to serve as you designate. The summoned birds can fight if you wish, but can also serve as mounts.&lt;/p&gt;&lt;/h4&gt;&lt;/div&gt;</t>
  </si>
  <si>
    <t>Suppress Charms And Compulsions</t>
  </si>
  <si>
    <t>bard 2, cleric/oracle 2, mesmerist 2, paladin 2, psychic 2, shaman 2, sorcerer/wizard 2</t>
  </si>
  <si>
    <t>10 minutes or concentration (up to 1 round/level); see text</t>
  </si>
  <si>
    <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t>
  </si>
  <si>
    <t>&lt;p&gt;You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normal.&lt;/p&gt;</t>
  </si>
  <si>
    <t>&lt;link rel="stylesheet"href="PF.css"&gt;&lt;div class="heading"&gt;&lt;p class="alignleft"&gt;Suppress Charms And Compulsions&lt;/p&gt;&lt;div style="clear: both;"&gt;&lt;/div&gt;&lt;/div&gt;&lt;div&gt;&lt;h5&gt;&lt;b&gt;School &lt;/b&gt;abjuration; &lt;b&gt;Level &lt;/b&gt;bard 2, cleric/oracle 2, mesmerist 2, paladin 2, psychic 2, shaman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4 levels, no two of which can be more than 30 ft. apart&lt;/h5&gt;&lt;h5&gt;&lt;b&gt;Duration &lt;/b&gt;10 minutes or concentration (up to 1 round/level); see text&lt;/h5&gt;&lt;h5&gt;&lt;b&gt;Saving Throw &lt;/b&gt;Will negates (harmless); &lt;b&gt;Spell Resistance &lt;/b&gt;yes (harmless)&lt;/h5&gt;&lt;/div&gt;&lt;hr/&gt;&lt;div&gt;&lt;h5&gt;&lt;b&gt;DESCRIPTION&lt;/b&gt;&lt;/h5&gt;&lt;/div&gt;&lt;hr/&gt;&lt;div&gt;&lt;h4&gt;&lt;p&gt;You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normal.&lt;/p&gt;&lt;/h4&gt;&lt;/div&gt;</t>
  </si>
  <si>
    <t>Brand Of Conformity</t>
  </si>
  <si>
    <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t>
  </si>
  <si>
    <t>&lt;p&gt;This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away.&lt;/p&gt;</t>
  </si>
  <si>
    <t>&lt;link rel="stylesheet"href="PF.css"&gt;&lt;div class="heading"&gt;&lt;p class="alignleft"&gt;Brand Of Conformity&lt;/p&gt;&lt;div style="clear: both;"&gt;&lt;/div&gt;&lt;/div&gt;&lt;div&gt;&lt;h5&gt;&lt;b&gt;School &lt;/b&gt;transmutation [curse&lt;sup&gt;UM&lt;/sup&gt;]; &lt;b&gt;Level &lt;/b&gt;inquisitor 1&lt;/h5&gt;&lt;/div&gt;&lt;hr/&gt;&lt;div&gt;&lt;h5&gt;&lt;b&gt;CASTING&lt;/b&gt;&lt;/h5&gt;&lt;/div&gt;&lt;hr/&gt;&lt;div&gt;&lt;h5&gt;&lt;b&gt;Casting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away.&lt;/p&gt;&lt;/h4&gt;&lt;/div&gt;</t>
  </si>
  <si>
    <t>Brand Of Hobbling</t>
  </si>
  <si>
    <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t>
  </si>
  <si>
    <t>&lt;p&gt;This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function.&lt;/p&gt;</t>
  </si>
  <si>
    <t>&lt;link rel="stylesheet"href="PF.css"&gt;&lt;div class="heading"&gt;&lt;p class="alignleft"&gt;Brand Of Hobbling&lt;/p&gt;&lt;div style="clear: both;"&gt;&lt;/div&gt;&lt;/div&gt;&lt;div&gt;&lt;h5&gt;&lt;b&gt;School &lt;/b&gt;transmutation [curse&lt;sup&gt;UM&lt;/sup&gt;]; &lt;b&gt;Level &lt;/b&gt;inquisitor 2&lt;/h5&gt;&lt;/div&gt;&lt;hr/&gt;&lt;div&gt;&lt;h5&gt;&lt;b&gt;CASTING&lt;/b&gt;&lt;/h5&gt;&lt;/div&gt;&lt;hr/&gt;&lt;div&gt;&lt;h5&gt;&lt;b&gt;Casting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function.&lt;/p&gt;&lt;/h4&gt;&lt;/div&gt;</t>
  </si>
  <si>
    <t>Brand Of Tracking</t>
  </si>
  <si>
    <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antimagic field), you cannot gain information about the target's location. This effect otherwise works as a locate creature spell that lasts for 1 minute per caster level. It can be fooled by mislead but not by polymorph.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Pathfinder RPG Core Rulebook).</t>
  </si>
  <si>
    <t>&lt;p&gt;This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&lt;i&gt;antimagic&lt;/i&gt; field), you cannot gain information about the target's location. This effect otherwise works as a &lt;i&gt;locate creature&lt;/i&gt; spell that lasts for 1 minute per caster level. It can be fooled by &lt;i&gt;mislead&lt;/i&gt; but not by &lt;i&gt;polymorph&lt;/i&gt;.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&lt;i&gt;Pathfinder RPG Core&lt;/i&gt; Rulebook).&lt;/p&gt;</t>
  </si>
  <si>
    <t>&lt;link rel="stylesheet"href="PF.css"&gt;&lt;div class="heading"&gt;&lt;p class="alignleft"&gt;Brand Of Tracking&lt;/p&gt;&lt;div style="clear: both;"&gt;&lt;/div&gt;&lt;/div&gt;&lt;div&gt;&lt;h5&gt;&lt;b&gt;School &lt;/b&gt;transmutation [curse&lt;sup&gt;UM&lt;/sup&gt;]; &lt;b&gt;Level &lt;/b&gt;inquisitor 4&lt;/h5&gt;&lt;/div&gt;&lt;hr/&gt;&lt;div&gt;&lt;h5&gt;&lt;b&gt;CASTING&lt;/b&gt;&lt;/h5&gt;&lt;/div&gt;&lt;hr/&gt;&lt;div&gt;&lt;h5&gt;&lt;b&gt;Casting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&lt;i&gt;antimagic&lt;/i&gt; field), you cannot gain information about the target's location. This effect otherwise works as a &lt;i&gt;locate creature&lt;/i&gt; spell that lasts for 1 minute per caster level. It can be fooled by &lt;i&gt;mislead&lt;/i&gt; but not by &lt;i&gt;polymorph&lt;/i&gt;.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&lt;i&gt;Pathfinder RPG Core&lt;/i&gt; Rulebook).&lt;/p&gt;&lt;/h4&gt;&lt;/div&gt;</t>
  </si>
  <si>
    <t>Dirge Of The Victorious Knights</t>
  </si>
  <si>
    <t>V, S, F (a medal from a dead Hellknight or a copy of a Chelish opera script, either worth at least 100 gp)</t>
  </si>
  <si>
    <t>120-ft. line, 10 ft. wide</t>
  </si>
  <si>
    <t>By performing part of the Chelish opera Victory of the Hellknights,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t>
  </si>
  <si>
    <t>&lt;p&gt;By performing part of the Chelish opera &lt;i&gt;Victory of the Hellknights&lt;/i&gt;,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I&lt;/p&gt;</t>
  </si>
  <si>
    <t>&lt;link rel="stylesheet"href="PF.css"&gt;&lt;div class="heading"&gt;&lt;p class="alignleft"&gt;Dirge Of The Victorious Knights&lt;/p&gt;&lt;div style="clear: both;"&gt;&lt;/div&gt;&lt;/div&gt;&lt;div&gt;&lt;h5&gt;&lt;b&gt;School &lt;/b&gt;illusion (shadow); &lt;b&gt;Level &lt;/b&gt;bard 6&lt;/h5&gt;&lt;/div&gt;&lt;hr/&gt;&lt;div&gt;&lt;h5&gt;&lt;b&gt;CASTING&lt;/b&gt;&lt;/h5&gt;&lt;/div&gt;&lt;hr/&gt;&lt;div&gt;&lt;h5&gt;&lt;b&gt;Casting Time &lt;/b&gt;1 round&lt;/h5&gt;&lt;h5&gt;&lt;b&gt;Components &lt;/b&gt;V, S, F (a medal from a dead Hellknight or a copy of a Chelish opera script, either worth at least 100 gp)&lt;/h5&gt;&lt;/div&gt;&lt;hr/&gt;&lt;div&gt;&lt;h5&gt;&lt;b&gt;EFFECT&lt;/b&gt;&lt;/h5&gt;&lt;/div&gt;&lt;hr/&gt;&lt;div&gt;&lt;h5&gt;&lt;b&gt;Range &lt;/b&gt;120 ft.&lt;/h5&gt;&lt;h5&gt;&lt;b&gt;Effect &lt;/b&gt;120-ft. line, 10 ft. wide&lt;/h5&gt;&lt;h5&gt;&lt;b&gt;Duration &lt;/b&gt;instantaneous&lt;/h5&gt;&lt;h5&gt;&lt;b&gt;Saving Throw &lt;/b&gt;Reflex half; &lt;b&gt;Spell Resistance &lt;/b&gt;yes&lt;/h5&gt;&lt;/div&gt;&lt;hr/&gt;&lt;div&gt;&lt;h5&gt;&lt;b&gt;DESCRIPTION&lt;/b&gt;&lt;/h5&gt;&lt;/div&gt;&lt;hr/&gt;&lt;div&gt;&lt;h4&gt;&lt;p&gt;By performing part of the Chelish opera &lt;i&gt;Victory of the Hellknights&lt;/i&gt;,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I&lt;/p&gt;&lt;/h4&gt;&lt;/div&gt;</t>
  </si>
  <si>
    <t>Infernal Challenger</t>
  </si>
  <si>
    <t>lawful; see text</t>
  </si>
  <si>
    <t>cleric/oracle 3, sorcerer/wizard 3, summoner 3</t>
  </si>
  <si>
    <t>V, S, F/DF (an iron badge or medallion)</t>
  </si>
  <si>
    <t>one called bearded devil and testing ground; see text</t>
  </si>
  <si>
    <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summon monster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t>
  </si>
  <si>
    <t>&lt;p&gt;This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&lt;i&gt;summon monster&lt;/i&gt;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descriptor.&lt;/p&gt;</t>
  </si>
  <si>
    <t>&lt;link rel="stylesheet"href="PF.css"&gt;&lt;div class="heading"&gt;&lt;p class="alignleft"&gt;Infernal Challenger&lt;/p&gt;&lt;div style="clear: both;"&gt;&lt;/div&gt;&lt;/div&gt;&lt;div&gt;&lt;h5&gt;&lt;b&gt;School &lt;/b&gt;conjuration (calling) [lawful; see text]; &lt;b&gt;Level &lt;/b&gt;cleric/oracle 3, sorcerer/wizard 3, summoner 3&lt;/h5&gt;&lt;/div&gt;&lt;hr/&gt;&lt;div&gt;&lt;h5&gt;&lt;b&gt;CASTING&lt;/b&gt;&lt;/h5&gt;&lt;/div&gt;&lt;hr/&gt;&lt;div&gt;&lt;h5&gt;&lt;b&gt;Casting Time &lt;/b&gt;1 round&lt;/h5&gt;&lt;h5&gt;&lt;b&gt;Components &lt;/b&gt;V, S, F/DF (an iron badge or medallion)&lt;/h5&gt;&lt;/div&gt;&lt;hr/&gt;&lt;div&gt;&lt;h5&gt;&lt;b&gt;EFFECT&lt;/b&gt;&lt;/h5&gt;&lt;/div&gt;&lt;hr/&gt;&lt;div&gt;&lt;h5&gt;&lt;b&gt;Range &lt;/b&gt;close (25 ft. + 5 ft./2 levels)&lt;/h5&gt;&lt;h5&gt;&lt;b&gt;Effect &lt;/b&gt;one called bearded devil and testing ground; see text&lt;/h5&gt;&lt;h5&gt;&lt;b&gt;Duration &lt;/b&gt;1 minute/level&lt;/h5&gt;&lt;h5&gt;&lt;b&gt;Saving Throw &lt;/b&gt;none; &lt;b&gt;Spell Resistance &lt;/b&gt;no&lt;/h5&gt;&lt;/div&gt;&lt;hr/&gt;&lt;div&gt;&lt;h5&gt;&lt;b&gt;DESCRIPTION&lt;/b&gt;&lt;/h5&gt;&lt;/div&gt;&lt;hr/&gt;&lt;div&gt;&lt;h4&gt;&lt;p&gt;This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&lt;i&gt;summon monster&lt;/i&gt;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descriptor.&lt;/p&gt;&lt;/h4&gt;&lt;/div&gt;</t>
  </si>
  <si>
    <t>Shackle</t>
  </si>
  <si>
    <t>cleric/oracle 2, inquisitor 2, ranger 2, sorcerer/wizard 2, summoner 2</t>
  </si>
  <si>
    <t>one set of restraints; see text</t>
  </si>
  <si>
    <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dimensional anchor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dimensional anchor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t>
  </si>
  <si>
    <t>&lt;p&gt;You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&lt;i&gt;dimensional anchor&lt;/i&gt;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&lt;i&gt;dimensional anchor&lt;/i&gt;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end.&lt;/p&gt;</t>
  </si>
  <si>
    <t>&lt;link rel="stylesheet"href="PF.css"&gt;&lt;div class="heading"&gt;&lt;p class="alignleft"&gt;Shackle&lt;/p&gt;&lt;div style="clear: both;"&gt;&lt;/div&gt;&lt;/div&gt;&lt;div&gt;&lt;h5&gt;&lt;b&gt;School &lt;/b&gt;conjuration (creation); &lt;b&gt;Level &lt;/b&gt;cleric/oracle 2, inquisitor 2, ranger 2, sorcerer/wizard 2, summoner 2&lt;/h5&gt;&lt;/div&gt;&lt;hr/&gt;&lt;div&gt;&lt;h5&gt;&lt;b&gt;CASTING&lt;/b&gt;&lt;/h5&gt;&lt;/div&gt;&lt;hr/&gt;&lt;div&gt;&lt;h5&gt;&lt;b&gt;Casting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&lt;/b&gt;one set of restraints; see text&lt;/h5&gt;&lt;h5&gt;&lt;b&gt;Duration &lt;/b&gt;1 hour/level&lt;/h5&gt;&lt;h5&gt;&lt;b&gt;Saving Throw &lt;/b&gt;Reflex negates; see text; &lt;b&gt;Spell Resistance &lt;/b&gt;no&lt;/h5&gt;&lt;/div&gt;&lt;hr/&gt;&lt;div&gt;&lt;h5&gt;&lt;b&gt;DESCRIPTION&lt;/b&gt;&lt;/h5&gt;&lt;/div&gt;&lt;hr/&gt;&lt;div&gt;&lt;h4&gt;&lt;p&gt;You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&lt;i&gt;dimensional anchor&lt;/i&gt;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&lt;i&gt;dimensional anchor&lt;/i&gt;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end.&lt;/p&gt;&lt;/h4&gt;&lt;/div&gt;</t>
  </si>
  <si>
    <t>Brightest Light</t>
  </si>
  <si>
    <t>bard 4, cleric/oracle 4, druid 4, inquisitor 4, magus 4, occultist 4, paladin 4, ranger 4, shaman 4, sorcerer/wizard 4</t>
  </si>
  <si>
    <t>This trademark spell of the Lantern Bearers functions as daylight,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t>
  </si>
  <si>
    <t>&lt;p&gt;This trademark spell of the Lantern Bearers functions as &lt;i&gt;daylight&lt;/i&gt;,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duration.&lt;/p&gt;</t>
  </si>
  <si>
    <t>&lt;link rel="stylesheet"href="PF.css"&gt;&lt;div class="heading"&gt;&lt;p class="alignleft"&gt;Brightest Light&lt;/p&gt;&lt;div style="clear: both;"&gt;&lt;/div&gt;&lt;/div&gt;&lt;div&gt;&lt;h5&gt;&lt;b&gt;School &lt;/b&gt;evocation [light]; &lt;b&gt;Level &lt;/b&gt;bard 4, cleric/oracle 4, druid 4, inquisitor 4, magus 4, occultist 4, paladin 4, ranger 4, shaman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&lt;/b&gt;1 hour/level (D)&lt;/h5&gt;&lt;h5&gt;&lt;b&gt;Saving Throw &lt;/b&gt;none; &lt;b&gt;Spell Resistance &lt;/b&gt;no&lt;/h5&gt;&lt;/div&gt;&lt;hr/&gt;&lt;div&gt;&lt;h5&gt;&lt;b&gt;DESCRIPTION&lt;/b&gt;&lt;/h5&gt;&lt;/div&gt;&lt;hr/&gt;&lt;div&gt;&lt;h4&gt;&lt;p&gt;This trademark spell of the Lantern Bearers functions as &lt;i&gt;daylight&lt;/i&gt;,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duration.&lt;/p&gt;&lt;/h4&gt;&lt;/div&gt;</t>
  </si>
  <si>
    <t>Detoxify</t>
  </si>
  <si>
    <t>cleric/oracle 3, druid 3, inquisitor 3, paladin 3, ranger 2, shaman 3, witch 3</t>
  </si>
  <si>
    <t>V, S, M (a dandelion stem)</t>
  </si>
  <si>
    <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t>
  </si>
  <si>
    <t>&lt;p&gt;You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itself.&lt;/p&gt;</t>
  </si>
  <si>
    <t>&lt;link rel="stylesheet"href="PF.css"&gt;&lt;div class="heading"&gt;&lt;p class="alignleft"&gt;Detoxify&lt;/p&gt;&lt;div style="clear: both;"&gt;&lt;/div&gt;&lt;/div&gt;&lt;div&gt;&lt;h5&gt;&lt;b&gt;School &lt;/b&gt;transmutation; &lt;b&gt;Level &lt;/b&gt;cleric/oracle 3, druid 3, inquisitor 3, paladin 3, ranger 2, shaman 3, witch 3&lt;/h5&gt;&lt;/div&gt;&lt;hr/&gt;&lt;div&gt;&lt;h5&gt;&lt;b&gt;CASTING&lt;/b&gt;&lt;/h5&gt;&lt;/div&gt;&lt;hr/&gt;&lt;div&gt;&lt;h5&gt;&lt;b&gt;Casting Time &lt;/b&gt;1 standard action&lt;/h5&gt;&lt;h5&gt;&lt;b&gt;Components &lt;/b&gt;V, S, M (a dandelion stem)&lt;/h5&gt;&lt;/div&gt;&lt;hr/&gt;&lt;div&gt;&lt;h5&gt;&lt;b&gt;EFFECT&lt;/b&gt;&lt;/h5&gt;&lt;/div&gt;&lt;hr/&gt;&lt;div&gt;&lt;h5&gt;&lt;b&gt;Range &lt;/b&gt;close (25 ft. + 5 ft./2 levels)&lt;/h5&gt;&lt;h5&gt;&lt;b&gt;Targets &lt;/b&gt;one creature&lt;/h5&gt;&lt;h5&gt;&lt;b&gt;Duration &lt;/b&gt;10 minutes/level&lt;/h5&gt;&lt;h5&gt;&lt;b&gt;Saving Throw &lt;/b&gt;Fortitude negates; &lt;b&gt;Spell Resistance &lt;/b&gt;yes&lt;/h5&gt;&lt;/div&gt;&lt;hr/&gt;&lt;div&gt;&lt;h5&gt;&lt;b&gt;DESCRIPTION&lt;/b&gt;&lt;/h5&gt;&lt;/div&gt;&lt;hr/&gt;&lt;div&gt;&lt;h4&gt;&lt;p&gt;You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itself.&lt;/p&gt;&lt;/h4&gt;&lt;/div&gt;</t>
  </si>
  <si>
    <t>Preserve Grace</t>
  </si>
  <si>
    <t>cleric/oracle 2, inquisitor 1, paladin 1</t>
  </si>
  <si>
    <t>V, S, F (a silver hand mirror worth 50 gp)</t>
  </si>
  <si>
    <t>one good-aligned creature</t>
  </si>
  <si>
    <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phylactery of faithfulness. The spell's guidance focuses on the protection of beauty and encourages peaceful resolution and mercy.</t>
  </si>
  <si>
    <t>&lt;p&gt;The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&lt;i&gt;phylactery of faithfulness&lt;/i&gt;. The spell's guidance focuses on the protection of beauty and encourages peaceful resolution and mercy.&lt;/p&gt;</t>
  </si>
  <si>
    <t>&lt;link rel="stylesheet"href="PF.css"&gt;&lt;div class="heading"&gt;&lt;p class="alignleft"&gt;Preserve Grace&lt;/p&gt;&lt;div style="clear: both;"&gt;&lt;/div&gt;&lt;/div&gt;&lt;div&gt;&lt;h5&gt;&lt;b&gt;School &lt;/b&gt;divination [good]; &lt;b&gt;Level &lt;/b&gt;cleric/oracle 2, inquisitor 1, paladin 1&lt;/h5&gt;&lt;/div&gt;&lt;hr/&gt;&lt;div&gt;&lt;h5&gt;&lt;b&gt;CASTING&lt;/b&gt;&lt;/h5&gt;&lt;/div&gt;&lt;hr/&gt;&lt;div&gt;&lt;h5&gt;&lt;b&gt;Casting Time &lt;/b&gt;1 minute&lt;/h5&gt;&lt;h5&gt;&lt;b&gt;Components &lt;/b&gt;V, S, F (a silver hand mirror worth 50 gp)&lt;/h5&gt;&lt;/div&gt;&lt;hr/&gt;&lt;div&gt;&lt;h5&gt;&lt;b&gt;EFFECT&lt;/b&gt;&lt;/h5&gt;&lt;/div&gt;&lt;hr/&gt;&lt;div&gt;&lt;h5&gt;&lt;b&gt;Range &lt;/b&gt;touch&lt;/h5&gt;&lt;h5&gt;&lt;b&gt;Targets &lt;/b&gt;one good-aligned creature&lt;/h5&gt;&lt;h5&gt;&lt;b&gt;Duration &lt;/b&gt;1 day&lt;/h5&gt;&lt;h5&gt;&lt;b&gt;Saving Throw &lt;/b&gt;Will negates (harmless); &lt;b&gt;Spell Resistance &lt;/b&gt;no&lt;/h5&gt;&lt;/div&gt;&lt;hr/&gt;&lt;div&gt;&lt;h5&gt;&lt;b&gt;DESCRIPTION&lt;/b&gt;&lt;/h5&gt;&lt;/div&gt;&lt;hr/&gt;&lt;div&gt;&lt;h4&gt;&lt;p&gt;The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&lt;i&gt;phylactery of faithfulness&lt;/i&gt;. The spell's guidance focuses on the protection of beauty and encourages peaceful resolution and mercy.&lt;/p&gt;&lt;/h4&gt;&lt;/div&gt;</t>
  </si>
  <si>
    <t>Mask From Divination</t>
  </si>
  <si>
    <t>alchemist 5, bloodrager 4, magus 5, shaman 5, sorcerer/wizard 5, witch 5</t>
  </si>
  <si>
    <t>V, S, F (an eyeless mask), M (diamond dust worth 200 gp)</t>
  </si>
  <si>
    <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nondetection, except it also foils divination spells that attempt to gather information about the creature, even if they don't target it specifically. In the case of divination spells that would normally reveal the wearer's presence, such as see invisibility,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t>
  </si>
  <si>
    <t>&lt;p&gt;As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&lt;i&gt;nondetection&lt;/i&gt;, except it also foils divination spells that attempt to gather information about the creature, even if they don't target it specifically. In the case of divination spells that would normally reveal the wearer's presence, such as &lt;i&gt;see invisibility&lt;/i&gt;,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target.&lt;/p&gt;</t>
  </si>
  <si>
    <t>&lt;link rel="stylesheet"href="PF.css"&gt;&lt;div class="heading"&gt;&lt;p class="alignleft"&gt;Mask From Divination&lt;/p&gt;&lt;div style="clear: both;"&gt;&lt;/div&gt;&lt;/div&gt;&lt;div&gt;&lt;h5&gt;&lt;b&gt;School &lt;/b&gt;divination; &lt;b&gt;Level &lt;/b&gt;alchemist 5, bloodrager 4, magus 5, shaman 5, sorcerer/wizard 5, witch 5&lt;/h5&gt;&lt;/div&gt;&lt;hr/&gt;&lt;div&gt;&lt;h5&gt;&lt;b&gt;CASTING&lt;/b&gt;&lt;/h5&gt;&lt;/div&gt;&lt;hr/&gt;&lt;div&gt;&lt;h5&gt;&lt;b&gt;Casting Time &lt;/b&gt;1 standard action&lt;/h5&gt;&lt;h5&gt;&lt;b&gt;Components &lt;/b&gt;V, S, F (an eyeless mask), M (diamond dust worth 200 gp)&lt;/h5&gt;&lt;/div&gt;&lt;hr/&gt;&lt;div&gt;&lt;h5&gt;&lt;b&gt;EFFECT&lt;/b&gt;&lt;/h5&gt;&lt;/div&gt;&lt;hr/&gt;&lt;div&gt;&lt;h5&gt;&lt;b&gt;Range &lt;/b&gt;touch&lt;/h5&gt;&lt;h5&gt;&lt;b&gt;Targets &lt;/b&gt;creature touched&lt;/h5&gt;&lt;h5&gt;&lt;b&gt;Duration &lt;/b&gt;24 hours&lt;/h5&gt;&lt;h5&gt;&lt;b&gt;Saving Throw &lt;/b&gt;Will negates (harmless, object); &lt;b&gt;Spell Resistance &lt;/b&gt;yes (harmless, object)&lt;/h5&gt;&lt;/div&gt;&lt;hr/&gt;&lt;div&gt;&lt;h5&gt;&lt;b&gt;DESCRIPTION&lt;/b&gt;&lt;/h5&gt;&lt;/div&gt;&lt;hr/&gt;&lt;div&gt;&lt;h4&gt;&lt;p&gt;As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&lt;i&gt;nondetection&lt;/i&gt;, except it also foils divination spells that attempt to gather information about the creature, even if they don't target it specifically. In the case of divination spells that would normally reveal the wearer's presence, such as &lt;i&gt;see invisibility&lt;/i&gt;,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target.&lt;/p&gt;&lt;/h4&gt;&lt;/div&gt;</t>
  </si>
  <si>
    <t>Planar Inquiry</t>
  </si>
  <si>
    <t>cleric/oracle 3, druid 3, inquisitor 3, shaman 3, sorcerer/wizard 3, summoner 3, witch 3</t>
  </si>
  <si>
    <t>V, S, M (offerings worth 100 gp per HD of creature called)</t>
  </si>
  <si>
    <t>one called outsider who answers questions</t>
  </si>
  <si>
    <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lesser planar ally except as noted. When you call a creature using planar inquiry,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planar inquiry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t>
  </si>
  <si>
    <t>&lt;p&gt;Although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&lt;i&gt;lesser planar ally&lt;/i&gt; except as noted. When you call a creature using &lt;i&gt;planar inquiry&lt;/i&gt;,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&lt;i&gt;planar inquiry&lt;/i&gt;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ranks.&lt;/p&gt;</t>
  </si>
  <si>
    <t>&lt;link rel="stylesheet"href="PF.css"&gt;&lt;div class="heading"&gt;&lt;p class="alignleft"&gt;Planar Inquiry&lt;/p&gt;&lt;div style="clear: both;"&gt;&lt;/div&gt;&lt;/div&gt;&lt;div&gt;&lt;h5&gt;&lt;b&gt;School &lt;/b&gt;conjuration (calling); &lt;b&gt;Level &lt;/b&gt;cleric/oracle 3, druid 3, inquisitor 3, shaman 3, sorcerer/wizard 3, summoner 3, witch 3&lt;/h5&gt;&lt;/div&gt;&lt;hr/&gt;&lt;div&gt;&lt;h5&gt;&lt;b&gt;CASTING&lt;/b&gt;&lt;/h5&gt;&lt;/div&gt;&lt;hr/&gt;&lt;div&gt;&lt;h5&gt;&lt;b&gt;Casting Time &lt;/b&gt;10 minutes&lt;/h5&gt;&lt;h5&gt;&lt;b&gt;Components &lt;/b&gt;V, S, M (offerings worth 100 gp per HD of creature called)&lt;/h5&gt;&lt;/div&gt;&lt;hr/&gt;&lt;div&gt;&lt;h5&gt;&lt;b&gt;EFFECT&lt;/b&gt;&lt;/h5&gt;&lt;/div&gt;&lt;hr/&gt;&lt;div&gt;&lt;h5&gt;&lt;b&gt;Range &lt;/b&gt;close (25 ft. + 5 ft./2 levels)&lt;/h5&gt;&lt;h5&gt;&lt;b&gt;Effect &lt;/b&gt;one called outsider who answers questions&lt;/h5&gt;&lt;h5&gt;&lt;b&gt;Duration &lt;/b&gt;instantaneous; see text&lt;/h5&gt;&lt;h5&gt;&lt;b&gt;Saving Throw &lt;/b&gt;none; &lt;b&gt;Spell Resistance &lt;/b&gt;no&lt;/h5&gt;&lt;/div&gt;&lt;hr/&gt;&lt;div&gt;&lt;h5&gt;&lt;b&gt;DESCRIPTION&lt;/b&gt;&lt;/h5&gt;&lt;/div&gt;&lt;hr/&gt;&lt;div&gt;&lt;h4&gt;&lt;p&gt;Although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&lt;i&gt;lesser planar ally&lt;/i&gt; except as noted. When you call a creature using &lt;i&gt;planar inquiry&lt;/i&gt;,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&lt;i&gt;planar inquiry&lt;/i&gt;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ranks.&lt;/p&gt;&lt;/h4&gt;&lt;/div&gt;</t>
  </si>
  <si>
    <t>Frost Mammoth</t>
  </si>
  <si>
    <t>cleric/oracle 7, druid 7, shaman 7, sorcerer/wizard 7, summoner 6</t>
  </si>
  <si>
    <t>V, S, M (a fragment of mammoth tusk)</t>
  </si>
  <si>
    <t>one frost mammoth</t>
  </si>
  <si>
    <t>A blast of snow suddenly fills an area with a space of 15 feet, immediately taking the shape of a woolly mammoth made of snow with tusks of solid ice. The mammoth has statistics identical to those of a mastodon (Pathfinder RPG Bestiary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t>
  </si>
  <si>
    <t>&lt;p&gt;A blast of snow suddenly fills an area with a space of 15 feet, immediately taking the shape of a woolly mammoth made of snow with tusks of solid ice. The mammoth has statistics identical to those of a mastodon (&lt;i&gt;Pathfinder RPG Bestiary&lt;/i&gt;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attack.&lt;/p&gt;</t>
  </si>
  <si>
    <t>&lt;link rel="stylesheet"href="PF.css"&gt;&lt;div class="heading"&gt;&lt;p class="alignleft"&gt;Frost Mammoth&lt;/p&gt;&lt;div style="clear: both;"&gt;&lt;/div&gt;&lt;/div&gt;&lt;div&gt;&lt;h5&gt;&lt;b&gt;School &lt;/b&gt;conjuration (creation) [cold]; &lt;b&gt;Level &lt;/b&gt;cleric/oracle 7, druid 7, shaman 7, sorcerer/wizard 7, summoner 6&lt;/h5&gt;&lt;/div&gt;&lt;hr/&gt;&lt;div&gt;&lt;h5&gt;&lt;b&gt;CASTING&lt;/b&gt;&lt;/h5&gt;&lt;/div&gt;&lt;hr/&gt;&lt;div&gt;&lt;h5&gt;&lt;b&gt;Casting Time &lt;/b&gt;1 round&lt;/h5&gt;&lt;h5&gt;&lt;b&gt;Components &lt;/b&gt;V, S, M (a fragment of mammoth tusk)&lt;/h5&gt;&lt;/div&gt;&lt;hr/&gt;&lt;div&gt;&lt;h5&gt;&lt;b&gt;EFFECT&lt;/b&gt;&lt;/h5&gt;&lt;/div&gt;&lt;hr/&gt;&lt;div&gt;&lt;h5&gt;&lt;b&gt;Range &lt;/b&gt;close (25 ft. + 5 ft./2 levels)&lt;/h5&gt;&lt;h5&gt;&lt;b&gt;Effect &lt;/b&gt;one frost mammoth&lt;/h5&gt;&lt;h5&gt;&lt;b&gt;Duration &lt;/b&gt;1 round/level (D)&lt;/h5&gt;&lt;h5&gt;&lt;b&gt;Saving Throw &lt;/b&gt;none; &lt;b&gt;Spell Resistance &lt;/b&gt;no&lt;/h5&gt;&lt;/div&gt;&lt;hr/&gt;&lt;div&gt;&lt;h5&gt;&lt;b&gt;DESCRIPTION&lt;/b&gt;&lt;/h5&gt;&lt;/div&gt;&lt;hr/&gt;&lt;div&gt;&lt;h4&gt;&lt;p&gt;A blast of snow suddenly fills an area with a space of 15 feet, immediately taking the shape of a woolly mammoth made of snow with tusks of solid ice. The mammoth has statistics identical to those of a mastodon (&lt;i&gt;Pathfinder RPG Bestiary&lt;/i&gt;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attack.&lt;/p&gt;&lt;/h4&gt;&lt;/div&gt;</t>
  </si>
  <si>
    <t>Invoke Primal Power</t>
  </si>
  <si>
    <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invoke primal power. In addition to the normal effects you gain upon assuming the wild shape, you also gain a +4 size bonus to your Constitution score and increase the natural armor bonus granted by the effect by 2 (thus, if you assume the size of a Large animal as if via beast shape II, your natural armor bonus is +6 instead of +4). Furthermore, you gain one of the following additional abilities while you are in your enhanced wild shape form. At caster level 13th, you gain two of the following abilities, and at caster level 17th, you gain three of the abilities.  Cold Resistance: Your new body is covered with thick layers of fur and insulating blubber. You gain cold resistance 30.  Ferocity: You remain conscious and can continue to fight even if your hit point total is below 0. You are still staggered and lose 1 hit point each round, and still die when your hit point total reaches a negative amount equal to your Constitution score.  Giant Slayer: Your new form is particularly suited for slaying giants. Against creatures with the giant subtype, you gain a +2 insight bonus on attack rolls and on damage rolls with your new form's natural attacks.  Powerful Charge: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Rend: Once per round, if you hit the same target with two or more natural attacks in a round, you rend the target of those attacks, dealing 2d6 additional points of damage.  Swift: Your new form's base speed increases by 20 feet.  Trample: As a full-round action, you can attempt to overrun any creature that is at least one size category smaller than you. This works just like the overrun combat maneuver, but you do not need to attempt a check; you merely have to move over your opponents. Targets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Trip: Choose one of the natural attacks granted to you by your new form. Up to once per round, you can attempt to trip an opponent as a free action without provoking an attack of opportunity if you hit with the specified attack. If the attempt fails, you are not tripped in return.</t>
  </si>
  <si>
    <t>&lt;p&gt;This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&lt;i&gt;invoke primal power&lt;/i&gt;. In addition to the normal effects you gain upon assuming the wild shape, you also gain a +4 size bonus to your Constitution score and increase the natural armor bonus granted by the effect by 2 (thus, if you assume the size of a Large animal as if via &lt;i&gt;beast shape II&lt;/i&gt;, your natural armor bonus is +6 instead of +4). Furthermore, you gain one of the following additional abilities while you are in your enhanced wild shape form. At caster level 13th, you gain two of the following abilities, and at caster level 17th, you gain three of the abilities.  &lt;b&gt;Cold Resistance&lt;/b&gt;: Your new body is covered with thick layers of fur and insulating blubber. You gain cold resistance 30.  &lt;b&gt;Ferocity&lt;/b&gt;: You remain conscious and can continue to fight even if your hit point total is below 0. You are still staggered and lose 1 hit point each round, and still die when your hit point total reaches a negative amount equal to your Constitution score.  &lt;b&gt;Giant Slayer&lt;/b&gt;: Your new form is particularly suited for slaying giants. Against creatures with the giant subtype, you gain a +2 insight bonus on attack rolls and on damage rolls with your new form's natural attacks.  &lt;b&gt;Powerful Charge&lt;/b&gt;: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&lt;b&gt;Rend&lt;/b&gt;: Once per round, if you hit the same target with two or more natural attacks in a round, you rend the target of those attacks, dealing 2d6 additional points of damage.  &lt;b&gt;Swift&lt;/b&gt;: Your new form's base speed increases by 20 feet.  &lt;b&gt;Trample&lt;/b&gt;: As a full-round action, you can attempt to overrun any creature that is at least one size category smaller than you. This works just like the overrun combat maneuver, but you do not need to attempt a check; you merely have to move over your opponents. &lt;b&gt;Target&lt;/b&gt;s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&lt;b&gt;Trip&lt;/b&gt;: Choose one of the natural attacks granted to you by your new form. Up to once per round, you can attempt to trip an opponent as a free action without provoking an attack of opportunity if you hit with the specified attack. If the attempt fails, you are not tripped in return.&lt;/p&gt;</t>
  </si>
  <si>
    <t>&lt;link rel="stylesheet"href="PF.css"&gt;&lt;div class="heading"&gt;&lt;p class="alignleft"&gt;Invoke Primal Power&lt;/p&gt;&lt;div style="clear: both;"&gt;&lt;/div&gt;&lt;/div&gt;&lt;div&gt;&lt;h5&gt;&lt;b&gt;School &lt;/b&gt;transmutation; &lt;b&gt;Level &lt;/b&gt;druid 5&lt;/h5&gt;&lt;/div&gt;&lt;hr/&gt;&lt;div&gt;&lt;h5&gt;&lt;b&gt;CASTING&lt;/b&gt;&lt;/h5&gt;&lt;/div&gt;&lt;hr/&gt;&lt;div&gt;&lt;h5&gt;&lt;b&gt;Casting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&lt;i&gt;invoke primal power&lt;/i&gt;. In addition to the normal effects you gain upon assuming the wild shape, you also gain a +4 size bonus to your Constitution score and increase the natural armor bonus granted by the effect by 2 (thus, if you assume the size of a Large animal as if via &lt;i&gt;beast shape II&lt;/i&gt;, your natural armor bonus is +6 instead of +4). Furthermore, you gain one of the following additional abilities while you are in your enhanced wild shape form. At caster level 13th, you gain two of the following abilities, and at caster level 17th, you gain three of the abilities.  &lt;br&gt;&lt;b&gt;Cold Resistance&lt;/b&gt;: Your new body is covered with thick layers of fur and insulating blubber. You gain cold resistance 30.  &lt;br&gt;&lt;b&gt;Ferocity&lt;/b&gt;: You remain conscious and can continue to fight even if your hit point total is below 0. You are still staggered and lose 1 hit point each round, and still die when your hit point total reaches a negative amount equal to your Constitution score.  &lt;br&gt;&lt;b&gt;Giant Slayer&lt;/b&gt;: Your new form is particularly suited for slaying giants. Against creatures with the giant subtype, you gain a +2 insight bonus on attack rolls and on damage rolls with your new form's natural attacks.  &lt;br&gt;&lt;b&gt;Powerful Charge&lt;/b&gt;: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&lt;br&gt;&lt;b&gt;Rend&lt;/b&gt;: Once per round, if you hit the same target with two or more natural attacks in a round, you rend the target of those attacks, dealing 2d6 additional points of damage.  &lt;br&gt;&lt;b&gt;Swift&lt;/b&gt;: Your new form's base speed increases by 20 feet.  &lt;br&gt;&lt;b&gt;Trample&lt;/b&gt;: As a full-round action, you can attempt to overrun any creature that is at least one size category smaller than you. This works just like the overrun combat maneuver, but you do not need to attempt a check; you merely have to move over your opponents. Targets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&lt;br&gt;&lt;b&gt;Trip&lt;/b&gt;: Choose one of the natural attacks granted to you by your new form. Up to once per round, you can attempt to trip an opponent as a free action without provoking an attack of opportunity if you hit with the specified attack. If the attempt fails, you are not tripped in return.&lt;/p&gt;&lt;/h4&gt;&lt;/div&gt;</t>
  </si>
  <si>
    <t>Bone Flense</t>
  </si>
  <si>
    <t>bloodrager 2, cleric/oracle 3, druid 3, inquisitor 3, magus 3, sorcerer/wizard 3, witch 3</t>
  </si>
  <si>
    <t>M/F (a jagged shard of bone from a humanoid creature)</t>
  </si>
  <si>
    <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t>
  </si>
  <si>
    <t>&lt;p&gt;Choose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effect.&lt;/p&gt;</t>
  </si>
  <si>
    <t>&lt;link rel="stylesheet"href="PF.css"&gt;&lt;div class="heading"&gt;&lt;p class="alignleft"&gt;Bone Flense&lt;/p&gt;&lt;div style="clear: both;"&gt;&lt;/div&gt;&lt;/div&gt;&lt;div&gt;&lt;h5&gt;&lt;b&gt;School &lt;/b&gt;transmutation; &lt;b&gt;Level &lt;/b&gt;bloodrager 2, cleric/oracle 3, druid 3, inquisitor 3, magus 3, sorcerer/wizard 3, witch 3&lt;/h5&gt;&lt;/div&gt;&lt;hr/&gt;&lt;div&gt;&lt;h5&gt;&lt;b&gt;CASTING&lt;/b&gt;&lt;/h5&gt;&lt;/div&gt;&lt;hr/&gt;&lt;div&gt;&lt;h5&gt;&lt;b&gt;Casting Time &lt;/b&gt;1 standard action&lt;/h5&gt;&lt;h5&gt;&lt;b&gt;Components &lt;/b&gt;M/F (a jagged shard of bone from a humanoid creature)&lt;/h5&gt;&lt;/div&gt;&lt;hr/&gt;&lt;div&gt;&lt;h5&gt;&lt;b&gt;EFFECT&lt;/b&gt;&lt;/h5&gt;&lt;/div&gt;&lt;hr/&gt;&lt;div&gt;&lt;h5&gt;&lt;b&gt;Range &lt;/b&gt;close (25 ft. + 5 ft./2 levels)&lt;/h5&gt;&lt;h5&gt;&lt;b&gt;Targets &lt;/b&gt;one living creature&lt;/h5&gt;&lt;h5&gt;&lt;b&gt;Duration &lt;/b&gt;1 round/level&lt;/h5&gt;&lt;h5&gt;&lt;b&gt;Saving Throw &lt;/b&gt;Fortitude negates; &lt;b&gt;Spell Resistance &lt;/b&gt;yes&lt;/h5&gt;&lt;/div&gt;&lt;hr/&gt;&lt;div&gt;&lt;h5&gt;&lt;b&gt;DESCRIPTION&lt;/b&gt;&lt;/h5&gt;&lt;/div&gt;&lt;hr/&gt;&lt;div&gt;&lt;h4&gt;&lt;p&gt;Choose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effect.&lt;/p&gt;&lt;/h4&gt;&lt;/div&gt;</t>
  </si>
  <si>
    <t>Crimson Breath</t>
  </si>
  <si>
    <t>alchemist 4, cleric/oracle 4, druid 4, sorcerer/wizard 4, witch 4</t>
  </si>
  <si>
    <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t>
  </si>
  <si>
    <t>&lt;p&gt;When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poison.&lt;/p&gt;</t>
  </si>
  <si>
    <t>&lt;link rel="stylesheet"href="PF.css"&gt;&lt;div class="heading"&gt;&lt;p class="alignleft"&gt;Crimson Breath&lt;/p&gt;&lt;div style="clear: both;"&gt;&lt;/div&gt;&lt;/div&gt;&lt;div&gt;&lt;h5&gt;&lt;b&gt;School &lt;/b&gt;transmutation; &lt;b&gt;Level &lt;/b&gt;alchemist 4, cleric/oracle 4, druid 4, sorcerer/wizard 4, witch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&lt;/b&gt;no&lt;/h5&gt;&lt;/div&gt;&lt;hr/&gt;&lt;div&gt;&lt;h5&gt;&lt;b&gt;DESCRIPTION&lt;/b&gt;&lt;/h5&gt;&lt;/div&gt;&lt;hr/&gt;&lt;div&gt;&lt;h4&gt;&lt;p&gt;When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poison.&lt;/p&gt;&lt;/h4&gt;&lt;/div&gt;</t>
  </si>
  <si>
    <t>Mark Of Blood</t>
  </si>
  <si>
    <t>bloodrager 2, inquisitor 2, sorcerer/wizard 2, witch 2</t>
  </si>
  <si>
    <t>one weapon touched</t>
  </si>
  <si>
    <t>1 minute and permanent (see text)</t>
  </si>
  <si>
    <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remove curse.</t>
  </si>
  <si>
    <t>&lt;p&gt;You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&lt;i&gt;remove curse&lt;/i&gt;.&lt;/p&gt;</t>
  </si>
  <si>
    <t>&lt;link rel="stylesheet"href="PF.css"&gt;&lt;div class="heading"&gt;&lt;p class="alignleft"&gt;Mark Of Blood&lt;/p&gt;&lt;div style="clear: both;"&gt;&lt;/div&gt;&lt;/div&gt;&lt;div&gt;&lt;h5&gt;&lt;b&gt;School &lt;/b&gt;transmutation [curse&lt;sup&gt;UM&lt;/sup&gt;]; &lt;b&gt;Level &lt;/b&gt;bloodrager 2, inquisitor 2, sorcerer/wizard 2, witch 2&lt;/h5&gt;&lt;/div&gt;&lt;hr/&gt;&lt;div&gt;&lt;h5&gt;&lt;b&gt;CASTING&lt;/b&gt;&lt;/h5&gt;&lt;/div&gt;&lt;hr/&gt;&lt;div&gt;&lt;h5&gt;&lt;b&gt;Casting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&lt;/b&gt;one weapon touched&lt;/h5&gt;&lt;h5&gt;&lt;b&gt;Duration &lt;/b&gt;1 minute and permanent (see text)&lt;/h5&gt;&lt;h5&gt;&lt;b&gt;Saving Throw &lt;/b&gt;Will negates; &lt;b&gt;Spell Resistance &lt;/b&gt;yes&lt;/h5&gt;&lt;/div&gt;&lt;hr/&gt;&lt;div&gt;&lt;h5&gt;&lt;b&gt;DESCRIPTION&lt;/b&gt;&lt;/h5&gt;&lt;/div&gt;&lt;hr/&gt;&lt;div&gt;&lt;h4&gt;&lt;p&gt;You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&lt;i&gt;remove curse&lt;/i&gt;.&lt;/p&gt;&lt;/h4&gt;&lt;/div&gt;</t>
  </si>
  <si>
    <t>Mirror Mantis</t>
  </si>
  <si>
    <t>bard 1, cleric/oracle 1, mesmerist 1, occultist 1, psychic 1, sorcerer/wizard 1</t>
  </si>
  <si>
    <t>S, F (a hand mirror stained with a dried drop of blood)</t>
  </si>
  <si>
    <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mirror mantis spell for 24 hours, though it will still see the Red Mantis reflection until the spell ends.</t>
  </si>
  <si>
    <t>&lt;p&gt;Whenever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&lt;i&gt;mirror mantis&lt;/i&gt; spell for 24 hours, though it will still see the Red Mantis reflection until the spell ends.&lt;/p&gt;</t>
  </si>
  <si>
    <t>&lt;link rel="stylesheet"href="PF.css"&gt;&lt;div class="heading"&gt;&lt;p class="alignleft"&gt;Mirror Mantis&lt;/p&gt;&lt;div style="clear: both;"&gt;&lt;/div&gt;&lt;/div&gt;&lt;div&gt;&lt;h5&gt;&lt;b&gt;School &lt;/b&gt;illusion (phantasm) [mind-affecting]; &lt;b&gt;Level &lt;/b&gt;bard 1, cleric/oracle 1, mesmerist 1, occultist 1, psychic 1, sorcerer/wizard 1&lt;/h5&gt;&lt;/div&gt;&lt;hr/&gt;&lt;div&gt;&lt;h5&gt;&lt;b&gt;CASTING&lt;/b&gt;&lt;/h5&gt;&lt;/div&gt;&lt;hr/&gt;&lt;div&gt;&lt;h5&gt;&lt;b&gt;Casting Time &lt;/b&gt;1 standard action&lt;/h5&gt;&lt;h5&gt;&lt;b&gt;Components &lt;/b&gt;S, F (a hand mirror stained with a dried drop of blood)&lt;/h5&gt;&lt;/div&gt;&lt;hr/&gt;&lt;div&gt;&lt;h5&gt;&lt;b&gt;EFFECT&lt;/b&gt;&lt;/h5&gt;&lt;/div&gt;&lt;hr/&gt;&lt;div&gt;&lt;h5&gt;&lt;b&gt;Range &lt;/b&gt;medium (100 ft. + 10 ft./level)&lt;/h5&gt;&lt;h5&gt;&lt;b&gt;Targets &lt;/b&gt;one living creature&lt;/h5&gt;&lt;h5&gt;&lt;b&gt;Duration &lt;/b&gt;1 hour/level&lt;/h5&gt;&lt;h5&gt;&lt;b&gt;Saving Throw &lt;/b&gt;Will negates; &lt;b&gt;Spell Resistance &lt;/b&gt;yes&lt;/h5&gt;&lt;/div&gt;&lt;hr/&gt;&lt;div&gt;&lt;h5&gt;&lt;b&gt;DESCRIPTION&lt;/b&gt;&lt;/h5&gt;&lt;/div&gt;&lt;hr/&gt;&lt;div&gt;&lt;h4&gt;&lt;p&gt;Whenever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&lt;i&gt;mirror mantis&lt;/i&gt; spell for 24 hours, though it will still see the Red Mantis reflection until the spell ends.&lt;/p&gt;&lt;/h4&gt;&lt;/div&gt;</t>
  </si>
  <si>
    <t>Sarzari Shadow Memory</t>
  </si>
  <si>
    <t>bard 6, cleric/oracle 6, inquisitor 6, psychic 6, sorcerer/wizard 6, witch 6</t>
  </si>
  <si>
    <t>V, S, M (a work of art bearing your target's likeness worth at least 1,500 gp)</t>
  </si>
  <si>
    <t>1 month</t>
  </si>
  <si>
    <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detect secret doors and find traps.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Sarzari shadow memory at any one time; if you cast this spell a second time while a previous casting is still active, the effects of the new spell replace the effects of the old one.</t>
  </si>
  <si>
    <t>&lt;p&gt;While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&lt;i&gt;detect secret doors&lt;/i&gt; and &lt;i&gt;find traps&lt;/i&gt;.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&lt;i&gt;Sarzari shadow memory&lt;/i&gt; at any one time; if you cast this spell a second time while a previous casting is still active, the effects of the new spell replace the effects of the old one.&lt;/p&gt;</t>
  </si>
  <si>
    <t>&lt;link rel="stylesheet"href="PF.css"&gt;&lt;div class="heading"&gt;&lt;p class="alignleft"&gt;Sarzari Shadow Memory&lt;/p&gt;&lt;div style="clear: both;"&gt;&lt;/div&gt;&lt;/div&gt;&lt;div&gt;&lt;h5&gt;&lt;b&gt;School &lt;/b&gt;divination; &lt;b&gt;Level &lt;/b&gt;bard 6, cleric/oracle 6, inquisitor 6, psychic 6, sorcerer/wizard 6, witch 6&lt;/h5&gt;&lt;/div&gt;&lt;hr/&gt;&lt;div&gt;&lt;h5&gt;&lt;b&gt;CASTING&lt;/b&gt;&lt;/h5&gt;&lt;/div&gt;&lt;hr/&gt;&lt;div&gt;&lt;h5&gt;&lt;b&gt;Casting Time &lt;/b&gt;1 hour&lt;/h5&gt;&lt;h5&gt;&lt;b&gt;Components &lt;/b&gt;V, S, M (a work of art bearing your target's likeness worth at least 1,500 gp)&lt;/h5&gt;&lt;/div&gt;&lt;hr/&gt;&lt;div&gt;&lt;h5&gt;&lt;b&gt;EFFECT&lt;/b&gt;&lt;/h5&gt;&lt;/div&gt;&lt;hr/&gt;&lt;div&gt;&lt;h5&gt;&lt;b&gt;Range &lt;/b&gt;personal&lt;/h5&gt;&lt;h5&gt;&lt;b&gt;Targets &lt;/b&gt;you&lt;/h5&gt;&lt;h5&gt;&lt;b&gt;Duration &lt;/b&gt;1 month&lt;/h5&gt;&lt;h5&gt;&lt;b&gt;Saving Throw &lt;/b&gt;Will negates (harmless); &lt;b&gt;Spell Resistance &lt;/b&gt;no (harmless)&lt;/h5&gt;&lt;/div&gt;&lt;hr/&gt;&lt;div&gt;&lt;h5&gt;&lt;b&gt;DESCRIPTION&lt;/b&gt;&lt;/h5&gt;&lt;/div&gt;&lt;hr/&gt;&lt;div&gt;&lt;h4&gt;&lt;p&gt;While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&lt;i&gt;detect secret doors&lt;/i&gt; and &lt;i&gt;find traps&lt;/i&gt;.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&lt;i&gt;Sarzari shadow memory&lt;/i&gt; at any one time; if you cast this spell a second time while a previous casting is still active, the effects of the new spell replace the effects of the old one.&lt;/p&gt;&lt;/h4&gt;&lt;/div&gt;</t>
  </si>
  <si>
    <t>Sawtooth Terrain</t>
  </si>
  <si>
    <t>one 10-foot square of difficult and damaging terrain</t>
  </si>
  <si>
    <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t>
  </si>
  <si>
    <t>&lt;p&gt;This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surfaces.&lt;/p&gt;</t>
  </si>
  <si>
    <t>&lt;link rel="stylesheet"href="PF.css"&gt;&lt;div class="heading"&gt;&lt;p class="alignleft"&gt;Sawtooth Terrain&lt;/p&gt;&lt;div style="clear: both;"&gt;&lt;/div&gt;&lt;/div&gt;&lt;div&gt;&lt;h5&gt;&lt;b&gt;School &lt;/b&gt;transmutation [earth]; &lt;b&gt;Level &lt;/b&gt;cleric/oracle 5, druid 5, sorcerer/wizard 5, witch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10-foot square of difficult and damaging terrain&lt;/h5&gt;&lt;h5&gt;&lt;b&gt;Duration &lt;/b&gt;1 round/level&lt;/h5&gt;&lt;h5&gt;&lt;b&gt;Saving Throw &lt;/b&gt;Reflex negates; &lt;b&gt;Spell Resistance &lt;/b&gt;yes&lt;/h5&gt;&lt;/div&gt;&lt;hr/&gt;&lt;div&gt;&lt;h5&gt;&lt;b&gt;DESCRIPTION&lt;/b&gt;&lt;/h5&gt;&lt;/div&gt;&lt;hr/&gt;&lt;div&gt;&lt;h4&gt;&lt;p&gt;This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surfaces.&lt;/p&gt;&lt;/h4&gt;&lt;/div&gt;</t>
  </si>
  <si>
    <t>Instant Portrait</t>
  </si>
  <si>
    <t>bard 1, cleric/oracle 1, inquisitor 1, mesmerist 1, occultist 1, psychic 1, sorcerer/wizard 1, summoner 1, witch 1</t>
  </si>
  <si>
    <t>a monochromatic illustration up to 1 square foot in area</t>
  </si>
  <si>
    <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enter image spell. The portrait reflects your perception of the creature depicted, including any disguises, magical or mundane, that the subject is wearing at the time of the painting's creation. The portrait is only as durable as normal paint and can be removed by mundane means.</t>
  </si>
  <si>
    <t>&lt;p&gt;You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&lt;i&gt;enter image&lt;/i&gt; spell. The portrait reflects your perception of the creature depicted, including any disguises, magical or mundane, that the subject is wearing at the time of the painting's creation. The portrait is only as durable as normal paint and can be removed by mundane means.&lt;/p&gt;</t>
  </si>
  <si>
    <t>&lt;link rel="stylesheet"href="PF.css"&gt;&lt;div class="heading"&gt;&lt;p class="alignleft"&gt;Instant Portrait&lt;/p&gt;&lt;div style="clear: both;"&gt;&lt;/div&gt;&lt;/div&gt;&lt;div&gt;&lt;h5&gt;&lt;b&gt;School &lt;/b&gt;conjuration (creation); &lt;b&gt;Level &lt;/b&gt;bard 1, cleric/oracle 1, inquisitor 1, mesmerist 1, occultist 1, psychic 1, sorcerer/wizard 1, summoner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&lt;/b&gt;a monochromatic illustration up to 1 square foot in area&lt;/h5&gt;&lt;h5&gt;&lt;b&gt;Duration &lt;/b&gt;instantaneous&lt;/h5&gt;&lt;h5&gt;&lt;b&gt;Saving Throw &lt;/b&gt;none; &lt;b&gt;Spell Resistance &lt;/b&gt;no&lt;/h5&gt;&lt;/div&gt;&lt;hr/&gt;&lt;div&gt;&lt;h5&gt;&lt;b&gt;DESCRIPTION&lt;/b&gt;&lt;/h5&gt;&lt;/div&gt;&lt;hr/&gt;&lt;div&gt;&lt;h4&gt;&lt;p&gt;You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&lt;i&gt;enter image&lt;/i&gt; spell. The portrait reflects your perception of the creature depicted, including any disguises, magical or mundane, that the subject is wearing at the time of the painting's creation. The portrait is only as durable as normal paint and can be removed by mundane means.&lt;/p&gt;&lt;/h4&gt;&lt;/div&gt;</t>
  </si>
  <si>
    <t>Wall Of Silver</t>
  </si>
  <si>
    <t>bard 5, cleric/oracle 6, inquisitor 5, sorcerer/wizard 6</t>
  </si>
  <si>
    <t>transparent wall 20 ft. high by up to 20 ft. long/level</t>
  </si>
  <si>
    <t>You create a wall of translucent silver energy that hums and vibrates at the slightest touch. Objects and nonevil creatures can pass through this wall without difficulty. However, spells and effects with the evil descriptor treat this barrier as a wall of force,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wall of silver so that it appears where creatures are, each creature takes damage as if passing through the wall. Each such creature can avoid the wall (ending up on the side of its choice) and thus take no damage by succeeding at a Reflex save.</t>
  </si>
  <si>
    <t>&lt;p&gt;You create a wall of translucent silver energy that hums and vibrates at the slightest touch. Objects and nonevil creatures can pass through this wall without difficulty. However, spells and effects with the evil descriptor treat this barrier as a &lt;i&gt;wall of force&lt;/i&gt;,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&lt;i&gt;wall of silver&lt;/i&gt; so that it appears where creatures are, each creature takes damage as if passing through the wall. Each such creature can avoid the wall (ending up on the side of its choice) and thus take no damage by succeeding at a Reflex save.&lt;/p&gt;</t>
  </si>
  <si>
    <t>&lt;link rel="stylesheet"href="PF.css"&gt;&lt;div class="heading"&gt;&lt;p class="alignleft"&gt;Wall Of Silver&lt;/p&gt;&lt;div style="clear: both;"&gt;&lt;/div&gt;&lt;/div&gt;&lt;div&gt;&lt;h5&gt;&lt;b&gt;School &lt;/b&gt;abjuration [good]; &lt;b&gt;Level &lt;/b&gt;bard 5, cleric/oracle 6, inquisitor 5, sorcerer/wizard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&lt;/b&gt;transparent wall 20 ft. high by up to 20 ft. long/level&lt;/h5&gt;&lt;h5&gt;&lt;b&gt;Duration &lt;/b&gt;1 round/level&lt;/h5&gt;&lt;h5&gt;&lt;b&gt;Saving Throw &lt;/b&gt;see text; &lt;b&gt;Spell Resistance &lt;/b&gt;yes&lt;/h5&gt;&lt;/div&gt;&lt;hr/&gt;&lt;div&gt;&lt;h5&gt;&lt;b&gt;DESCRIPTION&lt;/b&gt;&lt;/h5&gt;&lt;/div&gt;&lt;hr/&gt;&lt;div&gt;&lt;h4&gt;&lt;p&gt;You create a wall of translucent silver energy that hums and vibrates at the slightest touch. Objects and nonevil creatures can pass through this wall without difficulty. However, spells and effects with the evil descriptor treat this barrier as a &lt;i&gt;wall of force&lt;/i&gt;,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&lt;i&gt;wall of silver&lt;/i&gt; so that it appears where creatures are, each creature takes damage as if passing through the wall. Each such creature can avoid the wall (ending up on the side of its choice) and thus take no damage by succeeding at a Reflex save.&lt;/p&gt;&lt;/h4&gt;&lt;/div&gt;</t>
  </si>
  <si>
    <t>Storm Sight</t>
  </si>
  <si>
    <t>V, S, F (a storm, either natural or magical)</t>
  </si>
  <si>
    <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t>
  </si>
  <si>
    <t>&lt;p&gt;You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duration.&lt;/p&gt;</t>
  </si>
  <si>
    <t>&lt;link rel="stylesheet"href="PF.css"&gt;&lt;div class="heading"&gt;&lt;p class="alignleft"&gt;Storm Sight&lt;/p&gt;&lt;div style="clear: both;"&gt;&lt;/div&gt;&lt;/div&gt;&lt;div&gt;&lt;h5&gt;&lt;b&gt;School &lt;/b&gt;divination (scrying); &lt;b&gt;Level &lt;/b&gt;cleric/oracle 2, druid 2, shaman 2, sorcerer/wizard 2, witch 2&lt;/h5&gt;&lt;/div&gt;&lt;hr/&gt;&lt;div&gt;&lt;h5&gt;&lt;b&gt;CASTING&lt;/b&gt;&lt;/h5&gt;&lt;/div&gt;&lt;hr/&gt;&lt;div&gt;&lt;h5&gt;&lt;b&gt;Casting Time &lt;/b&gt;1 round&lt;/h5&gt;&lt;h5&gt;&lt;b&gt;Components &lt;/b&gt;V, S, F (a storm, either natural or magical)&lt;/h5&gt;&lt;/div&gt;&lt;hr/&gt;&lt;div&gt;&lt;h5&gt;&lt;b&gt;EFFECT&lt;/b&gt;&lt;/h5&gt;&lt;/div&gt;&lt;hr/&gt;&lt;div&gt;&lt;h5&gt;&lt;b&gt;Range &lt;/b&gt;personal&lt;/h5&gt;&lt;h5&gt;&lt;b&gt;Targets &lt;/b&gt;you&lt;/h5&gt;&lt;h5&gt;&lt;b&gt;Duration &lt;/b&gt;1 minute/level (D)&lt;/h5&gt;&lt;h5&gt;&lt;b&gt;Saving Throw &lt;/b&gt;Will negates (harmless); &lt;b&gt;Spell Resistance &lt;/b&gt;yes (harmless)&lt;/h5&gt;&lt;/div&gt;&lt;hr/&gt;&lt;div&gt;&lt;h5&gt;&lt;b&gt;DESCRIPTION&lt;/b&gt;&lt;/h5&gt;&lt;/div&gt;&lt;hr/&gt;&lt;div&gt;&lt;h4&gt;&lt;p&gt;You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duration.&lt;/p&gt;&lt;/h4&gt;&lt;/div&gt;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</si>
</sst>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
  </numFmts>
  <fonts count="6" x14ac:knownFonts="1">
    <font>
      <sz val="10"/>
      <color rgb="FF000000"/>
      <name val="Arial"/>
    </font>
    <font>
      <sz val="10"/>
      <name val="Arial"/>
    </font>
    <font>
      <sz val="11"/>
      <name val="Arial"/>
    </font>
    <font>
      <sz val="10"/>
      <color rgb="FF0000FF"/>
      <name val="Arial"/>
    </font>
    <font>
      <u/>
      <sz val="10"/>
      <color rgb="FF0000FF"/>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xf numFmtId="0" fontId="1" fillId="0" borderId="0" xfId="0" applyFont="1" applyAlignment="1">
      <alignment wrapText="1"/>
    </xf>
    <xf numFmtId="164" fontId="1" fillId="0" borderId="0" xfId="0" applyNumberFormat="1"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2828"/>
  <sheetViews>
    <sheetView tabSelected="1" zoomScale="222" workbookViewId="0">
      <pane ySplit="1" topLeftCell="A2" activePane="bottomLeft" state="frozen"/>
      <selection pane="bottomLeft"/>
    </sheetView>
  </sheetViews>
  <sheetFormatPr baseColWidth="10" defaultColWidth="14.33203125" defaultRowHeight="15" customHeight="1" x14ac:dyDescent="0.15"/>
  <cols>
    <col min="1" max="1" width="29" bestFit="1" customWidth="1"/>
    <col min="2" max="2" width="11.6640625" bestFit="1" customWidth="1"/>
    <col min="3" max="3" width="17.1640625" bestFit="1" customWidth="1"/>
    <col min="4" max="4" width="38.5" bestFit="1" customWidth="1"/>
    <col min="5" max="5" width="131.6640625" bestFit="1" customWidth="1"/>
    <col min="6" max="6" width="36.33203125" bestFit="1" customWidth="1"/>
    <col min="7" max="7" width="140.83203125" bestFit="1" customWidth="1"/>
    <col min="8" max="8" width="15.33203125" bestFit="1" customWidth="1"/>
    <col min="9" max="9" width="39.5" bestFit="1" customWidth="1"/>
    <col min="10" max="10" width="68.1640625" bestFit="1" customWidth="1"/>
    <col min="11" max="11" width="106.83203125" bestFit="1" customWidth="1"/>
    <col min="12" max="12" width="136" bestFit="1" customWidth="1"/>
    <col min="13" max="13" width="59.83203125" bestFit="1" customWidth="1"/>
    <col min="14" max="14" width="9.1640625" bestFit="1" customWidth="1"/>
    <col min="15" max="15" width="8.83203125" bestFit="1" customWidth="1"/>
    <col min="16" max="16" width="51.83203125" bestFit="1" customWidth="1"/>
    <col min="17" max="17" width="30.6640625" bestFit="1" customWidth="1"/>
    <col min="18" max="19" width="213.33203125" bestFit="1" customWidth="1"/>
    <col min="20" max="20" width="37.33203125" bestFit="1" customWidth="1"/>
    <col min="21" max="21" width="213.33203125" bestFit="1" customWidth="1"/>
    <col min="22" max="22" width="5.6640625" bestFit="1" customWidth="1"/>
    <col min="23" max="23" width="6.83203125" bestFit="1" customWidth="1"/>
    <col min="24" max="24" width="7" bestFit="1" customWidth="1"/>
    <col min="25" max="25" width="5" bestFit="1" customWidth="1"/>
    <col min="26" max="26" width="10.33203125" bestFit="1" customWidth="1"/>
    <col min="27" max="30" width="5.33203125" bestFit="1" customWidth="1"/>
    <col min="31" max="31" width="5.83203125" bestFit="1" customWidth="1"/>
    <col min="32" max="32" width="5.33203125" bestFit="1" customWidth="1"/>
    <col min="33" max="33" width="6.5" bestFit="1" customWidth="1"/>
    <col min="34" max="34" width="8.1640625" bestFit="1" customWidth="1"/>
    <col min="35" max="35" width="9" bestFit="1" customWidth="1"/>
    <col min="36" max="36" width="5.33203125" bestFit="1" customWidth="1"/>
    <col min="37" max="37" width="7.83203125" bestFit="1" customWidth="1"/>
    <col min="38" max="38" width="5.6640625" bestFit="1" customWidth="1"/>
    <col min="39" max="39" width="9.1640625" bestFit="1" customWidth="1"/>
    <col min="40" max="40" width="6.1640625" bestFit="1" customWidth="1"/>
    <col min="41" max="41" width="5.33203125" bestFit="1" customWidth="1"/>
    <col min="42" max="42" width="13" bestFit="1" customWidth="1"/>
    <col min="43" max="43" width="9.1640625" bestFit="1" customWidth="1"/>
    <col min="44" max="44" width="60.5" bestFit="1" customWidth="1"/>
    <col min="45" max="45" width="114.83203125" bestFit="1" customWidth="1"/>
    <col min="46" max="46" width="4.1640625" bestFit="1" customWidth="1"/>
    <col min="47" max="47" width="3" bestFit="1" customWidth="1"/>
    <col min="48" max="48" width="6.33203125" bestFit="1" customWidth="1"/>
    <col min="49" max="49" width="4.1640625" bestFit="1" customWidth="1"/>
    <col min="50" max="50" width="5.1640625" bestFit="1" customWidth="1"/>
    <col min="51" max="51" width="7.83203125" bestFit="1" customWidth="1"/>
    <col min="52" max="52" width="5.33203125" bestFit="1" customWidth="1"/>
    <col min="53" max="53" width="6.83203125" bestFit="1" customWidth="1"/>
    <col min="54" max="54" width="4.83203125" bestFit="1" customWidth="1"/>
    <col min="55" max="55" width="8" bestFit="1" customWidth="1"/>
    <col min="56" max="56" width="7" bestFit="1" customWidth="1"/>
    <col min="57" max="57" width="3.6640625" bestFit="1" customWidth="1"/>
    <col min="58" max="58" width="4" bestFit="1" customWidth="1"/>
    <col min="59" max="59" width="3.33203125" bestFit="1" customWidth="1"/>
    <col min="60" max="61" width="4.83203125" bestFit="1" customWidth="1"/>
    <col min="62" max="62" width="16.6640625" bestFit="1" customWidth="1"/>
    <col min="63" max="63" width="5.33203125" bestFit="1" customWidth="1"/>
    <col min="64" max="64" width="4.1640625" bestFit="1" customWidth="1"/>
    <col min="65" max="65" width="12" bestFit="1" customWidth="1"/>
    <col min="66" max="66" width="4.1640625" bestFit="1" customWidth="1"/>
    <col min="67" max="67" width="6" bestFit="1" customWidth="1"/>
    <col min="68" max="68" width="6.83203125" bestFit="1" customWidth="1"/>
    <col min="69" max="69" width="5" bestFit="1" customWidth="1"/>
    <col min="70" max="70" width="5.1640625" bestFit="1" customWidth="1"/>
    <col min="71" max="71" width="27.83203125" bestFit="1" customWidth="1"/>
    <col min="72" max="72" width="5.1640625" bestFit="1" customWidth="1"/>
    <col min="73" max="73" width="11.83203125" bestFit="1" customWidth="1"/>
    <col min="74" max="74" width="76" bestFit="1" customWidth="1"/>
    <col min="75" max="75" width="43.33203125" bestFit="1" customWidth="1"/>
    <col min="76" max="77" width="213.33203125" bestFit="1" customWidth="1"/>
    <col min="78" max="78" width="5.83203125" bestFit="1" customWidth="1"/>
    <col min="79" max="79" width="9" bestFit="1" customWidth="1"/>
    <col min="80" max="80" width="7" bestFit="1" customWidth="1"/>
    <col min="81" max="81" width="6.6640625" bestFit="1" customWidth="1"/>
    <col min="82" max="82" width="7" bestFit="1" customWidth="1"/>
    <col min="83" max="83" width="8.83203125" bestFit="1" customWidth="1"/>
    <col min="84" max="84" width="7.1640625" bestFit="1" customWidth="1"/>
    <col min="85" max="85" width="8.5" bestFit="1" customWidth="1"/>
    <col min="86" max="86" width="5.33203125" bestFit="1" customWidth="1"/>
    <col min="87" max="87" width="9.6640625" bestFit="1" customWidth="1"/>
    <col min="88" max="88" width="5.83203125" bestFit="1" customWidth="1"/>
    <col min="89" max="89" width="148.83203125" bestFit="1" customWidth="1"/>
    <col min="90" max="90" width="4.33203125" bestFit="1" customWidth="1"/>
    <col min="91" max="91" width="7.33203125" bestFit="1" customWidth="1"/>
    <col min="92" max="92" width="8.6640625" bestFit="1" customWidth="1"/>
  </cols>
  <sheetData>
    <row r="1" spans="1:92" ht="14.2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65</v>
      </c>
      <c r="BN1" s="1" t="s">
        <v>66</v>
      </c>
      <c r="BO1" s="1" t="s">
        <v>67</v>
      </c>
      <c r="BP1" s="1" t="s">
        <v>68</v>
      </c>
      <c r="BQ1" s="1" t="s">
        <v>69</v>
      </c>
      <c r="BR1" s="1" t="s">
        <v>70</v>
      </c>
      <c r="BS1" s="1" t="s">
        <v>72</v>
      </c>
      <c r="BT1" s="1" t="s">
        <v>73</v>
      </c>
      <c r="BU1" s="1" t="s">
        <v>74</v>
      </c>
      <c r="BV1" s="1" t="s">
        <v>75</v>
      </c>
      <c r="BW1" s="1" t="s">
        <v>76</v>
      </c>
      <c r="BX1" s="1" t="s">
        <v>77</v>
      </c>
      <c r="BY1" s="1" t="s">
        <v>78</v>
      </c>
      <c r="BZ1" s="1" t="s">
        <v>79</v>
      </c>
      <c r="CA1" s="1" t="s">
        <v>80</v>
      </c>
      <c r="CB1" s="1" t="s">
        <v>81</v>
      </c>
      <c r="CC1" s="1" t="s">
        <v>82</v>
      </c>
      <c r="CD1" s="1" t="s">
        <v>83</v>
      </c>
      <c r="CE1" s="1" t="s">
        <v>84</v>
      </c>
      <c r="CF1" s="1" t="s">
        <v>85</v>
      </c>
      <c r="CG1" s="1" t="s">
        <v>86</v>
      </c>
      <c r="CH1" s="1" t="s">
        <v>87</v>
      </c>
      <c r="CI1" s="1" t="s">
        <v>88</v>
      </c>
      <c r="CJ1" s="1" t="s">
        <v>89</v>
      </c>
      <c r="CK1" s="1" t="s">
        <v>90</v>
      </c>
      <c r="CL1" s="1" t="s">
        <v>91</v>
      </c>
      <c r="CM1" s="1" t="s">
        <v>92</v>
      </c>
      <c r="CN1" s="1" t="s">
        <v>93</v>
      </c>
    </row>
    <row r="2" spans="1:92" ht="14.25" customHeight="1" x14ac:dyDescent="0.15">
      <c r="A2" s="1" t="s">
        <v>94</v>
      </c>
      <c r="B2" s="1" t="s">
        <v>95</v>
      </c>
      <c r="C2" s="1" t="s">
        <v>96</v>
      </c>
      <c r="D2" s="1" t="s">
        <v>46</v>
      </c>
      <c r="E2" s="1" t="s">
        <v>97</v>
      </c>
      <c r="F2" s="1" t="s">
        <v>98</v>
      </c>
      <c r="G2" s="1" t="s">
        <v>99</v>
      </c>
      <c r="H2" s="1">
        <v>0</v>
      </c>
      <c r="I2" s="1" t="s">
        <v>100</v>
      </c>
      <c r="J2" s="1"/>
      <c r="K2" s="1" t="s">
        <v>101</v>
      </c>
      <c r="L2" s="1"/>
      <c r="M2" s="1" t="s">
        <v>102</v>
      </c>
      <c r="N2" s="1">
        <v>0</v>
      </c>
      <c r="O2" s="1">
        <v>0</v>
      </c>
      <c r="P2" s="1" t="s">
        <v>103</v>
      </c>
      <c r="Q2" s="1" t="s">
        <v>104</v>
      </c>
      <c r="R2" s="1" t="s">
        <v>105</v>
      </c>
      <c r="S2" s="1" t="s">
        <v>106</v>
      </c>
      <c r="T2" s="1" t="s">
        <v>107</v>
      </c>
      <c r="U2" s="1" t="s">
        <v>108</v>
      </c>
      <c r="V2" s="1">
        <v>1</v>
      </c>
      <c r="W2" s="1">
        <v>1</v>
      </c>
      <c r="X2" s="1">
        <v>1</v>
      </c>
      <c r="Y2" s="1">
        <v>1</v>
      </c>
      <c r="Z2" s="1">
        <v>0</v>
      </c>
      <c r="AA2" s="1">
        <v>2</v>
      </c>
      <c r="AB2" s="1">
        <v>2</v>
      </c>
      <c r="AC2" s="1" t="s">
        <v>109</v>
      </c>
      <c r="AD2" s="1" t="s">
        <v>109</v>
      </c>
      <c r="AE2" s="1" t="s">
        <v>109</v>
      </c>
      <c r="AF2" s="1" t="s">
        <v>109</v>
      </c>
      <c r="AG2" s="1" t="s">
        <v>109</v>
      </c>
      <c r="AH2" s="1" t="s">
        <v>109</v>
      </c>
      <c r="AI2" s="1" t="s">
        <v>109</v>
      </c>
      <c r="AJ2" s="1" t="s">
        <v>109</v>
      </c>
      <c r="AK2" s="1" t="s">
        <v>109</v>
      </c>
      <c r="AL2" s="1" t="s">
        <v>109</v>
      </c>
      <c r="AM2" s="1" t="s">
        <v>109</v>
      </c>
      <c r="AN2" s="1">
        <v>2</v>
      </c>
      <c r="AO2" s="1" t="s">
        <v>109</v>
      </c>
      <c r="AP2" s="1"/>
      <c r="AQ2" s="1">
        <v>2</v>
      </c>
      <c r="AR2" s="1"/>
      <c r="AS2" s="1" t="s">
        <v>110</v>
      </c>
      <c r="AT2" s="1">
        <v>1</v>
      </c>
      <c r="AU2" s="1">
        <v>0</v>
      </c>
      <c r="AV2" s="1">
        <v>0</v>
      </c>
      <c r="AW2" s="1">
        <v>0</v>
      </c>
      <c r="AX2" s="1">
        <v>0</v>
      </c>
      <c r="AY2" s="1">
        <v>0</v>
      </c>
      <c r="AZ2" s="1">
        <v>0</v>
      </c>
      <c r="BA2" s="1">
        <v>0</v>
      </c>
      <c r="BB2" s="1">
        <v>0</v>
      </c>
      <c r="BC2" s="1">
        <v>0</v>
      </c>
      <c r="BD2" s="1">
        <v>0</v>
      </c>
      <c r="BE2" s="1">
        <v>0</v>
      </c>
      <c r="BF2" s="1">
        <v>0</v>
      </c>
      <c r="BG2" s="1">
        <v>0</v>
      </c>
      <c r="BH2" s="1">
        <v>0</v>
      </c>
      <c r="BI2" s="1">
        <v>0</v>
      </c>
      <c r="BJ2" s="1">
        <v>0</v>
      </c>
      <c r="BK2" s="1">
        <v>0</v>
      </c>
      <c r="BL2" s="1">
        <v>0</v>
      </c>
      <c r="BM2" s="1">
        <v>0</v>
      </c>
      <c r="BN2" s="1">
        <v>0</v>
      </c>
      <c r="BO2" s="1">
        <v>0</v>
      </c>
      <c r="BP2" s="1">
        <v>0</v>
      </c>
      <c r="BQ2" s="1">
        <v>0</v>
      </c>
      <c r="BR2" s="1">
        <v>0</v>
      </c>
      <c r="BS2" s="5" t="str">
        <f>HYPERLINK("http://www.d20pfsrd.com/magic/all-spells/a/acid-arrow","Acid Arrow")</f>
        <v>Acid Arrow</v>
      </c>
      <c r="BT2" s="1">
        <v>1</v>
      </c>
      <c r="BU2" s="1" t="s">
        <v>109</v>
      </c>
      <c r="BV2" s="1"/>
      <c r="BW2" s="1"/>
      <c r="BX2" s="1"/>
      <c r="BY2" s="1"/>
      <c r="BZ2" s="1">
        <v>0</v>
      </c>
      <c r="CA2" s="1">
        <v>2</v>
      </c>
      <c r="CB2" s="1" t="s">
        <v>109</v>
      </c>
      <c r="CC2" s="1" t="s">
        <v>109</v>
      </c>
      <c r="CD2" s="1" t="s">
        <v>109</v>
      </c>
      <c r="CE2" s="1" t="s">
        <v>109</v>
      </c>
      <c r="CF2" s="1" t="s">
        <v>109</v>
      </c>
      <c r="CG2" s="1" t="s">
        <v>109</v>
      </c>
      <c r="CH2" s="1" t="s">
        <v>109</v>
      </c>
      <c r="CI2" s="1" t="s">
        <v>109</v>
      </c>
      <c r="CJ2" s="1" t="s">
        <v>109</v>
      </c>
      <c r="CK2" s="1"/>
      <c r="CL2" s="1">
        <v>0</v>
      </c>
      <c r="CM2" s="1">
        <v>0</v>
      </c>
      <c r="CN2" s="1">
        <v>0</v>
      </c>
    </row>
    <row r="3" spans="1:92" ht="14.25" customHeight="1" x14ac:dyDescent="0.15">
      <c r="A3" s="1" t="s">
        <v>118</v>
      </c>
      <c r="B3" s="1" t="s">
        <v>95</v>
      </c>
      <c r="C3" s="1" t="s">
        <v>96</v>
      </c>
      <c r="D3" s="1" t="s">
        <v>46</v>
      </c>
      <c r="E3" s="1" t="s">
        <v>119</v>
      </c>
      <c r="F3" s="1" t="s">
        <v>98</v>
      </c>
      <c r="G3" s="1" t="s">
        <v>121</v>
      </c>
      <c r="H3" s="1">
        <v>0</v>
      </c>
      <c r="I3" s="1" t="s">
        <v>122</v>
      </c>
      <c r="J3" s="1"/>
      <c r="K3" s="1" t="s">
        <v>123</v>
      </c>
      <c r="L3" s="1"/>
      <c r="M3" s="1" t="s">
        <v>125</v>
      </c>
      <c r="N3" s="1">
        <v>0</v>
      </c>
      <c r="O3" s="1">
        <v>0</v>
      </c>
      <c r="P3" s="1" t="s">
        <v>103</v>
      </c>
      <c r="Q3" s="1" t="s">
        <v>104</v>
      </c>
      <c r="R3" s="1" t="s">
        <v>127</v>
      </c>
      <c r="S3" s="1" t="s">
        <v>128</v>
      </c>
      <c r="T3" s="1" t="s">
        <v>107</v>
      </c>
      <c r="U3" s="1" t="s">
        <v>130</v>
      </c>
      <c r="V3" s="1">
        <v>1</v>
      </c>
      <c r="W3" s="1">
        <v>1</v>
      </c>
      <c r="X3" s="1">
        <v>1</v>
      </c>
      <c r="Y3" s="1">
        <v>0</v>
      </c>
      <c r="Z3" s="1">
        <v>0</v>
      </c>
      <c r="AA3" s="1">
        <v>6</v>
      </c>
      <c r="AB3" s="1">
        <v>6</v>
      </c>
      <c r="AC3" s="1" t="s">
        <v>109</v>
      </c>
      <c r="AD3" s="1" t="s">
        <v>109</v>
      </c>
      <c r="AE3" s="1" t="s">
        <v>109</v>
      </c>
      <c r="AF3" s="1" t="s">
        <v>109</v>
      </c>
      <c r="AG3" s="1" t="s">
        <v>109</v>
      </c>
      <c r="AH3" s="1" t="s">
        <v>109</v>
      </c>
      <c r="AI3" s="1" t="s">
        <v>109</v>
      </c>
      <c r="AJ3" s="1" t="s">
        <v>109</v>
      </c>
      <c r="AK3" s="1" t="s">
        <v>109</v>
      </c>
      <c r="AL3" s="1" t="s">
        <v>109</v>
      </c>
      <c r="AM3" s="1" t="s">
        <v>109</v>
      </c>
      <c r="AN3" s="1">
        <v>6</v>
      </c>
      <c r="AO3" s="1" t="s">
        <v>109</v>
      </c>
      <c r="AP3" s="1"/>
      <c r="AQ3" s="1">
        <v>6</v>
      </c>
      <c r="AR3" s="1"/>
      <c r="AS3" s="1" t="s">
        <v>132</v>
      </c>
      <c r="AT3" s="1">
        <v>1</v>
      </c>
      <c r="AU3" s="1">
        <v>0</v>
      </c>
      <c r="AV3" s="1">
        <v>0</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c r="BQ3" s="1">
        <v>0</v>
      </c>
      <c r="BR3" s="1">
        <v>0</v>
      </c>
      <c r="BS3" s="5" t="str">
        <f>HYPERLINK("http://www.d20pfsrd.com/magic/all-spells/a/acid-fog","Acid Fog")</f>
        <v>Acid Fog</v>
      </c>
      <c r="BT3" s="1">
        <v>2</v>
      </c>
      <c r="BU3" s="1" t="s">
        <v>109</v>
      </c>
      <c r="BV3" s="1"/>
      <c r="BW3" s="1"/>
      <c r="BX3" s="1"/>
      <c r="BY3" s="1"/>
      <c r="BZ3" s="1">
        <v>0</v>
      </c>
      <c r="CA3" s="1" t="s">
        <v>109</v>
      </c>
      <c r="CB3" s="1" t="s">
        <v>109</v>
      </c>
      <c r="CC3" s="1" t="s">
        <v>109</v>
      </c>
      <c r="CD3" s="1" t="s">
        <v>109</v>
      </c>
      <c r="CE3" s="1" t="s">
        <v>109</v>
      </c>
      <c r="CF3" s="1" t="s">
        <v>109</v>
      </c>
      <c r="CG3" s="1" t="s">
        <v>109</v>
      </c>
      <c r="CH3" s="1" t="s">
        <v>109</v>
      </c>
      <c r="CI3" s="1" t="s">
        <v>109</v>
      </c>
      <c r="CJ3" s="1" t="s">
        <v>109</v>
      </c>
      <c r="CK3" s="1"/>
      <c r="CL3" s="1">
        <v>0</v>
      </c>
      <c r="CM3" s="1">
        <v>0</v>
      </c>
      <c r="CN3" s="1">
        <v>0</v>
      </c>
    </row>
    <row r="4" spans="1:92" ht="14.25" customHeight="1" x14ac:dyDescent="0.15">
      <c r="A4" s="1" t="s">
        <v>138</v>
      </c>
      <c r="B4" s="1" t="s">
        <v>95</v>
      </c>
      <c r="C4" s="1" t="s">
        <v>96</v>
      </c>
      <c r="D4" s="1" t="s">
        <v>46</v>
      </c>
      <c r="E4" s="1" t="s">
        <v>140</v>
      </c>
      <c r="F4" s="1" t="s">
        <v>98</v>
      </c>
      <c r="G4" s="1" t="s">
        <v>141</v>
      </c>
      <c r="H4" s="1">
        <v>0</v>
      </c>
      <c r="I4" s="1" t="s">
        <v>142</v>
      </c>
      <c r="J4" s="1"/>
      <c r="K4" s="1" t="s">
        <v>143</v>
      </c>
      <c r="L4" s="1"/>
      <c r="M4" s="1" t="s">
        <v>144</v>
      </c>
      <c r="N4" s="1">
        <v>0</v>
      </c>
      <c r="O4" s="1">
        <v>0</v>
      </c>
      <c r="P4" s="1" t="s">
        <v>103</v>
      </c>
      <c r="Q4" s="1" t="s">
        <v>104</v>
      </c>
      <c r="R4" s="1" t="s">
        <v>145</v>
      </c>
      <c r="S4" s="1" t="s">
        <v>146</v>
      </c>
      <c r="T4" s="1" t="s">
        <v>107</v>
      </c>
      <c r="U4" s="1" t="s">
        <v>148</v>
      </c>
      <c r="V4" s="1">
        <v>1</v>
      </c>
      <c r="W4" s="1">
        <v>1</v>
      </c>
      <c r="X4" s="1">
        <v>0</v>
      </c>
      <c r="Y4" s="1">
        <v>0</v>
      </c>
      <c r="Z4" s="1">
        <v>0</v>
      </c>
      <c r="AA4" s="1">
        <v>0</v>
      </c>
      <c r="AB4" s="1">
        <v>0</v>
      </c>
      <c r="AC4" s="1" t="s">
        <v>109</v>
      </c>
      <c r="AD4" s="1" t="s">
        <v>109</v>
      </c>
      <c r="AE4" s="1" t="s">
        <v>109</v>
      </c>
      <c r="AF4" s="1" t="s">
        <v>109</v>
      </c>
      <c r="AG4" s="1" t="s">
        <v>109</v>
      </c>
      <c r="AH4" s="1" t="s">
        <v>109</v>
      </c>
      <c r="AI4" s="1">
        <v>0</v>
      </c>
      <c r="AJ4" s="1" t="s">
        <v>109</v>
      </c>
      <c r="AK4" s="1">
        <v>0</v>
      </c>
      <c r="AL4" s="1" t="s">
        <v>109</v>
      </c>
      <c r="AM4" s="1" t="s">
        <v>109</v>
      </c>
      <c r="AN4" s="1">
        <v>0</v>
      </c>
      <c r="AO4" s="1" t="s">
        <v>109</v>
      </c>
      <c r="AP4" s="1"/>
      <c r="AQ4" s="1">
        <v>0</v>
      </c>
      <c r="AR4" s="1"/>
      <c r="AS4" s="1" t="s">
        <v>150</v>
      </c>
      <c r="AT4" s="1">
        <v>1</v>
      </c>
      <c r="AU4" s="1">
        <v>0</v>
      </c>
      <c r="AV4" s="1">
        <v>0</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5" t="str">
        <f>HYPERLINK("http://www.d20pfsrd.com/magic/all-spells/a/acid-splash","Acid Splash")</f>
        <v>Acid Splash</v>
      </c>
      <c r="BT4" s="1">
        <v>3</v>
      </c>
      <c r="BU4" s="1" t="s">
        <v>109</v>
      </c>
      <c r="BV4" s="1"/>
      <c r="BW4" s="1"/>
      <c r="BX4" s="1"/>
      <c r="BY4" s="1"/>
      <c r="BZ4" s="1">
        <v>0</v>
      </c>
      <c r="CA4" s="1" t="s">
        <v>109</v>
      </c>
      <c r="CB4" s="1" t="s">
        <v>109</v>
      </c>
      <c r="CC4" s="1" t="s">
        <v>109</v>
      </c>
      <c r="CD4" s="1" t="s">
        <v>109</v>
      </c>
      <c r="CE4" s="1" t="s">
        <v>109</v>
      </c>
      <c r="CF4" s="1" t="s">
        <v>109</v>
      </c>
      <c r="CG4" s="1" t="s">
        <v>109</v>
      </c>
      <c r="CH4" s="1" t="s">
        <v>109</v>
      </c>
      <c r="CI4" s="1" t="s">
        <v>109</v>
      </c>
      <c r="CJ4" s="1" t="s">
        <v>109</v>
      </c>
      <c r="CK4" s="1"/>
      <c r="CL4" s="1">
        <v>0</v>
      </c>
      <c r="CM4" s="1">
        <v>0</v>
      </c>
      <c r="CN4" s="1">
        <v>0</v>
      </c>
    </row>
    <row r="5" spans="1:92" ht="14.25" customHeight="1" x14ac:dyDescent="0.15">
      <c r="A5" s="1" t="s">
        <v>155</v>
      </c>
      <c r="B5" s="1" t="s">
        <v>156</v>
      </c>
      <c r="C5" s="1" t="s">
        <v>157</v>
      </c>
      <c r="D5" s="1" t="s">
        <v>158</v>
      </c>
      <c r="E5" s="1" t="s">
        <v>159</v>
      </c>
      <c r="F5" s="1" t="s">
        <v>98</v>
      </c>
      <c r="G5" s="1" t="s">
        <v>160</v>
      </c>
      <c r="H5" s="1">
        <v>0</v>
      </c>
      <c r="I5" s="1" t="s">
        <v>161</v>
      </c>
      <c r="J5" s="1"/>
      <c r="K5" s="1"/>
      <c r="L5" s="1" t="s">
        <v>162</v>
      </c>
      <c r="M5" s="1" t="s">
        <v>164</v>
      </c>
      <c r="N5" s="1">
        <v>0</v>
      </c>
      <c r="O5" s="1">
        <v>0</v>
      </c>
      <c r="P5" s="1" t="s">
        <v>103</v>
      </c>
      <c r="Q5" s="1" t="s">
        <v>167</v>
      </c>
      <c r="R5" s="1" t="s">
        <v>168</v>
      </c>
      <c r="S5" s="1" t="s">
        <v>170</v>
      </c>
      <c r="T5" s="1" t="s">
        <v>107</v>
      </c>
      <c r="U5" s="1" t="s">
        <v>172</v>
      </c>
      <c r="V5" s="1">
        <v>1</v>
      </c>
      <c r="W5" s="1">
        <v>1</v>
      </c>
      <c r="X5" s="1">
        <v>0</v>
      </c>
      <c r="Y5" s="1">
        <v>0</v>
      </c>
      <c r="Z5" s="1">
        <v>1</v>
      </c>
      <c r="AA5" s="1" t="s">
        <v>109</v>
      </c>
      <c r="AB5" s="1" t="s">
        <v>109</v>
      </c>
      <c r="AC5" s="1">
        <v>2</v>
      </c>
      <c r="AD5" s="1" t="s">
        <v>109</v>
      </c>
      <c r="AE5" s="1" t="s">
        <v>109</v>
      </c>
      <c r="AF5" s="1" t="s">
        <v>109</v>
      </c>
      <c r="AG5" s="1" t="s">
        <v>109</v>
      </c>
      <c r="AH5" s="1">
        <v>2</v>
      </c>
      <c r="AI5" s="1" t="s">
        <v>109</v>
      </c>
      <c r="AJ5" s="1" t="s">
        <v>109</v>
      </c>
      <c r="AK5" s="1">
        <v>2</v>
      </c>
      <c r="AL5" s="1">
        <v>2</v>
      </c>
      <c r="AM5" s="1" t="s">
        <v>109</v>
      </c>
      <c r="AN5" s="1" t="s">
        <v>109</v>
      </c>
      <c r="AO5" s="1">
        <v>2</v>
      </c>
      <c r="AP5" s="1"/>
      <c r="AQ5" s="1">
        <v>2</v>
      </c>
      <c r="AR5" s="1" t="s">
        <v>174</v>
      </c>
      <c r="AS5" s="1" t="s">
        <v>175</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1</v>
      </c>
      <c r="BN5" s="1">
        <v>0</v>
      </c>
      <c r="BO5" s="1">
        <v>0</v>
      </c>
      <c r="BP5" s="1">
        <v>0</v>
      </c>
      <c r="BQ5" s="1">
        <v>0</v>
      </c>
      <c r="BR5" s="1">
        <v>0</v>
      </c>
      <c r="BS5" s="5" t="str">
        <f>HYPERLINK("http://www.d20pfsrd.com/magic/all-spells/a/aid","Aid")</f>
        <v>Aid</v>
      </c>
      <c r="BT5" s="1">
        <v>4</v>
      </c>
      <c r="BU5" s="1" t="s">
        <v>109</v>
      </c>
      <c r="BV5" s="1"/>
      <c r="BW5" s="1" t="s">
        <v>181</v>
      </c>
      <c r="BX5" s="1"/>
      <c r="BY5" s="1"/>
      <c r="BZ5" s="1">
        <v>0</v>
      </c>
      <c r="CA5" s="1" t="s">
        <v>109</v>
      </c>
      <c r="CB5" s="1">
        <v>2</v>
      </c>
      <c r="CC5" s="1" t="s">
        <v>109</v>
      </c>
      <c r="CD5" s="1" t="s">
        <v>109</v>
      </c>
      <c r="CE5" s="1" t="s">
        <v>109</v>
      </c>
      <c r="CF5" s="1" t="s">
        <v>109</v>
      </c>
      <c r="CG5" s="1">
        <v>2</v>
      </c>
      <c r="CH5" s="1" t="s">
        <v>109</v>
      </c>
      <c r="CI5" s="1" t="s">
        <v>109</v>
      </c>
      <c r="CJ5" s="1" t="s">
        <v>109</v>
      </c>
      <c r="CK5" s="1"/>
      <c r="CL5" s="1">
        <v>0</v>
      </c>
      <c r="CM5" s="1">
        <v>0</v>
      </c>
      <c r="CN5" s="1">
        <v>0</v>
      </c>
    </row>
    <row r="6" spans="1:92" ht="14.25" customHeight="1" x14ac:dyDescent="0.15">
      <c r="A6" s="1" t="s">
        <v>188</v>
      </c>
      <c r="B6" s="1" t="s">
        <v>189</v>
      </c>
      <c r="C6" s="1"/>
      <c r="D6" s="1" t="s">
        <v>47</v>
      </c>
      <c r="E6" s="1" t="s">
        <v>191</v>
      </c>
      <c r="F6" s="1" t="s">
        <v>98</v>
      </c>
      <c r="G6" s="1" t="s">
        <v>160</v>
      </c>
      <c r="H6" s="1">
        <v>0</v>
      </c>
      <c r="I6" s="1" t="s">
        <v>161</v>
      </c>
      <c r="J6" s="1"/>
      <c r="K6" s="1"/>
      <c r="L6" s="1" t="s">
        <v>193</v>
      </c>
      <c r="M6" s="1" t="s">
        <v>194</v>
      </c>
      <c r="N6" s="1">
        <v>0</v>
      </c>
      <c r="O6" s="1">
        <v>0</v>
      </c>
      <c r="P6" s="1" t="s">
        <v>103</v>
      </c>
      <c r="Q6" s="1" t="s">
        <v>167</v>
      </c>
      <c r="R6" s="1" t="s">
        <v>196</v>
      </c>
      <c r="S6" s="1" t="s">
        <v>198</v>
      </c>
      <c r="T6" s="1" t="s">
        <v>107</v>
      </c>
      <c r="U6" s="1" t="s">
        <v>201</v>
      </c>
      <c r="V6" s="1">
        <v>1</v>
      </c>
      <c r="W6" s="1">
        <v>1</v>
      </c>
      <c r="X6" s="1">
        <v>0</v>
      </c>
      <c r="Y6" s="1">
        <v>0</v>
      </c>
      <c r="Z6" s="1">
        <v>1</v>
      </c>
      <c r="AA6" s="1" t="s">
        <v>109</v>
      </c>
      <c r="AB6" s="1" t="s">
        <v>109</v>
      </c>
      <c r="AC6" s="1">
        <v>4</v>
      </c>
      <c r="AD6" s="1">
        <v>4</v>
      </c>
      <c r="AE6" s="1" t="s">
        <v>109</v>
      </c>
      <c r="AF6" s="1" t="s">
        <v>109</v>
      </c>
      <c r="AG6" s="1" t="s">
        <v>109</v>
      </c>
      <c r="AH6" s="1">
        <v>4</v>
      </c>
      <c r="AI6" s="1" t="s">
        <v>109</v>
      </c>
      <c r="AJ6" s="1" t="s">
        <v>109</v>
      </c>
      <c r="AK6" s="1" t="s">
        <v>109</v>
      </c>
      <c r="AL6" s="1">
        <v>4</v>
      </c>
      <c r="AM6" s="1" t="s">
        <v>109</v>
      </c>
      <c r="AN6" s="1" t="s">
        <v>109</v>
      </c>
      <c r="AO6" s="1" t="s">
        <v>109</v>
      </c>
      <c r="AP6" s="1"/>
      <c r="AQ6" s="1">
        <v>4</v>
      </c>
      <c r="AR6" s="1" t="s">
        <v>203</v>
      </c>
      <c r="AS6" s="1" t="s">
        <v>204</v>
      </c>
      <c r="AT6" s="1">
        <v>0</v>
      </c>
      <c r="AU6" s="1">
        <v>1</v>
      </c>
      <c r="AV6" s="1">
        <v>0</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5" t="str">
        <f>HYPERLINK("http://www.d20pfsrd.com/magic/all-spells/a/air-walk","Air Walk")</f>
        <v>Air Walk</v>
      </c>
      <c r="BT6" s="1">
        <v>5</v>
      </c>
      <c r="BU6" s="1" t="s">
        <v>109</v>
      </c>
      <c r="BV6" s="1"/>
      <c r="BW6" s="1"/>
      <c r="BX6" s="1"/>
      <c r="BY6" s="1"/>
      <c r="BZ6" s="1">
        <v>0</v>
      </c>
      <c r="CA6" s="1" t="s">
        <v>109</v>
      </c>
      <c r="CB6" s="1" t="s">
        <v>109</v>
      </c>
      <c r="CC6" s="1" t="s">
        <v>109</v>
      </c>
      <c r="CD6" s="1" t="s">
        <v>109</v>
      </c>
      <c r="CE6" s="1" t="s">
        <v>109</v>
      </c>
      <c r="CF6" s="1">
        <v>4</v>
      </c>
      <c r="CG6" s="1" t="s">
        <v>109</v>
      </c>
      <c r="CH6" s="1" t="s">
        <v>109</v>
      </c>
      <c r="CI6" s="1" t="s">
        <v>109</v>
      </c>
      <c r="CJ6" s="1">
        <v>4</v>
      </c>
      <c r="CK6" s="1"/>
      <c r="CL6" s="1">
        <v>0</v>
      </c>
      <c r="CM6" s="1">
        <v>0</v>
      </c>
      <c r="CN6" s="1">
        <v>0</v>
      </c>
    </row>
    <row r="7" spans="1:92" ht="14.25" customHeight="1" x14ac:dyDescent="0.15">
      <c r="A7" s="1" t="s">
        <v>210</v>
      </c>
      <c r="B7" s="1" t="s">
        <v>189</v>
      </c>
      <c r="C7" s="1"/>
      <c r="D7" s="1" t="s">
        <v>211</v>
      </c>
      <c r="E7" s="1" t="s">
        <v>213</v>
      </c>
      <c r="F7" s="1" t="s">
        <v>98</v>
      </c>
      <c r="G7" s="1" t="s">
        <v>160</v>
      </c>
      <c r="H7" s="1">
        <v>0</v>
      </c>
      <c r="I7" s="1" t="s">
        <v>161</v>
      </c>
      <c r="J7" s="1"/>
      <c r="K7" s="1"/>
      <c r="L7" s="1" t="s">
        <v>214</v>
      </c>
      <c r="M7" s="1" t="s">
        <v>164</v>
      </c>
      <c r="N7" s="1">
        <v>0</v>
      </c>
      <c r="O7" s="1">
        <v>0</v>
      </c>
      <c r="P7" s="1" t="s">
        <v>215</v>
      </c>
      <c r="Q7" s="1" t="s">
        <v>216</v>
      </c>
      <c r="R7" s="1" t="s">
        <v>218</v>
      </c>
      <c r="S7" s="1" t="s">
        <v>219</v>
      </c>
      <c r="T7" s="1" t="s">
        <v>107</v>
      </c>
      <c r="U7" s="1" t="s">
        <v>221</v>
      </c>
      <c r="V7" s="1">
        <v>1</v>
      </c>
      <c r="W7" s="1">
        <v>1</v>
      </c>
      <c r="X7" s="1">
        <v>0</v>
      </c>
      <c r="Y7" s="1">
        <v>0</v>
      </c>
      <c r="Z7" s="1">
        <v>1</v>
      </c>
      <c r="AA7" s="1" t="s">
        <v>109</v>
      </c>
      <c r="AB7" s="1" t="s">
        <v>109</v>
      </c>
      <c r="AC7" s="1">
        <v>2</v>
      </c>
      <c r="AD7" s="1" t="s">
        <v>109</v>
      </c>
      <c r="AE7" s="1" t="s">
        <v>109</v>
      </c>
      <c r="AF7" s="1" t="s">
        <v>109</v>
      </c>
      <c r="AG7" s="1" t="s">
        <v>109</v>
      </c>
      <c r="AH7" s="1" t="s">
        <v>109</v>
      </c>
      <c r="AI7" s="1" t="s">
        <v>109</v>
      </c>
      <c r="AJ7" s="1" t="s">
        <v>109</v>
      </c>
      <c r="AK7" s="1">
        <v>2</v>
      </c>
      <c r="AL7" s="1">
        <v>2</v>
      </c>
      <c r="AM7" s="1" t="s">
        <v>109</v>
      </c>
      <c r="AN7" s="1" t="s">
        <v>109</v>
      </c>
      <c r="AO7" s="1" t="s">
        <v>109</v>
      </c>
      <c r="AP7" s="1"/>
      <c r="AQ7" s="1">
        <v>2</v>
      </c>
      <c r="AR7" s="1" t="s">
        <v>224</v>
      </c>
      <c r="AS7" s="1" t="s">
        <v>225</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5" t="str">
        <f>HYPERLINK("http://www.d20pfsrd.com/magic/all-spells/a/align-weapon","Align Weapon")</f>
        <v>Align Weapon</v>
      </c>
      <c r="BT7" s="1">
        <v>6</v>
      </c>
      <c r="BU7" s="1" t="s">
        <v>109</v>
      </c>
      <c r="BV7" s="1"/>
      <c r="BW7" s="1"/>
      <c r="BX7" s="1"/>
      <c r="BY7" s="1"/>
      <c r="BZ7" s="1">
        <v>0</v>
      </c>
      <c r="CA7" s="1" t="s">
        <v>109</v>
      </c>
      <c r="CB7" s="1" t="s">
        <v>109</v>
      </c>
      <c r="CC7" s="1" t="s">
        <v>109</v>
      </c>
      <c r="CD7" s="1" t="s">
        <v>109</v>
      </c>
      <c r="CE7" s="1" t="s">
        <v>109</v>
      </c>
      <c r="CF7" s="1" t="s">
        <v>109</v>
      </c>
      <c r="CG7" s="1" t="s">
        <v>109</v>
      </c>
      <c r="CH7" s="1" t="s">
        <v>109</v>
      </c>
      <c r="CI7" s="1" t="s">
        <v>109</v>
      </c>
      <c r="CJ7" s="1" t="s">
        <v>109</v>
      </c>
      <c r="CK7" s="1"/>
      <c r="CL7" s="1">
        <v>0</v>
      </c>
      <c r="CM7" s="1">
        <v>0</v>
      </c>
      <c r="CN7" s="1">
        <v>0</v>
      </c>
    </row>
    <row r="8" spans="1:92" ht="14.25" customHeight="1" x14ac:dyDescent="0.15">
      <c r="A8" s="1" t="s">
        <v>230</v>
      </c>
      <c r="B8" s="1" t="s">
        <v>189</v>
      </c>
      <c r="C8" s="1" t="s">
        <v>231</v>
      </c>
      <c r="D8" s="1"/>
      <c r="E8" s="1" t="s">
        <v>232</v>
      </c>
      <c r="F8" s="1" t="s">
        <v>98</v>
      </c>
      <c r="G8" s="1" t="s">
        <v>234</v>
      </c>
      <c r="H8" s="1">
        <v>0</v>
      </c>
      <c r="I8" s="1" t="s">
        <v>235</v>
      </c>
      <c r="J8" s="1"/>
      <c r="K8" s="1"/>
      <c r="L8" s="1" t="s">
        <v>236</v>
      </c>
      <c r="M8" s="1" t="s">
        <v>164</v>
      </c>
      <c r="N8" s="1">
        <v>1</v>
      </c>
      <c r="O8" s="1">
        <v>0</v>
      </c>
      <c r="P8" s="1"/>
      <c r="Q8" s="1"/>
      <c r="R8" s="1" t="s">
        <v>237</v>
      </c>
      <c r="S8" s="1" t="s">
        <v>238</v>
      </c>
      <c r="T8" s="1" t="s">
        <v>107</v>
      </c>
      <c r="U8" s="1" t="s">
        <v>239</v>
      </c>
      <c r="V8" s="1">
        <v>1</v>
      </c>
      <c r="W8" s="1">
        <v>1</v>
      </c>
      <c r="X8" s="1">
        <v>1</v>
      </c>
      <c r="Y8" s="1">
        <v>0</v>
      </c>
      <c r="Z8" s="1">
        <v>0</v>
      </c>
      <c r="AA8" s="1">
        <v>2</v>
      </c>
      <c r="AB8" s="1">
        <v>2</v>
      </c>
      <c r="AC8" s="1" t="s">
        <v>109</v>
      </c>
      <c r="AD8" s="1" t="s">
        <v>109</v>
      </c>
      <c r="AE8" s="1" t="s">
        <v>109</v>
      </c>
      <c r="AF8" s="1">
        <v>2</v>
      </c>
      <c r="AG8" s="1" t="s">
        <v>109</v>
      </c>
      <c r="AH8" s="1">
        <v>2</v>
      </c>
      <c r="AI8" s="1">
        <v>2</v>
      </c>
      <c r="AJ8" s="1">
        <v>2</v>
      </c>
      <c r="AK8" s="1" t="s">
        <v>109</v>
      </c>
      <c r="AL8" s="1" t="s">
        <v>109</v>
      </c>
      <c r="AM8" s="1" t="s">
        <v>109</v>
      </c>
      <c r="AN8" s="1">
        <v>2</v>
      </c>
      <c r="AO8" s="1" t="s">
        <v>109</v>
      </c>
      <c r="AP8" s="1"/>
      <c r="AQ8" s="1">
        <v>2</v>
      </c>
      <c r="AR8" s="1"/>
      <c r="AS8" s="1" t="s">
        <v>240</v>
      </c>
      <c r="AT8" s="1">
        <v>0</v>
      </c>
      <c r="AU8" s="1">
        <v>0</v>
      </c>
      <c r="AV8" s="1">
        <v>0</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5" t="str">
        <f>HYPERLINK("http://www.d20pfsrd.com/magic/all-spells/a/alter-self","Alter Self")</f>
        <v>Alter Self</v>
      </c>
      <c r="BT8" s="1">
        <v>7</v>
      </c>
      <c r="BU8" s="1" t="s">
        <v>109</v>
      </c>
      <c r="BV8" s="1"/>
      <c r="BW8" s="1"/>
      <c r="BX8" s="1"/>
      <c r="BY8" s="1"/>
      <c r="BZ8" s="1">
        <v>0</v>
      </c>
      <c r="CA8" s="1" t="s">
        <v>109</v>
      </c>
      <c r="CB8" s="1">
        <v>2</v>
      </c>
      <c r="CC8" s="1">
        <v>2</v>
      </c>
      <c r="CD8" s="1" t="s">
        <v>109</v>
      </c>
      <c r="CE8" s="1">
        <v>2</v>
      </c>
      <c r="CF8" s="1" t="s">
        <v>109</v>
      </c>
      <c r="CG8" s="1" t="s">
        <v>109</v>
      </c>
      <c r="CH8" s="1" t="s">
        <v>109</v>
      </c>
      <c r="CI8" s="1" t="s">
        <v>109</v>
      </c>
      <c r="CJ8" s="1" t="s">
        <v>109</v>
      </c>
      <c r="CK8" s="1"/>
      <c r="CL8" s="1">
        <v>0</v>
      </c>
      <c r="CM8" s="1">
        <v>0</v>
      </c>
      <c r="CN8" s="1">
        <v>0</v>
      </c>
    </row>
    <row r="9" spans="1:92" ht="14.25" customHeight="1" x14ac:dyDescent="0.15">
      <c r="A9" s="1" t="s">
        <v>241</v>
      </c>
      <c r="B9" s="1" t="s">
        <v>242</v>
      </c>
      <c r="C9" s="1"/>
      <c r="D9" s="1"/>
      <c r="E9" s="1" t="s">
        <v>243</v>
      </c>
      <c r="F9" s="1" t="s">
        <v>98</v>
      </c>
      <c r="G9" s="1" t="s">
        <v>244</v>
      </c>
      <c r="H9" s="1">
        <v>0</v>
      </c>
      <c r="I9" s="1" t="s">
        <v>142</v>
      </c>
      <c r="J9" s="1" t="s">
        <v>245</v>
      </c>
      <c r="K9" s="1"/>
      <c r="L9" s="1"/>
      <c r="M9" s="1" t="s">
        <v>246</v>
      </c>
      <c r="N9" s="1">
        <v>1</v>
      </c>
      <c r="O9" s="1">
        <v>0</v>
      </c>
      <c r="P9" s="1" t="s">
        <v>103</v>
      </c>
      <c r="Q9" s="1" t="s">
        <v>104</v>
      </c>
      <c r="R9" s="1" t="s">
        <v>247</v>
      </c>
      <c r="S9" s="1" t="s">
        <v>248</v>
      </c>
      <c r="T9" s="1" t="s">
        <v>107</v>
      </c>
      <c r="U9" s="1" t="s">
        <v>249</v>
      </c>
      <c r="V9" s="1">
        <v>1</v>
      </c>
      <c r="W9" s="1">
        <v>1</v>
      </c>
      <c r="X9" s="1">
        <v>0</v>
      </c>
      <c r="Y9" s="1">
        <v>1</v>
      </c>
      <c r="Z9" s="1">
        <v>1</v>
      </c>
      <c r="AA9" s="1">
        <v>1</v>
      </c>
      <c r="AB9" s="1">
        <v>1</v>
      </c>
      <c r="AC9" s="1" t="s">
        <v>109</v>
      </c>
      <c r="AD9" s="1" t="s">
        <v>109</v>
      </c>
      <c r="AE9" s="1">
        <v>1</v>
      </c>
      <c r="AF9" s="1">
        <v>1</v>
      </c>
      <c r="AG9" s="1" t="s">
        <v>109</v>
      </c>
      <c r="AH9" s="1" t="s">
        <v>109</v>
      </c>
      <c r="AI9" s="1">
        <v>1</v>
      </c>
      <c r="AJ9" s="1" t="s">
        <v>109</v>
      </c>
      <c r="AK9" s="1">
        <v>1</v>
      </c>
      <c r="AL9" s="1" t="s">
        <v>109</v>
      </c>
      <c r="AM9" s="1" t="s">
        <v>109</v>
      </c>
      <c r="AN9" s="1" t="s">
        <v>109</v>
      </c>
      <c r="AO9" s="1" t="s">
        <v>109</v>
      </c>
      <c r="AP9" s="1"/>
      <c r="AQ9" s="1">
        <v>1</v>
      </c>
      <c r="AR9" s="1" t="s">
        <v>250</v>
      </c>
      <c r="AS9" s="1" t="s">
        <v>251</v>
      </c>
      <c r="AT9" s="1">
        <v>0</v>
      </c>
      <c r="AU9" s="1">
        <v>0</v>
      </c>
      <c r="AV9" s="1">
        <v>0</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5" t="str">
        <f>HYPERLINK("http://www.d20pfsrd.com/magic/all-spells/a/alarm","Alarm")</f>
        <v>Alarm</v>
      </c>
      <c r="BT9" s="1">
        <v>8</v>
      </c>
      <c r="BU9" s="1" t="s">
        <v>109</v>
      </c>
      <c r="BV9" s="1" t="s">
        <v>252</v>
      </c>
      <c r="BW9" s="1"/>
      <c r="BX9" s="1"/>
      <c r="BY9" s="1"/>
      <c r="BZ9" s="1">
        <v>0</v>
      </c>
      <c r="CA9" s="1" t="s">
        <v>109</v>
      </c>
      <c r="CB9" s="1" t="s">
        <v>109</v>
      </c>
      <c r="CC9" s="1">
        <v>1</v>
      </c>
      <c r="CD9" s="1" t="s">
        <v>109</v>
      </c>
      <c r="CE9" s="1" t="s">
        <v>109</v>
      </c>
      <c r="CF9" s="1">
        <v>1</v>
      </c>
      <c r="CG9" s="1">
        <v>1</v>
      </c>
      <c r="CH9" s="1" t="s">
        <v>109</v>
      </c>
      <c r="CI9" s="1" t="s">
        <v>109</v>
      </c>
      <c r="CJ9" s="1">
        <v>1</v>
      </c>
      <c r="CK9" s="1"/>
      <c r="CL9" s="1">
        <v>0</v>
      </c>
      <c r="CM9" s="1">
        <v>0</v>
      </c>
      <c r="CN9" s="1">
        <v>0</v>
      </c>
    </row>
    <row r="10" spans="1:92" ht="14.25" customHeight="1" x14ac:dyDescent="0.15">
      <c r="A10" s="1" t="s">
        <v>253</v>
      </c>
      <c r="B10" s="1" t="s">
        <v>254</v>
      </c>
      <c r="C10" s="1"/>
      <c r="D10" s="1"/>
      <c r="E10" s="1" t="s">
        <v>255</v>
      </c>
      <c r="F10" s="1" t="s">
        <v>98</v>
      </c>
      <c r="G10" s="1" t="s">
        <v>256</v>
      </c>
      <c r="H10" s="1">
        <v>1</v>
      </c>
      <c r="I10" s="1" t="s">
        <v>142</v>
      </c>
      <c r="J10" s="1"/>
      <c r="K10" s="1"/>
      <c r="L10" s="1" t="s">
        <v>257</v>
      </c>
      <c r="M10" s="1" t="s">
        <v>125</v>
      </c>
      <c r="N10" s="1">
        <v>1</v>
      </c>
      <c r="O10" s="1">
        <v>0</v>
      </c>
      <c r="P10" s="1" t="s">
        <v>258</v>
      </c>
      <c r="Q10" s="1" t="s">
        <v>104</v>
      </c>
      <c r="R10" s="1" t="s">
        <v>259</v>
      </c>
      <c r="S10" s="1" t="s">
        <v>260</v>
      </c>
      <c r="T10" s="1" t="s">
        <v>107</v>
      </c>
      <c r="U10" s="1" t="s">
        <v>261</v>
      </c>
      <c r="V10" s="1">
        <v>1</v>
      </c>
      <c r="W10" s="1">
        <v>1</v>
      </c>
      <c r="X10" s="1">
        <v>0</v>
      </c>
      <c r="Y10" s="1">
        <v>1</v>
      </c>
      <c r="Z10" s="1">
        <v>0</v>
      </c>
      <c r="AA10" s="1">
        <v>6</v>
      </c>
      <c r="AB10" s="1">
        <v>6</v>
      </c>
      <c r="AC10" s="1" t="s">
        <v>109</v>
      </c>
      <c r="AD10" s="1" t="s">
        <v>109</v>
      </c>
      <c r="AE10" s="1" t="s">
        <v>109</v>
      </c>
      <c r="AF10" s="1">
        <v>6</v>
      </c>
      <c r="AG10" s="1" t="s">
        <v>109</v>
      </c>
      <c r="AH10" s="1">
        <v>6</v>
      </c>
      <c r="AI10" s="1" t="s">
        <v>109</v>
      </c>
      <c r="AJ10" s="1">
        <v>6</v>
      </c>
      <c r="AK10" s="1" t="s">
        <v>109</v>
      </c>
      <c r="AL10" s="1" t="s">
        <v>109</v>
      </c>
      <c r="AM10" s="1" t="s">
        <v>109</v>
      </c>
      <c r="AN10" s="1" t="s">
        <v>109</v>
      </c>
      <c r="AO10" s="1" t="s">
        <v>109</v>
      </c>
      <c r="AP10" s="1"/>
      <c r="AQ10" s="1">
        <v>6</v>
      </c>
      <c r="AR10" s="1" t="s">
        <v>262</v>
      </c>
      <c r="AS10" s="1" t="s">
        <v>263</v>
      </c>
      <c r="AT10" s="1">
        <v>0</v>
      </c>
      <c r="AU10" s="1">
        <v>0</v>
      </c>
      <c r="AV10" s="1">
        <v>0</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5" t="str">
        <f>HYPERLINK("http://www.d20pfsrd.com/magic/all-spells/a/analyze-dweomer","Analyze Dweomer")</f>
        <v>Analyze Dweomer</v>
      </c>
      <c r="BT10" s="1">
        <v>9</v>
      </c>
      <c r="BU10" s="1">
        <v>1500</v>
      </c>
      <c r="BV10" s="1"/>
      <c r="BW10" s="1"/>
      <c r="BX10" s="1"/>
      <c r="BY10" s="1"/>
      <c r="BZ10" s="1">
        <v>0</v>
      </c>
      <c r="CA10" s="1" t="s">
        <v>109</v>
      </c>
      <c r="CB10" s="1" t="s">
        <v>109</v>
      </c>
      <c r="CC10" s="1">
        <v>6</v>
      </c>
      <c r="CD10" s="1" t="s">
        <v>109</v>
      </c>
      <c r="CE10" s="1" t="s">
        <v>109</v>
      </c>
      <c r="CF10" s="1">
        <v>6</v>
      </c>
      <c r="CG10" s="1">
        <v>6</v>
      </c>
      <c r="CH10" s="1" t="s">
        <v>109</v>
      </c>
      <c r="CI10" s="1" t="s">
        <v>109</v>
      </c>
      <c r="CJ10" s="1" t="s">
        <v>109</v>
      </c>
      <c r="CK10" s="1"/>
      <c r="CL10" s="1">
        <v>0</v>
      </c>
      <c r="CM10" s="1">
        <v>0</v>
      </c>
      <c r="CN10" s="1">
        <v>0</v>
      </c>
    </row>
    <row r="11" spans="1:92" ht="14.25" customHeight="1" x14ac:dyDescent="0.15">
      <c r="A11" s="1" t="s">
        <v>264</v>
      </c>
      <c r="B11" s="1" t="s">
        <v>189</v>
      </c>
      <c r="C11" s="1"/>
      <c r="D11" s="1"/>
      <c r="E11" s="1" t="s">
        <v>265</v>
      </c>
      <c r="F11" s="1" t="s">
        <v>98</v>
      </c>
      <c r="G11" s="1" t="s">
        <v>141</v>
      </c>
      <c r="H11" s="1">
        <v>0</v>
      </c>
      <c r="I11" s="1" t="s">
        <v>122</v>
      </c>
      <c r="J11" s="1"/>
      <c r="K11" s="1"/>
      <c r="L11" s="1" t="s">
        <v>266</v>
      </c>
      <c r="M11" s="1" t="s">
        <v>164</v>
      </c>
      <c r="N11" s="1">
        <v>0</v>
      </c>
      <c r="O11" s="1">
        <v>0</v>
      </c>
      <c r="P11" s="1" t="s">
        <v>267</v>
      </c>
      <c r="Q11" s="1" t="s">
        <v>268</v>
      </c>
      <c r="R11" s="1" t="s">
        <v>269</v>
      </c>
      <c r="S11" s="1" t="s">
        <v>270</v>
      </c>
      <c r="T11" s="1" t="s">
        <v>107</v>
      </c>
      <c r="U11" s="1" t="s">
        <v>271</v>
      </c>
      <c r="V11" s="1">
        <v>1</v>
      </c>
      <c r="W11" s="1">
        <v>1</v>
      </c>
      <c r="X11" s="1">
        <v>0</v>
      </c>
      <c r="Y11" s="1">
        <v>0</v>
      </c>
      <c r="Z11" s="1">
        <v>0</v>
      </c>
      <c r="AA11" s="1">
        <v>5</v>
      </c>
      <c r="AB11" s="1">
        <v>5</v>
      </c>
      <c r="AC11" s="1" t="s">
        <v>109</v>
      </c>
      <c r="AD11" s="1">
        <v>5</v>
      </c>
      <c r="AE11" s="1">
        <v>4</v>
      </c>
      <c r="AF11" s="1" t="s">
        <v>109</v>
      </c>
      <c r="AG11" s="1" t="s">
        <v>109</v>
      </c>
      <c r="AH11" s="1" t="s">
        <v>109</v>
      </c>
      <c r="AI11" s="1" t="s">
        <v>109</v>
      </c>
      <c r="AJ11" s="1" t="s">
        <v>109</v>
      </c>
      <c r="AK11" s="1" t="s">
        <v>109</v>
      </c>
      <c r="AL11" s="1" t="s">
        <v>109</v>
      </c>
      <c r="AM11" s="1" t="s">
        <v>109</v>
      </c>
      <c r="AN11" s="1" t="s">
        <v>109</v>
      </c>
      <c r="AO11" s="1" t="s">
        <v>109</v>
      </c>
      <c r="AP11" s="1"/>
      <c r="AQ11" s="1">
        <v>5</v>
      </c>
      <c r="AR11" s="1" t="s">
        <v>272</v>
      </c>
      <c r="AS11" s="1" t="s">
        <v>273</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5" t="str">
        <f>HYPERLINK("http://www.d20pfsrd.com/magic/all-spells/a/animal-growth","Animal Growth")</f>
        <v>Animal Growth</v>
      </c>
      <c r="BT11" s="1">
        <v>10</v>
      </c>
      <c r="BU11" s="1" t="s">
        <v>109</v>
      </c>
      <c r="BV11" s="1"/>
      <c r="BW11" s="1" t="s">
        <v>274</v>
      </c>
      <c r="BX11" s="1"/>
      <c r="BY11" s="1"/>
      <c r="BZ11" s="1">
        <v>0</v>
      </c>
      <c r="CA11" s="1" t="s">
        <v>109</v>
      </c>
      <c r="CB11" s="1">
        <v>5</v>
      </c>
      <c r="CC11" s="1" t="s">
        <v>109</v>
      </c>
      <c r="CD11" s="1" t="s">
        <v>109</v>
      </c>
      <c r="CE11" s="1" t="s">
        <v>109</v>
      </c>
      <c r="CF11" s="1" t="s">
        <v>109</v>
      </c>
      <c r="CG11" s="1" t="s">
        <v>109</v>
      </c>
      <c r="CH11" s="1" t="s">
        <v>109</v>
      </c>
      <c r="CI11" s="1" t="s">
        <v>109</v>
      </c>
      <c r="CJ11" s="1">
        <v>4</v>
      </c>
      <c r="CK11" s="1"/>
      <c r="CL11" s="1">
        <v>0</v>
      </c>
      <c r="CM11" s="1">
        <v>0</v>
      </c>
      <c r="CN11" s="1">
        <v>0</v>
      </c>
    </row>
    <row r="12" spans="1:92" ht="14.25" customHeight="1" x14ac:dyDescent="0.15">
      <c r="A12" s="1" t="s">
        <v>275</v>
      </c>
      <c r="B12" s="1" t="s">
        <v>156</v>
      </c>
      <c r="C12" s="1" t="s">
        <v>157</v>
      </c>
      <c r="D12" s="1" t="s">
        <v>158</v>
      </c>
      <c r="E12" s="1" t="s">
        <v>276</v>
      </c>
      <c r="F12" s="1" t="s">
        <v>277</v>
      </c>
      <c r="G12" s="1" t="s">
        <v>278</v>
      </c>
      <c r="H12" s="1">
        <v>0</v>
      </c>
      <c r="I12" s="1" t="s">
        <v>142</v>
      </c>
      <c r="J12" s="1"/>
      <c r="K12" s="1"/>
      <c r="L12" s="1" t="s">
        <v>279</v>
      </c>
      <c r="M12" s="1" t="s">
        <v>280</v>
      </c>
      <c r="N12" s="1">
        <v>0</v>
      </c>
      <c r="O12" s="1">
        <v>0</v>
      </c>
      <c r="P12" s="1" t="s">
        <v>281</v>
      </c>
      <c r="Q12" s="1" t="s">
        <v>268</v>
      </c>
      <c r="R12" s="1" t="s">
        <v>282</v>
      </c>
      <c r="S12" s="1" t="s">
        <v>283</v>
      </c>
      <c r="T12" s="1" t="s">
        <v>107</v>
      </c>
      <c r="U12" s="1" t="s">
        <v>284</v>
      </c>
      <c r="V12" s="1">
        <v>1</v>
      </c>
      <c r="W12" s="1">
        <v>1</v>
      </c>
      <c r="X12" s="1">
        <v>1</v>
      </c>
      <c r="Y12" s="1">
        <v>0</v>
      </c>
      <c r="Z12" s="1">
        <v>0</v>
      </c>
      <c r="AA12" s="1" t="s">
        <v>109</v>
      </c>
      <c r="AB12" s="1" t="s">
        <v>109</v>
      </c>
      <c r="AC12" s="1" t="s">
        <v>109</v>
      </c>
      <c r="AD12" s="1">
        <v>2</v>
      </c>
      <c r="AE12" s="1">
        <v>1</v>
      </c>
      <c r="AF12" s="1">
        <v>2</v>
      </c>
      <c r="AG12" s="1" t="s">
        <v>109</v>
      </c>
      <c r="AH12" s="1" t="s">
        <v>109</v>
      </c>
      <c r="AI12" s="1" t="s">
        <v>109</v>
      </c>
      <c r="AJ12" s="1" t="s">
        <v>109</v>
      </c>
      <c r="AK12" s="1" t="s">
        <v>109</v>
      </c>
      <c r="AL12" s="1" t="s">
        <v>109</v>
      </c>
      <c r="AM12" s="1" t="s">
        <v>109</v>
      </c>
      <c r="AN12" s="1" t="s">
        <v>109</v>
      </c>
      <c r="AO12" s="1" t="s">
        <v>109</v>
      </c>
      <c r="AP12" s="1"/>
      <c r="AQ12" s="1">
        <v>2</v>
      </c>
      <c r="AR12" s="1"/>
      <c r="AS12" s="1" t="s">
        <v>285</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1</v>
      </c>
      <c r="BN12" s="1">
        <v>0</v>
      </c>
      <c r="BO12" s="1">
        <v>0</v>
      </c>
      <c r="BP12" s="1">
        <v>0</v>
      </c>
      <c r="BQ12" s="1">
        <v>0</v>
      </c>
      <c r="BR12" s="1">
        <v>0</v>
      </c>
      <c r="BS12" s="5" t="str">
        <f>HYPERLINK("http://www.d20pfsrd.com/magic/all-spells/a/animal-messenger","Animal Messenger")</f>
        <v>Animal Messenger</v>
      </c>
      <c r="BT12" s="1">
        <v>11</v>
      </c>
      <c r="BU12" s="1" t="s">
        <v>109</v>
      </c>
      <c r="BV12" s="1"/>
      <c r="BW12" s="1"/>
      <c r="BX12" s="1"/>
      <c r="BY12" s="1"/>
      <c r="BZ12" s="1">
        <v>0</v>
      </c>
      <c r="CA12" s="1" t="s">
        <v>109</v>
      </c>
      <c r="CB12" s="1">
        <v>2</v>
      </c>
      <c r="CC12" s="1">
        <v>2</v>
      </c>
      <c r="CD12" s="1" t="s">
        <v>109</v>
      </c>
      <c r="CE12" s="1">
        <v>2</v>
      </c>
      <c r="CF12" s="1" t="s">
        <v>109</v>
      </c>
      <c r="CG12" s="1" t="s">
        <v>109</v>
      </c>
      <c r="CH12" s="1" t="s">
        <v>109</v>
      </c>
      <c r="CI12" s="1" t="s">
        <v>109</v>
      </c>
      <c r="CJ12" s="1">
        <v>1</v>
      </c>
      <c r="CK12" s="1"/>
      <c r="CL12" s="1">
        <v>0</v>
      </c>
      <c r="CM12" s="1">
        <v>0</v>
      </c>
      <c r="CN12" s="1">
        <v>0</v>
      </c>
    </row>
    <row r="13" spans="1:92" ht="14.25" customHeight="1" x14ac:dyDescent="0.15">
      <c r="A13" s="1" t="s">
        <v>286</v>
      </c>
      <c r="B13" s="1" t="s">
        <v>189</v>
      </c>
      <c r="C13" s="1" t="s">
        <v>231</v>
      </c>
      <c r="D13" s="1"/>
      <c r="E13" s="1" t="s">
        <v>287</v>
      </c>
      <c r="F13" s="1" t="s">
        <v>98</v>
      </c>
      <c r="G13" s="1" t="s">
        <v>160</v>
      </c>
      <c r="H13" s="1">
        <v>0</v>
      </c>
      <c r="I13" s="1" t="s">
        <v>142</v>
      </c>
      <c r="J13" s="1"/>
      <c r="K13" s="1"/>
      <c r="L13" s="1" t="s">
        <v>288</v>
      </c>
      <c r="M13" s="1" t="s">
        <v>289</v>
      </c>
      <c r="N13" s="1">
        <v>1</v>
      </c>
      <c r="O13" s="1">
        <v>0</v>
      </c>
      <c r="P13" s="1" t="s">
        <v>281</v>
      </c>
      <c r="Q13" s="1" t="s">
        <v>167</v>
      </c>
      <c r="R13" s="1" t="s">
        <v>290</v>
      </c>
      <c r="S13" s="1" t="s">
        <v>291</v>
      </c>
      <c r="T13" s="1" t="s">
        <v>107</v>
      </c>
      <c r="U13" s="1" t="s">
        <v>292</v>
      </c>
      <c r="V13" s="1">
        <v>1</v>
      </c>
      <c r="W13" s="1">
        <v>1</v>
      </c>
      <c r="X13" s="1">
        <v>0</v>
      </c>
      <c r="Y13" s="1">
        <v>0</v>
      </c>
      <c r="Z13" s="1">
        <v>1</v>
      </c>
      <c r="AA13" s="1" t="s">
        <v>109</v>
      </c>
      <c r="AB13" s="1" t="s">
        <v>109</v>
      </c>
      <c r="AC13" s="1" t="s">
        <v>109</v>
      </c>
      <c r="AD13" s="1">
        <v>8</v>
      </c>
      <c r="AE13" s="1" t="s">
        <v>109</v>
      </c>
      <c r="AF13" s="1" t="s">
        <v>109</v>
      </c>
      <c r="AG13" s="1" t="s">
        <v>109</v>
      </c>
      <c r="AH13" s="1" t="s">
        <v>109</v>
      </c>
      <c r="AI13" s="1" t="s">
        <v>109</v>
      </c>
      <c r="AJ13" s="1" t="s">
        <v>109</v>
      </c>
      <c r="AK13" s="1" t="s">
        <v>109</v>
      </c>
      <c r="AL13" s="1" t="s">
        <v>109</v>
      </c>
      <c r="AM13" s="1" t="s">
        <v>109</v>
      </c>
      <c r="AN13" s="1" t="s">
        <v>109</v>
      </c>
      <c r="AO13" s="1" t="s">
        <v>109</v>
      </c>
      <c r="AP13" s="1"/>
      <c r="AQ13" s="1">
        <v>8</v>
      </c>
      <c r="AR13" s="1" t="s">
        <v>293</v>
      </c>
      <c r="AS13" s="1" t="s">
        <v>294</v>
      </c>
      <c r="AT13" s="1">
        <v>0</v>
      </c>
      <c r="AU13" s="1">
        <v>0</v>
      </c>
      <c r="AV13" s="1">
        <v>0</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5" t="str">
        <f>HYPERLINK("http://www.d20pfsrd.com/magic/all-spells/a/animal-shapes","Animal Shapes")</f>
        <v>Animal Shapes</v>
      </c>
      <c r="BT13" s="1">
        <v>12</v>
      </c>
      <c r="BU13" s="1" t="s">
        <v>109</v>
      </c>
      <c r="BV13" s="1"/>
      <c r="BW13" s="1" t="s">
        <v>295</v>
      </c>
      <c r="BX13" s="1"/>
      <c r="BY13" s="1"/>
      <c r="BZ13" s="1">
        <v>0</v>
      </c>
      <c r="CA13" s="1" t="s">
        <v>109</v>
      </c>
      <c r="CB13" s="1">
        <v>8</v>
      </c>
      <c r="CC13" s="1" t="s">
        <v>109</v>
      </c>
      <c r="CD13" s="1" t="s">
        <v>109</v>
      </c>
      <c r="CE13" s="1" t="s">
        <v>109</v>
      </c>
      <c r="CF13" s="1" t="s">
        <v>109</v>
      </c>
      <c r="CG13" s="1" t="s">
        <v>109</v>
      </c>
      <c r="CH13" s="1" t="s">
        <v>109</v>
      </c>
      <c r="CI13" s="1" t="s">
        <v>109</v>
      </c>
      <c r="CJ13" s="1" t="s">
        <v>109</v>
      </c>
      <c r="CK13" s="1"/>
      <c r="CL13" s="1">
        <v>0</v>
      </c>
      <c r="CM13" s="1">
        <v>0</v>
      </c>
      <c r="CN13" s="1">
        <v>0</v>
      </c>
    </row>
    <row r="14" spans="1:92" ht="14.25" customHeight="1" x14ac:dyDescent="0.15">
      <c r="A14" s="1" t="s">
        <v>296</v>
      </c>
      <c r="B14" s="1" t="s">
        <v>156</v>
      </c>
      <c r="C14" s="1" t="s">
        <v>157</v>
      </c>
      <c r="D14" s="1" t="s">
        <v>297</v>
      </c>
      <c r="E14" s="1" t="s">
        <v>298</v>
      </c>
      <c r="F14" s="1" t="s">
        <v>98</v>
      </c>
      <c r="G14" s="1" t="s">
        <v>141</v>
      </c>
      <c r="H14" s="1">
        <v>0</v>
      </c>
      <c r="I14" s="1" t="s">
        <v>142</v>
      </c>
      <c r="J14" s="1"/>
      <c r="K14" s="1"/>
      <c r="L14" s="1" t="s">
        <v>299</v>
      </c>
      <c r="M14" s="1" t="s">
        <v>300</v>
      </c>
      <c r="N14" s="1">
        <v>0</v>
      </c>
      <c r="O14" s="1">
        <v>0</v>
      </c>
      <c r="P14" s="1" t="s">
        <v>301</v>
      </c>
      <c r="Q14" s="1" t="s">
        <v>268</v>
      </c>
      <c r="R14" s="1" t="s">
        <v>302</v>
      </c>
      <c r="S14" s="1" t="s">
        <v>303</v>
      </c>
      <c r="T14" s="1" t="s">
        <v>107</v>
      </c>
      <c r="U14" s="1" t="s">
        <v>304</v>
      </c>
      <c r="V14" s="1">
        <v>1</v>
      </c>
      <c r="W14" s="1">
        <v>1</v>
      </c>
      <c r="X14" s="1">
        <v>0</v>
      </c>
      <c r="Y14" s="1">
        <v>0</v>
      </c>
      <c r="Z14" s="1">
        <v>0</v>
      </c>
      <c r="AA14" s="1" t="s">
        <v>109</v>
      </c>
      <c r="AB14" s="1" t="s">
        <v>109</v>
      </c>
      <c r="AC14" s="1" t="s">
        <v>109</v>
      </c>
      <c r="AD14" s="1">
        <v>2</v>
      </c>
      <c r="AE14" s="1" t="s">
        <v>109</v>
      </c>
      <c r="AF14" s="1">
        <v>2</v>
      </c>
      <c r="AG14" s="1" t="s">
        <v>109</v>
      </c>
      <c r="AH14" s="1" t="s">
        <v>109</v>
      </c>
      <c r="AI14" s="1" t="s">
        <v>109</v>
      </c>
      <c r="AJ14" s="1" t="s">
        <v>109</v>
      </c>
      <c r="AK14" s="1" t="s">
        <v>109</v>
      </c>
      <c r="AL14" s="1" t="s">
        <v>109</v>
      </c>
      <c r="AM14" s="1" t="s">
        <v>109</v>
      </c>
      <c r="AN14" s="1" t="s">
        <v>109</v>
      </c>
      <c r="AO14" s="1">
        <v>2</v>
      </c>
      <c r="AP14" s="1"/>
      <c r="AQ14" s="1">
        <v>2</v>
      </c>
      <c r="AR14" s="1" t="s">
        <v>305</v>
      </c>
      <c r="AS14" s="1" t="s">
        <v>306</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1</v>
      </c>
      <c r="BN14" s="1">
        <v>0</v>
      </c>
      <c r="BO14" s="1">
        <v>0</v>
      </c>
      <c r="BP14" s="1">
        <v>0</v>
      </c>
      <c r="BQ14" s="1">
        <v>1</v>
      </c>
      <c r="BR14" s="1">
        <v>0</v>
      </c>
      <c r="BS14" s="5" t="str">
        <f>HYPERLINK("http://www.d20pfsrd.com/magic/all-spells/a/animal-trance","Animal Trance")</f>
        <v>Animal Trance</v>
      </c>
      <c r="BT14" s="1">
        <v>13</v>
      </c>
      <c r="BU14" s="1" t="s">
        <v>109</v>
      </c>
      <c r="BV14" s="1"/>
      <c r="BW14" s="1"/>
      <c r="BX14" s="1"/>
      <c r="BY14" s="1"/>
      <c r="BZ14" s="1">
        <v>0</v>
      </c>
      <c r="CA14" s="1" t="s">
        <v>109</v>
      </c>
      <c r="CB14" s="1" t="s">
        <v>109</v>
      </c>
      <c r="CC14" s="1">
        <v>2</v>
      </c>
      <c r="CD14" s="1" t="s">
        <v>109</v>
      </c>
      <c r="CE14" s="1">
        <v>2</v>
      </c>
      <c r="CF14" s="1" t="s">
        <v>109</v>
      </c>
      <c r="CG14" s="1" t="s">
        <v>109</v>
      </c>
      <c r="CH14" s="1" t="s">
        <v>109</v>
      </c>
      <c r="CI14" s="1" t="s">
        <v>109</v>
      </c>
      <c r="CJ14" s="1">
        <v>2</v>
      </c>
      <c r="CK14" s="1"/>
      <c r="CL14" s="1">
        <v>0</v>
      </c>
      <c r="CM14" s="1">
        <v>0</v>
      </c>
      <c r="CN14" s="1">
        <v>0</v>
      </c>
    </row>
    <row r="15" spans="1:92" ht="14.25" customHeight="1" x14ac:dyDescent="0.15">
      <c r="A15" s="1" t="s">
        <v>307</v>
      </c>
      <c r="B15" s="1" t="s">
        <v>308</v>
      </c>
      <c r="C15" s="1"/>
      <c r="D15" s="1" t="s">
        <v>57</v>
      </c>
      <c r="E15" s="1" t="s">
        <v>309</v>
      </c>
      <c r="F15" s="1" t="s">
        <v>98</v>
      </c>
      <c r="G15" s="1" t="s">
        <v>310</v>
      </c>
      <c r="H15" s="1">
        <v>1</v>
      </c>
      <c r="I15" s="1" t="s">
        <v>161</v>
      </c>
      <c r="J15" s="1"/>
      <c r="K15" s="1"/>
      <c r="L15" s="1" t="s">
        <v>311</v>
      </c>
      <c r="M15" s="1" t="s">
        <v>144</v>
      </c>
      <c r="N15" s="1">
        <v>0</v>
      </c>
      <c r="O15" s="1">
        <v>0</v>
      </c>
      <c r="P15" s="1" t="s">
        <v>103</v>
      </c>
      <c r="Q15" s="1" t="s">
        <v>104</v>
      </c>
      <c r="R15" s="1" t="s">
        <v>312</v>
      </c>
      <c r="S15" s="1" t="s">
        <v>313</v>
      </c>
      <c r="T15" s="1" t="s">
        <v>107</v>
      </c>
      <c r="U15" s="1" t="s">
        <v>314</v>
      </c>
      <c r="V15" s="1">
        <v>1</v>
      </c>
      <c r="W15" s="1">
        <v>1</v>
      </c>
      <c r="X15" s="1">
        <v>1</v>
      </c>
      <c r="Y15" s="1">
        <v>0</v>
      </c>
      <c r="Z15" s="1">
        <v>0</v>
      </c>
      <c r="AA15" s="1">
        <v>4</v>
      </c>
      <c r="AB15" s="1">
        <v>4</v>
      </c>
      <c r="AC15" s="1">
        <v>3</v>
      </c>
      <c r="AD15" s="1" t="s">
        <v>109</v>
      </c>
      <c r="AE15" s="1" t="s">
        <v>109</v>
      </c>
      <c r="AF15" s="1" t="s">
        <v>109</v>
      </c>
      <c r="AG15" s="1" t="s">
        <v>109</v>
      </c>
      <c r="AH15" s="1" t="s">
        <v>109</v>
      </c>
      <c r="AI15" s="1" t="s">
        <v>109</v>
      </c>
      <c r="AJ15" s="1" t="s">
        <v>109</v>
      </c>
      <c r="AK15" s="1" t="s">
        <v>109</v>
      </c>
      <c r="AL15" s="1">
        <v>3</v>
      </c>
      <c r="AM15" s="1">
        <v>3</v>
      </c>
      <c r="AN15" s="1" t="s">
        <v>109</v>
      </c>
      <c r="AO15" s="1">
        <v>3</v>
      </c>
      <c r="AP15" s="1"/>
      <c r="AQ15" s="1">
        <v>4</v>
      </c>
      <c r="AR15" s="1" t="s">
        <v>315</v>
      </c>
      <c r="AS15" s="1" t="s">
        <v>316</v>
      </c>
      <c r="AT15" s="1">
        <v>0</v>
      </c>
      <c r="AU15" s="1">
        <v>0</v>
      </c>
      <c r="AV15" s="1">
        <v>0</v>
      </c>
      <c r="AW15" s="1">
        <v>0</v>
      </c>
      <c r="AX15" s="1">
        <v>0</v>
      </c>
      <c r="AY15" s="1">
        <v>0</v>
      </c>
      <c r="AZ15" s="1">
        <v>0</v>
      </c>
      <c r="BA15" s="1">
        <v>0</v>
      </c>
      <c r="BB15" s="1">
        <v>0</v>
      </c>
      <c r="BC15" s="1">
        <v>0</v>
      </c>
      <c r="BD15" s="1">
        <v>0</v>
      </c>
      <c r="BE15" s="1">
        <v>1</v>
      </c>
      <c r="BF15" s="1">
        <v>0</v>
      </c>
      <c r="BG15" s="1">
        <v>0</v>
      </c>
      <c r="BH15" s="1">
        <v>0</v>
      </c>
      <c r="BI15" s="1">
        <v>0</v>
      </c>
      <c r="BJ15" s="1">
        <v>0</v>
      </c>
      <c r="BK15" s="1">
        <v>0</v>
      </c>
      <c r="BL15" s="1">
        <v>0</v>
      </c>
      <c r="BM15" s="1">
        <v>0</v>
      </c>
      <c r="BN15" s="1">
        <v>0</v>
      </c>
      <c r="BO15" s="1">
        <v>0</v>
      </c>
      <c r="BP15" s="1">
        <v>0</v>
      </c>
      <c r="BQ15" s="1">
        <v>0</v>
      </c>
      <c r="BR15" s="1">
        <v>0</v>
      </c>
      <c r="BS15" s="5" t="str">
        <f>HYPERLINK("http://www.d20pfsrd.com/magic/all-spells/a/animate-dead","Animate Dead")</f>
        <v>Animate Dead</v>
      </c>
      <c r="BT15" s="1">
        <v>14</v>
      </c>
      <c r="BU15" s="1">
        <v>25</v>
      </c>
      <c r="BV15" s="1" t="s">
        <v>317</v>
      </c>
      <c r="BW15" s="1" t="s">
        <v>318</v>
      </c>
      <c r="BX15" s="1" t="s">
        <v>319</v>
      </c>
      <c r="BY15" s="1" t="s">
        <v>320</v>
      </c>
      <c r="BZ15" s="1">
        <v>1</v>
      </c>
      <c r="CA15" s="1" t="s">
        <v>109</v>
      </c>
      <c r="CB15" s="1">
        <v>3</v>
      </c>
      <c r="CC15" s="1" t="s">
        <v>109</v>
      </c>
      <c r="CD15" s="1" t="s">
        <v>109</v>
      </c>
      <c r="CE15" s="1" t="s">
        <v>109</v>
      </c>
      <c r="CF15" s="1">
        <v>3</v>
      </c>
      <c r="CG15" s="1">
        <v>3</v>
      </c>
      <c r="CH15" s="1" t="s">
        <v>109</v>
      </c>
      <c r="CI15" s="1" t="s">
        <v>109</v>
      </c>
      <c r="CJ15" s="1" t="s">
        <v>109</v>
      </c>
      <c r="CK15" s="1"/>
      <c r="CL15" s="1">
        <v>0</v>
      </c>
      <c r="CM15" s="1">
        <v>0</v>
      </c>
      <c r="CN15" s="1">
        <v>0</v>
      </c>
    </row>
    <row r="16" spans="1:92" ht="14.25" customHeight="1" x14ac:dyDescent="0.15">
      <c r="A16" s="1" t="s">
        <v>321</v>
      </c>
      <c r="B16" s="1" t="s">
        <v>189</v>
      </c>
      <c r="C16" s="1"/>
      <c r="D16" s="1"/>
      <c r="E16" s="1" t="s">
        <v>322</v>
      </c>
      <c r="F16" s="1" t="s">
        <v>98</v>
      </c>
      <c r="G16" s="1" t="s">
        <v>141</v>
      </c>
      <c r="H16" s="1">
        <v>0</v>
      </c>
      <c r="I16" s="1" t="s">
        <v>122</v>
      </c>
      <c r="J16" s="1"/>
      <c r="K16" s="1"/>
      <c r="L16" s="1" t="s">
        <v>323</v>
      </c>
      <c r="M16" s="1" t="s">
        <v>125</v>
      </c>
      <c r="N16" s="1">
        <v>0</v>
      </c>
      <c r="O16" s="1">
        <v>0</v>
      </c>
      <c r="P16" s="1" t="s">
        <v>103</v>
      </c>
      <c r="Q16" s="1" t="s">
        <v>104</v>
      </c>
      <c r="R16" s="1" t="s">
        <v>324</v>
      </c>
      <c r="S16" s="1" t="s">
        <v>325</v>
      </c>
      <c r="T16" s="1" t="s">
        <v>107</v>
      </c>
      <c r="U16" s="1" t="s">
        <v>326</v>
      </c>
      <c r="V16" s="1">
        <v>1</v>
      </c>
      <c r="W16" s="1">
        <v>1</v>
      </c>
      <c r="X16" s="1">
        <v>0</v>
      </c>
      <c r="Y16" s="1">
        <v>0</v>
      </c>
      <c r="Z16" s="1">
        <v>0</v>
      </c>
      <c r="AA16" s="1" t="s">
        <v>109</v>
      </c>
      <c r="AB16" s="1" t="s">
        <v>109</v>
      </c>
      <c r="AC16" s="1">
        <v>6</v>
      </c>
      <c r="AD16" s="1" t="s">
        <v>109</v>
      </c>
      <c r="AE16" s="1" t="s">
        <v>109</v>
      </c>
      <c r="AF16" s="1">
        <v>6</v>
      </c>
      <c r="AG16" s="1" t="s">
        <v>109</v>
      </c>
      <c r="AH16" s="1" t="s">
        <v>109</v>
      </c>
      <c r="AI16" s="1" t="s">
        <v>109</v>
      </c>
      <c r="AJ16" s="1">
        <v>6</v>
      </c>
      <c r="AK16" s="1" t="s">
        <v>109</v>
      </c>
      <c r="AL16" s="1">
        <v>6</v>
      </c>
      <c r="AM16" s="1" t="s">
        <v>109</v>
      </c>
      <c r="AN16" s="1" t="s">
        <v>109</v>
      </c>
      <c r="AO16" s="1" t="s">
        <v>109</v>
      </c>
      <c r="AP16" s="1"/>
      <c r="AQ16" s="1">
        <v>6</v>
      </c>
      <c r="AR16" s="1" t="s">
        <v>327</v>
      </c>
      <c r="AS16" s="1" t="s">
        <v>328</v>
      </c>
      <c r="AT16" s="1">
        <v>0</v>
      </c>
      <c r="AU16" s="1">
        <v>0</v>
      </c>
      <c r="AV16" s="1">
        <v>0</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5" t="str">
        <f>HYPERLINK("http://www.d20pfsrd.com/magic/all-spells/a/animate-objects","Animate Objects")</f>
        <v>Animate Objects</v>
      </c>
      <c r="BT16" s="1">
        <v>15</v>
      </c>
      <c r="BU16" s="1" t="s">
        <v>109</v>
      </c>
      <c r="BV16" s="1" t="s">
        <v>329</v>
      </c>
      <c r="BW16" s="1"/>
      <c r="BX16" s="1" t="s">
        <v>330</v>
      </c>
      <c r="BY16" s="1"/>
      <c r="BZ16" s="1">
        <v>1</v>
      </c>
      <c r="CA16" s="1" t="s">
        <v>109</v>
      </c>
      <c r="CB16" s="1" t="s">
        <v>109</v>
      </c>
      <c r="CC16" s="1">
        <v>6</v>
      </c>
      <c r="CD16" s="1" t="s">
        <v>109</v>
      </c>
      <c r="CE16" s="1" t="s">
        <v>109</v>
      </c>
      <c r="CF16" s="1">
        <v>6</v>
      </c>
      <c r="CG16" s="1" t="s">
        <v>109</v>
      </c>
      <c r="CH16" s="1" t="s">
        <v>109</v>
      </c>
      <c r="CI16" s="1" t="s">
        <v>109</v>
      </c>
      <c r="CJ16" s="1" t="s">
        <v>109</v>
      </c>
      <c r="CK16" s="1"/>
      <c r="CL16" s="1">
        <v>0</v>
      </c>
      <c r="CM16" s="1">
        <v>0</v>
      </c>
      <c r="CN16" s="1">
        <v>0</v>
      </c>
    </row>
    <row r="17" spans="1:92" ht="14.25" customHeight="1" x14ac:dyDescent="0.15">
      <c r="A17" s="1" t="s">
        <v>331</v>
      </c>
      <c r="B17" s="1" t="s">
        <v>189</v>
      </c>
      <c r="C17" s="1"/>
      <c r="D17" s="1"/>
      <c r="E17" s="1" t="s">
        <v>332</v>
      </c>
      <c r="F17" s="1" t="s">
        <v>98</v>
      </c>
      <c r="G17" s="1" t="s">
        <v>333</v>
      </c>
      <c r="H17" s="1">
        <v>0</v>
      </c>
      <c r="I17" s="1" t="s">
        <v>142</v>
      </c>
      <c r="J17" s="1"/>
      <c r="K17" s="1"/>
      <c r="L17" s="1" t="s">
        <v>334</v>
      </c>
      <c r="M17" s="1" t="s">
        <v>335</v>
      </c>
      <c r="N17" s="1">
        <v>0</v>
      </c>
      <c r="O17" s="1">
        <v>0</v>
      </c>
      <c r="P17" s="1" t="s">
        <v>103</v>
      </c>
      <c r="Q17" s="1" t="s">
        <v>104</v>
      </c>
      <c r="R17" s="1" t="s">
        <v>336</v>
      </c>
      <c r="S17" s="1" t="s">
        <v>337</v>
      </c>
      <c r="T17" s="1" t="s">
        <v>107</v>
      </c>
      <c r="U17" s="1" t="s">
        <v>338</v>
      </c>
      <c r="V17" s="1">
        <v>1</v>
      </c>
      <c r="W17" s="1">
        <v>0</v>
      </c>
      <c r="X17" s="1">
        <v>0</v>
      </c>
      <c r="Y17" s="1">
        <v>0</v>
      </c>
      <c r="Z17" s="1">
        <v>0</v>
      </c>
      <c r="AA17" s="1" t="s">
        <v>109</v>
      </c>
      <c r="AB17" s="1" t="s">
        <v>109</v>
      </c>
      <c r="AC17" s="1" t="s">
        <v>109</v>
      </c>
      <c r="AD17" s="1">
        <v>7</v>
      </c>
      <c r="AE17" s="1" t="s">
        <v>109</v>
      </c>
      <c r="AF17" s="1" t="s">
        <v>109</v>
      </c>
      <c r="AG17" s="1" t="s">
        <v>109</v>
      </c>
      <c r="AH17" s="1" t="s">
        <v>109</v>
      </c>
      <c r="AI17" s="1" t="s">
        <v>109</v>
      </c>
      <c r="AJ17" s="1" t="s">
        <v>109</v>
      </c>
      <c r="AK17" s="1" t="s">
        <v>109</v>
      </c>
      <c r="AL17" s="1" t="s">
        <v>109</v>
      </c>
      <c r="AM17" s="1" t="s">
        <v>109</v>
      </c>
      <c r="AN17" s="1" t="s">
        <v>109</v>
      </c>
      <c r="AO17" s="1" t="s">
        <v>109</v>
      </c>
      <c r="AP17" s="1"/>
      <c r="AQ17" s="1">
        <v>7</v>
      </c>
      <c r="AR17" s="1" t="s">
        <v>339</v>
      </c>
      <c r="AS17" s="1" t="s">
        <v>340</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5" t="str">
        <f>HYPERLINK("http://www.d20pfsrd.com/magic/all-spells/a/animate-plants","Animate Plants")</f>
        <v>Animate Plants</v>
      </c>
      <c r="BT17" s="1">
        <v>16</v>
      </c>
      <c r="BU17" s="1" t="s">
        <v>109</v>
      </c>
      <c r="BV17" s="1" t="s">
        <v>341</v>
      </c>
      <c r="BW17" s="1" t="s">
        <v>342</v>
      </c>
      <c r="BX17" s="1" t="s">
        <v>343</v>
      </c>
      <c r="BY17" s="1"/>
      <c r="BZ17" s="1">
        <v>1</v>
      </c>
      <c r="CA17" s="1" t="s">
        <v>109</v>
      </c>
      <c r="CB17" s="1">
        <v>7</v>
      </c>
      <c r="CC17" s="1" t="s">
        <v>109</v>
      </c>
      <c r="CD17" s="1" t="s">
        <v>109</v>
      </c>
      <c r="CE17" s="1" t="s">
        <v>109</v>
      </c>
      <c r="CF17" s="1" t="s">
        <v>109</v>
      </c>
      <c r="CG17" s="1" t="s">
        <v>109</v>
      </c>
      <c r="CH17" s="1" t="s">
        <v>109</v>
      </c>
      <c r="CI17" s="1" t="s">
        <v>109</v>
      </c>
      <c r="CJ17" s="1" t="s">
        <v>109</v>
      </c>
      <c r="CK17" s="1"/>
      <c r="CL17" s="1">
        <v>0</v>
      </c>
      <c r="CM17" s="1">
        <v>0</v>
      </c>
      <c r="CN17" s="1">
        <v>0</v>
      </c>
    </row>
    <row r="18" spans="1:92" ht="14.25" customHeight="1" x14ac:dyDescent="0.15">
      <c r="A18" s="1" t="s">
        <v>344</v>
      </c>
      <c r="B18" s="1" t="s">
        <v>189</v>
      </c>
      <c r="C18" s="1"/>
      <c r="D18" s="1"/>
      <c r="E18" s="1" t="s">
        <v>345</v>
      </c>
      <c r="F18" s="1" t="s">
        <v>98</v>
      </c>
      <c r="G18" s="1" t="s">
        <v>141</v>
      </c>
      <c r="H18" s="1">
        <v>0</v>
      </c>
      <c r="I18" s="1" t="s">
        <v>122</v>
      </c>
      <c r="J18" s="1"/>
      <c r="K18" s="1"/>
      <c r="L18" s="1" t="s">
        <v>346</v>
      </c>
      <c r="M18" s="1" t="s">
        <v>125</v>
      </c>
      <c r="N18" s="1">
        <v>0</v>
      </c>
      <c r="O18" s="1">
        <v>0</v>
      </c>
      <c r="P18" s="1" t="s">
        <v>103</v>
      </c>
      <c r="Q18" s="1" t="s">
        <v>104</v>
      </c>
      <c r="R18" s="1" t="s">
        <v>347</v>
      </c>
      <c r="S18" s="1" t="s">
        <v>348</v>
      </c>
      <c r="T18" s="1" t="s">
        <v>107</v>
      </c>
      <c r="U18" s="1" t="s">
        <v>349</v>
      </c>
      <c r="V18" s="1">
        <v>1</v>
      </c>
      <c r="W18" s="1">
        <v>1</v>
      </c>
      <c r="X18" s="1">
        <v>0</v>
      </c>
      <c r="Y18" s="1">
        <v>0</v>
      </c>
      <c r="Z18" s="1">
        <v>0</v>
      </c>
      <c r="AA18" s="1">
        <v>1</v>
      </c>
      <c r="AB18" s="1">
        <v>1</v>
      </c>
      <c r="AC18" s="1" t="s">
        <v>109</v>
      </c>
      <c r="AD18" s="1" t="s">
        <v>109</v>
      </c>
      <c r="AE18" s="1" t="s">
        <v>109</v>
      </c>
      <c r="AF18" s="1">
        <v>1</v>
      </c>
      <c r="AG18" s="1" t="s">
        <v>109</v>
      </c>
      <c r="AH18" s="1" t="s">
        <v>109</v>
      </c>
      <c r="AI18" s="1" t="s">
        <v>109</v>
      </c>
      <c r="AJ18" s="1" t="s">
        <v>109</v>
      </c>
      <c r="AK18" s="1" t="s">
        <v>109</v>
      </c>
      <c r="AL18" s="1" t="s">
        <v>109</v>
      </c>
      <c r="AM18" s="1" t="s">
        <v>109</v>
      </c>
      <c r="AN18" s="1" t="s">
        <v>109</v>
      </c>
      <c r="AO18" s="1" t="s">
        <v>109</v>
      </c>
      <c r="AP18" s="1"/>
      <c r="AQ18" s="1">
        <v>1</v>
      </c>
      <c r="AR18" s="1" t="s">
        <v>350</v>
      </c>
      <c r="AS18" s="1" t="s">
        <v>351</v>
      </c>
      <c r="AT18" s="1">
        <v>0</v>
      </c>
      <c r="AU18" s="1">
        <v>0</v>
      </c>
      <c r="AV18" s="1">
        <v>0</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5" t="str">
        <f>HYPERLINK("http://www.d20pfsrd.com/magic/all-spells/a/animate-rope","Animate Rope")</f>
        <v>Animate Rope</v>
      </c>
      <c r="BT18" s="1">
        <v>17</v>
      </c>
      <c r="BU18" s="1" t="s">
        <v>109</v>
      </c>
      <c r="BV18" s="1"/>
      <c r="BW18" s="1" t="s">
        <v>352</v>
      </c>
      <c r="BX18" s="1"/>
      <c r="BY18" s="1"/>
      <c r="BZ18" s="1">
        <v>0</v>
      </c>
      <c r="CA18" s="1" t="s">
        <v>109</v>
      </c>
      <c r="CB18" s="1" t="s">
        <v>109</v>
      </c>
      <c r="CC18" s="1">
        <v>1</v>
      </c>
      <c r="CD18" s="1" t="s">
        <v>109</v>
      </c>
      <c r="CE18" s="1">
        <v>1</v>
      </c>
      <c r="CF18" s="1" t="s">
        <v>109</v>
      </c>
      <c r="CG18" s="1" t="s">
        <v>109</v>
      </c>
      <c r="CH18" s="1" t="s">
        <v>109</v>
      </c>
      <c r="CI18" s="1" t="s">
        <v>109</v>
      </c>
      <c r="CJ18" s="1" t="s">
        <v>109</v>
      </c>
      <c r="CK18" s="1"/>
      <c r="CL18" s="1">
        <v>0</v>
      </c>
      <c r="CM18" s="1">
        <v>0</v>
      </c>
      <c r="CN18" s="1">
        <v>0</v>
      </c>
    </row>
    <row r="19" spans="1:92" ht="14.25" customHeight="1" x14ac:dyDescent="0.15">
      <c r="A19" s="1" t="s">
        <v>353</v>
      </c>
      <c r="B19" s="1" t="s">
        <v>242</v>
      </c>
      <c r="C19" s="1"/>
      <c r="D19" s="1"/>
      <c r="E19" s="1" t="s">
        <v>354</v>
      </c>
      <c r="F19" s="1" t="s">
        <v>355</v>
      </c>
      <c r="G19" s="1" t="s">
        <v>160</v>
      </c>
      <c r="H19" s="1">
        <v>0</v>
      </c>
      <c r="I19" s="1" t="s">
        <v>356</v>
      </c>
      <c r="J19" s="1" t="s">
        <v>357</v>
      </c>
      <c r="K19" s="1"/>
      <c r="L19" s="1"/>
      <c r="M19" s="1" t="s">
        <v>164</v>
      </c>
      <c r="N19" s="1">
        <v>1</v>
      </c>
      <c r="O19" s="1">
        <v>0</v>
      </c>
      <c r="P19" s="1" t="s">
        <v>103</v>
      </c>
      <c r="Q19" s="1" t="s">
        <v>268</v>
      </c>
      <c r="R19" s="1" t="s">
        <v>358</v>
      </c>
      <c r="S19" s="1" t="s">
        <v>359</v>
      </c>
      <c r="T19" s="1" t="s">
        <v>107</v>
      </c>
      <c r="U19" s="1" t="s">
        <v>360</v>
      </c>
      <c r="V19" s="1">
        <v>1</v>
      </c>
      <c r="W19" s="1">
        <v>1</v>
      </c>
      <c r="X19" s="1">
        <v>0</v>
      </c>
      <c r="Y19" s="1">
        <v>0</v>
      </c>
      <c r="Z19" s="1">
        <v>1</v>
      </c>
      <c r="AA19" s="1" t="s">
        <v>109</v>
      </c>
      <c r="AB19" s="1" t="s">
        <v>109</v>
      </c>
      <c r="AC19" s="1">
        <v>6</v>
      </c>
      <c r="AD19" s="1">
        <v>6</v>
      </c>
      <c r="AE19" s="1" t="s">
        <v>109</v>
      </c>
      <c r="AF19" s="1" t="s">
        <v>109</v>
      </c>
      <c r="AG19" s="1" t="s">
        <v>109</v>
      </c>
      <c r="AH19" s="1" t="s">
        <v>109</v>
      </c>
      <c r="AI19" s="1" t="s">
        <v>109</v>
      </c>
      <c r="AJ19" s="1" t="s">
        <v>109</v>
      </c>
      <c r="AK19" s="1" t="s">
        <v>109</v>
      </c>
      <c r="AL19" s="1">
        <v>6</v>
      </c>
      <c r="AM19" s="1" t="s">
        <v>109</v>
      </c>
      <c r="AN19" s="1" t="s">
        <v>109</v>
      </c>
      <c r="AO19" s="1" t="s">
        <v>109</v>
      </c>
      <c r="AP19" s="1"/>
      <c r="AQ19" s="1">
        <v>6</v>
      </c>
      <c r="AR19" s="1" t="s">
        <v>361</v>
      </c>
      <c r="AS19" s="1" t="s">
        <v>362</v>
      </c>
      <c r="AT19" s="1">
        <v>0</v>
      </c>
      <c r="AU19" s="1">
        <v>0</v>
      </c>
      <c r="AV19" s="1">
        <v>0</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5" t="str">
        <f>HYPERLINK("http://www.d20pfsrd.com/magic/all-spells/a/antilife-shell","Antilife Shell")</f>
        <v>Antilife Shell</v>
      </c>
      <c r="BT19" s="1">
        <v>18</v>
      </c>
      <c r="BU19" s="1" t="s">
        <v>109</v>
      </c>
      <c r="BV19" s="1"/>
      <c r="BW19" s="1" t="s">
        <v>363</v>
      </c>
      <c r="BX19" s="1"/>
      <c r="BY19" s="1"/>
      <c r="BZ19" s="1">
        <v>0</v>
      </c>
      <c r="CA19" s="1" t="s">
        <v>109</v>
      </c>
      <c r="CB19" s="1">
        <v>6</v>
      </c>
      <c r="CC19" s="1">
        <v>6</v>
      </c>
      <c r="CD19" s="1" t="s">
        <v>109</v>
      </c>
      <c r="CE19" s="1" t="s">
        <v>109</v>
      </c>
      <c r="CF19" s="1" t="s">
        <v>109</v>
      </c>
      <c r="CG19" s="1" t="s">
        <v>109</v>
      </c>
      <c r="CH19" s="1" t="s">
        <v>109</v>
      </c>
      <c r="CI19" s="1" t="s">
        <v>109</v>
      </c>
      <c r="CJ19" s="1">
        <v>6</v>
      </c>
      <c r="CK19" s="1"/>
      <c r="CL19" s="1">
        <v>0</v>
      </c>
      <c r="CM19" s="1">
        <v>0</v>
      </c>
      <c r="CN19" s="1">
        <v>0</v>
      </c>
    </row>
    <row r="20" spans="1:92" ht="14.25" customHeight="1" x14ac:dyDescent="0.15">
      <c r="A20" s="1" t="s">
        <v>364</v>
      </c>
      <c r="B20" s="1" t="s">
        <v>242</v>
      </c>
      <c r="C20" s="1"/>
      <c r="D20" s="1"/>
      <c r="E20" s="1" t="s">
        <v>365</v>
      </c>
      <c r="F20" s="1" t="s">
        <v>98</v>
      </c>
      <c r="G20" s="1" t="s">
        <v>366</v>
      </c>
      <c r="H20" s="1">
        <v>0</v>
      </c>
      <c r="I20" s="1" t="s">
        <v>356</v>
      </c>
      <c r="J20" s="1" t="s">
        <v>357</v>
      </c>
      <c r="K20" s="1"/>
      <c r="L20" s="1"/>
      <c r="M20" s="1" t="s">
        <v>367</v>
      </c>
      <c r="N20" s="1">
        <v>1</v>
      </c>
      <c r="O20" s="1">
        <v>0</v>
      </c>
      <c r="P20" s="1" t="s">
        <v>103</v>
      </c>
      <c r="Q20" s="1" t="s">
        <v>211</v>
      </c>
      <c r="R20" s="1" t="s">
        <v>368</v>
      </c>
      <c r="S20" s="1" t="s">
        <v>369</v>
      </c>
      <c r="T20" s="1" t="s">
        <v>107</v>
      </c>
      <c r="U20" s="1" t="s">
        <v>370</v>
      </c>
      <c r="V20" s="1">
        <v>1</v>
      </c>
      <c r="W20" s="1">
        <v>1</v>
      </c>
      <c r="X20" s="1">
        <v>1</v>
      </c>
      <c r="Y20" s="1">
        <v>0</v>
      </c>
      <c r="Z20" s="1">
        <v>1</v>
      </c>
      <c r="AA20" s="1">
        <v>6</v>
      </c>
      <c r="AB20" s="1">
        <v>6</v>
      </c>
      <c r="AC20" s="1">
        <v>8</v>
      </c>
      <c r="AD20" s="1" t="s">
        <v>109</v>
      </c>
      <c r="AE20" s="1" t="s">
        <v>109</v>
      </c>
      <c r="AF20" s="1" t="s">
        <v>109</v>
      </c>
      <c r="AG20" s="1" t="s">
        <v>109</v>
      </c>
      <c r="AH20" s="1" t="s">
        <v>109</v>
      </c>
      <c r="AI20" s="1" t="s">
        <v>109</v>
      </c>
      <c r="AJ20" s="1" t="s">
        <v>109</v>
      </c>
      <c r="AK20" s="1" t="s">
        <v>109</v>
      </c>
      <c r="AL20" s="1">
        <v>8</v>
      </c>
      <c r="AM20" s="1" t="s">
        <v>109</v>
      </c>
      <c r="AN20" s="1" t="s">
        <v>109</v>
      </c>
      <c r="AO20" s="1" t="s">
        <v>109</v>
      </c>
      <c r="AP20" s="1"/>
      <c r="AQ20" s="1">
        <v>6</v>
      </c>
      <c r="AR20" s="1" t="s">
        <v>371</v>
      </c>
      <c r="AS20" s="1" t="s">
        <v>372</v>
      </c>
      <c r="AT20" s="1">
        <v>0</v>
      </c>
      <c r="AU20" s="1">
        <v>0</v>
      </c>
      <c r="AV20" s="1">
        <v>0</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5" t="str">
        <f>HYPERLINK("http://www.d20pfsrd.com/magic/all-spells/a/antimagic-field","Antimagic Field")</f>
        <v>Antimagic Field</v>
      </c>
      <c r="BT20" s="1">
        <v>19</v>
      </c>
      <c r="BU20" s="1" t="s">
        <v>109</v>
      </c>
      <c r="BV20" s="1"/>
      <c r="BW20" s="1"/>
      <c r="BX20" s="1" t="s">
        <v>373</v>
      </c>
      <c r="BY20" s="1"/>
      <c r="BZ20" s="1">
        <v>1</v>
      </c>
      <c r="CA20" s="1" t="s">
        <v>109</v>
      </c>
      <c r="CB20" s="1" t="s">
        <v>109</v>
      </c>
      <c r="CC20" s="1">
        <v>7</v>
      </c>
      <c r="CD20" s="1" t="s">
        <v>109</v>
      </c>
      <c r="CE20" s="1" t="s">
        <v>109</v>
      </c>
      <c r="CF20" s="1">
        <v>6</v>
      </c>
      <c r="CG20" s="1" t="s">
        <v>109</v>
      </c>
      <c r="CH20" s="1" t="s">
        <v>109</v>
      </c>
      <c r="CI20" s="1" t="s">
        <v>109</v>
      </c>
      <c r="CJ20" s="1" t="s">
        <v>109</v>
      </c>
      <c r="CK20" s="1"/>
      <c r="CL20" s="1">
        <v>0</v>
      </c>
      <c r="CM20" s="1">
        <v>0</v>
      </c>
      <c r="CN20" s="1">
        <v>0</v>
      </c>
    </row>
    <row r="21" spans="1:92" ht="14.25" customHeight="1" x14ac:dyDescent="0.15">
      <c r="A21" s="1" t="s">
        <v>374</v>
      </c>
      <c r="B21" s="1" t="s">
        <v>156</v>
      </c>
      <c r="C21" s="1" t="s">
        <v>157</v>
      </c>
      <c r="D21" s="1" t="s">
        <v>375</v>
      </c>
      <c r="E21" s="1" t="s">
        <v>376</v>
      </c>
      <c r="F21" s="1" t="s">
        <v>377</v>
      </c>
      <c r="G21" s="1" t="s">
        <v>378</v>
      </c>
      <c r="H21" s="1">
        <v>0</v>
      </c>
      <c r="I21" s="1" t="s">
        <v>142</v>
      </c>
      <c r="J21" s="1"/>
      <c r="K21" s="1"/>
      <c r="L21" s="1" t="s">
        <v>379</v>
      </c>
      <c r="M21" s="1" t="s">
        <v>246</v>
      </c>
      <c r="N21" s="1">
        <v>1</v>
      </c>
      <c r="O21" s="1">
        <v>0</v>
      </c>
      <c r="P21" s="1" t="s">
        <v>380</v>
      </c>
      <c r="Q21" s="1" t="s">
        <v>268</v>
      </c>
      <c r="R21" s="1" t="s">
        <v>381</v>
      </c>
      <c r="S21" s="1" t="s">
        <v>382</v>
      </c>
      <c r="T21" s="1" t="s">
        <v>107</v>
      </c>
      <c r="U21" s="1" t="s">
        <v>383</v>
      </c>
      <c r="V21" s="1">
        <v>1</v>
      </c>
      <c r="W21" s="1">
        <v>1</v>
      </c>
      <c r="X21" s="1">
        <v>1</v>
      </c>
      <c r="Y21" s="1">
        <v>0</v>
      </c>
      <c r="Z21" s="1">
        <v>1</v>
      </c>
      <c r="AA21" s="1">
        <v>8</v>
      </c>
      <c r="AB21" s="1">
        <v>8</v>
      </c>
      <c r="AC21" s="1" t="s">
        <v>109</v>
      </c>
      <c r="AD21" s="1">
        <v>9</v>
      </c>
      <c r="AE21" s="1" t="s">
        <v>109</v>
      </c>
      <c r="AF21" s="1" t="s">
        <v>109</v>
      </c>
      <c r="AG21" s="1" t="s">
        <v>109</v>
      </c>
      <c r="AH21" s="1" t="s">
        <v>109</v>
      </c>
      <c r="AI21" s="1">
        <v>6</v>
      </c>
      <c r="AJ21" s="1">
        <v>8</v>
      </c>
      <c r="AK21" s="1" t="s">
        <v>109</v>
      </c>
      <c r="AL21" s="1" t="s">
        <v>109</v>
      </c>
      <c r="AM21" s="1" t="s">
        <v>109</v>
      </c>
      <c r="AN21" s="1" t="s">
        <v>109</v>
      </c>
      <c r="AO21" s="1" t="s">
        <v>109</v>
      </c>
      <c r="AP21" s="1"/>
      <c r="AQ21" s="1">
        <v>8</v>
      </c>
      <c r="AR21" s="1"/>
      <c r="AS21" s="1" t="s">
        <v>384</v>
      </c>
      <c r="AT21" s="1">
        <v>0</v>
      </c>
      <c r="AU21" s="1">
        <v>0</v>
      </c>
      <c r="AV21" s="1">
        <v>0</v>
      </c>
      <c r="AW21" s="1">
        <v>0</v>
      </c>
      <c r="AX21" s="1">
        <v>0</v>
      </c>
      <c r="AY21" s="1">
        <v>0</v>
      </c>
      <c r="AZ21" s="1">
        <v>0</v>
      </c>
      <c r="BA21" s="1">
        <v>0</v>
      </c>
      <c r="BB21" s="1">
        <v>0</v>
      </c>
      <c r="BC21" s="1">
        <v>0</v>
      </c>
      <c r="BD21" s="1">
        <v>1</v>
      </c>
      <c r="BE21" s="1">
        <v>0</v>
      </c>
      <c r="BF21" s="1">
        <v>0</v>
      </c>
      <c r="BG21" s="1">
        <v>0</v>
      </c>
      <c r="BH21" s="1">
        <v>0</v>
      </c>
      <c r="BI21" s="1">
        <v>0</v>
      </c>
      <c r="BJ21" s="1">
        <v>0</v>
      </c>
      <c r="BK21" s="1">
        <v>0</v>
      </c>
      <c r="BL21" s="1">
        <v>0</v>
      </c>
      <c r="BM21" s="1">
        <v>1</v>
      </c>
      <c r="BN21" s="1">
        <v>0</v>
      </c>
      <c r="BO21" s="1">
        <v>0</v>
      </c>
      <c r="BP21" s="1">
        <v>0</v>
      </c>
      <c r="BQ21" s="1">
        <v>0</v>
      </c>
      <c r="BR21" s="1">
        <v>0</v>
      </c>
      <c r="BS21" s="5" t="str">
        <f>HYPERLINK("http://www.d20pfsrd.com/magic/all-spells/a/antipathy","Antipathy")</f>
        <v>Antipathy</v>
      </c>
      <c r="BT21" s="1">
        <v>20</v>
      </c>
      <c r="BU21" s="1" t="s">
        <v>109</v>
      </c>
      <c r="BV21" s="1"/>
      <c r="BW21" s="1" t="s">
        <v>385</v>
      </c>
      <c r="BX21" s="1"/>
      <c r="BY21" s="1"/>
      <c r="BZ21" s="1">
        <v>0</v>
      </c>
      <c r="CA21" s="1" t="s">
        <v>109</v>
      </c>
      <c r="CB21" s="1" t="s">
        <v>109</v>
      </c>
      <c r="CC21" s="1">
        <v>8</v>
      </c>
      <c r="CD21" s="1" t="s">
        <v>109</v>
      </c>
      <c r="CE21" s="1" t="s">
        <v>109</v>
      </c>
      <c r="CF21" s="1">
        <v>6</v>
      </c>
      <c r="CG21" s="1" t="s">
        <v>109</v>
      </c>
      <c r="CH21" s="1" t="s">
        <v>109</v>
      </c>
      <c r="CI21" s="1" t="s">
        <v>109</v>
      </c>
      <c r="CJ21" s="1" t="s">
        <v>109</v>
      </c>
      <c r="CK21" s="1"/>
      <c r="CL21" s="1">
        <v>0</v>
      </c>
      <c r="CM21" s="1">
        <v>0</v>
      </c>
      <c r="CN21" s="1">
        <v>0</v>
      </c>
    </row>
    <row r="22" spans="1:92" ht="14.25" customHeight="1" x14ac:dyDescent="0.15">
      <c r="A22" s="1" t="s">
        <v>386</v>
      </c>
      <c r="B22" s="1" t="s">
        <v>242</v>
      </c>
      <c r="C22" s="1"/>
      <c r="D22" s="1"/>
      <c r="E22" s="1" t="s">
        <v>387</v>
      </c>
      <c r="F22" s="1" t="s">
        <v>98</v>
      </c>
      <c r="G22" s="1" t="s">
        <v>160</v>
      </c>
      <c r="H22" s="1">
        <v>0</v>
      </c>
      <c r="I22" s="1" t="s">
        <v>356</v>
      </c>
      <c r="J22" s="1" t="s">
        <v>357</v>
      </c>
      <c r="K22" s="1"/>
      <c r="L22" s="1"/>
      <c r="M22" s="1" t="s">
        <v>164</v>
      </c>
      <c r="N22" s="1">
        <v>1</v>
      </c>
      <c r="O22" s="1">
        <v>0</v>
      </c>
      <c r="P22" s="1" t="s">
        <v>103</v>
      </c>
      <c r="Q22" s="1" t="s">
        <v>268</v>
      </c>
      <c r="R22" s="1" t="s">
        <v>388</v>
      </c>
      <c r="S22" s="1" t="s">
        <v>389</v>
      </c>
      <c r="T22" s="1" t="s">
        <v>107</v>
      </c>
      <c r="U22" s="1" t="s">
        <v>390</v>
      </c>
      <c r="V22" s="1">
        <v>1</v>
      </c>
      <c r="W22" s="1">
        <v>1</v>
      </c>
      <c r="X22" s="1">
        <v>0</v>
      </c>
      <c r="Y22" s="1">
        <v>0</v>
      </c>
      <c r="Z22" s="1">
        <v>1</v>
      </c>
      <c r="AA22" s="1" t="s">
        <v>109</v>
      </c>
      <c r="AB22" s="1" t="s">
        <v>109</v>
      </c>
      <c r="AC22" s="1" t="s">
        <v>109</v>
      </c>
      <c r="AD22" s="1">
        <v>4</v>
      </c>
      <c r="AE22" s="1" t="s">
        <v>109</v>
      </c>
      <c r="AF22" s="1" t="s">
        <v>109</v>
      </c>
      <c r="AG22" s="1" t="s">
        <v>109</v>
      </c>
      <c r="AH22" s="1" t="s">
        <v>109</v>
      </c>
      <c r="AI22" s="1" t="s">
        <v>109</v>
      </c>
      <c r="AJ22" s="1" t="s">
        <v>109</v>
      </c>
      <c r="AK22" s="1" t="s">
        <v>109</v>
      </c>
      <c r="AL22" s="1" t="s">
        <v>109</v>
      </c>
      <c r="AM22" s="1" t="s">
        <v>109</v>
      </c>
      <c r="AN22" s="1" t="s">
        <v>109</v>
      </c>
      <c r="AO22" s="1" t="s">
        <v>109</v>
      </c>
      <c r="AP22" s="1"/>
      <c r="AQ22" s="1">
        <v>4</v>
      </c>
      <c r="AR22" s="1"/>
      <c r="AS22" s="1" t="s">
        <v>391</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5" t="str">
        <f>HYPERLINK("http://www.d20pfsrd.com/magic/all-spells/a/antiplant-shell","Antiplant Shell")</f>
        <v>Antiplant Shell</v>
      </c>
      <c r="BT22" s="1">
        <v>21</v>
      </c>
      <c r="BU22" s="1" t="s">
        <v>109</v>
      </c>
      <c r="BV22" s="1"/>
      <c r="BW22" s="1"/>
      <c r="BX22" s="1"/>
      <c r="BY22" s="1"/>
      <c r="BZ22" s="1">
        <v>0</v>
      </c>
      <c r="CA22" s="1" t="s">
        <v>109</v>
      </c>
      <c r="CB22" s="1" t="s">
        <v>109</v>
      </c>
      <c r="CC22" s="1" t="s">
        <v>109</v>
      </c>
      <c r="CD22" s="1" t="s">
        <v>109</v>
      </c>
      <c r="CE22" s="1" t="s">
        <v>109</v>
      </c>
      <c r="CF22" s="1" t="s">
        <v>109</v>
      </c>
      <c r="CG22" s="1" t="s">
        <v>109</v>
      </c>
      <c r="CH22" s="1" t="s">
        <v>109</v>
      </c>
      <c r="CI22" s="1" t="s">
        <v>109</v>
      </c>
      <c r="CJ22" s="1">
        <v>4</v>
      </c>
      <c r="CK22" s="1"/>
      <c r="CL22" s="1">
        <v>0</v>
      </c>
      <c r="CM22" s="1">
        <v>0</v>
      </c>
      <c r="CN22" s="1">
        <v>0</v>
      </c>
    </row>
    <row r="23" spans="1:92" ht="14.25" customHeight="1" x14ac:dyDescent="0.15">
      <c r="A23" s="1" t="s">
        <v>392</v>
      </c>
      <c r="B23" s="1" t="s">
        <v>254</v>
      </c>
      <c r="C23" s="1" t="s">
        <v>393</v>
      </c>
      <c r="D23" s="1"/>
      <c r="E23" s="1" t="s">
        <v>394</v>
      </c>
      <c r="F23" s="1" t="s">
        <v>395</v>
      </c>
      <c r="G23" s="1" t="s">
        <v>396</v>
      </c>
      <c r="H23" s="1">
        <v>0</v>
      </c>
      <c r="I23" s="1" t="s">
        <v>397</v>
      </c>
      <c r="J23" s="1"/>
      <c r="K23" s="1" t="s">
        <v>398</v>
      </c>
      <c r="L23" s="1"/>
      <c r="M23" s="1" t="s">
        <v>164</v>
      </c>
      <c r="N23" s="1">
        <v>1</v>
      </c>
      <c r="O23" s="1">
        <v>0</v>
      </c>
      <c r="P23" s="1" t="s">
        <v>103</v>
      </c>
      <c r="Q23" s="1" t="s">
        <v>104</v>
      </c>
      <c r="R23" s="1" t="s">
        <v>399</v>
      </c>
      <c r="S23" s="1" t="s">
        <v>400</v>
      </c>
      <c r="T23" s="1" t="s">
        <v>107</v>
      </c>
      <c r="U23" s="1" t="s">
        <v>401</v>
      </c>
      <c r="V23" s="1">
        <v>1</v>
      </c>
      <c r="W23" s="1">
        <v>1</v>
      </c>
      <c r="X23" s="1">
        <v>1</v>
      </c>
      <c r="Y23" s="1">
        <v>0</v>
      </c>
      <c r="Z23" s="1">
        <v>0</v>
      </c>
      <c r="AA23" s="1">
        <v>4</v>
      </c>
      <c r="AB23" s="1">
        <v>4</v>
      </c>
      <c r="AC23" s="1" t="s">
        <v>109</v>
      </c>
      <c r="AD23" s="1" t="s">
        <v>109</v>
      </c>
      <c r="AE23" s="1" t="s">
        <v>109</v>
      </c>
      <c r="AF23" s="1" t="s">
        <v>109</v>
      </c>
      <c r="AG23" s="1" t="s">
        <v>109</v>
      </c>
      <c r="AH23" s="1">
        <v>4</v>
      </c>
      <c r="AI23" s="1" t="s">
        <v>109</v>
      </c>
      <c r="AJ23" s="1">
        <v>4</v>
      </c>
      <c r="AK23" s="1" t="s">
        <v>109</v>
      </c>
      <c r="AL23" s="1" t="s">
        <v>109</v>
      </c>
      <c r="AM23" s="1" t="s">
        <v>109</v>
      </c>
      <c r="AN23" s="1" t="s">
        <v>109</v>
      </c>
      <c r="AO23" s="1" t="s">
        <v>109</v>
      </c>
      <c r="AP23" s="1"/>
      <c r="AQ23" s="1">
        <v>4</v>
      </c>
      <c r="AR23" s="1" t="s">
        <v>402</v>
      </c>
      <c r="AS23" s="1" t="s">
        <v>403</v>
      </c>
      <c r="AT23" s="1">
        <v>0</v>
      </c>
      <c r="AU23" s="1">
        <v>0</v>
      </c>
      <c r="AV23" s="1">
        <v>0</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5" t="str">
        <f>HYPERLINK("http://www.d20pfsrd.com/magic/all-spells/a/arcane-eye","Arcane Eye")</f>
        <v>Arcane Eye</v>
      </c>
      <c r="BT23" s="1">
        <v>22</v>
      </c>
      <c r="BU23" s="1" t="s">
        <v>109</v>
      </c>
      <c r="BV23" s="1"/>
      <c r="BW23" s="1"/>
      <c r="BX23" s="1"/>
      <c r="BY23" s="1"/>
      <c r="BZ23" s="1">
        <v>0</v>
      </c>
      <c r="CA23" s="1" t="s">
        <v>109</v>
      </c>
      <c r="CB23" s="1" t="s">
        <v>109</v>
      </c>
      <c r="CC23" s="1">
        <v>4</v>
      </c>
      <c r="CD23" s="1" t="s">
        <v>109</v>
      </c>
      <c r="CE23" s="1">
        <v>4</v>
      </c>
      <c r="CF23" s="1">
        <v>4</v>
      </c>
      <c r="CG23" s="1" t="s">
        <v>109</v>
      </c>
      <c r="CH23" s="1" t="s">
        <v>109</v>
      </c>
      <c r="CI23" s="1" t="s">
        <v>109</v>
      </c>
      <c r="CJ23" s="1" t="s">
        <v>109</v>
      </c>
      <c r="CK23" s="1"/>
      <c r="CL23" s="1">
        <v>0</v>
      </c>
      <c r="CM23" s="1">
        <v>0</v>
      </c>
      <c r="CN23" s="1">
        <v>0</v>
      </c>
    </row>
    <row r="24" spans="1:92" ht="14.25" customHeight="1" x14ac:dyDescent="0.15">
      <c r="A24" s="1" t="s">
        <v>404</v>
      </c>
      <c r="B24" s="1" t="s">
        <v>242</v>
      </c>
      <c r="C24" s="1"/>
      <c r="D24" s="1"/>
      <c r="E24" s="1" t="s">
        <v>405</v>
      </c>
      <c r="F24" s="1" t="s">
        <v>98</v>
      </c>
      <c r="G24" s="1" t="s">
        <v>406</v>
      </c>
      <c r="H24" s="1">
        <v>1</v>
      </c>
      <c r="I24" s="1" t="s">
        <v>161</v>
      </c>
      <c r="J24" s="1"/>
      <c r="K24" s="1"/>
      <c r="L24" s="1" t="s">
        <v>407</v>
      </c>
      <c r="M24" s="1" t="s">
        <v>408</v>
      </c>
      <c r="N24" s="1">
        <v>0</v>
      </c>
      <c r="O24" s="1">
        <v>0</v>
      </c>
      <c r="P24" s="1" t="s">
        <v>103</v>
      </c>
      <c r="Q24" s="1" t="s">
        <v>104</v>
      </c>
      <c r="R24" s="1" t="s">
        <v>409</v>
      </c>
      <c r="S24" s="1" t="s">
        <v>410</v>
      </c>
      <c r="T24" s="1" t="s">
        <v>107</v>
      </c>
      <c r="U24" s="1" t="s">
        <v>411</v>
      </c>
      <c r="V24" s="1">
        <v>1</v>
      </c>
      <c r="W24" s="1">
        <v>1</v>
      </c>
      <c r="X24" s="1">
        <v>1</v>
      </c>
      <c r="Y24" s="1">
        <v>0</v>
      </c>
      <c r="Z24" s="1">
        <v>0</v>
      </c>
      <c r="AA24" s="1">
        <v>2</v>
      </c>
      <c r="AB24" s="1">
        <v>2</v>
      </c>
      <c r="AC24" s="1" t="s">
        <v>109</v>
      </c>
      <c r="AD24" s="1" t="s">
        <v>109</v>
      </c>
      <c r="AE24" s="1" t="s">
        <v>109</v>
      </c>
      <c r="AF24" s="1" t="s">
        <v>109</v>
      </c>
      <c r="AG24" s="1" t="s">
        <v>109</v>
      </c>
      <c r="AH24" s="1" t="s">
        <v>109</v>
      </c>
      <c r="AI24" s="1" t="s">
        <v>109</v>
      </c>
      <c r="AJ24" s="1" t="s">
        <v>109</v>
      </c>
      <c r="AK24" s="1" t="s">
        <v>109</v>
      </c>
      <c r="AL24" s="1" t="s">
        <v>109</v>
      </c>
      <c r="AM24" s="1" t="s">
        <v>109</v>
      </c>
      <c r="AN24" s="1" t="s">
        <v>109</v>
      </c>
      <c r="AO24" s="1" t="s">
        <v>109</v>
      </c>
      <c r="AP24" s="1"/>
      <c r="AQ24" s="1">
        <v>2</v>
      </c>
      <c r="AR24" s="1" t="s">
        <v>412</v>
      </c>
      <c r="AS24" s="1" t="s">
        <v>413</v>
      </c>
      <c r="AT24" s="1">
        <v>0</v>
      </c>
      <c r="AU24" s="1">
        <v>0</v>
      </c>
      <c r="AV24" s="1">
        <v>0</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5" t="str">
        <f>HYPERLINK("http://www.d20pfsrd.com/magic/all-spells/a/arcane-lock","Arcane Lock")</f>
        <v>Arcane Lock</v>
      </c>
      <c r="BT24" s="1">
        <v>23</v>
      </c>
      <c r="BU24" s="1">
        <v>25</v>
      </c>
      <c r="BV24" s="1"/>
      <c r="BW24" s="1"/>
      <c r="BX24" s="1"/>
      <c r="BY24" s="1"/>
      <c r="BZ24" s="1">
        <v>0</v>
      </c>
      <c r="CA24" s="1" t="s">
        <v>109</v>
      </c>
      <c r="CB24" s="1" t="s">
        <v>109</v>
      </c>
      <c r="CC24" s="1" t="s">
        <v>109</v>
      </c>
      <c r="CD24" s="1" t="s">
        <v>109</v>
      </c>
      <c r="CE24" s="1" t="s">
        <v>109</v>
      </c>
      <c r="CF24" s="1">
        <v>2</v>
      </c>
      <c r="CG24" s="1" t="s">
        <v>109</v>
      </c>
      <c r="CH24" s="1" t="s">
        <v>109</v>
      </c>
      <c r="CI24" s="1" t="s">
        <v>109</v>
      </c>
      <c r="CJ24" s="1" t="s">
        <v>109</v>
      </c>
      <c r="CK24" s="1"/>
      <c r="CL24" s="1">
        <v>0</v>
      </c>
      <c r="CM24" s="1">
        <v>0</v>
      </c>
      <c r="CN24" s="1">
        <v>0</v>
      </c>
    </row>
    <row r="25" spans="1:92" ht="14.25" customHeight="1" x14ac:dyDescent="0.15">
      <c r="A25" s="1" t="s">
        <v>414</v>
      </c>
      <c r="B25" s="1" t="s">
        <v>415</v>
      </c>
      <c r="C25" s="1"/>
      <c r="D25" s="1"/>
      <c r="E25" s="1" t="s">
        <v>416</v>
      </c>
      <c r="F25" s="1" t="s">
        <v>98</v>
      </c>
      <c r="G25" s="1" t="s">
        <v>141</v>
      </c>
      <c r="H25" s="1">
        <v>0</v>
      </c>
      <c r="I25" s="1" t="s">
        <v>161</v>
      </c>
      <c r="J25" s="1"/>
      <c r="K25" s="1" t="s">
        <v>417</v>
      </c>
      <c r="L25" s="1"/>
      <c r="M25" s="1" t="s">
        <v>408</v>
      </c>
      <c r="N25" s="1">
        <v>0</v>
      </c>
      <c r="O25" s="1">
        <v>0</v>
      </c>
      <c r="P25" s="1" t="s">
        <v>103</v>
      </c>
      <c r="Q25" s="1" t="s">
        <v>104</v>
      </c>
      <c r="R25" s="1" t="s">
        <v>418</v>
      </c>
      <c r="S25" s="1" t="s">
        <v>419</v>
      </c>
      <c r="T25" s="1" t="s">
        <v>107</v>
      </c>
      <c r="U25" s="1" t="s">
        <v>420</v>
      </c>
      <c r="V25" s="1">
        <v>1</v>
      </c>
      <c r="W25" s="1">
        <v>1</v>
      </c>
      <c r="X25" s="1">
        <v>0</v>
      </c>
      <c r="Y25" s="1">
        <v>0</v>
      </c>
      <c r="Z25" s="1">
        <v>0</v>
      </c>
      <c r="AA25" s="1">
        <v>0</v>
      </c>
      <c r="AB25" s="1">
        <v>0</v>
      </c>
      <c r="AC25" s="1" t="s">
        <v>109</v>
      </c>
      <c r="AD25" s="1" t="s">
        <v>109</v>
      </c>
      <c r="AE25" s="1" t="s">
        <v>109</v>
      </c>
      <c r="AF25" s="1" t="s">
        <v>109</v>
      </c>
      <c r="AG25" s="1" t="s">
        <v>109</v>
      </c>
      <c r="AH25" s="1" t="s">
        <v>109</v>
      </c>
      <c r="AI25" s="1">
        <v>0</v>
      </c>
      <c r="AJ25" s="1" t="s">
        <v>109</v>
      </c>
      <c r="AK25" s="1" t="s">
        <v>109</v>
      </c>
      <c r="AL25" s="1" t="s">
        <v>109</v>
      </c>
      <c r="AM25" s="1" t="s">
        <v>109</v>
      </c>
      <c r="AN25" s="1">
        <v>0</v>
      </c>
      <c r="AO25" s="1" t="s">
        <v>109</v>
      </c>
      <c r="AP25" s="1"/>
      <c r="AQ25" s="1">
        <v>0</v>
      </c>
      <c r="AR25" s="1"/>
      <c r="AS25" s="1" t="s">
        <v>421</v>
      </c>
      <c r="AT25" s="1">
        <v>0</v>
      </c>
      <c r="AU25" s="1">
        <v>0</v>
      </c>
      <c r="AV25" s="1">
        <v>0</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5" t="str">
        <f>HYPERLINK("http://www.d20pfsrd.com/magic/all-spells/a/arcane-mark","Arcane Mark")</f>
        <v>Arcane Mark</v>
      </c>
      <c r="BT25" s="1">
        <v>24</v>
      </c>
      <c r="BU25" s="1" t="s">
        <v>109</v>
      </c>
      <c r="BV25" s="1"/>
      <c r="BW25" s="1"/>
      <c r="BX25" s="1"/>
      <c r="BY25" s="1"/>
      <c r="BZ25" s="1">
        <v>0</v>
      </c>
      <c r="CA25" s="1" t="s">
        <v>109</v>
      </c>
      <c r="CB25" s="1">
        <v>0</v>
      </c>
      <c r="CC25" s="1">
        <v>0</v>
      </c>
      <c r="CD25" s="1" t="s">
        <v>109</v>
      </c>
      <c r="CE25" s="1" t="s">
        <v>109</v>
      </c>
      <c r="CF25" s="1" t="s">
        <v>109</v>
      </c>
      <c r="CG25" s="1" t="s">
        <v>109</v>
      </c>
      <c r="CH25" s="1" t="s">
        <v>109</v>
      </c>
      <c r="CI25" s="1" t="s">
        <v>109</v>
      </c>
      <c r="CJ25" s="1" t="s">
        <v>109</v>
      </c>
      <c r="CK25" s="1"/>
      <c r="CL25" s="1">
        <v>0</v>
      </c>
      <c r="CM25" s="1">
        <v>0</v>
      </c>
      <c r="CN25" s="1">
        <v>0</v>
      </c>
    </row>
    <row r="26" spans="1:92" ht="14.25" customHeight="1" x14ac:dyDescent="0.15">
      <c r="A26" s="1" t="s">
        <v>422</v>
      </c>
      <c r="B26" s="1" t="s">
        <v>254</v>
      </c>
      <c r="C26" s="1"/>
      <c r="D26" s="1"/>
      <c r="E26" s="1" t="s">
        <v>423</v>
      </c>
      <c r="F26" s="1" t="s">
        <v>98</v>
      </c>
      <c r="G26" s="1" t="s">
        <v>141</v>
      </c>
      <c r="H26" s="1">
        <v>0</v>
      </c>
      <c r="I26" s="1" t="s">
        <v>235</v>
      </c>
      <c r="J26" s="1"/>
      <c r="K26" s="1"/>
      <c r="L26" s="1" t="s">
        <v>236</v>
      </c>
      <c r="M26" s="1" t="s">
        <v>164</v>
      </c>
      <c r="N26" s="1">
        <v>1</v>
      </c>
      <c r="O26" s="1">
        <v>0</v>
      </c>
      <c r="P26" s="1"/>
      <c r="Q26" s="1"/>
      <c r="R26" s="1" t="s">
        <v>424</v>
      </c>
      <c r="S26" s="1" t="s">
        <v>425</v>
      </c>
      <c r="T26" s="1" t="s">
        <v>107</v>
      </c>
      <c r="U26" s="1" t="s">
        <v>426</v>
      </c>
      <c r="V26" s="1">
        <v>1</v>
      </c>
      <c r="W26" s="1">
        <v>1</v>
      </c>
      <c r="X26" s="1">
        <v>0</v>
      </c>
      <c r="Y26" s="1">
        <v>0</v>
      </c>
      <c r="Z26" s="1">
        <v>0</v>
      </c>
      <c r="AA26" s="1">
        <v>3</v>
      </c>
      <c r="AB26" s="1">
        <v>3</v>
      </c>
      <c r="AC26" s="1" t="s">
        <v>109</v>
      </c>
      <c r="AD26" s="1" t="s">
        <v>109</v>
      </c>
      <c r="AE26" s="1" t="s">
        <v>109</v>
      </c>
      <c r="AF26" s="1" t="s">
        <v>109</v>
      </c>
      <c r="AG26" s="1" t="s">
        <v>109</v>
      </c>
      <c r="AH26" s="1">
        <v>3</v>
      </c>
      <c r="AI26" s="1" t="s">
        <v>109</v>
      </c>
      <c r="AJ26" s="1">
        <v>3</v>
      </c>
      <c r="AK26" s="1">
        <v>3</v>
      </c>
      <c r="AL26" s="1" t="s">
        <v>109</v>
      </c>
      <c r="AM26" s="1" t="s">
        <v>109</v>
      </c>
      <c r="AN26" s="1">
        <v>3</v>
      </c>
      <c r="AO26" s="1" t="s">
        <v>109</v>
      </c>
      <c r="AP26" s="1"/>
      <c r="AQ26" s="1">
        <v>3</v>
      </c>
      <c r="AR26" s="1"/>
      <c r="AS26" s="1" t="s">
        <v>427</v>
      </c>
      <c r="AT26" s="1">
        <v>0</v>
      </c>
      <c r="AU26" s="1">
        <v>0</v>
      </c>
      <c r="AV26" s="1">
        <v>0</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5" t="str">
        <f>HYPERLINK("http://www.d20pfsrd.com/magic/all-spells/a/arcane-sight","Arcane Sight")</f>
        <v>Arcane Sight</v>
      </c>
      <c r="BT26" s="1">
        <v>25</v>
      </c>
      <c r="BU26" s="1" t="s">
        <v>109</v>
      </c>
      <c r="BV26" s="1"/>
      <c r="BW26" s="1"/>
      <c r="BX26" s="1"/>
      <c r="BY26" s="1"/>
      <c r="BZ26" s="1">
        <v>0</v>
      </c>
      <c r="CA26" s="1" t="s">
        <v>109</v>
      </c>
      <c r="CB26" s="1" t="s">
        <v>109</v>
      </c>
      <c r="CC26" s="1">
        <v>3</v>
      </c>
      <c r="CD26" s="1" t="s">
        <v>109</v>
      </c>
      <c r="CE26" s="1" t="s">
        <v>109</v>
      </c>
      <c r="CF26" s="1">
        <v>3</v>
      </c>
      <c r="CG26" s="1" t="s">
        <v>109</v>
      </c>
      <c r="CH26" s="1" t="s">
        <v>109</v>
      </c>
      <c r="CI26" s="1" t="s">
        <v>109</v>
      </c>
      <c r="CJ26" s="1" t="s">
        <v>109</v>
      </c>
      <c r="CK26" s="1"/>
      <c r="CL26" s="1">
        <v>0</v>
      </c>
      <c r="CM26" s="1">
        <v>0</v>
      </c>
      <c r="CN26" s="1">
        <v>0</v>
      </c>
    </row>
    <row r="27" spans="1:92" ht="14.25" customHeight="1" x14ac:dyDescent="0.15">
      <c r="A27" s="1" t="s">
        <v>428</v>
      </c>
      <c r="B27" s="1" t="s">
        <v>254</v>
      </c>
      <c r="C27" s="1"/>
      <c r="D27" s="1"/>
      <c r="E27" s="1" t="s">
        <v>429</v>
      </c>
      <c r="F27" s="1" t="s">
        <v>98</v>
      </c>
      <c r="G27" s="1" t="s">
        <v>141</v>
      </c>
      <c r="H27" s="1">
        <v>0</v>
      </c>
      <c r="I27" s="1" t="s">
        <v>235</v>
      </c>
      <c r="J27" s="1"/>
      <c r="K27" s="1"/>
      <c r="L27" s="1" t="s">
        <v>236</v>
      </c>
      <c r="M27" s="1" t="s">
        <v>164</v>
      </c>
      <c r="N27" s="1">
        <v>1</v>
      </c>
      <c r="O27" s="1">
        <v>0</v>
      </c>
      <c r="P27" s="1"/>
      <c r="Q27" s="1"/>
      <c r="R27" s="1" t="s">
        <v>430</v>
      </c>
      <c r="S27" s="1" t="s">
        <v>431</v>
      </c>
      <c r="T27" s="1" t="s">
        <v>107</v>
      </c>
      <c r="U27" s="1" t="s">
        <v>432</v>
      </c>
      <c r="V27" s="1">
        <v>1</v>
      </c>
      <c r="W27" s="1">
        <v>1</v>
      </c>
      <c r="X27" s="1">
        <v>0</v>
      </c>
      <c r="Y27" s="1">
        <v>0</v>
      </c>
      <c r="Z27" s="1">
        <v>0</v>
      </c>
      <c r="AA27" s="1">
        <v>7</v>
      </c>
      <c r="AB27" s="1">
        <v>7</v>
      </c>
      <c r="AC27" s="1" t="s">
        <v>109</v>
      </c>
      <c r="AD27" s="1" t="s">
        <v>109</v>
      </c>
      <c r="AE27" s="1" t="s">
        <v>109</v>
      </c>
      <c r="AF27" s="1" t="s">
        <v>109</v>
      </c>
      <c r="AG27" s="1" t="s">
        <v>109</v>
      </c>
      <c r="AH27" s="1" t="s">
        <v>109</v>
      </c>
      <c r="AI27" s="1" t="s">
        <v>109</v>
      </c>
      <c r="AJ27" s="1">
        <v>7</v>
      </c>
      <c r="AK27" s="1" t="s">
        <v>109</v>
      </c>
      <c r="AL27" s="1" t="s">
        <v>109</v>
      </c>
      <c r="AM27" s="1" t="s">
        <v>109</v>
      </c>
      <c r="AN27" s="1" t="s">
        <v>109</v>
      </c>
      <c r="AO27" s="1" t="s">
        <v>109</v>
      </c>
      <c r="AP27" s="1"/>
      <c r="AQ27" s="1">
        <v>7</v>
      </c>
      <c r="AR27" s="1"/>
      <c r="AS27" s="1" t="s">
        <v>433</v>
      </c>
      <c r="AT27" s="1">
        <v>0</v>
      </c>
      <c r="AU27" s="1">
        <v>0</v>
      </c>
      <c r="AV27" s="1">
        <v>0</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5" t="str">
        <f>HYPERLINK("http://www.d20pfsrd.com/magic/all-spells/a/arcane-sight#TOC-Arcane-Sight-Greater","Arcane Sight, Greater")</f>
        <v>Arcane Sight, Greater</v>
      </c>
      <c r="BT27" s="1">
        <v>26</v>
      </c>
      <c r="BU27" s="1" t="s">
        <v>109</v>
      </c>
      <c r="BV27" s="1"/>
      <c r="BW27" s="1"/>
      <c r="BX27" s="1"/>
      <c r="BY27" s="1"/>
      <c r="BZ27" s="1">
        <v>0</v>
      </c>
      <c r="CA27" s="1" t="s">
        <v>109</v>
      </c>
      <c r="CB27" s="1" t="s">
        <v>109</v>
      </c>
      <c r="CC27" s="1">
        <v>7</v>
      </c>
      <c r="CD27" s="1" t="s">
        <v>109</v>
      </c>
      <c r="CE27" s="1" t="s">
        <v>109</v>
      </c>
      <c r="CF27" s="1" t="s">
        <v>109</v>
      </c>
      <c r="CG27" s="1" t="s">
        <v>109</v>
      </c>
      <c r="CH27" s="1" t="s">
        <v>109</v>
      </c>
      <c r="CI27" s="1" t="s">
        <v>109</v>
      </c>
      <c r="CJ27" s="1" t="s">
        <v>109</v>
      </c>
      <c r="CK27" s="1"/>
      <c r="CL27" s="1">
        <v>0</v>
      </c>
      <c r="CM27" s="1">
        <v>0</v>
      </c>
      <c r="CN27" s="1">
        <v>0</v>
      </c>
    </row>
    <row r="28" spans="1:92" ht="14.25" customHeight="1" x14ac:dyDescent="0.15">
      <c r="A28" s="1" t="s">
        <v>434</v>
      </c>
      <c r="B28" s="1" t="s">
        <v>308</v>
      </c>
      <c r="C28" s="1"/>
      <c r="D28" s="1"/>
      <c r="E28" s="1" t="s">
        <v>435</v>
      </c>
      <c r="F28" s="1" t="s">
        <v>436</v>
      </c>
      <c r="G28" s="1" t="s">
        <v>437</v>
      </c>
      <c r="H28" s="1">
        <v>1</v>
      </c>
      <c r="I28" s="1" t="s">
        <v>161</v>
      </c>
      <c r="J28" s="1"/>
      <c r="K28" s="1"/>
      <c r="L28" s="1" t="s">
        <v>438</v>
      </c>
      <c r="M28" s="1" t="s">
        <v>211</v>
      </c>
      <c r="N28" s="1">
        <v>0</v>
      </c>
      <c r="O28" s="1">
        <v>0</v>
      </c>
      <c r="P28" s="1" t="s">
        <v>103</v>
      </c>
      <c r="Q28" s="1" t="s">
        <v>268</v>
      </c>
      <c r="R28" s="1" t="s">
        <v>439</v>
      </c>
      <c r="S28" s="1" t="s">
        <v>440</v>
      </c>
      <c r="T28" s="1" t="s">
        <v>107</v>
      </c>
      <c r="U28" s="1" t="s">
        <v>441</v>
      </c>
      <c r="V28" s="1">
        <v>1</v>
      </c>
      <c r="W28" s="1">
        <v>1</v>
      </c>
      <c r="X28" s="1">
        <v>1</v>
      </c>
      <c r="Y28" s="1">
        <v>0</v>
      </c>
      <c r="Z28" s="1">
        <v>0</v>
      </c>
      <c r="AA28" s="1">
        <v>9</v>
      </c>
      <c r="AB28" s="1">
        <v>9</v>
      </c>
      <c r="AC28" s="1">
        <v>9</v>
      </c>
      <c r="AD28" s="1" t="s">
        <v>109</v>
      </c>
      <c r="AE28" s="1" t="s">
        <v>109</v>
      </c>
      <c r="AF28" s="1" t="s">
        <v>109</v>
      </c>
      <c r="AG28" s="1" t="s">
        <v>109</v>
      </c>
      <c r="AH28" s="1" t="s">
        <v>109</v>
      </c>
      <c r="AI28" s="1" t="s">
        <v>109</v>
      </c>
      <c r="AJ28" s="1">
        <v>9</v>
      </c>
      <c r="AK28" s="1" t="s">
        <v>109</v>
      </c>
      <c r="AL28" s="1">
        <v>9</v>
      </c>
      <c r="AM28" s="1" t="s">
        <v>109</v>
      </c>
      <c r="AN28" s="1" t="s">
        <v>109</v>
      </c>
      <c r="AO28" s="1" t="s">
        <v>109</v>
      </c>
      <c r="AP28" s="1"/>
      <c r="AQ28" s="1">
        <v>9</v>
      </c>
      <c r="AR28" s="1" t="s">
        <v>442</v>
      </c>
      <c r="AS28" s="1" t="s">
        <v>443</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5" t="str">
        <f>HYPERLINK("http://www.d20pfsrd.com/magic/all-spells/a/astral-projection","Astral Projection")</f>
        <v>Astral Projection</v>
      </c>
      <c r="BT28" s="1">
        <v>27</v>
      </c>
      <c r="BU28" s="1">
        <v>1000</v>
      </c>
      <c r="BV28" s="1" t="s">
        <v>444</v>
      </c>
      <c r="BW28" s="1" t="s">
        <v>445</v>
      </c>
      <c r="BX28" s="1"/>
      <c r="BY28" s="1"/>
      <c r="BZ28" s="1">
        <v>0</v>
      </c>
      <c r="CA28" s="1" t="s">
        <v>109</v>
      </c>
      <c r="CB28" s="1" t="s">
        <v>109</v>
      </c>
      <c r="CC28" s="1">
        <v>9</v>
      </c>
      <c r="CD28" s="1" t="s">
        <v>109</v>
      </c>
      <c r="CE28" s="1" t="s">
        <v>109</v>
      </c>
      <c r="CF28" s="1" t="s">
        <v>109</v>
      </c>
      <c r="CG28" s="1" t="s">
        <v>109</v>
      </c>
      <c r="CH28" s="1" t="s">
        <v>109</v>
      </c>
      <c r="CI28" s="1" t="s">
        <v>109</v>
      </c>
      <c r="CJ28" s="1" t="s">
        <v>109</v>
      </c>
      <c r="CK28" s="1"/>
      <c r="CL28" s="1">
        <v>0</v>
      </c>
      <c r="CM28" s="1">
        <v>0</v>
      </c>
      <c r="CN28" s="1">
        <v>0</v>
      </c>
    </row>
    <row r="29" spans="1:92" ht="14.25" customHeight="1" x14ac:dyDescent="0.15">
      <c r="A29" s="1" t="s">
        <v>446</v>
      </c>
      <c r="B29" s="1" t="s">
        <v>242</v>
      </c>
      <c r="C29" s="1"/>
      <c r="D29" s="1"/>
      <c r="E29" s="1" t="s">
        <v>447</v>
      </c>
      <c r="F29" s="1" t="s">
        <v>377</v>
      </c>
      <c r="G29" s="1" t="s">
        <v>448</v>
      </c>
      <c r="H29" s="1">
        <v>1</v>
      </c>
      <c r="I29" s="1" t="s">
        <v>161</v>
      </c>
      <c r="J29" s="1"/>
      <c r="K29" s="1"/>
      <c r="L29" s="1" t="s">
        <v>162</v>
      </c>
      <c r="M29" s="1" t="s">
        <v>144</v>
      </c>
      <c r="N29" s="1">
        <v>0</v>
      </c>
      <c r="O29" s="1">
        <v>0</v>
      </c>
      <c r="P29" s="1" t="s">
        <v>103</v>
      </c>
      <c r="Q29" s="1" t="s">
        <v>268</v>
      </c>
      <c r="R29" s="1" t="s">
        <v>449</v>
      </c>
      <c r="S29" s="1" t="s">
        <v>450</v>
      </c>
      <c r="T29" s="1" t="s">
        <v>107</v>
      </c>
      <c r="U29" s="1" t="s">
        <v>451</v>
      </c>
      <c r="V29" s="1">
        <v>1</v>
      </c>
      <c r="W29" s="1">
        <v>1</v>
      </c>
      <c r="X29" s="1">
        <v>1</v>
      </c>
      <c r="Y29" s="1">
        <v>0</v>
      </c>
      <c r="Z29" s="1">
        <v>1</v>
      </c>
      <c r="AA29" s="1" t="s">
        <v>109</v>
      </c>
      <c r="AB29" s="1" t="s">
        <v>109</v>
      </c>
      <c r="AC29" s="1">
        <v>5</v>
      </c>
      <c r="AD29" s="1">
        <v>5</v>
      </c>
      <c r="AE29" s="1" t="s">
        <v>109</v>
      </c>
      <c r="AF29" s="1" t="s">
        <v>109</v>
      </c>
      <c r="AG29" s="1" t="s">
        <v>109</v>
      </c>
      <c r="AH29" s="1" t="s">
        <v>109</v>
      </c>
      <c r="AI29" s="1" t="s">
        <v>109</v>
      </c>
      <c r="AJ29" s="1" t="s">
        <v>109</v>
      </c>
      <c r="AK29" s="1">
        <v>5</v>
      </c>
      <c r="AL29" s="1">
        <v>5</v>
      </c>
      <c r="AM29" s="1" t="s">
        <v>109</v>
      </c>
      <c r="AN29" s="1" t="s">
        <v>109</v>
      </c>
      <c r="AO29" s="1" t="s">
        <v>109</v>
      </c>
      <c r="AP29" s="1"/>
      <c r="AQ29" s="1">
        <v>5</v>
      </c>
      <c r="AR29" s="1" t="s">
        <v>452</v>
      </c>
      <c r="AS29" s="1" t="s">
        <v>453</v>
      </c>
      <c r="AT29" s="1">
        <v>0</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5" t="str">
        <f>HYPERLINK("http://www.d20pfsrd.com/magic/all-spells/a/atonement","Atonement")</f>
        <v>Atonement</v>
      </c>
      <c r="BT29" s="1">
        <v>28</v>
      </c>
      <c r="BU29" s="1">
        <v>500</v>
      </c>
      <c r="BV29" s="1"/>
      <c r="BW29" s="1"/>
      <c r="BX29" s="1"/>
      <c r="BY29" s="1"/>
      <c r="BZ29" s="1">
        <v>0</v>
      </c>
      <c r="CA29" s="1" t="s">
        <v>109</v>
      </c>
      <c r="CB29" s="1" t="s">
        <v>109</v>
      </c>
      <c r="CC29" s="1" t="s">
        <v>109</v>
      </c>
      <c r="CD29" s="1" t="s">
        <v>109</v>
      </c>
      <c r="CE29" s="1" t="s">
        <v>109</v>
      </c>
      <c r="CF29" s="1" t="s">
        <v>109</v>
      </c>
      <c r="CG29" s="1" t="s">
        <v>109</v>
      </c>
      <c r="CH29" s="1" t="s">
        <v>109</v>
      </c>
      <c r="CI29" s="1" t="s">
        <v>109</v>
      </c>
      <c r="CJ29" s="1">
        <v>5</v>
      </c>
      <c r="CK29" s="1"/>
      <c r="CL29" s="1">
        <v>0</v>
      </c>
      <c r="CM29" s="1">
        <v>0</v>
      </c>
      <c r="CN29" s="1">
        <v>0</v>
      </c>
    </row>
    <row r="30" spans="1:92" ht="14.25" customHeight="1" x14ac:dyDescent="0.15">
      <c r="A30" s="1" t="s">
        <v>454</v>
      </c>
      <c r="B30" s="1" t="s">
        <v>254</v>
      </c>
      <c r="C30" s="1"/>
      <c r="D30" s="1"/>
      <c r="E30" s="1" t="s">
        <v>455</v>
      </c>
      <c r="F30" s="1" t="s">
        <v>277</v>
      </c>
      <c r="G30" s="1" t="s">
        <v>456</v>
      </c>
      <c r="H30" s="1">
        <v>1</v>
      </c>
      <c r="I30" s="1" t="s">
        <v>235</v>
      </c>
      <c r="J30" s="1"/>
      <c r="K30" s="1"/>
      <c r="L30" s="1" t="s">
        <v>236</v>
      </c>
      <c r="M30" s="1" t="s">
        <v>144</v>
      </c>
      <c r="N30" s="1">
        <v>0</v>
      </c>
      <c r="O30" s="1">
        <v>0</v>
      </c>
      <c r="P30" s="1"/>
      <c r="Q30" s="1"/>
      <c r="R30" s="1" t="s">
        <v>457</v>
      </c>
      <c r="S30" s="1" t="s">
        <v>458</v>
      </c>
      <c r="T30" s="1" t="s">
        <v>107</v>
      </c>
      <c r="U30" s="1" t="s">
        <v>459</v>
      </c>
      <c r="V30" s="1">
        <v>1</v>
      </c>
      <c r="W30" s="1">
        <v>1</v>
      </c>
      <c r="X30" s="1">
        <v>1</v>
      </c>
      <c r="Y30" s="1">
        <v>1</v>
      </c>
      <c r="Z30" s="1">
        <v>0</v>
      </c>
      <c r="AA30" s="1" t="s">
        <v>109</v>
      </c>
      <c r="AB30" s="1" t="s">
        <v>109</v>
      </c>
      <c r="AC30" s="1">
        <v>2</v>
      </c>
      <c r="AD30" s="1" t="s">
        <v>109</v>
      </c>
      <c r="AE30" s="1" t="s">
        <v>109</v>
      </c>
      <c r="AF30" s="1" t="s">
        <v>109</v>
      </c>
      <c r="AG30" s="1" t="s">
        <v>109</v>
      </c>
      <c r="AH30" s="1" t="s">
        <v>109</v>
      </c>
      <c r="AI30" s="1" t="s">
        <v>109</v>
      </c>
      <c r="AJ30" s="1">
        <v>2</v>
      </c>
      <c r="AK30" s="1" t="s">
        <v>109</v>
      </c>
      <c r="AL30" s="1">
        <v>2</v>
      </c>
      <c r="AM30" s="1" t="s">
        <v>109</v>
      </c>
      <c r="AN30" s="1" t="s">
        <v>109</v>
      </c>
      <c r="AO30" s="1" t="s">
        <v>109</v>
      </c>
      <c r="AP30" s="1"/>
      <c r="AQ30" s="1">
        <v>2</v>
      </c>
      <c r="AR30" s="1" t="s">
        <v>460</v>
      </c>
      <c r="AS30" s="1" t="s">
        <v>461</v>
      </c>
      <c r="AT30" s="1">
        <v>0</v>
      </c>
      <c r="AU30" s="1">
        <v>0</v>
      </c>
      <c r="AV30" s="1">
        <v>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5" t="str">
        <f>HYPERLINK("http://www.d20pfsrd.com/magic/all-spells/a/augury","Augury")</f>
        <v>Augury</v>
      </c>
      <c r="BT30" s="1">
        <v>29</v>
      </c>
      <c r="BU30" s="1">
        <v>25</v>
      </c>
      <c r="BV30" s="1" t="s">
        <v>462</v>
      </c>
      <c r="BW30" s="1"/>
      <c r="BX30" s="1"/>
      <c r="BY30" s="1"/>
      <c r="BZ30" s="1">
        <v>0</v>
      </c>
      <c r="CA30" s="1" t="s">
        <v>109</v>
      </c>
      <c r="CB30" s="1">
        <v>2</v>
      </c>
      <c r="CC30" s="1">
        <v>2</v>
      </c>
      <c r="CD30" s="1" t="s">
        <v>109</v>
      </c>
      <c r="CE30" s="1" t="s">
        <v>109</v>
      </c>
      <c r="CF30" s="1">
        <v>2</v>
      </c>
      <c r="CG30" s="1">
        <v>2</v>
      </c>
      <c r="CH30" s="1" t="s">
        <v>109</v>
      </c>
      <c r="CI30" s="1" t="s">
        <v>109</v>
      </c>
      <c r="CJ30" s="1" t="s">
        <v>109</v>
      </c>
      <c r="CK30" s="1"/>
      <c r="CL30" s="1">
        <v>0</v>
      </c>
      <c r="CM30" s="1">
        <v>0</v>
      </c>
      <c r="CN30" s="1">
        <v>0</v>
      </c>
    </row>
    <row r="31" spans="1:92" ht="14.25" customHeight="1" x14ac:dyDescent="0.15">
      <c r="A31" s="1" t="s">
        <v>463</v>
      </c>
      <c r="B31" s="1" t="s">
        <v>189</v>
      </c>
      <c r="C31" s="1"/>
      <c r="D31" s="1"/>
      <c r="E31" s="1" t="s">
        <v>464</v>
      </c>
      <c r="F31" s="1" t="s">
        <v>465</v>
      </c>
      <c r="G31" s="1" t="s">
        <v>466</v>
      </c>
      <c r="H31" s="1">
        <v>1</v>
      </c>
      <c r="I31" s="1" t="s">
        <v>161</v>
      </c>
      <c r="J31" s="1"/>
      <c r="K31" s="1"/>
      <c r="L31" s="1" t="s">
        <v>467</v>
      </c>
      <c r="M31" s="1" t="s">
        <v>144</v>
      </c>
      <c r="N31" s="1">
        <v>0</v>
      </c>
      <c r="O31" s="1">
        <v>0</v>
      </c>
      <c r="P31" s="1" t="s">
        <v>301</v>
      </c>
      <c r="Q31" s="1" t="s">
        <v>268</v>
      </c>
      <c r="R31" s="1" t="s">
        <v>468</v>
      </c>
      <c r="S31" s="1" t="s">
        <v>469</v>
      </c>
      <c r="T31" s="1" t="s">
        <v>107</v>
      </c>
      <c r="U31" s="1" t="s">
        <v>470</v>
      </c>
      <c r="V31" s="1">
        <v>1</v>
      </c>
      <c r="W31" s="1">
        <v>1</v>
      </c>
      <c r="X31" s="1">
        <v>1</v>
      </c>
      <c r="Y31" s="1">
        <v>0</v>
      </c>
      <c r="Z31" s="1">
        <v>1</v>
      </c>
      <c r="AA31" s="1" t="s">
        <v>109</v>
      </c>
      <c r="AB31" s="1" t="s">
        <v>109</v>
      </c>
      <c r="AC31" s="1" t="s">
        <v>109</v>
      </c>
      <c r="AD31" s="1">
        <v>5</v>
      </c>
      <c r="AE31" s="1" t="s">
        <v>109</v>
      </c>
      <c r="AF31" s="1" t="s">
        <v>109</v>
      </c>
      <c r="AG31" s="1" t="s">
        <v>109</v>
      </c>
      <c r="AH31" s="1" t="s">
        <v>109</v>
      </c>
      <c r="AI31" s="1" t="s">
        <v>109</v>
      </c>
      <c r="AJ31" s="1" t="s">
        <v>109</v>
      </c>
      <c r="AK31" s="1" t="s">
        <v>109</v>
      </c>
      <c r="AL31" s="1" t="s">
        <v>109</v>
      </c>
      <c r="AM31" s="1" t="s">
        <v>109</v>
      </c>
      <c r="AN31" s="1" t="s">
        <v>109</v>
      </c>
      <c r="AO31" s="1" t="s">
        <v>109</v>
      </c>
      <c r="AP31" s="1"/>
      <c r="AQ31" s="1">
        <v>5</v>
      </c>
      <c r="AR31" s="1"/>
      <c r="AS31" s="1" t="s">
        <v>471</v>
      </c>
      <c r="AT31" s="1">
        <v>0</v>
      </c>
      <c r="AU31" s="1">
        <v>0</v>
      </c>
      <c r="AV31" s="1">
        <v>0</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5" t="str">
        <f>HYPERLINK("http://www.d20pfsrd.com/magic/all-spells/a/awaken","Awaken")</f>
        <v>Awaken</v>
      </c>
      <c r="BT31" s="1">
        <v>30</v>
      </c>
      <c r="BU31" s="1">
        <v>2000</v>
      </c>
      <c r="BV31" s="1"/>
      <c r="BW31" s="1"/>
      <c r="BX31" s="1"/>
      <c r="BY31" s="1"/>
      <c r="BZ31" s="1">
        <v>0</v>
      </c>
      <c r="CA31" s="1" t="s">
        <v>109</v>
      </c>
      <c r="CB31" s="1">
        <v>6</v>
      </c>
      <c r="CC31" s="1" t="s">
        <v>109</v>
      </c>
      <c r="CD31" s="1" t="s">
        <v>109</v>
      </c>
      <c r="CE31" s="1" t="s">
        <v>109</v>
      </c>
      <c r="CF31" s="1" t="s">
        <v>109</v>
      </c>
      <c r="CG31" s="1" t="s">
        <v>109</v>
      </c>
      <c r="CH31" s="1" t="s">
        <v>109</v>
      </c>
      <c r="CI31" s="1" t="s">
        <v>109</v>
      </c>
      <c r="CJ31" s="1">
        <v>5</v>
      </c>
      <c r="CK31" s="1"/>
      <c r="CL31" s="1">
        <v>0</v>
      </c>
      <c r="CM31" s="1">
        <v>0</v>
      </c>
      <c r="CN31" s="1">
        <v>0</v>
      </c>
    </row>
    <row r="32" spans="1:92" ht="14.25" customHeight="1" x14ac:dyDescent="0.15">
      <c r="A32" s="1" t="s">
        <v>472</v>
      </c>
      <c r="B32" s="1" t="s">
        <v>156</v>
      </c>
      <c r="C32" s="1" t="s">
        <v>157</v>
      </c>
      <c r="D32" s="1" t="s">
        <v>473</v>
      </c>
      <c r="E32" s="1" t="s">
        <v>474</v>
      </c>
      <c r="F32" s="1" t="s">
        <v>98</v>
      </c>
      <c r="G32" s="1" t="s">
        <v>160</v>
      </c>
      <c r="H32" s="1">
        <v>0</v>
      </c>
      <c r="I32" s="1" t="s">
        <v>475</v>
      </c>
      <c r="J32" s="1" t="s">
        <v>476</v>
      </c>
      <c r="K32" s="1"/>
      <c r="L32" s="1"/>
      <c r="M32" s="1" t="s">
        <v>164</v>
      </c>
      <c r="N32" s="1">
        <v>0</v>
      </c>
      <c r="O32" s="1">
        <v>0</v>
      </c>
      <c r="P32" s="1" t="s">
        <v>301</v>
      </c>
      <c r="Q32" s="1" t="s">
        <v>268</v>
      </c>
      <c r="R32" s="1" t="s">
        <v>477</v>
      </c>
      <c r="S32" s="1" t="s">
        <v>478</v>
      </c>
      <c r="T32" s="1" t="s">
        <v>107</v>
      </c>
      <c r="U32" s="1" t="s">
        <v>479</v>
      </c>
      <c r="V32" s="1">
        <v>1</v>
      </c>
      <c r="W32" s="1">
        <v>1</v>
      </c>
      <c r="X32" s="1">
        <v>0</v>
      </c>
      <c r="Y32" s="1">
        <v>0</v>
      </c>
      <c r="Z32" s="1">
        <v>1</v>
      </c>
      <c r="AA32" s="1" t="s">
        <v>109</v>
      </c>
      <c r="AB32" s="1" t="s">
        <v>109</v>
      </c>
      <c r="AC32" s="1">
        <v>1</v>
      </c>
      <c r="AD32" s="1" t="s">
        <v>109</v>
      </c>
      <c r="AE32" s="1" t="s">
        <v>109</v>
      </c>
      <c r="AF32" s="1" t="s">
        <v>109</v>
      </c>
      <c r="AG32" s="1" t="s">
        <v>109</v>
      </c>
      <c r="AH32" s="1" t="s">
        <v>109</v>
      </c>
      <c r="AI32" s="1" t="s">
        <v>109</v>
      </c>
      <c r="AJ32" s="1" t="s">
        <v>109</v>
      </c>
      <c r="AK32" s="1">
        <v>1</v>
      </c>
      <c r="AL32" s="1">
        <v>1</v>
      </c>
      <c r="AM32" s="1">
        <v>1</v>
      </c>
      <c r="AN32" s="1" t="s">
        <v>109</v>
      </c>
      <c r="AO32" s="1" t="s">
        <v>109</v>
      </c>
      <c r="AP32" s="1"/>
      <c r="AQ32" s="1">
        <v>1</v>
      </c>
      <c r="AR32" s="1" t="s">
        <v>480</v>
      </c>
      <c r="AS32" s="1" t="s">
        <v>481</v>
      </c>
      <c r="AT32" s="1">
        <v>0</v>
      </c>
      <c r="AU32" s="1">
        <v>0</v>
      </c>
      <c r="AV32" s="1">
        <v>0</v>
      </c>
      <c r="AW32" s="1">
        <v>0</v>
      </c>
      <c r="AX32" s="1">
        <v>0</v>
      </c>
      <c r="AY32" s="1">
        <v>0</v>
      </c>
      <c r="AZ32" s="1">
        <v>0</v>
      </c>
      <c r="BA32" s="1">
        <v>0</v>
      </c>
      <c r="BB32" s="1">
        <v>0</v>
      </c>
      <c r="BC32" s="1">
        <v>0</v>
      </c>
      <c r="BD32" s="1">
        <v>0</v>
      </c>
      <c r="BE32" s="1">
        <v>0</v>
      </c>
      <c r="BF32" s="1">
        <v>1</v>
      </c>
      <c r="BG32" s="1">
        <v>0</v>
      </c>
      <c r="BH32" s="1">
        <v>0</v>
      </c>
      <c r="BI32" s="1">
        <v>0</v>
      </c>
      <c r="BJ32" s="1">
        <v>0</v>
      </c>
      <c r="BK32" s="1">
        <v>0</v>
      </c>
      <c r="BL32" s="1">
        <v>0</v>
      </c>
      <c r="BM32" s="1">
        <v>1</v>
      </c>
      <c r="BN32" s="1">
        <v>0</v>
      </c>
      <c r="BO32" s="1">
        <v>0</v>
      </c>
      <c r="BP32" s="1">
        <v>0</v>
      </c>
      <c r="BQ32" s="1">
        <v>0</v>
      </c>
      <c r="BR32" s="1">
        <v>0</v>
      </c>
      <c r="BS32" s="5" t="str">
        <f>HYPERLINK("http://www.d20pfsrd.com/magic/all-spells/b/bane","Bane")</f>
        <v>Bane</v>
      </c>
      <c r="BT32" s="1">
        <v>31</v>
      </c>
      <c r="BU32" s="1" t="s">
        <v>109</v>
      </c>
      <c r="BV32" s="1"/>
      <c r="BW32" s="1"/>
      <c r="BX32" s="1" t="s">
        <v>482</v>
      </c>
      <c r="BY32" s="1"/>
      <c r="BZ32" s="1">
        <v>1</v>
      </c>
      <c r="CA32" s="1" t="s">
        <v>109</v>
      </c>
      <c r="CB32" s="1">
        <v>1</v>
      </c>
      <c r="CC32" s="1" t="s">
        <v>109</v>
      </c>
      <c r="CD32" s="1" t="s">
        <v>109</v>
      </c>
      <c r="CE32" s="1">
        <v>1</v>
      </c>
      <c r="CF32" s="1" t="s">
        <v>109</v>
      </c>
      <c r="CG32" s="1" t="s">
        <v>109</v>
      </c>
      <c r="CH32" s="1" t="s">
        <v>109</v>
      </c>
      <c r="CI32" s="1" t="s">
        <v>109</v>
      </c>
      <c r="CJ32" s="1" t="s">
        <v>109</v>
      </c>
      <c r="CK32" s="1"/>
      <c r="CL32" s="1">
        <v>0</v>
      </c>
      <c r="CM32" s="1">
        <v>0</v>
      </c>
      <c r="CN32" s="1">
        <v>0</v>
      </c>
    </row>
    <row r="33" spans="1:92" ht="14.25" customHeight="1" x14ac:dyDescent="0.15">
      <c r="A33" s="1" t="s">
        <v>483</v>
      </c>
      <c r="B33" s="1" t="s">
        <v>242</v>
      </c>
      <c r="C33" s="1"/>
      <c r="D33" s="1"/>
      <c r="E33" s="1" t="s">
        <v>484</v>
      </c>
      <c r="F33" s="1" t="s">
        <v>98</v>
      </c>
      <c r="G33" s="1" t="s">
        <v>485</v>
      </c>
      <c r="H33" s="1">
        <v>0</v>
      </c>
      <c r="I33" s="1" t="s">
        <v>142</v>
      </c>
      <c r="J33" s="1"/>
      <c r="K33" s="1"/>
      <c r="L33" s="1" t="s">
        <v>486</v>
      </c>
      <c r="M33" s="1" t="s">
        <v>144</v>
      </c>
      <c r="N33" s="1">
        <v>0</v>
      </c>
      <c r="O33" s="1">
        <v>0</v>
      </c>
      <c r="P33" s="1" t="s">
        <v>301</v>
      </c>
      <c r="Q33" s="1" t="s">
        <v>268</v>
      </c>
      <c r="R33" s="1" t="s">
        <v>487</v>
      </c>
      <c r="S33" s="1" t="s">
        <v>488</v>
      </c>
      <c r="T33" s="1" t="s">
        <v>107</v>
      </c>
      <c r="U33" s="1" t="s">
        <v>489</v>
      </c>
      <c r="V33" s="1">
        <v>1</v>
      </c>
      <c r="W33" s="1">
        <v>1</v>
      </c>
      <c r="X33" s="1">
        <v>0</v>
      </c>
      <c r="Y33" s="1">
        <v>1</v>
      </c>
      <c r="Z33" s="1">
        <v>0</v>
      </c>
      <c r="AA33" s="1">
        <v>7</v>
      </c>
      <c r="AB33" s="1">
        <v>7</v>
      </c>
      <c r="AC33" s="1">
        <v>6</v>
      </c>
      <c r="AD33" s="1" t="s">
        <v>109</v>
      </c>
      <c r="AE33" s="1" t="s">
        <v>109</v>
      </c>
      <c r="AF33" s="1" t="s">
        <v>109</v>
      </c>
      <c r="AG33" s="1" t="s">
        <v>109</v>
      </c>
      <c r="AH33" s="1" t="s">
        <v>109</v>
      </c>
      <c r="AI33" s="1">
        <v>5</v>
      </c>
      <c r="AJ33" s="1" t="s">
        <v>109</v>
      </c>
      <c r="AK33" s="1">
        <v>5</v>
      </c>
      <c r="AL33" s="1">
        <v>6</v>
      </c>
      <c r="AM33" s="1" t="s">
        <v>109</v>
      </c>
      <c r="AN33" s="1" t="s">
        <v>109</v>
      </c>
      <c r="AO33" s="1" t="s">
        <v>109</v>
      </c>
      <c r="AP33" s="1"/>
      <c r="AQ33" s="1">
        <v>7</v>
      </c>
      <c r="AR33" s="1"/>
      <c r="AS33" s="1" t="s">
        <v>490</v>
      </c>
      <c r="AT33" s="1">
        <v>0</v>
      </c>
      <c r="AU33" s="1">
        <v>0</v>
      </c>
      <c r="AV33" s="1">
        <v>0</v>
      </c>
      <c r="AW33" s="1">
        <v>0</v>
      </c>
      <c r="AX33" s="1">
        <v>0</v>
      </c>
      <c r="AY33" s="1">
        <v>0</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0</v>
      </c>
      <c r="BS33" s="5" t="str">
        <f>HYPERLINK("http://www.d20pfsrd.com/magic/all-spells/b/banishment","Banishment")</f>
        <v>Banishment</v>
      </c>
      <c r="BT33" s="1">
        <v>32</v>
      </c>
      <c r="BU33" s="1" t="s">
        <v>109</v>
      </c>
      <c r="BV33" s="1" t="s">
        <v>491</v>
      </c>
      <c r="BW33" s="1" t="s">
        <v>492</v>
      </c>
      <c r="BX33" s="1"/>
      <c r="BY33" s="1"/>
      <c r="BZ33" s="1">
        <v>0</v>
      </c>
      <c r="CA33" s="1" t="s">
        <v>109</v>
      </c>
      <c r="CB33" s="1">
        <v>6</v>
      </c>
      <c r="CC33" s="1">
        <v>7</v>
      </c>
      <c r="CD33" s="1" t="s">
        <v>109</v>
      </c>
      <c r="CE33" s="1" t="s">
        <v>109</v>
      </c>
      <c r="CF33" s="1" t="s">
        <v>109</v>
      </c>
      <c r="CG33" s="1">
        <v>6</v>
      </c>
      <c r="CH33" s="1" t="s">
        <v>109</v>
      </c>
      <c r="CI33" s="1" t="s">
        <v>109</v>
      </c>
      <c r="CJ33" s="1" t="s">
        <v>109</v>
      </c>
      <c r="CK33" s="1"/>
      <c r="CL33" s="1">
        <v>0</v>
      </c>
      <c r="CM33" s="1">
        <v>0</v>
      </c>
      <c r="CN33" s="1">
        <v>0</v>
      </c>
    </row>
    <row r="34" spans="1:92" ht="14.25" customHeight="1" x14ac:dyDescent="0.15">
      <c r="A34" s="1" t="s">
        <v>493</v>
      </c>
      <c r="B34" s="1" t="s">
        <v>189</v>
      </c>
      <c r="C34" s="1"/>
      <c r="D34" s="1"/>
      <c r="E34" s="1" t="s">
        <v>494</v>
      </c>
      <c r="F34" s="1" t="s">
        <v>98</v>
      </c>
      <c r="G34" s="1" t="s">
        <v>160</v>
      </c>
      <c r="H34" s="1">
        <v>0</v>
      </c>
      <c r="I34" s="1" t="s">
        <v>161</v>
      </c>
      <c r="J34" s="1"/>
      <c r="K34" s="1"/>
      <c r="L34" s="1" t="s">
        <v>162</v>
      </c>
      <c r="M34" s="1" t="s">
        <v>194</v>
      </c>
      <c r="N34" s="1">
        <v>0</v>
      </c>
      <c r="O34" s="1">
        <v>0</v>
      </c>
      <c r="P34" s="1" t="s">
        <v>103</v>
      </c>
      <c r="Q34" s="1" t="s">
        <v>167</v>
      </c>
      <c r="R34" s="1" t="s">
        <v>495</v>
      </c>
      <c r="S34" s="1" t="s">
        <v>496</v>
      </c>
      <c r="T34" s="1" t="s">
        <v>107</v>
      </c>
      <c r="U34" s="1" t="s">
        <v>497</v>
      </c>
      <c r="V34" s="1">
        <v>1</v>
      </c>
      <c r="W34" s="1">
        <v>1</v>
      </c>
      <c r="X34" s="1">
        <v>0</v>
      </c>
      <c r="Y34" s="1">
        <v>0</v>
      </c>
      <c r="Z34" s="1">
        <v>1</v>
      </c>
      <c r="AA34" s="1" t="s">
        <v>109</v>
      </c>
      <c r="AB34" s="1" t="s">
        <v>109</v>
      </c>
      <c r="AC34" s="1" t="s">
        <v>109</v>
      </c>
      <c r="AD34" s="1">
        <v>2</v>
      </c>
      <c r="AE34" s="1">
        <v>2</v>
      </c>
      <c r="AF34" s="1" t="s">
        <v>109</v>
      </c>
      <c r="AG34" s="1" t="s">
        <v>109</v>
      </c>
      <c r="AH34" s="1">
        <v>2</v>
      </c>
      <c r="AI34" s="1">
        <v>2</v>
      </c>
      <c r="AJ34" s="1" t="s">
        <v>109</v>
      </c>
      <c r="AK34" s="1" t="s">
        <v>109</v>
      </c>
      <c r="AL34" s="1" t="s">
        <v>109</v>
      </c>
      <c r="AM34" s="1" t="s">
        <v>109</v>
      </c>
      <c r="AN34" s="1" t="s">
        <v>109</v>
      </c>
      <c r="AO34" s="1" t="s">
        <v>109</v>
      </c>
      <c r="AP34" s="1"/>
      <c r="AQ34" s="1">
        <v>2</v>
      </c>
      <c r="AR34" s="1" t="s">
        <v>498</v>
      </c>
      <c r="AS34" s="1" t="s">
        <v>499</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5" t="str">
        <f>HYPERLINK("http://www.d20pfsrd.com/magic/all-spells/b/barkskin","Barkskin")</f>
        <v>Barkskin</v>
      </c>
      <c r="BT34" s="1">
        <v>33</v>
      </c>
      <c r="BU34" s="1" t="s">
        <v>109</v>
      </c>
      <c r="BV34" s="1" t="s">
        <v>500</v>
      </c>
      <c r="BW34" s="1"/>
      <c r="BX34" s="1" t="s">
        <v>501</v>
      </c>
      <c r="BY34" s="1" t="s">
        <v>502</v>
      </c>
      <c r="BZ34" s="1">
        <v>1</v>
      </c>
      <c r="CA34" s="1" t="s">
        <v>109</v>
      </c>
      <c r="CB34" s="1">
        <v>2</v>
      </c>
      <c r="CC34" s="1" t="s">
        <v>109</v>
      </c>
      <c r="CD34" s="1" t="s">
        <v>109</v>
      </c>
      <c r="CE34" s="1" t="s">
        <v>109</v>
      </c>
      <c r="CF34" s="1" t="s">
        <v>109</v>
      </c>
      <c r="CG34" s="1" t="s">
        <v>109</v>
      </c>
      <c r="CH34" s="1" t="s">
        <v>109</v>
      </c>
      <c r="CI34" s="1" t="s">
        <v>109</v>
      </c>
      <c r="CJ34" s="1">
        <v>2</v>
      </c>
      <c r="CK34" s="1"/>
      <c r="CL34" s="1">
        <v>0</v>
      </c>
      <c r="CM34" s="1">
        <v>0</v>
      </c>
      <c r="CN34" s="1">
        <v>0</v>
      </c>
    </row>
    <row r="35" spans="1:92" ht="14.25" customHeight="1" x14ac:dyDescent="0.15">
      <c r="A35" s="1" t="s">
        <v>503</v>
      </c>
      <c r="B35" s="1" t="s">
        <v>189</v>
      </c>
      <c r="C35" s="1"/>
      <c r="D35" s="1"/>
      <c r="E35" s="1" t="s">
        <v>504</v>
      </c>
      <c r="F35" s="1" t="s">
        <v>98</v>
      </c>
      <c r="G35" s="1" t="s">
        <v>505</v>
      </c>
      <c r="H35" s="1">
        <v>0</v>
      </c>
      <c r="I35" s="1" t="s">
        <v>161</v>
      </c>
      <c r="J35" s="1"/>
      <c r="K35" s="1"/>
      <c r="L35" s="1" t="s">
        <v>506</v>
      </c>
      <c r="M35" s="1" t="s">
        <v>164</v>
      </c>
      <c r="N35" s="1">
        <v>0</v>
      </c>
      <c r="O35" s="1">
        <v>0</v>
      </c>
      <c r="P35" s="1" t="s">
        <v>507</v>
      </c>
      <c r="Q35" s="1" t="s">
        <v>268</v>
      </c>
      <c r="R35" s="1" t="s">
        <v>508</v>
      </c>
      <c r="S35" s="1" t="s">
        <v>509</v>
      </c>
      <c r="T35" s="1" t="s">
        <v>107</v>
      </c>
      <c r="U35" s="1" t="s">
        <v>510</v>
      </c>
      <c r="V35" s="1">
        <v>1</v>
      </c>
      <c r="W35" s="1">
        <v>1</v>
      </c>
      <c r="X35" s="1">
        <v>1</v>
      </c>
      <c r="Y35" s="1">
        <v>0</v>
      </c>
      <c r="Z35" s="1">
        <v>1</v>
      </c>
      <c r="AA35" s="1">
        <v>2</v>
      </c>
      <c r="AB35" s="1">
        <v>2</v>
      </c>
      <c r="AC35" s="1">
        <v>2</v>
      </c>
      <c r="AD35" s="1">
        <v>2</v>
      </c>
      <c r="AE35" s="1">
        <v>2</v>
      </c>
      <c r="AF35" s="1" t="s">
        <v>109</v>
      </c>
      <c r="AG35" s="1" t="s">
        <v>109</v>
      </c>
      <c r="AH35" s="1">
        <v>2</v>
      </c>
      <c r="AI35" s="1">
        <v>2</v>
      </c>
      <c r="AJ35" s="1" t="s">
        <v>109</v>
      </c>
      <c r="AK35" s="1" t="s">
        <v>109</v>
      </c>
      <c r="AL35" s="1">
        <v>2</v>
      </c>
      <c r="AM35" s="1" t="s">
        <v>109</v>
      </c>
      <c r="AN35" s="1">
        <v>2</v>
      </c>
      <c r="AO35" s="1">
        <v>2</v>
      </c>
      <c r="AP35" s="1"/>
      <c r="AQ35" s="1">
        <v>2</v>
      </c>
      <c r="AR35" s="1"/>
      <c r="AS35" s="1" t="s">
        <v>511</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5" t="str">
        <f>HYPERLINK("http://www.d20pfsrd.com/magic/all-spells/b/bear-s-endurance","Bear's Endurance")</f>
        <v>Bear's Endurance</v>
      </c>
      <c r="BT35" s="1">
        <v>34</v>
      </c>
      <c r="BU35" s="1" t="s">
        <v>109</v>
      </c>
      <c r="BV35" s="1"/>
      <c r="BW35" s="1" t="s">
        <v>512</v>
      </c>
      <c r="BX35" s="1"/>
      <c r="BY35" s="1"/>
      <c r="BZ35" s="1">
        <v>0</v>
      </c>
      <c r="CA35" s="1">
        <v>2</v>
      </c>
      <c r="CB35" s="1">
        <v>2</v>
      </c>
      <c r="CC35" s="1">
        <v>2</v>
      </c>
      <c r="CD35" s="1" t="s">
        <v>109</v>
      </c>
      <c r="CE35" s="1" t="s">
        <v>109</v>
      </c>
      <c r="CF35" s="1" t="s">
        <v>109</v>
      </c>
      <c r="CG35" s="1" t="s">
        <v>109</v>
      </c>
      <c r="CH35" s="1" t="s">
        <v>109</v>
      </c>
      <c r="CI35" s="1" t="s">
        <v>109</v>
      </c>
      <c r="CJ35" s="1">
        <v>2</v>
      </c>
      <c r="CK35" s="1"/>
      <c r="CL35" s="1">
        <v>0</v>
      </c>
      <c r="CM35" s="1">
        <v>0</v>
      </c>
      <c r="CN35" s="1">
        <v>0</v>
      </c>
    </row>
    <row r="36" spans="1:92" ht="14.25" customHeight="1" x14ac:dyDescent="0.15">
      <c r="A36" s="1" t="s">
        <v>513</v>
      </c>
      <c r="B36" s="1" t="s">
        <v>189</v>
      </c>
      <c r="C36" s="1"/>
      <c r="D36" s="1"/>
      <c r="E36" s="1" t="s">
        <v>514</v>
      </c>
      <c r="F36" s="1" t="s">
        <v>98</v>
      </c>
      <c r="G36" s="1" t="s">
        <v>505</v>
      </c>
      <c r="H36" s="1">
        <v>0</v>
      </c>
      <c r="I36" s="1" t="s">
        <v>142</v>
      </c>
      <c r="J36" s="1"/>
      <c r="K36" s="1"/>
      <c r="L36" s="1" t="s">
        <v>515</v>
      </c>
      <c r="M36" s="1" t="s">
        <v>164</v>
      </c>
      <c r="N36" s="1">
        <v>0</v>
      </c>
      <c r="O36" s="1">
        <v>0</v>
      </c>
      <c r="P36" s="1" t="s">
        <v>507</v>
      </c>
      <c r="Q36" s="1" t="s">
        <v>268</v>
      </c>
      <c r="R36" s="1" t="s">
        <v>516</v>
      </c>
      <c r="S36" s="1" t="s">
        <v>517</v>
      </c>
      <c r="T36" s="1" t="s">
        <v>107</v>
      </c>
      <c r="U36" s="1" t="s">
        <v>518</v>
      </c>
      <c r="V36" s="1">
        <v>1</v>
      </c>
      <c r="W36" s="1">
        <v>1</v>
      </c>
      <c r="X36" s="1">
        <v>1</v>
      </c>
      <c r="Y36" s="1">
        <v>0</v>
      </c>
      <c r="Z36" s="1">
        <v>1</v>
      </c>
      <c r="AA36" s="1">
        <v>6</v>
      </c>
      <c r="AB36" s="1">
        <v>6</v>
      </c>
      <c r="AC36" s="1">
        <v>6</v>
      </c>
      <c r="AD36" s="1">
        <v>6</v>
      </c>
      <c r="AE36" s="1" t="s">
        <v>109</v>
      </c>
      <c r="AF36" s="1" t="s">
        <v>109</v>
      </c>
      <c r="AG36" s="1" t="s">
        <v>109</v>
      </c>
      <c r="AH36" s="1" t="s">
        <v>109</v>
      </c>
      <c r="AI36" s="1">
        <v>4</v>
      </c>
      <c r="AJ36" s="1" t="s">
        <v>109</v>
      </c>
      <c r="AK36" s="1" t="s">
        <v>109</v>
      </c>
      <c r="AL36" s="1">
        <v>6</v>
      </c>
      <c r="AM36" s="1" t="s">
        <v>109</v>
      </c>
      <c r="AN36" s="1">
        <v>6</v>
      </c>
      <c r="AO36" s="1" t="s">
        <v>109</v>
      </c>
      <c r="AP36" s="1"/>
      <c r="AQ36" s="1">
        <v>6</v>
      </c>
      <c r="AR36" s="1"/>
      <c r="AS36" s="1" t="s">
        <v>519</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5" t="str">
        <f>HYPERLINK("http://www.d20pfsrd.com/magic/all-spells/b/bear-s-endurance","Bear's Endurance, Mass")</f>
        <v>Bear's Endurance, Mass</v>
      </c>
      <c r="BT36" s="1">
        <v>35</v>
      </c>
      <c r="BU36" s="1" t="s">
        <v>109</v>
      </c>
      <c r="BV36" s="1"/>
      <c r="BW36" s="1" t="s">
        <v>520</v>
      </c>
      <c r="BX36" s="1"/>
      <c r="BY36" s="1"/>
      <c r="BZ36" s="1">
        <v>0</v>
      </c>
      <c r="CA36" s="1" t="s">
        <v>109</v>
      </c>
      <c r="CB36" s="1">
        <v>6</v>
      </c>
      <c r="CC36" s="1">
        <v>6</v>
      </c>
      <c r="CD36" s="1" t="s">
        <v>109</v>
      </c>
      <c r="CE36" s="1" t="s">
        <v>109</v>
      </c>
      <c r="CF36" s="1" t="s">
        <v>109</v>
      </c>
      <c r="CG36" s="1" t="s">
        <v>109</v>
      </c>
      <c r="CH36" s="1" t="s">
        <v>109</v>
      </c>
      <c r="CI36" s="1" t="s">
        <v>109</v>
      </c>
      <c r="CJ36" s="1">
        <v>6</v>
      </c>
      <c r="CK36" s="1"/>
      <c r="CL36" s="1">
        <v>0</v>
      </c>
      <c r="CM36" s="1">
        <v>0</v>
      </c>
      <c r="CN36" s="1">
        <v>0</v>
      </c>
    </row>
    <row r="37" spans="1:92" ht="14.25" customHeight="1" x14ac:dyDescent="0.15">
      <c r="A37" s="1" t="s">
        <v>521</v>
      </c>
      <c r="B37" s="1" t="s">
        <v>189</v>
      </c>
      <c r="C37" s="1" t="s">
        <v>231</v>
      </c>
      <c r="D37" s="1"/>
      <c r="E37" s="1" t="s">
        <v>522</v>
      </c>
      <c r="F37" s="1" t="s">
        <v>98</v>
      </c>
      <c r="G37" s="1" t="s">
        <v>234</v>
      </c>
      <c r="H37" s="1">
        <v>0</v>
      </c>
      <c r="I37" s="1" t="s">
        <v>235</v>
      </c>
      <c r="J37" s="1"/>
      <c r="K37" s="1"/>
      <c r="L37" s="1" t="s">
        <v>236</v>
      </c>
      <c r="M37" s="1" t="s">
        <v>164</v>
      </c>
      <c r="N37" s="1">
        <v>1</v>
      </c>
      <c r="O37" s="1">
        <v>0</v>
      </c>
      <c r="P37" s="1"/>
      <c r="Q37" s="1"/>
      <c r="R37" s="1" t="s">
        <v>523</v>
      </c>
      <c r="S37" s="1" t="s">
        <v>524</v>
      </c>
      <c r="T37" s="1" t="s">
        <v>107</v>
      </c>
      <c r="U37" s="1" t="s">
        <v>525</v>
      </c>
      <c r="V37" s="1">
        <v>1</v>
      </c>
      <c r="W37" s="1">
        <v>1</v>
      </c>
      <c r="X37" s="1">
        <v>1</v>
      </c>
      <c r="Y37" s="1">
        <v>0</v>
      </c>
      <c r="Z37" s="1">
        <v>0</v>
      </c>
      <c r="AA37" s="1">
        <v>3</v>
      </c>
      <c r="AB37" s="1">
        <v>3</v>
      </c>
      <c r="AC37" s="1" t="s">
        <v>109</v>
      </c>
      <c r="AD37" s="1" t="s">
        <v>109</v>
      </c>
      <c r="AE37" s="1" t="s">
        <v>109</v>
      </c>
      <c r="AF37" s="1" t="s">
        <v>109</v>
      </c>
      <c r="AG37" s="1" t="s">
        <v>109</v>
      </c>
      <c r="AH37" s="1">
        <v>3</v>
      </c>
      <c r="AI37" s="1" t="s">
        <v>109</v>
      </c>
      <c r="AJ37" s="1" t="s">
        <v>109</v>
      </c>
      <c r="AK37" s="1" t="s">
        <v>109</v>
      </c>
      <c r="AL37" s="1" t="s">
        <v>109</v>
      </c>
      <c r="AM37" s="1" t="s">
        <v>109</v>
      </c>
      <c r="AN37" s="1">
        <v>3</v>
      </c>
      <c r="AO37" s="1" t="s">
        <v>109</v>
      </c>
      <c r="AP37" s="1"/>
      <c r="AQ37" s="1">
        <v>3</v>
      </c>
      <c r="AR37" s="1" t="s">
        <v>526</v>
      </c>
      <c r="AS37" s="1" t="s">
        <v>527</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5" t="str">
        <f>HYPERLINK("http://www.d20pfsrd.com/magic/all-spells/b/beast-shape-i#TOC-Beast-Shape-I","Beast Shape I")</f>
        <v>Beast Shape I</v>
      </c>
      <c r="BT37" s="1">
        <v>36</v>
      </c>
      <c r="BU37" s="1" t="s">
        <v>109</v>
      </c>
      <c r="BV37" s="1"/>
      <c r="BW37" s="1" t="s">
        <v>528</v>
      </c>
      <c r="BX37" s="1"/>
      <c r="BY37" s="1"/>
      <c r="BZ37" s="1">
        <v>0</v>
      </c>
      <c r="CA37" s="1">
        <v>3</v>
      </c>
      <c r="CB37" s="1" t="s">
        <v>109</v>
      </c>
      <c r="CC37" s="1" t="s">
        <v>109</v>
      </c>
      <c r="CD37" s="1" t="s">
        <v>109</v>
      </c>
      <c r="CE37" s="1" t="s">
        <v>109</v>
      </c>
      <c r="CF37" s="1" t="s">
        <v>109</v>
      </c>
      <c r="CG37" s="1" t="s">
        <v>109</v>
      </c>
      <c r="CH37" s="1" t="s">
        <v>109</v>
      </c>
      <c r="CI37" s="1" t="s">
        <v>109</v>
      </c>
      <c r="CJ37" s="1" t="s">
        <v>109</v>
      </c>
      <c r="CK37" s="1"/>
      <c r="CL37" s="1">
        <v>0</v>
      </c>
      <c r="CM37" s="1">
        <v>0</v>
      </c>
      <c r="CN37" s="1">
        <v>0</v>
      </c>
    </row>
    <row r="38" spans="1:92" ht="14.25" customHeight="1" x14ac:dyDescent="0.15">
      <c r="A38" s="1" t="s">
        <v>529</v>
      </c>
      <c r="B38" s="1" t="s">
        <v>189</v>
      </c>
      <c r="C38" s="1" t="s">
        <v>231</v>
      </c>
      <c r="D38" s="1"/>
      <c r="E38" s="1" t="s">
        <v>530</v>
      </c>
      <c r="F38" s="1" t="s">
        <v>98</v>
      </c>
      <c r="G38" s="1" t="s">
        <v>234</v>
      </c>
      <c r="H38" s="1">
        <v>0</v>
      </c>
      <c r="I38" s="1" t="s">
        <v>235</v>
      </c>
      <c r="J38" s="1"/>
      <c r="K38" s="1"/>
      <c r="L38" s="1" t="s">
        <v>236</v>
      </c>
      <c r="M38" s="1" t="s">
        <v>164</v>
      </c>
      <c r="N38" s="1">
        <v>1</v>
      </c>
      <c r="O38" s="1">
        <v>0</v>
      </c>
      <c r="P38" s="1"/>
      <c r="Q38" s="1"/>
      <c r="R38" s="1" t="s">
        <v>531</v>
      </c>
      <c r="S38" s="1" t="s">
        <v>532</v>
      </c>
      <c r="T38" s="1" t="s">
        <v>107</v>
      </c>
      <c r="U38" s="1" t="s">
        <v>533</v>
      </c>
      <c r="V38" s="1">
        <v>1</v>
      </c>
      <c r="W38" s="1">
        <v>1</v>
      </c>
      <c r="X38" s="1">
        <v>1</v>
      </c>
      <c r="Y38" s="1">
        <v>0</v>
      </c>
      <c r="Z38" s="1">
        <v>0</v>
      </c>
      <c r="AA38" s="1">
        <v>4</v>
      </c>
      <c r="AB38" s="1">
        <v>4</v>
      </c>
      <c r="AC38" s="1" t="s">
        <v>109</v>
      </c>
      <c r="AD38" s="1" t="s">
        <v>109</v>
      </c>
      <c r="AE38" s="1" t="s">
        <v>109</v>
      </c>
      <c r="AF38" s="1" t="s">
        <v>109</v>
      </c>
      <c r="AG38" s="1" t="s">
        <v>109</v>
      </c>
      <c r="AH38" s="1">
        <v>4</v>
      </c>
      <c r="AI38" s="1" t="s">
        <v>109</v>
      </c>
      <c r="AJ38" s="1" t="s">
        <v>109</v>
      </c>
      <c r="AK38" s="1" t="s">
        <v>109</v>
      </c>
      <c r="AL38" s="1" t="s">
        <v>109</v>
      </c>
      <c r="AM38" s="1" t="s">
        <v>109</v>
      </c>
      <c r="AN38" s="1">
        <v>4</v>
      </c>
      <c r="AO38" s="1" t="s">
        <v>109</v>
      </c>
      <c r="AP38" s="1"/>
      <c r="AQ38" s="1">
        <v>4</v>
      </c>
      <c r="AR38" s="1"/>
      <c r="AS38" s="1" t="s">
        <v>534</v>
      </c>
      <c r="AT38" s="1">
        <v>0</v>
      </c>
      <c r="AU38" s="1">
        <v>0</v>
      </c>
      <c r="AV38" s="1">
        <v>0</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5" t="str">
        <f>HYPERLINK("http://www.d20pfsrd.com/magic/all-spells/b/beast-shape-i#TOC-Beast-Shape-II","Beast Shape II")</f>
        <v>Beast Shape II</v>
      </c>
      <c r="BT38" s="1">
        <v>37</v>
      </c>
      <c r="BU38" s="1" t="s">
        <v>109</v>
      </c>
      <c r="BV38" s="1"/>
      <c r="BW38" s="1" t="s">
        <v>535</v>
      </c>
      <c r="BX38" s="1"/>
      <c r="BY38" s="1"/>
      <c r="BZ38" s="1">
        <v>0</v>
      </c>
      <c r="CA38" s="1">
        <v>4</v>
      </c>
      <c r="CB38" s="1" t="s">
        <v>109</v>
      </c>
      <c r="CC38" s="1" t="s">
        <v>109</v>
      </c>
      <c r="CD38" s="1" t="s">
        <v>109</v>
      </c>
      <c r="CE38" s="1" t="s">
        <v>109</v>
      </c>
      <c r="CF38" s="1" t="s">
        <v>109</v>
      </c>
      <c r="CG38" s="1" t="s">
        <v>109</v>
      </c>
      <c r="CH38" s="1" t="s">
        <v>109</v>
      </c>
      <c r="CI38" s="1" t="s">
        <v>109</v>
      </c>
      <c r="CJ38" s="1" t="s">
        <v>109</v>
      </c>
      <c r="CK38" s="1"/>
      <c r="CL38" s="1">
        <v>0</v>
      </c>
      <c r="CM38" s="1">
        <v>0</v>
      </c>
      <c r="CN38" s="1">
        <v>0</v>
      </c>
    </row>
    <row r="39" spans="1:92" ht="14.25" customHeight="1" x14ac:dyDescent="0.15">
      <c r="A39" s="1" t="s">
        <v>536</v>
      </c>
      <c r="B39" s="1" t="s">
        <v>189</v>
      </c>
      <c r="C39" s="1" t="s">
        <v>231</v>
      </c>
      <c r="D39" s="1"/>
      <c r="E39" s="1" t="s">
        <v>537</v>
      </c>
      <c r="F39" s="1" t="s">
        <v>98</v>
      </c>
      <c r="G39" s="1" t="s">
        <v>234</v>
      </c>
      <c r="H39" s="1">
        <v>0</v>
      </c>
      <c r="I39" s="1" t="s">
        <v>235</v>
      </c>
      <c r="J39" s="1"/>
      <c r="K39" s="1"/>
      <c r="L39" s="1" t="s">
        <v>236</v>
      </c>
      <c r="M39" s="1" t="s">
        <v>164</v>
      </c>
      <c r="N39" s="1">
        <v>1</v>
      </c>
      <c r="O39" s="1">
        <v>0</v>
      </c>
      <c r="P39" s="1"/>
      <c r="Q39" s="1"/>
      <c r="R39" s="1" t="s">
        <v>538</v>
      </c>
      <c r="S39" s="1" t="s">
        <v>539</v>
      </c>
      <c r="T39" s="1" t="s">
        <v>107</v>
      </c>
      <c r="U39" s="1" t="s">
        <v>540</v>
      </c>
      <c r="V39" s="1">
        <v>1</v>
      </c>
      <c r="W39" s="1">
        <v>1</v>
      </c>
      <c r="X39" s="1">
        <v>1</v>
      </c>
      <c r="Y39" s="1">
        <v>0</v>
      </c>
      <c r="Z39" s="1">
        <v>0</v>
      </c>
      <c r="AA39" s="1">
        <v>5</v>
      </c>
      <c r="AB39" s="1">
        <v>5</v>
      </c>
      <c r="AC39" s="1" t="s">
        <v>109</v>
      </c>
      <c r="AD39" s="1" t="s">
        <v>109</v>
      </c>
      <c r="AE39" s="1" t="s">
        <v>109</v>
      </c>
      <c r="AF39" s="1" t="s">
        <v>109</v>
      </c>
      <c r="AG39" s="1" t="s">
        <v>109</v>
      </c>
      <c r="AH39" s="1">
        <v>5</v>
      </c>
      <c r="AI39" s="1" t="s">
        <v>109</v>
      </c>
      <c r="AJ39" s="1" t="s">
        <v>109</v>
      </c>
      <c r="AK39" s="1" t="s">
        <v>109</v>
      </c>
      <c r="AL39" s="1" t="s">
        <v>109</v>
      </c>
      <c r="AM39" s="1" t="s">
        <v>109</v>
      </c>
      <c r="AN39" s="1">
        <v>5</v>
      </c>
      <c r="AO39" s="1" t="s">
        <v>109</v>
      </c>
      <c r="AP39" s="1"/>
      <c r="AQ39" s="1">
        <v>5</v>
      </c>
      <c r="AR39" s="1" t="s">
        <v>541</v>
      </c>
      <c r="AS39" s="1" t="s">
        <v>542</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5" t="str">
        <f>HYPERLINK("http://www.d20pfsrd.com/magic/all-spells/b/beast-shape-i#TOC-Beast-Shape-III","Beast Shape III")</f>
        <v>Beast Shape III</v>
      </c>
      <c r="BT39" s="1">
        <v>38</v>
      </c>
      <c r="BU39" s="1" t="s">
        <v>109</v>
      </c>
      <c r="BV39" s="1"/>
      <c r="BW39" s="1" t="s">
        <v>543</v>
      </c>
      <c r="BX39" s="1"/>
      <c r="BY39" s="1"/>
      <c r="BZ39" s="1">
        <v>0</v>
      </c>
      <c r="CA39" s="1" t="s">
        <v>109</v>
      </c>
      <c r="CB39" s="1" t="s">
        <v>109</v>
      </c>
      <c r="CC39" s="1" t="s">
        <v>109</v>
      </c>
      <c r="CD39" s="1" t="s">
        <v>109</v>
      </c>
      <c r="CE39" s="1" t="s">
        <v>109</v>
      </c>
      <c r="CF39" s="1" t="s">
        <v>109</v>
      </c>
      <c r="CG39" s="1" t="s">
        <v>109</v>
      </c>
      <c r="CH39" s="1" t="s">
        <v>109</v>
      </c>
      <c r="CI39" s="1" t="s">
        <v>109</v>
      </c>
      <c r="CJ39" s="1" t="s">
        <v>109</v>
      </c>
      <c r="CK39" s="1"/>
      <c r="CL39" s="1">
        <v>0</v>
      </c>
      <c r="CM39" s="1">
        <v>0</v>
      </c>
      <c r="CN39" s="1">
        <v>0</v>
      </c>
    </row>
    <row r="40" spans="1:92" ht="14.25" customHeight="1" x14ac:dyDescent="0.15">
      <c r="A40" s="1" t="s">
        <v>544</v>
      </c>
      <c r="B40" s="1" t="s">
        <v>189</v>
      </c>
      <c r="C40" s="1" t="s">
        <v>231</v>
      </c>
      <c r="D40" s="1"/>
      <c r="E40" s="1" t="s">
        <v>545</v>
      </c>
      <c r="F40" s="1" t="s">
        <v>98</v>
      </c>
      <c r="G40" s="1" t="s">
        <v>234</v>
      </c>
      <c r="H40" s="1">
        <v>0</v>
      </c>
      <c r="I40" s="1" t="s">
        <v>235</v>
      </c>
      <c r="J40" s="1"/>
      <c r="K40" s="1"/>
      <c r="L40" s="1" t="s">
        <v>236</v>
      </c>
      <c r="M40" s="1" t="s">
        <v>164</v>
      </c>
      <c r="N40" s="1">
        <v>1</v>
      </c>
      <c r="O40" s="1">
        <v>0</v>
      </c>
      <c r="P40" s="1"/>
      <c r="Q40" s="1"/>
      <c r="R40" s="1" t="s">
        <v>546</v>
      </c>
      <c r="S40" s="1" t="s">
        <v>547</v>
      </c>
      <c r="T40" s="1" t="s">
        <v>107</v>
      </c>
      <c r="U40" s="1" t="s">
        <v>548</v>
      </c>
      <c r="V40" s="1">
        <v>1</v>
      </c>
      <c r="W40" s="1">
        <v>1</v>
      </c>
      <c r="X40" s="1">
        <v>1</v>
      </c>
      <c r="Y40" s="1">
        <v>0</v>
      </c>
      <c r="Z40" s="1">
        <v>0</v>
      </c>
      <c r="AA40" s="1">
        <v>6</v>
      </c>
      <c r="AB40" s="1">
        <v>6</v>
      </c>
      <c r="AC40" s="1" t="s">
        <v>109</v>
      </c>
      <c r="AD40" s="1" t="s">
        <v>109</v>
      </c>
      <c r="AE40" s="1" t="s">
        <v>109</v>
      </c>
      <c r="AF40" s="1" t="s">
        <v>109</v>
      </c>
      <c r="AG40" s="1" t="s">
        <v>109</v>
      </c>
      <c r="AH40" s="1">
        <v>6</v>
      </c>
      <c r="AI40" s="1" t="s">
        <v>109</v>
      </c>
      <c r="AJ40" s="1" t="s">
        <v>109</v>
      </c>
      <c r="AK40" s="1" t="s">
        <v>109</v>
      </c>
      <c r="AL40" s="1" t="s">
        <v>109</v>
      </c>
      <c r="AM40" s="1" t="s">
        <v>109</v>
      </c>
      <c r="AN40" s="1">
        <v>6</v>
      </c>
      <c r="AO40" s="1" t="s">
        <v>109</v>
      </c>
      <c r="AP40" s="1"/>
      <c r="AQ40" s="1">
        <v>6</v>
      </c>
      <c r="AR40" s="1"/>
      <c r="AS40" s="1" t="s">
        <v>549</v>
      </c>
      <c r="AT40" s="1">
        <v>0</v>
      </c>
      <c r="AU40" s="1">
        <v>0</v>
      </c>
      <c r="AV40" s="1">
        <v>0</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5" t="str">
        <f>HYPERLINK("http://www.d20pfsrd.com/magic/all-spells/b/beast-shape-i#TOC-Beast-Shape-IV","Beast Shape IV")</f>
        <v>Beast Shape IV</v>
      </c>
      <c r="BT40" s="1">
        <v>39</v>
      </c>
      <c r="BU40" s="1" t="s">
        <v>109</v>
      </c>
      <c r="BV40" s="1" t="s">
        <v>550</v>
      </c>
      <c r="BW40" s="1" t="s">
        <v>551</v>
      </c>
      <c r="BX40" s="1"/>
      <c r="BY40" s="1"/>
      <c r="BZ40" s="1">
        <v>0</v>
      </c>
      <c r="CA40" s="1" t="s">
        <v>109</v>
      </c>
      <c r="CB40" s="1" t="s">
        <v>109</v>
      </c>
      <c r="CC40" s="1" t="s">
        <v>109</v>
      </c>
      <c r="CD40" s="1" t="s">
        <v>109</v>
      </c>
      <c r="CE40" s="1" t="s">
        <v>109</v>
      </c>
      <c r="CF40" s="1" t="s">
        <v>109</v>
      </c>
      <c r="CG40" s="1" t="s">
        <v>109</v>
      </c>
      <c r="CH40" s="1" t="s">
        <v>109</v>
      </c>
      <c r="CI40" s="1" t="s">
        <v>109</v>
      </c>
      <c r="CJ40" s="1" t="s">
        <v>109</v>
      </c>
      <c r="CK40" s="1"/>
      <c r="CL40" s="1">
        <v>0</v>
      </c>
      <c r="CM40" s="1">
        <v>0</v>
      </c>
      <c r="CN40" s="1">
        <v>0</v>
      </c>
    </row>
    <row r="41" spans="1:92" ht="14.25" customHeight="1" x14ac:dyDescent="0.15">
      <c r="A41" s="1" t="s">
        <v>552</v>
      </c>
      <c r="B41" s="1" t="s">
        <v>308</v>
      </c>
      <c r="C41" s="1"/>
      <c r="D41" s="1" t="s">
        <v>50</v>
      </c>
      <c r="E41" s="1" t="s">
        <v>553</v>
      </c>
      <c r="F41" s="1" t="s">
        <v>98</v>
      </c>
      <c r="G41" s="1" t="s">
        <v>141</v>
      </c>
      <c r="H41" s="1">
        <v>0</v>
      </c>
      <c r="I41" s="1" t="s">
        <v>161</v>
      </c>
      <c r="J41" s="1"/>
      <c r="K41" s="1"/>
      <c r="L41" s="1" t="s">
        <v>506</v>
      </c>
      <c r="M41" s="1" t="s">
        <v>408</v>
      </c>
      <c r="N41" s="1">
        <v>0</v>
      </c>
      <c r="O41" s="1">
        <v>0</v>
      </c>
      <c r="P41" s="1" t="s">
        <v>301</v>
      </c>
      <c r="Q41" s="1" t="s">
        <v>268</v>
      </c>
      <c r="R41" s="1" t="s">
        <v>554</v>
      </c>
      <c r="S41" s="1" t="s">
        <v>555</v>
      </c>
      <c r="T41" s="1" t="s">
        <v>107</v>
      </c>
      <c r="U41" s="1" t="s">
        <v>556</v>
      </c>
      <c r="V41" s="1">
        <v>1</v>
      </c>
      <c r="W41" s="1">
        <v>1</v>
      </c>
      <c r="X41" s="1">
        <v>0</v>
      </c>
      <c r="Y41" s="1">
        <v>0</v>
      </c>
      <c r="Z41" s="1">
        <v>0</v>
      </c>
      <c r="AA41" s="1">
        <v>4</v>
      </c>
      <c r="AB41" s="1">
        <v>4</v>
      </c>
      <c r="AC41" s="1">
        <v>3</v>
      </c>
      <c r="AD41" s="1" t="s">
        <v>109</v>
      </c>
      <c r="AE41" s="1" t="s">
        <v>109</v>
      </c>
      <c r="AF41" s="1" t="s">
        <v>109</v>
      </c>
      <c r="AG41" s="1" t="s">
        <v>109</v>
      </c>
      <c r="AH41" s="1" t="s">
        <v>109</v>
      </c>
      <c r="AI41" s="1" t="s">
        <v>109</v>
      </c>
      <c r="AJ41" s="1">
        <v>3</v>
      </c>
      <c r="AK41" s="1" t="s">
        <v>109</v>
      </c>
      <c r="AL41" s="1">
        <v>3</v>
      </c>
      <c r="AM41" s="1">
        <v>3</v>
      </c>
      <c r="AN41" s="1" t="s">
        <v>109</v>
      </c>
      <c r="AO41" s="1">
        <v>3</v>
      </c>
      <c r="AP41" s="1"/>
      <c r="AQ41" s="1">
        <v>4</v>
      </c>
      <c r="AR41" s="1" t="s">
        <v>557</v>
      </c>
      <c r="AS41" s="1" t="s">
        <v>558</v>
      </c>
      <c r="AT41" s="1">
        <v>0</v>
      </c>
      <c r="AU41" s="1">
        <v>0</v>
      </c>
      <c r="AV41" s="1">
        <v>0</v>
      </c>
      <c r="AW41" s="1">
        <v>0</v>
      </c>
      <c r="AX41" s="1">
        <v>1</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5" t="str">
        <f>HYPERLINK("http://www.d20pfsrd.com/magic/all-spells/b/bestow-curse","Bestow Curse")</f>
        <v>Bestow Curse</v>
      </c>
      <c r="BT41" s="1">
        <v>40</v>
      </c>
      <c r="BU41" s="1" t="s">
        <v>109</v>
      </c>
      <c r="BV41" s="1" t="s">
        <v>559</v>
      </c>
      <c r="BW41" s="1"/>
      <c r="BX41" s="1"/>
      <c r="BY41" s="1"/>
      <c r="BZ41" s="1">
        <v>0</v>
      </c>
      <c r="CA41" s="1">
        <v>4</v>
      </c>
      <c r="CB41" s="1">
        <v>3</v>
      </c>
      <c r="CC41" s="1" t="s">
        <v>109</v>
      </c>
      <c r="CD41" s="1" t="s">
        <v>109</v>
      </c>
      <c r="CE41" s="1">
        <v>3</v>
      </c>
      <c r="CF41" s="1">
        <v>3</v>
      </c>
      <c r="CG41" s="1">
        <v>3</v>
      </c>
      <c r="CH41" s="1" t="s">
        <v>109</v>
      </c>
      <c r="CI41" s="1" t="s">
        <v>109</v>
      </c>
      <c r="CJ41" s="1" t="s">
        <v>109</v>
      </c>
      <c r="CK41" s="1"/>
      <c r="CL41" s="1">
        <v>0</v>
      </c>
      <c r="CM41" s="1">
        <v>0</v>
      </c>
      <c r="CN41" s="1">
        <v>0</v>
      </c>
    </row>
    <row r="42" spans="1:92" ht="14.25" customHeight="1" x14ac:dyDescent="0.15">
      <c r="A42" s="1" t="s">
        <v>560</v>
      </c>
      <c r="B42" s="1" t="s">
        <v>156</v>
      </c>
      <c r="C42" s="1" t="s">
        <v>157</v>
      </c>
      <c r="D42" s="1" t="s">
        <v>158</v>
      </c>
      <c r="E42" s="1" t="s">
        <v>561</v>
      </c>
      <c r="F42" s="1" t="s">
        <v>277</v>
      </c>
      <c r="G42" s="1" t="s">
        <v>562</v>
      </c>
      <c r="H42" s="1">
        <v>1</v>
      </c>
      <c r="I42" s="1" t="s">
        <v>142</v>
      </c>
      <c r="J42" s="1"/>
      <c r="K42" s="1"/>
      <c r="L42" s="1" t="s">
        <v>563</v>
      </c>
      <c r="M42" s="1" t="s">
        <v>211</v>
      </c>
      <c r="N42" s="1">
        <v>1</v>
      </c>
      <c r="O42" s="1">
        <v>0</v>
      </c>
      <c r="P42" s="1" t="s">
        <v>564</v>
      </c>
      <c r="Q42" s="1" t="s">
        <v>268</v>
      </c>
      <c r="R42" s="1" t="s">
        <v>565</v>
      </c>
      <c r="S42" s="1" t="s">
        <v>566</v>
      </c>
      <c r="T42" s="1" t="s">
        <v>107</v>
      </c>
      <c r="U42" s="1" t="s">
        <v>567</v>
      </c>
      <c r="V42" s="1">
        <v>1</v>
      </c>
      <c r="W42" s="1">
        <v>1</v>
      </c>
      <c r="X42" s="1">
        <v>1</v>
      </c>
      <c r="Y42" s="1">
        <v>0</v>
      </c>
      <c r="Z42" s="1">
        <v>0</v>
      </c>
      <c r="AA42" s="1">
        <v>8</v>
      </c>
      <c r="AB42" s="1">
        <v>8</v>
      </c>
      <c r="AC42" s="1" t="s">
        <v>109</v>
      </c>
      <c r="AD42" s="1" t="s">
        <v>109</v>
      </c>
      <c r="AE42" s="1" t="s">
        <v>109</v>
      </c>
      <c r="AF42" s="1" t="s">
        <v>109</v>
      </c>
      <c r="AG42" s="1" t="s">
        <v>109</v>
      </c>
      <c r="AH42" s="1" t="s">
        <v>109</v>
      </c>
      <c r="AI42" s="1">
        <v>6</v>
      </c>
      <c r="AJ42" s="1" t="s">
        <v>109</v>
      </c>
      <c r="AK42" s="1" t="s">
        <v>109</v>
      </c>
      <c r="AL42" s="1" t="s">
        <v>109</v>
      </c>
      <c r="AM42" s="1" t="s">
        <v>109</v>
      </c>
      <c r="AN42" s="1" t="s">
        <v>109</v>
      </c>
      <c r="AO42" s="1" t="s">
        <v>109</v>
      </c>
      <c r="AP42" s="1"/>
      <c r="AQ42" s="1">
        <v>8</v>
      </c>
      <c r="AR42" s="1" t="s">
        <v>568</v>
      </c>
      <c r="AS42" s="1" t="s">
        <v>569</v>
      </c>
      <c r="AT42" s="1">
        <v>0</v>
      </c>
      <c r="AU42" s="1">
        <v>0</v>
      </c>
      <c r="AV42" s="1">
        <v>0</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1</v>
      </c>
      <c r="BN42" s="1">
        <v>0</v>
      </c>
      <c r="BO42" s="1">
        <v>0</v>
      </c>
      <c r="BP42" s="1">
        <v>0</v>
      </c>
      <c r="BQ42" s="1">
        <v>0</v>
      </c>
      <c r="BR42" s="1">
        <v>0</v>
      </c>
      <c r="BS42" s="5" t="str">
        <f>HYPERLINK("http://www.d20pfsrd.com/magic/all-spells/b/binding","Binding")</f>
        <v>Binding</v>
      </c>
      <c r="BT42" s="1">
        <v>41</v>
      </c>
      <c r="BU42" s="1">
        <v>500</v>
      </c>
      <c r="BV42" s="1"/>
      <c r="BW42" s="1"/>
      <c r="BX42" s="1"/>
      <c r="BY42" s="1"/>
      <c r="BZ42" s="1">
        <v>0</v>
      </c>
      <c r="CA42" s="1" t="s">
        <v>109</v>
      </c>
      <c r="CB42" s="1" t="s">
        <v>109</v>
      </c>
      <c r="CC42" s="1">
        <v>8</v>
      </c>
      <c r="CD42" s="1" t="s">
        <v>109</v>
      </c>
      <c r="CE42" s="1" t="s">
        <v>109</v>
      </c>
      <c r="CF42" s="1" t="s">
        <v>109</v>
      </c>
      <c r="CG42" s="1" t="s">
        <v>109</v>
      </c>
      <c r="CH42" s="1" t="s">
        <v>109</v>
      </c>
      <c r="CI42" s="1" t="s">
        <v>109</v>
      </c>
      <c r="CJ42" s="1" t="s">
        <v>109</v>
      </c>
      <c r="CK42" s="1"/>
      <c r="CL42" s="1">
        <v>0</v>
      </c>
      <c r="CM42" s="1">
        <v>0</v>
      </c>
      <c r="CN42" s="1">
        <v>0</v>
      </c>
    </row>
    <row r="43" spans="1:92" ht="14.25" customHeight="1" x14ac:dyDescent="0.15">
      <c r="A43" s="1" t="s">
        <v>570</v>
      </c>
      <c r="B43" s="1" t="s">
        <v>95</v>
      </c>
      <c r="C43" s="1" t="s">
        <v>96</v>
      </c>
      <c r="D43" s="1"/>
      <c r="E43" s="1" t="s">
        <v>571</v>
      </c>
      <c r="F43" s="1" t="s">
        <v>98</v>
      </c>
      <c r="G43" s="1" t="s">
        <v>572</v>
      </c>
      <c r="H43" s="1">
        <v>0</v>
      </c>
      <c r="I43" s="1" t="s">
        <v>122</v>
      </c>
      <c r="J43" s="1" t="s">
        <v>573</v>
      </c>
      <c r="K43" s="1"/>
      <c r="L43" s="1"/>
      <c r="M43" s="1" t="s">
        <v>574</v>
      </c>
      <c r="N43" s="1">
        <v>1</v>
      </c>
      <c r="O43" s="1">
        <v>0</v>
      </c>
      <c r="P43" s="1" t="s">
        <v>103</v>
      </c>
      <c r="Q43" s="1" t="s">
        <v>104</v>
      </c>
      <c r="R43" s="1" t="s">
        <v>575</v>
      </c>
      <c r="S43" s="1" t="s">
        <v>576</v>
      </c>
      <c r="T43" s="1" t="s">
        <v>107</v>
      </c>
      <c r="U43" s="1" t="s">
        <v>577</v>
      </c>
      <c r="V43" s="1">
        <v>1</v>
      </c>
      <c r="W43" s="1">
        <v>1</v>
      </c>
      <c r="X43" s="1">
        <v>1</v>
      </c>
      <c r="Y43" s="1">
        <v>0</v>
      </c>
      <c r="Z43" s="1">
        <v>0</v>
      </c>
      <c r="AA43" s="1">
        <v>4</v>
      </c>
      <c r="AB43" s="1">
        <v>4</v>
      </c>
      <c r="AC43" s="1" t="s">
        <v>109</v>
      </c>
      <c r="AD43" s="1" t="s">
        <v>109</v>
      </c>
      <c r="AE43" s="1" t="s">
        <v>109</v>
      </c>
      <c r="AF43" s="1" t="s">
        <v>109</v>
      </c>
      <c r="AG43" s="1" t="s">
        <v>109</v>
      </c>
      <c r="AH43" s="1" t="s">
        <v>109</v>
      </c>
      <c r="AI43" s="1">
        <v>3</v>
      </c>
      <c r="AJ43" s="1">
        <v>4</v>
      </c>
      <c r="AK43" s="1" t="s">
        <v>109</v>
      </c>
      <c r="AL43" s="1" t="s">
        <v>109</v>
      </c>
      <c r="AM43" s="1" t="s">
        <v>109</v>
      </c>
      <c r="AN43" s="1">
        <v>4</v>
      </c>
      <c r="AO43" s="1" t="s">
        <v>109</v>
      </c>
      <c r="AP43" s="1"/>
      <c r="AQ43" s="1">
        <v>4</v>
      </c>
      <c r="AR43" s="1"/>
      <c r="AS43" s="1" t="s">
        <v>578</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5" t="str">
        <f>HYPERLINK("http://www.d20pfsrd.com/magic/all-spells/b/black-tentacles","Black Tentacles")</f>
        <v>Black Tentacles</v>
      </c>
      <c r="BT43" s="1">
        <v>42</v>
      </c>
      <c r="BU43" s="1" t="s">
        <v>109</v>
      </c>
      <c r="BV43" s="1" t="s">
        <v>579</v>
      </c>
      <c r="BW43" s="1" t="s">
        <v>580</v>
      </c>
      <c r="BX43" s="1" t="s">
        <v>581</v>
      </c>
      <c r="BY43" s="1" t="s">
        <v>582</v>
      </c>
      <c r="BZ43" s="1">
        <v>1</v>
      </c>
      <c r="CA43" s="1">
        <v>4</v>
      </c>
      <c r="CB43" s="1" t="s">
        <v>109</v>
      </c>
      <c r="CC43" s="1">
        <v>4</v>
      </c>
      <c r="CD43" s="1" t="s">
        <v>109</v>
      </c>
      <c r="CE43" s="1" t="s">
        <v>109</v>
      </c>
      <c r="CF43" s="1" t="s">
        <v>109</v>
      </c>
      <c r="CG43" s="1">
        <v>4</v>
      </c>
      <c r="CH43" s="1" t="s">
        <v>109</v>
      </c>
      <c r="CI43" s="1" t="s">
        <v>109</v>
      </c>
      <c r="CJ43" s="1" t="s">
        <v>109</v>
      </c>
      <c r="CK43" s="1"/>
      <c r="CL43" s="1">
        <v>0</v>
      </c>
      <c r="CM43" s="1">
        <v>0</v>
      </c>
      <c r="CN43" s="1">
        <v>0</v>
      </c>
    </row>
    <row r="44" spans="1:92" ht="14.25" customHeight="1" x14ac:dyDescent="0.15">
      <c r="A44" s="1" t="s">
        <v>583</v>
      </c>
      <c r="B44" s="1" t="s">
        <v>584</v>
      </c>
      <c r="C44" s="1"/>
      <c r="D44" s="1" t="s">
        <v>60</v>
      </c>
      <c r="E44" s="1" t="s">
        <v>585</v>
      </c>
      <c r="F44" s="1" t="s">
        <v>98</v>
      </c>
      <c r="G44" s="1" t="s">
        <v>141</v>
      </c>
      <c r="H44" s="1">
        <v>0</v>
      </c>
      <c r="I44" s="1" t="s">
        <v>122</v>
      </c>
      <c r="J44" s="1"/>
      <c r="K44" s="1" t="s">
        <v>586</v>
      </c>
      <c r="L44" s="1"/>
      <c r="M44" s="1" t="s">
        <v>587</v>
      </c>
      <c r="N44" s="1">
        <v>1</v>
      </c>
      <c r="O44" s="1">
        <v>0</v>
      </c>
      <c r="P44" s="1" t="s">
        <v>588</v>
      </c>
      <c r="Q44" s="1" t="s">
        <v>268</v>
      </c>
      <c r="R44" s="1" t="s">
        <v>589</v>
      </c>
      <c r="S44" s="1" t="s">
        <v>590</v>
      </c>
      <c r="T44" s="1" t="s">
        <v>107</v>
      </c>
      <c r="U44" s="1" t="s">
        <v>591</v>
      </c>
      <c r="V44" s="1">
        <v>1</v>
      </c>
      <c r="W44" s="1">
        <v>1</v>
      </c>
      <c r="X44" s="1">
        <v>0</v>
      </c>
      <c r="Y44" s="1">
        <v>0</v>
      </c>
      <c r="Z44" s="1">
        <v>0</v>
      </c>
      <c r="AA44" s="1" t="s">
        <v>109</v>
      </c>
      <c r="AB44" s="1" t="s">
        <v>109</v>
      </c>
      <c r="AC44" s="1">
        <v>6</v>
      </c>
      <c r="AD44" s="1" t="s">
        <v>109</v>
      </c>
      <c r="AE44" s="1" t="s">
        <v>109</v>
      </c>
      <c r="AF44" s="1" t="s">
        <v>109</v>
      </c>
      <c r="AG44" s="1" t="s">
        <v>109</v>
      </c>
      <c r="AH44" s="1" t="s">
        <v>109</v>
      </c>
      <c r="AI44" s="1" t="s">
        <v>109</v>
      </c>
      <c r="AJ44" s="1" t="s">
        <v>109</v>
      </c>
      <c r="AK44" s="1">
        <v>6</v>
      </c>
      <c r="AL44" s="1">
        <v>6</v>
      </c>
      <c r="AM44" s="1" t="s">
        <v>109</v>
      </c>
      <c r="AN44" s="1" t="s">
        <v>109</v>
      </c>
      <c r="AO44" s="1" t="s">
        <v>109</v>
      </c>
      <c r="AP44" s="1"/>
      <c r="AQ44" s="1">
        <v>6</v>
      </c>
      <c r="AR44" s="1" t="s">
        <v>592</v>
      </c>
      <c r="AS44" s="1" t="s">
        <v>593</v>
      </c>
      <c r="AT44" s="1">
        <v>0</v>
      </c>
      <c r="AU44" s="1">
        <v>0</v>
      </c>
      <c r="AV44" s="1">
        <v>0</v>
      </c>
      <c r="AW44" s="1">
        <v>0</v>
      </c>
      <c r="AX44" s="1">
        <v>0</v>
      </c>
      <c r="AY44" s="1">
        <v>0</v>
      </c>
      <c r="AZ44" s="1">
        <v>0</v>
      </c>
      <c r="BA44" s="1">
        <v>0</v>
      </c>
      <c r="BB44" s="1">
        <v>0</v>
      </c>
      <c r="BC44" s="1">
        <v>0</v>
      </c>
      <c r="BD44" s="1">
        <v>0</v>
      </c>
      <c r="BE44" s="1">
        <v>0</v>
      </c>
      <c r="BF44" s="1">
        <v>0</v>
      </c>
      <c r="BG44" s="1">
        <v>0</v>
      </c>
      <c r="BH44" s="1">
        <v>1</v>
      </c>
      <c r="BI44" s="1">
        <v>0</v>
      </c>
      <c r="BJ44" s="1">
        <v>0</v>
      </c>
      <c r="BK44" s="1">
        <v>0</v>
      </c>
      <c r="BL44" s="1">
        <v>0</v>
      </c>
      <c r="BM44" s="1">
        <v>0</v>
      </c>
      <c r="BN44" s="1">
        <v>0</v>
      </c>
      <c r="BO44" s="1">
        <v>0</v>
      </c>
      <c r="BP44" s="1">
        <v>0</v>
      </c>
      <c r="BQ44" s="1">
        <v>0</v>
      </c>
      <c r="BR44" s="1">
        <v>0</v>
      </c>
      <c r="BS44" s="5" t="str">
        <f>HYPERLINK("http://www.d20pfsrd.com/magic/all-spells/b/blade-barrier","Blade Barrier")</f>
        <v>Blade Barrier</v>
      </c>
      <c r="BT44" s="1">
        <v>43</v>
      </c>
      <c r="BU44" s="1" t="s">
        <v>109</v>
      </c>
      <c r="BV44" s="1"/>
      <c r="BW44" s="1" t="s">
        <v>594</v>
      </c>
      <c r="BX44" s="1" t="s">
        <v>595</v>
      </c>
      <c r="BY44" s="1" t="s">
        <v>596</v>
      </c>
      <c r="BZ44" s="1">
        <v>1</v>
      </c>
      <c r="CA44" s="1" t="s">
        <v>109</v>
      </c>
      <c r="CB44" s="1" t="s">
        <v>109</v>
      </c>
      <c r="CC44" s="1">
        <v>6</v>
      </c>
      <c r="CD44" s="1" t="s">
        <v>109</v>
      </c>
      <c r="CE44" s="1" t="s">
        <v>109</v>
      </c>
      <c r="CF44" s="1">
        <v>6</v>
      </c>
      <c r="CG44" s="1" t="s">
        <v>109</v>
      </c>
      <c r="CH44" s="1" t="s">
        <v>109</v>
      </c>
      <c r="CI44" s="1" t="s">
        <v>109</v>
      </c>
      <c r="CJ44" s="1" t="s">
        <v>109</v>
      </c>
      <c r="CK44" s="1"/>
      <c r="CL44" s="1">
        <v>0</v>
      </c>
      <c r="CM44" s="1">
        <v>0</v>
      </c>
      <c r="CN44" s="1">
        <v>0</v>
      </c>
    </row>
    <row r="45" spans="1:92" ht="14.25" customHeight="1" x14ac:dyDescent="0.15">
      <c r="A45" s="1" t="s">
        <v>597</v>
      </c>
      <c r="B45" s="1" t="s">
        <v>584</v>
      </c>
      <c r="C45" s="1"/>
      <c r="D45" s="1" t="s">
        <v>598</v>
      </c>
      <c r="E45" s="1" t="s">
        <v>599</v>
      </c>
      <c r="F45" s="1" t="s">
        <v>98</v>
      </c>
      <c r="G45" s="1" t="s">
        <v>333</v>
      </c>
      <c r="H45" s="1">
        <v>0</v>
      </c>
      <c r="I45" s="1" t="s">
        <v>600</v>
      </c>
      <c r="J45" s="1" t="s">
        <v>601</v>
      </c>
      <c r="K45" s="1"/>
      <c r="L45" s="1"/>
      <c r="M45" s="1" t="s">
        <v>144</v>
      </c>
      <c r="N45" s="1">
        <v>0</v>
      </c>
      <c r="O45" s="1">
        <v>0</v>
      </c>
      <c r="P45" s="1" t="s">
        <v>380</v>
      </c>
      <c r="Q45" s="1" t="s">
        <v>268</v>
      </c>
      <c r="R45" s="1" t="s">
        <v>602</v>
      </c>
      <c r="S45" s="1" t="s">
        <v>603</v>
      </c>
      <c r="T45" s="1" t="s">
        <v>107</v>
      </c>
      <c r="U45" s="1" t="s">
        <v>604</v>
      </c>
      <c r="V45" s="1">
        <v>1</v>
      </c>
      <c r="W45" s="1">
        <v>0</v>
      </c>
      <c r="X45" s="1">
        <v>0</v>
      </c>
      <c r="Y45" s="1">
        <v>0</v>
      </c>
      <c r="Z45" s="1">
        <v>0</v>
      </c>
      <c r="AA45" s="1" t="s">
        <v>109</v>
      </c>
      <c r="AB45" s="1" t="s">
        <v>109</v>
      </c>
      <c r="AC45" s="1">
        <v>7</v>
      </c>
      <c r="AD45" s="1" t="s">
        <v>109</v>
      </c>
      <c r="AE45" s="1" t="s">
        <v>109</v>
      </c>
      <c r="AF45" s="1" t="s">
        <v>109</v>
      </c>
      <c r="AG45" s="1" t="s">
        <v>109</v>
      </c>
      <c r="AH45" s="1" t="s">
        <v>109</v>
      </c>
      <c r="AI45" s="1" t="s">
        <v>109</v>
      </c>
      <c r="AJ45" s="1" t="s">
        <v>109</v>
      </c>
      <c r="AK45" s="1">
        <v>6</v>
      </c>
      <c r="AL45" s="1">
        <v>7</v>
      </c>
      <c r="AM45" s="1" t="s">
        <v>109</v>
      </c>
      <c r="AN45" s="1" t="s">
        <v>109</v>
      </c>
      <c r="AO45" s="1" t="s">
        <v>109</v>
      </c>
      <c r="AP45" s="1"/>
      <c r="AQ45" s="1">
        <v>7</v>
      </c>
      <c r="AR45" s="1" t="s">
        <v>605</v>
      </c>
      <c r="AS45" s="1" t="s">
        <v>606</v>
      </c>
      <c r="AT45" s="1">
        <v>0</v>
      </c>
      <c r="AU45" s="1">
        <v>0</v>
      </c>
      <c r="AV45" s="1">
        <v>0</v>
      </c>
      <c r="AW45" s="1">
        <v>0</v>
      </c>
      <c r="AX45" s="1">
        <v>0</v>
      </c>
      <c r="AY45" s="1">
        <v>0</v>
      </c>
      <c r="AZ45" s="1">
        <v>0</v>
      </c>
      <c r="BA45" s="1">
        <v>0</v>
      </c>
      <c r="BB45" s="1">
        <v>0</v>
      </c>
      <c r="BC45" s="1">
        <v>0</v>
      </c>
      <c r="BD45" s="1">
        <v>0</v>
      </c>
      <c r="BE45" s="1">
        <v>1</v>
      </c>
      <c r="BF45" s="1">
        <v>0</v>
      </c>
      <c r="BG45" s="1">
        <v>0</v>
      </c>
      <c r="BH45" s="1">
        <v>0</v>
      </c>
      <c r="BI45" s="1">
        <v>0</v>
      </c>
      <c r="BJ45" s="1">
        <v>0</v>
      </c>
      <c r="BK45" s="1">
        <v>0</v>
      </c>
      <c r="BL45" s="1">
        <v>0</v>
      </c>
      <c r="BM45" s="1">
        <v>0</v>
      </c>
      <c r="BN45" s="1">
        <v>0</v>
      </c>
      <c r="BO45" s="1">
        <v>0</v>
      </c>
      <c r="BP45" s="1">
        <v>0</v>
      </c>
      <c r="BQ45" s="1">
        <v>1</v>
      </c>
      <c r="BR45" s="1">
        <v>0</v>
      </c>
      <c r="BS45" s="5" t="str">
        <f>HYPERLINK("http://www.d20pfsrd.com/magic/all-spells/b/blasphemy","Blasphemy")</f>
        <v>Blasphemy</v>
      </c>
      <c r="BT45" s="1">
        <v>44</v>
      </c>
      <c r="BU45" s="1" t="s">
        <v>109</v>
      </c>
      <c r="BV45" s="1"/>
      <c r="BW45" s="1"/>
      <c r="BX45" s="1" t="s">
        <v>607</v>
      </c>
      <c r="BY45" s="1"/>
      <c r="BZ45" s="1">
        <v>1</v>
      </c>
      <c r="CA45" s="1" t="s">
        <v>109</v>
      </c>
      <c r="CB45" s="1" t="s">
        <v>109</v>
      </c>
      <c r="CC45" s="1" t="s">
        <v>109</v>
      </c>
      <c r="CD45" s="1" t="s">
        <v>109</v>
      </c>
      <c r="CE45" s="1" t="s">
        <v>109</v>
      </c>
      <c r="CF45" s="1" t="s">
        <v>109</v>
      </c>
      <c r="CG45" s="1" t="s">
        <v>109</v>
      </c>
      <c r="CH45" s="1" t="s">
        <v>109</v>
      </c>
      <c r="CI45" s="1" t="s">
        <v>109</v>
      </c>
      <c r="CJ45" s="1" t="s">
        <v>109</v>
      </c>
      <c r="CK45" s="1"/>
      <c r="CL45" s="1">
        <v>0</v>
      </c>
      <c r="CM45" s="1">
        <v>0</v>
      </c>
      <c r="CN45" s="1">
        <v>0</v>
      </c>
    </row>
    <row r="46" spans="1:92" ht="14.25" customHeight="1" x14ac:dyDescent="0.15">
      <c r="A46" s="1" t="s">
        <v>608</v>
      </c>
      <c r="B46" s="1" t="s">
        <v>308</v>
      </c>
      <c r="C46" s="1"/>
      <c r="D46" s="1"/>
      <c r="E46" s="1" t="s">
        <v>609</v>
      </c>
      <c r="F46" s="1" t="s">
        <v>98</v>
      </c>
      <c r="G46" s="1" t="s">
        <v>141</v>
      </c>
      <c r="H46" s="1">
        <v>0</v>
      </c>
      <c r="I46" s="1" t="s">
        <v>142</v>
      </c>
      <c r="J46" s="1"/>
      <c r="K46" s="1"/>
      <c r="L46" s="1" t="s">
        <v>563</v>
      </c>
      <c r="M46" s="1" t="s">
        <v>144</v>
      </c>
      <c r="N46" s="1">
        <v>0</v>
      </c>
      <c r="O46" s="1">
        <v>0</v>
      </c>
      <c r="P46" s="1" t="s">
        <v>301</v>
      </c>
      <c r="Q46" s="1" t="s">
        <v>268</v>
      </c>
      <c r="R46" s="1" t="s">
        <v>610</v>
      </c>
      <c r="S46" s="1" t="s">
        <v>611</v>
      </c>
      <c r="T46" s="1" t="s">
        <v>107</v>
      </c>
      <c r="U46" s="1" t="s">
        <v>612</v>
      </c>
      <c r="V46" s="1">
        <v>1</v>
      </c>
      <c r="W46" s="1">
        <v>1</v>
      </c>
      <c r="X46" s="1">
        <v>0</v>
      </c>
      <c r="Y46" s="1">
        <v>0</v>
      </c>
      <c r="Z46" s="1">
        <v>0</v>
      </c>
      <c r="AA46" s="1">
        <v>0</v>
      </c>
      <c r="AB46" s="1">
        <v>0</v>
      </c>
      <c r="AC46" s="1">
        <v>0</v>
      </c>
      <c r="AD46" s="1" t="s">
        <v>109</v>
      </c>
      <c r="AE46" s="1" t="s">
        <v>109</v>
      </c>
      <c r="AF46" s="1" t="s">
        <v>109</v>
      </c>
      <c r="AG46" s="1" t="s">
        <v>109</v>
      </c>
      <c r="AH46" s="1" t="s">
        <v>109</v>
      </c>
      <c r="AI46" s="1" t="s">
        <v>109</v>
      </c>
      <c r="AJ46" s="1">
        <v>0</v>
      </c>
      <c r="AK46" s="1">
        <v>0</v>
      </c>
      <c r="AL46" s="1">
        <v>0</v>
      </c>
      <c r="AM46" s="1" t="s">
        <v>109</v>
      </c>
      <c r="AN46" s="1" t="s">
        <v>109</v>
      </c>
      <c r="AO46" s="1" t="s">
        <v>109</v>
      </c>
      <c r="AP46" s="1"/>
      <c r="AQ46" s="1">
        <v>0</v>
      </c>
      <c r="AR46" s="1"/>
      <c r="AS46" s="1" t="s">
        <v>613</v>
      </c>
      <c r="AT46" s="1">
        <v>0</v>
      </c>
      <c r="AU46" s="1">
        <v>0</v>
      </c>
      <c r="AV46" s="1">
        <v>0</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5" t="str">
        <f>HYPERLINK("http://www.d20pfsrd.com/magic/all-spells/b/bleed","Bleed")</f>
        <v>Bleed</v>
      </c>
      <c r="BT46" s="1">
        <v>45</v>
      </c>
      <c r="BU46" s="1" t="s">
        <v>109</v>
      </c>
      <c r="BV46" s="1"/>
      <c r="BW46" s="1"/>
      <c r="BX46" s="1"/>
      <c r="BY46" s="1"/>
      <c r="BZ46" s="1">
        <v>0</v>
      </c>
      <c r="CA46" s="1" t="s">
        <v>109</v>
      </c>
      <c r="CB46" s="1">
        <v>0</v>
      </c>
      <c r="CC46" s="1">
        <v>0</v>
      </c>
      <c r="CD46" s="1" t="s">
        <v>109</v>
      </c>
      <c r="CE46" s="1">
        <v>0</v>
      </c>
      <c r="CF46" s="1">
        <v>0</v>
      </c>
      <c r="CG46" s="1">
        <v>0</v>
      </c>
      <c r="CH46" s="1" t="s">
        <v>109</v>
      </c>
      <c r="CI46" s="1" t="s">
        <v>109</v>
      </c>
      <c r="CJ46" s="1" t="s">
        <v>109</v>
      </c>
      <c r="CK46" s="1"/>
      <c r="CL46" s="1">
        <v>0</v>
      </c>
      <c r="CM46" s="1">
        <v>0</v>
      </c>
      <c r="CN46" s="1">
        <v>0</v>
      </c>
    </row>
    <row r="47" spans="1:92" ht="14.25" customHeight="1" x14ac:dyDescent="0.15">
      <c r="A47" s="1" t="s">
        <v>614</v>
      </c>
      <c r="B47" s="1" t="s">
        <v>156</v>
      </c>
      <c r="C47" s="1" t="s">
        <v>157</v>
      </c>
      <c r="D47" s="1" t="s">
        <v>158</v>
      </c>
      <c r="E47" s="1" t="s">
        <v>615</v>
      </c>
      <c r="F47" s="1" t="s">
        <v>98</v>
      </c>
      <c r="G47" s="1" t="s">
        <v>160</v>
      </c>
      <c r="H47" s="1">
        <v>0</v>
      </c>
      <c r="I47" s="1" t="s">
        <v>475</v>
      </c>
      <c r="J47" s="1" t="s">
        <v>616</v>
      </c>
      <c r="K47" s="1"/>
      <c r="L47" s="1"/>
      <c r="M47" s="1" t="s">
        <v>164</v>
      </c>
      <c r="N47" s="1">
        <v>0</v>
      </c>
      <c r="O47" s="1">
        <v>0</v>
      </c>
      <c r="P47" s="1" t="s">
        <v>103</v>
      </c>
      <c r="Q47" s="1" t="s">
        <v>167</v>
      </c>
      <c r="R47" s="1" t="s">
        <v>617</v>
      </c>
      <c r="S47" s="1" t="s">
        <v>618</v>
      </c>
      <c r="T47" s="1" t="s">
        <v>107</v>
      </c>
      <c r="U47" s="1" t="s">
        <v>619</v>
      </c>
      <c r="V47" s="1">
        <v>1</v>
      </c>
      <c r="W47" s="1">
        <v>1</v>
      </c>
      <c r="X47" s="1">
        <v>0</v>
      </c>
      <c r="Y47" s="1">
        <v>0</v>
      </c>
      <c r="Z47" s="1">
        <v>1</v>
      </c>
      <c r="AA47" s="1" t="s">
        <v>109</v>
      </c>
      <c r="AB47" s="1" t="s">
        <v>109</v>
      </c>
      <c r="AC47" s="1">
        <v>1</v>
      </c>
      <c r="AD47" s="1" t="s">
        <v>109</v>
      </c>
      <c r="AE47" s="1" t="s">
        <v>109</v>
      </c>
      <c r="AF47" s="1" t="s">
        <v>109</v>
      </c>
      <c r="AG47" s="1">
        <v>1</v>
      </c>
      <c r="AH47" s="1" t="s">
        <v>109</v>
      </c>
      <c r="AI47" s="1" t="s">
        <v>109</v>
      </c>
      <c r="AJ47" s="1" t="s">
        <v>109</v>
      </c>
      <c r="AK47" s="1">
        <v>1</v>
      </c>
      <c r="AL47" s="1">
        <v>1</v>
      </c>
      <c r="AM47" s="1" t="s">
        <v>109</v>
      </c>
      <c r="AN47" s="1" t="s">
        <v>109</v>
      </c>
      <c r="AO47" s="1">
        <v>1</v>
      </c>
      <c r="AP47" s="1"/>
      <c r="AQ47" s="1">
        <v>1</v>
      </c>
      <c r="AR47" s="1" t="s">
        <v>620</v>
      </c>
      <c r="AS47" s="1" t="s">
        <v>621</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1</v>
      </c>
      <c r="BN47" s="1">
        <v>0</v>
      </c>
      <c r="BO47" s="1">
        <v>0</v>
      </c>
      <c r="BP47" s="1">
        <v>0</v>
      </c>
      <c r="BQ47" s="1">
        <v>0</v>
      </c>
      <c r="BR47" s="1">
        <v>0</v>
      </c>
      <c r="BS47" s="5" t="str">
        <f>HYPERLINK("http://www.d20pfsrd.com/magic/all-spells/b/bless","Bless")</f>
        <v>Bless</v>
      </c>
      <c r="BT47" s="1">
        <v>46</v>
      </c>
      <c r="BU47" s="1" t="s">
        <v>109</v>
      </c>
      <c r="BV47" s="1" t="s">
        <v>622</v>
      </c>
      <c r="BW47" s="1" t="s">
        <v>623</v>
      </c>
      <c r="BX47" s="1" t="s">
        <v>624</v>
      </c>
      <c r="BY47" s="1"/>
      <c r="BZ47" s="1">
        <v>1</v>
      </c>
      <c r="CA47" s="1" t="s">
        <v>109</v>
      </c>
      <c r="CB47" s="1">
        <v>1</v>
      </c>
      <c r="CC47" s="1" t="s">
        <v>109</v>
      </c>
      <c r="CD47" s="1" t="s">
        <v>109</v>
      </c>
      <c r="CE47" s="1" t="s">
        <v>109</v>
      </c>
      <c r="CF47" s="1" t="s">
        <v>109</v>
      </c>
      <c r="CG47" s="1" t="s">
        <v>109</v>
      </c>
      <c r="CH47" s="1" t="s">
        <v>109</v>
      </c>
      <c r="CI47" s="1" t="s">
        <v>109</v>
      </c>
      <c r="CJ47" s="1" t="s">
        <v>109</v>
      </c>
      <c r="CK47" s="1"/>
      <c r="CL47" s="1">
        <v>0</v>
      </c>
      <c r="CM47" s="1">
        <v>0</v>
      </c>
      <c r="CN47" s="1">
        <v>0</v>
      </c>
    </row>
    <row r="48" spans="1:92" ht="14.25" customHeight="1" x14ac:dyDescent="0.15">
      <c r="A48" s="1" t="s">
        <v>625</v>
      </c>
      <c r="B48" s="1" t="s">
        <v>189</v>
      </c>
      <c r="C48" s="1"/>
      <c r="D48" s="1" t="s">
        <v>61</v>
      </c>
      <c r="E48" s="1" t="s">
        <v>626</v>
      </c>
      <c r="F48" s="1" t="s">
        <v>277</v>
      </c>
      <c r="G48" s="1" t="s">
        <v>627</v>
      </c>
      <c r="H48" s="1">
        <v>1</v>
      </c>
      <c r="I48" s="1" t="s">
        <v>161</v>
      </c>
      <c r="J48" s="1"/>
      <c r="K48" s="1"/>
      <c r="L48" s="1" t="s">
        <v>628</v>
      </c>
      <c r="M48" s="1" t="s">
        <v>144</v>
      </c>
      <c r="N48" s="1">
        <v>0</v>
      </c>
      <c r="O48" s="1">
        <v>0</v>
      </c>
      <c r="P48" s="1" t="s">
        <v>629</v>
      </c>
      <c r="Q48" s="1" t="s">
        <v>630</v>
      </c>
      <c r="R48" s="1" t="s">
        <v>631</v>
      </c>
      <c r="S48" s="1" t="s">
        <v>632</v>
      </c>
      <c r="T48" s="1" t="s">
        <v>107</v>
      </c>
      <c r="U48" s="1" t="s">
        <v>633</v>
      </c>
      <c r="V48" s="1">
        <v>1</v>
      </c>
      <c r="W48" s="1">
        <v>1</v>
      </c>
      <c r="X48" s="1">
        <v>1</v>
      </c>
      <c r="Y48" s="1">
        <v>0</v>
      </c>
      <c r="Z48" s="1">
        <v>0</v>
      </c>
      <c r="AA48" s="1" t="s">
        <v>109</v>
      </c>
      <c r="AB48" s="1" t="s">
        <v>109</v>
      </c>
      <c r="AC48" s="1">
        <v>1</v>
      </c>
      <c r="AD48" s="1" t="s">
        <v>109</v>
      </c>
      <c r="AE48" s="1" t="s">
        <v>109</v>
      </c>
      <c r="AF48" s="1" t="s">
        <v>109</v>
      </c>
      <c r="AG48" s="1">
        <v>1</v>
      </c>
      <c r="AH48" s="1" t="s">
        <v>109</v>
      </c>
      <c r="AI48" s="1" t="s">
        <v>109</v>
      </c>
      <c r="AJ48" s="1" t="s">
        <v>109</v>
      </c>
      <c r="AK48" s="1">
        <v>1</v>
      </c>
      <c r="AL48" s="1">
        <v>1</v>
      </c>
      <c r="AM48" s="1" t="s">
        <v>109</v>
      </c>
      <c r="AN48" s="1" t="s">
        <v>109</v>
      </c>
      <c r="AO48" s="1" t="s">
        <v>109</v>
      </c>
      <c r="AP48" s="1"/>
      <c r="AQ48" s="1">
        <v>1</v>
      </c>
      <c r="AR48" s="1" t="s">
        <v>634</v>
      </c>
      <c r="AS48" s="1" t="s">
        <v>635</v>
      </c>
      <c r="AT48" s="1">
        <v>0</v>
      </c>
      <c r="AU48" s="1">
        <v>0</v>
      </c>
      <c r="AV48" s="1">
        <v>0</v>
      </c>
      <c r="AW48" s="1">
        <v>0</v>
      </c>
      <c r="AX48" s="1">
        <v>0</v>
      </c>
      <c r="AY48" s="1">
        <v>0</v>
      </c>
      <c r="AZ48" s="1">
        <v>0</v>
      </c>
      <c r="BA48" s="1">
        <v>0</v>
      </c>
      <c r="BB48" s="1">
        <v>0</v>
      </c>
      <c r="BC48" s="1">
        <v>0</v>
      </c>
      <c r="BD48" s="1">
        <v>0</v>
      </c>
      <c r="BE48" s="1">
        <v>0</v>
      </c>
      <c r="BF48" s="1">
        <v>0</v>
      </c>
      <c r="BG48" s="1">
        <v>0</v>
      </c>
      <c r="BH48" s="1">
        <v>0</v>
      </c>
      <c r="BI48" s="1">
        <v>1</v>
      </c>
      <c r="BJ48" s="1">
        <v>0</v>
      </c>
      <c r="BK48" s="1">
        <v>0</v>
      </c>
      <c r="BL48" s="1">
        <v>0</v>
      </c>
      <c r="BM48" s="1">
        <v>0</v>
      </c>
      <c r="BN48" s="1">
        <v>0</v>
      </c>
      <c r="BO48" s="1">
        <v>0</v>
      </c>
      <c r="BP48" s="1">
        <v>0</v>
      </c>
      <c r="BQ48" s="1">
        <v>0</v>
      </c>
      <c r="BR48" s="1">
        <v>0</v>
      </c>
      <c r="BS48" s="5" t="str">
        <f>HYPERLINK("http://www.d20pfsrd.com/magic/all-spells/b/bless-water","Bless Water")</f>
        <v>Bless Water</v>
      </c>
      <c r="BT48" s="1">
        <v>47</v>
      </c>
      <c r="BU48" s="1">
        <v>25</v>
      </c>
      <c r="BV48" s="1"/>
      <c r="BW48" s="1" t="s">
        <v>636</v>
      </c>
      <c r="BX48" s="1"/>
      <c r="BY48" s="1"/>
      <c r="BZ48" s="1">
        <v>0</v>
      </c>
      <c r="CA48" s="1" t="s">
        <v>109</v>
      </c>
      <c r="CB48" s="1" t="s">
        <v>109</v>
      </c>
      <c r="CC48" s="1" t="s">
        <v>109</v>
      </c>
      <c r="CD48" s="1" t="s">
        <v>109</v>
      </c>
      <c r="CE48" s="1" t="s">
        <v>109</v>
      </c>
      <c r="CF48" s="1" t="s">
        <v>109</v>
      </c>
      <c r="CG48" s="1" t="s">
        <v>109</v>
      </c>
      <c r="CH48" s="1" t="s">
        <v>109</v>
      </c>
      <c r="CI48" s="1" t="s">
        <v>109</v>
      </c>
      <c r="CJ48" s="1" t="s">
        <v>109</v>
      </c>
      <c r="CK48" s="1"/>
      <c r="CL48" s="1">
        <v>0</v>
      </c>
      <c r="CM48" s="1">
        <v>0</v>
      </c>
      <c r="CN48" s="1">
        <v>0</v>
      </c>
    </row>
    <row r="49" spans="1:92" ht="14.25" customHeight="1" x14ac:dyDescent="0.15">
      <c r="A49" s="1" t="s">
        <v>637</v>
      </c>
      <c r="B49" s="1" t="s">
        <v>189</v>
      </c>
      <c r="C49" s="1"/>
      <c r="D49" s="1"/>
      <c r="E49" s="1" t="s">
        <v>638</v>
      </c>
      <c r="F49" s="1" t="s">
        <v>98</v>
      </c>
      <c r="G49" s="1" t="s">
        <v>141</v>
      </c>
      <c r="H49" s="1">
        <v>0</v>
      </c>
      <c r="I49" s="1" t="s">
        <v>161</v>
      </c>
      <c r="J49" s="1"/>
      <c r="K49" s="1"/>
      <c r="L49" s="1" t="s">
        <v>639</v>
      </c>
      <c r="M49" s="1" t="s">
        <v>164</v>
      </c>
      <c r="N49" s="1">
        <v>0</v>
      </c>
      <c r="O49" s="1">
        <v>0</v>
      </c>
      <c r="P49" s="1" t="s">
        <v>103</v>
      </c>
      <c r="Q49" s="1" t="s">
        <v>104</v>
      </c>
      <c r="R49" s="1" t="s">
        <v>640</v>
      </c>
      <c r="S49" s="1" t="s">
        <v>641</v>
      </c>
      <c r="T49" s="1" t="s">
        <v>107</v>
      </c>
      <c r="U49" s="1" t="s">
        <v>642</v>
      </c>
      <c r="V49" s="1">
        <v>1</v>
      </c>
      <c r="W49" s="1">
        <v>1</v>
      </c>
      <c r="X49" s="1">
        <v>0</v>
      </c>
      <c r="Y49" s="1">
        <v>0</v>
      </c>
      <c r="Z49" s="1">
        <v>0</v>
      </c>
      <c r="AA49" s="1" t="s">
        <v>109</v>
      </c>
      <c r="AB49" s="1" t="s">
        <v>109</v>
      </c>
      <c r="AC49" s="1" t="s">
        <v>109</v>
      </c>
      <c r="AD49" s="1" t="s">
        <v>109</v>
      </c>
      <c r="AE49" s="1" t="s">
        <v>109</v>
      </c>
      <c r="AF49" s="1" t="s">
        <v>109</v>
      </c>
      <c r="AG49" s="1">
        <v>1</v>
      </c>
      <c r="AH49" s="1" t="s">
        <v>109</v>
      </c>
      <c r="AI49" s="1" t="s">
        <v>109</v>
      </c>
      <c r="AJ49" s="1" t="s">
        <v>109</v>
      </c>
      <c r="AK49" s="1" t="s">
        <v>109</v>
      </c>
      <c r="AL49" s="1" t="s">
        <v>109</v>
      </c>
      <c r="AM49" s="1" t="s">
        <v>109</v>
      </c>
      <c r="AN49" s="1" t="s">
        <v>109</v>
      </c>
      <c r="AO49" s="1" t="s">
        <v>109</v>
      </c>
      <c r="AP49" s="1"/>
      <c r="AQ49" s="1">
        <v>1</v>
      </c>
      <c r="AR49" s="1" t="s">
        <v>643</v>
      </c>
      <c r="AS49" s="1" t="s">
        <v>644</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5" t="str">
        <f>HYPERLINK("http://www.d20pfsrd.com/magic/all-spells/b/bless-weapon","Bless Weapon")</f>
        <v>Bless Weapon</v>
      </c>
      <c r="BT49" s="1">
        <v>48</v>
      </c>
      <c r="BU49" s="1" t="s">
        <v>109</v>
      </c>
      <c r="BV49" s="1"/>
      <c r="BW49" s="1"/>
      <c r="BX49" s="1"/>
      <c r="BY49" s="1"/>
      <c r="BZ49" s="1">
        <v>0</v>
      </c>
      <c r="CA49" s="1" t="s">
        <v>109</v>
      </c>
      <c r="CB49" s="1" t="s">
        <v>109</v>
      </c>
      <c r="CC49" s="1" t="s">
        <v>109</v>
      </c>
      <c r="CD49" s="1" t="s">
        <v>109</v>
      </c>
      <c r="CE49" s="1" t="s">
        <v>109</v>
      </c>
      <c r="CF49" s="1" t="s">
        <v>109</v>
      </c>
      <c r="CG49" s="1" t="s">
        <v>109</v>
      </c>
      <c r="CH49" s="1" t="s">
        <v>109</v>
      </c>
      <c r="CI49" s="1" t="s">
        <v>109</v>
      </c>
      <c r="CJ49" s="1" t="s">
        <v>109</v>
      </c>
      <c r="CK49" s="1"/>
      <c r="CL49" s="1">
        <v>0</v>
      </c>
      <c r="CM49" s="1">
        <v>0</v>
      </c>
      <c r="CN49" s="1">
        <v>0</v>
      </c>
    </row>
    <row r="50" spans="1:92" ht="14.25" customHeight="1" x14ac:dyDescent="0.15">
      <c r="A50" s="1" t="s">
        <v>645</v>
      </c>
      <c r="B50" s="1" t="s">
        <v>308</v>
      </c>
      <c r="C50" s="1"/>
      <c r="D50" s="1"/>
      <c r="E50" s="1" t="s">
        <v>646</v>
      </c>
      <c r="F50" s="1" t="s">
        <v>98</v>
      </c>
      <c r="G50" s="1" t="s">
        <v>160</v>
      </c>
      <c r="H50" s="1">
        <v>0</v>
      </c>
      <c r="I50" s="1" t="s">
        <v>161</v>
      </c>
      <c r="J50" s="1"/>
      <c r="K50" s="1"/>
      <c r="L50" s="1"/>
      <c r="M50" s="1" t="s">
        <v>144</v>
      </c>
      <c r="N50" s="1">
        <v>0</v>
      </c>
      <c r="O50" s="1">
        <v>0</v>
      </c>
      <c r="P50" s="1" t="s">
        <v>647</v>
      </c>
      <c r="Q50" s="1" t="s">
        <v>268</v>
      </c>
      <c r="R50" s="1" t="s">
        <v>648</v>
      </c>
      <c r="S50" s="1" t="s">
        <v>649</v>
      </c>
      <c r="T50" s="1" t="s">
        <v>107</v>
      </c>
      <c r="U50" s="1" t="s">
        <v>650</v>
      </c>
      <c r="V50" s="1">
        <v>1</v>
      </c>
      <c r="W50" s="1">
        <v>1</v>
      </c>
      <c r="X50" s="1">
        <v>0</v>
      </c>
      <c r="Y50" s="1">
        <v>0</v>
      </c>
      <c r="Z50" s="1">
        <v>1</v>
      </c>
      <c r="AA50" s="1">
        <v>5</v>
      </c>
      <c r="AB50" s="1">
        <v>5</v>
      </c>
      <c r="AC50" s="1" t="s">
        <v>109</v>
      </c>
      <c r="AD50" s="1">
        <v>4</v>
      </c>
      <c r="AE50" s="1" t="s">
        <v>109</v>
      </c>
      <c r="AF50" s="1" t="s">
        <v>109</v>
      </c>
      <c r="AG50" s="1" t="s">
        <v>109</v>
      </c>
      <c r="AH50" s="1" t="s">
        <v>109</v>
      </c>
      <c r="AI50" s="1" t="s">
        <v>109</v>
      </c>
      <c r="AJ50" s="1">
        <v>5</v>
      </c>
      <c r="AK50" s="1" t="s">
        <v>109</v>
      </c>
      <c r="AL50" s="1" t="s">
        <v>109</v>
      </c>
      <c r="AM50" s="1" t="s">
        <v>109</v>
      </c>
      <c r="AN50" s="1" t="s">
        <v>109</v>
      </c>
      <c r="AO50" s="1" t="s">
        <v>109</v>
      </c>
      <c r="AP50" s="1"/>
      <c r="AQ50" s="1">
        <v>5</v>
      </c>
      <c r="AR50" s="1" t="s">
        <v>651</v>
      </c>
      <c r="AS50" s="1" t="s">
        <v>652</v>
      </c>
      <c r="AT50" s="1">
        <v>0</v>
      </c>
      <c r="AU50" s="1">
        <v>0</v>
      </c>
      <c r="AV50" s="1">
        <v>0</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5" t="str">
        <f>HYPERLINK("http://www.d20pfsrd.com/magic/all-spells/b/blight","Blight")</f>
        <v>Blight</v>
      </c>
      <c r="BT50" s="1">
        <v>49</v>
      </c>
      <c r="BU50" s="1" t="s">
        <v>109</v>
      </c>
      <c r="BV50" s="1" t="s">
        <v>653</v>
      </c>
      <c r="BW50" s="1"/>
      <c r="BX50" s="1"/>
      <c r="BY50" s="1"/>
      <c r="BZ50" s="1">
        <v>0</v>
      </c>
      <c r="CA50" s="1" t="s">
        <v>109</v>
      </c>
      <c r="CB50" s="1">
        <v>5</v>
      </c>
      <c r="CC50" s="1" t="s">
        <v>109</v>
      </c>
      <c r="CD50" s="1" t="s">
        <v>109</v>
      </c>
      <c r="CE50" s="1" t="s">
        <v>109</v>
      </c>
      <c r="CF50" s="1" t="s">
        <v>109</v>
      </c>
      <c r="CG50" s="1" t="s">
        <v>109</v>
      </c>
      <c r="CH50" s="1" t="s">
        <v>109</v>
      </c>
      <c r="CI50" s="1" t="s">
        <v>109</v>
      </c>
      <c r="CJ50" s="1">
        <v>4</v>
      </c>
      <c r="CK50" s="1"/>
      <c r="CL50" s="1">
        <v>0</v>
      </c>
      <c r="CM50" s="1">
        <v>0</v>
      </c>
      <c r="CN50" s="1">
        <v>0</v>
      </c>
    </row>
    <row r="51" spans="1:92" ht="14.25" customHeight="1" x14ac:dyDescent="0.15">
      <c r="A51" s="1" t="s">
        <v>654</v>
      </c>
      <c r="B51" s="1" t="s">
        <v>308</v>
      </c>
      <c r="C51" s="1"/>
      <c r="D51" s="1"/>
      <c r="E51" s="1" t="s">
        <v>655</v>
      </c>
      <c r="F51" s="1" t="s">
        <v>98</v>
      </c>
      <c r="G51" s="1" t="s">
        <v>333</v>
      </c>
      <c r="H51" s="1">
        <v>0</v>
      </c>
      <c r="I51" s="1" t="s">
        <v>122</v>
      </c>
      <c r="J51" s="1"/>
      <c r="K51" s="1"/>
      <c r="L51" s="1" t="s">
        <v>563</v>
      </c>
      <c r="M51" s="1" t="s">
        <v>656</v>
      </c>
      <c r="N51" s="1">
        <v>1</v>
      </c>
      <c r="O51" s="1">
        <v>0</v>
      </c>
      <c r="P51" s="1" t="s">
        <v>267</v>
      </c>
      <c r="Q51" s="1" t="s">
        <v>268</v>
      </c>
      <c r="R51" s="1" t="s">
        <v>657</v>
      </c>
      <c r="S51" s="1" t="s">
        <v>658</v>
      </c>
      <c r="T51" s="1" t="s">
        <v>107</v>
      </c>
      <c r="U51" s="1" t="s">
        <v>659</v>
      </c>
      <c r="V51" s="1">
        <v>1</v>
      </c>
      <c r="W51" s="1">
        <v>0</v>
      </c>
      <c r="X51" s="1">
        <v>0</v>
      </c>
      <c r="Y51" s="1">
        <v>0</v>
      </c>
      <c r="Z51" s="1">
        <v>0</v>
      </c>
      <c r="AA51" s="1">
        <v>2</v>
      </c>
      <c r="AB51" s="1">
        <v>2</v>
      </c>
      <c r="AC51" s="1">
        <v>3</v>
      </c>
      <c r="AD51" s="1" t="s">
        <v>109</v>
      </c>
      <c r="AE51" s="1" t="s">
        <v>109</v>
      </c>
      <c r="AF51" s="1">
        <v>2</v>
      </c>
      <c r="AG51" s="1" t="s">
        <v>109</v>
      </c>
      <c r="AH51" s="1" t="s">
        <v>109</v>
      </c>
      <c r="AI51" s="1" t="s">
        <v>109</v>
      </c>
      <c r="AJ51" s="1">
        <v>2</v>
      </c>
      <c r="AK51" s="1" t="s">
        <v>109</v>
      </c>
      <c r="AL51" s="1">
        <v>3</v>
      </c>
      <c r="AM51" s="1">
        <v>2</v>
      </c>
      <c r="AN51" s="1" t="s">
        <v>109</v>
      </c>
      <c r="AO51" s="1" t="s">
        <v>109</v>
      </c>
      <c r="AP51" s="1"/>
      <c r="AQ51" s="1">
        <v>2</v>
      </c>
      <c r="AR51" s="1" t="s">
        <v>660</v>
      </c>
      <c r="AS51" s="1" t="s">
        <v>661</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5" t="str">
        <f>HYPERLINK("http://www.d20pfsrd.com/magic/all-spells/b/blindness-deafness","Blindness-Deafness")</f>
        <v>Blindness-Deafness</v>
      </c>
      <c r="BT51" s="1">
        <v>50</v>
      </c>
      <c r="BU51" s="1" t="s">
        <v>109</v>
      </c>
      <c r="BV51" s="1"/>
      <c r="BW51" s="1"/>
      <c r="BX51" s="1" t="s">
        <v>662</v>
      </c>
      <c r="BY51" s="1"/>
      <c r="BZ51" s="1">
        <v>1</v>
      </c>
      <c r="CA51" s="1">
        <v>2</v>
      </c>
      <c r="CB51" s="1">
        <v>3</v>
      </c>
      <c r="CC51" s="1">
        <v>2</v>
      </c>
      <c r="CD51" s="1" t="s">
        <v>109</v>
      </c>
      <c r="CE51" s="1">
        <v>2</v>
      </c>
      <c r="CF51" s="1" t="s">
        <v>109</v>
      </c>
      <c r="CG51" s="1">
        <v>3</v>
      </c>
      <c r="CH51" s="1" t="s">
        <v>109</v>
      </c>
      <c r="CI51" s="1" t="s">
        <v>109</v>
      </c>
      <c r="CJ51" s="1" t="s">
        <v>109</v>
      </c>
      <c r="CK51" s="1"/>
      <c r="CL51" s="1">
        <v>0</v>
      </c>
      <c r="CM51" s="1">
        <v>0</v>
      </c>
      <c r="CN51" s="1">
        <v>0</v>
      </c>
    </row>
    <row r="52" spans="1:92" ht="14.25" customHeight="1" x14ac:dyDescent="0.15">
      <c r="A52" s="1" t="s">
        <v>663</v>
      </c>
      <c r="B52" s="1" t="s">
        <v>189</v>
      </c>
      <c r="C52" s="1"/>
      <c r="D52" s="1"/>
      <c r="E52" s="1" t="s">
        <v>664</v>
      </c>
      <c r="F52" s="1" t="s">
        <v>98</v>
      </c>
      <c r="G52" s="1" t="s">
        <v>141</v>
      </c>
      <c r="H52" s="1">
        <v>0</v>
      </c>
      <c r="I52" s="1" t="s">
        <v>235</v>
      </c>
      <c r="J52" s="1"/>
      <c r="K52" s="1"/>
      <c r="L52" s="1" t="s">
        <v>236</v>
      </c>
      <c r="M52" s="1" t="s">
        <v>574</v>
      </c>
      <c r="N52" s="1">
        <v>1</v>
      </c>
      <c r="O52" s="1">
        <v>0</v>
      </c>
      <c r="P52" s="1"/>
      <c r="Q52" s="1"/>
      <c r="R52" s="1" t="s">
        <v>665</v>
      </c>
      <c r="S52" s="1" t="s">
        <v>666</v>
      </c>
      <c r="T52" s="1" t="s">
        <v>107</v>
      </c>
      <c r="U52" s="1" t="s">
        <v>667</v>
      </c>
      <c r="V52" s="1">
        <v>1</v>
      </c>
      <c r="W52" s="1">
        <v>1</v>
      </c>
      <c r="X52" s="1">
        <v>0</v>
      </c>
      <c r="Y52" s="1">
        <v>0</v>
      </c>
      <c r="Z52" s="1">
        <v>0</v>
      </c>
      <c r="AA52" s="1">
        <v>3</v>
      </c>
      <c r="AB52" s="1">
        <v>3</v>
      </c>
      <c r="AC52" s="1" t="s">
        <v>109</v>
      </c>
      <c r="AD52" s="1" t="s">
        <v>109</v>
      </c>
      <c r="AE52" s="1" t="s">
        <v>109</v>
      </c>
      <c r="AF52" s="1">
        <v>3</v>
      </c>
      <c r="AG52" s="1" t="s">
        <v>109</v>
      </c>
      <c r="AH52" s="1" t="s">
        <v>109</v>
      </c>
      <c r="AI52" s="1" t="s">
        <v>109</v>
      </c>
      <c r="AJ52" s="1" t="s">
        <v>109</v>
      </c>
      <c r="AK52" s="1" t="s">
        <v>109</v>
      </c>
      <c r="AL52" s="1" t="s">
        <v>109</v>
      </c>
      <c r="AM52" s="1" t="s">
        <v>109</v>
      </c>
      <c r="AN52" s="1">
        <v>3</v>
      </c>
      <c r="AO52" s="1" t="s">
        <v>109</v>
      </c>
      <c r="AP52" s="1"/>
      <c r="AQ52" s="1">
        <v>3</v>
      </c>
      <c r="AR52" s="1"/>
      <c r="AS52" s="1" t="s">
        <v>668</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5" t="str">
        <f>HYPERLINK("http://www.d20pfsrd.com/magic/all-spells/b/blink","Blink")</f>
        <v>Blink</v>
      </c>
      <c r="BT52" s="1">
        <v>51</v>
      </c>
      <c r="BU52" s="1" t="s">
        <v>109</v>
      </c>
      <c r="BV52" s="1" t="s">
        <v>669</v>
      </c>
      <c r="BW52" s="1" t="s">
        <v>670</v>
      </c>
      <c r="BX52" s="1" t="s">
        <v>671</v>
      </c>
      <c r="BY52" s="1" t="s">
        <v>672</v>
      </c>
      <c r="BZ52" s="1">
        <v>1</v>
      </c>
      <c r="CA52" s="1" t="s">
        <v>109</v>
      </c>
      <c r="CB52" s="1" t="s">
        <v>109</v>
      </c>
      <c r="CC52" s="1">
        <v>3</v>
      </c>
      <c r="CD52" s="1" t="s">
        <v>109</v>
      </c>
      <c r="CE52" s="1" t="s">
        <v>109</v>
      </c>
      <c r="CF52" s="1" t="s">
        <v>109</v>
      </c>
      <c r="CG52" s="1" t="s">
        <v>109</v>
      </c>
      <c r="CH52" s="1" t="s">
        <v>109</v>
      </c>
      <c r="CI52" s="1" t="s">
        <v>109</v>
      </c>
      <c r="CJ52" s="1" t="s">
        <v>109</v>
      </c>
      <c r="CK52" s="1"/>
      <c r="CL52" s="1">
        <v>0</v>
      </c>
      <c r="CM52" s="1">
        <v>0</v>
      </c>
      <c r="CN52" s="1">
        <v>0</v>
      </c>
    </row>
    <row r="53" spans="1:92" ht="14.25" customHeight="1" x14ac:dyDescent="0.15">
      <c r="A53" s="1" t="s">
        <v>673</v>
      </c>
      <c r="B53" s="1" t="s">
        <v>674</v>
      </c>
      <c r="C53" s="1" t="s">
        <v>675</v>
      </c>
      <c r="D53" s="1"/>
      <c r="E53" s="1" t="s">
        <v>676</v>
      </c>
      <c r="F53" s="1" t="s">
        <v>98</v>
      </c>
      <c r="G53" s="1" t="s">
        <v>333</v>
      </c>
      <c r="H53" s="1">
        <v>0</v>
      </c>
      <c r="I53" s="1" t="s">
        <v>161</v>
      </c>
      <c r="J53" s="1"/>
      <c r="K53" s="1"/>
      <c r="L53" s="1" t="s">
        <v>506</v>
      </c>
      <c r="M53" s="1" t="s">
        <v>164</v>
      </c>
      <c r="N53" s="1">
        <v>1</v>
      </c>
      <c r="O53" s="1">
        <v>0</v>
      </c>
      <c r="P53" s="1" t="s">
        <v>507</v>
      </c>
      <c r="Q53" s="1" t="s">
        <v>167</v>
      </c>
      <c r="R53" s="1" t="s">
        <v>677</v>
      </c>
      <c r="S53" s="1" t="s">
        <v>678</v>
      </c>
      <c r="T53" s="1" t="s">
        <v>107</v>
      </c>
      <c r="U53" s="1" t="s">
        <v>679</v>
      </c>
      <c r="V53" s="1">
        <v>1</v>
      </c>
      <c r="W53" s="1">
        <v>0</v>
      </c>
      <c r="X53" s="1">
        <v>0</v>
      </c>
      <c r="Y53" s="1">
        <v>0</v>
      </c>
      <c r="Z53" s="1">
        <v>0</v>
      </c>
      <c r="AA53" s="1">
        <v>2</v>
      </c>
      <c r="AB53" s="1">
        <v>2</v>
      </c>
      <c r="AC53" s="1" t="s">
        <v>109</v>
      </c>
      <c r="AD53" s="1" t="s">
        <v>109</v>
      </c>
      <c r="AE53" s="1" t="s">
        <v>109</v>
      </c>
      <c r="AF53" s="1">
        <v>2</v>
      </c>
      <c r="AG53" s="1" t="s">
        <v>109</v>
      </c>
      <c r="AH53" s="1">
        <v>2</v>
      </c>
      <c r="AI53" s="1">
        <v>2</v>
      </c>
      <c r="AJ53" s="1" t="s">
        <v>109</v>
      </c>
      <c r="AK53" s="1" t="s">
        <v>109</v>
      </c>
      <c r="AL53" s="1" t="s">
        <v>109</v>
      </c>
      <c r="AM53" s="1" t="s">
        <v>109</v>
      </c>
      <c r="AN53" s="1">
        <v>2</v>
      </c>
      <c r="AO53" s="1" t="s">
        <v>109</v>
      </c>
      <c r="AP53" s="1"/>
      <c r="AQ53" s="1">
        <v>2</v>
      </c>
      <c r="AR53" s="1"/>
      <c r="AS53" s="1" t="s">
        <v>680</v>
      </c>
      <c r="AT53" s="1">
        <v>0</v>
      </c>
      <c r="AU53" s="1">
        <v>0</v>
      </c>
      <c r="AV53" s="1">
        <v>0</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5" t="str">
        <f>HYPERLINK("http://www.d20pfsrd.com/magic/all-spells/b/blur","Blur")</f>
        <v>Blur</v>
      </c>
      <c r="BT53" s="1">
        <v>52</v>
      </c>
      <c r="BU53" s="1" t="s">
        <v>109</v>
      </c>
      <c r="BV53" s="1" t="s">
        <v>681</v>
      </c>
      <c r="BW53" s="1"/>
      <c r="BX53" s="1"/>
      <c r="BY53" s="1"/>
      <c r="BZ53" s="1">
        <v>0</v>
      </c>
      <c r="CA53" s="1" t="s">
        <v>109</v>
      </c>
      <c r="CB53" s="1" t="s">
        <v>109</v>
      </c>
      <c r="CC53" s="1">
        <v>2</v>
      </c>
      <c r="CD53" s="1" t="s">
        <v>109</v>
      </c>
      <c r="CE53" s="1">
        <v>2</v>
      </c>
      <c r="CF53" s="1">
        <v>2</v>
      </c>
      <c r="CG53" s="1">
        <v>2</v>
      </c>
      <c r="CH53" s="1" t="s">
        <v>109</v>
      </c>
      <c r="CI53" s="1" t="s">
        <v>109</v>
      </c>
      <c r="CJ53" s="1" t="s">
        <v>109</v>
      </c>
      <c r="CK53" s="1"/>
      <c r="CL53" s="1">
        <v>0</v>
      </c>
      <c r="CM53" s="1">
        <v>0</v>
      </c>
      <c r="CN53" s="1">
        <v>0</v>
      </c>
    </row>
    <row r="54" spans="1:92" ht="14.25" customHeight="1" x14ac:dyDescent="0.15">
      <c r="A54" s="1" t="s">
        <v>682</v>
      </c>
      <c r="B54" s="1" t="s">
        <v>242</v>
      </c>
      <c r="C54" s="1"/>
      <c r="D54" s="1"/>
      <c r="E54" s="1" t="s">
        <v>683</v>
      </c>
      <c r="F54" s="1" t="s">
        <v>277</v>
      </c>
      <c r="G54" s="1" t="s">
        <v>141</v>
      </c>
      <c r="H54" s="1">
        <v>0</v>
      </c>
      <c r="I54" s="1" t="s">
        <v>142</v>
      </c>
      <c r="J54" s="1"/>
      <c r="K54" s="1"/>
      <c r="L54" s="1" t="s">
        <v>684</v>
      </c>
      <c r="M54" s="1" t="s">
        <v>144</v>
      </c>
      <c r="N54" s="1">
        <v>0</v>
      </c>
      <c r="O54" s="1">
        <v>0</v>
      </c>
      <c r="P54" s="1" t="s">
        <v>211</v>
      </c>
      <c r="Q54" s="1" t="s">
        <v>104</v>
      </c>
      <c r="R54" s="1" t="s">
        <v>685</v>
      </c>
      <c r="S54" s="1" t="s">
        <v>686</v>
      </c>
      <c r="T54" s="1" t="s">
        <v>107</v>
      </c>
      <c r="U54" s="1" t="s">
        <v>687</v>
      </c>
      <c r="V54" s="1">
        <v>1</v>
      </c>
      <c r="W54" s="1">
        <v>1</v>
      </c>
      <c r="X54" s="1">
        <v>0</v>
      </c>
      <c r="Y54" s="1">
        <v>0</v>
      </c>
      <c r="Z54" s="1">
        <v>0</v>
      </c>
      <c r="AA54" s="1">
        <v>5</v>
      </c>
      <c r="AB54" s="1">
        <v>5</v>
      </c>
      <c r="AC54" s="1">
        <v>5</v>
      </c>
      <c r="AD54" s="1" t="s">
        <v>109</v>
      </c>
      <c r="AE54" s="1" t="s">
        <v>109</v>
      </c>
      <c r="AF54" s="1">
        <v>4</v>
      </c>
      <c r="AG54" s="1">
        <v>4</v>
      </c>
      <c r="AH54" s="1" t="s">
        <v>109</v>
      </c>
      <c r="AI54" s="1" t="s">
        <v>109</v>
      </c>
      <c r="AJ54" s="1">
        <v>5</v>
      </c>
      <c r="AK54" s="1">
        <v>5</v>
      </c>
      <c r="AL54" s="1">
        <v>5</v>
      </c>
      <c r="AM54" s="1" t="s">
        <v>109</v>
      </c>
      <c r="AN54" s="1" t="s">
        <v>109</v>
      </c>
      <c r="AO54" s="1">
        <v>5</v>
      </c>
      <c r="AP54" s="1"/>
      <c r="AQ54" s="1">
        <v>5</v>
      </c>
      <c r="AR54" s="1" t="s">
        <v>688</v>
      </c>
      <c r="AS54" s="1" t="s">
        <v>689</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5" t="str">
        <f>HYPERLINK("http://www.d20pfsrd.com/magic/all-spells/b/break-enchantment","Break Enchantment")</f>
        <v>Break Enchantment</v>
      </c>
      <c r="BT54" s="1">
        <v>53</v>
      </c>
      <c r="BU54" s="1" t="s">
        <v>109</v>
      </c>
      <c r="BV54" s="1" t="s">
        <v>690</v>
      </c>
      <c r="BW54" s="1"/>
      <c r="BX54" s="1" t="s">
        <v>691</v>
      </c>
      <c r="BY54" s="1" t="s">
        <v>692</v>
      </c>
      <c r="BZ54" s="1">
        <v>1</v>
      </c>
      <c r="CA54" s="1" t="s">
        <v>109</v>
      </c>
      <c r="CB54" s="1">
        <v>5</v>
      </c>
      <c r="CC54" s="1">
        <v>4</v>
      </c>
      <c r="CD54" s="1" t="s">
        <v>109</v>
      </c>
      <c r="CE54" s="1">
        <v>4</v>
      </c>
      <c r="CF54" s="1">
        <v>4</v>
      </c>
      <c r="CG54" s="1">
        <v>5</v>
      </c>
      <c r="CH54" s="1" t="s">
        <v>109</v>
      </c>
      <c r="CI54" s="1" t="s">
        <v>109</v>
      </c>
      <c r="CJ54" s="1" t="s">
        <v>109</v>
      </c>
      <c r="CK54" s="1"/>
      <c r="CL54" s="1">
        <v>0</v>
      </c>
      <c r="CM54" s="1">
        <v>0</v>
      </c>
      <c r="CN54" s="1">
        <v>0</v>
      </c>
    </row>
    <row r="55" spans="1:92" ht="14.25" customHeight="1" x14ac:dyDescent="0.15">
      <c r="A55" s="1" t="s">
        <v>693</v>
      </c>
      <c r="B55" s="1" t="s">
        <v>95</v>
      </c>
      <c r="C55" s="1" t="s">
        <v>694</v>
      </c>
      <c r="D55" s="1"/>
      <c r="E55" s="1" t="s">
        <v>695</v>
      </c>
      <c r="F55" s="1" t="s">
        <v>98</v>
      </c>
      <c r="G55" s="1" t="s">
        <v>141</v>
      </c>
      <c r="H55" s="1">
        <v>0</v>
      </c>
      <c r="I55" s="1" t="s">
        <v>161</v>
      </c>
      <c r="J55" s="1"/>
      <c r="K55" s="1"/>
      <c r="L55" s="1" t="s">
        <v>506</v>
      </c>
      <c r="M55" s="1" t="s">
        <v>144</v>
      </c>
      <c r="N55" s="1">
        <v>0</v>
      </c>
      <c r="O55" s="1">
        <v>0</v>
      </c>
      <c r="P55" s="1" t="s">
        <v>696</v>
      </c>
      <c r="Q55" s="1" t="s">
        <v>697</v>
      </c>
      <c r="R55" s="1" t="s">
        <v>698</v>
      </c>
      <c r="S55" s="1" t="s">
        <v>699</v>
      </c>
      <c r="T55" s="1" t="s">
        <v>107</v>
      </c>
      <c r="U55" s="1" t="s">
        <v>700</v>
      </c>
      <c r="V55" s="1">
        <v>1</v>
      </c>
      <c r="W55" s="1">
        <v>1</v>
      </c>
      <c r="X55" s="1">
        <v>0</v>
      </c>
      <c r="Y55" s="1">
        <v>0</v>
      </c>
      <c r="Z55" s="1">
        <v>0</v>
      </c>
      <c r="AA55" s="1" t="s">
        <v>109</v>
      </c>
      <c r="AB55" s="1" t="s">
        <v>109</v>
      </c>
      <c r="AC55" s="1">
        <v>5</v>
      </c>
      <c r="AD55" s="1" t="s">
        <v>109</v>
      </c>
      <c r="AE55" s="1" t="s">
        <v>109</v>
      </c>
      <c r="AF55" s="1" t="s">
        <v>109</v>
      </c>
      <c r="AG55" s="1" t="s">
        <v>109</v>
      </c>
      <c r="AH55" s="1" t="s">
        <v>109</v>
      </c>
      <c r="AI55" s="1" t="s">
        <v>109</v>
      </c>
      <c r="AJ55" s="1" t="s">
        <v>109</v>
      </c>
      <c r="AK55" s="1" t="s">
        <v>109</v>
      </c>
      <c r="AL55" s="1">
        <v>5</v>
      </c>
      <c r="AM55" s="1" t="s">
        <v>109</v>
      </c>
      <c r="AN55" s="1" t="s">
        <v>109</v>
      </c>
      <c r="AO55" s="1" t="s">
        <v>109</v>
      </c>
      <c r="AP55" s="1"/>
      <c r="AQ55" s="1">
        <v>5</v>
      </c>
      <c r="AR55" s="1" t="s">
        <v>701</v>
      </c>
      <c r="AS55" s="1" t="s">
        <v>702</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5" t="str">
        <f>HYPERLINK("http://www.d20pfsrd.com/magic/all-spells/b/breath-of-life","Breath of Life")</f>
        <v>Breath of Life</v>
      </c>
      <c r="BT55" s="1">
        <v>54</v>
      </c>
      <c r="BU55" s="1" t="s">
        <v>109</v>
      </c>
      <c r="BV55" s="1"/>
      <c r="BW55" s="1"/>
      <c r="BX55" s="1" t="s">
        <v>703</v>
      </c>
      <c r="BY55" s="1" t="s">
        <v>704</v>
      </c>
      <c r="BZ55" s="1">
        <v>1</v>
      </c>
      <c r="CA55" s="1" t="s">
        <v>109</v>
      </c>
      <c r="CB55" s="1">
        <v>5</v>
      </c>
      <c r="CC55" s="1" t="s">
        <v>109</v>
      </c>
      <c r="CD55" s="1" t="s">
        <v>109</v>
      </c>
      <c r="CE55" s="1" t="s">
        <v>109</v>
      </c>
      <c r="CF55" s="1" t="s">
        <v>109</v>
      </c>
      <c r="CG55" s="1">
        <v>5</v>
      </c>
      <c r="CH55" s="1" t="s">
        <v>109</v>
      </c>
      <c r="CI55" s="1" t="s">
        <v>109</v>
      </c>
      <c r="CJ55" s="1" t="s">
        <v>109</v>
      </c>
      <c r="CK55" s="1"/>
      <c r="CL55" s="1">
        <v>0</v>
      </c>
      <c r="CM55" s="1">
        <v>0</v>
      </c>
      <c r="CN55" s="1">
        <v>0</v>
      </c>
    </row>
    <row r="56" spans="1:92" ht="14.25" customHeight="1" x14ac:dyDescent="0.15">
      <c r="A56" s="1" t="s">
        <v>705</v>
      </c>
      <c r="B56" s="1" t="s">
        <v>189</v>
      </c>
      <c r="C56" s="1"/>
      <c r="D56" s="1"/>
      <c r="E56" s="1" t="s">
        <v>706</v>
      </c>
      <c r="F56" s="1" t="s">
        <v>98</v>
      </c>
      <c r="G56" s="1" t="s">
        <v>707</v>
      </c>
      <c r="H56" s="1">
        <v>0</v>
      </c>
      <c r="I56" s="1" t="s">
        <v>161</v>
      </c>
      <c r="J56" s="1"/>
      <c r="K56" s="1"/>
      <c r="L56" s="1" t="s">
        <v>506</v>
      </c>
      <c r="M56" s="1" t="s">
        <v>164</v>
      </c>
      <c r="N56" s="1">
        <v>0</v>
      </c>
      <c r="O56" s="1">
        <v>0</v>
      </c>
      <c r="P56" s="1" t="s">
        <v>507</v>
      </c>
      <c r="Q56" s="1" t="s">
        <v>167</v>
      </c>
      <c r="R56" s="1" t="s">
        <v>708</v>
      </c>
      <c r="S56" s="1" t="s">
        <v>709</v>
      </c>
      <c r="T56" s="1" t="s">
        <v>107</v>
      </c>
      <c r="U56" s="1" t="s">
        <v>710</v>
      </c>
      <c r="V56" s="1">
        <v>1</v>
      </c>
      <c r="W56" s="1">
        <v>1</v>
      </c>
      <c r="X56" s="1">
        <v>1</v>
      </c>
      <c r="Y56" s="1">
        <v>0</v>
      </c>
      <c r="Z56" s="1">
        <v>1</v>
      </c>
      <c r="AA56" s="1">
        <v>2</v>
      </c>
      <c r="AB56" s="1">
        <v>2</v>
      </c>
      <c r="AC56" s="1">
        <v>2</v>
      </c>
      <c r="AD56" s="1">
        <v>2</v>
      </c>
      <c r="AE56" s="1" t="s">
        <v>109</v>
      </c>
      <c r="AF56" s="1" t="s">
        <v>109</v>
      </c>
      <c r="AG56" s="1">
        <v>2</v>
      </c>
      <c r="AH56" s="1">
        <v>2</v>
      </c>
      <c r="AI56" s="1">
        <v>2</v>
      </c>
      <c r="AJ56" s="1" t="s">
        <v>109</v>
      </c>
      <c r="AK56" s="1" t="s">
        <v>109</v>
      </c>
      <c r="AL56" s="1">
        <v>2</v>
      </c>
      <c r="AM56" s="1">
        <v>2</v>
      </c>
      <c r="AN56" s="1">
        <v>2</v>
      </c>
      <c r="AO56" s="1">
        <v>2</v>
      </c>
      <c r="AP56" s="1"/>
      <c r="AQ56" s="1">
        <v>2</v>
      </c>
      <c r="AR56" s="1" t="s">
        <v>711</v>
      </c>
      <c r="AS56" s="1" t="s">
        <v>712</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5" t="str">
        <f>HYPERLINK("http://www.d20pfsrd.com/magic/all-spells/b/bull-s-strength","Bull's Strength")</f>
        <v>Bull's Strength</v>
      </c>
      <c r="BT56" s="1">
        <v>55</v>
      </c>
      <c r="BU56" s="1" t="s">
        <v>109</v>
      </c>
      <c r="BV56" s="1" t="s">
        <v>713</v>
      </c>
      <c r="BW56" s="1" t="s">
        <v>714</v>
      </c>
      <c r="BX56" s="1"/>
      <c r="BY56" s="1"/>
      <c r="BZ56" s="1">
        <v>0</v>
      </c>
      <c r="CA56" s="1">
        <v>2</v>
      </c>
      <c r="CB56" s="1">
        <v>2</v>
      </c>
      <c r="CC56" s="1">
        <v>2</v>
      </c>
      <c r="CD56" s="1" t="s">
        <v>109</v>
      </c>
      <c r="CE56" s="1" t="s">
        <v>109</v>
      </c>
      <c r="CF56" s="1" t="s">
        <v>109</v>
      </c>
      <c r="CG56" s="1" t="s">
        <v>109</v>
      </c>
      <c r="CH56" s="1" t="s">
        <v>109</v>
      </c>
      <c r="CI56" s="1" t="s">
        <v>109</v>
      </c>
      <c r="CJ56" s="1">
        <v>2</v>
      </c>
      <c r="CK56" s="1"/>
      <c r="CL56" s="1">
        <v>0</v>
      </c>
      <c r="CM56" s="1">
        <v>0</v>
      </c>
      <c r="CN56" s="1">
        <v>0</v>
      </c>
    </row>
    <row r="57" spans="1:92" ht="14.25" customHeight="1" x14ac:dyDescent="0.15">
      <c r="A57" s="1" t="s">
        <v>715</v>
      </c>
      <c r="B57" s="1" t="s">
        <v>189</v>
      </c>
      <c r="C57" s="1"/>
      <c r="D57" s="1"/>
      <c r="E57" s="1" t="s">
        <v>514</v>
      </c>
      <c r="F57" s="1" t="s">
        <v>98</v>
      </c>
      <c r="G57" s="1" t="s">
        <v>707</v>
      </c>
      <c r="H57" s="1">
        <v>0</v>
      </c>
      <c r="I57" s="1" t="s">
        <v>142</v>
      </c>
      <c r="J57" s="1"/>
      <c r="K57" s="1"/>
      <c r="L57" s="1" t="s">
        <v>716</v>
      </c>
      <c r="M57" s="1" t="s">
        <v>164</v>
      </c>
      <c r="N57" s="1">
        <v>0</v>
      </c>
      <c r="O57" s="1">
        <v>0</v>
      </c>
      <c r="P57" s="1" t="s">
        <v>507</v>
      </c>
      <c r="Q57" s="1" t="s">
        <v>167</v>
      </c>
      <c r="R57" s="1" t="s">
        <v>717</v>
      </c>
      <c r="S57" s="1" t="s">
        <v>718</v>
      </c>
      <c r="T57" s="1" t="s">
        <v>107</v>
      </c>
      <c r="U57" s="1" t="s">
        <v>719</v>
      </c>
      <c r="V57" s="1">
        <v>1</v>
      </c>
      <c r="W57" s="1">
        <v>1</v>
      </c>
      <c r="X57" s="1">
        <v>1</v>
      </c>
      <c r="Y57" s="1">
        <v>0</v>
      </c>
      <c r="Z57" s="1">
        <v>1</v>
      </c>
      <c r="AA57" s="1">
        <v>6</v>
      </c>
      <c r="AB57" s="1">
        <v>6</v>
      </c>
      <c r="AC57" s="1">
        <v>6</v>
      </c>
      <c r="AD57" s="1">
        <v>6</v>
      </c>
      <c r="AE57" s="1" t="s">
        <v>109</v>
      </c>
      <c r="AF57" s="1" t="s">
        <v>109</v>
      </c>
      <c r="AG57" s="1" t="s">
        <v>109</v>
      </c>
      <c r="AH57" s="1" t="s">
        <v>109</v>
      </c>
      <c r="AI57" s="1">
        <v>4</v>
      </c>
      <c r="AJ57" s="1" t="s">
        <v>109</v>
      </c>
      <c r="AK57" s="1" t="s">
        <v>109</v>
      </c>
      <c r="AL57" s="1">
        <v>6</v>
      </c>
      <c r="AM57" s="1" t="s">
        <v>109</v>
      </c>
      <c r="AN57" s="1">
        <v>6</v>
      </c>
      <c r="AO57" s="1" t="s">
        <v>109</v>
      </c>
      <c r="AP57" s="1"/>
      <c r="AQ57" s="1">
        <v>6</v>
      </c>
      <c r="AR57" s="1" t="s">
        <v>720</v>
      </c>
      <c r="AS57" s="1" t="s">
        <v>721</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5" t="str">
        <f>HYPERLINK("http://www.d20pfsrd.com/magic/all-spells/b/bull-s-strength","Bull's Strength, Mass")</f>
        <v>Bull's Strength, Mass</v>
      </c>
      <c r="BT57" s="1">
        <v>56</v>
      </c>
      <c r="BU57" s="1" t="s">
        <v>109</v>
      </c>
      <c r="BV57" s="1"/>
      <c r="BW57" s="1" t="s">
        <v>722</v>
      </c>
      <c r="BX57" s="1"/>
      <c r="BY57" s="1"/>
      <c r="BZ57" s="1">
        <v>0</v>
      </c>
      <c r="CA57" s="1" t="s">
        <v>109</v>
      </c>
      <c r="CB57" s="1">
        <v>6</v>
      </c>
      <c r="CC57" s="1">
        <v>6</v>
      </c>
      <c r="CD57" s="1" t="s">
        <v>109</v>
      </c>
      <c r="CE57" s="1" t="s">
        <v>109</v>
      </c>
      <c r="CF57" s="1" t="s">
        <v>109</v>
      </c>
      <c r="CG57" s="1" t="s">
        <v>109</v>
      </c>
      <c r="CH57" s="1" t="s">
        <v>109</v>
      </c>
      <c r="CI57" s="1" t="s">
        <v>109</v>
      </c>
      <c r="CJ57" s="1">
        <v>6</v>
      </c>
      <c r="CK57" s="1"/>
      <c r="CL57" s="1">
        <v>0</v>
      </c>
      <c r="CM57" s="1">
        <v>0</v>
      </c>
      <c r="CN57" s="1">
        <v>0</v>
      </c>
    </row>
    <row r="58" spans="1:92" ht="14.25" customHeight="1" x14ac:dyDescent="0.15">
      <c r="A58" s="1" t="s">
        <v>723</v>
      </c>
      <c r="B58" s="1" t="s">
        <v>584</v>
      </c>
      <c r="C58" s="1"/>
      <c r="D58" s="1" t="s">
        <v>59</v>
      </c>
      <c r="E58" s="1" t="s">
        <v>724</v>
      </c>
      <c r="F58" s="1" t="s">
        <v>98</v>
      </c>
      <c r="G58" s="1" t="s">
        <v>141</v>
      </c>
      <c r="H58" s="1">
        <v>0</v>
      </c>
      <c r="I58" s="1" t="s">
        <v>725</v>
      </c>
      <c r="J58" s="1" t="s">
        <v>726</v>
      </c>
      <c r="K58" s="1"/>
      <c r="L58" s="1"/>
      <c r="M58" s="1" t="s">
        <v>144</v>
      </c>
      <c r="N58" s="1">
        <v>0</v>
      </c>
      <c r="O58" s="1">
        <v>0</v>
      </c>
      <c r="P58" s="1" t="s">
        <v>727</v>
      </c>
      <c r="Q58" s="1" t="s">
        <v>268</v>
      </c>
      <c r="R58" s="1" t="s">
        <v>728</v>
      </c>
      <c r="S58" s="1" t="s">
        <v>729</v>
      </c>
      <c r="T58" s="1" t="s">
        <v>107</v>
      </c>
      <c r="U58" s="1" t="s">
        <v>730</v>
      </c>
      <c r="V58" s="1">
        <v>1</v>
      </c>
      <c r="W58" s="1">
        <v>1</v>
      </c>
      <c r="X58" s="1">
        <v>0</v>
      </c>
      <c r="Y58" s="1">
        <v>0</v>
      </c>
      <c r="Z58" s="1">
        <v>0</v>
      </c>
      <c r="AA58" s="1">
        <v>1</v>
      </c>
      <c r="AB58" s="1">
        <v>1</v>
      </c>
      <c r="AC58" s="1" t="s">
        <v>109</v>
      </c>
      <c r="AD58" s="1" t="s">
        <v>109</v>
      </c>
      <c r="AE58" s="1" t="s">
        <v>109</v>
      </c>
      <c r="AF58" s="1" t="s">
        <v>109</v>
      </c>
      <c r="AG58" s="1" t="s">
        <v>109</v>
      </c>
      <c r="AH58" s="1" t="s">
        <v>109</v>
      </c>
      <c r="AI58" s="1" t="s">
        <v>109</v>
      </c>
      <c r="AJ58" s="1">
        <v>1</v>
      </c>
      <c r="AK58" s="1" t="s">
        <v>109</v>
      </c>
      <c r="AL58" s="1" t="s">
        <v>109</v>
      </c>
      <c r="AM58" s="1" t="s">
        <v>109</v>
      </c>
      <c r="AN58" s="1">
        <v>1</v>
      </c>
      <c r="AO58" s="1">
        <v>1</v>
      </c>
      <c r="AP58" s="1"/>
      <c r="AQ58" s="1">
        <v>1</v>
      </c>
      <c r="AR58" s="1" t="s">
        <v>731</v>
      </c>
      <c r="AS58" s="1" t="s">
        <v>732</v>
      </c>
      <c r="AT58" s="1">
        <v>0</v>
      </c>
      <c r="AU58" s="1">
        <v>0</v>
      </c>
      <c r="AV58" s="1">
        <v>0</v>
      </c>
      <c r="AW58" s="1">
        <v>0</v>
      </c>
      <c r="AX58" s="1">
        <v>0</v>
      </c>
      <c r="AY58" s="1">
        <v>0</v>
      </c>
      <c r="AZ58" s="1">
        <v>0</v>
      </c>
      <c r="BA58" s="1">
        <v>0</v>
      </c>
      <c r="BB58" s="1">
        <v>0</v>
      </c>
      <c r="BC58" s="1">
        <v>0</v>
      </c>
      <c r="BD58" s="1">
        <v>0</v>
      </c>
      <c r="BE58" s="1">
        <v>0</v>
      </c>
      <c r="BF58" s="1">
        <v>0</v>
      </c>
      <c r="BG58" s="1">
        <v>1</v>
      </c>
      <c r="BH58" s="1">
        <v>0</v>
      </c>
      <c r="BI58" s="1">
        <v>0</v>
      </c>
      <c r="BJ58" s="1">
        <v>0</v>
      </c>
      <c r="BK58" s="1">
        <v>0</v>
      </c>
      <c r="BL58" s="1">
        <v>0</v>
      </c>
      <c r="BM58" s="1">
        <v>0</v>
      </c>
      <c r="BN58" s="1">
        <v>0</v>
      </c>
      <c r="BO58" s="1">
        <v>0</v>
      </c>
      <c r="BP58" s="1">
        <v>0</v>
      </c>
      <c r="BQ58" s="1">
        <v>0</v>
      </c>
      <c r="BR58" s="1">
        <v>0</v>
      </c>
      <c r="BS58" s="5" t="str">
        <f>HYPERLINK("http://www.d20pfsrd.com/magic/all-spells/b/burning-hands","Burning Hands")</f>
        <v>Burning Hands</v>
      </c>
      <c r="BT58" s="1">
        <v>57</v>
      </c>
      <c r="BU58" s="1" t="s">
        <v>109</v>
      </c>
      <c r="BV58" s="1" t="s">
        <v>733</v>
      </c>
      <c r="BW58" s="1" t="s">
        <v>734</v>
      </c>
      <c r="BX58" s="1" t="s">
        <v>735</v>
      </c>
      <c r="BY58" s="1"/>
      <c r="BZ58" s="1">
        <v>1</v>
      </c>
      <c r="CA58" s="1">
        <v>1</v>
      </c>
      <c r="CB58" s="1">
        <v>1</v>
      </c>
      <c r="CC58" s="1" t="s">
        <v>109</v>
      </c>
      <c r="CD58" s="1" t="s">
        <v>109</v>
      </c>
      <c r="CE58" s="1" t="s">
        <v>109</v>
      </c>
      <c r="CF58" s="1">
        <v>1</v>
      </c>
      <c r="CG58" s="1" t="s">
        <v>109</v>
      </c>
      <c r="CH58" s="1" t="s">
        <v>109</v>
      </c>
      <c r="CI58" s="1" t="s">
        <v>109</v>
      </c>
      <c r="CJ58" s="1" t="s">
        <v>109</v>
      </c>
      <c r="CK58" s="1"/>
      <c r="CL58" s="1">
        <v>0</v>
      </c>
      <c r="CM58" s="1">
        <v>0</v>
      </c>
      <c r="CN58" s="1">
        <v>0</v>
      </c>
    </row>
    <row r="59" spans="1:92" ht="14.25" customHeight="1" x14ac:dyDescent="0.15">
      <c r="A59" s="1" t="s">
        <v>736</v>
      </c>
      <c r="B59" s="1" t="s">
        <v>584</v>
      </c>
      <c r="C59" s="1"/>
      <c r="D59" s="1" t="s">
        <v>55</v>
      </c>
      <c r="E59" s="1" t="s">
        <v>737</v>
      </c>
      <c r="F59" s="1" t="s">
        <v>355</v>
      </c>
      <c r="G59" s="1" t="s">
        <v>141</v>
      </c>
      <c r="H59" s="1">
        <v>0</v>
      </c>
      <c r="I59" s="1" t="s">
        <v>122</v>
      </c>
      <c r="J59" s="1"/>
      <c r="K59" s="1" t="s">
        <v>738</v>
      </c>
      <c r="L59" s="1"/>
      <c r="M59" s="1" t="s">
        <v>164</v>
      </c>
      <c r="N59" s="1">
        <v>0</v>
      </c>
      <c r="O59" s="1">
        <v>0</v>
      </c>
      <c r="P59" s="1" t="s">
        <v>727</v>
      </c>
      <c r="Q59" s="1" t="s">
        <v>268</v>
      </c>
      <c r="R59" s="1" t="s">
        <v>739</v>
      </c>
      <c r="S59" s="1" t="s">
        <v>740</v>
      </c>
      <c r="T59" s="1" t="s">
        <v>107</v>
      </c>
      <c r="U59" s="1" t="s">
        <v>741</v>
      </c>
      <c r="V59" s="1">
        <v>1</v>
      </c>
      <c r="W59" s="1">
        <v>1</v>
      </c>
      <c r="X59" s="1">
        <v>0</v>
      </c>
      <c r="Y59" s="1">
        <v>0</v>
      </c>
      <c r="Z59" s="1">
        <v>0</v>
      </c>
      <c r="AA59" s="1" t="s">
        <v>109</v>
      </c>
      <c r="AB59" s="1" t="s">
        <v>109</v>
      </c>
      <c r="AC59" s="1" t="s">
        <v>109</v>
      </c>
      <c r="AD59" s="1">
        <v>3</v>
      </c>
      <c r="AE59" s="1" t="s">
        <v>109</v>
      </c>
      <c r="AF59" s="1" t="s">
        <v>109</v>
      </c>
      <c r="AG59" s="1" t="s">
        <v>109</v>
      </c>
      <c r="AH59" s="1" t="s">
        <v>109</v>
      </c>
      <c r="AI59" s="1" t="s">
        <v>109</v>
      </c>
      <c r="AJ59" s="1" t="s">
        <v>109</v>
      </c>
      <c r="AK59" s="1" t="s">
        <v>109</v>
      </c>
      <c r="AL59" s="1" t="s">
        <v>109</v>
      </c>
      <c r="AM59" s="1" t="s">
        <v>109</v>
      </c>
      <c r="AN59" s="1" t="s">
        <v>109</v>
      </c>
      <c r="AO59" s="1" t="s">
        <v>109</v>
      </c>
      <c r="AP59" s="1"/>
      <c r="AQ59" s="1">
        <v>3</v>
      </c>
      <c r="AR59" s="1" t="s">
        <v>742</v>
      </c>
      <c r="AS59" s="1" t="s">
        <v>743</v>
      </c>
      <c r="AT59" s="1">
        <v>0</v>
      </c>
      <c r="AU59" s="1">
        <v>0</v>
      </c>
      <c r="AV59" s="1">
        <v>0</v>
      </c>
      <c r="AW59" s="1">
        <v>0</v>
      </c>
      <c r="AX59" s="1">
        <v>0</v>
      </c>
      <c r="AY59" s="1">
        <v>0</v>
      </c>
      <c r="AZ59" s="1">
        <v>0</v>
      </c>
      <c r="BA59" s="1">
        <v>0</v>
      </c>
      <c r="BB59" s="1">
        <v>0</v>
      </c>
      <c r="BC59" s="1">
        <v>1</v>
      </c>
      <c r="BD59" s="1">
        <v>0</v>
      </c>
      <c r="BE59" s="1">
        <v>0</v>
      </c>
      <c r="BF59" s="1">
        <v>0</v>
      </c>
      <c r="BG59" s="1">
        <v>0</v>
      </c>
      <c r="BH59" s="1">
        <v>0</v>
      </c>
      <c r="BI59" s="1">
        <v>0</v>
      </c>
      <c r="BJ59" s="1">
        <v>0</v>
      </c>
      <c r="BK59" s="1">
        <v>0</v>
      </c>
      <c r="BL59" s="1">
        <v>0</v>
      </c>
      <c r="BM59" s="1">
        <v>0</v>
      </c>
      <c r="BN59" s="1">
        <v>0</v>
      </c>
      <c r="BO59" s="1">
        <v>0</v>
      </c>
      <c r="BP59" s="1">
        <v>0</v>
      </c>
      <c r="BQ59" s="1">
        <v>0</v>
      </c>
      <c r="BR59" s="1">
        <v>0</v>
      </c>
      <c r="BS59" s="5" t="str">
        <f>HYPERLINK("http://www.d20pfsrd.com/magic/all-spells/c/call-lightning","Call Lightning")</f>
        <v>Call Lightning</v>
      </c>
      <c r="BT59" s="1">
        <v>58</v>
      </c>
      <c r="BU59" s="1" t="s">
        <v>109</v>
      </c>
      <c r="BV59" s="1"/>
      <c r="BW59" s="1" t="s">
        <v>744</v>
      </c>
      <c r="BX59" s="1" t="s">
        <v>745</v>
      </c>
      <c r="BY59" s="1"/>
      <c r="BZ59" s="1">
        <v>1</v>
      </c>
      <c r="CA59" s="1" t="s">
        <v>109</v>
      </c>
      <c r="CB59" s="1">
        <v>3</v>
      </c>
      <c r="CC59" s="1" t="s">
        <v>109</v>
      </c>
      <c r="CD59" s="1" t="s">
        <v>109</v>
      </c>
      <c r="CE59" s="1" t="s">
        <v>109</v>
      </c>
      <c r="CF59" s="1">
        <v>3</v>
      </c>
      <c r="CG59" s="1" t="s">
        <v>109</v>
      </c>
      <c r="CH59" s="1" t="s">
        <v>109</v>
      </c>
      <c r="CI59" s="1" t="s">
        <v>109</v>
      </c>
      <c r="CJ59" s="1">
        <v>3</v>
      </c>
      <c r="CK59" s="1"/>
      <c r="CL59" s="1">
        <v>0</v>
      </c>
      <c r="CM59" s="1">
        <v>0</v>
      </c>
      <c r="CN59" s="1">
        <v>0</v>
      </c>
    </row>
    <row r="60" spans="1:92" ht="14.25" customHeight="1" x14ac:dyDescent="0.15">
      <c r="A60" s="1" t="s">
        <v>746</v>
      </c>
      <c r="B60" s="1" t="s">
        <v>584</v>
      </c>
      <c r="C60" s="1"/>
      <c r="D60" s="1" t="s">
        <v>55</v>
      </c>
      <c r="E60" s="1" t="s">
        <v>747</v>
      </c>
      <c r="F60" s="1" t="s">
        <v>355</v>
      </c>
      <c r="G60" s="1" t="s">
        <v>141</v>
      </c>
      <c r="H60" s="1">
        <v>0</v>
      </c>
      <c r="I60" s="1" t="s">
        <v>100</v>
      </c>
      <c r="J60" s="1"/>
      <c r="K60" s="1" t="s">
        <v>738</v>
      </c>
      <c r="L60" s="1"/>
      <c r="M60" s="1" t="s">
        <v>164</v>
      </c>
      <c r="N60" s="1">
        <v>0</v>
      </c>
      <c r="O60" s="1">
        <v>0</v>
      </c>
      <c r="P60" s="1" t="s">
        <v>727</v>
      </c>
      <c r="Q60" s="1" t="s">
        <v>268</v>
      </c>
      <c r="R60" s="1" t="s">
        <v>748</v>
      </c>
      <c r="S60" s="1" t="s">
        <v>749</v>
      </c>
      <c r="T60" s="1" t="s">
        <v>107</v>
      </c>
      <c r="U60" s="1" t="s">
        <v>750</v>
      </c>
      <c r="V60" s="1">
        <v>1</v>
      </c>
      <c r="W60" s="1">
        <v>1</v>
      </c>
      <c r="X60" s="1">
        <v>0</v>
      </c>
      <c r="Y60" s="1">
        <v>0</v>
      </c>
      <c r="Z60" s="1">
        <v>0</v>
      </c>
      <c r="AA60" s="1" t="s">
        <v>109</v>
      </c>
      <c r="AB60" s="1" t="s">
        <v>109</v>
      </c>
      <c r="AC60" s="1" t="s">
        <v>109</v>
      </c>
      <c r="AD60" s="1">
        <v>5</v>
      </c>
      <c r="AE60" s="1" t="s">
        <v>109</v>
      </c>
      <c r="AF60" s="1" t="s">
        <v>109</v>
      </c>
      <c r="AG60" s="1" t="s">
        <v>109</v>
      </c>
      <c r="AH60" s="1" t="s">
        <v>109</v>
      </c>
      <c r="AI60" s="1" t="s">
        <v>109</v>
      </c>
      <c r="AJ60" s="1" t="s">
        <v>109</v>
      </c>
      <c r="AK60" s="1" t="s">
        <v>109</v>
      </c>
      <c r="AL60" s="1" t="s">
        <v>109</v>
      </c>
      <c r="AM60" s="1" t="s">
        <v>109</v>
      </c>
      <c r="AN60" s="1" t="s">
        <v>109</v>
      </c>
      <c r="AO60" s="1" t="s">
        <v>109</v>
      </c>
      <c r="AP60" s="1"/>
      <c r="AQ60" s="1">
        <v>5</v>
      </c>
      <c r="AR60" s="1" t="s">
        <v>751</v>
      </c>
      <c r="AS60" s="1" t="s">
        <v>752</v>
      </c>
      <c r="AT60" s="1">
        <v>0</v>
      </c>
      <c r="AU60" s="1">
        <v>0</v>
      </c>
      <c r="AV60" s="1">
        <v>0</v>
      </c>
      <c r="AW60" s="1">
        <v>0</v>
      </c>
      <c r="AX60" s="1">
        <v>0</v>
      </c>
      <c r="AY60" s="1">
        <v>0</v>
      </c>
      <c r="AZ60" s="1">
        <v>0</v>
      </c>
      <c r="BA60" s="1">
        <v>0</v>
      </c>
      <c r="BB60" s="1">
        <v>0</v>
      </c>
      <c r="BC60" s="1">
        <v>1</v>
      </c>
      <c r="BD60" s="1">
        <v>0</v>
      </c>
      <c r="BE60" s="1">
        <v>0</v>
      </c>
      <c r="BF60" s="1">
        <v>0</v>
      </c>
      <c r="BG60" s="1">
        <v>0</v>
      </c>
      <c r="BH60" s="1">
        <v>0</v>
      </c>
      <c r="BI60" s="1">
        <v>0</v>
      </c>
      <c r="BJ60" s="1">
        <v>0</v>
      </c>
      <c r="BK60" s="1">
        <v>0</v>
      </c>
      <c r="BL60" s="1">
        <v>0</v>
      </c>
      <c r="BM60" s="1">
        <v>0</v>
      </c>
      <c r="BN60" s="1">
        <v>0</v>
      </c>
      <c r="BO60" s="1">
        <v>0</v>
      </c>
      <c r="BP60" s="1">
        <v>0</v>
      </c>
      <c r="BQ60" s="1">
        <v>0</v>
      </c>
      <c r="BR60" s="1">
        <v>0</v>
      </c>
      <c r="BS60" s="5" t="str">
        <f>HYPERLINK("http://www.d20pfsrd.com/magic/all-spells/c/call-lightning-storm","Call Lightning Storm")</f>
        <v>Call Lightning Storm</v>
      </c>
      <c r="BT60" s="1">
        <v>59</v>
      </c>
      <c r="BU60" s="1" t="s">
        <v>109</v>
      </c>
      <c r="BV60" s="1" t="s">
        <v>753</v>
      </c>
      <c r="BW60" s="1" t="s">
        <v>754</v>
      </c>
      <c r="BX60" s="1"/>
      <c r="BY60" s="1"/>
      <c r="BZ60" s="1">
        <v>0</v>
      </c>
      <c r="CA60" s="1" t="s">
        <v>109</v>
      </c>
      <c r="CB60" s="1">
        <v>5</v>
      </c>
      <c r="CC60" s="1" t="s">
        <v>109</v>
      </c>
      <c r="CD60" s="1" t="s">
        <v>109</v>
      </c>
      <c r="CE60" s="1" t="s">
        <v>109</v>
      </c>
      <c r="CF60" s="1">
        <v>5</v>
      </c>
      <c r="CG60" s="1" t="s">
        <v>109</v>
      </c>
      <c r="CH60" s="1" t="s">
        <v>109</v>
      </c>
      <c r="CI60" s="1" t="s">
        <v>109</v>
      </c>
      <c r="CJ60" s="1">
        <v>5</v>
      </c>
      <c r="CK60" s="1"/>
      <c r="CL60" s="1">
        <v>0</v>
      </c>
      <c r="CM60" s="1">
        <v>0</v>
      </c>
      <c r="CN60" s="1">
        <v>0</v>
      </c>
    </row>
    <row r="61" spans="1:92" ht="14.25" customHeight="1" x14ac:dyDescent="0.15">
      <c r="A61" s="1" t="s">
        <v>755</v>
      </c>
      <c r="B61" s="1" t="s">
        <v>156</v>
      </c>
      <c r="C61" s="1" t="s">
        <v>157</v>
      </c>
      <c r="D61" s="1" t="s">
        <v>375</v>
      </c>
      <c r="E61" s="1" t="s">
        <v>756</v>
      </c>
      <c r="F61" s="1" t="s">
        <v>98</v>
      </c>
      <c r="G61" s="1" t="s">
        <v>141</v>
      </c>
      <c r="H61" s="1">
        <v>0</v>
      </c>
      <c r="I61" s="1" t="s">
        <v>142</v>
      </c>
      <c r="J61" s="1"/>
      <c r="K61" s="1"/>
      <c r="L61" s="1" t="s">
        <v>757</v>
      </c>
      <c r="M61" s="1" t="s">
        <v>164</v>
      </c>
      <c r="N61" s="1">
        <v>0</v>
      </c>
      <c r="O61" s="1">
        <v>0</v>
      </c>
      <c r="P61" s="1" t="s">
        <v>301</v>
      </c>
      <c r="Q61" s="1" t="s">
        <v>268</v>
      </c>
      <c r="R61" s="1" t="s">
        <v>758</v>
      </c>
      <c r="S61" s="1" t="s">
        <v>759</v>
      </c>
      <c r="T61" s="1" t="s">
        <v>107</v>
      </c>
      <c r="U61" s="1" t="s">
        <v>760</v>
      </c>
      <c r="V61" s="1">
        <v>1</v>
      </c>
      <c r="W61" s="1">
        <v>1</v>
      </c>
      <c r="X61" s="1">
        <v>0</v>
      </c>
      <c r="Y61" s="1">
        <v>0</v>
      </c>
      <c r="Z61" s="1">
        <v>0</v>
      </c>
      <c r="AA61" s="1" t="s">
        <v>109</v>
      </c>
      <c r="AB61" s="1" t="s">
        <v>109</v>
      </c>
      <c r="AC61" s="1" t="s">
        <v>109</v>
      </c>
      <c r="AD61" s="1">
        <v>1</v>
      </c>
      <c r="AE61" s="1">
        <v>1</v>
      </c>
      <c r="AF61" s="1" t="s">
        <v>109</v>
      </c>
      <c r="AG61" s="1" t="s">
        <v>109</v>
      </c>
      <c r="AH61" s="1" t="s">
        <v>109</v>
      </c>
      <c r="AI61" s="1" t="s">
        <v>109</v>
      </c>
      <c r="AJ61" s="1" t="s">
        <v>109</v>
      </c>
      <c r="AK61" s="1" t="s">
        <v>109</v>
      </c>
      <c r="AL61" s="1" t="s">
        <v>109</v>
      </c>
      <c r="AM61" s="1" t="s">
        <v>109</v>
      </c>
      <c r="AN61" s="1" t="s">
        <v>109</v>
      </c>
      <c r="AO61" s="1" t="s">
        <v>109</v>
      </c>
      <c r="AP61" s="1"/>
      <c r="AQ61" s="1">
        <v>1</v>
      </c>
      <c r="AR61" s="1" t="s">
        <v>761</v>
      </c>
      <c r="AS61" s="1" t="s">
        <v>762</v>
      </c>
      <c r="AT61" s="1">
        <v>0</v>
      </c>
      <c r="AU61" s="1">
        <v>0</v>
      </c>
      <c r="AV61" s="1">
        <v>0</v>
      </c>
      <c r="AW61" s="1">
        <v>0</v>
      </c>
      <c r="AX61" s="1">
        <v>0</v>
      </c>
      <c r="AY61" s="1">
        <v>0</v>
      </c>
      <c r="AZ61" s="1">
        <v>0</v>
      </c>
      <c r="BA61" s="1">
        <v>0</v>
      </c>
      <c r="BB61" s="1">
        <v>0</v>
      </c>
      <c r="BC61" s="1">
        <v>0</v>
      </c>
      <c r="BD61" s="1">
        <v>1</v>
      </c>
      <c r="BE61" s="1">
        <v>0</v>
      </c>
      <c r="BF61" s="1">
        <v>0</v>
      </c>
      <c r="BG61" s="1">
        <v>0</v>
      </c>
      <c r="BH61" s="1">
        <v>0</v>
      </c>
      <c r="BI61" s="1">
        <v>0</v>
      </c>
      <c r="BJ61" s="1">
        <v>0</v>
      </c>
      <c r="BK61" s="1">
        <v>0</v>
      </c>
      <c r="BL61" s="1">
        <v>0</v>
      </c>
      <c r="BM61" s="1">
        <v>1</v>
      </c>
      <c r="BN61" s="1">
        <v>0</v>
      </c>
      <c r="BO61" s="1">
        <v>0</v>
      </c>
      <c r="BP61" s="1">
        <v>0</v>
      </c>
      <c r="BQ61" s="1">
        <v>0</v>
      </c>
      <c r="BR61" s="1">
        <v>0</v>
      </c>
      <c r="BS61" s="5" t="str">
        <f>HYPERLINK("http://www.d20pfsrd.com/magic/all-spells/c/calm-animals","Calm Animals")</f>
        <v>Calm Animals</v>
      </c>
      <c r="BT61" s="1">
        <v>60</v>
      </c>
      <c r="BU61" s="1" t="s">
        <v>109</v>
      </c>
      <c r="BV61" s="1"/>
      <c r="BW61" s="1"/>
      <c r="BX61" s="1"/>
      <c r="BY61" s="1"/>
      <c r="BZ61" s="1">
        <v>0</v>
      </c>
      <c r="CA61" s="1" t="s">
        <v>109</v>
      </c>
      <c r="CB61" s="1">
        <v>1</v>
      </c>
      <c r="CC61" s="1">
        <v>1</v>
      </c>
      <c r="CD61" s="1" t="s">
        <v>109</v>
      </c>
      <c r="CE61" s="1" t="s">
        <v>109</v>
      </c>
      <c r="CF61" s="1" t="s">
        <v>109</v>
      </c>
      <c r="CG61" s="1" t="s">
        <v>109</v>
      </c>
      <c r="CH61" s="1" t="s">
        <v>109</v>
      </c>
      <c r="CI61" s="1" t="s">
        <v>109</v>
      </c>
      <c r="CJ61" s="1">
        <v>1</v>
      </c>
      <c r="CK61" s="1"/>
      <c r="CL61" s="1">
        <v>0</v>
      </c>
      <c r="CM61" s="1">
        <v>0</v>
      </c>
      <c r="CN61" s="1">
        <v>0</v>
      </c>
    </row>
    <row r="62" spans="1:92" ht="14.25" customHeight="1" x14ac:dyDescent="0.15">
      <c r="A62" s="1" t="s">
        <v>763</v>
      </c>
      <c r="B62" s="1" t="s">
        <v>156</v>
      </c>
      <c r="C62" s="1" t="s">
        <v>157</v>
      </c>
      <c r="D62" s="1" t="s">
        <v>375</v>
      </c>
      <c r="E62" s="1" t="s">
        <v>764</v>
      </c>
      <c r="F62" s="1" t="s">
        <v>98</v>
      </c>
      <c r="G62" s="1" t="s">
        <v>160</v>
      </c>
      <c r="H62" s="1">
        <v>0</v>
      </c>
      <c r="I62" s="1" t="s">
        <v>122</v>
      </c>
      <c r="J62" s="1" t="s">
        <v>765</v>
      </c>
      <c r="K62" s="1"/>
      <c r="L62" s="1"/>
      <c r="M62" s="1" t="s">
        <v>766</v>
      </c>
      <c r="N62" s="1">
        <v>1</v>
      </c>
      <c r="O62" s="1">
        <v>0</v>
      </c>
      <c r="P62" s="1" t="s">
        <v>301</v>
      </c>
      <c r="Q62" s="1" t="s">
        <v>268</v>
      </c>
      <c r="R62" s="1" t="s">
        <v>767</v>
      </c>
      <c r="S62" s="1" t="s">
        <v>768</v>
      </c>
      <c r="T62" s="1" t="s">
        <v>107</v>
      </c>
      <c r="U62" s="1" t="s">
        <v>769</v>
      </c>
      <c r="V62" s="1">
        <v>1</v>
      </c>
      <c r="W62" s="1">
        <v>1</v>
      </c>
      <c r="X62" s="1">
        <v>0</v>
      </c>
      <c r="Y62" s="1">
        <v>0</v>
      </c>
      <c r="Z62" s="1">
        <v>1</v>
      </c>
      <c r="AA62" s="1" t="s">
        <v>109</v>
      </c>
      <c r="AB62" s="1" t="s">
        <v>109</v>
      </c>
      <c r="AC62" s="1">
        <v>2</v>
      </c>
      <c r="AD62" s="1" t="s">
        <v>109</v>
      </c>
      <c r="AE62" s="1" t="s">
        <v>109</v>
      </c>
      <c r="AF62" s="1">
        <v>2</v>
      </c>
      <c r="AG62" s="1" t="s">
        <v>109</v>
      </c>
      <c r="AH62" s="1" t="s">
        <v>109</v>
      </c>
      <c r="AI62" s="1" t="s">
        <v>109</v>
      </c>
      <c r="AJ62" s="1" t="s">
        <v>109</v>
      </c>
      <c r="AK62" s="1">
        <v>2</v>
      </c>
      <c r="AL62" s="1">
        <v>2</v>
      </c>
      <c r="AM62" s="1" t="s">
        <v>109</v>
      </c>
      <c r="AN62" s="1" t="s">
        <v>109</v>
      </c>
      <c r="AO62" s="1" t="s">
        <v>109</v>
      </c>
      <c r="AP62" s="1"/>
      <c r="AQ62" s="1">
        <v>2</v>
      </c>
      <c r="AR62" s="1" t="s">
        <v>770</v>
      </c>
      <c r="AS62" s="1" t="s">
        <v>771</v>
      </c>
      <c r="AT62" s="1">
        <v>0</v>
      </c>
      <c r="AU62" s="1">
        <v>0</v>
      </c>
      <c r="AV62" s="1">
        <v>0</v>
      </c>
      <c r="AW62" s="1">
        <v>0</v>
      </c>
      <c r="AX62" s="1">
        <v>0</v>
      </c>
      <c r="AY62" s="1">
        <v>0</v>
      </c>
      <c r="AZ62" s="1">
        <v>0</v>
      </c>
      <c r="BA62" s="1">
        <v>0</v>
      </c>
      <c r="BB62" s="1">
        <v>0</v>
      </c>
      <c r="BC62" s="1">
        <v>0</v>
      </c>
      <c r="BD62" s="1">
        <v>1</v>
      </c>
      <c r="BE62" s="1">
        <v>0</v>
      </c>
      <c r="BF62" s="1">
        <v>0</v>
      </c>
      <c r="BG62" s="1">
        <v>0</v>
      </c>
      <c r="BH62" s="1">
        <v>0</v>
      </c>
      <c r="BI62" s="1">
        <v>0</v>
      </c>
      <c r="BJ62" s="1">
        <v>0</v>
      </c>
      <c r="BK62" s="1">
        <v>0</v>
      </c>
      <c r="BL62" s="1">
        <v>0</v>
      </c>
      <c r="BM62" s="1">
        <v>1</v>
      </c>
      <c r="BN62" s="1">
        <v>0</v>
      </c>
      <c r="BO62" s="1">
        <v>0</v>
      </c>
      <c r="BP62" s="1">
        <v>0</v>
      </c>
      <c r="BQ62" s="1">
        <v>0</v>
      </c>
      <c r="BR62" s="1">
        <v>0</v>
      </c>
      <c r="BS62" s="5" t="str">
        <f>HYPERLINK("http://www.d20pfsrd.com/magic/all-spells/c/calm-emotions","Calm Emotions")</f>
        <v>Calm Emotions</v>
      </c>
      <c r="BT62" s="1">
        <v>61</v>
      </c>
      <c r="BU62" s="1" t="s">
        <v>109</v>
      </c>
      <c r="BV62" s="1"/>
      <c r="BW62" s="1" t="s">
        <v>772</v>
      </c>
      <c r="BX62" s="1"/>
      <c r="BY62" s="1"/>
      <c r="BZ62" s="1">
        <v>0</v>
      </c>
      <c r="CA62" s="1" t="s">
        <v>109</v>
      </c>
      <c r="CB62" s="1">
        <v>2</v>
      </c>
      <c r="CC62" s="1">
        <v>2</v>
      </c>
      <c r="CD62" s="1" t="s">
        <v>109</v>
      </c>
      <c r="CE62" s="1">
        <v>2</v>
      </c>
      <c r="CF62" s="1">
        <v>2</v>
      </c>
      <c r="CG62" s="1" t="s">
        <v>109</v>
      </c>
      <c r="CH62" s="1" t="s">
        <v>109</v>
      </c>
      <c r="CI62" s="1" t="s">
        <v>109</v>
      </c>
      <c r="CJ62" s="1" t="s">
        <v>109</v>
      </c>
      <c r="CK62" s="1"/>
      <c r="CL62" s="1">
        <v>0</v>
      </c>
      <c r="CM62" s="1">
        <v>0</v>
      </c>
      <c r="CN62" s="1">
        <v>0</v>
      </c>
    </row>
    <row r="63" spans="1:92" ht="14.25" customHeight="1" x14ac:dyDescent="0.15">
      <c r="A63" s="1" t="s">
        <v>773</v>
      </c>
      <c r="B63" s="1" t="s">
        <v>189</v>
      </c>
      <c r="C63" s="1"/>
      <c r="D63" s="1"/>
      <c r="E63" s="1" t="s">
        <v>774</v>
      </c>
      <c r="F63" s="1" t="s">
        <v>98</v>
      </c>
      <c r="G63" s="1" t="s">
        <v>775</v>
      </c>
      <c r="H63" s="1">
        <v>0</v>
      </c>
      <c r="I63" s="1" t="s">
        <v>161</v>
      </c>
      <c r="J63" s="1"/>
      <c r="K63" s="1"/>
      <c r="L63" s="1" t="s">
        <v>506</v>
      </c>
      <c r="M63" s="1" t="s">
        <v>164</v>
      </c>
      <c r="N63" s="1">
        <v>0</v>
      </c>
      <c r="O63" s="1">
        <v>0</v>
      </c>
      <c r="P63" s="1" t="s">
        <v>507</v>
      </c>
      <c r="Q63" s="1" t="s">
        <v>268</v>
      </c>
      <c r="R63" s="1" t="s">
        <v>776</v>
      </c>
      <c r="S63" s="1" t="s">
        <v>777</v>
      </c>
      <c r="T63" s="1" t="s">
        <v>107</v>
      </c>
      <c r="U63" s="1" t="s">
        <v>778</v>
      </c>
      <c r="V63" s="1">
        <v>1</v>
      </c>
      <c r="W63" s="1">
        <v>1</v>
      </c>
      <c r="X63" s="1">
        <v>1</v>
      </c>
      <c r="Y63" s="1">
        <v>0</v>
      </c>
      <c r="Z63" s="1">
        <v>0</v>
      </c>
      <c r="AA63" s="1">
        <v>2</v>
      </c>
      <c r="AB63" s="1">
        <v>2</v>
      </c>
      <c r="AC63" s="1" t="s">
        <v>109</v>
      </c>
      <c r="AD63" s="1">
        <v>2</v>
      </c>
      <c r="AE63" s="1">
        <v>2</v>
      </c>
      <c r="AF63" s="1">
        <v>2</v>
      </c>
      <c r="AG63" s="1" t="s">
        <v>109</v>
      </c>
      <c r="AH63" s="1">
        <v>2</v>
      </c>
      <c r="AI63" s="1">
        <v>2</v>
      </c>
      <c r="AJ63" s="1" t="s">
        <v>109</v>
      </c>
      <c r="AK63" s="1" t="s">
        <v>109</v>
      </c>
      <c r="AL63" s="1" t="s">
        <v>109</v>
      </c>
      <c r="AM63" s="1" t="s">
        <v>109</v>
      </c>
      <c r="AN63" s="1">
        <v>2</v>
      </c>
      <c r="AO63" s="1">
        <v>2</v>
      </c>
      <c r="AP63" s="1"/>
      <c r="AQ63" s="1">
        <v>2</v>
      </c>
      <c r="AR63" s="1" t="s">
        <v>779</v>
      </c>
      <c r="AS63" s="1" t="s">
        <v>780</v>
      </c>
      <c r="AT63" s="1">
        <v>0</v>
      </c>
      <c r="AU63" s="1">
        <v>0</v>
      </c>
      <c r="AV63" s="1">
        <v>0</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5" t="str">
        <f>HYPERLINK("http://www.d20pfsrd.com/magic/all-spells/c/cat-s-grace","Cat's Grace")</f>
        <v>Cat's Grace</v>
      </c>
      <c r="BT63" s="1">
        <v>62</v>
      </c>
      <c r="BU63" s="1" t="s">
        <v>109</v>
      </c>
      <c r="BV63" s="1"/>
      <c r="BW63" s="1" t="s">
        <v>781</v>
      </c>
      <c r="BX63" s="1"/>
      <c r="BY63" s="1"/>
      <c r="BZ63" s="1">
        <v>0</v>
      </c>
      <c r="CA63" s="1">
        <v>2</v>
      </c>
      <c r="CB63" s="1" t="s">
        <v>109</v>
      </c>
      <c r="CC63" s="1">
        <v>2</v>
      </c>
      <c r="CD63" s="1" t="s">
        <v>109</v>
      </c>
      <c r="CE63" s="1">
        <v>2</v>
      </c>
      <c r="CF63" s="1" t="s">
        <v>109</v>
      </c>
      <c r="CG63" s="1" t="s">
        <v>109</v>
      </c>
      <c r="CH63" s="1" t="s">
        <v>109</v>
      </c>
      <c r="CI63" s="1" t="s">
        <v>109</v>
      </c>
      <c r="CJ63" s="1">
        <v>2</v>
      </c>
      <c r="CK63" s="1"/>
      <c r="CL63" s="1">
        <v>0</v>
      </c>
      <c r="CM63" s="1">
        <v>0</v>
      </c>
      <c r="CN63" s="1">
        <v>0</v>
      </c>
    </row>
    <row r="64" spans="1:92" ht="14.25" customHeight="1" x14ac:dyDescent="0.15">
      <c r="A64" s="1" t="s">
        <v>782</v>
      </c>
      <c r="B64" s="1" t="s">
        <v>189</v>
      </c>
      <c r="C64" s="1"/>
      <c r="D64" s="1"/>
      <c r="E64" s="1" t="s">
        <v>783</v>
      </c>
      <c r="F64" s="1" t="s">
        <v>98</v>
      </c>
      <c r="G64" s="1" t="s">
        <v>775</v>
      </c>
      <c r="H64" s="1">
        <v>0</v>
      </c>
      <c r="I64" s="1" t="s">
        <v>142</v>
      </c>
      <c r="J64" s="1"/>
      <c r="K64" s="1"/>
      <c r="L64" s="1" t="s">
        <v>716</v>
      </c>
      <c r="M64" s="1" t="s">
        <v>164</v>
      </c>
      <c r="N64" s="1">
        <v>0</v>
      </c>
      <c r="O64" s="1">
        <v>0</v>
      </c>
      <c r="P64" s="1" t="s">
        <v>507</v>
      </c>
      <c r="Q64" s="1" t="s">
        <v>268</v>
      </c>
      <c r="R64" s="1" t="s">
        <v>784</v>
      </c>
      <c r="S64" s="1" t="s">
        <v>785</v>
      </c>
      <c r="T64" s="1" t="s">
        <v>107</v>
      </c>
      <c r="U64" s="1" t="s">
        <v>786</v>
      </c>
      <c r="V64" s="1">
        <v>1</v>
      </c>
      <c r="W64" s="1">
        <v>1</v>
      </c>
      <c r="X64" s="1">
        <v>1</v>
      </c>
      <c r="Y64" s="1">
        <v>0</v>
      </c>
      <c r="Z64" s="1">
        <v>0</v>
      </c>
      <c r="AA64" s="1">
        <v>6</v>
      </c>
      <c r="AB64" s="1">
        <v>6</v>
      </c>
      <c r="AC64" s="1" t="s">
        <v>109</v>
      </c>
      <c r="AD64" s="1">
        <v>6</v>
      </c>
      <c r="AE64" s="1" t="s">
        <v>109</v>
      </c>
      <c r="AF64" s="1">
        <v>6</v>
      </c>
      <c r="AG64" s="1" t="s">
        <v>109</v>
      </c>
      <c r="AH64" s="1" t="s">
        <v>109</v>
      </c>
      <c r="AI64" s="1">
        <v>4</v>
      </c>
      <c r="AJ64" s="1" t="s">
        <v>109</v>
      </c>
      <c r="AK64" s="1" t="s">
        <v>109</v>
      </c>
      <c r="AL64" s="1" t="s">
        <v>109</v>
      </c>
      <c r="AM64" s="1" t="s">
        <v>109</v>
      </c>
      <c r="AN64" s="1">
        <v>6</v>
      </c>
      <c r="AO64" s="1" t="s">
        <v>109</v>
      </c>
      <c r="AP64" s="1"/>
      <c r="AQ64" s="1">
        <v>6</v>
      </c>
      <c r="AR64" s="1"/>
      <c r="AS64" s="1" t="s">
        <v>787</v>
      </c>
      <c r="AT64" s="1">
        <v>0</v>
      </c>
      <c r="AU64" s="1">
        <v>0</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5" t="str">
        <f>HYPERLINK("http://www.d20pfsrd.com/magic/all-spells/c/cat-s-grace","Cat's Grace, Mass")</f>
        <v>Cat's Grace, Mass</v>
      </c>
      <c r="BT64" s="1">
        <v>63</v>
      </c>
      <c r="BU64" s="1" t="s">
        <v>109</v>
      </c>
      <c r="BV64" s="1"/>
      <c r="BW64" s="1" t="s">
        <v>788</v>
      </c>
      <c r="BX64" s="1"/>
      <c r="BY64" s="1"/>
      <c r="BZ64" s="1">
        <v>0</v>
      </c>
      <c r="CA64" s="1" t="s">
        <v>109</v>
      </c>
      <c r="CB64" s="1" t="s">
        <v>109</v>
      </c>
      <c r="CC64" s="1">
        <v>6</v>
      </c>
      <c r="CD64" s="1" t="s">
        <v>109</v>
      </c>
      <c r="CE64" s="1" t="s">
        <v>109</v>
      </c>
      <c r="CF64" s="1" t="s">
        <v>109</v>
      </c>
      <c r="CG64" s="1" t="s">
        <v>109</v>
      </c>
      <c r="CH64" s="1" t="s">
        <v>109</v>
      </c>
      <c r="CI64" s="1" t="s">
        <v>109</v>
      </c>
      <c r="CJ64" s="1">
        <v>6</v>
      </c>
      <c r="CK64" s="1"/>
      <c r="CL64" s="1">
        <v>0</v>
      </c>
      <c r="CM64" s="1">
        <v>0</v>
      </c>
      <c r="CN64" s="1">
        <v>0</v>
      </c>
    </row>
    <row r="65" spans="1:92" ht="14.25" customHeight="1" x14ac:dyDescent="0.15">
      <c r="A65" s="1" t="s">
        <v>789</v>
      </c>
      <c r="B65" s="1" t="s">
        <v>308</v>
      </c>
      <c r="C65" s="1"/>
      <c r="D65" s="1" t="s">
        <v>790</v>
      </c>
      <c r="E65" s="1" t="s">
        <v>791</v>
      </c>
      <c r="F65" s="1" t="s">
        <v>98</v>
      </c>
      <c r="G65" s="1" t="s">
        <v>141</v>
      </c>
      <c r="H65" s="1">
        <v>0</v>
      </c>
      <c r="I65" s="1" t="s">
        <v>142</v>
      </c>
      <c r="J65" s="1"/>
      <c r="K65" s="1"/>
      <c r="L65" s="1" t="s">
        <v>792</v>
      </c>
      <c r="M65" s="1" t="s">
        <v>793</v>
      </c>
      <c r="N65" s="1">
        <v>0</v>
      </c>
      <c r="O65" s="1">
        <v>0</v>
      </c>
      <c r="P65" s="1" t="s">
        <v>380</v>
      </c>
      <c r="Q65" s="1" t="s">
        <v>268</v>
      </c>
      <c r="R65" s="1" t="s">
        <v>794</v>
      </c>
      <c r="S65" s="1" t="s">
        <v>795</v>
      </c>
      <c r="T65" s="1" t="s">
        <v>107</v>
      </c>
      <c r="U65" s="1" t="s">
        <v>796</v>
      </c>
      <c r="V65" s="1">
        <v>1</v>
      </c>
      <c r="W65" s="1">
        <v>1</v>
      </c>
      <c r="X65" s="1">
        <v>0</v>
      </c>
      <c r="Y65" s="1">
        <v>0</v>
      </c>
      <c r="Z65" s="1">
        <v>0</v>
      </c>
      <c r="AA65" s="1">
        <v>1</v>
      </c>
      <c r="AB65" s="1">
        <v>1</v>
      </c>
      <c r="AC65" s="1">
        <v>1</v>
      </c>
      <c r="AD65" s="1" t="s">
        <v>109</v>
      </c>
      <c r="AE65" s="1" t="s">
        <v>109</v>
      </c>
      <c r="AF65" s="1">
        <v>1</v>
      </c>
      <c r="AG65" s="1" t="s">
        <v>109</v>
      </c>
      <c r="AH65" s="1" t="s">
        <v>109</v>
      </c>
      <c r="AI65" s="1" t="s">
        <v>109</v>
      </c>
      <c r="AJ65" s="1">
        <v>1</v>
      </c>
      <c r="AK65" s="1">
        <v>1</v>
      </c>
      <c r="AL65" s="1">
        <v>1</v>
      </c>
      <c r="AM65" s="1">
        <v>1</v>
      </c>
      <c r="AN65" s="1" t="s">
        <v>109</v>
      </c>
      <c r="AO65" s="1">
        <v>1</v>
      </c>
      <c r="AP65" s="1"/>
      <c r="AQ65" s="1">
        <v>1</v>
      </c>
      <c r="AR65" s="1" t="s">
        <v>797</v>
      </c>
      <c r="AS65" s="1" t="s">
        <v>798</v>
      </c>
      <c r="AT65" s="1">
        <v>0</v>
      </c>
      <c r="AU65" s="1">
        <v>0</v>
      </c>
      <c r="AV65" s="1">
        <v>0</v>
      </c>
      <c r="AW65" s="1">
        <v>0</v>
      </c>
      <c r="AX65" s="1">
        <v>0</v>
      </c>
      <c r="AY65" s="1">
        <v>0</v>
      </c>
      <c r="AZ65" s="1">
        <v>0</v>
      </c>
      <c r="BA65" s="1">
        <v>0</v>
      </c>
      <c r="BB65" s="1">
        <v>0</v>
      </c>
      <c r="BC65" s="1">
        <v>0</v>
      </c>
      <c r="BD65" s="1">
        <v>1</v>
      </c>
      <c r="BE65" s="1">
        <v>0</v>
      </c>
      <c r="BF65" s="1">
        <v>1</v>
      </c>
      <c r="BG65" s="1">
        <v>0</v>
      </c>
      <c r="BH65" s="1">
        <v>0</v>
      </c>
      <c r="BI65" s="1">
        <v>0</v>
      </c>
      <c r="BJ65" s="1">
        <v>0</v>
      </c>
      <c r="BK65" s="1">
        <v>0</v>
      </c>
      <c r="BL65" s="1">
        <v>0</v>
      </c>
      <c r="BM65" s="1">
        <v>1</v>
      </c>
      <c r="BN65" s="1">
        <v>0</v>
      </c>
      <c r="BO65" s="1">
        <v>0</v>
      </c>
      <c r="BP65" s="1">
        <v>0</v>
      </c>
      <c r="BQ65" s="1">
        <v>0</v>
      </c>
      <c r="BR65" s="1">
        <v>0</v>
      </c>
      <c r="BS65" s="5" t="str">
        <f>HYPERLINK("http://www.d20pfsrd.com/magic/all-spells/c/cause-fear","Cause Fear")</f>
        <v>Cause Fear</v>
      </c>
      <c r="BT65" s="1">
        <v>64</v>
      </c>
      <c r="BU65" s="1" t="s">
        <v>109</v>
      </c>
      <c r="BV65" s="1" t="s">
        <v>799</v>
      </c>
      <c r="BW65" s="1"/>
      <c r="BX65" s="1"/>
      <c r="BY65" s="1"/>
      <c r="BZ65" s="1">
        <v>0</v>
      </c>
      <c r="CA65" s="1">
        <v>1</v>
      </c>
      <c r="CB65" s="1">
        <v>1</v>
      </c>
      <c r="CC65" s="1">
        <v>1</v>
      </c>
      <c r="CD65" s="1" t="s">
        <v>109</v>
      </c>
      <c r="CE65" s="1">
        <v>1</v>
      </c>
      <c r="CF65" s="1">
        <v>1</v>
      </c>
      <c r="CG65" s="1">
        <v>1</v>
      </c>
      <c r="CH65" s="1" t="s">
        <v>109</v>
      </c>
      <c r="CI65" s="1" t="s">
        <v>109</v>
      </c>
      <c r="CJ65" s="1" t="s">
        <v>109</v>
      </c>
      <c r="CK65" s="1"/>
      <c r="CL65" s="1">
        <v>0</v>
      </c>
      <c r="CM65" s="1">
        <v>0</v>
      </c>
      <c r="CN65" s="1">
        <v>0</v>
      </c>
    </row>
    <row r="66" spans="1:92" ht="14.25" customHeight="1" x14ac:dyDescent="0.15">
      <c r="A66" s="1" t="s">
        <v>800</v>
      </c>
      <c r="B66" s="1" t="s">
        <v>584</v>
      </c>
      <c r="C66" s="1"/>
      <c r="D66" s="1" t="s">
        <v>55</v>
      </c>
      <c r="E66" s="1" t="s">
        <v>801</v>
      </c>
      <c r="F66" s="1" t="s">
        <v>98</v>
      </c>
      <c r="G66" s="1" t="s">
        <v>802</v>
      </c>
      <c r="H66" s="1">
        <v>0</v>
      </c>
      <c r="I66" s="1" t="s">
        <v>100</v>
      </c>
      <c r="J66" s="1"/>
      <c r="K66" s="1"/>
      <c r="L66" s="1" t="s">
        <v>803</v>
      </c>
      <c r="M66" s="1" t="s">
        <v>144</v>
      </c>
      <c r="N66" s="1">
        <v>0</v>
      </c>
      <c r="O66" s="1">
        <v>0</v>
      </c>
      <c r="P66" s="1" t="s">
        <v>727</v>
      </c>
      <c r="Q66" s="1" t="s">
        <v>268</v>
      </c>
      <c r="R66" s="1" t="s">
        <v>804</v>
      </c>
      <c r="S66" s="1" t="s">
        <v>805</v>
      </c>
      <c r="T66" s="1" t="s">
        <v>107</v>
      </c>
      <c r="U66" s="1" t="s">
        <v>806</v>
      </c>
      <c r="V66" s="1">
        <v>1</v>
      </c>
      <c r="W66" s="1">
        <v>1</v>
      </c>
      <c r="X66" s="1">
        <v>0</v>
      </c>
      <c r="Y66" s="1">
        <v>0</v>
      </c>
      <c r="Z66" s="1">
        <v>0</v>
      </c>
      <c r="AA66" s="1">
        <v>6</v>
      </c>
      <c r="AB66" s="1">
        <v>6</v>
      </c>
      <c r="AC66" s="1" t="s">
        <v>109</v>
      </c>
      <c r="AD66" s="1" t="s">
        <v>109</v>
      </c>
      <c r="AE66" s="1" t="s">
        <v>109</v>
      </c>
      <c r="AF66" s="1" t="s">
        <v>109</v>
      </c>
      <c r="AG66" s="1" t="s">
        <v>109</v>
      </c>
      <c r="AH66" s="1" t="s">
        <v>109</v>
      </c>
      <c r="AI66" s="1" t="s">
        <v>109</v>
      </c>
      <c r="AJ66" s="1">
        <v>7</v>
      </c>
      <c r="AK66" s="1" t="s">
        <v>109</v>
      </c>
      <c r="AL66" s="1" t="s">
        <v>109</v>
      </c>
      <c r="AM66" s="1" t="s">
        <v>109</v>
      </c>
      <c r="AN66" s="1">
        <v>6</v>
      </c>
      <c r="AO66" s="1" t="s">
        <v>109</v>
      </c>
      <c r="AP66" s="1"/>
      <c r="AQ66" s="1">
        <v>6</v>
      </c>
      <c r="AR66" s="1" t="s">
        <v>807</v>
      </c>
      <c r="AS66" s="1" t="s">
        <v>808</v>
      </c>
      <c r="AT66" s="1">
        <v>0</v>
      </c>
      <c r="AU66" s="1">
        <v>0</v>
      </c>
      <c r="AV66" s="1">
        <v>0</v>
      </c>
      <c r="AW66" s="1">
        <v>0</v>
      </c>
      <c r="AX66" s="1">
        <v>0</v>
      </c>
      <c r="AY66" s="1">
        <v>0</v>
      </c>
      <c r="AZ66" s="1">
        <v>0</v>
      </c>
      <c r="BA66" s="1">
        <v>0</v>
      </c>
      <c r="BB66" s="1">
        <v>0</v>
      </c>
      <c r="BC66" s="1">
        <v>1</v>
      </c>
      <c r="BD66" s="1">
        <v>0</v>
      </c>
      <c r="BE66" s="1">
        <v>0</v>
      </c>
      <c r="BF66" s="1">
        <v>0</v>
      </c>
      <c r="BG66" s="1">
        <v>0</v>
      </c>
      <c r="BH66" s="1">
        <v>0</v>
      </c>
      <c r="BI66" s="1">
        <v>0</v>
      </c>
      <c r="BJ66" s="1">
        <v>0</v>
      </c>
      <c r="BK66" s="1">
        <v>0</v>
      </c>
      <c r="BL66" s="1">
        <v>0</v>
      </c>
      <c r="BM66" s="1">
        <v>0</v>
      </c>
      <c r="BN66" s="1">
        <v>0</v>
      </c>
      <c r="BO66" s="1">
        <v>0</v>
      </c>
      <c r="BP66" s="1">
        <v>0</v>
      </c>
      <c r="BQ66" s="1">
        <v>0</v>
      </c>
      <c r="BR66" s="1">
        <v>0</v>
      </c>
      <c r="BS66" s="5" t="str">
        <f>HYPERLINK("http://www.d20pfsrd.com/magic/all-spells/c/chain-lightning","Chain Lightning")</f>
        <v>Chain Lightning</v>
      </c>
      <c r="BT66" s="1">
        <v>65</v>
      </c>
      <c r="BU66" s="1" t="s">
        <v>109</v>
      </c>
      <c r="BV66" s="1" t="s">
        <v>809</v>
      </c>
      <c r="BW66" s="1"/>
      <c r="BX66" s="1" t="s">
        <v>810</v>
      </c>
      <c r="BY66" s="1"/>
      <c r="BZ66" s="1">
        <v>1</v>
      </c>
      <c r="CA66" s="1" t="s">
        <v>109</v>
      </c>
      <c r="CB66" s="1" t="s">
        <v>109</v>
      </c>
      <c r="CC66" s="1" t="s">
        <v>109</v>
      </c>
      <c r="CD66" s="1" t="s">
        <v>109</v>
      </c>
      <c r="CE66" s="1" t="s">
        <v>109</v>
      </c>
      <c r="CF66" s="1">
        <v>6</v>
      </c>
      <c r="CG66" s="1" t="s">
        <v>109</v>
      </c>
      <c r="CH66" s="1" t="s">
        <v>109</v>
      </c>
      <c r="CI66" s="1" t="s">
        <v>109</v>
      </c>
      <c r="CJ66" s="1" t="s">
        <v>109</v>
      </c>
      <c r="CK66" s="1"/>
      <c r="CL66" s="1">
        <v>0</v>
      </c>
      <c r="CM66" s="1">
        <v>0</v>
      </c>
      <c r="CN66" s="1">
        <v>0</v>
      </c>
    </row>
    <row r="67" spans="1:92" ht="14.25" customHeight="1" x14ac:dyDescent="0.15">
      <c r="A67" s="1" t="s">
        <v>811</v>
      </c>
      <c r="B67" s="1" t="s">
        <v>189</v>
      </c>
      <c r="C67" s="1"/>
      <c r="D67" s="1"/>
      <c r="E67" s="1" t="s">
        <v>812</v>
      </c>
      <c r="F67" s="1" t="s">
        <v>355</v>
      </c>
      <c r="G67" s="1" t="s">
        <v>813</v>
      </c>
      <c r="H67" s="1">
        <v>0</v>
      </c>
      <c r="I67" s="1" t="s">
        <v>161</v>
      </c>
      <c r="J67" s="1"/>
      <c r="K67" s="1"/>
      <c r="L67" s="1" t="s">
        <v>814</v>
      </c>
      <c r="M67" s="1" t="s">
        <v>815</v>
      </c>
      <c r="N67" s="1">
        <v>1</v>
      </c>
      <c r="O67" s="1">
        <v>0</v>
      </c>
      <c r="P67" s="1" t="s">
        <v>103</v>
      </c>
      <c r="Q67" s="1" t="s">
        <v>104</v>
      </c>
      <c r="R67" s="1" t="s">
        <v>816</v>
      </c>
      <c r="S67" s="1" t="s">
        <v>817</v>
      </c>
      <c r="T67" s="1" t="s">
        <v>107</v>
      </c>
      <c r="U67" s="1" t="s">
        <v>818</v>
      </c>
      <c r="V67" s="1">
        <v>1</v>
      </c>
      <c r="W67" s="1">
        <v>1</v>
      </c>
      <c r="X67" s="1">
        <v>0</v>
      </c>
      <c r="Y67" s="1">
        <v>0</v>
      </c>
      <c r="Z67" s="1">
        <v>0</v>
      </c>
      <c r="AA67" s="1" t="s">
        <v>109</v>
      </c>
      <c r="AB67" s="1" t="s">
        <v>109</v>
      </c>
      <c r="AC67" s="1" t="s">
        <v>109</v>
      </c>
      <c r="AD67" s="1">
        <v>7</v>
      </c>
      <c r="AE67" s="1" t="s">
        <v>109</v>
      </c>
      <c r="AF67" s="1" t="s">
        <v>109</v>
      </c>
      <c r="AG67" s="1" t="s">
        <v>109</v>
      </c>
      <c r="AH67" s="1" t="s">
        <v>109</v>
      </c>
      <c r="AI67" s="1" t="s">
        <v>109</v>
      </c>
      <c r="AJ67" s="1" t="s">
        <v>109</v>
      </c>
      <c r="AK67" s="1" t="s">
        <v>109</v>
      </c>
      <c r="AL67" s="1" t="s">
        <v>109</v>
      </c>
      <c r="AM67" s="1" t="s">
        <v>109</v>
      </c>
      <c r="AN67" s="1" t="s">
        <v>109</v>
      </c>
      <c r="AO67" s="1" t="s">
        <v>109</v>
      </c>
      <c r="AP67" s="1"/>
      <c r="AQ67" s="1">
        <v>7</v>
      </c>
      <c r="AR67" s="1"/>
      <c r="AS67" s="1" t="s">
        <v>819</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5" t="str">
        <f>HYPERLINK("http://www.d20pfsrd.com/magic/all-spells/c/changestaff","Changestaff")</f>
        <v>Changestaff</v>
      </c>
      <c r="BT67" s="1">
        <v>66</v>
      </c>
      <c r="BU67" s="1" t="s">
        <v>109</v>
      </c>
      <c r="BV67" s="1"/>
      <c r="BW67" s="1"/>
      <c r="BX67" s="1" t="s">
        <v>820</v>
      </c>
      <c r="BY67" s="1" t="s">
        <v>821</v>
      </c>
      <c r="BZ67" s="1">
        <v>1</v>
      </c>
      <c r="CA67" s="1" t="s">
        <v>109</v>
      </c>
      <c r="CB67" s="1" t="s">
        <v>109</v>
      </c>
      <c r="CC67" s="1" t="s">
        <v>109</v>
      </c>
      <c r="CD67" s="1" t="s">
        <v>109</v>
      </c>
      <c r="CE67" s="1" t="s">
        <v>109</v>
      </c>
      <c r="CF67" s="1" t="s">
        <v>109</v>
      </c>
      <c r="CG67" s="1" t="s">
        <v>109</v>
      </c>
      <c r="CH67" s="1" t="s">
        <v>109</v>
      </c>
      <c r="CI67" s="1" t="s">
        <v>109</v>
      </c>
      <c r="CJ67" s="1" t="s">
        <v>109</v>
      </c>
      <c r="CK67" s="1"/>
      <c r="CL67" s="1">
        <v>0</v>
      </c>
      <c r="CM67" s="1">
        <v>0</v>
      </c>
      <c r="CN67" s="1">
        <v>0</v>
      </c>
    </row>
    <row r="68" spans="1:92" ht="14.25" customHeight="1" x14ac:dyDescent="0.15">
      <c r="A68" s="1" t="s">
        <v>822</v>
      </c>
      <c r="B68" s="1" t="s">
        <v>584</v>
      </c>
      <c r="C68" s="1"/>
      <c r="D68" s="1" t="s">
        <v>48</v>
      </c>
      <c r="E68" s="1" t="s">
        <v>823</v>
      </c>
      <c r="F68" s="1" t="s">
        <v>98</v>
      </c>
      <c r="G68" s="1" t="s">
        <v>141</v>
      </c>
      <c r="H68" s="1">
        <v>0</v>
      </c>
      <c r="I68" s="1" t="s">
        <v>122</v>
      </c>
      <c r="J68" s="1" t="s">
        <v>824</v>
      </c>
      <c r="K68" s="1"/>
      <c r="L68" s="1"/>
      <c r="M68" s="1" t="s">
        <v>825</v>
      </c>
      <c r="N68" s="1">
        <v>0</v>
      </c>
      <c r="O68" s="1">
        <v>0</v>
      </c>
      <c r="P68" s="1" t="s">
        <v>826</v>
      </c>
      <c r="Q68" s="1" t="s">
        <v>268</v>
      </c>
      <c r="R68" s="1" t="s">
        <v>827</v>
      </c>
      <c r="S68" s="1" t="s">
        <v>828</v>
      </c>
      <c r="T68" s="1" t="s">
        <v>107</v>
      </c>
      <c r="U68" s="1" t="s">
        <v>829</v>
      </c>
      <c r="V68" s="1">
        <v>1</v>
      </c>
      <c r="W68" s="1">
        <v>1</v>
      </c>
      <c r="X68" s="1">
        <v>0</v>
      </c>
      <c r="Y68" s="1">
        <v>0</v>
      </c>
      <c r="Z68" s="1">
        <v>0</v>
      </c>
      <c r="AA68" s="1" t="s">
        <v>109</v>
      </c>
      <c r="AB68" s="1" t="s">
        <v>109</v>
      </c>
      <c r="AC68" s="1">
        <v>4</v>
      </c>
      <c r="AD68" s="1" t="s">
        <v>109</v>
      </c>
      <c r="AE68" s="1" t="s">
        <v>109</v>
      </c>
      <c r="AF68" s="1" t="s">
        <v>109</v>
      </c>
      <c r="AG68" s="1" t="s">
        <v>109</v>
      </c>
      <c r="AH68" s="1" t="s">
        <v>109</v>
      </c>
      <c r="AI68" s="1" t="s">
        <v>109</v>
      </c>
      <c r="AJ68" s="1" t="s">
        <v>109</v>
      </c>
      <c r="AK68" s="1">
        <v>4</v>
      </c>
      <c r="AL68" s="1">
        <v>4</v>
      </c>
      <c r="AM68" s="1" t="s">
        <v>109</v>
      </c>
      <c r="AN68" s="1" t="s">
        <v>109</v>
      </c>
      <c r="AO68" s="1" t="s">
        <v>109</v>
      </c>
      <c r="AP68" s="1"/>
      <c r="AQ68" s="1">
        <v>4</v>
      </c>
      <c r="AR68" s="1" t="s">
        <v>830</v>
      </c>
      <c r="AS68" s="1" t="s">
        <v>831</v>
      </c>
      <c r="AT68" s="1">
        <v>0</v>
      </c>
      <c r="AU68" s="1">
        <v>0</v>
      </c>
      <c r="AV68" s="1">
        <v>1</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5" t="str">
        <f>HYPERLINK("http://www.d20pfsrd.com/magic/all-spells/c/chaos-hammer","Chaos Hammer")</f>
        <v>Chaos Hammer</v>
      </c>
      <c r="BT68" s="1">
        <v>67</v>
      </c>
      <c r="BU68" s="1" t="s">
        <v>109</v>
      </c>
      <c r="BV68" s="1"/>
      <c r="BW68" s="1"/>
      <c r="BX68" s="1" t="s">
        <v>832</v>
      </c>
      <c r="BY68" s="1"/>
      <c r="BZ68" s="1">
        <v>1</v>
      </c>
      <c r="CA68" s="1" t="s">
        <v>109</v>
      </c>
      <c r="CB68" s="1" t="s">
        <v>109</v>
      </c>
      <c r="CC68" s="1" t="s">
        <v>109</v>
      </c>
      <c r="CD68" s="1" t="s">
        <v>109</v>
      </c>
      <c r="CE68" s="1" t="s">
        <v>109</v>
      </c>
      <c r="CF68" s="1" t="s">
        <v>109</v>
      </c>
      <c r="CG68" s="1" t="s">
        <v>109</v>
      </c>
      <c r="CH68" s="1" t="s">
        <v>109</v>
      </c>
      <c r="CI68" s="1" t="s">
        <v>109</v>
      </c>
      <c r="CJ68" s="1" t="s">
        <v>109</v>
      </c>
      <c r="CK68" s="1"/>
      <c r="CL68" s="1">
        <v>0</v>
      </c>
      <c r="CM68" s="1">
        <v>0</v>
      </c>
      <c r="CN68" s="1">
        <v>0</v>
      </c>
    </row>
    <row r="69" spans="1:92" ht="14.25" customHeight="1" x14ac:dyDescent="0.15">
      <c r="A69" s="1" t="s">
        <v>833</v>
      </c>
      <c r="B69" s="1" t="s">
        <v>156</v>
      </c>
      <c r="C69" s="1" t="s">
        <v>834</v>
      </c>
      <c r="D69" s="1" t="s">
        <v>158</v>
      </c>
      <c r="E69" s="1" t="s">
        <v>835</v>
      </c>
      <c r="F69" s="1" t="s">
        <v>98</v>
      </c>
      <c r="G69" s="1" t="s">
        <v>141</v>
      </c>
      <c r="H69" s="1">
        <v>0</v>
      </c>
      <c r="I69" s="1" t="s">
        <v>142</v>
      </c>
      <c r="J69" s="1"/>
      <c r="K69" s="1"/>
      <c r="L69" s="1" t="s">
        <v>836</v>
      </c>
      <c r="M69" s="1" t="s">
        <v>289</v>
      </c>
      <c r="N69" s="1">
        <v>0</v>
      </c>
      <c r="O69" s="1">
        <v>0</v>
      </c>
      <c r="P69" s="1" t="s">
        <v>301</v>
      </c>
      <c r="Q69" s="1" t="s">
        <v>268</v>
      </c>
      <c r="R69" s="1" t="s">
        <v>837</v>
      </c>
      <c r="S69" s="1" t="s">
        <v>838</v>
      </c>
      <c r="T69" s="1" t="s">
        <v>107</v>
      </c>
      <c r="U69" s="1" t="s">
        <v>839</v>
      </c>
      <c r="V69" s="1">
        <v>1</v>
      </c>
      <c r="W69" s="1">
        <v>1</v>
      </c>
      <c r="X69" s="1">
        <v>0</v>
      </c>
      <c r="Y69" s="1">
        <v>0</v>
      </c>
      <c r="Z69" s="1">
        <v>0</v>
      </c>
      <c r="AA69" s="1">
        <v>1</v>
      </c>
      <c r="AB69" s="1">
        <v>1</v>
      </c>
      <c r="AC69" s="1" t="s">
        <v>109</v>
      </c>
      <c r="AD69" s="1" t="s">
        <v>109</v>
      </c>
      <c r="AE69" s="1" t="s">
        <v>109</v>
      </c>
      <c r="AF69" s="1">
        <v>1</v>
      </c>
      <c r="AG69" s="1" t="s">
        <v>109</v>
      </c>
      <c r="AH69" s="1" t="s">
        <v>109</v>
      </c>
      <c r="AI69" s="1" t="s">
        <v>109</v>
      </c>
      <c r="AJ69" s="1">
        <v>1</v>
      </c>
      <c r="AK69" s="1" t="s">
        <v>109</v>
      </c>
      <c r="AL69" s="1" t="s">
        <v>109</v>
      </c>
      <c r="AM69" s="1" t="s">
        <v>109</v>
      </c>
      <c r="AN69" s="1" t="s">
        <v>109</v>
      </c>
      <c r="AO69" s="1" t="s">
        <v>109</v>
      </c>
      <c r="AP69" s="1"/>
      <c r="AQ69" s="1">
        <v>1</v>
      </c>
      <c r="AR69" s="1" t="s">
        <v>840</v>
      </c>
      <c r="AS69" s="1" t="s">
        <v>841</v>
      </c>
      <c r="AT69" s="1">
        <v>0</v>
      </c>
      <c r="AU69" s="1">
        <v>0</v>
      </c>
      <c r="AV69" s="1">
        <v>0</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1</v>
      </c>
      <c r="BN69" s="1">
        <v>0</v>
      </c>
      <c r="BO69" s="1">
        <v>0</v>
      </c>
      <c r="BP69" s="1">
        <v>0</v>
      </c>
      <c r="BQ69" s="1">
        <v>0</v>
      </c>
      <c r="BR69" s="1">
        <v>0</v>
      </c>
      <c r="BS69" s="5" t="str">
        <f>HYPERLINK("http://www.d20pfsrd.com/magic/all-spells/c/charm-person","Charm Person")</f>
        <v>Charm Person</v>
      </c>
      <c r="BT69" s="1">
        <v>68</v>
      </c>
      <c r="BU69" s="1" t="s">
        <v>109</v>
      </c>
      <c r="BV69" s="1" t="s">
        <v>842</v>
      </c>
      <c r="BW69" s="1"/>
      <c r="BX69" s="1"/>
      <c r="BY69" s="1"/>
      <c r="BZ69" s="1">
        <v>0</v>
      </c>
      <c r="CA69" s="1" t="s">
        <v>109</v>
      </c>
      <c r="CB69" s="1">
        <v>1</v>
      </c>
      <c r="CC69" s="1">
        <v>1</v>
      </c>
      <c r="CD69" s="1" t="s">
        <v>109</v>
      </c>
      <c r="CE69" s="1">
        <v>1</v>
      </c>
      <c r="CF69" s="1">
        <v>1</v>
      </c>
      <c r="CG69" s="1" t="s">
        <v>109</v>
      </c>
      <c r="CH69" s="1" t="s">
        <v>109</v>
      </c>
      <c r="CI69" s="1" t="s">
        <v>109</v>
      </c>
      <c r="CJ69" s="1" t="s">
        <v>109</v>
      </c>
      <c r="CK69" s="1"/>
      <c r="CL69" s="1">
        <v>0</v>
      </c>
      <c r="CM69" s="1">
        <v>0</v>
      </c>
      <c r="CN69" s="1">
        <v>0</v>
      </c>
    </row>
    <row r="70" spans="1:92" ht="14.25" customHeight="1" x14ac:dyDescent="0.15">
      <c r="A70" s="1" t="s">
        <v>843</v>
      </c>
      <c r="B70" s="1" t="s">
        <v>156</v>
      </c>
      <c r="C70" s="1" t="s">
        <v>834</v>
      </c>
      <c r="D70" s="1" t="s">
        <v>158</v>
      </c>
      <c r="E70" s="1" t="s">
        <v>756</v>
      </c>
      <c r="F70" s="1" t="s">
        <v>98</v>
      </c>
      <c r="G70" s="1" t="s">
        <v>141</v>
      </c>
      <c r="H70" s="1">
        <v>0</v>
      </c>
      <c r="I70" s="1" t="s">
        <v>142</v>
      </c>
      <c r="J70" s="1"/>
      <c r="K70" s="1"/>
      <c r="L70" s="1" t="s">
        <v>844</v>
      </c>
      <c r="M70" s="1" t="s">
        <v>289</v>
      </c>
      <c r="N70" s="1">
        <v>0</v>
      </c>
      <c r="O70" s="1">
        <v>0</v>
      </c>
      <c r="P70" s="1" t="s">
        <v>301</v>
      </c>
      <c r="Q70" s="1" t="s">
        <v>268</v>
      </c>
      <c r="R70" s="1" t="s">
        <v>845</v>
      </c>
      <c r="S70" s="1" t="s">
        <v>846</v>
      </c>
      <c r="T70" s="1" t="s">
        <v>107</v>
      </c>
      <c r="U70" s="1" t="s">
        <v>847</v>
      </c>
      <c r="V70" s="1">
        <v>1</v>
      </c>
      <c r="W70" s="1">
        <v>1</v>
      </c>
      <c r="X70" s="1">
        <v>0</v>
      </c>
      <c r="Y70" s="1">
        <v>0</v>
      </c>
      <c r="Z70" s="1">
        <v>0</v>
      </c>
      <c r="AA70" s="1" t="s">
        <v>109</v>
      </c>
      <c r="AB70" s="1" t="s">
        <v>109</v>
      </c>
      <c r="AC70" s="1" t="s">
        <v>109</v>
      </c>
      <c r="AD70" s="1">
        <v>1</v>
      </c>
      <c r="AE70" s="1">
        <v>1</v>
      </c>
      <c r="AF70" s="1" t="s">
        <v>109</v>
      </c>
      <c r="AG70" s="1" t="s">
        <v>109</v>
      </c>
      <c r="AH70" s="1" t="s">
        <v>109</v>
      </c>
      <c r="AI70" s="1" t="s">
        <v>109</v>
      </c>
      <c r="AJ70" s="1" t="s">
        <v>109</v>
      </c>
      <c r="AK70" s="1" t="s">
        <v>109</v>
      </c>
      <c r="AL70" s="1" t="s">
        <v>109</v>
      </c>
      <c r="AM70" s="1" t="s">
        <v>109</v>
      </c>
      <c r="AN70" s="1" t="s">
        <v>109</v>
      </c>
      <c r="AO70" s="1" t="s">
        <v>109</v>
      </c>
      <c r="AP70" s="1"/>
      <c r="AQ70" s="1">
        <v>1</v>
      </c>
      <c r="AR70" s="1"/>
      <c r="AS70" s="1" t="s">
        <v>848</v>
      </c>
      <c r="AT70" s="1">
        <v>0</v>
      </c>
      <c r="AU70" s="1">
        <v>0</v>
      </c>
      <c r="AV70" s="1">
        <v>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1</v>
      </c>
      <c r="BN70" s="1">
        <v>0</v>
      </c>
      <c r="BO70" s="1">
        <v>0</v>
      </c>
      <c r="BP70" s="1">
        <v>0</v>
      </c>
      <c r="BQ70" s="1">
        <v>0</v>
      </c>
      <c r="BR70" s="1">
        <v>0</v>
      </c>
      <c r="BS70" s="5" t="str">
        <f>HYPERLINK("http://www.d20pfsrd.com/magic/all-spells/c/charm-animal","Charm Animal")</f>
        <v>Charm Animal</v>
      </c>
      <c r="BT70" s="1">
        <v>69</v>
      </c>
      <c r="BU70" s="1" t="s">
        <v>109</v>
      </c>
      <c r="BV70" s="1" t="s">
        <v>849</v>
      </c>
      <c r="BW70" s="1" t="s">
        <v>850</v>
      </c>
      <c r="BX70" s="1"/>
      <c r="BY70" s="1"/>
      <c r="BZ70" s="1">
        <v>0</v>
      </c>
      <c r="CA70" s="1" t="s">
        <v>109</v>
      </c>
      <c r="CB70" s="1">
        <v>1</v>
      </c>
      <c r="CC70" s="1">
        <v>1</v>
      </c>
      <c r="CD70" s="1" t="s">
        <v>109</v>
      </c>
      <c r="CE70" s="1" t="s">
        <v>109</v>
      </c>
      <c r="CF70" s="1" t="s">
        <v>109</v>
      </c>
      <c r="CG70" s="1" t="s">
        <v>109</v>
      </c>
      <c r="CH70" s="1" t="s">
        <v>109</v>
      </c>
      <c r="CI70" s="1" t="s">
        <v>109</v>
      </c>
      <c r="CJ70" s="1">
        <v>1</v>
      </c>
      <c r="CK70" s="1"/>
      <c r="CL70" s="1">
        <v>0</v>
      </c>
      <c r="CM70" s="1">
        <v>0</v>
      </c>
      <c r="CN70" s="1">
        <v>0</v>
      </c>
    </row>
    <row r="71" spans="1:92" ht="14.25" customHeight="1" x14ac:dyDescent="0.15">
      <c r="A71" s="1" t="s">
        <v>851</v>
      </c>
      <c r="B71" s="1" t="s">
        <v>156</v>
      </c>
      <c r="C71" s="1" t="s">
        <v>834</v>
      </c>
      <c r="D71" s="1" t="s">
        <v>158</v>
      </c>
      <c r="E71" s="1" t="s">
        <v>852</v>
      </c>
      <c r="F71" s="1" t="s">
        <v>98</v>
      </c>
      <c r="G71" s="1" t="s">
        <v>141</v>
      </c>
      <c r="H71" s="1">
        <v>0</v>
      </c>
      <c r="I71" s="1" t="s">
        <v>142</v>
      </c>
      <c r="J71" s="1"/>
      <c r="K71" s="1"/>
      <c r="L71" s="1" t="s">
        <v>563</v>
      </c>
      <c r="M71" s="1" t="s">
        <v>280</v>
      </c>
      <c r="N71" s="1">
        <v>0</v>
      </c>
      <c r="O71" s="1">
        <v>0</v>
      </c>
      <c r="P71" s="1" t="s">
        <v>301</v>
      </c>
      <c r="Q71" s="1" t="s">
        <v>268</v>
      </c>
      <c r="R71" s="1" t="s">
        <v>853</v>
      </c>
      <c r="S71" s="1" t="s">
        <v>854</v>
      </c>
      <c r="T71" s="1" t="s">
        <v>107</v>
      </c>
      <c r="U71" s="1" t="s">
        <v>855</v>
      </c>
      <c r="V71" s="1">
        <v>1</v>
      </c>
      <c r="W71" s="1">
        <v>1</v>
      </c>
      <c r="X71" s="1">
        <v>0</v>
      </c>
      <c r="Y71" s="1">
        <v>0</v>
      </c>
      <c r="Z71" s="1">
        <v>0</v>
      </c>
      <c r="AA71" s="1">
        <v>4</v>
      </c>
      <c r="AB71" s="1">
        <v>4</v>
      </c>
      <c r="AC71" s="1" t="s">
        <v>109</v>
      </c>
      <c r="AD71" s="1" t="s">
        <v>109</v>
      </c>
      <c r="AE71" s="1" t="s">
        <v>109</v>
      </c>
      <c r="AF71" s="1">
        <v>3</v>
      </c>
      <c r="AG71" s="1" t="s">
        <v>109</v>
      </c>
      <c r="AH71" s="1" t="s">
        <v>109</v>
      </c>
      <c r="AI71" s="1">
        <v>3</v>
      </c>
      <c r="AJ71" s="1">
        <v>4</v>
      </c>
      <c r="AK71" s="1" t="s">
        <v>109</v>
      </c>
      <c r="AL71" s="1" t="s">
        <v>109</v>
      </c>
      <c r="AM71" s="1" t="s">
        <v>109</v>
      </c>
      <c r="AN71" s="1" t="s">
        <v>109</v>
      </c>
      <c r="AO71" s="1" t="s">
        <v>109</v>
      </c>
      <c r="AP71" s="1"/>
      <c r="AQ71" s="1">
        <v>4</v>
      </c>
      <c r="AR71" s="1" t="s">
        <v>856</v>
      </c>
      <c r="AS71" s="1" t="s">
        <v>857</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1</v>
      </c>
      <c r="BN71" s="1">
        <v>0</v>
      </c>
      <c r="BO71" s="1">
        <v>0</v>
      </c>
      <c r="BP71" s="1">
        <v>0</v>
      </c>
      <c r="BQ71" s="1">
        <v>0</v>
      </c>
      <c r="BR71" s="1">
        <v>0</v>
      </c>
      <c r="BS71" s="5" t="str">
        <f>HYPERLINK("http://www.d20pfsrd.com/magic/all-spells/c/charm-monster","Charm Monster")</f>
        <v>Charm Monster</v>
      </c>
      <c r="BT71" s="1">
        <v>70</v>
      </c>
      <c r="BU71" s="1" t="s">
        <v>109</v>
      </c>
      <c r="BV71" s="1" t="s">
        <v>858</v>
      </c>
      <c r="BW71" s="1"/>
      <c r="BX71" s="1"/>
      <c r="BY71" s="1"/>
      <c r="BZ71" s="1">
        <v>0</v>
      </c>
      <c r="CA71" s="1" t="s">
        <v>109</v>
      </c>
      <c r="CB71" s="1" t="s">
        <v>109</v>
      </c>
      <c r="CC71" s="1">
        <v>4</v>
      </c>
      <c r="CD71" s="1" t="s">
        <v>109</v>
      </c>
      <c r="CE71" s="1">
        <v>3</v>
      </c>
      <c r="CF71" s="1">
        <v>4</v>
      </c>
      <c r="CG71" s="1" t="s">
        <v>109</v>
      </c>
      <c r="CH71" s="1" t="s">
        <v>109</v>
      </c>
      <c r="CI71" s="1" t="s">
        <v>109</v>
      </c>
      <c r="CJ71" s="1" t="s">
        <v>109</v>
      </c>
      <c r="CK71" s="1"/>
      <c r="CL71" s="1">
        <v>0</v>
      </c>
      <c r="CM71" s="1">
        <v>0</v>
      </c>
      <c r="CN71" s="1">
        <v>0</v>
      </c>
    </row>
    <row r="72" spans="1:92" ht="14.25" customHeight="1" x14ac:dyDescent="0.15">
      <c r="A72" s="1" t="s">
        <v>859</v>
      </c>
      <c r="B72" s="1" t="s">
        <v>156</v>
      </c>
      <c r="C72" s="1" t="s">
        <v>834</v>
      </c>
      <c r="D72" s="1" t="s">
        <v>158</v>
      </c>
      <c r="E72" s="1" t="s">
        <v>860</v>
      </c>
      <c r="F72" s="1" t="s">
        <v>98</v>
      </c>
      <c r="G72" s="1" t="s">
        <v>333</v>
      </c>
      <c r="H72" s="1">
        <v>0</v>
      </c>
      <c r="I72" s="1" t="s">
        <v>142</v>
      </c>
      <c r="J72" s="1"/>
      <c r="K72" s="1"/>
      <c r="L72" s="1" t="s">
        <v>861</v>
      </c>
      <c r="M72" s="1" t="s">
        <v>280</v>
      </c>
      <c r="N72" s="1">
        <v>0</v>
      </c>
      <c r="O72" s="1">
        <v>0</v>
      </c>
      <c r="P72" s="1" t="s">
        <v>301</v>
      </c>
      <c r="Q72" s="1" t="s">
        <v>268</v>
      </c>
      <c r="R72" s="1" t="s">
        <v>862</v>
      </c>
      <c r="S72" s="1" t="s">
        <v>863</v>
      </c>
      <c r="T72" s="1" t="s">
        <v>107</v>
      </c>
      <c r="U72" s="1" t="s">
        <v>864</v>
      </c>
      <c r="V72" s="1">
        <v>1</v>
      </c>
      <c r="W72" s="1">
        <v>0</v>
      </c>
      <c r="X72" s="1">
        <v>0</v>
      </c>
      <c r="Y72" s="1">
        <v>0</v>
      </c>
      <c r="Z72" s="1">
        <v>0</v>
      </c>
      <c r="AA72" s="1">
        <v>8</v>
      </c>
      <c r="AB72" s="1">
        <v>8</v>
      </c>
      <c r="AC72" s="1" t="s">
        <v>109</v>
      </c>
      <c r="AD72" s="1" t="s">
        <v>109</v>
      </c>
      <c r="AE72" s="1" t="s">
        <v>109</v>
      </c>
      <c r="AF72" s="1">
        <v>6</v>
      </c>
      <c r="AG72" s="1" t="s">
        <v>109</v>
      </c>
      <c r="AH72" s="1" t="s">
        <v>109</v>
      </c>
      <c r="AI72" s="1">
        <v>6</v>
      </c>
      <c r="AJ72" s="1">
        <v>8</v>
      </c>
      <c r="AK72" s="1" t="s">
        <v>109</v>
      </c>
      <c r="AL72" s="1" t="s">
        <v>109</v>
      </c>
      <c r="AM72" s="1" t="s">
        <v>109</v>
      </c>
      <c r="AN72" s="1" t="s">
        <v>109</v>
      </c>
      <c r="AO72" s="1" t="s">
        <v>109</v>
      </c>
      <c r="AP72" s="1"/>
      <c r="AQ72" s="1">
        <v>8</v>
      </c>
      <c r="AR72" s="1"/>
      <c r="AS72" s="1" t="s">
        <v>865</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1</v>
      </c>
      <c r="BN72" s="1">
        <v>0</v>
      </c>
      <c r="BO72" s="1">
        <v>0</v>
      </c>
      <c r="BP72" s="1">
        <v>0</v>
      </c>
      <c r="BQ72" s="1">
        <v>0</v>
      </c>
      <c r="BR72" s="1">
        <v>0</v>
      </c>
      <c r="BS72" s="5" t="str">
        <f>HYPERLINK("http://www.d20pfsrd.com/magic/all-spells/c/charm-monster","Charm Monster, Mass")</f>
        <v>Charm Monster, Mass</v>
      </c>
      <c r="BT72" s="1">
        <v>71</v>
      </c>
      <c r="BU72" s="1" t="s">
        <v>109</v>
      </c>
      <c r="BV72" s="1"/>
      <c r="BW72" s="1"/>
      <c r="BX72" s="1"/>
      <c r="BY72" s="1"/>
      <c r="BZ72" s="1">
        <v>0</v>
      </c>
      <c r="CA72" s="1" t="s">
        <v>109</v>
      </c>
      <c r="CB72" s="1" t="s">
        <v>109</v>
      </c>
      <c r="CC72" s="1">
        <v>8</v>
      </c>
      <c r="CD72" s="1" t="s">
        <v>109</v>
      </c>
      <c r="CE72" s="1">
        <v>6</v>
      </c>
      <c r="CF72" s="1">
        <v>6</v>
      </c>
      <c r="CG72" s="1" t="s">
        <v>109</v>
      </c>
      <c r="CH72" s="1" t="s">
        <v>109</v>
      </c>
      <c r="CI72" s="1" t="s">
        <v>109</v>
      </c>
      <c r="CJ72" s="1" t="s">
        <v>109</v>
      </c>
      <c r="CK72" s="1"/>
      <c r="CL72" s="1">
        <v>0</v>
      </c>
      <c r="CM72" s="1">
        <v>0</v>
      </c>
      <c r="CN72" s="1">
        <v>0</v>
      </c>
    </row>
    <row r="73" spans="1:92" ht="14.25" customHeight="1" x14ac:dyDescent="0.15">
      <c r="A73" s="1" t="s">
        <v>866</v>
      </c>
      <c r="B73" s="1" t="s">
        <v>189</v>
      </c>
      <c r="C73" s="1"/>
      <c r="D73" s="1" t="s">
        <v>49</v>
      </c>
      <c r="E73" s="1" t="s">
        <v>867</v>
      </c>
      <c r="F73" s="1" t="s">
        <v>98</v>
      </c>
      <c r="G73" s="1" t="s">
        <v>160</v>
      </c>
      <c r="H73" s="1">
        <v>0</v>
      </c>
      <c r="I73" s="1" t="s">
        <v>142</v>
      </c>
      <c r="J73" s="1"/>
      <c r="K73" s="1"/>
      <c r="L73" s="1" t="s">
        <v>868</v>
      </c>
      <c r="M73" s="1" t="s">
        <v>869</v>
      </c>
      <c r="N73" s="1">
        <v>0</v>
      </c>
      <c r="O73" s="1">
        <v>0</v>
      </c>
      <c r="P73" s="1" t="s">
        <v>629</v>
      </c>
      <c r="Q73" s="1" t="s">
        <v>630</v>
      </c>
      <c r="R73" s="1" t="s">
        <v>870</v>
      </c>
      <c r="S73" s="1" t="s">
        <v>871</v>
      </c>
      <c r="T73" s="1" t="s">
        <v>107</v>
      </c>
      <c r="U73" s="1" t="s">
        <v>872</v>
      </c>
      <c r="V73" s="1">
        <v>1</v>
      </c>
      <c r="W73" s="1">
        <v>1</v>
      </c>
      <c r="X73" s="1">
        <v>0</v>
      </c>
      <c r="Y73" s="1">
        <v>0</v>
      </c>
      <c r="Z73" s="1">
        <v>1</v>
      </c>
      <c r="AA73" s="1" t="s">
        <v>109</v>
      </c>
      <c r="AB73" s="1" t="s">
        <v>109</v>
      </c>
      <c r="AC73" s="1" t="s">
        <v>109</v>
      </c>
      <c r="AD73" s="1">
        <v>2</v>
      </c>
      <c r="AE73" s="1" t="s">
        <v>109</v>
      </c>
      <c r="AF73" s="1" t="s">
        <v>109</v>
      </c>
      <c r="AG73" s="1" t="s">
        <v>109</v>
      </c>
      <c r="AH73" s="1" t="s">
        <v>109</v>
      </c>
      <c r="AI73" s="1" t="s">
        <v>109</v>
      </c>
      <c r="AJ73" s="1" t="s">
        <v>109</v>
      </c>
      <c r="AK73" s="1" t="s">
        <v>109</v>
      </c>
      <c r="AL73" s="1" t="s">
        <v>109</v>
      </c>
      <c r="AM73" s="1" t="s">
        <v>109</v>
      </c>
      <c r="AN73" s="1" t="s">
        <v>109</v>
      </c>
      <c r="AO73" s="1" t="s">
        <v>109</v>
      </c>
      <c r="AP73" s="1"/>
      <c r="AQ73" s="1">
        <v>2</v>
      </c>
      <c r="AR73" s="1"/>
      <c r="AS73" s="1" t="s">
        <v>873</v>
      </c>
      <c r="AT73" s="1">
        <v>0</v>
      </c>
      <c r="AU73" s="1">
        <v>0</v>
      </c>
      <c r="AV73" s="1">
        <v>0</v>
      </c>
      <c r="AW73" s="1">
        <v>1</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5" t="str">
        <f>HYPERLINK("http://www.d20pfsrd.com/magic/all-spells/c/chill-metal","Chill Metal")</f>
        <v>Chill Metal</v>
      </c>
      <c r="BT73" s="1">
        <v>72</v>
      </c>
      <c r="BU73" s="1" t="s">
        <v>109</v>
      </c>
      <c r="BV73" s="1"/>
      <c r="BW73" s="1"/>
      <c r="BX73" s="1" t="s">
        <v>874</v>
      </c>
      <c r="BY73" s="1"/>
      <c r="BZ73" s="1">
        <v>1</v>
      </c>
      <c r="CA73" s="1" t="s">
        <v>109</v>
      </c>
      <c r="CB73" s="1" t="s">
        <v>109</v>
      </c>
      <c r="CC73" s="1">
        <v>2</v>
      </c>
      <c r="CD73" s="1" t="s">
        <v>109</v>
      </c>
      <c r="CE73" s="1" t="s">
        <v>109</v>
      </c>
      <c r="CF73" s="1">
        <v>2</v>
      </c>
      <c r="CG73" s="1" t="s">
        <v>109</v>
      </c>
      <c r="CH73" s="1" t="s">
        <v>109</v>
      </c>
      <c r="CI73" s="1" t="s">
        <v>109</v>
      </c>
      <c r="CJ73" s="1">
        <v>2</v>
      </c>
      <c r="CK73" s="1"/>
      <c r="CL73" s="1">
        <v>0</v>
      </c>
      <c r="CM73" s="1">
        <v>0</v>
      </c>
      <c r="CN73" s="1">
        <v>0</v>
      </c>
    </row>
    <row r="74" spans="1:92" ht="14.25" customHeight="1" x14ac:dyDescent="0.15">
      <c r="A74" s="1" t="s">
        <v>875</v>
      </c>
      <c r="B74" s="1" t="s">
        <v>308</v>
      </c>
      <c r="C74" s="1"/>
      <c r="D74" s="1"/>
      <c r="E74" s="1" t="s">
        <v>876</v>
      </c>
      <c r="F74" s="1" t="s">
        <v>98</v>
      </c>
      <c r="G74" s="1" t="s">
        <v>141</v>
      </c>
      <c r="H74" s="1">
        <v>0</v>
      </c>
      <c r="I74" s="1" t="s">
        <v>161</v>
      </c>
      <c r="J74" s="1"/>
      <c r="K74" s="1"/>
      <c r="L74" s="1" t="s">
        <v>877</v>
      </c>
      <c r="M74" s="1" t="s">
        <v>144</v>
      </c>
      <c r="N74" s="1">
        <v>0</v>
      </c>
      <c r="O74" s="1">
        <v>0</v>
      </c>
      <c r="P74" s="1" t="s">
        <v>878</v>
      </c>
      <c r="Q74" s="1" t="s">
        <v>268</v>
      </c>
      <c r="R74" s="1" t="s">
        <v>879</v>
      </c>
      <c r="S74" s="1" t="s">
        <v>880</v>
      </c>
      <c r="T74" s="1" t="s">
        <v>107</v>
      </c>
      <c r="U74" s="1" t="s">
        <v>881</v>
      </c>
      <c r="V74" s="1">
        <v>1</v>
      </c>
      <c r="W74" s="1">
        <v>1</v>
      </c>
      <c r="X74" s="1">
        <v>0</v>
      </c>
      <c r="Y74" s="1">
        <v>0</v>
      </c>
      <c r="Z74" s="1">
        <v>0</v>
      </c>
      <c r="AA74" s="1">
        <v>1</v>
      </c>
      <c r="AB74" s="1">
        <v>1</v>
      </c>
      <c r="AC74" s="1" t="s">
        <v>109</v>
      </c>
      <c r="AD74" s="1" t="s">
        <v>109</v>
      </c>
      <c r="AE74" s="1" t="s">
        <v>109</v>
      </c>
      <c r="AF74" s="1" t="s">
        <v>109</v>
      </c>
      <c r="AG74" s="1" t="s">
        <v>109</v>
      </c>
      <c r="AH74" s="1" t="s">
        <v>109</v>
      </c>
      <c r="AI74" s="1" t="s">
        <v>109</v>
      </c>
      <c r="AJ74" s="1">
        <v>1</v>
      </c>
      <c r="AK74" s="1" t="s">
        <v>109</v>
      </c>
      <c r="AL74" s="1" t="s">
        <v>109</v>
      </c>
      <c r="AM74" s="1" t="s">
        <v>109</v>
      </c>
      <c r="AN74" s="1">
        <v>1</v>
      </c>
      <c r="AO74" s="1" t="s">
        <v>109</v>
      </c>
      <c r="AP74" s="1"/>
      <c r="AQ74" s="1">
        <v>1</v>
      </c>
      <c r="AR74" s="1"/>
      <c r="AS74" s="1" t="s">
        <v>882</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5" t="str">
        <f>HYPERLINK("http://www.d20pfsrd.com/magic/all-spells/c/chill-touch","Chill Touch")</f>
        <v>Chill Touch</v>
      </c>
      <c r="BT74" s="1">
        <v>73</v>
      </c>
      <c r="BU74" s="1" t="s">
        <v>109</v>
      </c>
      <c r="BV74" s="1" t="s">
        <v>883</v>
      </c>
      <c r="BW74" s="1"/>
      <c r="BX74" s="1"/>
      <c r="BY74" s="1"/>
      <c r="BZ74" s="1">
        <v>0</v>
      </c>
      <c r="CA74" s="1">
        <v>1</v>
      </c>
      <c r="CB74" s="1">
        <v>1</v>
      </c>
      <c r="CC74" s="1" t="s">
        <v>109</v>
      </c>
      <c r="CD74" s="1" t="s">
        <v>109</v>
      </c>
      <c r="CE74" s="1" t="s">
        <v>109</v>
      </c>
      <c r="CF74" s="1" t="s">
        <v>109</v>
      </c>
      <c r="CG74" s="1">
        <v>1</v>
      </c>
      <c r="CH74" s="1" t="s">
        <v>109</v>
      </c>
      <c r="CI74" s="1" t="s">
        <v>109</v>
      </c>
      <c r="CJ74" s="1" t="s">
        <v>109</v>
      </c>
      <c r="CK74" s="1"/>
      <c r="CL74" s="1">
        <v>0</v>
      </c>
      <c r="CM74" s="1">
        <v>0</v>
      </c>
      <c r="CN74" s="1">
        <v>0</v>
      </c>
    </row>
    <row r="75" spans="1:92" ht="14.25" customHeight="1" x14ac:dyDescent="0.15">
      <c r="A75" s="1" t="s">
        <v>884</v>
      </c>
      <c r="B75" s="1" t="s">
        <v>308</v>
      </c>
      <c r="C75" s="1"/>
      <c r="D75" s="1" t="s">
        <v>52</v>
      </c>
      <c r="E75" s="1" t="s">
        <v>885</v>
      </c>
      <c r="F75" s="1" t="s">
        <v>98</v>
      </c>
      <c r="G75" s="1" t="s">
        <v>886</v>
      </c>
      <c r="H75" s="1">
        <v>1</v>
      </c>
      <c r="I75" s="1" t="s">
        <v>122</v>
      </c>
      <c r="J75" s="1" t="s">
        <v>887</v>
      </c>
      <c r="K75" s="1"/>
      <c r="L75" s="1"/>
      <c r="M75" s="1" t="s">
        <v>144</v>
      </c>
      <c r="N75" s="1">
        <v>0</v>
      </c>
      <c r="O75" s="1">
        <v>0</v>
      </c>
      <c r="P75" s="1" t="s">
        <v>267</v>
      </c>
      <c r="Q75" s="1" t="s">
        <v>268</v>
      </c>
      <c r="R75" s="1" t="s">
        <v>888</v>
      </c>
      <c r="S75" s="1" t="s">
        <v>889</v>
      </c>
      <c r="T75" s="1" t="s">
        <v>107</v>
      </c>
      <c r="U75" s="1" t="s">
        <v>890</v>
      </c>
      <c r="V75" s="1">
        <v>1</v>
      </c>
      <c r="W75" s="1">
        <v>1</v>
      </c>
      <c r="X75" s="1">
        <v>1</v>
      </c>
      <c r="Y75" s="1">
        <v>0</v>
      </c>
      <c r="Z75" s="1">
        <v>0</v>
      </c>
      <c r="AA75" s="1">
        <v>6</v>
      </c>
      <c r="AB75" s="1">
        <v>6</v>
      </c>
      <c r="AC75" s="1" t="s">
        <v>109</v>
      </c>
      <c r="AD75" s="1" t="s">
        <v>109</v>
      </c>
      <c r="AE75" s="1" t="s">
        <v>109</v>
      </c>
      <c r="AF75" s="1" t="s">
        <v>109</v>
      </c>
      <c r="AG75" s="1" t="s">
        <v>109</v>
      </c>
      <c r="AH75" s="1" t="s">
        <v>109</v>
      </c>
      <c r="AI75" s="1" t="s">
        <v>109</v>
      </c>
      <c r="AJ75" s="1" t="s">
        <v>109</v>
      </c>
      <c r="AK75" s="1">
        <v>6</v>
      </c>
      <c r="AL75" s="1" t="s">
        <v>109</v>
      </c>
      <c r="AM75" s="1" t="s">
        <v>109</v>
      </c>
      <c r="AN75" s="1" t="s">
        <v>109</v>
      </c>
      <c r="AO75" s="1" t="s">
        <v>109</v>
      </c>
      <c r="AP75" s="1"/>
      <c r="AQ75" s="1">
        <v>6</v>
      </c>
      <c r="AR75" s="1"/>
      <c r="AS75" s="1" t="s">
        <v>891</v>
      </c>
      <c r="AT75" s="1">
        <v>0</v>
      </c>
      <c r="AU75" s="1">
        <v>0</v>
      </c>
      <c r="AV75" s="1">
        <v>0</v>
      </c>
      <c r="AW75" s="1">
        <v>0</v>
      </c>
      <c r="AX75" s="1">
        <v>0</v>
      </c>
      <c r="AY75" s="1">
        <v>0</v>
      </c>
      <c r="AZ75" s="1">
        <v>1</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5" t="str">
        <f>HYPERLINK("http://www.d20pfsrd.com/magic/all-spells/c/circle-of-death","Circle of Death")</f>
        <v>Circle of Death</v>
      </c>
      <c r="BT75" s="1">
        <v>74</v>
      </c>
      <c r="BU75" s="1">
        <v>500</v>
      </c>
      <c r="BV75" s="1" t="s">
        <v>892</v>
      </c>
      <c r="BW75" s="1" t="s">
        <v>893</v>
      </c>
      <c r="BX75" s="1" t="s">
        <v>894</v>
      </c>
      <c r="BY75" s="1" t="s">
        <v>895</v>
      </c>
      <c r="BZ75" s="1">
        <v>1</v>
      </c>
      <c r="CA75" s="1" t="s">
        <v>109</v>
      </c>
      <c r="CB75" s="1" t="s">
        <v>109</v>
      </c>
      <c r="CC75" s="1" t="s">
        <v>109</v>
      </c>
      <c r="CD75" s="1" t="s">
        <v>109</v>
      </c>
      <c r="CE75" s="1" t="s">
        <v>109</v>
      </c>
      <c r="CF75" s="1" t="s">
        <v>109</v>
      </c>
      <c r="CG75" s="1">
        <v>6</v>
      </c>
      <c r="CH75" s="1" t="s">
        <v>109</v>
      </c>
      <c r="CI75" s="1" t="s">
        <v>109</v>
      </c>
      <c r="CJ75" s="1" t="s">
        <v>109</v>
      </c>
      <c r="CK75" s="1"/>
      <c r="CL75" s="1">
        <v>0</v>
      </c>
      <c r="CM75" s="1">
        <v>0</v>
      </c>
      <c r="CN75" s="1">
        <v>0</v>
      </c>
    </row>
    <row r="76" spans="1:92" ht="14.25" customHeight="1" x14ac:dyDescent="0.15">
      <c r="A76" s="1" t="s">
        <v>896</v>
      </c>
      <c r="B76" s="1" t="s">
        <v>254</v>
      </c>
      <c r="C76" s="1" t="s">
        <v>393</v>
      </c>
      <c r="D76" s="1"/>
      <c r="E76" s="1" t="s">
        <v>897</v>
      </c>
      <c r="F76" s="1" t="s">
        <v>395</v>
      </c>
      <c r="G76" s="1" t="s">
        <v>898</v>
      </c>
      <c r="H76" s="1">
        <v>0</v>
      </c>
      <c r="I76" s="1" t="s">
        <v>100</v>
      </c>
      <c r="J76" s="1"/>
      <c r="K76" s="1" t="s">
        <v>398</v>
      </c>
      <c r="L76" s="1"/>
      <c r="M76" s="1" t="s">
        <v>164</v>
      </c>
      <c r="N76" s="1">
        <v>1</v>
      </c>
      <c r="O76" s="1">
        <v>0</v>
      </c>
      <c r="P76" s="1" t="s">
        <v>103</v>
      </c>
      <c r="Q76" s="1" t="s">
        <v>104</v>
      </c>
      <c r="R76" s="1" t="s">
        <v>899</v>
      </c>
      <c r="S76" s="1" t="s">
        <v>900</v>
      </c>
      <c r="T76" s="1" t="s">
        <v>107</v>
      </c>
      <c r="U76" s="1" t="s">
        <v>901</v>
      </c>
      <c r="V76" s="1">
        <v>1</v>
      </c>
      <c r="W76" s="1">
        <v>1</v>
      </c>
      <c r="X76" s="1">
        <v>0</v>
      </c>
      <c r="Y76" s="1">
        <v>1</v>
      </c>
      <c r="Z76" s="1">
        <v>1</v>
      </c>
      <c r="AA76" s="1">
        <v>3</v>
      </c>
      <c r="AB76" s="1">
        <v>3</v>
      </c>
      <c r="AC76" s="1" t="s">
        <v>109</v>
      </c>
      <c r="AD76" s="1" t="s">
        <v>109</v>
      </c>
      <c r="AE76" s="1" t="s">
        <v>109</v>
      </c>
      <c r="AF76" s="1">
        <v>3</v>
      </c>
      <c r="AG76" s="1" t="s">
        <v>109</v>
      </c>
      <c r="AH76" s="1" t="s">
        <v>109</v>
      </c>
      <c r="AI76" s="1" t="s">
        <v>109</v>
      </c>
      <c r="AJ76" s="1">
        <v>3</v>
      </c>
      <c r="AK76" s="1" t="s">
        <v>109</v>
      </c>
      <c r="AL76" s="1" t="s">
        <v>109</v>
      </c>
      <c r="AM76" s="1" t="s">
        <v>109</v>
      </c>
      <c r="AN76" s="1" t="s">
        <v>109</v>
      </c>
      <c r="AO76" s="1" t="s">
        <v>109</v>
      </c>
      <c r="AP76" s="1"/>
      <c r="AQ76" s="1">
        <v>3</v>
      </c>
      <c r="AR76" s="1"/>
      <c r="AS76" s="1" t="s">
        <v>902</v>
      </c>
      <c r="AT76" s="1">
        <v>0</v>
      </c>
      <c r="AU76" s="1">
        <v>0</v>
      </c>
      <c r="AV76" s="1">
        <v>0</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5" t="str">
        <f>HYPERLINK("http://www.d20pfsrd.com/magic/all-spells/c/clairaudience-clairvoyance","Clairaudience/Clairvoyance")</f>
        <v>Clairaudience/Clairvoyance</v>
      </c>
      <c r="BT76" s="1">
        <v>75</v>
      </c>
      <c r="BU76" s="1" t="s">
        <v>109</v>
      </c>
      <c r="BV76" s="1"/>
      <c r="BW76" s="1"/>
      <c r="BX76" s="1"/>
      <c r="BY76" s="1"/>
      <c r="BZ76" s="1">
        <v>0</v>
      </c>
      <c r="CA76" s="1" t="s">
        <v>109</v>
      </c>
      <c r="CB76" s="1">
        <v>3</v>
      </c>
      <c r="CC76" s="1">
        <v>3</v>
      </c>
      <c r="CD76" s="1" t="s">
        <v>109</v>
      </c>
      <c r="CE76" s="1">
        <v>3</v>
      </c>
      <c r="CF76" s="1">
        <v>3</v>
      </c>
      <c r="CG76" s="1">
        <v>3</v>
      </c>
      <c r="CH76" s="1" t="s">
        <v>109</v>
      </c>
      <c r="CI76" s="1" t="s">
        <v>109</v>
      </c>
      <c r="CJ76" s="1" t="s">
        <v>109</v>
      </c>
      <c r="CK76" s="1"/>
      <c r="CL76" s="1">
        <v>0</v>
      </c>
      <c r="CM76" s="1">
        <v>0</v>
      </c>
      <c r="CN76" s="1">
        <v>0</v>
      </c>
    </row>
    <row r="77" spans="1:92" ht="14.25" customHeight="1" x14ac:dyDescent="0.15">
      <c r="A77" s="1" t="s">
        <v>903</v>
      </c>
      <c r="B77" s="1" t="s">
        <v>584</v>
      </c>
      <c r="C77" s="1"/>
      <c r="D77" s="1" t="s">
        <v>60</v>
      </c>
      <c r="E77" s="1" t="s">
        <v>904</v>
      </c>
      <c r="F77" s="1" t="s">
        <v>98</v>
      </c>
      <c r="G77" s="1" t="s">
        <v>905</v>
      </c>
      <c r="H77" s="1">
        <v>0</v>
      </c>
      <c r="I77" s="1" t="s">
        <v>122</v>
      </c>
      <c r="J77" s="1"/>
      <c r="K77" s="1" t="s">
        <v>906</v>
      </c>
      <c r="L77" s="1"/>
      <c r="M77" s="1" t="s">
        <v>125</v>
      </c>
      <c r="N77" s="1">
        <v>1</v>
      </c>
      <c r="O77" s="1">
        <v>0</v>
      </c>
      <c r="P77" s="1" t="s">
        <v>103</v>
      </c>
      <c r="Q77" s="1" t="s">
        <v>268</v>
      </c>
      <c r="R77" s="1" t="s">
        <v>907</v>
      </c>
      <c r="S77" s="1" t="s">
        <v>908</v>
      </c>
      <c r="T77" s="1" t="s">
        <v>107</v>
      </c>
      <c r="U77" s="1" t="s">
        <v>909</v>
      </c>
      <c r="V77" s="1">
        <v>1</v>
      </c>
      <c r="W77" s="1">
        <v>1</v>
      </c>
      <c r="X77" s="1">
        <v>0</v>
      </c>
      <c r="Y77" s="1">
        <v>1</v>
      </c>
      <c r="Z77" s="1">
        <v>1</v>
      </c>
      <c r="AA77" s="1">
        <v>8</v>
      </c>
      <c r="AB77" s="1">
        <v>8</v>
      </c>
      <c r="AC77" s="1" t="s">
        <v>109</v>
      </c>
      <c r="AD77" s="1" t="s">
        <v>109</v>
      </c>
      <c r="AE77" s="1" t="s">
        <v>109</v>
      </c>
      <c r="AF77" s="1" t="s">
        <v>109</v>
      </c>
      <c r="AG77" s="1" t="s">
        <v>109</v>
      </c>
      <c r="AH77" s="1" t="s">
        <v>109</v>
      </c>
      <c r="AI77" s="1" t="s">
        <v>109</v>
      </c>
      <c r="AJ77" s="1" t="s">
        <v>109</v>
      </c>
      <c r="AK77" s="1" t="s">
        <v>109</v>
      </c>
      <c r="AL77" s="1" t="s">
        <v>109</v>
      </c>
      <c r="AM77" s="1" t="s">
        <v>109</v>
      </c>
      <c r="AN77" s="1" t="s">
        <v>109</v>
      </c>
      <c r="AO77" s="1" t="s">
        <v>109</v>
      </c>
      <c r="AP77" s="1"/>
      <c r="AQ77" s="1">
        <v>8</v>
      </c>
      <c r="AR77" s="1" t="s">
        <v>910</v>
      </c>
      <c r="AS77" s="1" t="s">
        <v>911</v>
      </c>
      <c r="AT77" s="1">
        <v>0</v>
      </c>
      <c r="AU77" s="1">
        <v>0</v>
      </c>
      <c r="AV77" s="1">
        <v>0</v>
      </c>
      <c r="AW77" s="1">
        <v>0</v>
      </c>
      <c r="AX77" s="1">
        <v>0</v>
      </c>
      <c r="AY77" s="1">
        <v>0</v>
      </c>
      <c r="AZ77" s="1">
        <v>0</v>
      </c>
      <c r="BA77" s="1">
        <v>0</v>
      </c>
      <c r="BB77" s="1">
        <v>0</v>
      </c>
      <c r="BC77" s="1">
        <v>0</v>
      </c>
      <c r="BD77" s="1">
        <v>0</v>
      </c>
      <c r="BE77" s="1">
        <v>0</v>
      </c>
      <c r="BF77" s="1">
        <v>0</v>
      </c>
      <c r="BG77" s="1">
        <v>0</v>
      </c>
      <c r="BH77" s="1">
        <v>1</v>
      </c>
      <c r="BI77" s="1">
        <v>0</v>
      </c>
      <c r="BJ77" s="1">
        <v>0</v>
      </c>
      <c r="BK77" s="1">
        <v>0</v>
      </c>
      <c r="BL77" s="1">
        <v>0</v>
      </c>
      <c r="BM77" s="1">
        <v>0</v>
      </c>
      <c r="BN77" s="1">
        <v>0</v>
      </c>
      <c r="BO77" s="1">
        <v>0</v>
      </c>
      <c r="BP77" s="1">
        <v>0</v>
      </c>
      <c r="BQ77" s="1">
        <v>0</v>
      </c>
      <c r="BR77" s="1">
        <v>0</v>
      </c>
      <c r="BS77" s="5" t="str">
        <f>HYPERLINK("http://www.d20pfsrd.com/magic/all-spells/c/clenched-fist","Clenched Fist")</f>
        <v>Clenched Fist</v>
      </c>
      <c r="BT77" s="1">
        <v>76</v>
      </c>
      <c r="BU77" s="1" t="s">
        <v>109</v>
      </c>
      <c r="BV77" s="1"/>
      <c r="BW77" s="1"/>
      <c r="BX77" s="1"/>
      <c r="BY77" s="1"/>
      <c r="BZ77" s="1">
        <v>0</v>
      </c>
      <c r="CA77" s="1" t="s">
        <v>109</v>
      </c>
      <c r="CB77" s="1" t="s">
        <v>109</v>
      </c>
      <c r="CC77" s="1">
        <v>8</v>
      </c>
      <c r="CD77" s="1" t="s">
        <v>109</v>
      </c>
      <c r="CE77" s="1" t="s">
        <v>109</v>
      </c>
      <c r="CF77" s="1" t="s">
        <v>109</v>
      </c>
      <c r="CG77" s="1" t="s">
        <v>109</v>
      </c>
      <c r="CH77" s="1" t="s">
        <v>109</v>
      </c>
      <c r="CI77" s="1" t="s">
        <v>109</v>
      </c>
      <c r="CJ77" s="1" t="s">
        <v>109</v>
      </c>
      <c r="CK77" s="1"/>
      <c r="CL77" s="1">
        <v>0</v>
      </c>
      <c r="CM77" s="1">
        <v>0</v>
      </c>
      <c r="CN77" s="1">
        <v>0</v>
      </c>
    </row>
    <row r="78" spans="1:92" ht="14.25" customHeight="1" x14ac:dyDescent="0.15">
      <c r="A78" s="1" t="s">
        <v>912</v>
      </c>
      <c r="B78" s="1" t="s">
        <v>242</v>
      </c>
      <c r="C78" s="1"/>
      <c r="D78" s="1" t="s">
        <v>48</v>
      </c>
      <c r="E78" s="1" t="s">
        <v>913</v>
      </c>
      <c r="F78" s="1" t="s">
        <v>98</v>
      </c>
      <c r="G78" s="1" t="s">
        <v>914</v>
      </c>
      <c r="H78" s="1">
        <v>1</v>
      </c>
      <c r="I78" s="1" t="s">
        <v>915</v>
      </c>
      <c r="J78" s="1"/>
      <c r="K78" s="1"/>
      <c r="L78" s="1" t="s">
        <v>916</v>
      </c>
      <c r="M78" s="1" t="s">
        <v>125</v>
      </c>
      <c r="N78" s="1">
        <v>1</v>
      </c>
      <c r="O78" s="1">
        <v>0</v>
      </c>
      <c r="P78" s="1" t="s">
        <v>211</v>
      </c>
      <c r="Q78" s="1" t="s">
        <v>167</v>
      </c>
      <c r="R78" s="1" t="s">
        <v>917</v>
      </c>
      <c r="S78" s="1" t="s">
        <v>918</v>
      </c>
      <c r="T78" s="1" t="s">
        <v>107</v>
      </c>
      <c r="U78" s="1" t="s">
        <v>919</v>
      </c>
      <c r="V78" s="1">
        <v>1</v>
      </c>
      <c r="W78" s="1">
        <v>1</v>
      </c>
      <c r="X78" s="1">
        <v>0</v>
      </c>
      <c r="Y78" s="1">
        <v>1</v>
      </c>
      <c r="Z78" s="1">
        <v>0</v>
      </c>
      <c r="AA78" s="1" t="s">
        <v>109</v>
      </c>
      <c r="AB78" s="1" t="s">
        <v>109</v>
      </c>
      <c r="AC78" s="1">
        <v>8</v>
      </c>
      <c r="AD78" s="1" t="s">
        <v>109</v>
      </c>
      <c r="AE78" s="1" t="s">
        <v>109</v>
      </c>
      <c r="AF78" s="1" t="s">
        <v>109</v>
      </c>
      <c r="AG78" s="1" t="s">
        <v>109</v>
      </c>
      <c r="AH78" s="1" t="s">
        <v>109</v>
      </c>
      <c r="AI78" s="1" t="s">
        <v>109</v>
      </c>
      <c r="AJ78" s="1" t="s">
        <v>109</v>
      </c>
      <c r="AK78" s="1" t="s">
        <v>109</v>
      </c>
      <c r="AL78" s="1">
        <v>8</v>
      </c>
      <c r="AM78" s="1" t="s">
        <v>109</v>
      </c>
      <c r="AN78" s="1" t="s">
        <v>109</v>
      </c>
      <c r="AO78" s="1" t="s">
        <v>109</v>
      </c>
      <c r="AP78" s="1"/>
      <c r="AQ78" s="1">
        <v>8</v>
      </c>
      <c r="AR78" s="1" t="s">
        <v>920</v>
      </c>
      <c r="AS78" s="1" t="s">
        <v>921</v>
      </c>
      <c r="AT78" s="1">
        <v>0</v>
      </c>
      <c r="AU78" s="1">
        <v>0</v>
      </c>
      <c r="AV78" s="1">
        <v>1</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5" t="str">
        <f>HYPERLINK("http://www.d20pfsrd.com/magic/all-spells/c/cloak-of-chaos","Cloak of Chaos")</f>
        <v>Cloak of Chaos</v>
      </c>
      <c r="BT78" s="1">
        <v>77</v>
      </c>
      <c r="BU78" s="1">
        <v>500</v>
      </c>
      <c r="BV78" s="1"/>
      <c r="BW78" s="1"/>
      <c r="BX78" s="1"/>
      <c r="BY78" s="1"/>
      <c r="BZ78" s="1">
        <v>0</v>
      </c>
      <c r="CA78" s="1" t="s">
        <v>109</v>
      </c>
      <c r="CB78" s="1" t="s">
        <v>109</v>
      </c>
      <c r="CC78" s="1" t="s">
        <v>109</v>
      </c>
      <c r="CD78" s="1" t="s">
        <v>109</v>
      </c>
      <c r="CE78" s="1" t="s">
        <v>109</v>
      </c>
      <c r="CF78" s="1" t="s">
        <v>109</v>
      </c>
      <c r="CG78" s="1" t="s">
        <v>109</v>
      </c>
      <c r="CH78" s="1" t="s">
        <v>109</v>
      </c>
      <c r="CI78" s="1" t="s">
        <v>109</v>
      </c>
      <c r="CJ78" s="1" t="s">
        <v>109</v>
      </c>
      <c r="CK78" s="1"/>
      <c r="CL78" s="1">
        <v>0</v>
      </c>
      <c r="CM78" s="1">
        <v>0</v>
      </c>
      <c r="CN78" s="1">
        <v>0</v>
      </c>
    </row>
    <row r="79" spans="1:92" ht="14.25" customHeight="1" x14ac:dyDescent="0.15">
      <c r="A79" s="1" t="s">
        <v>922</v>
      </c>
      <c r="B79" s="1" t="s">
        <v>308</v>
      </c>
      <c r="C79" s="1"/>
      <c r="D79" s="1"/>
      <c r="E79" s="1" t="s">
        <v>923</v>
      </c>
      <c r="F79" s="1" t="s">
        <v>395</v>
      </c>
      <c r="G79" s="1" t="s">
        <v>924</v>
      </c>
      <c r="H79" s="1">
        <v>1</v>
      </c>
      <c r="I79" s="1" t="s">
        <v>925</v>
      </c>
      <c r="J79" s="1"/>
      <c r="K79" s="1" t="s">
        <v>926</v>
      </c>
      <c r="L79" s="1"/>
      <c r="M79" s="1" t="s">
        <v>144</v>
      </c>
      <c r="N79" s="1">
        <v>0</v>
      </c>
      <c r="O79" s="1">
        <v>0</v>
      </c>
      <c r="P79" s="1" t="s">
        <v>103</v>
      </c>
      <c r="Q79" s="1" t="s">
        <v>104</v>
      </c>
      <c r="R79" s="1" t="s">
        <v>927</v>
      </c>
      <c r="S79" s="1" t="s">
        <v>928</v>
      </c>
      <c r="T79" s="1" t="s">
        <v>107</v>
      </c>
      <c r="U79" s="1" t="s">
        <v>929</v>
      </c>
      <c r="V79" s="1">
        <v>1</v>
      </c>
      <c r="W79" s="1">
        <v>1</v>
      </c>
      <c r="X79" s="1">
        <v>1</v>
      </c>
      <c r="Y79" s="1">
        <v>1</v>
      </c>
      <c r="Z79" s="1">
        <v>0</v>
      </c>
      <c r="AA79" s="1">
        <v>8</v>
      </c>
      <c r="AB79" s="1">
        <v>8</v>
      </c>
      <c r="AC79" s="1" t="s">
        <v>109</v>
      </c>
      <c r="AD79" s="1" t="s">
        <v>109</v>
      </c>
      <c r="AE79" s="1" t="s">
        <v>109</v>
      </c>
      <c r="AF79" s="1" t="s">
        <v>109</v>
      </c>
      <c r="AG79" s="1" t="s">
        <v>109</v>
      </c>
      <c r="AH79" s="1" t="s">
        <v>109</v>
      </c>
      <c r="AI79" s="1" t="s">
        <v>109</v>
      </c>
      <c r="AJ79" s="1">
        <v>8</v>
      </c>
      <c r="AK79" s="1" t="s">
        <v>109</v>
      </c>
      <c r="AL79" s="1" t="s">
        <v>109</v>
      </c>
      <c r="AM79" s="1" t="s">
        <v>109</v>
      </c>
      <c r="AN79" s="1" t="s">
        <v>109</v>
      </c>
      <c r="AO79" s="1" t="s">
        <v>109</v>
      </c>
      <c r="AP79" s="1"/>
      <c r="AQ79" s="1">
        <v>8</v>
      </c>
      <c r="AR79" s="1"/>
      <c r="AS79" s="1" t="s">
        <v>930</v>
      </c>
      <c r="AT79" s="1">
        <v>0</v>
      </c>
      <c r="AU79" s="1">
        <v>0</v>
      </c>
      <c r="AV79" s="1">
        <v>0</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5" t="str">
        <f>HYPERLINK("http://www.d20pfsrd.com/magic/all-spells/c/clone","Clone")</f>
        <v>Clone</v>
      </c>
      <c r="BT79" s="1">
        <v>78</v>
      </c>
      <c r="BU79" s="1">
        <v>1000</v>
      </c>
      <c r="BV79" s="1"/>
      <c r="BW79" s="1"/>
      <c r="BX79" s="1"/>
      <c r="BY79" s="1"/>
      <c r="BZ79" s="1">
        <v>0</v>
      </c>
      <c r="CA79" s="1" t="s">
        <v>109</v>
      </c>
      <c r="CB79" s="1" t="s">
        <v>109</v>
      </c>
      <c r="CC79" s="1" t="s">
        <v>109</v>
      </c>
      <c r="CD79" s="1" t="s">
        <v>109</v>
      </c>
      <c r="CE79" s="1" t="s">
        <v>109</v>
      </c>
      <c r="CF79" s="1" t="s">
        <v>109</v>
      </c>
      <c r="CG79" s="1" t="s">
        <v>109</v>
      </c>
      <c r="CH79" s="1" t="s">
        <v>109</v>
      </c>
      <c r="CI79" s="1" t="s">
        <v>109</v>
      </c>
      <c r="CJ79" s="1" t="s">
        <v>109</v>
      </c>
      <c r="CK79" s="1"/>
      <c r="CL79" s="1">
        <v>0</v>
      </c>
      <c r="CM79" s="1">
        <v>0</v>
      </c>
      <c r="CN79" s="1">
        <v>0</v>
      </c>
    </row>
    <row r="80" spans="1:92" ht="14.25" customHeight="1" x14ac:dyDescent="0.15">
      <c r="A80" s="1" t="s">
        <v>931</v>
      </c>
      <c r="B80" s="1" t="s">
        <v>95</v>
      </c>
      <c r="C80" s="1" t="s">
        <v>96</v>
      </c>
      <c r="D80" s="1"/>
      <c r="E80" s="1" t="s">
        <v>932</v>
      </c>
      <c r="F80" s="1" t="s">
        <v>98</v>
      </c>
      <c r="G80" s="1" t="s">
        <v>141</v>
      </c>
      <c r="H80" s="1">
        <v>0</v>
      </c>
      <c r="I80" s="1" t="s">
        <v>122</v>
      </c>
      <c r="J80" s="1"/>
      <c r="K80" s="1" t="s">
        <v>933</v>
      </c>
      <c r="L80" s="1"/>
      <c r="M80" s="1" t="s">
        <v>164</v>
      </c>
      <c r="N80" s="1">
        <v>0</v>
      </c>
      <c r="O80" s="1">
        <v>0</v>
      </c>
      <c r="P80" s="1" t="s">
        <v>934</v>
      </c>
      <c r="Q80" s="1" t="s">
        <v>104</v>
      </c>
      <c r="R80" s="1" t="s">
        <v>935</v>
      </c>
      <c r="S80" s="1" t="s">
        <v>936</v>
      </c>
      <c r="T80" s="1" t="s">
        <v>107</v>
      </c>
      <c r="U80" s="1" t="s">
        <v>937</v>
      </c>
      <c r="V80" s="1">
        <v>1</v>
      </c>
      <c r="W80" s="1">
        <v>1</v>
      </c>
      <c r="X80" s="1">
        <v>0</v>
      </c>
      <c r="Y80" s="1">
        <v>0</v>
      </c>
      <c r="Z80" s="1">
        <v>0</v>
      </c>
      <c r="AA80" s="1">
        <v>5</v>
      </c>
      <c r="AB80" s="1">
        <v>5</v>
      </c>
      <c r="AC80" s="1" t="s">
        <v>109</v>
      </c>
      <c r="AD80" s="1" t="s">
        <v>109</v>
      </c>
      <c r="AE80" s="1" t="s">
        <v>109</v>
      </c>
      <c r="AF80" s="1" t="s">
        <v>109</v>
      </c>
      <c r="AG80" s="1" t="s">
        <v>109</v>
      </c>
      <c r="AH80" s="1" t="s">
        <v>109</v>
      </c>
      <c r="AI80" s="1" t="s">
        <v>109</v>
      </c>
      <c r="AJ80" s="1">
        <v>5</v>
      </c>
      <c r="AK80" s="1" t="s">
        <v>109</v>
      </c>
      <c r="AL80" s="1" t="s">
        <v>109</v>
      </c>
      <c r="AM80" s="1" t="s">
        <v>109</v>
      </c>
      <c r="AN80" s="1">
        <v>5</v>
      </c>
      <c r="AO80" s="1" t="s">
        <v>109</v>
      </c>
      <c r="AP80" s="1"/>
      <c r="AQ80" s="1">
        <v>5</v>
      </c>
      <c r="AR80" s="1" t="s">
        <v>938</v>
      </c>
      <c r="AS80" s="1" t="s">
        <v>939</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5" t="str">
        <f>HYPERLINK("http://www.d20pfsrd.com/magic/all-spells/c/cloudkill","Cloudkill")</f>
        <v>Cloudkill</v>
      </c>
      <c r="BT80" s="1">
        <v>79</v>
      </c>
      <c r="BU80" s="1" t="s">
        <v>109</v>
      </c>
      <c r="BV80" s="1" t="s">
        <v>940</v>
      </c>
      <c r="BW80" s="1"/>
      <c r="BX80" s="1" t="s">
        <v>941</v>
      </c>
      <c r="BY80" s="1" t="s">
        <v>942</v>
      </c>
      <c r="BZ80" s="1">
        <v>1</v>
      </c>
      <c r="CA80" s="1" t="s">
        <v>109</v>
      </c>
      <c r="CB80" s="1" t="s">
        <v>109</v>
      </c>
      <c r="CC80" s="1" t="s">
        <v>109</v>
      </c>
      <c r="CD80" s="1" t="s">
        <v>109</v>
      </c>
      <c r="CE80" s="1" t="s">
        <v>109</v>
      </c>
      <c r="CF80" s="1" t="s">
        <v>109</v>
      </c>
      <c r="CG80" s="1">
        <v>5</v>
      </c>
      <c r="CH80" s="1" t="s">
        <v>109</v>
      </c>
      <c r="CI80" s="1" t="s">
        <v>109</v>
      </c>
      <c r="CJ80" s="1" t="s">
        <v>109</v>
      </c>
      <c r="CK80" s="1"/>
      <c r="CL80" s="1">
        <v>0</v>
      </c>
      <c r="CM80" s="1">
        <v>0</v>
      </c>
      <c r="CN80" s="1">
        <v>0</v>
      </c>
    </row>
    <row r="81" spans="1:92" ht="14.25" customHeight="1" x14ac:dyDescent="0.15">
      <c r="A81" s="1" t="s">
        <v>943</v>
      </c>
      <c r="B81" s="1" t="s">
        <v>674</v>
      </c>
      <c r="C81" s="1" t="s">
        <v>944</v>
      </c>
      <c r="D81" s="1" t="s">
        <v>158</v>
      </c>
      <c r="E81" s="1" t="s">
        <v>945</v>
      </c>
      <c r="F81" s="1" t="s">
        <v>98</v>
      </c>
      <c r="G81" s="1" t="s">
        <v>946</v>
      </c>
      <c r="H81" s="1">
        <v>0</v>
      </c>
      <c r="I81" s="1" t="s">
        <v>725</v>
      </c>
      <c r="J81" s="1" t="s">
        <v>726</v>
      </c>
      <c r="K81" s="1"/>
      <c r="L81" s="1"/>
      <c r="M81" s="1" t="s">
        <v>947</v>
      </c>
      <c r="N81" s="1">
        <v>0</v>
      </c>
      <c r="O81" s="1">
        <v>0</v>
      </c>
      <c r="P81" s="1" t="s">
        <v>301</v>
      </c>
      <c r="Q81" s="1" t="s">
        <v>268</v>
      </c>
      <c r="R81" s="1" t="s">
        <v>948</v>
      </c>
      <c r="S81" s="1" t="s">
        <v>949</v>
      </c>
      <c r="T81" s="1" t="s">
        <v>107</v>
      </c>
      <c r="U81" s="1" t="s">
        <v>950</v>
      </c>
      <c r="V81" s="1">
        <v>1</v>
      </c>
      <c r="W81" s="1">
        <v>1</v>
      </c>
      <c r="X81" s="1">
        <v>1</v>
      </c>
      <c r="Y81" s="1">
        <v>0</v>
      </c>
      <c r="Z81" s="1">
        <v>0</v>
      </c>
      <c r="AA81" s="1">
        <v>1</v>
      </c>
      <c r="AB81" s="1">
        <v>1</v>
      </c>
      <c r="AC81" s="1" t="s">
        <v>109</v>
      </c>
      <c r="AD81" s="1" t="s">
        <v>109</v>
      </c>
      <c r="AE81" s="1" t="s">
        <v>109</v>
      </c>
      <c r="AF81" s="1" t="s">
        <v>109</v>
      </c>
      <c r="AG81" s="1" t="s">
        <v>109</v>
      </c>
      <c r="AH81" s="1" t="s">
        <v>109</v>
      </c>
      <c r="AI81" s="1" t="s">
        <v>109</v>
      </c>
      <c r="AJ81" s="1" t="s">
        <v>109</v>
      </c>
      <c r="AK81" s="1" t="s">
        <v>109</v>
      </c>
      <c r="AL81" s="1" t="s">
        <v>109</v>
      </c>
      <c r="AM81" s="1" t="s">
        <v>109</v>
      </c>
      <c r="AN81" s="1">
        <v>1</v>
      </c>
      <c r="AO81" s="1" t="s">
        <v>109</v>
      </c>
      <c r="AP81" s="1"/>
      <c r="AQ81" s="1">
        <v>1</v>
      </c>
      <c r="AR81" s="1"/>
      <c r="AS81" s="1" t="s">
        <v>951</v>
      </c>
      <c r="AT81" s="1">
        <v>0</v>
      </c>
      <c r="AU81" s="1">
        <v>0</v>
      </c>
      <c r="AV81" s="1">
        <v>0</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1</v>
      </c>
      <c r="BN81" s="1">
        <v>0</v>
      </c>
      <c r="BO81" s="1">
        <v>0</v>
      </c>
      <c r="BP81" s="1">
        <v>0</v>
      </c>
      <c r="BQ81" s="1">
        <v>0</v>
      </c>
      <c r="BR81" s="1">
        <v>0</v>
      </c>
      <c r="BS81" s="5" t="str">
        <f>HYPERLINK("http://www.d20pfsrd.com/magic/all-spells/c/color-spray","Color Spray")</f>
        <v>Color Spray</v>
      </c>
      <c r="BT81" s="1">
        <v>80</v>
      </c>
      <c r="BU81" s="1" t="s">
        <v>109</v>
      </c>
      <c r="BV81" s="1"/>
      <c r="BW81" s="1"/>
      <c r="BX81" s="1" t="s">
        <v>952</v>
      </c>
      <c r="BY81" s="1"/>
      <c r="BZ81" s="1">
        <v>1</v>
      </c>
      <c r="CA81" s="1">
        <v>1</v>
      </c>
      <c r="CB81" s="1" t="s">
        <v>109</v>
      </c>
      <c r="CC81" s="1">
        <v>1</v>
      </c>
      <c r="CD81" s="1" t="s">
        <v>109</v>
      </c>
      <c r="CE81" s="1">
        <v>1</v>
      </c>
      <c r="CF81" s="1" t="s">
        <v>109</v>
      </c>
      <c r="CG81" s="1" t="s">
        <v>109</v>
      </c>
      <c r="CH81" s="1" t="s">
        <v>109</v>
      </c>
      <c r="CI81" s="1" t="s">
        <v>109</v>
      </c>
      <c r="CJ81" s="1" t="s">
        <v>109</v>
      </c>
      <c r="CK81" s="1"/>
      <c r="CL81" s="1">
        <v>0</v>
      </c>
      <c r="CM81" s="1">
        <v>0</v>
      </c>
      <c r="CN81" s="1">
        <v>0</v>
      </c>
    </row>
    <row r="82" spans="1:92" ht="14.25" customHeight="1" x14ac:dyDescent="0.15">
      <c r="A82" s="1" t="s">
        <v>953</v>
      </c>
      <c r="B82" s="1" t="s">
        <v>156</v>
      </c>
      <c r="C82" s="1" t="s">
        <v>157</v>
      </c>
      <c r="D82" s="1" t="s">
        <v>954</v>
      </c>
      <c r="E82" s="1" t="s">
        <v>955</v>
      </c>
      <c r="F82" s="1" t="s">
        <v>98</v>
      </c>
      <c r="G82" s="1" t="s">
        <v>333</v>
      </c>
      <c r="H82" s="1">
        <v>0</v>
      </c>
      <c r="I82" s="1" t="s">
        <v>142</v>
      </c>
      <c r="J82" s="1"/>
      <c r="K82" s="1"/>
      <c r="L82" s="1" t="s">
        <v>563</v>
      </c>
      <c r="M82" s="1" t="s">
        <v>355</v>
      </c>
      <c r="N82" s="1">
        <v>0</v>
      </c>
      <c r="O82" s="1">
        <v>0</v>
      </c>
      <c r="P82" s="1" t="s">
        <v>301</v>
      </c>
      <c r="Q82" s="1" t="s">
        <v>268</v>
      </c>
      <c r="R82" s="1" t="s">
        <v>956</v>
      </c>
      <c r="S82" s="1" t="s">
        <v>957</v>
      </c>
      <c r="T82" s="1" t="s">
        <v>107</v>
      </c>
      <c r="U82" s="1" t="s">
        <v>958</v>
      </c>
      <c r="V82" s="1">
        <v>1</v>
      </c>
      <c r="W82" s="1">
        <v>0</v>
      </c>
      <c r="X82" s="1">
        <v>0</v>
      </c>
      <c r="Y82" s="1">
        <v>0</v>
      </c>
      <c r="Z82" s="1">
        <v>0</v>
      </c>
      <c r="AA82" s="1" t="s">
        <v>109</v>
      </c>
      <c r="AB82" s="1" t="s">
        <v>109</v>
      </c>
      <c r="AC82" s="1">
        <v>1</v>
      </c>
      <c r="AD82" s="1" t="s">
        <v>109</v>
      </c>
      <c r="AE82" s="1" t="s">
        <v>109</v>
      </c>
      <c r="AF82" s="1" t="s">
        <v>109</v>
      </c>
      <c r="AG82" s="1" t="s">
        <v>109</v>
      </c>
      <c r="AH82" s="1" t="s">
        <v>109</v>
      </c>
      <c r="AI82" s="1" t="s">
        <v>109</v>
      </c>
      <c r="AJ82" s="1">
        <v>1</v>
      </c>
      <c r="AK82" s="1">
        <v>1</v>
      </c>
      <c r="AL82" s="1">
        <v>1</v>
      </c>
      <c r="AM82" s="1">
        <v>1</v>
      </c>
      <c r="AN82" s="1" t="s">
        <v>109</v>
      </c>
      <c r="AO82" s="1">
        <v>1</v>
      </c>
      <c r="AP82" s="1"/>
      <c r="AQ82" s="1">
        <v>1</v>
      </c>
      <c r="AR82" s="1" t="s">
        <v>959</v>
      </c>
      <c r="AS82" s="1" t="s">
        <v>960</v>
      </c>
      <c r="AT82" s="1">
        <v>0</v>
      </c>
      <c r="AU82" s="1">
        <v>0</v>
      </c>
      <c r="AV82" s="1">
        <v>0</v>
      </c>
      <c r="AW82" s="1">
        <v>0</v>
      </c>
      <c r="AX82" s="1">
        <v>0</v>
      </c>
      <c r="AY82" s="1">
        <v>0</v>
      </c>
      <c r="AZ82" s="1">
        <v>0</v>
      </c>
      <c r="BA82" s="1">
        <v>0</v>
      </c>
      <c r="BB82" s="1">
        <v>0</v>
      </c>
      <c r="BC82" s="1">
        <v>0</v>
      </c>
      <c r="BD82" s="1">
        <v>0</v>
      </c>
      <c r="BE82" s="1">
        <v>0</v>
      </c>
      <c r="BF82" s="1">
        <v>0</v>
      </c>
      <c r="BG82" s="1">
        <v>0</v>
      </c>
      <c r="BH82" s="1">
        <v>0</v>
      </c>
      <c r="BI82" s="1">
        <v>0</v>
      </c>
      <c r="BJ82" s="1">
        <v>1</v>
      </c>
      <c r="BK82" s="1">
        <v>0</v>
      </c>
      <c r="BL82" s="1">
        <v>0</v>
      </c>
      <c r="BM82" s="1">
        <v>1</v>
      </c>
      <c r="BN82" s="1">
        <v>0</v>
      </c>
      <c r="BO82" s="1">
        <v>0</v>
      </c>
      <c r="BP82" s="1">
        <v>0</v>
      </c>
      <c r="BQ82" s="1">
        <v>0</v>
      </c>
      <c r="BR82" s="1">
        <v>0</v>
      </c>
      <c r="BS82" s="5" t="str">
        <f>HYPERLINK("http://www.d20pfsrd.com/magic/all-spells/c/command","Command")</f>
        <v>Command</v>
      </c>
      <c r="BT82" s="1">
        <v>81</v>
      </c>
      <c r="BU82" s="1" t="s">
        <v>109</v>
      </c>
      <c r="BV82" s="1"/>
      <c r="BW82" s="1" t="s">
        <v>961</v>
      </c>
      <c r="BX82" s="1" t="s">
        <v>962</v>
      </c>
      <c r="BY82" s="1"/>
      <c r="BZ82" s="1">
        <v>1</v>
      </c>
      <c r="CA82" s="1" t="s">
        <v>109</v>
      </c>
      <c r="CB82" s="1" t="s">
        <v>109</v>
      </c>
      <c r="CC82" s="1">
        <v>1</v>
      </c>
      <c r="CD82" s="1" t="s">
        <v>109</v>
      </c>
      <c r="CE82" s="1">
        <v>1</v>
      </c>
      <c r="CF82" s="1">
        <v>1</v>
      </c>
      <c r="CG82" s="1" t="s">
        <v>109</v>
      </c>
      <c r="CH82" s="1" t="s">
        <v>109</v>
      </c>
      <c r="CI82" s="1" t="s">
        <v>109</v>
      </c>
      <c r="CJ82" s="1" t="s">
        <v>109</v>
      </c>
      <c r="CK82" s="1"/>
      <c r="CL82" s="1">
        <v>0</v>
      </c>
      <c r="CM82" s="1">
        <v>0</v>
      </c>
      <c r="CN82" s="1">
        <v>0</v>
      </c>
    </row>
    <row r="83" spans="1:92" ht="14.25" customHeight="1" x14ac:dyDescent="0.15">
      <c r="A83" s="1" t="s">
        <v>963</v>
      </c>
      <c r="B83" s="1" t="s">
        <v>156</v>
      </c>
      <c r="C83" s="1" t="s">
        <v>157</v>
      </c>
      <c r="D83" s="1" t="s">
        <v>954</v>
      </c>
      <c r="E83" s="1" t="s">
        <v>964</v>
      </c>
      <c r="F83" s="1" t="s">
        <v>98</v>
      </c>
      <c r="G83" s="1" t="s">
        <v>333</v>
      </c>
      <c r="H83" s="1">
        <v>0</v>
      </c>
      <c r="I83" s="1" t="s">
        <v>142</v>
      </c>
      <c r="J83" s="1"/>
      <c r="K83" s="1"/>
      <c r="L83" s="1" t="s">
        <v>716</v>
      </c>
      <c r="M83" s="1" t="s">
        <v>125</v>
      </c>
      <c r="N83" s="1">
        <v>0</v>
      </c>
      <c r="O83" s="1">
        <v>0</v>
      </c>
      <c r="P83" s="1" t="s">
        <v>301</v>
      </c>
      <c r="Q83" s="1" t="s">
        <v>268</v>
      </c>
      <c r="R83" s="1" t="s">
        <v>965</v>
      </c>
      <c r="S83" s="1" t="s">
        <v>966</v>
      </c>
      <c r="T83" s="1" t="s">
        <v>107</v>
      </c>
      <c r="U83" s="1" t="s">
        <v>967</v>
      </c>
      <c r="V83" s="1">
        <v>1</v>
      </c>
      <c r="W83" s="1">
        <v>0</v>
      </c>
      <c r="X83" s="1">
        <v>0</v>
      </c>
      <c r="Y83" s="1">
        <v>0</v>
      </c>
      <c r="Z83" s="1">
        <v>0</v>
      </c>
      <c r="AA83" s="1" t="s">
        <v>109</v>
      </c>
      <c r="AB83" s="1" t="s">
        <v>109</v>
      </c>
      <c r="AC83" s="1">
        <v>5</v>
      </c>
      <c r="AD83" s="1" t="s">
        <v>109</v>
      </c>
      <c r="AE83" s="1" t="s">
        <v>109</v>
      </c>
      <c r="AF83" s="1" t="s">
        <v>109</v>
      </c>
      <c r="AG83" s="1" t="s">
        <v>109</v>
      </c>
      <c r="AH83" s="1" t="s">
        <v>109</v>
      </c>
      <c r="AI83" s="1" t="s">
        <v>109</v>
      </c>
      <c r="AJ83" s="1" t="s">
        <v>109</v>
      </c>
      <c r="AK83" s="1">
        <v>5</v>
      </c>
      <c r="AL83" s="1">
        <v>5</v>
      </c>
      <c r="AM83" s="1" t="s">
        <v>109</v>
      </c>
      <c r="AN83" s="1" t="s">
        <v>109</v>
      </c>
      <c r="AO83" s="1" t="s">
        <v>109</v>
      </c>
      <c r="AP83" s="1"/>
      <c r="AQ83" s="1">
        <v>5</v>
      </c>
      <c r="AR83" s="1" t="s">
        <v>968</v>
      </c>
      <c r="AS83" s="1" t="s">
        <v>969</v>
      </c>
      <c r="AT83" s="1">
        <v>0</v>
      </c>
      <c r="AU83" s="1">
        <v>0</v>
      </c>
      <c r="AV83" s="1">
        <v>0</v>
      </c>
      <c r="AW83" s="1">
        <v>0</v>
      </c>
      <c r="AX83" s="1">
        <v>0</v>
      </c>
      <c r="AY83" s="1">
        <v>0</v>
      </c>
      <c r="AZ83" s="1">
        <v>0</v>
      </c>
      <c r="BA83" s="1">
        <v>0</v>
      </c>
      <c r="BB83" s="1">
        <v>0</v>
      </c>
      <c r="BC83" s="1">
        <v>0</v>
      </c>
      <c r="BD83" s="1">
        <v>0</v>
      </c>
      <c r="BE83" s="1">
        <v>0</v>
      </c>
      <c r="BF83" s="1">
        <v>0</v>
      </c>
      <c r="BG83" s="1">
        <v>0</v>
      </c>
      <c r="BH83" s="1">
        <v>0</v>
      </c>
      <c r="BI83" s="1">
        <v>0</v>
      </c>
      <c r="BJ83" s="1">
        <v>1</v>
      </c>
      <c r="BK83" s="1">
        <v>0</v>
      </c>
      <c r="BL83" s="1">
        <v>0</v>
      </c>
      <c r="BM83" s="1">
        <v>1</v>
      </c>
      <c r="BN83" s="1">
        <v>0</v>
      </c>
      <c r="BO83" s="1">
        <v>0</v>
      </c>
      <c r="BP83" s="1">
        <v>0</v>
      </c>
      <c r="BQ83" s="1">
        <v>0</v>
      </c>
      <c r="BR83" s="1">
        <v>0</v>
      </c>
      <c r="BS83" s="5" t="str">
        <f>HYPERLINK("http://www.d20pfsrd.com/magic/all-spells/c/command","Command, Greater")</f>
        <v>Command, Greater</v>
      </c>
      <c r="BT83" s="1">
        <v>82</v>
      </c>
      <c r="BU83" s="1" t="s">
        <v>109</v>
      </c>
      <c r="BV83" s="1" t="s">
        <v>970</v>
      </c>
      <c r="BW83" s="1"/>
      <c r="BX83" s="1"/>
      <c r="BY83" s="1"/>
      <c r="BZ83" s="1">
        <v>0</v>
      </c>
      <c r="CA83" s="1" t="s">
        <v>109</v>
      </c>
      <c r="CB83" s="1" t="s">
        <v>109</v>
      </c>
      <c r="CC83" s="1">
        <v>5</v>
      </c>
      <c r="CD83" s="1" t="s">
        <v>109</v>
      </c>
      <c r="CE83" s="1">
        <v>4</v>
      </c>
      <c r="CF83" s="1">
        <v>5</v>
      </c>
      <c r="CG83" s="1" t="s">
        <v>109</v>
      </c>
      <c r="CH83" s="1" t="s">
        <v>109</v>
      </c>
      <c r="CI83" s="1" t="s">
        <v>109</v>
      </c>
      <c r="CJ83" s="1" t="s">
        <v>109</v>
      </c>
      <c r="CK83" s="1"/>
      <c r="CL83" s="1">
        <v>0</v>
      </c>
      <c r="CM83" s="1">
        <v>0</v>
      </c>
      <c r="CN83" s="1">
        <v>0</v>
      </c>
    </row>
    <row r="84" spans="1:92" ht="14.25" customHeight="1" x14ac:dyDescent="0.15">
      <c r="A84" s="1" t="s">
        <v>971</v>
      </c>
      <c r="B84" s="1" t="s">
        <v>189</v>
      </c>
      <c r="C84" s="1"/>
      <c r="D84" s="1"/>
      <c r="E84" s="1" t="s">
        <v>972</v>
      </c>
      <c r="F84" s="1" t="s">
        <v>98</v>
      </c>
      <c r="G84" s="1" t="s">
        <v>333</v>
      </c>
      <c r="H84" s="1">
        <v>0</v>
      </c>
      <c r="I84" s="1" t="s">
        <v>142</v>
      </c>
      <c r="J84" s="1"/>
      <c r="K84" s="1"/>
      <c r="L84" s="1" t="s">
        <v>973</v>
      </c>
      <c r="M84" s="1" t="s">
        <v>280</v>
      </c>
      <c r="N84" s="1">
        <v>0</v>
      </c>
      <c r="O84" s="1">
        <v>0</v>
      </c>
      <c r="P84" s="1" t="s">
        <v>301</v>
      </c>
      <c r="Q84" s="1" t="s">
        <v>268</v>
      </c>
      <c r="R84" s="1" t="s">
        <v>974</v>
      </c>
      <c r="S84" s="1" t="s">
        <v>975</v>
      </c>
      <c r="T84" s="1" t="s">
        <v>107</v>
      </c>
      <c r="U84" s="1" t="s">
        <v>976</v>
      </c>
      <c r="V84" s="1">
        <v>1</v>
      </c>
      <c r="W84" s="1">
        <v>0</v>
      </c>
      <c r="X84" s="1">
        <v>0</v>
      </c>
      <c r="Y84" s="1">
        <v>0</v>
      </c>
      <c r="Z84" s="1">
        <v>0</v>
      </c>
      <c r="AA84" s="1" t="s">
        <v>109</v>
      </c>
      <c r="AB84" s="1" t="s">
        <v>109</v>
      </c>
      <c r="AC84" s="1" t="s">
        <v>109</v>
      </c>
      <c r="AD84" s="1">
        <v>4</v>
      </c>
      <c r="AE84" s="1">
        <v>3</v>
      </c>
      <c r="AF84" s="1" t="s">
        <v>109</v>
      </c>
      <c r="AG84" s="1" t="s">
        <v>109</v>
      </c>
      <c r="AH84" s="1" t="s">
        <v>109</v>
      </c>
      <c r="AI84" s="1" t="s">
        <v>109</v>
      </c>
      <c r="AJ84" s="1" t="s">
        <v>109</v>
      </c>
      <c r="AK84" s="1" t="s">
        <v>109</v>
      </c>
      <c r="AL84" s="1" t="s">
        <v>109</v>
      </c>
      <c r="AM84" s="1" t="s">
        <v>109</v>
      </c>
      <c r="AN84" s="1" t="s">
        <v>109</v>
      </c>
      <c r="AO84" s="1" t="s">
        <v>109</v>
      </c>
      <c r="AP84" s="1"/>
      <c r="AQ84" s="1">
        <v>4</v>
      </c>
      <c r="AR84" s="1" t="s">
        <v>977</v>
      </c>
      <c r="AS84" s="1" t="s">
        <v>978</v>
      </c>
      <c r="AT84" s="1">
        <v>0</v>
      </c>
      <c r="AU84" s="1">
        <v>0</v>
      </c>
      <c r="AV84" s="1">
        <v>0</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5" t="str">
        <f>HYPERLINK("http://www.d20pfsrd.com/magic/all-spells/c/command-plants","Command Plants")</f>
        <v>Command Plants</v>
      </c>
      <c r="BT84" s="1">
        <v>83</v>
      </c>
      <c r="BU84" s="1" t="s">
        <v>109</v>
      </c>
      <c r="BV84" s="1" t="s">
        <v>979</v>
      </c>
      <c r="BW84" s="1"/>
      <c r="BX84" s="1"/>
      <c r="BY84" s="1"/>
      <c r="BZ84" s="1">
        <v>0</v>
      </c>
      <c r="CA84" s="1" t="s">
        <v>109</v>
      </c>
      <c r="CB84" s="1">
        <v>4</v>
      </c>
      <c r="CC84" s="1" t="s">
        <v>109</v>
      </c>
      <c r="CD84" s="1" t="s">
        <v>109</v>
      </c>
      <c r="CE84" s="1" t="s">
        <v>109</v>
      </c>
      <c r="CF84" s="1" t="s">
        <v>109</v>
      </c>
      <c r="CG84" s="1" t="s">
        <v>109</v>
      </c>
      <c r="CH84" s="1" t="s">
        <v>109</v>
      </c>
      <c r="CI84" s="1" t="s">
        <v>109</v>
      </c>
      <c r="CJ84" s="1">
        <v>3</v>
      </c>
      <c r="CK84" s="1"/>
      <c r="CL84" s="1">
        <v>0</v>
      </c>
      <c r="CM84" s="1">
        <v>0</v>
      </c>
      <c r="CN84" s="1">
        <v>0</v>
      </c>
    </row>
    <row r="85" spans="1:92" ht="14.25" customHeight="1" x14ac:dyDescent="0.15">
      <c r="A85" s="1" t="s">
        <v>980</v>
      </c>
      <c r="B85" s="1" t="s">
        <v>308</v>
      </c>
      <c r="C85" s="1"/>
      <c r="D85" s="1"/>
      <c r="E85" s="1" t="s">
        <v>981</v>
      </c>
      <c r="F85" s="1" t="s">
        <v>98</v>
      </c>
      <c r="G85" s="1" t="s">
        <v>982</v>
      </c>
      <c r="H85" s="1">
        <v>0</v>
      </c>
      <c r="I85" s="1" t="s">
        <v>142</v>
      </c>
      <c r="J85" s="1"/>
      <c r="K85" s="1"/>
      <c r="L85" s="1" t="s">
        <v>983</v>
      </c>
      <c r="M85" s="1" t="s">
        <v>280</v>
      </c>
      <c r="N85" s="1">
        <v>0</v>
      </c>
      <c r="O85" s="1">
        <v>0</v>
      </c>
      <c r="P85" s="1" t="s">
        <v>564</v>
      </c>
      <c r="Q85" s="1" t="s">
        <v>268</v>
      </c>
      <c r="R85" s="1" t="s">
        <v>984</v>
      </c>
      <c r="S85" s="1" t="s">
        <v>985</v>
      </c>
      <c r="T85" s="1" t="s">
        <v>107</v>
      </c>
      <c r="U85" s="1" t="s">
        <v>986</v>
      </c>
      <c r="V85" s="1">
        <v>1</v>
      </c>
      <c r="W85" s="1">
        <v>1</v>
      </c>
      <c r="X85" s="1">
        <v>1</v>
      </c>
      <c r="Y85" s="1">
        <v>0</v>
      </c>
      <c r="Z85" s="1">
        <v>0</v>
      </c>
      <c r="AA85" s="1">
        <v>2</v>
      </c>
      <c r="AB85" s="1">
        <v>2</v>
      </c>
      <c r="AC85" s="1" t="s">
        <v>109</v>
      </c>
      <c r="AD85" s="1" t="s">
        <v>109</v>
      </c>
      <c r="AE85" s="1" t="s">
        <v>109</v>
      </c>
      <c r="AF85" s="1" t="s">
        <v>109</v>
      </c>
      <c r="AG85" s="1" t="s">
        <v>109</v>
      </c>
      <c r="AH85" s="1" t="s">
        <v>109</v>
      </c>
      <c r="AI85" s="1" t="s">
        <v>109</v>
      </c>
      <c r="AJ85" s="1" t="s">
        <v>109</v>
      </c>
      <c r="AK85" s="1" t="s">
        <v>109</v>
      </c>
      <c r="AL85" s="1" t="s">
        <v>109</v>
      </c>
      <c r="AM85" s="1" t="s">
        <v>109</v>
      </c>
      <c r="AN85" s="1" t="s">
        <v>109</v>
      </c>
      <c r="AO85" s="1" t="s">
        <v>109</v>
      </c>
      <c r="AP85" s="1"/>
      <c r="AQ85" s="1">
        <v>2</v>
      </c>
      <c r="AR85" s="1" t="s">
        <v>987</v>
      </c>
      <c r="AS85" s="1" t="s">
        <v>988</v>
      </c>
      <c r="AT85" s="1">
        <v>0</v>
      </c>
      <c r="AU85" s="1">
        <v>0</v>
      </c>
      <c r="AV85" s="1">
        <v>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5" t="str">
        <f>HYPERLINK("http://www.d20pfsrd.com/magic/all-spells/c/command-undead","Command Undead")</f>
        <v>Command Undead</v>
      </c>
      <c r="BT85" s="1">
        <v>84</v>
      </c>
      <c r="BU85" s="1" t="s">
        <v>109</v>
      </c>
      <c r="BV85" s="1"/>
      <c r="BW85" s="1" t="s">
        <v>989</v>
      </c>
      <c r="BX85" s="1"/>
      <c r="BY85" s="1"/>
      <c r="BZ85" s="1">
        <v>0</v>
      </c>
      <c r="CA85" s="1" t="s">
        <v>109</v>
      </c>
      <c r="CB85" s="1" t="s">
        <v>109</v>
      </c>
      <c r="CC85" s="1" t="s">
        <v>109</v>
      </c>
      <c r="CD85" s="1" t="s">
        <v>109</v>
      </c>
      <c r="CE85" s="1" t="s">
        <v>109</v>
      </c>
      <c r="CF85" s="1" t="s">
        <v>109</v>
      </c>
      <c r="CG85" s="1" t="s">
        <v>109</v>
      </c>
      <c r="CH85" s="1" t="s">
        <v>109</v>
      </c>
      <c r="CI85" s="1" t="s">
        <v>109</v>
      </c>
      <c r="CJ85" s="1" t="s">
        <v>109</v>
      </c>
      <c r="CK85" s="1"/>
      <c r="CL85" s="1">
        <v>0</v>
      </c>
      <c r="CM85" s="1">
        <v>0</v>
      </c>
      <c r="CN85" s="1">
        <v>0</v>
      </c>
    </row>
    <row r="86" spans="1:92" ht="14.25" customHeight="1" x14ac:dyDescent="0.15">
      <c r="A86" s="1" t="s">
        <v>990</v>
      </c>
      <c r="B86" s="1" t="s">
        <v>254</v>
      </c>
      <c r="C86" s="1"/>
      <c r="D86" s="1"/>
      <c r="E86" s="1" t="s">
        <v>991</v>
      </c>
      <c r="F86" s="1" t="s">
        <v>395</v>
      </c>
      <c r="G86" s="1" t="s">
        <v>992</v>
      </c>
      <c r="H86" s="1">
        <v>1</v>
      </c>
      <c r="I86" s="1" t="s">
        <v>235</v>
      </c>
      <c r="J86" s="1"/>
      <c r="K86" s="1"/>
      <c r="L86" s="1" t="s">
        <v>236</v>
      </c>
      <c r="M86" s="1" t="s">
        <v>125</v>
      </c>
      <c r="N86" s="1">
        <v>0</v>
      </c>
      <c r="O86" s="1">
        <v>0</v>
      </c>
      <c r="P86" s="1"/>
      <c r="Q86" s="1"/>
      <c r="R86" s="1" t="s">
        <v>993</v>
      </c>
      <c r="S86" s="1" t="s">
        <v>994</v>
      </c>
      <c r="T86" s="1" t="s">
        <v>107</v>
      </c>
      <c r="U86" s="1" t="s">
        <v>995</v>
      </c>
      <c r="V86" s="1">
        <v>1</v>
      </c>
      <c r="W86" s="1">
        <v>1</v>
      </c>
      <c r="X86" s="1">
        <v>1</v>
      </c>
      <c r="Y86" s="1">
        <v>0</v>
      </c>
      <c r="Z86" s="1">
        <v>1</v>
      </c>
      <c r="AA86" s="1" t="s">
        <v>109</v>
      </c>
      <c r="AB86" s="1" t="s">
        <v>109</v>
      </c>
      <c r="AC86" s="1">
        <v>5</v>
      </c>
      <c r="AD86" s="1" t="s">
        <v>109</v>
      </c>
      <c r="AE86" s="1" t="s">
        <v>109</v>
      </c>
      <c r="AF86" s="1" t="s">
        <v>109</v>
      </c>
      <c r="AG86" s="1" t="s">
        <v>109</v>
      </c>
      <c r="AH86" s="1" t="s">
        <v>109</v>
      </c>
      <c r="AI86" s="1" t="s">
        <v>109</v>
      </c>
      <c r="AJ86" s="1" t="s">
        <v>109</v>
      </c>
      <c r="AK86" s="1">
        <v>5</v>
      </c>
      <c r="AL86" s="1">
        <v>5</v>
      </c>
      <c r="AM86" s="1" t="s">
        <v>109</v>
      </c>
      <c r="AN86" s="1" t="s">
        <v>109</v>
      </c>
      <c r="AO86" s="1">
        <v>5</v>
      </c>
      <c r="AP86" s="1"/>
      <c r="AQ86" s="1">
        <v>5</v>
      </c>
      <c r="AR86" s="1"/>
      <c r="AS86" s="1" t="s">
        <v>996</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5" t="str">
        <f>HYPERLINK("http://www.d20pfsrd.com/magic/all-spells/c/commune","Commune")</f>
        <v>Commune</v>
      </c>
      <c r="BT86" s="1">
        <v>85</v>
      </c>
      <c r="BU86" s="1">
        <v>500</v>
      </c>
      <c r="BV86" s="1"/>
      <c r="BW86" s="1" t="s">
        <v>997</v>
      </c>
      <c r="BX86" s="1"/>
      <c r="BY86" s="1"/>
      <c r="BZ86" s="1">
        <v>0</v>
      </c>
      <c r="CA86" s="1" t="s">
        <v>109</v>
      </c>
      <c r="CB86" s="1">
        <v>5</v>
      </c>
      <c r="CC86" s="1" t="s">
        <v>109</v>
      </c>
      <c r="CD86" s="1" t="s">
        <v>109</v>
      </c>
      <c r="CE86" s="1" t="s">
        <v>109</v>
      </c>
      <c r="CF86" s="1">
        <v>5</v>
      </c>
      <c r="CG86" s="1" t="s">
        <v>109</v>
      </c>
      <c r="CH86" s="1" t="s">
        <v>109</v>
      </c>
      <c r="CI86" s="1" t="s">
        <v>109</v>
      </c>
      <c r="CJ86" s="1" t="s">
        <v>109</v>
      </c>
      <c r="CK86" s="1"/>
      <c r="CL86" s="1">
        <v>0</v>
      </c>
      <c r="CM86" s="1">
        <v>0</v>
      </c>
      <c r="CN86" s="1">
        <v>0</v>
      </c>
    </row>
    <row r="87" spans="1:92" ht="14.25" customHeight="1" x14ac:dyDescent="0.15">
      <c r="A87" s="1" t="s">
        <v>998</v>
      </c>
      <c r="B87" s="1" t="s">
        <v>254</v>
      </c>
      <c r="C87" s="1"/>
      <c r="D87" s="1"/>
      <c r="E87" s="1" t="s">
        <v>999</v>
      </c>
      <c r="F87" s="1" t="s">
        <v>395</v>
      </c>
      <c r="G87" s="1" t="s">
        <v>141</v>
      </c>
      <c r="H87" s="1">
        <v>0</v>
      </c>
      <c r="I87" s="1" t="s">
        <v>235</v>
      </c>
      <c r="J87" s="1"/>
      <c r="K87" s="1"/>
      <c r="L87" s="1" t="s">
        <v>236</v>
      </c>
      <c r="M87" s="1" t="s">
        <v>144</v>
      </c>
      <c r="N87" s="1">
        <v>0</v>
      </c>
      <c r="O87" s="1">
        <v>0</v>
      </c>
      <c r="P87" s="1"/>
      <c r="Q87" s="1"/>
      <c r="R87" s="1" t="s">
        <v>1000</v>
      </c>
      <c r="S87" s="1" t="s">
        <v>1001</v>
      </c>
      <c r="T87" s="1" t="s">
        <v>107</v>
      </c>
      <c r="U87" s="1" t="s">
        <v>1002</v>
      </c>
      <c r="V87" s="1">
        <v>1</v>
      </c>
      <c r="W87" s="1">
        <v>1</v>
      </c>
      <c r="X87" s="1">
        <v>0</v>
      </c>
      <c r="Y87" s="1">
        <v>0</v>
      </c>
      <c r="Z87" s="1">
        <v>0</v>
      </c>
      <c r="AA87" s="1" t="s">
        <v>109</v>
      </c>
      <c r="AB87" s="1" t="s">
        <v>109</v>
      </c>
      <c r="AC87" s="1" t="s">
        <v>109</v>
      </c>
      <c r="AD87" s="1">
        <v>5</v>
      </c>
      <c r="AE87" s="1">
        <v>4</v>
      </c>
      <c r="AF87" s="1" t="s">
        <v>109</v>
      </c>
      <c r="AG87" s="1" t="s">
        <v>109</v>
      </c>
      <c r="AH87" s="1" t="s">
        <v>109</v>
      </c>
      <c r="AI87" s="1" t="s">
        <v>109</v>
      </c>
      <c r="AJ87" s="1" t="s">
        <v>109</v>
      </c>
      <c r="AK87" s="1" t="s">
        <v>109</v>
      </c>
      <c r="AL87" s="1" t="s">
        <v>109</v>
      </c>
      <c r="AM87" s="1" t="s">
        <v>109</v>
      </c>
      <c r="AN87" s="1" t="s">
        <v>109</v>
      </c>
      <c r="AO87" s="1" t="s">
        <v>109</v>
      </c>
      <c r="AP87" s="1"/>
      <c r="AQ87" s="1">
        <v>5</v>
      </c>
      <c r="AR87" s="1" t="s">
        <v>1003</v>
      </c>
      <c r="AS87" s="1" t="s">
        <v>1004</v>
      </c>
      <c r="AT87" s="1">
        <v>0</v>
      </c>
      <c r="AU87" s="1">
        <v>0</v>
      </c>
      <c r="AV87" s="1">
        <v>0</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5" t="str">
        <f>HYPERLINK("http://www.d20pfsrd.com/magic/all-spells/c/commune-with-nature","Commune with Nature")</f>
        <v>Commune with Nature</v>
      </c>
      <c r="BT87" s="1">
        <v>86</v>
      </c>
      <c r="BU87" s="1" t="s">
        <v>109</v>
      </c>
      <c r="BV87" s="1"/>
      <c r="BW87" s="1"/>
      <c r="BX87" s="1"/>
      <c r="BY87" s="1"/>
      <c r="BZ87" s="1">
        <v>0</v>
      </c>
      <c r="CA87" s="1" t="s">
        <v>109</v>
      </c>
      <c r="CB87" s="1">
        <v>5</v>
      </c>
      <c r="CC87" s="1">
        <v>5</v>
      </c>
      <c r="CD87" s="1" t="s">
        <v>109</v>
      </c>
      <c r="CE87" s="1" t="s">
        <v>109</v>
      </c>
      <c r="CF87" s="1" t="s">
        <v>109</v>
      </c>
      <c r="CG87" s="1" t="s">
        <v>109</v>
      </c>
      <c r="CH87" s="1" t="s">
        <v>109</v>
      </c>
      <c r="CI87" s="1" t="s">
        <v>109</v>
      </c>
      <c r="CJ87" s="1">
        <v>4</v>
      </c>
      <c r="CK87" s="1"/>
      <c r="CL87" s="1">
        <v>0</v>
      </c>
      <c r="CM87" s="1">
        <v>0</v>
      </c>
      <c r="CN87" s="1">
        <v>0</v>
      </c>
    </row>
    <row r="88" spans="1:92" ht="14.25" customHeight="1" x14ac:dyDescent="0.15">
      <c r="A88" s="1" t="s">
        <v>1005</v>
      </c>
      <c r="B88" s="1" t="s">
        <v>254</v>
      </c>
      <c r="C88" s="1"/>
      <c r="D88" s="1"/>
      <c r="E88" s="1" t="s">
        <v>1006</v>
      </c>
      <c r="F88" s="1" t="s">
        <v>98</v>
      </c>
      <c r="G88" s="1" t="s">
        <v>1007</v>
      </c>
      <c r="H88" s="1">
        <v>0</v>
      </c>
      <c r="I88" s="1" t="s">
        <v>235</v>
      </c>
      <c r="J88" s="1"/>
      <c r="K88" s="1"/>
      <c r="L88" s="1" t="s">
        <v>236</v>
      </c>
      <c r="M88" s="1" t="s">
        <v>194</v>
      </c>
      <c r="N88" s="1">
        <v>0</v>
      </c>
      <c r="O88" s="1">
        <v>0</v>
      </c>
      <c r="P88" s="1"/>
      <c r="Q88" s="1"/>
      <c r="R88" s="1" t="s">
        <v>1008</v>
      </c>
      <c r="S88" s="1" t="s">
        <v>1009</v>
      </c>
      <c r="T88" s="1" t="s">
        <v>107</v>
      </c>
      <c r="U88" s="1" t="s">
        <v>1010</v>
      </c>
      <c r="V88" s="1">
        <v>1</v>
      </c>
      <c r="W88" s="1">
        <v>1</v>
      </c>
      <c r="X88" s="1">
        <v>1</v>
      </c>
      <c r="Y88" s="1">
        <v>0</v>
      </c>
      <c r="Z88" s="1">
        <v>1</v>
      </c>
      <c r="AA88" s="1">
        <v>1</v>
      </c>
      <c r="AB88" s="1">
        <v>1</v>
      </c>
      <c r="AC88" s="1">
        <v>1</v>
      </c>
      <c r="AD88" s="1" t="s">
        <v>109</v>
      </c>
      <c r="AE88" s="1" t="s">
        <v>109</v>
      </c>
      <c r="AF88" s="1">
        <v>1</v>
      </c>
      <c r="AG88" s="1" t="s">
        <v>109</v>
      </c>
      <c r="AH88" s="1">
        <v>1</v>
      </c>
      <c r="AI88" s="1" t="s">
        <v>109</v>
      </c>
      <c r="AJ88" s="1">
        <v>1</v>
      </c>
      <c r="AK88" s="1">
        <v>1</v>
      </c>
      <c r="AL88" s="1">
        <v>1</v>
      </c>
      <c r="AM88" s="1" t="s">
        <v>109</v>
      </c>
      <c r="AN88" s="1" t="s">
        <v>109</v>
      </c>
      <c r="AO88" s="1">
        <v>1</v>
      </c>
      <c r="AP88" s="1"/>
      <c r="AQ88" s="1">
        <v>1</v>
      </c>
      <c r="AR88" s="1" t="s">
        <v>1011</v>
      </c>
      <c r="AS88" s="1" t="s">
        <v>1012</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5" t="str">
        <f>HYPERLINK("http://www.d20pfsrd.com/magic/all-spells/c/comprehend-languages","Comprehend Languages")</f>
        <v>Comprehend Languages</v>
      </c>
      <c r="BT88" s="1">
        <v>87</v>
      </c>
      <c r="BU88" s="1" t="s">
        <v>109</v>
      </c>
      <c r="BV88" s="1"/>
      <c r="BW88" s="1"/>
      <c r="BX88" s="1"/>
      <c r="BY88" s="1"/>
      <c r="BZ88" s="1">
        <v>0</v>
      </c>
      <c r="CA88" s="1" t="s">
        <v>109</v>
      </c>
      <c r="CB88" s="1">
        <v>1</v>
      </c>
      <c r="CC88" s="1">
        <v>1</v>
      </c>
      <c r="CD88" s="1" t="s">
        <v>109</v>
      </c>
      <c r="CE88" s="1">
        <v>1</v>
      </c>
      <c r="CF88" s="1">
        <v>1</v>
      </c>
      <c r="CG88" s="1">
        <v>1</v>
      </c>
      <c r="CH88" s="1" t="s">
        <v>109</v>
      </c>
      <c r="CI88" s="1" t="s">
        <v>109</v>
      </c>
      <c r="CJ88" s="1" t="s">
        <v>109</v>
      </c>
      <c r="CK88" s="1"/>
      <c r="CL88" s="1">
        <v>0</v>
      </c>
      <c r="CM88" s="1">
        <v>0</v>
      </c>
      <c r="CN88" s="1">
        <v>0</v>
      </c>
    </row>
    <row r="89" spans="1:92" ht="14.25" customHeight="1" x14ac:dyDescent="0.15">
      <c r="A89" s="1" t="s">
        <v>1013</v>
      </c>
      <c r="B89" s="1" t="s">
        <v>584</v>
      </c>
      <c r="C89" s="1"/>
      <c r="D89" s="1" t="s">
        <v>49</v>
      </c>
      <c r="E89" s="1" t="s">
        <v>1014</v>
      </c>
      <c r="F89" s="1" t="s">
        <v>98</v>
      </c>
      <c r="G89" s="1" t="s">
        <v>1015</v>
      </c>
      <c r="H89" s="1">
        <v>0</v>
      </c>
      <c r="I89" s="1" t="s">
        <v>1016</v>
      </c>
      <c r="J89" s="1" t="s">
        <v>726</v>
      </c>
      <c r="K89" s="1"/>
      <c r="L89" s="1"/>
      <c r="M89" s="1" t="s">
        <v>144</v>
      </c>
      <c r="N89" s="1">
        <v>0</v>
      </c>
      <c r="O89" s="1">
        <v>0</v>
      </c>
      <c r="P89" s="1" t="s">
        <v>727</v>
      </c>
      <c r="Q89" s="1" t="s">
        <v>268</v>
      </c>
      <c r="R89" s="1" t="s">
        <v>1017</v>
      </c>
      <c r="S89" s="1" t="s">
        <v>1018</v>
      </c>
      <c r="T89" s="1" t="s">
        <v>107</v>
      </c>
      <c r="U89" s="1" t="s">
        <v>1019</v>
      </c>
      <c r="V89" s="1">
        <v>1</v>
      </c>
      <c r="W89" s="1">
        <v>1</v>
      </c>
      <c r="X89" s="1">
        <v>1</v>
      </c>
      <c r="Y89" s="1">
        <v>0</v>
      </c>
      <c r="Z89" s="1">
        <v>0</v>
      </c>
      <c r="AA89" s="1">
        <v>5</v>
      </c>
      <c r="AB89" s="1">
        <v>5</v>
      </c>
      <c r="AC89" s="1" t="s">
        <v>109</v>
      </c>
      <c r="AD89" s="1" t="s">
        <v>109</v>
      </c>
      <c r="AE89" s="1" t="s">
        <v>109</v>
      </c>
      <c r="AF89" s="1" t="s">
        <v>109</v>
      </c>
      <c r="AG89" s="1" t="s">
        <v>109</v>
      </c>
      <c r="AH89" s="1" t="s">
        <v>109</v>
      </c>
      <c r="AI89" s="1" t="s">
        <v>109</v>
      </c>
      <c r="AJ89" s="1">
        <v>6</v>
      </c>
      <c r="AK89" s="1" t="s">
        <v>109</v>
      </c>
      <c r="AL89" s="1" t="s">
        <v>109</v>
      </c>
      <c r="AM89" s="1" t="s">
        <v>109</v>
      </c>
      <c r="AN89" s="1">
        <v>5</v>
      </c>
      <c r="AO89" s="1" t="s">
        <v>109</v>
      </c>
      <c r="AP89" s="1"/>
      <c r="AQ89" s="1">
        <v>5</v>
      </c>
      <c r="AR89" s="1" t="s">
        <v>1020</v>
      </c>
      <c r="AS89" s="1" t="s">
        <v>1021</v>
      </c>
      <c r="AT89" s="1">
        <v>0</v>
      </c>
      <c r="AU89" s="1">
        <v>0</v>
      </c>
      <c r="AV89" s="1">
        <v>0</v>
      </c>
      <c r="AW89" s="1">
        <v>1</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5" t="str">
        <f>HYPERLINK("http://www.d20pfsrd.com/magic/all-spells/c/cone-of-cold","Cone of Cold")</f>
        <v>Cone of Cold</v>
      </c>
      <c r="BT89" s="1">
        <v>88</v>
      </c>
      <c r="BU89" s="1" t="s">
        <v>109</v>
      </c>
      <c r="BV89" s="1" t="s">
        <v>1022</v>
      </c>
      <c r="BW89" s="1" t="s">
        <v>1023</v>
      </c>
      <c r="BX89" s="1"/>
      <c r="BY89" s="1"/>
      <c r="BZ89" s="1">
        <v>0</v>
      </c>
      <c r="CA89" s="1" t="s">
        <v>109</v>
      </c>
      <c r="CB89" s="1">
        <v>6</v>
      </c>
      <c r="CC89" s="1" t="s">
        <v>109</v>
      </c>
      <c r="CD89" s="1" t="s">
        <v>109</v>
      </c>
      <c r="CE89" s="1" t="s">
        <v>109</v>
      </c>
      <c r="CF89" s="1">
        <v>5</v>
      </c>
      <c r="CG89" s="1" t="s">
        <v>109</v>
      </c>
      <c r="CH89" s="1" t="s">
        <v>109</v>
      </c>
      <c r="CI89" s="1" t="s">
        <v>109</v>
      </c>
      <c r="CJ89" s="1" t="s">
        <v>109</v>
      </c>
      <c r="CK89" s="1"/>
      <c r="CL89" s="1">
        <v>0</v>
      </c>
      <c r="CM89" s="1">
        <v>0</v>
      </c>
      <c r="CN89" s="1">
        <v>0</v>
      </c>
    </row>
    <row r="90" spans="1:92" ht="14.25" customHeight="1" x14ac:dyDescent="0.15">
      <c r="A90" s="1" t="s">
        <v>1024</v>
      </c>
      <c r="B90" s="1" t="s">
        <v>156</v>
      </c>
      <c r="C90" s="1" t="s">
        <v>157</v>
      </c>
      <c r="D90" s="1" t="s">
        <v>158</v>
      </c>
      <c r="E90" s="1" t="s">
        <v>1025</v>
      </c>
      <c r="F90" s="1" t="s">
        <v>98</v>
      </c>
      <c r="G90" s="1" t="s">
        <v>1026</v>
      </c>
      <c r="H90" s="1">
        <v>0</v>
      </c>
      <c r="I90" s="1" t="s">
        <v>122</v>
      </c>
      <c r="J90" s="1"/>
      <c r="K90" s="1"/>
      <c r="L90" s="1" t="s">
        <v>1027</v>
      </c>
      <c r="M90" s="1" t="s">
        <v>125</v>
      </c>
      <c r="N90" s="1">
        <v>0</v>
      </c>
      <c r="O90" s="1">
        <v>0</v>
      </c>
      <c r="P90" s="1" t="s">
        <v>301</v>
      </c>
      <c r="Q90" s="1" t="s">
        <v>268</v>
      </c>
      <c r="R90" s="1" t="s">
        <v>1028</v>
      </c>
      <c r="S90" s="1" t="s">
        <v>1029</v>
      </c>
      <c r="T90" s="1" t="s">
        <v>107</v>
      </c>
      <c r="U90" s="1" t="s">
        <v>1030</v>
      </c>
      <c r="V90" s="1">
        <v>1</v>
      </c>
      <c r="W90" s="1">
        <v>1</v>
      </c>
      <c r="X90" s="1">
        <v>1</v>
      </c>
      <c r="Y90" s="1">
        <v>0</v>
      </c>
      <c r="Z90" s="1">
        <v>1</v>
      </c>
      <c r="AA90" s="1">
        <v>4</v>
      </c>
      <c r="AB90" s="1">
        <v>4</v>
      </c>
      <c r="AC90" s="1" t="s">
        <v>109</v>
      </c>
      <c r="AD90" s="1" t="s">
        <v>109</v>
      </c>
      <c r="AE90" s="1" t="s">
        <v>109</v>
      </c>
      <c r="AF90" s="1">
        <v>3</v>
      </c>
      <c r="AG90" s="1" t="s">
        <v>109</v>
      </c>
      <c r="AH90" s="1" t="s">
        <v>109</v>
      </c>
      <c r="AI90" s="1" t="s">
        <v>109</v>
      </c>
      <c r="AJ90" s="1">
        <v>4</v>
      </c>
      <c r="AK90" s="1" t="s">
        <v>109</v>
      </c>
      <c r="AL90" s="1" t="s">
        <v>109</v>
      </c>
      <c r="AM90" s="1" t="s">
        <v>109</v>
      </c>
      <c r="AN90" s="1" t="s">
        <v>109</v>
      </c>
      <c r="AO90" s="1" t="s">
        <v>109</v>
      </c>
      <c r="AP90" s="1"/>
      <c r="AQ90" s="1">
        <v>4</v>
      </c>
      <c r="AR90" s="1" t="s">
        <v>1031</v>
      </c>
      <c r="AS90" s="1" t="s">
        <v>1032</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1</v>
      </c>
      <c r="BN90" s="1">
        <v>0</v>
      </c>
      <c r="BO90" s="1">
        <v>0</v>
      </c>
      <c r="BP90" s="1">
        <v>0</v>
      </c>
      <c r="BQ90" s="1">
        <v>0</v>
      </c>
      <c r="BR90" s="1">
        <v>0</v>
      </c>
      <c r="BS90" s="5" t="str">
        <f>HYPERLINK("http://www.d20pfsrd.com/magic/all-spells/c/confusion","Confusion")</f>
        <v>Confusion</v>
      </c>
      <c r="BT90" s="1">
        <v>89</v>
      </c>
      <c r="BU90" s="1" t="s">
        <v>109</v>
      </c>
      <c r="BV90" s="1" t="s">
        <v>1033</v>
      </c>
      <c r="BW90" s="1" t="s">
        <v>1034</v>
      </c>
      <c r="BX90" s="1"/>
      <c r="BY90" s="1"/>
      <c r="BZ90" s="1">
        <v>0</v>
      </c>
      <c r="CA90" s="1">
        <v>4</v>
      </c>
      <c r="CB90" s="1" t="s">
        <v>109</v>
      </c>
      <c r="CC90" s="1">
        <v>4</v>
      </c>
      <c r="CD90" s="1" t="s">
        <v>109</v>
      </c>
      <c r="CE90" s="1">
        <v>3</v>
      </c>
      <c r="CF90" s="1">
        <v>4</v>
      </c>
      <c r="CG90" s="1">
        <v>4</v>
      </c>
      <c r="CH90" s="1" t="s">
        <v>109</v>
      </c>
      <c r="CI90" s="1" t="s">
        <v>109</v>
      </c>
      <c r="CJ90" s="1" t="s">
        <v>109</v>
      </c>
      <c r="CK90" s="1"/>
      <c r="CL90" s="1">
        <v>0</v>
      </c>
      <c r="CM90" s="1">
        <v>0</v>
      </c>
      <c r="CN90" s="1">
        <v>0</v>
      </c>
    </row>
    <row r="91" spans="1:92" ht="14.25" customHeight="1" x14ac:dyDescent="0.15">
      <c r="A91" s="1" t="s">
        <v>1035</v>
      </c>
      <c r="B91" s="1" t="s">
        <v>156</v>
      </c>
      <c r="C91" s="1" t="s">
        <v>157</v>
      </c>
      <c r="D91" s="1" t="s">
        <v>158</v>
      </c>
      <c r="E91" s="1" t="s">
        <v>1036</v>
      </c>
      <c r="F91" s="1" t="s">
        <v>98</v>
      </c>
      <c r="G91" s="1" t="s">
        <v>160</v>
      </c>
      <c r="H91" s="1">
        <v>0</v>
      </c>
      <c r="I91" s="1" t="s">
        <v>142</v>
      </c>
      <c r="J91" s="1"/>
      <c r="K91" s="1"/>
      <c r="L91" s="1" t="s">
        <v>563</v>
      </c>
      <c r="M91" s="1" t="s">
        <v>355</v>
      </c>
      <c r="N91" s="1">
        <v>0</v>
      </c>
      <c r="O91" s="1">
        <v>0</v>
      </c>
      <c r="P91" s="1" t="s">
        <v>301</v>
      </c>
      <c r="Q91" s="1" t="s">
        <v>268</v>
      </c>
      <c r="R91" s="1" t="s">
        <v>1037</v>
      </c>
      <c r="S91" s="1" t="s">
        <v>1038</v>
      </c>
      <c r="T91" s="1" t="s">
        <v>107</v>
      </c>
      <c r="U91" s="1" t="s">
        <v>1039</v>
      </c>
      <c r="V91" s="1">
        <v>1</v>
      </c>
      <c r="W91" s="1">
        <v>1</v>
      </c>
      <c r="X91" s="1">
        <v>0</v>
      </c>
      <c r="Y91" s="1">
        <v>0</v>
      </c>
      <c r="Z91" s="1">
        <v>1</v>
      </c>
      <c r="AA91" s="1" t="s">
        <v>109</v>
      </c>
      <c r="AB91" s="1" t="s">
        <v>109</v>
      </c>
      <c r="AC91" s="1" t="s">
        <v>109</v>
      </c>
      <c r="AD91" s="1" t="s">
        <v>109</v>
      </c>
      <c r="AE91" s="1" t="s">
        <v>109</v>
      </c>
      <c r="AF91" s="1">
        <v>1</v>
      </c>
      <c r="AG91" s="1" t="s">
        <v>109</v>
      </c>
      <c r="AH91" s="1" t="s">
        <v>109</v>
      </c>
      <c r="AI91" s="1" t="s">
        <v>109</v>
      </c>
      <c r="AJ91" s="1" t="s">
        <v>109</v>
      </c>
      <c r="AK91" s="1" t="s">
        <v>109</v>
      </c>
      <c r="AL91" s="1" t="s">
        <v>109</v>
      </c>
      <c r="AM91" s="1" t="s">
        <v>109</v>
      </c>
      <c r="AN91" s="1" t="s">
        <v>109</v>
      </c>
      <c r="AO91" s="1" t="s">
        <v>109</v>
      </c>
      <c r="AP91" s="1"/>
      <c r="AQ91" s="1">
        <v>1</v>
      </c>
      <c r="AR91" s="1" t="s">
        <v>1040</v>
      </c>
      <c r="AS91" s="1" t="s">
        <v>1041</v>
      </c>
      <c r="AT91" s="1">
        <v>0</v>
      </c>
      <c r="AU91" s="1">
        <v>0</v>
      </c>
      <c r="AV91" s="1">
        <v>0</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1</v>
      </c>
      <c r="BN91" s="1">
        <v>0</v>
      </c>
      <c r="BO91" s="1">
        <v>0</v>
      </c>
      <c r="BP91" s="1">
        <v>0</v>
      </c>
      <c r="BQ91" s="1">
        <v>0</v>
      </c>
      <c r="BR91" s="1">
        <v>0</v>
      </c>
      <c r="BS91" s="5" t="str">
        <f>HYPERLINK("http://www.d20pfsrd.com/magic/all-spells/c/confusion","Confusion, Lesser")</f>
        <v>Confusion, Lesser</v>
      </c>
      <c r="BT91" s="1">
        <v>90</v>
      </c>
      <c r="BU91" s="1" t="s">
        <v>109</v>
      </c>
      <c r="BV91" s="1" t="s">
        <v>1042</v>
      </c>
      <c r="BW91" s="1"/>
      <c r="BX91" s="1"/>
      <c r="BY91" s="1"/>
      <c r="BZ91" s="1">
        <v>0</v>
      </c>
      <c r="CA91" s="1" t="s">
        <v>109</v>
      </c>
      <c r="CB91" s="1" t="s">
        <v>109</v>
      </c>
      <c r="CC91" s="1">
        <v>1</v>
      </c>
      <c r="CD91" s="1" t="s">
        <v>109</v>
      </c>
      <c r="CE91" s="1">
        <v>1</v>
      </c>
      <c r="CF91" s="1" t="s">
        <v>109</v>
      </c>
      <c r="CG91" s="1" t="s">
        <v>109</v>
      </c>
      <c r="CH91" s="1" t="s">
        <v>109</v>
      </c>
      <c r="CI91" s="1" t="s">
        <v>109</v>
      </c>
      <c r="CJ91" s="1" t="s">
        <v>109</v>
      </c>
      <c r="CK91" s="1"/>
      <c r="CL91" s="1">
        <v>0</v>
      </c>
      <c r="CM91" s="1">
        <v>0</v>
      </c>
      <c r="CN91" s="1">
        <v>0</v>
      </c>
    </row>
    <row r="92" spans="1:92" ht="14.25" customHeight="1" x14ac:dyDescent="0.15">
      <c r="A92" s="1" t="s">
        <v>1043</v>
      </c>
      <c r="B92" s="1" t="s">
        <v>584</v>
      </c>
      <c r="C92" s="1"/>
      <c r="D92" s="1" t="s">
        <v>61</v>
      </c>
      <c r="E92" s="1" t="s">
        <v>213</v>
      </c>
      <c r="F92" s="1" t="s">
        <v>98</v>
      </c>
      <c r="G92" s="1" t="s">
        <v>1044</v>
      </c>
      <c r="H92" s="1">
        <v>1</v>
      </c>
      <c r="I92" s="1" t="s">
        <v>142</v>
      </c>
      <c r="J92" s="1" t="s">
        <v>1045</v>
      </c>
      <c r="K92" s="1"/>
      <c r="L92" s="1"/>
      <c r="M92" s="1" t="s">
        <v>246</v>
      </c>
      <c r="N92" s="1">
        <v>0</v>
      </c>
      <c r="O92" s="1">
        <v>0</v>
      </c>
      <c r="P92" s="1" t="s">
        <v>103</v>
      </c>
      <c r="Q92" s="1" t="s">
        <v>104</v>
      </c>
      <c r="R92" s="1" t="s">
        <v>1046</v>
      </c>
      <c r="S92" s="1" t="s">
        <v>1047</v>
      </c>
      <c r="T92" s="1" t="s">
        <v>107</v>
      </c>
      <c r="U92" s="1" t="s">
        <v>1048</v>
      </c>
      <c r="V92" s="1">
        <v>1</v>
      </c>
      <c r="W92" s="1">
        <v>1</v>
      </c>
      <c r="X92" s="1">
        <v>1</v>
      </c>
      <c r="Y92" s="1">
        <v>0</v>
      </c>
      <c r="Z92" s="1">
        <v>1</v>
      </c>
      <c r="AA92" s="1" t="s">
        <v>109</v>
      </c>
      <c r="AB92" s="1" t="s">
        <v>109</v>
      </c>
      <c r="AC92" s="1">
        <v>2</v>
      </c>
      <c r="AD92" s="1" t="s">
        <v>109</v>
      </c>
      <c r="AE92" s="1" t="s">
        <v>109</v>
      </c>
      <c r="AF92" s="1" t="s">
        <v>109</v>
      </c>
      <c r="AG92" s="1" t="s">
        <v>109</v>
      </c>
      <c r="AH92" s="1" t="s">
        <v>109</v>
      </c>
      <c r="AI92" s="1" t="s">
        <v>109</v>
      </c>
      <c r="AJ92" s="1" t="s">
        <v>109</v>
      </c>
      <c r="AK92" s="1">
        <v>2</v>
      </c>
      <c r="AL92" s="1">
        <v>2</v>
      </c>
      <c r="AM92" s="1" t="s">
        <v>109</v>
      </c>
      <c r="AN92" s="1" t="s">
        <v>109</v>
      </c>
      <c r="AO92" s="1" t="s">
        <v>109</v>
      </c>
      <c r="AP92" s="1"/>
      <c r="AQ92" s="1">
        <v>2</v>
      </c>
      <c r="AR92" s="1"/>
      <c r="AS92" s="1" t="s">
        <v>1049</v>
      </c>
      <c r="AT92" s="1">
        <v>0</v>
      </c>
      <c r="AU92" s="1">
        <v>0</v>
      </c>
      <c r="AV92" s="1">
        <v>0</v>
      </c>
      <c r="AW92" s="1">
        <v>0</v>
      </c>
      <c r="AX92" s="1">
        <v>0</v>
      </c>
      <c r="AY92" s="1">
        <v>0</v>
      </c>
      <c r="AZ92" s="1">
        <v>0</v>
      </c>
      <c r="BA92" s="1">
        <v>0</v>
      </c>
      <c r="BB92" s="1">
        <v>0</v>
      </c>
      <c r="BC92" s="1">
        <v>0</v>
      </c>
      <c r="BD92" s="1">
        <v>0</v>
      </c>
      <c r="BE92" s="1">
        <v>0</v>
      </c>
      <c r="BF92" s="1">
        <v>0</v>
      </c>
      <c r="BG92" s="1">
        <v>0</v>
      </c>
      <c r="BH92" s="1">
        <v>0</v>
      </c>
      <c r="BI92" s="1">
        <v>1</v>
      </c>
      <c r="BJ92" s="1">
        <v>0</v>
      </c>
      <c r="BK92" s="1">
        <v>0</v>
      </c>
      <c r="BL92" s="1">
        <v>0</v>
      </c>
      <c r="BM92" s="1">
        <v>0</v>
      </c>
      <c r="BN92" s="1">
        <v>0</v>
      </c>
      <c r="BO92" s="1">
        <v>0</v>
      </c>
      <c r="BP92" s="1">
        <v>0</v>
      </c>
      <c r="BQ92" s="1">
        <v>0</v>
      </c>
      <c r="BR92" s="1">
        <v>0</v>
      </c>
      <c r="BS92" s="5" t="str">
        <f>HYPERLINK("http://www.d20pfsrd.com/magic/all-spells/c/consecrate","Consecrate")</f>
        <v>Consecrate</v>
      </c>
      <c r="BT92" s="1">
        <v>91</v>
      </c>
      <c r="BU92" s="1">
        <v>25</v>
      </c>
      <c r="BV92" s="1"/>
      <c r="BW92" s="1"/>
      <c r="BX92" s="1" t="s">
        <v>1050</v>
      </c>
      <c r="BY92" s="1" t="s">
        <v>1051</v>
      </c>
      <c r="BZ92" s="1">
        <v>1</v>
      </c>
      <c r="CA92" s="1" t="s">
        <v>109</v>
      </c>
      <c r="CB92" s="1" t="s">
        <v>109</v>
      </c>
      <c r="CC92" s="1" t="s">
        <v>109</v>
      </c>
      <c r="CD92" s="1" t="s">
        <v>109</v>
      </c>
      <c r="CE92" s="1" t="s">
        <v>109</v>
      </c>
      <c r="CF92" s="1" t="s">
        <v>109</v>
      </c>
      <c r="CG92" s="1" t="s">
        <v>109</v>
      </c>
      <c r="CH92" s="1" t="s">
        <v>109</v>
      </c>
      <c r="CI92" s="1" t="s">
        <v>109</v>
      </c>
      <c r="CJ92" s="1" t="s">
        <v>109</v>
      </c>
      <c r="CK92" s="1"/>
      <c r="CL92" s="1">
        <v>0</v>
      </c>
      <c r="CM92" s="1">
        <v>0</v>
      </c>
      <c r="CN92" s="1">
        <v>0</v>
      </c>
    </row>
    <row r="93" spans="1:92" ht="14.25" customHeight="1" x14ac:dyDescent="0.15">
      <c r="A93" s="1" t="s">
        <v>1052</v>
      </c>
      <c r="B93" s="1" t="s">
        <v>254</v>
      </c>
      <c r="C93" s="1"/>
      <c r="D93" s="1"/>
      <c r="E93" s="1" t="s">
        <v>1053</v>
      </c>
      <c r="F93" s="1" t="s">
        <v>395</v>
      </c>
      <c r="G93" s="1" t="s">
        <v>333</v>
      </c>
      <c r="H93" s="1">
        <v>0</v>
      </c>
      <c r="I93" s="1" t="s">
        <v>235</v>
      </c>
      <c r="J93" s="1"/>
      <c r="K93" s="1"/>
      <c r="L93" s="1" t="s">
        <v>236</v>
      </c>
      <c r="M93" s="1" t="s">
        <v>300</v>
      </c>
      <c r="N93" s="1">
        <v>0</v>
      </c>
      <c r="O93" s="1">
        <v>0</v>
      </c>
      <c r="P93" s="1"/>
      <c r="Q93" s="1"/>
      <c r="R93" s="1" t="s">
        <v>1054</v>
      </c>
      <c r="S93" s="1" t="s">
        <v>1055</v>
      </c>
      <c r="T93" s="1" t="s">
        <v>107</v>
      </c>
      <c r="U93" s="1" t="s">
        <v>1056</v>
      </c>
      <c r="V93" s="1">
        <v>1</v>
      </c>
      <c r="W93" s="1">
        <v>0</v>
      </c>
      <c r="X93" s="1">
        <v>0</v>
      </c>
      <c r="Y93" s="1">
        <v>0</v>
      </c>
      <c r="Z93" s="1">
        <v>0</v>
      </c>
      <c r="AA93" s="1">
        <v>5</v>
      </c>
      <c r="AB93" s="1">
        <v>5</v>
      </c>
      <c r="AC93" s="1" t="s">
        <v>109</v>
      </c>
      <c r="AD93" s="1" t="s">
        <v>109</v>
      </c>
      <c r="AE93" s="1" t="s">
        <v>109</v>
      </c>
      <c r="AF93" s="1" t="s">
        <v>109</v>
      </c>
      <c r="AG93" s="1" t="s">
        <v>109</v>
      </c>
      <c r="AH93" s="1">
        <v>5</v>
      </c>
      <c r="AI93" s="1">
        <v>4</v>
      </c>
      <c r="AJ93" s="1">
        <v>5</v>
      </c>
      <c r="AK93" s="1" t="s">
        <v>109</v>
      </c>
      <c r="AL93" s="1" t="s">
        <v>109</v>
      </c>
      <c r="AM93" s="1" t="s">
        <v>109</v>
      </c>
      <c r="AN93" s="1" t="s">
        <v>109</v>
      </c>
      <c r="AO93" s="1" t="s">
        <v>109</v>
      </c>
      <c r="AP93" s="1"/>
      <c r="AQ93" s="1">
        <v>5</v>
      </c>
      <c r="AR93" s="1"/>
      <c r="AS93" s="1" t="s">
        <v>1057</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5" t="str">
        <f>HYPERLINK("http://www.d20pfsrd.com/magic/all-spells/c/contact-other-plane","Contact Other Plane")</f>
        <v>Contact Other Plane</v>
      </c>
      <c r="BT93" s="1">
        <v>92</v>
      </c>
      <c r="BU93" s="1" t="s">
        <v>109</v>
      </c>
      <c r="BV93" s="1" t="s">
        <v>1058</v>
      </c>
      <c r="BW93" s="1" t="s">
        <v>1059</v>
      </c>
      <c r="BX93" s="1"/>
      <c r="BY93" s="1"/>
      <c r="BZ93" s="1">
        <v>0</v>
      </c>
      <c r="CA93" s="1" t="s">
        <v>109</v>
      </c>
      <c r="CB93" s="1" t="s">
        <v>109</v>
      </c>
      <c r="CC93" s="1">
        <v>5</v>
      </c>
      <c r="CD93" s="1" t="s">
        <v>109</v>
      </c>
      <c r="CE93" s="1" t="s">
        <v>109</v>
      </c>
      <c r="CF93" s="1">
        <v>4</v>
      </c>
      <c r="CG93" s="1">
        <v>5</v>
      </c>
      <c r="CH93" s="1" t="s">
        <v>109</v>
      </c>
      <c r="CI93" s="1" t="s">
        <v>109</v>
      </c>
      <c r="CJ93" s="1" t="s">
        <v>109</v>
      </c>
      <c r="CK93" s="1"/>
      <c r="CL93" s="1">
        <v>0</v>
      </c>
      <c r="CM93" s="1">
        <v>0</v>
      </c>
      <c r="CN93" s="1">
        <v>0</v>
      </c>
    </row>
    <row r="94" spans="1:92" ht="14.25" customHeight="1" x14ac:dyDescent="0.15">
      <c r="A94" s="1" t="s">
        <v>1060</v>
      </c>
      <c r="B94" s="1" t="s">
        <v>308</v>
      </c>
      <c r="C94" s="1"/>
      <c r="D94" s="1" t="s">
        <v>57</v>
      </c>
      <c r="E94" s="1" t="s">
        <v>1061</v>
      </c>
      <c r="F94" s="1" t="s">
        <v>98</v>
      </c>
      <c r="G94" s="1" t="s">
        <v>141</v>
      </c>
      <c r="H94" s="1">
        <v>0</v>
      </c>
      <c r="I94" s="1" t="s">
        <v>161</v>
      </c>
      <c r="J94" s="1"/>
      <c r="K94" s="1"/>
      <c r="L94" s="1" t="s">
        <v>162</v>
      </c>
      <c r="M94" s="1" t="s">
        <v>144</v>
      </c>
      <c r="N94" s="1">
        <v>0</v>
      </c>
      <c r="O94" s="1">
        <v>0</v>
      </c>
      <c r="P94" s="1" t="s">
        <v>267</v>
      </c>
      <c r="Q94" s="1" t="s">
        <v>268</v>
      </c>
      <c r="R94" s="1" t="s">
        <v>1062</v>
      </c>
      <c r="S94" s="1" t="s">
        <v>1063</v>
      </c>
      <c r="T94" s="1" t="s">
        <v>107</v>
      </c>
      <c r="U94" s="1" t="s">
        <v>1064</v>
      </c>
      <c r="V94" s="1">
        <v>1</v>
      </c>
      <c r="W94" s="1">
        <v>1</v>
      </c>
      <c r="X94" s="1">
        <v>0</v>
      </c>
      <c r="Y94" s="1">
        <v>0</v>
      </c>
      <c r="Z94" s="1">
        <v>0</v>
      </c>
      <c r="AA94" s="1">
        <v>4</v>
      </c>
      <c r="AB94" s="1">
        <v>4</v>
      </c>
      <c r="AC94" s="1">
        <v>3</v>
      </c>
      <c r="AD94" s="1">
        <v>3</v>
      </c>
      <c r="AE94" s="1" t="s">
        <v>109</v>
      </c>
      <c r="AF94" s="1" t="s">
        <v>109</v>
      </c>
      <c r="AG94" s="1" t="s">
        <v>109</v>
      </c>
      <c r="AH94" s="1" t="s">
        <v>109</v>
      </c>
      <c r="AI94" s="1" t="s">
        <v>109</v>
      </c>
      <c r="AJ94" s="1" t="s">
        <v>109</v>
      </c>
      <c r="AK94" s="1" t="s">
        <v>109</v>
      </c>
      <c r="AL94" s="1">
        <v>3</v>
      </c>
      <c r="AM94" s="1">
        <v>3</v>
      </c>
      <c r="AN94" s="1" t="s">
        <v>109</v>
      </c>
      <c r="AO94" s="1">
        <v>3</v>
      </c>
      <c r="AP94" s="1"/>
      <c r="AQ94" s="1">
        <v>4</v>
      </c>
      <c r="AR94" s="1" t="s">
        <v>1065</v>
      </c>
      <c r="AS94" s="1" t="s">
        <v>1066</v>
      </c>
      <c r="AT94" s="1">
        <v>0</v>
      </c>
      <c r="AU94" s="1">
        <v>0</v>
      </c>
      <c r="AV94" s="1">
        <v>0</v>
      </c>
      <c r="AW94" s="1">
        <v>0</v>
      </c>
      <c r="AX94" s="1">
        <v>0</v>
      </c>
      <c r="AY94" s="1">
        <v>0</v>
      </c>
      <c r="AZ94" s="1">
        <v>0</v>
      </c>
      <c r="BA94" s="1">
        <v>0</v>
      </c>
      <c r="BB94" s="1">
        <v>0</v>
      </c>
      <c r="BC94" s="1">
        <v>0</v>
      </c>
      <c r="BD94" s="1">
        <v>0</v>
      </c>
      <c r="BE94" s="1">
        <v>1</v>
      </c>
      <c r="BF94" s="1">
        <v>0</v>
      </c>
      <c r="BG94" s="1">
        <v>0</v>
      </c>
      <c r="BH94" s="1">
        <v>0</v>
      </c>
      <c r="BI94" s="1">
        <v>0</v>
      </c>
      <c r="BJ94" s="1">
        <v>0</v>
      </c>
      <c r="BK94" s="1">
        <v>0</v>
      </c>
      <c r="BL94" s="1">
        <v>0</v>
      </c>
      <c r="BM94" s="1">
        <v>0</v>
      </c>
      <c r="BN94" s="1">
        <v>0</v>
      </c>
      <c r="BO94" s="1">
        <v>0</v>
      </c>
      <c r="BP94" s="1">
        <v>0</v>
      </c>
      <c r="BQ94" s="1">
        <v>0</v>
      </c>
      <c r="BR94" s="1">
        <v>0</v>
      </c>
      <c r="BS94" s="5" t="str">
        <f>HYPERLINK("http://www.d20pfsrd.com/magic/all-spells/c/contagion","Contagion")</f>
        <v>Contagion</v>
      </c>
      <c r="BT94" s="1">
        <v>93</v>
      </c>
      <c r="BU94" s="1" t="s">
        <v>109</v>
      </c>
      <c r="BV94" s="1" t="s">
        <v>1067</v>
      </c>
      <c r="BW94" s="1" t="s">
        <v>1068</v>
      </c>
      <c r="BX94" s="1" t="s">
        <v>1069</v>
      </c>
      <c r="BY94" s="1" t="s">
        <v>1070</v>
      </c>
      <c r="BZ94" s="1">
        <v>1</v>
      </c>
      <c r="CA94" s="1">
        <v>4</v>
      </c>
      <c r="CB94" s="1" t="s">
        <v>109</v>
      </c>
      <c r="CC94" s="1" t="s">
        <v>109</v>
      </c>
      <c r="CD94" s="1" t="s">
        <v>109</v>
      </c>
      <c r="CE94" s="1" t="s">
        <v>109</v>
      </c>
      <c r="CF94" s="1" t="s">
        <v>109</v>
      </c>
      <c r="CG94" s="1" t="s">
        <v>109</v>
      </c>
      <c r="CH94" s="1" t="s">
        <v>109</v>
      </c>
      <c r="CI94" s="1" t="s">
        <v>109</v>
      </c>
      <c r="CJ94" s="1">
        <v>3</v>
      </c>
      <c r="CK94" s="1"/>
      <c r="CL94" s="1">
        <v>0</v>
      </c>
      <c r="CM94" s="1">
        <v>0</v>
      </c>
      <c r="CN94" s="1">
        <v>0</v>
      </c>
    </row>
    <row r="95" spans="1:92" ht="14.25" customHeight="1" x14ac:dyDescent="0.15">
      <c r="A95" s="1" t="s">
        <v>1071</v>
      </c>
      <c r="B95" s="1" t="s">
        <v>584</v>
      </c>
      <c r="C95" s="1"/>
      <c r="D95" s="1"/>
      <c r="E95" s="1" t="s">
        <v>1072</v>
      </c>
      <c r="F95" s="1" t="s">
        <v>1073</v>
      </c>
      <c r="G95" s="1" t="s">
        <v>1074</v>
      </c>
      <c r="H95" s="1">
        <v>1</v>
      </c>
      <c r="I95" s="1" t="s">
        <v>235</v>
      </c>
      <c r="J95" s="1"/>
      <c r="K95" s="1"/>
      <c r="L95" s="1" t="s">
        <v>236</v>
      </c>
      <c r="M95" s="1" t="s">
        <v>1075</v>
      </c>
      <c r="N95" s="1">
        <v>1</v>
      </c>
      <c r="O95" s="1">
        <v>0</v>
      </c>
      <c r="P95" s="1"/>
      <c r="Q95" s="1"/>
      <c r="R95" s="1" t="s">
        <v>1076</v>
      </c>
      <c r="S95" s="1" t="s">
        <v>1077</v>
      </c>
      <c r="T95" s="1" t="s">
        <v>107</v>
      </c>
      <c r="U95" s="1" t="s">
        <v>1078</v>
      </c>
      <c r="V95" s="1">
        <v>1</v>
      </c>
      <c r="W95" s="1">
        <v>1</v>
      </c>
      <c r="X95" s="1">
        <v>1</v>
      </c>
      <c r="Y95" s="1">
        <v>0</v>
      </c>
      <c r="Z95" s="1">
        <v>0</v>
      </c>
      <c r="AA95" s="1">
        <v>6</v>
      </c>
      <c r="AB95" s="1">
        <v>6</v>
      </c>
      <c r="AC95" s="1" t="s">
        <v>109</v>
      </c>
      <c r="AD95" s="1" t="s">
        <v>109</v>
      </c>
      <c r="AE95" s="1" t="s">
        <v>109</v>
      </c>
      <c r="AF95" s="1" t="s">
        <v>109</v>
      </c>
      <c r="AG95" s="1" t="s">
        <v>109</v>
      </c>
      <c r="AH95" s="1" t="s">
        <v>109</v>
      </c>
      <c r="AI95" s="1" t="s">
        <v>109</v>
      </c>
      <c r="AJ95" s="1" t="s">
        <v>109</v>
      </c>
      <c r="AK95" s="1" t="s">
        <v>109</v>
      </c>
      <c r="AL95" s="1" t="s">
        <v>109</v>
      </c>
      <c r="AM95" s="1" t="s">
        <v>109</v>
      </c>
      <c r="AN95" s="1" t="s">
        <v>109</v>
      </c>
      <c r="AO95" s="1" t="s">
        <v>109</v>
      </c>
      <c r="AP95" s="1"/>
      <c r="AQ95" s="1">
        <v>6</v>
      </c>
      <c r="AR95" s="1"/>
      <c r="AS95" s="1" t="s">
        <v>1079</v>
      </c>
      <c r="AT95" s="1">
        <v>0</v>
      </c>
      <c r="AU95" s="1">
        <v>0</v>
      </c>
      <c r="AV95" s="1">
        <v>0</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5" t="str">
        <f>HYPERLINK("http://www.d20pfsrd.com/magic/all-spells/c/contingency","Contingency")</f>
        <v>Contingency</v>
      </c>
      <c r="BT95" s="1">
        <v>94</v>
      </c>
      <c r="BU95" s="1">
        <v>1500</v>
      </c>
      <c r="BV95" s="1"/>
      <c r="BW95" s="1"/>
      <c r="BX95" s="1" t="s">
        <v>1080</v>
      </c>
      <c r="BY95" s="1" t="s">
        <v>1081</v>
      </c>
      <c r="BZ95" s="1">
        <v>1</v>
      </c>
      <c r="CA95" s="1" t="s">
        <v>109</v>
      </c>
      <c r="CB95" s="1" t="s">
        <v>109</v>
      </c>
      <c r="CC95" s="1">
        <v>6</v>
      </c>
      <c r="CD95" s="1" t="s">
        <v>109</v>
      </c>
      <c r="CE95" s="1" t="s">
        <v>109</v>
      </c>
      <c r="CF95" s="1">
        <v>6</v>
      </c>
      <c r="CG95" s="1" t="s">
        <v>109</v>
      </c>
      <c r="CH95" s="1" t="s">
        <v>109</v>
      </c>
      <c r="CI95" s="1" t="s">
        <v>109</v>
      </c>
      <c r="CJ95" s="1" t="s">
        <v>109</v>
      </c>
      <c r="CK95" s="1"/>
      <c r="CL95" s="1">
        <v>0</v>
      </c>
      <c r="CM95" s="1">
        <v>0</v>
      </c>
      <c r="CN95" s="1">
        <v>0</v>
      </c>
    </row>
    <row r="96" spans="1:92" ht="14.25" customHeight="1" x14ac:dyDescent="0.15">
      <c r="A96" s="1" t="s">
        <v>1082</v>
      </c>
      <c r="B96" s="1" t="s">
        <v>584</v>
      </c>
      <c r="C96" s="1"/>
      <c r="D96" s="1" t="s">
        <v>64</v>
      </c>
      <c r="E96" s="1" t="s">
        <v>1083</v>
      </c>
      <c r="F96" s="1" t="s">
        <v>98</v>
      </c>
      <c r="G96" s="1" t="s">
        <v>1084</v>
      </c>
      <c r="H96" s="1">
        <v>1</v>
      </c>
      <c r="I96" s="1" t="s">
        <v>161</v>
      </c>
      <c r="J96" s="1"/>
      <c r="K96" s="1"/>
      <c r="L96" s="1" t="s">
        <v>1085</v>
      </c>
      <c r="M96" s="1" t="s">
        <v>408</v>
      </c>
      <c r="N96" s="1">
        <v>0</v>
      </c>
      <c r="O96" s="1">
        <v>0</v>
      </c>
      <c r="P96" s="1" t="s">
        <v>103</v>
      </c>
      <c r="Q96" s="1" t="s">
        <v>104</v>
      </c>
      <c r="R96" s="1" t="s">
        <v>1086</v>
      </c>
      <c r="S96" s="1" t="s">
        <v>1087</v>
      </c>
      <c r="T96" s="1" t="s">
        <v>107</v>
      </c>
      <c r="U96" s="1" t="s">
        <v>1088</v>
      </c>
      <c r="V96" s="1">
        <v>1</v>
      </c>
      <c r="W96" s="1">
        <v>1</v>
      </c>
      <c r="X96" s="1">
        <v>1</v>
      </c>
      <c r="Y96" s="1">
        <v>0</v>
      </c>
      <c r="Z96" s="1">
        <v>0</v>
      </c>
      <c r="AA96" s="1">
        <v>2</v>
      </c>
      <c r="AB96" s="1">
        <v>2</v>
      </c>
      <c r="AC96" s="1">
        <v>3</v>
      </c>
      <c r="AD96" s="1" t="s">
        <v>109</v>
      </c>
      <c r="AE96" s="1" t="s">
        <v>109</v>
      </c>
      <c r="AF96" s="1" t="s">
        <v>109</v>
      </c>
      <c r="AG96" s="1" t="s">
        <v>109</v>
      </c>
      <c r="AH96" s="1" t="s">
        <v>109</v>
      </c>
      <c r="AI96" s="1" t="s">
        <v>109</v>
      </c>
      <c r="AJ96" s="1" t="s">
        <v>109</v>
      </c>
      <c r="AK96" s="1">
        <v>3</v>
      </c>
      <c r="AL96" s="1">
        <v>3</v>
      </c>
      <c r="AM96" s="1" t="s">
        <v>109</v>
      </c>
      <c r="AN96" s="1" t="s">
        <v>109</v>
      </c>
      <c r="AO96" s="1">
        <v>3</v>
      </c>
      <c r="AP96" s="1"/>
      <c r="AQ96" s="1">
        <v>2</v>
      </c>
      <c r="AR96" s="1" t="s">
        <v>1089</v>
      </c>
      <c r="AS96" s="1" t="s">
        <v>1090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1</v>
      </c>
      <c r="BM96" s="1">
        <v>0</v>
      </c>
      <c r="BN96" s="1">
        <v>0</v>
      </c>
      <c r="BO96" s="1">
        <v>0</v>
      </c>
      <c r="BP96" s="1">
        <v>0</v>
      </c>
      <c r="BQ96" s="1">
        <v>0</v>
      </c>
      <c r="BR96" s="1">
        <v>0</v>
      </c>
      <c r="BS96" s="5" t="str">
        <f>HYPERLINK("http://www.d20pfsrd.com/magic/all-spells/c/continual-flame","Continual Flame")</f>
        <v>Continual Flame</v>
      </c>
      <c r="BT96" s="1">
        <v>95</v>
      </c>
      <c r="BU96" s="1">
        <v>50</v>
      </c>
      <c r="BV96" s="1"/>
      <c r="BW96" s="1" t="s">
        <v>1091</v>
      </c>
      <c r="BX96" s="1"/>
      <c r="BY96" s="1"/>
      <c r="BZ96" s="1">
        <v>0</v>
      </c>
      <c r="CA96" s="1" t="s">
        <v>109</v>
      </c>
      <c r="CB96" s="1" t="s">
        <v>109</v>
      </c>
      <c r="CC96" s="1">
        <v>3</v>
      </c>
      <c r="CD96" s="1" t="s">
        <v>109</v>
      </c>
      <c r="CE96" s="1" t="s">
        <v>109</v>
      </c>
      <c r="CF96" s="1">
        <v>2</v>
      </c>
      <c r="CG96" s="1" t="s">
        <v>109</v>
      </c>
      <c r="CH96" s="1" t="s">
        <v>109</v>
      </c>
      <c r="CI96" s="1" t="s">
        <v>109</v>
      </c>
      <c r="CJ96" s="1" t="s">
        <v>109</v>
      </c>
      <c r="CK96" s="1"/>
      <c r="CL96" s="1">
        <v>0</v>
      </c>
      <c r="CM96" s="1">
        <v>0</v>
      </c>
      <c r="CN96" s="1">
        <v>0</v>
      </c>
    </row>
    <row r="97" spans="1:92" ht="14.25" customHeight="1" x14ac:dyDescent="0.15">
      <c r="A97" s="1" t="s">
        <v>1092</v>
      </c>
      <c r="B97" s="1" t="s">
        <v>189</v>
      </c>
      <c r="C97" s="1"/>
      <c r="D97" s="1"/>
      <c r="E97" s="1" t="s">
        <v>1093</v>
      </c>
      <c r="F97" s="1" t="s">
        <v>98</v>
      </c>
      <c r="G97" s="1" t="s">
        <v>160</v>
      </c>
      <c r="H97" s="1">
        <v>0</v>
      </c>
      <c r="I97" s="1" t="s">
        <v>142</v>
      </c>
      <c r="J97" s="1"/>
      <c r="K97" s="1"/>
      <c r="L97" s="1" t="s">
        <v>973</v>
      </c>
      <c r="M97" s="1" t="s">
        <v>164</v>
      </c>
      <c r="N97" s="1">
        <v>0</v>
      </c>
      <c r="O97" s="1">
        <v>0</v>
      </c>
      <c r="P97" s="1" t="s">
        <v>301</v>
      </c>
      <c r="Q97" s="1" t="s">
        <v>104</v>
      </c>
      <c r="R97" s="1" t="s">
        <v>1094</v>
      </c>
      <c r="S97" s="1" t="s">
        <v>1095</v>
      </c>
      <c r="T97" s="1" t="s">
        <v>107</v>
      </c>
      <c r="U97" s="1" t="s">
        <v>1096</v>
      </c>
      <c r="V97" s="1">
        <v>1</v>
      </c>
      <c r="W97" s="1">
        <v>1</v>
      </c>
      <c r="X97" s="1">
        <v>0</v>
      </c>
      <c r="Y97" s="1">
        <v>0</v>
      </c>
      <c r="Z97" s="1">
        <v>1</v>
      </c>
      <c r="AA97" s="1" t="s">
        <v>109</v>
      </c>
      <c r="AB97" s="1" t="s">
        <v>109</v>
      </c>
      <c r="AC97" s="1" t="s">
        <v>109</v>
      </c>
      <c r="AD97" s="1">
        <v>8</v>
      </c>
      <c r="AE97" s="1" t="s">
        <v>109</v>
      </c>
      <c r="AF97" s="1" t="s">
        <v>109</v>
      </c>
      <c r="AG97" s="1" t="s">
        <v>109</v>
      </c>
      <c r="AH97" s="1" t="s">
        <v>109</v>
      </c>
      <c r="AI97" s="1" t="s">
        <v>109</v>
      </c>
      <c r="AJ97" s="1" t="s">
        <v>109</v>
      </c>
      <c r="AK97" s="1" t="s">
        <v>109</v>
      </c>
      <c r="AL97" s="1" t="s">
        <v>109</v>
      </c>
      <c r="AM97" s="1" t="s">
        <v>109</v>
      </c>
      <c r="AN97" s="1" t="s">
        <v>109</v>
      </c>
      <c r="AO97" s="1" t="s">
        <v>109</v>
      </c>
      <c r="AP97" s="1"/>
      <c r="AQ97" s="1">
        <v>8</v>
      </c>
      <c r="AR97" s="1" t="s">
        <v>1097</v>
      </c>
      <c r="AS97" s="1" t="s">
        <v>1098</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5" t="str">
        <f>HYPERLINK("http://www.d20pfsrd.com/magic/all-spells/c/control-plants","Control Plants")</f>
        <v>Control Plants</v>
      </c>
      <c r="BT97" s="1">
        <v>96</v>
      </c>
      <c r="BU97" s="1" t="s">
        <v>109</v>
      </c>
      <c r="BV97" s="1"/>
      <c r="BW97" s="1" t="s">
        <v>1099</v>
      </c>
      <c r="BX97" s="1"/>
      <c r="BY97" s="1"/>
      <c r="BZ97" s="1">
        <v>0</v>
      </c>
      <c r="CA97" s="1" t="s">
        <v>109</v>
      </c>
      <c r="CB97" s="1" t="s">
        <v>109</v>
      </c>
      <c r="CC97" s="1" t="s">
        <v>109</v>
      </c>
      <c r="CD97" s="1" t="s">
        <v>109</v>
      </c>
      <c r="CE97" s="1" t="s">
        <v>109</v>
      </c>
      <c r="CF97" s="1" t="s">
        <v>109</v>
      </c>
      <c r="CG97" s="1" t="s">
        <v>109</v>
      </c>
      <c r="CH97" s="1" t="s">
        <v>109</v>
      </c>
      <c r="CI97" s="1" t="s">
        <v>109</v>
      </c>
      <c r="CJ97" s="1" t="s">
        <v>109</v>
      </c>
      <c r="CK97" s="1"/>
      <c r="CL97" s="1">
        <v>0</v>
      </c>
      <c r="CM97" s="1">
        <v>0</v>
      </c>
      <c r="CN97" s="1">
        <v>0</v>
      </c>
    </row>
    <row r="98" spans="1:92" ht="14.25" customHeight="1" x14ac:dyDescent="0.15">
      <c r="A98" s="1" t="s">
        <v>1100</v>
      </c>
      <c r="B98" s="1" t="s">
        <v>308</v>
      </c>
      <c r="C98" s="1"/>
      <c r="D98" s="1"/>
      <c r="E98" s="1" t="s">
        <v>1101</v>
      </c>
      <c r="F98" s="1" t="s">
        <v>98</v>
      </c>
      <c r="G98" s="1" t="s">
        <v>1102</v>
      </c>
      <c r="H98" s="1">
        <v>0</v>
      </c>
      <c r="I98" s="1" t="s">
        <v>142</v>
      </c>
      <c r="J98" s="1"/>
      <c r="K98" s="1"/>
      <c r="L98" s="1" t="s">
        <v>1103</v>
      </c>
      <c r="M98" s="1" t="s">
        <v>164</v>
      </c>
      <c r="N98" s="1">
        <v>0</v>
      </c>
      <c r="O98" s="1">
        <v>0</v>
      </c>
      <c r="P98" s="1" t="s">
        <v>301</v>
      </c>
      <c r="Q98" s="1" t="s">
        <v>268</v>
      </c>
      <c r="R98" s="1" t="s">
        <v>1104</v>
      </c>
      <c r="S98" s="1" t="s">
        <v>1105</v>
      </c>
      <c r="T98" s="1" t="s">
        <v>107</v>
      </c>
      <c r="U98" s="1" t="s">
        <v>1106</v>
      </c>
      <c r="V98" s="1">
        <v>1</v>
      </c>
      <c r="W98" s="1">
        <v>1</v>
      </c>
      <c r="X98" s="1">
        <v>1</v>
      </c>
      <c r="Y98" s="1">
        <v>0</v>
      </c>
      <c r="Z98" s="1">
        <v>0</v>
      </c>
      <c r="AA98" s="1">
        <v>7</v>
      </c>
      <c r="AB98" s="1">
        <v>7</v>
      </c>
      <c r="AC98" s="1" t="s">
        <v>109</v>
      </c>
      <c r="AD98" s="1" t="s">
        <v>109</v>
      </c>
      <c r="AE98" s="1" t="s">
        <v>109</v>
      </c>
      <c r="AF98" s="1" t="s">
        <v>109</v>
      </c>
      <c r="AG98" s="1" t="s">
        <v>109</v>
      </c>
      <c r="AH98" s="1" t="s">
        <v>109</v>
      </c>
      <c r="AI98" s="1" t="s">
        <v>109</v>
      </c>
      <c r="AJ98" s="1" t="s">
        <v>109</v>
      </c>
      <c r="AK98" s="1" t="s">
        <v>109</v>
      </c>
      <c r="AL98" s="1" t="s">
        <v>109</v>
      </c>
      <c r="AM98" s="1" t="s">
        <v>109</v>
      </c>
      <c r="AN98" s="1" t="s">
        <v>109</v>
      </c>
      <c r="AO98" s="1" t="s">
        <v>109</v>
      </c>
      <c r="AP98" s="1"/>
      <c r="AQ98" s="1">
        <v>7</v>
      </c>
      <c r="AR98" s="1"/>
      <c r="AS98" s="1" t="s">
        <v>1107</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5" t="str">
        <f>HYPERLINK("http://www.d20pfsrd.com/magic/all-spells/c/control-undead","Control Undead")</f>
        <v>Control Undead</v>
      </c>
      <c r="BT98" s="1">
        <v>97</v>
      </c>
      <c r="BU98" s="1" t="s">
        <v>109</v>
      </c>
      <c r="BV98" s="1" t="s">
        <v>1108</v>
      </c>
      <c r="BW98" s="1" t="s">
        <v>1109</v>
      </c>
      <c r="BX98" s="1"/>
      <c r="BY98" s="1"/>
      <c r="BZ98" s="1">
        <v>0</v>
      </c>
      <c r="CA98" s="1" t="s">
        <v>109</v>
      </c>
      <c r="CB98" s="1" t="s">
        <v>109</v>
      </c>
      <c r="CC98" s="1" t="s">
        <v>109</v>
      </c>
      <c r="CD98" s="1" t="s">
        <v>109</v>
      </c>
      <c r="CE98" s="1" t="s">
        <v>109</v>
      </c>
      <c r="CF98" s="1" t="s">
        <v>109</v>
      </c>
      <c r="CG98" s="1" t="s">
        <v>109</v>
      </c>
      <c r="CH98" s="1" t="s">
        <v>109</v>
      </c>
      <c r="CI98" s="1" t="s">
        <v>109</v>
      </c>
      <c r="CJ98" s="1" t="s">
        <v>109</v>
      </c>
      <c r="CK98" s="1"/>
      <c r="CL98" s="1">
        <v>0</v>
      </c>
      <c r="CM98" s="1">
        <v>0</v>
      </c>
      <c r="CN98" s="1">
        <v>0</v>
      </c>
    </row>
    <row r="99" spans="1:92" ht="14.25" customHeight="1" x14ac:dyDescent="0.15">
      <c r="A99" s="1" t="s">
        <v>1110</v>
      </c>
      <c r="B99" s="1" t="s">
        <v>189</v>
      </c>
      <c r="C99" s="1"/>
      <c r="D99" s="1" t="s">
        <v>70</v>
      </c>
      <c r="E99" s="1" t="s">
        <v>1111</v>
      </c>
      <c r="F99" s="1" t="s">
        <v>98</v>
      </c>
      <c r="G99" s="1" t="s">
        <v>1112</v>
      </c>
      <c r="H99" s="1">
        <v>0</v>
      </c>
      <c r="I99" s="1" t="s">
        <v>100</v>
      </c>
      <c r="J99" s="1" t="s">
        <v>1113</v>
      </c>
      <c r="K99" s="1"/>
      <c r="L99" s="1"/>
      <c r="M99" s="1" t="s">
        <v>194</v>
      </c>
      <c r="N99" s="1">
        <v>1</v>
      </c>
      <c r="O99" s="1">
        <v>1</v>
      </c>
      <c r="P99" s="1" t="s">
        <v>281</v>
      </c>
      <c r="Q99" s="1" t="s">
        <v>104</v>
      </c>
      <c r="R99" s="1" t="s">
        <v>1114</v>
      </c>
      <c r="S99" s="1" t="s">
        <v>1115</v>
      </c>
      <c r="T99" s="1" t="s">
        <v>107</v>
      </c>
      <c r="U99" s="1" t="s">
        <v>1116</v>
      </c>
      <c r="V99" s="1">
        <v>1</v>
      </c>
      <c r="W99" s="1">
        <v>1</v>
      </c>
      <c r="X99" s="1">
        <v>1</v>
      </c>
      <c r="Y99" s="1">
        <v>0</v>
      </c>
      <c r="Z99" s="1">
        <v>1</v>
      </c>
      <c r="AA99" s="1">
        <v>6</v>
      </c>
      <c r="AB99" s="1">
        <v>6</v>
      </c>
      <c r="AC99" s="1">
        <v>4</v>
      </c>
      <c r="AD99" s="1">
        <v>4</v>
      </c>
      <c r="AE99" s="1" t="s">
        <v>109</v>
      </c>
      <c r="AF99" s="1" t="s">
        <v>109</v>
      </c>
      <c r="AG99" s="1" t="s">
        <v>109</v>
      </c>
      <c r="AH99" s="1" t="s">
        <v>109</v>
      </c>
      <c r="AI99" s="1" t="s">
        <v>109</v>
      </c>
      <c r="AJ99" s="1" t="s">
        <v>109</v>
      </c>
      <c r="AK99" s="1" t="s">
        <v>109</v>
      </c>
      <c r="AL99" s="1">
        <v>4</v>
      </c>
      <c r="AM99" s="1" t="s">
        <v>109</v>
      </c>
      <c r="AN99" s="1" t="s">
        <v>109</v>
      </c>
      <c r="AO99" s="1" t="s">
        <v>109</v>
      </c>
      <c r="AP99" s="1"/>
      <c r="AQ99" s="1">
        <v>6</v>
      </c>
      <c r="AR99" s="1" t="s">
        <v>1117</v>
      </c>
      <c r="AS99" s="1" t="s">
        <v>1118</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1</v>
      </c>
      <c r="BS99" s="5" t="str">
        <f>HYPERLINK("http://www.d20pfsrd.com/magic/all-spells/c/control-water","Control Water")</f>
        <v>Control Water</v>
      </c>
      <c r="BT99" s="1">
        <v>98</v>
      </c>
      <c r="BU99" s="1" t="s">
        <v>109</v>
      </c>
      <c r="BV99" s="1" t="s">
        <v>1119</v>
      </c>
      <c r="BW99" s="1" t="s">
        <v>1120</v>
      </c>
      <c r="BX99" s="1"/>
      <c r="BY99" s="1"/>
      <c r="BZ99" s="1">
        <v>0</v>
      </c>
      <c r="CA99" s="1" t="s">
        <v>109</v>
      </c>
      <c r="CB99" s="1">
        <v>4</v>
      </c>
      <c r="CC99" s="1" t="s">
        <v>109</v>
      </c>
      <c r="CD99" s="1" t="s">
        <v>109</v>
      </c>
      <c r="CE99" s="1" t="s">
        <v>109</v>
      </c>
      <c r="CF99" s="1" t="s">
        <v>109</v>
      </c>
      <c r="CG99" s="1" t="s">
        <v>109</v>
      </c>
      <c r="CH99" s="1" t="s">
        <v>109</v>
      </c>
      <c r="CI99" s="1" t="s">
        <v>109</v>
      </c>
      <c r="CJ99" s="1">
        <v>4</v>
      </c>
      <c r="CK99" s="1"/>
      <c r="CL99" s="1">
        <v>0</v>
      </c>
      <c r="CM99" s="1">
        <v>0</v>
      </c>
      <c r="CN99" s="1">
        <v>0</v>
      </c>
    </row>
    <row r="100" spans="1:92" ht="14.25" customHeight="1" x14ac:dyDescent="0.15">
      <c r="A100" s="1" t="s">
        <v>1121</v>
      </c>
      <c r="B100" s="1" t="s">
        <v>189</v>
      </c>
      <c r="C100" s="1"/>
      <c r="D100" s="1"/>
      <c r="E100" s="1" t="s">
        <v>1122</v>
      </c>
      <c r="F100" s="1" t="s">
        <v>1123</v>
      </c>
      <c r="G100" s="1" t="s">
        <v>141</v>
      </c>
      <c r="H100" s="1">
        <v>0</v>
      </c>
      <c r="I100" s="1" t="s">
        <v>1124</v>
      </c>
      <c r="J100" s="1" t="s">
        <v>1125</v>
      </c>
      <c r="K100" s="1"/>
      <c r="L100" s="1"/>
      <c r="M100" s="1" t="s">
        <v>1126</v>
      </c>
      <c r="N100" s="1">
        <v>0</v>
      </c>
      <c r="O100" s="1">
        <v>0</v>
      </c>
      <c r="P100" s="1" t="s">
        <v>103</v>
      </c>
      <c r="Q100" s="1" t="s">
        <v>104</v>
      </c>
      <c r="R100" s="1" t="s">
        <v>1127</v>
      </c>
      <c r="S100" s="1" t="s">
        <v>1128</v>
      </c>
      <c r="T100" s="1" t="s">
        <v>107</v>
      </c>
      <c r="U100" s="1" t="s">
        <v>1129</v>
      </c>
      <c r="V100" s="1">
        <v>1</v>
      </c>
      <c r="W100" s="1">
        <v>1</v>
      </c>
      <c r="X100" s="1">
        <v>0</v>
      </c>
      <c r="Y100" s="1">
        <v>0</v>
      </c>
      <c r="Z100" s="1">
        <v>0</v>
      </c>
      <c r="AA100" s="1">
        <v>7</v>
      </c>
      <c r="AB100" s="1">
        <v>7</v>
      </c>
      <c r="AC100" s="1">
        <v>7</v>
      </c>
      <c r="AD100" s="1">
        <v>7</v>
      </c>
      <c r="AE100" s="1" t="s">
        <v>109</v>
      </c>
      <c r="AF100" s="1" t="s">
        <v>109</v>
      </c>
      <c r="AG100" s="1" t="s">
        <v>109</v>
      </c>
      <c r="AH100" s="1" t="s">
        <v>109</v>
      </c>
      <c r="AI100" s="1" t="s">
        <v>109</v>
      </c>
      <c r="AJ100" s="1">
        <v>7</v>
      </c>
      <c r="AK100" s="1" t="s">
        <v>109</v>
      </c>
      <c r="AL100" s="1">
        <v>7</v>
      </c>
      <c r="AM100" s="1" t="s">
        <v>109</v>
      </c>
      <c r="AN100" s="1" t="s">
        <v>109</v>
      </c>
      <c r="AO100" s="1" t="s">
        <v>109</v>
      </c>
      <c r="AP100" s="1"/>
      <c r="AQ100" s="1">
        <v>7</v>
      </c>
      <c r="AR100" s="1" t="s">
        <v>1130</v>
      </c>
      <c r="AS100" s="1" t="s">
        <v>1131</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5" t="str">
        <f>HYPERLINK("http://www.d20pfsrd.com/magic/all-spells/c/control-weather","Control Weather")</f>
        <v>Control Weather</v>
      </c>
      <c r="BT100" s="1">
        <v>99</v>
      </c>
      <c r="BU100" s="1" t="s">
        <v>109</v>
      </c>
      <c r="BV100" s="1" t="s">
        <v>1132</v>
      </c>
      <c r="BW100" s="1" t="s">
        <v>1133</v>
      </c>
      <c r="BX100" s="1" t="s">
        <v>1134</v>
      </c>
      <c r="BY100" s="1" t="s">
        <v>1135</v>
      </c>
      <c r="BZ100" s="1">
        <v>1</v>
      </c>
      <c r="CA100" s="1" t="s">
        <v>109</v>
      </c>
      <c r="CB100" s="1">
        <v>7</v>
      </c>
      <c r="CC100" s="1" t="s">
        <v>109</v>
      </c>
      <c r="CD100" s="1" t="s">
        <v>109</v>
      </c>
      <c r="CE100" s="1" t="s">
        <v>109</v>
      </c>
      <c r="CF100" s="1" t="s">
        <v>109</v>
      </c>
      <c r="CG100" s="1" t="s">
        <v>109</v>
      </c>
      <c r="CH100" s="1" t="s">
        <v>109</v>
      </c>
      <c r="CI100" s="1" t="s">
        <v>109</v>
      </c>
      <c r="CJ100" s="1" t="s">
        <v>109</v>
      </c>
      <c r="CK100" s="1"/>
      <c r="CL100" s="1">
        <v>0</v>
      </c>
      <c r="CM100" s="1">
        <v>0</v>
      </c>
      <c r="CN100" s="1">
        <v>0</v>
      </c>
    </row>
    <row r="101" spans="1:92" ht="14.25" customHeight="1" x14ac:dyDescent="0.15">
      <c r="A101" s="1" t="s">
        <v>1136</v>
      </c>
      <c r="B101" s="1" t="s">
        <v>189</v>
      </c>
      <c r="C101" s="1"/>
      <c r="D101" s="1" t="s">
        <v>47</v>
      </c>
      <c r="E101" s="1" t="s">
        <v>747</v>
      </c>
      <c r="F101" s="1" t="s">
        <v>98</v>
      </c>
      <c r="G101" s="1" t="s">
        <v>141</v>
      </c>
      <c r="H101" s="1">
        <v>0</v>
      </c>
      <c r="I101" s="1" t="s">
        <v>1137</v>
      </c>
      <c r="J101" s="1" t="s">
        <v>1138</v>
      </c>
      <c r="K101" s="1"/>
      <c r="L101" s="1"/>
      <c r="M101" s="1" t="s">
        <v>194</v>
      </c>
      <c r="N101" s="1">
        <v>0</v>
      </c>
      <c r="O101" s="1">
        <v>0</v>
      </c>
      <c r="P101" s="1" t="s">
        <v>267</v>
      </c>
      <c r="Q101" s="1" t="s">
        <v>104</v>
      </c>
      <c r="R101" s="1" t="s">
        <v>1139</v>
      </c>
      <c r="S101" s="1" t="s">
        <v>1140</v>
      </c>
      <c r="T101" s="1" t="s">
        <v>107</v>
      </c>
      <c r="U101" s="1" t="s">
        <v>1141</v>
      </c>
      <c r="V101" s="1">
        <v>1</v>
      </c>
      <c r="W101" s="1">
        <v>1</v>
      </c>
      <c r="X101" s="1">
        <v>0</v>
      </c>
      <c r="Y101" s="1">
        <v>0</v>
      </c>
      <c r="Z101" s="1">
        <v>0</v>
      </c>
      <c r="AA101" s="1" t="s">
        <v>109</v>
      </c>
      <c r="AB101" s="1" t="s">
        <v>109</v>
      </c>
      <c r="AC101" s="1" t="s">
        <v>109</v>
      </c>
      <c r="AD101" s="1">
        <v>5</v>
      </c>
      <c r="AE101" s="1" t="s">
        <v>109</v>
      </c>
      <c r="AF101" s="1" t="s">
        <v>109</v>
      </c>
      <c r="AG101" s="1" t="s">
        <v>109</v>
      </c>
      <c r="AH101" s="1" t="s">
        <v>109</v>
      </c>
      <c r="AI101" s="1" t="s">
        <v>109</v>
      </c>
      <c r="AJ101" s="1" t="s">
        <v>109</v>
      </c>
      <c r="AK101" s="1" t="s">
        <v>109</v>
      </c>
      <c r="AL101" s="1" t="s">
        <v>109</v>
      </c>
      <c r="AM101" s="1" t="s">
        <v>109</v>
      </c>
      <c r="AN101" s="1" t="s">
        <v>109</v>
      </c>
      <c r="AO101" s="1" t="s">
        <v>109</v>
      </c>
      <c r="AP101" s="1"/>
      <c r="AQ101" s="1">
        <v>5</v>
      </c>
      <c r="AR101" s="1" t="s">
        <v>1142</v>
      </c>
      <c r="AS101" s="1" t="s">
        <v>1143</v>
      </c>
      <c r="AT101" s="1">
        <v>0</v>
      </c>
      <c r="AU101" s="1">
        <v>1</v>
      </c>
      <c r="AV101" s="1">
        <v>0</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5" t="str">
        <f>HYPERLINK("http://www.d20pfsrd.com/magic/all-spells/c/control-winds","Control Winds")</f>
        <v>Control Winds</v>
      </c>
      <c r="BT101" s="1">
        <v>100</v>
      </c>
      <c r="BU101" s="1" t="s">
        <v>109</v>
      </c>
      <c r="BV101" s="1"/>
      <c r="BW101" s="1"/>
      <c r="BX101" s="1"/>
      <c r="BY101" s="1"/>
      <c r="BZ101" s="1">
        <v>0</v>
      </c>
      <c r="CA101" s="1" t="s">
        <v>109</v>
      </c>
      <c r="CB101" s="1">
        <v>5</v>
      </c>
      <c r="CC101" s="1" t="s">
        <v>109</v>
      </c>
      <c r="CD101" s="1" t="s">
        <v>109</v>
      </c>
      <c r="CE101" s="1" t="s">
        <v>109</v>
      </c>
      <c r="CF101" s="1">
        <v>5</v>
      </c>
      <c r="CG101" s="1" t="s">
        <v>109</v>
      </c>
      <c r="CH101" s="1" t="s">
        <v>109</v>
      </c>
      <c r="CI101" s="1" t="s">
        <v>109</v>
      </c>
      <c r="CJ101" s="1">
        <v>5</v>
      </c>
      <c r="CK101" s="1"/>
      <c r="CL101" s="1">
        <v>0</v>
      </c>
      <c r="CM101" s="1">
        <v>0</v>
      </c>
      <c r="CN101" s="1">
        <v>0</v>
      </c>
    </row>
    <row r="102" spans="1:92" ht="14.25" customHeight="1" x14ac:dyDescent="0.15">
      <c r="A102" s="1" t="s">
        <v>1144</v>
      </c>
      <c r="B102" s="1" t="s">
        <v>95</v>
      </c>
      <c r="C102" s="1" t="s">
        <v>96</v>
      </c>
      <c r="D102" s="1"/>
      <c r="E102" s="1" t="s">
        <v>1145</v>
      </c>
      <c r="F102" s="1" t="s">
        <v>395</v>
      </c>
      <c r="G102" s="1" t="s">
        <v>141</v>
      </c>
      <c r="H102" s="1">
        <v>0</v>
      </c>
      <c r="I102" s="1" t="s">
        <v>142</v>
      </c>
      <c r="J102" s="1"/>
      <c r="K102" s="1" t="s">
        <v>1146</v>
      </c>
      <c r="L102" s="1"/>
      <c r="M102" s="1" t="s">
        <v>1147</v>
      </c>
      <c r="N102" s="1">
        <v>0</v>
      </c>
      <c r="O102" s="1">
        <v>0</v>
      </c>
      <c r="P102" s="1" t="s">
        <v>103</v>
      </c>
      <c r="Q102" s="1" t="s">
        <v>104</v>
      </c>
      <c r="R102" s="1" t="s">
        <v>1148</v>
      </c>
      <c r="S102" s="1" t="s">
        <v>1149</v>
      </c>
      <c r="T102" s="1" t="s">
        <v>107</v>
      </c>
      <c r="U102" s="1" t="s">
        <v>1150</v>
      </c>
      <c r="V102" s="1">
        <v>1</v>
      </c>
      <c r="W102" s="1">
        <v>1</v>
      </c>
      <c r="X102" s="1">
        <v>0</v>
      </c>
      <c r="Y102" s="1">
        <v>0</v>
      </c>
      <c r="Z102" s="1">
        <v>0</v>
      </c>
      <c r="AA102" s="1" t="s">
        <v>109</v>
      </c>
      <c r="AB102" s="1" t="s">
        <v>109</v>
      </c>
      <c r="AC102" s="1">
        <v>3</v>
      </c>
      <c r="AD102" s="1" t="s">
        <v>109</v>
      </c>
      <c r="AE102" s="1" t="s">
        <v>109</v>
      </c>
      <c r="AF102" s="1" t="s">
        <v>109</v>
      </c>
      <c r="AG102" s="1" t="s">
        <v>109</v>
      </c>
      <c r="AH102" s="1" t="s">
        <v>109</v>
      </c>
      <c r="AI102" s="1" t="s">
        <v>109</v>
      </c>
      <c r="AJ102" s="1" t="s">
        <v>109</v>
      </c>
      <c r="AK102" s="1" t="s">
        <v>109</v>
      </c>
      <c r="AL102" s="1">
        <v>3</v>
      </c>
      <c r="AM102" s="1" t="s">
        <v>109</v>
      </c>
      <c r="AN102" s="1" t="s">
        <v>109</v>
      </c>
      <c r="AO102" s="1" t="s">
        <v>109</v>
      </c>
      <c r="AP102" s="1"/>
      <c r="AQ102" s="1">
        <v>3</v>
      </c>
      <c r="AR102" s="1" t="s">
        <v>1151</v>
      </c>
      <c r="AS102" s="1" t="s">
        <v>1152</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5" t="str">
        <f>HYPERLINK("http://www.d20pfsrd.com/magic/all-spells/c/create-food-and-water","Create Food and Water")</f>
        <v>Create Food and Water</v>
      </c>
      <c r="BT102" s="1">
        <v>101</v>
      </c>
      <c r="BU102" s="1" t="s">
        <v>109</v>
      </c>
      <c r="BV102" s="1"/>
      <c r="BW102" s="1"/>
      <c r="BX102" s="1"/>
      <c r="BY102" s="1"/>
      <c r="BZ102" s="1">
        <v>0</v>
      </c>
      <c r="CA102" s="1" t="s">
        <v>109</v>
      </c>
      <c r="CB102" s="1">
        <v>3</v>
      </c>
      <c r="CC102" s="1" t="s">
        <v>109</v>
      </c>
      <c r="CD102" s="1" t="s">
        <v>109</v>
      </c>
      <c r="CE102" s="1" t="s">
        <v>109</v>
      </c>
      <c r="CF102" s="1">
        <v>3</v>
      </c>
      <c r="CG102" s="1" t="s">
        <v>109</v>
      </c>
      <c r="CH102" s="1" t="s">
        <v>109</v>
      </c>
      <c r="CI102" s="1" t="s">
        <v>109</v>
      </c>
      <c r="CJ102" s="1" t="s">
        <v>109</v>
      </c>
      <c r="CK102" s="1"/>
      <c r="CL102" s="1">
        <v>0</v>
      </c>
      <c r="CM102" s="1">
        <v>0</v>
      </c>
      <c r="CN102" s="1">
        <v>0</v>
      </c>
    </row>
    <row r="103" spans="1:92" ht="14.25" customHeight="1" x14ac:dyDescent="0.15">
      <c r="A103" s="1" t="s">
        <v>1153</v>
      </c>
      <c r="B103" s="1" t="s">
        <v>308</v>
      </c>
      <c r="C103" s="1"/>
      <c r="D103" s="1" t="s">
        <v>57</v>
      </c>
      <c r="E103" s="1" t="s">
        <v>1154</v>
      </c>
      <c r="F103" s="1" t="s">
        <v>377</v>
      </c>
      <c r="G103" s="1" t="s">
        <v>1155</v>
      </c>
      <c r="H103" s="1">
        <v>1</v>
      </c>
      <c r="I103" s="1" t="s">
        <v>142</v>
      </c>
      <c r="J103" s="1"/>
      <c r="K103" s="1"/>
      <c r="L103" s="1" t="s">
        <v>1156</v>
      </c>
      <c r="M103" s="1" t="s">
        <v>144</v>
      </c>
      <c r="N103" s="1">
        <v>0</v>
      </c>
      <c r="O103" s="1">
        <v>0</v>
      </c>
      <c r="P103" s="1" t="s">
        <v>103</v>
      </c>
      <c r="Q103" s="1" t="s">
        <v>104</v>
      </c>
      <c r="R103" s="1" t="s">
        <v>1157</v>
      </c>
      <c r="S103" s="1" t="s">
        <v>1158</v>
      </c>
      <c r="T103" s="1" t="s">
        <v>107</v>
      </c>
      <c r="U103" s="1" t="s">
        <v>1159</v>
      </c>
      <c r="V103" s="1">
        <v>1</v>
      </c>
      <c r="W103" s="1">
        <v>1</v>
      </c>
      <c r="X103" s="1">
        <v>1</v>
      </c>
      <c r="Y103" s="1">
        <v>0</v>
      </c>
      <c r="Z103" s="1">
        <v>0</v>
      </c>
      <c r="AA103" s="1">
        <v>6</v>
      </c>
      <c r="AB103" s="1">
        <v>6</v>
      </c>
      <c r="AC103" s="1">
        <v>6</v>
      </c>
      <c r="AD103" s="1" t="s">
        <v>109</v>
      </c>
      <c r="AE103" s="1" t="s">
        <v>109</v>
      </c>
      <c r="AF103" s="1" t="s">
        <v>109</v>
      </c>
      <c r="AG103" s="1" t="s">
        <v>109</v>
      </c>
      <c r="AH103" s="1" t="s">
        <v>109</v>
      </c>
      <c r="AI103" s="1" t="s">
        <v>109</v>
      </c>
      <c r="AJ103" s="1" t="s">
        <v>109</v>
      </c>
      <c r="AK103" s="1" t="s">
        <v>109</v>
      </c>
      <c r="AL103" s="1">
        <v>6</v>
      </c>
      <c r="AM103" s="1" t="s">
        <v>109</v>
      </c>
      <c r="AN103" s="1" t="s">
        <v>109</v>
      </c>
      <c r="AO103" s="1" t="s">
        <v>109</v>
      </c>
      <c r="AP103" s="1"/>
      <c r="AQ103" s="1">
        <v>6</v>
      </c>
      <c r="AR103" s="1" t="s">
        <v>1160</v>
      </c>
      <c r="AS103" s="1" t="s">
        <v>1161</v>
      </c>
      <c r="AT103" s="1">
        <v>0</v>
      </c>
      <c r="AU103" s="1">
        <v>0</v>
      </c>
      <c r="AV103" s="1">
        <v>0</v>
      </c>
      <c r="AW103" s="1">
        <v>0</v>
      </c>
      <c r="AX103" s="1">
        <v>0</v>
      </c>
      <c r="AY103" s="1">
        <v>0</v>
      </c>
      <c r="AZ103" s="1">
        <v>0</v>
      </c>
      <c r="BA103" s="1">
        <v>0</v>
      </c>
      <c r="BB103" s="1">
        <v>0</v>
      </c>
      <c r="BC103" s="1">
        <v>0</v>
      </c>
      <c r="BD103" s="1">
        <v>0</v>
      </c>
      <c r="BE103" s="1">
        <v>1</v>
      </c>
      <c r="BF103" s="1">
        <v>0</v>
      </c>
      <c r="BG103" s="1">
        <v>0</v>
      </c>
      <c r="BH103" s="1">
        <v>0</v>
      </c>
      <c r="BI103" s="1">
        <v>0</v>
      </c>
      <c r="BJ103" s="1">
        <v>0</v>
      </c>
      <c r="BK103" s="1">
        <v>0</v>
      </c>
      <c r="BL103" s="1">
        <v>0</v>
      </c>
      <c r="BM103" s="1">
        <v>0</v>
      </c>
      <c r="BN103" s="1">
        <v>0</v>
      </c>
      <c r="BO103" s="1">
        <v>0</v>
      </c>
      <c r="BP103" s="1">
        <v>0</v>
      </c>
      <c r="BQ103" s="1">
        <v>0</v>
      </c>
      <c r="BR103" s="1">
        <v>0</v>
      </c>
      <c r="BS103" s="5" t="str">
        <f>HYPERLINK("http://www.d20pfsrd.com/magic/all-spells/c/create-undead","Create Undead")</f>
        <v>Create Undead</v>
      </c>
      <c r="BT103" s="1">
        <v>102</v>
      </c>
      <c r="BU103" s="1">
        <v>50</v>
      </c>
      <c r="BV103" s="1"/>
      <c r="BW103" s="1" t="s">
        <v>1162</v>
      </c>
      <c r="BX103" s="1"/>
      <c r="BY103" s="1"/>
      <c r="BZ103" s="1">
        <v>0</v>
      </c>
      <c r="CA103" s="1" t="s">
        <v>109</v>
      </c>
      <c r="CB103" s="1">
        <v>6</v>
      </c>
      <c r="CC103" s="1" t="s">
        <v>109</v>
      </c>
      <c r="CD103" s="1" t="s">
        <v>109</v>
      </c>
      <c r="CE103" s="1" t="s">
        <v>109</v>
      </c>
      <c r="CF103" s="1" t="s">
        <v>109</v>
      </c>
      <c r="CG103" s="1">
        <v>6</v>
      </c>
      <c r="CH103" s="1" t="s">
        <v>109</v>
      </c>
      <c r="CI103" s="1" t="s">
        <v>109</v>
      </c>
      <c r="CJ103" s="1" t="s">
        <v>109</v>
      </c>
      <c r="CK103" s="1"/>
      <c r="CL103" s="1">
        <v>0</v>
      </c>
      <c r="CM103" s="1">
        <v>0</v>
      </c>
      <c r="CN103" s="1">
        <v>0</v>
      </c>
    </row>
    <row r="104" spans="1:92" ht="14.25" customHeight="1" x14ac:dyDescent="0.15">
      <c r="A104" s="1" t="s">
        <v>1163</v>
      </c>
      <c r="B104" s="1" t="s">
        <v>308</v>
      </c>
      <c r="C104" s="1"/>
      <c r="D104" s="1" t="s">
        <v>57</v>
      </c>
      <c r="E104" s="1" t="s">
        <v>1164</v>
      </c>
      <c r="F104" s="1" t="s">
        <v>377</v>
      </c>
      <c r="G104" s="1" t="s">
        <v>1155</v>
      </c>
      <c r="H104" s="1">
        <v>1</v>
      </c>
      <c r="I104" s="1" t="s">
        <v>142</v>
      </c>
      <c r="J104" s="1"/>
      <c r="K104" s="1"/>
      <c r="L104" s="1" t="s">
        <v>1156</v>
      </c>
      <c r="M104" s="1" t="s">
        <v>144</v>
      </c>
      <c r="N104" s="1">
        <v>0</v>
      </c>
      <c r="O104" s="1">
        <v>0</v>
      </c>
      <c r="P104" s="1" t="s">
        <v>103</v>
      </c>
      <c r="Q104" s="1" t="s">
        <v>104</v>
      </c>
      <c r="R104" s="1" t="s">
        <v>1165</v>
      </c>
      <c r="S104" s="1" t="s">
        <v>1166</v>
      </c>
      <c r="T104" s="1" t="s">
        <v>107</v>
      </c>
      <c r="U104" s="1" t="s">
        <v>1167</v>
      </c>
      <c r="V104" s="1">
        <v>1</v>
      </c>
      <c r="W104" s="1">
        <v>1</v>
      </c>
      <c r="X104" s="1">
        <v>1</v>
      </c>
      <c r="Y104" s="1">
        <v>0</v>
      </c>
      <c r="Z104" s="1">
        <v>0</v>
      </c>
      <c r="AA104" s="1">
        <v>8</v>
      </c>
      <c r="AB104" s="1">
        <v>8</v>
      </c>
      <c r="AC104" s="1">
        <v>8</v>
      </c>
      <c r="AD104" s="1" t="s">
        <v>109</v>
      </c>
      <c r="AE104" s="1" t="s">
        <v>109</v>
      </c>
      <c r="AF104" s="1" t="s">
        <v>109</v>
      </c>
      <c r="AG104" s="1" t="s">
        <v>109</v>
      </c>
      <c r="AH104" s="1" t="s">
        <v>109</v>
      </c>
      <c r="AI104" s="1" t="s">
        <v>109</v>
      </c>
      <c r="AJ104" s="1" t="s">
        <v>109</v>
      </c>
      <c r="AK104" s="1" t="s">
        <v>109</v>
      </c>
      <c r="AL104" s="1">
        <v>8</v>
      </c>
      <c r="AM104" s="1" t="s">
        <v>109</v>
      </c>
      <c r="AN104" s="1" t="s">
        <v>109</v>
      </c>
      <c r="AO104" s="1" t="s">
        <v>109</v>
      </c>
      <c r="AP104" s="1"/>
      <c r="AQ104" s="1">
        <v>8</v>
      </c>
      <c r="AR104" s="1" t="s">
        <v>1168</v>
      </c>
      <c r="AS104" s="1" t="s">
        <v>1169</v>
      </c>
      <c r="AT104" s="1">
        <v>0</v>
      </c>
      <c r="AU104" s="1">
        <v>0</v>
      </c>
      <c r="AV104" s="1">
        <v>0</v>
      </c>
      <c r="AW104" s="1">
        <v>0</v>
      </c>
      <c r="AX104" s="1">
        <v>0</v>
      </c>
      <c r="AY104" s="1">
        <v>0</v>
      </c>
      <c r="AZ104" s="1">
        <v>0</v>
      </c>
      <c r="BA104" s="1">
        <v>0</v>
      </c>
      <c r="BB104" s="1">
        <v>0</v>
      </c>
      <c r="BC104" s="1">
        <v>0</v>
      </c>
      <c r="BD104" s="1">
        <v>0</v>
      </c>
      <c r="BE104" s="1">
        <v>1</v>
      </c>
      <c r="BF104" s="1">
        <v>0</v>
      </c>
      <c r="BG104" s="1">
        <v>0</v>
      </c>
      <c r="BH104" s="1">
        <v>0</v>
      </c>
      <c r="BI104" s="1">
        <v>0</v>
      </c>
      <c r="BJ104" s="1">
        <v>0</v>
      </c>
      <c r="BK104" s="1">
        <v>0</v>
      </c>
      <c r="BL104" s="1">
        <v>0</v>
      </c>
      <c r="BM104" s="1">
        <v>0</v>
      </c>
      <c r="BN104" s="1">
        <v>0</v>
      </c>
      <c r="BO104" s="1">
        <v>0</v>
      </c>
      <c r="BP104" s="1">
        <v>0</v>
      </c>
      <c r="BQ104" s="1">
        <v>0</v>
      </c>
      <c r="BR104" s="1">
        <v>0</v>
      </c>
      <c r="BS104" s="5" t="str">
        <f>HYPERLINK("http://www.d20pfsrd.com/magic/all-spells/c/create-undead","Create Greater Undead")</f>
        <v>Create Greater Undead</v>
      </c>
      <c r="BT104" s="1">
        <v>103</v>
      </c>
      <c r="BU104" s="1">
        <v>50</v>
      </c>
      <c r="BV104" s="1"/>
      <c r="BW104" s="1" t="s">
        <v>1170</v>
      </c>
      <c r="BX104" s="1"/>
      <c r="BY104" s="1"/>
      <c r="BZ104" s="1">
        <v>0</v>
      </c>
      <c r="CA104" s="1" t="s">
        <v>109</v>
      </c>
      <c r="CB104" s="1">
        <v>8</v>
      </c>
      <c r="CC104" s="1" t="s">
        <v>109</v>
      </c>
      <c r="CD104" s="1" t="s">
        <v>109</v>
      </c>
      <c r="CE104" s="1" t="s">
        <v>109</v>
      </c>
      <c r="CF104" s="1" t="s">
        <v>109</v>
      </c>
      <c r="CG104" s="1" t="s">
        <v>109</v>
      </c>
      <c r="CH104" s="1" t="s">
        <v>109</v>
      </c>
      <c r="CI104" s="1" t="s">
        <v>109</v>
      </c>
      <c r="CJ104" s="1" t="s">
        <v>109</v>
      </c>
      <c r="CK104" s="1"/>
      <c r="CL104" s="1">
        <v>0</v>
      </c>
      <c r="CM104" s="1">
        <v>0</v>
      </c>
      <c r="CN104" s="1">
        <v>0</v>
      </c>
    </row>
    <row r="105" spans="1:92" ht="14.25" customHeight="1" x14ac:dyDescent="0.15">
      <c r="A105" s="1" t="s">
        <v>1171</v>
      </c>
      <c r="B105" s="1" t="s">
        <v>95</v>
      </c>
      <c r="C105" s="1" t="s">
        <v>96</v>
      </c>
      <c r="D105" s="1" t="s">
        <v>70</v>
      </c>
      <c r="E105" s="1" t="s">
        <v>1172</v>
      </c>
      <c r="F105" s="1" t="s">
        <v>98</v>
      </c>
      <c r="G105" s="1" t="s">
        <v>141</v>
      </c>
      <c r="H105" s="1">
        <v>0</v>
      </c>
      <c r="I105" s="1" t="s">
        <v>142</v>
      </c>
      <c r="J105" s="1"/>
      <c r="K105" s="1" t="s">
        <v>1173</v>
      </c>
      <c r="L105" s="1"/>
      <c r="M105" s="1" t="s">
        <v>144</v>
      </c>
      <c r="N105" s="1">
        <v>0</v>
      </c>
      <c r="O105" s="1">
        <v>0</v>
      </c>
      <c r="P105" s="1" t="s">
        <v>103</v>
      </c>
      <c r="Q105" s="1" t="s">
        <v>104</v>
      </c>
      <c r="R105" s="1" t="s">
        <v>1174</v>
      </c>
      <c r="S105" s="1" t="s">
        <v>1175</v>
      </c>
      <c r="T105" s="1" t="s">
        <v>107</v>
      </c>
      <c r="U105" s="1" t="s">
        <v>1176</v>
      </c>
      <c r="V105" s="1">
        <v>1</v>
      </c>
      <c r="W105" s="1">
        <v>1</v>
      </c>
      <c r="X105" s="1">
        <v>0</v>
      </c>
      <c r="Y105" s="1">
        <v>0</v>
      </c>
      <c r="Z105" s="1">
        <v>0</v>
      </c>
      <c r="AA105" s="1" t="s">
        <v>109</v>
      </c>
      <c r="AB105" s="1" t="s">
        <v>109</v>
      </c>
      <c r="AC105" s="1">
        <v>0</v>
      </c>
      <c r="AD105" s="1">
        <v>0</v>
      </c>
      <c r="AE105" s="1" t="s">
        <v>109</v>
      </c>
      <c r="AF105" s="1" t="s">
        <v>109</v>
      </c>
      <c r="AG105" s="1">
        <v>1</v>
      </c>
      <c r="AH105" s="1" t="s">
        <v>109</v>
      </c>
      <c r="AI105" s="1" t="s">
        <v>109</v>
      </c>
      <c r="AJ105" s="1" t="s">
        <v>109</v>
      </c>
      <c r="AK105" s="1">
        <v>0</v>
      </c>
      <c r="AL105" s="1">
        <v>0</v>
      </c>
      <c r="AM105" s="1" t="s">
        <v>109</v>
      </c>
      <c r="AN105" s="1" t="s">
        <v>109</v>
      </c>
      <c r="AO105" s="1">
        <v>0</v>
      </c>
      <c r="AP105" s="1"/>
      <c r="AQ105" s="1">
        <v>0</v>
      </c>
      <c r="AR105" s="1"/>
      <c r="AS105" s="1" t="s">
        <v>1177</v>
      </c>
      <c r="AT105" s="1">
        <v>0</v>
      </c>
      <c r="AU105" s="1">
        <v>0</v>
      </c>
      <c r="AV105" s="1">
        <v>0</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1</v>
      </c>
      <c r="BS105" s="5" t="str">
        <f>HYPERLINK("http://www.d20pfsrd.com/magic/all-spells/c/create-water","Create Water")</f>
        <v>Create Water</v>
      </c>
      <c r="BT105" s="1">
        <v>104</v>
      </c>
      <c r="BU105" s="1" t="s">
        <v>109</v>
      </c>
      <c r="BV105" s="1"/>
      <c r="BW105" s="1"/>
      <c r="BX105" s="1"/>
      <c r="BY105" s="1"/>
      <c r="BZ105" s="1">
        <v>0</v>
      </c>
      <c r="CA105" s="1" t="s">
        <v>109</v>
      </c>
      <c r="CB105" s="1">
        <v>0</v>
      </c>
      <c r="CC105" s="1" t="s">
        <v>109</v>
      </c>
      <c r="CD105" s="1" t="s">
        <v>109</v>
      </c>
      <c r="CE105" s="1" t="s">
        <v>109</v>
      </c>
      <c r="CF105" s="1">
        <v>0</v>
      </c>
      <c r="CG105" s="1" t="s">
        <v>109</v>
      </c>
      <c r="CH105" s="1" t="s">
        <v>109</v>
      </c>
      <c r="CI105" s="1" t="s">
        <v>109</v>
      </c>
      <c r="CJ105" s="1">
        <v>0</v>
      </c>
      <c r="CK105" s="1"/>
      <c r="CL105" s="1">
        <v>0</v>
      </c>
      <c r="CM105" s="1">
        <v>0</v>
      </c>
      <c r="CN105" s="1">
        <v>0</v>
      </c>
    </row>
    <row r="106" spans="1:92" ht="14.25" customHeight="1" x14ac:dyDescent="0.15">
      <c r="A106" s="1" t="s">
        <v>1178</v>
      </c>
      <c r="B106" s="1" t="s">
        <v>95</v>
      </c>
      <c r="C106" s="1" t="s">
        <v>1179</v>
      </c>
      <c r="D106" s="1"/>
      <c r="E106" s="1" t="s">
        <v>1180</v>
      </c>
      <c r="F106" s="1" t="s">
        <v>98</v>
      </c>
      <c r="G106" s="1" t="s">
        <v>141</v>
      </c>
      <c r="H106" s="1">
        <v>0</v>
      </c>
      <c r="I106" s="1" t="s">
        <v>1181</v>
      </c>
      <c r="J106" s="1"/>
      <c r="K106" s="1" t="s">
        <v>1182</v>
      </c>
      <c r="L106" s="1"/>
      <c r="M106" s="1" t="s">
        <v>125</v>
      </c>
      <c r="N106" s="1">
        <v>0</v>
      </c>
      <c r="O106" s="1">
        <v>0</v>
      </c>
      <c r="P106" s="1" t="s">
        <v>934</v>
      </c>
      <c r="Q106" s="1" t="s">
        <v>104</v>
      </c>
      <c r="R106" s="1" t="s">
        <v>1183</v>
      </c>
      <c r="S106" s="1" t="s">
        <v>1184</v>
      </c>
      <c r="T106" s="1" t="s">
        <v>107</v>
      </c>
      <c r="U106" s="1" t="s">
        <v>1185</v>
      </c>
      <c r="V106" s="1">
        <v>1</v>
      </c>
      <c r="W106" s="1">
        <v>1</v>
      </c>
      <c r="X106" s="1">
        <v>0</v>
      </c>
      <c r="Y106" s="1">
        <v>0</v>
      </c>
      <c r="Z106" s="1">
        <v>0</v>
      </c>
      <c r="AA106" s="1" t="s">
        <v>109</v>
      </c>
      <c r="AB106" s="1" t="s">
        <v>109</v>
      </c>
      <c r="AC106" s="1" t="s">
        <v>109</v>
      </c>
      <c r="AD106" s="1">
        <v>7</v>
      </c>
      <c r="AE106" s="1" t="s">
        <v>109</v>
      </c>
      <c r="AF106" s="1" t="s">
        <v>109</v>
      </c>
      <c r="AG106" s="1" t="s">
        <v>109</v>
      </c>
      <c r="AH106" s="1" t="s">
        <v>109</v>
      </c>
      <c r="AI106" s="1">
        <v>5</v>
      </c>
      <c r="AJ106" s="1" t="s">
        <v>109</v>
      </c>
      <c r="AK106" s="1" t="s">
        <v>109</v>
      </c>
      <c r="AL106" s="1" t="s">
        <v>109</v>
      </c>
      <c r="AM106" s="1" t="s">
        <v>109</v>
      </c>
      <c r="AN106" s="1" t="s">
        <v>109</v>
      </c>
      <c r="AO106" s="1" t="s">
        <v>109</v>
      </c>
      <c r="AP106" s="1"/>
      <c r="AQ106" s="1">
        <v>7</v>
      </c>
      <c r="AR106" s="1" t="s">
        <v>1186</v>
      </c>
      <c r="AS106" s="1" t="s">
        <v>1187</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5" t="str">
        <f>HYPERLINK("http://www.d20pfsrd.com/magic/all-spells/c/creeping-doom","Creeping Doom")</f>
        <v>Creeping Doom</v>
      </c>
      <c r="BT106" s="1">
        <v>105</v>
      </c>
      <c r="BU106" s="1" t="s">
        <v>109</v>
      </c>
      <c r="BV106" s="1" t="s">
        <v>1188</v>
      </c>
      <c r="BW106" s="1"/>
      <c r="BX106" s="1"/>
      <c r="BY106" s="1"/>
      <c r="BZ106" s="1">
        <v>0</v>
      </c>
      <c r="CA106" s="1" t="s">
        <v>109</v>
      </c>
      <c r="CB106" s="1">
        <v>7</v>
      </c>
      <c r="CC106" s="1" t="s">
        <v>109</v>
      </c>
      <c r="CD106" s="1" t="s">
        <v>109</v>
      </c>
      <c r="CE106" s="1" t="s">
        <v>109</v>
      </c>
      <c r="CF106" s="1" t="s">
        <v>109</v>
      </c>
      <c r="CG106" s="1" t="s">
        <v>109</v>
      </c>
      <c r="CH106" s="1" t="s">
        <v>109</v>
      </c>
      <c r="CI106" s="1" t="s">
        <v>109</v>
      </c>
      <c r="CJ106" s="1" t="s">
        <v>109</v>
      </c>
      <c r="CK106" s="1"/>
      <c r="CL106" s="1">
        <v>0</v>
      </c>
      <c r="CM106" s="1">
        <v>0</v>
      </c>
      <c r="CN106" s="1">
        <v>0</v>
      </c>
    </row>
    <row r="107" spans="1:92" ht="14.25" customHeight="1" x14ac:dyDescent="0.15">
      <c r="A107" s="1" t="s">
        <v>1189</v>
      </c>
      <c r="B107" s="1" t="s">
        <v>156</v>
      </c>
      <c r="C107" s="1" t="s">
        <v>157</v>
      </c>
      <c r="D107" s="1" t="s">
        <v>375</v>
      </c>
      <c r="E107" s="1" t="s">
        <v>1190</v>
      </c>
      <c r="F107" s="1" t="s">
        <v>98</v>
      </c>
      <c r="G107" s="1" t="s">
        <v>1191</v>
      </c>
      <c r="H107" s="1">
        <v>0</v>
      </c>
      <c r="I107" s="1" t="s">
        <v>1192</v>
      </c>
      <c r="J107" s="1" t="s">
        <v>726</v>
      </c>
      <c r="K107" s="1"/>
      <c r="L107" s="1"/>
      <c r="M107" s="1" t="s">
        <v>164</v>
      </c>
      <c r="N107" s="1">
        <v>0</v>
      </c>
      <c r="O107" s="1">
        <v>0</v>
      </c>
      <c r="P107" s="1" t="s">
        <v>301</v>
      </c>
      <c r="Q107" s="1" t="s">
        <v>268</v>
      </c>
      <c r="R107" s="1" t="s">
        <v>1193</v>
      </c>
      <c r="S107" s="1" t="s">
        <v>1194</v>
      </c>
      <c r="T107" s="1" t="s">
        <v>107</v>
      </c>
      <c r="U107" s="1" t="s">
        <v>1195</v>
      </c>
      <c r="V107" s="1">
        <v>1</v>
      </c>
      <c r="W107" s="1">
        <v>1</v>
      </c>
      <c r="X107" s="1">
        <v>1</v>
      </c>
      <c r="Y107" s="1">
        <v>0</v>
      </c>
      <c r="Z107" s="1">
        <v>0</v>
      </c>
      <c r="AA107" s="1">
        <v>4</v>
      </c>
      <c r="AB107" s="1">
        <v>4</v>
      </c>
      <c r="AC107" s="1" t="s">
        <v>109</v>
      </c>
      <c r="AD107" s="1" t="s">
        <v>109</v>
      </c>
      <c r="AE107" s="1" t="s">
        <v>109</v>
      </c>
      <c r="AF107" s="1">
        <v>3</v>
      </c>
      <c r="AG107" s="1" t="s">
        <v>109</v>
      </c>
      <c r="AH107" s="1" t="s">
        <v>109</v>
      </c>
      <c r="AI107" s="1" t="s">
        <v>109</v>
      </c>
      <c r="AJ107" s="1">
        <v>4</v>
      </c>
      <c r="AK107" s="1" t="s">
        <v>109</v>
      </c>
      <c r="AL107" s="1" t="s">
        <v>109</v>
      </c>
      <c r="AM107" s="1" t="s">
        <v>109</v>
      </c>
      <c r="AN107" s="1" t="s">
        <v>109</v>
      </c>
      <c r="AO107" s="1" t="s">
        <v>109</v>
      </c>
      <c r="AP107" s="1"/>
      <c r="AQ107" s="1">
        <v>4</v>
      </c>
      <c r="AR107" s="1" t="s">
        <v>1196</v>
      </c>
      <c r="AS107" s="1" t="s">
        <v>1197</v>
      </c>
      <c r="AT107" s="1">
        <v>0</v>
      </c>
      <c r="AU107" s="1">
        <v>0</v>
      </c>
      <c r="AV107" s="1">
        <v>0</v>
      </c>
      <c r="AW107" s="1">
        <v>0</v>
      </c>
      <c r="AX107" s="1">
        <v>0</v>
      </c>
      <c r="AY107" s="1">
        <v>0</v>
      </c>
      <c r="AZ107" s="1">
        <v>0</v>
      </c>
      <c r="BA107" s="1">
        <v>0</v>
      </c>
      <c r="BB107" s="1">
        <v>0</v>
      </c>
      <c r="BC107" s="1">
        <v>0</v>
      </c>
      <c r="BD107" s="1">
        <v>1</v>
      </c>
      <c r="BE107" s="1">
        <v>0</v>
      </c>
      <c r="BF107" s="1">
        <v>0</v>
      </c>
      <c r="BG107" s="1">
        <v>0</v>
      </c>
      <c r="BH107" s="1">
        <v>0</v>
      </c>
      <c r="BI107" s="1">
        <v>0</v>
      </c>
      <c r="BJ107" s="1">
        <v>0</v>
      </c>
      <c r="BK107" s="1">
        <v>0</v>
      </c>
      <c r="BL107" s="1">
        <v>0</v>
      </c>
      <c r="BM107" s="1">
        <v>1</v>
      </c>
      <c r="BN107" s="1">
        <v>0</v>
      </c>
      <c r="BO107" s="1">
        <v>0</v>
      </c>
      <c r="BP107" s="1">
        <v>0</v>
      </c>
      <c r="BQ107" s="1">
        <v>0</v>
      </c>
      <c r="BR107" s="1">
        <v>0</v>
      </c>
      <c r="BS107" s="5" t="str">
        <f>HYPERLINK("http://www.d20pfsrd.com/magic/all-spells/c/crushing-despair","Crushing Despair")</f>
        <v>Crushing Despair</v>
      </c>
      <c r="BT107" s="1">
        <v>106</v>
      </c>
      <c r="BU107" s="1" t="s">
        <v>109</v>
      </c>
      <c r="BV107" s="1"/>
      <c r="BW107" s="1"/>
      <c r="BX107" s="1"/>
      <c r="BY107" s="1"/>
      <c r="BZ107" s="1">
        <v>0</v>
      </c>
      <c r="CA107" s="1">
        <v>4</v>
      </c>
      <c r="CB107" s="1" t="s">
        <v>109</v>
      </c>
      <c r="CC107" s="1">
        <v>4</v>
      </c>
      <c r="CD107" s="1" t="s">
        <v>109</v>
      </c>
      <c r="CE107" s="1">
        <v>3</v>
      </c>
      <c r="CF107" s="1" t="s">
        <v>109</v>
      </c>
      <c r="CG107" s="1">
        <v>4</v>
      </c>
      <c r="CH107" s="1" t="s">
        <v>109</v>
      </c>
      <c r="CI107" s="1" t="s">
        <v>109</v>
      </c>
      <c r="CJ107" s="1" t="s">
        <v>109</v>
      </c>
      <c r="CK107" s="1"/>
      <c r="CL107" s="1">
        <v>0</v>
      </c>
      <c r="CM107" s="1">
        <v>0</v>
      </c>
      <c r="CN107" s="1">
        <v>0</v>
      </c>
    </row>
    <row r="108" spans="1:92" ht="14.25" customHeight="1" x14ac:dyDescent="0.15">
      <c r="A108" s="1" t="s">
        <v>1198</v>
      </c>
      <c r="B108" s="1" t="s">
        <v>584</v>
      </c>
      <c r="C108" s="1"/>
      <c r="D108" s="1" t="s">
        <v>60</v>
      </c>
      <c r="E108" s="1" t="s">
        <v>1199</v>
      </c>
      <c r="F108" s="1" t="s">
        <v>98</v>
      </c>
      <c r="G108" s="1" t="s">
        <v>1200</v>
      </c>
      <c r="H108" s="1">
        <v>0</v>
      </c>
      <c r="I108" s="1" t="s">
        <v>122</v>
      </c>
      <c r="J108" s="1"/>
      <c r="K108" s="1" t="s">
        <v>906</v>
      </c>
      <c r="L108" s="1"/>
      <c r="M108" s="1" t="s">
        <v>125</v>
      </c>
      <c r="N108" s="1">
        <v>1</v>
      </c>
      <c r="O108" s="1">
        <v>0</v>
      </c>
      <c r="P108" s="1" t="s">
        <v>103</v>
      </c>
      <c r="Q108" s="1" t="s">
        <v>268</v>
      </c>
      <c r="R108" s="1" t="s">
        <v>1201</v>
      </c>
      <c r="S108" s="1" t="s">
        <v>1202</v>
      </c>
      <c r="T108" s="1" t="s">
        <v>107</v>
      </c>
      <c r="U108" s="1" t="s">
        <v>1203</v>
      </c>
      <c r="V108" s="1">
        <v>1</v>
      </c>
      <c r="W108" s="1">
        <v>1</v>
      </c>
      <c r="X108" s="1">
        <v>0</v>
      </c>
      <c r="Y108" s="1">
        <v>1</v>
      </c>
      <c r="Z108" s="1">
        <v>0</v>
      </c>
      <c r="AA108" s="1">
        <v>9</v>
      </c>
      <c r="AB108" s="1">
        <v>9</v>
      </c>
      <c r="AC108" s="1" t="s">
        <v>109</v>
      </c>
      <c r="AD108" s="1" t="s">
        <v>109</v>
      </c>
      <c r="AE108" s="1" t="s">
        <v>109</v>
      </c>
      <c r="AF108" s="1" t="s">
        <v>109</v>
      </c>
      <c r="AG108" s="1" t="s">
        <v>109</v>
      </c>
      <c r="AH108" s="1" t="s">
        <v>109</v>
      </c>
      <c r="AI108" s="1" t="s">
        <v>109</v>
      </c>
      <c r="AJ108" s="1" t="s">
        <v>109</v>
      </c>
      <c r="AK108" s="1" t="s">
        <v>109</v>
      </c>
      <c r="AL108" s="1" t="s">
        <v>109</v>
      </c>
      <c r="AM108" s="1" t="s">
        <v>109</v>
      </c>
      <c r="AN108" s="1" t="s">
        <v>109</v>
      </c>
      <c r="AO108" s="1" t="s">
        <v>109</v>
      </c>
      <c r="AP108" s="1"/>
      <c r="AQ108" s="1">
        <v>9</v>
      </c>
      <c r="AR108" s="1" t="s">
        <v>1204</v>
      </c>
      <c r="AS108" s="1" t="s">
        <v>1205</v>
      </c>
      <c r="AT108" s="1">
        <v>0</v>
      </c>
      <c r="AU108" s="1">
        <v>0</v>
      </c>
      <c r="AV108" s="1">
        <v>0</v>
      </c>
      <c r="AW108" s="1">
        <v>0</v>
      </c>
      <c r="AX108" s="1">
        <v>0</v>
      </c>
      <c r="AY108" s="1">
        <v>0</v>
      </c>
      <c r="AZ108" s="1">
        <v>0</v>
      </c>
      <c r="BA108" s="1">
        <v>0</v>
      </c>
      <c r="BB108" s="1">
        <v>0</v>
      </c>
      <c r="BC108" s="1">
        <v>0</v>
      </c>
      <c r="BD108" s="1">
        <v>0</v>
      </c>
      <c r="BE108" s="1">
        <v>0</v>
      </c>
      <c r="BF108" s="1">
        <v>0</v>
      </c>
      <c r="BG108" s="1">
        <v>0</v>
      </c>
      <c r="BH108" s="1">
        <v>1</v>
      </c>
      <c r="BI108" s="1">
        <v>0</v>
      </c>
      <c r="BJ108" s="1">
        <v>0</v>
      </c>
      <c r="BK108" s="1">
        <v>0</v>
      </c>
      <c r="BL108" s="1">
        <v>0</v>
      </c>
      <c r="BM108" s="1">
        <v>0</v>
      </c>
      <c r="BN108" s="1">
        <v>0</v>
      </c>
      <c r="BO108" s="1">
        <v>0</v>
      </c>
      <c r="BP108" s="1">
        <v>0</v>
      </c>
      <c r="BQ108" s="1">
        <v>0</v>
      </c>
      <c r="BR108" s="1">
        <v>0</v>
      </c>
      <c r="BS108" s="5" t="str">
        <f>HYPERLINK("http://www.d20pfsrd.com/magic/all-spells/c/crushing-hand","Crushing Hand")</f>
        <v>Crushing Hand</v>
      </c>
      <c r="BT108" s="1">
        <v>107</v>
      </c>
      <c r="BU108" s="1" t="s">
        <v>109</v>
      </c>
      <c r="BV108" s="1"/>
      <c r="BW108" s="1"/>
      <c r="BX108" s="1"/>
      <c r="BY108" s="1"/>
      <c r="BZ108" s="1">
        <v>0</v>
      </c>
      <c r="CA108" s="1" t="s">
        <v>109</v>
      </c>
      <c r="CB108" s="1" t="s">
        <v>109</v>
      </c>
      <c r="CC108" s="1">
        <v>9</v>
      </c>
      <c r="CD108" s="1" t="s">
        <v>109</v>
      </c>
      <c r="CE108" s="1" t="s">
        <v>109</v>
      </c>
      <c r="CF108" s="1" t="s">
        <v>109</v>
      </c>
      <c r="CG108" s="1" t="s">
        <v>109</v>
      </c>
      <c r="CH108" s="1" t="s">
        <v>109</v>
      </c>
      <c r="CI108" s="1" t="s">
        <v>109</v>
      </c>
      <c r="CJ108" s="1" t="s">
        <v>109</v>
      </c>
      <c r="CK108" s="1"/>
      <c r="CL108" s="1">
        <v>0</v>
      </c>
      <c r="CM108" s="1">
        <v>0</v>
      </c>
      <c r="CN108" s="1">
        <v>0</v>
      </c>
    </row>
    <row r="109" spans="1:92" ht="14.25" customHeight="1" x14ac:dyDescent="0.15">
      <c r="A109" s="1" t="s">
        <v>1206</v>
      </c>
      <c r="B109" s="1" t="s">
        <v>95</v>
      </c>
      <c r="C109" s="1" t="s">
        <v>694</v>
      </c>
      <c r="D109" s="1"/>
      <c r="E109" s="1" t="s">
        <v>1207</v>
      </c>
      <c r="F109" s="1" t="s">
        <v>98</v>
      </c>
      <c r="G109" s="1" t="s">
        <v>141</v>
      </c>
      <c r="H109" s="1">
        <v>0</v>
      </c>
      <c r="I109" s="1" t="s">
        <v>161</v>
      </c>
      <c r="J109" s="1"/>
      <c r="K109" s="1"/>
      <c r="L109" s="1" t="s">
        <v>506</v>
      </c>
      <c r="M109" s="1" t="s">
        <v>144</v>
      </c>
      <c r="N109" s="1">
        <v>0</v>
      </c>
      <c r="O109" s="1">
        <v>0</v>
      </c>
      <c r="P109" s="1" t="s">
        <v>1208</v>
      </c>
      <c r="Q109" s="1" t="s">
        <v>1209</v>
      </c>
      <c r="R109" s="1" t="s">
        <v>1210</v>
      </c>
      <c r="S109" s="1" t="s">
        <v>1211</v>
      </c>
      <c r="T109" s="1" t="s">
        <v>107</v>
      </c>
      <c r="U109" s="1" t="s">
        <v>1212</v>
      </c>
      <c r="V109" s="1">
        <v>1</v>
      </c>
      <c r="W109" s="1">
        <v>1</v>
      </c>
      <c r="X109" s="1">
        <v>0</v>
      </c>
      <c r="Y109" s="1">
        <v>0</v>
      </c>
      <c r="Z109" s="1">
        <v>0</v>
      </c>
      <c r="AA109" s="1" t="s">
        <v>109</v>
      </c>
      <c r="AB109" s="1" t="s">
        <v>109</v>
      </c>
      <c r="AC109" s="1">
        <v>1</v>
      </c>
      <c r="AD109" s="1">
        <v>1</v>
      </c>
      <c r="AE109" s="1">
        <v>2</v>
      </c>
      <c r="AF109" s="1">
        <v>1</v>
      </c>
      <c r="AG109" s="1">
        <v>1</v>
      </c>
      <c r="AH109" s="1">
        <v>1</v>
      </c>
      <c r="AI109" s="1" t="s">
        <v>109</v>
      </c>
      <c r="AJ109" s="1">
        <v>1</v>
      </c>
      <c r="AK109" s="1">
        <v>1</v>
      </c>
      <c r="AL109" s="1">
        <v>1</v>
      </c>
      <c r="AM109" s="1" t="s">
        <v>109</v>
      </c>
      <c r="AN109" s="1" t="s">
        <v>109</v>
      </c>
      <c r="AO109" s="1">
        <v>1</v>
      </c>
      <c r="AP109" s="1"/>
      <c r="AQ109" s="1">
        <v>1</v>
      </c>
      <c r="AR109" s="1" t="s">
        <v>1213</v>
      </c>
      <c r="AS109" s="1" t="s">
        <v>1214</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5" t="str">
        <f>HYPERLINK("http://www.d20pfsrd.com/magic/all-spells/c/cure-light-wounds","Cure Light Wounds")</f>
        <v>Cure Light Wounds</v>
      </c>
      <c r="BT109" s="1">
        <v>108</v>
      </c>
      <c r="BU109" s="1" t="s">
        <v>109</v>
      </c>
      <c r="BV109" s="1"/>
      <c r="BW109" s="1"/>
      <c r="BX109" s="1" t="s">
        <v>1215</v>
      </c>
      <c r="BY109" s="1"/>
      <c r="BZ109" s="1">
        <v>1</v>
      </c>
      <c r="CA109" s="1" t="s">
        <v>109</v>
      </c>
      <c r="CB109" s="1">
        <v>1</v>
      </c>
      <c r="CC109" s="1" t="s">
        <v>109</v>
      </c>
      <c r="CD109" s="1" t="s">
        <v>109</v>
      </c>
      <c r="CE109" s="1" t="s">
        <v>109</v>
      </c>
      <c r="CF109" s="1">
        <v>1</v>
      </c>
      <c r="CG109" s="1">
        <v>1</v>
      </c>
      <c r="CH109" s="1" t="s">
        <v>109</v>
      </c>
      <c r="CI109" s="1" t="s">
        <v>109</v>
      </c>
      <c r="CJ109" s="1">
        <v>1</v>
      </c>
      <c r="CK109" s="1"/>
      <c r="CL109" s="1">
        <v>0</v>
      </c>
      <c r="CM109" s="1">
        <v>0</v>
      </c>
      <c r="CN109" s="1">
        <v>0</v>
      </c>
    </row>
    <row r="110" spans="1:92" ht="14.25" customHeight="1" x14ac:dyDescent="0.15">
      <c r="A110" s="1" t="s">
        <v>1216</v>
      </c>
      <c r="B110" s="1" t="s">
        <v>95</v>
      </c>
      <c r="C110" s="1" t="s">
        <v>694</v>
      </c>
      <c r="D110" s="1"/>
      <c r="E110" s="1" t="s">
        <v>1217</v>
      </c>
      <c r="F110" s="1" t="s">
        <v>98</v>
      </c>
      <c r="G110" s="1" t="s">
        <v>141</v>
      </c>
      <c r="H110" s="1">
        <v>0</v>
      </c>
      <c r="I110" s="1" t="s">
        <v>161</v>
      </c>
      <c r="J110" s="1"/>
      <c r="K110" s="1"/>
      <c r="L110" s="1" t="s">
        <v>506</v>
      </c>
      <c r="M110" s="1" t="s">
        <v>144</v>
      </c>
      <c r="N110" s="1">
        <v>0</v>
      </c>
      <c r="O110" s="1">
        <v>0</v>
      </c>
      <c r="P110" s="1" t="s">
        <v>1208</v>
      </c>
      <c r="Q110" s="1" t="s">
        <v>1209</v>
      </c>
      <c r="R110" s="1" t="s">
        <v>1218</v>
      </c>
      <c r="S110" s="1" t="s">
        <v>1219</v>
      </c>
      <c r="T110" s="1" t="s">
        <v>107</v>
      </c>
      <c r="U110" s="1" t="s">
        <v>1220</v>
      </c>
      <c r="V110" s="1">
        <v>1</v>
      </c>
      <c r="W110" s="1">
        <v>1</v>
      </c>
      <c r="X110" s="1">
        <v>0</v>
      </c>
      <c r="Y110" s="1">
        <v>0</v>
      </c>
      <c r="Z110" s="1">
        <v>0</v>
      </c>
      <c r="AA110" s="1" t="s">
        <v>109</v>
      </c>
      <c r="AB110" s="1" t="s">
        <v>109</v>
      </c>
      <c r="AC110" s="1">
        <v>4</v>
      </c>
      <c r="AD110" s="1">
        <v>5</v>
      </c>
      <c r="AE110" s="1" t="s">
        <v>109</v>
      </c>
      <c r="AF110" s="1">
        <v>4</v>
      </c>
      <c r="AG110" s="1" t="s">
        <v>109</v>
      </c>
      <c r="AH110" s="1">
        <v>4</v>
      </c>
      <c r="AI110" s="1" t="s">
        <v>109</v>
      </c>
      <c r="AJ110" s="1">
        <v>5</v>
      </c>
      <c r="AK110" s="1">
        <v>4</v>
      </c>
      <c r="AL110" s="1">
        <v>4</v>
      </c>
      <c r="AM110" s="1" t="s">
        <v>109</v>
      </c>
      <c r="AN110" s="1" t="s">
        <v>109</v>
      </c>
      <c r="AO110" s="1">
        <v>4</v>
      </c>
      <c r="AP110" s="1"/>
      <c r="AQ110" s="1">
        <v>4</v>
      </c>
      <c r="AR110" s="1" t="s">
        <v>1221</v>
      </c>
      <c r="AS110" s="1" t="s">
        <v>1222</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5" t="str">
        <f>HYPERLINK("http://www.d20pfsrd.com/magic/all-spells/c/cure-critical-wounds","Cure Critical Wounds")</f>
        <v>Cure Critical Wounds</v>
      </c>
      <c r="BT110" s="1">
        <v>109</v>
      </c>
      <c r="BU110" s="1" t="s">
        <v>109</v>
      </c>
      <c r="BV110" s="1"/>
      <c r="BW110" s="1"/>
      <c r="BX110" s="1" t="s">
        <v>1223</v>
      </c>
      <c r="BY110" s="1"/>
      <c r="BZ110" s="1">
        <v>1</v>
      </c>
      <c r="CA110" s="1" t="s">
        <v>109</v>
      </c>
      <c r="CB110" s="1">
        <v>4</v>
      </c>
      <c r="CC110" s="1" t="s">
        <v>109</v>
      </c>
      <c r="CD110" s="1" t="s">
        <v>109</v>
      </c>
      <c r="CE110" s="1" t="s">
        <v>109</v>
      </c>
      <c r="CF110" s="1">
        <v>4</v>
      </c>
      <c r="CG110" s="1">
        <v>4</v>
      </c>
      <c r="CH110" s="1" t="s">
        <v>109</v>
      </c>
      <c r="CI110" s="1" t="s">
        <v>109</v>
      </c>
      <c r="CJ110" s="1">
        <v>5</v>
      </c>
      <c r="CK110" s="1"/>
      <c r="CL110" s="1">
        <v>0</v>
      </c>
      <c r="CM110" s="1">
        <v>0</v>
      </c>
      <c r="CN110" s="1">
        <v>0</v>
      </c>
    </row>
    <row r="111" spans="1:92" ht="14.25" customHeight="1" x14ac:dyDescent="0.15">
      <c r="A111" s="1" t="s">
        <v>1224</v>
      </c>
      <c r="B111" s="1" t="s">
        <v>95</v>
      </c>
      <c r="C111" s="1" t="s">
        <v>694</v>
      </c>
      <c r="D111" s="1"/>
      <c r="E111" s="1" t="s">
        <v>1225</v>
      </c>
      <c r="F111" s="1" t="s">
        <v>98</v>
      </c>
      <c r="G111" s="1" t="s">
        <v>141</v>
      </c>
      <c r="H111" s="1">
        <v>0</v>
      </c>
      <c r="I111" s="1" t="s">
        <v>142</v>
      </c>
      <c r="J111" s="1"/>
      <c r="K111" s="1"/>
      <c r="L111" s="1" t="s">
        <v>716</v>
      </c>
      <c r="M111" s="1" t="s">
        <v>144</v>
      </c>
      <c r="N111" s="1">
        <v>0</v>
      </c>
      <c r="O111" s="1">
        <v>0</v>
      </c>
      <c r="P111" s="1" t="s">
        <v>1226</v>
      </c>
      <c r="Q111" s="1" t="s">
        <v>1227</v>
      </c>
      <c r="R111" s="1" t="s">
        <v>1228</v>
      </c>
      <c r="S111" s="1" t="s">
        <v>1229</v>
      </c>
      <c r="T111" s="1" t="s">
        <v>107</v>
      </c>
      <c r="U111" s="1" t="s">
        <v>1230</v>
      </c>
      <c r="V111" s="1">
        <v>1</v>
      </c>
      <c r="W111" s="1">
        <v>1</v>
      </c>
      <c r="X111" s="1">
        <v>0</v>
      </c>
      <c r="Y111" s="1">
        <v>0</v>
      </c>
      <c r="Z111" s="1">
        <v>0</v>
      </c>
      <c r="AA111" s="1" t="s">
        <v>109</v>
      </c>
      <c r="AB111" s="1" t="s">
        <v>109</v>
      </c>
      <c r="AC111" s="1">
        <v>5</v>
      </c>
      <c r="AD111" s="1">
        <v>6</v>
      </c>
      <c r="AE111" s="1" t="s">
        <v>109</v>
      </c>
      <c r="AF111" s="1">
        <v>5</v>
      </c>
      <c r="AG111" s="1" t="s">
        <v>109</v>
      </c>
      <c r="AH111" s="1" t="s">
        <v>109</v>
      </c>
      <c r="AI111" s="1" t="s">
        <v>109</v>
      </c>
      <c r="AJ111" s="1">
        <v>6</v>
      </c>
      <c r="AK111" s="1">
        <v>5</v>
      </c>
      <c r="AL111" s="1">
        <v>5</v>
      </c>
      <c r="AM111" s="1" t="s">
        <v>109</v>
      </c>
      <c r="AN111" s="1" t="s">
        <v>109</v>
      </c>
      <c r="AO111" s="1" t="s">
        <v>109</v>
      </c>
      <c r="AP111" s="1"/>
      <c r="AQ111" s="1">
        <v>5</v>
      </c>
      <c r="AR111" s="1"/>
      <c r="AS111" s="1" t="s">
        <v>1231</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5" t="str">
        <f>HYPERLINK("http://www.d20pfsrd.com/magic/all-spells/c/cure-light-wounds","Cure Light Wounds, Mass")</f>
        <v>Cure Light Wounds, Mass</v>
      </c>
      <c r="BT111" s="1">
        <v>110</v>
      </c>
      <c r="BU111" s="1" t="s">
        <v>109</v>
      </c>
      <c r="BV111" s="1"/>
      <c r="BW111" s="1"/>
      <c r="BX111" s="1"/>
      <c r="BY111" s="1"/>
      <c r="BZ111" s="1">
        <v>0</v>
      </c>
      <c r="CA111" s="1" t="s">
        <v>109</v>
      </c>
      <c r="CB111" s="1">
        <v>5</v>
      </c>
      <c r="CC111" s="1" t="s">
        <v>109</v>
      </c>
      <c r="CD111" s="1" t="s">
        <v>109</v>
      </c>
      <c r="CE111" s="1" t="s">
        <v>109</v>
      </c>
      <c r="CF111" s="1">
        <v>5</v>
      </c>
      <c r="CG111" s="1" t="s">
        <v>109</v>
      </c>
      <c r="CH111" s="1" t="s">
        <v>109</v>
      </c>
      <c r="CI111" s="1" t="s">
        <v>109</v>
      </c>
      <c r="CJ111" s="1">
        <v>6</v>
      </c>
      <c r="CK111" s="1"/>
      <c r="CL111" s="1">
        <v>0</v>
      </c>
      <c r="CM111" s="1">
        <v>0</v>
      </c>
      <c r="CN111" s="1">
        <v>0</v>
      </c>
    </row>
    <row r="112" spans="1:92" ht="14.25" customHeight="1" x14ac:dyDescent="0.15">
      <c r="A112" s="1" t="s">
        <v>1232</v>
      </c>
      <c r="B112" s="1" t="s">
        <v>95</v>
      </c>
      <c r="C112" s="1" t="s">
        <v>694</v>
      </c>
      <c r="D112" s="1"/>
      <c r="E112" s="1" t="s">
        <v>1233</v>
      </c>
      <c r="F112" s="1" t="s">
        <v>98</v>
      </c>
      <c r="G112" s="1" t="s">
        <v>141</v>
      </c>
      <c r="H112" s="1">
        <v>0</v>
      </c>
      <c r="I112" s="1" t="s">
        <v>142</v>
      </c>
      <c r="J112" s="1"/>
      <c r="K112" s="1"/>
      <c r="L112" s="1" t="s">
        <v>716</v>
      </c>
      <c r="M112" s="1" t="s">
        <v>144</v>
      </c>
      <c r="N112" s="1">
        <v>0</v>
      </c>
      <c r="O112" s="1">
        <v>0</v>
      </c>
      <c r="P112" s="1" t="s">
        <v>1226</v>
      </c>
      <c r="Q112" s="1" t="s">
        <v>1227</v>
      </c>
      <c r="R112" s="1" t="s">
        <v>1234</v>
      </c>
      <c r="S112" s="1" t="s">
        <v>1235</v>
      </c>
      <c r="T112" s="1" t="s">
        <v>107</v>
      </c>
      <c r="U112" s="1" t="s">
        <v>1236</v>
      </c>
      <c r="V112" s="1">
        <v>1</v>
      </c>
      <c r="W112" s="1">
        <v>1</v>
      </c>
      <c r="X112" s="1">
        <v>0</v>
      </c>
      <c r="Y112" s="1">
        <v>0</v>
      </c>
      <c r="Z112" s="1">
        <v>0</v>
      </c>
      <c r="AA112" s="1" t="s">
        <v>109</v>
      </c>
      <c r="AB112" s="1" t="s">
        <v>109</v>
      </c>
      <c r="AC112" s="1">
        <v>8</v>
      </c>
      <c r="AD112" s="1">
        <v>9</v>
      </c>
      <c r="AE112" s="1" t="s">
        <v>109</v>
      </c>
      <c r="AF112" s="1" t="s">
        <v>109</v>
      </c>
      <c r="AG112" s="1" t="s">
        <v>109</v>
      </c>
      <c r="AH112" s="1" t="s">
        <v>109</v>
      </c>
      <c r="AI112" s="1" t="s">
        <v>109</v>
      </c>
      <c r="AJ112" s="1">
        <v>9</v>
      </c>
      <c r="AK112" s="1" t="s">
        <v>109</v>
      </c>
      <c r="AL112" s="1">
        <v>8</v>
      </c>
      <c r="AM112" s="1" t="s">
        <v>109</v>
      </c>
      <c r="AN112" s="1" t="s">
        <v>109</v>
      </c>
      <c r="AO112" s="1" t="s">
        <v>109</v>
      </c>
      <c r="AP112" s="1"/>
      <c r="AQ112" s="1">
        <v>8</v>
      </c>
      <c r="AR112" s="1" t="s">
        <v>1237</v>
      </c>
      <c r="AS112" s="1" t="s">
        <v>1238</v>
      </c>
      <c r="AT112" s="1">
        <v>0</v>
      </c>
      <c r="AU112" s="1">
        <v>0</v>
      </c>
      <c r="AV112" s="1">
        <v>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5" t="str">
        <f>HYPERLINK("http://www.d20pfsrd.com/magic/all-spells/c/cure-critical-wounds","Cure Critical Wounds, Mass")</f>
        <v>Cure Critical Wounds, Mass</v>
      </c>
      <c r="BT112" s="1">
        <v>111</v>
      </c>
      <c r="BU112" s="1" t="s">
        <v>109</v>
      </c>
      <c r="BV112" s="1"/>
      <c r="BW112" s="1" t="s">
        <v>1239</v>
      </c>
      <c r="BX112" s="1"/>
      <c r="BY112" s="1"/>
      <c r="BZ112" s="1">
        <v>0</v>
      </c>
      <c r="CA112" s="1" t="s">
        <v>109</v>
      </c>
      <c r="CB112" s="1">
        <v>8</v>
      </c>
      <c r="CC112" s="1" t="s">
        <v>109</v>
      </c>
      <c r="CD112" s="1" t="s">
        <v>109</v>
      </c>
      <c r="CE112" s="1" t="s">
        <v>109</v>
      </c>
      <c r="CF112" s="1" t="s">
        <v>109</v>
      </c>
      <c r="CG112" s="1" t="s">
        <v>109</v>
      </c>
      <c r="CH112" s="1" t="s">
        <v>109</v>
      </c>
      <c r="CI112" s="1" t="s">
        <v>109</v>
      </c>
      <c r="CJ112" s="1" t="s">
        <v>109</v>
      </c>
      <c r="CK112" s="1"/>
      <c r="CL112" s="1">
        <v>0</v>
      </c>
      <c r="CM112" s="1">
        <v>0</v>
      </c>
      <c r="CN112" s="1">
        <v>0</v>
      </c>
    </row>
    <row r="113" spans="1:92" ht="14.25" customHeight="1" x14ac:dyDescent="0.15">
      <c r="A113" s="1" t="s">
        <v>1240</v>
      </c>
      <c r="B113" s="1" t="s">
        <v>95</v>
      </c>
      <c r="C113" s="1" t="s">
        <v>694</v>
      </c>
      <c r="D113" s="1"/>
      <c r="E113" s="1" t="s">
        <v>1241</v>
      </c>
      <c r="F113" s="1" t="s">
        <v>98</v>
      </c>
      <c r="G113" s="1" t="s">
        <v>141</v>
      </c>
      <c r="H113" s="1">
        <v>0</v>
      </c>
      <c r="I113" s="1" t="s">
        <v>161</v>
      </c>
      <c r="J113" s="1"/>
      <c r="K113" s="1"/>
      <c r="L113" s="1" t="s">
        <v>506</v>
      </c>
      <c r="M113" s="1" t="s">
        <v>144</v>
      </c>
      <c r="N113" s="1">
        <v>0</v>
      </c>
      <c r="O113" s="1">
        <v>0</v>
      </c>
      <c r="P113" s="1" t="s">
        <v>1208</v>
      </c>
      <c r="Q113" s="1" t="s">
        <v>1209</v>
      </c>
      <c r="R113" s="1" t="s">
        <v>1242</v>
      </c>
      <c r="S113" s="1" t="s">
        <v>1243</v>
      </c>
      <c r="T113" s="1" t="s">
        <v>107</v>
      </c>
      <c r="U113" s="1" t="s">
        <v>1244</v>
      </c>
      <c r="V113" s="1">
        <v>1</v>
      </c>
      <c r="W113" s="1">
        <v>1</v>
      </c>
      <c r="X113" s="1">
        <v>0</v>
      </c>
      <c r="Y113" s="1">
        <v>0</v>
      </c>
      <c r="Z113" s="1">
        <v>0</v>
      </c>
      <c r="AA113" s="1" t="s">
        <v>109</v>
      </c>
      <c r="AB113" s="1" t="s">
        <v>109</v>
      </c>
      <c r="AC113" s="1">
        <v>2</v>
      </c>
      <c r="AD113" s="1">
        <v>3</v>
      </c>
      <c r="AE113" s="1">
        <v>3</v>
      </c>
      <c r="AF113" s="1">
        <v>2</v>
      </c>
      <c r="AG113" s="1">
        <v>3</v>
      </c>
      <c r="AH113" s="1">
        <v>2</v>
      </c>
      <c r="AI113" s="1" t="s">
        <v>109</v>
      </c>
      <c r="AJ113" s="1">
        <v>2</v>
      </c>
      <c r="AK113" s="1">
        <v>2</v>
      </c>
      <c r="AL113" s="1">
        <v>2</v>
      </c>
      <c r="AM113" s="1" t="s">
        <v>109</v>
      </c>
      <c r="AN113" s="1" t="s">
        <v>109</v>
      </c>
      <c r="AO113" s="1">
        <v>2</v>
      </c>
      <c r="AP113" s="1"/>
      <c r="AQ113" s="1">
        <v>2</v>
      </c>
      <c r="AR113" s="1" t="s">
        <v>1245</v>
      </c>
      <c r="AS113" s="1" t="s">
        <v>1246</v>
      </c>
      <c r="AT113" s="1">
        <v>0</v>
      </c>
      <c r="AU113" s="1">
        <v>0</v>
      </c>
      <c r="AV113" s="1">
        <v>0</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5" t="str">
        <f>HYPERLINK("http://www.d20pfsrd.com/magic/all-spells/c/cure-moderate-wounds","Cure Moderate Wounds")</f>
        <v>Cure Moderate Wounds</v>
      </c>
      <c r="BT113" s="1">
        <v>112</v>
      </c>
      <c r="BU113" s="1" t="s">
        <v>109</v>
      </c>
      <c r="BV113" s="1"/>
      <c r="BW113" s="1"/>
      <c r="BX113" s="1" t="s">
        <v>1247</v>
      </c>
      <c r="BY113" s="1"/>
      <c r="BZ113" s="1">
        <v>1</v>
      </c>
      <c r="CA113" s="1" t="s">
        <v>109</v>
      </c>
      <c r="CB113" s="1">
        <v>2</v>
      </c>
      <c r="CC113" s="1" t="s">
        <v>109</v>
      </c>
      <c r="CD113" s="1" t="s">
        <v>109</v>
      </c>
      <c r="CE113" s="1" t="s">
        <v>109</v>
      </c>
      <c r="CF113" s="1">
        <v>2</v>
      </c>
      <c r="CG113" s="1">
        <v>2</v>
      </c>
      <c r="CH113" s="1" t="s">
        <v>109</v>
      </c>
      <c r="CI113" s="1" t="s">
        <v>109</v>
      </c>
      <c r="CJ113" s="1">
        <v>3</v>
      </c>
      <c r="CK113" s="1"/>
      <c r="CL113" s="1">
        <v>0</v>
      </c>
      <c r="CM113" s="1">
        <v>0</v>
      </c>
      <c r="CN113" s="1">
        <v>0</v>
      </c>
    </row>
    <row r="114" spans="1:92" ht="14.25" customHeight="1" x14ac:dyDescent="0.15">
      <c r="A114" s="1" t="s">
        <v>1248</v>
      </c>
      <c r="B114" s="1" t="s">
        <v>95</v>
      </c>
      <c r="C114" s="1" t="s">
        <v>694</v>
      </c>
      <c r="D114" s="1"/>
      <c r="E114" s="1" t="s">
        <v>1249</v>
      </c>
      <c r="F114" s="1" t="s">
        <v>98</v>
      </c>
      <c r="G114" s="1" t="s">
        <v>141</v>
      </c>
      <c r="H114" s="1">
        <v>0</v>
      </c>
      <c r="I114" s="1" t="s">
        <v>142</v>
      </c>
      <c r="J114" s="1"/>
      <c r="K114" s="1"/>
      <c r="L114" s="1" t="s">
        <v>716</v>
      </c>
      <c r="M114" s="1" t="s">
        <v>144</v>
      </c>
      <c r="N114" s="1">
        <v>0</v>
      </c>
      <c r="O114" s="1">
        <v>0</v>
      </c>
      <c r="P114" s="1" t="s">
        <v>1226</v>
      </c>
      <c r="Q114" s="1" t="s">
        <v>1227</v>
      </c>
      <c r="R114" s="1" t="s">
        <v>1250</v>
      </c>
      <c r="S114" s="1" t="s">
        <v>1251</v>
      </c>
      <c r="T114" s="1" t="s">
        <v>107</v>
      </c>
      <c r="U114" s="1" t="s">
        <v>1252</v>
      </c>
      <c r="V114" s="1">
        <v>1</v>
      </c>
      <c r="W114" s="1">
        <v>1</v>
      </c>
      <c r="X114" s="1">
        <v>0</v>
      </c>
      <c r="Y114" s="1">
        <v>0</v>
      </c>
      <c r="Z114" s="1">
        <v>0</v>
      </c>
      <c r="AA114" s="1" t="s">
        <v>109</v>
      </c>
      <c r="AB114" s="1" t="s">
        <v>109</v>
      </c>
      <c r="AC114" s="1">
        <v>6</v>
      </c>
      <c r="AD114" s="1">
        <v>7</v>
      </c>
      <c r="AE114" s="1" t="s">
        <v>109</v>
      </c>
      <c r="AF114" s="1">
        <v>6</v>
      </c>
      <c r="AG114" s="1" t="s">
        <v>109</v>
      </c>
      <c r="AH114" s="1" t="s">
        <v>109</v>
      </c>
      <c r="AI114" s="1" t="s">
        <v>109</v>
      </c>
      <c r="AJ114" s="1">
        <v>7</v>
      </c>
      <c r="AK114" s="1">
        <v>6</v>
      </c>
      <c r="AL114" s="1">
        <v>6</v>
      </c>
      <c r="AM114" s="1" t="s">
        <v>109</v>
      </c>
      <c r="AN114" s="1" t="s">
        <v>109</v>
      </c>
      <c r="AO114" s="1" t="s">
        <v>109</v>
      </c>
      <c r="AP114" s="1"/>
      <c r="AQ114" s="1">
        <v>6</v>
      </c>
      <c r="AR114" s="1"/>
      <c r="AS114" s="1" t="s">
        <v>1253</v>
      </c>
      <c r="AT114" s="1">
        <v>0</v>
      </c>
      <c r="AU114" s="1">
        <v>0</v>
      </c>
      <c r="AV114" s="1">
        <v>0</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5" t="str">
        <f>HYPERLINK("http://www.d20pfsrd.com/magic/all-spells/c/cure-moderate-wounds","Cure Moderate Wounds, Mass")</f>
        <v>Cure Moderate Wounds, Mass</v>
      </c>
      <c r="BT114" s="1">
        <v>113</v>
      </c>
      <c r="BU114" s="1" t="s">
        <v>109</v>
      </c>
      <c r="BV114" s="1"/>
      <c r="BW114" s="1"/>
      <c r="BX114" s="1"/>
      <c r="BY114" s="1"/>
      <c r="BZ114" s="1">
        <v>0</v>
      </c>
      <c r="CA114" s="1" t="s">
        <v>109</v>
      </c>
      <c r="CB114" s="1">
        <v>6</v>
      </c>
      <c r="CC114" s="1" t="s">
        <v>109</v>
      </c>
      <c r="CD114" s="1" t="s">
        <v>109</v>
      </c>
      <c r="CE114" s="1" t="s">
        <v>109</v>
      </c>
      <c r="CF114" s="1">
        <v>6</v>
      </c>
      <c r="CG114" s="1" t="s">
        <v>109</v>
      </c>
      <c r="CH114" s="1" t="s">
        <v>109</v>
      </c>
      <c r="CI114" s="1" t="s">
        <v>109</v>
      </c>
      <c r="CJ114" s="1" t="s">
        <v>109</v>
      </c>
      <c r="CK114" s="1"/>
      <c r="CL114" s="1">
        <v>0</v>
      </c>
      <c r="CM114" s="1">
        <v>0</v>
      </c>
      <c r="CN114" s="1">
        <v>0</v>
      </c>
    </row>
    <row r="115" spans="1:92" ht="14.25" customHeight="1" x14ac:dyDescent="0.15">
      <c r="A115" s="1" t="s">
        <v>1254</v>
      </c>
      <c r="B115" s="1" t="s">
        <v>95</v>
      </c>
      <c r="C115" s="1" t="s">
        <v>694</v>
      </c>
      <c r="D115" s="1"/>
      <c r="E115" s="1" t="s">
        <v>1255</v>
      </c>
      <c r="F115" s="1" t="s">
        <v>98</v>
      </c>
      <c r="G115" s="1" t="s">
        <v>141</v>
      </c>
      <c r="H115" s="1">
        <v>0</v>
      </c>
      <c r="I115" s="1" t="s">
        <v>161</v>
      </c>
      <c r="J115" s="1"/>
      <c r="K115" s="1"/>
      <c r="L115" s="1" t="s">
        <v>506</v>
      </c>
      <c r="M115" s="1" t="s">
        <v>144</v>
      </c>
      <c r="N115" s="1">
        <v>0</v>
      </c>
      <c r="O115" s="1">
        <v>0</v>
      </c>
      <c r="P115" s="1" t="s">
        <v>1208</v>
      </c>
      <c r="Q115" s="1" t="s">
        <v>1209</v>
      </c>
      <c r="R115" s="1" t="s">
        <v>1256</v>
      </c>
      <c r="S115" s="1" t="s">
        <v>1257</v>
      </c>
      <c r="T115" s="1" t="s">
        <v>107</v>
      </c>
      <c r="U115" s="1" t="s">
        <v>1258</v>
      </c>
      <c r="V115" s="1">
        <v>1</v>
      </c>
      <c r="W115" s="1">
        <v>1</v>
      </c>
      <c r="X115" s="1">
        <v>0</v>
      </c>
      <c r="Y115" s="1">
        <v>0</v>
      </c>
      <c r="Z115" s="1">
        <v>0</v>
      </c>
      <c r="AA115" s="1" t="s">
        <v>109</v>
      </c>
      <c r="AB115" s="1" t="s">
        <v>109</v>
      </c>
      <c r="AC115" s="1">
        <v>3</v>
      </c>
      <c r="AD115" s="1">
        <v>4</v>
      </c>
      <c r="AE115" s="1">
        <v>4</v>
      </c>
      <c r="AF115" s="1">
        <v>3</v>
      </c>
      <c r="AG115" s="1">
        <v>4</v>
      </c>
      <c r="AH115" s="1">
        <v>3</v>
      </c>
      <c r="AI115" s="1" t="s">
        <v>109</v>
      </c>
      <c r="AJ115" s="1">
        <v>4</v>
      </c>
      <c r="AK115" s="1">
        <v>3</v>
      </c>
      <c r="AL115" s="1">
        <v>3</v>
      </c>
      <c r="AM115" s="1" t="s">
        <v>109</v>
      </c>
      <c r="AN115" s="1" t="s">
        <v>109</v>
      </c>
      <c r="AO115" s="1">
        <v>3</v>
      </c>
      <c r="AP115" s="1"/>
      <c r="AQ115" s="1">
        <v>3</v>
      </c>
      <c r="AR115" s="1" t="s">
        <v>1259</v>
      </c>
      <c r="AS115" s="1" t="s">
        <v>1260</v>
      </c>
      <c r="AT115" s="1">
        <v>0</v>
      </c>
      <c r="AU115" s="1">
        <v>0</v>
      </c>
      <c r="AV115" s="1">
        <v>0</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5" t="str">
        <f>HYPERLINK("http://www.d20pfsrd.com/magic/all-spells/c/cure-serious-wounds","Cure Serious Wounds")</f>
        <v>Cure Serious Wounds</v>
      </c>
      <c r="BT115" s="1">
        <v>114</v>
      </c>
      <c r="BU115" s="1" t="s">
        <v>109</v>
      </c>
      <c r="BV115" s="1"/>
      <c r="BW115" s="1"/>
      <c r="BX115" s="1" t="s">
        <v>1261</v>
      </c>
      <c r="BY115" s="1"/>
      <c r="BZ115" s="1">
        <v>1</v>
      </c>
      <c r="CA115" s="1" t="s">
        <v>109</v>
      </c>
      <c r="CB115" s="1">
        <v>3</v>
      </c>
      <c r="CC115" s="1" t="s">
        <v>109</v>
      </c>
      <c r="CD115" s="1" t="s">
        <v>109</v>
      </c>
      <c r="CE115" s="1" t="s">
        <v>109</v>
      </c>
      <c r="CF115" s="1">
        <v>3</v>
      </c>
      <c r="CG115" s="1">
        <v>3</v>
      </c>
      <c r="CH115" s="1" t="s">
        <v>109</v>
      </c>
      <c r="CI115" s="1" t="s">
        <v>109</v>
      </c>
      <c r="CJ115" s="1">
        <v>4</v>
      </c>
      <c r="CK115" s="1"/>
      <c r="CL115" s="1">
        <v>0</v>
      </c>
      <c r="CM115" s="1">
        <v>0</v>
      </c>
      <c r="CN115" s="1">
        <v>0</v>
      </c>
    </row>
    <row r="116" spans="1:92" ht="14.25" customHeight="1" x14ac:dyDescent="0.15">
      <c r="A116" s="1" t="s">
        <v>1262</v>
      </c>
      <c r="B116" s="1" t="s">
        <v>95</v>
      </c>
      <c r="C116" s="1" t="s">
        <v>694</v>
      </c>
      <c r="D116" s="1"/>
      <c r="E116" s="1" t="s">
        <v>1263</v>
      </c>
      <c r="F116" s="1" t="s">
        <v>98</v>
      </c>
      <c r="G116" s="1" t="s">
        <v>141</v>
      </c>
      <c r="H116" s="1">
        <v>0</v>
      </c>
      <c r="I116" s="1" t="s">
        <v>142</v>
      </c>
      <c r="J116" s="1"/>
      <c r="K116" s="1"/>
      <c r="L116" s="1" t="s">
        <v>716</v>
      </c>
      <c r="M116" s="1" t="s">
        <v>144</v>
      </c>
      <c r="N116" s="1">
        <v>0</v>
      </c>
      <c r="O116" s="1">
        <v>0</v>
      </c>
      <c r="P116" s="1" t="s">
        <v>1226</v>
      </c>
      <c r="Q116" s="1" t="s">
        <v>1227</v>
      </c>
      <c r="R116" s="1" t="s">
        <v>1264</v>
      </c>
      <c r="S116" s="1" t="s">
        <v>1265</v>
      </c>
      <c r="T116" s="1" t="s">
        <v>107</v>
      </c>
      <c r="U116" s="1" t="s">
        <v>1266</v>
      </c>
      <c r="V116" s="1">
        <v>1</v>
      </c>
      <c r="W116" s="1">
        <v>1</v>
      </c>
      <c r="X116" s="1">
        <v>0</v>
      </c>
      <c r="Y116" s="1">
        <v>0</v>
      </c>
      <c r="Z116" s="1">
        <v>0</v>
      </c>
      <c r="AA116" s="1" t="s">
        <v>109</v>
      </c>
      <c r="AB116" s="1" t="s">
        <v>109</v>
      </c>
      <c r="AC116" s="1">
        <v>7</v>
      </c>
      <c r="AD116" s="1">
        <v>8</v>
      </c>
      <c r="AE116" s="1" t="s">
        <v>109</v>
      </c>
      <c r="AF116" s="1" t="s">
        <v>109</v>
      </c>
      <c r="AG116" s="1" t="s">
        <v>109</v>
      </c>
      <c r="AH116" s="1" t="s">
        <v>109</v>
      </c>
      <c r="AI116" s="1" t="s">
        <v>109</v>
      </c>
      <c r="AJ116" s="1">
        <v>8</v>
      </c>
      <c r="AK116" s="1" t="s">
        <v>109</v>
      </c>
      <c r="AL116" s="1">
        <v>7</v>
      </c>
      <c r="AM116" s="1" t="s">
        <v>109</v>
      </c>
      <c r="AN116" s="1" t="s">
        <v>109</v>
      </c>
      <c r="AO116" s="1" t="s">
        <v>109</v>
      </c>
      <c r="AP116" s="1"/>
      <c r="AQ116" s="1">
        <v>7</v>
      </c>
      <c r="AR116" s="1"/>
      <c r="AS116" s="1" t="s">
        <v>1267</v>
      </c>
      <c r="AT116" s="1">
        <v>0</v>
      </c>
      <c r="AU116" s="1">
        <v>0</v>
      </c>
      <c r="AV116" s="1">
        <v>0</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5" t="str">
        <f>HYPERLINK("http://www.d20pfsrd.com/magic/all-spells/c/cure-serious-wounds","Cure Serious Wounds, Mass")</f>
        <v>Cure Serious Wounds, Mass</v>
      </c>
      <c r="BT116" s="1">
        <v>115</v>
      </c>
      <c r="BU116" s="1" t="s">
        <v>109</v>
      </c>
      <c r="BV116" s="1"/>
      <c r="BW116" s="1"/>
      <c r="BX116" s="1"/>
      <c r="BY116" s="1"/>
      <c r="BZ116" s="1">
        <v>0</v>
      </c>
      <c r="CA116" s="1" t="s">
        <v>109</v>
      </c>
      <c r="CB116" s="1">
        <v>7</v>
      </c>
      <c r="CC116" s="1" t="s">
        <v>109</v>
      </c>
      <c r="CD116" s="1" t="s">
        <v>109</v>
      </c>
      <c r="CE116" s="1" t="s">
        <v>109</v>
      </c>
      <c r="CF116" s="1" t="s">
        <v>109</v>
      </c>
      <c r="CG116" s="1" t="s">
        <v>109</v>
      </c>
      <c r="CH116" s="1" t="s">
        <v>109</v>
      </c>
      <c r="CI116" s="1" t="s">
        <v>109</v>
      </c>
      <c r="CJ116" s="1" t="s">
        <v>109</v>
      </c>
      <c r="CK116" s="1"/>
      <c r="CL116" s="1">
        <v>0</v>
      </c>
      <c r="CM116" s="1">
        <v>0</v>
      </c>
      <c r="CN116" s="1">
        <v>0</v>
      </c>
    </row>
    <row r="117" spans="1:92" ht="14.25" customHeight="1" x14ac:dyDescent="0.15">
      <c r="A117" s="1" t="s">
        <v>1268</v>
      </c>
      <c r="B117" s="1" t="s">
        <v>308</v>
      </c>
      <c r="C117" s="1"/>
      <c r="D117" s="1" t="s">
        <v>57</v>
      </c>
      <c r="E117" s="1" t="s">
        <v>1269</v>
      </c>
      <c r="F117" s="1" t="s">
        <v>277</v>
      </c>
      <c r="G117" s="1" t="s">
        <v>1270</v>
      </c>
      <c r="H117" s="1">
        <v>1</v>
      </c>
      <c r="I117" s="1" t="s">
        <v>161</v>
      </c>
      <c r="J117" s="1"/>
      <c r="K117" s="1"/>
      <c r="L117" s="1" t="s">
        <v>628</v>
      </c>
      <c r="M117" s="1" t="s">
        <v>144</v>
      </c>
      <c r="N117" s="1">
        <v>0</v>
      </c>
      <c r="O117" s="1">
        <v>0</v>
      </c>
      <c r="P117" s="1" t="s">
        <v>629</v>
      </c>
      <c r="Q117" s="1" t="s">
        <v>630</v>
      </c>
      <c r="R117" s="1" t="s">
        <v>1271</v>
      </c>
      <c r="S117" s="1" t="s">
        <v>1272</v>
      </c>
      <c r="T117" s="1" t="s">
        <v>107</v>
      </c>
      <c r="U117" s="1" t="s">
        <v>1273</v>
      </c>
      <c r="V117" s="1">
        <v>1</v>
      </c>
      <c r="W117" s="1">
        <v>1</v>
      </c>
      <c r="X117" s="1">
        <v>1</v>
      </c>
      <c r="Y117" s="1">
        <v>0</v>
      </c>
      <c r="Z117" s="1">
        <v>0</v>
      </c>
      <c r="AA117" s="1" t="s">
        <v>109</v>
      </c>
      <c r="AB117" s="1" t="s">
        <v>109</v>
      </c>
      <c r="AC117" s="1">
        <v>1</v>
      </c>
      <c r="AD117" s="1" t="s">
        <v>109</v>
      </c>
      <c r="AE117" s="1" t="s">
        <v>109</v>
      </c>
      <c r="AF117" s="1" t="s">
        <v>109</v>
      </c>
      <c r="AG117" s="1" t="s">
        <v>109</v>
      </c>
      <c r="AH117" s="1" t="s">
        <v>109</v>
      </c>
      <c r="AI117" s="1" t="s">
        <v>109</v>
      </c>
      <c r="AJ117" s="1" t="s">
        <v>109</v>
      </c>
      <c r="AK117" s="1">
        <v>1</v>
      </c>
      <c r="AL117" s="1">
        <v>1</v>
      </c>
      <c r="AM117" s="1">
        <v>1</v>
      </c>
      <c r="AN117" s="1" t="s">
        <v>109</v>
      </c>
      <c r="AO117" s="1" t="s">
        <v>109</v>
      </c>
      <c r="AP117" s="1"/>
      <c r="AQ117" s="1">
        <v>1</v>
      </c>
      <c r="AR117" s="1"/>
      <c r="AS117" s="1" t="s">
        <v>1274</v>
      </c>
      <c r="AT117" s="1">
        <v>0</v>
      </c>
      <c r="AU117" s="1">
        <v>0</v>
      </c>
      <c r="AV117" s="1">
        <v>0</v>
      </c>
      <c r="AW117" s="1">
        <v>0</v>
      </c>
      <c r="AX117" s="1">
        <v>0</v>
      </c>
      <c r="AY117" s="1">
        <v>0</v>
      </c>
      <c r="AZ117" s="1">
        <v>0</v>
      </c>
      <c r="BA117" s="1">
        <v>0</v>
      </c>
      <c r="BB117" s="1">
        <v>0</v>
      </c>
      <c r="BC117" s="1">
        <v>0</v>
      </c>
      <c r="BD117" s="1">
        <v>0</v>
      </c>
      <c r="BE117" s="1">
        <v>1</v>
      </c>
      <c r="BF117" s="1">
        <v>0</v>
      </c>
      <c r="BG117" s="1">
        <v>0</v>
      </c>
      <c r="BH117" s="1">
        <v>0</v>
      </c>
      <c r="BI117" s="1">
        <v>0</v>
      </c>
      <c r="BJ117" s="1">
        <v>0</v>
      </c>
      <c r="BK117" s="1">
        <v>0</v>
      </c>
      <c r="BL117" s="1">
        <v>0</v>
      </c>
      <c r="BM117" s="1">
        <v>0</v>
      </c>
      <c r="BN117" s="1">
        <v>0</v>
      </c>
      <c r="BO117" s="1">
        <v>0</v>
      </c>
      <c r="BP117" s="1">
        <v>0</v>
      </c>
      <c r="BQ117" s="1">
        <v>0</v>
      </c>
      <c r="BR117" s="1">
        <v>0</v>
      </c>
      <c r="BS117" s="5" t="str">
        <f>HYPERLINK("http://www.d20pfsrd.com/magic/all-spells/c/curse-water","Curse Water")</f>
        <v>Curse Water</v>
      </c>
      <c r="BT117" s="1">
        <v>116</v>
      </c>
      <c r="BU117" s="1">
        <v>25</v>
      </c>
      <c r="BV117" s="1"/>
      <c r="BW117" s="1" t="s">
        <v>636</v>
      </c>
      <c r="BX117" s="1"/>
      <c r="BY117" s="1"/>
      <c r="BZ117" s="1">
        <v>0</v>
      </c>
      <c r="CA117" s="1" t="s">
        <v>109</v>
      </c>
      <c r="CB117" s="1" t="s">
        <v>109</v>
      </c>
      <c r="CC117" s="1" t="s">
        <v>109</v>
      </c>
      <c r="CD117" s="1" t="s">
        <v>109</v>
      </c>
      <c r="CE117" s="1" t="s">
        <v>109</v>
      </c>
      <c r="CF117" s="1" t="s">
        <v>109</v>
      </c>
      <c r="CG117" s="1" t="s">
        <v>109</v>
      </c>
      <c r="CH117" s="1" t="s">
        <v>109</v>
      </c>
      <c r="CI117" s="1" t="s">
        <v>109</v>
      </c>
      <c r="CJ117" s="1" t="s">
        <v>109</v>
      </c>
      <c r="CK117" s="1"/>
      <c r="CL117" s="1">
        <v>0</v>
      </c>
      <c r="CM117" s="1">
        <v>0</v>
      </c>
      <c r="CN117" s="1">
        <v>0</v>
      </c>
    </row>
    <row r="118" spans="1:92" ht="14.25" customHeight="1" x14ac:dyDescent="0.15">
      <c r="A118" s="1" t="s">
        <v>1275</v>
      </c>
      <c r="B118" s="1" t="s">
        <v>584</v>
      </c>
      <c r="C118" s="1"/>
      <c r="D118" s="1" t="s">
        <v>64</v>
      </c>
      <c r="E118" s="1" t="s">
        <v>1276</v>
      </c>
      <c r="F118" s="1" t="s">
        <v>98</v>
      </c>
      <c r="G118" s="1" t="s">
        <v>141</v>
      </c>
      <c r="H118" s="1">
        <v>0</v>
      </c>
      <c r="I118" s="1" t="s">
        <v>122</v>
      </c>
      <c r="J118" s="1"/>
      <c r="K118" s="1" t="s">
        <v>1277</v>
      </c>
      <c r="L118" s="1"/>
      <c r="M118" s="1" t="s">
        <v>277</v>
      </c>
      <c r="N118" s="1">
        <v>1</v>
      </c>
      <c r="O118" s="1">
        <v>0</v>
      </c>
      <c r="P118" s="1" t="s">
        <v>103</v>
      </c>
      <c r="Q118" s="1" t="s">
        <v>104</v>
      </c>
      <c r="R118" s="1" t="s">
        <v>1278</v>
      </c>
      <c r="S118" s="1" t="s">
        <v>1279</v>
      </c>
      <c r="T118" s="1" t="s">
        <v>107</v>
      </c>
      <c r="U118" s="1" t="s">
        <v>1280</v>
      </c>
      <c r="V118" s="1">
        <v>1</v>
      </c>
      <c r="W118" s="1">
        <v>1</v>
      </c>
      <c r="X118" s="1">
        <v>0</v>
      </c>
      <c r="Y118" s="1">
        <v>0</v>
      </c>
      <c r="Z118" s="1">
        <v>0</v>
      </c>
      <c r="AA118" s="1">
        <v>0</v>
      </c>
      <c r="AB118" s="1">
        <v>0</v>
      </c>
      <c r="AC118" s="1" t="s">
        <v>109</v>
      </c>
      <c r="AD118" s="1" t="s">
        <v>109</v>
      </c>
      <c r="AE118" s="1" t="s">
        <v>109</v>
      </c>
      <c r="AF118" s="1">
        <v>0</v>
      </c>
      <c r="AG118" s="1" t="s">
        <v>109</v>
      </c>
      <c r="AH118" s="1" t="s">
        <v>109</v>
      </c>
      <c r="AI118" s="1" t="s">
        <v>109</v>
      </c>
      <c r="AJ118" s="1">
        <v>0</v>
      </c>
      <c r="AK118" s="1" t="s">
        <v>109</v>
      </c>
      <c r="AL118" s="1" t="s">
        <v>109</v>
      </c>
      <c r="AM118" s="1" t="s">
        <v>109</v>
      </c>
      <c r="AN118" s="1">
        <v>0</v>
      </c>
      <c r="AO118" s="1" t="s">
        <v>109</v>
      </c>
      <c r="AP118" s="1"/>
      <c r="AQ118" s="1">
        <v>0</v>
      </c>
      <c r="AR118" s="1"/>
      <c r="AS118" s="1" t="s">
        <v>1281</v>
      </c>
      <c r="AT118" s="1">
        <v>0</v>
      </c>
      <c r="AU118" s="1">
        <v>0</v>
      </c>
      <c r="AV118" s="1">
        <v>0</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1</v>
      </c>
      <c r="BM118" s="1">
        <v>0</v>
      </c>
      <c r="BN118" s="1">
        <v>0</v>
      </c>
      <c r="BO118" s="1">
        <v>0</v>
      </c>
      <c r="BP118" s="1">
        <v>0</v>
      </c>
      <c r="BQ118" s="1">
        <v>0</v>
      </c>
      <c r="BR118" s="1">
        <v>0</v>
      </c>
      <c r="BS118" s="5" t="str">
        <f>HYPERLINK("http://www.d20pfsrd.com/magic/all-spells/d/dancing-lights","Dancing Lights")</f>
        <v>Dancing Lights</v>
      </c>
      <c r="BT118" s="1">
        <v>117</v>
      </c>
      <c r="BU118" s="1" t="s">
        <v>109</v>
      </c>
      <c r="BV118" s="1"/>
      <c r="BW118" s="1"/>
      <c r="BX118" s="1"/>
      <c r="BY118" s="1"/>
      <c r="BZ118" s="1">
        <v>0</v>
      </c>
      <c r="CA118" s="1" t="s">
        <v>109</v>
      </c>
      <c r="CB118" s="1">
        <v>0</v>
      </c>
      <c r="CC118" s="1">
        <v>0</v>
      </c>
      <c r="CD118" s="1" t="s">
        <v>109</v>
      </c>
      <c r="CE118" s="1">
        <v>0</v>
      </c>
      <c r="CF118" s="1">
        <v>0</v>
      </c>
      <c r="CG118" s="1" t="s">
        <v>109</v>
      </c>
      <c r="CH118" s="1" t="s">
        <v>109</v>
      </c>
      <c r="CI118" s="1" t="s">
        <v>109</v>
      </c>
      <c r="CJ118" s="1" t="s">
        <v>109</v>
      </c>
      <c r="CK118" s="1"/>
      <c r="CL118" s="1">
        <v>0</v>
      </c>
      <c r="CM118" s="1">
        <v>0</v>
      </c>
      <c r="CN118" s="1">
        <v>0</v>
      </c>
    </row>
    <row r="119" spans="1:92" ht="14.25" customHeight="1" x14ac:dyDescent="0.15">
      <c r="A119" s="1" t="s">
        <v>1282</v>
      </c>
      <c r="B119" s="1" t="s">
        <v>584</v>
      </c>
      <c r="C119" s="1"/>
      <c r="D119" s="1" t="s">
        <v>51</v>
      </c>
      <c r="E119" s="1" t="s">
        <v>1283</v>
      </c>
      <c r="F119" s="1" t="s">
        <v>98</v>
      </c>
      <c r="G119" s="1" t="s">
        <v>1284</v>
      </c>
      <c r="H119" s="1">
        <v>0</v>
      </c>
      <c r="I119" s="1" t="s">
        <v>161</v>
      </c>
      <c r="J119" s="1"/>
      <c r="K119" s="1"/>
      <c r="L119" s="1" t="s">
        <v>1285</v>
      </c>
      <c r="M119" s="1" t="s">
        <v>587</v>
      </c>
      <c r="N119" s="1">
        <v>1</v>
      </c>
      <c r="O119" s="1">
        <v>0</v>
      </c>
      <c r="P119" s="1" t="s">
        <v>103</v>
      </c>
      <c r="Q119" s="1" t="s">
        <v>104</v>
      </c>
      <c r="R119" s="1" t="s">
        <v>1286</v>
      </c>
      <c r="S119" s="1" t="s">
        <v>1287</v>
      </c>
      <c r="T119" s="1" t="s">
        <v>107</v>
      </c>
      <c r="U119" s="1" t="s">
        <v>1288</v>
      </c>
      <c r="V119" s="1">
        <v>1</v>
      </c>
      <c r="W119" s="1">
        <v>0</v>
      </c>
      <c r="X119" s="1">
        <v>1</v>
      </c>
      <c r="Y119" s="1">
        <v>0</v>
      </c>
      <c r="Z119" s="1">
        <v>1</v>
      </c>
      <c r="AA119" s="1">
        <v>2</v>
      </c>
      <c r="AB119" s="1">
        <v>2</v>
      </c>
      <c r="AC119" s="1">
        <v>2</v>
      </c>
      <c r="AD119" s="1" t="s">
        <v>109</v>
      </c>
      <c r="AE119" s="1" t="s">
        <v>109</v>
      </c>
      <c r="AF119" s="1">
        <v>2</v>
      </c>
      <c r="AG119" s="1" t="s">
        <v>109</v>
      </c>
      <c r="AH119" s="1" t="s">
        <v>109</v>
      </c>
      <c r="AI119" s="1" t="s">
        <v>109</v>
      </c>
      <c r="AJ119" s="1" t="s">
        <v>109</v>
      </c>
      <c r="AK119" s="1">
        <v>2</v>
      </c>
      <c r="AL119" s="1">
        <v>2</v>
      </c>
      <c r="AM119" s="1">
        <v>2</v>
      </c>
      <c r="AN119" s="1">
        <v>2</v>
      </c>
      <c r="AO119" s="1">
        <v>2</v>
      </c>
      <c r="AP119" s="1"/>
      <c r="AQ119" s="1">
        <v>2</v>
      </c>
      <c r="AR119" s="1"/>
      <c r="AS119" s="1" t="s">
        <v>1289</v>
      </c>
      <c r="AT119" s="1">
        <v>0</v>
      </c>
      <c r="AU119" s="1">
        <v>0</v>
      </c>
      <c r="AV119" s="1">
        <v>0</v>
      </c>
      <c r="AW119" s="1">
        <v>0</v>
      </c>
      <c r="AX119" s="1">
        <v>0</v>
      </c>
      <c r="AY119" s="1">
        <v>1</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5" t="str">
        <f>HYPERLINK("http://www.d20pfsrd.com/magic/all-spells/d/darkness","Darkness")</f>
        <v>Darkness</v>
      </c>
      <c r="BT119" s="1">
        <v>118</v>
      </c>
      <c r="BU119" s="1" t="s">
        <v>109</v>
      </c>
      <c r="BV119" s="1"/>
      <c r="BW119" s="1" t="s">
        <v>1290</v>
      </c>
      <c r="BX119" s="1" t="s">
        <v>1291</v>
      </c>
      <c r="BY119" s="1"/>
      <c r="BZ119" s="1">
        <v>1</v>
      </c>
      <c r="CA119" s="1" t="s">
        <v>109</v>
      </c>
      <c r="CB119" s="1">
        <v>2</v>
      </c>
      <c r="CC119" s="1" t="s">
        <v>109</v>
      </c>
      <c r="CD119" s="1" t="s">
        <v>109</v>
      </c>
      <c r="CE119" s="1" t="s">
        <v>109</v>
      </c>
      <c r="CF119" s="1">
        <v>2</v>
      </c>
      <c r="CG119" s="1" t="s">
        <v>109</v>
      </c>
      <c r="CH119" s="1" t="s">
        <v>109</v>
      </c>
      <c r="CI119" s="1" t="s">
        <v>109</v>
      </c>
      <c r="CJ119" s="1" t="s">
        <v>109</v>
      </c>
      <c r="CK119" s="1"/>
      <c r="CL119" s="1">
        <v>0</v>
      </c>
      <c r="CM119" s="1">
        <v>0</v>
      </c>
      <c r="CN119" s="1">
        <v>0</v>
      </c>
    </row>
    <row r="120" spans="1:92" ht="14.25" customHeight="1" x14ac:dyDescent="0.15">
      <c r="A120" s="1" t="s">
        <v>1292</v>
      </c>
      <c r="B120" s="1" t="s">
        <v>189</v>
      </c>
      <c r="C120" s="1"/>
      <c r="D120" s="1"/>
      <c r="E120" s="1" t="s">
        <v>1293</v>
      </c>
      <c r="F120" s="1" t="s">
        <v>98</v>
      </c>
      <c r="G120" s="1" t="s">
        <v>1294</v>
      </c>
      <c r="H120" s="1">
        <v>0</v>
      </c>
      <c r="I120" s="1" t="s">
        <v>161</v>
      </c>
      <c r="J120" s="1"/>
      <c r="K120" s="1"/>
      <c r="L120" s="1" t="s">
        <v>506</v>
      </c>
      <c r="M120" s="1" t="s">
        <v>289</v>
      </c>
      <c r="N120" s="1">
        <v>0</v>
      </c>
      <c r="O120" s="1">
        <v>0</v>
      </c>
      <c r="P120" s="1" t="s">
        <v>507</v>
      </c>
      <c r="Q120" s="1" t="s">
        <v>167</v>
      </c>
      <c r="R120" s="1" t="s">
        <v>1295</v>
      </c>
      <c r="S120" s="1" t="s">
        <v>1296</v>
      </c>
      <c r="T120" s="1" t="s">
        <v>107</v>
      </c>
      <c r="U120" s="1" t="s">
        <v>1297</v>
      </c>
      <c r="V120" s="1">
        <v>1</v>
      </c>
      <c r="W120" s="1">
        <v>1</v>
      </c>
      <c r="X120" s="1">
        <v>1</v>
      </c>
      <c r="Y120" s="1">
        <v>0</v>
      </c>
      <c r="Z120" s="1">
        <v>0</v>
      </c>
      <c r="AA120" s="1">
        <v>2</v>
      </c>
      <c r="AB120" s="1">
        <v>2</v>
      </c>
      <c r="AC120" s="1" t="s">
        <v>109</v>
      </c>
      <c r="AD120" s="1" t="s">
        <v>109</v>
      </c>
      <c r="AE120" s="1">
        <v>3</v>
      </c>
      <c r="AF120" s="1" t="s">
        <v>109</v>
      </c>
      <c r="AG120" s="1" t="s">
        <v>109</v>
      </c>
      <c r="AH120" s="1">
        <v>2</v>
      </c>
      <c r="AI120" s="1" t="s">
        <v>109</v>
      </c>
      <c r="AJ120" s="1" t="s">
        <v>109</v>
      </c>
      <c r="AK120" s="1" t="s">
        <v>109</v>
      </c>
      <c r="AL120" s="1" t="s">
        <v>109</v>
      </c>
      <c r="AM120" s="1">
        <v>2</v>
      </c>
      <c r="AN120" s="1" t="s">
        <v>109</v>
      </c>
      <c r="AO120" s="1" t="s">
        <v>109</v>
      </c>
      <c r="AP120" s="1"/>
      <c r="AQ120" s="1">
        <v>2</v>
      </c>
      <c r="AR120" s="1" t="s">
        <v>1298</v>
      </c>
      <c r="AS120" s="1" t="s">
        <v>1299</v>
      </c>
      <c r="AT120" s="1">
        <v>0</v>
      </c>
      <c r="AU120" s="1">
        <v>0</v>
      </c>
      <c r="AV120" s="1">
        <v>0</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5" t="str">
        <f>HYPERLINK("http://www.d20pfsrd.com/magic/all-spells/d/darkvision","Darkvision")</f>
        <v>Darkvision</v>
      </c>
      <c r="BT120" s="1">
        <v>119</v>
      </c>
      <c r="BU120" s="1" t="s">
        <v>109</v>
      </c>
      <c r="BV120" s="1" t="s">
        <v>1300</v>
      </c>
      <c r="BW120" s="1" t="s">
        <v>1301</v>
      </c>
      <c r="BX120" s="1"/>
      <c r="BY120" s="1"/>
      <c r="BZ120" s="1">
        <v>0</v>
      </c>
      <c r="CA120" s="1" t="s">
        <v>109</v>
      </c>
      <c r="CB120" s="1" t="s">
        <v>109</v>
      </c>
      <c r="CC120" s="1">
        <v>2</v>
      </c>
      <c r="CD120" s="1" t="s">
        <v>109</v>
      </c>
      <c r="CE120" s="1" t="s">
        <v>109</v>
      </c>
      <c r="CF120" s="1">
        <v>2</v>
      </c>
      <c r="CG120" s="1" t="s">
        <v>109</v>
      </c>
      <c r="CH120" s="1" t="s">
        <v>109</v>
      </c>
      <c r="CI120" s="1" t="s">
        <v>109</v>
      </c>
      <c r="CJ120" s="1">
        <v>3</v>
      </c>
      <c r="CK120" s="1"/>
      <c r="CL120" s="1">
        <v>0</v>
      </c>
      <c r="CM120" s="1">
        <v>0</v>
      </c>
      <c r="CN120" s="1">
        <v>0</v>
      </c>
    </row>
    <row r="121" spans="1:92" ht="14.25" customHeight="1" x14ac:dyDescent="0.15">
      <c r="A121" s="1" t="s">
        <v>1302</v>
      </c>
      <c r="B121" s="1" t="s">
        <v>584</v>
      </c>
      <c r="C121" s="1"/>
      <c r="D121" s="1" t="s">
        <v>64</v>
      </c>
      <c r="E121" s="1" t="s">
        <v>1303</v>
      </c>
      <c r="F121" s="1" t="s">
        <v>98</v>
      </c>
      <c r="G121" s="1" t="s">
        <v>141</v>
      </c>
      <c r="H121" s="1">
        <v>0</v>
      </c>
      <c r="I121" s="1" t="s">
        <v>161</v>
      </c>
      <c r="J121" s="1"/>
      <c r="K121" s="1"/>
      <c r="L121" s="1" t="s">
        <v>1285</v>
      </c>
      <c r="M121" s="1" t="s">
        <v>367</v>
      </c>
      <c r="N121" s="1">
        <v>1</v>
      </c>
      <c r="O121" s="1">
        <v>0</v>
      </c>
      <c r="P121" s="1" t="s">
        <v>103</v>
      </c>
      <c r="Q121" s="1" t="s">
        <v>104</v>
      </c>
      <c r="R121" s="1" t="s">
        <v>1304</v>
      </c>
      <c r="S121" s="1" t="s">
        <v>1305</v>
      </c>
      <c r="T121" s="1" t="s">
        <v>107</v>
      </c>
      <c r="U121" s="1" t="s">
        <v>1306</v>
      </c>
      <c r="V121" s="1">
        <v>1</v>
      </c>
      <c r="W121" s="1">
        <v>1</v>
      </c>
      <c r="X121" s="1">
        <v>0</v>
      </c>
      <c r="Y121" s="1">
        <v>0</v>
      </c>
      <c r="Z121" s="1">
        <v>0</v>
      </c>
      <c r="AA121" s="1">
        <v>3</v>
      </c>
      <c r="AB121" s="1">
        <v>3</v>
      </c>
      <c r="AC121" s="1">
        <v>3</v>
      </c>
      <c r="AD121" s="1">
        <v>3</v>
      </c>
      <c r="AE121" s="1" t="s">
        <v>109</v>
      </c>
      <c r="AF121" s="1">
        <v>3</v>
      </c>
      <c r="AG121" s="1">
        <v>3</v>
      </c>
      <c r="AH121" s="1" t="s">
        <v>109</v>
      </c>
      <c r="AI121" s="1" t="s">
        <v>109</v>
      </c>
      <c r="AJ121" s="1" t="s">
        <v>109</v>
      </c>
      <c r="AK121" s="1">
        <v>3</v>
      </c>
      <c r="AL121" s="1">
        <v>3</v>
      </c>
      <c r="AM121" s="1" t="s">
        <v>109</v>
      </c>
      <c r="AN121" s="1">
        <v>3</v>
      </c>
      <c r="AO121" s="1">
        <v>3</v>
      </c>
      <c r="AP121" s="1"/>
      <c r="AQ121" s="1">
        <v>3</v>
      </c>
      <c r="AR121" s="1" t="s">
        <v>1307</v>
      </c>
      <c r="AS121" s="1" t="s">
        <v>1308</v>
      </c>
      <c r="AT121" s="1">
        <v>0</v>
      </c>
      <c r="AU121" s="1">
        <v>0</v>
      </c>
      <c r="AV121" s="1">
        <v>0</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1</v>
      </c>
      <c r="BM121" s="1">
        <v>0</v>
      </c>
      <c r="BN121" s="1">
        <v>0</v>
      </c>
      <c r="BO121" s="1">
        <v>0</v>
      </c>
      <c r="BP121" s="1">
        <v>0</v>
      </c>
      <c r="BQ121" s="1">
        <v>0</v>
      </c>
      <c r="BR121" s="1">
        <v>0</v>
      </c>
      <c r="BS121" s="5" t="str">
        <f>HYPERLINK("http://www.d20pfsrd.com/magic/all-spells/d/daylight","Daylight")</f>
        <v>Daylight</v>
      </c>
      <c r="BT121" s="1">
        <v>120</v>
      </c>
      <c r="BU121" s="1" t="s">
        <v>109</v>
      </c>
      <c r="BV121" s="1"/>
      <c r="BW121" s="1" t="s">
        <v>1309</v>
      </c>
      <c r="BX121" s="1" t="s">
        <v>1310</v>
      </c>
      <c r="BY121" s="1"/>
      <c r="BZ121" s="1">
        <v>1</v>
      </c>
      <c r="CA121" s="1" t="s">
        <v>109</v>
      </c>
      <c r="CB121" s="1">
        <v>3</v>
      </c>
      <c r="CC121" s="1" t="s">
        <v>109</v>
      </c>
      <c r="CD121" s="1" t="s">
        <v>109</v>
      </c>
      <c r="CE121" s="1" t="s">
        <v>109</v>
      </c>
      <c r="CF121" s="1">
        <v>3</v>
      </c>
      <c r="CG121" s="1" t="s">
        <v>109</v>
      </c>
      <c r="CH121" s="1" t="s">
        <v>109</v>
      </c>
      <c r="CI121" s="1" t="s">
        <v>109</v>
      </c>
      <c r="CJ121" s="1">
        <v>3</v>
      </c>
      <c r="CK121" s="1"/>
      <c r="CL121" s="1">
        <v>0</v>
      </c>
      <c r="CM121" s="1">
        <v>0</v>
      </c>
      <c r="CN121" s="1">
        <v>0</v>
      </c>
    </row>
    <row r="122" spans="1:92" ht="14.25" customHeight="1" x14ac:dyDescent="0.15">
      <c r="A122" s="1" t="s">
        <v>1311</v>
      </c>
      <c r="B122" s="1" t="s">
        <v>156</v>
      </c>
      <c r="C122" s="1" t="s">
        <v>157</v>
      </c>
      <c r="D122" s="1" t="s">
        <v>158</v>
      </c>
      <c r="E122" s="1" t="s">
        <v>1312</v>
      </c>
      <c r="F122" s="1" t="s">
        <v>98</v>
      </c>
      <c r="G122" s="1" t="s">
        <v>1313</v>
      </c>
      <c r="H122" s="1">
        <v>0</v>
      </c>
      <c r="I122" s="1" t="s">
        <v>142</v>
      </c>
      <c r="J122" s="1"/>
      <c r="K122" s="1"/>
      <c r="L122" s="1" t="s">
        <v>1314</v>
      </c>
      <c r="M122" s="1" t="s">
        <v>355</v>
      </c>
      <c r="N122" s="1">
        <v>0</v>
      </c>
      <c r="O122" s="1">
        <v>0</v>
      </c>
      <c r="P122" s="1" t="s">
        <v>301</v>
      </c>
      <c r="Q122" s="1" t="s">
        <v>268</v>
      </c>
      <c r="R122" s="1" t="s">
        <v>1315</v>
      </c>
      <c r="S122" s="1" t="s">
        <v>1316</v>
      </c>
      <c r="T122" s="1" t="s">
        <v>107</v>
      </c>
      <c r="U122" s="1" t="s">
        <v>1317</v>
      </c>
      <c r="V122" s="1">
        <v>1</v>
      </c>
      <c r="W122" s="1">
        <v>1</v>
      </c>
      <c r="X122" s="1">
        <v>1</v>
      </c>
      <c r="Y122" s="1">
        <v>0</v>
      </c>
      <c r="Z122" s="1">
        <v>0</v>
      </c>
      <c r="AA122" s="1">
        <v>0</v>
      </c>
      <c r="AB122" s="1">
        <v>0</v>
      </c>
      <c r="AC122" s="1" t="s">
        <v>109</v>
      </c>
      <c r="AD122" s="1" t="s">
        <v>109</v>
      </c>
      <c r="AE122" s="1" t="s">
        <v>109</v>
      </c>
      <c r="AF122" s="1">
        <v>0</v>
      </c>
      <c r="AG122" s="1" t="s">
        <v>109</v>
      </c>
      <c r="AH122" s="1" t="s">
        <v>109</v>
      </c>
      <c r="AI122" s="1">
        <v>0</v>
      </c>
      <c r="AJ122" s="1">
        <v>0</v>
      </c>
      <c r="AK122" s="1">
        <v>0</v>
      </c>
      <c r="AL122" s="1" t="s">
        <v>109</v>
      </c>
      <c r="AM122" s="1" t="s">
        <v>109</v>
      </c>
      <c r="AN122" s="1">
        <v>0</v>
      </c>
      <c r="AO122" s="1" t="s">
        <v>109</v>
      </c>
      <c r="AP122" s="1"/>
      <c r="AQ122" s="1">
        <v>0</v>
      </c>
      <c r="AR122" s="1"/>
      <c r="AS122" s="1" t="s">
        <v>1318</v>
      </c>
      <c r="AT122" s="1">
        <v>0</v>
      </c>
      <c r="AU122" s="1">
        <v>0</v>
      </c>
      <c r="AV122" s="1">
        <v>0</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1</v>
      </c>
      <c r="BN122" s="1">
        <v>0</v>
      </c>
      <c r="BO122" s="1">
        <v>0</v>
      </c>
      <c r="BP122" s="1">
        <v>0</v>
      </c>
      <c r="BQ122" s="1">
        <v>0</v>
      </c>
      <c r="BR122" s="1">
        <v>0</v>
      </c>
      <c r="BS122" s="5" t="str">
        <f>HYPERLINK("http://www.d20pfsrd.com/magic/all-spells/d/daze","Daze")</f>
        <v>Daze</v>
      </c>
      <c r="BT122" s="1">
        <v>121</v>
      </c>
      <c r="BU122" s="1" t="s">
        <v>109</v>
      </c>
      <c r="BV122" s="1"/>
      <c r="BW122" s="1"/>
      <c r="BX122" s="1"/>
      <c r="BY122" s="1"/>
      <c r="BZ122" s="1">
        <v>0</v>
      </c>
      <c r="CA122" s="1" t="s">
        <v>109</v>
      </c>
      <c r="CB122" s="1">
        <v>0</v>
      </c>
      <c r="CC122" s="1">
        <v>0</v>
      </c>
      <c r="CD122" s="1" t="s">
        <v>109</v>
      </c>
      <c r="CE122" s="1">
        <v>0</v>
      </c>
      <c r="CF122" s="1">
        <v>0</v>
      </c>
      <c r="CG122" s="1">
        <v>0</v>
      </c>
      <c r="CH122" s="1" t="s">
        <v>109</v>
      </c>
      <c r="CI122" s="1" t="s">
        <v>109</v>
      </c>
      <c r="CJ122" s="1" t="s">
        <v>109</v>
      </c>
      <c r="CK122" s="1"/>
      <c r="CL122" s="1">
        <v>0</v>
      </c>
      <c r="CM122" s="1">
        <v>0</v>
      </c>
      <c r="CN122" s="1">
        <v>0</v>
      </c>
    </row>
    <row r="123" spans="1:92" ht="14.25" customHeight="1" x14ac:dyDescent="0.15">
      <c r="A123" s="1" t="s">
        <v>1319</v>
      </c>
      <c r="B123" s="1" t="s">
        <v>156</v>
      </c>
      <c r="C123" s="1" t="s">
        <v>157</v>
      </c>
      <c r="D123" s="1" t="s">
        <v>158</v>
      </c>
      <c r="E123" s="1" t="s">
        <v>1320</v>
      </c>
      <c r="F123" s="1" t="s">
        <v>98</v>
      </c>
      <c r="G123" s="1" t="s">
        <v>1313</v>
      </c>
      <c r="H123" s="1">
        <v>0</v>
      </c>
      <c r="I123" s="1" t="s">
        <v>122</v>
      </c>
      <c r="J123" s="1"/>
      <c r="K123" s="1"/>
      <c r="L123" s="1" t="s">
        <v>1321</v>
      </c>
      <c r="M123" s="1" t="s">
        <v>355</v>
      </c>
      <c r="N123" s="1">
        <v>0</v>
      </c>
      <c r="O123" s="1">
        <v>0</v>
      </c>
      <c r="P123" s="1" t="s">
        <v>301</v>
      </c>
      <c r="Q123" s="1" t="s">
        <v>268</v>
      </c>
      <c r="R123" s="1" t="s">
        <v>1322</v>
      </c>
      <c r="S123" s="1" t="s">
        <v>1323</v>
      </c>
      <c r="T123" s="1" t="s">
        <v>107</v>
      </c>
      <c r="U123" s="1" t="s">
        <v>1324</v>
      </c>
      <c r="V123" s="1">
        <v>1</v>
      </c>
      <c r="W123" s="1">
        <v>1</v>
      </c>
      <c r="X123" s="1">
        <v>1</v>
      </c>
      <c r="Y123" s="1">
        <v>0</v>
      </c>
      <c r="Z123" s="1">
        <v>0</v>
      </c>
      <c r="AA123" s="1">
        <v>2</v>
      </c>
      <c r="AB123" s="1">
        <v>2</v>
      </c>
      <c r="AC123" s="1" t="s">
        <v>109</v>
      </c>
      <c r="AD123" s="1" t="s">
        <v>109</v>
      </c>
      <c r="AE123" s="1" t="s">
        <v>109</v>
      </c>
      <c r="AF123" s="1">
        <v>2</v>
      </c>
      <c r="AG123" s="1" t="s">
        <v>109</v>
      </c>
      <c r="AH123" s="1" t="s">
        <v>109</v>
      </c>
      <c r="AI123" s="1">
        <v>1</v>
      </c>
      <c r="AJ123" s="1">
        <v>2</v>
      </c>
      <c r="AK123" s="1" t="s">
        <v>109</v>
      </c>
      <c r="AL123" s="1" t="s">
        <v>109</v>
      </c>
      <c r="AM123" s="1" t="s">
        <v>109</v>
      </c>
      <c r="AN123" s="1" t="s">
        <v>109</v>
      </c>
      <c r="AO123" s="1" t="s">
        <v>109</v>
      </c>
      <c r="AP123" s="1"/>
      <c r="AQ123" s="1">
        <v>2</v>
      </c>
      <c r="AR123" s="1"/>
      <c r="AS123" s="1" t="s">
        <v>1325</v>
      </c>
      <c r="AT123" s="1">
        <v>0</v>
      </c>
      <c r="AU123" s="1">
        <v>0</v>
      </c>
      <c r="AV123" s="1">
        <v>0</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1</v>
      </c>
      <c r="BN123" s="1">
        <v>0</v>
      </c>
      <c r="BO123" s="1">
        <v>0</v>
      </c>
      <c r="BP123" s="1">
        <v>0</v>
      </c>
      <c r="BQ123" s="1">
        <v>0</v>
      </c>
      <c r="BR123" s="1">
        <v>0</v>
      </c>
      <c r="BS123" s="5" t="str">
        <f>HYPERLINK("http://www.d20pfsrd.com/magic/all-spells/d/daze-monster","Daze Monster")</f>
        <v>Daze Monster</v>
      </c>
      <c r="BT123" s="1">
        <v>122</v>
      </c>
      <c r="BU123" s="1" t="s">
        <v>109</v>
      </c>
      <c r="BV123" s="1"/>
      <c r="BW123" s="1"/>
      <c r="BX123" s="1"/>
      <c r="BY123" s="1"/>
      <c r="BZ123" s="1">
        <v>0</v>
      </c>
      <c r="CA123" s="1">
        <v>2</v>
      </c>
      <c r="CB123" s="1" t="s">
        <v>109</v>
      </c>
      <c r="CC123" s="1">
        <v>2</v>
      </c>
      <c r="CD123" s="1" t="s">
        <v>109</v>
      </c>
      <c r="CE123" s="1">
        <v>2</v>
      </c>
      <c r="CF123" s="1">
        <v>2</v>
      </c>
      <c r="CG123" s="1" t="s">
        <v>109</v>
      </c>
      <c r="CH123" s="1" t="s">
        <v>109</v>
      </c>
      <c r="CI123" s="1" t="s">
        <v>109</v>
      </c>
      <c r="CJ123" s="1" t="s">
        <v>109</v>
      </c>
      <c r="CK123" s="1"/>
      <c r="CL123" s="1">
        <v>0</v>
      </c>
      <c r="CM123" s="1">
        <v>0</v>
      </c>
      <c r="CN123" s="1">
        <v>0</v>
      </c>
    </row>
    <row r="124" spans="1:92" ht="14.25" customHeight="1" x14ac:dyDescent="0.15">
      <c r="A124" s="1" t="s">
        <v>1326</v>
      </c>
      <c r="B124" s="1" t="s">
        <v>308</v>
      </c>
      <c r="C124" s="1"/>
      <c r="D124" s="1" t="s">
        <v>1327</v>
      </c>
      <c r="E124" s="1" t="s">
        <v>1328</v>
      </c>
      <c r="F124" s="1" t="s">
        <v>98</v>
      </c>
      <c r="G124" s="1" t="s">
        <v>141</v>
      </c>
      <c r="H124" s="1">
        <v>0</v>
      </c>
      <c r="I124" s="1" t="s">
        <v>161</v>
      </c>
      <c r="J124" s="1"/>
      <c r="K124" s="1"/>
      <c r="L124" s="1" t="s">
        <v>162</v>
      </c>
      <c r="M124" s="1" t="s">
        <v>1329</v>
      </c>
      <c r="N124" s="1">
        <v>0</v>
      </c>
      <c r="O124" s="1">
        <v>0</v>
      </c>
      <c r="P124" s="1" t="s">
        <v>301</v>
      </c>
      <c r="Q124" s="1" t="s">
        <v>268</v>
      </c>
      <c r="R124" s="1" t="s">
        <v>1330</v>
      </c>
      <c r="S124" s="1" t="s">
        <v>1331</v>
      </c>
      <c r="T124" s="1" t="s">
        <v>107</v>
      </c>
      <c r="U124" s="1" t="s">
        <v>1332</v>
      </c>
      <c r="V124" s="1">
        <v>1</v>
      </c>
      <c r="W124" s="1">
        <v>1</v>
      </c>
      <c r="X124" s="1">
        <v>0</v>
      </c>
      <c r="Y124" s="1">
        <v>0</v>
      </c>
      <c r="Z124" s="1">
        <v>0</v>
      </c>
      <c r="AA124" s="1" t="s">
        <v>109</v>
      </c>
      <c r="AB124" s="1" t="s">
        <v>109</v>
      </c>
      <c r="AC124" s="1">
        <v>2</v>
      </c>
      <c r="AD124" s="1" t="s">
        <v>109</v>
      </c>
      <c r="AE124" s="1" t="s">
        <v>109</v>
      </c>
      <c r="AF124" s="1" t="s">
        <v>109</v>
      </c>
      <c r="AG124" s="1" t="s">
        <v>109</v>
      </c>
      <c r="AH124" s="1" t="s">
        <v>109</v>
      </c>
      <c r="AI124" s="1" t="s">
        <v>109</v>
      </c>
      <c r="AJ124" s="1">
        <v>2</v>
      </c>
      <c r="AK124" s="1">
        <v>2</v>
      </c>
      <c r="AL124" s="1">
        <v>2</v>
      </c>
      <c r="AM124" s="1">
        <v>1</v>
      </c>
      <c r="AN124" s="1" t="s">
        <v>109</v>
      </c>
      <c r="AO124" s="1" t="s">
        <v>109</v>
      </c>
      <c r="AP124" s="1"/>
      <c r="AQ124" s="1">
        <v>2</v>
      </c>
      <c r="AR124" s="1" t="s">
        <v>1333</v>
      </c>
      <c r="AS124" s="1" t="s">
        <v>1334</v>
      </c>
      <c r="AT124" s="1">
        <v>0</v>
      </c>
      <c r="AU124" s="1">
        <v>0</v>
      </c>
      <c r="AV124" s="1">
        <v>0</v>
      </c>
      <c r="AW124" s="1">
        <v>0</v>
      </c>
      <c r="AX124" s="1">
        <v>0</v>
      </c>
      <c r="AY124" s="1">
        <v>0</v>
      </c>
      <c r="AZ124" s="1">
        <v>1</v>
      </c>
      <c r="BA124" s="1">
        <v>0</v>
      </c>
      <c r="BB124" s="1">
        <v>0</v>
      </c>
      <c r="BC124" s="1">
        <v>0</v>
      </c>
      <c r="BD124" s="1">
        <v>0</v>
      </c>
      <c r="BE124" s="1">
        <v>1</v>
      </c>
      <c r="BF124" s="1">
        <v>0</v>
      </c>
      <c r="BG124" s="1">
        <v>0</v>
      </c>
      <c r="BH124" s="1">
        <v>0</v>
      </c>
      <c r="BI124" s="1">
        <v>0</v>
      </c>
      <c r="BJ124" s="1">
        <v>0</v>
      </c>
      <c r="BK124" s="1">
        <v>0</v>
      </c>
      <c r="BL124" s="1">
        <v>0</v>
      </c>
      <c r="BM124" s="1">
        <v>0</v>
      </c>
      <c r="BN124" s="1">
        <v>0</v>
      </c>
      <c r="BO124" s="1">
        <v>0</v>
      </c>
      <c r="BP124" s="1">
        <v>0</v>
      </c>
      <c r="BQ124" s="1">
        <v>0</v>
      </c>
      <c r="BR124" s="1">
        <v>0</v>
      </c>
      <c r="BS124" s="5" t="str">
        <f>HYPERLINK("http://www.d20pfsrd.com/magic/all-spells/d/death-knell","Death Knell")</f>
        <v>Death Knell</v>
      </c>
      <c r="BT124" s="1">
        <v>123</v>
      </c>
      <c r="BU124" s="1" t="s">
        <v>109</v>
      </c>
      <c r="BV124" s="1"/>
      <c r="BW124" s="1"/>
      <c r="BX124" s="1" t="s">
        <v>1335</v>
      </c>
      <c r="BY124" s="1" t="s">
        <v>1336</v>
      </c>
      <c r="BZ124" s="1">
        <v>1</v>
      </c>
      <c r="CA124" s="1" t="s">
        <v>109</v>
      </c>
      <c r="CB124" s="1" t="s">
        <v>109</v>
      </c>
      <c r="CC124" s="1" t="s">
        <v>109</v>
      </c>
      <c r="CD124" s="1" t="s">
        <v>109</v>
      </c>
      <c r="CE124" s="1" t="s">
        <v>109</v>
      </c>
      <c r="CF124" s="1" t="s">
        <v>109</v>
      </c>
      <c r="CG124" s="1">
        <v>2</v>
      </c>
      <c r="CH124" s="1" t="s">
        <v>109</v>
      </c>
      <c r="CI124" s="1" t="s">
        <v>109</v>
      </c>
      <c r="CJ124" s="1" t="s">
        <v>109</v>
      </c>
      <c r="CK124" s="1"/>
      <c r="CL124" s="1">
        <v>0</v>
      </c>
      <c r="CM124" s="1">
        <v>0</v>
      </c>
      <c r="CN124" s="1">
        <v>0</v>
      </c>
    </row>
    <row r="125" spans="1:92" ht="14.25" customHeight="1" x14ac:dyDescent="0.15">
      <c r="A125" s="1" t="s">
        <v>1337</v>
      </c>
      <c r="B125" s="1" t="s">
        <v>308</v>
      </c>
      <c r="C125" s="1"/>
      <c r="D125" s="1"/>
      <c r="E125" s="1" t="s">
        <v>1338</v>
      </c>
      <c r="F125" s="1" t="s">
        <v>98</v>
      </c>
      <c r="G125" s="1" t="s">
        <v>160</v>
      </c>
      <c r="H125" s="1">
        <v>0</v>
      </c>
      <c r="I125" s="1" t="s">
        <v>161</v>
      </c>
      <c r="J125" s="1"/>
      <c r="K125" s="1"/>
      <c r="L125" s="1" t="s">
        <v>162</v>
      </c>
      <c r="M125" s="1" t="s">
        <v>164</v>
      </c>
      <c r="N125" s="1">
        <v>0</v>
      </c>
      <c r="O125" s="1">
        <v>0</v>
      </c>
      <c r="P125" s="1" t="s">
        <v>507</v>
      </c>
      <c r="Q125" s="1" t="s">
        <v>167</v>
      </c>
      <c r="R125" s="1" t="s">
        <v>1339</v>
      </c>
      <c r="S125" s="1" t="s">
        <v>1340</v>
      </c>
      <c r="T125" s="1" t="s">
        <v>107</v>
      </c>
      <c r="U125" s="1" t="s">
        <v>1341</v>
      </c>
      <c r="V125" s="1">
        <v>1</v>
      </c>
      <c r="W125" s="1">
        <v>1</v>
      </c>
      <c r="X125" s="1">
        <v>0</v>
      </c>
      <c r="Y125" s="1">
        <v>0</v>
      </c>
      <c r="Z125" s="1">
        <v>1</v>
      </c>
      <c r="AA125" s="1" t="s">
        <v>109</v>
      </c>
      <c r="AB125" s="1" t="s">
        <v>109</v>
      </c>
      <c r="AC125" s="1">
        <v>4</v>
      </c>
      <c r="AD125" s="1">
        <v>5</v>
      </c>
      <c r="AE125" s="1" t="s">
        <v>109</v>
      </c>
      <c r="AF125" s="1" t="s">
        <v>109</v>
      </c>
      <c r="AG125" s="1">
        <v>4</v>
      </c>
      <c r="AH125" s="1">
        <v>4</v>
      </c>
      <c r="AI125" s="1" t="s">
        <v>109</v>
      </c>
      <c r="AJ125" s="1">
        <v>4</v>
      </c>
      <c r="AK125" s="1">
        <v>4</v>
      </c>
      <c r="AL125" s="1">
        <v>4</v>
      </c>
      <c r="AM125" s="1" t="s">
        <v>109</v>
      </c>
      <c r="AN125" s="1" t="s">
        <v>109</v>
      </c>
      <c r="AO125" s="1" t="s">
        <v>109</v>
      </c>
      <c r="AP125" s="1"/>
      <c r="AQ125" s="1">
        <v>4</v>
      </c>
      <c r="AR125" s="1" t="s">
        <v>1342</v>
      </c>
      <c r="AS125" s="1" t="s">
        <v>1343</v>
      </c>
      <c r="AT125" s="1">
        <v>0</v>
      </c>
      <c r="AU125" s="1">
        <v>0</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5" t="str">
        <f>HYPERLINK("http://www.d20pfsrd.com/magic/all-spells/d/death-ward","Death Ward")</f>
        <v>Death Ward</v>
      </c>
      <c r="BT125" s="1">
        <v>124</v>
      </c>
      <c r="BU125" s="1" t="s">
        <v>109</v>
      </c>
      <c r="BV125" s="1"/>
      <c r="BW125" s="1"/>
      <c r="BX125" s="1"/>
      <c r="BY125" s="1"/>
      <c r="BZ125" s="1">
        <v>0</v>
      </c>
      <c r="CA125" s="1" t="s">
        <v>109</v>
      </c>
      <c r="CB125" s="1" t="s">
        <v>109</v>
      </c>
      <c r="CC125" s="1" t="s">
        <v>109</v>
      </c>
      <c r="CD125" s="1" t="s">
        <v>109</v>
      </c>
      <c r="CE125" s="1" t="s">
        <v>109</v>
      </c>
      <c r="CF125" s="1">
        <v>4</v>
      </c>
      <c r="CG125" s="1">
        <v>4</v>
      </c>
      <c r="CH125" s="1" t="s">
        <v>109</v>
      </c>
      <c r="CI125" s="1" t="s">
        <v>109</v>
      </c>
      <c r="CJ125" s="1">
        <v>5</v>
      </c>
      <c r="CK125" s="1"/>
      <c r="CL125" s="1">
        <v>0</v>
      </c>
      <c r="CM125" s="1">
        <v>0</v>
      </c>
      <c r="CN125" s="1">
        <v>0</v>
      </c>
    </row>
    <row r="126" spans="1:92" ht="14.25" customHeight="1" x14ac:dyDescent="0.15">
      <c r="A126" s="1" t="s">
        <v>1344</v>
      </c>
      <c r="B126" s="1" t="s">
        <v>308</v>
      </c>
      <c r="C126" s="1"/>
      <c r="D126" s="1"/>
      <c r="E126" s="1" t="s">
        <v>1345</v>
      </c>
      <c r="F126" s="1" t="s">
        <v>98</v>
      </c>
      <c r="G126" s="1" t="s">
        <v>141</v>
      </c>
      <c r="H126" s="1">
        <v>0</v>
      </c>
      <c r="I126" s="1" t="s">
        <v>1192</v>
      </c>
      <c r="J126" s="1" t="s">
        <v>1346</v>
      </c>
      <c r="K126" s="1"/>
      <c r="L126" s="1"/>
      <c r="M126" s="1" t="s">
        <v>194</v>
      </c>
      <c r="N126" s="1">
        <v>0</v>
      </c>
      <c r="O126" s="1">
        <v>0</v>
      </c>
      <c r="P126" s="1" t="s">
        <v>103</v>
      </c>
      <c r="Q126" s="1" t="s">
        <v>104</v>
      </c>
      <c r="R126" s="1" t="s">
        <v>1347</v>
      </c>
      <c r="S126" s="1" t="s">
        <v>1348</v>
      </c>
      <c r="T126" s="1" t="s">
        <v>107</v>
      </c>
      <c r="U126" s="1" t="s">
        <v>1349</v>
      </c>
      <c r="V126" s="1">
        <v>1</v>
      </c>
      <c r="W126" s="1">
        <v>1</v>
      </c>
      <c r="X126" s="1">
        <v>0</v>
      </c>
      <c r="Y126" s="1">
        <v>0</v>
      </c>
      <c r="Z126" s="1">
        <v>0</v>
      </c>
      <c r="AA126" s="1" t="s">
        <v>109</v>
      </c>
      <c r="AB126" s="1" t="s">
        <v>109</v>
      </c>
      <c r="AC126" s="1">
        <v>1</v>
      </c>
      <c r="AD126" s="1" t="s">
        <v>109</v>
      </c>
      <c r="AE126" s="1" t="s">
        <v>109</v>
      </c>
      <c r="AF126" s="1" t="s">
        <v>109</v>
      </c>
      <c r="AG126" s="1" t="s">
        <v>109</v>
      </c>
      <c r="AH126" s="1" t="s">
        <v>109</v>
      </c>
      <c r="AI126" s="1" t="s">
        <v>109</v>
      </c>
      <c r="AJ126" s="1" t="s">
        <v>109</v>
      </c>
      <c r="AK126" s="1" t="s">
        <v>109</v>
      </c>
      <c r="AL126" s="1">
        <v>1</v>
      </c>
      <c r="AM126" s="1" t="s">
        <v>109</v>
      </c>
      <c r="AN126" s="1" t="s">
        <v>109</v>
      </c>
      <c r="AO126" s="1" t="s">
        <v>109</v>
      </c>
      <c r="AP126" s="1"/>
      <c r="AQ126" s="1">
        <v>1</v>
      </c>
      <c r="AR126" s="1" t="s">
        <v>1350</v>
      </c>
      <c r="AS126" s="1" t="s">
        <v>1351</v>
      </c>
      <c r="AT126" s="1">
        <v>0</v>
      </c>
      <c r="AU126" s="1">
        <v>0</v>
      </c>
      <c r="AV126" s="1">
        <v>0</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5" t="str">
        <f>HYPERLINK("http://www.d20pfsrd.com/magic/all-spells/d/deathwatch","Deathwatch")</f>
        <v>Deathwatch</v>
      </c>
      <c r="BT126" s="1">
        <v>125</v>
      </c>
      <c r="BU126" s="1" t="s">
        <v>109</v>
      </c>
      <c r="BV126" s="1"/>
      <c r="BW126" s="1" t="s">
        <v>1333</v>
      </c>
      <c r="BX126" s="1"/>
      <c r="BY126" s="1"/>
      <c r="BZ126" s="1">
        <v>0</v>
      </c>
      <c r="CA126" s="1" t="s">
        <v>109</v>
      </c>
      <c r="CB126" s="1" t="s">
        <v>109</v>
      </c>
      <c r="CC126" s="1" t="s">
        <v>109</v>
      </c>
      <c r="CD126" s="1" t="s">
        <v>109</v>
      </c>
      <c r="CE126" s="1" t="s">
        <v>109</v>
      </c>
      <c r="CF126" s="1" t="s">
        <v>109</v>
      </c>
      <c r="CG126" s="1">
        <v>1</v>
      </c>
      <c r="CH126" s="1" t="s">
        <v>109</v>
      </c>
      <c r="CI126" s="1" t="s">
        <v>109</v>
      </c>
      <c r="CJ126" s="1" t="s">
        <v>109</v>
      </c>
      <c r="CK126" s="1"/>
      <c r="CL126" s="1">
        <v>0</v>
      </c>
      <c r="CM126" s="1">
        <v>0</v>
      </c>
      <c r="CN126" s="1">
        <v>0</v>
      </c>
    </row>
    <row r="127" spans="1:92" ht="14.25" customHeight="1" x14ac:dyDescent="0.15">
      <c r="A127" s="1" t="s">
        <v>1352</v>
      </c>
      <c r="B127" s="1" t="s">
        <v>584</v>
      </c>
      <c r="C127" s="1"/>
      <c r="D127" s="1" t="s">
        <v>51</v>
      </c>
      <c r="E127" s="1" t="s">
        <v>1145</v>
      </c>
      <c r="F127" s="1" t="s">
        <v>98</v>
      </c>
      <c r="G127" s="1" t="s">
        <v>1284</v>
      </c>
      <c r="H127" s="1">
        <v>0</v>
      </c>
      <c r="I127" s="1" t="s">
        <v>161</v>
      </c>
      <c r="J127" s="1"/>
      <c r="K127" s="1"/>
      <c r="L127" s="1" t="s">
        <v>1285</v>
      </c>
      <c r="M127" s="1" t="s">
        <v>367</v>
      </c>
      <c r="N127" s="1">
        <v>1</v>
      </c>
      <c r="O127" s="1">
        <v>0</v>
      </c>
      <c r="P127" s="1" t="s">
        <v>103</v>
      </c>
      <c r="Q127" s="1" t="s">
        <v>104</v>
      </c>
      <c r="R127" s="1" t="s">
        <v>1353</v>
      </c>
      <c r="S127" s="1" t="s">
        <v>1354</v>
      </c>
      <c r="T127" s="1" t="s">
        <v>107</v>
      </c>
      <c r="U127" s="1" t="s">
        <v>1355</v>
      </c>
      <c r="V127" s="1">
        <v>1</v>
      </c>
      <c r="W127" s="1">
        <v>0</v>
      </c>
      <c r="X127" s="1">
        <v>1</v>
      </c>
      <c r="Y127" s="1">
        <v>0</v>
      </c>
      <c r="Z127" s="1">
        <v>1</v>
      </c>
      <c r="AA127" s="1" t="s">
        <v>109</v>
      </c>
      <c r="AB127" s="1" t="s">
        <v>109</v>
      </c>
      <c r="AC127" s="1">
        <v>3</v>
      </c>
      <c r="AD127" s="1" t="s">
        <v>109</v>
      </c>
      <c r="AE127" s="1" t="s">
        <v>109</v>
      </c>
      <c r="AF127" s="1" t="s">
        <v>109</v>
      </c>
      <c r="AG127" s="1" t="s">
        <v>109</v>
      </c>
      <c r="AH127" s="1" t="s">
        <v>109</v>
      </c>
      <c r="AI127" s="1" t="s">
        <v>109</v>
      </c>
      <c r="AJ127" s="1" t="s">
        <v>109</v>
      </c>
      <c r="AK127" s="1" t="s">
        <v>109</v>
      </c>
      <c r="AL127" s="1">
        <v>3</v>
      </c>
      <c r="AM127" s="1" t="s">
        <v>109</v>
      </c>
      <c r="AN127" s="1" t="s">
        <v>109</v>
      </c>
      <c r="AO127" s="1">
        <v>3</v>
      </c>
      <c r="AP127" s="1"/>
      <c r="AQ127" s="1">
        <v>3</v>
      </c>
      <c r="AR127" s="1" t="s">
        <v>1356</v>
      </c>
      <c r="AS127" s="1" t="s">
        <v>1357</v>
      </c>
      <c r="AT127" s="1">
        <v>0</v>
      </c>
      <c r="AU127" s="1">
        <v>0</v>
      </c>
      <c r="AV127" s="1">
        <v>0</v>
      </c>
      <c r="AW127" s="1">
        <v>0</v>
      </c>
      <c r="AX127" s="1">
        <v>0</v>
      </c>
      <c r="AY127" s="1">
        <v>1</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5" t="str">
        <f>HYPERLINK("http://www.d20pfsrd.com/magic/all-spells/d/deeper-darkness","Deeper Darkness")</f>
        <v>Deeper Darkness</v>
      </c>
      <c r="BT127" s="1">
        <v>126</v>
      </c>
      <c r="BU127" s="1" t="s">
        <v>109</v>
      </c>
      <c r="BV127" s="1" t="s">
        <v>1358</v>
      </c>
      <c r="BW127" s="1" t="s">
        <v>1359</v>
      </c>
      <c r="BX127" s="1"/>
      <c r="BY127" s="1"/>
      <c r="BZ127" s="1">
        <v>0</v>
      </c>
      <c r="CA127" s="1" t="s">
        <v>109</v>
      </c>
      <c r="CB127" s="1">
        <v>3</v>
      </c>
      <c r="CC127" s="1" t="s">
        <v>109</v>
      </c>
      <c r="CD127" s="1" t="s">
        <v>109</v>
      </c>
      <c r="CE127" s="1" t="s">
        <v>109</v>
      </c>
      <c r="CF127" s="1">
        <v>3</v>
      </c>
      <c r="CG127" s="1" t="s">
        <v>109</v>
      </c>
      <c r="CH127" s="1" t="s">
        <v>109</v>
      </c>
      <c r="CI127" s="1" t="s">
        <v>109</v>
      </c>
      <c r="CJ127" s="1" t="s">
        <v>109</v>
      </c>
      <c r="CK127" s="1"/>
      <c r="CL127" s="1">
        <v>0</v>
      </c>
      <c r="CM127" s="1">
        <v>0</v>
      </c>
      <c r="CN127" s="1">
        <v>0</v>
      </c>
    </row>
    <row r="128" spans="1:92" ht="14.25" customHeight="1" x14ac:dyDescent="0.15">
      <c r="A128" s="1" t="s">
        <v>1360</v>
      </c>
      <c r="B128" s="1" t="s">
        <v>156</v>
      </c>
      <c r="C128" s="1" t="s">
        <v>157</v>
      </c>
      <c r="D128" s="1" t="s">
        <v>158</v>
      </c>
      <c r="E128" s="1" t="s">
        <v>1361</v>
      </c>
      <c r="F128" s="1" t="s">
        <v>355</v>
      </c>
      <c r="G128" s="1" t="s">
        <v>1362</v>
      </c>
      <c r="H128" s="1">
        <v>0</v>
      </c>
      <c r="I128" s="1" t="s">
        <v>142</v>
      </c>
      <c r="J128" s="1" t="s">
        <v>1363</v>
      </c>
      <c r="K128" s="1"/>
      <c r="L128" s="1"/>
      <c r="M128" s="1" t="s">
        <v>164</v>
      </c>
      <c r="N128" s="1">
        <v>0</v>
      </c>
      <c r="O128" s="1">
        <v>0</v>
      </c>
      <c r="P128" s="1" t="s">
        <v>301</v>
      </c>
      <c r="Q128" s="1" t="s">
        <v>268</v>
      </c>
      <c r="R128" s="1" t="s">
        <v>1364</v>
      </c>
      <c r="S128" s="1" t="s">
        <v>1365</v>
      </c>
      <c r="T128" s="1" t="s">
        <v>107</v>
      </c>
      <c r="U128" s="1" t="s">
        <v>1366</v>
      </c>
      <c r="V128" s="1">
        <v>1</v>
      </c>
      <c r="W128" s="1">
        <v>1</v>
      </c>
      <c r="X128" s="1">
        <v>1</v>
      </c>
      <c r="Y128" s="1">
        <v>0</v>
      </c>
      <c r="Z128" s="1">
        <v>0</v>
      </c>
      <c r="AA128" s="1">
        <v>3</v>
      </c>
      <c r="AB128" s="1">
        <v>3</v>
      </c>
      <c r="AC128" s="1" t="s">
        <v>109</v>
      </c>
      <c r="AD128" s="1" t="s">
        <v>109</v>
      </c>
      <c r="AE128" s="1" t="s">
        <v>109</v>
      </c>
      <c r="AF128" s="1">
        <v>3</v>
      </c>
      <c r="AG128" s="1" t="s">
        <v>109</v>
      </c>
      <c r="AH128" s="1" t="s">
        <v>109</v>
      </c>
      <c r="AI128" s="1" t="s">
        <v>109</v>
      </c>
      <c r="AJ128" s="1">
        <v>3</v>
      </c>
      <c r="AK128" s="1" t="s">
        <v>109</v>
      </c>
      <c r="AL128" s="1" t="s">
        <v>109</v>
      </c>
      <c r="AM128" s="1" t="s">
        <v>109</v>
      </c>
      <c r="AN128" s="1" t="s">
        <v>109</v>
      </c>
      <c r="AO128" s="1" t="s">
        <v>109</v>
      </c>
      <c r="AP128" s="1"/>
      <c r="AQ128" s="1">
        <v>3</v>
      </c>
      <c r="AR128" s="1"/>
      <c r="AS128" s="1" t="s">
        <v>1367</v>
      </c>
      <c r="AT128" s="1">
        <v>0</v>
      </c>
      <c r="AU128" s="1">
        <v>0</v>
      </c>
      <c r="AV128" s="1">
        <v>0</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1</v>
      </c>
      <c r="BN128" s="1">
        <v>0</v>
      </c>
      <c r="BO128" s="1">
        <v>0</v>
      </c>
      <c r="BP128" s="1">
        <v>0</v>
      </c>
      <c r="BQ128" s="1">
        <v>0</v>
      </c>
      <c r="BR128" s="1">
        <v>0</v>
      </c>
      <c r="BS128" s="5" t="str">
        <f>HYPERLINK("http://www.d20pfsrd.com/magic/all-spells/d/deep-slumber","Deep Slumber")</f>
        <v>Deep Slumber</v>
      </c>
      <c r="BT128" s="1">
        <v>127</v>
      </c>
      <c r="BU128" s="1" t="s">
        <v>109</v>
      </c>
      <c r="BV128" s="1" t="s">
        <v>1368</v>
      </c>
      <c r="BW128" s="1"/>
      <c r="BX128" s="1" t="s">
        <v>1369</v>
      </c>
      <c r="BY128" s="1" t="s">
        <v>1370</v>
      </c>
      <c r="BZ128" s="1">
        <v>1</v>
      </c>
      <c r="CA128" s="1" t="s">
        <v>109</v>
      </c>
      <c r="CB128" s="1">
        <v>3</v>
      </c>
      <c r="CC128" s="1">
        <v>3</v>
      </c>
      <c r="CD128" s="1" t="s">
        <v>109</v>
      </c>
      <c r="CE128" s="1">
        <v>3</v>
      </c>
      <c r="CF128" s="1">
        <v>3</v>
      </c>
      <c r="CG128" s="1" t="s">
        <v>109</v>
      </c>
      <c r="CH128" s="1" t="s">
        <v>109</v>
      </c>
      <c r="CI128" s="1" t="s">
        <v>109</v>
      </c>
      <c r="CJ128" s="1" t="s">
        <v>109</v>
      </c>
      <c r="CK128" s="1"/>
      <c r="CL128" s="1">
        <v>0</v>
      </c>
      <c r="CM128" s="1">
        <v>0</v>
      </c>
      <c r="CN128" s="1">
        <v>0</v>
      </c>
    </row>
    <row r="129" spans="1:92" ht="14.25" customHeight="1" x14ac:dyDescent="0.15">
      <c r="A129" s="1" t="s">
        <v>1371</v>
      </c>
      <c r="B129" s="1" t="s">
        <v>584</v>
      </c>
      <c r="C129" s="1"/>
      <c r="D129" s="1" t="s">
        <v>59</v>
      </c>
      <c r="E129" s="1" t="s">
        <v>1101</v>
      </c>
      <c r="F129" s="1" t="s">
        <v>98</v>
      </c>
      <c r="G129" s="1" t="s">
        <v>1372</v>
      </c>
      <c r="H129" s="1">
        <v>0</v>
      </c>
      <c r="I129" s="1" t="s">
        <v>100</v>
      </c>
      <c r="J129" s="1" t="s">
        <v>573</v>
      </c>
      <c r="K129" s="1"/>
      <c r="L129" s="1"/>
      <c r="M129" s="1" t="s">
        <v>1373</v>
      </c>
      <c r="N129" s="1">
        <v>0</v>
      </c>
      <c r="O129" s="1">
        <v>0</v>
      </c>
      <c r="P129" s="1" t="s">
        <v>727</v>
      </c>
      <c r="Q129" s="1" t="s">
        <v>268</v>
      </c>
      <c r="R129" s="1" t="s">
        <v>1374</v>
      </c>
      <c r="S129" s="1" t="s">
        <v>1375</v>
      </c>
      <c r="T129" s="1" t="s">
        <v>107</v>
      </c>
      <c r="U129" s="1" t="s">
        <v>1376</v>
      </c>
      <c r="V129" s="1">
        <v>1</v>
      </c>
      <c r="W129" s="1">
        <v>1</v>
      </c>
      <c r="X129" s="1">
        <v>1</v>
      </c>
      <c r="Y129" s="1">
        <v>0</v>
      </c>
      <c r="Z129" s="1">
        <v>0</v>
      </c>
      <c r="AA129" s="1">
        <v>7</v>
      </c>
      <c r="AB129" s="1">
        <v>7</v>
      </c>
      <c r="AC129" s="1" t="s">
        <v>109</v>
      </c>
      <c r="AD129" s="1" t="s">
        <v>109</v>
      </c>
      <c r="AE129" s="1" t="s">
        <v>109</v>
      </c>
      <c r="AF129" s="1" t="s">
        <v>109</v>
      </c>
      <c r="AG129" s="1" t="s">
        <v>109</v>
      </c>
      <c r="AH129" s="1" t="s">
        <v>109</v>
      </c>
      <c r="AI129" s="1" t="s">
        <v>109</v>
      </c>
      <c r="AJ129" s="1" t="s">
        <v>109</v>
      </c>
      <c r="AK129" s="1" t="s">
        <v>109</v>
      </c>
      <c r="AL129" s="1" t="s">
        <v>109</v>
      </c>
      <c r="AM129" s="1" t="s">
        <v>109</v>
      </c>
      <c r="AN129" s="1" t="s">
        <v>109</v>
      </c>
      <c r="AO129" s="1" t="s">
        <v>109</v>
      </c>
      <c r="AP129" s="1"/>
      <c r="AQ129" s="1">
        <v>7</v>
      </c>
      <c r="AR129" s="1" t="s">
        <v>1377</v>
      </c>
      <c r="AS129" s="1" t="s">
        <v>1378</v>
      </c>
      <c r="AT129" s="1">
        <v>0</v>
      </c>
      <c r="AU129" s="1">
        <v>0</v>
      </c>
      <c r="AV129" s="1">
        <v>0</v>
      </c>
      <c r="AW129" s="1">
        <v>0</v>
      </c>
      <c r="AX129" s="1">
        <v>0</v>
      </c>
      <c r="AY129" s="1">
        <v>0</v>
      </c>
      <c r="AZ129" s="1">
        <v>0</v>
      </c>
      <c r="BA129" s="1">
        <v>0</v>
      </c>
      <c r="BB129" s="1">
        <v>0</v>
      </c>
      <c r="BC129" s="1">
        <v>0</v>
      </c>
      <c r="BD129" s="1">
        <v>0</v>
      </c>
      <c r="BE129" s="1">
        <v>0</v>
      </c>
      <c r="BF129" s="1">
        <v>0</v>
      </c>
      <c r="BG129" s="1">
        <v>1</v>
      </c>
      <c r="BH129" s="1">
        <v>0</v>
      </c>
      <c r="BI129" s="1">
        <v>0</v>
      </c>
      <c r="BJ129" s="1">
        <v>0</v>
      </c>
      <c r="BK129" s="1">
        <v>0</v>
      </c>
      <c r="BL129" s="1">
        <v>0</v>
      </c>
      <c r="BM129" s="1">
        <v>0</v>
      </c>
      <c r="BN129" s="1">
        <v>0</v>
      </c>
      <c r="BO129" s="1">
        <v>0</v>
      </c>
      <c r="BP129" s="1">
        <v>0</v>
      </c>
      <c r="BQ129" s="1">
        <v>0</v>
      </c>
      <c r="BR129" s="1">
        <v>0</v>
      </c>
      <c r="BS129" s="5" t="str">
        <f>HYPERLINK("http://www.d20pfsrd.com/magic/all-spells/d/delayed-blast-fireball","Delayed Blast Fireball")</f>
        <v>Delayed Blast Fireball</v>
      </c>
      <c r="BT129" s="1">
        <v>128</v>
      </c>
      <c r="BU129" s="1" t="s">
        <v>109</v>
      </c>
      <c r="BV129" s="1" t="s">
        <v>1379</v>
      </c>
      <c r="BW129" s="1"/>
      <c r="BX129" s="1"/>
      <c r="BY129" s="1"/>
      <c r="BZ129" s="1">
        <v>0</v>
      </c>
      <c r="CA129" s="1" t="s">
        <v>109</v>
      </c>
      <c r="CB129" s="1" t="s">
        <v>109</v>
      </c>
      <c r="CC129" s="1" t="s">
        <v>109</v>
      </c>
      <c r="CD129" s="1" t="s">
        <v>109</v>
      </c>
      <c r="CE129" s="1" t="s">
        <v>109</v>
      </c>
      <c r="CF129" s="1" t="s">
        <v>109</v>
      </c>
      <c r="CG129" s="1" t="s">
        <v>109</v>
      </c>
      <c r="CH129" s="1" t="s">
        <v>109</v>
      </c>
      <c r="CI129" s="1" t="s">
        <v>109</v>
      </c>
      <c r="CJ129" s="1" t="s">
        <v>109</v>
      </c>
      <c r="CK129" s="1"/>
      <c r="CL129" s="1">
        <v>0</v>
      </c>
      <c r="CM129" s="1">
        <v>0</v>
      </c>
      <c r="CN129" s="1">
        <v>0</v>
      </c>
    </row>
    <row r="130" spans="1:92" ht="14.25" customHeight="1" x14ac:dyDescent="0.15">
      <c r="A130" s="1" t="s">
        <v>1380</v>
      </c>
      <c r="B130" s="1" t="s">
        <v>95</v>
      </c>
      <c r="C130" s="1" t="s">
        <v>694</v>
      </c>
      <c r="D130" s="1"/>
      <c r="E130" s="1" t="s">
        <v>1381</v>
      </c>
      <c r="F130" s="1" t="s">
        <v>98</v>
      </c>
      <c r="G130" s="1" t="s">
        <v>160</v>
      </c>
      <c r="H130" s="1">
        <v>0</v>
      </c>
      <c r="I130" s="1" t="s">
        <v>161</v>
      </c>
      <c r="J130" s="1"/>
      <c r="K130" s="1"/>
      <c r="L130" s="1" t="s">
        <v>506</v>
      </c>
      <c r="M130" s="1" t="s">
        <v>289</v>
      </c>
      <c r="N130" s="1">
        <v>0</v>
      </c>
      <c r="O130" s="1">
        <v>0</v>
      </c>
      <c r="P130" s="1" t="s">
        <v>1382</v>
      </c>
      <c r="Q130" s="1" t="s">
        <v>167</v>
      </c>
      <c r="R130" s="1" t="s">
        <v>1383</v>
      </c>
      <c r="S130" s="1" t="s">
        <v>1384</v>
      </c>
      <c r="T130" s="1" t="s">
        <v>107</v>
      </c>
      <c r="U130" s="1" t="s">
        <v>1385</v>
      </c>
      <c r="V130" s="1">
        <v>1</v>
      </c>
      <c r="W130" s="1">
        <v>1</v>
      </c>
      <c r="X130" s="1">
        <v>0</v>
      </c>
      <c r="Y130" s="1">
        <v>0</v>
      </c>
      <c r="Z130" s="1">
        <v>1</v>
      </c>
      <c r="AA130" s="1" t="s">
        <v>109</v>
      </c>
      <c r="AB130" s="1" t="s">
        <v>109</v>
      </c>
      <c r="AC130" s="1">
        <v>2</v>
      </c>
      <c r="AD130" s="1">
        <v>2</v>
      </c>
      <c r="AE130" s="1">
        <v>1</v>
      </c>
      <c r="AF130" s="1">
        <v>2</v>
      </c>
      <c r="AG130" s="1">
        <v>2</v>
      </c>
      <c r="AH130" s="1">
        <v>2</v>
      </c>
      <c r="AI130" s="1" t="s">
        <v>109</v>
      </c>
      <c r="AJ130" s="1">
        <v>2</v>
      </c>
      <c r="AK130" s="1">
        <v>2</v>
      </c>
      <c r="AL130" s="1">
        <v>2</v>
      </c>
      <c r="AM130" s="1" t="s">
        <v>109</v>
      </c>
      <c r="AN130" s="1" t="s">
        <v>109</v>
      </c>
      <c r="AO130" s="1">
        <v>2</v>
      </c>
      <c r="AP130" s="1"/>
      <c r="AQ130" s="1">
        <v>2</v>
      </c>
      <c r="AR130" s="1"/>
      <c r="AS130" s="1" t="s">
        <v>1386</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5" t="str">
        <f>HYPERLINK("http://www.d20pfsrd.com/magic/all-spells/d/delay-poison","Delay Poison")</f>
        <v>Delay Poison</v>
      </c>
      <c r="BT130" s="1">
        <v>129</v>
      </c>
      <c r="BU130" s="1" t="s">
        <v>109</v>
      </c>
      <c r="BV130" s="1" t="s">
        <v>1387</v>
      </c>
      <c r="BW130" s="1"/>
      <c r="BX130" s="1"/>
      <c r="BY130" s="1"/>
      <c r="BZ130" s="1">
        <v>0</v>
      </c>
      <c r="CA130" s="1" t="s">
        <v>109</v>
      </c>
      <c r="CB130" s="1">
        <v>2</v>
      </c>
      <c r="CC130" s="1" t="s">
        <v>109</v>
      </c>
      <c r="CD130" s="1" t="s">
        <v>109</v>
      </c>
      <c r="CE130" s="1">
        <v>2</v>
      </c>
      <c r="CF130" s="1">
        <v>2</v>
      </c>
      <c r="CG130" s="1" t="s">
        <v>109</v>
      </c>
      <c r="CH130" s="1" t="s">
        <v>109</v>
      </c>
      <c r="CI130" s="1" t="s">
        <v>109</v>
      </c>
      <c r="CJ130" s="1">
        <v>1</v>
      </c>
      <c r="CK130" s="1"/>
      <c r="CL130" s="1">
        <v>0</v>
      </c>
      <c r="CM130" s="1">
        <v>0</v>
      </c>
      <c r="CN130" s="1">
        <v>0</v>
      </c>
    </row>
    <row r="131" spans="1:92" ht="14.25" customHeight="1" x14ac:dyDescent="0.15">
      <c r="A131" s="1" t="s">
        <v>1388</v>
      </c>
      <c r="B131" s="1" t="s">
        <v>156</v>
      </c>
      <c r="C131" s="1" t="s">
        <v>157</v>
      </c>
      <c r="D131" s="1" t="s">
        <v>158</v>
      </c>
      <c r="E131" s="1" t="s">
        <v>1389</v>
      </c>
      <c r="F131" s="1" t="s">
        <v>395</v>
      </c>
      <c r="G131" s="1" t="s">
        <v>1390</v>
      </c>
      <c r="H131" s="1">
        <v>0</v>
      </c>
      <c r="I131" s="1" t="s">
        <v>211</v>
      </c>
      <c r="J131" s="1"/>
      <c r="K131" s="1"/>
      <c r="L131" s="1" t="s">
        <v>1391</v>
      </c>
      <c r="M131" s="1" t="s">
        <v>1392</v>
      </c>
      <c r="N131" s="1">
        <v>0</v>
      </c>
      <c r="O131" s="1">
        <v>0</v>
      </c>
      <c r="P131" s="1" t="s">
        <v>380</v>
      </c>
      <c r="Q131" s="1" t="s">
        <v>268</v>
      </c>
      <c r="R131" s="1" t="s">
        <v>1393</v>
      </c>
      <c r="S131" s="1" t="s">
        <v>1394</v>
      </c>
      <c r="T131" s="1" t="s">
        <v>107</v>
      </c>
      <c r="U131" s="1" t="s">
        <v>1395</v>
      </c>
      <c r="V131" s="1">
        <v>1</v>
      </c>
      <c r="W131" s="1">
        <v>1</v>
      </c>
      <c r="X131" s="1">
        <v>1</v>
      </c>
      <c r="Y131" s="1">
        <v>0</v>
      </c>
      <c r="Z131" s="1">
        <v>1</v>
      </c>
      <c r="AA131" s="1">
        <v>8</v>
      </c>
      <c r="AB131" s="1">
        <v>8</v>
      </c>
      <c r="AC131" s="1" t="s">
        <v>109</v>
      </c>
      <c r="AD131" s="1" t="s">
        <v>109</v>
      </c>
      <c r="AE131" s="1" t="s">
        <v>109</v>
      </c>
      <c r="AF131" s="1" t="s">
        <v>109</v>
      </c>
      <c r="AG131" s="1" t="s">
        <v>109</v>
      </c>
      <c r="AH131" s="1" t="s">
        <v>109</v>
      </c>
      <c r="AI131" s="1" t="s">
        <v>109</v>
      </c>
      <c r="AJ131" s="1">
        <v>8</v>
      </c>
      <c r="AK131" s="1" t="s">
        <v>109</v>
      </c>
      <c r="AL131" s="1" t="s">
        <v>109</v>
      </c>
      <c r="AM131" s="1" t="s">
        <v>109</v>
      </c>
      <c r="AN131" s="1" t="s">
        <v>109</v>
      </c>
      <c r="AO131" s="1" t="s">
        <v>109</v>
      </c>
      <c r="AP131" s="1"/>
      <c r="AQ131" s="1">
        <v>8</v>
      </c>
      <c r="AR131" s="1" t="s">
        <v>1396</v>
      </c>
      <c r="AS131" s="1" t="s">
        <v>1397</v>
      </c>
      <c r="AT131" s="1">
        <v>0</v>
      </c>
      <c r="AU131" s="1">
        <v>0</v>
      </c>
      <c r="AV131" s="1">
        <v>0</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1</v>
      </c>
      <c r="BN131" s="1">
        <v>0</v>
      </c>
      <c r="BO131" s="1">
        <v>0</v>
      </c>
      <c r="BP131" s="1">
        <v>0</v>
      </c>
      <c r="BQ131" s="1">
        <v>0</v>
      </c>
      <c r="BR131" s="1">
        <v>0</v>
      </c>
      <c r="BS131" s="5" t="str">
        <f>HYPERLINK("http://www.d20pfsrd.com/magic/all-spells/d/demand","Demand")</f>
        <v>Demand</v>
      </c>
      <c r="BT131" s="1">
        <v>130</v>
      </c>
      <c r="BU131" s="1" t="s">
        <v>109</v>
      </c>
      <c r="BV131" s="1"/>
      <c r="BW131" s="1" t="s">
        <v>1398</v>
      </c>
      <c r="BX131" s="1"/>
      <c r="BY131" s="1"/>
      <c r="BZ131" s="1">
        <v>0</v>
      </c>
      <c r="CA131" s="1" t="s">
        <v>109</v>
      </c>
      <c r="CB131" s="1" t="s">
        <v>109</v>
      </c>
      <c r="CC131" s="1">
        <v>8</v>
      </c>
      <c r="CD131" s="1" t="s">
        <v>109</v>
      </c>
      <c r="CE131" s="1">
        <v>6</v>
      </c>
      <c r="CF131" s="1" t="s">
        <v>109</v>
      </c>
      <c r="CG131" s="1" t="s">
        <v>109</v>
      </c>
      <c r="CH131" s="1" t="s">
        <v>109</v>
      </c>
      <c r="CI131" s="1" t="s">
        <v>109</v>
      </c>
      <c r="CJ131" s="1" t="s">
        <v>109</v>
      </c>
      <c r="CK131" s="1"/>
      <c r="CL131" s="1">
        <v>0</v>
      </c>
      <c r="CM131" s="1">
        <v>0</v>
      </c>
      <c r="CN131" s="1">
        <v>0</v>
      </c>
    </row>
    <row r="132" spans="1:92" ht="14.25" customHeight="1" x14ac:dyDescent="0.15">
      <c r="A132" s="1" t="s">
        <v>1399</v>
      </c>
      <c r="B132" s="1" t="s">
        <v>584</v>
      </c>
      <c r="C132" s="1"/>
      <c r="D132" s="1" t="s">
        <v>57</v>
      </c>
      <c r="E132" s="1" t="s">
        <v>1400</v>
      </c>
      <c r="F132" s="1" t="s">
        <v>98</v>
      </c>
      <c r="G132" s="1" t="s">
        <v>1401</v>
      </c>
      <c r="H132" s="1">
        <v>1</v>
      </c>
      <c r="I132" s="1" t="s">
        <v>142</v>
      </c>
      <c r="J132" s="1" t="s">
        <v>1045</v>
      </c>
      <c r="K132" s="1"/>
      <c r="L132" s="1"/>
      <c r="M132" s="1" t="s">
        <v>246</v>
      </c>
      <c r="N132" s="1">
        <v>0</v>
      </c>
      <c r="O132" s="1">
        <v>0</v>
      </c>
      <c r="P132" s="1" t="s">
        <v>103</v>
      </c>
      <c r="Q132" s="1" t="s">
        <v>268</v>
      </c>
      <c r="R132" s="1" t="s">
        <v>1402</v>
      </c>
      <c r="S132" s="1" t="s">
        <v>1403</v>
      </c>
      <c r="T132" s="1" t="s">
        <v>107</v>
      </c>
      <c r="U132" s="1" t="s">
        <v>1404</v>
      </c>
      <c r="V132" s="1">
        <v>1</v>
      </c>
      <c r="W132" s="1">
        <v>1</v>
      </c>
      <c r="X132" s="1">
        <v>1</v>
      </c>
      <c r="Y132" s="1">
        <v>0</v>
      </c>
      <c r="Z132" s="1">
        <v>1</v>
      </c>
      <c r="AA132" s="1" t="s">
        <v>109</v>
      </c>
      <c r="AB132" s="1" t="s">
        <v>109</v>
      </c>
      <c r="AC132" s="1">
        <v>2</v>
      </c>
      <c r="AD132" s="1" t="s">
        <v>109</v>
      </c>
      <c r="AE132" s="1" t="s">
        <v>109</v>
      </c>
      <c r="AF132" s="1" t="s">
        <v>109</v>
      </c>
      <c r="AG132" s="1" t="s">
        <v>109</v>
      </c>
      <c r="AH132" s="1" t="s">
        <v>109</v>
      </c>
      <c r="AI132" s="1" t="s">
        <v>109</v>
      </c>
      <c r="AJ132" s="1" t="s">
        <v>109</v>
      </c>
      <c r="AK132" s="1">
        <v>2</v>
      </c>
      <c r="AL132" s="1">
        <v>2</v>
      </c>
      <c r="AM132" s="1">
        <v>2</v>
      </c>
      <c r="AN132" s="1" t="s">
        <v>109</v>
      </c>
      <c r="AO132" s="1" t="s">
        <v>109</v>
      </c>
      <c r="AP132" s="1"/>
      <c r="AQ132" s="1">
        <v>2</v>
      </c>
      <c r="AR132" s="1"/>
      <c r="AS132" s="1" t="s">
        <v>1405</v>
      </c>
      <c r="AT132" s="1">
        <v>0</v>
      </c>
      <c r="AU132" s="1">
        <v>0</v>
      </c>
      <c r="AV132" s="1">
        <v>0</v>
      </c>
      <c r="AW132" s="1">
        <v>0</v>
      </c>
      <c r="AX132" s="1">
        <v>0</v>
      </c>
      <c r="AY132" s="1">
        <v>0</v>
      </c>
      <c r="AZ132" s="1">
        <v>0</v>
      </c>
      <c r="BA132" s="1">
        <v>0</v>
      </c>
      <c r="BB132" s="1">
        <v>0</v>
      </c>
      <c r="BC132" s="1">
        <v>0</v>
      </c>
      <c r="BD132" s="1">
        <v>0</v>
      </c>
      <c r="BE132" s="1">
        <v>1</v>
      </c>
      <c r="BF132" s="1">
        <v>0</v>
      </c>
      <c r="BG132" s="1">
        <v>0</v>
      </c>
      <c r="BH132" s="1">
        <v>0</v>
      </c>
      <c r="BI132" s="1">
        <v>0</v>
      </c>
      <c r="BJ132" s="1">
        <v>0</v>
      </c>
      <c r="BK132" s="1">
        <v>0</v>
      </c>
      <c r="BL132" s="1">
        <v>0</v>
      </c>
      <c r="BM132" s="1">
        <v>0</v>
      </c>
      <c r="BN132" s="1">
        <v>0</v>
      </c>
      <c r="BO132" s="1">
        <v>0</v>
      </c>
      <c r="BP132" s="1">
        <v>0</v>
      </c>
      <c r="BQ132" s="1">
        <v>0</v>
      </c>
      <c r="BR132" s="1">
        <v>0</v>
      </c>
      <c r="BS132" s="5" t="str">
        <f>HYPERLINK("http://www.d20pfsrd.com/magic/all-spells/d/desecrate","Desecrate")</f>
        <v>Desecrate</v>
      </c>
      <c r="BT132" s="1">
        <v>131</v>
      </c>
      <c r="BU132" s="1">
        <v>25</v>
      </c>
      <c r="BV132" s="1"/>
      <c r="BW132" s="1"/>
      <c r="BX132" s="1" t="s">
        <v>1406</v>
      </c>
      <c r="BY132" s="1"/>
      <c r="BZ132" s="1">
        <v>1</v>
      </c>
      <c r="CA132" s="1" t="s">
        <v>109</v>
      </c>
      <c r="CB132" s="1" t="s">
        <v>109</v>
      </c>
      <c r="CC132" s="1" t="s">
        <v>109</v>
      </c>
      <c r="CD132" s="1" t="s">
        <v>109</v>
      </c>
      <c r="CE132" s="1" t="s">
        <v>109</v>
      </c>
      <c r="CF132" s="1" t="s">
        <v>109</v>
      </c>
      <c r="CG132" s="1" t="s">
        <v>109</v>
      </c>
      <c r="CH132" s="1" t="s">
        <v>109</v>
      </c>
      <c r="CI132" s="1" t="s">
        <v>109</v>
      </c>
      <c r="CJ132" s="1" t="s">
        <v>109</v>
      </c>
      <c r="CK132" s="1"/>
      <c r="CL132" s="1">
        <v>0</v>
      </c>
      <c r="CM132" s="1">
        <v>0</v>
      </c>
      <c r="CN132" s="1">
        <v>0</v>
      </c>
    </row>
    <row r="133" spans="1:92" ht="14.25" customHeight="1" x14ac:dyDescent="0.15">
      <c r="A133" s="1" t="s">
        <v>1407</v>
      </c>
      <c r="B133" s="1" t="s">
        <v>308</v>
      </c>
      <c r="C133" s="1"/>
      <c r="D133" s="1" t="s">
        <v>52</v>
      </c>
      <c r="E133" s="1" t="s">
        <v>1408</v>
      </c>
      <c r="F133" s="1" t="s">
        <v>98</v>
      </c>
      <c r="G133" s="1" t="s">
        <v>1409</v>
      </c>
      <c r="H133" s="1">
        <v>1</v>
      </c>
      <c r="I133" s="1" t="s">
        <v>142</v>
      </c>
      <c r="J133" s="1"/>
      <c r="K133" s="1"/>
      <c r="L133" s="1" t="s">
        <v>1391</v>
      </c>
      <c r="M133" s="1" t="s">
        <v>144</v>
      </c>
      <c r="N133" s="1">
        <v>0</v>
      </c>
      <c r="O133" s="1">
        <v>0</v>
      </c>
      <c r="P133" s="1" t="s">
        <v>1410</v>
      </c>
      <c r="Q133" s="1" t="s">
        <v>268</v>
      </c>
      <c r="R133" s="1" t="s">
        <v>1411</v>
      </c>
      <c r="S133" s="1" t="s">
        <v>1412</v>
      </c>
      <c r="T133" s="1" t="s">
        <v>107</v>
      </c>
      <c r="U133" s="1" t="s">
        <v>1413</v>
      </c>
      <c r="V133" s="1">
        <v>1</v>
      </c>
      <c r="W133" s="1">
        <v>1</v>
      </c>
      <c r="X133" s="1">
        <v>0</v>
      </c>
      <c r="Y133" s="1">
        <v>1</v>
      </c>
      <c r="Z133" s="1">
        <v>0</v>
      </c>
      <c r="AA133" s="1" t="s">
        <v>109</v>
      </c>
      <c r="AB133" s="1" t="s">
        <v>109</v>
      </c>
      <c r="AC133" s="1">
        <v>7</v>
      </c>
      <c r="AD133" s="1" t="s">
        <v>109</v>
      </c>
      <c r="AE133" s="1" t="s">
        <v>109</v>
      </c>
      <c r="AF133" s="1" t="s">
        <v>109</v>
      </c>
      <c r="AG133" s="1" t="s">
        <v>109</v>
      </c>
      <c r="AH133" s="1" t="s">
        <v>109</v>
      </c>
      <c r="AI133" s="1" t="s">
        <v>109</v>
      </c>
      <c r="AJ133" s="1">
        <v>8</v>
      </c>
      <c r="AK133" s="1" t="s">
        <v>109</v>
      </c>
      <c r="AL133" s="1">
        <v>7</v>
      </c>
      <c r="AM133" s="1" t="s">
        <v>109</v>
      </c>
      <c r="AN133" s="1" t="s">
        <v>109</v>
      </c>
      <c r="AO133" s="1" t="s">
        <v>109</v>
      </c>
      <c r="AP133" s="1"/>
      <c r="AQ133" s="1">
        <v>7</v>
      </c>
      <c r="AR133" s="1" t="s">
        <v>1414</v>
      </c>
      <c r="AS133" s="1" t="s">
        <v>1415</v>
      </c>
      <c r="AT133" s="1">
        <v>0</v>
      </c>
      <c r="AU133" s="1">
        <v>0</v>
      </c>
      <c r="AV133" s="1">
        <v>0</v>
      </c>
      <c r="AW133" s="1">
        <v>0</v>
      </c>
      <c r="AX133" s="1">
        <v>0</v>
      </c>
      <c r="AY133" s="1">
        <v>0</v>
      </c>
      <c r="AZ133" s="1">
        <v>1</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5" t="str">
        <f>HYPERLINK("http://www.d20pfsrd.com/magic/all-spells/d/destruction","Destruction")</f>
        <v>Destruction</v>
      </c>
      <c r="BT133" s="1">
        <v>132</v>
      </c>
      <c r="BU133" s="1">
        <v>500</v>
      </c>
      <c r="BV133" s="1"/>
      <c r="BW133" s="1"/>
      <c r="BX133" s="1"/>
      <c r="BY133" s="1"/>
      <c r="BZ133" s="1">
        <v>0</v>
      </c>
      <c r="CA133" s="1" t="s">
        <v>109</v>
      </c>
      <c r="CB133" s="1">
        <v>8</v>
      </c>
      <c r="CC133" s="1" t="s">
        <v>109</v>
      </c>
      <c r="CD133" s="1" t="s">
        <v>109</v>
      </c>
      <c r="CE133" s="1" t="s">
        <v>109</v>
      </c>
      <c r="CF133" s="1" t="s">
        <v>109</v>
      </c>
      <c r="CG133" s="1" t="s">
        <v>109</v>
      </c>
      <c r="CH133" s="1" t="s">
        <v>109</v>
      </c>
      <c r="CI133" s="1" t="s">
        <v>109</v>
      </c>
      <c r="CJ133" s="1" t="s">
        <v>109</v>
      </c>
      <c r="CK133" s="1"/>
      <c r="CL133" s="1">
        <v>0</v>
      </c>
      <c r="CM133" s="1">
        <v>0</v>
      </c>
      <c r="CN133" s="1">
        <v>0</v>
      </c>
    </row>
    <row r="134" spans="1:92" ht="14.25" customHeight="1" x14ac:dyDescent="0.15">
      <c r="A134" s="1" t="s">
        <v>1416</v>
      </c>
      <c r="B134" s="1" t="s">
        <v>254</v>
      </c>
      <c r="C134" s="1"/>
      <c r="D134" s="1"/>
      <c r="E134" s="1" t="s">
        <v>756</v>
      </c>
      <c r="F134" s="1" t="s">
        <v>98</v>
      </c>
      <c r="G134" s="1" t="s">
        <v>141</v>
      </c>
      <c r="H134" s="1">
        <v>0</v>
      </c>
      <c r="I134" s="1" t="s">
        <v>100</v>
      </c>
      <c r="J134" s="1" t="s">
        <v>1346</v>
      </c>
      <c r="K134" s="1"/>
      <c r="L134" s="1"/>
      <c r="M134" s="1" t="s">
        <v>1417</v>
      </c>
      <c r="N134" s="1">
        <v>1</v>
      </c>
      <c r="O134" s="1">
        <v>0</v>
      </c>
      <c r="P134" s="1" t="s">
        <v>103</v>
      </c>
      <c r="Q134" s="1" t="s">
        <v>104</v>
      </c>
      <c r="R134" s="1" t="s">
        <v>1418</v>
      </c>
      <c r="S134" s="1" t="s">
        <v>1419</v>
      </c>
      <c r="T134" s="1" t="s">
        <v>107</v>
      </c>
      <c r="U134" s="1" t="s">
        <v>1420</v>
      </c>
      <c r="V134" s="1">
        <v>1</v>
      </c>
      <c r="W134" s="1">
        <v>1</v>
      </c>
      <c r="X134" s="1">
        <v>0</v>
      </c>
      <c r="Y134" s="1">
        <v>0</v>
      </c>
      <c r="Z134" s="1">
        <v>0</v>
      </c>
      <c r="AA134" s="1" t="s">
        <v>109</v>
      </c>
      <c r="AB134" s="1" t="s">
        <v>109</v>
      </c>
      <c r="AC134" s="1" t="s">
        <v>109</v>
      </c>
      <c r="AD134" s="1">
        <v>1</v>
      </c>
      <c r="AE134" s="1">
        <v>1</v>
      </c>
      <c r="AF134" s="1" t="s">
        <v>109</v>
      </c>
      <c r="AG134" s="1" t="s">
        <v>109</v>
      </c>
      <c r="AH134" s="1" t="s">
        <v>109</v>
      </c>
      <c r="AI134" s="1" t="s">
        <v>109</v>
      </c>
      <c r="AJ134" s="1" t="s">
        <v>109</v>
      </c>
      <c r="AK134" s="1" t="s">
        <v>109</v>
      </c>
      <c r="AL134" s="1" t="s">
        <v>109</v>
      </c>
      <c r="AM134" s="1" t="s">
        <v>109</v>
      </c>
      <c r="AN134" s="1" t="s">
        <v>109</v>
      </c>
      <c r="AO134" s="1" t="s">
        <v>109</v>
      </c>
      <c r="AP134" s="1"/>
      <c r="AQ134" s="1">
        <v>1</v>
      </c>
      <c r="AR134" s="1"/>
      <c r="AS134" s="1" t="s">
        <v>1421</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5" t="str">
        <f>HYPERLINK("http://www.d20pfsrd.com/magic/all-spells/d/detect-animals-or-plants","Detect Animals or Plants")</f>
        <v>Detect Animals or Plants</v>
      </c>
      <c r="BT134" s="1">
        <v>133</v>
      </c>
      <c r="BU134" s="1" t="s">
        <v>109</v>
      </c>
      <c r="BV134" s="1"/>
      <c r="BW134" s="1"/>
      <c r="BX134" s="1"/>
      <c r="BY134" s="1"/>
      <c r="BZ134" s="1">
        <v>0</v>
      </c>
      <c r="CA134" s="1" t="s">
        <v>109</v>
      </c>
      <c r="CB134" s="1">
        <v>1</v>
      </c>
      <c r="CC134" s="1">
        <v>1</v>
      </c>
      <c r="CD134" s="1" t="s">
        <v>109</v>
      </c>
      <c r="CE134" s="1" t="s">
        <v>109</v>
      </c>
      <c r="CF134" s="1" t="s">
        <v>109</v>
      </c>
      <c r="CG134" s="1" t="s">
        <v>109</v>
      </c>
      <c r="CH134" s="1" t="s">
        <v>109</v>
      </c>
      <c r="CI134" s="1" t="s">
        <v>109</v>
      </c>
      <c r="CJ134" s="1">
        <v>1</v>
      </c>
      <c r="CK134" s="1"/>
      <c r="CL134" s="1">
        <v>0</v>
      </c>
      <c r="CM134" s="1">
        <v>0</v>
      </c>
      <c r="CN134" s="1">
        <v>0</v>
      </c>
    </row>
    <row r="135" spans="1:92" ht="14.25" customHeight="1" x14ac:dyDescent="0.15">
      <c r="A135" s="1" t="s">
        <v>1422</v>
      </c>
      <c r="B135" s="1" t="s">
        <v>254</v>
      </c>
      <c r="C135" s="1"/>
      <c r="D135" s="1"/>
      <c r="E135" s="1" t="s">
        <v>1423</v>
      </c>
      <c r="F135" s="1" t="s">
        <v>98</v>
      </c>
      <c r="G135" s="1" t="s">
        <v>160</v>
      </c>
      <c r="H135" s="1">
        <v>0</v>
      </c>
      <c r="I135" s="1" t="s">
        <v>1016</v>
      </c>
      <c r="J135" s="1" t="s">
        <v>1346</v>
      </c>
      <c r="K135" s="1"/>
      <c r="L135" s="1"/>
      <c r="M135" s="1" t="s">
        <v>1424</v>
      </c>
      <c r="N135" s="1">
        <v>1</v>
      </c>
      <c r="O135" s="1">
        <v>0</v>
      </c>
      <c r="P135" s="1" t="s">
        <v>103</v>
      </c>
      <c r="Q135" s="1" t="s">
        <v>104</v>
      </c>
      <c r="R135" s="1" t="s">
        <v>1425</v>
      </c>
      <c r="S135" s="1" t="s">
        <v>1426</v>
      </c>
      <c r="T135" s="1" t="s">
        <v>107</v>
      </c>
      <c r="U135" s="1" t="s">
        <v>1427</v>
      </c>
      <c r="V135" s="1">
        <v>1</v>
      </c>
      <c r="W135" s="1">
        <v>1</v>
      </c>
      <c r="X135" s="1">
        <v>0</v>
      </c>
      <c r="Y135" s="1">
        <v>0</v>
      </c>
      <c r="Z135" s="1">
        <v>1</v>
      </c>
      <c r="AA135" s="1" t="s">
        <v>109</v>
      </c>
      <c r="AB135" s="1" t="s">
        <v>109</v>
      </c>
      <c r="AC135" s="1">
        <v>1</v>
      </c>
      <c r="AD135" s="1" t="s">
        <v>109</v>
      </c>
      <c r="AE135" s="1" t="s">
        <v>109</v>
      </c>
      <c r="AF135" s="1" t="s">
        <v>109</v>
      </c>
      <c r="AG135" s="1" t="s">
        <v>109</v>
      </c>
      <c r="AH135" s="1" t="s">
        <v>109</v>
      </c>
      <c r="AI135" s="1" t="s">
        <v>109</v>
      </c>
      <c r="AJ135" s="1" t="s">
        <v>109</v>
      </c>
      <c r="AK135" s="1">
        <v>1</v>
      </c>
      <c r="AL135" s="1">
        <v>1</v>
      </c>
      <c r="AM135" s="1" t="s">
        <v>109</v>
      </c>
      <c r="AN135" s="1" t="s">
        <v>109</v>
      </c>
      <c r="AO135" s="1">
        <v>1</v>
      </c>
      <c r="AP135" s="1"/>
      <c r="AQ135" s="1">
        <v>1</v>
      </c>
      <c r="AR135" s="1"/>
      <c r="AS135" s="1" t="s">
        <v>1428</v>
      </c>
      <c r="AT135" s="1">
        <v>0</v>
      </c>
      <c r="AU135" s="1">
        <v>0</v>
      </c>
      <c r="AV135" s="1">
        <v>0</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5" t="str">
        <f>HYPERLINK("http://www.d20pfsrd.com/magic/all-spells/d/detect-chaos","Detect Chaos")</f>
        <v>Detect Chaos</v>
      </c>
      <c r="BT135" s="1">
        <v>134</v>
      </c>
      <c r="BU135" s="1" t="s">
        <v>109</v>
      </c>
      <c r="BV135" s="1"/>
      <c r="BW135" s="1"/>
      <c r="BX135" s="1"/>
      <c r="BY135" s="1"/>
      <c r="BZ135" s="1">
        <v>0</v>
      </c>
      <c r="CA135" s="1" t="s">
        <v>109</v>
      </c>
      <c r="CB135" s="1">
        <v>1</v>
      </c>
      <c r="CC135" s="1" t="s">
        <v>109</v>
      </c>
      <c r="CD135" s="1" t="s">
        <v>109</v>
      </c>
      <c r="CE135" s="1" t="s">
        <v>109</v>
      </c>
      <c r="CF135" s="1" t="s">
        <v>109</v>
      </c>
      <c r="CG135" s="1">
        <v>1</v>
      </c>
      <c r="CH135" s="1" t="s">
        <v>109</v>
      </c>
      <c r="CI135" s="1" t="s">
        <v>109</v>
      </c>
      <c r="CJ135" s="1" t="s">
        <v>109</v>
      </c>
      <c r="CK135" s="1"/>
      <c r="CL135" s="1">
        <v>0</v>
      </c>
      <c r="CM135" s="1">
        <v>0</v>
      </c>
      <c r="CN135" s="1">
        <v>0</v>
      </c>
    </row>
    <row r="136" spans="1:92" ht="14.25" customHeight="1" x14ac:dyDescent="0.15">
      <c r="A136" s="1" t="s">
        <v>1429</v>
      </c>
      <c r="B136" s="1" t="s">
        <v>254</v>
      </c>
      <c r="C136" s="1"/>
      <c r="D136" s="1"/>
      <c r="E136" s="1" t="s">
        <v>1423</v>
      </c>
      <c r="F136" s="1" t="s">
        <v>98</v>
      </c>
      <c r="G136" s="1" t="s">
        <v>160</v>
      </c>
      <c r="H136" s="1">
        <v>0</v>
      </c>
      <c r="I136" s="1" t="s">
        <v>1016</v>
      </c>
      <c r="J136" s="1" t="s">
        <v>1346</v>
      </c>
      <c r="K136" s="1"/>
      <c r="L136" s="1"/>
      <c r="M136" s="1" t="s">
        <v>1424</v>
      </c>
      <c r="N136" s="1">
        <v>1</v>
      </c>
      <c r="O136" s="1">
        <v>0</v>
      </c>
      <c r="P136" s="1" t="s">
        <v>103</v>
      </c>
      <c r="Q136" s="1" t="s">
        <v>104</v>
      </c>
      <c r="R136" s="1" t="s">
        <v>1430</v>
      </c>
      <c r="S136" s="1" t="s">
        <v>1431</v>
      </c>
      <c r="T136" s="1" t="s">
        <v>107</v>
      </c>
      <c r="U136" s="1" t="s">
        <v>1432</v>
      </c>
      <c r="V136" s="1">
        <v>1</v>
      </c>
      <c r="W136" s="1">
        <v>1</v>
      </c>
      <c r="X136" s="1">
        <v>0</v>
      </c>
      <c r="Y136" s="1">
        <v>0</v>
      </c>
      <c r="Z136" s="1">
        <v>1</v>
      </c>
      <c r="AA136" s="1" t="s">
        <v>109</v>
      </c>
      <c r="AB136" s="1" t="s">
        <v>109</v>
      </c>
      <c r="AC136" s="1">
        <v>1</v>
      </c>
      <c r="AD136" s="1" t="s">
        <v>109</v>
      </c>
      <c r="AE136" s="1" t="s">
        <v>109</v>
      </c>
      <c r="AF136" s="1" t="s">
        <v>109</v>
      </c>
      <c r="AG136" s="1" t="s">
        <v>109</v>
      </c>
      <c r="AH136" s="1" t="s">
        <v>109</v>
      </c>
      <c r="AI136" s="1" t="s">
        <v>109</v>
      </c>
      <c r="AJ136" s="1" t="s">
        <v>109</v>
      </c>
      <c r="AK136" s="1">
        <v>1</v>
      </c>
      <c r="AL136" s="1">
        <v>1</v>
      </c>
      <c r="AM136" s="1" t="s">
        <v>109</v>
      </c>
      <c r="AN136" s="1" t="s">
        <v>109</v>
      </c>
      <c r="AO136" s="1">
        <v>1</v>
      </c>
      <c r="AP136" s="1"/>
      <c r="AQ136" s="1">
        <v>1</v>
      </c>
      <c r="AR136" s="1"/>
      <c r="AS136" s="1" t="s">
        <v>1428</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5" t="str">
        <f>HYPERLINK("http://www.d20pfsrd.com/magic/all-spells/d/detect-evil","Detect Evil")</f>
        <v>Detect Evil</v>
      </c>
      <c r="BT136" s="1">
        <v>135</v>
      </c>
      <c r="BU136" s="1" t="s">
        <v>109</v>
      </c>
      <c r="BV136" s="1"/>
      <c r="BW136" s="1"/>
      <c r="BX136" s="1"/>
      <c r="BY136" s="1"/>
      <c r="BZ136" s="1">
        <v>0</v>
      </c>
      <c r="CA136" s="1" t="s">
        <v>109</v>
      </c>
      <c r="CB136" s="1">
        <v>1</v>
      </c>
      <c r="CC136" s="1" t="s">
        <v>109</v>
      </c>
      <c r="CD136" s="1" t="s">
        <v>109</v>
      </c>
      <c r="CE136" s="1" t="s">
        <v>109</v>
      </c>
      <c r="CF136" s="1" t="s">
        <v>109</v>
      </c>
      <c r="CG136" s="1">
        <v>1</v>
      </c>
      <c r="CH136" s="1" t="s">
        <v>109</v>
      </c>
      <c r="CI136" s="1" t="s">
        <v>109</v>
      </c>
      <c r="CJ136" s="1" t="s">
        <v>109</v>
      </c>
      <c r="CK136" s="1"/>
      <c r="CL136" s="1">
        <v>0</v>
      </c>
      <c r="CM136" s="1">
        <v>0</v>
      </c>
      <c r="CN136" s="1">
        <v>0</v>
      </c>
    </row>
    <row r="137" spans="1:92" ht="14.25" customHeight="1" x14ac:dyDescent="0.15">
      <c r="A137" s="1" t="s">
        <v>1433</v>
      </c>
      <c r="B137" s="1" t="s">
        <v>254</v>
      </c>
      <c r="C137" s="1"/>
      <c r="D137" s="1"/>
      <c r="E137" s="1" t="s">
        <v>1423</v>
      </c>
      <c r="F137" s="1" t="s">
        <v>98</v>
      </c>
      <c r="G137" s="1" t="s">
        <v>160</v>
      </c>
      <c r="H137" s="1">
        <v>0</v>
      </c>
      <c r="I137" s="1" t="s">
        <v>1016</v>
      </c>
      <c r="J137" s="1" t="s">
        <v>1346</v>
      </c>
      <c r="K137" s="1"/>
      <c r="L137" s="1"/>
      <c r="M137" s="1" t="s">
        <v>1424</v>
      </c>
      <c r="N137" s="1">
        <v>1</v>
      </c>
      <c r="O137" s="1">
        <v>0</v>
      </c>
      <c r="P137" s="1" t="s">
        <v>103</v>
      </c>
      <c r="Q137" s="1" t="s">
        <v>104</v>
      </c>
      <c r="R137" s="1" t="s">
        <v>1434</v>
      </c>
      <c r="S137" s="1" t="s">
        <v>1435</v>
      </c>
      <c r="T137" s="1" t="s">
        <v>107</v>
      </c>
      <c r="U137" s="1" t="s">
        <v>1436</v>
      </c>
      <c r="V137" s="1">
        <v>1</v>
      </c>
      <c r="W137" s="1">
        <v>1</v>
      </c>
      <c r="X137" s="1">
        <v>0</v>
      </c>
      <c r="Y137" s="1">
        <v>0</v>
      </c>
      <c r="Z137" s="1">
        <v>1</v>
      </c>
      <c r="AA137" s="1" t="s">
        <v>109</v>
      </c>
      <c r="AB137" s="1" t="s">
        <v>109</v>
      </c>
      <c r="AC137" s="1">
        <v>1</v>
      </c>
      <c r="AD137" s="1" t="s">
        <v>109</v>
      </c>
      <c r="AE137" s="1" t="s">
        <v>109</v>
      </c>
      <c r="AF137" s="1" t="s">
        <v>109</v>
      </c>
      <c r="AG137" s="1" t="s">
        <v>109</v>
      </c>
      <c r="AH137" s="1" t="s">
        <v>109</v>
      </c>
      <c r="AI137" s="1" t="s">
        <v>109</v>
      </c>
      <c r="AJ137" s="1" t="s">
        <v>109</v>
      </c>
      <c r="AK137" s="1">
        <v>1</v>
      </c>
      <c r="AL137" s="1">
        <v>1</v>
      </c>
      <c r="AM137" s="1" t="s">
        <v>109</v>
      </c>
      <c r="AN137" s="1" t="s">
        <v>109</v>
      </c>
      <c r="AO137" s="1">
        <v>1</v>
      </c>
      <c r="AP137" s="1"/>
      <c r="AQ137" s="1">
        <v>1</v>
      </c>
      <c r="AR137" s="1"/>
      <c r="AS137" s="1" t="s">
        <v>1428</v>
      </c>
      <c r="AT137" s="1">
        <v>0</v>
      </c>
      <c r="AU137" s="1">
        <v>0</v>
      </c>
      <c r="AV137" s="1">
        <v>0</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5" t="str">
        <f>HYPERLINK("http://www.d20pfsrd.com/magic/all-spells/d/detect-good","Detect Good")</f>
        <v>Detect Good</v>
      </c>
      <c r="BT137" s="1">
        <v>136</v>
      </c>
      <c r="BU137" s="1" t="s">
        <v>109</v>
      </c>
      <c r="BV137" s="1"/>
      <c r="BW137" s="1"/>
      <c r="BX137" s="1"/>
      <c r="BY137" s="1"/>
      <c r="BZ137" s="1">
        <v>0</v>
      </c>
      <c r="CA137" s="1" t="s">
        <v>109</v>
      </c>
      <c r="CB137" s="1">
        <v>1</v>
      </c>
      <c r="CC137" s="1" t="s">
        <v>109</v>
      </c>
      <c r="CD137" s="1" t="s">
        <v>109</v>
      </c>
      <c r="CE137" s="1" t="s">
        <v>109</v>
      </c>
      <c r="CF137" s="1" t="s">
        <v>109</v>
      </c>
      <c r="CG137" s="1">
        <v>1</v>
      </c>
      <c r="CH137" s="1" t="s">
        <v>109</v>
      </c>
      <c r="CI137" s="1" t="s">
        <v>109</v>
      </c>
      <c r="CJ137" s="1" t="s">
        <v>109</v>
      </c>
      <c r="CK137" s="1"/>
      <c r="CL137" s="1">
        <v>0</v>
      </c>
      <c r="CM137" s="1">
        <v>0</v>
      </c>
      <c r="CN137" s="1">
        <v>0</v>
      </c>
    </row>
    <row r="138" spans="1:92" ht="14.25" customHeight="1" x14ac:dyDescent="0.15">
      <c r="A138" s="1" t="s">
        <v>1437</v>
      </c>
      <c r="B138" s="1" t="s">
        <v>254</v>
      </c>
      <c r="C138" s="1"/>
      <c r="D138" s="1"/>
      <c r="E138" s="1" t="s">
        <v>1423</v>
      </c>
      <c r="F138" s="1" t="s">
        <v>98</v>
      </c>
      <c r="G138" s="1" t="s">
        <v>160</v>
      </c>
      <c r="H138" s="1">
        <v>0</v>
      </c>
      <c r="I138" s="1" t="s">
        <v>1016</v>
      </c>
      <c r="J138" s="1" t="s">
        <v>1346</v>
      </c>
      <c r="K138" s="1"/>
      <c r="L138" s="1"/>
      <c r="M138" s="1" t="s">
        <v>1424</v>
      </c>
      <c r="N138" s="1">
        <v>1</v>
      </c>
      <c r="O138" s="1">
        <v>0</v>
      </c>
      <c r="P138" s="1" t="s">
        <v>103</v>
      </c>
      <c r="Q138" s="1" t="s">
        <v>104</v>
      </c>
      <c r="R138" s="1" t="s">
        <v>1438</v>
      </c>
      <c r="S138" s="1" t="s">
        <v>1439</v>
      </c>
      <c r="T138" s="1" t="s">
        <v>107</v>
      </c>
      <c r="U138" s="1" t="s">
        <v>1440</v>
      </c>
      <c r="V138" s="1">
        <v>1</v>
      </c>
      <c r="W138" s="1">
        <v>1</v>
      </c>
      <c r="X138" s="1">
        <v>0</v>
      </c>
      <c r="Y138" s="1">
        <v>0</v>
      </c>
      <c r="Z138" s="1">
        <v>1</v>
      </c>
      <c r="AA138" s="1" t="s">
        <v>109</v>
      </c>
      <c r="AB138" s="1" t="s">
        <v>109</v>
      </c>
      <c r="AC138" s="1">
        <v>1</v>
      </c>
      <c r="AD138" s="1" t="s">
        <v>109</v>
      </c>
      <c r="AE138" s="1" t="s">
        <v>109</v>
      </c>
      <c r="AF138" s="1" t="s">
        <v>109</v>
      </c>
      <c r="AG138" s="1" t="s">
        <v>109</v>
      </c>
      <c r="AH138" s="1" t="s">
        <v>109</v>
      </c>
      <c r="AI138" s="1" t="s">
        <v>109</v>
      </c>
      <c r="AJ138" s="1" t="s">
        <v>109</v>
      </c>
      <c r="AK138" s="1">
        <v>1</v>
      </c>
      <c r="AL138" s="1">
        <v>1</v>
      </c>
      <c r="AM138" s="1" t="s">
        <v>109</v>
      </c>
      <c r="AN138" s="1" t="s">
        <v>109</v>
      </c>
      <c r="AO138" s="1">
        <v>1</v>
      </c>
      <c r="AP138" s="1"/>
      <c r="AQ138" s="1">
        <v>1</v>
      </c>
      <c r="AR138" s="1"/>
      <c r="AS138" s="1" t="s">
        <v>1428</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5" t="str">
        <f>HYPERLINK("http://www.d20pfsrd.com/magic/all-spells/d/detect-law","Detect Law")</f>
        <v>Detect Law</v>
      </c>
      <c r="BT138" s="1">
        <v>137</v>
      </c>
      <c r="BU138" s="1" t="s">
        <v>109</v>
      </c>
      <c r="BV138" s="1"/>
      <c r="BW138" s="1"/>
      <c r="BX138" s="1"/>
      <c r="BY138" s="1"/>
      <c r="BZ138" s="1">
        <v>0</v>
      </c>
      <c r="CA138" s="1" t="s">
        <v>109</v>
      </c>
      <c r="CB138" s="1">
        <v>1</v>
      </c>
      <c r="CC138" s="1" t="s">
        <v>109</v>
      </c>
      <c r="CD138" s="1" t="s">
        <v>109</v>
      </c>
      <c r="CE138" s="1" t="s">
        <v>109</v>
      </c>
      <c r="CF138" s="1" t="s">
        <v>109</v>
      </c>
      <c r="CG138" s="1">
        <v>1</v>
      </c>
      <c r="CH138" s="1" t="s">
        <v>109</v>
      </c>
      <c r="CI138" s="1" t="s">
        <v>109</v>
      </c>
      <c r="CJ138" s="1" t="s">
        <v>109</v>
      </c>
      <c r="CK138" s="1"/>
      <c r="CL138" s="1">
        <v>0</v>
      </c>
      <c r="CM138" s="1">
        <v>0</v>
      </c>
      <c r="CN138" s="1">
        <v>0</v>
      </c>
    </row>
    <row r="139" spans="1:92" ht="14.25" customHeight="1" x14ac:dyDescent="0.15">
      <c r="A139" s="1" t="s">
        <v>1441</v>
      </c>
      <c r="B139" s="1" t="s">
        <v>254</v>
      </c>
      <c r="C139" s="1"/>
      <c r="D139" s="1"/>
      <c r="E139" s="1" t="s">
        <v>1442</v>
      </c>
      <c r="F139" s="1" t="s">
        <v>98</v>
      </c>
      <c r="G139" s="1" t="s">
        <v>141</v>
      </c>
      <c r="H139" s="1">
        <v>0</v>
      </c>
      <c r="I139" s="1" t="s">
        <v>1016</v>
      </c>
      <c r="J139" s="1" t="s">
        <v>1346</v>
      </c>
      <c r="K139" s="1"/>
      <c r="L139" s="1"/>
      <c r="M139" s="1" t="s">
        <v>1443</v>
      </c>
      <c r="N139" s="1">
        <v>1</v>
      </c>
      <c r="O139" s="1">
        <v>0</v>
      </c>
      <c r="P139" s="1" t="s">
        <v>103</v>
      </c>
      <c r="Q139" s="1" t="s">
        <v>104</v>
      </c>
      <c r="R139" s="1" t="s">
        <v>1444</v>
      </c>
      <c r="S139" s="1" t="s">
        <v>1445</v>
      </c>
      <c r="T139" s="1" t="s">
        <v>107</v>
      </c>
      <c r="U139" s="1" t="s">
        <v>1446</v>
      </c>
      <c r="V139" s="1">
        <v>1</v>
      </c>
      <c r="W139" s="1">
        <v>1</v>
      </c>
      <c r="X139" s="1">
        <v>0</v>
      </c>
      <c r="Y139" s="1">
        <v>0</v>
      </c>
      <c r="Z139" s="1">
        <v>0</v>
      </c>
      <c r="AA139" s="1">
        <v>0</v>
      </c>
      <c r="AB139" s="1">
        <v>0</v>
      </c>
      <c r="AC139" s="1">
        <v>0</v>
      </c>
      <c r="AD139" s="1">
        <v>0</v>
      </c>
      <c r="AE139" s="1" t="s">
        <v>109</v>
      </c>
      <c r="AF139" s="1">
        <v>0</v>
      </c>
      <c r="AG139" s="1" t="s">
        <v>109</v>
      </c>
      <c r="AH139" s="1" t="s">
        <v>109</v>
      </c>
      <c r="AI139" s="1">
        <v>0</v>
      </c>
      <c r="AJ139" s="1">
        <v>0</v>
      </c>
      <c r="AK139" s="1">
        <v>0</v>
      </c>
      <c r="AL139" s="1">
        <v>0</v>
      </c>
      <c r="AM139" s="1" t="s">
        <v>109</v>
      </c>
      <c r="AN139" s="1">
        <v>0</v>
      </c>
      <c r="AO139" s="1">
        <v>0</v>
      </c>
      <c r="AP139" s="1"/>
      <c r="AQ139" s="1">
        <v>0</v>
      </c>
      <c r="AR139" s="1"/>
      <c r="AS139" s="1" t="s">
        <v>1447</v>
      </c>
      <c r="AT139" s="1">
        <v>0</v>
      </c>
      <c r="AU139" s="1">
        <v>0</v>
      </c>
      <c r="AV139" s="1">
        <v>0</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5" t="str">
        <f>HYPERLINK("http://www.d20pfsrd.com/magic/all-spells/d/detect-magic","Detect Magic")</f>
        <v>Detect Magic</v>
      </c>
      <c r="BT139" s="1">
        <v>138</v>
      </c>
      <c r="BU139" s="1" t="s">
        <v>109</v>
      </c>
      <c r="BV139" s="1"/>
      <c r="BW139" s="1"/>
      <c r="BX139" s="1"/>
      <c r="BY139" s="1"/>
      <c r="BZ139" s="1">
        <v>0</v>
      </c>
      <c r="CA139" s="1" t="s">
        <v>109</v>
      </c>
      <c r="CB139" s="1">
        <v>0</v>
      </c>
      <c r="CC139" s="1">
        <v>0</v>
      </c>
      <c r="CD139" s="1" t="s">
        <v>109</v>
      </c>
      <c r="CE139" s="1">
        <v>0</v>
      </c>
      <c r="CF139" s="1">
        <v>0</v>
      </c>
      <c r="CG139" s="1">
        <v>0</v>
      </c>
      <c r="CH139" s="1" t="s">
        <v>109</v>
      </c>
      <c r="CI139" s="1" t="s">
        <v>109</v>
      </c>
      <c r="CJ139" s="1">
        <v>0</v>
      </c>
      <c r="CK139" s="1"/>
      <c r="CL139" s="1">
        <v>0</v>
      </c>
      <c r="CM139" s="1">
        <v>0</v>
      </c>
      <c r="CN139" s="1">
        <v>0</v>
      </c>
    </row>
    <row r="140" spans="1:92" ht="14.25" customHeight="1" x14ac:dyDescent="0.15">
      <c r="A140" s="1" t="s">
        <v>1448</v>
      </c>
      <c r="B140" s="1" t="s">
        <v>254</v>
      </c>
      <c r="C140" s="1"/>
      <c r="D140" s="1"/>
      <c r="E140" s="1" t="s">
        <v>1449</v>
      </c>
      <c r="F140" s="1" t="s">
        <v>98</v>
      </c>
      <c r="G140" s="1" t="s">
        <v>141</v>
      </c>
      <c r="H140" s="1">
        <v>0</v>
      </c>
      <c r="I140" s="1" t="s">
        <v>142</v>
      </c>
      <c r="J140" s="1" t="s">
        <v>1450</v>
      </c>
      <c r="K140" s="1"/>
      <c r="L140" s="1" t="s">
        <v>1450</v>
      </c>
      <c r="M140" s="1" t="s">
        <v>144</v>
      </c>
      <c r="N140" s="1">
        <v>0</v>
      </c>
      <c r="O140" s="1">
        <v>0</v>
      </c>
      <c r="P140" s="1" t="s">
        <v>103</v>
      </c>
      <c r="Q140" s="1" t="s">
        <v>104</v>
      </c>
      <c r="R140" s="1" t="s">
        <v>1451</v>
      </c>
      <c r="S140" s="1" t="s">
        <v>1452</v>
      </c>
      <c r="T140" s="1" t="s">
        <v>107</v>
      </c>
      <c r="U140" s="1" t="s">
        <v>1453</v>
      </c>
      <c r="V140" s="1">
        <v>1</v>
      </c>
      <c r="W140" s="1">
        <v>1</v>
      </c>
      <c r="X140" s="1">
        <v>0</v>
      </c>
      <c r="Y140" s="1">
        <v>0</v>
      </c>
      <c r="Z140" s="1">
        <v>0</v>
      </c>
      <c r="AA140" s="1">
        <v>0</v>
      </c>
      <c r="AB140" s="1">
        <v>0</v>
      </c>
      <c r="AC140" s="1">
        <v>0</v>
      </c>
      <c r="AD140" s="1">
        <v>0</v>
      </c>
      <c r="AE140" s="1">
        <v>1</v>
      </c>
      <c r="AF140" s="1" t="s">
        <v>109</v>
      </c>
      <c r="AG140" s="1">
        <v>1</v>
      </c>
      <c r="AH140" s="1" t="s">
        <v>109</v>
      </c>
      <c r="AI140" s="1" t="s">
        <v>109</v>
      </c>
      <c r="AJ140" s="1" t="s">
        <v>109</v>
      </c>
      <c r="AK140" s="1" t="s">
        <v>109</v>
      </c>
      <c r="AL140" s="1">
        <v>0</v>
      </c>
      <c r="AM140" s="1" t="s">
        <v>109</v>
      </c>
      <c r="AN140" s="1" t="s">
        <v>109</v>
      </c>
      <c r="AO140" s="1" t="s">
        <v>109</v>
      </c>
      <c r="AP140" s="1"/>
      <c r="AQ140" s="1">
        <v>0</v>
      </c>
      <c r="AR140" s="1"/>
      <c r="AS140" s="1" t="s">
        <v>1454</v>
      </c>
      <c r="AT140" s="1">
        <v>0</v>
      </c>
      <c r="AU140" s="1">
        <v>0</v>
      </c>
      <c r="AV140" s="1">
        <v>0</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5" t="str">
        <f>HYPERLINK("http://www.d20pfsrd.com/magic/all-spells/d/detect-poison","Detect Poison")</f>
        <v>Detect Poison</v>
      </c>
      <c r="BT140" s="1">
        <v>139</v>
      </c>
      <c r="BU140" s="1" t="s">
        <v>109</v>
      </c>
      <c r="BV140" s="1"/>
      <c r="BW140" s="1"/>
      <c r="BX140" s="1"/>
      <c r="BY140" s="1"/>
      <c r="BZ140" s="1">
        <v>0</v>
      </c>
      <c r="CA140" s="1" t="s">
        <v>109</v>
      </c>
      <c r="CB140" s="1">
        <v>0</v>
      </c>
      <c r="CC140" s="1">
        <v>0</v>
      </c>
      <c r="CD140" s="1" t="s">
        <v>109</v>
      </c>
      <c r="CE140" s="1">
        <v>0</v>
      </c>
      <c r="CF140" s="1">
        <v>0</v>
      </c>
      <c r="CG140" s="1" t="s">
        <v>109</v>
      </c>
      <c r="CH140" s="1" t="s">
        <v>109</v>
      </c>
      <c r="CI140" s="1" t="s">
        <v>109</v>
      </c>
      <c r="CJ140" s="1">
        <v>0</v>
      </c>
      <c r="CK140" s="1"/>
      <c r="CL140" s="1">
        <v>0</v>
      </c>
      <c r="CM140" s="1">
        <v>0</v>
      </c>
      <c r="CN140" s="1">
        <v>0</v>
      </c>
    </row>
    <row r="141" spans="1:92" ht="14.25" customHeight="1" x14ac:dyDescent="0.15">
      <c r="A141" s="1" t="s">
        <v>1455</v>
      </c>
      <c r="B141" s="1" t="s">
        <v>254</v>
      </c>
      <c r="C141" s="1"/>
      <c r="D141" s="1"/>
      <c r="E141" s="1" t="s">
        <v>1456</v>
      </c>
      <c r="F141" s="1" t="s">
        <v>98</v>
      </c>
      <c r="G141" s="1" t="s">
        <v>1457</v>
      </c>
      <c r="H141" s="1">
        <v>0</v>
      </c>
      <c r="I141" s="1" t="s">
        <v>600</v>
      </c>
      <c r="J141" s="1" t="s">
        <v>1458</v>
      </c>
      <c r="K141" s="1"/>
      <c r="L141" s="1"/>
      <c r="M141" s="1" t="s">
        <v>465</v>
      </c>
      <c r="N141" s="1">
        <v>0</v>
      </c>
      <c r="O141" s="1">
        <v>0</v>
      </c>
      <c r="P141" s="1" t="s">
        <v>103</v>
      </c>
      <c r="Q141" s="1" t="s">
        <v>104</v>
      </c>
      <c r="R141" s="1" t="s">
        <v>1459</v>
      </c>
      <c r="S141" s="1" t="s">
        <v>1460</v>
      </c>
      <c r="T141" s="1" t="s">
        <v>107</v>
      </c>
      <c r="U141" s="1" t="s">
        <v>1461</v>
      </c>
      <c r="V141" s="1">
        <v>1</v>
      </c>
      <c r="W141" s="1">
        <v>1</v>
      </c>
      <c r="X141" s="1">
        <v>1</v>
      </c>
      <c r="Y141" s="1">
        <v>0</v>
      </c>
      <c r="Z141" s="1">
        <v>0</v>
      </c>
      <c r="AA141" s="1">
        <v>4</v>
      </c>
      <c r="AB141" s="1">
        <v>4</v>
      </c>
      <c r="AC141" s="1" t="s">
        <v>109</v>
      </c>
      <c r="AD141" s="1" t="s">
        <v>109</v>
      </c>
      <c r="AE141" s="1" t="s">
        <v>109</v>
      </c>
      <c r="AF141" s="1">
        <v>4</v>
      </c>
      <c r="AG141" s="1" t="s">
        <v>109</v>
      </c>
      <c r="AH141" s="1" t="s">
        <v>109</v>
      </c>
      <c r="AI141" s="1" t="s">
        <v>109</v>
      </c>
      <c r="AJ141" s="1">
        <v>4</v>
      </c>
      <c r="AK141" s="1">
        <v>4</v>
      </c>
      <c r="AL141" s="1" t="s">
        <v>109</v>
      </c>
      <c r="AM141" s="1" t="s">
        <v>109</v>
      </c>
      <c r="AN141" s="1" t="s">
        <v>109</v>
      </c>
      <c r="AO141" s="1" t="s">
        <v>109</v>
      </c>
      <c r="AP141" s="1"/>
      <c r="AQ141" s="1">
        <v>4</v>
      </c>
      <c r="AR141" s="1" t="s">
        <v>1462</v>
      </c>
      <c r="AS141" s="1" t="s">
        <v>1463</v>
      </c>
      <c r="AT141" s="1">
        <v>0</v>
      </c>
      <c r="AU141" s="1">
        <v>0</v>
      </c>
      <c r="AV141" s="1">
        <v>0</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5" t="str">
        <f>HYPERLINK("http://www.d20pfsrd.com/magic/all-spells/d/detect-scrying","Detect Scrying")</f>
        <v>Detect Scrying</v>
      </c>
      <c r="BT141" s="1">
        <v>140</v>
      </c>
      <c r="BU141" s="1" t="s">
        <v>109</v>
      </c>
      <c r="BV141" s="1" t="s">
        <v>1464</v>
      </c>
      <c r="BW141" s="1"/>
      <c r="BX141" s="1"/>
      <c r="BY141" s="1"/>
      <c r="BZ141" s="1">
        <v>0</v>
      </c>
      <c r="CA141" s="1" t="s">
        <v>109</v>
      </c>
      <c r="CB141" s="1">
        <v>4</v>
      </c>
      <c r="CC141" s="1">
        <v>4</v>
      </c>
      <c r="CD141" s="1" t="s">
        <v>109</v>
      </c>
      <c r="CE141" s="1">
        <v>4</v>
      </c>
      <c r="CF141" s="1">
        <v>4</v>
      </c>
      <c r="CG141" s="1">
        <v>4</v>
      </c>
      <c r="CH141" s="1" t="s">
        <v>109</v>
      </c>
      <c r="CI141" s="1" t="s">
        <v>109</v>
      </c>
      <c r="CJ141" s="1" t="s">
        <v>109</v>
      </c>
      <c r="CK141" s="1"/>
      <c r="CL141" s="1">
        <v>0</v>
      </c>
      <c r="CM141" s="1">
        <v>0</v>
      </c>
      <c r="CN141" s="1">
        <v>0</v>
      </c>
    </row>
    <row r="142" spans="1:92" ht="14.25" customHeight="1" x14ac:dyDescent="0.15">
      <c r="A142" s="1" t="s">
        <v>1465</v>
      </c>
      <c r="B142" s="1" t="s">
        <v>254</v>
      </c>
      <c r="C142" s="1"/>
      <c r="D142" s="1"/>
      <c r="E142" s="1" t="s">
        <v>1466</v>
      </c>
      <c r="F142" s="1" t="s">
        <v>98</v>
      </c>
      <c r="G142" s="1" t="s">
        <v>141</v>
      </c>
      <c r="H142" s="1">
        <v>0</v>
      </c>
      <c r="I142" s="1" t="s">
        <v>1016</v>
      </c>
      <c r="J142" s="1" t="s">
        <v>1346</v>
      </c>
      <c r="K142" s="1"/>
      <c r="L142" s="1"/>
      <c r="M142" s="1" t="s">
        <v>1443</v>
      </c>
      <c r="N142" s="1">
        <v>1</v>
      </c>
      <c r="O142" s="1">
        <v>0</v>
      </c>
      <c r="P142" s="1" t="s">
        <v>103</v>
      </c>
      <c r="Q142" s="1" t="s">
        <v>104</v>
      </c>
      <c r="R142" s="1" t="s">
        <v>1467</v>
      </c>
      <c r="S142" s="1" t="s">
        <v>1468</v>
      </c>
      <c r="T142" s="1" t="s">
        <v>107</v>
      </c>
      <c r="U142" s="1" t="s">
        <v>1469</v>
      </c>
      <c r="V142" s="1">
        <v>1</v>
      </c>
      <c r="W142" s="1">
        <v>1</v>
      </c>
      <c r="X142" s="1">
        <v>0</v>
      </c>
      <c r="Y142" s="1">
        <v>0</v>
      </c>
      <c r="Z142" s="1">
        <v>0</v>
      </c>
      <c r="AA142" s="1">
        <v>1</v>
      </c>
      <c r="AB142" s="1">
        <v>1</v>
      </c>
      <c r="AC142" s="1" t="s">
        <v>109</v>
      </c>
      <c r="AD142" s="1" t="s">
        <v>109</v>
      </c>
      <c r="AE142" s="1" t="s">
        <v>109</v>
      </c>
      <c r="AF142" s="1">
        <v>1</v>
      </c>
      <c r="AG142" s="1" t="s">
        <v>109</v>
      </c>
      <c r="AH142" s="1">
        <v>1</v>
      </c>
      <c r="AI142" s="1" t="s">
        <v>109</v>
      </c>
      <c r="AJ142" s="1">
        <v>1</v>
      </c>
      <c r="AK142" s="1" t="s">
        <v>109</v>
      </c>
      <c r="AL142" s="1" t="s">
        <v>109</v>
      </c>
      <c r="AM142" s="1" t="s">
        <v>109</v>
      </c>
      <c r="AN142" s="1" t="s">
        <v>109</v>
      </c>
      <c r="AO142" s="1" t="s">
        <v>109</v>
      </c>
      <c r="AP142" s="1"/>
      <c r="AQ142" s="1">
        <v>1</v>
      </c>
      <c r="AR142" s="1" t="s">
        <v>1470</v>
      </c>
      <c r="AS142" s="1" t="s">
        <v>1471</v>
      </c>
      <c r="AT142" s="1">
        <v>0</v>
      </c>
      <c r="AU142" s="1">
        <v>0</v>
      </c>
      <c r="AV142" s="1">
        <v>0</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5" t="str">
        <f>HYPERLINK("http://www.d20pfsrd.com/magic/all-spells/d/detect-secret-doors","Detect Secret Doors")</f>
        <v>Detect Secret Doors</v>
      </c>
      <c r="BT142" s="1">
        <v>141</v>
      </c>
      <c r="BU142" s="1" t="s">
        <v>109</v>
      </c>
      <c r="BV142" s="1"/>
      <c r="BW142" s="1"/>
      <c r="BX142" s="1"/>
      <c r="BY142" s="1"/>
      <c r="BZ142" s="1">
        <v>0</v>
      </c>
      <c r="CA142" s="1" t="s">
        <v>109</v>
      </c>
      <c r="CB142" s="1" t="s">
        <v>109</v>
      </c>
      <c r="CC142" s="1">
        <v>1</v>
      </c>
      <c r="CD142" s="1" t="s">
        <v>109</v>
      </c>
      <c r="CE142" s="1">
        <v>1</v>
      </c>
      <c r="CF142" s="1">
        <v>1</v>
      </c>
      <c r="CG142" s="1" t="s">
        <v>109</v>
      </c>
      <c r="CH142" s="1" t="s">
        <v>109</v>
      </c>
      <c r="CI142" s="1" t="s">
        <v>109</v>
      </c>
      <c r="CJ142" s="1" t="s">
        <v>109</v>
      </c>
      <c r="CK142" s="1"/>
      <c r="CL142" s="1">
        <v>0</v>
      </c>
      <c r="CM142" s="1">
        <v>0</v>
      </c>
      <c r="CN142" s="1">
        <v>0</v>
      </c>
    </row>
    <row r="143" spans="1:92" ht="14.25" customHeight="1" x14ac:dyDescent="0.15">
      <c r="A143" s="1" t="s">
        <v>1472</v>
      </c>
      <c r="B143" s="1" t="s">
        <v>254</v>
      </c>
      <c r="C143" s="1"/>
      <c r="D143" s="1"/>
      <c r="E143" s="1" t="s">
        <v>1473</v>
      </c>
      <c r="F143" s="1" t="s">
        <v>98</v>
      </c>
      <c r="G143" s="1" t="s">
        <v>141</v>
      </c>
      <c r="H143" s="1">
        <v>0</v>
      </c>
      <c r="I143" s="1" t="s">
        <v>1016</v>
      </c>
      <c r="J143" s="1" t="s">
        <v>1346</v>
      </c>
      <c r="K143" s="1"/>
      <c r="L143" s="1"/>
      <c r="M143" s="1" t="s">
        <v>1417</v>
      </c>
      <c r="N143" s="1">
        <v>1</v>
      </c>
      <c r="O143" s="1">
        <v>0</v>
      </c>
      <c r="P143" s="1" t="s">
        <v>103</v>
      </c>
      <c r="Q143" s="1" t="s">
        <v>104</v>
      </c>
      <c r="R143" s="1" t="s">
        <v>1474</v>
      </c>
      <c r="S143" s="1" t="s">
        <v>1475</v>
      </c>
      <c r="T143" s="1" t="s">
        <v>107</v>
      </c>
      <c r="U143" s="1" t="s">
        <v>1476</v>
      </c>
      <c r="V143" s="1">
        <v>1</v>
      </c>
      <c r="W143" s="1">
        <v>1</v>
      </c>
      <c r="X143" s="1">
        <v>0</v>
      </c>
      <c r="Y143" s="1">
        <v>0</v>
      </c>
      <c r="Z143" s="1">
        <v>0</v>
      </c>
      <c r="AA143" s="1" t="s">
        <v>109</v>
      </c>
      <c r="AB143" s="1" t="s">
        <v>109</v>
      </c>
      <c r="AC143" s="1" t="s">
        <v>109</v>
      </c>
      <c r="AD143" s="1">
        <v>1</v>
      </c>
      <c r="AE143" s="1">
        <v>1</v>
      </c>
      <c r="AF143" s="1" t="s">
        <v>109</v>
      </c>
      <c r="AG143" s="1" t="s">
        <v>109</v>
      </c>
      <c r="AH143" s="1" t="s">
        <v>109</v>
      </c>
      <c r="AI143" s="1" t="s">
        <v>109</v>
      </c>
      <c r="AJ143" s="1" t="s">
        <v>109</v>
      </c>
      <c r="AK143" s="1" t="s">
        <v>109</v>
      </c>
      <c r="AL143" s="1" t="s">
        <v>109</v>
      </c>
      <c r="AM143" s="1" t="s">
        <v>109</v>
      </c>
      <c r="AN143" s="1" t="s">
        <v>109</v>
      </c>
      <c r="AO143" s="1" t="s">
        <v>109</v>
      </c>
      <c r="AP143" s="1"/>
      <c r="AQ143" s="1">
        <v>1</v>
      </c>
      <c r="AR143" s="1"/>
      <c r="AS143" s="1" t="s">
        <v>1477</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5" t="str">
        <f>HYPERLINK("http://www.d20pfsrd.com/magic/all-spells/d/detect-snares-and-pits","Detect Snares and Pits")</f>
        <v>Detect Snares and Pits</v>
      </c>
      <c r="BT143" s="1">
        <v>142</v>
      </c>
      <c r="BU143" s="1" t="s">
        <v>109</v>
      </c>
      <c r="BV143" s="1"/>
      <c r="BW143" s="1"/>
      <c r="BX143" s="1"/>
      <c r="BY143" s="1"/>
      <c r="BZ143" s="1">
        <v>0</v>
      </c>
      <c r="CA143" s="1" t="s">
        <v>109</v>
      </c>
      <c r="CB143" s="1" t="s">
        <v>109</v>
      </c>
      <c r="CC143" s="1" t="s">
        <v>109</v>
      </c>
      <c r="CD143" s="1" t="s">
        <v>109</v>
      </c>
      <c r="CE143" s="1" t="s">
        <v>109</v>
      </c>
      <c r="CF143" s="1">
        <v>1</v>
      </c>
      <c r="CG143" s="1" t="s">
        <v>109</v>
      </c>
      <c r="CH143" s="1" t="s">
        <v>109</v>
      </c>
      <c r="CI143" s="1" t="s">
        <v>109</v>
      </c>
      <c r="CJ143" s="1">
        <v>1</v>
      </c>
      <c r="CK143" s="1"/>
      <c r="CL143" s="1">
        <v>0</v>
      </c>
      <c r="CM143" s="1">
        <v>0</v>
      </c>
      <c r="CN143" s="1">
        <v>0</v>
      </c>
    </row>
    <row r="144" spans="1:92" ht="14.25" customHeight="1" x14ac:dyDescent="0.15">
      <c r="A144" s="1" t="s">
        <v>1478</v>
      </c>
      <c r="B144" s="1" t="s">
        <v>254</v>
      </c>
      <c r="C144" s="1"/>
      <c r="D144" s="1" t="s">
        <v>158</v>
      </c>
      <c r="E144" s="1" t="s">
        <v>1479</v>
      </c>
      <c r="F144" s="1" t="s">
        <v>98</v>
      </c>
      <c r="G144" s="1" t="s">
        <v>1480</v>
      </c>
      <c r="H144" s="1">
        <v>0</v>
      </c>
      <c r="I144" s="1" t="s">
        <v>1016</v>
      </c>
      <c r="J144" s="1" t="s">
        <v>1346</v>
      </c>
      <c r="K144" s="1"/>
      <c r="L144" s="1"/>
      <c r="M144" s="1" t="s">
        <v>1443</v>
      </c>
      <c r="N144" s="1">
        <v>1</v>
      </c>
      <c r="O144" s="1">
        <v>0</v>
      </c>
      <c r="P144" s="1" t="s">
        <v>564</v>
      </c>
      <c r="Q144" s="1" t="s">
        <v>104</v>
      </c>
      <c r="R144" s="1" t="s">
        <v>1481</v>
      </c>
      <c r="S144" s="1" t="s">
        <v>1482</v>
      </c>
      <c r="T144" s="1" t="s">
        <v>107</v>
      </c>
      <c r="U144" s="1" t="s">
        <v>1483</v>
      </c>
      <c r="V144" s="1">
        <v>1</v>
      </c>
      <c r="W144" s="1">
        <v>1</v>
      </c>
      <c r="X144" s="1">
        <v>0</v>
      </c>
      <c r="Y144" s="1">
        <v>0</v>
      </c>
      <c r="Z144" s="1">
        <v>1</v>
      </c>
      <c r="AA144" s="1">
        <v>2</v>
      </c>
      <c r="AB144" s="1">
        <v>2</v>
      </c>
      <c r="AC144" s="1" t="s">
        <v>109</v>
      </c>
      <c r="AD144" s="1" t="s">
        <v>109</v>
      </c>
      <c r="AE144" s="1" t="s">
        <v>109</v>
      </c>
      <c r="AF144" s="1">
        <v>2</v>
      </c>
      <c r="AG144" s="1" t="s">
        <v>109</v>
      </c>
      <c r="AH144" s="1">
        <v>2</v>
      </c>
      <c r="AI144" s="1">
        <v>2</v>
      </c>
      <c r="AJ144" s="1">
        <v>2</v>
      </c>
      <c r="AK144" s="1">
        <v>2</v>
      </c>
      <c r="AL144" s="1" t="s">
        <v>109</v>
      </c>
      <c r="AM144" s="1" t="s">
        <v>109</v>
      </c>
      <c r="AN144" s="1" t="s">
        <v>109</v>
      </c>
      <c r="AO144" s="1" t="s">
        <v>109</v>
      </c>
      <c r="AP144" s="1"/>
      <c r="AQ144" s="1">
        <v>2</v>
      </c>
      <c r="AR144" s="1" t="s">
        <v>1484</v>
      </c>
      <c r="AS144" s="1" t="s">
        <v>1485</v>
      </c>
      <c r="AT144" s="1">
        <v>0</v>
      </c>
      <c r="AU144" s="1">
        <v>0</v>
      </c>
      <c r="AV144" s="1">
        <v>0</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1</v>
      </c>
      <c r="BN144" s="1">
        <v>0</v>
      </c>
      <c r="BO144" s="1">
        <v>0</v>
      </c>
      <c r="BP144" s="1">
        <v>0</v>
      </c>
      <c r="BQ144" s="1">
        <v>0</v>
      </c>
      <c r="BR144" s="1">
        <v>0</v>
      </c>
      <c r="BS144" s="5" t="str">
        <f>HYPERLINK("http://www.d20pfsrd.com/magic/all-spells/d/detect-thoughts","Detect Thoughts")</f>
        <v>Detect Thoughts</v>
      </c>
      <c r="BT144" s="1">
        <v>143</v>
      </c>
      <c r="BU144" s="1" t="s">
        <v>109</v>
      </c>
      <c r="BV144" s="1"/>
      <c r="BW144" s="1"/>
      <c r="BX144" s="1"/>
      <c r="BY144" s="1"/>
      <c r="BZ144" s="1">
        <v>0</v>
      </c>
      <c r="CA144" s="1" t="s">
        <v>109</v>
      </c>
      <c r="CB144" s="1" t="s">
        <v>109</v>
      </c>
      <c r="CC144" s="1">
        <v>1</v>
      </c>
      <c r="CD144" s="1" t="s">
        <v>109</v>
      </c>
      <c r="CE144" s="1">
        <v>2</v>
      </c>
      <c r="CF144" s="1" t="s">
        <v>109</v>
      </c>
      <c r="CG144" s="1">
        <v>2</v>
      </c>
      <c r="CH144" s="1" t="s">
        <v>109</v>
      </c>
      <c r="CI144" s="1" t="s">
        <v>109</v>
      </c>
      <c r="CJ144" s="1" t="s">
        <v>109</v>
      </c>
      <c r="CK144" s="1"/>
      <c r="CL144" s="1">
        <v>0</v>
      </c>
      <c r="CM144" s="1">
        <v>0</v>
      </c>
      <c r="CN144" s="1">
        <v>0</v>
      </c>
    </row>
    <row r="145" spans="1:92" ht="14.25" customHeight="1" x14ac:dyDescent="0.15">
      <c r="A145" s="1" t="s">
        <v>1486</v>
      </c>
      <c r="B145" s="1" t="s">
        <v>254</v>
      </c>
      <c r="C145" s="1"/>
      <c r="D145" s="1"/>
      <c r="E145" s="1" t="s">
        <v>1487</v>
      </c>
      <c r="F145" s="1" t="s">
        <v>98</v>
      </c>
      <c r="G145" s="1" t="s">
        <v>1488</v>
      </c>
      <c r="H145" s="1">
        <v>0</v>
      </c>
      <c r="I145" s="1" t="s">
        <v>1016</v>
      </c>
      <c r="J145" s="1" t="s">
        <v>1346</v>
      </c>
      <c r="K145" s="1"/>
      <c r="L145" s="1"/>
      <c r="M145" s="1" t="s">
        <v>1489</v>
      </c>
      <c r="N145" s="1">
        <v>1</v>
      </c>
      <c r="O145" s="1">
        <v>0</v>
      </c>
      <c r="P145" s="1" t="s">
        <v>103</v>
      </c>
      <c r="Q145" s="1" t="s">
        <v>104</v>
      </c>
      <c r="R145" s="1" t="s">
        <v>1490</v>
      </c>
      <c r="S145" s="1" t="s">
        <v>1491</v>
      </c>
      <c r="T145" s="1" t="s">
        <v>107</v>
      </c>
      <c r="U145" s="1" t="s">
        <v>1492</v>
      </c>
      <c r="V145" s="1">
        <v>1</v>
      </c>
      <c r="W145" s="1">
        <v>1</v>
      </c>
      <c r="X145" s="1">
        <v>1</v>
      </c>
      <c r="Y145" s="1">
        <v>0</v>
      </c>
      <c r="Z145" s="1">
        <v>1</v>
      </c>
      <c r="AA145" s="1">
        <v>1</v>
      </c>
      <c r="AB145" s="1">
        <v>1</v>
      </c>
      <c r="AC145" s="1">
        <v>1</v>
      </c>
      <c r="AD145" s="1" t="s">
        <v>109</v>
      </c>
      <c r="AE145" s="1" t="s">
        <v>109</v>
      </c>
      <c r="AF145" s="1" t="s">
        <v>109</v>
      </c>
      <c r="AG145" s="1">
        <v>1</v>
      </c>
      <c r="AH145" s="1">
        <v>1</v>
      </c>
      <c r="AI145" s="1" t="s">
        <v>109</v>
      </c>
      <c r="AJ145" s="1" t="s">
        <v>109</v>
      </c>
      <c r="AK145" s="1">
        <v>1</v>
      </c>
      <c r="AL145" s="1">
        <v>1</v>
      </c>
      <c r="AM145" s="1" t="s">
        <v>109</v>
      </c>
      <c r="AN145" s="1" t="s">
        <v>109</v>
      </c>
      <c r="AO145" s="1" t="s">
        <v>109</v>
      </c>
      <c r="AP145" s="1"/>
      <c r="AQ145" s="1">
        <v>1</v>
      </c>
      <c r="AR145" s="1"/>
      <c r="AS145" s="1" t="s">
        <v>1493</v>
      </c>
      <c r="AT145" s="1">
        <v>0</v>
      </c>
      <c r="AU145" s="1">
        <v>0</v>
      </c>
      <c r="AV145" s="1">
        <v>0</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5" t="str">
        <f>HYPERLINK("http://www.d20pfsrd.com/magic/all-spells/d/detect-undead","Detect Undead")</f>
        <v>Detect Undead</v>
      </c>
      <c r="BT145" s="1">
        <v>144</v>
      </c>
      <c r="BU145" s="1" t="s">
        <v>109</v>
      </c>
      <c r="BV145" s="1"/>
      <c r="BW145" s="1" t="s">
        <v>1494</v>
      </c>
      <c r="BX145" s="1"/>
      <c r="BY145" s="1"/>
      <c r="BZ145" s="1">
        <v>0</v>
      </c>
      <c r="CA145" s="1" t="s">
        <v>109</v>
      </c>
      <c r="CB145" s="1">
        <v>1</v>
      </c>
      <c r="CC145" s="1">
        <v>1</v>
      </c>
      <c r="CD145" s="1" t="s">
        <v>109</v>
      </c>
      <c r="CE145" s="1">
        <v>1</v>
      </c>
      <c r="CF145" s="1" t="s">
        <v>109</v>
      </c>
      <c r="CG145" s="1">
        <v>1</v>
      </c>
      <c r="CH145" s="1" t="s">
        <v>109</v>
      </c>
      <c r="CI145" s="1" t="s">
        <v>109</v>
      </c>
      <c r="CJ145" s="1" t="s">
        <v>109</v>
      </c>
      <c r="CK145" s="1"/>
      <c r="CL145" s="1">
        <v>0</v>
      </c>
      <c r="CM145" s="1">
        <v>0</v>
      </c>
      <c r="CN145" s="1">
        <v>0</v>
      </c>
    </row>
    <row r="146" spans="1:92" ht="14.25" customHeight="1" x14ac:dyDescent="0.15">
      <c r="A146" s="1" t="s">
        <v>1495</v>
      </c>
      <c r="B146" s="1" t="s">
        <v>584</v>
      </c>
      <c r="C146" s="1"/>
      <c r="D146" s="1" t="s">
        <v>1496</v>
      </c>
      <c r="E146" s="1" t="s">
        <v>599</v>
      </c>
      <c r="F146" s="1" t="s">
        <v>98</v>
      </c>
      <c r="G146" s="1" t="s">
        <v>333</v>
      </c>
      <c r="H146" s="1">
        <v>0</v>
      </c>
      <c r="I146" s="1" t="s">
        <v>600</v>
      </c>
      <c r="J146" s="1" t="s">
        <v>1497</v>
      </c>
      <c r="K146" s="1"/>
      <c r="L146" s="1"/>
      <c r="M146" s="1" t="s">
        <v>144</v>
      </c>
      <c r="N146" s="1">
        <v>0</v>
      </c>
      <c r="O146" s="1">
        <v>0</v>
      </c>
      <c r="P146" s="1" t="s">
        <v>258</v>
      </c>
      <c r="Q146" s="1" t="s">
        <v>268</v>
      </c>
      <c r="R146" s="1" t="s">
        <v>1498</v>
      </c>
      <c r="S146" s="1" t="s">
        <v>1499</v>
      </c>
      <c r="T146" s="1" t="s">
        <v>107</v>
      </c>
      <c r="U146" s="1" t="s">
        <v>1500</v>
      </c>
      <c r="V146" s="1">
        <v>1</v>
      </c>
      <c r="W146" s="1">
        <v>0</v>
      </c>
      <c r="X146" s="1">
        <v>0</v>
      </c>
      <c r="Y146" s="1">
        <v>0</v>
      </c>
      <c r="Z146" s="1">
        <v>0</v>
      </c>
      <c r="AA146" s="1" t="s">
        <v>109</v>
      </c>
      <c r="AB146" s="1" t="s">
        <v>109</v>
      </c>
      <c r="AC146" s="1">
        <v>7</v>
      </c>
      <c r="AD146" s="1" t="s">
        <v>109</v>
      </c>
      <c r="AE146" s="1" t="s">
        <v>109</v>
      </c>
      <c r="AF146" s="1" t="s">
        <v>109</v>
      </c>
      <c r="AG146" s="1" t="s">
        <v>109</v>
      </c>
      <c r="AH146" s="1" t="s">
        <v>109</v>
      </c>
      <c r="AI146" s="1" t="s">
        <v>109</v>
      </c>
      <c r="AJ146" s="1" t="s">
        <v>109</v>
      </c>
      <c r="AK146" s="1">
        <v>6</v>
      </c>
      <c r="AL146" s="1">
        <v>7</v>
      </c>
      <c r="AM146" s="1" t="s">
        <v>109</v>
      </c>
      <c r="AN146" s="1" t="s">
        <v>109</v>
      </c>
      <c r="AO146" s="1" t="s">
        <v>109</v>
      </c>
      <c r="AP146" s="1"/>
      <c r="AQ146" s="1">
        <v>7</v>
      </c>
      <c r="AR146" s="1" t="s">
        <v>1501</v>
      </c>
      <c r="AS146" s="1" t="s">
        <v>1502</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1</v>
      </c>
      <c r="BL146" s="1">
        <v>0</v>
      </c>
      <c r="BM146" s="1">
        <v>0</v>
      </c>
      <c r="BN146" s="1">
        <v>0</v>
      </c>
      <c r="BO146" s="1">
        <v>0</v>
      </c>
      <c r="BP146" s="1">
        <v>0</v>
      </c>
      <c r="BQ146" s="1">
        <v>1</v>
      </c>
      <c r="BR146" s="1">
        <v>0</v>
      </c>
      <c r="BS146" s="5" t="str">
        <f>HYPERLINK("http://www.d20pfsrd.com/magic/all-spells/d/dictum","Dictum")</f>
        <v>Dictum</v>
      </c>
      <c r="BT146" s="1">
        <v>145</v>
      </c>
      <c r="BU146" s="1" t="s">
        <v>109</v>
      </c>
      <c r="BV146" s="1"/>
      <c r="BW146" s="1"/>
      <c r="BX146" s="1" t="s">
        <v>1503</v>
      </c>
      <c r="BY146" s="1"/>
      <c r="BZ146" s="1">
        <v>1</v>
      </c>
      <c r="CA146" s="1" t="s">
        <v>109</v>
      </c>
      <c r="CB146" s="1" t="s">
        <v>109</v>
      </c>
      <c r="CC146" s="1" t="s">
        <v>109</v>
      </c>
      <c r="CD146" s="1" t="s">
        <v>109</v>
      </c>
      <c r="CE146" s="1" t="s">
        <v>109</v>
      </c>
      <c r="CF146" s="1" t="s">
        <v>109</v>
      </c>
      <c r="CG146" s="1" t="s">
        <v>109</v>
      </c>
      <c r="CH146" s="1" t="s">
        <v>109</v>
      </c>
      <c r="CI146" s="1" t="s">
        <v>109</v>
      </c>
      <c r="CJ146" s="1" t="s">
        <v>109</v>
      </c>
      <c r="CK146" s="1"/>
      <c r="CL146" s="1">
        <v>0</v>
      </c>
      <c r="CM146" s="1">
        <v>0</v>
      </c>
      <c r="CN146" s="1">
        <v>0</v>
      </c>
    </row>
    <row r="147" spans="1:92" ht="14.25" customHeight="1" x14ac:dyDescent="0.15">
      <c r="A147" s="1" t="s">
        <v>1504</v>
      </c>
      <c r="B147" s="1" t="s">
        <v>242</v>
      </c>
      <c r="C147" s="1"/>
      <c r="D147" s="1"/>
      <c r="E147" s="1" t="s">
        <v>1505</v>
      </c>
      <c r="F147" s="1" t="s">
        <v>98</v>
      </c>
      <c r="G147" s="1" t="s">
        <v>141</v>
      </c>
      <c r="H147" s="1">
        <v>0</v>
      </c>
      <c r="I147" s="1" t="s">
        <v>122</v>
      </c>
      <c r="J147" s="1"/>
      <c r="K147" s="1" t="s">
        <v>1506</v>
      </c>
      <c r="L147" s="1"/>
      <c r="M147" s="1" t="s">
        <v>164</v>
      </c>
      <c r="N147" s="1">
        <v>0</v>
      </c>
      <c r="O147" s="1">
        <v>0</v>
      </c>
      <c r="P147" s="1" t="s">
        <v>103</v>
      </c>
      <c r="Q147" s="1" t="s">
        <v>630</v>
      </c>
      <c r="R147" s="1" t="s">
        <v>1507</v>
      </c>
      <c r="S147" s="1" t="s">
        <v>1508</v>
      </c>
      <c r="T147" s="1" t="s">
        <v>107</v>
      </c>
      <c r="U147" s="1" t="s">
        <v>1509</v>
      </c>
      <c r="V147" s="1">
        <v>1</v>
      </c>
      <c r="W147" s="1">
        <v>1</v>
      </c>
      <c r="X147" s="1">
        <v>0</v>
      </c>
      <c r="Y147" s="1">
        <v>0</v>
      </c>
      <c r="Z147" s="1">
        <v>0</v>
      </c>
      <c r="AA147" s="1">
        <v>4</v>
      </c>
      <c r="AB147" s="1">
        <v>4</v>
      </c>
      <c r="AC147" s="1">
        <v>4</v>
      </c>
      <c r="AD147" s="1" t="s">
        <v>109</v>
      </c>
      <c r="AE147" s="1" t="s">
        <v>109</v>
      </c>
      <c r="AF147" s="1" t="s">
        <v>109</v>
      </c>
      <c r="AG147" s="1" t="s">
        <v>109</v>
      </c>
      <c r="AH147" s="1" t="s">
        <v>109</v>
      </c>
      <c r="AI147" s="1">
        <v>3</v>
      </c>
      <c r="AJ147" s="1" t="s">
        <v>109</v>
      </c>
      <c r="AK147" s="1">
        <v>3</v>
      </c>
      <c r="AL147" s="1">
        <v>4</v>
      </c>
      <c r="AM147" s="1" t="s">
        <v>109</v>
      </c>
      <c r="AN147" s="1" t="s">
        <v>109</v>
      </c>
      <c r="AO147" s="1" t="s">
        <v>109</v>
      </c>
      <c r="AP147" s="1"/>
      <c r="AQ147" s="1">
        <v>4</v>
      </c>
      <c r="AR147" s="1" t="s">
        <v>1510</v>
      </c>
      <c r="AS147" s="1" t="s">
        <v>1511</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5" t="str">
        <f>HYPERLINK("http://www.d20pfsrd.com/magic/all-spells/d/dimensional-anchor","Dimensional Anchor")</f>
        <v>Dimensional Anchor</v>
      </c>
      <c r="BT147" s="1">
        <v>146</v>
      </c>
      <c r="BU147" s="1" t="s">
        <v>109</v>
      </c>
      <c r="BV147" s="1"/>
      <c r="BW147" s="1" t="s">
        <v>1512</v>
      </c>
      <c r="BX147" s="1"/>
      <c r="BY147" s="1"/>
      <c r="BZ147" s="1">
        <v>0</v>
      </c>
      <c r="CA147" s="1" t="s">
        <v>109</v>
      </c>
      <c r="CB147" s="1" t="s">
        <v>109</v>
      </c>
      <c r="CC147" s="1">
        <v>4</v>
      </c>
      <c r="CD147" s="1" t="s">
        <v>109</v>
      </c>
      <c r="CE147" s="1" t="s">
        <v>109</v>
      </c>
      <c r="CF147" s="1">
        <v>4</v>
      </c>
      <c r="CG147" s="1">
        <v>4</v>
      </c>
      <c r="CH147" s="1" t="s">
        <v>109</v>
      </c>
      <c r="CI147" s="1" t="s">
        <v>109</v>
      </c>
      <c r="CJ147" s="1" t="s">
        <v>109</v>
      </c>
      <c r="CK147" s="1"/>
      <c r="CL147" s="1">
        <v>0</v>
      </c>
      <c r="CM147" s="1">
        <v>0</v>
      </c>
      <c r="CN147" s="1">
        <v>0</v>
      </c>
    </row>
    <row r="148" spans="1:92" ht="14.25" customHeight="1" x14ac:dyDescent="0.15">
      <c r="A148" s="1" t="s">
        <v>1513</v>
      </c>
      <c r="B148" s="1" t="s">
        <v>242</v>
      </c>
      <c r="C148" s="1"/>
      <c r="D148" s="1"/>
      <c r="E148" s="1" t="s">
        <v>1514</v>
      </c>
      <c r="F148" s="1" t="s">
        <v>98</v>
      </c>
      <c r="G148" s="1" t="s">
        <v>141</v>
      </c>
      <c r="H148" s="1">
        <v>0</v>
      </c>
      <c r="I148" s="1" t="s">
        <v>122</v>
      </c>
      <c r="J148" s="1" t="s">
        <v>245</v>
      </c>
      <c r="K148" s="1"/>
      <c r="L148" s="1"/>
      <c r="M148" s="1" t="s">
        <v>280</v>
      </c>
      <c r="N148" s="1">
        <v>0</v>
      </c>
      <c r="O148" s="1">
        <v>0</v>
      </c>
      <c r="P148" s="1" t="s">
        <v>103</v>
      </c>
      <c r="Q148" s="1" t="s">
        <v>268</v>
      </c>
      <c r="R148" s="1" t="s">
        <v>1515</v>
      </c>
      <c r="S148" s="1" t="s">
        <v>1516</v>
      </c>
      <c r="T148" s="1" t="s">
        <v>107</v>
      </c>
      <c r="U148" s="1" t="s">
        <v>1517</v>
      </c>
      <c r="V148" s="1">
        <v>1</v>
      </c>
      <c r="W148" s="1">
        <v>1</v>
      </c>
      <c r="X148" s="1">
        <v>0</v>
      </c>
      <c r="Y148" s="1">
        <v>0</v>
      </c>
      <c r="Z148" s="1">
        <v>0</v>
      </c>
      <c r="AA148" s="1">
        <v>8</v>
      </c>
      <c r="AB148" s="1">
        <v>8</v>
      </c>
      <c r="AC148" s="1">
        <v>8</v>
      </c>
      <c r="AD148" s="1" t="s">
        <v>109</v>
      </c>
      <c r="AE148" s="1" t="s">
        <v>109</v>
      </c>
      <c r="AF148" s="1" t="s">
        <v>109</v>
      </c>
      <c r="AG148" s="1" t="s">
        <v>109</v>
      </c>
      <c r="AH148" s="1" t="s">
        <v>109</v>
      </c>
      <c r="AI148" s="1">
        <v>6</v>
      </c>
      <c r="AJ148" s="1" t="s">
        <v>109</v>
      </c>
      <c r="AK148" s="1" t="s">
        <v>109</v>
      </c>
      <c r="AL148" s="1">
        <v>8</v>
      </c>
      <c r="AM148" s="1" t="s">
        <v>109</v>
      </c>
      <c r="AN148" s="1" t="s">
        <v>109</v>
      </c>
      <c r="AO148" s="1" t="s">
        <v>109</v>
      </c>
      <c r="AP148" s="1"/>
      <c r="AQ148" s="1">
        <v>8</v>
      </c>
      <c r="AR148" s="1"/>
      <c r="AS148" s="1" t="s">
        <v>1518</v>
      </c>
      <c r="AT148" s="1">
        <v>0</v>
      </c>
      <c r="AU148" s="1">
        <v>0</v>
      </c>
      <c r="AV148" s="1">
        <v>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5" t="str">
        <f>HYPERLINK("http://www.d20pfsrd.com/magic/all-spells/d/dimensional-lock","Dimensional Lock")</f>
        <v>Dimensional Lock</v>
      </c>
      <c r="BT148" s="1">
        <v>147</v>
      </c>
      <c r="BU148" s="1" t="s">
        <v>109</v>
      </c>
      <c r="BV148" s="1" t="s">
        <v>1519</v>
      </c>
      <c r="BW148" s="1" t="s">
        <v>1520</v>
      </c>
      <c r="BX148" s="1"/>
      <c r="BY148" s="1"/>
      <c r="BZ148" s="1">
        <v>0</v>
      </c>
      <c r="CA148" s="1" t="s">
        <v>109</v>
      </c>
      <c r="CB148" s="1" t="s">
        <v>109</v>
      </c>
      <c r="CC148" s="1">
        <v>8</v>
      </c>
      <c r="CD148" s="1" t="s">
        <v>109</v>
      </c>
      <c r="CE148" s="1" t="s">
        <v>109</v>
      </c>
      <c r="CF148" s="1" t="s">
        <v>109</v>
      </c>
      <c r="CG148" s="1" t="s">
        <v>109</v>
      </c>
      <c r="CH148" s="1" t="s">
        <v>109</v>
      </c>
      <c r="CI148" s="1" t="s">
        <v>109</v>
      </c>
      <c r="CJ148" s="1" t="s">
        <v>109</v>
      </c>
      <c r="CK148" s="1"/>
      <c r="CL148" s="1">
        <v>0</v>
      </c>
      <c r="CM148" s="1">
        <v>0</v>
      </c>
      <c r="CN148" s="1">
        <v>0</v>
      </c>
    </row>
    <row r="149" spans="1:92" ht="14.25" customHeight="1" x14ac:dyDescent="0.15">
      <c r="A149" s="1" t="s">
        <v>1521</v>
      </c>
      <c r="B149" s="1" t="s">
        <v>95</v>
      </c>
      <c r="C149" s="1" t="s">
        <v>1522</v>
      </c>
      <c r="D149" s="1"/>
      <c r="E149" s="1" t="s">
        <v>1523</v>
      </c>
      <c r="F149" s="1" t="s">
        <v>98</v>
      </c>
      <c r="G149" s="1" t="s">
        <v>333</v>
      </c>
      <c r="H149" s="1">
        <v>0</v>
      </c>
      <c r="I149" s="1" t="s">
        <v>100</v>
      </c>
      <c r="J149" s="1"/>
      <c r="K149" s="1"/>
      <c r="L149" s="1" t="s">
        <v>1524</v>
      </c>
      <c r="M149" s="1" t="s">
        <v>144</v>
      </c>
      <c r="N149" s="1">
        <v>0</v>
      </c>
      <c r="O149" s="1">
        <v>0</v>
      </c>
      <c r="P149" s="1" t="s">
        <v>1525</v>
      </c>
      <c r="Q149" s="1" t="s">
        <v>1526</v>
      </c>
      <c r="R149" s="1" t="s">
        <v>1527</v>
      </c>
      <c r="S149" s="1" t="s">
        <v>1528</v>
      </c>
      <c r="T149" s="1" t="s">
        <v>107</v>
      </c>
      <c r="U149" s="1" t="s">
        <v>1529</v>
      </c>
      <c r="V149" s="1">
        <v>1</v>
      </c>
      <c r="W149" s="1">
        <v>0</v>
      </c>
      <c r="X149" s="1">
        <v>0</v>
      </c>
      <c r="Y149" s="1">
        <v>0</v>
      </c>
      <c r="Z149" s="1">
        <v>0</v>
      </c>
      <c r="AA149" s="1">
        <v>4</v>
      </c>
      <c r="AB149" s="1">
        <v>4</v>
      </c>
      <c r="AC149" s="1" t="s">
        <v>109</v>
      </c>
      <c r="AD149" s="1" t="s">
        <v>109</v>
      </c>
      <c r="AE149" s="1" t="s">
        <v>109</v>
      </c>
      <c r="AF149" s="1">
        <v>4</v>
      </c>
      <c r="AG149" s="1" t="s">
        <v>109</v>
      </c>
      <c r="AH149" s="1" t="s">
        <v>109</v>
      </c>
      <c r="AI149" s="1">
        <v>3</v>
      </c>
      <c r="AJ149" s="1">
        <v>4</v>
      </c>
      <c r="AK149" s="1" t="s">
        <v>109</v>
      </c>
      <c r="AL149" s="1" t="s">
        <v>109</v>
      </c>
      <c r="AM149" s="1" t="s">
        <v>109</v>
      </c>
      <c r="AN149" s="1">
        <v>4</v>
      </c>
      <c r="AO149" s="1" t="s">
        <v>109</v>
      </c>
      <c r="AP149" s="1"/>
      <c r="AQ149" s="1">
        <v>4</v>
      </c>
      <c r="AR149" s="1" t="s">
        <v>1530</v>
      </c>
      <c r="AS149" s="1" t="s">
        <v>1531</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5" t="str">
        <f>HYPERLINK("http://www.d20pfsrd.com/magic/all-spells/d/dimension-door","Dimension Door")</f>
        <v>Dimension Door</v>
      </c>
      <c r="BT149" s="1">
        <v>148</v>
      </c>
      <c r="BU149" s="1" t="s">
        <v>109</v>
      </c>
      <c r="BV149" s="1" t="s">
        <v>1532</v>
      </c>
      <c r="BW149" s="1"/>
      <c r="BX149" s="1"/>
      <c r="BY149" s="1"/>
      <c r="BZ149" s="1">
        <v>0</v>
      </c>
      <c r="CA149" s="1" t="s">
        <v>109</v>
      </c>
      <c r="CB149" s="1" t="s">
        <v>109</v>
      </c>
      <c r="CC149" s="1">
        <v>4</v>
      </c>
      <c r="CD149" s="1" t="s">
        <v>109</v>
      </c>
      <c r="CE149" s="1">
        <v>4</v>
      </c>
      <c r="CF149" s="1">
        <v>4</v>
      </c>
      <c r="CG149" s="1">
        <v>4</v>
      </c>
      <c r="CH149" s="1" t="s">
        <v>109</v>
      </c>
      <c r="CI149" s="1" t="s">
        <v>109</v>
      </c>
      <c r="CJ149" s="1" t="s">
        <v>109</v>
      </c>
      <c r="CK149" s="1"/>
      <c r="CL149" s="1">
        <v>0</v>
      </c>
      <c r="CM149" s="1">
        <v>0</v>
      </c>
      <c r="CN149" s="1">
        <v>0</v>
      </c>
    </row>
    <row r="150" spans="1:92" ht="14.25" customHeight="1" x14ac:dyDescent="0.15">
      <c r="A150" s="1" t="s">
        <v>1533</v>
      </c>
      <c r="B150" s="1" t="s">
        <v>189</v>
      </c>
      <c r="C150" s="1"/>
      <c r="D150" s="1"/>
      <c r="E150" s="1" t="s">
        <v>1534</v>
      </c>
      <c r="F150" s="1" t="s">
        <v>98</v>
      </c>
      <c r="G150" s="1" t="s">
        <v>160</v>
      </c>
      <c r="H150" s="1">
        <v>0</v>
      </c>
      <c r="I150" s="1" t="s">
        <v>211</v>
      </c>
      <c r="J150" s="1" t="s">
        <v>211</v>
      </c>
      <c r="K150" s="1"/>
      <c r="L150" s="1" t="s">
        <v>211</v>
      </c>
      <c r="M150" s="1" t="s">
        <v>144</v>
      </c>
      <c r="N150" s="1">
        <v>0</v>
      </c>
      <c r="O150" s="1">
        <v>0</v>
      </c>
      <c r="P150" s="1" t="s">
        <v>103</v>
      </c>
      <c r="Q150" s="1" t="s">
        <v>104</v>
      </c>
      <c r="R150" s="1" t="s">
        <v>1535</v>
      </c>
      <c r="S150" s="1" t="s">
        <v>1536</v>
      </c>
      <c r="T150" s="1" t="s">
        <v>107</v>
      </c>
      <c r="U150" s="1" t="s">
        <v>1537</v>
      </c>
      <c r="V150" s="1">
        <v>1</v>
      </c>
      <c r="W150" s="1">
        <v>1</v>
      </c>
      <c r="X150" s="1">
        <v>0</v>
      </c>
      <c r="Y150" s="1">
        <v>0</v>
      </c>
      <c r="Z150" s="1">
        <v>1</v>
      </c>
      <c r="AA150" s="1" t="s">
        <v>109</v>
      </c>
      <c r="AB150" s="1" t="s">
        <v>109</v>
      </c>
      <c r="AC150" s="1" t="s">
        <v>109</v>
      </c>
      <c r="AD150" s="1">
        <v>3</v>
      </c>
      <c r="AE150" s="1">
        <v>3</v>
      </c>
      <c r="AF150" s="1" t="s">
        <v>109</v>
      </c>
      <c r="AG150" s="1" t="s">
        <v>109</v>
      </c>
      <c r="AH150" s="1" t="s">
        <v>109</v>
      </c>
      <c r="AI150" s="1" t="s">
        <v>109</v>
      </c>
      <c r="AJ150" s="1" t="s">
        <v>109</v>
      </c>
      <c r="AK150" s="1" t="s">
        <v>109</v>
      </c>
      <c r="AL150" s="1" t="s">
        <v>109</v>
      </c>
      <c r="AM150" s="1" t="s">
        <v>109</v>
      </c>
      <c r="AN150" s="1" t="s">
        <v>109</v>
      </c>
      <c r="AO150" s="1" t="s">
        <v>109</v>
      </c>
      <c r="AP150" s="1"/>
      <c r="AQ150" s="1">
        <v>3</v>
      </c>
      <c r="AR150" s="1"/>
      <c r="AS150" s="1" t="s">
        <v>1538</v>
      </c>
      <c r="AT150" s="1">
        <v>0</v>
      </c>
      <c r="AU150" s="1">
        <v>0</v>
      </c>
      <c r="AV150" s="1">
        <v>0</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5" t="str">
        <f>HYPERLINK("http://www.d20pfsrd.com/magic/all-spells/d/diminish-plants","Diminish Plants")</f>
        <v>Diminish Plants</v>
      </c>
      <c r="BT150" s="1">
        <v>149</v>
      </c>
      <c r="BU150" s="1" t="s">
        <v>109</v>
      </c>
      <c r="BV150" s="1"/>
      <c r="BW150" s="1"/>
      <c r="BX150" s="1"/>
      <c r="BY150" s="1"/>
      <c r="BZ150" s="1">
        <v>0</v>
      </c>
      <c r="CA150" s="1" t="s">
        <v>109</v>
      </c>
      <c r="CB150" s="1" t="s">
        <v>109</v>
      </c>
      <c r="CC150" s="1" t="s">
        <v>109</v>
      </c>
      <c r="CD150" s="1" t="s">
        <v>109</v>
      </c>
      <c r="CE150" s="1" t="s">
        <v>109</v>
      </c>
      <c r="CF150" s="1" t="s">
        <v>109</v>
      </c>
      <c r="CG150" s="1" t="s">
        <v>109</v>
      </c>
      <c r="CH150" s="1" t="s">
        <v>109</v>
      </c>
      <c r="CI150" s="1" t="s">
        <v>109</v>
      </c>
      <c r="CJ150" s="1">
        <v>3</v>
      </c>
      <c r="CK150" s="1"/>
      <c r="CL150" s="1">
        <v>0</v>
      </c>
      <c r="CM150" s="1">
        <v>0</v>
      </c>
      <c r="CN150" s="1">
        <v>0</v>
      </c>
    </row>
    <row r="151" spans="1:92" ht="14.25" customHeight="1" x14ac:dyDescent="0.15">
      <c r="A151" s="1" t="s">
        <v>1539</v>
      </c>
      <c r="B151" s="1" t="s">
        <v>254</v>
      </c>
      <c r="C151" s="1"/>
      <c r="D151" s="1"/>
      <c r="E151" s="1" t="s">
        <v>1540</v>
      </c>
      <c r="F151" s="1" t="s">
        <v>98</v>
      </c>
      <c r="G151" s="1" t="s">
        <v>160</v>
      </c>
      <c r="H151" s="1">
        <v>0</v>
      </c>
      <c r="I151" s="1" t="s">
        <v>142</v>
      </c>
      <c r="J151" s="1"/>
      <c r="K151" s="1"/>
      <c r="L151" s="1" t="s">
        <v>716</v>
      </c>
      <c r="M151" s="1" t="s">
        <v>766</v>
      </c>
      <c r="N151" s="1">
        <v>0</v>
      </c>
      <c r="O151" s="1">
        <v>0</v>
      </c>
      <c r="P151" s="1" t="s">
        <v>301</v>
      </c>
      <c r="Q151" s="1" t="s">
        <v>104</v>
      </c>
      <c r="R151" s="1" t="s">
        <v>1541</v>
      </c>
      <c r="S151" s="1" t="s">
        <v>1542</v>
      </c>
      <c r="T151" s="1" t="s">
        <v>107</v>
      </c>
      <c r="U151" s="1" t="s">
        <v>1543</v>
      </c>
      <c r="V151" s="1">
        <v>1</v>
      </c>
      <c r="W151" s="1">
        <v>1</v>
      </c>
      <c r="X151" s="1">
        <v>0</v>
      </c>
      <c r="Y151" s="1">
        <v>0</v>
      </c>
      <c r="Z151" s="1">
        <v>1</v>
      </c>
      <c r="AA151" s="1" t="s">
        <v>109</v>
      </c>
      <c r="AB151" s="1" t="s">
        <v>109</v>
      </c>
      <c r="AC151" s="1">
        <v>4</v>
      </c>
      <c r="AD151" s="1" t="s">
        <v>109</v>
      </c>
      <c r="AE151" s="1" t="s">
        <v>109</v>
      </c>
      <c r="AF151" s="1" t="s">
        <v>109</v>
      </c>
      <c r="AG151" s="1">
        <v>3</v>
      </c>
      <c r="AH151" s="1">
        <v>4</v>
      </c>
      <c r="AI151" s="1" t="s">
        <v>109</v>
      </c>
      <c r="AJ151" s="1">
        <v>4</v>
      </c>
      <c r="AK151" s="1">
        <v>4</v>
      </c>
      <c r="AL151" s="1">
        <v>4</v>
      </c>
      <c r="AM151" s="1" t="s">
        <v>109</v>
      </c>
      <c r="AN151" s="1" t="s">
        <v>109</v>
      </c>
      <c r="AO151" s="1" t="s">
        <v>109</v>
      </c>
      <c r="AP151" s="1"/>
      <c r="AQ151" s="1">
        <v>4</v>
      </c>
      <c r="AR151" s="1" t="s">
        <v>1544</v>
      </c>
      <c r="AS151" s="1" t="s">
        <v>1545</v>
      </c>
      <c r="AT151" s="1">
        <v>0</v>
      </c>
      <c r="AU151" s="1">
        <v>0</v>
      </c>
      <c r="AV151" s="1">
        <v>0</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5" t="str">
        <f>HYPERLINK("http://www.d20pfsrd.com/magic/all-spells/d/discern-lies","Discern Lies")</f>
        <v>Discern Lies</v>
      </c>
      <c r="BT151" s="1">
        <v>150</v>
      </c>
      <c r="BU151" s="1" t="s">
        <v>109</v>
      </c>
      <c r="BV151" s="1"/>
      <c r="BW151" s="1"/>
      <c r="BX151" s="1"/>
      <c r="BY151" s="1"/>
      <c r="BZ151" s="1">
        <v>0</v>
      </c>
      <c r="CA151" s="1" t="s">
        <v>109</v>
      </c>
      <c r="CB151" s="1" t="s">
        <v>109</v>
      </c>
      <c r="CC151" s="1">
        <v>4</v>
      </c>
      <c r="CD151" s="1" t="s">
        <v>109</v>
      </c>
      <c r="CE151" s="1" t="s">
        <v>109</v>
      </c>
      <c r="CF151" s="1" t="s">
        <v>109</v>
      </c>
      <c r="CG151" s="1" t="s">
        <v>109</v>
      </c>
      <c r="CH151" s="1" t="s">
        <v>109</v>
      </c>
      <c r="CI151" s="1" t="s">
        <v>109</v>
      </c>
      <c r="CJ151" s="1" t="s">
        <v>109</v>
      </c>
      <c r="CK151" s="1"/>
      <c r="CL151" s="1">
        <v>0</v>
      </c>
      <c r="CM151" s="1">
        <v>0</v>
      </c>
      <c r="CN151" s="1">
        <v>0</v>
      </c>
    </row>
    <row r="152" spans="1:92" ht="14.25" customHeight="1" x14ac:dyDescent="0.15">
      <c r="A152" s="1" t="s">
        <v>1546</v>
      </c>
      <c r="B152" s="1" t="s">
        <v>254</v>
      </c>
      <c r="C152" s="1"/>
      <c r="D152" s="1"/>
      <c r="E152" s="1" t="s">
        <v>1547</v>
      </c>
      <c r="F152" s="1" t="s">
        <v>395</v>
      </c>
      <c r="G152" s="1" t="s">
        <v>160</v>
      </c>
      <c r="H152" s="1">
        <v>0</v>
      </c>
      <c r="I152" s="1" t="s">
        <v>397</v>
      </c>
      <c r="J152" s="1"/>
      <c r="K152" s="1"/>
      <c r="L152" s="1" t="s">
        <v>1548</v>
      </c>
      <c r="M152" s="1" t="s">
        <v>144</v>
      </c>
      <c r="N152" s="1">
        <v>0</v>
      </c>
      <c r="O152" s="1">
        <v>0</v>
      </c>
      <c r="P152" s="1" t="s">
        <v>103</v>
      </c>
      <c r="Q152" s="1" t="s">
        <v>104</v>
      </c>
      <c r="R152" s="1" t="s">
        <v>1549</v>
      </c>
      <c r="S152" s="1" t="s">
        <v>1550</v>
      </c>
      <c r="T152" s="1" t="s">
        <v>107</v>
      </c>
      <c r="U152" s="1" t="s">
        <v>1551</v>
      </c>
      <c r="V152" s="1">
        <v>1</v>
      </c>
      <c r="W152" s="1">
        <v>1</v>
      </c>
      <c r="X152" s="1">
        <v>0</v>
      </c>
      <c r="Y152" s="1">
        <v>0</v>
      </c>
      <c r="Z152" s="1">
        <v>1</v>
      </c>
      <c r="AA152" s="1">
        <v>8</v>
      </c>
      <c r="AB152" s="1">
        <v>8</v>
      </c>
      <c r="AC152" s="1">
        <v>8</v>
      </c>
      <c r="AD152" s="1" t="s">
        <v>109</v>
      </c>
      <c r="AE152" s="1" t="s">
        <v>109</v>
      </c>
      <c r="AF152" s="1" t="s">
        <v>109</v>
      </c>
      <c r="AG152" s="1" t="s">
        <v>109</v>
      </c>
      <c r="AH152" s="1" t="s">
        <v>109</v>
      </c>
      <c r="AI152" s="1">
        <v>6</v>
      </c>
      <c r="AJ152" s="1">
        <v>8</v>
      </c>
      <c r="AK152" s="1" t="s">
        <v>109</v>
      </c>
      <c r="AL152" s="1">
        <v>8</v>
      </c>
      <c r="AM152" s="1" t="s">
        <v>109</v>
      </c>
      <c r="AN152" s="1" t="s">
        <v>109</v>
      </c>
      <c r="AO152" s="1" t="s">
        <v>109</v>
      </c>
      <c r="AP152" s="1"/>
      <c r="AQ152" s="1">
        <v>8</v>
      </c>
      <c r="AR152" s="1" t="s">
        <v>1552</v>
      </c>
      <c r="AS152" s="1" t="s">
        <v>1553</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5" t="str">
        <f>HYPERLINK("http://www.d20pfsrd.com/magic/all-spells/d/discern-location","Discern Location")</f>
        <v>Discern Location</v>
      </c>
      <c r="BT152" s="1">
        <v>151</v>
      </c>
      <c r="BU152" s="1" t="s">
        <v>109</v>
      </c>
      <c r="BV152" s="1"/>
      <c r="BW152" s="1"/>
      <c r="BX152" s="1"/>
      <c r="BY152" s="1"/>
      <c r="BZ152" s="1">
        <v>0</v>
      </c>
      <c r="CA152" s="1" t="s">
        <v>109</v>
      </c>
      <c r="CB152" s="1">
        <v>8</v>
      </c>
      <c r="CC152" s="1">
        <v>8</v>
      </c>
      <c r="CD152" s="1" t="s">
        <v>109</v>
      </c>
      <c r="CE152" s="1" t="s">
        <v>109</v>
      </c>
      <c r="CF152" s="1" t="s">
        <v>109</v>
      </c>
      <c r="CG152" s="1" t="s">
        <v>109</v>
      </c>
      <c r="CH152" s="1" t="s">
        <v>109</v>
      </c>
      <c r="CI152" s="1" t="s">
        <v>109</v>
      </c>
      <c r="CJ152" s="1" t="s">
        <v>109</v>
      </c>
      <c r="CK152" s="1"/>
      <c r="CL152" s="1">
        <v>0</v>
      </c>
      <c r="CM152" s="1">
        <v>0</v>
      </c>
      <c r="CN152" s="1">
        <v>0</v>
      </c>
    </row>
    <row r="153" spans="1:92" ht="14.25" customHeight="1" x14ac:dyDescent="0.15">
      <c r="A153" s="1" t="s">
        <v>1554</v>
      </c>
      <c r="B153" s="1" t="s">
        <v>674</v>
      </c>
      <c r="C153" s="1" t="s">
        <v>675</v>
      </c>
      <c r="D153" s="1"/>
      <c r="E153" s="1" t="s">
        <v>1555</v>
      </c>
      <c r="F153" s="1" t="s">
        <v>98</v>
      </c>
      <c r="G153" s="1" t="s">
        <v>141</v>
      </c>
      <c r="H153" s="1">
        <v>0</v>
      </c>
      <c r="I153" s="1" t="s">
        <v>235</v>
      </c>
      <c r="J153" s="1"/>
      <c r="K153" s="1"/>
      <c r="L153" s="1" t="s">
        <v>236</v>
      </c>
      <c r="M153" s="1" t="s">
        <v>194</v>
      </c>
      <c r="N153" s="1">
        <v>1</v>
      </c>
      <c r="O153" s="1">
        <v>0</v>
      </c>
      <c r="P153" s="1"/>
      <c r="Q153" s="1"/>
      <c r="R153" s="1" t="s">
        <v>1556</v>
      </c>
      <c r="S153" s="1" t="s">
        <v>1557</v>
      </c>
      <c r="T153" s="1" t="s">
        <v>107</v>
      </c>
      <c r="U153" s="1" t="s">
        <v>1558</v>
      </c>
      <c r="V153" s="1">
        <v>1</v>
      </c>
      <c r="W153" s="1">
        <v>1</v>
      </c>
      <c r="X153" s="1">
        <v>0</v>
      </c>
      <c r="Y153" s="1">
        <v>0</v>
      </c>
      <c r="Z153" s="1">
        <v>0</v>
      </c>
      <c r="AA153" s="1">
        <v>1</v>
      </c>
      <c r="AB153" s="1">
        <v>1</v>
      </c>
      <c r="AC153" s="1" t="s">
        <v>109</v>
      </c>
      <c r="AD153" s="1" t="s">
        <v>109</v>
      </c>
      <c r="AE153" s="1" t="s">
        <v>109</v>
      </c>
      <c r="AF153" s="1">
        <v>1</v>
      </c>
      <c r="AG153" s="1" t="s">
        <v>109</v>
      </c>
      <c r="AH153" s="1">
        <v>1</v>
      </c>
      <c r="AI153" s="1" t="s">
        <v>109</v>
      </c>
      <c r="AJ153" s="1" t="s">
        <v>109</v>
      </c>
      <c r="AK153" s="1">
        <v>1</v>
      </c>
      <c r="AL153" s="1" t="s">
        <v>109</v>
      </c>
      <c r="AM153" s="1">
        <v>1</v>
      </c>
      <c r="AN153" s="1" t="s">
        <v>109</v>
      </c>
      <c r="AO153" s="1" t="s">
        <v>109</v>
      </c>
      <c r="AP153" s="1"/>
      <c r="AQ153" s="1">
        <v>1</v>
      </c>
      <c r="AR153" s="1" t="s">
        <v>1559</v>
      </c>
      <c r="AS153" s="1" t="s">
        <v>1560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5" t="str">
        <f>HYPERLINK("http://www.d20pfsrd.com/magic/all-spells/d/disguise-self","Disguise Self")</f>
        <v>Disguise Self</v>
      </c>
      <c r="BT153" s="1">
        <v>152</v>
      </c>
      <c r="BU153" s="1" t="s">
        <v>109</v>
      </c>
      <c r="BV153" s="1" t="s">
        <v>1561</v>
      </c>
      <c r="BW153" s="1"/>
      <c r="BX153" s="1"/>
      <c r="BY153" s="1"/>
      <c r="BZ153" s="1">
        <v>0</v>
      </c>
      <c r="CA153" s="1" t="s">
        <v>109</v>
      </c>
      <c r="CB153" s="1" t="s">
        <v>109</v>
      </c>
      <c r="CC153" s="1">
        <v>1</v>
      </c>
      <c r="CD153" s="1" t="s">
        <v>109</v>
      </c>
      <c r="CE153" s="1">
        <v>1</v>
      </c>
      <c r="CF153" s="1">
        <v>1</v>
      </c>
      <c r="CG153" s="1" t="s">
        <v>109</v>
      </c>
      <c r="CH153" s="1" t="s">
        <v>109</v>
      </c>
      <c r="CI153" s="1" t="s">
        <v>109</v>
      </c>
      <c r="CJ153" s="1" t="s">
        <v>109</v>
      </c>
      <c r="CK153" s="1"/>
      <c r="CL153" s="1">
        <v>0</v>
      </c>
      <c r="CM153" s="1">
        <v>0</v>
      </c>
      <c r="CN153" s="1">
        <v>0</v>
      </c>
    </row>
    <row r="154" spans="1:92" ht="14.25" customHeight="1" x14ac:dyDescent="0.15">
      <c r="A154" s="1" t="s">
        <v>1562</v>
      </c>
      <c r="B154" s="1" t="s">
        <v>189</v>
      </c>
      <c r="C154" s="1"/>
      <c r="D154" s="1"/>
      <c r="E154" s="1" t="s">
        <v>1563</v>
      </c>
      <c r="F154" s="1" t="s">
        <v>98</v>
      </c>
      <c r="G154" s="1" t="s">
        <v>1564</v>
      </c>
      <c r="H154" s="1">
        <v>0</v>
      </c>
      <c r="I154" s="1" t="s">
        <v>122</v>
      </c>
      <c r="J154" s="1"/>
      <c r="K154" s="1" t="s">
        <v>1506</v>
      </c>
      <c r="L154" s="1"/>
      <c r="M154" s="1" t="s">
        <v>144</v>
      </c>
      <c r="N154" s="1">
        <v>0</v>
      </c>
      <c r="O154" s="1">
        <v>0</v>
      </c>
      <c r="P154" s="1" t="s">
        <v>1565</v>
      </c>
      <c r="Q154" s="1" t="s">
        <v>268</v>
      </c>
      <c r="R154" s="1" t="s">
        <v>1566</v>
      </c>
      <c r="S154" s="1" t="s">
        <v>1567</v>
      </c>
      <c r="T154" s="1" t="s">
        <v>107</v>
      </c>
      <c r="U154" s="1" t="s">
        <v>1568</v>
      </c>
      <c r="V154" s="1">
        <v>1</v>
      </c>
      <c r="W154" s="1">
        <v>1</v>
      </c>
      <c r="X154" s="1">
        <v>1</v>
      </c>
      <c r="Y154" s="1">
        <v>0</v>
      </c>
      <c r="Z154" s="1">
        <v>1</v>
      </c>
      <c r="AA154" s="1">
        <v>6</v>
      </c>
      <c r="AB154" s="1">
        <v>6</v>
      </c>
      <c r="AC154" s="1" t="s">
        <v>109</v>
      </c>
      <c r="AD154" s="1" t="s">
        <v>109</v>
      </c>
      <c r="AE154" s="1" t="s">
        <v>109</v>
      </c>
      <c r="AF154" s="1" t="s">
        <v>109</v>
      </c>
      <c r="AG154" s="1" t="s">
        <v>109</v>
      </c>
      <c r="AH154" s="1" t="s">
        <v>109</v>
      </c>
      <c r="AI154" s="1" t="s">
        <v>109</v>
      </c>
      <c r="AJ154" s="1" t="s">
        <v>109</v>
      </c>
      <c r="AK154" s="1" t="s">
        <v>109</v>
      </c>
      <c r="AL154" s="1" t="s">
        <v>109</v>
      </c>
      <c r="AM154" s="1" t="s">
        <v>109</v>
      </c>
      <c r="AN154" s="1">
        <v>6</v>
      </c>
      <c r="AO154" s="1" t="s">
        <v>109</v>
      </c>
      <c r="AP154" s="1"/>
      <c r="AQ154" s="1">
        <v>6</v>
      </c>
      <c r="AR154" s="1" t="s">
        <v>1569</v>
      </c>
      <c r="AS154" s="1" t="s">
        <v>1570</v>
      </c>
      <c r="AT154" s="1">
        <v>0</v>
      </c>
      <c r="AU154" s="1">
        <v>0</v>
      </c>
      <c r="AV154" s="1">
        <v>0</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5" t="str">
        <f>HYPERLINK("http://www.d20pfsrd.com/magic/all-spells/d/disintegrate","Disintegrate")</f>
        <v>Disintegrate</v>
      </c>
      <c r="BT154" s="1">
        <v>153</v>
      </c>
      <c r="BU154" s="1" t="s">
        <v>109</v>
      </c>
      <c r="BV154" s="1" t="s">
        <v>1571</v>
      </c>
      <c r="BW154" s="1" t="s">
        <v>1572</v>
      </c>
      <c r="BX154" s="1" t="s">
        <v>1573</v>
      </c>
      <c r="BY154" s="1" t="s">
        <v>1574</v>
      </c>
      <c r="BZ154" s="1">
        <v>1</v>
      </c>
      <c r="CA154" s="1" t="s">
        <v>109</v>
      </c>
      <c r="CB154" s="1" t="s">
        <v>109</v>
      </c>
      <c r="CC154" s="1">
        <v>6</v>
      </c>
      <c r="CD154" s="1" t="s">
        <v>109</v>
      </c>
      <c r="CE154" s="1" t="s">
        <v>109</v>
      </c>
      <c r="CF154" s="1">
        <v>6</v>
      </c>
      <c r="CG154" s="1">
        <v>6</v>
      </c>
      <c r="CH154" s="1" t="s">
        <v>109</v>
      </c>
      <c r="CI154" s="1" t="s">
        <v>109</v>
      </c>
      <c r="CJ154" s="1" t="s">
        <v>109</v>
      </c>
      <c r="CK154" s="1"/>
      <c r="CL154" s="1">
        <v>0</v>
      </c>
      <c r="CM154" s="1">
        <v>0</v>
      </c>
      <c r="CN154" s="1">
        <v>0</v>
      </c>
    </row>
    <row r="155" spans="1:92" ht="14.25" customHeight="1" x14ac:dyDescent="0.15">
      <c r="A155" s="1" t="s">
        <v>1575</v>
      </c>
      <c r="B155" s="1" t="s">
        <v>242</v>
      </c>
      <c r="C155" s="1"/>
      <c r="D155" s="1"/>
      <c r="E155" s="1" t="s">
        <v>1576</v>
      </c>
      <c r="F155" s="1" t="s">
        <v>98</v>
      </c>
      <c r="G155" s="1" t="s">
        <v>160</v>
      </c>
      <c r="H155" s="1">
        <v>0</v>
      </c>
      <c r="I155" s="1" t="s">
        <v>142</v>
      </c>
      <c r="J155" s="1"/>
      <c r="K155" s="1"/>
      <c r="L155" s="1" t="s">
        <v>1577</v>
      </c>
      <c r="M155" s="1" t="s">
        <v>144</v>
      </c>
      <c r="N155" s="1">
        <v>0</v>
      </c>
      <c r="O155" s="1">
        <v>0</v>
      </c>
      <c r="P155" s="1" t="s">
        <v>564</v>
      </c>
      <c r="Q155" s="1" t="s">
        <v>268</v>
      </c>
      <c r="R155" s="1" t="s">
        <v>1578</v>
      </c>
      <c r="S155" s="1" t="s">
        <v>1579</v>
      </c>
      <c r="T155" s="1" t="s">
        <v>107</v>
      </c>
      <c r="U155" s="1" t="s">
        <v>1580</v>
      </c>
      <c r="V155" s="1">
        <v>1</v>
      </c>
      <c r="W155" s="1">
        <v>1</v>
      </c>
      <c r="X155" s="1">
        <v>0</v>
      </c>
      <c r="Y155" s="1">
        <v>0</v>
      </c>
      <c r="Z155" s="1">
        <v>1</v>
      </c>
      <c r="AA155" s="1">
        <v>5</v>
      </c>
      <c r="AB155" s="1">
        <v>5</v>
      </c>
      <c r="AC155" s="1">
        <v>4</v>
      </c>
      <c r="AD155" s="1" t="s">
        <v>109</v>
      </c>
      <c r="AE155" s="1" t="s">
        <v>109</v>
      </c>
      <c r="AF155" s="1" t="s">
        <v>109</v>
      </c>
      <c r="AG155" s="1" t="s">
        <v>109</v>
      </c>
      <c r="AH155" s="1" t="s">
        <v>109</v>
      </c>
      <c r="AI155" s="1">
        <v>4</v>
      </c>
      <c r="AJ155" s="1" t="s">
        <v>109</v>
      </c>
      <c r="AK155" s="1">
        <v>4</v>
      </c>
      <c r="AL155" s="1">
        <v>4</v>
      </c>
      <c r="AM155" s="1" t="s">
        <v>109</v>
      </c>
      <c r="AN155" s="1" t="s">
        <v>109</v>
      </c>
      <c r="AO155" s="1" t="s">
        <v>109</v>
      </c>
      <c r="AP155" s="1"/>
      <c r="AQ155" s="1">
        <v>5</v>
      </c>
      <c r="AR155" s="1"/>
      <c r="AS155" s="1" t="s">
        <v>1581</v>
      </c>
      <c r="AT155" s="1">
        <v>0</v>
      </c>
      <c r="AU155" s="1">
        <v>0</v>
      </c>
      <c r="AV155" s="1">
        <v>0</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5" t="str">
        <f>HYPERLINK("http://www.d20pfsrd.com/magic/all-spells/d/dismissal","Dismissal")</f>
        <v>Dismissal</v>
      </c>
      <c r="BT155" s="1">
        <v>154</v>
      </c>
      <c r="BU155" s="1" t="s">
        <v>109</v>
      </c>
      <c r="BV155" s="1" t="s">
        <v>1582</v>
      </c>
      <c r="BW155" s="1" t="s">
        <v>1583</v>
      </c>
      <c r="BX155" s="1"/>
      <c r="BY155" s="1"/>
      <c r="BZ155" s="1">
        <v>0</v>
      </c>
      <c r="CA155" s="1" t="s">
        <v>109</v>
      </c>
      <c r="CB155" s="1">
        <v>4</v>
      </c>
      <c r="CC155" s="1">
        <v>5</v>
      </c>
      <c r="CD155" s="1" t="s">
        <v>109</v>
      </c>
      <c r="CE155" s="1" t="s">
        <v>109</v>
      </c>
      <c r="CF155" s="1">
        <v>4</v>
      </c>
      <c r="CG155" s="1">
        <v>5</v>
      </c>
      <c r="CH155" s="1" t="s">
        <v>109</v>
      </c>
      <c r="CI155" s="1" t="s">
        <v>109</v>
      </c>
      <c r="CJ155" s="1" t="s">
        <v>109</v>
      </c>
      <c r="CK155" s="1"/>
      <c r="CL155" s="1">
        <v>0</v>
      </c>
      <c r="CM155" s="1">
        <v>0</v>
      </c>
      <c r="CN155" s="1">
        <v>0</v>
      </c>
    </row>
    <row r="156" spans="1:92" ht="14.25" customHeight="1" x14ac:dyDescent="0.15">
      <c r="A156" s="1" t="s">
        <v>1584</v>
      </c>
      <c r="B156" s="1" t="s">
        <v>242</v>
      </c>
      <c r="C156" s="1"/>
      <c r="D156" s="1" t="s">
        <v>63</v>
      </c>
      <c r="E156" s="1" t="s">
        <v>1585</v>
      </c>
      <c r="F156" s="1" t="s">
        <v>98</v>
      </c>
      <c r="G156" s="1" t="s">
        <v>160</v>
      </c>
      <c r="H156" s="1">
        <v>0</v>
      </c>
      <c r="I156" s="1" t="s">
        <v>161</v>
      </c>
      <c r="J156" s="1"/>
      <c r="K156" s="1"/>
      <c r="L156" s="1" t="s">
        <v>1586</v>
      </c>
      <c r="M156" s="1" t="s">
        <v>1587</v>
      </c>
      <c r="N156" s="1">
        <v>0</v>
      </c>
      <c r="O156" s="1">
        <v>0</v>
      </c>
      <c r="P156" s="1" t="s">
        <v>211</v>
      </c>
      <c r="Q156" s="1" t="s">
        <v>211</v>
      </c>
      <c r="R156" s="1" t="s">
        <v>1588</v>
      </c>
      <c r="S156" s="1" t="s">
        <v>1589</v>
      </c>
      <c r="T156" s="1" t="s">
        <v>107</v>
      </c>
      <c r="U156" s="1" t="s">
        <v>1590</v>
      </c>
      <c r="V156" s="1">
        <v>1</v>
      </c>
      <c r="W156" s="1">
        <v>1</v>
      </c>
      <c r="X156" s="1">
        <v>0</v>
      </c>
      <c r="Y156" s="1">
        <v>0</v>
      </c>
      <c r="Z156" s="1">
        <v>1</v>
      </c>
      <c r="AA156" s="1" t="s">
        <v>109</v>
      </c>
      <c r="AB156" s="1" t="s">
        <v>109</v>
      </c>
      <c r="AC156" s="1">
        <v>5</v>
      </c>
      <c r="AD156" s="1" t="s">
        <v>109</v>
      </c>
      <c r="AE156" s="1" t="s">
        <v>109</v>
      </c>
      <c r="AF156" s="1" t="s">
        <v>109</v>
      </c>
      <c r="AG156" s="1">
        <v>4</v>
      </c>
      <c r="AH156" s="1" t="s">
        <v>109</v>
      </c>
      <c r="AI156" s="1" t="s">
        <v>109</v>
      </c>
      <c r="AJ156" s="1" t="s">
        <v>109</v>
      </c>
      <c r="AK156" s="1">
        <v>5</v>
      </c>
      <c r="AL156" s="1">
        <v>5</v>
      </c>
      <c r="AM156" s="1" t="s">
        <v>109</v>
      </c>
      <c r="AN156" s="1" t="s">
        <v>109</v>
      </c>
      <c r="AO156" s="1" t="s">
        <v>109</v>
      </c>
      <c r="AP156" s="1"/>
      <c r="AQ156" s="1">
        <v>5</v>
      </c>
      <c r="AR156" s="1" t="s">
        <v>1591</v>
      </c>
      <c r="AS156" s="1" t="s">
        <v>1592</v>
      </c>
      <c r="AT156" s="1">
        <v>0</v>
      </c>
      <c r="AU156" s="1">
        <v>0</v>
      </c>
      <c r="AV156" s="1">
        <v>0</v>
      </c>
      <c r="AW156" s="1">
        <v>0</v>
      </c>
      <c r="AX156" s="1">
        <v>0</v>
      </c>
      <c r="AY156" s="1">
        <v>0</v>
      </c>
      <c r="AZ156" s="1">
        <v>0</v>
      </c>
      <c r="BA156" s="1">
        <v>0</v>
      </c>
      <c r="BB156" s="1">
        <v>0</v>
      </c>
      <c r="BC156" s="1">
        <v>0</v>
      </c>
      <c r="BD156" s="1">
        <v>0</v>
      </c>
      <c r="BE156" s="1">
        <v>0</v>
      </c>
      <c r="BF156" s="1">
        <v>0</v>
      </c>
      <c r="BG156" s="1">
        <v>0</v>
      </c>
      <c r="BH156" s="1">
        <v>0</v>
      </c>
      <c r="BI156" s="1">
        <v>0</v>
      </c>
      <c r="BJ156" s="1">
        <v>0</v>
      </c>
      <c r="BK156" s="1">
        <v>1</v>
      </c>
      <c r="BL156" s="1">
        <v>0</v>
      </c>
      <c r="BM156" s="1">
        <v>0</v>
      </c>
      <c r="BN156" s="1">
        <v>0</v>
      </c>
      <c r="BO156" s="1">
        <v>0</v>
      </c>
      <c r="BP156" s="1">
        <v>0</v>
      </c>
      <c r="BQ156" s="1">
        <v>0</v>
      </c>
      <c r="BR156" s="1">
        <v>0</v>
      </c>
      <c r="BS156" s="5" t="str">
        <f>HYPERLINK("http://www.d20pfsrd.com/magic/all-spells/d/dispel-chaos","Dispel Chaos")</f>
        <v>Dispel Chaos</v>
      </c>
      <c r="BT156" s="1">
        <v>155</v>
      </c>
      <c r="BU156" s="1" t="s">
        <v>109</v>
      </c>
      <c r="BV156" s="1"/>
      <c r="BW156" s="1"/>
      <c r="BX156" s="1"/>
      <c r="BY156" s="1"/>
      <c r="BZ156" s="1">
        <v>0</v>
      </c>
      <c r="CA156" s="1" t="s">
        <v>109</v>
      </c>
      <c r="CB156" s="1">
        <v>5</v>
      </c>
      <c r="CC156" s="1" t="s">
        <v>109</v>
      </c>
      <c r="CD156" s="1" t="s">
        <v>109</v>
      </c>
      <c r="CE156" s="1" t="s">
        <v>109</v>
      </c>
      <c r="CF156" s="1" t="s">
        <v>109</v>
      </c>
      <c r="CG156" s="1" t="s">
        <v>109</v>
      </c>
      <c r="CH156" s="1" t="s">
        <v>109</v>
      </c>
      <c r="CI156" s="1" t="s">
        <v>109</v>
      </c>
      <c r="CJ156" s="1" t="s">
        <v>109</v>
      </c>
      <c r="CK156" s="1"/>
      <c r="CL156" s="1">
        <v>0</v>
      </c>
      <c r="CM156" s="1">
        <v>0</v>
      </c>
      <c r="CN156" s="1">
        <v>0</v>
      </c>
    </row>
    <row r="157" spans="1:92" ht="14.25" customHeight="1" x14ac:dyDescent="0.15">
      <c r="A157" s="1" t="s">
        <v>1593</v>
      </c>
      <c r="B157" s="1" t="s">
        <v>242</v>
      </c>
      <c r="C157" s="1"/>
      <c r="D157" s="1" t="s">
        <v>61</v>
      </c>
      <c r="E157" s="1" t="s">
        <v>1585</v>
      </c>
      <c r="F157" s="1" t="s">
        <v>98</v>
      </c>
      <c r="G157" s="1" t="s">
        <v>160</v>
      </c>
      <c r="H157" s="1">
        <v>0</v>
      </c>
      <c r="I157" s="1" t="s">
        <v>161</v>
      </c>
      <c r="J157" s="1"/>
      <c r="K157" s="1"/>
      <c r="L157" s="1" t="s">
        <v>1594</v>
      </c>
      <c r="M157" s="1" t="s">
        <v>1587</v>
      </c>
      <c r="N157" s="1">
        <v>0</v>
      </c>
      <c r="O157" s="1">
        <v>0</v>
      </c>
      <c r="P157" s="1" t="s">
        <v>211</v>
      </c>
      <c r="Q157" s="1" t="s">
        <v>211</v>
      </c>
      <c r="R157" s="1" t="s">
        <v>1595</v>
      </c>
      <c r="S157" s="1" t="s">
        <v>1596</v>
      </c>
      <c r="T157" s="1" t="s">
        <v>107</v>
      </c>
      <c r="U157" s="1" t="s">
        <v>1597</v>
      </c>
      <c r="V157" s="1">
        <v>1</v>
      </c>
      <c r="W157" s="1">
        <v>1</v>
      </c>
      <c r="X157" s="1">
        <v>0</v>
      </c>
      <c r="Y157" s="1">
        <v>0</v>
      </c>
      <c r="Z157" s="1">
        <v>1</v>
      </c>
      <c r="AA157" s="1" t="s">
        <v>109</v>
      </c>
      <c r="AB157" s="1" t="s">
        <v>109</v>
      </c>
      <c r="AC157" s="1">
        <v>5</v>
      </c>
      <c r="AD157" s="1" t="s">
        <v>109</v>
      </c>
      <c r="AE157" s="1" t="s">
        <v>109</v>
      </c>
      <c r="AF157" s="1" t="s">
        <v>109</v>
      </c>
      <c r="AG157" s="1">
        <v>4</v>
      </c>
      <c r="AH157" s="1" t="s">
        <v>109</v>
      </c>
      <c r="AI157" s="1" t="s">
        <v>109</v>
      </c>
      <c r="AJ157" s="1" t="s">
        <v>109</v>
      </c>
      <c r="AK157" s="1">
        <v>5</v>
      </c>
      <c r="AL157" s="1">
        <v>5</v>
      </c>
      <c r="AM157" s="1" t="s">
        <v>109</v>
      </c>
      <c r="AN157" s="1" t="s">
        <v>109</v>
      </c>
      <c r="AO157" s="1" t="s">
        <v>109</v>
      </c>
      <c r="AP157" s="1"/>
      <c r="AQ157" s="1">
        <v>5</v>
      </c>
      <c r="AR157" s="1" t="s">
        <v>1598</v>
      </c>
      <c r="AS157" s="1" t="s">
        <v>1599</v>
      </c>
      <c r="AT157" s="1">
        <v>0</v>
      </c>
      <c r="AU157" s="1">
        <v>0</v>
      </c>
      <c r="AV157" s="1">
        <v>0</v>
      </c>
      <c r="AW157" s="1">
        <v>0</v>
      </c>
      <c r="AX157" s="1">
        <v>0</v>
      </c>
      <c r="AY157" s="1">
        <v>0</v>
      </c>
      <c r="AZ157" s="1">
        <v>0</v>
      </c>
      <c r="BA157" s="1">
        <v>0</v>
      </c>
      <c r="BB157" s="1">
        <v>0</v>
      </c>
      <c r="BC157" s="1">
        <v>0</v>
      </c>
      <c r="BD157" s="1">
        <v>0</v>
      </c>
      <c r="BE157" s="1">
        <v>0</v>
      </c>
      <c r="BF157" s="1">
        <v>0</v>
      </c>
      <c r="BG157" s="1">
        <v>0</v>
      </c>
      <c r="BH157" s="1">
        <v>0</v>
      </c>
      <c r="BI157" s="1">
        <v>1</v>
      </c>
      <c r="BJ157" s="1">
        <v>0</v>
      </c>
      <c r="BK157" s="1">
        <v>0</v>
      </c>
      <c r="BL157" s="1">
        <v>0</v>
      </c>
      <c r="BM157" s="1">
        <v>0</v>
      </c>
      <c r="BN157" s="1">
        <v>0</v>
      </c>
      <c r="BO157" s="1">
        <v>0</v>
      </c>
      <c r="BP157" s="1">
        <v>0</v>
      </c>
      <c r="BQ157" s="1">
        <v>0</v>
      </c>
      <c r="BR157" s="1">
        <v>0</v>
      </c>
      <c r="BS157" s="5" t="str">
        <f>HYPERLINK("http://www.d20pfsrd.com/magic/all-spells/d/dispel-evil","Dispel Evil")</f>
        <v>Dispel Evil</v>
      </c>
      <c r="BT157" s="1">
        <v>156</v>
      </c>
      <c r="BU157" s="1" t="s">
        <v>109</v>
      </c>
      <c r="BV157" s="1"/>
      <c r="BW157" s="1"/>
      <c r="BX157" s="1"/>
      <c r="BY157" s="1"/>
      <c r="BZ157" s="1">
        <v>0</v>
      </c>
      <c r="CA157" s="1" t="s">
        <v>109</v>
      </c>
      <c r="CB157" s="1">
        <v>5</v>
      </c>
      <c r="CC157" s="1" t="s">
        <v>109</v>
      </c>
      <c r="CD157" s="1" t="s">
        <v>109</v>
      </c>
      <c r="CE157" s="1" t="s">
        <v>109</v>
      </c>
      <c r="CF157" s="1" t="s">
        <v>109</v>
      </c>
      <c r="CG157" s="1" t="s">
        <v>109</v>
      </c>
      <c r="CH157" s="1" t="s">
        <v>109</v>
      </c>
      <c r="CI157" s="1" t="s">
        <v>109</v>
      </c>
      <c r="CJ157" s="1" t="s">
        <v>109</v>
      </c>
      <c r="CK157" s="1"/>
      <c r="CL157" s="1">
        <v>0</v>
      </c>
      <c r="CM157" s="1">
        <v>0</v>
      </c>
      <c r="CN157" s="1">
        <v>0</v>
      </c>
    </row>
    <row r="158" spans="1:92" ht="14.25" customHeight="1" x14ac:dyDescent="0.15">
      <c r="A158" s="1" t="s">
        <v>1600</v>
      </c>
      <c r="B158" s="1" t="s">
        <v>242</v>
      </c>
      <c r="C158" s="1"/>
      <c r="D158" s="1" t="s">
        <v>57</v>
      </c>
      <c r="E158" s="1" t="s">
        <v>1601</v>
      </c>
      <c r="F158" s="1" t="s">
        <v>98</v>
      </c>
      <c r="G158" s="1" t="s">
        <v>160</v>
      </c>
      <c r="H158" s="1">
        <v>0</v>
      </c>
      <c r="I158" s="1" t="s">
        <v>161</v>
      </c>
      <c r="J158" s="1"/>
      <c r="K158" s="1"/>
      <c r="L158" s="1" t="s">
        <v>1602</v>
      </c>
      <c r="M158" s="1" t="s">
        <v>1587</v>
      </c>
      <c r="N158" s="1">
        <v>0</v>
      </c>
      <c r="O158" s="1">
        <v>0</v>
      </c>
      <c r="P158" s="1" t="s">
        <v>211</v>
      </c>
      <c r="Q158" s="1" t="s">
        <v>211</v>
      </c>
      <c r="R158" s="1" t="s">
        <v>1603</v>
      </c>
      <c r="S158" s="1" t="s">
        <v>1604</v>
      </c>
      <c r="T158" s="1" t="s">
        <v>107</v>
      </c>
      <c r="U158" s="1" t="s">
        <v>1605</v>
      </c>
      <c r="V158" s="1">
        <v>1</v>
      </c>
      <c r="W158" s="1">
        <v>1</v>
      </c>
      <c r="X158" s="1">
        <v>0</v>
      </c>
      <c r="Y158" s="1">
        <v>0</v>
      </c>
      <c r="Z158" s="1">
        <v>1</v>
      </c>
      <c r="AA158" s="1" t="s">
        <v>109</v>
      </c>
      <c r="AB158" s="1" t="s">
        <v>109</v>
      </c>
      <c r="AC158" s="1">
        <v>5</v>
      </c>
      <c r="AD158" s="1" t="s">
        <v>109</v>
      </c>
      <c r="AE158" s="1" t="s">
        <v>109</v>
      </c>
      <c r="AF158" s="1" t="s">
        <v>109</v>
      </c>
      <c r="AG158" s="1" t="s">
        <v>109</v>
      </c>
      <c r="AH158" s="1" t="s">
        <v>109</v>
      </c>
      <c r="AI158" s="1" t="s">
        <v>109</v>
      </c>
      <c r="AJ158" s="1" t="s">
        <v>109</v>
      </c>
      <c r="AK158" s="1">
        <v>5</v>
      </c>
      <c r="AL158" s="1">
        <v>5</v>
      </c>
      <c r="AM158" s="1">
        <v>4</v>
      </c>
      <c r="AN158" s="1" t="s">
        <v>109</v>
      </c>
      <c r="AO158" s="1" t="s">
        <v>109</v>
      </c>
      <c r="AP158" s="1"/>
      <c r="AQ158" s="1">
        <v>5</v>
      </c>
      <c r="AR158" s="1" t="s">
        <v>1606</v>
      </c>
      <c r="AS158" s="1" t="s">
        <v>1607</v>
      </c>
      <c r="AT158" s="1">
        <v>0</v>
      </c>
      <c r="AU158" s="1">
        <v>0</v>
      </c>
      <c r="AV158" s="1">
        <v>0</v>
      </c>
      <c r="AW158" s="1">
        <v>0</v>
      </c>
      <c r="AX158" s="1">
        <v>0</v>
      </c>
      <c r="AY158" s="1">
        <v>0</v>
      </c>
      <c r="AZ158" s="1">
        <v>0</v>
      </c>
      <c r="BA158" s="1">
        <v>0</v>
      </c>
      <c r="BB158" s="1">
        <v>0</v>
      </c>
      <c r="BC158" s="1">
        <v>0</v>
      </c>
      <c r="BD158" s="1">
        <v>0</v>
      </c>
      <c r="BE158" s="1">
        <v>1</v>
      </c>
      <c r="BF158" s="1">
        <v>0</v>
      </c>
      <c r="BG158" s="1">
        <v>0</v>
      </c>
      <c r="BH158" s="1">
        <v>0</v>
      </c>
      <c r="BI158" s="1">
        <v>0</v>
      </c>
      <c r="BJ158" s="1">
        <v>0</v>
      </c>
      <c r="BK158" s="1">
        <v>0</v>
      </c>
      <c r="BL158" s="1">
        <v>0</v>
      </c>
      <c r="BM158" s="1">
        <v>0</v>
      </c>
      <c r="BN158" s="1">
        <v>0</v>
      </c>
      <c r="BO158" s="1">
        <v>0</v>
      </c>
      <c r="BP158" s="1">
        <v>0</v>
      </c>
      <c r="BQ158" s="1">
        <v>0</v>
      </c>
      <c r="BR158" s="1">
        <v>0</v>
      </c>
      <c r="BS158" s="5" t="str">
        <f>HYPERLINK("http://www.d20pfsrd.com/magic/all-spells/d/dispel-good","Dispel Good")</f>
        <v>Dispel Good</v>
      </c>
      <c r="BT158" s="1">
        <v>157</v>
      </c>
      <c r="BU158" s="1" t="s">
        <v>109</v>
      </c>
      <c r="BV158" s="1"/>
      <c r="BW158" s="1"/>
      <c r="BX158" s="1"/>
      <c r="BY158" s="1"/>
      <c r="BZ158" s="1">
        <v>0</v>
      </c>
      <c r="CA158" s="1" t="s">
        <v>109</v>
      </c>
      <c r="CB158" s="1">
        <v>5</v>
      </c>
      <c r="CC158" s="1" t="s">
        <v>109</v>
      </c>
      <c r="CD158" s="1" t="s">
        <v>109</v>
      </c>
      <c r="CE158" s="1" t="s">
        <v>109</v>
      </c>
      <c r="CF158" s="1" t="s">
        <v>109</v>
      </c>
      <c r="CG158" s="1" t="s">
        <v>109</v>
      </c>
      <c r="CH158" s="1" t="s">
        <v>109</v>
      </c>
      <c r="CI158" s="1" t="s">
        <v>109</v>
      </c>
      <c r="CJ158" s="1" t="s">
        <v>109</v>
      </c>
      <c r="CK158" s="1"/>
      <c r="CL158" s="1">
        <v>0</v>
      </c>
      <c r="CM158" s="1">
        <v>0</v>
      </c>
      <c r="CN158" s="1">
        <v>0</v>
      </c>
    </row>
    <row r="159" spans="1:92" ht="14.25" customHeight="1" x14ac:dyDescent="0.15">
      <c r="A159" s="1" t="s">
        <v>1608</v>
      </c>
      <c r="B159" s="1" t="s">
        <v>242</v>
      </c>
      <c r="C159" s="1"/>
      <c r="D159" s="1" t="s">
        <v>48</v>
      </c>
      <c r="E159" s="1" t="s">
        <v>1601</v>
      </c>
      <c r="F159" s="1" t="s">
        <v>98</v>
      </c>
      <c r="G159" s="1" t="s">
        <v>160</v>
      </c>
      <c r="H159" s="1">
        <v>0</v>
      </c>
      <c r="I159" s="1" t="s">
        <v>161</v>
      </c>
      <c r="J159" s="1"/>
      <c r="K159" s="1"/>
      <c r="L159" s="1" t="s">
        <v>1609</v>
      </c>
      <c r="M159" s="1" t="s">
        <v>1587</v>
      </c>
      <c r="N159" s="1">
        <v>0</v>
      </c>
      <c r="O159" s="1">
        <v>0</v>
      </c>
      <c r="P159" s="1" t="s">
        <v>211</v>
      </c>
      <c r="Q159" s="1" t="s">
        <v>211</v>
      </c>
      <c r="R159" s="1" t="s">
        <v>1610</v>
      </c>
      <c r="S159" s="1" t="s">
        <v>1611</v>
      </c>
      <c r="T159" s="1" t="s">
        <v>107</v>
      </c>
      <c r="U159" s="1" t="s">
        <v>1612</v>
      </c>
      <c r="V159" s="1">
        <v>1</v>
      </c>
      <c r="W159" s="1">
        <v>1</v>
      </c>
      <c r="X159" s="1">
        <v>0</v>
      </c>
      <c r="Y159" s="1">
        <v>0</v>
      </c>
      <c r="Z159" s="1">
        <v>1</v>
      </c>
      <c r="AA159" s="1" t="s">
        <v>109</v>
      </c>
      <c r="AB159" s="1" t="s">
        <v>109</v>
      </c>
      <c r="AC159" s="1">
        <v>5</v>
      </c>
      <c r="AD159" s="1" t="s">
        <v>109</v>
      </c>
      <c r="AE159" s="1" t="s">
        <v>109</v>
      </c>
      <c r="AF159" s="1" t="s">
        <v>109</v>
      </c>
      <c r="AG159" s="1" t="s">
        <v>109</v>
      </c>
      <c r="AH159" s="1" t="s">
        <v>109</v>
      </c>
      <c r="AI159" s="1" t="s">
        <v>109</v>
      </c>
      <c r="AJ159" s="1" t="s">
        <v>109</v>
      </c>
      <c r="AK159" s="1">
        <v>5</v>
      </c>
      <c r="AL159" s="1">
        <v>5</v>
      </c>
      <c r="AM159" s="1">
        <v>4</v>
      </c>
      <c r="AN159" s="1" t="s">
        <v>109</v>
      </c>
      <c r="AO159" s="1" t="s">
        <v>109</v>
      </c>
      <c r="AP159" s="1"/>
      <c r="AQ159" s="1">
        <v>5</v>
      </c>
      <c r="AR159" s="1" t="s">
        <v>1613</v>
      </c>
      <c r="AS159" s="1" t="s">
        <v>1614</v>
      </c>
      <c r="AT159" s="1">
        <v>0</v>
      </c>
      <c r="AU159" s="1">
        <v>0</v>
      </c>
      <c r="AV159" s="1">
        <v>1</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5" t="str">
        <f>HYPERLINK("http://www.d20pfsrd.com/magic/all-spells/d/dispel-law","Dispel Law")</f>
        <v>Dispel Law</v>
      </c>
      <c r="BT159" s="1">
        <v>158</v>
      </c>
      <c r="BU159" s="1" t="s">
        <v>109</v>
      </c>
      <c r="BV159" s="1"/>
      <c r="BW159" s="1"/>
      <c r="BX159" s="1"/>
      <c r="BY159" s="1"/>
      <c r="BZ159" s="1">
        <v>0</v>
      </c>
      <c r="CA159" s="1" t="s">
        <v>109</v>
      </c>
      <c r="CB159" s="1">
        <v>5</v>
      </c>
      <c r="CC159" s="1" t="s">
        <v>109</v>
      </c>
      <c r="CD159" s="1" t="s">
        <v>109</v>
      </c>
      <c r="CE159" s="1" t="s">
        <v>109</v>
      </c>
      <c r="CF159" s="1" t="s">
        <v>109</v>
      </c>
      <c r="CG159" s="1" t="s">
        <v>109</v>
      </c>
      <c r="CH159" s="1" t="s">
        <v>109</v>
      </c>
      <c r="CI159" s="1" t="s">
        <v>109</v>
      </c>
      <c r="CJ159" s="1" t="s">
        <v>109</v>
      </c>
      <c r="CK159" s="1"/>
      <c r="CL159" s="1">
        <v>0</v>
      </c>
      <c r="CM159" s="1">
        <v>0</v>
      </c>
      <c r="CN159" s="1">
        <v>0</v>
      </c>
    </row>
    <row r="160" spans="1:92" ht="14.25" customHeight="1" x14ac:dyDescent="0.15">
      <c r="A160" s="1" t="s">
        <v>1615</v>
      </c>
      <c r="B160" s="1" t="s">
        <v>242</v>
      </c>
      <c r="C160" s="1"/>
      <c r="D160" s="1"/>
      <c r="E160" s="1" t="s">
        <v>1616</v>
      </c>
      <c r="F160" s="1" t="s">
        <v>98</v>
      </c>
      <c r="G160" s="1" t="s">
        <v>141</v>
      </c>
      <c r="H160" s="1">
        <v>0</v>
      </c>
      <c r="I160" s="1" t="s">
        <v>122</v>
      </c>
      <c r="J160" s="1" t="s">
        <v>1617</v>
      </c>
      <c r="K160" s="1"/>
      <c r="L160" s="1" t="s">
        <v>1617</v>
      </c>
      <c r="M160" s="1" t="s">
        <v>144</v>
      </c>
      <c r="N160" s="1">
        <v>0</v>
      </c>
      <c r="O160" s="1">
        <v>0</v>
      </c>
      <c r="P160" s="1" t="s">
        <v>103</v>
      </c>
      <c r="Q160" s="1" t="s">
        <v>104</v>
      </c>
      <c r="R160" s="1" t="s">
        <v>1618</v>
      </c>
      <c r="S160" s="1" t="s">
        <v>1619</v>
      </c>
      <c r="T160" s="1" t="s">
        <v>107</v>
      </c>
      <c r="U160" s="1" t="s">
        <v>1620</v>
      </c>
      <c r="V160" s="1">
        <v>1</v>
      </c>
      <c r="W160" s="1">
        <v>1</v>
      </c>
      <c r="X160" s="1">
        <v>0</v>
      </c>
      <c r="Y160" s="1">
        <v>0</v>
      </c>
      <c r="Z160" s="1">
        <v>0</v>
      </c>
      <c r="AA160" s="1">
        <v>3</v>
      </c>
      <c r="AB160" s="1">
        <v>3</v>
      </c>
      <c r="AC160" s="1">
        <v>3</v>
      </c>
      <c r="AD160" s="1">
        <v>4</v>
      </c>
      <c r="AE160" s="1" t="s">
        <v>109</v>
      </c>
      <c r="AF160" s="1">
        <v>3</v>
      </c>
      <c r="AG160" s="1">
        <v>3</v>
      </c>
      <c r="AH160" s="1" t="s">
        <v>109</v>
      </c>
      <c r="AI160" s="1">
        <v>3</v>
      </c>
      <c r="AJ160" s="1">
        <v>3</v>
      </c>
      <c r="AK160" s="1">
        <v>3</v>
      </c>
      <c r="AL160" s="1">
        <v>3</v>
      </c>
      <c r="AM160" s="1">
        <v>3</v>
      </c>
      <c r="AN160" s="1">
        <v>3</v>
      </c>
      <c r="AO160" s="1" t="s">
        <v>109</v>
      </c>
      <c r="AP160" s="1"/>
      <c r="AQ160" s="1">
        <v>3</v>
      </c>
      <c r="AR160" s="1" t="s">
        <v>1621</v>
      </c>
      <c r="AS160" s="1" t="s">
        <v>1622</v>
      </c>
      <c r="AT160" s="1">
        <v>0</v>
      </c>
      <c r="AU160" s="1">
        <v>0</v>
      </c>
      <c r="AV160" s="1">
        <v>0</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5" t="str">
        <f>HYPERLINK("http://www.d20pfsrd.com/magic/all-spells/d/dispel-magic","Dispel Magic")</f>
        <v>Dispel Magic</v>
      </c>
      <c r="BT160" s="1">
        <v>159</v>
      </c>
      <c r="BU160" s="1" t="s">
        <v>109</v>
      </c>
      <c r="BV160" s="1" t="s">
        <v>1623</v>
      </c>
      <c r="BW160" s="1"/>
      <c r="BX160" s="1" t="s">
        <v>1624</v>
      </c>
      <c r="BY160" s="1"/>
      <c r="BZ160" s="1">
        <v>1</v>
      </c>
      <c r="CA160" s="1" t="s">
        <v>109</v>
      </c>
      <c r="CB160" s="1">
        <v>3</v>
      </c>
      <c r="CC160" s="1">
        <v>3</v>
      </c>
      <c r="CD160" s="1" t="s">
        <v>109</v>
      </c>
      <c r="CE160" s="1">
        <v>3</v>
      </c>
      <c r="CF160" s="1">
        <v>3</v>
      </c>
      <c r="CG160" s="1">
        <v>3</v>
      </c>
      <c r="CH160" s="1" t="s">
        <v>109</v>
      </c>
      <c r="CI160" s="1" t="s">
        <v>109</v>
      </c>
      <c r="CJ160" s="1">
        <v>4</v>
      </c>
      <c r="CK160" s="1"/>
      <c r="CL160" s="1">
        <v>0</v>
      </c>
      <c r="CM160" s="1">
        <v>0</v>
      </c>
      <c r="CN160" s="1">
        <v>0</v>
      </c>
    </row>
    <row r="161" spans="1:92" ht="14.25" customHeight="1" x14ac:dyDescent="0.15">
      <c r="A161" s="1" t="s">
        <v>1625</v>
      </c>
      <c r="B161" s="1" t="s">
        <v>242</v>
      </c>
      <c r="C161" s="1"/>
      <c r="D161" s="1"/>
      <c r="E161" s="1" t="s">
        <v>1626</v>
      </c>
      <c r="F161" s="1" t="s">
        <v>98</v>
      </c>
      <c r="G161" s="1" t="s">
        <v>141</v>
      </c>
      <c r="H161" s="1">
        <v>0</v>
      </c>
      <c r="I161" s="1" t="s">
        <v>122</v>
      </c>
      <c r="J161" s="1" t="s">
        <v>824</v>
      </c>
      <c r="K161" s="1"/>
      <c r="L161" s="1" t="s">
        <v>1617</v>
      </c>
      <c r="M161" s="1" t="s">
        <v>144</v>
      </c>
      <c r="N161" s="1">
        <v>0</v>
      </c>
      <c r="O161" s="1">
        <v>0</v>
      </c>
      <c r="P161" s="1" t="s">
        <v>103</v>
      </c>
      <c r="Q161" s="1" t="s">
        <v>104</v>
      </c>
      <c r="R161" s="1" t="s">
        <v>1627</v>
      </c>
      <c r="S161" s="1" t="s">
        <v>1628</v>
      </c>
      <c r="T161" s="1" t="s">
        <v>107</v>
      </c>
      <c r="U161" s="1" t="s">
        <v>1629</v>
      </c>
      <c r="V161" s="1">
        <v>1</v>
      </c>
      <c r="W161" s="1">
        <v>1</v>
      </c>
      <c r="X161" s="1">
        <v>0</v>
      </c>
      <c r="Y161" s="1">
        <v>0</v>
      </c>
      <c r="Z161" s="1">
        <v>0</v>
      </c>
      <c r="AA161" s="1">
        <v>6</v>
      </c>
      <c r="AB161" s="1">
        <v>6</v>
      </c>
      <c r="AC161" s="1">
        <v>6</v>
      </c>
      <c r="AD161" s="1">
        <v>6</v>
      </c>
      <c r="AE161" s="1" t="s">
        <v>109</v>
      </c>
      <c r="AF161" s="1">
        <v>5</v>
      </c>
      <c r="AG161" s="1" t="s">
        <v>109</v>
      </c>
      <c r="AH161" s="1" t="s">
        <v>109</v>
      </c>
      <c r="AI161" s="1">
        <v>5</v>
      </c>
      <c r="AJ161" s="1">
        <v>6</v>
      </c>
      <c r="AK161" s="1">
        <v>6</v>
      </c>
      <c r="AL161" s="1">
        <v>6</v>
      </c>
      <c r="AM161" s="1" t="s">
        <v>109</v>
      </c>
      <c r="AN161" s="1">
        <v>6</v>
      </c>
      <c r="AO161" s="1" t="s">
        <v>109</v>
      </c>
      <c r="AP161" s="1"/>
      <c r="AQ161" s="1">
        <v>6</v>
      </c>
      <c r="AR161" s="1" t="s">
        <v>1630</v>
      </c>
      <c r="AS161" s="1" t="s">
        <v>1631</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5" t="str">
        <f>HYPERLINK("http://www.d20pfsrd.com/magic/all-spells/d/dispel-magic#TOC-Dispel-Magic-Greater","Dispel Magic, Greater")</f>
        <v>Dispel Magic, Greater</v>
      </c>
      <c r="BT161" s="1">
        <v>160</v>
      </c>
      <c r="BU161" s="1" t="s">
        <v>109</v>
      </c>
      <c r="BV161" s="1" t="s">
        <v>1632</v>
      </c>
      <c r="BW161" s="1"/>
      <c r="BX161" s="1"/>
      <c r="BY161" s="1"/>
      <c r="BZ161" s="1">
        <v>0</v>
      </c>
      <c r="CA161" s="1" t="s">
        <v>109</v>
      </c>
      <c r="CB161" s="1">
        <v>6</v>
      </c>
      <c r="CC161" s="1">
        <v>6</v>
      </c>
      <c r="CD161" s="1" t="s">
        <v>109</v>
      </c>
      <c r="CE161" s="1" t="s">
        <v>109</v>
      </c>
      <c r="CF161" s="1">
        <v>5</v>
      </c>
      <c r="CG161" s="1">
        <v>6</v>
      </c>
      <c r="CH161" s="1" t="s">
        <v>109</v>
      </c>
      <c r="CI161" s="1" t="s">
        <v>109</v>
      </c>
      <c r="CJ161" s="1">
        <v>6</v>
      </c>
      <c r="CK161" s="1"/>
      <c r="CL161" s="1">
        <v>0</v>
      </c>
      <c r="CM161" s="1">
        <v>0</v>
      </c>
      <c r="CN161" s="1">
        <v>0</v>
      </c>
    </row>
    <row r="162" spans="1:92" ht="14.25" customHeight="1" x14ac:dyDescent="0.15">
      <c r="A162" s="1" t="s">
        <v>1633</v>
      </c>
      <c r="B162" s="1" t="s">
        <v>674</v>
      </c>
      <c r="C162" s="1" t="s">
        <v>675</v>
      </c>
      <c r="D162" s="1"/>
      <c r="E162" s="1" t="s">
        <v>1634</v>
      </c>
      <c r="F162" s="1" t="s">
        <v>98</v>
      </c>
      <c r="G162" s="1" t="s">
        <v>1635</v>
      </c>
      <c r="H162" s="1">
        <v>0</v>
      </c>
      <c r="I162" s="1" t="s">
        <v>161</v>
      </c>
      <c r="J162" s="1"/>
      <c r="K162" s="1"/>
      <c r="L162" s="1" t="s">
        <v>506</v>
      </c>
      <c r="M162" s="1" t="s">
        <v>125</v>
      </c>
      <c r="N162" s="1">
        <v>1</v>
      </c>
      <c r="O162" s="1">
        <v>0</v>
      </c>
      <c r="P162" s="1" t="s">
        <v>507</v>
      </c>
      <c r="Q162" s="1" t="s">
        <v>167</v>
      </c>
      <c r="R162" s="1" t="s">
        <v>1636</v>
      </c>
      <c r="S162" s="1" t="s">
        <v>1637</v>
      </c>
      <c r="T162" s="1" t="s">
        <v>107</v>
      </c>
      <c r="U162" s="1" t="s">
        <v>1638</v>
      </c>
      <c r="V162" s="1">
        <v>1</v>
      </c>
      <c r="W162" s="1">
        <v>0</v>
      </c>
      <c r="X162" s="1">
        <v>1</v>
      </c>
      <c r="Y162" s="1">
        <v>0</v>
      </c>
      <c r="Z162" s="1">
        <v>0</v>
      </c>
      <c r="AA162" s="1">
        <v>3</v>
      </c>
      <c r="AB162" s="1">
        <v>3</v>
      </c>
      <c r="AC162" s="1" t="s">
        <v>109</v>
      </c>
      <c r="AD162" s="1" t="s">
        <v>109</v>
      </c>
      <c r="AE162" s="1" t="s">
        <v>109</v>
      </c>
      <c r="AF162" s="1">
        <v>3</v>
      </c>
      <c r="AG162" s="1" t="s">
        <v>109</v>
      </c>
      <c r="AH162" s="1">
        <v>3</v>
      </c>
      <c r="AI162" s="1">
        <v>3</v>
      </c>
      <c r="AJ162" s="1" t="s">
        <v>109</v>
      </c>
      <c r="AK162" s="1" t="s">
        <v>109</v>
      </c>
      <c r="AL162" s="1" t="s">
        <v>109</v>
      </c>
      <c r="AM162" s="1" t="s">
        <v>109</v>
      </c>
      <c r="AN162" s="1">
        <v>3</v>
      </c>
      <c r="AO162" s="1" t="s">
        <v>109</v>
      </c>
      <c r="AP162" s="1"/>
      <c r="AQ162" s="1">
        <v>3</v>
      </c>
      <c r="AR162" s="1" t="s">
        <v>1639</v>
      </c>
      <c r="AS162" s="1" t="s">
        <v>1640</v>
      </c>
      <c r="AT162" s="1">
        <v>0</v>
      </c>
      <c r="AU162" s="1">
        <v>0</v>
      </c>
      <c r="AV162" s="1">
        <v>0</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5" t="str">
        <f>HYPERLINK("http://www.d20pfsrd.com/magic/all-spells/d/displacement","Displacement")</f>
        <v>Displacement</v>
      </c>
      <c r="BT162" s="1">
        <v>161</v>
      </c>
      <c r="BU162" s="1" t="s">
        <v>109</v>
      </c>
      <c r="BV162" s="1"/>
      <c r="BW162" s="1"/>
      <c r="BX162" s="1"/>
      <c r="BY162" s="1"/>
      <c r="BZ162" s="1">
        <v>0</v>
      </c>
      <c r="CA162" s="1" t="s">
        <v>109</v>
      </c>
      <c r="CB162" s="1" t="s">
        <v>109</v>
      </c>
      <c r="CC162" s="1">
        <v>3</v>
      </c>
      <c r="CD162" s="1" t="s">
        <v>109</v>
      </c>
      <c r="CE162" s="1">
        <v>3</v>
      </c>
      <c r="CF162" s="1">
        <v>3</v>
      </c>
      <c r="CG162" s="1">
        <v>3</v>
      </c>
      <c r="CH162" s="1" t="s">
        <v>109</v>
      </c>
      <c r="CI162" s="1" t="s">
        <v>109</v>
      </c>
      <c r="CJ162" s="1" t="s">
        <v>109</v>
      </c>
      <c r="CK162" s="1"/>
      <c r="CL162" s="1">
        <v>0</v>
      </c>
      <c r="CM162" s="1">
        <v>0</v>
      </c>
      <c r="CN162" s="1">
        <v>0</v>
      </c>
    </row>
    <row r="163" spans="1:92" ht="14.25" customHeight="1" x14ac:dyDescent="0.15">
      <c r="A163" s="1" t="s">
        <v>1641</v>
      </c>
      <c r="B163" s="1" t="s">
        <v>189</v>
      </c>
      <c r="C163" s="1"/>
      <c r="D163" s="1"/>
      <c r="E163" s="1" t="s">
        <v>1642</v>
      </c>
      <c r="F163" s="1" t="s">
        <v>98</v>
      </c>
      <c r="G163" s="1" t="s">
        <v>141</v>
      </c>
      <c r="H163" s="1">
        <v>0</v>
      </c>
      <c r="I163" s="1" t="s">
        <v>161</v>
      </c>
      <c r="J163" s="1"/>
      <c r="K163" s="1"/>
      <c r="L163" s="1" t="s">
        <v>1643</v>
      </c>
      <c r="M163" s="1" t="s">
        <v>125</v>
      </c>
      <c r="N163" s="1">
        <v>0</v>
      </c>
      <c r="O163" s="1">
        <v>0</v>
      </c>
      <c r="P163" s="1" t="s">
        <v>1644</v>
      </c>
      <c r="Q163" s="1" t="s">
        <v>216</v>
      </c>
      <c r="R163" s="1" t="s">
        <v>1645</v>
      </c>
      <c r="S163" s="1" t="s">
        <v>1646</v>
      </c>
      <c r="T163" s="1" t="s">
        <v>107</v>
      </c>
      <c r="U163" s="1" t="s">
        <v>1647</v>
      </c>
      <c r="V163" s="1">
        <v>1</v>
      </c>
      <c r="W163" s="1">
        <v>1</v>
      </c>
      <c r="X163" s="1">
        <v>0</v>
      </c>
      <c r="Y163" s="1">
        <v>0</v>
      </c>
      <c r="Z163" s="1">
        <v>0</v>
      </c>
      <c r="AA163" s="1" t="s">
        <v>109</v>
      </c>
      <c r="AB163" s="1" t="s">
        <v>109</v>
      </c>
      <c r="AC163" s="1">
        <v>5</v>
      </c>
      <c r="AD163" s="1" t="s">
        <v>109</v>
      </c>
      <c r="AE163" s="1" t="s">
        <v>109</v>
      </c>
      <c r="AF163" s="1" t="s">
        <v>109</v>
      </c>
      <c r="AG163" s="1" t="s">
        <v>109</v>
      </c>
      <c r="AH163" s="1" t="s">
        <v>109</v>
      </c>
      <c r="AI163" s="1" t="s">
        <v>109</v>
      </c>
      <c r="AJ163" s="1" t="s">
        <v>109</v>
      </c>
      <c r="AK163" s="1">
        <v>5</v>
      </c>
      <c r="AL163" s="1">
        <v>5</v>
      </c>
      <c r="AM163" s="1" t="s">
        <v>109</v>
      </c>
      <c r="AN163" s="1" t="s">
        <v>109</v>
      </c>
      <c r="AO163" s="1" t="s">
        <v>109</v>
      </c>
      <c r="AP163" s="1"/>
      <c r="AQ163" s="1">
        <v>5</v>
      </c>
      <c r="AR163" s="1"/>
      <c r="AS163" s="1" t="s">
        <v>1648</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5" t="str">
        <f>HYPERLINK("http://www.d20pfsrd.com/magic/all-spells/d/disrupting-weapon","Disrupting Weapon")</f>
        <v>Disrupting Weapon</v>
      </c>
      <c r="BT163" s="1">
        <v>162</v>
      </c>
      <c r="BU163" s="1" t="s">
        <v>109</v>
      </c>
      <c r="BV163" s="1"/>
      <c r="BW163" s="1"/>
      <c r="BX163" s="1"/>
      <c r="BY163" s="1"/>
      <c r="BZ163" s="1">
        <v>0</v>
      </c>
      <c r="CA163" s="1" t="s">
        <v>109</v>
      </c>
      <c r="CB163" s="1" t="s">
        <v>109</v>
      </c>
      <c r="CC163" s="1" t="s">
        <v>109</v>
      </c>
      <c r="CD163" s="1" t="s">
        <v>109</v>
      </c>
      <c r="CE163" s="1" t="s">
        <v>109</v>
      </c>
      <c r="CF163" s="1" t="s">
        <v>109</v>
      </c>
      <c r="CG163" s="1">
        <v>5</v>
      </c>
      <c r="CH163" s="1" t="s">
        <v>109</v>
      </c>
      <c r="CI163" s="1" t="s">
        <v>109</v>
      </c>
      <c r="CJ163" s="1" t="s">
        <v>109</v>
      </c>
      <c r="CK163" s="1"/>
      <c r="CL163" s="1">
        <v>0</v>
      </c>
      <c r="CM163" s="1">
        <v>0</v>
      </c>
      <c r="CN163" s="1">
        <v>0</v>
      </c>
    </row>
    <row r="164" spans="1:92" ht="14.25" customHeight="1" x14ac:dyDescent="0.15">
      <c r="A164" s="1" t="s">
        <v>1649</v>
      </c>
      <c r="B164" s="1" t="s">
        <v>308</v>
      </c>
      <c r="C164" s="1"/>
      <c r="D164" s="1"/>
      <c r="E164" s="1" t="s">
        <v>1650</v>
      </c>
      <c r="F164" s="1" t="s">
        <v>98</v>
      </c>
      <c r="G164" s="1" t="s">
        <v>141</v>
      </c>
      <c r="H164" s="1">
        <v>0</v>
      </c>
      <c r="I164" s="1" t="s">
        <v>142</v>
      </c>
      <c r="J164" s="1"/>
      <c r="K164" s="1" t="s">
        <v>1506</v>
      </c>
      <c r="L164" s="1"/>
      <c r="M164" s="1" t="s">
        <v>144</v>
      </c>
      <c r="N164" s="1">
        <v>0</v>
      </c>
      <c r="O164" s="1">
        <v>0</v>
      </c>
      <c r="P164" s="1" t="s">
        <v>103</v>
      </c>
      <c r="Q164" s="1" t="s">
        <v>268</v>
      </c>
      <c r="R164" s="1" t="s">
        <v>1651</v>
      </c>
      <c r="S164" s="1" t="s">
        <v>1652</v>
      </c>
      <c r="T164" s="1" t="s">
        <v>107</v>
      </c>
      <c r="U164" s="1" t="s">
        <v>1653</v>
      </c>
      <c r="V164" s="1">
        <v>1</v>
      </c>
      <c r="W164" s="1">
        <v>1</v>
      </c>
      <c r="X164" s="1">
        <v>0</v>
      </c>
      <c r="Y164" s="1">
        <v>0</v>
      </c>
      <c r="Z164" s="1">
        <v>0</v>
      </c>
      <c r="AA164" s="1">
        <v>0</v>
      </c>
      <c r="AB164" s="1">
        <v>0</v>
      </c>
      <c r="AC164" s="1" t="s">
        <v>109</v>
      </c>
      <c r="AD164" s="1" t="s">
        <v>109</v>
      </c>
      <c r="AE164" s="1" t="s">
        <v>109</v>
      </c>
      <c r="AF164" s="1" t="s">
        <v>109</v>
      </c>
      <c r="AG164" s="1" t="s">
        <v>109</v>
      </c>
      <c r="AH164" s="1" t="s">
        <v>109</v>
      </c>
      <c r="AI164" s="1" t="s">
        <v>109</v>
      </c>
      <c r="AJ164" s="1" t="s">
        <v>109</v>
      </c>
      <c r="AK164" s="1">
        <v>0</v>
      </c>
      <c r="AL164" s="1" t="s">
        <v>109</v>
      </c>
      <c r="AM164" s="1" t="s">
        <v>109</v>
      </c>
      <c r="AN164" s="1">
        <v>0</v>
      </c>
      <c r="AO164" s="1" t="s">
        <v>109</v>
      </c>
      <c r="AP164" s="1"/>
      <c r="AQ164" s="1">
        <v>0</v>
      </c>
      <c r="AR164" s="1"/>
      <c r="AS164" s="1" t="s">
        <v>1654</v>
      </c>
      <c r="AT164" s="1">
        <v>0</v>
      </c>
      <c r="AU164" s="1">
        <v>0</v>
      </c>
      <c r="AV164" s="1">
        <v>0</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5" t="str">
        <f>HYPERLINK("http://www.d20pfsrd.com/magic/all-spells/d/disrupt-undead","Disrupt Undead")</f>
        <v>Disrupt Undead</v>
      </c>
      <c r="BT164" s="1">
        <v>163</v>
      </c>
      <c r="BU164" s="1" t="s">
        <v>109</v>
      </c>
      <c r="BV164" s="1"/>
      <c r="BW164" s="1"/>
      <c r="BX164" s="1"/>
      <c r="BY164" s="1"/>
      <c r="BZ164" s="1">
        <v>0</v>
      </c>
      <c r="CA164" s="1" t="s">
        <v>109</v>
      </c>
      <c r="CB164" s="1" t="s">
        <v>109</v>
      </c>
      <c r="CC164" s="1" t="s">
        <v>109</v>
      </c>
      <c r="CD164" s="1" t="s">
        <v>109</v>
      </c>
      <c r="CE164" s="1" t="s">
        <v>109</v>
      </c>
      <c r="CF164" s="1" t="s">
        <v>109</v>
      </c>
      <c r="CG164" s="1" t="s">
        <v>109</v>
      </c>
      <c r="CH164" s="1" t="s">
        <v>109</v>
      </c>
      <c r="CI164" s="1" t="s">
        <v>109</v>
      </c>
      <c r="CJ164" s="1" t="s">
        <v>109</v>
      </c>
      <c r="CK164" s="1"/>
      <c r="CL164" s="1">
        <v>0</v>
      </c>
      <c r="CM164" s="1">
        <v>0</v>
      </c>
      <c r="CN164" s="1">
        <v>0</v>
      </c>
    </row>
    <row r="165" spans="1:92" ht="14.25" customHeight="1" x14ac:dyDescent="0.15">
      <c r="A165" s="1" t="s">
        <v>1655</v>
      </c>
      <c r="B165" s="1" t="s">
        <v>254</v>
      </c>
      <c r="C165" s="1"/>
      <c r="D165" s="1"/>
      <c r="E165" s="1" t="s">
        <v>1656</v>
      </c>
      <c r="F165" s="1" t="s">
        <v>395</v>
      </c>
      <c r="G165" s="1" t="s">
        <v>1657</v>
      </c>
      <c r="H165" s="1">
        <v>1</v>
      </c>
      <c r="I165" s="1" t="s">
        <v>235</v>
      </c>
      <c r="J165" s="1"/>
      <c r="K165" s="1"/>
      <c r="L165" s="1" t="s">
        <v>236</v>
      </c>
      <c r="M165" s="1" t="s">
        <v>144</v>
      </c>
      <c r="N165" s="1">
        <v>0</v>
      </c>
      <c r="O165" s="1">
        <v>0</v>
      </c>
      <c r="P165" s="1"/>
      <c r="Q165" s="1"/>
      <c r="R165" s="1" t="s">
        <v>1658</v>
      </c>
      <c r="S165" s="1" t="s">
        <v>1659</v>
      </c>
      <c r="T165" s="1" t="s">
        <v>107</v>
      </c>
      <c r="U165" s="1" t="s">
        <v>1660</v>
      </c>
      <c r="V165" s="1">
        <v>1</v>
      </c>
      <c r="W165" s="1">
        <v>1</v>
      </c>
      <c r="X165" s="1">
        <v>1</v>
      </c>
      <c r="Y165" s="1">
        <v>0</v>
      </c>
      <c r="Z165" s="1">
        <v>0</v>
      </c>
      <c r="AA165" s="1" t="s">
        <v>109</v>
      </c>
      <c r="AB165" s="1" t="s">
        <v>109</v>
      </c>
      <c r="AC165" s="1">
        <v>4</v>
      </c>
      <c r="AD165" s="1" t="s">
        <v>109</v>
      </c>
      <c r="AE165" s="1" t="s">
        <v>109</v>
      </c>
      <c r="AF165" s="1" t="s">
        <v>109</v>
      </c>
      <c r="AG165" s="1" t="s">
        <v>109</v>
      </c>
      <c r="AH165" s="1" t="s">
        <v>109</v>
      </c>
      <c r="AI165" s="1" t="s">
        <v>109</v>
      </c>
      <c r="AJ165" s="1">
        <v>4</v>
      </c>
      <c r="AK165" s="1">
        <v>4</v>
      </c>
      <c r="AL165" s="1">
        <v>4</v>
      </c>
      <c r="AM165" s="1" t="s">
        <v>109</v>
      </c>
      <c r="AN165" s="1" t="s">
        <v>109</v>
      </c>
      <c r="AO165" s="1" t="s">
        <v>109</v>
      </c>
      <c r="AP165" s="1"/>
      <c r="AQ165" s="1">
        <v>4</v>
      </c>
      <c r="AR165" s="1" t="s">
        <v>1661</v>
      </c>
      <c r="AS165" s="1" t="s">
        <v>1662</v>
      </c>
      <c r="AT165" s="1">
        <v>0</v>
      </c>
      <c r="AU165" s="1">
        <v>0</v>
      </c>
      <c r="AV165" s="1">
        <v>0</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5" t="str">
        <f>HYPERLINK("http://www.d20pfsrd.com/magic/all-spells/d/divination","Divination")</f>
        <v>Divination</v>
      </c>
      <c r="BT165" s="1">
        <v>164</v>
      </c>
      <c r="BU165" s="1">
        <v>25</v>
      </c>
      <c r="BV165" s="1" t="s">
        <v>1663</v>
      </c>
      <c r="BW165" s="1" t="s">
        <v>1664</v>
      </c>
      <c r="BX165" s="1"/>
      <c r="BY165" s="1"/>
      <c r="BZ165" s="1">
        <v>0</v>
      </c>
      <c r="CA165" s="1" t="s">
        <v>109</v>
      </c>
      <c r="CB165" s="1">
        <v>4</v>
      </c>
      <c r="CC165" s="1">
        <v>4</v>
      </c>
      <c r="CD165" s="1" t="s">
        <v>109</v>
      </c>
      <c r="CE165" s="1" t="s">
        <v>109</v>
      </c>
      <c r="CF165" s="1" t="s">
        <v>109</v>
      </c>
      <c r="CG165" s="1">
        <v>4</v>
      </c>
      <c r="CH165" s="1" t="s">
        <v>109</v>
      </c>
      <c r="CI165" s="1" t="s">
        <v>109</v>
      </c>
      <c r="CJ165" s="1" t="s">
        <v>109</v>
      </c>
      <c r="CK165" s="1"/>
      <c r="CL165" s="1">
        <v>0</v>
      </c>
      <c r="CM165" s="1">
        <v>0</v>
      </c>
      <c r="CN165" s="1">
        <v>0</v>
      </c>
    </row>
    <row r="166" spans="1:92" ht="14.25" customHeight="1" x14ac:dyDescent="0.15">
      <c r="A166" s="1" t="s">
        <v>1665</v>
      </c>
      <c r="B166" s="1" t="s">
        <v>584</v>
      </c>
      <c r="C166" s="1"/>
      <c r="D166" s="1"/>
      <c r="E166" s="1" t="s">
        <v>626</v>
      </c>
      <c r="F166" s="1" t="s">
        <v>98</v>
      </c>
      <c r="G166" s="1" t="s">
        <v>160</v>
      </c>
      <c r="H166" s="1">
        <v>0</v>
      </c>
      <c r="I166" s="1" t="s">
        <v>235</v>
      </c>
      <c r="J166" s="1"/>
      <c r="K166" s="1"/>
      <c r="L166" s="1" t="s">
        <v>236</v>
      </c>
      <c r="M166" s="1" t="s">
        <v>277</v>
      </c>
      <c r="N166" s="1">
        <v>0</v>
      </c>
      <c r="O166" s="1">
        <v>0</v>
      </c>
      <c r="P166" s="1"/>
      <c r="Q166" s="1"/>
      <c r="R166" s="1" t="s">
        <v>1666</v>
      </c>
      <c r="S166" s="1" t="s">
        <v>1667</v>
      </c>
      <c r="T166" s="1" t="s">
        <v>107</v>
      </c>
      <c r="U166" s="1" t="s">
        <v>1668</v>
      </c>
      <c r="V166" s="1">
        <v>1</v>
      </c>
      <c r="W166" s="1">
        <v>1</v>
      </c>
      <c r="X166" s="1">
        <v>0</v>
      </c>
      <c r="Y166" s="1">
        <v>0</v>
      </c>
      <c r="Z166" s="1">
        <v>1</v>
      </c>
      <c r="AA166" s="1" t="s">
        <v>109</v>
      </c>
      <c r="AB166" s="1" t="s">
        <v>109</v>
      </c>
      <c r="AC166" s="1">
        <v>1</v>
      </c>
      <c r="AD166" s="1" t="s">
        <v>109</v>
      </c>
      <c r="AE166" s="1" t="s">
        <v>109</v>
      </c>
      <c r="AF166" s="1" t="s">
        <v>109</v>
      </c>
      <c r="AG166" s="1">
        <v>1</v>
      </c>
      <c r="AH166" s="1" t="s">
        <v>109</v>
      </c>
      <c r="AI166" s="1" t="s">
        <v>109</v>
      </c>
      <c r="AJ166" s="1" t="s">
        <v>109</v>
      </c>
      <c r="AK166" s="1">
        <v>1</v>
      </c>
      <c r="AL166" s="1">
        <v>1</v>
      </c>
      <c r="AM166" s="1" t="s">
        <v>109</v>
      </c>
      <c r="AN166" s="1" t="s">
        <v>109</v>
      </c>
      <c r="AO166" s="1" t="s">
        <v>109</v>
      </c>
      <c r="AP166" s="1"/>
      <c r="AQ166" s="1">
        <v>1</v>
      </c>
      <c r="AR166" s="1" t="s">
        <v>1669</v>
      </c>
      <c r="AS166" s="1" t="s">
        <v>1670</v>
      </c>
      <c r="AT166" s="1">
        <v>0</v>
      </c>
      <c r="AU166" s="1">
        <v>0</v>
      </c>
      <c r="AV166" s="1">
        <v>0</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5" t="str">
        <f>HYPERLINK("http://www.d20pfsrd.com/magic/all-spells/d/divine-favor","Divine Favor")</f>
        <v>Divine Favor</v>
      </c>
      <c r="BT166" s="1">
        <v>165</v>
      </c>
      <c r="BU166" s="1" t="s">
        <v>109</v>
      </c>
      <c r="BV166" s="1"/>
      <c r="BW166" s="1" t="s">
        <v>1671</v>
      </c>
      <c r="BX166" s="1" t="s">
        <v>1672</v>
      </c>
      <c r="BY166" s="1"/>
      <c r="BZ166" s="1">
        <v>1</v>
      </c>
      <c r="CA166" s="1" t="s">
        <v>109</v>
      </c>
      <c r="CB166" s="1" t="s">
        <v>109</v>
      </c>
      <c r="CC166" s="1" t="s">
        <v>109</v>
      </c>
      <c r="CD166" s="1" t="s">
        <v>109</v>
      </c>
      <c r="CE166" s="1" t="s">
        <v>109</v>
      </c>
      <c r="CF166" s="1" t="s">
        <v>109</v>
      </c>
      <c r="CG166" s="1" t="s">
        <v>109</v>
      </c>
      <c r="CH166" s="1" t="s">
        <v>109</v>
      </c>
      <c r="CI166" s="1" t="s">
        <v>109</v>
      </c>
      <c r="CJ166" s="1" t="s">
        <v>109</v>
      </c>
      <c r="CK166" s="1"/>
      <c r="CL166" s="1">
        <v>0</v>
      </c>
      <c r="CM166" s="1">
        <v>0</v>
      </c>
      <c r="CN166" s="1">
        <v>0</v>
      </c>
    </row>
    <row r="167" spans="1:92" ht="14.25" customHeight="1" x14ac:dyDescent="0.15">
      <c r="A167" s="1" t="s">
        <v>1673</v>
      </c>
      <c r="B167" s="1" t="s">
        <v>584</v>
      </c>
      <c r="C167" s="1"/>
      <c r="D167" s="1"/>
      <c r="E167" s="1" t="s">
        <v>1674</v>
      </c>
      <c r="F167" s="1" t="s">
        <v>98</v>
      </c>
      <c r="G167" s="1" t="s">
        <v>160</v>
      </c>
      <c r="H167" s="1">
        <v>0</v>
      </c>
      <c r="I167" s="1" t="s">
        <v>235</v>
      </c>
      <c r="J167" s="1"/>
      <c r="K167" s="1"/>
      <c r="L167" s="1" t="s">
        <v>236</v>
      </c>
      <c r="M167" s="1" t="s">
        <v>125</v>
      </c>
      <c r="N167" s="1">
        <v>0</v>
      </c>
      <c r="O167" s="1">
        <v>0</v>
      </c>
      <c r="P167" s="1"/>
      <c r="Q167" s="1"/>
      <c r="R167" s="1" t="s">
        <v>1675</v>
      </c>
      <c r="S167" s="1" t="s">
        <v>1676</v>
      </c>
      <c r="T167" s="1" t="s">
        <v>107</v>
      </c>
      <c r="U167" s="1" t="s">
        <v>1677</v>
      </c>
      <c r="V167" s="1">
        <v>1</v>
      </c>
      <c r="W167" s="1">
        <v>1</v>
      </c>
      <c r="X167" s="1">
        <v>0</v>
      </c>
      <c r="Y167" s="1">
        <v>0</v>
      </c>
      <c r="Z167" s="1">
        <v>1</v>
      </c>
      <c r="AA167" s="1" t="s">
        <v>109</v>
      </c>
      <c r="AB167" s="1" t="s">
        <v>109</v>
      </c>
      <c r="AC167" s="1">
        <v>4</v>
      </c>
      <c r="AD167" s="1" t="s">
        <v>109</v>
      </c>
      <c r="AE167" s="1" t="s">
        <v>109</v>
      </c>
      <c r="AF167" s="1" t="s">
        <v>109</v>
      </c>
      <c r="AG167" s="1" t="s">
        <v>109</v>
      </c>
      <c r="AH167" s="1" t="s">
        <v>109</v>
      </c>
      <c r="AI167" s="1" t="s">
        <v>109</v>
      </c>
      <c r="AJ167" s="1" t="s">
        <v>109</v>
      </c>
      <c r="AK167" s="1">
        <v>4</v>
      </c>
      <c r="AL167" s="1">
        <v>4</v>
      </c>
      <c r="AM167" s="1" t="s">
        <v>109</v>
      </c>
      <c r="AN167" s="1" t="s">
        <v>109</v>
      </c>
      <c r="AO167" s="1" t="s">
        <v>109</v>
      </c>
      <c r="AP167" s="1"/>
      <c r="AQ167" s="1">
        <v>4</v>
      </c>
      <c r="AR167" s="1" t="s">
        <v>1678</v>
      </c>
      <c r="AS167" s="1" t="s">
        <v>1679</v>
      </c>
      <c r="AT167" s="1">
        <v>0</v>
      </c>
      <c r="AU167" s="1">
        <v>0</v>
      </c>
      <c r="AV167" s="1">
        <v>0</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5" t="str">
        <f>HYPERLINK("http://www.d20pfsrd.com/magic/all-spells/d/divine-power","Divine Power")</f>
        <v>Divine Power</v>
      </c>
      <c r="BT167" s="1">
        <v>166</v>
      </c>
      <c r="BU167" s="1" t="s">
        <v>109</v>
      </c>
      <c r="BV167" s="1"/>
      <c r="BW167" s="1" t="s">
        <v>910</v>
      </c>
      <c r="BX167" s="1"/>
      <c r="BY167" s="1"/>
      <c r="BZ167" s="1">
        <v>0</v>
      </c>
      <c r="CA167" s="1" t="s">
        <v>109</v>
      </c>
      <c r="CB167" s="1">
        <v>4</v>
      </c>
      <c r="CC167" s="1" t="s">
        <v>109</v>
      </c>
      <c r="CD167" s="1" t="s">
        <v>109</v>
      </c>
      <c r="CE167" s="1" t="s">
        <v>109</v>
      </c>
      <c r="CF167" s="1" t="s">
        <v>109</v>
      </c>
      <c r="CG167" s="1" t="s">
        <v>109</v>
      </c>
      <c r="CH167" s="1" t="s">
        <v>109</v>
      </c>
      <c r="CI167" s="1" t="s">
        <v>109</v>
      </c>
      <c r="CJ167" s="1" t="s">
        <v>109</v>
      </c>
      <c r="CK167" s="1"/>
      <c r="CL167" s="1">
        <v>0</v>
      </c>
      <c r="CM167" s="1">
        <v>0</v>
      </c>
      <c r="CN167" s="1">
        <v>0</v>
      </c>
    </row>
    <row r="168" spans="1:92" ht="14.25" customHeight="1" x14ac:dyDescent="0.15">
      <c r="A168" s="1" t="s">
        <v>1680</v>
      </c>
      <c r="B168" s="1" t="s">
        <v>156</v>
      </c>
      <c r="C168" s="1" t="s">
        <v>157</v>
      </c>
      <c r="D168" s="1" t="s">
        <v>158</v>
      </c>
      <c r="E168" s="1" t="s">
        <v>1681</v>
      </c>
      <c r="F168" s="1" t="s">
        <v>355</v>
      </c>
      <c r="G168" s="1" t="s">
        <v>141</v>
      </c>
      <c r="H168" s="1">
        <v>0</v>
      </c>
      <c r="I168" s="1" t="s">
        <v>142</v>
      </c>
      <c r="J168" s="1"/>
      <c r="K168" s="1"/>
      <c r="L168" s="1" t="s">
        <v>844</v>
      </c>
      <c r="M168" s="1" t="s">
        <v>125</v>
      </c>
      <c r="N168" s="1">
        <v>0</v>
      </c>
      <c r="O168" s="1">
        <v>0</v>
      </c>
      <c r="P168" s="1" t="s">
        <v>301</v>
      </c>
      <c r="Q168" s="1" t="s">
        <v>268</v>
      </c>
      <c r="R168" s="1" t="s">
        <v>1682</v>
      </c>
      <c r="S168" s="1" t="s">
        <v>1683</v>
      </c>
      <c r="T168" s="1" t="s">
        <v>107</v>
      </c>
      <c r="U168" s="1" t="s">
        <v>1684</v>
      </c>
      <c r="V168" s="1">
        <v>1</v>
      </c>
      <c r="W168" s="1">
        <v>1</v>
      </c>
      <c r="X168" s="1">
        <v>0</v>
      </c>
      <c r="Y168" s="1">
        <v>0</v>
      </c>
      <c r="Z168" s="1">
        <v>0</v>
      </c>
      <c r="AA168" s="1" t="s">
        <v>109</v>
      </c>
      <c r="AB168" s="1" t="s">
        <v>109</v>
      </c>
      <c r="AC168" s="1" t="s">
        <v>109</v>
      </c>
      <c r="AD168" s="1">
        <v>3</v>
      </c>
      <c r="AE168" s="1" t="s">
        <v>109</v>
      </c>
      <c r="AF168" s="1" t="s">
        <v>109</v>
      </c>
      <c r="AG168" s="1" t="s">
        <v>109</v>
      </c>
      <c r="AH168" s="1" t="s">
        <v>109</v>
      </c>
      <c r="AI168" s="1" t="s">
        <v>109</v>
      </c>
      <c r="AJ168" s="1" t="s">
        <v>109</v>
      </c>
      <c r="AK168" s="1" t="s">
        <v>109</v>
      </c>
      <c r="AL168" s="1" t="s">
        <v>109</v>
      </c>
      <c r="AM168" s="1" t="s">
        <v>109</v>
      </c>
      <c r="AN168" s="1" t="s">
        <v>109</v>
      </c>
      <c r="AO168" s="1" t="s">
        <v>109</v>
      </c>
      <c r="AP168" s="1"/>
      <c r="AQ168" s="1">
        <v>3</v>
      </c>
      <c r="AR168" s="1" t="s">
        <v>1685</v>
      </c>
      <c r="AS168" s="1" t="s">
        <v>1686</v>
      </c>
      <c r="AT168" s="1">
        <v>0</v>
      </c>
      <c r="AU168" s="1">
        <v>0</v>
      </c>
      <c r="AV168" s="1">
        <v>0</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1</v>
      </c>
      <c r="BN168" s="1">
        <v>0</v>
      </c>
      <c r="BO168" s="1">
        <v>0</v>
      </c>
      <c r="BP168" s="1">
        <v>0</v>
      </c>
      <c r="BQ168" s="1">
        <v>0</v>
      </c>
      <c r="BR168" s="1">
        <v>0</v>
      </c>
      <c r="BS168" s="5" t="str">
        <f>HYPERLINK("http://www.d20pfsrd.com/magic/all-spells/d/dominate-animal","Dominate Animal")</f>
        <v>Dominate Animal</v>
      </c>
      <c r="BT168" s="1">
        <v>167</v>
      </c>
      <c r="BU168" s="1" t="s">
        <v>109</v>
      </c>
      <c r="BV168" s="1"/>
      <c r="BW168" s="1" t="s">
        <v>1687</v>
      </c>
      <c r="BX168" s="1"/>
      <c r="BY168" s="1"/>
      <c r="BZ168" s="1">
        <v>0</v>
      </c>
      <c r="CA168" s="1" t="s">
        <v>109</v>
      </c>
      <c r="CB168" s="1">
        <v>3</v>
      </c>
      <c r="CC168" s="1">
        <v>4</v>
      </c>
      <c r="CD168" s="1" t="s">
        <v>109</v>
      </c>
      <c r="CE168" s="1">
        <v>3</v>
      </c>
      <c r="CF168" s="1" t="s">
        <v>109</v>
      </c>
      <c r="CG168" s="1" t="s">
        <v>109</v>
      </c>
      <c r="CH168" s="1" t="s">
        <v>109</v>
      </c>
      <c r="CI168" s="1" t="s">
        <v>109</v>
      </c>
      <c r="CJ168" s="1">
        <v>3</v>
      </c>
      <c r="CK168" s="1"/>
      <c r="CL168" s="1">
        <v>0</v>
      </c>
      <c r="CM168" s="1">
        <v>0</v>
      </c>
      <c r="CN168" s="1">
        <v>0</v>
      </c>
    </row>
    <row r="169" spans="1:92" ht="14.25" customHeight="1" x14ac:dyDescent="0.15">
      <c r="A169" s="1" t="s">
        <v>1688</v>
      </c>
      <c r="B169" s="1" t="s">
        <v>156</v>
      </c>
      <c r="C169" s="1" t="s">
        <v>157</v>
      </c>
      <c r="D169" s="1" t="s">
        <v>158</v>
      </c>
      <c r="E169" s="1" t="s">
        <v>1689</v>
      </c>
      <c r="F169" s="1" t="s">
        <v>355</v>
      </c>
      <c r="G169" s="1" t="s">
        <v>141</v>
      </c>
      <c r="H169" s="1">
        <v>0</v>
      </c>
      <c r="I169" s="1" t="s">
        <v>142</v>
      </c>
      <c r="J169" s="1"/>
      <c r="K169" s="1"/>
      <c r="L169" s="1" t="s">
        <v>1391</v>
      </c>
      <c r="M169" s="1" t="s">
        <v>280</v>
      </c>
      <c r="N169" s="1">
        <v>0</v>
      </c>
      <c r="O169" s="1">
        <v>0</v>
      </c>
      <c r="P169" s="1" t="s">
        <v>301</v>
      </c>
      <c r="Q169" s="1" t="s">
        <v>268</v>
      </c>
      <c r="R169" s="1" t="s">
        <v>1690</v>
      </c>
      <c r="S169" s="1" t="s">
        <v>1691</v>
      </c>
      <c r="T169" s="1" t="s">
        <v>107</v>
      </c>
      <c r="U169" s="1" t="s">
        <v>1692</v>
      </c>
      <c r="V169" s="1">
        <v>1</v>
      </c>
      <c r="W169" s="1">
        <v>1</v>
      </c>
      <c r="X169" s="1">
        <v>0</v>
      </c>
      <c r="Y169" s="1">
        <v>0</v>
      </c>
      <c r="Z169" s="1">
        <v>0</v>
      </c>
      <c r="AA169" s="1">
        <v>9</v>
      </c>
      <c r="AB169" s="1">
        <v>9</v>
      </c>
      <c r="AC169" s="1" t="s">
        <v>109</v>
      </c>
      <c r="AD169" s="1" t="s">
        <v>109</v>
      </c>
      <c r="AE169" s="1" t="s">
        <v>109</v>
      </c>
      <c r="AF169" s="1" t="s">
        <v>109</v>
      </c>
      <c r="AG169" s="1" t="s">
        <v>109</v>
      </c>
      <c r="AH169" s="1" t="s">
        <v>109</v>
      </c>
      <c r="AI169" s="1">
        <v>6</v>
      </c>
      <c r="AJ169" s="1">
        <v>9</v>
      </c>
      <c r="AK169" s="1" t="s">
        <v>109</v>
      </c>
      <c r="AL169" s="1" t="s">
        <v>109</v>
      </c>
      <c r="AM169" s="1" t="s">
        <v>109</v>
      </c>
      <c r="AN169" s="1" t="s">
        <v>109</v>
      </c>
      <c r="AO169" s="1" t="s">
        <v>109</v>
      </c>
      <c r="AP169" s="1"/>
      <c r="AQ169" s="1">
        <v>9</v>
      </c>
      <c r="AR169" s="1" t="s">
        <v>1693</v>
      </c>
      <c r="AS169" s="1" t="s">
        <v>1694</v>
      </c>
      <c r="AT169" s="1">
        <v>0</v>
      </c>
      <c r="AU169" s="1">
        <v>0</v>
      </c>
      <c r="AV169" s="1">
        <v>0</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1</v>
      </c>
      <c r="BN169" s="1">
        <v>0</v>
      </c>
      <c r="BO169" s="1">
        <v>0</v>
      </c>
      <c r="BP169" s="1">
        <v>0</v>
      </c>
      <c r="BQ169" s="1">
        <v>0</v>
      </c>
      <c r="BR169" s="1">
        <v>0</v>
      </c>
      <c r="BS169" s="5" t="str">
        <f>HYPERLINK("http://www.d20pfsrd.com/magic/all-spells/d/dominate-monster","Dominate Monster")</f>
        <v>Dominate Monster</v>
      </c>
      <c r="BT169" s="1">
        <v>168</v>
      </c>
      <c r="BU169" s="1" t="s">
        <v>109</v>
      </c>
      <c r="BV169" s="1" t="s">
        <v>1695</v>
      </c>
      <c r="BW169" s="1" t="s">
        <v>1696</v>
      </c>
      <c r="BX169" s="1"/>
      <c r="BY169" s="1"/>
      <c r="BZ169" s="1">
        <v>0</v>
      </c>
      <c r="CA169" s="1" t="s">
        <v>109</v>
      </c>
      <c r="CB169" s="1" t="s">
        <v>109</v>
      </c>
      <c r="CC169" s="1">
        <v>9</v>
      </c>
      <c r="CD169" s="1" t="s">
        <v>109</v>
      </c>
      <c r="CE169" s="1" t="s">
        <v>109</v>
      </c>
      <c r="CF169" s="1" t="s">
        <v>109</v>
      </c>
      <c r="CG169" s="1" t="s">
        <v>109</v>
      </c>
      <c r="CH169" s="1" t="s">
        <v>109</v>
      </c>
      <c r="CI169" s="1" t="s">
        <v>109</v>
      </c>
      <c r="CJ169" s="1" t="s">
        <v>109</v>
      </c>
      <c r="CK169" s="1"/>
      <c r="CL169" s="1">
        <v>0</v>
      </c>
      <c r="CM169" s="1">
        <v>0</v>
      </c>
      <c r="CN169" s="1">
        <v>0</v>
      </c>
    </row>
    <row r="170" spans="1:92" ht="14.25" customHeight="1" x14ac:dyDescent="0.15">
      <c r="A170" s="1" t="s">
        <v>1697</v>
      </c>
      <c r="B170" s="1" t="s">
        <v>156</v>
      </c>
      <c r="C170" s="1" t="s">
        <v>157</v>
      </c>
      <c r="D170" s="1" t="s">
        <v>158</v>
      </c>
      <c r="E170" s="1" t="s">
        <v>1698</v>
      </c>
      <c r="F170" s="1" t="s">
        <v>355</v>
      </c>
      <c r="G170" s="1" t="s">
        <v>141</v>
      </c>
      <c r="H170" s="1">
        <v>0</v>
      </c>
      <c r="I170" s="1" t="s">
        <v>142</v>
      </c>
      <c r="J170" s="1"/>
      <c r="K170" s="1"/>
      <c r="L170" s="1" t="s">
        <v>1699</v>
      </c>
      <c r="M170" s="1" t="s">
        <v>280</v>
      </c>
      <c r="N170" s="1">
        <v>0</v>
      </c>
      <c r="O170" s="1">
        <v>0</v>
      </c>
      <c r="P170" s="1" t="s">
        <v>301</v>
      </c>
      <c r="Q170" s="1" t="s">
        <v>268</v>
      </c>
      <c r="R170" s="1" t="s">
        <v>1700</v>
      </c>
      <c r="S170" s="1" t="s">
        <v>1701</v>
      </c>
      <c r="T170" s="1" t="s">
        <v>107</v>
      </c>
      <c r="U170" s="1" t="s">
        <v>1702</v>
      </c>
      <c r="V170" s="1">
        <v>1</v>
      </c>
      <c r="W170" s="1">
        <v>1</v>
      </c>
      <c r="X170" s="1">
        <v>0</v>
      </c>
      <c r="Y170" s="1">
        <v>0</v>
      </c>
      <c r="Z170" s="1">
        <v>0</v>
      </c>
      <c r="AA170" s="1">
        <v>5</v>
      </c>
      <c r="AB170" s="1">
        <v>5</v>
      </c>
      <c r="AC170" s="1" t="s">
        <v>109</v>
      </c>
      <c r="AD170" s="1" t="s">
        <v>109</v>
      </c>
      <c r="AE170" s="1" t="s">
        <v>109</v>
      </c>
      <c r="AF170" s="1">
        <v>4</v>
      </c>
      <c r="AG170" s="1" t="s">
        <v>109</v>
      </c>
      <c r="AH170" s="1" t="s">
        <v>109</v>
      </c>
      <c r="AI170" s="1" t="s">
        <v>109</v>
      </c>
      <c r="AJ170" s="1">
        <v>5</v>
      </c>
      <c r="AK170" s="1" t="s">
        <v>109</v>
      </c>
      <c r="AL170" s="1" t="s">
        <v>109</v>
      </c>
      <c r="AM170" s="1" t="s">
        <v>109</v>
      </c>
      <c r="AN170" s="1" t="s">
        <v>109</v>
      </c>
      <c r="AO170" s="1" t="s">
        <v>109</v>
      </c>
      <c r="AP170" s="1"/>
      <c r="AQ170" s="1">
        <v>5</v>
      </c>
      <c r="AR170" s="1" t="s">
        <v>1703</v>
      </c>
      <c r="AS170" s="1" t="s">
        <v>1704</v>
      </c>
      <c r="AT170" s="1">
        <v>0</v>
      </c>
      <c r="AU170" s="1">
        <v>0</v>
      </c>
      <c r="AV170" s="1">
        <v>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1</v>
      </c>
      <c r="BN170" s="1">
        <v>0</v>
      </c>
      <c r="BO170" s="1">
        <v>0</v>
      </c>
      <c r="BP170" s="1">
        <v>0</v>
      </c>
      <c r="BQ170" s="1">
        <v>0</v>
      </c>
      <c r="BR170" s="1">
        <v>0</v>
      </c>
      <c r="BS170" s="5" t="str">
        <f>HYPERLINK("http://www.d20pfsrd.com/magic/all-spells/d/dominate-person","Dominate Person")</f>
        <v>Dominate Person</v>
      </c>
      <c r="BT170" s="1">
        <v>169</v>
      </c>
      <c r="BU170" s="1" t="s">
        <v>109</v>
      </c>
      <c r="BV170" s="1" t="s">
        <v>1705</v>
      </c>
      <c r="BW170" s="1" t="s">
        <v>1706</v>
      </c>
      <c r="BX170" s="1"/>
      <c r="BY170" s="1"/>
      <c r="BZ170" s="1">
        <v>0</v>
      </c>
      <c r="CA170" s="1" t="s">
        <v>109</v>
      </c>
      <c r="CB170" s="1">
        <v>5</v>
      </c>
      <c r="CC170" s="1">
        <v>5</v>
      </c>
      <c r="CD170" s="1" t="s">
        <v>109</v>
      </c>
      <c r="CE170" s="1">
        <v>4</v>
      </c>
      <c r="CF170" s="1">
        <v>5</v>
      </c>
      <c r="CG170" s="1">
        <v>5</v>
      </c>
      <c r="CH170" s="1" t="s">
        <v>109</v>
      </c>
      <c r="CI170" s="1" t="s">
        <v>109</v>
      </c>
      <c r="CJ170" s="1" t="s">
        <v>109</v>
      </c>
      <c r="CK170" s="1"/>
      <c r="CL170" s="1">
        <v>0</v>
      </c>
      <c r="CM170" s="1">
        <v>0</v>
      </c>
      <c r="CN170" s="1">
        <v>0</v>
      </c>
    </row>
    <row r="171" spans="1:92" ht="14.25" customHeight="1" x14ac:dyDescent="0.15">
      <c r="A171" s="1" t="s">
        <v>1707</v>
      </c>
      <c r="B171" s="1" t="s">
        <v>308</v>
      </c>
      <c r="C171" s="1"/>
      <c r="D171" s="1" t="s">
        <v>790</v>
      </c>
      <c r="E171" s="1" t="s">
        <v>1708</v>
      </c>
      <c r="F171" s="1" t="s">
        <v>98</v>
      </c>
      <c r="G171" s="1" t="s">
        <v>160</v>
      </c>
      <c r="H171" s="1">
        <v>0</v>
      </c>
      <c r="I171" s="1" t="s">
        <v>122</v>
      </c>
      <c r="J171" s="1"/>
      <c r="K171" s="1"/>
      <c r="L171" s="1" t="s">
        <v>563</v>
      </c>
      <c r="M171" s="1" t="s">
        <v>164</v>
      </c>
      <c r="N171" s="1">
        <v>0</v>
      </c>
      <c r="O171" s="1">
        <v>0</v>
      </c>
      <c r="P171" s="1" t="s">
        <v>301</v>
      </c>
      <c r="Q171" s="1" t="s">
        <v>268</v>
      </c>
      <c r="R171" s="1" t="s">
        <v>1709</v>
      </c>
      <c r="S171" s="1" t="s">
        <v>1710</v>
      </c>
      <c r="T171" s="1" t="s">
        <v>107</v>
      </c>
      <c r="U171" s="1" t="s">
        <v>1711</v>
      </c>
      <c r="V171" s="1">
        <v>1</v>
      </c>
      <c r="W171" s="1">
        <v>1</v>
      </c>
      <c r="X171" s="1">
        <v>0</v>
      </c>
      <c r="Y171" s="1">
        <v>0</v>
      </c>
      <c r="Z171" s="1">
        <v>1</v>
      </c>
      <c r="AA171" s="1" t="s">
        <v>109</v>
      </c>
      <c r="AB171" s="1" t="s">
        <v>109</v>
      </c>
      <c r="AC171" s="1">
        <v>1</v>
      </c>
      <c r="AD171" s="1" t="s">
        <v>109</v>
      </c>
      <c r="AE171" s="1" t="s">
        <v>109</v>
      </c>
      <c r="AF171" s="1" t="s">
        <v>109</v>
      </c>
      <c r="AG171" s="1" t="s">
        <v>109</v>
      </c>
      <c r="AH171" s="1" t="s">
        <v>109</v>
      </c>
      <c r="AI171" s="1" t="s">
        <v>109</v>
      </c>
      <c r="AJ171" s="1" t="s">
        <v>109</v>
      </c>
      <c r="AK171" s="1">
        <v>1</v>
      </c>
      <c r="AL171" s="1">
        <v>1</v>
      </c>
      <c r="AM171" s="1">
        <v>1</v>
      </c>
      <c r="AN171" s="1" t="s">
        <v>109</v>
      </c>
      <c r="AO171" s="1" t="s">
        <v>109</v>
      </c>
      <c r="AP171" s="1"/>
      <c r="AQ171" s="1">
        <v>1</v>
      </c>
      <c r="AR171" s="1" t="s">
        <v>1712</v>
      </c>
      <c r="AS171" s="1" t="s">
        <v>1713</v>
      </c>
      <c r="AT171" s="1">
        <v>0</v>
      </c>
      <c r="AU171" s="1">
        <v>0</v>
      </c>
      <c r="AV171" s="1">
        <v>0</v>
      </c>
      <c r="AW171" s="1">
        <v>0</v>
      </c>
      <c r="AX171" s="1">
        <v>0</v>
      </c>
      <c r="AY171" s="1">
        <v>0</v>
      </c>
      <c r="AZ171" s="1">
        <v>0</v>
      </c>
      <c r="BA171" s="1">
        <v>0</v>
      </c>
      <c r="BB171" s="1">
        <v>0</v>
      </c>
      <c r="BC171" s="1">
        <v>0</v>
      </c>
      <c r="BD171" s="1">
        <v>1</v>
      </c>
      <c r="BE171" s="1">
        <v>0</v>
      </c>
      <c r="BF171" s="1">
        <v>1</v>
      </c>
      <c r="BG171" s="1">
        <v>0</v>
      </c>
      <c r="BH171" s="1">
        <v>0</v>
      </c>
      <c r="BI171" s="1">
        <v>0</v>
      </c>
      <c r="BJ171" s="1">
        <v>0</v>
      </c>
      <c r="BK171" s="1">
        <v>0</v>
      </c>
      <c r="BL171" s="1">
        <v>0</v>
      </c>
      <c r="BM171" s="1">
        <v>1</v>
      </c>
      <c r="BN171" s="1">
        <v>0</v>
      </c>
      <c r="BO171" s="1">
        <v>0</v>
      </c>
      <c r="BP171" s="1">
        <v>0</v>
      </c>
      <c r="BQ171" s="1">
        <v>0</v>
      </c>
      <c r="BR171" s="1">
        <v>0</v>
      </c>
      <c r="BS171" s="5" t="str">
        <f>HYPERLINK("http://www.d20pfsrd.com/magic/all-spells/d/doom","Doom")</f>
        <v>Doom</v>
      </c>
      <c r="BT171" s="1">
        <v>170</v>
      </c>
      <c r="BU171" s="1" t="s">
        <v>109</v>
      </c>
      <c r="BV171" s="1"/>
      <c r="BW171" s="1"/>
      <c r="BX171" s="1"/>
      <c r="BY171" s="1"/>
      <c r="BZ171" s="1">
        <v>0</v>
      </c>
      <c r="CA171" s="1" t="s">
        <v>109</v>
      </c>
      <c r="CB171" s="1">
        <v>1</v>
      </c>
      <c r="CC171" s="1" t="s">
        <v>109</v>
      </c>
      <c r="CD171" s="1" t="s">
        <v>109</v>
      </c>
      <c r="CE171" s="1">
        <v>1</v>
      </c>
      <c r="CF171" s="1" t="s">
        <v>109</v>
      </c>
      <c r="CG171" s="1">
        <v>1</v>
      </c>
      <c r="CH171" s="1" t="s">
        <v>109</v>
      </c>
      <c r="CI171" s="1" t="s">
        <v>109</v>
      </c>
      <c r="CJ171" s="1" t="s">
        <v>109</v>
      </c>
      <c r="CK171" s="1"/>
      <c r="CL171" s="1">
        <v>0</v>
      </c>
      <c r="CM171" s="1">
        <v>0</v>
      </c>
      <c r="CN171" s="1">
        <v>0</v>
      </c>
    </row>
    <row r="172" spans="1:92" ht="14.25" customHeight="1" x14ac:dyDescent="0.15">
      <c r="A172" s="1" t="s">
        <v>1714</v>
      </c>
      <c r="B172" s="1" t="s">
        <v>674</v>
      </c>
      <c r="C172" s="1" t="s">
        <v>1715</v>
      </c>
      <c r="D172" s="1" t="s">
        <v>158</v>
      </c>
      <c r="E172" s="1" t="s">
        <v>1716</v>
      </c>
      <c r="F172" s="1" t="s">
        <v>277</v>
      </c>
      <c r="G172" s="1" t="s">
        <v>141</v>
      </c>
      <c r="H172" s="1">
        <v>0</v>
      </c>
      <c r="I172" s="1" t="s">
        <v>397</v>
      </c>
      <c r="J172" s="1"/>
      <c r="K172" s="1"/>
      <c r="L172" s="1" t="s">
        <v>1717</v>
      </c>
      <c r="M172" s="1" t="s">
        <v>211</v>
      </c>
      <c r="N172" s="1">
        <v>0</v>
      </c>
      <c r="O172" s="1">
        <v>0</v>
      </c>
      <c r="P172" s="1" t="s">
        <v>103</v>
      </c>
      <c r="Q172" s="1" t="s">
        <v>268</v>
      </c>
      <c r="R172" s="1" t="s">
        <v>1718</v>
      </c>
      <c r="S172" s="1" t="s">
        <v>1719</v>
      </c>
      <c r="T172" s="1" t="s">
        <v>107</v>
      </c>
      <c r="U172" s="1" t="s">
        <v>1720</v>
      </c>
      <c r="V172" s="1">
        <v>1</v>
      </c>
      <c r="W172" s="1">
        <v>1</v>
      </c>
      <c r="X172" s="1">
        <v>0</v>
      </c>
      <c r="Y172" s="1">
        <v>0</v>
      </c>
      <c r="Z172" s="1">
        <v>0</v>
      </c>
      <c r="AA172" s="1">
        <v>5</v>
      </c>
      <c r="AB172" s="1">
        <v>5</v>
      </c>
      <c r="AC172" s="1" t="s">
        <v>109</v>
      </c>
      <c r="AD172" s="1" t="s">
        <v>109</v>
      </c>
      <c r="AE172" s="1" t="s">
        <v>109</v>
      </c>
      <c r="AF172" s="1">
        <v>5</v>
      </c>
      <c r="AG172" s="1" t="s">
        <v>109</v>
      </c>
      <c r="AH172" s="1">
        <v>5</v>
      </c>
      <c r="AI172" s="1" t="s">
        <v>109</v>
      </c>
      <c r="AJ172" s="1" t="s">
        <v>109</v>
      </c>
      <c r="AK172" s="1" t="s">
        <v>109</v>
      </c>
      <c r="AL172" s="1" t="s">
        <v>109</v>
      </c>
      <c r="AM172" s="1" t="s">
        <v>109</v>
      </c>
      <c r="AN172" s="1" t="s">
        <v>109</v>
      </c>
      <c r="AO172" s="1" t="s">
        <v>109</v>
      </c>
      <c r="AP172" s="1"/>
      <c r="AQ172" s="1">
        <v>5</v>
      </c>
      <c r="AR172" s="1" t="s">
        <v>1721</v>
      </c>
      <c r="AS172" s="1" t="s">
        <v>1722</v>
      </c>
      <c r="AT172" s="1">
        <v>0</v>
      </c>
      <c r="AU172" s="1">
        <v>0</v>
      </c>
      <c r="AV172" s="1">
        <v>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1</v>
      </c>
      <c r="BN172" s="1">
        <v>0</v>
      </c>
      <c r="BO172" s="1">
        <v>0</v>
      </c>
      <c r="BP172" s="1">
        <v>0</v>
      </c>
      <c r="BQ172" s="1">
        <v>0</v>
      </c>
      <c r="BR172" s="1">
        <v>0</v>
      </c>
      <c r="BS172" s="5" t="str">
        <f>HYPERLINK("http://www.d20pfsrd.com/magic/all-spells/d/dream","Dream")</f>
        <v>Dream</v>
      </c>
      <c r="BT172" s="1">
        <v>171</v>
      </c>
      <c r="BU172" s="1" t="s">
        <v>109</v>
      </c>
      <c r="BV172" s="1" t="s">
        <v>1723</v>
      </c>
      <c r="BW172" s="1" t="s">
        <v>1724</v>
      </c>
      <c r="BX172" s="1" t="s">
        <v>1725</v>
      </c>
      <c r="BY172" s="1"/>
      <c r="BZ172" s="1">
        <v>1</v>
      </c>
      <c r="CA172" s="1" t="s">
        <v>109</v>
      </c>
      <c r="CB172" s="1" t="s">
        <v>109</v>
      </c>
      <c r="CC172" s="1">
        <v>4</v>
      </c>
      <c r="CD172" s="1" t="s">
        <v>109</v>
      </c>
      <c r="CE172" s="1">
        <v>4</v>
      </c>
      <c r="CF172" s="1" t="s">
        <v>109</v>
      </c>
      <c r="CG172" s="1">
        <v>5</v>
      </c>
      <c r="CH172" s="1" t="s">
        <v>109</v>
      </c>
      <c r="CI172" s="1" t="s">
        <v>109</v>
      </c>
      <c r="CJ172" s="1" t="s">
        <v>109</v>
      </c>
      <c r="CK172" s="1"/>
      <c r="CL172" s="1">
        <v>0</v>
      </c>
      <c r="CM172" s="1">
        <v>0</v>
      </c>
      <c r="CN172" s="1">
        <v>0</v>
      </c>
    </row>
    <row r="173" spans="1:92" ht="14.25" customHeight="1" x14ac:dyDescent="0.15">
      <c r="A173" s="1" t="s">
        <v>1726</v>
      </c>
      <c r="B173" s="1" t="s">
        <v>189</v>
      </c>
      <c r="C173" s="1"/>
      <c r="D173" s="1"/>
      <c r="E173" s="1" t="s">
        <v>1727</v>
      </c>
      <c r="F173" s="1" t="s">
        <v>98</v>
      </c>
      <c r="G173" s="1" t="s">
        <v>1728</v>
      </c>
      <c r="H173" s="1">
        <v>0</v>
      </c>
      <c r="I173" s="1" t="s">
        <v>161</v>
      </c>
      <c r="J173" s="1"/>
      <c r="K173" s="1"/>
      <c r="L173" s="1" t="s">
        <v>506</v>
      </c>
      <c r="M173" s="1" t="s">
        <v>164</v>
      </c>
      <c r="N173" s="1">
        <v>0</v>
      </c>
      <c r="O173" s="1">
        <v>0</v>
      </c>
      <c r="P173" s="1" t="s">
        <v>507</v>
      </c>
      <c r="Q173" s="1" t="s">
        <v>268</v>
      </c>
      <c r="R173" s="1" t="s">
        <v>1729</v>
      </c>
      <c r="S173" s="1" t="s">
        <v>1730</v>
      </c>
      <c r="T173" s="1" t="s">
        <v>107</v>
      </c>
      <c r="U173" s="1" t="s">
        <v>1731</v>
      </c>
      <c r="V173" s="1">
        <v>1</v>
      </c>
      <c r="W173" s="1">
        <v>1</v>
      </c>
      <c r="X173" s="1">
        <v>1</v>
      </c>
      <c r="Y173" s="1">
        <v>0</v>
      </c>
      <c r="Z173" s="1">
        <v>1</v>
      </c>
      <c r="AA173" s="1">
        <v>2</v>
      </c>
      <c r="AB173" s="1">
        <v>2</v>
      </c>
      <c r="AC173" s="1">
        <v>2</v>
      </c>
      <c r="AD173" s="1" t="s">
        <v>109</v>
      </c>
      <c r="AE173" s="1" t="s">
        <v>109</v>
      </c>
      <c r="AF173" s="1">
        <v>2</v>
      </c>
      <c r="AG173" s="1">
        <v>2</v>
      </c>
      <c r="AH173" s="1">
        <v>2</v>
      </c>
      <c r="AI173" s="1">
        <v>2</v>
      </c>
      <c r="AJ173" s="1" t="s">
        <v>109</v>
      </c>
      <c r="AK173" s="1" t="s">
        <v>109</v>
      </c>
      <c r="AL173" s="1">
        <v>2</v>
      </c>
      <c r="AM173" s="1">
        <v>2</v>
      </c>
      <c r="AN173" s="1" t="s">
        <v>109</v>
      </c>
      <c r="AO173" s="1" t="s">
        <v>109</v>
      </c>
      <c r="AP173" s="1"/>
      <c r="AQ173" s="1">
        <v>2</v>
      </c>
      <c r="AR173" s="1"/>
      <c r="AS173" s="1" t="s">
        <v>1732</v>
      </c>
      <c r="AT173" s="1">
        <v>0</v>
      </c>
      <c r="AU173" s="1">
        <v>0</v>
      </c>
      <c r="AV173" s="1">
        <v>0</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5" t="str">
        <f>HYPERLINK("http://www.d20pfsrd.com/magic/all-spells/e/eagle-s-splendor","Eagle's Splendor")</f>
        <v>Eagle's Splendor</v>
      </c>
      <c r="BT173" s="1">
        <v>172</v>
      </c>
      <c r="BU173" s="1" t="s">
        <v>109</v>
      </c>
      <c r="BV173" s="1" t="s">
        <v>1733</v>
      </c>
      <c r="BW173" s="1"/>
      <c r="BX173" s="1"/>
      <c r="BY173" s="1"/>
      <c r="BZ173" s="1">
        <v>0</v>
      </c>
      <c r="CA173" s="1">
        <v>2</v>
      </c>
      <c r="CB173" s="1">
        <v>2</v>
      </c>
      <c r="CC173" s="1">
        <v>2</v>
      </c>
      <c r="CD173" s="1" t="s">
        <v>109</v>
      </c>
      <c r="CE173" s="1">
        <v>2</v>
      </c>
      <c r="CF173" s="1" t="s">
        <v>109</v>
      </c>
      <c r="CG173" s="1" t="s">
        <v>109</v>
      </c>
      <c r="CH173" s="1" t="s">
        <v>109</v>
      </c>
      <c r="CI173" s="1" t="s">
        <v>109</v>
      </c>
      <c r="CJ173" s="1" t="s">
        <v>109</v>
      </c>
      <c r="CK173" s="1"/>
      <c r="CL173" s="1">
        <v>0</v>
      </c>
      <c r="CM173" s="1">
        <v>0</v>
      </c>
      <c r="CN173" s="1">
        <v>0</v>
      </c>
    </row>
    <row r="174" spans="1:92" ht="14.25" customHeight="1" x14ac:dyDescent="0.15">
      <c r="A174" s="1" t="s">
        <v>1734</v>
      </c>
      <c r="B174" s="1" t="s">
        <v>189</v>
      </c>
      <c r="C174" s="1"/>
      <c r="D174" s="1"/>
      <c r="E174" s="1" t="s">
        <v>1735</v>
      </c>
      <c r="F174" s="1" t="s">
        <v>98</v>
      </c>
      <c r="G174" s="1" t="s">
        <v>1728</v>
      </c>
      <c r="H174" s="1">
        <v>0</v>
      </c>
      <c r="I174" s="1" t="s">
        <v>142</v>
      </c>
      <c r="J174" s="1"/>
      <c r="K174" s="1"/>
      <c r="L174" s="1" t="s">
        <v>1736</v>
      </c>
      <c r="M174" s="1" t="s">
        <v>164</v>
      </c>
      <c r="N174" s="1">
        <v>0</v>
      </c>
      <c r="O174" s="1">
        <v>0</v>
      </c>
      <c r="P174" s="1" t="s">
        <v>507</v>
      </c>
      <c r="Q174" s="1" t="s">
        <v>268</v>
      </c>
      <c r="R174" s="1" t="s">
        <v>1737</v>
      </c>
      <c r="S174" s="1" t="s">
        <v>1738</v>
      </c>
      <c r="T174" s="1" t="s">
        <v>107</v>
      </c>
      <c r="U174" s="1" t="s">
        <v>1739</v>
      </c>
      <c r="V174" s="1">
        <v>1</v>
      </c>
      <c r="W174" s="1">
        <v>1</v>
      </c>
      <c r="X174" s="1">
        <v>1</v>
      </c>
      <c r="Y174" s="1">
        <v>0</v>
      </c>
      <c r="Z174" s="1">
        <v>1</v>
      </c>
      <c r="AA174" s="1">
        <v>6</v>
      </c>
      <c r="AB174" s="1">
        <v>6</v>
      </c>
      <c r="AC174" s="1">
        <v>6</v>
      </c>
      <c r="AD174" s="1" t="s">
        <v>109</v>
      </c>
      <c r="AE174" s="1" t="s">
        <v>109</v>
      </c>
      <c r="AF174" s="1">
        <v>6</v>
      </c>
      <c r="AG174" s="1" t="s">
        <v>109</v>
      </c>
      <c r="AH174" s="1" t="s">
        <v>109</v>
      </c>
      <c r="AI174" s="1">
        <v>4</v>
      </c>
      <c r="AJ174" s="1" t="s">
        <v>109</v>
      </c>
      <c r="AK174" s="1" t="s">
        <v>109</v>
      </c>
      <c r="AL174" s="1">
        <v>6</v>
      </c>
      <c r="AM174" s="1" t="s">
        <v>109</v>
      </c>
      <c r="AN174" s="1" t="s">
        <v>109</v>
      </c>
      <c r="AO174" s="1" t="s">
        <v>109</v>
      </c>
      <c r="AP174" s="1"/>
      <c r="AQ174" s="1">
        <v>6</v>
      </c>
      <c r="AR174" s="1"/>
      <c r="AS174" s="1" t="s">
        <v>1740</v>
      </c>
      <c r="AT174" s="1">
        <v>0</v>
      </c>
      <c r="AU174" s="1">
        <v>0</v>
      </c>
      <c r="AV174" s="1">
        <v>0</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5" t="str">
        <f>HYPERLINK("http://www.d20pfsrd.com/magic/all-spells/e/eagle-s-splendor","Eagle's Splendor, Mass")</f>
        <v>Eagle's Splendor, Mass</v>
      </c>
      <c r="BT174" s="1">
        <v>173</v>
      </c>
      <c r="BU174" s="1" t="s">
        <v>109</v>
      </c>
      <c r="BV174" s="1"/>
      <c r="BW174" s="1"/>
      <c r="BX174" s="1"/>
      <c r="BY174" s="1"/>
      <c r="BZ174" s="1">
        <v>0</v>
      </c>
      <c r="CA174" s="1" t="s">
        <v>109</v>
      </c>
      <c r="CB174" s="1">
        <v>6</v>
      </c>
      <c r="CC174" s="1">
        <v>6</v>
      </c>
      <c r="CD174" s="1" t="s">
        <v>109</v>
      </c>
      <c r="CE174" s="1" t="s">
        <v>109</v>
      </c>
      <c r="CF174" s="1" t="s">
        <v>109</v>
      </c>
      <c r="CG174" s="1" t="s">
        <v>109</v>
      </c>
      <c r="CH174" s="1" t="s">
        <v>109</v>
      </c>
      <c r="CI174" s="1" t="s">
        <v>109</v>
      </c>
      <c r="CJ174" s="1" t="s">
        <v>109</v>
      </c>
      <c r="CK174" s="1"/>
      <c r="CL174" s="1">
        <v>0</v>
      </c>
      <c r="CM174" s="1">
        <v>0</v>
      </c>
      <c r="CN174" s="1">
        <v>0</v>
      </c>
    </row>
    <row r="175" spans="1:92" ht="14.25" customHeight="1" x14ac:dyDescent="0.15">
      <c r="A175" s="1" t="s">
        <v>1741</v>
      </c>
      <c r="B175" s="1" t="s">
        <v>584</v>
      </c>
      <c r="C175" s="1"/>
      <c r="D175" s="1" t="s">
        <v>54</v>
      </c>
      <c r="E175" s="1" t="s">
        <v>1742</v>
      </c>
      <c r="F175" s="1" t="s">
        <v>98</v>
      </c>
      <c r="G175" s="1" t="s">
        <v>160</v>
      </c>
      <c r="H175" s="1">
        <v>0</v>
      </c>
      <c r="I175" s="1" t="s">
        <v>100</v>
      </c>
      <c r="J175" s="1" t="s">
        <v>1743</v>
      </c>
      <c r="K175" s="1"/>
      <c r="L175" s="1"/>
      <c r="M175" s="1" t="s">
        <v>355</v>
      </c>
      <c r="N175" s="1">
        <v>0</v>
      </c>
      <c r="O175" s="1">
        <v>1</v>
      </c>
      <c r="P175" s="1" t="s">
        <v>211</v>
      </c>
      <c r="Q175" s="1" t="s">
        <v>104</v>
      </c>
      <c r="R175" s="1" t="s">
        <v>1744</v>
      </c>
      <c r="S175" s="1" t="s">
        <v>1745</v>
      </c>
      <c r="T175" s="1" t="s">
        <v>107</v>
      </c>
      <c r="U175" s="1" t="s">
        <v>1746</v>
      </c>
      <c r="V175" s="1">
        <v>1</v>
      </c>
      <c r="W175" s="1">
        <v>1</v>
      </c>
      <c r="X175" s="1">
        <v>0</v>
      </c>
      <c r="Y175" s="1">
        <v>0</v>
      </c>
      <c r="Z175" s="1">
        <v>1</v>
      </c>
      <c r="AA175" s="1" t="s">
        <v>109</v>
      </c>
      <c r="AB175" s="1" t="s">
        <v>109</v>
      </c>
      <c r="AC175" s="1">
        <v>8</v>
      </c>
      <c r="AD175" s="1">
        <v>8</v>
      </c>
      <c r="AE175" s="1" t="s">
        <v>109</v>
      </c>
      <c r="AF175" s="1" t="s">
        <v>109</v>
      </c>
      <c r="AG175" s="1" t="s">
        <v>109</v>
      </c>
      <c r="AH175" s="1" t="s">
        <v>109</v>
      </c>
      <c r="AI175" s="1" t="s">
        <v>109</v>
      </c>
      <c r="AJ175" s="1" t="s">
        <v>109</v>
      </c>
      <c r="AK175" s="1" t="s">
        <v>109</v>
      </c>
      <c r="AL175" s="1">
        <v>8</v>
      </c>
      <c r="AM175" s="1" t="s">
        <v>109</v>
      </c>
      <c r="AN175" s="1" t="s">
        <v>109</v>
      </c>
      <c r="AO175" s="1" t="s">
        <v>109</v>
      </c>
      <c r="AP175" s="1"/>
      <c r="AQ175" s="1">
        <v>8</v>
      </c>
      <c r="AR175" s="1" t="s">
        <v>1747</v>
      </c>
      <c r="AS175" s="1" t="s">
        <v>1748</v>
      </c>
      <c r="AT175" s="1">
        <v>0</v>
      </c>
      <c r="AU175" s="1">
        <v>0</v>
      </c>
      <c r="AV175" s="1">
        <v>0</v>
      </c>
      <c r="AW175" s="1">
        <v>0</v>
      </c>
      <c r="AX175" s="1">
        <v>0</v>
      </c>
      <c r="AY175" s="1">
        <v>0</v>
      </c>
      <c r="AZ175" s="1">
        <v>0</v>
      </c>
      <c r="BA175" s="1">
        <v>0</v>
      </c>
      <c r="BB175" s="1">
        <v>1</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5" t="str">
        <f>HYPERLINK("http://www.d20pfsrd.com/magic/all-spells/e/earthquake","Earthquake")</f>
        <v>Earthquake</v>
      </c>
      <c r="BT175" s="1">
        <v>174</v>
      </c>
      <c r="BU175" s="1" t="s">
        <v>109</v>
      </c>
      <c r="BV175" s="1" t="s">
        <v>1749</v>
      </c>
      <c r="BW175" s="1"/>
      <c r="BX175" s="1" t="s">
        <v>1750</v>
      </c>
      <c r="BY175" s="1" t="s">
        <v>1751</v>
      </c>
      <c r="BZ175" s="1">
        <v>1</v>
      </c>
      <c r="CA175" s="1" t="s">
        <v>109</v>
      </c>
      <c r="CB175" s="1">
        <v>8</v>
      </c>
      <c r="CC175" s="1">
        <v>8</v>
      </c>
      <c r="CD175" s="1" t="s">
        <v>109</v>
      </c>
      <c r="CE175" s="1" t="s">
        <v>109</v>
      </c>
      <c r="CF175" s="1" t="s">
        <v>109</v>
      </c>
      <c r="CG175" s="1" t="s">
        <v>109</v>
      </c>
      <c r="CH175" s="1" t="s">
        <v>109</v>
      </c>
      <c r="CI175" s="1" t="s">
        <v>109</v>
      </c>
      <c r="CJ175" s="1" t="s">
        <v>109</v>
      </c>
      <c r="CK175" s="1"/>
      <c r="CL175" s="1">
        <v>0</v>
      </c>
      <c r="CM175" s="1">
        <v>0</v>
      </c>
      <c r="CN175" s="1">
        <v>0</v>
      </c>
    </row>
    <row r="176" spans="1:92" ht="14.25" customHeight="1" x14ac:dyDescent="0.15">
      <c r="A176" s="1" t="s">
        <v>1752</v>
      </c>
      <c r="B176" s="1" t="s">
        <v>189</v>
      </c>
      <c r="C176" s="1" t="s">
        <v>231</v>
      </c>
      <c r="D176" s="1"/>
      <c r="E176" s="1" t="s">
        <v>530</v>
      </c>
      <c r="F176" s="1" t="s">
        <v>98</v>
      </c>
      <c r="G176" s="1" t="s">
        <v>1753</v>
      </c>
      <c r="H176" s="1">
        <v>0</v>
      </c>
      <c r="I176" s="1" t="s">
        <v>235</v>
      </c>
      <c r="J176" s="1"/>
      <c r="K176" s="1"/>
      <c r="L176" s="1" t="s">
        <v>236</v>
      </c>
      <c r="M176" s="1" t="s">
        <v>1754</v>
      </c>
      <c r="N176" s="1">
        <v>1</v>
      </c>
      <c r="O176" s="1">
        <v>0</v>
      </c>
      <c r="P176" s="1"/>
      <c r="Q176" s="1"/>
      <c r="R176" s="1" t="s">
        <v>1755</v>
      </c>
      <c r="S176" s="1" t="s">
        <v>1756</v>
      </c>
      <c r="T176" s="1" t="s">
        <v>107</v>
      </c>
      <c r="U176" s="1" t="s">
        <v>1757</v>
      </c>
      <c r="V176" s="1">
        <v>1</v>
      </c>
      <c r="W176" s="1">
        <v>1</v>
      </c>
      <c r="X176" s="1">
        <v>1</v>
      </c>
      <c r="Y176" s="1">
        <v>0</v>
      </c>
      <c r="Z176" s="1">
        <v>0</v>
      </c>
      <c r="AA176" s="1">
        <v>4</v>
      </c>
      <c r="AB176" s="1">
        <v>4</v>
      </c>
      <c r="AC176" s="1" t="s">
        <v>109</v>
      </c>
      <c r="AD176" s="1" t="s">
        <v>109</v>
      </c>
      <c r="AE176" s="1" t="s">
        <v>109</v>
      </c>
      <c r="AF176" s="1" t="s">
        <v>109</v>
      </c>
      <c r="AG176" s="1" t="s">
        <v>109</v>
      </c>
      <c r="AH176" s="1">
        <v>4</v>
      </c>
      <c r="AI176" s="1" t="s">
        <v>109</v>
      </c>
      <c r="AJ176" s="1" t="s">
        <v>109</v>
      </c>
      <c r="AK176" s="1" t="s">
        <v>109</v>
      </c>
      <c r="AL176" s="1" t="s">
        <v>109</v>
      </c>
      <c r="AM176" s="1" t="s">
        <v>109</v>
      </c>
      <c r="AN176" s="1">
        <v>4</v>
      </c>
      <c r="AO176" s="1" t="s">
        <v>109</v>
      </c>
      <c r="AP176" s="1"/>
      <c r="AQ176" s="1">
        <v>4</v>
      </c>
      <c r="AR176" s="1"/>
      <c r="AS176" s="1" t="s">
        <v>1758</v>
      </c>
      <c r="AT176" s="1">
        <v>0</v>
      </c>
      <c r="AU176" s="1">
        <v>0</v>
      </c>
      <c r="AV176" s="1">
        <v>0</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5" t="str">
        <f>HYPERLINK("http://www.d20pfsrd.com/magic/all-spells/e/elemental-body-i","Elemental Body I")</f>
        <v>Elemental Body I</v>
      </c>
      <c r="BT176" s="1">
        <v>175</v>
      </c>
      <c r="BU176" s="1" t="s">
        <v>109</v>
      </c>
      <c r="BV176" s="1" t="s">
        <v>1759</v>
      </c>
      <c r="BW176" s="1"/>
      <c r="BX176" s="1"/>
      <c r="BY176" s="1"/>
      <c r="BZ176" s="1">
        <v>0</v>
      </c>
      <c r="CA176" s="1">
        <v>4</v>
      </c>
      <c r="CB176" s="1" t="s">
        <v>109</v>
      </c>
      <c r="CC176" s="1" t="s">
        <v>109</v>
      </c>
      <c r="CD176" s="1" t="s">
        <v>109</v>
      </c>
      <c r="CE176" s="1" t="s">
        <v>109</v>
      </c>
      <c r="CF176" s="1" t="s">
        <v>109</v>
      </c>
      <c r="CG176" s="1" t="s">
        <v>109</v>
      </c>
      <c r="CH176" s="1" t="s">
        <v>109</v>
      </c>
      <c r="CI176" s="1" t="s">
        <v>109</v>
      </c>
      <c r="CJ176" s="1" t="s">
        <v>109</v>
      </c>
      <c r="CK176" s="1"/>
      <c r="CL176" s="1">
        <v>0</v>
      </c>
      <c r="CM176" s="1">
        <v>0</v>
      </c>
      <c r="CN176" s="1">
        <v>0</v>
      </c>
    </row>
    <row r="177" spans="1:92" ht="14.25" customHeight="1" x14ac:dyDescent="0.15">
      <c r="A177" s="1" t="s">
        <v>1760</v>
      </c>
      <c r="B177" s="1" t="s">
        <v>189</v>
      </c>
      <c r="C177" s="1" t="s">
        <v>231</v>
      </c>
      <c r="D177" s="1"/>
      <c r="E177" s="1" t="s">
        <v>537</v>
      </c>
      <c r="F177" s="1" t="s">
        <v>98</v>
      </c>
      <c r="G177" s="1" t="s">
        <v>1753</v>
      </c>
      <c r="H177" s="1">
        <v>0</v>
      </c>
      <c r="I177" s="1" t="s">
        <v>235</v>
      </c>
      <c r="J177" s="1"/>
      <c r="K177" s="1"/>
      <c r="L177" s="1" t="s">
        <v>236</v>
      </c>
      <c r="M177" s="1" t="s">
        <v>1754</v>
      </c>
      <c r="N177" s="1">
        <v>1</v>
      </c>
      <c r="O177" s="1">
        <v>0</v>
      </c>
      <c r="P177" s="1"/>
      <c r="Q177" s="1"/>
      <c r="R177" s="1" t="s">
        <v>1761</v>
      </c>
      <c r="S177" s="1" t="s">
        <v>1762</v>
      </c>
      <c r="T177" s="1" t="s">
        <v>107</v>
      </c>
      <c r="U177" s="1" t="s">
        <v>1763</v>
      </c>
      <c r="V177" s="1">
        <v>1</v>
      </c>
      <c r="W177" s="1">
        <v>1</v>
      </c>
      <c r="X177" s="1">
        <v>1</v>
      </c>
      <c r="Y177" s="1">
        <v>0</v>
      </c>
      <c r="Z177" s="1">
        <v>0</v>
      </c>
      <c r="AA177" s="1">
        <v>5</v>
      </c>
      <c r="AB177" s="1">
        <v>5</v>
      </c>
      <c r="AC177" s="1" t="s">
        <v>109</v>
      </c>
      <c r="AD177" s="1" t="s">
        <v>109</v>
      </c>
      <c r="AE177" s="1" t="s">
        <v>109</v>
      </c>
      <c r="AF177" s="1" t="s">
        <v>109</v>
      </c>
      <c r="AG177" s="1" t="s">
        <v>109</v>
      </c>
      <c r="AH177" s="1">
        <v>5</v>
      </c>
      <c r="AI177" s="1" t="s">
        <v>109</v>
      </c>
      <c r="AJ177" s="1" t="s">
        <v>109</v>
      </c>
      <c r="AK177" s="1" t="s">
        <v>109</v>
      </c>
      <c r="AL177" s="1" t="s">
        <v>109</v>
      </c>
      <c r="AM177" s="1" t="s">
        <v>109</v>
      </c>
      <c r="AN177" s="1">
        <v>5</v>
      </c>
      <c r="AO177" s="1" t="s">
        <v>109</v>
      </c>
      <c r="AP177" s="1"/>
      <c r="AQ177" s="1">
        <v>5</v>
      </c>
      <c r="AR177" s="1" t="s">
        <v>1764</v>
      </c>
      <c r="AS177" s="1" t="s">
        <v>1765</v>
      </c>
      <c r="AT177" s="1">
        <v>0</v>
      </c>
      <c r="AU177" s="1">
        <v>0</v>
      </c>
      <c r="AV177" s="1">
        <v>0</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5" t="str">
        <f>HYPERLINK("http://www.d20pfsrd.com/magic/all-spells/e/elemental-body-i#TOC-Elemental-Body-II","Elemental Body II")</f>
        <v>Elemental Body II</v>
      </c>
      <c r="BT177" s="1">
        <v>176</v>
      </c>
      <c r="BU177" s="1" t="s">
        <v>109</v>
      </c>
      <c r="BV177" s="1" t="s">
        <v>1766</v>
      </c>
      <c r="BW177" s="1"/>
      <c r="BX177" s="1"/>
      <c r="BY177" s="1"/>
      <c r="BZ177" s="1">
        <v>0</v>
      </c>
      <c r="CA177" s="1" t="s">
        <v>109</v>
      </c>
      <c r="CB177" s="1" t="s">
        <v>109</v>
      </c>
      <c r="CC177" s="1" t="s">
        <v>109</v>
      </c>
      <c r="CD177" s="1" t="s">
        <v>109</v>
      </c>
      <c r="CE177" s="1" t="s">
        <v>109</v>
      </c>
      <c r="CF177" s="1" t="s">
        <v>109</v>
      </c>
      <c r="CG177" s="1" t="s">
        <v>109</v>
      </c>
      <c r="CH177" s="1" t="s">
        <v>109</v>
      </c>
      <c r="CI177" s="1" t="s">
        <v>109</v>
      </c>
      <c r="CJ177" s="1" t="s">
        <v>109</v>
      </c>
      <c r="CK177" s="1"/>
      <c r="CL177" s="1">
        <v>0</v>
      </c>
      <c r="CM177" s="1">
        <v>0</v>
      </c>
      <c r="CN177" s="1">
        <v>0</v>
      </c>
    </row>
    <row r="178" spans="1:92" ht="14.25" customHeight="1" x14ac:dyDescent="0.15">
      <c r="A178" s="1" t="s">
        <v>1767</v>
      </c>
      <c r="B178" s="1" t="s">
        <v>189</v>
      </c>
      <c r="C178" s="1" t="s">
        <v>231</v>
      </c>
      <c r="D178" s="1"/>
      <c r="E178" s="1" t="s">
        <v>545</v>
      </c>
      <c r="F178" s="1" t="s">
        <v>98</v>
      </c>
      <c r="G178" s="1" t="s">
        <v>1753</v>
      </c>
      <c r="H178" s="1">
        <v>0</v>
      </c>
      <c r="I178" s="1" t="s">
        <v>235</v>
      </c>
      <c r="J178" s="1"/>
      <c r="K178" s="1"/>
      <c r="L178" s="1" t="s">
        <v>236</v>
      </c>
      <c r="M178" s="1" t="s">
        <v>1754</v>
      </c>
      <c r="N178" s="1">
        <v>1</v>
      </c>
      <c r="O178" s="1">
        <v>0</v>
      </c>
      <c r="P178" s="1"/>
      <c r="Q178" s="1"/>
      <c r="R178" s="1" t="s">
        <v>1768</v>
      </c>
      <c r="S178" s="1" t="s">
        <v>1769</v>
      </c>
      <c r="T178" s="1" t="s">
        <v>107</v>
      </c>
      <c r="U178" s="1" t="s">
        <v>1770</v>
      </c>
      <c r="V178" s="1">
        <v>1</v>
      </c>
      <c r="W178" s="1">
        <v>1</v>
      </c>
      <c r="X178" s="1">
        <v>1</v>
      </c>
      <c r="Y178" s="1">
        <v>0</v>
      </c>
      <c r="Z178" s="1">
        <v>0</v>
      </c>
      <c r="AA178" s="1">
        <v>6</v>
      </c>
      <c r="AB178" s="1">
        <v>6</v>
      </c>
      <c r="AC178" s="1" t="s">
        <v>109</v>
      </c>
      <c r="AD178" s="1" t="s">
        <v>109</v>
      </c>
      <c r="AE178" s="1" t="s">
        <v>109</v>
      </c>
      <c r="AF178" s="1" t="s">
        <v>109</v>
      </c>
      <c r="AG178" s="1" t="s">
        <v>109</v>
      </c>
      <c r="AH178" s="1">
        <v>6</v>
      </c>
      <c r="AI178" s="1" t="s">
        <v>109</v>
      </c>
      <c r="AJ178" s="1" t="s">
        <v>109</v>
      </c>
      <c r="AK178" s="1" t="s">
        <v>109</v>
      </c>
      <c r="AL178" s="1" t="s">
        <v>109</v>
      </c>
      <c r="AM178" s="1" t="s">
        <v>109</v>
      </c>
      <c r="AN178" s="1">
        <v>6</v>
      </c>
      <c r="AO178" s="1" t="s">
        <v>109</v>
      </c>
      <c r="AP178" s="1"/>
      <c r="AQ178" s="1">
        <v>6</v>
      </c>
      <c r="AR178" s="1"/>
      <c r="AS178" s="1" t="s">
        <v>1771</v>
      </c>
      <c r="AT178" s="1">
        <v>0</v>
      </c>
      <c r="AU178" s="1">
        <v>0</v>
      </c>
      <c r="AV178" s="1">
        <v>0</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5" t="str">
        <f>HYPERLINK("http://www.d20pfsrd.com/magic/all-spells/e/elemental-body-i#TOC-Elemental-Body-III","Elemental Body III")</f>
        <v>Elemental Body III</v>
      </c>
      <c r="BT178" s="1">
        <v>177</v>
      </c>
      <c r="BU178" s="1" t="s">
        <v>109</v>
      </c>
      <c r="BV178" s="1" t="s">
        <v>1772</v>
      </c>
      <c r="BW178" s="1" t="s">
        <v>1773</v>
      </c>
      <c r="BX178" s="1"/>
      <c r="BY178" s="1"/>
      <c r="BZ178" s="1">
        <v>0</v>
      </c>
      <c r="CA178" s="1" t="s">
        <v>109</v>
      </c>
      <c r="CB178" s="1" t="s">
        <v>109</v>
      </c>
      <c r="CC178" s="1" t="s">
        <v>109</v>
      </c>
      <c r="CD178" s="1" t="s">
        <v>109</v>
      </c>
      <c r="CE178" s="1" t="s">
        <v>109</v>
      </c>
      <c r="CF178" s="1" t="s">
        <v>109</v>
      </c>
      <c r="CG178" s="1" t="s">
        <v>109</v>
      </c>
      <c r="CH178" s="1" t="s">
        <v>109</v>
      </c>
      <c r="CI178" s="1" t="s">
        <v>109</v>
      </c>
      <c r="CJ178" s="1" t="s">
        <v>109</v>
      </c>
      <c r="CK178" s="1"/>
      <c r="CL178" s="1">
        <v>0</v>
      </c>
      <c r="CM178" s="1">
        <v>0</v>
      </c>
      <c r="CN178" s="1">
        <v>0</v>
      </c>
    </row>
    <row r="179" spans="1:92" ht="14.25" customHeight="1" x14ac:dyDescent="0.15">
      <c r="A179" s="1" t="s">
        <v>1774</v>
      </c>
      <c r="B179" s="1" t="s">
        <v>189</v>
      </c>
      <c r="C179" s="1" t="s">
        <v>231</v>
      </c>
      <c r="D179" s="1"/>
      <c r="E179" s="1" t="s">
        <v>1101</v>
      </c>
      <c r="F179" s="1" t="s">
        <v>98</v>
      </c>
      <c r="G179" s="1" t="s">
        <v>1753</v>
      </c>
      <c r="H179" s="1">
        <v>0</v>
      </c>
      <c r="I179" s="1" t="s">
        <v>235</v>
      </c>
      <c r="J179" s="1"/>
      <c r="K179" s="1"/>
      <c r="L179" s="1" t="s">
        <v>236</v>
      </c>
      <c r="M179" s="1" t="s">
        <v>1754</v>
      </c>
      <c r="N179" s="1">
        <v>1</v>
      </c>
      <c r="O179" s="1">
        <v>0</v>
      </c>
      <c r="P179" s="1"/>
      <c r="Q179" s="1"/>
      <c r="R179" s="1" t="s">
        <v>1775</v>
      </c>
      <c r="S179" s="1" t="s">
        <v>1776</v>
      </c>
      <c r="T179" s="1" t="s">
        <v>107</v>
      </c>
      <c r="U179" s="1" t="s">
        <v>1777</v>
      </c>
      <c r="V179" s="1">
        <v>1</v>
      </c>
      <c r="W179" s="1">
        <v>1</v>
      </c>
      <c r="X179" s="1">
        <v>1</v>
      </c>
      <c r="Y179" s="1">
        <v>0</v>
      </c>
      <c r="Z179" s="1">
        <v>0</v>
      </c>
      <c r="AA179" s="1">
        <v>7</v>
      </c>
      <c r="AB179" s="1">
        <v>7</v>
      </c>
      <c r="AC179" s="1" t="s">
        <v>109</v>
      </c>
      <c r="AD179" s="1" t="s">
        <v>109</v>
      </c>
      <c r="AE179" s="1" t="s">
        <v>109</v>
      </c>
      <c r="AF179" s="1" t="s">
        <v>109</v>
      </c>
      <c r="AG179" s="1" t="s">
        <v>109</v>
      </c>
      <c r="AH179" s="1" t="s">
        <v>109</v>
      </c>
      <c r="AI179" s="1" t="s">
        <v>109</v>
      </c>
      <c r="AJ179" s="1" t="s">
        <v>109</v>
      </c>
      <c r="AK179" s="1" t="s">
        <v>109</v>
      </c>
      <c r="AL179" s="1" t="s">
        <v>109</v>
      </c>
      <c r="AM179" s="1" t="s">
        <v>109</v>
      </c>
      <c r="AN179" s="1" t="s">
        <v>109</v>
      </c>
      <c r="AO179" s="1" t="s">
        <v>109</v>
      </c>
      <c r="AP179" s="1"/>
      <c r="AQ179" s="1">
        <v>7</v>
      </c>
      <c r="AR179" s="1" t="s">
        <v>1778</v>
      </c>
      <c r="AS179" s="1" t="s">
        <v>1779</v>
      </c>
      <c r="AT179" s="1">
        <v>0</v>
      </c>
      <c r="AU179" s="1">
        <v>0</v>
      </c>
      <c r="AV179" s="1">
        <v>0</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5" t="str">
        <f>HYPERLINK("http://www.d20pfsrd.com/magic/all-spells/e/elemental-body-i#TOC-Elemental-Body-IV","Elemental Body IV")</f>
        <v>Elemental Body IV</v>
      </c>
      <c r="BT179" s="1">
        <v>178</v>
      </c>
      <c r="BU179" s="1" t="s">
        <v>109</v>
      </c>
      <c r="BV179" s="1" t="s">
        <v>1780</v>
      </c>
      <c r="BW179" s="1" t="s">
        <v>1781</v>
      </c>
      <c r="BX179" s="1"/>
      <c r="BY179" s="1"/>
      <c r="BZ179" s="1">
        <v>0</v>
      </c>
      <c r="CA179" s="1" t="s">
        <v>109</v>
      </c>
      <c r="CB179" s="1" t="s">
        <v>109</v>
      </c>
      <c r="CC179" s="1" t="s">
        <v>109</v>
      </c>
      <c r="CD179" s="1" t="s">
        <v>109</v>
      </c>
      <c r="CE179" s="1" t="s">
        <v>109</v>
      </c>
      <c r="CF179" s="1" t="s">
        <v>109</v>
      </c>
      <c r="CG179" s="1" t="s">
        <v>109</v>
      </c>
      <c r="CH179" s="1" t="s">
        <v>109</v>
      </c>
      <c r="CI179" s="1" t="s">
        <v>109</v>
      </c>
      <c r="CJ179" s="1" t="s">
        <v>109</v>
      </c>
      <c r="CK179" s="1"/>
      <c r="CL179" s="1">
        <v>0</v>
      </c>
      <c r="CM179" s="1">
        <v>0</v>
      </c>
      <c r="CN179" s="1">
        <v>0</v>
      </c>
    </row>
    <row r="180" spans="1:92" ht="14.25" customHeight="1" x14ac:dyDescent="0.15">
      <c r="A180" s="1" t="s">
        <v>1782</v>
      </c>
      <c r="B180" s="1" t="s">
        <v>95</v>
      </c>
      <c r="C180" s="1" t="s">
        <v>1179</v>
      </c>
      <c r="D180" s="1" t="s">
        <v>211</v>
      </c>
      <c r="E180" s="1" t="s">
        <v>1783</v>
      </c>
      <c r="F180" s="1" t="s">
        <v>395</v>
      </c>
      <c r="G180" s="1" t="s">
        <v>141</v>
      </c>
      <c r="H180" s="1">
        <v>0</v>
      </c>
      <c r="I180" s="1" t="s">
        <v>122</v>
      </c>
      <c r="J180" s="1"/>
      <c r="K180" s="1" t="s">
        <v>1784</v>
      </c>
      <c r="L180" s="1"/>
      <c r="M180" s="1" t="s">
        <v>194</v>
      </c>
      <c r="N180" s="1">
        <v>1</v>
      </c>
      <c r="O180" s="1">
        <v>0</v>
      </c>
      <c r="P180" s="1" t="s">
        <v>103</v>
      </c>
      <c r="Q180" s="1" t="s">
        <v>104</v>
      </c>
      <c r="R180" s="1" t="s">
        <v>1785</v>
      </c>
      <c r="S180" s="1" t="s">
        <v>1786</v>
      </c>
      <c r="T180" s="1" t="s">
        <v>107</v>
      </c>
      <c r="U180" s="1" t="s">
        <v>1787</v>
      </c>
      <c r="V180" s="1">
        <v>1</v>
      </c>
      <c r="W180" s="1">
        <v>1</v>
      </c>
      <c r="X180" s="1">
        <v>0</v>
      </c>
      <c r="Y180" s="1">
        <v>0</v>
      </c>
      <c r="Z180" s="1">
        <v>0</v>
      </c>
      <c r="AA180" s="1" t="s">
        <v>109</v>
      </c>
      <c r="AB180" s="1" t="s">
        <v>109</v>
      </c>
      <c r="AC180" s="1" t="s">
        <v>109</v>
      </c>
      <c r="AD180" s="1">
        <v>9</v>
      </c>
      <c r="AE180" s="1" t="s">
        <v>109</v>
      </c>
      <c r="AF180" s="1" t="s">
        <v>109</v>
      </c>
      <c r="AG180" s="1" t="s">
        <v>109</v>
      </c>
      <c r="AH180" s="1" t="s">
        <v>109</v>
      </c>
      <c r="AI180" s="1" t="s">
        <v>109</v>
      </c>
      <c r="AJ180" s="1">
        <v>9</v>
      </c>
      <c r="AK180" s="1" t="s">
        <v>109</v>
      </c>
      <c r="AL180" s="1" t="s">
        <v>109</v>
      </c>
      <c r="AM180" s="1" t="s">
        <v>109</v>
      </c>
      <c r="AN180" s="1" t="s">
        <v>109</v>
      </c>
      <c r="AO180" s="1" t="s">
        <v>109</v>
      </c>
      <c r="AP180" s="1"/>
      <c r="AQ180" s="1">
        <v>9</v>
      </c>
      <c r="AR180" s="1" t="s">
        <v>1788</v>
      </c>
      <c r="AS180" s="1" t="s">
        <v>1789</v>
      </c>
      <c r="AT180" s="1">
        <v>0</v>
      </c>
      <c r="AU180" s="1">
        <v>0</v>
      </c>
      <c r="AV180" s="1">
        <v>0</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5" t="str">
        <f>HYPERLINK("http://www.d20pfsrd.com/magic/all-spells/e/elemental-swarm","Elemental Swarm")</f>
        <v>Elemental Swarm</v>
      </c>
      <c r="BT180" s="1">
        <v>179</v>
      </c>
      <c r="BU180" s="1" t="s">
        <v>109</v>
      </c>
      <c r="BV180" s="1" t="s">
        <v>1790</v>
      </c>
      <c r="BW180" s="1"/>
      <c r="BX180" s="1"/>
      <c r="BY180" s="1"/>
      <c r="BZ180" s="1">
        <v>0</v>
      </c>
      <c r="CA180" s="1" t="s">
        <v>109</v>
      </c>
      <c r="CB180" s="1">
        <v>9</v>
      </c>
      <c r="CC180" s="1" t="s">
        <v>109</v>
      </c>
      <c r="CD180" s="1" t="s">
        <v>109</v>
      </c>
      <c r="CE180" s="1" t="s">
        <v>109</v>
      </c>
      <c r="CF180" s="1" t="s">
        <v>109</v>
      </c>
      <c r="CG180" s="1" t="s">
        <v>109</v>
      </c>
      <c r="CH180" s="1" t="s">
        <v>109</v>
      </c>
      <c r="CI180" s="1" t="s">
        <v>109</v>
      </c>
      <c r="CJ180" s="1" t="s">
        <v>109</v>
      </c>
      <c r="CK180" s="1"/>
      <c r="CL180" s="1">
        <v>0</v>
      </c>
      <c r="CM180" s="1">
        <v>0</v>
      </c>
      <c r="CN180" s="1">
        <v>0</v>
      </c>
    </row>
    <row r="181" spans="1:92" ht="14.25" customHeight="1" x14ac:dyDescent="0.15">
      <c r="A181" s="1" t="s">
        <v>1791</v>
      </c>
      <c r="B181" s="1" t="s">
        <v>242</v>
      </c>
      <c r="C181" s="1"/>
      <c r="D181" s="1"/>
      <c r="E181" s="1" t="s">
        <v>1792</v>
      </c>
      <c r="F181" s="1" t="s">
        <v>98</v>
      </c>
      <c r="G181" s="1" t="s">
        <v>141</v>
      </c>
      <c r="H181" s="1">
        <v>0</v>
      </c>
      <c r="I181" s="1" t="s">
        <v>161</v>
      </c>
      <c r="J181" s="1"/>
      <c r="K181" s="1"/>
      <c r="L181" s="1" t="s">
        <v>506</v>
      </c>
      <c r="M181" s="1" t="s">
        <v>465</v>
      </c>
      <c r="N181" s="1">
        <v>0</v>
      </c>
      <c r="O181" s="1">
        <v>0</v>
      </c>
      <c r="P181" s="1" t="s">
        <v>507</v>
      </c>
      <c r="Q181" s="1" t="s">
        <v>167</v>
      </c>
      <c r="R181" s="1" t="s">
        <v>1793</v>
      </c>
      <c r="S181" s="1" t="s">
        <v>1794</v>
      </c>
      <c r="T181" s="1" t="s">
        <v>107</v>
      </c>
      <c r="U181" s="1" t="s">
        <v>1795</v>
      </c>
      <c r="V181" s="1">
        <v>1</v>
      </c>
      <c r="W181" s="1">
        <v>1</v>
      </c>
      <c r="X181" s="1">
        <v>0</v>
      </c>
      <c r="Y181" s="1">
        <v>0</v>
      </c>
      <c r="Z181" s="1">
        <v>0</v>
      </c>
      <c r="AA181" s="1">
        <v>1</v>
      </c>
      <c r="AB181" s="1">
        <v>1</v>
      </c>
      <c r="AC181" s="1">
        <v>1</v>
      </c>
      <c r="AD181" s="1">
        <v>1</v>
      </c>
      <c r="AE181" s="1">
        <v>1</v>
      </c>
      <c r="AF181" s="1" t="s">
        <v>109</v>
      </c>
      <c r="AG181" s="1">
        <v>1</v>
      </c>
      <c r="AH181" s="1">
        <v>1</v>
      </c>
      <c r="AI181" s="1">
        <v>1</v>
      </c>
      <c r="AJ181" s="1" t="s">
        <v>109</v>
      </c>
      <c r="AK181" s="1" t="s">
        <v>109</v>
      </c>
      <c r="AL181" s="1">
        <v>1</v>
      </c>
      <c r="AM181" s="1" t="s">
        <v>109</v>
      </c>
      <c r="AN181" s="1" t="s">
        <v>109</v>
      </c>
      <c r="AO181" s="1">
        <v>1</v>
      </c>
      <c r="AP181" s="1"/>
      <c r="AQ181" s="1">
        <v>1</v>
      </c>
      <c r="AR181" s="1" t="s">
        <v>1796</v>
      </c>
      <c r="AS181" s="1" t="s">
        <v>1797</v>
      </c>
      <c r="AT181" s="1">
        <v>0</v>
      </c>
      <c r="AU181" s="1">
        <v>0</v>
      </c>
      <c r="AV181" s="1">
        <v>0</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5" t="str">
        <f>HYPERLINK("http://www.d20pfsrd.com/magic/all-spells/e/endure-elements","Endure Elements")</f>
        <v>Endure Elements</v>
      </c>
      <c r="BT181" s="1">
        <v>180</v>
      </c>
      <c r="BU181" s="1" t="s">
        <v>109</v>
      </c>
      <c r="BV181" s="1" t="s">
        <v>1798</v>
      </c>
      <c r="BW181" s="1" t="s">
        <v>1799</v>
      </c>
      <c r="BX181" s="1" t="s">
        <v>1800</v>
      </c>
      <c r="BY181" s="1"/>
      <c r="BZ181" s="1">
        <v>1</v>
      </c>
      <c r="CA181" s="1">
        <v>1</v>
      </c>
      <c r="CB181" s="1">
        <v>1</v>
      </c>
      <c r="CC181" s="1">
        <v>1</v>
      </c>
      <c r="CD181" s="1" t="s">
        <v>109</v>
      </c>
      <c r="CE181" s="1" t="s">
        <v>109</v>
      </c>
      <c r="CF181" s="1" t="s">
        <v>109</v>
      </c>
      <c r="CG181" s="1">
        <v>1</v>
      </c>
      <c r="CH181" s="1" t="s">
        <v>109</v>
      </c>
      <c r="CI181" s="1" t="s">
        <v>109</v>
      </c>
      <c r="CJ181" s="1">
        <v>1</v>
      </c>
      <c r="CK181" s="1"/>
      <c r="CL181" s="1">
        <v>0</v>
      </c>
      <c r="CM181" s="1">
        <v>0</v>
      </c>
      <c r="CN181" s="1">
        <v>0</v>
      </c>
    </row>
    <row r="182" spans="1:92" ht="14.25" customHeight="1" x14ac:dyDescent="0.15">
      <c r="A182" s="1" t="s">
        <v>1801</v>
      </c>
      <c r="B182" s="1" t="s">
        <v>308</v>
      </c>
      <c r="C182" s="1"/>
      <c r="D182" s="1"/>
      <c r="E182" s="1" t="s">
        <v>1802</v>
      </c>
      <c r="F182" s="1" t="s">
        <v>98</v>
      </c>
      <c r="G182" s="1" t="s">
        <v>141</v>
      </c>
      <c r="H182" s="1">
        <v>0</v>
      </c>
      <c r="I182" s="1" t="s">
        <v>142</v>
      </c>
      <c r="J182" s="1"/>
      <c r="K182" s="1" t="s">
        <v>1803</v>
      </c>
      <c r="L182" s="1"/>
      <c r="M182" s="1" t="s">
        <v>144</v>
      </c>
      <c r="N182" s="1">
        <v>0</v>
      </c>
      <c r="O182" s="1">
        <v>0</v>
      </c>
      <c r="P182" s="1" t="s">
        <v>1804</v>
      </c>
      <c r="Q182" s="1" t="s">
        <v>268</v>
      </c>
      <c r="R182" s="1" t="s">
        <v>1805</v>
      </c>
      <c r="S182" s="1" t="s">
        <v>1806</v>
      </c>
      <c r="T182" s="1" t="s">
        <v>107</v>
      </c>
      <c r="U182" s="1" t="s">
        <v>1807</v>
      </c>
      <c r="V182" s="1">
        <v>1</v>
      </c>
      <c r="W182" s="1">
        <v>1</v>
      </c>
      <c r="X182" s="1">
        <v>0</v>
      </c>
      <c r="Y182" s="1">
        <v>0</v>
      </c>
      <c r="Z182" s="1">
        <v>0</v>
      </c>
      <c r="AA182" s="1">
        <v>9</v>
      </c>
      <c r="AB182" s="1">
        <v>9</v>
      </c>
      <c r="AC182" s="1">
        <v>9</v>
      </c>
      <c r="AD182" s="1" t="s">
        <v>109</v>
      </c>
      <c r="AE182" s="1" t="s">
        <v>109</v>
      </c>
      <c r="AF182" s="1" t="s">
        <v>109</v>
      </c>
      <c r="AG182" s="1" t="s">
        <v>109</v>
      </c>
      <c r="AH182" s="1" t="s">
        <v>109</v>
      </c>
      <c r="AI182" s="1" t="s">
        <v>109</v>
      </c>
      <c r="AJ182" s="1" t="s">
        <v>109</v>
      </c>
      <c r="AK182" s="1" t="s">
        <v>109</v>
      </c>
      <c r="AL182" s="1">
        <v>9</v>
      </c>
      <c r="AM182" s="1" t="s">
        <v>109</v>
      </c>
      <c r="AN182" s="1" t="s">
        <v>109</v>
      </c>
      <c r="AO182" s="1" t="s">
        <v>109</v>
      </c>
      <c r="AP182" s="1"/>
      <c r="AQ182" s="1">
        <v>9</v>
      </c>
      <c r="AR182" s="1" t="s">
        <v>1808</v>
      </c>
      <c r="AS182" s="1" t="s">
        <v>1809</v>
      </c>
      <c r="AT182" s="1">
        <v>0</v>
      </c>
      <c r="AU182" s="1">
        <v>0</v>
      </c>
      <c r="AV182" s="1">
        <v>0</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5" t="str">
        <f>HYPERLINK("http://www.d20pfsrd.com/magic/all-spells/e/energy-drain","Energy Drain")</f>
        <v>Energy Drain</v>
      </c>
      <c r="BT182" s="1">
        <v>181</v>
      </c>
      <c r="BU182" s="1" t="s">
        <v>109</v>
      </c>
      <c r="BV182" s="1" t="s">
        <v>1810</v>
      </c>
      <c r="BW182" s="1" t="s">
        <v>1811</v>
      </c>
      <c r="BX182" s="1"/>
      <c r="BY182" s="1"/>
      <c r="BZ182" s="1">
        <v>0</v>
      </c>
      <c r="CA182" s="1" t="s">
        <v>109</v>
      </c>
      <c r="CB182" s="1">
        <v>9</v>
      </c>
      <c r="CC182" s="1" t="s">
        <v>109</v>
      </c>
      <c r="CD182" s="1" t="s">
        <v>109</v>
      </c>
      <c r="CE182" s="1" t="s">
        <v>109</v>
      </c>
      <c r="CF182" s="1" t="s">
        <v>109</v>
      </c>
      <c r="CG182" s="1" t="s">
        <v>109</v>
      </c>
      <c r="CH182" s="1" t="s">
        <v>109</v>
      </c>
      <c r="CI182" s="1" t="s">
        <v>109</v>
      </c>
      <c r="CJ182" s="1" t="s">
        <v>109</v>
      </c>
      <c r="CK182" s="1"/>
      <c r="CL182" s="1">
        <v>0</v>
      </c>
      <c r="CM182" s="1">
        <v>0</v>
      </c>
      <c r="CN182" s="1">
        <v>0</v>
      </c>
    </row>
    <row r="183" spans="1:92" ht="14.25" customHeight="1" x14ac:dyDescent="0.15">
      <c r="A183" s="1" t="s">
        <v>1812</v>
      </c>
      <c r="B183" s="1" t="s">
        <v>308</v>
      </c>
      <c r="C183" s="1"/>
      <c r="D183" s="1"/>
      <c r="E183" s="1" t="s">
        <v>1813</v>
      </c>
      <c r="F183" s="1" t="s">
        <v>98</v>
      </c>
      <c r="G183" s="1" t="s">
        <v>141</v>
      </c>
      <c r="H183" s="1">
        <v>0</v>
      </c>
      <c r="I183" s="1" t="s">
        <v>142</v>
      </c>
      <c r="J183" s="1"/>
      <c r="K183" s="1" t="s">
        <v>1803</v>
      </c>
      <c r="L183" s="1"/>
      <c r="M183" s="1" t="s">
        <v>144</v>
      </c>
      <c r="N183" s="1">
        <v>0</v>
      </c>
      <c r="O183" s="1">
        <v>0</v>
      </c>
      <c r="P183" s="1" t="s">
        <v>103</v>
      </c>
      <c r="Q183" s="1" t="s">
        <v>268</v>
      </c>
      <c r="R183" s="1" t="s">
        <v>1814</v>
      </c>
      <c r="S183" s="1" t="s">
        <v>1815</v>
      </c>
      <c r="T183" s="1" t="s">
        <v>107</v>
      </c>
      <c r="U183" s="1" t="s">
        <v>1816</v>
      </c>
      <c r="V183" s="1">
        <v>1</v>
      </c>
      <c r="W183" s="1">
        <v>1</v>
      </c>
      <c r="X183" s="1">
        <v>0</v>
      </c>
      <c r="Y183" s="1">
        <v>0</v>
      </c>
      <c r="Z183" s="1">
        <v>0</v>
      </c>
      <c r="AA183" s="1">
        <v>4</v>
      </c>
      <c r="AB183" s="1">
        <v>4</v>
      </c>
      <c r="AC183" s="1" t="s">
        <v>109</v>
      </c>
      <c r="AD183" s="1" t="s">
        <v>109</v>
      </c>
      <c r="AE183" s="1" t="s">
        <v>109</v>
      </c>
      <c r="AF183" s="1" t="s">
        <v>109</v>
      </c>
      <c r="AG183" s="1" t="s">
        <v>109</v>
      </c>
      <c r="AH183" s="1" t="s">
        <v>109</v>
      </c>
      <c r="AI183" s="1" t="s">
        <v>109</v>
      </c>
      <c r="AJ183" s="1">
        <v>4</v>
      </c>
      <c r="AK183" s="1" t="s">
        <v>109</v>
      </c>
      <c r="AL183" s="1" t="s">
        <v>109</v>
      </c>
      <c r="AM183" s="1" t="s">
        <v>109</v>
      </c>
      <c r="AN183" s="1" t="s">
        <v>109</v>
      </c>
      <c r="AO183" s="1" t="s">
        <v>109</v>
      </c>
      <c r="AP183" s="1"/>
      <c r="AQ183" s="1">
        <v>4</v>
      </c>
      <c r="AR183" s="1" t="s">
        <v>1817</v>
      </c>
      <c r="AS183" s="1" t="s">
        <v>1818</v>
      </c>
      <c r="AT183" s="1">
        <v>0</v>
      </c>
      <c r="AU183" s="1">
        <v>0</v>
      </c>
      <c r="AV183" s="1">
        <v>0</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5" t="str">
        <f>HYPERLINK("http://www.d20pfsrd.com/magic/all-spells/e/enervation","Enervation")</f>
        <v>Enervation</v>
      </c>
      <c r="BT183" s="1">
        <v>182</v>
      </c>
      <c r="BU183" s="1" t="s">
        <v>109</v>
      </c>
      <c r="BV183" s="1"/>
      <c r="BW183" s="1"/>
      <c r="BX183" s="1" t="s">
        <v>1819</v>
      </c>
      <c r="BY183" s="1" t="s">
        <v>1820</v>
      </c>
      <c r="BZ183" s="1">
        <v>1</v>
      </c>
      <c r="CA183" s="1">
        <v>4</v>
      </c>
      <c r="CB183" s="1" t="s">
        <v>109</v>
      </c>
      <c r="CC183" s="1" t="s">
        <v>109</v>
      </c>
      <c r="CD183" s="1" t="s">
        <v>109</v>
      </c>
      <c r="CE183" s="1">
        <v>4</v>
      </c>
      <c r="CF183" s="1" t="s">
        <v>109</v>
      </c>
      <c r="CG183" s="1">
        <v>4</v>
      </c>
      <c r="CH183" s="1" t="s">
        <v>109</v>
      </c>
      <c r="CI183" s="1" t="s">
        <v>109</v>
      </c>
      <c r="CJ183" s="1" t="s">
        <v>109</v>
      </c>
      <c r="CK183" s="1"/>
      <c r="CL183" s="1">
        <v>0</v>
      </c>
      <c r="CM183" s="1">
        <v>0</v>
      </c>
      <c r="CN183" s="1">
        <v>0</v>
      </c>
    </row>
    <row r="184" spans="1:92" ht="14.25" customHeight="1" x14ac:dyDescent="0.15">
      <c r="A184" s="1" t="s">
        <v>1821</v>
      </c>
      <c r="B184" s="1" t="s">
        <v>189</v>
      </c>
      <c r="C184" s="1"/>
      <c r="D184" s="1"/>
      <c r="E184" s="1" t="s">
        <v>1822</v>
      </c>
      <c r="F184" s="1" t="s">
        <v>355</v>
      </c>
      <c r="G184" s="1" t="s">
        <v>1823</v>
      </c>
      <c r="H184" s="1">
        <v>0</v>
      </c>
      <c r="I184" s="1" t="s">
        <v>142</v>
      </c>
      <c r="J184" s="1"/>
      <c r="K184" s="1"/>
      <c r="L184" s="1" t="s">
        <v>836</v>
      </c>
      <c r="M184" s="1" t="s">
        <v>587</v>
      </c>
      <c r="N184" s="1">
        <v>1</v>
      </c>
      <c r="O184" s="1">
        <v>0</v>
      </c>
      <c r="P184" s="1" t="s">
        <v>267</v>
      </c>
      <c r="Q184" s="1" t="s">
        <v>268</v>
      </c>
      <c r="R184" s="1" t="s">
        <v>1824</v>
      </c>
      <c r="S184" s="1" t="s">
        <v>1825</v>
      </c>
      <c r="T184" s="1" t="s">
        <v>107</v>
      </c>
      <c r="U184" s="1" t="s">
        <v>1826</v>
      </c>
      <c r="V184" s="1">
        <v>1</v>
      </c>
      <c r="W184" s="1">
        <v>1</v>
      </c>
      <c r="X184" s="1">
        <v>1</v>
      </c>
      <c r="Y184" s="1">
        <v>0</v>
      </c>
      <c r="Z184" s="1">
        <v>0</v>
      </c>
      <c r="AA184" s="1">
        <v>1</v>
      </c>
      <c r="AB184" s="1">
        <v>1</v>
      </c>
      <c r="AC184" s="1" t="s">
        <v>109</v>
      </c>
      <c r="AD184" s="1" t="s">
        <v>109</v>
      </c>
      <c r="AE184" s="1" t="s">
        <v>109</v>
      </c>
      <c r="AF184" s="1" t="s">
        <v>109</v>
      </c>
      <c r="AG184" s="1" t="s">
        <v>109</v>
      </c>
      <c r="AH184" s="1">
        <v>1</v>
      </c>
      <c r="AI184" s="1">
        <v>1</v>
      </c>
      <c r="AJ184" s="1">
        <v>1</v>
      </c>
      <c r="AK184" s="1" t="s">
        <v>109</v>
      </c>
      <c r="AL184" s="1" t="s">
        <v>109</v>
      </c>
      <c r="AM184" s="1" t="s">
        <v>109</v>
      </c>
      <c r="AN184" s="1">
        <v>1</v>
      </c>
      <c r="AO184" s="1" t="s">
        <v>109</v>
      </c>
      <c r="AP184" s="1"/>
      <c r="AQ184" s="1">
        <v>1</v>
      </c>
      <c r="AR184" s="1" t="s">
        <v>1827</v>
      </c>
      <c r="AS184" s="1" t="s">
        <v>1828</v>
      </c>
      <c r="AT184" s="1">
        <v>0</v>
      </c>
      <c r="AU184" s="1">
        <v>0</v>
      </c>
      <c r="AV184" s="1">
        <v>0</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5" t="str">
        <f>HYPERLINK("http://www.d20pfsrd.com/magic/all-spells/e/enlarge-person","Enlarge Person")</f>
        <v>Enlarge Person</v>
      </c>
      <c r="BT184" s="1">
        <v>183</v>
      </c>
      <c r="BU184" s="1" t="s">
        <v>109</v>
      </c>
      <c r="BV184" s="1" t="s">
        <v>1829</v>
      </c>
      <c r="BW184" s="1"/>
      <c r="BX184" s="1" t="s">
        <v>1830</v>
      </c>
      <c r="BY184" s="1"/>
      <c r="BZ184" s="1">
        <v>1</v>
      </c>
      <c r="CA184" s="1">
        <v>1</v>
      </c>
      <c r="CB184" s="1" t="s">
        <v>109</v>
      </c>
      <c r="CC184" s="1">
        <v>1</v>
      </c>
      <c r="CD184" s="1" t="s">
        <v>109</v>
      </c>
      <c r="CE184" s="1" t="s">
        <v>109</v>
      </c>
      <c r="CF184" s="1">
        <v>1</v>
      </c>
      <c r="CG184" s="1" t="s">
        <v>109</v>
      </c>
      <c r="CH184" s="1" t="s">
        <v>109</v>
      </c>
      <c r="CI184" s="1" t="s">
        <v>109</v>
      </c>
      <c r="CJ184" s="1" t="s">
        <v>109</v>
      </c>
      <c r="CK184" s="1"/>
      <c r="CL184" s="1">
        <v>0</v>
      </c>
      <c r="CM184" s="1">
        <v>0</v>
      </c>
      <c r="CN184" s="1">
        <v>0</v>
      </c>
    </row>
    <row r="185" spans="1:92" ht="14.25" customHeight="1" x14ac:dyDescent="0.15">
      <c r="A185" s="1" t="s">
        <v>1831</v>
      </c>
      <c r="B185" s="1" t="s">
        <v>189</v>
      </c>
      <c r="C185" s="1"/>
      <c r="D185" s="1"/>
      <c r="E185" s="1" t="s">
        <v>1832</v>
      </c>
      <c r="F185" s="1" t="s">
        <v>355</v>
      </c>
      <c r="G185" s="1" t="s">
        <v>1823</v>
      </c>
      <c r="H185" s="1">
        <v>0</v>
      </c>
      <c r="I185" s="1" t="s">
        <v>142</v>
      </c>
      <c r="J185" s="1"/>
      <c r="K185" s="1"/>
      <c r="L185" s="1" t="s">
        <v>1833</v>
      </c>
      <c r="M185" s="1" t="s">
        <v>164</v>
      </c>
      <c r="N185" s="1">
        <v>1</v>
      </c>
      <c r="O185" s="1">
        <v>0</v>
      </c>
      <c r="P185" s="1" t="s">
        <v>267</v>
      </c>
      <c r="Q185" s="1" t="s">
        <v>268</v>
      </c>
      <c r="R185" s="1" t="s">
        <v>1834</v>
      </c>
      <c r="S185" s="1" t="s">
        <v>1835</v>
      </c>
      <c r="T185" s="1" t="s">
        <v>107</v>
      </c>
      <c r="U185" s="1" t="s">
        <v>1836</v>
      </c>
      <c r="V185" s="1">
        <v>1</v>
      </c>
      <c r="W185" s="1">
        <v>1</v>
      </c>
      <c r="X185" s="1">
        <v>1</v>
      </c>
      <c r="Y185" s="1">
        <v>0</v>
      </c>
      <c r="Z185" s="1">
        <v>0</v>
      </c>
      <c r="AA185" s="1">
        <v>4</v>
      </c>
      <c r="AB185" s="1">
        <v>4</v>
      </c>
      <c r="AC185" s="1" t="s">
        <v>109</v>
      </c>
      <c r="AD185" s="1" t="s">
        <v>109</v>
      </c>
      <c r="AE185" s="1" t="s">
        <v>109</v>
      </c>
      <c r="AF185" s="1" t="s">
        <v>109</v>
      </c>
      <c r="AG185" s="1" t="s">
        <v>109</v>
      </c>
      <c r="AH185" s="1" t="s">
        <v>109</v>
      </c>
      <c r="AI185" s="1">
        <v>3</v>
      </c>
      <c r="AJ185" s="1" t="s">
        <v>109</v>
      </c>
      <c r="AK185" s="1" t="s">
        <v>109</v>
      </c>
      <c r="AL185" s="1" t="s">
        <v>109</v>
      </c>
      <c r="AM185" s="1" t="s">
        <v>109</v>
      </c>
      <c r="AN185" s="1" t="s">
        <v>109</v>
      </c>
      <c r="AO185" s="1" t="s">
        <v>109</v>
      </c>
      <c r="AP185" s="1"/>
      <c r="AQ185" s="1">
        <v>4</v>
      </c>
      <c r="AR185" s="1"/>
      <c r="AS185" s="1" t="s">
        <v>1837</v>
      </c>
      <c r="AT185" s="1">
        <v>0</v>
      </c>
      <c r="AU185" s="1">
        <v>0</v>
      </c>
      <c r="AV185" s="1">
        <v>0</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5" t="str">
        <f>HYPERLINK("http://www.d20pfsrd.com/magic/all-spells/e/enlarge-person","Enlarge Person, Mass")</f>
        <v>Enlarge Person, Mass</v>
      </c>
      <c r="BT185" s="1">
        <v>184</v>
      </c>
      <c r="BU185" s="1" t="s">
        <v>109</v>
      </c>
      <c r="BV185" s="1"/>
      <c r="BW185" s="1"/>
      <c r="BX185" s="1"/>
      <c r="BY185" s="1"/>
      <c r="BZ185" s="1">
        <v>0</v>
      </c>
      <c r="CA185" s="1">
        <v>4</v>
      </c>
      <c r="CB185" s="1" t="s">
        <v>109</v>
      </c>
      <c r="CC185" s="1">
        <v>4</v>
      </c>
      <c r="CD185" s="1" t="s">
        <v>109</v>
      </c>
      <c r="CE185" s="1" t="s">
        <v>109</v>
      </c>
      <c r="CF185" s="1" t="s">
        <v>109</v>
      </c>
      <c r="CG185" s="1" t="s">
        <v>109</v>
      </c>
      <c r="CH185" s="1" t="s">
        <v>109</v>
      </c>
      <c r="CI185" s="1" t="s">
        <v>109</v>
      </c>
      <c r="CJ185" s="1" t="s">
        <v>109</v>
      </c>
      <c r="CK185" s="1"/>
      <c r="CL185" s="1">
        <v>0</v>
      </c>
      <c r="CM185" s="1">
        <v>0</v>
      </c>
      <c r="CN185" s="1">
        <v>0</v>
      </c>
    </row>
    <row r="186" spans="1:92" ht="14.25" customHeight="1" x14ac:dyDescent="0.15">
      <c r="A186" s="1" t="s">
        <v>1838</v>
      </c>
      <c r="B186" s="1" t="s">
        <v>189</v>
      </c>
      <c r="C186" s="1"/>
      <c r="D186" s="1"/>
      <c r="E186" s="1" t="s">
        <v>1839</v>
      </c>
      <c r="F186" s="1" t="s">
        <v>98</v>
      </c>
      <c r="G186" s="1" t="s">
        <v>160</v>
      </c>
      <c r="H186" s="1">
        <v>0</v>
      </c>
      <c r="I186" s="1" t="s">
        <v>100</v>
      </c>
      <c r="J186" s="1" t="s">
        <v>1840</v>
      </c>
      <c r="K186" s="1"/>
      <c r="L186" s="1"/>
      <c r="M186" s="1" t="s">
        <v>587</v>
      </c>
      <c r="N186" s="1">
        <v>1</v>
      </c>
      <c r="O186" s="1">
        <v>0</v>
      </c>
      <c r="P186" s="1" t="s">
        <v>1841</v>
      </c>
      <c r="Q186" s="1" t="s">
        <v>104</v>
      </c>
      <c r="R186" s="1" t="s">
        <v>1842</v>
      </c>
      <c r="S186" s="1" t="s">
        <v>1843</v>
      </c>
      <c r="T186" s="1" t="s">
        <v>107</v>
      </c>
      <c r="U186" s="1" t="s">
        <v>1844</v>
      </c>
      <c r="V186" s="1">
        <v>1</v>
      </c>
      <c r="W186" s="1">
        <v>1</v>
      </c>
      <c r="X186" s="1">
        <v>0</v>
      </c>
      <c r="Y186" s="1">
        <v>0</v>
      </c>
      <c r="Z186" s="1">
        <v>1</v>
      </c>
      <c r="AA186" s="1" t="s">
        <v>109</v>
      </c>
      <c r="AB186" s="1" t="s">
        <v>109</v>
      </c>
      <c r="AC186" s="1" t="s">
        <v>109</v>
      </c>
      <c r="AD186" s="1">
        <v>1</v>
      </c>
      <c r="AE186" s="1">
        <v>1</v>
      </c>
      <c r="AF186" s="1" t="s">
        <v>109</v>
      </c>
      <c r="AG186" s="1" t="s">
        <v>109</v>
      </c>
      <c r="AH186" s="1" t="s">
        <v>109</v>
      </c>
      <c r="AI186" s="1" t="s">
        <v>109</v>
      </c>
      <c r="AJ186" s="1" t="s">
        <v>109</v>
      </c>
      <c r="AK186" s="1" t="s">
        <v>109</v>
      </c>
      <c r="AL186" s="1" t="s">
        <v>109</v>
      </c>
      <c r="AM186" s="1" t="s">
        <v>109</v>
      </c>
      <c r="AN186" s="1" t="s">
        <v>109</v>
      </c>
      <c r="AO186" s="1" t="s">
        <v>109</v>
      </c>
      <c r="AP186" s="1"/>
      <c r="AQ186" s="1">
        <v>1</v>
      </c>
      <c r="AR186" s="1" t="s">
        <v>1845</v>
      </c>
      <c r="AS186" s="1" t="s">
        <v>1846</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5" t="str">
        <f>HYPERLINK("http://www.d20pfsrd.com/magic/all-spells/e/entangle","Entangle")</f>
        <v>Entangle</v>
      </c>
      <c r="BT186" s="1">
        <v>185</v>
      </c>
      <c r="BU186" s="1" t="s">
        <v>109</v>
      </c>
      <c r="BV186" s="1" t="s">
        <v>1847</v>
      </c>
      <c r="BW186" s="1" t="s">
        <v>1848</v>
      </c>
      <c r="BX186" s="1" t="s">
        <v>1849</v>
      </c>
      <c r="BY186" s="1"/>
      <c r="BZ186" s="1">
        <v>1</v>
      </c>
      <c r="CA186" s="1" t="s">
        <v>109</v>
      </c>
      <c r="CB186" s="1">
        <v>1</v>
      </c>
      <c r="CC186" s="1" t="s">
        <v>109</v>
      </c>
      <c r="CD186" s="1" t="s">
        <v>109</v>
      </c>
      <c r="CE186" s="1" t="s">
        <v>109</v>
      </c>
      <c r="CF186" s="1" t="s">
        <v>109</v>
      </c>
      <c r="CG186" s="1" t="s">
        <v>109</v>
      </c>
      <c r="CH186" s="1" t="s">
        <v>109</v>
      </c>
      <c r="CI186" s="1" t="s">
        <v>109</v>
      </c>
      <c r="CJ186" s="1">
        <v>1</v>
      </c>
      <c r="CK186" s="1"/>
      <c r="CL186" s="1">
        <v>0</v>
      </c>
      <c r="CM186" s="1">
        <v>0</v>
      </c>
      <c r="CN186" s="1">
        <v>0</v>
      </c>
    </row>
    <row r="187" spans="1:92" ht="14.25" customHeight="1" x14ac:dyDescent="0.15">
      <c r="A187" s="1" t="s">
        <v>1850</v>
      </c>
      <c r="B187" s="1" t="s">
        <v>156</v>
      </c>
      <c r="C187" s="1" t="s">
        <v>834</v>
      </c>
      <c r="D187" s="1" t="s">
        <v>1851</v>
      </c>
      <c r="E187" s="1" t="s">
        <v>1852</v>
      </c>
      <c r="F187" s="1" t="s">
        <v>355</v>
      </c>
      <c r="G187" s="1" t="s">
        <v>141</v>
      </c>
      <c r="H187" s="1">
        <v>0</v>
      </c>
      <c r="I187" s="1" t="s">
        <v>122</v>
      </c>
      <c r="J187" s="1"/>
      <c r="K187" s="1"/>
      <c r="L187" s="1" t="s">
        <v>1853</v>
      </c>
      <c r="M187" s="1" t="s">
        <v>1854</v>
      </c>
      <c r="N187" s="1">
        <v>0</v>
      </c>
      <c r="O187" s="1">
        <v>0</v>
      </c>
      <c r="P187" s="1" t="s">
        <v>564</v>
      </c>
      <c r="Q187" s="1" t="s">
        <v>268</v>
      </c>
      <c r="R187" s="1" t="s">
        <v>1855</v>
      </c>
      <c r="S187" s="1" t="s">
        <v>1856</v>
      </c>
      <c r="T187" s="1" t="s">
        <v>107</v>
      </c>
      <c r="U187" s="1" t="s">
        <v>1857</v>
      </c>
      <c r="V187" s="1">
        <v>1</v>
      </c>
      <c r="W187" s="1">
        <v>1</v>
      </c>
      <c r="X187" s="1">
        <v>0</v>
      </c>
      <c r="Y187" s="1">
        <v>0</v>
      </c>
      <c r="Z187" s="1">
        <v>0</v>
      </c>
      <c r="AA187" s="1" t="s">
        <v>109</v>
      </c>
      <c r="AB187" s="1" t="s">
        <v>109</v>
      </c>
      <c r="AC187" s="1">
        <v>2</v>
      </c>
      <c r="AD187" s="1" t="s">
        <v>109</v>
      </c>
      <c r="AE187" s="1" t="s">
        <v>109</v>
      </c>
      <c r="AF187" s="1">
        <v>2</v>
      </c>
      <c r="AG187" s="1" t="s">
        <v>109</v>
      </c>
      <c r="AH187" s="1" t="s">
        <v>109</v>
      </c>
      <c r="AI187" s="1" t="s">
        <v>109</v>
      </c>
      <c r="AJ187" s="1">
        <v>2</v>
      </c>
      <c r="AK187" s="1">
        <v>2</v>
      </c>
      <c r="AL187" s="1">
        <v>2</v>
      </c>
      <c r="AM187" s="1" t="s">
        <v>109</v>
      </c>
      <c r="AN187" s="1" t="s">
        <v>109</v>
      </c>
      <c r="AO187" s="1" t="s">
        <v>109</v>
      </c>
      <c r="AP187" s="1"/>
      <c r="AQ187" s="1">
        <v>2</v>
      </c>
      <c r="AR187" s="1" t="s">
        <v>1858</v>
      </c>
      <c r="AS187" s="1" t="s">
        <v>1859</v>
      </c>
      <c r="AT187" s="1">
        <v>0</v>
      </c>
      <c r="AU187" s="1">
        <v>0</v>
      </c>
      <c r="AV187" s="1">
        <v>0</v>
      </c>
      <c r="AW187" s="1">
        <v>0</v>
      </c>
      <c r="AX187" s="1">
        <v>0</v>
      </c>
      <c r="AY187" s="1">
        <v>0</v>
      </c>
      <c r="AZ187" s="1">
        <v>0</v>
      </c>
      <c r="BA187" s="1">
        <v>0</v>
      </c>
      <c r="BB187" s="1">
        <v>0</v>
      </c>
      <c r="BC187" s="1">
        <v>0</v>
      </c>
      <c r="BD187" s="1">
        <v>0</v>
      </c>
      <c r="BE187" s="1">
        <v>0</v>
      </c>
      <c r="BF187" s="1">
        <v>0</v>
      </c>
      <c r="BG187" s="1">
        <v>0</v>
      </c>
      <c r="BH187" s="1">
        <v>0</v>
      </c>
      <c r="BI187" s="1">
        <v>0</v>
      </c>
      <c r="BJ187" s="1">
        <v>1</v>
      </c>
      <c r="BK187" s="1">
        <v>0</v>
      </c>
      <c r="BL187" s="1">
        <v>0</v>
      </c>
      <c r="BM187" s="1">
        <v>1</v>
      </c>
      <c r="BN187" s="1">
        <v>0</v>
      </c>
      <c r="BO187" s="1">
        <v>0</v>
      </c>
      <c r="BP187" s="1">
        <v>0</v>
      </c>
      <c r="BQ187" s="1">
        <v>1</v>
      </c>
      <c r="BR187" s="1">
        <v>0</v>
      </c>
      <c r="BS187" s="5" t="str">
        <f>HYPERLINK("http://www.d20pfsrd.com/magic/all-spells/e/enthrall","Enthrall")</f>
        <v>Enthrall</v>
      </c>
      <c r="BT187" s="1">
        <v>186</v>
      </c>
      <c r="BU187" s="1" t="s">
        <v>109</v>
      </c>
      <c r="BV187" s="1"/>
      <c r="BW187" s="1"/>
      <c r="BX187" s="1"/>
      <c r="BY187" s="1"/>
      <c r="BZ187" s="1">
        <v>0</v>
      </c>
      <c r="CA187" s="1" t="s">
        <v>109</v>
      </c>
      <c r="CB187" s="1">
        <v>2</v>
      </c>
      <c r="CC187" s="1">
        <v>2</v>
      </c>
      <c r="CD187" s="1" t="s">
        <v>109</v>
      </c>
      <c r="CE187" s="1">
        <v>2</v>
      </c>
      <c r="CF187" s="1" t="s">
        <v>109</v>
      </c>
      <c r="CG187" s="1" t="s">
        <v>109</v>
      </c>
      <c r="CH187" s="1" t="s">
        <v>109</v>
      </c>
      <c r="CI187" s="1" t="s">
        <v>109</v>
      </c>
      <c r="CJ187" s="1" t="s">
        <v>109</v>
      </c>
      <c r="CK187" s="1"/>
      <c r="CL187" s="1">
        <v>0</v>
      </c>
      <c r="CM187" s="1">
        <v>0</v>
      </c>
      <c r="CN187" s="1">
        <v>0</v>
      </c>
    </row>
    <row r="188" spans="1:92" ht="14.25" customHeight="1" x14ac:dyDescent="0.15">
      <c r="A188" s="1" t="s">
        <v>1860</v>
      </c>
      <c r="B188" s="1" t="s">
        <v>242</v>
      </c>
      <c r="C188" s="1"/>
      <c r="D188" s="1"/>
      <c r="E188" s="1" t="s">
        <v>1861</v>
      </c>
      <c r="F188" s="1" t="s">
        <v>98</v>
      </c>
      <c r="G188" s="1" t="s">
        <v>141</v>
      </c>
      <c r="H188" s="1">
        <v>0</v>
      </c>
      <c r="I188" s="1" t="s">
        <v>235</v>
      </c>
      <c r="J188" s="1"/>
      <c r="K188" s="1"/>
      <c r="L188" s="1" t="s">
        <v>236</v>
      </c>
      <c r="M188" s="1" t="s">
        <v>587</v>
      </c>
      <c r="N188" s="1">
        <v>1</v>
      </c>
      <c r="O188" s="1">
        <v>0</v>
      </c>
      <c r="P188" s="1"/>
      <c r="Q188" s="1"/>
      <c r="R188" s="1" t="s">
        <v>1862</v>
      </c>
      <c r="S188" s="1" t="s">
        <v>1863</v>
      </c>
      <c r="T188" s="1" t="s">
        <v>107</v>
      </c>
      <c r="U188" s="1" t="s">
        <v>1864</v>
      </c>
      <c r="V188" s="1">
        <v>1</v>
      </c>
      <c r="W188" s="1">
        <v>1</v>
      </c>
      <c r="X188" s="1">
        <v>0</v>
      </c>
      <c r="Y188" s="1">
        <v>0</v>
      </c>
      <c r="Z188" s="1">
        <v>0</v>
      </c>
      <c r="AA188" s="1" t="s">
        <v>109</v>
      </c>
      <c r="AB188" s="1" t="s">
        <v>109</v>
      </c>
      <c r="AC188" s="1">
        <v>1</v>
      </c>
      <c r="AD188" s="1" t="s">
        <v>109</v>
      </c>
      <c r="AE188" s="1" t="s">
        <v>109</v>
      </c>
      <c r="AF188" s="1" t="s">
        <v>109</v>
      </c>
      <c r="AG188" s="1" t="s">
        <v>109</v>
      </c>
      <c r="AH188" s="1" t="s">
        <v>109</v>
      </c>
      <c r="AI188" s="1" t="s">
        <v>109</v>
      </c>
      <c r="AJ188" s="1" t="s">
        <v>109</v>
      </c>
      <c r="AK188" s="1" t="s">
        <v>109</v>
      </c>
      <c r="AL188" s="1">
        <v>1</v>
      </c>
      <c r="AM188" s="1" t="s">
        <v>109</v>
      </c>
      <c r="AN188" s="1" t="s">
        <v>109</v>
      </c>
      <c r="AO188" s="1" t="s">
        <v>109</v>
      </c>
      <c r="AP188" s="1"/>
      <c r="AQ188" s="1">
        <v>1</v>
      </c>
      <c r="AR188" s="1" t="s">
        <v>1865</v>
      </c>
      <c r="AS188" s="1" t="s">
        <v>1866</v>
      </c>
      <c r="AT188" s="1">
        <v>0</v>
      </c>
      <c r="AU188" s="1">
        <v>0</v>
      </c>
      <c r="AV188" s="1">
        <v>0</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5" t="str">
        <f>HYPERLINK("http://www.d20pfsrd.com/magic/all-spells/e/entropic-shield","Entropic Shield")</f>
        <v>Entropic Shield</v>
      </c>
      <c r="BT188" s="1">
        <v>187</v>
      </c>
      <c r="BU188" s="1" t="s">
        <v>109</v>
      </c>
      <c r="BV188" s="1" t="s">
        <v>1639</v>
      </c>
      <c r="BW188" s="1"/>
      <c r="BX188" s="1" t="s">
        <v>1867</v>
      </c>
      <c r="BY188" s="1"/>
      <c r="BZ188" s="1">
        <v>1</v>
      </c>
      <c r="CA188" s="1" t="s">
        <v>109</v>
      </c>
      <c r="CB188" s="1" t="s">
        <v>109</v>
      </c>
      <c r="CC188" s="1">
        <v>1</v>
      </c>
      <c r="CD188" s="1" t="s">
        <v>109</v>
      </c>
      <c r="CE188" s="1" t="s">
        <v>109</v>
      </c>
      <c r="CF188" s="1" t="s">
        <v>109</v>
      </c>
      <c r="CG188" s="1" t="s">
        <v>109</v>
      </c>
      <c r="CH188" s="1" t="s">
        <v>109</v>
      </c>
      <c r="CI188" s="1" t="s">
        <v>109</v>
      </c>
      <c r="CJ188" s="1" t="s">
        <v>109</v>
      </c>
      <c r="CK188" s="1"/>
      <c r="CL188" s="1">
        <v>0</v>
      </c>
      <c r="CM188" s="1">
        <v>0</v>
      </c>
      <c r="CN188" s="1">
        <v>0</v>
      </c>
    </row>
    <row r="189" spans="1:92" ht="14.25" customHeight="1" x14ac:dyDescent="0.15">
      <c r="A189" s="1" t="s">
        <v>1868</v>
      </c>
      <c r="B189" s="1" t="s">
        <v>189</v>
      </c>
      <c r="C189" s="1"/>
      <c r="D189" s="1"/>
      <c r="E189" s="1" t="s">
        <v>1869</v>
      </c>
      <c r="F189" s="1" t="s">
        <v>98</v>
      </c>
      <c r="G189" s="1" t="s">
        <v>141</v>
      </c>
      <c r="H189" s="1">
        <v>0</v>
      </c>
      <c r="I189" s="1" t="s">
        <v>142</v>
      </c>
      <c r="J189" s="1"/>
      <c r="K189" s="1"/>
      <c r="L189" s="1" t="s">
        <v>1870</v>
      </c>
      <c r="M189" s="1" t="s">
        <v>144</v>
      </c>
      <c r="N189" s="1">
        <v>0</v>
      </c>
      <c r="O189" s="1">
        <v>0</v>
      </c>
      <c r="P189" s="1" t="s">
        <v>211</v>
      </c>
      <c r="Q189" s="1" t="s">
        <v>104</v>
      </c>
      <c r="R189" s="1" t="s">
        <v>1871</v>
      </c>
      <c r="S189" s="1" t="s">
        <v>1872</v>
      </c>
      <c r="T189" s="1" t="s">
        <v>107</v>
      </c>
      <c r="U189" s="1" t="s">
        <v>1873</v>
      </c>
      <c r="V189" s="1">
        <v>1</v>
      </c>
      <c r="W189" s="1">
        <v>1</v>
      </c>
      <c r="X189" s="1">
        <v>0</v>
      </c>
      <c r="Y189" s="1">
        <v>0</v>
      </c>
      <c r="Z189" s="1">
        <v>0</v>
      </c>
      <c r="AA189" s="1">
        <v>1</v>
      </c>
      <c r="AB189" s="1">
        <v>1</v>
      </c>
      <c r="AC189" s="1" t="s">
        <v>109</v>
      </c>
      <c r="AD189" s="1" t="s">
        <v>109</v>
      </c>
      <c r="AE189" s="1" t="s">
        <v>109</v>
      </c>
      <c r="AF189" s="1">
        <v>1</v>
      </c>
      <c r="AG189" s="1" t="s">
        <v>109</v>
      </c>
      <c r="AH189" s="1" t="s">
        <v>109</v>
      </c>
      <c r="AI189" s="1" t="s">
        <v>109</v>
      </c>
      <c r="AJ189" s="1" t="s">
        <v>109</v>
      </c>
      <c r="AK189" s="1" t="s">
        <v>109</v>
      </c>
      <c r="AL189" s="1" t="s">
        <v>109</v>
      </c>
      <c r="AM189" s="1" t="s">
        <v>109</v>
      </c>
      <c r="AN189" s="1" t="s">
        <v>109</v>
      </c>
      <c r="AO189" s="1" t="s">
        <v>109</v>
      </c>
      <c r="AP189" s="1"/>
      <c r="AQ189" s="1">
        <v>1</v>
      </c>
      <c r="AR189" s="1" t="s">
        <v>1874</v>
      </c>
      <c r="AS189" s="1" t="s">
        <v>1875</v>
      </c>
      <c r="AT189" s="1">
        <v>0</v>
      </c>
      <c r="AU189" s="1">
        <v>0</v>
      </c>
      <c r="AV189" s="1">
        <v>0</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5" t="str">
        <f>HYPERLINK("http://www.d20pfsrd.com/magic/all-spells/e/erase","Erase")</f>
        <v>Erase</v>
      </c>
      <c r="BT189" s="1">
        <v>188</v>
      </c>
      <c r="BU189" s="1" t="s">
        <v>109</v>
      </c>
      <c r="BV189" s="1"/>
      <c r="BW189" s="1"/>
      <c r="BX189" s="1"/>
      <c r="BY189" s="1"/>
      <c r="BZ189" s="1">
        <v>0</v>
      </c>
      <c r="CA189" s="1" t="s">
        <v>109</v>
      </c>
      <c r="CB189" s="1" t="s">
        <v>109</v>
      </c>
      <c r="CC189" s="1">
        <v>1</v>
      </c>
      <c r="CD189" s="1" t="s">
        <v>109</v>
      </c>
      <c r="CE189" s="1" t="s">
        <v>109</v>
      </c>
      <c r="CF189" s="1">
        <v>1</v>
      </c>
      <c r="CG189" s="1" t="s">
        <v>109</v>
      </c>
      <c r="CH189" s="1" t="s">
        <v>109</v>
      </c>
      <c r="CI189" s="1" t="s">
        <v>109</v>
      </c>
      <c r="CJ189" s="1" t="s">
        <v>109</v>
      </c>
      <c r="CK189" s="1"/>
      <c r="CL189" s="1">
        <v>0</v>
      </c>
      <c r="CM189" s="1">
        <v>0</v>
      </c>
      <c r="CN189" s="1">
        <v>0</v>
      </c>
    </row>
    <row r="190" spans="1:92" ht="14.25" customHeight="1" x14ac:dyDescent="0.15">
      <c r="A190" s="1" t="s">
        <v>1876</v>
      </c>
      <c r="B190" s="1" t="s">
        <v>189</v>
      </c>
      <c r="C190" s="1"/>
      <c r="D190" s="1"/>
      <c r="E190" s="1" t="s">
        <v>1877</v>
      </c>
      <c r="F190" s="1" t="s">
        <v>98</v>
      </c>
      <c r="G190" s="1" t="s">
        <v>141</v>
      </c>
      <c r="H190" s="1">
        <v>0</v>
      </c>
      <c r="I190" s="1" t="s">
        <v>235</v>
      </c>
      <c r="J190" s="1"/>
      <c r="K190" s="1"/>
      <c r="L190" s="1" t="s">
        <v>236</v>
      </c>
      <c r="M190" s="1" t="s">
        <v>574</v>
      </c>
      <c r="N190" s="1">
        <v>1</v>
      </c>
      <c r="O190" s="1">
        <v>0</v>
      </c>
      <c r="P190" s="1"/>
      <c r="Q190" s="1"/>
      <c r="R190" s="1" t="s">
        <v>1878</v>
      </c>
      <c r="S190" s="1" t="s">
        <v>1879</v>
      </c>
      <c r="T190" s="1" t="s">
        <v>107</v>
      </c>
      <c r="U190" s="1" t="s">
        <v>1880</v>
      </c>
      <c r="V190" s="1">
        <v>1</v>
      </c>
      <c r="W190" s="1">
        <v>1</v>
      </c>
      <c r="X190" s="1">
        <v>0</v>
      </c>
      <c r="Y190" s="1">
        <v>0</v>
      </c>
      <c r="Z190" s="1">
        <v>0</v>
      </c>
      <c r="AA190" s="1">
        <v>7</v>
      </c>
      <c r="AB190" s="1">
        <v>7</v>
      </c>
      <c r="AC190" s="1">
        <v>7</v>
      </c>
      <c r="AD190" s="1" t="s">
        <v>109</v>
      </c>
      <c r="AE190" s="1" t="s">
        <v>109</v>
      </c>
      <c r="AF190" s="1" t="s">
        <v>109</v>
      </c>
      <c r="AG190" s="1" t="s">
        <v>109</v>
      </c>
      <c r="AH190" s="1" t="s">
        <v>109</v>
      </c>
      <c r="AI190" s="1">
        <v>5</v>
      </c>
      <c r="AJ190" s="1" t="s">
        <v>109</v>
      </c>
      <c r="AK190" s="1" t="s">
        <v>109</v>
      </c>
      <c r="AL190" s="1">
        <v>7</v>
      </c>
      <c r="AM190" s="1" t="s">
        <v>109</v>
      </c>
      <c r="AN190" s="1" t="s">
        <v>109</v>
      </c>
      <c r="AO190" s="1" t="s">
        <v>109</v>
      </c>
      <c r="AP190" s="1"/>
      <c r="AQ190" s="1">
        <v>7</v>
      </c>
      <c r="AR190" s="1" t="s">
        <v>1881</v>
      </c>
      <c r="AS190" s="1" t="s">
        <v>1882</v>
      </c>
      <c r="AT190" s="1">
        <v>0</v>
      </c>
      <c r="AU190" s="1">
        <v>0</v>
      </c>
      <c r="AV190" s="1">
        <v>0</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5" t="str">
        <f>HYPERLINK("http://www.d20pfsrd.com/magic/all-spells/e/ethereal-jaunt","Ethereal Jaunt")</f>
        <v>Ethereal Jaunt</v>
      </c>
      <c r="BT190" s="1">
        <v>189</v>
      </c>
      <c r="BU190" s="1" t="s">
        <v>109</v>
      </c>
      <c r="BV190" s="1" t="s">
        <v>1883</v>
      </c>
      <c r="BW190" s="1" t="s">
        <v>1884</v>
      </c>
      <c r="BX190" s="1"/>
      <c r="BY190" s="1"/>
      <c r="BZ190" s="1">
        <v>0</v>
      </c>
      <c r="CA190" s="1" t="s">
        <v>109</v>
      </c>
      <c r="CB190" s="1" t="s">
        <v>109</v>
      </c>
      <c r="CC190" s="1">
        <v>6</v>
      </c>
      <c r="CD190" s="1" t="s">
        <v>109</v>
      </c>
      <c r="CE190" s="1" t="s">
        <v>109</v>
      </c>
      <c r="CF190" s="1" t="s">
        <v>109</v>
      </c>
      <c r="CG190" s="1" t="s">
        <v>109</v>
      </c>
      <c r="CH190" s="1" t="s">
        <v>109</v>
      </c>
      <c r="CI190" s="1" t="s">
        <v>109</v>
      </c>
      <c r="CJ190" s="1" t="s">
        <v>109</v>
      </c>
      <c r="CK190" s="1"/>
      <c r="CL190" s="1">
        <v>0</v>
      </c>
      <c r="CM190" s="1">
        <v>0</v>
      </c>
      <c r="CN190" s="1">
        <v>0</v>
      </c>
    </row>
    <row r="191" spans="1:92" ht="14.25" customHeight="1" x14ac:dyDescent="0.15">
      <c r="A191" s="1" t="s">
        <v>1885</v>
      </c>
      <c r="B191" s="1" t="s">
        <v>189</v>
      </c>
      <c r="C191" s="1"/>
      <c r="D191" s="1"/>
      <c r="E191" s="1" t="s">
        <v>1886</v>
      </c>
      <c r="F191" s="1" t="s">
        <v>98</v>
      </c>
      <c r="G191" s="1" t="s">
        <v>141</v>
      </c>
      <c r="H191" s="1">
        <v>0</v>
      </c>
      <c r="I191" s="1" t="s">
        <v>1887</v>
      </c>
      <c r="J191" s="1"/>
      <c r="K191" s="1"/>
      <c r="L191" s="1" t="s">
        <v>1888</v>
      </c>
      <c r="M191" s="1" t="s">
        <v>164</v>
      </c>
      <c r="N191" s="1">
        <v>1</v>
      </c>
      <c r="O191" s="1">
        <v>0</v>
      </c>
      <c r="P191" s="1"/>
      <c r="Q191" s="1" t="s">
        <v>268</v>
      </c>
      <c r="R191" s="1" t="s">
        <v>1889</v>
      </c>
      <c r="S191" s="1" t="s">
        <v>1890</v>
      </c>
      <c r="T191" s="1" t="s">
        <v>107</v>
      </c>
      <c r="U191" s="1" t="s">
        <v>1891</v>
      </c>
      <c r="V191" s="1">
        <v>1</v>
      </c>
      <c r="W191" s="1">
        <v>1</v>
      </c>
      <c r="X191" s="1">
        <v>0</v>
      </c>
      <c r="Y191" s="1">
        <v>0</v>
      </c>
      <c r="Z191" s="1">
        <v>0</v>
      </c>
      <c r="AA191" s="1">
        <v>9</v>
      </c>
      <c r="AB191" s="1">
        <v>9</v>
      </c>
      <c r="AC191" s="1">
        <v>9</v>
      </c>
      <c r="AD191" s="1" t="s">
        <v>109</v>
      </c>
      <c r="AE191" s="1" t="s">
        <v>109</v>
      </c>
      <c r="AF191" s="1" t="s">
        <v>109</v>
      </c>
      <c r="AG191" s="1" t="s">
        <v>109</v>
      </c>
      <c r="AH191" s="1" t="s">
        <v>109</v>
      </c>
      <c r="AI191" s="1" t="s">
        <v>109</v>
      </c>
      <c r="AJ191" s="1" t="s">
        <v>109</v>
      </c>
      <c r="AK191" s="1" t="s">
        <v>109</v>
      </c>
      <c r="AL191" s="1">
        <v>9</v>
      </c>
      <c r="AM191" s="1" t="s">
        <v>109</v>
      </c>
      <c r="AN191" s="1" t="s">
        <v>109</v>
      </c>
      <c r="AO191" s="1" t="s">
        <v>109</v>
      </c>
      <c r="AP191" s="1"/>
      <c r="AQ191" s="1">
        <v>9</v>
      </c>
      <c r="AR191" s="1"/>
      <c r="AS191" s="1" t="s">
        <v>1892</v>
      </c>
      <c r="AT191" s="1">
        <v>0</v>
      </c>
      <c r="AU191" s="1">
        <v>0</v>
      </c>
      <c r="AV191" s="1">
        <v>0</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5" t="str">
        <f>HYPERLINK("http://www.d20pfsrd.com/magic/all-spells/e/etherealness","Etherealness")</f>
        <v>Etherealness</v>
      </c>
      <c r="BT191" s="1">
        <v>190</v>
      </c>
      <c r="BU191" s="1" t="s">
        <v>109</v>
      </c>
      <c r="BV191" s="1" t="s">
        <v>1893</v>
      </c>
      <c r="BW191" s="1" t="s">
        <v>1894</v>
      </c>
      <c r="BX191" s="1"/>
      <c r="BY191" s="1"/>
      <c r="BZ191" s="1">
        <v>0</v>
      </c>
      <c r="CA191" s="1" t="s">
        <v>109</v>
      </c>
      <c r="CB191" s="1">
        <v>9</v>
      </c>
      <c r="CC191" s="1">
        <v>8</v>
      </c>
      <c r="CD191" s="1" t="s">
        <v>109</v>
      </c>
      <c r="CE191" s="1" t="s">
        <v>109</v>
      </c>
      <c r="CF191" s="1" t="s">
        <v>109</v>
      </c>
      <c r="CG191" s="1" t="s">
        <v>109</v>
      </c>
      <c r="CH191" s="1" t="s">
        <v>109</v>
      </c>
      <c r="CI191" s="1" t="s">
        <v>109</v>
      </c>
      <c r="CJ191" s="1" t="s">
        <v>109</v>
      </c>
      <c r="CK191" s="1"/>
      <c r="CL191" s="1">
        <v>0</v>
      </c>
      <c r="CM191" s="1">
        <v>0</v>
      </c>
      <c r="CN191" s="1">
        <v>0</v>
      </c>
    </row>
    <row r="192" spans="1:92" ht="14.25" customHeight="1" x14ac:dyDescent="0.15">
      <c r="A192" s="1" t="s">
        <v>1895</v>
      </c>
      <c r="B192" s="1" t="s">
        <v>189</v>
      </c>
      <c r="C192" s="1"/>
      <c r="D192" s="1"/>
      <c r="E192" s="1" t="s">
        <v>1896</v>
      </c>
      <c r="F192" s="1" t="s">
        <v>98</v>
      </c>
      <c r="G192" s="1" t="s">
        <v>141</v>
      </c>
      <c r="H192" s="1">
        <v>0</v>
      </c>
      <c r="I192" s="1" t="s">
        <v>235</v>
      </c>
      <c r="J192" s="1"/>
      <c r="K192" s="1"/>
      <c r="L192" s="1" t="s">
        <v>236</v>
      </c>
      <c r="M192" s="1" t="s">
        <v>587</v>
      </c>
      <c r="N192" s="1">
        <v>1</v>
      </c>
      <c r="O192" s="1">
        <v>0</v>
      </c>
      <c r="P192" s="1"/>
      <c r="Q192" s="1"/>
      <c r="R192" s="1" t="s">
        <v>1897</v>
      </c>
      <c r="S192" s="1" t="s">
        <v>1898</v>
      </c>
      <c r="T192" s="1" t="s">
        <v>107</v>
      </c>
      <c r="U192" s="1" t="s">
        <v>1899</v>
      </c>
      <c r="V192" s="1">
        <v>1</v>
      </c>
      <c r="W192" s="1">
        <v>1</v>
      </c>
      <c r="X192" s="1">
        <v>0</v>
      </c>
      <c r="Y192" s="1">
        <v>0</v>
      </c>
      <c r="Z192" s="1">
        <v>0</v>
      </c>
      <c r="AA192" s="1">
        <v>1</v>
      </c>
      <c r="AB192" s="1">
        <v>1</v>
      </c>
      <c r="AC192" s="1" t="s">
        <v>109</v>
      </c>
      <c r="AD192" s="1" t="s">
        <v>109</v>
      </c>
      <c r="AE192" s="1" t="s">
        <v>109</v>
      </c>
      <c r="AF192" s="1">
        <v>1</v>
      </c>
      <c r="AG192" s="1" t="s">
        <v>109</v>
      </c>
      <c r="AH192" s="1">
        <v>1</v>
      </c>
      <c r="AI192" s="1">
        <v>1</v>
      </c>
      <c r="AJ192" s="1" t="s">
        <v>109</v>
      </c>
      <c r="AK192" s="1">
        <v>1</v>
      </c>
      <c r="AL192" s="1" t="s">
        <v>109</v>
      </c>
      <c r="AM192" s="1" t="s">
        <v>109</v>
      </c>
      <c r="AN192" s="1">
        <v>1</v>
      </c>
      <c r="AO192" s="1" t="s">
        <v>109</v>
      </c>
      <c r="AP192" s="1"/>
      <c r="AQ192" s="1">
        <v>1</v>
      </c>
      <c r="AR192" s="1" t="s">
        <v>1900</v>
      </c>
      <c r="AS192" s="1" t="s">
        <v>1901</v>
      </c>
      <c r="AT192" s="1">
        <v>0</v>
      </c>
      <c r="AU192" s="1">
        <v>0</v>
      </c>
      <c r="AV192" s="1">
        <v>0</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5" t="str">
        <f>HYPERLINK("http://www.d20pfsrd.com/magic/all-spells/e/expeditious-retreat","Expeditious Retreat")</f>
        <v>Expeditious Retreat</v>
      </c>
      <c r="BT192" s="1">
        <v>191</v>
      </c>
      <c r="BU192" s="1" t="s">
        <v>109</v>
      </c>
      <c r="BV192" s="1"/>
      <c r="BW192" s="1"/>
      <c r="BX192" s="1" t="s">
        <v>1902</v>
      </c>
      <c r="BY192" s="1"/>
      <c r="BZ192" s="1">
        <v>1</v>
      </c>
      <c r="CA192" s="1">
        <v>1</v>
      </c>
      <c r="CB192" s="1" t="s">
        <v>109</v>
      </c>
      <c r="CC192" s="1">
        <v>1</v>
      </c>
      <c r="CD192" s="1" t="s">
        <v>109</v>
      </c>
      <c r="CE192" s="1">
        <v>1</v>
      </c>
      <c r="CF192" s="1">
        <v>1</v>
      </c>
      <c r="CG192" s="1">
        <v>1</v>
      </c>
      <c r="CH192" s="1" t="s">
        <v>109</v>
      </c>
      <c r="CI192" s="1" t="s">
        <v>109</v>
      </c>
      <c r="CJ192" s="1" t="s">
        <v>109</v>
      </c>
      <c r="CK192" s="1"/>
      <c r="CL192" s="1">
        <v>0</v>
      </c>
      <c r="CM192" s="1">
        <v>0</v>
      </c>
      <c r="CN192" s="1">
        <v>0</v>
      </c>
    </row>
    <row r="193" spans="1:92" ht="14.25" customHeight="1" x14ac:dyDescent="0.15">
      <c r="A193" s="1" t="s">
        <v>1903</v>
      </c>
      <c r="B193" s="1" t="s">
        <v>242</v>
      </c>
      <c r="C193" s="1"/>
      <c r="D193" s="1" t="s">
        <v>60</v>
      </c>
      <c r="E193" s="1" t="s">
        <v>1904</v>
      </c>
      <c r="F193" s="1" t="s">
        <v>98</v>
      </c>
      <c r="G193" s="1" t="s">
        <v>141</v>
      </c>
      <c r="H193" s="1">
        <v>0</v>
      </c>
      <c r="I193" s="1" t="s">
        <v>161</v>
      </c>
      <c r="J193" s="1"/>
      <c r="K193" s="1"/>
      <c r="L193" s="1" t="s">
        <v>1905</v>
      </c>
      <c r="M193" s="1" t="s">
        <v>1906</v>
      </c>
      <c r="N193" s="1">
        <v>1</v>
      </c>
      <c r="O193" s="1">
        <v>0</v>
      </c>
      <c r="P193" s="1" t="s">
        <v>211</v>
      </c>
      <c r="Q193" s="1" t="s">
        <v>268</v>
      </c>
      <c r="R193" s="1" t="s">
        <v>1907</v>
      </c>
      <c r="S193" s="1" t="s">
        <v>1908</v>
      </c>
      <c r="T193" s="1" t="s">
        <v>107</v>
      </c>
      <c r="U193" s="1" t="s">
        <v>1909</v>
      </c>
      <c r="V193" s="1">
        <v>1</v>
      </c>
      <c r="W193" s="1">
        <v>1</v>
      </c>
      <c r="X193" s="1">
        <v>0</v>
      </c>
      <c r="Y193" s="1">
        <v>0</v>
      </c>
      <c r="Z193" s="1">
        <v>0</v>
      </c>
      <c r="AA193" s="1">
        <v>3</v>
      </c>
      <c r="AB193" s="1">
        <v>3</v>
      </c>
      <c r="AC193" s="1" t="s">
        <v>109</v>
      </c>
      <c r="AD193" s="1" t="s">
        <v>109</v>
      </c>
      <c r="AE193" s="1" t="s">
        <v>109</v>
      </c>
      <c r="AF193" s="1" t="s">
        <v>109</v>
      </c>
      <c r="AG193" s="1" t="s">
        <v>109</v>
      </c>
      <c r="AH193" s="1" t="s">
        <v>109</v>
      </c>
      <c r="AI193" s="1" t="s">
        <v>109</v>
      </c>
      <c r="AJ193" s="1" t="s">
        <v>109</v>
      </c>
      <c r="AK193" s="1" t="s">
        <v>109</v>
      </c>
      <c r="AL193" s="1" t="s">
        <v>109</v>
      </c>
      <c r="AM193" s="1" t="s">
        <v>109</v>
      </c>
      <c r="AN193" s="1" t="s">
        <v>109</v>
      </c>
      <c r="AO193" s="1" t="s">
        <v>109</v>
      </c>
      <c r="AP193" s="1"/>
      <c r="AQ193" s="1">
        <v>3</v>
      </c>
      <c r="AR193" s="1" t="s">
        <v>1910</v>
      </c>
      <c r="AS193" s="1" t="s">
        <v>1911</v>
      </c>
      <c r="AT193" s="1">
        <v>0</v>
      </c>
      <c r="AU193" s="1">
        <v>0</v>
      </c>
      <c r="AV193" s="1">
        <v>0</v>
      </c>
      <c r="AW193" s="1">
        <v>0</v>
      </c>
      <c r="AX193" s="1">
        <v>0</v>
      </c>
      <c r="AY193" s="1">
        <v>0</v>
      </c>
      <c r="AZ193" s="1">
        <v>0</v>
      </c>
      <c r="BA193" s="1">
        <v>0</v>
      </c>
      <c r="BB193" s="1">
        <v>0</v>
      </c>
      <c r="BC193" s="1">
        <v>0</v>
      </c>
      <c r="BD193" s="1">
        <v>0</v>
      </c>
      <c r="BE193" s="1">
        <v>0</v>
      </c>
      <c r="BF193" s="1">
        <v>0</v>
      </c>
      <c r="BG193" s="1">
        <v>0</v>
      </c>
      <c r="BH193" s="1">
        <v>1</v>
      </c>
      <c r="BI193" s="1">
        <v>0</v>
      </c>
      <c r="BJ193" s="1">
        <v>0</v>
      </c>
      <c r="BK193" s="1">
        <v>0</v>
      </c>
      <c r="BL193" s="1">
        <v>0</v>
      </c>
      <c r="BM193" s="1">
        <v>0</v>
      </c>
      <c r="BN193" s="1">
        <v>0</v>
      </c>
      <c r="BO193" s="1">
        <v>0</v>
      </c>
      <c r="BP193" s="1">
        <v>0</v>
      </c>
      <c r="BQ193" s="1">
        <v>0</v>
      </c>
      <c r="BR193" s="1">
        <v>0</v>
      </c>
      <c r="BS193" s="5" t="str">
        <f>HYPERLINK("http://www.d20pfsrd.com/magic/all-spells/e/explosive-runes","Explosive Runes")</f>
        <v>Explosive Runes</v>
      </c>
      <c r="BT193" s="1">
        <v>192</v>
      </c>
      <c r="BU193" s="1" t="s">
        <v>109</v>
      </c>
      <c r="BV193" s="1" t="s">
        <v>1912</v>
      </c>
      <c r="BW193" s="1"/>
      <c r="BX193" s="1"/>
      <c r="BY193" s="1"/>
      <c r="BZ193" s="1">
        <v>0</v>
      </c>
      <c r="CA193" s="1" t="s">
        <v>109</v>
      </c>
      <c r="CB193" s="1" t="s">
        <v>109</v>
      </c>
      <c r="CC193" s="1" t="s">
        <v>109</v>
      </c>
      <c r="CD193" s="1" t="s">
        <v>109</v>
      </c>
      <c r="CE193" s="1" t="s">
        <v>109</v>
      </c>
      <c r="CF193" s="1">
        <v>3</v>
      </c>
      <c r="CG193" s="1" t="s">
        <v>109</v>
      </c>
      <c r="CH193" s="1" t="s">
        <v>109</v>
      </c>
      <c r="CI193" s="1" t="s">
        <v>109</v>
      </c>
      <c r="CJ193" s="1" t="s">
        <v>109</v>
      </c>
      <c r="CK193" s="1"/>
      <c r="CL193" s="1">
        <v>0</v>
      </c>
      <c r="CM193" s="1">
        <v>0</v>
      </c>
      <c r="CN193" s="1">
        <v>0</v>
      </c>
    </row>
    <row r="194" spans="1:92" ht="14.25" customHeight="1" x14ac:dyDescent="0.15">
      <c r="A194" s="1" t="s">
        <v>1913</v>
      </c>
      <c r="B194" s="1" t="s">
        <v>308</v>
      </c>
      <c r="C194" s="1"/>
      <c r="D194" s="1" t="s">
        <v>1914</v>
      </c>
      <c r="E194" s="1" t="s">
        <v>1915</v>
      </c>
      <c r="F194" s="1" t="s">
        <v>98</v>
      </c>
      <c r="G194" s="1" t="s">
        <v>141</v>
      </c>
      <c r="H194" s="1">
        <v>0</v>
      </c>
      <c r="I194" s="1" t="s">
        <v>142</v>
      </c>
      <c r="J194" s="1"/>
      <c r="K194" s="1"/>
      <c r="L194" s="1" t="s">
        <v>563</v>
      </c>
      <c r="M194" s="1" t="s">
        <v>125</v>
      </c>
      <c r="N194" s="1">
        <v>0</v>
      </c>
      <c r="O194" s="1">
        <v>0</v>
      </c>
      <c r="P194" s="1" t="s">
        <v>267</v>
      </c>
      <c r="Q194" s="1" t="s">
        <v>268</v>
      </c>
      <c r="R194" s="1" t="s">
        <v>1916</v>
      </c>
      <c r="S194" s="1" t="s">
        <v>1917</v>
      </c>
      <c r="T194" s="1" t="s">
        <v>107</v>
      </c>
      <c r="U194" s="1" t="s">
        <v>1918</v>
      </c>
      <c r="V194" s="1">
        <v>1</v>
      </c>
      <c r="W194" s="1">
        <v>1</v>
      </c>
      <c r="X194" s="1">
        <v>0</v>
      </c>
      <c r="Y194" s="1">
        <v>0</v>
      </c>
      <c r="Z194" s="1">
        <v>0</v>
      </c>
      <c r="AA194" s="1">
        <v>6</v>
      </c>
      <c r="AB194" s="1">
        <v>6</v>
      </c>
      <c r="AC194" s="1" t="s">
        <v>109</v>
      </c>
      <c r="AD194" s="1" t="s">
        <v>109</v>
      </c>
      <c r="AE194" s="1" t="s">
        <v>109</v>
      </c>
      <c r="AF194" s="1">
        <v>6</v>
      </c>
      <c r="AG194" s="1" t="s">
        <v>109</v>
      </c>
      <c r="AH194" s="1">
        <v>6</v>
      </c>
      <c r="AI194" s="1" t="s">
        <v>109</v>
      </c>
      <c r="AJ194" s="1">
        <v>6</v>
      </c>
      <c r="AK194" s="1" t="s">
        <v>109</v>
      </c>
      <c r="AL194" s="1" t="s">
        <v>109</v>
      </c>
      <c r="AM194" s="1" t="s">
        <v>109</v>
      </c>
      <c r="AN194" s="1" t="s">
        <v>109</v>
      </c>
      <c r="AO194" s="1" t="s">
        <v>109</v>
      </c>
      <c r="AP194" s="1"/>
      <c r="AQ194" s="1">
        <v>6</v>
      </c>
      <c r="AR194" s="1" t="s">
        <v>1919</v>
      </c>
      <c r="AS194" s="1" t="s">
        <v>1920</v>
      </c>
      <c r="AT194" s="1">
        <v>0</v>
      </c>
      <c r="AU194" s="1">
        <v>0</v>
      </c>
      <c r="AV194" s="1">
        <v>0</v>
      </c>
      <c r="AW194" s="1">
        <v>0</v>
      </c>
      <c r="AX194" s="1">
        <v>0</v>
      </c>
      <c r="AY194" s="1">
        <v>0</v>
      </c>
      <c r="AZ194" s="1">
        <v>0</v>
      </c>
      <c r="BA194" s="1">
        <v>0</v>
      </c>
      <c r="BB194" s="1">
        <v>0</v>
      </c>
      <c r="BC194" s="1">
        <v>0</v>
      </c>
      <c r="BD194" s="1">
        <v>1</v>
      </c>
      <c r="BE194" s="1">
        <v>0</v>
      </c>
      <c r="BF194" s="1">
        <v>0</v>
      </c>
      <c r="BG194" s="1">
        <v>0</v>
      </c>
      <c r="BH194" s="1">
        <v>0</v>
      </c>
      <c r="BI194" s="1">
        <v>0</v>
      </c>
      <c r="BJ194" s="1">
        <v>0</v>
      </c>
      <c r="BK194" s="1">
        <v>0</v>
      </c>
      <c r="BL194" s="1">
        <v>0</v>
      </c>
      <c r="BM194" s="1">
        <v>0</v>
      </c>
      <c r="BN194" s="1">
        <v>1</v>
      </c>
      <c r="BO194" s="1">
        <v>0</v>
      </c>
      <c r="BP194" s="1">
        <v>0</v>
      </c>
      <c r="BQ194" s="1">
        <v>0</v>
      </c>
      <c r="BR194" s="1">
        <v>0</v>
      </c>
      <c r="BS194" s="5" t="str">
        <f>HYPERLINK("http://www.d20pfsrd.com/magic/all-spells/e/eyebite","Eyebite")</f>
        <v>Eyebite</v>
      </c>
      <c r="BT194" s="1">
        <v>193</v>
      </c>
      <c r="BU194" s="1" t="s">
        <v>109</v>
      </c>
      <c r="BV194" s="1" t="s">
        <v>1921</v>
      </c>
      <c r="BW194" s="1"/>
      <c r="BX194" s="1"/>
      <c r="BY194" s="1"/>
      <c r="BZ194" s="1">
        <v>0</v>
      </c>
      <c r="CA194" s="1" t="s">
        <v>109</v>
      </c>
      <c r="CB194" s="1" t="s">
        <v>109</v>
      </c>
      <c r="CC194" s="1" t="s">
        <v>109</v>
      </c>
      <c r="CD194" s="1" t="s">
        <v>109</v>
      </c>
      <c r="CE194" s="1">
        <v>6</v>
      </c>
      <c r="CF194" s="1" t="s">
        <v>109</v>
      </c>
      <c r="CG194" s="1">
        <v>6</v>
      </c>
      <c r="CH194" s="1" t="s">
        <v>109</v>
      </c>
      <c r="CI194" s="1" t="s">
        <v>109</v>
      </c>
      <c r="CJ194" s="1" t="s">
        <v>109</v>
      </c>
      <c r="CK194" s="1"/>
      <c r="CL194" s="1">
        <v>0</v>
      </c>
      <c r="CM194" s="1">
        <v>0</v>
      </c>
      <c r="CN194" s="1">
        <v>0</v>
      </c>
    </row>
    <row r="195" spans="1:92" ht="14.25" customHeight="1" x14ac:dyDescent="0.15">
      <c r="A195" s="1" t="s">
        <v>1922</v>
      </c>
      <c r="B195" s="1" t="s">
        <v>189</v>
      </c>
      <c r="C195" s="1"/>
      <c r="D195" s="1"/>
      <c r="E195" s="1" t="s">
        <v>1923</v>
      </c>
      <c r="F195" s="1" t="s">
        <v>211</v>
      </c>
      <c r="G195" s="1" t="s">
        <v>1924</v>
      </c>
      <c r="H195" s="1">
        <v>0</v>
      </c>
      <c r="I195" s="1" t="s">
        <v>142</v>
      </c>
      <c r="J195" s="1"/>
      <c r="K195" s="1"/>
      <c r="L195" s="1" t="s">
        <v>1925</v>
      </c>
      <c r="M195" s="1" t="s">
        <v>144</v>
      </c>
      <c r="N195" s="1">
        <v>0</v>
      </c>
      <c r="O195" s="1">
        <v>0</v>
      </c>
      <c r="P195" s="1" t="s">
        <v>103</v>
      </c>
      <c r="Q195" s="1" t="s">
        <v>104</v>
      </c>
      <c r="R195" s="1" t="s">
        <v>1926</v>
      </c>
      <c r="S195" s="1" t="s">
        <v>1927</v>
      </c>
      <c r="T195" s="1" t="s">
        <v>107</v>
      </c>
      <c r="U195" s="1" t="s">
        <v>1928</v>
      </c>
      <c r="V195" s="1">
        <v>1</v>
      </c>
      <c r="W195" s="1">
        <v>1</v>
      </c>
      <c r="X195" s="1">
        <v>1</v>
      </c>
      <c r="Y195" s="1">
        <v>0</v>
      </c>
      <c r="Z195" s="1">
        <v>0</v>
      </c>
      <c r="AA195" s="1">
        <v>5</v>
      </c>
      <c r="AB195" s="1">
        <v>5</v>
      </c>
      <c r="AC195" s="1" t="s">
        <v>109</v>
      </c>
      <c r="AD195" s="1" t="s">
        <v>109</v>
      </c>
      <c r="AE195" s="1" t="s">
        <v>109</v>
      </c>
      <c r="AF195" s="1" t="s">
        <v>109</v>
      </c>
      <c r="AG195" s="1" t="s">
        <v>109</v>
      </c>
      <c r="AH195" s="1" t="s">
        <v>109</v>
      </c>
      <c r="AI195" s="1" t="s">
        <v>109</v>
      </c>
      <c r="AJ195" s="1" t="s">
        <v>109</v>
      </c>
      <c r="AK195" s="1" t="s">
        <v>109</v>
      </c>
      <c r="AL195" s="1" t="s">
        <v>109</v>
      </c>
      <c r="AM195" s="1" t="s">
        <v>109</v>
      </c>
      <c r="AN195" s="1" t="s">
        <v>109</v>
      </c>
      <c r="AO195" s="1" t="s">
        <v>109</v>
      </c>
      <c r="AP195" s="1"/>
      <c r="AQ195" s="1">
        <v>5</v>
      </c>
      <c r="AR195" s="1" t="s">
        <v>1929</v>
      </c>
      <c r="AS195" s="1" t="s">
        <v>1930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5" t="str">
        <f>HYPERLINK("http://www.d20pfsrd.com/magic/all-spells/f/fabricate","Fabricate")</f>
        <v>Fabricate</v>
      </c>
      <c r="BT195" s="1">
        <v>194</v>
      </c>
      <c r="BU195" s="1" t="s">
        <v>109</v>
      </c>
      <c r="BV195" s="1" t="s">
        <v>1931</v>
      </c>
      <c r="BW195" s="1"/>
      <c r="BX195" s="1"/>
      <c r="BY195" s="1"/>
      <c r="BZ195" s="1">
        <v>0</v>
      </c>
      <c r="CA195" s="1" t="s">
        <v>109</v>
      </c>
      <c r="CB195" s="1" t="s">
        <v>109</v>
      </c>
      <c r="CC195" s="1">
        <v>5</v>
      </c>
      <c r="CD195" s="1" t="s">
        <v>109</v>
      </c>
      <c r="CE195" s="1" t="s">
        <v>109</v>
      </c>
      <c r="CF195" s="1">
        <v>5</v>
      </c>
      <c r="CG195" s="1" t="s">
        <v>109</v>
      </c>
      <c r="CH195" s="1" t="s">
        <v>109</v>
      </c>
      <c r="CI195" s="1" t="s">
        <v>109</v>
      </c>
      <c r="CJ195" s="1" t="s">
        <v>109</v>
      </c>
      <c r="CK195" s="1"/>
      <c r="CL195" s="1">
        <v>0</v>
      </c>
      <c r="CM195" s="1">
        <v>0</v>
      </c>
      <c r="CN195" s="1">
        <v>0</v>
      </c>
    </row>
    <row r="196" spans="1:92" ht="14.25" customHeight="1" x14ac:dyDescent="0.15">
      <c r="A196" s="1" t="s">
        <v>1932</v>
      </c>
      <c r="B196" s="1" t="s">
        <v>584</v>
      </c>
      <c r="C196" s="1"/>
      <c r="D196" s="1" t="s">
        <v>64</v>
      </c>
      <c r="E196" s="1" t="s">
        <v>1933</v>
      </c>
      <c r="F196" s="1" t="s">
        <v>98</v>
      </c>
      <c r="G196" s="1" t="s">
        <v>160</v>
      </c>
      <c r="H196" s="1">
        <v>0</v>
      </c>
      <c r="I196" s="1" t="s">
        <v>100</v>
      </c>
      <c r="J196" s="1" t="s">
        <v>1934</v>
      </c>
      <c r="K196" s="1"/>
      <c r="L196" s="1"/>
      <c r="M196" s="1" t="s">
        <v>587</v>
      </c>
      <c r="N196" s="1">
        <v>1</v>
      </c>
      <c r="O196" s="1">
        <v>0</v>
      </c>
      <c r="P196" s="1" t="s">
        <v>103</v>
      </c>
      <c r="Q196" s="1" t="s">
        <v>268</v>
      </c>
      <c r="R196" s="1" t="s">
        <v>1935</v>
      </c>
      <c r="S196" s="1" t="s">
        <v>1936</v>
      </c>
      <c r="T196" s="1" t="s">
        <v>107</v>
      </c>
      <c r="U196" s="1" t="s">
        <v>1937</v>
      </c>
      <c r="V196" s="1">
        <v>1</v>
      </c>
      <c r="W196" s="1">
        <v>1</v>
      </c>
      <c r="X196" s="1">
        <v>0</v>
      </c>
      <c r="Y196" s="1">
        <v>0</v>
      </c>
      <c r="Z196" s="1">
        <v>1</v>
      </c>
      <c r="AA196" s="1" t="s">
        <v>109</v>
      </c>
      <c r="AB196" s="1" t="s">
        <v>109</v>
      </c>
      <c r="AC196" s="1" t="s">
        <v>109</v>
      </c>
      <c r="AD196" s="1">
        <v>1</v>
      </c>
      <c r="AE196" s="1" t="s">
        <v>109</v>
      </c>
      <c r="AF196" s="1" t="s">
        <v>109</v>
      </c>
      <c r="AG196" s="1" t="s">
        <v>109</v>
      </c>
      <c r="AH196" s="1" t="s">
        <v>109</v>
      </c>
      <c r="AI196" s="1" t="s">
        <v>109</v>
      </c>
      <c r="AJ196" s="1" t="s">
        <v>109</v>
      </c>
      <c r="AK196" s="1" t="s">
        <v>109</v>
      </c>
      <c r="AL196" s="1" t="s">
        <v>109</v>
      </c>
      <c r="AM196" s="1" t="s">
        <v>109</v>
      </c>
      <c r="AN196" s="1" t="s">
        <v>109</v>
      </c>
      <c r="AO196" s="1" t="s">
        <v>109</v>
      </c>
      <c r="AP196" s="1"/>
      <c r="AQ196" s="1">
        <v>1</v>
      </c>
      <c r="AR196" s="1" t="s">
        <v>1938</v>
      </c>
      <c r="AS196" s="1" t="s">
        <v>1939</v>
      </c>
      <c r="AT196" s="1">
        <v>0</v>
      </c>
      <c r="AU196" s="1">
        <v>0</v>
      </c>
      <c r="AV196" s="1">
        <v>0</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1</v>
      </c>
      <c r="BM196" s="1">
        <v>0</v>
      </c>
      <c r="BN196" s="1">
        <v>0</v>
      </c>
      <c r="BO196" s="1">
        <v>0</v>
      </c>
      <c r="BP196" s="1">
        <v>0</v>
      </c>
      <c r="BQ196" s="1">
        <v>0</v>
      </c>
      <c r="BR196" s="1">
        <v>0</v>
      </c>
      <c r="BS196" s="5" t="str">
        <f>HYPERLINK("http://www.d20pfsrd.com/magic/all-spells/f/faerie-fire","Faerie Fire")</f>
        <v>Faerie Fire</v>
      </c>
      <c r="BT196" s="1">
        <v>195</v>
      </c>
      <c r="BU196" s="1" t="s">
        <v>109</v>
      </c>
      <c r="BV196" s="1"/>
      <c r="BW196" s="1" t="s">
        <v>1940</v>
      </c>
      <c r="BX196" s="1" t="s">
        <v>1941</v>
      </c>
      <c r="BY196" s="1" t="s">
        <v>1942</v>
      </c>
      <c r="BZ196" s="1">
        <v>1</v>
      </c>
      <c r="CA196" s="1" t="s">
        <v>109</v>
      </c>
      <c r="CB196" s="1" t="s">
        <v>109</v>
      </c>
      <c r="CC196" s="1" t="s">
        <v>109</v>
      </c>
      <c r="CD196" s="1" t="s">
        <v>109</v>
      </c>
      <c r="CE196" s="1">
        <v>1</v>
      </c>
      <c r="CF196" s="1" t="s">
        <v>109</v>
      </c>
      <c r="CG196" s="1" t="s">
        <v>109</v>
      </c>
      <c r="CH196" s="1" t="s">
        <v>109</v>
      </c>
      <c r="CI196" s="1" t="s">
        <v>109</v>
      </c>
      <c r="CJ196" s="1">
        <v>1</v>
      </c>
      <c r="CK196" s="1"/>
      <c r="CL196" s="1">
        <v>0</v>
      </c>
      <c r="CM196" s="1">
        <v>0</v>
      </c>
      <c r="CN196" s="1">
        <v>0</v>
      </c>
    </row>
    <row r="197" spans="1:92" ht="14.25" customHeight="1" x14ac:dyDescent="0.15">
      <c r="A197" s="1" t="s">
        <v>1943</v>
      </c>
      <c r="B197" s="1" t="s">
        <v>308</v>
      </c>
      <c r="C197" s="1"/>
      <c r="D197" s="1"/>
      <c r="E197" s="1" t="s">
        <v>1944</v>
      </c>
      <c r="F197" s="1" t="s">
        <v>98</v>
      </c>
      <c r="G197" s="1" t="s">
        <v>1945</v>
      </c>
      <c r="H197" s="1">
        <v>0</v>
      </c>
      <c r="I197" s="1" t="s">
        <v>235</v>
      </c>
      <c r="J197" s="1"/>
      <c r="K197" s="1"/>
      <c r="L197" s="1" t="s">
        <v>236</v>
      </c>
      <c r="M197" s="1" t="s">
        <v>1946</v>
      </c>
      <c r="N197" s="1">
        <v>0</v>
      </c>
      <c r="O197" s="1">
        <v>0</v>
      </c>
      <c r="P197" s="1"/>
      <c r="Q197" s="1"/>
      <c r="R197" s="1" t="s">
        <v>1947</v>
      </c>
      <c r="S197" s="1" t="s">
        <v>1948</v>
      </c>
      <c r="T197" s="1" t="s">
        <v>107</v>
      </c>
      <c r="U197" s="1" t="s">
        <v>1949</v>
      </c>
      <c r="V197" s="1">
        <v>1</v>
      </c>
      <c r="W197" s="1">
        <v>1</v>
      </c>
      <c r="X197" s="1">
        <v>1</v>
      </c>
      <c r="Y197" s="1">
        <v>0</v>
      </c>
      <c r="Z197" s="1">
        <v>0</v>
      </c>
      <c r="AA197" s="1">
        <v>2</v>
      </c>
      <c r="AB197" s="1">
        <v>2</v>
      </c>
      <c r="AC197" s="1" t="s">
        <v>109</v>
      </c>
      <c r="AD197" s="1" t="s">
        <v>109</v>
      </c>
      <c r="AE197" s="1" t="s">
        <v>109</v>
      </c>
      <c r="AF197" s="1" t="s">
        <v>109</v>
      </c>
      <c r="AG197" s="1" t="s">
        <v>109</v>
      </c>
      <c r="AH197" s="1">
        <v>2</v>
      </c>
      <c r="AI197" s="1" t="s">
        <v>109</v>
      </c>
      <c r="AJ197" s="1">
        <v>2</v>
      </c>
      <c r="AK197" s="1" t="s">
        <v>109</v>
      </c>
      <c r="AL197" s="1" t="s">
        <v>109</v>
      </c>
      <c r="AM197" s="1" t="s">
        <v>109</v>
      </c>
      <c r="AN197" s="1" t="s">
        <v>109</v>
      </c>
      <c r="AO197" s="1" t="s">
        <v>109</v>
      </c>
      <c r="AP197" s="1"/>
      <c r="AQ197" s="1">
        <v>2</v>
      </c>
      <c r="AR197" s="1"/>
      <c r="AS197" s="1" t="s">
        <v>1950</v>
      </c>
      <c r="AT197" s="1">
        <v>0</v>
      </c>
      <c r="AU197" s="1">
        <v>0</v>
      </c>
      <c r="AV197" s="1">
        <v>0</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5" t="str">
        <f>HYPERLINK("http://www.d20pfsrd.com/magic/all-spells/f/false-life","False Life")</f>
        <v>False Life</v>
      </c>
      <c r="BT197" s="1">
        <v>196</v>
      </c>
      <c r="BU197" s="1" t="s">
        <v>109</v>
      </c>
      <c r="BV197" s="1" t="s">
        <v>1951</v>
      </c>
      <c r="BW197" s="1"/>
      <c r="BX197" s="1"/>
      <c r="BY197" s="1"/>
      <c r="BZ197" s="1">
        <v>0</v>
      </c>
      <c r="CA197" s="1">
        <v>2</v>
      </c>
      <c r="CB197" s="1">
        <v>2</v>
      </c>
      <c r="CC197" s="1">
        <v>2</v>
      </c>
      <c r="CD197" s="1" t="s">
        <v>109</v>
      </c>
      <c r="CE197" s="1">
        <v>2</v>
      </c>
      <c r="CF197" s="1">
        <v>2</v>
      </c>
      <c r="CG197" s="1">
        <v>2</v>
      </c>
      <c r="CH197" s="1" t="s">
        <v>109</v>
      </c>
      <c r="CI197" s="1" t="s">
        <v>109</v>
      </c>
      <c r="CJ197" s="1" t="s">
        <v>109</v>
      </c>
      <c r="CK197" s="1"/>
      <c r="CL197" s="1">
        <v>0</v>
      </c>
      <c r="CM197" s="1">
        <v>0</v>
      </c>
      <c r="CN197" s="1">
        <v>0</v>
      </c>
    </row>
    <row r="198" spans="1:92" ht="14.25" customHeight="1" x14ac:dyDescent="0.15">
      <c r="A198" s="1" t="s">
        <v>1952</v>
      </c>
      <c r="B198" s="1" t="s">
        <v>674</v>
      </c>
      <c r="C198" s="1" t="s">
        <v>675</v>
      </c>
      <c r="D198" s="1"/>
      <c r="E198" s="1" t="s">
        <v>1953</v>
      </c>
      <c r="F198" s="1" t="s">
        <v>98</v>
      </c>
      <c r="G198" s="1" t="s">
        <v>1954</v>
      </c>
      <c r="H198" s="1">
        <v>1</v>
      </c>
      <c r="I198" s="1" t="s">
        <v>161</v>
      </c>
      <c r="J198" s="1" t="s">
        <v>1955</v>
      </c>
      <c r="K198" s="1"/>
      <c r="L198" s="1"/>
      <c r="M198" s="1" t="s">
        <v>289</v>
      </c>
      <c r="N198" s="1">
        <v>1</v>
      </c>
      <c r="O198" s="1">
        <v>0</v>
      </c>
      <c r="P198" s="1" t="s">
        <v>103</v>
      </c>
      <c r="Q198" s="1" t="s">
        <v>104</v>
      </c>
      <c r="R198" s="1" t="s">
        <v>1956</v>
      </c>
      <c r="S198" s="1" t="s">
        <v>1957</v>
      </c>
      <c r="T198" s="1" t="s">
        <v>107</v>
      </c>
      <c r="U198" s="1" t="s">
        <v>1958</v>
      </c>
      <c r="V198" s="1">
        <v>1</v>
      </c>
      <c r="W198" s="1">
        <v>1</v>
      </c>
      <c r="X198" s="1">
        <v>1</v>
      </c>
      <c r="Y198" s="1">
        <v>0</v>
      </c>
      <c r="Z198" s="1">
        <v>0</v>
      </c>
      <c r="AA198" s="1">
        <v>5</v>
      </c>
      <c r="AB198" s="1">
        <v>5</v>
      </c>
      <c r="AC198" s="1" t="s">
        <v>109</v>
      </c>
      <c r="AD198" s="1" t="s">
        <v>109</v>
      </c>
      <c r="AE198" s="1" t="s">
        <v>109</v>
      </c>
      <c r="AF198" s="1">
        <v>5</v>
      </c>
      <c r="AG198" s="1" t="s">
        <v>109</v>
      </c>
      <c r="AH198" s="1" t="s">
        <v>109</v>
      </c>
      <c r="AI198" s="1" t="s">
        <v>109</v>
      </c>
      <c r="AJ198" s="1" t="s">
        <v>109</v>
      </c>
      <c r="AK198" s="1" t="s">
        <v>109</v>
      </c>
      <c r="AL198" s="1" t="s">
        <v>109</v>
      </c>
      <c r="AM198" s="1" t="s">
        <v>109</v>
      </c>
      <c r="AN198" s="1" t="s">
        <v>109</v>
      </c>
      <c r="AO198" s="1" t="s">
        <v>109</v>
      </c>
      <c r="AP198" s="1"/>
      <c r="AQ198" s="1">
        <v>5</v>
      </c>
      <c r="AR198" s="1" t="s">
        <v>1959</v>
      </c>
      <c r="AS198" s="1" t="s">
        <v>1960</v>
      </c>
      <c r="AT198" s="1">
        <v>0</v>
      </c>
      <c r="AU198" s="1">
        <v>0</v>
      </c>
      <c r="AV198" s="1">
        <v>0</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5" t="str">
        <f>HYPERLINK("http://www.d20pfsrd.com/magic/all-spells/f/false-vision","False Vision")</f>
        <v>False Vision</v>
      </c>
      <c r="BT198" s="1">
        <v>197</v>
      </c>
      <c r="BU198" s="1">
        <v>250</v>
      </c>
      <c r="BV198" s="1"/>
      <c r="BW198" s="1"/>
      <c r="BX198" s="1"/>
      <c r="BY198" s="1"/>
      <c r="BZ198" s="1">
        <v>0</v>
      </c>
      <c r="CA198" s="1" t="s">
        <v>109</v>
      </c>
      <c r="CB198" s="1" t="s">
        <v>109</v>
      </c>
      <c r="CC198" s="1">
        <v>5</v>
      </c>
      <c r="CD198" s="1" t="s">
        <v>109</v>
      </c>
      <c r="CE198" s="1">
        <v>5</v>
      </c>
      <c r="CF198" s="1">
        <v>5</v>
      </c>
      <c r="CG198" s="1">
        <v>5</v>
      </c>
      <c r="CH198" s="1" t="s">
        <v>109</v>
      </c>
      <c r="CI198" s="1" t="s">
        <v>109</v>
      </c>
      <c r="CJ198" s="1" t="s">
        <v>109</v>
      </c>
      <c r="CK198" s="1"/>
      <c r="CL198" s="1">
        <v>0</v>
      </c>
      <c r="CM198" s="1">
        <v>0</v>
      </c>
      <c r="CN198" s="1">
        <v>0</v>
      </c>
    </row>
    <row r="199" spans="1:92" ht="14.25" customHeight="1" x14ac:dyDescent="0.15">
      <c r="A199" s="1" t="s">
        <v>1961</v>
      </c>
      <c r="B199" s="1" t="s">
        <v>189</v>
      </c>
      <c r="C199" s="1"/>
      <c r="D199" s="1"/>
      <c r="E199" s="1" t="s">
        <v>1962</v>
      </c>
      <c r="F199" s="1" t="s">
        <v>1963</v>
      </c>
      <c r="G199" s="1" t="s">
        <v>333</v>
      </c>
      <c r="H199" s="1">
        <v>0</v>
      </c>
      <c r="I199" s="1" t="s">
        <v>142</v>
      </c>
      <c r="J199" s="1"/>
      <c r="K199" s="1"/>
      <c r="L199" s="1" t="s">
        <v>1964</v>
      </c>
      <c r="M199" s="1" t="s">
        <v>1965</v>
      </c>
      <c r="N199" s="1">
        <v>0</v>
      </c>
      <c r="O199" s="1">
        <v>0</v>
      </c>
      <c r="P199" s="1" t="s">
        <v>1966</v>
      </c>
      <c r="Q199" s="1" t="s">
        <v>630</v>
      </c>
      <c r="R199" s="1" t="s">
        <v>1967</v>
      </c>
      <c r="S199" s="1" t="s">
        <v>1968</v>
      </c>
      <c r="T199" s="1" t="s">
        <v>107</v>
      </c>
      <c r="U199" s="1" t="s">
        <v>1969</v>
      </c>
      <c r="V199" s="1">
        <v>1</v>
      </c>
      <c r="W199" s="1">
        <v>0</v>
      </c>
      <c r="X199" s="1">
        <v>0</v>
      </c>
      <c r="Y199" s="1">
        <v>0</v>
      </c>
      <c r="Z199" s="1">
        <v>0</v>
      </c>
      <c r="AA199" s="1">
        <v>1</v>
      </c>
      <c r="AB199" s="1">
        <v>1</v>
      </c>
      <c r="AC199" s="1" t="s">
        <v>109</v>
      </c>
      <c r="AD199" s="1" t="s">
        <v>109</v>
      </c>
      <c r="AE199" s="1" t="s">
        <v>109</v>
      </c>
      <c r="AF199" s="1">
        <v>1</v>
      </c>
      <c r="AG199" s="1" t="s">
        <v>109</v>
      </c>
      <c r="AH199" s="1" t="s">
        <v>109</v>
      </c>
      <c r="AI199" s="1">
        <v>1</v>
      </c>
      <c r="AJ199" s="1" t="s">
        <v>109</v>
      </c>
      <c r="AK199" s="1" t="s">
        <v>109</v>
      </c>
      <c r="AL199" s="1" t="s">
        <v>109</v>
      </c>
      <c r="AM199" s="1" t="s">
        <v>109</v>
      </c>
      <c r="AN199" s="1">
        <v>1</v>
      </c>
      <c r="AO199" s="1" t="s">
        <v>109</v>
      </c>
      <c r="AP199" s="1"/>
      <c r="AQ199" s="1">
        <v>1</v>
      </c>
      <c r="AR199" s="1" t="s">
        <v>1970</v>
      </c>
      <c r="AS199" s="1" t="s">
        <v>1971</v>
      </c>
      <c r="AT199" s="1">
        <v>0</v>
      </c>
      <c r="AU199" s="1">
        <v>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5" t="str">
        <f>HYPERLINK("http://www.d20pfsrd.com/magic/all-spells/f/feather-fall","Feather Fall")</f>
        <v>Feather Fall</v>
      </c>
      <c r="BT199" s="1">
        <v>198</v>
      </c>
      <c r="BU199" s="1" t="s">
        <v>109</v>
      </c>
      <c r="BV199" s="1"/>
      <c r="BW199" s="1"/>
      <c r="BX199" s="1" t="s">
        <v>1972</v>
      </c>
      <c r="BY199" s="1" t="s">
        <v>1973</v>
      </c>
      <c r="BZ199" s="1">
        <v>1</v>
      </c>
      <c r="CA199" s="1">
        <v>1</v>
      </c>
      <c r="CB199" s="1" t="s">
        <v>109</v>
      </c>
      <c r="CC199" s="1">
        <v>1</v>
      </c>
      <c r="CD199" s="1" t="s">
        <v>109</v>
      </c>
      <c r="CE199" s="1" t="s">
        <v>109</v>
      </c>
      <c r="CF199" s="1">
        <v>1</v>
      </c>
      <c r="CG199" s="1">
        <v>1</v>
      </c>
      <c r="CH199" s="1" t="s">
        <v>109</v>
      </c>
      <c r="CI199" s="1" t="s">
        <v>109</v>
      </c>
      <c r="CJ199" s="1" t="s">
        <v>109</v>
      </c>
      <c r="CK199" s="1"/>
      <c r="CL199" s="1">
        <v>0</v>
      </c>
      <c r="CM199" s="1">
        <v>0</v>
      </c>
      <c r="CN199" s="1">
        <v>0</v>
      </c>
    </row>
    <row r="200" spans="1:92" ht="14.25" customHeight="1" x14ac:dyDescent="0.15">
      <c r="A200" s="1" t="s">
        <v>1974</v>
      </c>
      <c r="B200" s="1" t="s">
        <v>156</v>
      </c>
      <c r="C200" s="1" t="s">
        <v>157</v>
      </c>
      <c r="D200" s="1" t="s">
        <v>158</v>
      </c>
      <c r="E200" s="1" t="s">
        <v>1975</v>
      </c>
      <c r="F200" s="1" t="s">
        <v>98</v>
      </c>
      <c r="G200" s="1" t="s">
        <v>1976</v>
      </c>
      <c r="H200" s="1">
        <v>0</v>
      </c>
      <c r="I200" s="1" t="s">
        <v>122</v>
      </c>
      <c r="J200" s="1"/>
      <c r="K200" s="1"/>
      <c r="L200" s="1" t="s">
        <v>1391</v>
      </c>
      <c r="M200" s="1" t="s">
        <v>144</v>
      </c>
      <c r="N200" s="1">
        <v>0</v>
      </c>
      <c r="O200" s="1">
        <v>0</v>
      </c>
      <c r="P200" s="1" t="s">
        <v>564</v>
      </c>
      <c r="Q200" s="1" t="s">
        <v>268</v>
      </c>
      <c r="R200" s="1" t="s">
        <v>1977</v>
      </c>
      <c r="S200" s="1" t="s">
        <v>1978</v>
      </c>
      <c r="T200" s="1" t="s">
        <v>107</v>
      </c>
      <c r="U200" s="1" t="s">
        <v>1979</v>
      </c>
      <c r="V200" s="1">
        <v>1</v>
      </c>
      <c r="W200" s="1">
        <v>1</v>
      </c>
      <c r="X200" s="1">
        <v>1</v>
      </c>
      <c r="Y200" s="1">
        <v>0</v>
      </c>
      <c r="Z200" s="1">
        <v>0</v>
      </c>
      <c r="AA200" s="1">
        <v>5</v>
      </c>
      <c r="AB200" s="1">
        <v>5</v>
      </c>
      <c r="AC200" s="1" t="s">
        <v>109</v>
      </c>
      <c r="AD200" s="1" t="s">
        <v>109</v>
      </c>
      <c r="AE200" s="1" t="s">
        <v>109</v>
      </c>
      <c r="AF200" s="1" t="s">
        <v>109</v>
      </c>
      <c r="AG200" s="1" t="s">
        <v>109</v>
      </c>
      <c r="AH200" s="1" t="s">
        <v>109</v>
      </c>
      <c r="AI200" s="1" t="s">
        <v>109</v>
      </c>
      <c r="AJ200" s="1">
        <v>5</v>
      </c>
      <c r="AK200" s="1" t="s">
        <v>109</v>
      </c>
      <c r="AL200" s="1" t="s">
        <v>109</v>
      </c>
      <c r="AM200" s="1" t="s">
        <v>109</v>
      </c>
      <c r="AN200" s="1" t="s">
        <v>109</v>
      </c>
      <c r="AO200" s="1" t="s">
        <v>109</v>
      </c>
      <c r="AP200" s="1"/>
      <c r="AQ200" s="1">
        <v>5</v>
      </c>
      <c r="AR200" s="1"/>
      <c r="AS200" s="1" t="s">
        <v>1980</v>
      </c>
      <c r="AT200" s="1">
        <v>0</v>
      </c>
      <c r="AU200" s="1">
        <v>0</v>
      </c>
      <c r="AV200" s="1">
        <v>0</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1</v>
      </c>
      <c r="BN200" s="1">
        <v>0</v>
      </c>
      <c r="BO200" s="1">
        <v>0</v>
      </c>
      <c r="BP200" s="1">
        <v>0</v>
      </c>
      <c r="BQ200" s="1">
        <v>0</v>
      </c>
      <c r="BR200" s="1">
        <v>0</v>
      </c>
      <c r="BS200" s="5" t="str">
        <f>HYPERLINK("http://www.d20pfsrd.com/magic/all-spells/f/feeblemind","Feeblemind")</f>
        <v>Feeblemind</v>
      </c>
      <c r="BT200" s="1">
        <v>199</v>
      </c>
      <c r="BU200" s="1" t="s">
        <v>109</v>
      </c>
      <c r="BV200" s="1" t="s">
        <v>1981</v>
      </c>
      <c r="BW200" s="1"/>
      <c r="BX200" s="1"/>
      <c r="BY200" s="1"/>
      <c r="BZ200" s="1">
        <v>0</v>
      </c>
      <c r="CA200" s="1" t="s">
        <v>109</v>
      </c>
      <c r="CB200" s="1" t="s">
        <v>109</v>
      </c>
      <c r="CC200" s="1">
        <v>5</v>
      </c>
      <c r="CD200" s="1" t="s">
        <v>109</v>
      </c>
      <c r="CE200" s="1">
        <v>5</v>
      </c>
      <c r="CF200" s="1" t="s">
        <v>109</v>
      </c>
      <c r="CG200" s="1">
        <v>5</v>
      </c>
      <c r="CH200" s="1" t="s">
        <v>109</v>
      </c>
      <c r="CI200" s="1" t="s">
        <v>109</v>
      </c>
      <c r="CJ200" s="1" t="s">
        <v>109</v>
      </c>
      <c r="CK200" s="1"/>
      <c r="CL200" s="1">
        <v>0</v>
      </c>
      <c r="CM200" s="1">
        <v>0</v>
      </c>
      <c r="CN200" s="1">
        <v>0</v>
      </c>
    </row>
    <row r="201" spans="1:92" ht="14.25" customHeight="1" x14ac:dyDescent="0.15">
      <c r="A201" s="1" t="s">
        <v>1982</v>
      </c>
      <c r="B201" s="1" t="s">
        <v>254</v>
      </c>
      <c r="C201" s="1"/>
      <c r="D201" s="1"/>
      <c r="E201" s="1" t="s">
        <v>1983</v>
      </c>
      <c r="F201" s="1" t="s">
        <v>1984</v>
      </c>
      <c r="G201" s="1" t="s">
        <v>1985</v>
      </c>
      <c r="H201" s="1">
        <v>0</v>
      </c>
      <c r="I201" s="1" t="s">
        <v>1986</v>
      </c>
      <c r="J201" s="1"/>
      <c r="K201" s="1"/>
      <c r="L201" s="1" t="s">
        <v>1987</v>
      </c>
      <c r="M201" s="1" t="s">
        <v>194</v>
      </c>
      <c r="N201" s="1">
        <v>0</v>
      </c>
      <c r="O201" s="1">
        <v>0</v>
      </c>
      <c r="P201" s="1" t="s">
        <v>1988</v>
      </c>
      <c r="Q201" s="1" t="s">
        <v>1989</v>
      </c>
      <c r="R201" s="1" t="s">
        <v>1990</v>
      </c>
      <c r="S201" s="1" t="s">
        <v>1991</v>
      </c>
      <c r="T201" s="1" t="s">
        <v>107</v>
      </c>
      <c r="U201" s="1" t="s">
        <v>1992</v>
      </c>
      <c r="V201" s="1">
        <v>1</v>
      </c>
      <c r="W201" s="1">
        <v>1</v>
      </c>
      <c r="X201" s="1">
        <v>0</v>
      </c>
      <c r="Y201" s="1">
        <v>1</v>
      </c>
      <c r="Z201" s="1">
        <v>0</v>
      </c>
      <c r="AA201" s="1" t="s">
        <v>109</v>
      </c>
      <c r="AB201" s="1" t="s">
        <v>109</v>
      </c>
      <c r="AC201" s="1">
        <v>6</v>
      </c>
      <c r="AD201" s="1">
        <v>6</v>
      </c>
      <c r="AE201" s="1" t="s">
        <v>109</v>
      </c>
      <c r="AF201" s="1">
        <v>6</v>
      </c>
      <c r="AG201" s="1" t="s">
        <v>109</v>
      </c>
      <c r="AH201" s="1" t="s">
        <v>109</v>
      </c>
      <c r="AI201" s="1" t="s">
        <v>109</v>
      </c>
      <c r="AJ201" s="1">
        <v>6</v>
      </c>
      <c r="AK201" s="1">
        <v>6</v>
      </c>
      <c r="AL201" s="1">
        <v>6</v>
      </c>
      <c r="AM201" s="1" t="s">
        <v>109</v>
      </c>
      <c r="AN201" s="1" t="s">
        <v>109</v>
      </c>
      <c r="AO201" s="1" t="s">
        <v>109</v>
      </c>
      <c r="AP201" s="1"/>
      <c r="AQ201" s="1">
        <v>6</v>
      </c>
      <c r="AR201" s="1" t="s">
        <v>1993</v>
      </c>
      <c r="AS201" s="1" t="s">
        <v>1994</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5" t="str">
        <f>HYPERLINK("http://www.d20pfsrd.com/magic/all-spells/f/find-the-path","Find the Path")</f>
        <v>Find the Path</v>
      </c>
      <c r="BT201" s="1">
        <v>200</v>
      </c>
      <c r="BU201" s="1" t="s">
        <v>109</v>
      </c>
      <c r="BV201" s="1"/>
      <c r="BW201" s="1"/>
      <c r="BX201" s="1"/>
      <c r="BY201" s="1"/>
      <c r="BZ201" s="1">
        <v>0</v>
      </c>
      <c r="CA201" s="1" t="s">
        <v>109</v>
      </c>
      <c r="CB201" s="1">
        <v>6</v>
      </c>
      <c r="CC201" s="1">
        <v>6</v>
      </c>
      <c r="CD201" s="1" t="s">
        <v>109</v>
      </c>
      <c r="CE201" s="1" t="s">
        <v>109</v>
      </c>
      <c r="CF201" s="1">
        <v>6</v>
      </c>
      <c r="CG201" s="1">
        <v>6</v>
      </c>
      <c r="CH201" s="1" t="s">
        <v>109</v>
      </c>
      <c r="CI201" s="1" t="s">
        <v>109</v>
      </c>
      <c r="CJ201" s="1">
        <v>6</v>
      </c>
      <c r="CK201" s="1"/>
      <c r="CL201" s="1">
        <v>0</v>
      </c>
      <c r="CM201" s="1">
        <v>0</v>
      </c>
      <c r="CN201" s="1">
        <v>0</v>
      </c>
    </row>
    <row r="202" spans="1:92" ht="14.25" customHeight="1" x14ac:dyDescent="0.15">
      <c r="A202" s="1" t="s">
        <v>1995</v>
      </c>
      <c r="B202" s="1" t="s">
        <v>254</v>
      </c>
      <c r="C202" s="1"/>
      <c r="D202" s="1"/>
      <c r="E202" s="1" t="s">
        <v>1996</v>
      </c>
      <c r="F202" s="1" t="s">
        <v>98</v>
      </c>
      <c r="G202" s="1" t="s">
        <v>141</v>
      </c>
      <c r="H202" s="1">
        <v>0</v>
      </c>
      <c r="I202" s="1" t="s">
        <v>235</v>
      </c>
      <c r="J202" s="1"/>
      <c r="K202" s="1"/>
      <c r="L202" s="1" t="s">
        <v>236</v>
      </c>
      <c r="M202" s="1" t="s">
        <v>164</v>
      </c>
      <c r="N202" s="1">
        <v>0</v>
      </c>
      <c r="O202" s="1">
        <v>0</v>
      </c>
      <c r="P202" s="1"/>
      <c r="Q202" s="1"/>
      <c r="R202" s="1" t="s">
        <v>1997</v>
      </c>
      <c r="S202" s="1" t="s">
        <v>1998</v>
      </c>
      <c r="T202" s="1" t="s">
        <v>107</v>
      </c>
      <c r="U202" s="1" t="s">
        <v>1999</v>
      </c>
      <c r="V202" s="1">
        <v>1</v>
      </c>
      <c r="W202" s="1">
        <v>1</v>
      </c>
      <c r="X202" s="1">
        <v>0</v>
      </c>
      <c r="Y202" s="1">
        <v>0</v>
      </c>
      <c r="Z202" s="1">
        <v>0</v>
      </c>
      <c r="AA202" s="1" t="s">
        <v>109</v>
      </c>
      <c r="AB202" s="1" t="s">
        <v>109</v>
      </c>
      <c r="AC202" s="1">
        <v>2</v>
      </c>
      <c r="AD202" s="1" t="s">
        <v>109</v>
      </c>
      <c r="AE202" s="1" t="s">
        <v>109</v>
      </c>
      <c r="AF202" s="1" t="s">
        <v>109</v>
      </c>
      <c r="AG202" s="1" t="s">
        <v>109</v>
      </c>
      <c r="AH202" s="1" t="s">
        <v>109</v>
      </c>
      <c r="AI202" s="1" t="s">
        <v>109</v>
      </c>
      <c r="AJ202" s="1">
        <v>2</v>
      </c>
      <c r="AK202" s="1">
        <v>2</v>
      </c>
      <c r="AL202" s="1">
        <v>2</v>
      </c>
      <c r="AM202" s="1" t="s">
        <v>109</v>
      </c>
      <c r="AN202" s="1" t="s">
        <v>109</v>
      </c>
      <c r="AO202" s="1" t="s">
        <v>109</v>
      </c>
      <c r="AP202" s="1"/>
      <c r="AQ202" s="1">
        <v>2</v>
      </c>
      <c r="AR202" s="1"/>
      <c r="AS202" s="1" t="s">
        <v>2000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5" t="str">
        <f>HYPERLINK("http://www.d20pfsrd.com/magic/all-spells/f/find-traps","Find Traps")</f>
        <v>Find Traps</v>
      </c>
      <c r="BT202" s="1">
        <v>201</v>
      </c>
      <c r="BU202" s="1" t="s">
        <v>109</v>
      </c>
      <c r="BV202" s="1"/>
      <c r="BW202" s="1"/>
      <c r="BX202" s="1"/>
      <c r="BY202" s="1"/>
      <c r="BZ202" s="1">
        <v>0</v>
      </c>
      <c r="CA202" s="1" t="s">
        <v>109</v>
      </c>
      <c r="CB202" s="1" t="s">
        <v>109</v>
      </c>
      <c r="CC202" s="1">
        <v>2</v>
      </c>
      <c r="CD202" s="1" t="s">
        <v>109</v>
      </c>
      <c r="CE202" s="1" t="s">
        <v>109</v>
      </c>
      <c r="CF202" s="1">
        <v>2</v>
      </c>
      <c r="CG202" s="1" t="s">
        <v>109</v>
      </c>
      <c r="CH202" s="1" t="s">
        <v>109</v>
      </c>
      <c r="CI202" s="1" t="s">
        <v>109</v>
      </c>
      <c r="CJ202" s="1" t="s">
        <v>109</v>
      </c>
      <c r="CK202" s="1"/>
      <c r="CL202" s="1">
        <v>0</v>
      </c>
      <c r="CM202" s="1">
        <v>0</v>
      </c>
      <c r="CN202" s="1">
        <v>0</v>
      </c>
    </row>
    <row r="203" spans="1:92" ht="14.25" customHeight="1" x14ac:dyDescent="0.15">
      <c r="A203" s="1" t="s">
        <v>2001</v>
      </c>
      <c r="B203" s="1" t="s">
        <v>308</v>
      </c>
      <c r="C203" s="1"/>
      <c r="D203" s="1" t="s">
        <v>52</v>
      </c>
      <c r="E203" s="1" t="s">
        <v>2002</v>
      </c>
      <c r="F203" s="1" t="s">
        <v>98</v>
      </c>
      <c r="G203" s="1" t="s">
        <v>141</v>
      </c>
      <c r="H203" s="1">
        <v>0</v>
      </c>
      <c r="I203" s="1" t="s">
        <v>142</v>
      </c>
      <c r="J203" s="1"/>
      <c r="K203" s="1"/>
      <c r="L203" s="1" t="s">
        <v>1391</v>
      </c>
      <c r="M203" s="1" t="s">
        <v>144</v>
      </c>
      <c r="N203" s="1">
        <v>0</v>
      </c>
      <c r="O203" s="1">
        <v>0</v>
      </c>
      <c r="P203" s="1" t="s">
        <v>1410</v>
      </c>
      <c r="Q203" s="1" t="s">
        <v>268</v>
      </c>
      <c r="R203" s="1" t="s">
        <v>2003</v>
      </c>
      <c r="S203" s="1" t="s">
        <v>2004</v>
      </c>
      <c r="T203" s="1" t="s">
        <v>107</v>
      </c>
      <c r="U203" s="1" t="s">
        <v>2005</v>
      </c>
      <c r="V203" s="1">
        <v>1</v>
      </c>
      <c r="W203" s="1">
        <v>1</v>
      </c>
      <c r="X203" s="1">
        <v>0</v>
      </c>
      <c r="Y203" s="1">
        <v>0</v>
      </c>
      <c r="Z203" s="1">
        <v>0</v>
      </c>
      <c r="AA203" s="1">
        <v>7</v>
      </c>
      <c r="AB203" s="1">
        <v>7</v>
      </c>
      <c r="AC203" s="1" t="s">
        <v>109</v>
      </c>
      <c r="AD203" s="1">
        <v>8</v>
      </c>
      <c r="AE203" s="1" t="s">
        <v>109</v>
      </c>
      <c r="AF203" s="1" t="s">
        <v>109</v>
      </c>
      <c r="AG203" s="1" t="s">
        <v>109</v>
      </c>
      <c r="AH203" s="1" t="s">
        <v>109</v>
      </c>
      <c r="AI203" s="1" t="s">
        <v>109</v>
      </c>
      <c r="AJ203" s="1" t="s">
        <v>109</v>
      </c>
      <c r="AK203" s="1" t="s">
        <v>109</v>
      </c>
      <c r="AL203" s="1" t="s">
        <v>109</v>
      </c>
      <c r="AM203" s="1" t="s">
        <v>109</v>
      </c>
      <c r="AN203" s="1" t="s">
        <v>109</v>
      </c>
      <c r="AO203" s="1" t="s">
        <v>109</v>
      </c>
      <c r="AP203" s="1"/>
      <c r="AQ203" s="1">
        <v>7</v>
      </c>
      <c r="AR203" s="1"/>
      <c r="AS203" s="1" t="s">
        <v>2006</v>
      </c>
      <c r="AT203" s="1">
        <v>0</v>
      </c>
      <c r="AU203" s="1">
        <v>0</v>
      </c>
      <c r="AV203" s="1">
        <v>0</v>
      </c>
      <c r="AW203" s="1">
        <v>0</v>
      </c>
      <c r="AX203" s="1">
        <v>0</v>
      </c>
      <c r="AY203" s="1">
        <v>0</v>
      </c>
      <c r="AZ203" s="1">
        <v>1</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5" t="str">
        <f>HYPERLINK("http://www.d20pfsrd.com/magic/all-spells/f/finger-of-death","Finger of Death")</f>
        <v>Finger of Death</v>
      </c>
      <c r="BT203" s="1">
        <v>202</v>
      </c>
      <c r="BU203" s="1" t="s">
        <v>109</v>
      </c>
      <c r="BV203" s="1" t="s">
        <v>2007</v>
      </c>
      <c r="BW203" s="1" t="s">
        <v>2008</v>
      </c>
      <c r="BX203" s="1" t="s">
        <v>2009</v>
      </c>
      <c r="BY203" s="1"/>
      <c r="BZ203" s="1">
        <v>1</v>
      </c>
      <c r="CA203" s="1" t="s">
        <v>109</v>
      </c>
      <c r="CB203" s="1" t="s">
        <v>109</v>
      </c>
      <c r="CC203" s="1">
        <v>7</v>
      </c>
      <c r="CD203" s="1" t="s">
        <v>109</v>
      </c>
      <c r="CE203" s="1" t="s">
        <v>109</v>
      </c>
      <c r="CF203" s="1" t="s">
        <v>109</v>
      </c>
      <c r="CG203" s="1" t="s">
        <v>109</v>
      </c>
      <c r="CH203" s="1" t="s">
        <v>109</v>
      </c>
      <c r="CI203" s="1" t="s">
        <v>109</v>
      </c>
      <c r="CJ203" s="1" t="s">
        <v>109</v>
      </c>
      <c r="CK203" s="1"/>
      <c r="CL203" s="1">
        <v>0</v>
      </c>
      <c r="CM203" s="1">
        <v>0</v>
      </c>
      <c r="CN203" s="1">
        <v>0</v>
      </c>
    </row>
    <row r="204" spans="1:92" ht="14.25" customHeight="1" x14ac:dyDescent="0.15">
      <c r="A204" s="1" t="s">
        <v>2010</v>
      </c>
      <c r="B204" s="1" t="s">
        <v>584</v>
      </c>
      <c r="C204" s="1"/>
      <c r="D204" s="1" t="s">
        <v>2011</v>
      </c>
      <c r="E204" s="1" t="s">
        <v>2012</v>
      </c>
      <c r="F204" s="1" t="s">
        <v>98</v>
      </c>
      <c r="G204" s="1" t="s">
        <v>2013</v>
      </c>
      <c r="H204" s="1">
        <v>0</v>
      </c>
      <c r="I204" s="1" t="s">
        <v>235</v>
      </c>
      <c r="J204" s="1"/>
      <c r="K204" s="1"/>
      <c r="L204" s="1" t="s">
        <v>236</v>
      </c>
      <c r="M204" s="1" t="s">
        <v>574</v>
      </c>
      <c r="N204" s="1">
        <v>1</v>
      </c>
      <c r="O204" s="1">
        <v>0</v>
      </c>
      <c r="P204" s="1"/>
      <c r="Q204" s="1"/>
      <c r="R204" s="1" t="s">
        <v>2014</v>
      </c>
      <c r="S204" s="1" t="s">
        <v>2015</v>
      </c>
      <c r="T204" s="1" t="s">
        <v>107</v>
      </c>
      <c r="U204" s="1" t="s">
        <v>2016</v>
      </c>
      <c r="V204" s="1">
        <v>1</v>
      </c>
      <c r="W204" s="1">
        <v>1</v>
      </c>
      <c r="X204" s="1">
        <v>1</v>
      </c>
      <c r="Y204" s="1">
        <v>0</v>
      </c>
      <c r="Z204" s="1">
        <v>0</v>
      </c>
      <c r="AA204" s="1">
        <v>4</v>
      </c>
      <c r="AB204" s="1">
        <v>4</v>
      </c>
      <c r="AC204" s="1" t="s">
        <v>109</v>
      </c>
      <c r="AD204" s="1" t="s">
        <v>109</v>
      </c>
      <c r="AE204" s="1" t="s">
        <v>109</v>
      </c>
      <c r="AF204" s="1" t="s">
        <v>109</v>
      </c>
      <c r="AG204" s="1" t="s">
        <v>109</v>
      </c>
      <c r="AH204" s="1">
        <v>4</v>
      </c>
      <c r="AI204" s="1">
        <v>3</v>
      </c>
      <c r="AJ204" s="1" t="s">
        <v>109</v>
      </c>
      <c r="AK204" s="1" t="s">
        <v>109</v>
      </c>
      <c r="AL204" s="1" t="s">
        <v>109</v>
      </c>
      <c r="AM204" s="1" t="s">
        <v>109</v>
      </c>
      <c r="AN204" s="1">
        <v>4</v>
      </c>
      <c r="AO204" s="1" t="s">
        <v>109</v>
      </c>
      <c r="AP204" s="1"/>
      <c r="AQ204" s="1">
        <v>4</v>
      </c>
      <c r="AR204" s="1" t="s">
        <v>2017</v>
      </c>
      <c r="AS204" s="1" t="s">
        <v>2018</v>
      </c>
      <c r="AT204" s="1">
        <v>0</v>
      </c>
      <c r="AU204" s="1">
        <v>0</v>
      </c>
      <c r="AV204" s="1">
        <v>0</v>
      </c>
      <c r="AW204" s="1">
        <v>1</v>
      </c>
      <c r="AX204" s="1">
        <v>0</v>
      </c>
      <c r="AY204" s="1">
        <v>0</v>
      </c>
      <c r="AZ204" s="1">
        <v>0</v>
      </c>
      <c r="BA204" s="1">
        <v>0</v>
      </c>
      <c r="BB204" s="1">
        <v>0</v>
      </c>
      <c r="BC204" s="1">
        <v>0</v>
      </c>
      <c r="BD204" s="1">
        <v>0</v>
      </c>
      <c r="BE204" s="1">
        <v>0</v>
      </c>
      <c r="BF204" s="1">
        <v>0</v>
      </c>
      <c r="BG204" s="1">
        <v>1</v>
      </c>
      <c r="BH204" s="1">
        <v>0</v>
      </c>
      <c r="BI204" s="1">
        <v>0</v>
      </c>
      <c r="BJ204" s="1">
        <v>0</v>
      </c>
      <c r="BK204" s="1">
        <v>0</v>
      </c>
      <c r="BL204" s="1">
        <v>0</v>
      </c>
      <c r="BM204" s="1">
        <v>0</v>
      </c>
      <c r="BN204" s="1">
        <v>0</v>
      </c>
      <c r="BO204" s="1">
        <v>0</v>
      </c>
      <c r="BP204" s="1">
        <v>0</v>
      </c>
      <c r="BQ204" s="1">
        <v>0</v>
      </c>
      <c r="BR204" s="1">
        <v>0</v>
      </c>
      <c r="BS204" s="5" t="str">
        <f>HYPERLINK("http://www.d20pfsrd.com/magic/all-spells/f/fire-shield","Fire Shield")</f>
        <v>Fire Shield</v>
      </c>
      <c r="BT204" s="1">
        <v>203</v>
      </c>
      <c r="BU204" s="1" t="s">
        <v>109</v>
      </c>
      <c r="BV204" s="1"/>
      <c r="BW204" s="1"/>
      <c r="BX204" s="1" t="s">
        <v>2019</v>
      </c>
      <c r="BY204" s="1"/>
      <c r="BZ204" s="1">
        <v>1</v>
      </c>
      <c r="CA204" s="1">
        <v>4</v>
      </c>
      <c r="CB204" s="1" t="s">
        <v>109</v>
      </c>
      <c r="CC204" s="1" t="s">
        <v>109</v>
      </c>
      <c r="CD204" s="1" t="s">
        <v>109</v>
      </c>
      <c r="CE204" s="1" t="s">
        <v>109</v>
      </c>
      <c r="CF204" s="1">
        <v>4</v>
      </c>
      <c r="CG204" s="1" t="s">
        <v>109</v>
      </c>
      <c r="CH204" s="1" t="s">
        <v>109</v>
      </c>
      <c r="CI204" s="1" t="s">
        <v>109</v>
      </c>
      <c r="CJ204" s="1" t="s">
        <v>109</v>
      </c>
      <c r="CK204" s="1"/>
      <c r="CL204" s="1">
        <v>0</v>
      </c>
      <c r="CM204" s="1">
        <v>0</v>
      </c>
      <c r="CN204" s="1">
        <v>0</v>
      </c>
    </row>
    <row r="205" spans="1:92" ht="14.25" customHeight="1" x14ac:dyDescent="0.15">
      <c r="A205" s="1" t="s">
        <v>2020</v>
      </c>
      <c r="B205" s="1" t="s">
        <v>95</v>
      </c>
      <c r="C205" s="1" t="s">
        <v>96</v>
      </c>
      <c r="D205" s="1" t="s">
        <v>59</v>
      </c>
      <c r="E205" s="1" t="s">
        <v>2021</v>
      </c>
      <c r="F205" s="1" t="s">
        <v>98</v>
      </c>
      <c r="G205" s="1" t="s">
        <v>2022</v>
      </c>
      <c r="H205" s="1">
        <v>0</v>
      </c>
      <c r="I205" s="1" t="s">
        <v>161</v>
      </c>
      <c r="J205" s="1"/>
      <c r="K205" s="1"/>
      <c r="L205" s="1" t="s">
        <v>2023</v>
      </c>
      <c r="M205" s="1" t="s">
        <v>2024</v>
      </c>
      <c r="N205" s="1">
        <v>0</v>
      </c>
      <c r="O205" s="1">
        <v>0</v>
      </c>
      <c r="P205" s="1" t="s">
        <v>2025</v>
      </c>
      <c r="Q205" s="1" t="s">
        <v>104</v>
      </c>
      <c r="R205" s="1" t="s">
        <v>2026</v>
      </c>
      <c r="S205" s="1" t="s">
        <v>2027</v>
      </c>
      <c r="T205" s="1" t="s">
        <v>107</v>
      </c>
      <c r="U205" s="1" t="s">
        <v>2028</v>
      </c>
      <c r="V205" s="1">
        <v>1</v>
      </c>
      <c r="W205" s="1">
        <v>1</v>
      </c>
      <c r="X205" s="1">
        <v>1</v>
      </c>
      <c r="Y205" s="1">
        <v>0</v>
      </c>
      <c r="Z205" s="1">
        <v>0</v>
      </c>
      <c r="AA205" s="1" t="s">
        <v>109</v>
      </c>
      <c r="AB205" s="1" t="s">
        <v>109</v>
      </c>
      <c r="AC205" s="1" t="s">
        <v>109</v>
      </c>
      <c r="AD205" s="1">
        <v>6</v>
      </c>
      <c r="AE205" s="1" t="s">
        <v>109</v>
      </c>
      <c r="AF205" s="1" t="s">
        <v>109</v>
      </c>
      <c r="AG205" s="1" t="s">
        <v>109</v>
      </c>
      <c r="AH205" s="1" t="s">
        <v>109</v>
      </c>
      <c r="AI205" s="1" t="s">
        <v>109</v>
      </c>
      <c r="AJ205" s="1" t="s">
        <v>109</v>
      </c>
      <c r="AK205" s="1" t="s">
        <v>109</v>
      </c>
      <c r="AL205" s="1" t="s">
        <v>109</v>
      </c>
      <c r="AM205" s="1" t="s">
        <v>109</v>
      </c>
      <c r="AN205" s="1" t="s">
        <v>109</v>
      </c>
      <c r="AO205" s="1" t="s">
        <v>109</v>
      </c>
      <c r="AP205" s="1"/>
      <c r="AQ205" s="1">
        <v>6</v>
      </c>
      <c r="AR205" s="1" t="s">
        <v>2029</v>
      </c>
      <c r="AS205" s="1" t="s">
        <v>2030</v>
      </c>
      <c r="AT205" s="1">
        <v>0</v>
      </c>
      <c r="AU205" s="1">
        <v>0</v>
      </c>
      <c r="AV205" s="1">
        <v>0</v>
      </c>
      <c r="AW205" s="1">
        <v>0</v>
      </c>
      <c r="AX205" s="1">
        <v>0</v>
      </c>
      <c r="AY205" s="1">
        <v>0</v>
      </c>
      <c r="AZ205" s="1">
        <v>0</v>
      </c>
      <c r="BA205" s="1">
        <v>0</v>
      </c>
      <c r="BB205" s="1">
        <v>0</v>
      </c>
      <c r="BC205" s="1">
        <v>0</v>
      </c>
      <c r="BD205" s="1">
        <v>0</v>
      </c>
      <c r="BE205" s="1">
        <v>0</v>
      </c>
      <c r="BF205" s="1">
        <v>0</v>
      </c>
      <c r="BG205" s="1">
        <v>1</v>
      </c>
      <c r="BH205" s="1">
        <v>0</v>
      </c>
      <c r="BI205" s="1">
        <v>0</v>
      </c>
      <c r="BJ205" s="1">
        <v>0</v>
      </c>
      <c r="BK205" s="1">
        <v>0</v>
      </c>
      <c r="BL205" s="1">
        <v>0</v>
      </c>
      <c r="BM205" s="1">
        <v>0</v>
      </c>
      <c r="BN205" s="1">
        <v>0</v>
      </c>
      <c r="BO205" s="1">
        <v>0</v>
      </c>
      <c r="BP205" s="1">
        <v>0</v>
      </c>
      <c r="BQ205" s="1">
        <v>0</v>
      </c>
      <c r="BR205" s="1">
        <v>0</v>
      </c>
      <c r="BS205" s="5" t="str">
        <f>HYPERLINK("http://www.d20pfsrd.com/magic/all-spells/f/fire-seeds","Fire Seeds")</f>
        <v>Fire Seeds</v>
      </c>
      <c r="BT205" s="1">
        <v>204</v>
      </c>
      <c r="BU205" s="1" t="s">
        <v>109</v>
      </c>
      <c r="BV205" s="1"/>
      <c r="BW205" s="1"/>
      <c r="BX205" s="1" t="s">
        <v>2031</v>
      </c>
      <c r="BY205" s="1"/>
      <c r="BZ205" s="1">
        <v>1</v>
      </c>
      <c r="CA205" s="1" t="s">
        <v>109</v>
      </c>
      <c r="CB205" s="1">
        <v>6</v>
      </c>
      <c r="CC205" s="1" t="s">
        <v>109</v>
      </c>
      <c r="CD205" s="1" t="s">
        <v>109</v>
      </c>
      <c r="CE205" s="1" t="s">
        <v>109</v>
      </c>
      <c r="CF205" s="1" t="s">
        <v>109</v>
      </c>
      <c r="CG205" s="1" t="s">
        <v>109</v>
      </c>
      <c r="CH205" s="1" t="s">
        <v>109</v>
      </c>
      <c r="CI205" s="1" t="s">
        <v>109</v>
      </c>
      <c r="CJ205" s="1">
        <v>6</v>
      </c>
      <c r="CK205" s="1"/>
      <c r="CL205" s="1">
        <v>0</v>
      </c>
      <c r="CM205" s="1">
        <v>0</v>
      </c>
      <c r="CN205" s="1">
        <v>0</v>
      </c>
    </row>
    <row r="206" spans="1:92" ht="14.25" customHeight="1" x14ac:dyDescent="0.15">
      <c r="A206" s="1" t="s">
        <v>2032</v>
      </c>
      <c r="B206" s="1" t="s">
        <v>584</v>
      </c>
      <c r="C206" s="1"/>
      <c r="D206" s="1" t="s">
        <v>59</v>
      </c>
      <c r="E206" s="1" t="s">
        <v>2033</v>
      </c>
      <c r="F206" s="1" t="s">
        <v>98</v>
      </c>
      <c r="G206" s="1" t="s">
        <v>141</v>
      </c>
      <c r="H206" s="1">
        <v>0</v>
      </c>
      <c r="I206" s="1" t="s">
        <v>122</v>
      </c>
      <c r="J206" s="1" t="s">
        <v>2034</v>
      </c>
      <c r="K206" s="1"/>
      <c r="L206" s="1"/>
      <c r="M206" s="1" t="s">
        <v>144</v>
      </c>
      <c r="N206" s="1">
        <v>0</v>
      </c>
      <c r="O206" s="1">
        <v>1</v>
      </c>
      <c r="P206" s="1" t="s">
        <v>727</v>
      </c>
      <c r="Q206" s="1" t="s">
        <v>268</v>
      </c>
      <c r="R206" s="1" t="s">
        <v>2035</v>
      </c>
      <c r="S206" s="1" t="s">
        <v>2036</v>
      </c>
      <c r="T206" s="1" t="s">
        <v>107</v>
      </c>
      <c r="U206" s="1" t="s">
        <v>2037</v>
      </c>
      <c r="V206" s="1">
        <v>1</v>
      </c>
      <c r="W206" s="1">
        <v>1</v>
      </c>
      <c r="X206" s="1">
        <v>0</v>
      </c>
      <c r="Y206" s="1">
        <v>0</v>
      </c>
      <c r="Z206" s="1">
        <v>0</v>
      </c>
      <c r="AA206" s="1" t="s">
        <v>109</v>
      </c>
      <c r="AB206" s="1" t="s">
        <v>109</v>
      </c>
      <c r="AC206" s="1">
        <v>8</v>
      </c>
      <c r="AD206" s="1">
        <v>7</v>
      </c>
      <c r="AE206" s="1" t="s">
        <v>109</v>
      </c>
      <c r="AF206" s="1" t="s">
        <v>109</v>
      </c>
      <c r="AG206" s="1" t="s">
        <v>109</v>
      </c>
      <c r="AH206" s="1" t="s">
        <v>109</v>
      </c>
      <c r="AI206" s="1" t="s">
        <v>109</v>
      </c>
      <c r="AJ206" s="1" t="s">
        <v>109</v>
      </c>
      <c r="AK206" s="1" t="s">
        <v>109</v>
      </c>
      <c r="AL206" s="1">
        <v>8</v>
      </c>
      <c r="AM206" s="1" t="s">
        <v>109</v>
      </c>
      <c r="AN206" s="1" t="s">
        <v>109</v>
      </c>
      <c r="AO206" s="1" t="s">
        <v>109</v>
      </c>
      <c r="AP206" s="1"/>
      <c r="AQ206" s="1">
        <v>8</v>
      </c>
      <c r="AR206" s="1"/>
      <c r="AS206" s="1" t="s">
        <v>2038</v>
      </c>
      <c r="AT206" s="1">
        <v>0</v>
      </c>
      <c r="AU206" s="1">
        <v>0</v>
      </c>
      <c r="AV206" s="1">
        <v>0</v>
      </c>
      <c r="AW206" s="1">
        <v>0</v>
      </c>
      <c r="AX206" s="1">
        <v>0</v>
      </c>
      <c r="AY206" s="1">
        <v>0</v>
      </c>
      <c r="AZ206" s="1">
        <v>0</v>
      </c>
      <c r="BA206" s="1">
        <v>0</v>
      </c>
      <c r="BB206" s="1">
        <v>0</v>
      </c>
      <c r="BC206" s="1">
        <v>0</v>
      </c>
      <c r="BD206" s="1">
        <v>0</v>
      </c>
      <c r="BE206" s="1">
        <v>0</v>
      </c>
      <c r="BF206" s="1">
        <v>0</v>
      </c>
      <c r="BG206" s="1">
        <v>1</v>
      </c>
      <c r="BH206" s="1">
        <v>0</v>
      </c>
      <c r="BI206" s="1">
        <v>0</v>
      </c>
      <c r="BJ206" s="1">
        <v>0</v>
      </c>
      <c r="BK206" s="1">
        <v>0</v>
      </c>
      <c r="BL206" s="1">
        <v>0</v>
      </c>
      <c r="BM206" s="1">
        <v>0</v>
      </c>
      <c r="BN206" s="1">
        <v>0</v>
      </c>
      <c r="BO206" s="1">
        <v>0</v>
      </c>
      <c r="BP206" s="1">
        <v>0</v>
      </c>
      <c r="BQ206" s="1">
        <v>0</v>
      </c>
      <c r="BR206" s="1">
        <v>0</v>
      </c>
      <c r="BS206" s="5" t="str">
        <f>HYPERLINK("http://www.d20pfsrd.com/magic/all-spells/f/fire-storm","Fire Storm")</f>
        <v>Fire Storm</v>
      </c>
      <c r="BT206" s="1">
        <v>205</v>
      </c>
      <c r="BU206" s="1" t="s">
        <v>109</v>
      </c>
      <c r="BV206" s="1"/>
      <c r="BW206" s="1" t="s">
        <v>2039</v>
      </c>
      <c r="BX206" s="1" t="s">
        <v>2040</v>
      </c>
      <c r="BY206" s="1" t="s">
        <v>2041</v>
      </c>
      <c r="BZ206" s="1">
        <v>1</v>
      </c>
      <c r="CA206" s="1" t="s">
        <v>109</v>
      </c>
      <c r="CB206" s="1">
        <v>8</v>
      </c>
      <c r="CC206" s="1" t="s">
        <v>109</v>
      </c>
      <c r="CD206" s="1" t="s">
        <v>109</v>
      </c>
      <c r="CE206" s="1" t="s">
        <v>109</v>
      </c>
      <c r="CF206" s="1" t="s">
        <v>109</v>
      </c>
      <c r="CG206" s="1" t="s">
        <v>109</v>
      </c>
      <c r="CH206" s="1" t="s">
        <v>109</v>
      </c>
      <c r="CI206" s="1" t="s">
        <v>109</v>
      </c>
      <c r="CJ206" s="1" t="s">
        <v>109</v>
      </c>
      <c r="CK206" s="1"/>
      <c r="CL206" s="1">
        <v>0</v>
      </c>
      <c r="CM206" s="1">
        <v>0</v>
      </c>
      <c r="CN206" s="1">
        <v>0</v>
      </c>
    </row>
    <row r="207" spans="1:92" ht="14.25" customHeight="1" x14ac:dyDescent="0.15">
      <c r="A207" s="1" t="s">
        <v>2042</v>
      </c>
      <c r="B207" s="1" t="s">
        <v>242</v>
      </c>
      <c r="C207" s="1"/>
      <c r="D207" s="1" t="s">
        <v>59</v>
      </c>
      <c r="E207" s="1" t="s">
        <v>2043</v>
      </c>
      <c r="F207" s="1" t="s">
        <v>395</v>
      </c>
      <c r="G207" s="1" t="s">
        <v>406</v>
      </c>
      <c r="H207" s="1">
        <v>1</v>
      </c>
      <c r="I207" s="1" t="s">
        <v>161</v>
      </c>
      <c r="J207" s="1"/>
      <c r="K207" s="1"/>
      <c r="L207" s="1" t="s">
        <v>1285</v>
      </c>
      <c r="M207" s="1" t="s">
        <v>2044</v>
      </c>
      <c r="N207" s="1">
        <v>1</v>
      </c>
      <c r="O207" s="1">
        <v>0</v>
      </c>
      <c r="P207" s="1" t="s">
        <v>2045</v>
      </c>
      <c r="Q207" s="1" t="s">
        <v>268</v>
      </c>
      <c r="R207" s="1" t="s">
        <v>2046</v>
      </c>
      <c r="S207" s="1" t="s">
        <v>2047</v>
      </c>
      <c r="T207" s="1" t="s">
        <v>107</v>
      </c>
      <c r="U207" s="1" t="s">
        <v>2048</v>
      </c>
      <c r="V207" s="1">
        <v>1</v>
      </c>
      <c r="W207" s="1">
        <v>1</v>
      </c>
      <c r="X207" s="1">
        <v>1</v>
      </c>
      <c r="Y207" s="1">
        <v>0</v>
      </c>
      <c r="Z207" s="1">
        <v>0</v>
      </c>
      <c r="AA207" s="1">
        <v>4</v>
      </c>
      <c r="AB207" s="1">
        <v>4</v>
      </c>
      <c r="AC207" s="1" t="s">
        <v>109</v>
      </c>
      <c r="AD207" s="1">
        <v>2</v>
      </c>
      <c r="AE207" s="1" t="s">
        <v>109</v>
      </c>
      <c r="AF207" s="1" t="s">
        <v>109</v>
      </c>
      <c r="AG207" s="1" t="s">
        <v>109</v>
      </c>
      <c r="AH207" s="1" t="s">
        <v>109</v>
      </c>
      <c r="AI207" s="1" t="s">
        <v>109</v>
      </c>
      <c r="AJ207" s="1" t="s">
        <v>109</v>
      </c>
      <c r="AK207" s="1" t="s">
        <v>109</v>
      </c>
      <c r="AL207" s="1" t="s">
        <v>109</v>
      </c>
      <c r="AM207" s="1" t="s">
        <v>109</v>
      </c>
      <c r="AN207" s="1" t="s">
        <v>109</v>
      </c>
      <c r="AO207" s="1" t="s">
        <v>109</v>
      </c>
      <c r="AP207" s="1"/>
      <c r="AQ207" s="1">
        <v>4</v>
      </c>
      <c r="AR207" s="1"/>
      <c r="AS207" s="1" t="s">
        <v>2049</v>
      </c>
      <c r="AT207" s="1">
        <v>0</v>
      </c>
      <c r="AU207" s="1">
        <v>0</v>
      </c>
      <c r="AV207" s="1">
        <v>0</v>
      </c>
      <c r="AW207" s="1">
        <v>0</v>
      </c>
      <c r="AX207" s="1">
        <v>0</v>
      </c>
      <c r="AY207" s="1">
        <v>0</v>
      </c>
      <c r="AZ207" s="1">
        <v>0</v>
      </c>
      <c r="BA207" s="1">
        <v>0</v>
      </c>
      <c r="BB207" s="1">
        <v>0</v>
      </c>
      <c r="BC207" s="1">
        <v>0</v>
      </c>
      <c r="BD207" s="1">
        <v>0</v>
      </c>
      <c r="BE207" s="1">
        <v>0</v>
      </c>
      <c r="BF207" s="1">
        <v>0</v>
      </c>
      <c r="BG207" s="1">
        <v>1</v>
      </c>
      <c r="BH207" s="1">
        <v>0</v>
      </c>
      <c r="BI207" s="1">
        <v>0</v>
      </c>
      <c r="BJ207" s="1">
        <v>0</v>
      </c>
      <c r="BK207" s="1">
        <v>0</v>
      </c>
      <c r="BL207" s="1">
        <v>0</v>
      </c>
      <c r="BM207" s="1">
        <v>0</v>
      </c>
      <c r="BN207" s="1">
        <v>0</v>
      </c>
      <c r="BO207" s="1">
        <v>0</v>
      </c>
      <c r="BP207" s="1">
        <v>0</v>
      </c>
      <c r="BQ207" s="1">
        <v>0</v>
      </c>
      <c r="BR207" s="1">
        <v>0</v>
      </c>
      <c r="BS207" s="5" t="str">
        <f>HYPERLINK("http://www.d20pfsrd.com/magic/all-spells/f/fire-trap","Fire Trap")</f>
        <v>Fire Trap</v>
      </c>
      <c r="BT207" s="1">
        <v>206</v>
      </c>
      <c r="BU207" s="1">
        <v>25</v>
      </c>
      <c r="BV207" s="1"/>
      <c r="BW207" s="1"/>
      <c r="BX207" s="1"/>
      <c r="BY207" s="1"/>
      <c r="BZ207" s="1">
        <v>0</v>
      </c>
      <c r="CA207" s="1" t="s">
        <v>109</v>
      </c>
      <c r="CB207" s="1" t="s">
        <v>109</v>
      </c>
      <c r="CC207" s="1" t="s">
        <v>109</v>
      </c>
      <c r="CD207" s="1" t="s">
        <v>109</v>
      </c>
      <c r="CE207" s="1" t="s">
        <v>109</v>
      </c>
      <c r="CF207" s="1">
        <v>4</v>
      </c>
      <c r="CG207" s="1" t="s">
        <v>109</v>
      </c>
      <c r="CH207" s="1" t="s">
        <v>109</v>
      </c>
      <c r="CI207" s="1" t="s">
        <v>109</v>
      </c>
      <c r="CJ207" s="1">
        <v>2</v>
      </c>
      <c r="CK207" s="1"/>
      <c r="CL207" s="1">
        <v>0</v>
      </c>
      <c r="CM207" s="1">
        <v>0</v>
      </c>
      <c r="CN207" s="1">
        <v>0</v>
      </c>
    </row>
    <row r="208" spans="1:92" ht="14.25" customHeight="1" x14ac:dyDescent="0.15">
      <c r="A208" s="1" t="s">
        <v>2050</v>
      </c>
      <c r="B208" s="1" t="s">
        <v>584</v>
      </c>
      <c r="C208" s="1"/>
      <c r="D208" s="1" t="s">
        <v>59</v>
      </c>
      <c r="E208" s="1" t="s">
        <v>2051</v>
      </c>
      <c r="F208" s="1" t="s">
        <v>98</v>
      </c>
      <c r="G208" s="1" t="s">
        <v>1372</v>
      </c>
      <c r="H208" s="1">
        <v>0</v>
      </c>
      <c r="I208" s="1" t="s">
        <v>100</v>
      </c>
      <c r="J208" s="1" t="s">
        <v>573</v>
      </c>
      <c r="K208" s="1"/>
      <c r="L208" s="1"/>
      <c r="M208" s="1" t="s">
        <v>144</v>
      </c>
      <c r="N208" s="1">
        <v>0</v>
      </c>
      <c r="O208" s="1">
        <v>0</v>
      </c>
      <c r="P208" s="1" t="s">
        <v>727</v>
      </c>
      <c r="Q208" s="1" t="s">
        <v>268</v>
      </c>
      <c r="R208" s="1" t="s">
        <v>2052</v>
      </c>
      <c r="S208" s="1" t="s">
        <v>2053</v>
      </c>
      <c r="T208" s="1" t="s">
        <v>107</v>
      </c>
      <c r="U208" s="1" t="s">
        <v>2054</v>
      </c>
      <c r="V208" s="1">
        <v>1</v>
      </c>
      <c r="W208" s="1">
        <v>1</v>
      </c>
      <c r="X208" s="1">
        <v>1</v>
      </c>
      <c r="Y208" s="1">
        <v>0</v>
      </c>
      <c r="Z208" s="1">
        <v>0</v>
      </c>
      <c r="AA208" s="1">
        <v>3</v>
      </c>
      <c r="AB208" s="1">
        <v>3</v>
      </c>
      <c r="AC208" s="1" t="s">
        <v>109</v>
      </c>
      <c r="AD208" s="1" t="s">
        <v>109</v>
      </c>
      <c r="AE208" s="1" t="s">
        <v>109</v>
      </c>
      <c r="AF208" s="1" t="s">
        <v>109</v>
      </c>
      <c r="AG208" s="1" t="s">
        <v>109</v>
      </c>
      <c r="AH208" s="1" t="s">
        <v>109</v>
      </c>
      <c r="AI208" s="1" t="s">
        <v>109</v>
      </c>
      <c r="AJ208" s="1" t="s">
        <v>109</v>
      </c>
      <c r="AK208" s="1" t="s">
        <v>109</v>
      </c>
      <c r="AL208" s="1" t="s">
        <v>109</v>
      </c>
      <c r="AM208" s="1" t="s">
        <v>109</v>
      </c>
      <c r="AN208" s="1">
        <v>3</v>
      </c>
      <c r="AO208" s="1" t="s">
        <v>109</v>
      </c>
      <c r="AP208" s="1"/>
      <c r="AQ208" s="1">
        <v>3</v>
      </c>
      <c r="AR208" s="1" t="s">
        <v>2055</v>
      </c>
      <c r="AS208" s="1" t="s">
        <v>2056</v>
      </c>
      <c r="AT208" s="1">
        <v>0</v>
      </c>
      <c r="AU208" s="1">
        <v>0</v>
      </c>
      <c r="AV208" s="1">
        <v>0</v>
      </c>
      <c r="AW208" s="1">
        <v>0</v>
      </c>
      <c r="AX208" s="1">
        <v>0</v>
      </c>
      <c r="AY208" s="1">
        <v>0</v>
      </c>
      <c r="AZ208" s="1">
        <v>0</v>
      </c>
      <c r="BA208" s="1">
        <v>0</v>
      </c>
      <c r="BB208" s="1">
        <v>0</v>
      </c>
      <c r="BC208" s="1">
        <v>0</v>
      </c>
      <c r="BD208" s="1">
        <v>0</v>
      </c>
      <c r="BE208" s="1">
        <v>0</v>
      </c>
      <c r="BF208" s="1">
        <v>0</v>
      </c>
      <c r="BG208" s="1">
        <v>1</v>
      </c>
      <c r="BH208" s="1">
        <v>0</v>
      </c>
      <c r="BI208" s="1">
        <v>0</v>
      </c>
      <c r="BJ208" s="1">
        <v>0</v>
      </c>
      <c r="BK208" s="1">
        <v>0</v>
      </c>
      <c r="BL208" s="1">
        <v>0</v>
      </c>
      <c r="BM208" s="1">
        <v>0</v>
      </c>
      <c r="BN208" s="1">
        <v>0</v>
      </c>
      <c r="BO208" s="1">
        <v>0</v>
      </c>
      <c r="BP208" s="1">
        <v>0</v>
      </c>
      <c r="BQ208" s="1">
        <v>0</v>
      </c>
      <c r="BR208" s="1">
        <v>0</v>
      </c>
      <c r="BS208" s="5" t="str">
        <f>HYPERLINK("http://www.d20pfsrd.com/magic/all-spells/f/fireball","Fireball")</f>
        <v>Fireball</v>
      </c>
      <c r="BT208" s="1">
        <v>207</v>
      </c>
      <c r="BU208" s="1" t="s">
        <v>109</v>
      </c>
      <c r="BV208" s="1" t="s">
        <v>2057</v>
      </c>
      <c r="BW208" s="1" t="s">
        <v>2058</v>
      </c>
      <c r="BX208" s="1" t="s">
        <v>2059</v>
      </c>
      <c r="BY208" s="1" t="s">
        <v>2060</v>
      </c>
      <c r="BZ208" s="1">
        <v>1</v>
      </c>
      <c r="CA208" s="1">
        <v>3</v>
      </c>
      <c r="CB208" s="1" t="s">
        <v>109</v>
      </c>
      <c r="CC208" s="1" t="s">
        <v>109</v>
      </c>
      <c r="CD208" s="1" t="s">
        <v>109</v>
      </c>
      <c r="CE208" s="1" t="s">
        <v>109</v>
      </c>
      <c r="CF208" s="1">
        <v>3</v>
      </c>
      <c r="CG208" s="1" t="s">
        <v>109</v>
      </c>
      <c r="CH208" s="1" t="s">
        <v>109</v>
      </c>
      <c r="CI208" s="1" t="s">
        <v>109</v>
      </c>
      <c r="CJ208" s="1" t="s">
        <v>109</v>
      </c>
      <c r="CK208" s="1"/>
      <c r="CL208" s="1">
        <v>0</v>
      </c>
      <c r="CM208" s="1">
        <v>0</v>
      </c>
      <c r="CN208" s="1">
        <v>0</v>
      </c>
    </row>
    <row r="209" spans="1:92" ht="14.25" customHeight="1" x14ac:dyDescent="0.15">
      <c r="A209" s="1" t="s">
        <v>2061</v>
      </c>
      <c r="B209" s="1" t="s">
        <v>189</v>
      </c>
      <c r="C209" s="1"/>
      <c r="D209" s="1" t="s">
        <v>59</v>
      </c>
      <c r="E209" s="1" t="s">
        <v>2051</v>
      </c>
      <c r="F209" s="1" t="s">
        <v>98</v>
      </c>
      <c r="G209" s="1" t="s">
        <v>2062</v>
      </c>
      <c r="H209" s="1">
        <v>0</v>
      </c>
      <c r="I209" s="1" t="s">
        <v>142</v>
      </c>
      <c r="J209" s="1"/>
      <c r="K209" s="1"/>
      <c r="L209" s="1" t="s">
        <v>2063</v>
      </c>
      <c r="M209" s="1" t="s">
        <v>194</v>
      </c>
      <c r="N209" s="1">
        <v>0</v>
      </c>
      <c r="O209" s="1">
        <v>0</v>
      </c>
      <c r="P209" s="1" t="s">
        <v>103</v>
      </c>
      <c r="Q209" s="1" t="s">
        <v>104</v>
      </c>
      <c r="R209" s="1" t="s">
        <v>2064</v>
      </c>
      <c r="S209" s="1" t="s">
        <v>2065</v>
      </c>
      <c r="T209" s="1" t="s">
        <v>107</v>
      </c>
      <c r="U209" s="1" t="s">
        <v>2066</v>
      </c>
      <c r="V209" s="1">
        <v>1</v>
      </c>
      <c r="W209" s="1">
        <v>1</v>
      </c>
      <c r="X209" s="1">
        <v>1</v>
      </c>
      <c r="Y209" s="1">
        <v>0</v>
      </c>
      <c r="Z209" s="1">
        <v>0</v>
      </c>
      <c r="AA209" s="1">
        <v>3</v>
      </c>
      <c r="AB209" s="1">
        <v>3</v>
      </c>
      <c r="AC209" s="1" t="s">
        <v>109</v>
      </c>
      <c r="AD209" s="1" t="s">
        <v>109</v>
      </c>
      <c r="AE209" s="1" t="s">
        <v>109</v>
      </c>
      <c r="AF209" s="1" t="s">
        <v>109</v>
      </c>
      <c r="AG209" s="1" t="s">
        <v>109</v>
      </c>
      <c r="AH209" s="1" t="s">
        <v>109</v>
      </c>
      <c r="AI209" s="1" t="s">
        <v>109</v>
      </c>
      <c r="AJ209" s="1" t="s">
        <v>109</v>
      </c>
      <c r="AK209" s="1" t="s">
        <v>109</v>
      </c>
      <c r="AL209" s="1" t="s">
        <v>109</v>
      </c>
      <c r="AM209" s="1" t="s">
        <v>109</v>
      </c>
      <c r="AN209" s="1">
        <v>3</v>
      </c>
      <c r="AO209" s="1" t="s">
        <v>109</v>
      </c>
      <c r="AP209" s="1"/>
      <c r="AQ209" s="1">
        <v>3</v>
      </c>
      <c r="AR209" s="1"/>
      <c r="AS209" s="1" t="s">
        <v>2067</v>
      </c>
      <c r="AT209" s="1">
        <v>0</v>
      </c>
      <c r="AU209" s="1">
        <v>0</v>
      </c>
      <c r="AV209" s="1">
        <v>0</v>
      </c>
      <c r="AW209" s="1">
        <v>0</v>
      </c>
      <c r="AX209" s="1">
        <v>0</v>
      </c>
      <c r="AY209" s="1">
        <v>0</v>
      </c>
      <c r="AZ209" s="1">
        <v>0</v>
      </c>
      <c r="BA209" s="1">
        <v>0</v>
      </c>
      <c r="BB209" s="1">
        <v>0</v>
      </c>
      <c r="BC209" s="1">
        <v>0</v>
      </c>
      <c r="BD209" s="1">
        <v>0</v>
      </c>
      <c r="BE209" s="1">
        <v>0</v>
      </c>
      <c r="BF209" s="1">
        <v>0</v>
      </c>
      <c r="BG209" s="1">
        <v>1</v>
      </c>
      <c r="BH209" s="1">
        <v>0</v>
      </c>
      <c r="BI209" s="1">
        <v>0</v>
      </c>
      <c r="BJ209" s="1">
        <v>0</v>
      </c>
      <c r="BK209" s="1">
        <v>0</v>
      </c>
      <c r="BL209" s="1">
        <v>0</v>
      </c>
      <c r="BM209" s="1">
        <v>0</v>
      </c>
      <c r="BN209" s="1">
        <v>0</v>
      </c>
      <c r="BO209" s="1">
        <v>0</v>
      </c>
      <c r="BP209" s="1">
        <v>0</v>
      </c>
      <c r="BQ209" s="1">
        <v>0</v>
      </c>
      <c r="BR209" s="1">
        <v>0</v>
      </c>
      <c r="BS209" s="5" t="str">
        <f>HYPERLINK("http://www.d20pfsrd.com/magic/all-spells/f/flame-arrow","Flame Arrow")</f>
        <v>Flame Arrow</v>
      </c>
      <c r="BT209" s="1">
        <v>208</v>
      </c>
      <c r="BU209" s="1" t="s">
        <v>109</v>
      </c>
      <c r="BV209" s="1"/>
      <c r="BW209" s="1"/>
      <c r="BX209" s="1"/>
      <c r="BY209" s="1"/>
      <c r="BZ209" s="1">
        <v>0</v>
      </c>
      <c r="CA209" s="1">
        <v>3</v>
      </c>
      <c r="CB209" s="1" t="s">
        <v>109</v>
      </c>
      <c r="CC209" s="1" t="s">
        <v>109</v>
      </c>
      <c r="CD209" s="1" t="s">
        <v>109</v>
      </c>
      <c r="CE209" s="1" t="s">
        <v>109</v>
      </c>
      <c r="CF209" s="1">
        <v>3</v>
      </c>
      <c r="CG209" s="1" t="s">
        <v>109</v>
      </c>
      <c r="CH209" s="1" t="s">
        <v>109</v>
      </c>
      <c r="CI209" s="1" t="s">
        <v>109</v>
      </c>
      <c r="CJ209" s="1" t="s">
        <v>109</v>
      </c>
      <c r="CK209" s="1"/>
      <c r="CL209" s="1">
        <v>0</v>
      </c>
      <c r="CM209" s="1">
        <v>0</v>
      </c>
      <c r="CN209" s="1">
        <v>0</v>
      </c>
    </row>
    <row r="210" spans="1:92" ht="14.25" customHeight="1" x14ac:dyDescent="0.15">
      <c r="A210" s="1" t="s">
        <v>2068</v>
      </c>
      <c r="B210" s="1" t="s">
        <v>584</v>
      </c>
      <c r="C210" s="1"/>
      <c r="D210" s="1" t="s">
        <v>59</v>
      </c>
      <c r="E210" s="1" t="s">
        <v>2069</v>
      </c>
      <c r="F210" s="1" t="s">
        <v>98</v>
      </c>
      <c r="G210" s="1" t="s">
        <v>160</v>
      </c>
      <c r="H210" s="1">
        <v>0</v>
      </c>
      <c r="I210" s="1" t="s">
        <v>925</v>
      </c>
      <c r="J210" s="1"/>
      <c r="K210" s="1" t="s">
        <v>2070</v>
      </c>
      <c r="L210" s="1"/>
      <c r="M210" s="1" t="s">
        <v>587</v>
      </c>
      <c r="N210" s="1">
        <v>1</v>
      </c>
      <c r="O210" s="1">
        <v>0</v>
      </c>
      <c r="P210" s="1" t="s">
        <v>103</v>
      </c>
      <c r="Q210" s="1" t="s">
        <v>268</v>
      </c>
      <c r="R210" s="1" t="s">
        <v>2071</v>
      </c>
      <c r="S210" s="1" t="s">
        <v>2072</v>
      </c>
      <c r="T210" s="1" t="s">
        <v>107</v>
      </c>
      <c r="U210" s="1" t="s">
        <v>2073</v>
      </c>
      <c r="V210" s="1">
        <v>1</v>
      </c>
      <c r="W210" s="1">
        <v>1</v>
      </c>
      <c r="X210" s="1">
        <v>0</v>
      </c>
      <c r="Y210" s="1">
        <v>0</v>
      </c>
      <c r="Z210" s="1">
        <v>1</v>
      </c>
      <c r="AA210" s="1" t="s">
        <v>109</v>
      </c>
      <c r="AB210" s="1" t="s">
        <v>109</v>
      </c>
      <c r="AC210" s="1" t="s">
        <v>109</v>
      </c>
      <c r="AD210" s="1">
        <v>2</v>
      </c>
      <c r="AE210" s="1" t="s">
        <v>109</v>
      </c>
      <c r="AF210" s="1" t="s">
        <v>109</v>
      </c>
      <c r="AG210" s="1" t="s">
        <v>109</v>
      </c>
      <c r="AH210" s="1" t="s">
        <v>109</v>
      </c>
      <c r="AI210" s="1" t="s">
        <v>109</v>
      </c>
      <c r="AJ210" s="1" t="s">
        <v>109</v>
      </c>
      <c r="AK210" s="1" t="s">
        <v>109</v>
      </c>
      <c r="AL210" s="1" t="s">
        <v>109</v>
      </c>
      <c r="AM210" s="1" t="s">
        <v>109</v>
      </c>
      <c r="AN210" s="1" t="s">
        <v>109</v>
      </c>
      <c r="AO210" s="1" t="s">
        <v>109</v>
      </c>
      <c r="AP210" s="1"/>
      <c r="AQ210" s="1">
        <v>2</v>
      </c>
      <c r="AR210" s="1"/>
      <c r="AS210" s="1" t="s">
        <v>2074</v>
      </c>
      <c r="AT210" s="1">
        <v>0</v>
      </c>
      <c r="AU210" s="1">
        <v>0</v>
      </c>
      <c r="AV210" s="1">
        <v>0</v>
      </c>
      <c r="AW210" s="1">
        <v>0</v>
      </c>
      <c r="AX210" s="1">
        <v>0</v>
      </c>
      <c r="AY210" s="1">
        <v>0</v>
      </c>
      <c r="AZ210" s="1">
        <v>0</v>
      </c>
      <c r="BA210" s="1">
        <v>0</v>
      </c>
      <c r="BB210" s="1">
        <v>0</v>
      </c>
      <c r="BC210" s="1">
        <v>0</v>
      </c>
      <c r="BD210" s="1">
        <v>0</v>
      </c>
      <c r="BE210" s="1">
        <v>0</v>
      </c>
      <c r="BF210" s="1">
        <v>0</v>
      </c>
      <c r="BG210" s="1">
        <v>1</v>
      </c>
      <c r="BH210" s="1">
        <v>0</v>
      </c>
      <c r="BI210" s="1">
        <v>0</v>
      </c>
      <c r="BJ210" s="1">
        <v>0</v>
      </c>
      <c r="BK210" s="1">
        <v>0</v>
      </c>
      <c r="BL210" s="1">
        <v>0</v>
      </c>
      <c r="BM210" s="1">
        <v>0</v>
      </c>
      <c r="BN210" s="1">
        <v>0</v>
      </c>
      <c r="BO210" s="1">
        <v>0</v>
      </c>
      <c r="BP210" s="1">
        <v>0</v>
      </c>
      <c r="BQ210" s="1">
        <v>0</v>
      </c>
      <c r="BR210" s="1">
        <v>0</v>
      </c>
      <c r="BS210" s="5" t="str">
        <f>HYPERLINK("http://www.d20pfsrd.com/magic/all-spells/f/flame-blade","Flame Blade")</f>
        <v>Flame Blade</v>
      </c>
      <c r="BT210" s="1">
        <v>209</v>
      </c>
      <c r="BU210" s="1" t="s">
        <v>109</v>
      </c>
      <c r="BV210" s="1"/>
      <c r="BW210" s="1"/>
      <c r="BX210" s="1" t="s">
        <v>2075</v>
      </c>
      <c r="BY210" s="1" t="s">
        <v>2076</v>
      </c>
      <c r="BZ210" s="1">
        <v>1</v>
      </c>
      <c r="CA210" s="1" t="s">
        <v>109</v>
      </c>
      <c r="CB210" s="1">
        <v>2</v>
      </c>
      <c r="CC210" s="1" t="s">
        <v>109</v>
      </c>
      <c r="CD210" s="1" t="s">
        <v>109</v>
      </c>
      <c r="CE210" s="1" t="s">
        <v>109</v>
      </c>
      <c r="CF210" s="1" t="s">
        <v>109</v>
      </c>
      <c r="CG210" s="1" t="s">
        <v>109</v>
      </c>
      <c r="CH210" s="1" t="s">
        <v>109</v>
      </c>
      <c r="CI210" s="1" t="s">
        <v>109</v>
      </c>
      <c r="CJ210" s="1">
        <v>2</v>
      </c>
      <c r="CK210" s="1"/>
      <c r="CL210" s="1">
        <v>0</v>
      </c>
      <c r="CM210" s="1">
        <v>0</v>
      </c>
      <c r="CN210" s="1">
        <v>0</v>
      </c>
    </row>
    <row r="211" spans="1:92" ht="14.25" customHeight="1" x14ac:dyDescent="0.15">
      <c r="A211" s="1" t="s">
        <v>2077</v>
      </c>
      <c r="B211" s="1" t="s">
        <v>584</v>
      </c>
      <c r="C211" s="1"/>
      <c r="D211" s="1" t="s">
        <v>59</v>
      </c>
      <c r="E211" s="1" t="s">
        <v>2078</v>
      </c>
      <c r="F211" s="1" t="s">
        <v>98</v>
      </c>
      <c r="G211" s="1" t="s">
        <v>160</v>
      </c>
      <c r="H211" s="1">
        <v>0</v>
      </c>
      <c r="I211" s="1" t="s">
        <v>122</v>
      </c>
      <c r="J211" s="1" t="s">
        <v>2079</v>
      </c>
      <c r="K211" s="1"/>
      <c r="L211" s="1"/>
      <c r="M211" s="1" t="s">
        <v>144</v>
      </c>
      <c r="N211" s="1">
        <v>0</v>
      </c>
      <c r="O211" s="1">
        <v>0</v>
      </c>
      <c r="P211" s="1" t="s">
        <v>727</v>
      </c>
      <c r="Q211" s="1" t="s">
        <v>268</v>
      </c>
      <c r="R211" s="1" t="s">
        <v>2080</v>
      </c>
      <c r="S211" s="1" t="s">
        <v>2081</v>
      </c>
      <c r="T211" s="1" t="s">
        <v>107</v>
      </c>
      <c r="U211" s="1" t="s">
        <v>2082</v>
      </c>
      <c r="V211" s="1">
        <v>1</v>
      </c>
      <c r="W211" s="1">
        <v>1</v>
      </c>
      <c r="X211" s="1">
        <v>0</v>
      </c>
      <c r="Y211" s="1">
        <v>0</v>
      </c>
      <c r="Z211" s="1">
        <v>1</v>
      </c>
      <c r="AA211" s="1" t="s">
        <v>109</v>
      </c>
      <c r="AB211" s="1" t="s">
        <v>109</v>
      </c>
      <c r="AC211" s="1">
        <v>5</v>
      </c>
      <c r="AD211" s="1">
        <v>4</v>
      </c>
      <c r="AE211" s="1" t="s">
        <v>109</v>
      </c>
      <c r="AF211" s="1" t="s">
        <v>109</v>
      </c>
      <c r="AG211" s="1" t="s">
        <v>109</v>
      </c>
      <c r="AH211" s="1" t="s">
        <v>109</v>
      </c>
      <c r="AI211" s="1" t="s">
        <v>109</v>
      </c>
      <c r="AJ211" s="1" t="s">
        <v>109</v>
      </c>
      <c r="AK211" s="1">
        <v>5</v>
      </c>
      <c r="AL211" s="1">
        <v>5</v>
      </c>
      <c r="AM211" s="1" t="s">
        <v>109</v>
      </c>
      <c r="AN211" s="1" t="s">
        <v>109</v>
      </c>
      <c r="AO211" s="1" t="s">
        <v>109</v>
      </c>
      <c r="AP211" s="1"/>
      <c r="AQ211" s="1">
        <v>5</v>
      </c>
      <c r="AR211" s="1" t="s">
        <v>2083</v>
      </c>
      <c r="AS211" s="1" t="s">
        <v>2084</v>
      </c>
      <c r="AT211" s="1">
        <v>0</v>
      </c>
      <c r="AU211" s="1">
        <v>0</v>
      </c>
      <c r="AV211" s="1">
        <v>0</v>
      </c>
      <c r="AW211" s="1">
        <v>0</v>
      </c>
      <c r="AX211" s="1">
        <v>0</v>
      </c>
      <c r="AY211" s="1">
        <v>0</v>
      </c>
      <c r="AZ211" s="1">
        <v>0</v>
      </c>
      <c r="BA211" s="1">
        <v>0</v>
      </c>
      <c r="BB211" s="1">
        <v>0</v>
      </c>
      <c r="BC211" s="1">
        <v>0</v>
      </c>
      <c r="BD211" s="1">
        <v>0</v>
      </c>
      <c r="BE211" s="1">
        <v>0</v>
      </c>
      <c r="BF211" s="1">
        <v>0</v>
      </c>
      <c r="BG211" s="1">
        <v>1</v>
      </c>
      <c r="BH211" s="1">
        <v>0</v>
      </c>
      <c r="BI211" s="1">
        <v>0</v>
      </c>
      <c r="BJ211" s="1">
        <v>0</v>
      </c>
      <c r="BK211" s="1">
        <v>0</v>
      </c>
      <c r="BL211" s="1">
        <v>0</v>
      </c>
      <c r="BM211" s="1">
        <v>0</v>
      </c>
      <c r="BN211" s="1">
        <v>0</v>
      </c>
      <c r="BO211" s="1">
        <v>0</v>
      </c>
      <c r="BP211" s="1">
        <v>0</v>
      </c>
      <c r="BQ211" s="1">
        <v>0</v>
      </c>
      <c r="BR211" s="1">
        <v>0</v>
      </c>
      <c r="BS211" s="5" t="str">
        <f>HYPERLINK("http://www.d20pfsrd.com/magic/all-spells/f/flame-strike","Flame Strike")</f>
        <v>Flame Strike</v>
      </c>
      <c r="BT211" s="1">
        <v>210</v>
      </c>
      <c r="BU211" s="1" t="s">
        <v>109</v>
      </c>
      <c r="BV211" s="1" t="s">
        <v>2085</v>
      </c>
      <c r="BW211" s="1" t="s">
        <v>2086</v>
      </c>
      <c r="BX211" s="1" t="s">
        <v>2087</v>
      </c>
      <c r="BY211" s="1"/>
      <c r="BZ211" s="1">
        <v>1</v>
      </c>
      <c r="CA211" s="1" t="s">
        <v>109</v>
      </c>
      <c r="CB211" s="1">
        <v>5</v>
      </c>
      <c r="CC211" s="1" t="s">
        <v>109</v>
      </c>
      <c r="CD211" s="1" t="s">
        <v>109</v>
      </c>
      <c r="CE211" s="1" t="s">
        <v>109</v>
      </c>
      <c r="CF211" s="1" t="s">
        <v>109</v>
      </c>
      <c r="CG211" s="1" t="s">
        <v>109</v>
      </c>
      <c r="CH211" s="1" t="s">
        <v>109</v>
      </c>
      <c r="CI211" s="1" t="s">
        <v>109</v>
      </c>
      <c r="CJ211" s="1">
        <v>4</v>
      </c>
      <c r="CK211" s="1"/>
      <c r="CL211" s="1">
        <v>0</v>
      </c>
      <c r="CM211" s="1">
        <v>0</v>
      </c>
      <c r="CN211" s="1">
        <v>0</v>
      </c>
    </row>
    <row r="212" spans="1:92" ht="14.25" customHeight="1" x14ac:dyDescent="0.15">
      <c r="A212" s="1" t="s">
        <v>2088</v>
      </c>
      <c r="B212" s="1" t="s">
        <v>584</v>
      </c>
      <c r="C212" s="1"/>
      <c r="D212" s="1" t="s">
        <v>59</v>
      </c>
      <c r="E212" s="1" t="s">
        <v>2089</v>
      </c>
      <c r="F212" s="1" t="s">
        <v>98</v>
      </c>
      <c r="G212" s="1" t="s">
        <v>2090</v>
      </c>
      <c r="H212" s="1">
        <v>0</v>
      </c>
      <c r="I212" s="1" t="s">
        <v>122</v>
      </c>
      <c r="J212" s="1"/>
      <c r="K212" s="1" t="s">
        <v>2091</v>
      </c>
      <c r="L212" s="1"/>
      <c r="M212" s="1" t="s">
        <v>125</v>
      </c>
      <c r="N212" s="1">
        <v>0</v>
      </c>
      <c r="O212" s="1">
        <v>0</v>
      </c>
      <c r="P212" s="1" t="s">
        <v>2092</v>
      </c>
      <c r="Q212" s="1" t="s">
        <v>268</v>
      </c>
      <c r="R212" s="1" t="s">
        <v>2093</v>
      </c>
      <c r="S212" s="1" t="s">
        <v>2094</v>
      </c>
      <c r="T212" s="1" t="s">
        <v>107</v>
      </c>
      <c r="U212" s="1" t="s">
        <v>2095</v>
      </c>
      <c r="V212" s="1">
        <v>1</v>
      </c>
      <c r="W212" s="1">
        <v>1</v>
      </c>
      <c r="X212" s="1">
        <v>1</v>
      </c>
      <c r="Y212" s="1">
        <v>0</v>
      </c>
      <c r="Z212" s="1">
        <v>1</v>
      </c>
      <c r="AA212" s="1">
        <v>2</v>
      </c>
      <c r="AB212" s="1">
        <v>2</v>
      </c>
      <c r="AC212" s="1" t="s">
        <v>109</v>
      </c>
      <c r="AD212" s="1">
        <v>2</v>
      </c>
      <c r="AE212" s="1" t="s">
        <v>109</v>
      </c>
      <c r="AF212" s="1" t="s">
        <v>109</v>
      </c>
      <c r="AG212" s="1" t="s">
        <v>109</v>
      </c>
      <c r="AH212" s="1" t="s">
        <v>109</v>
      </c>
      <c r="AI212" s="1" t="s">
        <v>109</v>
      </c>
      <c r="AJ212" s="1" t="s">
        <v>109</v>
      </c>
      <c r="AK212" s="1" t="s">
        <v>109</v>
      </c>
      <c r="AL212" s="1" t="s">
        <v>109</v>
      </c>
      <c r="AM212" s="1" t="s">
        <v>109</v>
      </c>
      <c r="AN212" s="1">
        <v>2</v>
      </c>
      <c r="AO212" s="1" t="s">
        <v>109</v>
      </c>
      <c r="AP212" s="1"/>
      <c r="AQ212" s="1">
        <v>2</v>
      </c>
      <c r="AR212" s="1" t="s">
        <v>2096</v>
      </c>
      <c r="AS212" s="1" t="s">
        <v>2097</v>
      </c>
      <c r="AT212" s="1">
        <v>0</v>
      </c>
      <c r="AU212" s="1">
        <v>0</v>
      </c>
      <c r="AV212" s="1">
        <v>0</v>
      </c>
      <c r="AW212" s="1">
        <v>0</v>
      </c>
      <c r="AX212" s="1">
        <v>0</v>
      </c>
      <c r="AY212" s="1">
        <v>0</v>
      </c>
      <c r="AZ212" s="1">
        <v>0</v>
      </c>
      <c r="BA212" s="1">
        <v>0</v>
      </c>
      <c r="BB212" s="1">
        <v>0</v>
      </c>
      <c r="BC212" s="1">
        <v>0</v>
      </c>
      <c r="BD212" s="1">
        <v>0</v>
      </c>
      <c r="BE212" s="1">
        <v>0</v>
      </c>
      <c r="BF212" s="1">
        <v>0</v>
      </c>
      <c r="BG212" s="1">
        <v>1</v>
      </c>
      <c r="BH212" s="1">
        <v>0</v>
      </c>
      <c r="BI212" s="1">
        <v>0</v>
      </c>
      <c r="BJ212" s="1">
        <v>0</v>
      </c>
      <c r="BK212" s="1">
        <v>0</v>
      </c>
      <c r="BL212" s="1">
        <v>0</v>
      </c>
      <c r="BM212" s="1">
        <v>0</v>
      </c>
      <c r="BN212" s="1">
        <v>0</v>
      </c>
      <c r="BO212" s="1">
        <v>0</v>
      </c>
      <c r="BP212" s="1">
        <v>0</v>
      </c>
      <c r="BQ212" s="1">
        <v>0</v>
      </c>
      <c r="BR212" s="1">
        <v>0</v>
      </c>
      <c r="BS212" s="5" t="str">
        <f>HYPERLINK("http://www.d20pfsrd.com/magic/all-spells/f/flaming-sphere","Flaming Sphere")</f>
        <v>Flaming Sphere</v>
      </c>
      <c r="BT212" s="1">
        <v>211</v>
      </c>
      <c r="BU212" s="1" t="s">
        <v>109</v>
      </c>
      <c r="BV212" s="1"/>
      <c r="BW212" s="1" t="s">
        <v>2098</v>
      </c>
      <c r="BX212" s="1"/>
      <c r="BY212" s="1"/>
      <c r="BZ212" s="1">
        <v>0</v>
      </c>
      <c r="CA212" s="1">
        <v>2</v>
      </c>
      <c r="CB212" s="1" t="s">
        <v>109</v>
      </c>
      <c r="CC212" s="1" t="s">
        <v>109</v>
      </c>
      <c r="CD212" s="1" t="s">
        <v>109</v>
      </c>
      <c r="CE212" s="1" t="s">
        <v>109</v>
      </c>
      <c r="CF212" s="1">
        <v>2</v>
      </c>
      <c r="CG212" s="1" t="s">
        <v>109</v>
      </c>
      <c r="CH212" s="1" t="s">
        <v>109</v>
      </c>
      <c r="CI212" s="1" t="s">
        <v>109</v>
      </c>
      <c r="CJ212" s="1">
        <v>2</v>
      </c>
      <c r="CK212" s="1"/>
      <c r="CL212" s="1">
        <v>0</v>
      </c>
      <c r="CM212" s="1">
        <v>0</v>
      </c>
      <c r="CN212" s="1">
        <v>0</v>
      </c>
    </row>
    <row r="213" spans="1:92" ht="14.25" customHeight="1" x14ac:dyDescent="0.15">
      <c r="A213" s="1" t="s">
        <v>2099</v>
      </c>
      <c r="B213" s="1" t="s">
        <v>584</v>
      </c>
      <c r="C213" s="1"/>
      <c r="D213" s="1" t="s">
        <v>64</v>
      </c>
      <c r="E213" s="1" t="s">
        <v>2100</v>
      </c>
      <c r="F213" s="1" t="s">
        <v>98</v>
      </c>
      <c r="G213" s="1" t="s">
        <v>333</v>
      </c>
      <c r="H213" s="1">
        <v>0</v>
      </c>
      <c r="I213" s="1" t="s">
        <v>142</v>
      </c>
      <c r="J213" s="1"/>
      <c r="K213" s="1" t="s">
        <v>2101</v>
      </c>
      <c r="L213" s="1"/>
      <c r="M213" s="1" t="s">
        <v>144</v>
      </c>
      <c r="N213" s="1">
        <v>0</v>
      </c>
      <c r="O213" s="1">
        <v>0</v>
      </c>
      <c r="P213" s="1" t="s">
        <v>267</v>
      </c>
      <c r="Q213" s="1" t="s">
        <v>268</v>
      </c>
      <c r="R213" s="1" t="s">
        <v>2102</v>
      </c>
      <c r="S213" s="1" t="s">
        <v>2103</v>
      </c>
      <c r="T213" s="1" t="s">
        <v>107</v>
      </c>
      <c r="U213" s="1" t="s">
        <v>2104</v>
      </c>
      <c r="V213" s="1">
        <v>1</v>
      </c>
      <c r="W213" s="1">
        <v>0</v>
      </c>
      <c r="X213" s="1">
        <v>0</v>
      </c>
      <c r="Y213" s="1">
        <v>0</v>
      </c>
      <c r="Z213" s="1">
        <v>0</v>
      </c>
      <c r="AA213" s="1">
        <v>0</v>
      </c>
      <c r="AB213" s="1">
        <v>0</v>
      </c>
      <c r="AC213" s="1" t="s">
        <v>109</v>
      </c>
      <c r="AD213" s="1">
        <v>0</v>
      </c>
      <c r="AE213" s="1" t="s">
        <v>109</v>
      </c>
      <c r="AF213" s="1">
        <v>0</v>
      </c>
      <c r="AG213" s="1" t="s">
        <v>109</v>
      </c>
      <c r="AH213" s="1" t="s">
        <v>109</v>
      </c>
      <c r="AI213" s="1" t="s">
        <v>109</v>
      </c>
      <c r="AJ213" s="1" t="s">
        <v>109</v>
      </c>
      <c r="AK213" s="1" t="s">
        <v>109</v>
      </c>
      <c r="AL213" s="1" t="s">
        <v>109</v>
      </c>
      <c r="AM213" s="1" t="s">
        <v>109</v>
      </c>
      <c r="AN213" s="1">
        <v>0</v>
      </c>
      <c r="AO213" s="1" t="s">
        <v>109</v>
      </c>
      <c r="AP213" s="1"/>
      <c r="AQ213" s="1">
        <v>0</v>
      </c>
      <c r="AR213" s="1"/>
      <c r="AS213" s="1" t="s">
        <v>2105</v>
      </c>
      <c r="AT213" s="1">
        <v>0</v>
      </c>
      <c r="AU213" s="1">
        <v>0</v>
      </c>
      <c r="AV213" s="1">
        <v>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1</v>
      </c>
      <c r="BM213" s="1">
        <v>0</v>
      </c>
      <c r="BN213" s="1">
        <v>0</v>
      </c>
      <c r="BO213" s="1">
        <v>0</v>
      </c>
      <c r="BP213" s="1">
        <v>0</v>
      </c>
      <c r="BQ213" s="1">
        <v>0</v>
      </c>
      <c r="BR213" s="1">
        <v>0</v>
      </c>
      <c r="BS213" s="5" t="str">
        <f>HYPERLINK("http://www.d20pfsrd.com/magic/all-spells/f/flare","Flare")</f>
        <v>Flare</v>
      </c>
      <c r="BT213" s="1">
        <v>212</v>
      </c>
      <c r="BU213" s="1" t="s">
        <v>109</v>
      </c>
      <c r="BV213" s="1"/>
      <c r="BW213" s="1"/>
      <c r="BX213" s="1"/>
      <c r="BY213" s="1"/>
      <c r="BZ213" s="1">
        <v>0</v>
      </c>
      <c r="CA213" s="1" t="s">
        <v>109</v>
      </c>
      <c r="CB213" s="1" t="s">
        <v>109</v>
      </c>
      <c r="CC213" s="1">
        <v>0</v>
      </c>
      <c r="CD213" s="1" t="s">
        <v>109</v>
      </c>
      <c r="CE213" s="1">
        <v>0</v>
      </c>
      <c r="CF213" s="1">
        <v>0</v>
      </c>
      <c r="CG213" s="1" t="s">
        <v>109</v>
      </c>
      <c r="CH213" s="1" t="s">
        <v>109</v>
      </c>
      <c r="CI213" s="1" t="s">
        <v>109</v>
      </c>
      <c r="CJ213" s="1">
        <v>0</v>
      </c>
      <c r="CK213" s="1"/>
      <c r="CL213" s="1">
        <v>0</v>
      </c>
      <c r="CM213" s="1">
        <v>0</v>
      </c>
      <c r="CN213" s="1">
        <v>0</v>
      </c>
    </row>
    <row r="214" spans="1:92" ht="14.25" customHeight="1" x14ac:dyDescent="0.15">
      <c r="A214" s="1" t="s">
        <v>2106</v>
      </c>
      <c r="B214" s="1" t="s">
        <v>189</v>
      </c>
      <c r="C214" s="1"/>
      <c r="D214" s="1"/>
      <c r="E214" s="1" t="s">
        <v>2107</v>
      </c>
      <c r="F214" s="1" t="s">
        <v>98</v>
      </c>
      <c r="G214" s="1" t="s">
        <v>2108</v>
      </c>
      <c r="H214" s="1">
        <v>0</v>
      </c>
      <c r="I214" s="1" t="s">
        <v>122</v>
      </c>
      <c r="J214" s="1"/>
      <c r="K214" s="1"/>
      <c r="L214" s="1" t="s">
        <v>1391</v>
      </c>
      <c r="M214" s="1" t="s">
        <v>144</v>
      </c>
      <c r="N214" s="1">
        <v>0</v>
      </c>
      <c r="O214" s="1">
        <v>0</v>
      </c>
      <c r="P214" s="1" t="s">
        <v>267</v>
      </c>
      <c r="Q214" s="1" t="s">
        <v>268</v>
      </c>
      <c r="R214" s="1" t="s">
        <v>2109</v>
      </c>
      <c r="S214" s="1" t="s">
        <v>2110</v>
      </c>
      <c r="T214" s="1" t="s">
        <v>107</v>
      </c>
      <c r="U214" s="1" t="s">
        <v>2111</v>
      </c>
      <c r="V214" s="1">
        <v>1</v>
      </c>
      <c r="W214" s="1">
        <v>1</v>
      </c>
      <c r="X214" s="1">
        <v>1</v>
      </c>
      <c r="Y214" s="1">
        <v>0</v>
      </c>
      <c r="Z214" s="1">
        <v>0</v>
      </c>
      <c r="AA214" s="1">
        <v>6</v>
      </c>
      <c r="AB214" s="1">
        <v>6</v>
      </c>
      <c r="AC214" s="1" t="s">
        <v>109</v>
      </c>
      <c r="AD214" s="1" t="s">
        <v>109</v>
      </c>
      <c r="AE214" s="1" t="s">
        <v>109</v>
      </c>
      <c r="AF214" s="1" t="s">
        <v>109</v>
      </c>
      <c r="AG214" s="1" t="s">
        <v>109</v>
      </c>
      <c r="AH214" s="1" t="s">
        <v>109</v>
      </c>
      <c r="AI214" s="1" t="s">
        <v>109</v>
      </c>
      <c r="AJ214" s="1">
        <v>6</v>
      </c>
      <c r="AK214" s="1" t="s">
        <v>109</v>
      </c>
      <c r="AL214" s="1" t="s">
        <v>109</v>
      </c>
      <c r="AM214" s="1" t="s">
        <v>109</v>
      </c>
      <c r="AN214" s="1">
        <v>6</v>
      </c>
      <c r="AO214" s="1" t="s">
        <v>109</v>
      </c>
      <c r="AP214" s="1"/>
      <c r="AQ214" s="1">
        <v>6</v>
      </c>
      <c r="AR214" s="1"/>
      <c r="AS214" s="1" t="s">
        <v>2112</v>
      </c>
      <c r="AT214" s="1">
        <v>0</v>
      </c>
      <c r="AU214" s="1">
        <v>0</v>
      </c>
      <c r="AV214" s="1">
        <v>0</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5" t="str">
        <f>HYPERLINK("http://www.d20pfsrd.com/magic/all-spells/f/flesh-to-stone","Flesh to Stone")</f>
        <v>Flesh to Stone</v>
      </c>
      <c r="BT214" s="1">
        <v>213</v>
      </c>
      <c r="BU214" s="1" t="s">
        <v>109</v>
      </c>
      <c r="BV214" s="1"/>
      <c r="BW214" s="1" t="s">
        <v>2113</v>
      </c>
      <c r="BX214" s="1"/>
      <c r="BY214" s="1"/>
      <c r="BZ214" s="1">
        <v>0</v>
      </c>
      <c r="CA214" s="1" t="s">
        <v>109</v>
      </c>
      <c r="CB214" s="1">
        <v>6</v>
      </c>
      <c r="CC214" s="1" t="s">
        <v>109</v>
      </c>
      <c r="CD214" s="1" t="s">
        <v>109</v>
      </c>
      <c r="CE214" s="1" t="s">
        <v>109</v>
      </c>
      <c r="CF214" s="1" t="s">
        <v>109</v>
      </c>
      <c r="CG214" s="1" t="s">
        <v>109</v>
      </c>
      <c r="CH214" s="1" t="s">
        <v>109</v>
      </c>
      <c r="CI214" s="1" t="s">
        <v>109</v>
      </c>
      <c r="CJ214" s="1" t="s">
        <v>109</v>
      </c>
      <c r="CK214" s="1"/>
      <c r="CL214" s="1">
        <v>0</v>
      </c>
      <c r="CM214" s="1">
        <v>0</v>
      </c>
      <c r="CN214" s="1">
        <v>0</v>
      </c>
    </row>
    <row r="215" spans="1:92" ht="14.25" customHeight="1" x14ac:dyDescent="0.15">
      <c r="A215" s="1" t="s">
        <v>2114</v>
      </c>
      <c r="B215" s="1" t="s">
        <v>584</v>
      </c>
      <c r="C215" s="1"/>
      <c r="D215" s="1" t="s">
        <v>60</v>
      </c>
      <c r="E215" s="1" t="s">
        <v>2115</v>
      </c>
      <c r="F215" s="1" t="s">
        <v>98</v>
      </c>
      <c r="G215" s="1" t="s">
        <v>2116</v>
      </c>
      <c r="H215" s="1">
        <v>0</v>
      </c>
      <c r="I215" s="1" t="s">
        <v>142</v>
      </c>
      <c r="J215" s="1"/>
      <c r="K215" s="1" t="s">
        <v>2117</v>
      </c>
      <c r="L215" s="1"/>
      <c r="M215" s="1" t="s">
        <v>289</v>
      </c>
      <c r="N215" s="1">
        <v>0</v>
      </c>
      <c r="O215" s="1">
        <v>0</v>
      </c>
      <c r="P215" s="1" t="s">
        <v>103</v>
      </c>
      <c r="Q215" s="1" t="s">
        <v>104</v>
      </c>
      <c r="R215" s="1" t="s">
        <v>2118</v>
      </c>
      <c r="S215" s="1" t="s">
        <v>2119</v>
      </c>
      <c r="T215" s="1" t="s">
        <v>107</v>
      </c>
      <c r="U215" s="1" t="s">
        <v>2120</v>
      </c>
      <c r="V215" s="1">
        <v>1</v>
      </c>
      <c r="W215" s="1">
        <v>1</v>
      </c>
      <c r="X215" s="1">
        <v>1</v>
      </c>
      <c r="Y215" s="1">
        <v>0</v>
      </c>
      <c r="Z215" s="1">
        <v>0</v>
      </c>
      <c r="AA215" s="1">
        <v>1</v>
      </c>
      <c r="AB215" s="1">
        <v>1</v>
      </c>
      <c r="AC215" s="1" t="s">
        <v>109</v>
      </c>
      <c r="AD215" s="1" t="s">
        <v>109</v>
      </c>
      <c r="AE215" s="1" t="s">
        <v>109</v>
      </c>
      <c r="AF215" s="1" t="s">
        <v>109</v>
      </c>
      <c r="AG215" s="1" t="s">
        <v>109</v>
      </c>
      <c r="AH215" s="1" t="s">
        <v>109</v>
      </c>
      <c r="AI215" s="1" t="s">
        <v>109</v>
      </c>
      <c r="AJ215" s="1" t="s">
        <v>109</v>
      </c>
      <c r="AK215" s="1" t="s">
        <v>109</v>
      </c>
      <c r="AL215" s="1" t="s">
        <v>109</v>
      </c>
      <c r="AM215" s="1" t="s">
        <v>109</v>
      </c>
      <c r="AN215" s="1">
        <v>1</v>
      </c>
      <c r="AO215" s="1" t="s">
        <v>109</v>
      </c>
      <c r="AP215" s="1"/>
      <c r="AQ215" s="1">
        <v>1</v>
      </c>
      <c r="AR215" s="1" t="s">
        <v>2121</v>
      </c>
      <c r="AS215" s="1" t="s">
        <v>2122</v>
      </c>
      <c r="AT215" s="1">
        <v>0</v>
      </c>
      <c r="AU215" s="1">
        <v>0</v>
      </c>
      <c r="AV215" s="1">
        <v>0</v>
      </c>
      <c r="AW215" s="1">
        <v>0</v>
      </c>
      <c r="AX215" s="1">
        <v>0</v>
      </c>
      <c r="AY215" s="1">
        <v>0</v>
      </c>
      <c r="AZ215" s="1">
        <v>0</v>
      </c>
      <c r="BA215" s="1">
        <v>0</v>
      </c>
      <c r="BB215" s="1">
        <v>0</v>
      </c>
      <c r="BC215" s="1">
        <v>0</v>
      </c>
      <c r="BD215" s="1">
        <v>0</v>
      </c>
      <c r="BE215" s="1">
        <v>0</v>
      </c>
      <c r="BF215" s="1">
        <v>0</v>
      </c>
      <c r="BG215" s="1">
        <v>0</v>
      </c>
      <c r="BH215" s="1">
        <v>1</v>
      </c>
      <c r="BI215" s="1">
        <v>0</v>
      </c>
      <c r="BJ215" s="1">
        <v>0</v>
      </c>
      <c r="BK215" s="1">
        <v>0</v>
      </c>
      <c r="BL215" s="1">
        <v>0</v>
      </c>
      <c r="BM215" s="1">
        <v>0</v>
      </c>
      <c r="BN215" s="1">
        <v>0</v>
      </c>
      <c r="BO215" s="1">
        <v>0</v>
      </c>
      <c r="BP215" s="1">
        <v>0</v>
      </c>
      <c r="BQ215" s="1">
        <v>0</v>
      </c>
      <c r="BR215" s="1">
        <v>0</v>
      </c>
      <c r="BS215" s="5" t="str">
        <f>HYPERLINK("http://www.d20pfsrd.com/magic/all-spells/f/floating-disk","Floating Disk")</f>
        <v>Floating Disk</v>
      </c>
      <c r="BT215" s="1">
        <v>214</v>
      </c>
      <c r="BU215" s="1" t="s">
        <v>109</v>
      </c>
      <c r="BV215" s="1"/>
      <c r="BW215" s="1"/>
      <c r="BX215" s="1"/>
      <c r="BY215" s="1"/>
      <c r="BZ215" s="1">
        <v>0</v>
      </c>
      <c r="CA215" s="1" t="s">
        <v>109</v>
      </c>
      <c r="CB215" s="1" t="s">
        <v>109</v>
      </c>
      <c r="CC215" s="1">
        <v>1</v>
      </c>
      <c r="CD215" s="1" t="s">
        <v>109</v>
      </c>
      <c r="CE215" s="1" t="s">
        <v>109</v>
      </c>
      <c r="CF215" s="1">
        <v>1</v>
      </c>
      <c r="CG215" s="1" t="s">
        <v>109</v>
      </c>
      <c r="CH215" s="1" t="s">
        <v>109</v>
      </c>
      <c r="CI215" s="1" t="s">
        <v>109</v>
      </c>
      <c r="CJ215" s="1" t="s">
        <v>109</v>
      </c>
      <c r="CK215" s="1"/>
      <c r="CL215" s="1">
        <v>0</v>
      </c>
      <c r="CM215" s="1">
        <v>0</v>
      </c>
      <c r="CN215" s="1">
        <v>0</v>
      </c>
    </row>
    <row r="216" spans="1:92" ht="14.25" customHeight="1" x14ac:dyDescent="0.15">
      <c r="A216" s="1" t="s">
        <v>2123</v>
      </c>
      <c r="B216" s="1" t="s">
        <v>189</v>
      </c>
      <c r="C216" s="1"/>
      <c r="D216" s="1"/>
      <c r="E216" s="1" t="s">
        <v>2124</v>
      </c>
      <c r="F216" s="1" t="s">
        <v>98</v>
      </c>
      <c r="G216" s="1" t="s">
        <v>2125</v>
      </c>
      <c r="H216" s="1">
        <v>0</v>
      </c>
      <c r="I216" s="1" t="s">
        <v>161</v>
      </c>
      <c r="J216" s="1"/>
      <c r="K216" s="1"/>
      <c r="L216" s="1" t="s">
        <v>506</v>
      </c>
      <c r="M216" s="1" t="s">
        <v>164</v>
      </c>
      <c r="N216" s="1">
        <v>0</v>
      </c>
      <c r="O216" s="1">
        <v>0</v>
      </c>
      <c r="P216" s="1" t="s">
        <v>507</v>
      </c>
      <c r="Q216" s="1" t="s">
        <v>167</v>
      </c>
      <c r="R216" s="1" t="s">
        <v>2126</v>
      </c>
      <c r="S216" s="1" t="s">
        <v>2127</v>
      </c>
      <c r="T216" s="1" t="s">
        <v>107</v>
      </c>
      <c r="U216" s="1" t="s">
        <v>2128</v>
      </c>
      <c r="V216" s="1">
        <v>1</v>
      </c>
      <c r="W216" s="1">
        <v>1</v>
      </c>
      <c r="X216" s="1">
        <v>0</v>
      </c>
      <c r="Y216" s="1">
        <v>0</v>
      </c>
      <c r="Z216" s="1">
        <v>0</v>
      </c>
      <c r="AA216" s="1">
        <v>3</v>
      </c>
      <c r="AB216" s="1">
        <v>3</v>
      </c>
      <c r="AC216" s="1" t="s">
        <v>109</v>
      </c>
      <c r="AD216" s="1" t="s">
        <v>109</v>
      </c>
      <c r="AE216" s="1" t="s">
        <v>109</v>
      </c>
      <c r="AF216" s="1" t="s">
        <v>109</v>
      </c>
      <c r="AG216" s="1" t="s">
        <v>109</v>
      </c>
      <c r="AH216" s="1">
        <v>3</v>
      </c>
      <c r="AI216" s="1">
        <v>3</v>
      </c>
      <c r="AJ216" s="1">
        <v>3</v>
      </c>
      <c r="AK216" s="1" t="s">
        <v>109</v>
      </c>
      <c r="AL216" s="1" t="s">
        <v>109</v>
      </c>
      <c r="AM216" s="1" t="s">
        <v>109</v>
      </c>
      <c r="AN216" s="1">
        <v>3</v>
      </c>
      <c r="AO216" s="1" t="s">
        <v>109</v>
      </c>
      <c r="AP216" s="1"/>
      <c r="AQ216" s="1">
        <v>3</v>
      </c>
      <c r="AR216" s="1" t="s">
        <v>2129</v>
      </c>
      <c r="AS216" s="1" t="s">
        <v>2130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5" t="str">
        <f>HYPERLINK("http://www.d20pfsrd.com/magic/all-spells/f/fly","Fly")</f>
        <v>Fly</v>
      </c>
      <c r="BT216" s="1">
        <v>215</v>
      </c>
      <c r="BU216" s="1" t="s">
        <v>109</v>
      </c>
      <c r="BV216" s="1" t="s">
        <v>2131</v>
      </c>
      <c r="BW216" s="1"/>
      <c r="BX216" s="1" t="s">
        <v>2132</v>
      </c>
      <c r="BY216" s="1" t="s">
        <v>2133</v>
      </c>
      <c r="BZ216" s="1">
        <v>1</v>
      </c>
      <c r="CA216" s="1">
        <v>3</v>
      </c>
      <c r="CB216" s="1">
        <v>3</v>
      </c>
      <c r="CC216" s="1">
        <v>3</v>
      </c>
      <c r="CD216" s="1" t="s">
        <v>109</v>
      </c>
      <c r="CE216" s="1" t="s">
        <v>109</v>
      </c>
      <c r="CF216" s="1">
        <v>3</v>
      </c>
      <c r="CG216" s="1">
        <v>3</v>
      </c>
      <c r="CH216" s="1" t="s">
        <v>109</v>
      </c>
      <c r="CI216" s="1" t="s">
        <v>109</v>
      </c>
      <c r="CJ216" s="1" t="s">
        <v>109</v>
      </c>
      <c r="CK216" s="1"/>
      <c r="CL216" s="1">
        <v>0</v>
      </c>
      <c r="CM216" s="1">
        <v>0</v>
      </c>
      <c r="CN216" s="1">
        <v>0</v>
      </c>
    </row>
    <row r="217" spans="1:92" ht="14.25" customHeight="1" x14ac:dyDescent="0.15">
      <c r="A217" s="1" t="s">
        <v>2134</v>
      </c>
      <c r="B217" s="1" t="s">
        <v>95</v>
      </c>
      <c r="C217" s="1" t="s">
        <v>96</v>
      </c>
      <c r="D217" s="1"/>
      <c r="E217" s="1" t="s">
        <v>2135</v>
      </c>
      <c r="F217" s="1" t="s">
        <v>98</v>
      </c>
      <c r="G217" s="1" t="s">
        <v>141</v>
      </c>
      <c r="H217" s="1">
        <v>0</v>
      </c>
      <c r="I217" s="1" t="s">
        <v>2136</v>
      </c>
      <c r="J217" s="1"/>
      <c r="K217" s="1" t="s">
        <v>2137</v>
      </c>
      <c r="L217" s="1"/>
      <c r="M217" s="1" t="s">
        <v>194</v>
      </c>
      <c r="N217" s="1">
        <v>0</v>
      </c>
      <c r="O217" s="1">
        <v>0</v>
      </c>
      <c r="P217" s="1" t="s">
        <v>103</v>
      </c>
      <c r="Q217" s="1" t="s">
        <v>104</v>
      </c>
      <c r="R217" s="1" t="s">
        <v>2138</v>
      </c>
      <c r="S217" s="1" t="s">
        <v>2139</v>
      </c>
      <c r="T217" s="1" t="s">
        <v>107</v>
      </c>
      <c r="U217" s="1" t="s">
        <v>2140</v>
      </c>
      <c r="V217" s="1">
        <v>1</v>
      </c>
      <c r="W217" s="1">
        <v>1</v>
      </c>
      <c r="X217" s="1">
        <v>0</v>
      </c>
      <c r="Y217" s="1">
        <v>0</v>
      </c>
      <c r="Z217" s="1">
        <v>0</v>
      </c>
      <c r="AA217" s="1">
        <v>2</v>
      </c>
      <c r="AB217" s="1">
        <v>2</v>
      </c>
      <c r="AC217" s="1" t="s">
        <v>109</v>
      </c>
      <c r="AD217" s="1">
        <v>2</v>
      </c>
      <c r="AE217" s="1" t="s">
        <v>109</v>
      </c>
      <c r="AF217" s="1" t="s">
        <v>109</v>
      </c>
      <c r="AG217" s="1" t="s">
        <v>109</v>
      </c>
      <c r="AH217" s="1" t="s">
        <v>109</v>
      </c>
      <c r="AI217" s="1" t="s">
        <v>109</v>
      </c>
      <c r="AJ217" s="1">
        <v>2</v>
      </c>
      <c r="AK217" s="1" t="s">
        <v>109</v>
      </c>
      <c r="AL217" s="1" t="s">
        <v>109</v>
      </c>
      <c r="AM217" s="1" t="s">
        <v>109</v>
      </c>
      <c r="AN217" s="1">
        <v>2</v>
      </c>
      <c r="AO217" s="1" t="s">
        <v>109</v>
      </c>
      <c r="AP217" s="1"/>
      <c r="AQ217" s="1">
        <v>2</v>
      </c>
      <c r="AR217" s="1" t="s">
        <v>2141</v>
      </c>
      <c r="AS217" s="1" t="s">
        <v>2142</v>
      </c>
      <c r="AT217" s="1">
        <v>0</v>
      </c>
      <c r="AU217" s="1">
        <v>0</v>
      </c>
      <c r="AV217" s="1">
        <v>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5" t="str">
        <f>HYPERLINK("http://www.d20pfsrd.com/magic/all-spells/f/fog-cloud","Fog Cloud")</f>
        <v>Fog Cloud</v>
      </c>
      <c r="BT217" s="1">
        <v>216</v>
      </c>
      <c r="BU217" s="1" t="s">
        <v>109</v>
      </c>
      <c r="BV217" s="1"/>
      <c r="BW217" s="1" t="s">
        <v>2143</v>
      </c>
      <c r="BX217" s="1" t="s">
        <v>2144</v>
      </c>
      <c r="BY217" s="1" t="s">
        <v>2145</v>
      </c>
      <c r="BZ217" s="1">
        <v>1</v>
      </c>
      <c r="CA217" s="1" t="s">
        <v>109</v>
      </c>
      <c r="CB217" s="1">
        <v>2</v>
      </c>
      <c r="CC217" s="1" t="s">
        <v>109</v>
      </c>
      <c r="CD217" s="1" t="s">
        <v>109</v>
      </c>
      <c r="CE217" s="1" t="s">
        <v>109</v>
      </c>
      <c r="CF217" s="1" t="s">
        <v>109</v>
      </c>
      <c r="CG217" s="1" t="s">
        <v>109</v>
      </c>
      <c r="CH217" s="1" t="s">
        <v>109</v>
      </c>
      <c r="CI217" s="1" t="s">
        <v>109</v>
      </c>
      <c r="CJ217" s="1">
        <v>2</v>
      </c>
      <c r="CK217" s="1"/>
      <c r="CL217" s="1">
        <v>0</v>
      </c>
      <c r="CM217" s="1">
        <v>0</v>
      </c>
      <c r="CN217" s="1">
        <v>0</v>
      </c>
    </row>
    <row r="218" spans="1:92" ht="14.25" customHeight="1" x14ac:dyDescent="0.15">
      <c r="A218" s="1" t="s">
        <v>2146</v>
      </c>
      <c r="B218" s="1" t="s">
        <v>242</v>
      </c>
      <c r="C218" s="1"/>
      <c r="D218" s="1"/>
      <c r="E218" s="1" t="s">
        <v>2147</v>
      </c>
      <c r="F218" s="1" t="s">
        <v>2148</v>
      </c>
      <c r="G218" s="1" t="s">
        <v>2149</v>
      </c>
      <c r="H218" s="1">
        <v>1</v>
      </c>
      <c r="I218" s="1" t="s">
        <v>122</v>
      </c>
      <c r="J218" s="1" t="s">
        <v>2150</v>
      </c>
      <c r="K218" s="1"/>
      <c r="L218" s="1"/>
      <c r="M218" s="1" t="s">
        <v>408</v>
      </c>
      <c r="N218" s="1">
        <v>0</v>
      </c>
      <c r="O218" s="1">
        <v>1</v>
      </c>
      <c r="P218" s="1" t="s">
        <v>211</v>
      </c>
      <c r="Q218" s="1" t="s">
        <v>268</v>
      </c>
      <c r="R218" s="1" t="s">
        <v>2151</v>
      </c>
      <c r="S218" s="1" t="s">
        <v>2152</v>
      </c>
      <c r="T218" s="1" t="s">
        <v>107</v>
      </c>
      <c r="U218" s="1" t="s">
        <v>2153</v>
      </c>
      <c r="V218" s="1">
        <v>1</v>
      </c>
      <c r="W218" s="1">
        <v>1</v>
      </c>
      <c r="X218" s="1">
        <v>1</v>
      </c>
      <c r="Y218" s="1">
        <v>0</v>
      </c>
      <c r="Z218" s="1">
        <v>1</v>
      </c>
      <c r="AA218" s="1" t="s">
        <v>109</v>
      </c>
      <c r="AB218" s="1" t="s">
        <v>109</v>
      </c>
      <c r="AC218" s="1">
        <v>6</v>
      </c>
      <c r="AD218" s="1" t="s">
        <v>109</v>
      </c>
      <c r="AE218" s="1" t="s">
        <v>109</v>
      </c>
      <c r="AF218" s="1" t="s">
        <v>109</v>
      </c>
      <c r="AG218" s="1" t="s">
        <v>109</v>
      </c>
      <c r="AH218" s="1" t="s">
        <v>109</v>
      </c>
      <c r="AI218" s="1" t="s">
        <v>109</v>
      </c>
      <c r="AJ218" s="1" t="s">
        <v>109</v>
      </c>
      <c r="AK218" s="1">
        <v>6</v>
      </c>
      <c r="AL218" s="1">
        <v>6</v>
      </c>
      <c r="AM218" s="1" t="s">
        <v>109</v>
      </c>
      <c r="AN218" s="1" t="s">
        <v>109</v>
      </c>
      <c r="AO218" s="1" t="s">
        <v>109</v>
      </c>
      <c r="AP218" s="1"/>
      <c r="AQ218" s="1">
        <v>6</v>
      </c>
      <c r="AR218" s="1"/>
      <c r="AS218" s="1" t="s">
        <v>2154</v>
      </c>
      <c r="AT218" s="1">
        <v>0</v>
      </c>
      <c r="AU218" s="1">
        <v>0</v>
      </c>
      <c r="AV218" s="1">
        <v>0</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5" t="str">
        <f>HYPERLINK("http://www.d20pfsrd.com/magic/all-spells/f/forbiddance","Forbiddance")</f>
        <v>Forbiddance</v>
      </c>
      <c r="BT218" s="1">
        <v>217</v>
      </c>
      <c r="BU218" s="1">
        <v>1500</v>
      </c>
      <c r="BV218" s="1"/>
      <c r="BW218" s="1"/>
      <c r="BX218" s="1"/>
      <c r="BY218" s="1"/>
      <c r="BZ218" s="1">
        <v>0</v>
      </c>
      <c r="CA218" s="1" t="s">
        <v>109</v>
      </c>
      <c r="CB218" s="1" t="s">
        <v>109</v>
      </c>
      <c r="CC218" s="1" t="s">
        <v>109</v>
      </c>
      <c r="CD218" s="1" t="s">
        <v>109</v>
      </c>
      <c r="CE218" s="1" t="s">
        <v>109</v>
      </c>
      <c r="CF218" s="1">
        <v>6</v>
      </c>
      <c r="CG218" s="1" t="s">
        <v>109</v>
      </c>
      <c r="CH218" s="1" t="s">
        <v>109</v>
      </c>
      <c r="CI218" s="1" t="s">
        <v>109</v>
      </c>
      <c r="CJ218" s="1" t="s">
        <v>109</v>
      </c>
      <c r="CK218" s="1"/>
      <c r="CL218" s="1">
        <v>0</v>
      </c>
      <c r="CM218" s="1">
        <v>0</v>
      </c>
      <c r="CN218" s="1">
        <v>0</v>
      </c>
    </row>
    <row r="219" spans="1:92" ht="14.25" customHeight="1" x14ac:dyDescent="0.15">
      <c r="A219" s="1" t="s">
        <v>2155</v>
      </c>
      <c r="B219" s="1" t="s">
        <v>584</v>
      </c>
      <c r="C219" s="1"/>
      <c r="D219" s="1" t="s">
        <v>60</v>
      </c>
      <c r="E219" s="1" t="s">
        <v>2156</v>
      </c>
      <c r="F219" s="1" t="s">
        <v>98</v>
      </c>
      <c r="G219" s="1" t="s">
        <v>2157</v>
      </c>
      <c r="H219" s="1">
        <v>1</v>
      </c>
      <c r="I219" s="1" t="s">
        <v>142</v>
      </c>
      <c r="J219" s="1" t="s">
        <v>2158</v>
      </c>
      <c r="K219" s="1"/>
      <c r="L219" s="1"/>
      <c r="M219" s="1" t="s">
        <v>125</v>
      </c>
      <c r="N219" s="1">
        <v>1</v>
      </c>
      <c r="O219" s="1">
        <v>0</v>
      </c>
      <c r="P219" s="1" t="s">
        <v>2092</v>
      </c>
      <c r="Q219" s="1" t="s">
        <v>104</v>
      </c>
      <c r="R219" s="1" t="s">
        <v>2159</v>
      </c>
      <c r="S219" s="1" t="s">
        <v>2160</v>
      </c>
      <c r="T219" s="1" t="s">
        <v>107</v>
      </c>
      <c r="U219" s="1" t="s">
        <v>2161</v>
      </c>
      <c r="V219" s="1">
        <v>1</v>
      </c>
      <c r="W219" s="1">
        <v>1</v>
      </c>
      <c r="X219" s="1">
        <v>1</v>
      </c>
      <c r="Y219" s="1">
        <v>0</v>
      </c>
      <c r="Z219" s="1">
        <v>0</v>
      </c>
      <c r="AA219" s="1">
        <v>7</v>
      </c>
      <c r="AB219" s="1">
        <v>7</v>
      </c>
      <c r="AC219" s="1" t="s">
        <v>109</v>
      </c>
      <c r="AD219" s="1" t="s">
        <v>109</v>
      </c>
      <c r="AE219" s="1" t="s">
        <v>109</v>
      </c>
      <c r="AF219" s="1" t="s">
        <v>109</v>
      </c>
      <c r="AG219" s="1" t="s">
        <v>109</v>
      </c>
      <c r="AH219" s="1" t="s">
        <v>109</v>
      </c>
      <c r="AI219" s="1" t="s">
        <v>109</v>
      </c>
      <c r="AJ219" s="1" t="s">
        <v>109</v>
      </c>
      <c r="AK219" s="1" t="s">
        <v>109</v>
      </c>
      <c r="AL219" s="1" t="s">
        <v>109</v>
      </c>
      <c r="AM219" s="1" t="s">
        <v>109</v>
      </c>
      <c r="AN219" s="1" t="s">
        <v>109</v>
      </c>
      <c r="AO219" s="1" t="s">
        <v>109</v>
      </c>
      <c r="AP219" s="1"/>
      <c r="AQ219" s="1">
        <v>7</v>
      </c>
      <c r="AR219" s="1"/>
      <c r="AS219" s="1" t="s">
        <v>2162</v>
      </c>
      <c r="AT219" s="1">
        <v>0</v>
      </c>
      <c r="AU219" s="1">
        <v>0</v>
      </c>
      <c r="AV219" s="1">
        <v>0</v>
      </c>
      <c r="AW219" s="1">
        <v>0</v>
      </c>
      <c r="AX219" s="1">
        <v>0</v>
      </c>
      <c r="AY219" s="1">
        <v>0</v>
      </c>
      <c r="AZ219" s="1">
        <v>0</v>
      </c>
      <c r="BA219" s="1">
        <v>0</v>
      </c>
      <c r="BB219" s="1">
        <v>0</v>
      </c>
      <c r="BC219" s="1">
        <v>0</v>
      </c>
      <c r="BD219" s="1">
        <v>0</v>
      </c>
      <c r="BE219" s="1">
        <v>0</v>
      </c>
      <c r="BF219" s="1">
        <v>0</v>
      </c>
      <c r="BG219" s="1">
        <v>0</v>
      </c>
      <c r="BH219" s="1">
        <v>1</v>
      </c>
      <c r="BI219" s="1">
        <v>0</v>
      </c>
      <c r="BJ219" s="1">
        <v>0</v>
      </c>
      <c r="BK219" s="1">
        <v>0</v>
      </c>
      <c r="BL219" s="1">
        <v>0</v>
      </c>
      <c r="BM219" s="1">
        <v>0</v>
      </c>
      <c r="BN219" s="1">
        <v>0</v>
      </c>
      <c r="BO219" s="1">
        <v>0</v>
      </c>
      <c r="BP219" s="1">
        <v>0</v>
      </c>
      <c r="BQ219" s="1">
        <v>0</v>
      </c>
      <c r="BR219" s="1">
        <v>0</v>
      </c>
      <c r="BS219" s="5" t="str">
        <f>HYPERLINK("http://www.d20pfsrd.com/magic/all-spells/f/forcecage","Forcecage")</f>
        <v>Forcecage</v>
      </c>
      <c r="BT219" s="1">
        <v>218</v>
      </c>
      <c r="BU219" s="1">
        <v>500</v>
      </c>
      <c r="BV219" s="1"/>
      <c r="BW219" s="1" t="s">
        <v>2163</v>
      </c>
      <c r="BX219" s="1"/>
      <c r="BY219" s="1"/>
      <c r="BZ219" s="1">
        <v>0</v>
      </c>
      <c r="CA219" s="1" t="s">
        <v>109</v>
      </c>
      <c r="CB219" s="1" t="s">
        <v>109</v>
      </c>
      <c r="CC219" s="1">
        <v>7</v>
      </c>
      <c r="CD219" s="1" t="s">
        <v>109</v>
      </c>
      <c r="CE219" s="1" t="s">
        <v>109</v>
      </c>
      <c r="CF219" s="1" t="s">
        <v>109</v>
      </c>
      <c r="CG219" s="1" t="s">
        <v>109</v>
      </c>
      <c r="CH219" s="1" t="s">
        <v>109</v>
      </c>
      <c r="CI219" s="1" t="s">
        <v>109</v>
      </c>
      <c r="CJ219" s="1" t="s">
        <v>109</v>
      </c>
      <c r="CK219" s="1"/>
      <c r="CL219" s="1">
        <v>0</v>
      </c>
      <c r="CM219" s="1">
        <v>0</v>
      </c>
      <c r="CN219" s="1">
        <v>0</v>
      </c>
    </row>
    <row r="220" spans="1:92" ht="14.25" customHeight="1" x14ac:dyDescent="0.15">
      <c r="A220" s="1" t="s">
        <v>2164</v>
      </c>
      <c r="B220" s="1" t="s">
        <v>584</v>
      </c>
      <c r="C220" s="1"/>
      <c r="D220" s="1" t="s">
        <v>60</v>
      </c>
      <c r="E220" s="1" t="s">
        <v>2165</v>
      </c>
      <c r="F220" s="1" t="s">
        <v>98</v>
      </c>
      <c r="G220" s="1" t="s">
        <v>1200</v>
      </c>
      <c r="H220" s="1">
        <v>0</v>
      </c>
      <c r="I220" s="1" t="s">
        <v>122</v>
      </c>
      <c r="J220" s="1"/>
      <c r="K220" s="1" t="s">
        <v>906</v>
      </c>
      <c r="L220" s="1"/>
      <c r="M220" s="1" t="s">
        <v>125</v>
      </c>
      <c r="N220" s="1">
        <v>1</v>
      </c>
      <c r="O220" s="1">
        <v>0</v>
      </c>
      <c r="P220" s="1" t="s">
        <v>103</v>
      </c>
      <c r="Q220" s="1" t="s">
        <v>268</v>
      </c>
      <c r="R220" s="1" t="s">
        <v>2166</v>
      </c>
      <c r="S220" s="1" t="s">
        <v>2167</v>
      </c>
      <c r="T220" s="1" t="s">
        <v>107</v>
      </c>
      <c r="U220" s="1" t="s">
        <v>2168</v>
      </c>
      <c r="V220" s="1">
        <v>1</v>
      </c>
      <c r="W220" s="1">
        <v>1</v>
      </c>
      <c r="X220" s="1">
        <v>0</v>
      </c>
      <c r="Y220" s="1">
        <v>1</v>
      </c>
      <c r="Z220" s="1">
        <v>0</v>
      </c>
      <c r="AA220" s="1">
        <v>6</v>
      </c>
      <c r="AB220" s="1">
        <v>6</v>
      </c>
      <c r="AC220" s="1" t="s">
        <v>109</v>
      </c>
      <c r="AD220" s="1" t="s">
        <v>109</v>
      </c>
      <c r="AE220" s="1" t="s">
        <v>109</v>
      </c>
      <c r="AF220" s="1" t="s">
        <v>109</v>
      </c>
      <c r="AG220" s="1" t="s">
        <v>109</v>
      </c>
      <c r="AH220" s="1" t="s">
        <v>109</v>
      </c>
      <c r="AI220" s="1" t="s">
        <v>109</v>
      </c>
      <c r="AJ220" s="1" t="s">
        <v>109</v>
      </c>
      <c r="AK220" s="1" t="s">
        <v>109</v>
      </c>
      <c r="AL220" s="1" t="s">
        <v>109</v>
      </c>
      <c r="AM220" s="1" t="s">
        <v>109</v>
      </c>
      <c r="AN220" s="1">
        <v>6</v>
      </c>
      <c r="AO220" s="1" t="s">
        <v>109</v>
      </c>
      <c r="AP220" s="1"/>
      <c r="AQ220" s="1">
        <v>6</v>
      </c>
      <c r="AR220" s="1"/>
      <c r="AS220" s="1" t="s">
        <v>2169</v>
      </c>
      <c r="AT220" s="1">
        <v>0</v>
      </c>
      <c r="AU220" s="1">
        <v>0</v>
      </c>
      <c r="AV220" s="1">
        <v>0</v>
      </c>
      <c r="AW220" s="1">
        <v>0</v>
      </c>
      <c r="AX220" s="1">
        <v>0</v>
      </c>
      <c r="AY220" s="1">
        <v>0</v>
      </c>
      <c r="AZ220" s="1">
        <v>0</v>
      </c>
      <c r="BA220" s="1">
        <v>0</v>
      </c>
      <c r="BB220" s="1">
        <v>0</v>
      </c>
      <c r="BC220" s="1">
        <v>0</v>
      </c>
      <c r="BD220" s="1">
        <v>0</v>
      </c>
      <c r="BE220" s="1">
        <v>0</v>
      </c>
      <c r="BF220" s="1">
        <v>0</v>
      </c>
      <c r="BG220" s="1">
        <v>0</v>
      </c>
      <c r="BH220" s="1">
        <v>1</v>
      </c>
      <c r="BI220" s="1">
        <v>0</v>
      </c>
      <c r="BJ220" s="1">
        <v>0</v>
      </c>
      <c r="BK220" s="1">
        <v>0</v>
      </c>
      <c r="BL220" s="1">
        <v>0</v>
      </c>
      <c r="BM220" s="1">
        <v>0</v>
      </c>
      <c r="BN220" s="1">
        <v>0</v>
      </c>
      <c r="BO220" s="1">
        <v>0</v>
      </c>
      <c r="BP220" s="1">
        <v>0</v>
      </c>
      <c r="BQ220" s="1">
        <v>0</v>
      </c>
      <c r="BR220" s="1">
        <v>0</v>
      </c>
      <c r="BS220" s="5" t="str">
        <f>HYPERLINK("http://www.d20pfsrd.com/magic/all-spells/f/forceful-hand","Forceful Hand")</f>
        <v>Forceful Hand</v>
      </c>
      <c r="BT220" s="1">
        <v>219</v>
      </c>
      <c r="BU220" s="1" t="s">
        <v>109</v>
      </c>
      <c r="BV220" s="1"/>
      <c r="BW220" s="1"/>
      <c r="BX220" s="1"/>
      <c r="BY220" s="1"/>
      <c r="BZ220" s="1">
        <v>0</v>
      </c>
      <c r="CA220" s="1" t="s">
        <v>109</v>
      </c>
      <c r="CB220" s="1" t="s">
        <v>109</v>
      </c>
      <c r="CC220" s="1">
        <v>6</v>
      </c>
      <c r="CD220" s="1" t="s">
        <v>109</v>
      </c>
      <c r="CE220" s="1" t="s">
        <v>109</v>
      </c>
      <c r="CF220" s="1">
        <v>6</v>
      </c>
      <c r="CG220" s="1" t="s">
        <v>109</v>
      </c>
      <c r="CH220" s="1" t="s">
        <v>109</v>
      </c>
      <c r="CI220" s="1" t="s">
        <v>109</v>
      </c>
      <c r="CJ220" s="1" t="s">
        <v>109</v>
      </c>
      <c r="CK220" s="1"/>
      <c r="CL220" s="1">
        <v>0</v>
      </c>
      <c r="CM220" s="1">
        <v>0</v>
      </c>
      <c r="CN220" s="1">
        <v>0</v>
      </c>
    </row>
    <row r="221" spans="1:92" ht="14.25" customHeight="1" x14ac:dyDescent="0.15">
      <c r="A221" s="1" t="s">
        <v>2170</v>
      </c>
      <c r="B221" s="1" t="s">
        <v>254</v>
      </c>
      <c r="C221" s="1"/>
      <c r="D221" s="1"/>
      <c r="E221" s="1" t="s">
        <v>2171</v>
      </c>
      <c r="F221" s="1" t="s">
        <v>98</v>
      </c>
      <c r="G221" s="1" t="s">
        <v>2172</v>
      </c>
      <c r="H221" s="1">
        <v>0</v>
      </c>
      <c r="I221" s="1" t="s">
        <v>1986</v>
      </c>
      <c r="J221" s="1"/>
      <c r="K221" s="1"/>
      <c r="L221" s="1" t="s">
        <v>211</v>
      </c>
      <c r="M221" s="1" t="s">
        <v>194</v>
      </c>
      <c r="N221" s="1">
        <v>0</v>
      </c>
      <c r="O221" s="1">
        <v>0</v>
      </c>
      <c r="P221" s="1" t="s">
        <v>1988</v>
      </c>
      <c r="Q221" s="1" t="s">
        <v>1989</v>
      </c>
      <c r="R221" s="1" t="s">
        <v>2173</v>
      </c>
      <c r="S221" s="1" t="s">
        <v>2174</v>
      </c>
      <c r="T221" s="1" t="s">
        <v>107</v>
      </c>
      <c r="U221" s="1" t="s">
        <v>2175</v>
      </c>
      <c r="V221" s="1">
        <v>1</v>
      </c>
      <c r="W221" s="1">
        <v>1</v>
      </c>
      <c r="X221" s="1">
        <v>1</v>
      </c>
      <c r="Y221" s="1">
        <v>0</v>
      </c>
      <c r="Z221" s="1">
        <v>1</v>
      </c>
      <c r="AA221" s="1">
        <v>9</v>
      </c>
      <c r="AB221" s="1">
        <v>9</v>
      </c>
      <c r="AC221" s="1" t="s">
        <v>109</v>
      </c>
      <c r="AD221" s="1">
        <v>9</v>
      </c>
      <c r="AE221" s="1" t="s">
        <v>109</v>
      </c>
      <c r="AF221" s="1" t="s">
        <v>109</v>
      </c>
      <c r="AG221" s="1" t="s">
        <v>109</v>
      </c>
      <c r="AH221" s="1" t="s">
        <v>109</v>
      </c>
      <c r="AI221" s="1" t="s">
        <v>109</v>
      </c>
      <c r="AJ221" s="1">
        <v>9</v>
      </c>
      <c r="AK221" s="1" t="s">
        <v>109</v>
      </c>
      <c r="AL221" s="1" t="s">
        <v>109</v>
      </c>
      <c r="AM221" s="1" t="s">
        <v>109</v>
      </c>
      <c r="AN221" s="1" t="s">
        <v>109</v>
      </c>
      <c r="AO221" s="1" t="s">
        <v>109</v>
      </c>
      <c r="AP221" s="1"/>
      <c r="AQ221" s="1">
        <v>9</v>
      </c>
      <c r="AR221" s="1" t="s">
        <v>2176</v>
      </c>
      <c r="AS221" s="1" t="s">
        <v>2177</v>
      </c>
      <c r="AT221" s="1">
        <v>0</v>
      </c>
      <c r="AU221" s="1">
        <v>0</v>
      </c>
      <c r="AV221" s="1">
        <v>0</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5" t="str">
        <f>HYPERLINK("http://www.d20pfsrd.com/magic/all-spells/f/foresight","Foresight")</f>
        <v>Foresight</v>
      </c>
      <c r="BT221" s="1">
        <v>220</v>
      </c>
      <c r="BU221" s="1" t="s">
        <v>109</v>
      </c>
      <c r="BV221" s="1" t="s">
        <v>2178</v>
      </c>
      <c r="BW221" s="1" t="s">
        <v>2179</v>
      </c>
      <c r="BX221" s="1" t="s">
        <v>2180</v>
      </c>
      <c r="BY221" s="1"/>
      <c r="BZ221" s="1">
        <v>1</v>
      </c>
      <c r="CA221" s="1" t="s">
        <v>109</v>
      </c>
      <c r="CB221" s="1">
        <v>9</v>
      </c>
      <c r="CC221" s="1">
        <v>9</v>
      </c>
      <c r="CD221" s="1" t="s">
        <v>109</v>
      </c>
      <c r="CE221" s="1" t="s">
        <v>109</v>
      </c>
      <c r="CF221" s="1" t="s">
        <v>109</v>
      </c>
      <c r="CG221" s="1" t="s">
        <v>109</v>
      </c>
      <c r="CH221" s="1" t="s">
        <v>109</v>
      </c>
      <c r="CI221" s="1" t="s">
        <v>109</v>
      </c>
      <c r="CJ221" s="1" t="s">
        <v>109</v>
      </c>
      <c r="CK221" s="1"/>
      <c r="CL221" s="1">
        <v>0</v>
      </c>
      <c r="CM221" s="1">
        <v>0</v>
      </c>
      <c r="CN221" s="1">
        <v>0</v>
      </c>
    </row>
    <row r="222" spans="1:92" ht="14.25" customHeight="1" x14ac:dyDescent="0.15">
      <c r="A222" s="1" t="s">
        <v>2181</v>
      </c>
      <c r="B222" s="1" t="s">
        <v>189</v>
      </c>
      <c r="C222" s="1" t="s">
        <v>231</v>
      </c>
      <c r="D222" s="1"/>
      <c r="E222" s="1" t="s">
        <v>545</v>
      </c>
      <c r="F222" s="1" t="s">
        <v>98</v>
      </c>
      <c r="G222" s="1" t="s">
        <v>2182</v>
      </c>
      <c r="H222" s="1">
        <v>0</v>
      </c>
      <c r="I222" s="1" t="s">
        <v>235</v>
      </c>
      <c r="J222" s="1"/>
      <c r="K222" s="1"/>
      <c r="L222" s="1" t="s">
        <v>236</v>
      </c>
      <c r="M222" s="1" t="s">
        <v>164</v>
      </c>
      <c r="N222" s="1">
        <v>1</v>
      </c>
      <c r="O222" s="1">
        <v>0</v>
      </c>
      <c r="P222" s="1" t="s">
        <v>2183</v>
      </c>
      <c r="Q222" s="1" t="s">
        <v>104</v>
      </c>
      <c r="R222" s="1" t="s">
        <v>2184</v>
      </c>
      <c r="S222" s="1" t="s">
        <v>2185</v>
      </c>
      <c r="T222" s="1" t="s">
        <v>107</v>
      </c>
      <c r="U222" s="1" t="s">
        <v>2186</v>
      </c>
      <c r="V222" s="1">
        <v>1</v>
      </c>
      <c r="W222" s="1">
        <v>1</v>
      </c>
      <c r="X222" s="1">
        <v>1</v>
      </c>
      <c r="Y222" s="1">
        <v>0</v>
      </c>
      <c r="Z222" s="1">
        <v>0</v>
      </c>
      <c r="AA222" s="1">
        <v>6</v>
      </c>
      <c r="AB222" s="1">
        <v>6</v>
      </c>
      <c r="AC222" s="1" t="s">
        <v>109</v>
      </c>
      <c r="AD222" s="1" t="s">
        <v>109</v>
      </c>
      <c r="AE222" s="1" t="s">
        <v>109</v>
      </c>
      <c r="AF222" s="1" t="s">
        <v>109</v>
      </c>
      <c r="AG222" s="1" t="s">
        <v>109</v>
      </c>
      <c r="AH222" s="1">
        <v>6</v>
      </c>
      <c r="AI222" s="1" t="s">
        <v>109</v>
      </c>
      <c r="AJ222" s="1" t="s">
        <v>109</v>
      </c>
      <c r="AK222" s="1" t="s">
        <v>109</v>
      </c>
      <c r="AL222" s="1" t="s">
        <v>109</v>
      </c>
      <c r="AM222" s="1" t="s">
        <v>109</v>
      </c>
      <c r="AN222" s="1">
        <v>6</v>
      </c>
      <c r="AO222" s="1" t="s">
        <v>109</v>
      </c>
      <c r="AP222" s="1"/>
      <c r="AQ222" s="1">
        <v>6</v>
      </c>
      <c r="AR222" s="1" t="s">
        <v>2187</v>
      </c>
      <c r="AS222" s="1" t="s">
        <v>2188</v>
      </c>
      <c r="AT222" s="1">
        <v>0</v>
      </c>
      <c r="AU222" s="1">
        <v>0</v>
      </c>
      <c r="AV222" s="1">
        <v>0</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5" t="str">
        <f>HYPERLINK("http://www.d20pfsrd.com/magic/all-spells/f/form-of-the-dragon-i","Form of the Dragon I")</f>
        <v>Form of the Dragon I</v>
      </c>
      <c r="BT222" s="1">
        <v>221</v>
      </c>
      <c r="BU222" s="1" t="s">
        <v>109</v>
      </c>
      <c r="BV222" s="1" t="s">
        <v>2189</v>
      </c>
      <c r="BW222" s="1" t="s">
        <v>2190</v>
      </c>
      <c r="BX222" s="1"/>
      <c r="BY222" s="1"/>
      <c r="BZ222" s="1">
        <v>0</v>
      </c>
      <c r="CA222" s="1" t="s">
        <v>109</v>
      </c>
      <c r="CB222" s="1" t="s">
        <v>109</v>
      </c>
      <c r="CC222" s="1" t="s">
        <v>109</v>
      </c>
      <c r="CD222" s="1" t="s">
        <v>109</v>
      </c>
      <c r="CE222" s="1" t="s">
        <v>109</v>
      </c>
      <c r="CF222" s="1" t="s">
        <v>109</v>
      </c>
      <c r="CG222" s="1" t="s">
        <v>109</v>
      </c>
      <c r="CH222" s="1" t="s">
        <v>109</v>
      </c>
      <c r="CI222" s="1" t="s">
        <v>109</v>
      </c>
      <c r="CJ222" s="1" t="s">
        <v>109</v>
      </c>
      <c r="CK222" s="1"/>
      <c r="CL222" s="1">
        <v>0</v>
      </c>
      <c r="CM222" s="1">
        <v>0</v>
      </c>
      <c r="CN222" s="1">
        <v>0</v>
      </c>
    </row>
    <row r="223" spans="1:92" ht="14.25" customHeight="1" x14ac:dyDescent="0.15">
      <c r="A223" s="1" t="s">
        <v>2191</v>
      </c>
      <c r="B223" s="1" t="s">
        <v>189</v>
      </c>
      <c r="C223" s="1" t="s">
        <v>231</v>
      </c>
      <c r="D223" s="1"/>
      <c r="E223" s="1" t="s">
        <v>1101</v>
      </c>
      <c r="F223" s="1" t="s">
        <v>98</v>
      </c>
      <c r="G223" s="1" t="s">
        <v>2182</v>
      </c>
      <c r="H223" s="1">
        <v>0</v>
      </c>
      <c r="I223" s="1" t="s">
        <v>235</v>
      </c>
      <c r="J223" s="1"/>
      <c r="K223" s="1"/>
      <c r="L223" s="1" t="s">
        <v>236</v>
      </c>
      <c r="M223" s="1" t="s">
        <v>164</v>
      </c>
      <c r="N223" s="1">
        <v>1</v>
      </c>
      <c r="O223" s="1">
        <v>0</v>
      </c>
      <c r="P223" s="1" t="s">
        <v>2183</v>
      </c>
      <c r="Q223" s="1" t="s">
        <v>104</v>
      </c>
      <c r="R223" s="1" t="s">
        <v>2192</v>
      </c>
      <c r="S223" s="1" t="s">
        <v>2193</v>
      </c>
      <c r="T223" s="1" t="s">
        <v>107</v>
      </c>
      <c r="U223" s="1" t="s">
        <v>2194</v>
      </c>
      <c r="V223" s="1">
        <v>1</v>
      </c>
      <c r="W223" s="1">
        <v>1</v>
      </c>
      <c r="X223" s="1">
        <v>1</v>
      </c>
      <c r="Y223" s="1">
        <v>0</v>
      </c>
      <c r="Z223" s="1">
        <v>0</v>
      </c>
      <c r="AA223" s="1">
        <v>7</v>
      </c>
      <c r="AB223" s="1">
        <v>7</v>
      </c>
      <c r="AC223" s="1" t="s">
        <v>109</v>
      </c>
      <c r="AD223" s="1" t="s">
        <v>109</v>
      </c>
      <c r="AE223" s="1" t="s">
        <v>109</v>
      </c>
      <c r="AF223" s="1" t="s">
        <v>109</v>
      </c>
      <c r="AG223" s="1" t="s">
        <v>109</v>
      </c>
      <c r="AH223" s="1" t="s">
        <v>109</v>
      </c>
      <c r="AI223" s="1" t="s">
        <v>109</v>
      </c>
      <c r="AJ223" s="1" t="s">
        <v>109</v>
      </c>
      <c r="AK223" s="1" t="s">
        <v>109</v>
      </c>
      <c r="AL223" s="1" t="s">
        <v>109</v>
      </c>
      <c r="AM223" s="1" t="s">
        <v>109</v>
      </c>
      <c r="AN223" s="1" t="s">
        <v>109</v>
      </c>
      <c r="AO223" s="1" t="s">
        <v>109</v>
      </c>
      <c r="AP223" s="1"/>
      <c r="AQ223" s="1">
        <v>7</v>
      </c>
      <c r="AR223" s="1"/>
      <c r="AS223" s="1" t="s">
        <v>2195</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5" t="str">
        <f>HYPERLINK("http://www.d20pfsrd.com/magic/all-spells/f/form-of-the-dragon-i#TOC-Form-of-the-Dragon-II","Form of the Dragon II")</f>
        <v>Form of the Dragon II</v>
      </c>
      <c r="BT223" s="1">
        <v>222</v>
      </c>
      <c r="BU223" s="1" t="s">
        <v>109</v>
      </c>
      <c r="BV223" s="1" t="s">
        <v>2196</v>
      </c>
      <c r="BW223" s="1" t="s">
        <v>2197</v>
      </c>
      <c r="BX223" s="1"/>
      <c r="BY223" s="1"/>
      <c r="BZ223" s="1">
        <v>0</v>
      </c>
      <c r="CA223" s="1" t="s">
        <v>109</v>
      </c>
      <c r="CB223" s="1" t="s">
        <v>109</v>
      </c>
      <c r="CC223" s="1" t="s">
        <v>109</v>
      </c>
      <c r="CD223" s="1" t="s">
        <v>109</v>
      </c>
      <c r="CE223" s="1" t="s">
        <v>109</v>
      </c>
      <c r="CF223" s="1" t="s">
        <v>109</v>
      </c>
      <c r="CG223" s="1" t="s">
        <v>109</v>
      </c>
      <c r="CH223" s="1" t="s">
        <v>109</v>
      </c>
      <c r="CI223" s="1" t="s">
        <v>109</v>
      </c>
      <c r="CJ223" s="1" t="s">
        <v>109</v>
      </c>
      <c r="CK223" s="1"/>
      <c r="CL223" s="1">
        <v>0</v>
      </c>
      <c r="CM223" s="1">
        <v>0</v>
      </c>
      <c r="CN223" s="1">
        <v>0</v>
      </c>
    </row>
    <row r="224" spans="1:92" ht="14.25" customHeight="1" x14ac:dyDescent="0.15">
      <c r="A224" s="1" t="s">
        <v>2198</v>
      </c>
      <c r="B224" s="1" t="s">
        <v>189</v>
      </c>
      <c r="C224" s="1" t="s">
        <v>231</v>
      </c>
      <c r="D224" s="1"/>
      <c r="E224" s="1" t="s">
        <v>2199</v>
      </c>
      <c r="F224" s="1" t="s">
        <v>98</v>
      </c>
      <c r="G224" s="1" t="s">
        <v>2182</v>
      </c>
      <c r="H224" s="1">
        <v>0</v>
      </c>
      <c r="I224" s="1" t="s">
        <v>235</v>
      </c>
      <c r="J224" s="1"/>
      <c r="K224" s="1"/>
      <c r="L224" s="1" t="s">
        <v>236</v>
      </c>
      <c r="M224" s="1" t="s">
        <v>164</v>
      </c>
      <c r="N224" s="1">
        <v>1</v>
      </c>
      <c r="O224" s="1">
        <v>0</v>
      </c>
      <c r="P224" s="1" t="s">
        <v>2183</v>
      </c>
      <c r="Q224" s="1" t="s">
        <v>104</v>
      </c>
      <c r="R224" s="1" t="s">
        <v>2200</v>
      </c>
      <c r="S224" s="1" t="s">
        <v>2201</v>
      </c>
      <c r="T224" s="1" t="s">
        <v>107</v>
      </c>
      <c r="U224" s="1" t="s">
        <v>2202</v>
      </c>
      <c r="V224" s="1">
        <v>1</v>
      </c>
      <c r="W224" s="1">
        <v>1</v>
      </c>
      <c r="X224" s="1">
        <v>1</v>
      </c>
      <c r="Y224" s="1">
        <v>0</v>
      </c>
      <c r="Z224" s="1">
        <v>0</v>
      </c>
      <c r="AA224" s="1">
        <v>8</v>
      </c>
      <c r="AB224" s="1">
        <v>8</v>
      </c>
      <c r="AC224" s="1" t="s">
        <v>109</v>
      </c>
      <c r="AD224" s="1" t="s">
        <v>109</v>
      </c>
      <c r="AE224" s="1" t="s">
        <v>109</v>
      </c>
      <c r="AF224" s="1" t="s">
        <v>109</v>
      </c>
      <c r="AG224" s="1" t="s">
        <v>109</v>
      </c>
      <c r="AH224" s="1" t="s">
        <v>109</v>
      </c>
      <c r="AI224" s="1" t="s">
        <v>109</v>
      </c>
      <c r="AJ224" s="1" t="s">
        <v>109</v>
      </c>
      <c r="AK224" s="1" t="s">
        <v>109</v>
      </c>
      <c r="AL224" s="1" t="s">
        <v>109</v>
      </c>
      <c r="AM224" s="1" t="s">
        <v>109</v>
      </c>
      <c r="AN224" s="1" t="s">
        <v>109</v>
      </c>
      <c r="AO224" s="1" t="s">
        <v>109</v>
      </c>
      <c r="AP224" s="1"/>
      <c r="AQ224" s="1">
        <v>8</v>
      </c>
      <c r="AR224" s="1"/>
      <c r="AS224" s="1" t="s">
        <v>2203</v>
      </c>
      <c r="AT224" s="1">
        <v>0</v>
      </c>
      <c r="AU224" s="1">
        <v>0</v>
      </c>
      <c r="AV224" s="1">
        <v>0</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5" t="str">
        <f>HYPERLINK("http://www.d20pfsrd.com/magic/all-spells/f/form-of-the-dragon-i#TOC-Form-of-the-Dragon-III","Form of the Dragon III")</f>
        <v>Form of the Dragon III</v>
      </c>
      <c r="BT224" s="1">
        <v>223</v>
      </c>
      <c r="BU224" s="1" t="s">
        <v>109</v>
      </c>
      <c r="BV224" s="1" t="s">
        <v>2204</v>
      </c>
      <c r="BW224" s="1" t="s">
        <v>2205</v>
      </c>
      <c r="BX224" s="1"/>
      <c r="BY224" s="1"/>
      <c r="BZ224" s="1">
        <v>0</v>
      </c>
      <c r="CA224" s="1" t="s">
        <v>109</v>
      </c>
      <c r="CB224" s="1" t="s">
        <v>109</v>
      </c>
      <c r="CC224" s="1" t="s">
        <v>109</v>
      </c>
      <c r="CD224" s="1" t="s">
        <v>109</v>
      </c>
      <c r="CE224" s="1" t="s">
        <v>109</v>
      </c>
      <c r="CF224" s="1" t="s">
        <v>109</v>
      </c>
      <c r="CG224" s="1" t="s">
        <v>109</v>
      </c>
      <c r="CH224" s="1" t="s">
        <v>109</v>
      </c>
      <c r="CI224" s="1" t="s">
        <v>109</v>
      </c>
      <c r="CJ224" s="1" t="s">
        <v>109</v>
      </c>
      <c r="CK224" s="1"/>
      <c r="CL224" s="1">
        <v>0</v>
      </c>
      <c r="CM224" s="1">
        <v>0</v>
      </c>
      <c r="CN224" s="1">
        <v>0</v>
      </c>
    </row>
    <row r="225" spans="1:92" ht="14.25" customHeight="1" x14ac:dyDescent="0.15">
      <c r="A225" s="1" t="s">
        <v>2206</v>
      </c>
      <c r="B225" s="1" t="s">
        <v>189</v>
      </c>
      <c r="C225" s="1"/>
      <c r="D225" s="1"/>
      <c r="E225" s="1" t="s">
        <v>2207</v>
      </c>
      <c r="F225" s="1" t="s">
        <v>98</v>
      </c>
      <c r="G225" s="1" t="s">
        <v>2208</v>
      </c>
      <c r="H225" s="1">
        <v>0</v>
      </c>
      <c r="I225" s="1" t="s">
        <v>161</v>
      </c>
      <c r="J225" s="1"/>
      <c r="K225" s="1"/>
      <c r="L225" s="1" t="s">
        <v>506</v>
      </c>
      <c r="M225" s="1" t="s">
        <v>164</v>
      </c>
      <c r="N225" s="1">
        <v>0</v>
      </c>
      <c r="O225" s="1">
        <v>0</v>
      </c>
      <c r="P225" s="1" t="s">
        <v>507</v>
      </c>
      <c r="Q225" s="1" t="s">
        <v>268</v>
      </c>
      <c r="R225" s="1" t="s">
        <v>2209</v>
      </c>
      <c r="S225" s="1" t="s">
        <v>2210</v>
      </c>
      <c r="T225" s="1" t="s">
        <v>107</v>
      </c>
      <c r="U225" s="1" t="s">
        <v>2211</v>
      </c>
      <c r="V225" s="1">
        <v>1</v>
      </c>
      <c r="W225" s="1">
        <v>1</v>
      </c>
      <c r="X225" s="1">
        <v>1</v>
      </c>
      <c r="Y225" s="1">
        <v>0</v>
      </c>
      <c r="Z225" s="1">
        <v>1</v>
      </c>
      <c r="AA225" s="1">
        <v>2</v>
      </c>
      <c r="AB225" s="1">
        <v>2</v>
      </c>
      <c r="AC225" s="1" t="s">
        <v>109</v>
      </c>
      <c r="AD225" s="1" t="s">
        <v>109</v>
      </c>
      <c r="AE225" s="1" t="s">
        <v>109</v>
      </c>
      <c r="AF225" s="1">
        <v>2</v>
      </c>
      <c r="AG225" s="1" t="s">
        <v>109</v>
      </c>
      <c r="AH225" s="1">
        <v>2</v>
      </c>
      <c r="AI225" s="1">
        <v>2</v>
      </c>
      <c r="AJ225" s="1" t="s">
        <v>109</v>
      </c>
      <c r="AK225" s="1" t="s">
        <v>109</v>
      </c>
      <c r="AL225" s="1" t="s">
        <v>109</v>
      </c>
      <c r="AM225" s="1" t="s">
        <v>109</v>
      </c>
      <c r="AN225" s="1" t="s">
        <v>109</v>
      </c>
      <c r="AO225" s="1" t="s">
        <v>109</v>
      </c>
      <c r="AP225" s="1"/>
      <c r="AQ225" s="1">
        <v>2</v>
      </c>
      <c r="AR225" s="1" t="s">
        <v>2212</v>
      </c>
      <c r="AS225" s="1" t="s">
        <v>2213</v>
      </c>
      <c r="AT225" s="1">
        <v>0</v>
      </c>
      <c r="AU225" s="1">
        <v>0</v>
      </c>
      <c r="AV225" s="1">
        <v>0</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5" t="str">
        <f>HYPERLINK("http://www.d20pfsrd.com/magic/all-spells/f/fox-s-cunning","Fox's Cunning")</f>
        <v>Fox's Cunning</v>
      </c>
      <c r="BT225" s="1">
        <v>224</v>
      </c>
      <c r="BU225" s="1" t="s">
        <v>109</v>
      </c>
      <c r="BV225" s="1"/>
      <c r="BW225" s="1"/>
      <c r="BX225" s="1"/>
      <c r="BY225" s="1"/>
      <c r="BZ225" s="1">
        <v>0</v>
      </c>
      <c r="CA225" s="1" t="s">
        <v>109</v>
      </c>
      <c r="CB225" s="1" t="s">
        <v>109</v>
      </c>
      <c r="CC225" s="1">
        <v>2</v>
      </c>
      <c r="CD225" s="1" t="s">
        <v>109</v>
      </c>
      <c r="CE225" s="1" t="s">
        <v>109</v>
      </c>
      <c r="CF225" s="1" t="s">
        <v>109</v>
      </c>
      <c r="CG225" s="1" t="s">
        <v>109</v>
      </c>
      <c r="CH225" s="1" t="s">
        <v>109</v>
      </c>
      <c r="CI225" s="1" t="s">
        <v>109</v>
      </c>
      <c r="CJ225" s="1" t="s">
        <v>109</v>
      </c>
      <c r="CK225" s="1"/>
      <c r="CL225" s="1">
        <v>0</v>
      </c>
      <c r="CM225" s="1">
        <v>0</v>
      </c>
      <c r="CN225" s="1">
        <v>0</v>
      </c>
    </row>
    <row r="226" spans="1:92" ht="14.25" customHeight="1" x14ac:dyDescent="0.15">
      <c r="A226" s="1" t="s">
        <v>2214</v>
      </c>
      <c r="B226" s="1" t="s">
        <v>189</v>
      </c>
      <c r="C226" s="1"/>
      <c r="D226" s="1"/>
      <c r="E226" s="1" t="s">
        <v>2215</v>
      </c>
      <c r="F226" s="1" t="s">
        <v>98</v>
      </c>
      <c r="G226" s="1" t="s">
        <v>2208</v>
      </c>
      <c r="H226" s="1">
        <v>0</v>
      </c>
      <c r="I226" s="1" t="s">
        <v>142</v>
      </c>
      <c r="J226" s="1"/>
      <c r="K226" s="1"/>
      <c r="L226" s="1" t="s">
        <v>716</v>
      </c>
      <c r="M226" s="1" t="s">
        <v>164</v>
      </c>
      <c r="N226" s="1">
        <v>0</v>
      </c>
      <c r="O226" s="1">
        <v>0</v>
      </c>
      <c r="P226" s="1" t="s">
        <v>507</v>
      </c>
      <c r="Q226" s="1" t="s">
        <v>268</v>
      </c>
      <c r="R226" s="1" t="s">
        <v>2216</v>
      </c>
      <c r="S226" s="1" t="s">
        <v>2217</v>
      </c>
      <c r="T226" s="1" t="s">
        <v>107</v>
      </c>
      <c r="U226" s="1" t="s">
        <v>2218</v>
      </c>
      <c r="V226" s="1">
        <v>1</v>
      </c>
      <c r="W226" s="1">
        <v>1</v>
      </c>
      <c r="X226" s="1">
        <v>1</v>
      </c>
      <c r="Y226" s="1">
        <v>0</v>
      </c>
      <c r="Z226" s="1">
        <v>1</v>
      </c>
      <c r="AA226" s="1">
        <v>6</v>
      </c>
      <c r="AB226" s="1">
        <v>6</v>
      </c>
      <c r="AC226" s="1" t="s">
        <v>109</v>
      </c>
      <c r="AD226" s="1" t="s">
        <v>109</v>
      </c>
      <c r="AE226" s="1" t="s">
        <v>109</v>
      </c>
      <c r="AF226" s="1">
        <v>6</v>
      </c>
      <c r="AG226" s="1" t="s">
        <v>109</v>
      </c>
      <c r="AH226" s="1" t="s">
        <v>109</v>
      </c>
      <c r="AI226" s="1">
        <v>4</v>
      </c>
      <c r="AJ226" s="1" t="s">
        <v>109</v>
      </c>
      <c r="AK226" s="1" t="s">
        <v>109</v>
      </c>
      <c r="AL226" s="1" t="s">
        <v>109</v>
      </c>
      <c r="AM226" s="1" t="s">
        <v>109</v>
      </c>
      <c r="AN226" s="1" t="s">
        <v>109</v>
      </c>
      <c r="AO226" s="1" t="s">
        <v>109</v>
      </c>
      <c r="AP226" s="1"/>
      <c r="AQ226" s="1">
        <v>6</v>
      </c>
      <c r="AR226" s="1"/>
      <c r="AS226" s="1" t="s">
        <v>2219</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5" t="str">
        <f>HYPERLINK("http://www.d20pfsrd.com/magic/all-spells/f/fox-s-cunning","Fox's Cunning, Mass")</f>
        <v>Fox's Cunning, Mass</v>
      </c>
      <c r="BT226" s="1">
        <v>225</v>
      </c>
      <c r="BU226" s="1" t="s">
        <v>109</v>
      </c>
      <c r="BV226" s="1"/>
      <c r="BW226" s="1"/>
      <c r="BX226" s="1"/>
      <c r="BY226" s="1"/>
      <c r="BZ226" s="1">
        <v>0</v>
      </c>
      <c r="CA226" s="1" t="s">
        <v>109</v>
      </c>
      <c r="CB226" s="1" t="s">
        <v>109</v>
      </c>
      <c r="CC226" s="1">
        <v>6</v>
      </c>
      <c r="CD226" s="1" t="s">
        <v>109</v>
      </c>
      <c r="CE226" s="1" t="s">
        <v>109</v>
      </c>
      <c r="CF226" s="1" t="s">
        <v>109</v>
      </c>
      <c r="CG226" s="1" t="s">
        <v>109</v>
      </c>
      <c r="CH226" s="1" t="s">
        <v>109</v>
      </c>
      <c r="CI226" s="1" t="s">
        <v>109</v>
      </c>
      <c r="CJ226" s="1" t="s">
        <v>109</v>
      </c>
      <c r="CK226" s="1"/>
      <c r="CL226" s="1">
        <v>0</v>
      </c>
      <c r="CM226" s="1">
        <v>0</v>
      </c>
      <c r="CN226" s="1">
        <v>0</v>
      </c>
    </row>
    <row r="227" spans="1:92" ht="14.25" customHeight="1" x14ac:dyDescent="0.15">
      <c r="A227" s="1" t="s">
        <v>2220</v>
      </c>
      <c r="B227" s="1" t="s">
        <v>242</v>
      </c>
      <c r="C227" s="1"/>
      <c r="D227" s="1"/>
      <c r="E227" s="1" t="s">
        <v>1199</v>
      </c>
      <c r="F227" s="1" t="s">
        <v>98</v>
      </c>
      <c r="G227" s="1" t="s">
        <v>141</v>
      </c>
      <c r="H227" s="1">
        <v>0</v>
      </c>
      <c r="I227" s="1" t="s">
        <v>2221</v>
      </c>
      <c r="J227" s="1"/>
      <c r="K227" s="1"/>
      <c r="L227" s="1" t="s">
        <v>1391</v>
      </c>
      <c r="M227" s="1" t="s">
        <v>144</v>
      </c>
      <c r="N227" s="1">
        <v>0</v>
      </c>
      <c r="O227" s="1">
        <v>0</v>
      </c>
      <c r="P227" s="1" t="s">
        <v>507</v>
      </c>
      <c r="Q227" s="1" t="s">
        <v>268</v>
      </c>
      <c r="R227" s="1" t="s">
        <v>2222</v>
      </c>
      <c r="S227" s="1" t="s">
        <v>2223</v>
      </c>
      <c r="T227" s="1" t="s">
        <v>107</v>
      </c>
      <c r="U227" s="1" t="s">
        <v>2224</v>
      </c>
      <c r="V227" s="1">
        <v>1</v>
      </c>
      <c r="W227" s="1">
        <v>1</v>
      </c>
      <c r="X227" s="1">
        <v>0</v>
      </c>
      <c r="Y227" s="1">
        <v>0</v>
      </c>
      <c r="Z227" s="1">
        <v>0</v>
      </c>
      <c r="AA227" s="1">
        <v>9</v>
      </c>
      <c r="AB227" s="1">
        <v>9</v>
      </c>
      <c r="AC227" s="1" t="s">
        <v>109</v>
      </c>
      <c r="AD227" s="1" t="s">
        <v>109</v>
      </c>
      <c r="AE227" s="1" t="s">
        <v>109</v>
      </c>
      <c r="AF227" s="1" t="s">
        <v>109</v>
      </c>
      <c r="AG227" s="1" t="s">
        <v>109</v>
      </c>
      <c r="AH227" s="1" t="s">
        <v>109</v>
      </c>
      <c r="AI227" s="1" t="s">
        <v>109</v>
      </c>
      <c r="AJ227" s="1" t="s">
        <v>109</v>
      </c>
      <c r="AK227" s="1" t="s">
        <v>109</v>
      </c>
      <c r="AL227" s="1" t="s">
        <v>109</v>
      </c>
      <c r="AM227" s="1" t="s">
        <v>109</v>
      </c>
      <c r="AN227" s="1" t="s">
        <v>109</v>
      </c>
      <c r="AO227" s="1" t="s">
        <v>109</v>
      </c>
      <c r="AP227" s="1"/>
      <c r="AQ227" s="1">
        <v>9</v>
      </c>
      <c r="AR227" s="1" t="s">
        <v>2225</v>
      </c>
      <c r="AS227" s="1" t="s">
        <v>2226</v>
      </c>
      <c r="AT227" s="1">
        <v>0</v>
      </c>
      <c r="AU227" s="1">
        <v>0</v>
      </c>
      <c r="AV227" s="1">
        <v>0</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5" t="str">
        <f>HYPERLINK("http://www.d20pfsrd.com/magic/all-spells/f/freedom","Freedom")</f>
        <v>Freedom</v>
      </c>
      <c r="BT227" s="1">
        <v>226</v>
      </c>
      <c r="BU227" s="1" t="s">
        <v>109</v>
      </c>
      <c r="BV227" s="1"/>
      <c r="BW227" s="1"/>
      <c r="BX227" s="1"/>
      <c r="BY227" s="1"/>
      <c r="BZ227" s="1">
        <v>0</v>
      </c>
      <c r="CA227" s="1" t="s">
        <v>109</v>
      </c>
      <c r="CB227" s="1" t="s">
        <v>109</v>
      </c>
      <c r="CC227" s="1">
        <v>9</v>
      </c>
      <c r="CD227" s="1" t="s">
        <v>109</v>
      </c>
      <c r="CE227" s="1" t="s">
        <v>109</v>
      </c>
      <c r="CF227" s="1" t="s">
        <v>109</v>
      </c>
      <c r="CG227" s="1" t="s">
        <v>109</v>
      </c>
      <c r="CH227" s="1" t="s">
        <v>109</v>
      </c>
      <c r="CI227" s="1" t="s">
        <v>109</v>
      </c>
      <c r="CJ227" s="1" t="s">
        <v>109</v>
      </c>
      <c r="CK227" s="1"/>
      <c r="CL227" s="1">
        <v>0</v>
      </c>
      <c r="CM227" s="1">
        <v>0</v>
      </c>
      <c r="CN227" s="1">
        <v>0</v>
      </c>
    </row>
    <row r="228" spans="1:92" ht="14.25" customHeight="1" x14ac:dyDescent="0.15">
      <c r="A228" s="1" t="s">
        <v>2227</v>
      </c>
      <c r="B228" s="1" t="s">
        <v>242</v>
      </c>
      <c r="C228" s="1"/>
      <c r="D228" s="1"/>
      <c r="E228" s="1" t="s">
        <v>2228</v>
      </c>
      <c r="F228" s="1" t="s">
        <v>98</v>
      </c>
      <c r="G228" s="1" t="s">
        <v>2229</v>
      </c>
      <c r="H228" s="1">
        <v>0</v>
      </c>
      <c r="I228" s="1" t="s">
        <v>1986</v>
      </c>
      <c r="J228" s="1"/>
      <c r="K228" s="1"/>
      <c r="L228" s="1" t="s">
        <v>1987</v>
      </c>
      <c r="M228" s="1" t="s">
        <v>194</v>
      </c>
      <c r="N228" s="1">
        <v>0</v>
      </c>
      <c r="O228" s="1">
        <v>0</v>
      </c>
      <c r="P228" s="1" t="s">
        <v>507</v>
      </c>
      <c r="Q228" s="1" t="s">
        <v>167</v>
      </c>
      <c r="R228" s="1" t="s">
        <v>2230</v>
      </c>
      <c r="S228" s="1" t="s">
        <v>2231</v>
      </c>
      <c r="T228" s="1" t="s">
        <v>107</v>
      </c>
      <c r="U228" s="1" t="s">
        <v>2232</v>
      </c>
      <c r="V228" s="1">
        <v>1</v>
      </c>
      <c r="W228" s="1">
        <v>1</v>
      </c>
      <c r="X228" s="1">
        <v>1</v>
      </c>
      <c r="Y228" s="1">
        <v>0</v>
      </c>
      <c r="Z228" s="1">
        <v>1</v>
      </c>
      <c r="AA228" s="1" t="s">
        <v>109</v>
      </c>
      <c r="AB228" s="1" t="s">
        <v>109</v>
      </c>
      <c r="AC228" s="1">
        <v>4</v>
      </c>
      <c r="AD228" s="1">
        <v>4</v>
      </c>
      <c r="AE228" s="1">
        <v>4</v>
      </c>
      <c r="AF228" s="1">
        <v>4</v>
      </c>
      <c r="AG228" s="1" t="s">
        <v>109</v>
      </c>
      <c r="AH228" s="1">
        <v>4</v>
      </c>
      <c r="AI228" s="1" t="s">
        <v>109</v>
      </c>
      <c r="AJ228" s="1" t="s">
        <v>109</v>
      </c>
      <c r="AK228" s="1">
        <v>4</v>
      </c>
      <c r="AL228" s="1">
        <v>4</v>
      </c>
      <c r="AM228" s="1" t="s">
        <v>109</v>
      </c>
      <c r="AN228" s="1" t="s">
        <v>109</v>
      </c>
      <c r="AO228" s="1" t="s">
        <v>109</v>
      </c>
      <c r="AP228" s="1"/>
      <c r="AQ228" s="1">
        <v>4</v>
      </c>
      <c r="AR228" s="1" t="s">
        <v>2233</v>
      </c>
      <c r="AS228" s="1" t="s">
        <v>2234</v>
      </c>
      <c r="AT228" s="1">
        <v>0</v>
      </c>
      <c r="AU228" s="1">
        <v>0</v>
      </c>
      <c r="AV228" s="1">
        <v>0</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5" t="str">
        <f>HYPERLINK("http://www.d20pfsrd.com/magic/all-spells/f/freedom-of-movement","Freedom of Movement")</f>
        <v>Freedom of Movement</v>
      </c>
      <c r="BT228" s="1">
        <v>227</v>
      </c>
      <c r="BU228" s="1" t="s">
        <v>109</v>
      </c>
      <c r="BV228" s="1" t="s">
        <v>2235</v>
      </c>
      <c r="BW228" s="1" t="s">
        <v>2236</v>
      </c>
      <c r="BX228" s="1"/>
      <c r="BY228" s="1"/>
      <c r="BZ228" s="1">
        <v>0</v>
      </c>
      <c r="CA228" s="1" t="s">
        <v>109</v>
      </c>
      <c r="CB228" s="1" t="s">
        <v>109</v>
      </c>
      <c r="CC228" s="1">
        <v>4</v>
      </c>
      <c r="CD228" s="1" t="s">
        <v>109</v>
      </c>
      <c r="CE228" s="1">
        <v>4</v>
      </c>
      <c r="CF228" s="1">
        <v>4</v>
      </c>
      <c r="CG228" s="1">
        <v>4</v>
      </c>
      <c r="CH228" s="1" t="s">
        <v>109</v>
      </c>
      <c r="CI228" s="1" t="s">
        <v>109</v>
      </c>
      <c r="CJ228" s="1">
        <v>4</v>
      </c>
      <c r="CK228" s="1"/>
      <c r="CL228" s="1">
        <v>0</v>
      </c>
      <c r="CM228" s="1">
        <v>0</v>
      </c>
      <c r="CN228" s="1">
        <v>0</v>
      </c>
    </row>
    <row r="229" spans="1:92" ht="14.25" customHeight="1" x14ac:dyDescent="0.15">
      <c r="A229" s="1" t="s">
        <v>2237</v>
      </c>
      <c r="B229" s="1" t="s">
        <v>584</v>
      </c>
      <c r="C229" s="1"/>
      <c r="D229" s="1" t="s">
        <v>49</v>
      </c>
      <c r="E229" s="1" t="s">
        <v>2238</v>
      </c>
      <c r="F229" s="1" t="s">
        <v>98</v>
      </c>
      <c r="G229" s="1" t="s">
        <v>2239</v>
      </c>
      <c r="H229" s="1">
        <v>0</v>
      </c>
      <c r="I229" s="1" t="s">
        <v>100</v>
      </c>
      <c r="J229" s="1"/>
      <c r="K229" s="1"/>
      <c r="L229" s="1" t="s">
        <v>2240</v>
      </c>
      <c r="M229" s="1" t="s">
        <v>2241</v>
      </c>
      <c r="N229" s="1">
        <v>0</v>
      </c>
      <c r="O229" s="1">
        <v>0</v>
      </c>
      <c r="P229" s="1" t="s">
        <v>2045</v>
      </c>
      <c r="Q229" s="1" t="s">
        <v>268</v>
      </c>
      <c r="R229" s="1" t="s">
        <v>2242</v>
      </c>
      <c r="S229" s="1" t="s">
        <v>2243</v>
      </c>
      <c r="T229" s="1" t="s">
        <v>107</v>
      </c>
      <c r="U229" s="1" t="s">
        <v>2244</v>
      </c>
      <c r="V229" s="1">
        <v>1</v>
      </c>
      <c r="W229" s="1">
        <v>1</v>
      </c>
      <c r="X229" s="1">
        <v>0</v>
      </c>
      <c r="Y229" s="1">
        <v>1</v>
      </c>
      <c r="Z229" s="1">
        <v>0</v>
      </c>
      <c r="AA229" s="1">
        <v>6</v>
      </c>
      <c r="AB229" s="1">
        <v>6</v>
      </c>
      <c r="AC229" s="1" t="s">
        <v>109</v>
      </c>
      <c r="AD229" s="1" t="s">
        <v>109</v>
      </c>
      <c r="AE229" s="1" t="s">
        <v>109</v>
      </c>
      <c r="AF229" s="1" t="s">
        <v>109</v>
      </c>
      <c r="AG229" s="1" t="s">
        <v>109</v>
      </c>
      <c r="AH229" s="1" t="s">
        <v>109</v>
      </c>
      <c r="AI229" s="1" t="s">
        <v>109</v>
      </c>
      <c r="AJ229" s="1" t="s">
        <v>109</v>
      </c>
      <c r="AK229" s="1" t="s">
        <v>109</v>
      </c>
      <c r="AL229" s="1" t="s">
        <v>109</v>
      </c>
      <c r="AM229" s="1" t="s">
        <v>109</v>
      </c>
      <c r="AN229" s="1">
        <v>6</v>
      </c>
      <c r="AO229" s="1" t="s">
        <v>109</v>
      </c>
      <c r="AP229" s="1"/>
      <c r="AQ229" s="1">
        <v>6</v>
      </c>
      <c r="AR229" s="1" t="s">
        <v>2245</v>
      </c>
      <c r="AS229" s="1" t="s">
        <v>2246</v>
      </c>
      <c r="AT229" s="1">
        <v>0</v>
      </c>
      <c r="AU229" s="1">
        <v>0</v>
      </c>
      <c r="AV229" s="1">
        <v>0</v>
      </c>
      <c r="AW229" s="1">
        <v>1</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0</v>
      </c>
      <c r="BR229" s="1">
        <v>0</v>
      </c>
      <c r="BS229" s="5" t="str">
        <f>HYPERLINK("http://www.d20pfsrd.com/magic/all-spells/f/freezing-sphere","Freezing Sphere")</f>
        <v>Freezing Sphere</v>
      </c>
      <c r="BT229" s="1">
        <v>228</v>
      </c>
      <c r="BU229" s="1" t="s">
        <v>109</v>
      </c>
      <c r="BV229" s="1"/>
      <c r="BW229" s="1" t="s">
        <v>2247</v>
      </c>
      <c r="BX229" s="1"/>
      <c r="BY229" s="1"/>
      <c r="BZ229" s="1">
        <v>0</v>
      </c>
      <c r="CA229" s="1" t="s">
        <v>109</v>
      </c>
      <c r="CB229" s="1" t="s">
        <v>109</v>
      </c>
      <c r="CC229" s="1" t="s">
        <v>109</v>
      </c>
      <c r="CD229" s="1" t="s">
        <v>109</v>
      </c>
      <c r="CE229" s="1" t="s">
        <v>109</v>
      </c>
      <c r="CF229" s="1">
        <v>6</v>
      </c>
      <c r="CG229" s="1" t="s">
        <v>109</v>
      </c>
      <c r="CH229" s="1" t="s">
        <v>109</v>
      </c>
      <c r="CI229" s="1" t="s">
        <v>109</v>
      </c>
      <c r="CJ229" s="1" t="s">
        <v>109</v>
      </c>
      <c r="CK229" s="1"/>
      <c r="CL229" s="1">
        <v>0</v>
      </c>
      <c r="CM229" s="1">
        <v>0</v>
      </c>
      <c r="CN229" s="1">
        <v>0</v>
      </c>
    </row>
    <row r="230" spans="1:92" ht="14.25" customHeight="1" x14ac:dyDescent="0.15">
      <c r="A230" s="1" t="s">
        <v>2248</v>
      </c>
      <c r="B230" s="1" t="s">
        <v>189</v>
      </c>
      <c r="C230" s="1"/>
      <c r="D230" s="1"/>
      <c r="E230" s="1" t="s">
        <v>2249</v>
      </c>
      <c r="F230" s="1" t="s">
        <v>98</v>
      </c>
      <c r="G230" s="1" t="s">
        <v>2250</v>
      </c>
      <c r="H230" s="1">
        <v>0</v>
      </c>
      <c r="I230" s="1" t="s">
        <v>161</v>
      </c>
      <c r="J230" s="1"/>
      <c r="K230" s="1"/>
      <c r="L230" s="1" t="s">
        <v>2251</v>
      </c>
      <c r="M230" s="1" t="s">
        <v>2252</v>
      </c>
      <c r="N230" s="1">
        <v>1</v>
      </c>
      <c r="O230" s="1">
        <v>0</v>
      </c>
      <c r="P230" s="1" t="s">
        <v>103</v>
      </c>
      <c r="Q230" s="1" t="s">
        <v>104</v>
      </c>
      <c r="R230" s="1" t="s">
        <v>2253</v>
      </c>
      <c r="S230" s="1" t="s">
        <v>2254</v>
      </c>
      <c r="T230" s="1" t="s">
        <v>107</v>
      </c>
      <c r="U230" s="1" t="s">
        <v>2255</v>
      </c>
      <c r="V230" s="1">
        <v>0</v>
      </c>
      <c r="W230" s="1">
        <v>1</v>
      </c>
      <c r="X230" s="1">
        <v>1</v>
      </c>
      <c r="Y230" s="1">
        <v>0</v>
      </c>
      <c r="Z230" s="1">
        <v>1</v>
      </c>
      <c r="AA230" s="1">
        <v>3</v>
      </c>
      <c r="AB230" s="1">
        <v>3</v>
      </c>
      <c r="AC230" s="1" t="s">
        <v>109</v>
      </c>
      <c r="AD230" s="1" t="s">
        <v>109</v>
      </c>
      <c r="AE230" s="1" t="s">
        <v>109</v>
      </c>
      <c r="AF230" s="1">
        <v>3</v>
      </c>
      <c r="AG230" s="1" t="s">
        <v>109</v>
      </c>
      <c r="AH230" s="1">
        <v>3</v>
      </c>
      <c r="AI230" s="1" t="s">
        <v>109</v>
      </c>
      <c r="AJ230" s="1" t="s">
        <v>109</v>
      </c>
      <c r="AK230" s="1" t="s">
        <v>109</v>
      </c>
      <c r="AL230" s="1" t="s">
        <v>109</v>
      </c>
      <c r="AM230" s="1" t="s">
        <v>109</v>
      </c>
      <c r="AN230" s="1">
        <v>3</v>
      </c>
      <c r="AO230" s="1" t="s">
        <v>109</v>
      </c>
      <c r="AP230" s="1"/>
      <c r="AQ230" s="1">
        <v>3</v>
      </c>
      <c r="AR230" s="1" t="s">
        <v>2256</v>
      </c>
      <c r="AS230" s="1" t="s">
        <v>2257</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5" t="str">
        <f>HYPERLINK("http://www.d20pfsrd.com/magic/all-spells/g/gaseous-form","Gaseous Form")</f>
        <v>Gaseous Form</v>
      </c>
      <c r="BT230" s="1">
        <v>229</v>
      </c>
      <c r="BU230" s="1" t="s">
        <v>109</v>
      </c>
      <c r="BV230" s="1" t="s">
        <v>2258</v>
      </c>
      <c r="BW230" s="1"/>
      <c r="BX230" s="1" t="s">
        <v>2259</v>
      </c>
      <c r="BY230" s="1" t="s">
        <v>2260</v>
      </c>
      <c r="BZ230" s="1">
        <v>1</v>
      </c>
      <c r="CA230" s="1" t="s">
        <v>109</v>
      </c>
      <c r="CB230" s="1" t="s">
        <v>109</v>
      </c>
      <c r="CC230" s="1">
        <v>3</v>
      </c>
      <c r="CD230" s="1" t="s">
        <v>109</v>
      </c>
      <c r="CE230" s="1" t="s">
        <v>109</v>
      </c>
      <c r="CF230" s="1">
        <v>3</v>
      </c>
      <c r="CG230" s="1">
        <v>3</v>
      </c>
      <c r="CH230" s="1" t="s">
        <v>109</v>
      </c>
      <c r="CI230" s="1" t="s">
        <v>109</v>
      </c>
      <c r="CJ230" s="1" t="s">
        <v>109</v>
      </c>
      <c r="CK230" s="1"/>
      <c r="CL230" s="1">
        <v>0</v>
      </c>
      <c r="CM230" s="1">
        <v>0</v>
      </c>
      <c r="CN230" s="1">
        <v>0</v>
      </c>
    </row>
    <row r="231" spans="1:92" ht="14.25" customHeight="1" x14ac:dyDescent="0.15">
      <c r="A231" s="1" t="s">
        <v>2261</v>
      </c>
      <c r="B231" s="1" t="s">
        <v>95</v>
      </c>
      <c r="C231" s="1" t="s">
        <v>2262</v>
      </c>
      <c r="D231" s="1"/>
      <c r="E231" s="1" t="s">
        <v>2263</v>
      </c>
      <c r="F231" s="1" t="s">
        <v>98</v>
      </c>
      <c r="G231" s="1" t="s">
        <v>2264</v>
      </c>
      <c r="H231" s="1">
        <v>0</v>
      </c>
      <c r="I231" s="1" t="s">
        <v>122</v>
      </c>
      <c r="J231" s="1"/>
      <c r="K231" s="1" t="s">
        <v>211</v>
      </c>
      <c r="L231" s="1"/>
      <c r="M231" s="1" t="s">
        <v>2265</v>
      </c>
      <c r="N231" s="1">
        <v>0</v>
      </c>
      <c r="O231" s="1">
        <v>0</v>
      </c>
      <c r="P231" s="1" t="s">
        <v>103</v>
      </c>
      <c r="Q231" s="1" t="s">
        <v>104</v>
      </c>
      <c r="R231" s="1" t="s">
        <v>2266</v>
      </c>
      <c r="S231" s="1" t="s">
        <v>2267</v>
      </c>
      <c r="T231" s="1" t="s">
        <v>107</v>
      </c>
      <c r="U231" s="1" t="s">
        <v>2268</v>
      </c>
      <c r="V231" s="1">
        <v>1</v>
      </c>
      <c r="W231" s="1">
        <v>1</v>
      </c>
      <c r="X231" s="1">
        <v>1</v>
      </c>
      <c r="Y231" s="1">
        <v>0</v>
      </c>
      <c r="Z231" s="1">
        <v>0</v>
      </c>
      <c r="AA231" s="1">
        <v>9</v>
      </c>
      <c r="AB231" s="1">
        <v>9</v>
      </c>
      <c r="AC231" s="1">
        <v>9</v>
      </c>
      <c r="AD231" s="1" t="s">
        <v>109</v>
      </c>
      <c r="AE231" s="1" t="s">
        <v>109</v>
      </c>
      <c r="AF231" s="1" t="s">
        <v>109</v>
      </c>
      <c r="AG231" s="1" t="s">
        <v>109</v>
      </c>
      <c r="AH231" s="1" t="s">
        <v>109</v>
      </c>
      <c r="AI231" s="1" t="s">
        <v>109</v>
      </c>
      <c r="AJ231" s="1" t="s">
        <v>109</v>
      </c>
      <c r="AK231" s="1" t="s">
        <v>109</v>
      </c>
      <c r="AL231" s="1">
        <v>9</v>
      </c>
      <c r="AM231" s="1" t="s">
        <v>109</v>
      </c>
      <c r="AN231" s="1" t="s">
        <v>109</v>
      </c>
      <c r="AO231" s="1" t="s">
        <v>109</v>
      </c>
      <c r="AP231" s="1"/>
      <c r="AQ231" s="1">
        <v>9</v>
      </c>
      <c r="AR231" s="1" t="s">
        <v>2269</v>
      </c>
      <c r="AS231" s="1" t="s">
        <v>2270</v>
      </c>
      <c r="AT231" s="1">
        <v>0</v>
      </c>
      <c r="AU231" s="1">
        <v>0</v>
      </c>
      <c r="AV231" s="1">
        <v>0</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5" t="str">
        <f>HYPERLINK("http://www.d20pfsrd.com/magic/all-spells/g/gate","Gate")</f>
        <v>Gate</v>
      </c>
      <c r="BT231" s="1">
        <v>230</v>
      </c>
      <c r="BU231" s="1" t="s">
        <v>109</v>
      </c>
      <c r="BV231" s="1" t="s">
        <v>2271</v>
      </c>
      <c r="BW231" s="1" t="s">
        <v>2272</v>
      </c>
      <c r="BX231" s="1"/>
      <c r="BY231" s="1"/>
      <c r="BZ231" s="1">
        <v>0</v>
      </c>
      <c r="CA231" s="1" t="s">
        <v>109</v>
      </c>
      <c r="CB231" s="1" t="s">
        <v>109</v>
      </c>
      <c r="CC231" s="1">
        <v>9</v>
      </c>
      <c r="CD231" s="1" t="s">
        <v>109</v>
      </c>
      <c r="CE231" s="1" t="s">
        <v>109</v>
      </c>
      <c r="CF231" s="1" t="s">
        <v>109</v>
      </c>
      <c r="CG231" s="1" t="s">
        <v>109</v>
      </c>
      <c r="CH231" s="1" t="s">
        <v>109</v>
      </c>
      <c r="CI231" s="1" t="s">
        <v>109</v>
      </c>
      <c r="CJ231" s="1" t="s">
        <v>109</v>
      </c>
      <c r="CK231" s="1"/>
      <c r="CL231" s="1">
        <v>0</v>
      </c>
      <c r="CM231" s="1">
        <v>0</v>
      </c>
      <c r="CN231" s="1">
        <v>0</v>
      </c>
    </row>
    <row r="232" spans="1:92" ht="14.25" customHeight="1" x14ac:dyDescent="0.15">
      <c r="A232" s="1" t="s">
        <v>2273</v>
      </c>
      <c r="B232" s="1" t="s">
        <v>156</v>
      </c>
      <c r="C232" s="1" t="s">
        <v>157</v>
      </c>
      <c r="D232" s="1" t="s">
        <v>2274</v>
      </c>
      <c r="E232" s="1" t="s">
        <v>2275</v>
      </c>
      <c r="F232" s="1" t="s">
        <v>395</v>
      </c>
      <c r="G232" s="1" t="s">
        <v>333</v>
      </c>
      <c r="H232" s="1">
        <v>0</v>
      </c>
      <c r="I232" s="1" t="s">
        <v>142</v>
      </c>
      <c r="J232" s="1"/>
      <c r="K232" s="1"/>
      <c r="L232" s="1" t="s">
        <v>563</v>
      </c>
      <c r="M232" s="1" t="s">
        <v>2276</v>
      </c>
      <c r="N232" s="1">
        <v>1</v>
      </c>
      <c r="O232" s="1">
        <v>0</v>
      </c>
      <c r="P232" s="1" t="s">
        <v>103</v>
      </c>
      <c r="Q232" s="1" t="s">
        <v>268</v>
      </c>
      <c r="R232" s="1" t="s">
        <v>2277</v>
      </c>
      <c r="S232" s="1" t="s">
        <v>2278</v>
      </c>
      <c r="T232" s="1" t="s">
        <v>107</v>
      </c>
      <c r="U232" s="1" t="s">
        <v>2279</v>
      </c>
      <c r="V232" s="1">
        <v>1</v>
      </c>
      <c r="W232" s="1">
        <v>0</v>
      </c>
      <c r="X232" s="1">
        <v>0</v>
      </c>
      <c r="Y232" s="1">
        <v>0</v>
      </c>
      <c r="Z232" s="1">
        <v>0</v>
      </c>
      <c r="AA232" s="1">
        <v>6</v>
      </c>
      <c r="AB232" s="1">
        <v>6</v>
      </c>
      <c r="AC232" s="1">
        <v>6</v>
      </c>
      <c r="AD232" s="1" t="s">
        <v>109</v>
      </c>
      <c r="AE232" s="1" t="s">
        <v>109</v>
      </c>
      <c r="AF232" s="1">
        <v>6</v>
      </c>
      <c r="AG232" s="1" t="s">
        <v>109</v>
      </c>
      <c r="AH232" s="1" t="s">
        <v>109</v>
      </c>
      <c r="AI232" s="1" t="s">
        <v>109</v>
      </c>
      <c r="AJ232" s="1">
        <v>6</v>
      </c>
      <c r="AK232" s="1">
        <v>5</v>
      </c>
      <c r="AL232" s="1">
        <v>6</v>
      </c>
      <c r="AM232" s="1" t="s">
        <v>109</v>
      </c>
      <c r="AN232" s="1" t="s">
        <v>109</v>
      </c>
      <c r="AO232" s="1" t="s">
        <v>109</v>
      </c>
      <c r="AP232" s="1"/>
      <c r="AQ232" s="1">
        <v>6</v>
      </c>
      <c r="AR232" s="1" t="s">
        <v>2280</v>
      </c>
      <c r="AS232" s="1" t="s">
        <v>2281</v>
      </c>
      <c r="AT232" s="1">
        <v>0</v>
      </c>
      <c r="AU232" s="1">
        <v>0</v>
      </c>
      <c r="AV232" s="1">
        <v>0</v>
      </c>
      <c r="AW232" s="1">
        <v>0</v>
      </c>
      <c r="AX232" s="1">
        <v>1</v>
      </c>
      <c r="AY232" s="1">
        <v>0</v>
      </c>
      <c r="AZ232" s="1">
        <v>0</v>
      </c>
      <c r="BA232" s="1">
        <v>0</v>
      </c>
      <c r="BB232" s="1">
        <v>0</v>
      </c>
      <c r="BC232" s="1">
        <v>0</v>
      </c>
      <c r="BD232" s="1">
        <v>0</v>
      </c>
      <c r="BE232" s="1">
        <v>0</v>
      </c>
      <c r="BF232" s="1">
        <v>0</v>
      </c>
      <c r="BG232" s="1">
        <v>0</v>
      </c>
      <c r="BH232" s="1">
        <v>0</v>
      </c>
      <c r="BI232" s="1">
        <v>0</v>
      </c>
      <c r="BJ232" s="1">
        <v>1</v>
      </c>
      <c r="BK232" s="1">
        <v>0</v>
      </c>
      <c r="BL232" s="1">
        <v>0</v>
      </c>
      <c r="BM232" s="1">
        <v>1</v>
      </c>
      <c r="BN232" s="1">
        <v>0</v>
      </c>
      <c r="BO232" s="1">
        <v>0</v>
      </c>
      <c r="BP232" s="1">
        <v>0</v>
      </c>
      <c r="BQ232" s="1">
        <v>0</v>
      </c>
      <c r="BR232" s="1">
        <v>0</v>
      </c>
      <c r="BS232" s="5" t="str">
        <f>HYPERLINK("http://www.d20pfsrd.com/magic/all-spells/g/geas-quest","Geas/Quest")</f>
        <v>Geas/Quest</v>
      </c>
      <c r="BT232" s="1">
        <v>231</v>
      </c>
      <c r="BU232" s="1" t="s">
        <v>109</v>
      </c>
      <c r="BV232" s="1"/>
      <c r="BW232" s="1" t="s">
        <v>2282</v>
      </c>
      <c r="BX232" s="1"/>
      <c r="BY232" s="1"/>
      <c r="BZ232" s="1">
        <v>0</v>
      </c>
      <c r="CA232" s="1" t="s">
        <v>109</v>
      </c>
      <c r="CB232" s="1" t="s">
        <v>109</v>
      </c>
      <c r="CC232" s="1">
        <v>6</v>
      </c>
      <c r="CD232" s="1" t="s">
        <v>109</v>
      </c>
      <c r="CE232" s="1">
        <v>6</v>
      </c>
      <c r="CF232" s="1" t="s">
        <v>109</v>
      </c>
      <c r="CG232" s="1" t="s">
        <v>109</v>
      </c>
      <c r="CH232" s="1" t="s">
        <v>109</v>
      </c>
      <c r="CI232" s="1" t="s">
        <v>109</v>
      </c>
      <c r="CJ232" s="1" t="s">
        <v>109</v>
      </c>
      <c r="CK232" s="1"/>
      <c r="CL232" s="1">
        <v>0</v>
      </c>
      <c r="CM232" s="1">
        <v>0</v>
      </c>
      <c r="CN232" s="1">
        <v>0</v>
      </c>
    </row>
    <row r="233" spans="1:92" ht="14.25" customHeight="1" x14ac:dyDescent="0.15">
      <c r="A233" s="1" t="s">
        <v>2283</v>
      </c>
      <c r="B233" s="1" t="s">
        <v>156</v>
      </c>
      <c r="C233" s="1" t="s">
        <v>157</v>
      </c>
      <c r="D233" s="1" t="s">
        <v>2274</v>
      </c>
      <c r="E233" s="1" t="s">
        <v>2284</v>
      </c>
      <c r="F233" s="1" t="s">
        <v>355</v>
      </c>
      <c r="G233" s="1" t="s">
        <v>333</v>
      </c>
      <c r="H233" s="1">
        <v>0</v>
      </c>
      <c r="I233" s="1" t="s">
        <v>142</v>
      </c>
      <c r="J233" s="1"/>
      <c r="K233" s="1"/>
      <c r="L233" s="1" t="s">
        <v>2285</v>
      </c>
      <c r="M233" s="1" t="s">
        <v>2276</v>
      </c>
      <c r="N233" s="1">
        <v>1</v>
      </c>
      <c r="O233" s="1">
        <v>0</v>
      </c>
      <c r="P233" s="1" t="s">
        <v>301</v>
      </c>
      <c r="Q233" s="1" t="s">
        <v>268</v>
      </c>
      <c r="R233" s="1" t="s">
        <v>2286</v>
      </c>
      <c r="S233" s="1" t="s">
        <v>2287</v>
      </c>
      <c r="T233" s="1" t="s">
        <v>107</v>
      </c>
      <c r="U233" s="1" t="s">
        <v>2288</v>
      </c>
      <c r="V233" s="1">
        <v>1</v>
      </c>
      <c r="W233" s="1">
        <v>0</v>
      </c>
      <c r="X233" s="1">
        <v>0</v>
      </c>
      <c r="Y233" s="1">
        <v>0</v>
      </c>
      <c r="Z233" s="1">
        <v>0</v>
      </c>
      <c r="AA233" s="1">
        <v>4</v>
      </c>
      <c r="AB233" s="1">
        <v>4</v>
      </c>
      <c r="AC233" s="1" t="s">
        <v>109</v>
      </c>
      <c r="AD233" s="1" t="s">
        <v>109</v>
      </c>
      <c r="AE233" s="1" t="s">
        <v>109</v>
      </c>
      <c r="AF233" s="1">
        <v>3</v>
      </c>
      <c r="AG233" s="1" t="s">
        <v>109</v>
      </c>
      <c r="AH233" s="1" t="s">
        <v>109</v>
      </c>
      <c r="AI233" s="1" t="s">
        <v>109</v>
      </c>
      <c r="AJ233" s="1">
        <v>4</v>
      </c>
      <c r="AK233" s="1">
        <v>4</v>
      </c>
      <c r="AL233" s="1" t="s">
        <v>109</v>
      </c>
      <c r="AM233" s="1" t="s">
        <v>109</v>
      </c>
      <c r="AN233" s="1" t="s">
        <v>109</v>
      </c>
      <c r="AO233" s="1" t="s">
        <v>109</v>
      </c>
      <c r="AP233" s="1"/>
      <c r="AQ233" s="1">
        <v>4</v>
      </c>
      <c r="AR233" s="1"/>
      <c r="AS233" s="1" t="s">
        <v>2289</v>
      </c>
      <c r="AT233" s="1">
        <v>0</v>
      </c>
      <c r="AU233" s="1">
        <v>0</v>
      </c>
      <c r="AV233" s="1">
        <v>0</v>
      </c>
      <c r="AW233" s="1">
        <v>0</v>
      </c>
      <c r="AX233" s="1">
        <v>1</v>
      </c>
      <c r="AY233" s="1">
        <v>0</v>
      </c>
      <c r="AZ233" s="1">
        <v>0</v>
      </c>
      <c r="BA233" s="1">
        <v>0</v>
      </c>
      <c r="BB233" s="1">
        <v>0</v>
      </c>
      <c r="BC233" s="1">
        <v>0</v>
      </c>
      <c r="BD233" s="1">
        <v>0</v>
      </c>
      <c r="BE233" s="1">
        <v>0</v>
      </c>
      <c r="BF233" s="1">
        <v>0</v>
      </c>
      <c r="BG233" s="1">
        <v>0</v>
      </c>
      <c r="BH233" s="1">
        <v>0</v>
      </c>
      <c r="BI233" s="1">
        <v>0</v>
      </c>
      <c r="BJ233" s="1">
        <v>1</v>
      </c>
      <c r="BK233" s="1">
        <v>0</v>
      </c>
      <c r="BL233" s="1">
        <v>0</v>
      </c>
      <c r="BM233" s="1">
        <v>1</v>
      </c>
      <c r="BN233" s="1">
        <v>0</v>
      </c>
      <c r="BO233" s="1">
        <v>0</v>
      </c>
      <c r="BP233" s="1">
        <v>0</v>
      </c>
      <c r="BQ233" s="1">
        <v>0</v>
      </c>
      <c r="BR233" s="1">
        <v>0</v>
      </c>
      <c r="BS233" s="5" t="str">
        <f>HYPERLINK("http://www.d20pfsrd.com/magic/all-spells/g/geas-quest","Geas, Lesser")</f>
        <v>Geas, Lesser</v>
      </c>
      <c r="BT233" s="1">
        <v>232</v>
      </c>
      <c r="BU233" s="1" t="s">
        <v>109</v>
      </c>
      <c r="BV233" s="1"/>
      <c r="BW233" s="1"/>
      <c r="BX233" s="1"/>
      <c r="BY233" s="1"/>
      <c r="BZ233" s="1">
        <v>0</v>
      </c>
      <c r="CA233" s="1" t="s">
        <v>109</v>
      </c>
      <c r="CB233" s="1" t="s">
        <v>109</v>
      </c>
      <c r="CC233" s="1">
        <v>4</v>
      </c>
      <c r="CD233" s="1" t="s">
        <v>109</v>
      </c>
      <c r="CE233" s="1">
        <v>3</v>
      </c>
      <c r="CF233" s="1" t="s">
        <v>109</v>
      </c>
      <c r="CG233" s="1" t="s">
        <v>109</v>
      </c>
      <c r="CH233" s="1" t="s">
        <v>109</v>
      </c>
      <c r="CI233" s="1" t="s">
        <v>109</v>
      </c>
      <c r="CJ233" s="1" t="s">
        <v>109</v>
      </c>
      <c r="CK233" s="1"/>
      <c r="CL233" s="1">
        <v>0</v>
      </c>
      <c r="CM233" s="1">
        <v>0</v>
      </c>
      <c r="CN233" s="1">
        <v>0</v>
      </c>
    </row>
    <row r="234" spans="1:92" ht="14.25" customHeight="1" x14ac:dyDescent="0.15">
      <c r="A234" s="1" t="s">
        <v>2290</v>
      </c>
      <c r="B234" s="1" t="s">
        <v>308</v>
      </c>
      <c r="C234" s="1"/>
      <c r="D234" s="1"/>
      <c r="E234" s="1" t="s">
        <v>2291</v>
      </c>
      <c r="F234" s="1" t="s">
        <v>98</v>
      </c>
      <c r="G234" s="1" t="s">
        <v>2292</v>
      </c>
      <c r="H234" s="1">
        <v>0</v>
      </c>
      <c r="I234" s="1" t="s">
        <v>161</v>
      </c>
      <c r="J234" s="1"/>
      <c r="K234" s="1"/>
      <c r="L234" s="1" t="s">
        <v>2293</v>
      </c>
      <c r="M234" s="1" t="s">
        <v>280</v>
      </c>
      <c r="N234" s="1">
        <v>0</v>
      </c>
      <c r="O234" s="1">
        <v>0</v>
      </c>
      <c r="P234" s="1" t="s">
        <v>629</v>
      </c>
      <c r="Q234" s="1" t="s">
        <v>630</v>
      </c>
      <c r="R234" s="1" t="s">
        <v>2294</v>
      </c>
      <c r="S234" s="1" t="s">
        <v>2295</v>
      </c>
      <c r="T234" s="1" t="s">
        <v>107</v>
      </c>
      <c r="U234" s="1" t="s">
        <v>2296</v>
      </c>
      <c r="V234" s="1">
        <v>1</v>
      </c>
      <c r="W234" s="1">
        <v>1</v>
      </c>
      <c r="X234" s="1">
        <v>1</v>
      </c>
      <c r="Y234" s="1">
        <v>0</v>
      </c>
      <c r="Z234" s="1">
        <v>1</v>
      </c>
      <c r="AA234" s="1">
        <v>3</v>
      </c>
      <c r="AB234" s="1">
        <v>3</v>
      </c>
      <c r="AC234" s="1">
        <v>2</v>
      </c>
      <c r="AD234" s="1" t="s">
        <v>109</v>
      </c>
      <c r="AE234" s="1" t="s">
        <v>109</v>
      </c>
      <c r="AF234" s="1" t="s">
        <v>109</v>
      </c>
      <c r="AG234" s="1" t="s">
        <v>109</v>
      </c>
      <c r="AH234" s="1" t="s">
        <v>109</v>
      </c>
      <c r="AI234" s="1" t="s">
        <v>109</v>
      </c>
      <c r="AJ234" s="1">
        <v>2</v>
      </c>
      <c r="AK234" s="1" t="s">
        <v>109</v>
      </c>
      <c r="AL234" s="1">
        <v>2</v>
      </c>
      <c r="AM234" s="1" t="s">
        <v>109</v>
      </c>
      <c r="AN234" s="1" t="s">
        <v>109</v>
      </c>
      <c r="AO234" s="1" t="s">
        <v>109</v>
      </c>
      <c r="AP234" s="1"/>
      <c r="AQ234" s="1">
        <v>3</v>
      </c>
      <c r="AR234" s="1" t="s">
        <v>2297</v>
      </c>
      <c r="AS234" s="1" t="s">
        <v>2298</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5" t="str">
        <f>HYPERLINK("http://www.d20pfsrd.com/magic/all-spells/g/gentle-repose","Gentle Repose")</f>
        <v>Gentle Repose</v>
      </c>
      <c r="BT234" s="1">
        <v>233</v>
      </c>
      <c r="BU234" s="1" t="s">
        <v>109</v>
      </c>
      <c r="BV234" s="1"/>
      <c r="BW234" s="1"/>
      <c r="BX234" s="1"/>
      <c r="BY234" s="1"/>
      <c r="BZ234" s="1">
        <v>0</v>
      </c>
      <c r="CA234" s="1" t="s">
        <v>109</v>
      </c>
      <c r="CB234" s="1">
        <v>2</v>
      </c>
      <c r="CC234" s="1" t="s">
        <v>109</v>
      </c>
      <c r="CD234" s="1" t="s">
        <v>109</v>
      </c>
      <c r="CE234" s="1" t="s">
        <v>109</v>
      </c>
      <c r="CF234" s="1">
        <v>3</v>
      </c>
      <c r="CG234" s="1">
        <v>2</v>
      </c>
      <c r="CH234" s="1" t="s">
        <v>109</v>
      </c>
      <c r="CI234" s="1" t="s">
        <v>109</v>
      </c>
      <c r="CJ234" s="1" t="s">
        <v>109</v>
      </c>
      <c r="CK234" s="1"/>
      <c r="CL234" s="1">
        <v>0</v>
      </c>
      <c r="CM234" s="1">
        <v>0</v>
      </c>
      <c r="CN234" s="1">
        <v>0</v>
      </c>
    </row>
    <row r="235" spans="1:92" ht="14.25" customHeight="1" x14ac:dyDescent="0.15">
      <c r="A235" s="1" t="s">
        <v>2299</v>
      </c>
      <c r="B235" s="1" t="s">
        <v>674</v>
      </c>
      <c r="C235" s="1" t="s">
        <v>2300</v>
      </c>
      <c r="D235" s="1"/>
      <c r="E235" s="1" t="s">
        <v>2301</v>
      </c>
      <c r="F235" s="1" t="s">
        <v>98</v>
      </c>
      <c r="G235" s="1" t="s">
        <v>2302</v>
      </c>
      <c r="H235" s="1">
        <v>0</v>
      </c>
      <c r="I235" s="1" t="s">
        <v>142</v>
      </c>
      <c r="J235" s="1"/>
      <c r="K235" s="1" t="s">
        <v>2303</v>
      </c>
      <c r="L235" s="1"/>
      <c r="M235" s="1" t="s">
        <v>125</v>
      </c>
      <c r="N235" s="1">
        <v>1</v>
      </c>
      <c r="O235" s="1">
        <v>0</v>
      </c>
      <c r="P235" s="1" t="s">
        <v>2304</v>
      </c>
      <c r="Q235" s="1" t="s">
        <v>104</v>
      </c>
      <c r="R235" s="1" t="s">
        <v>2305</v>
      </c>
      <c r="S235" s="1" t="s">
        <v>2306</v>
      </c>
      <c r="T235" s="1" t="s">
        <v>107</v>
      </c>
      <c r="U235" s="1" t="s">
        <v>2307</v>
      </c>
      <c r="V235" s="1">
        <v>1</v>
      </c>
      <c r="W235" s="1">
        <v>1</v>
      </c>
      <c r="X235" s="1">
        <v>1</v>
      </c>
      <c r="Y235" s="1">
        <v>0</v>
      </c>
      <c r="Z235" s="1">
        <v>0</v>
      </c>
      <c r="AA235" s="1">
        <v>0</v>
      </c>
      <c r="AB235" s="1">
        <v>0</v>
      </c>
      <c r="AC235" s="1" t="s">
        <v>109</v>
      </c>
      <c r="AD235" s="1" t="s">
        <v>109</v>
      </c>
      <c r="AE235" s="1" t="s">
        <v>109</v>
      </c>
      <c r="AF235" s="1">
        <v>0</v>
      </c>
      <c r="AG235" s="1" t="s">
        <v>109</v>
      </c>
      <c r="AH235" s="1" t="s">
        <v>109</v>
      </c>
      <c r="AI235" s="1" t="s">
        <v>109</v>
      </c>
      <c r="AJ235" s="1" t="s">
        <v>109</v>
      </c>
      <c r="AK235" s="1" t="s">
        <v>109</v>
      </c>
      <c r="AL235" s="1" t="s">
        <v>109</v>
      </c>
      <c r="AM235" s="1" t="s">
        <v>109</v>
      </c>
      <c r="AN235" s="1">
        <v>0</v>
      </c>
      <c r="AO235" s="1">
        <v>0</v>
      </c>
      <c r="AP235" s="1"/>
      <c r="AQ235" s="1">
        <v>0</v>
      </c>
      <c r="AR235" s="1"/>
      <c r="AS235" s="1" t="s">
        <v>2308</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5" t="str">
        <f>HYPERLINK("http://www.d20pfsrd.com/magic/all-spells/g/ghost-sound","Ghost Sound")</f>
        <v>Ghost Sound</v>
      </c>
      <c r="BT235" s="1">
        <v>234</v>
      </c>
      <c r="BU235" s="1" t="s">
        <v>109</v>
      </c>
      <c r="BV235" s="1"/>
      <c r="BW235" s="1"/>
      <c r="BX235" s="1"/>
      <c r="BY235" s="1"/>
      <c r="BZ235" s="1">
        <v>0</v>
      </c>
      <c r="CA235" s="1" t="s">
        <v>109</v>
      </c>
      <c r="CB235" s="1" t="s">
        <v>109</v>
      </c>
      <c r="CC235" s="1">
        <v>0</v>
      </c>
      <c r="CD235" s="1" t="s">
        <v>109</v>
      </c>
      <c r="CE235" s="1">
        <v>0</v>
      </c>
      <c r="CF235" s="1">
        <v>0</v>
      </c>
      <c r="CG235" s="1" t="s">
        <v>109</v>
      </c>
      <c r="CH235" s="1" t="s">
        <v>109</v>
      </c>
      <c r="CI235" s="1" t="s">
        <v>109</v>
      </c>
      <c r="CJ235" s="1" t="s">
        <v>109</v>
      </c>
      <c r="CK235" s="1"/>
      <c r="CL235" s="1">
        <v>0</v>
      </c>
      <c r="CM235" s="1">
        <v>0</v>
      </c>
      <c r="CN235" s="1">
        <v>0</v>
      </c>
    </row>
    <row r="236" spans="1:92" ht="14.25" customHeight="1" x14ac:dyDescent="0.15">
      <c r="A236" s="1" t="s">
        <v>2309</v>
      </c>
      <c r="B236" s="1" t="s">
        <v>308</v>
      </c>
      <c r="C236" s="1"/>
      <c r="D236" s="1"/>
      <c r="E236" s="1" t="s">
        <v>2310</v>
      </c>
      <c r="F236" s="1" t="s">
        <v>98</v>
      </c>
      <c r="G236" s="1" t="s">
        <v>2311</v>
      </c>
      <c r="H236" s="1">
        <v>0</v>
      </c>
      <c r="I236" s="1" t="s">
        <v>161</v>
      </c>
      <c r="J236" s="1"/>
      <c r="K236" s="1"/>
      <c r="L236" s="1" t="s">
        <v>2312</v>
      </c>
      <c r="M236" s="1" t="s">
        <v>2313</v>
      </c>
      <c r="N236" s="1">
        <v>0</v>
      </c>
      <c r="O236" s="1">
        <v>0</v>
      </c>
      <c r="P236" s="1" t="s">
        <v>267</v>
      </c>
      <c r="Q236" s="1" t="s">
        <v>268</v>
      </c>
      <c r="R236" s="1" t="s">
        <v>2314</v>
      </c>
      <c r="S236" s="1" t="s">
        <v>2315</v>
      </c>
      <c r="T236" s="1" t="s">
        <v>107</v>
      </c>
      <c r="U236" s="1" t="s">
        <v>2316</v>
      </c>
      <c r="V236" s="1">
        <v>1</v>
      </c>
      <c r="W236" s="1">
        <v>1</v>
      </c>
      <c r="X236" s="1">
        <v>1</v>
      </c>
      <c r="Y236" s="1">
        <v>0</v>
      </c>
      <c r="Z236" s="1">
        <v>0</v>
      </c>
      <c r="AA236" s="1">
        <v>2</v>
      </c>
      <c r="AB236" s="1">
        <v>2</v>
      </c>
      <c r="AC236" s="1" t="s">
        <v>109</v>
      </c>
      <c r="AD236" s="1" t="s">
        <v>109</v>
      </c>
      <c r="AE236" s="1" t="s">
        <v>109</v>
      </c>
      <c r="AF236" s="1" t="s">
        <v>109</v>
      </c>
      <c r="AG236" s="1" t="s">
        <v>109</v>
      </c>
      <c r="AH236" s="1" t="s">
        <v>109</v>
      </c>
      <c r="AI236" s="1" t="s">
        <v>109</v>
      </c>
      <c r="AJ236" s="1" t="s">
        <v>109</v>
      </c>
      <c r="AK236" s="1" t="s">
        <v>109</v>
      </c>
      <c r="AL236" s="1" t="s">
        <v>109</v>
      </c>
      <c r="AM236" s="1" t="s">
        <v>109</v>
      </c>
      <c r="AN236" s="1" t="s">
        <v>109</v>
      </c>
      <c r="AO236" s="1" t="s">
        <v>109</v>
      </c>
      <c r="AP236" s="1"/>
      <c r="AQ236" s="1">
        <v>2</v>
      </c>
      <c r="AR236" s="1" t="s">
        <v>2317</v>
      </c>
      <c r="AS236" s="1" t="s">
        <v>2318</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5" t="str">
        <f>HYPERLINK("http://www.d20pfsrd.com/magic/all-spells/g/ghoul-touch","Ghoul touch")</f>
        <v>Ghoul touch</v>
      </c>
      <c r="BT236" s="1">
        <v>235</v>
      </c>
      <c r="BU236" s="1" t="s">
        <v>109</v>
      </c>
      <c r="BV236" s="1"/>
      <c r="BW236" s="1"/>
      <c r="BX236" s="1"/>
      <c r="BY236" s="1"/>
      <c r="BZ236" s="1">
        <v>0</v>
      </c>
      <c r="CA236" s="1">
        <v>2</v>
      </c>
      <c r="CB236" s="1" t="s">
        <v>109</v>
      </c>
      <c r="CC236" s="1" t="s">
        <v>109</v>
      </c>
      <c r="CD236" s="1" t="s">
        <v>109</v>
      </c>
      <c r="CE236" s="1" t="s">
        <v>109</v>
      </c>
      <c r="CF236" s="1" t="s">
        <v>109</v>
      </c>
      <c r="CG236" s="1">
        <v>2</v>
      </c>
      <c r="CH236" s="1" t="s">
        <v>109</v>
      </c>
      <c r="CI236" s="1" t="s">
        <v>109</v>
      </c>
      <c r="CJ236" s="1" t="s">
        <v>109</v>
      </c>
      <c r="CK236" s="1"/>
      <c r="CL236" s="1">
        <v>0</v>
      </c>
      <c r="CM236" s="1">
        <v>0</v>
      </c>
      <c r="CN236" s="1">
        <v>0</v>
      </c>
    </row>
    <row r="237" spans="1:92" ht="14.25" customHeight="1" x14ac:dyDescent="0.15">
      <c r="A237" s="1" t="s">
        <v>2319</v>
      </c>
      <c r="B237" s="1" t="s">
        <v>189</v>
      </c>
      <c r="C237" s="1" t="s">
        <v>231</v>
      </c>
      <c r="D237" s="1"/>
      <c r="E237" s="1" t="s">
        <v>2320</v>
      </c>
      <c r="F237" s="1" t="s">
        <v>98</v>
      </c>
      <c r="G237" s="1" t="s">
        <v>234</v>
      </c>
      <c r="H237" s="1">
        <v>0</v>
      </c>
      <c r="I237" s="1" t="s">
        <v>235</v>
      </c>
      <c r="J237" s="1"/>
      <c r="K237" s="1"/>
      <c r="L237" s="1" t="s">
        <v>236</v>
      </c>
      <c r="M237" s="1" t="s">
        <v>164</v>
      </c>
      <c r="N237" s="1">
        <v>1</v>
      </c>
      <c r="O237" s="1">
        <v>0</v>
      </c>
      <c r="P237" s="1"/>
      <c r="Q237" s="1"/>
      <c r="R237" s="1" t="s">
        <v>2321</v>
      </c>
      <c r="S237" s="1" t="s">
        <v>2322</v>
      </c>
      <c r="T237" s="1" t="s">
        <v>107</v>
      </c>
      <c r="U237" s="1" t="s">
        <v>2323</v>
      </c>
      <c r="V237" s="1">
        <v>1</v>
      </c>
      <c r="W237" s="1">
        <v>1</v>
      </c>
      <c r="X237" s="1">
        <v>1</v>
      </c>
      <c r="Y237" s="1">
        <v>0</v>
      </c>
      <c r="Z237" s="1">
        <v>0</v>
      </c>
      <c r="AA237" s="1">
        <v>7</v>
      </c>
      <c r="AB237" s="1">
        <v>7</v>
      </c>
      <c r="AC237" s="1" t="s">
        <v>109</v>
      </c>
      <c r="AD237" s="1" t="s">
        <v>109</v>
      </c>
      <c r="AE237" s="1" t="s">
        <v>109</v>
      </c>
      <c r="AF237" s="1" t="s">
        <v>109</v>
      </c>
      <c r="AG237" s="1" t="s">
        <v>109</v>
      </c>
      <c r="AH237" s="1">
        <v>6</v>
      </c>
      <c r="AI237" s="1" t="s">
        <v>109</v>
      </c>
      <c r="AJ237" s="1" t="s">
        <v>109</v>
      </c>
      <c r="AK237" s="1" t="s">
        <v>109</v>
      </c>
      <c r="AL237" s="1" t="s">
        <v>109</v>
      </c>
      <c r="AM237" s="1" t="s">
        <v>109</v>
      </c>
      <c r="AN237" s="1" t="s">
        <v>109</v>
      </c>
      <c r="AO237" s="1" t="s">
        <v>109</v>
      </c>
      <c r="AP237" s="1"/>
      <c r="AQ237" s="1">
        <v>7</v>
      </c>
      <c r="AR237" s="1"/>
      <c r="AS237" s="1" t="s">
        <v>2324</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5" t="str">
        <f>HYPERLINK("http://www.d20pfsrd.com/magic/all-spells/g/giant-form-i","Giant Form I")</f>
        <v>Giant Form I</v>
      </c>
      <c r="BT237" s="1">
        <v>236</v>
      </c>
      <c r="BU237" s="1" t="s">
        <v>109</v>
      </c>
      <c r="BV237" s="1" t="s">
        <v>2325</v>
      </c>
      <c r="BW237" s="1" t="s">
        <v>2326</v>
      </c>
      <c r="BX237" s="1"/>
      <c r="BY237" s="1"/>
      <c r="BZ237" s="1">
        <v>0</v>
      </c>
      <c r="CA237" s="1" t="s">
        <v>109</v>
      </c>
      <c r="CB237" s="1" t="s">
        <v>109</v>
      </c>
      <c r="CC237" s="1" t="s">
        <v>109</v>
      </c>
      <c r="CD237" s="1" t="s">
        <v>109</v>
      </c>
      <c r="CE237" s="1" t="s">
        <v>109</v>
      </c>
      <c r="CF237" s="1" t="s">
        <v>109</v>
      </c>
      <c r="CG237" s="1" t="s">
        <v>109</v>
      </c>
      <c r="CH237" s="1" t="s">
        <v>109</v>
      </c>
      <c r="CI237" s="1" t="s">
        <v>109</v>
      </c>
      <c r="CJ237" s="1" t="s">
        <v>109</v>
      </c>
      <c r="CK237" s="1"/>
      <c r="CL237" s="1">
        <v>0</v>
      </c>
      <c r="CM237" s="1">
        <v>0</v>
      </c>
      <c r="CN237" s="1">
        <v>0</v>
      </c>
    </row>
    <row r="238" spans="1:92" ht="14.25" customHeight="1" x14ac:dyDescent="0.15">
      <c r="A238" s="1" t="s">
        <v>2327</v>
      </c>
      <c r="B238" s="1" t="s">
        <v>2328</v>
      </c>
      <c r="C238" s="1" t="s">
        <v>231</v>
      </c>
      <c r="D238" s="1"/>
      <c r="E238" s="1" t="s">
        <v>2199</v>
      </c>
      <c r="F238" s="1" t="s">
        <v>98</v>
      </c>
      <c r="G238" s="1" t="s">
        <v>234</v>
      </c>
      <c r="H238" s="1">
        <v>0</v>
      </c>
      <c r="I238" s="1" t="s">
        <v>235</v>
      </c>
      <c r="J238" s="1"/>
      <c r="K238" s="1"/>
      <c r="L238" s="1" t="s">
        <v>236</v>
      </c>
      <c r="M238" s="1" t="s">
        <v>164</v>
      </c>
      <c r="N238" s="1">
        <v>1</v>
      </c>
      <c r="O238" s="1">
        <v>0</v>
      </c>
      <c r="P238" s="1"/>
      <c r="Q238" s="1"/>
      <c r="R238" s="1" t="s">
        <v>2329</v>
      </c>
      <c r="S238" s="1" t="s">
        <v>2330</v>
      </c>
      <c r="T238" s="1" t="s">
        <v>107</v>
      </c>
      <c r="U238" s="1" t="s">
        <v>2331</v>
      </c>
      <c r="V238" s="1">
        <v>1</v>
      </c>
      <c r="W238" s="1">
        <v>1</v>
      </c>
      <c r="X238" s="1">
        <v>1</v>
      </c>
      <c r="Y238" s="1">
        <v>0</v>
      </c>
      <c r="Z238" s="1">
        <v>0</v>
      </c>
      <c r="AA238" s="1">
        <v>8</v>
      </c>
      <c r="AB238" s="1">
        <v>8</v>
      </c>
      <c r="AC238" s="1" t="s">
        <v>109</v>
      </c>
      <c r="AD238" s="1" t="s">
        <v>109</v>
      </c>
      <c r="AE238" s="1" t="s">
        <v>109</v>
      </c>
      <c r="AF238" s="1" t="s">
        <v>109</v>
      </c>
      <c r="AG238" s="1" t="s">
        <v>109</v>
      </c>
      <c r="AH238" s="1" t="s">
        <v>109</v>
      </c>
      <c r="AI238" s="1" t="s">
        <v>109</v>
      </c>
      <c r="AJ238" s="1" t="s">
        <v>109</v>
      </c>
      <c r="AK238" s="1" t="s">
        <v>109</v>
      </c>
      <c r="AL238" s="1" t="s">
        <v>109</v>
      </c>
      <c r="AM238" s="1" t="s">
        <v>109</v>
      </c>
      <c r="AN238" s="1" t="s">
        <v>109</v>
      </c>
      <c r="AO238" s="1" t="s">
        <v>109</v>
      </c>
      <c r="AP238" s="1"/>
      <c r="AQ238" s="1">
        <v>8</v>
      </c>
      <c r="AR238" s="1"/>
      <c r="AS238" s="1" t="s">
        <v>2332</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5" t="str">
        <f>HYPERLINK("http://www.d20pfsrd.com/magic/all-spells/g/giant-form-i","Giant Form II")</f>
        <v>Giant Form II</v>
      </c>
      <c r="BT238" s="1">
        <v>237</v>
      </c>
      <c r="BU238" s="1" t="s">
        <v>109</v>
      </c>
      <c r="BV238" s="1" t="s">
        <v>2333</v>
      </c>
      <c r="BW238" s="1" t="s">
        <v>2334</v>
      </c>
      <c r="BX238" s="1"/>
      <c r="BY238" s="1"/>
      <c r="BZ238" s="1">
        <v>0</v>
      </c>
      <c r="CA238" s="1" t="s">
        <v>109</v>
      </c>
      <c r="CB238" s="1" t="s">
        <v>109</v>
      </c>
      <c r="CC238" s="1" t="s">
        <v>109</v>
      </c>
      <c r="CD238" s="1" t="s">
        <v>109</v>
      </c>
      <c r="CE238" s="1" t="s">
        <v>109</v>
      </c>
      <c r="CF238" s="1" t="s">
        <v>109</v>
      </c>
      <c r="CG238" s="1" t="s">
        <v>109</v>
      </c>
      <c r="CH238" s="1" t="s">
        <v>109</v>
      </c>
      <c r="CI238" s="1" t="s">
        <v>109</v>
      </c>
      <c r="CJ238" s="1" t="s">
        <v>109</v>
      </c>
      <c r="CK238" s="1"/>
      <c r="CL238" s="1">
        <v>0</v>
      </c>
      <c r="CM238" s="1">
        <v>0</v>
      </c>
      <c r="CN238" s="1">
        <v>0</v>
      </c>
    </row>
    <row r="239" spans="1:92" ht="14.25" customHeight="1" x14ac:dyDescent="0.15">
      <c r="A239" s="1" t="s">
        <v>2335</v>
      </c>
      <c r="B239" s="1" t="s">
        <v>189</v>
      </c>
      <c r="C239" s="1"/>
      <c r="D239" s="1"/>
      <c r="E239" s="1" t="s">
        <v>2336</v>
      </c>
      <c r="F239" s="1" t="s">
        <v>98</v>
      </c>
      <c r="G239" s="1" t="s">
        <v>160</v>
      </c>
      <c r="H239" s="1">
        <v>0</v>
      </c>
      <c r="I239" s="1" t="s">
        <v>142</v>
      </c>
      <c r="J239" s="1"/>
      <c r="K239" s="1"/>
      <c r="L239" s="1" t="s">
        <v>2337</v>
      </c>
      <c r="M239" s="1" t="s">
        <v>164</v>
      </c>
      <c r="N239" s="1">
        <v>0</v>
      </c>
      <c r="O239" s="1">
        <v>0</v>
      </c>
      <c r="P239" s="1" t="s">
        <v>103</v>
      </c>
      <c r="Q239" s="1" t="s">
        <v>268</v>
      </c>
      <c r="R239" s="1" t="s">
        <v>2338</v>
      </c>
      <c r="S239" s="1" t="s">
        <v>2339</v>
      </c>
      <c r="T239" s="1" t="s">
        <v>107</v>
      </c>
      <c r="U239" s="1" t="s">
        <v>2340</v>
      </c>
      <c r="V239" s="1">
        <v>1</v>
      </c>
      <c r="W239" s="1">
        <v>1</v>
      </c>
      <c r="X239" s="1">
        <v>0</v>
      </c>
      <c r="Y239" s="1">
        <v>0</v>
      </c>
      <c r="Z239" s="1">
        <v>1</v>
      </c>
      <c r="AA239" s="1" t="s">
        <v>109</v>
      </c>
      <c r="AB239" s="1" t="s">
        <v>109</v>
      </c>
      <c r="AC239" s="1">
        <v>4</v>
      </c>
      <c r="AD239" s="1">
        <v>4</v>
      </c>
      <c r="AE239" s="1" t="s">
        <v>109</v>
      </c>
      <c r="AF239" s="1" t="s">
        <v>109</v>
      </c>
      <c r="AG239" s="1" t="s">
        <v>109</v>
      </c>
      <c r="AH239" s="1" t="s">
        <v>109</v>
      </c>
      <c r="AI239" s="1" t="s">
        <v>109</v>
      </c>
      <c r="AJ239" s="1" t="s">
        <v>109</v>
      </c>
      <c r="AK239" s="1" t="s">
        <v>109</v>
      </c>
      <c r="AL239" s="1">
        <v>4</v>
      </c>
      <c r="AM239" s="1" t="s">
        <v>109</v>
      </c>
      <c r="AN239" s="1" t="s">
        <v>109</v>
      </c>
      <c r="AO239" s="1" t="s">
        <v>109</v>
      </c>
      <c r="AP239" s="1"/>
      <c r="AQ239" s="1">
        <v>4</v>
      </c>
      <c r="AR239" s="1"/>
      <c r="AS239" s="1" t="s">
        <v>2341</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5" t="str">
        <f>HYPERLINK("http://www.d20pfsrd.com/magic/all-spells/g/giant-vermin","Giant Vermin")</f>
        <v>Giant Vermin</v>
      </c>
      <c r="BT239" s="1">
        <v>238</v>
      </c>
      <c r="BU239" s="1" t="s">
        <v>109</v>
      </c>
      <c r="BV239" s="1"/>
      <c r="BW239" s="1" t="s">
        <v>2342</v>
      </c>
      <c r="BX239" s="1"/>
      <c r="BY239" s="1"/>
      <c r="BZ239" s="1">
        <v>0</v>
      </c>
      <c r="CA239" s="1" t="s">
        <v>109</v>
      </c>
      <c r="CB239" s="1">
        <v>4</v>
      </c>
      <c r="CC239" s="1" t="s">
        <v>109</v>
      </c>
      <c r="CD239" s="1" t="s">
        <v>109</v>
      </c>
      <c r="CE239" s="1" t="s">
        <v>109</v>
      </c>
      <c r="CF239" s="1" t="s">
        <v>109</v>
      </c>
      <c r="CG239" s="1" t="s">
        <v>109</v>
      </c>
      <c r="CH239" s="1" t="s">
        <v>109</v>
      </c>
      <c r="CI239" s="1" t="s">
        <v>109</v>
      </c>
      <c r="CJ239" s="1">
        <v>4</v>
      </c>
      <c r="CK239" s="1"/>
      <c r="CL239" s="1">
        <v>0</v>
      </c>
      <c r="CM239" s="1">
        <v>0</v>
      </c>
      <c r="CN239" s="1">
        <v>0</v>
      </c>
    </row>
    <row r="240" spans="1:92" ht="14.25" customHeight="1" x14ac:dyDescent="0.15">
      <c r="A240" s="1" t="s">
        <v>2343</v>
      </c>
      <c r="B240" s="1" t="s">
        <v>189</v>
      </c>
      <c r="C240" s="1"/>
      <c r="D240" s="1"/>
      <c r="E240" s="1" t="s">
        <v>2344</v>
      </c>
      <c r="F240" s="1" t="s">
        <v>98</v>
      </c>
      <c r="G240" s="1" t="s">
        <v>2345</v>
      </c>
      <c r="H240" s="1">
        <v>0</v>
      </c>
      <c r="I240" s="1" t="s">
        <v>235</v>
      </c>
      <c r="J240" s="1"/>
      <c r="K240" s="1"/>
      <c r="L240" s="1" t="s">
        <v>236</v>
      </c>
      <c r="M240" s="1" t="s">
        <v>194</v>
      </c>
      <c r="N240" s="1">
        <v>1</v>
      </c>
      <c r="O240" s="1">
        <v>0</v>
      </c>
      <c r="P240" s="1"/>
      <c r="Q240" s="1"/>
      <c r="R240" s="1" t="s">
        <v>2346</v>
      </c>
      <c r="S240" s="1" t="s">
        <v>2347</v>
      </c>
      <c r="T240" s="1" t="s">
        <v>107</v>
      </c>
      <c r="U240" s="1" t="s">
        <v>2348</v>
      </c>
      <c r="V240" s="1">
        <v>0</v>
      </c>
      <c r="W240" s="1">
        <v>1</v>
      </c>
      <c r="X240" s="1">
        <v>0</v>
      </c>
      <c r="Y240" s="1">
        <v>0</v>
      </c>
      <c r="Z240" s="1">
        <v>0</v>
      </c>
      <c r="AA240" s="1" t="s">
        <v>109</v>
      </c>
      <c r="AB240" s="1" t="s">
        <v>109</v>
      </c>
      <c r="AC240" s="1" t="s">
        <v>109</v>
      </c>
      <c r="AD240" s="1" t="s">
        <v>109</v>
      </c>
      <c r="AE240" s="1" t="s">
        <v>109</v>
      </c>
      <c r="AF240" s="1">
        <v>3</v>
      </c>
      <c r="AG240" s="1" t="s">
        <v>109</v>
      </c>
      <c r="AH240" s="1" t="s">
        <v>109</v>
      </c>
      <c r="AI240" s="1" t="s">
        <v>109</v>
      </c>
      <c r="AJ240" s="1" t="s">
        <v>109</v>
      </c>
      <c r="AK240" s="1" t="s">
        <v>109</v>
      </c>
      <c r="AL240" s="1" t="s">
        <v>109</v>
      </c>
      <c r="AM240" s="1" t="s">
        <v>109</v>
      </c>
      <c r="AN240" s="1" t="s">
        <v>109</v>
      </c>
      <c r="AO240" s="1" t="s">
        <v>109</v>
      </c>
      <c r="AP240" s="1"/>
      <c r="AQ240" s="1">
        <v>3</v>
      </c>
      <c r="AR240" s="1"/>
      <c r="AS240" s="1" t="s">
        <v>2349</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5" t="str">
        <f>HYPERLINK("http://www.d20pfsrd.com/magic/all-spells/g/glibness","Glibness")</f>
        <v>Glibness</v>
      </c>
      <c r="BT240" s="1">
        <v>239</v>
      </c>
      <c r="BU240" s="1" t="s">
        <v>109</v>
      </c>
      <c r="BV240" s="1"/>
      <c r="BW240" s="1"/>
      <c r="BX240" s="1"/>
      <c r="BY240" s="1"/>
      <c r="BZ240" s="1">
        <v>0</v>
      </c>
      <c r="CA240" s="1" t="s">
        <v>109</v>
      </c>
      <c r="CB240" s="1" t="s">
        <v>109</v>
      </c>
      <c r="CC240" s="1" t="s">
        <v>109</v>
      </c>
      <c r="CD240" s="1" t="s">
        <v>109</v>
      </c>
      <c r="CE240" s="1">
        <v>3</v>
      </c>
      <c r="CF240" s="1" t="s">
        <v>109</v>
      </c>
      <c r="CG240" s="1" t="s">
        <v>109</v>
      </c>
      <c r="CH240" s="1" t="s">
        <v>109</v>
      </c>
      <c r="CI240" s="1" t="s">
        <v>109</v>
      </c>
      <c r="CJ240" s="1" t="s">
        <v>109</v>
      </c>
      <c r="CK240" s="1"/>
      <c r="CL240" s="1">
        <v>0</v>
      </c>
      <c r="CM240" s="1">
        <v>0</v>
      </c>
      <c r="CN240" s="1">
        <v>0</v>
      </c>
    </row>
    <row r="241" spans="1:92" ht="14.25" customHeight="1" x14ac:dyDescent="0.15">
      <c r="A241" s="1" t="s">
        <v>2350</v>
      </c>
      <c r="B241" s="1" t="s">
        <v>95</v>
      </c>
      <c r="C241" s="1" t="s">
        <v>96</v>
      </c>
      <c r="D241" s="1"/>
      <c r="E241" s="1" t="s">
        <v>2351</v>
      </c>
      <c r="F241" s="1" t="s">
        <v>98</v>
      </c>
      <c r="G241" s="1" t="s">
        <v>2352</v>
      </c>
      <c r="H241" s="1">
        <v>0</v>
      </c>
      <c r="I241" s="1" t="s">
        <v>122</v>
      </c>
      <c r="J241" s="1" t="s">
        <v>2353</v>
      </c>
      <c r="K241" s="1"/>
      <c r="L241" s="1"/>
      <c r="M241" s="1" t="s">
        <v>125</v>
      </c>
      <c r="N241" s="1">
        <v>0</v>
      </c>
      <c r="O241" s="1">
        <v>0</v>
      </c>
      <c r="P241" s="1" t="s">
        <v>2354</v>
      </c>
      <c r="Q241" s="1" t="s">
        <v>104</v>
      </c>
      <c r="R241" s="1" t="s">
        <v>2355</v>
      </c>
      <c r="S241" s="1" t="s">
        <v>2356</v>
      </c>
      <c r="T241" s="1" t="s">
        <v>107</v>
      </c>
      <c r="U241" s="1" t="s">
        <v>2357</v>
      </c>
      <c r="V241" s="1">
        <v>1</v>
      </c>
      <c r="W241" s="1">
        <v>1</v>
      </c>
      <c r="X241" s="1">
        <v>1</v>
      </c>
      <c r="Y241" s="1">
        <v>0</v>
      </c>
      <c r="Z241" s="1">
        <v>0</v>
      </c>
      <c r="AA241" s="1">
        <v>2</v>
      </c>
      <c r="AB241" s="1">
        <v>2</v>
      </c>
      <c r="AC241" s="1" t="s">
        <v>109</v>
      </c>
      <c r="AD241" s="1" t="s">
        <v>109</v>
      </c>
      <c r="AE241" s="1" t="s">
        <v>109</v>
      </c>
      <c r="AF241" s="1">
        <v>2</v>
      </c>
      <c r="AG241" s="1" t="s">
        <v>109</v>
      </c>
      <c r="AH241" s="1" t="s">
        <v>109</v>
      </c>
      <c r="AI241" s="1">
        <v>2</v>
      </c>
      <c r="AJ241" s="1">
        <v>2</v>
      </c>
      <c r="AK241" s="1" t="s">
        <v>109</v>
      </c>
      <c r="AL241" s="1" t="s">
        <v>109</v>
      </c>
      <c r="AM241" s="1" t="s">
        <v>109</v>
      </c>
      <c r="AN241" s="1">
        <v>2</v>
      </c>
      <c r="AO241" s="1" t="s">
        <v>109</v>
      </c>
      <c r="AP241" s="1"/>
      <c r="AQ241" s="1">
        <v>2</v>
      </c>
      <c r="AR241" s="1"/>
      <c r="AS241" s="1" t="s">
        <v>2358</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5" t="str">
        <f>HYPERLINK("http://www.d20pfsrd.com/magic/all-spells/g/glitterdust","Glitterdust")</f>
        <v>Glitterdust</v>
      </c>
      <c r="BT241" s="1">
        <v>240</v>
      </c>
      <c r="BU241" s="1" t="s">
        <v>109</v>
      </c>
      <c r="BV241" s="1" t="s">
        <v>2359</v>
      </c>
      <c r="BW241" s="1"/>
      <c r="BX241" s="1"/>
      <c r="BY241" s="1"/>
      <c r="BZ241" s="1">
        <v>0</v>
      </c>
      <c r="CA241" s="1">
        <v>2</v>
      </c>
      <c r="CB241" s="1" t="s">
        <v>109</v>
      </c>
      <c r="CC241" s="1" t="s">
        <v>109</v>
      </c>
      <c r="CD241" s="1" t="s">
        <v>109</v>
      </c>
      <c r="CE241" s="1">
        <v>2</v>
      </c>
      <c r="CF241" s="1">
        <v>2</v>
      </c>
      <c r="CG241" s="1" t="s">
        <v>109</v>
      </c>
      <c r="CH241" s="1" t="s">
        <v>109</v>
      </c>
      <c r="CI241" s="1" t="s">
        <v>109</v>
      </c>
      <c r="CJ241" s="1" t="s">
        <v>109</v>
      </c>
      <c r="CK241" s="1"/>
      <c r="CL241" s="1">
        <v>0</v>
      </c>
      <c r="CM241" s="1">
        <v>0</v>
      </c>
      <c r="CN241" s="1">
        <v>0</v>
      </c>
    </row>
    <row r="242" spans="1:92" ht="14.25" customHeight="1" x14ac:dyDescent="0.15">
      <c r="A242" s="1" t="s">
        <v>2360</v>
      </c>
      <c r="B242" s="1" t="s">
        <v>242</v>
      </c>
      <c r="C242" s="1"/>
      <c r="D242" s="1"/>
      <c r="E242" s="1" t="s">
        <v>2361</v>
      </c>
      <c r="F242" s="1" t="s">
        <v>98</v>
      </c>
      <c r="G242" s="1" t="s">
        <v>2362</v>
      </c>
      <c r="H242" s="1">
        <v>0</v>
      </c>
      <c r="I242" s="1" t="s">
        <v>356</v>
      </c>
      <c r="J242" s="1" t="s">
        <v>2363</v>
      </c>
      <c r="K242" s="1"/>
      <c r="L242" s="1"/>
      <c r="M242" s="1" t="s">
        <v>125</v>
      </c>
      <c r="N242" s="1">
        <v>1</v>
      </c>
      <c r="O242" s="1">
        <v>0</v>
      </c>
      <c r="P242" s="1" t="s">
        <v>103</v>
      </c>
      <c r="Q242" s="1" t="s">
        <v>104</v>
      </c>
      <c r="R242" s="1" t="s">
        <v>2364</v>
      </c>
      <c r="S242" s="1" t="s">
        <v>2365</v>
      </c>
      <c r="T242" s="1" t="s">
        <v>107</v>
      </c>
      <c r="U242" s="1" t="s">
        <v>2366</v>
      </c>
      <c r="V242" s="1">
        <v>1</v>
      </c>
      <c r="W242" s="1">
        <v>1</v>
      </c>
      <c r="X242" s="1">
        <v>1</v>
      </c>
      <c r="Y242" s="1">
        <v>0</v>
      </c>
      <c r="Z242" s="1">
        <v>0</v>
      </c>
      <c r="AA242" s="1">
        <v>4</v>
      </c>
      <c r="AB242" s="1">
        <v>4</v>
      </c>
      <c r="AC242" s="1" t="s">
        <v>109</v>
      </c>
      <c r="AD242" s="1" t="s">
        <v>109</v>
      </c>
      <c r="AE242" s="1" t="s">
        <v>109</v>
      </c>
      <c r="AF242" s="1" t="s">
        <v>109</v>
      </c>
      <c r="AG242" s="1" t="s">
        <v>109</v>
      </c>
      <c r="AH242" s="1" t="s">
        <v>109</v>
      </c>
      <c r="AI242" s="1" t="s">
        <v>109</v>
      </c>
      <c r="AJ242" s="1" t="s">
        <v>109</v>
      </c>
      <c r="AK242" s="1" t="s">
        <v>109</v>
      </c>
      <c r="AL242" s="1" t="s">
        <v>109</v>
      </c>
      <c r="AM242" s="1" t="s">
        <v>109</v>
      </c>
      <c r="AN242" s="1" t="s">
        <v>109</v>
      </c>
      <c r="AO242" s="1" t="s">
        <v>109</v>
      </c>
      <c r="AP242" s="1"/>
      <c r="AQ242" s="1">
        <v>4</v>
      </c>
      <c r="AR242" s="1"/>
      <c r="AS242" s="1" t="s">
        <v>2367</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5" t="str">
        <f>HYPERLINK("http://www.d20pfsrd.com/magic/all-spells/g/globe-of-invulnerability","Globe of Invulnerability, Lesser")</f>
        <v>Globe of Invulnerability, Lesser</v>
      </c>
      <c r="BT242" s="1">
        <v>241</v>
      </c>
      <c r="BU242" s="1" t="s">
        <v>109</v>
      </c>
      <c r="BV242" s="1"/>
      <c r="BW242" s="1" t="s">
        <v>2368</v>
      </c>
      <c r="BX242" s="1"/>
      <c r="BY242" s="1"/>
      <c r="BZ242" s="1">
        <v>0</v>
      </c>
      <c r="CA242" s="1" t="s">
        <v>109</v>
      </c>
      <c r="CB242" s="1" t="s">
        <v>109</v>
      </c>
      <c r="CC242" s="1">
        <v>4</v>
      </c>
      <c r="CD242" s="1" t="s">
        <v>109</v>
      </c>
      <c r="CE242" s="1" t="s">
        <v>109</v>
      </c>
      <c r="CF242" s="1">
        <v>4</v>
      </c>
      <c r="CG242" s="1" t="s">
        <v>109</v>
      </c>
      <c r="CH242" s="1" t="s">
        <v>109</v>
      </c>
      <c r="CI242" s="1" t="s">
        <v>109</v>
      </c>
      <c r="CJ242" s="1" t="s">
        <v>109</v>
      </c>
      <c r="CK242" s="1"/>
      <c r="CL242" s="1">
        <v>0</v>
      </c>
      <c r="CM242" s="1">
        <v>0</v>
      </c>
      <c r="CN242" s="1">
        <v>0</v>
      </c>
    </row>
    <row r="243" spans="1:92" ht="14.25" customHeight="1" x14ac:dyDescent="0.15">
      <c r="A243" s="1" t="s">
        <v>2369</v>
      </c>
      <c r="B243" s="1" t="s">
        <v>242</v>
      </c>
      <c r="C243" s="1"/>
      <c r="D243" s="1"/>
      <c r="E243" s="1" t="s">
        <v>1072</v>
      </c>
      <c r="F243" s="1" t="s">
        <v>98</v>
      </c>
      <c r="G243" s="1" t="s">
        <v>2362</v>
      </c>
      <c r="H243" s="1">
        <v>0</v>
      </c>
      <c r="I243" s="1" t="s">
        <v>356</v>
      </c>
      <c r="J243" s="1" t="s">
        <v>2363</v>
      </c>
      <c r="K243" s="1"/>
      <c r="L243" s="1"/>
      <c r="M243" s="1" t="s">
        <v>574</v>
      </c>
      <c r="N243" s="1">
        <v>1</v>
      </c>
      <c r="O243" s="1">
        <v>0</v>
      </c>
      <c r="P243" s="1" t="s">
        <v>103</v>
      </c>
      <c r="Q243" s="1" t="s">
        <v>104</v>
      </c>
      <c r="R243" s="1" t="s">
        <v>2370</v>
      </c>
      <c r="S243" s="1" t="s">
        <v>2371</v>
      </c>
      <c r="T243" s="1" t="s">
        <v>107</v>
      </c>
      <c r="U243" s="1" t="s">
        <v>2372</v>
      </c>
      <c r="V243" s="1">
        <v>1</v>
      </c>
      <c r="W243" s="1">
        <v>1</v>
      </c>
      <c r="X243" s="1">
        <v>1</v>
      </c>
      <c r="Y243" s="1">
        <v>0</v>
      </c>
      <c r="Z243" s="1">
        <v>0</v>
      </c>
      <c r="AA243" s="1">
        <v>6</v>
      </c>
      <c r="AB243" s="1">
        <v>6</v>
      </c>
      <c r="AC243" s="1" t="s">
        <v>109</v>
      </c>
      <c r="AD243" s="1" t="s">
        <v>109</v>
      </c>
      <c r="AE243" s="1" t="s">
        <v>109</v>
      </c>
      <c r="AF243" s="1" t="s">
        <v>109</v>
      </c>
      <c r="AG243" s="1" t="s">
        <v>109</v>
      </c>
      <c r="AH243" s="1" t="s">
        <v>109</v>
      </c>
      <c r="AI243" s="1" t="s">
        <v>109</v>
      </c>
      <c r="AJ243" s="1" t="s">
        <v>109</v>
      </c>
      <c r="AK243" s="1" t="s">
        <v>109</v>
      </c>
      <c r="AL243" s="1" t="s">
        <v>109</v>
      </c>
      <c r="AM243" s="1" t="s">
        <v>109</v>
      </c>
      <c r="AN243" s="1" t="s">
        <v>109</v>
      </c>
      <c r="AO243" s="1" t="s">
        <v>109</v>
      </c>
      <c r="AP243" s="1"/>
      <c r="AQ243" s="1">
        <v>6</v>
      </c>
      <c r="AR243" s="1"/>
      <c r="AS243" s="1" t="s">
        <v>2373</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5" t="str">
        <f>HYPERLINK("http://www.d20pfsrd.com/magic/all-spells/g/globe-of-invulnerability","Globe of Invulnerability")</f>
        <v>Globe of Invulnerability</v>
      </c>
      <c r="BT243" s="1">
        <v>242</v>
      </c>
      <c r="BU243" s="1" t="s">
        <v>109</v>
      </c>
      <c r="BV243" s="1"/>
      <c r="BW243" s="1"/>
      <c r="BX243" s="1" t="s">
        <v>2374</v>
      </c>
      <c r="BY243" s="1"/>
      <c r="BZ243" s="1">
        <v>1</v>
      </c>
      <c r="CA243" s="1" t="s">
        <v>109</v>
      </c>
      <c r="CB243" s="1" t="s">
        <v>109</v>
      </c>
      <c r="CC243" s="1">
        <v>6</v>
      </c>
      <c r="CD243" s="1" t="s">
        <v>109</v>
      </c>
      <c r="CE243" s="1" t="s">
        <v>109</v>
      </c>
      <c r="CF243" s="1">
        <v>6</v>
      </c>
      <c r="CG243" s="1" t="s">
        <v>109</v>
      </c>
      <c r="CH243" s="1" t="s">
        <v>109</v>
      </c>
      <c r="CI243" s="1" t="s">
        <v>109</v>
      </c>
      <c r="CJ243" s="1" t="s">
        <v>109</v>
      </c>
      <c r="CK243" s="1"/>
      <c r="CL243" s="1">
        <v>0</v>
      </c>
      <c r="CM243" s="1">
        <v>0</v>
      </c>
      <c r="CN243" s="1">
        <v>0</v>
      </c>
    </row>
    <row r="244" spans="1:92" ht="14.25" customHeight="1" x14ac:dyDescent="0.15">
      <c r="A244" s="1" t="s">
        <v>2375</v>
      </c>
      <c r="B244" s="1" t="s">
        <v>242</v>
      </c>
      <c r="C244" s="1"/>
      <c r="D244" s="1"/>
      <c r="E244" s="1" t="s">
        <v>2376</v>
      </c>
      <c r="F244" s="1" t="s">
        <v>395</v>
      </c>
      <c r="G244" s="1" t="s">
        <v>2377</v>
      </c>
      <c r="H244" s="1">
        <v>1</v>
      </c>
      <c r="I244" s="1" t="s">
        <v>161</v>
      </c>
      <c r="J244" s="1" t="s">
        <v>2378</v>
      </c>
      <c r="K244" s="1"/>
      <c r="L244" s="1" t="s">
        <v>2378</v>
      </c>
      <c r="M244" s="1" t="s">
        <v>2044</v>
      </c>
      <c r="N244" s="1">
        <v>1</v>
      </c>
      <c r="O244" s="1">
        <v>0</v>
      </c>
      <c r="P244" s="1" t="s">
        <v>211</v>
      </c>
      <c r="Q244" s="1" t="s">
        <v>2379</v>
      </c>
      <c r="R244" s="1" t="s">
        <v>2380</v>
      </c>
      <c r="S244" s="1" t="s">
        <v>2381</v>
      </c>
      <c r="T244" s="1" t="s">
        <v>107</v>
      </c>
      <c r="U244" s="1" t="s">
        <v>2382</v>
      </c>
      <c r="V244" s="1">
        <v>1</v>
      </c>
      <c r="W244" s="1">
        <v>1</v>
      </c>
      <c r="X244" s="1">
        <v>1</v>
      </c>
      <c r="Y244" s="1">
        <v>0</v>
      </c>
      <c r="Z244" s="1">
        <v>0</v>
      </c>
      <c r="AA244" s="1" t="s">
        <v>109</v>
      </c>
      <c r="AB244" s="1" t="s">
        <v>109</v>
      </c>
      <c r="AC244" s="1">
        <v>3</v>
      </c>
      <c r="AD244" s="1" t="s">
        <v>109</v>
      </c>
      <c r="AE244" s="1" t="s">
        <v>109</v>
      </c>
      <c r="AF244" s="1" t="s">
        <v>109</v>
      </c>
      <c r="AG244" s="1" t="s">
        <v>109</v>
      </c>
      <c r="AH244" s="1" t="s">
        <v>109</v>
      </c>
      <c r="AI244" s="1" t="s">
        <v>109</v>
      </c>
      <c r="AJ244" s="1" t="s">
        <v>109</v>
      </c>
      <c r="AK244" s="1" t="s">
        <v>109</v>
      </c>
      <c r="AL244" s="1">
        <v>3</v>
      </c>
      <c r="AM244" s="1" t="s">
        <v>109</v>
      </c>
      <c r="AN244" s="1" t="s">
        <v>109</v>
      </c>
      <c r="AO244" s="1" t="s">
        <v>109</v>
      </c>
      <c r="AP244" s="1"/>
      <c r="AQ244" s="1">
        <v>3</v>
      </c>
      <c r="AR244" s="1" t="s">
        <v>2383</v>
      </c>
      <c r="AS244" s="1" t="s">
        <v>2384</v>
      </c>
      <c r="AT244" s="1">
        <v>0</v>
      </c>
      <c r="AU244" s="1">
        <v>0</v>
      </c>
      <c r="AV244" s="1">
        <v>0</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5" t="str">
        <f>HYPERLINK("http://www.d20pfsrd.com/magic/all-spells/g/glyph-of-warding","Glyph of Warding")</f>
        <v>Glyph of Warding</v>
      </c>
      <c r="BT244" s="1">
        <v>243</v>
      </c>
      <c r="BU244" s="1">
        <v>200</v>
      </c>
      <c r="BV244" s="1"/>
      <c r="BW244" s="1"/>
      <c r="BX244" s="1" t="s">
        <v>2385</v>
      </c>
      <c r="BY244" s="1"/>
      <c r="BZ244" s="1">
        <v>1</v>
      </c>
      <c r="CA244" s="1" t="s">
        <v>109</v>
      </c>
      <c r="CB244" s="1" t="s">
        <v>109</v>
      </c>
      <c r="CC244" s="1" t="s">
        <v>109</v>
      </c>
      <c r="CD244" s="1" t="s">
        <v>109</v>
      </c>
      <c r="CE244" s="1" t="s">
        <v>109</v>
      </c>
      <c r="CF244" s="1" t="s">
        <v>109</v>
      </c>
      <c r="CG244" s="1" t="s">
        <v>109</v>
      </c>
      <c r="CH244" s="1" t="s">
        <v>109</v>
      </c>
      <c r="CI244" s="1" t="s">
        <v>109</v>
      </c>
      <c r="CJ244" s="1" t="s">
        <v>109</v>
      </c>
      <c r="CK244" s="1"/>
      <c r="CL244" s="1">
        <v>0</v>
      </c>
      <c r="CM244" s="1">
        <v>0</v>
      </c>
      <c r="CN244" s="1">
        <v>0</v>
      </c>
    </row>
    <row r="245" spans="1:92" ht="14.25" customHeight="1" x14ac:dyDescent="0.15">
      <c r="A245" s="1" t="s">
        <v>2386</v>
      </c>
      <c r="B245" s="1" t="s">
        <v>242</v>
      </c>
      <c r="C245" s="1"/>
      <c r="D245" s="1"/>
      <c r="E245" s="1" t="s">
        <v>2387</v>
      </c>
      <c r="F245" s="1" t="s">
        <v>395</v>
      </c>
      <c r="G245" s="1" t="s">
        <v>2377</v>
      </c>
      <c r="H245" s="1">
        <v>1</v>
      </c>
      <c r="I245" s="1" t="s">
        <v>161</v>
      </c>
      <c r="J245" s="1" t="s">
        <v>2378</v>
      </c>
      <c r="K245" s="1"/>
      <c r="L245" s="1" t="s">
        <v>2378</v>
      </c>
      <c r="M245" s="1" t="s">
        <v>2044</v>
      </c>
      <c r="N245" s="1">
        <v>1</v>
      </c>
      <c r="O245" s="1">
        <v>0</v>
      </c>
      <c r="P245" s="1" t="s">
        <v>211</v>
      </c>
      <c r="Q245" s="1" t="s">
        <v>2379</v>
      </c>
      <c r="R245" s="1" t="s">
        <v>2388</v>
      </c>
      <c r="S245" s="1" t="s">
        <v>2389</v>
      </c>
      <c r="T245" s="1" t="s">
        <v>107</v>
      </c>
      <c r="U245" s="1" t="s">
        <v>2390</v>
      </c>
      <c r="V245" s="1">
        <v>1</v>
      </c>
      <c r="W245" s="1">
        <v>1</v>
      </c>
      <c r="X245" s="1">
        <v>1</v>
      </c>
      <c r="Y245" s="1">
        <v>0</v>
      </c>
      <c r="Z245" s="1">
        <v>0</v>
      </c>
      <c r="AA245" s="1" t="s">
        <v>109</v>
      </c>
      <c r="AB245" s="1" t="s">
        <v>109</v>
      </c>
      <c r="AC245" s="1">
        <v>6</v>
      </c>
      <c r="AD245" s="1" t="s">
        <v>109</v>
      </c>
      <c r="AE245" s="1" t="s">
        <v>109</v>
      </c>
      <c r="AF245" s="1" t="s">
        <v>109</v>
      </c>
      <c r="AG245" s="1" t="s">
        <v>109</v>
      </c>
      <c r="AH245" s="1" t="s">
        <v>109</v>
      </c>
      <c r="AI245" s="1" t="s">
        <v>109</v>
      </c>
      <c r="AJ245" s="1" t="s">
        <v>109</v>
      </c>
      <c r="AK245" s="1" t="s">
        <v>109</v>
      </c>
      <c r="AL245" s="1">
        <v>6</v>
      </c>
      <c r="AM245" s="1" t="s">
        <v>109</v>
      </c>
      <c r="AN245" s="1" t="s">
        <v>109</v>
      </c>
      <c r="AO245" s="1" t="s">
        <v>109</v>
      </c>
      <c r="AP245" s="1"/>
      <c r="AQ245" s="1">
        <v>6</v>
      </c>
      <c r="AR245" s="1" t="s">
        <v>2391</v>
      </c>
      <c r="AS245" s="1" t="s">
        <v>2392</v>
      </c>
      <c r="AT245" s="1">
        <v>0</v>
      </c>
      <c r="AU245" s="1">
        <v>0</v>
      </c>
      <c r="AV245" s="1">
        <v>0</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5" t="str">
        <f>HYPERLINK("http://www.d20pfsrd.com/magic/all-spells/g/glyph-of-warding","Glyph of Warding, Greater")</f>
        <v>Glyph of Warding, Greater</v>
      </c>
      <c r="BT245" s="1">
        <v>244</v>
      </c>
      <c r="BU245" s="1">
        <v>200</v>
      </c>
      <c r="BV245" s="1"/>
      <c r="BW245" s="1"/>
      <c r="BX245" s="1"/>
      <c r="BY245" s="1"/>
      <c r="BZ245" s="1">
        <v>0</v>
      </c>
      <c r="CA245" s="1" t="s">
        <v>109</v>
      </c>
      <c r="CB245" s="1" t="s">
        <v>109</v>
      </c>
      <c r="CC245" s="1" t="s">
        <v>109</v>
      </c>
      <c r="CD245" s="1" t="s">
        <v>109</v>
      </c>
      <c r="CE245" s="1" t="s">
        <v>109</v>
      </c>
      <c r="CF245" s="1" t="s">
        <v>109</v>
      </c>
      <c r="CG245" s="1" t="s">
        <v>109</v>
      </c>
      <c r="CH245" s="1" t="s">
        <v>109</v>
      </c>
      <c r="CI245" s="1" t="s">
        <v>109</v>
      </c>
      <c r="CJ245" s="1" t="s">
        <v>109</v>
      </c>
      <c r="CK245" s="1"/>
      <c r="CL245" s="1">
        <v>0</v>
      </c>
      <c r="CM245" s="1">
        <v>0</v>
      </c>
      <c r="CN245" s="1">
        <v>0</v>
      </c>
    </row>
    <row r="246" spans="1:92" ht="14.25" customHeight="1" x14ac:dyDescent="0.15">
      <c r="A246" s="1" t="s">
        <v>2393</v>
      </c>
      <c r="B246" s="1" t="s">
        <v>189</v>
      </c>
      <c r="C246" s="1"/>
      <c r="D246" s="1"/>
      <c r="E246" s="1" t="s">
        <v>2394</v>
      </c>
      <c r="F246" s="1" t="s">
        <v>98</v>
      </c>
      <c r="G246" s="1" t="s">
        <v>160</v>
      </c>
      <c r="H246" s="1">
        <v>0</v>
      </c>
      <c r="I246" s="1" t="s">
        <v>161</v>
      </c>
      <c r="J246" s="1"/>
      <c r="K246" s="1"/>
      <c r="L246" s="1" t="s">
        <v>2395</v>
      </c>
      <c r="M246" s="1" t="s">
        <v>280</v>
      </c>
      <c r="N246" s="1">
        <v>0</v>
      </c>
      <c r="O246" s="1">
        <v>0</v>
      </c>
      <c r="P246" s="1" t="s">
        <v>103</v>
      </c>
      <c r="Q246" s="1" t="s">
        <v>268</v>
      </c>
      <c r="R246" s="1" t="s">
        <v>2396</v>
      </c>
      <c r="S246" s="1" t="s">
        <v>2397</v>
      </c>
      <c r="T246" s="1" t="s">
        <v>107</v>
      </c>
      <c r="U246" s="1" t="s">
        <v>2398</v>
      </c>
      <c r="V246" s="1">
        <v>1</v>
      </c>
      <c r="W246" s="1">
        <v>1</v>
      </c>
      <c r="X246" s="1">
        <v>0</v>
      </c>
      <c r="Y246" s="1">
        <v>0</v>
      </c>
      <c r="Z246" s="1">
        <v>1</v>
      </c>
      <c r="AA246" s="1" t="s">
        <v>109</v>
      </c>
      <c r="AB246" s="1" t="s">
        <v>109</v>
      </c>
      <c r="AC246" s="1" t="s">
        <v>109</v>
      </c>
      <c r="AD246" s="1">
        <v>1</v>
      </c>
      <c r="AE246" s="1" t="s">
        <v>109</v>
      </c>
      <c r="AF246" s="1" t="s">
        <v>109</v>
      </c>
      <c r="AG246" s="1" t="s">
        <v>109</v>
      </c>
      <c r="AH246" s="1" t="s">
        <v>109</v>
      </c>
      <c r="AI246" s="1" t="s">
        <v>109</v>
      </c>
      <c r="AJ246" s="1" t="s">
        <v>109</v>
      </c>
      <c r="AK246" s="1" t="s">
        <v>109</v>
      </c>
      <c r="AL246" s="1" t="s">
        <v>109</v>
      </c>
      <c r="AM246" s="1" t="s">
        <v>109</v>
      </c>
      <c r="AN246" s="1" t="s">
        <v>109</v>
      </c>
      <c r="AO246" s="1" t="s">
        <v>109</v>
      </c>
      <c r="AP246" s="1"/>
      <c r="AQ246" s="1">
        <v>1</v>
      </c>
      <c r="AR246" s="1" t="s">
        <v>2399</v>
      </c>
      <c r="AS246" s="1" t="s">
        <v>2400</v>
      </c>
      <c r="AT246" s="1">
        <v>0</v>
      </c>
      <c r="AU246" s="1">
        <v>0</v>
      </c>
      <c r="AV246" s="1">
        <v>0</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5" t="str">
        <f>HYPERLINK("http://www.d20pfsrd.com/magic/all-spells/g/goodberry","Goodberry")</f>
        <v>Goodberry</v>
      </c>
      <c r="BT246" s="1">
        <v>245</v>
      </c>
      <c r="BU246" s="1" t="s">
        <v>109</v>
      </c>
      <c r="BV246" s="1"/>
      <c r="BW246" s="1" t="s">
        <v>2401</v>
      </c>
      <c r="BX246" s="1"/>
      <c r="BY246" s="1"/>
      <c r="BZ246" s="1">
        <v>0</v>
      </c>
      <c r="CA246" s="1" t="s">
        <v>109</v>
      </c>
      <c r="CB246" s="1">
        <v>1</v>
      </c>
      <c r="CC246" s="1" t="s">
        <v>109</v>
      </c>
      <c r="CD246" s="1" t="s">
        <v>109</v>
      </c>
      <c r="CE246" s="1" t="s">
        <v>109</v>
      </c>
      <c r="CF246" s="1" t="s">
        <v>109</v>
      </c>
      <c r="CG246" s="1" t="s">
        <v>109</v>
      </c>
      <c r="CH246" s="1" t="s">
        <v>109</v>
      </c>
      <c r="CI246" s="1" t="s">
        <v>109</v>
      </c>
      <c r="CJ246" s="1">
        <v>1</v>
      </c>
      <c r="CK246" s="1"/>
      <c r="CL246" s="1">
        <v>0</v>
      </c>
      <c r="CM246" s="1">
        <v>0</v>
      </c>
      <c r="CN246" s="1">
        <v>0</v>
      </c>
    </row>
    <row r="247" spans="1:92" ht="14.25" customHeight="1" x14ac:dyDescent="0.15">
      <c r="A247" s="1" t="s">
        <v>2402</v>
      </c>
      <c r="B247" s="1" t="s">
        <v>156</v>
      </c>
      <c r="C247" s="1" t="s">
        <v>157</v>
      </c>
      <c r="D247" s="1" t="s">
        <v>375</v>
      </c>
      <c r="E247" s="1" t="s">
        <v>2403</v>
      </c>
      <c r="F247" s="1" t="s">
        <v>98</v>
      </c>
      <c r="G247" s="1" t="s">
        <v>141</v>
      </c>
      <c r="H247" s="1">
        <v>0</v>
      </c>
      <c r="I247" s="1" t="s">
        <v>122</v>
      </c>
      <c r="J247" s="1"/>
      <c r="K247" s="1"/>
      <c r="L247" s="1" t="s">
        <v>2404</v>
      </c>
      <c r="M247" s="1" t="s">
        <v>164</v>
      </c>
      <c r="N247" s="1">
        <v>0</v>
      </c>
      <c r="O247" s="1">
        <v>0</v>
      </c>
      <c r="P247" s="1" t="s">
        <v>507</v>
      </c>
      <c r="Q247" s="1" t="s">
        <v>167</v>
      </c>
      <c r="R247" s="1" t="s">
        <v>2405</v>
      </c>
      <c r="S247" s="1" t="s">
        <v>2406</v>
      </c>
      <c r="T247" s="1" t="s">
        <v>107</v>
      </c>
      <c r="U247" s="1" t="s">
        <v>2407</v>
      </c>
      <c r="V247" s="1">
        <v>1</v>
      </c>
      <c r="W247" s="1">
        <v>1</v>
      </c>
      <c r="X247" s="1">
        <v>0</v>
      </c>
      <c r="Y247" s="1">
        <v>0</v>
      </c>
      <c r="Z247" s="1">
        <v>0</v>
      </c>
      <c r="AA247" s="1" t="s">
        <v>109</v>
      </c>
      <c r="AB247" s="1" t="s">
        <v>109</v>
      </c>
      <c r="AC247" s="1" t="s">
        <v>109</v>
      </c>
      <c r="AD247" s="1" t="s">
        <v>109</v>
      </c>
      <c r="AE247" s="1" t="s">
        <v>109</v>
      </c>
      <c r="AF247" s="1">
        <v>3</v>
      </c>
      <c r="AG247" s="1" t="s">
        <v>109</v>
      </c>
      <c r="AH247" s="1" t="s">
        <v>109</v>
      </c>
      <c r="AI247" s="1" t="s">
        <v>109</v>
      </c>
      <c r="AJ247" s="1" t="s">
        <v>109</v>
      </c>
      <c r="AK247" s="1" t="s">
        <v>109</v>
      </c>
      <c r="AL247" s="1" t="s">
        <v>109</v>
      </c>
      <c r="AM247" s="1" t="s">
        <v>109</v>
      </c>
      <c r="AN247" s="1" t="s">
        <v>109</v>
      </c>
      <c r="AO247" s="1" t="s">
        <v>109</v>
      </c>
      <c r="AP247" s="1"/>
      <c r="AQ247" s="1">
        <v>3</v>
      </c>
      <c r="AR247" s="1" t="s">
        <v>2408</v>
      </c>
      <c r="AS247" s="1" t="s">
        <v>2409</v>
      </c>
      <c r="AT247" s="1">
        <v>0</v>
      </c>
      <c r="AU247" s="1">
        <v>0</v>
      </c>
      <c r="AV247" s="1">
        <v>0</v>
      </c>
      <c r="AW247" s="1">
        <v>0</v>
      </c>
      <c r="AX247" s="1">
        <v>0</v>
      </c>
      <c r="AY247" s="1">
        <v>0</v>
      </c>
      <c r="AZ247" s="1">
        <v>0</v>
      </c>
      <c r="BA247" s="1">
        <v>0</v>
      </c>
      <c r="BB247" s="1">
        <v>0</v>
      </c>
      <c r="BC247" s="1">
        <v>0</v>
      </c>
      <c r="BD247" s="1">
        <v>1</v>
      </c>
      <c r="BE247" s="1">
        <v>0</v>
      </c>
      <c r="BF247" s="1">
        <v>0</v>
      </c>
      <c r="BG247" s="1">
        <v>0</v>
      </c>
      <c r="BH247" s="1">
        <v>0</v>
      </c>
      <c r="BI247" s="1">
        <v>0</v>
      </c>
      <c r="BJ247" s="1">
        <v>0</v>
      </c>
      <c r="BK247" s="1">
        <v>0</v>
      </c>
      <c r="BL247" s="1">
        <v>0</v>
      </c>
      <c r="BM247" s="1">
        <v>1</v>
      </c>
      <c r="BN247" s="1">
        <v>0</v>
      </c>
      <c r="BO247" s="1">
        <v>0</v>
      </c>
      <c r="BP247" s="1">
        <v>0</v>
      </c>
      <c r="BQ247" s="1">
        <v>0</v>
      </c>
      <c r="BR247" s="1">
        <v>0</v>
      </c>
      <c r="BS247" s="5" t="str">
        <f>HYPERLINK("http://www.d20pfsrd.com/magic/all-spells/g/good-hope","Good Hope")</f>
        <v>Good Hope</v>
      </c>
      <c r="BT247" s="1">
        <v>246</v>
      </c>
      <c r="BU247" s="1" t="s">
        <v>109</v>
      </c>
      <c r="BV247" s="1"/>
      <c r="BW247" s="1"/>
      <c r="BX247" s="1"/>
      <c r="BY247" s="1"/>
      <c r="BZ247" s="1">
        <v>0</v>
      </c>
      <c r="CA247" s="1" t="s">
        <v>109</v>
      </c>
      <c r="CB247" s="1" t="s">
        <v>109</v>
      </c>
      <c r="CC247" s="1" t="s">
        <v>109</v>
      </c>
      <c r="CD247" s="1" t="s">
        <v>109</v>
      </c>
      <c r="CE247" s="1" t="s">
        <v>109</v>
      </c>
      <c r="CF247" s="1" t="s">
        <v>109</v>
      </c>
      <c r="CG247" s="1" t="s">
        <v>109</v>
      </c>
      <c r="CH247" s="1" t="s">
        <v>109</v>
      </c>
      <c r="CI247" s="1" t="s">
        <v>109</v>
      </c>
      <c r="CJ247" s="1" t="s">
        <v>109</v>
      </c>
      <c r="CK247" s="1"/>
      <c r="CL247" s="1">
        <v>0</v>
      </c>
      <c r="CM247" s="1">
        <v>0</v>
      </c>
      <c r="CN247" s="1">
        <v>0</v>
      </c>
    </row>
    <row r="248" spans="1:92" ht="14.25" customHeight="1" x14ac:dyDescent="0.15">
      <c r="A248" s="1" t="s">
        <v>2410</v>
      </c>
      <c r="B248" s="1" t="s">
        <v>584</v>
      </c>
      <c r="C248" s="1"/>
      <c r="D248" s="1" t="s">
        <v>60</v>
      </c>
      <c r="E248" s="1" t="s">
        <v>2156</v>
      </c>
      <c r="F248" s="1" t="s">
        <v>98</v>
      </c>
      <c r="G248" s="1" t="s">
        <v>1200</v>
      </c>
      <c r="H248" s="1">
        <v>0</v>
      </c>
      <c r="I248" s="1" t="s">
        <v>122</v>
      </c>
      <c r="J248" s="1"/>
      <c r="K248" s="1" t="s">
        <v>906</v>
      </c>
      <c r="L248" s="1"/>
      <c r="M248" s="1" t="s">
        <v>125</v>
      </c>
      <c r="N248" s="1">
        <v>1</v>
      </c>
      <c r="O248" s="1">
        <v>0</v>
      </c>
      <c r="P248" s="1" t="s">
        <v>103</v>
      </c>
      <c r="Q248" s="1" t="s">
        <v>268</v>
      </c>
      <c r="R248" s="1" t="s">
        <v>2411</v>
      </c>
      <c r="S248" s="1" t="s">
        <v>2412</v>
      </c>
      <c r="T248" s="1" t="s">
        <v>107</v>
      </c>
      <c r="U248" s="1" t="s">
        <v>2413</v>
      </c>
      <c r="V248" s="1">
        <v>1</v>
      </c>
      <c r="W248" s="1">
        <v>1</v>
      </c>
      <c r="X248" s="1">
        <v>0</v>
      </c>
      <c r="Y248" s="1">
        <v>1</v>
      </c>
      <c r="Z248" s="1">
        <v>0</v>
      </c>
      <c r="AA248" s="1">
        <v>7</v>
      </c>
      <c r="AB248" s="1">
        <v>7</v>
      </c>
      <c r="AC248" s="1" t="s">
        <v>109</v>
      </c>
      <c r="AD248" s="1" t="s">
        <v>109</v>
      </c>
      <c r="AE248" s="1" t="s">
        <v>109</v>
      </c>
      <c r="AF248" s="1" t="s">
        <v>109</v>
      </c>
      <c r="AG248" s="1" t="s">
        <v>109</v>
      </c>
      <c r="AH248" s="1" t="s">
        <v>109</v>
      </c>
      <c r="AI248" s="1" t="s">
        <v>109</v>
      </c>
      <c r="AJ248" s="1" t="s">
        <v>109</v>
      </c>
      <c r="AK248" s="1" t="s">
        <v>109</v>
      </c>
      <c r="AL248" s="1" t="s">
        <v>109</v>
      </c>
      <c r="AM248" s="1" t="s">
        <v>109</v>
      </c>
      <c r="AN248" s="1" t="s">
        <v>109</v>
      </c>
      <c r="AO248" s="1" t="s">
        <v>109</v>
      </c>
      <c r="AP248" s="1"/>
      <c r="AQ248" s="1">
        <v>7</v>
      </c>
      <c r="AR248" s="1" t="s">
        <v>2414</v>
      </c>
      <c r="AS248" s="1" t="s">
        <v>2415</v>
      </c>
      <c r="AT248" s="1">
        <v>0</v>
      </c>
      <c r="AU248" s="1">
        <v>0</v>
      </c>
      <c r="AV248" s="1">
        <v>0</v>
      </c>
      <c r="AW248" s="1">
        <v>0</v>
      </c>
      <c r="AX248" s="1">
        <v>0</v>
      </c>
      <c r="AY248" s="1">
        <v>0</v>
      </c>
      <c r="AZ248" s="1">
        <v>0</v>
      </c>
      <c r="BA248" s="1">
        <v>0</v>
      </c>
      <c r="BB248" s="1">
        <v>0</v>
      </c>
      <c r="BC248" s="1">
        <v>0</v>
      </c>
      <c r="BD248" s="1">
        <v>0</v>
      </c>
      <c r="BE248" s="1">
        <v>0</v>
      </c>
      <c r="BF248" s="1">
        <v>0</v>
      </c>
      <c r="BG248" s="1">
        <v>0</v>
      </c>
      <c r="BH248" s="1">
        <v>1</v>
      </c>
      <c r="BI248" s="1">
        <v>0</v>
      </c>
      <c r="BJ248" s="1">
        <v>0</v>
      </c>
      <c r="BK248" s="1">
        <v>0</v>
      </c>
      <c r="BL248" s="1">
        <v>0</v>
      </c>
      <c r="BM248" s="1">
        <v>0</v>
      </c>
      <c r="BN248" s="1">
        <v>0</v>
      </c>
      <c r="BO248" s="1">
        <v>0</v>
      </c>
      <c r="BP248" s="1">
        <v>0</v>
      </c>
      <c r="BQ248" s="1">
        <v>0</v>
      </c>
      <c r="BR248" s="1">
        <v>0</v>
      </c>
      <c r="BS248" s="5" t="str">
        <f>HYPERLINK("http://www.d20pfsrd.com/magic/all-spells/g/grasping-hand","Grasping Hand")</f>
        <v>Grasping Hand</v>
      </c>
      <c r="BT248" s="1">
        <v>247</v>
      </c>
      <c r="BU248" s="1" t="s">
        <v>109</v>
      </c>
      <c r="BV248" s="1"/>
      <c r="BW248" s="1"/>
      <c r="BX248" s="1"/>
      <c r="BY248" s="1"/>
      <c r="BZ248" s="1">
        <v>0</v>
      </c>
      <c r="CA248" s="1" t="s">
        <v>109</v>
      </c>
      <c r="CB248" s="1" t="s">
        <v>109</v>
      </c>
      <c r="CC248" s="1">
        <v>7</v>
      </c>
      <c r="CD248" s="1" t="s">
        <v>109</v>
      </c>
      <c r="CE248" s="1" t="s">
        <v>109</v>
      </c>
      <c r="CF248" s="1" t="s">
        <v>109</v>
      </c>
      <c r="CG248" s="1" t="s">
        <v>109</v>
      </c>
      <c r="CH248" s="1" t="s">
        <v>109</v>
      </c>
      <c r="CI248" s="1" t="s">
        <v>109</v>
      </c>
      <c r="CJ248" s="1" t="s">
        <v>109</v>
      </c>
      <c r="CK248" s="1"/>
      <c r="CL248" s="1">
        <v>0</v>
      </c>
      <c r="CM248" s="1">
        <v>0</v>
      </c>
      <c r="CN248" s="1">
        <v>0</v>
      </c>
    </row>
    <row r="249" spans="1:92" ht="14.25" customHeight="1" x14ac:dyDescent="0.15">
      <c r="A249" s="1" t="s">
        <v>2416</v>
      </c>
      <c r="B249" s="1" t="s">
        <v>95</v>
      </c>
      <c r="C249" s="1" t="s">
        <v>96</v>
      </c>
      <c r="D249" s="1"/>
      <c r="E249" s="1" t="s">
        <v>2417</v>
      </c>
      <c r="F249" s="1" t="s">
        <v>98</v>
      </c>
      <c r="G249" s="1" t="s">
        <v>2418</v>
      </c>
      <c r="H249" s="1">
        <v>0</v>
      </c>
      <c r="I249" s="1" t="s">
        <v>142</v>
      </c>
      <c r="J249" s="1"/>
      <c r="K249" s="1"/>
      <c r="L249" s="1" t="s">
        <v>2419</v>
      </c>
      <c r="M249" s="1" t="s">
        <v>587</v>
      </c>
      <c r="N249" s="1">
        <v>1</v>
      </c>
      <c r="O249" s="1">
        <v>0</v>
      </c>
      <c r="P249" s="1" t="s">
        <v>211</v>
      </c>
      <c r="Q249" s="1" t="s">
        <v>104</v>
      </c>
      <c r="R249" s="1" t="s">
        <v>2420</v>
      </c>
      <c r="S249" s="1" t="s">
        <v>2421</v>
      </c>
      <c r="T249" s="1" t="s">
        <v>107</v>
      </c>
      <c r="U249" s="1" t="s">
        <v>2422</v>
      </c>
      <c r="V249" s="1">
        <v>1</v>
      </c>
      <c r="W249" s="1">
        <v>1</v>
      </c>
      <c r="X249" s="1">
        <v>1</v>
      </c>
      <c r="Y249" s="1">
        <v>0</v>
      </c>
      <c r="Z249" s="1">
        <v>0</v>
      </c>
      <c r="AA249" s="1">
        <v>1</v>
      </c>
      <c r="AB249" s="1">
        <v>1</v>
      </c>
      <c r="AC249" s="1" t="s">
        <v>109</v>
      </c>
      <c r="AD249" s="1" t="s">
        <v>109</v>
      </c>
      <c r="AE249" s="1" t="s">
        <v>109</v>
      </c>
      <c r="AF249" s="1">
        <v>1</v>
      </c>
      <c r="AG249" s="1" t="s">
        <v>109</v>
      </c>
      <c r="AH249" s="1" t="s">
        <v>109</v>
      </c>
      <c r="AI249" s="1">
        <v>1</v>
      </c>
      <c r="AJ249" s="1" t="s">
        <v>109</v>
      </c>
      <c r="AK249" s="1" t="s">
        <v>109</v>
      </c>
      <c r="AL249" s="1" t="s">
        <v>109</v>
      </c>
      <c r="AM249" s="1" t="s">
        <v>109</v>
      </c>
      <c r="AN249" s="1">
        <v>1</v>
      </c>
      <c r="AO249" s="1" t="s">
        <v>109</v>
      </c>
      <c r="AP249" s="1"/>
      <c r="AQ249" s="1">
        <v>1</v>
      </c>
      <c r="AR249" s="1"/>
      <c r="AS249" s="1" t="s">
        <v>2423</v>
      </c>
      <c r="AT249" s="1">
        <v>0</v>
      </c>
      <c r="AU249" s="1">
        <v>0</v>
      </c>
      <c r="AV249" s="1">
        <v>0</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5" t="str">
        <f>HYPERLINK("http://www.d20pfsrd.com/magic/all-spells/g/grease","Grease")</f>
        <v>Grease</v>
      </c>
      <c r="BT249" s="1">
        <v>248</v>
      </c>
      <c r="BU249" s="1" t="s">
        <v>109</v>
      </c>
      <c r="BV249" s="1"/>
      <c r="BW249" s="1"/>
      <c r="BX249" s="1" t="s">
        <v>2424</v>
      </c>
      <c r="BY249" s="1" t="s">
        <v>2425</v>
      </c>
      <c r="BZ249" s="1">
        <v>1</v>
      </c>
      <c r="CA249" s="1" t="s">
        <v>109</v>
      </c>
      <c r="CB249" s="1" t="s">
        <v>109</v>
      </c>
      <c r="CC249" s="1" t="s">
        <v>109</v>
      </c>
      <c r="CD249" s="1" t="s">
        <v>109</v>
      </c>
      <c r="CE249" s="1">
        <v>1</v>
      </c>
      <c r="CF249" s="1" t="s">
        <v>109</v>
      </c>
      <c r="CG249" s="1" t="s">
        <v>109</v>
      </c>
      <c r="CH249" s="1" t="s">
        <v>109</v>
      </c>
      <c r="CI249" s="1" t="s">
        <v>109</v>
      </c>
      <c r="CJ249" s="1" t="s">
        <v>109</v>
      </c>
      <c r="CK249" s="1"/>
      <c r="CL249" s="1">
        <v>0</v>
      </c>
      <c r="CM249" s="1">
        <v>0</v>
      </c>
      <c r="CN249" s="1">
        <v>0</v>
      </c>
    </row>
    <row r="250" spans="1:92" ht="14.25" customHeight="1" x14ac:dyDescent="0.15">
      <c r="A250" s="1" t="s">
        <v>2426</v>
      </c>
      <c r="B250" s="1" t="s">
        <v>242</v>
      </c>
      <c r="C250" s="1"/>
      <c r="D250" s="1"/>
      <c r="E250" s="1" t="s">
        <v>2427</v>
      </c>
      <c r="F250" s="1" t="s">
        <v>436</v>
      </c>
      <c r="G250" s="1" t="s">
        <v>2428</v>
      </c>
      <c r="H250" s="1">
        <v>0</v>
      </c>
      <c r="I250" s="1" t="s">
        <v>2429</v>
      </c>
      <c r="J250" s="1" t="s">
        <v>2430</v>
      </c>
      <c r="K250" s="1"/>
      <c r="L250" s="1"/>
      <c r="M250" s="1" t="s">
        <v>246</v>
      </c>
      <c r="N250" s="1">
        <v>1</v>
      </c>
      <c r="O250" s="1">
        <v>1</v>
      </c>
      <c r="P250" s="1" t="s">
        <v>211</v>
      </c>
      <c r="Q250" s="1" t="s">
        <v>211</v>
      </c>
      <c r="R250" s="1" t="s">
        <v>2431</v>
      </c>
      <c r="S250" s="1" t="s">
        <v>2432</v>
      </c>
      <c r="T250" s="1" t="s">
        <v>107</v>
      </c>
      <c r="U250" s="1" t="s">
        <v>2433</v>
      </c>
      <c r="V250" s="1">
        <v>1</v>
      </c>
      <c r="W250" s="1">
        <v>1</v>
      </c>
      <c r="X250" s="1">
        <v>1</v>
      </c>
      <c r="Y250" s="1">
        <v>1</v>
      </c>
      <c r="Z250" s="1">
        <v>0</v>
      </c>
      <c r="AA250" s="1">
        <v>6</v>
      </c>
      <c r="AB250" s="1">
        <v>6</v>
      </c>
      <c r="AC250" s="1" t="s">
        <v>109</v>
      </c>
      <c r="AD250" s="1" t="s">
        <v>109</v>
      </c>
      <c r="AE250" s="1" t="s">
        <v>109</v>
      </c>
      <c r="AF250" s="1" t="s">
        <v>109</v>
      </c>
      <c r="AG250" s="1" t="s">
        <v>109</v>
      </c>
      <c r="AH250" s="1" t="s">
        <v>109</v>
      </c>
      <c r="AI250" s="1" t="s">
        <v>109</v>
      </c>
      <c r="AJ250" s="1">
        <v>6</v>
      </c>
      <c r="AK250" s="1" t="s">
        <v>109</v>
      </c>
      <c r="AL250" s="1" t="s">
        <v>109</v>
      </c>
      <c r="AM250" s="1" t="s">
        <v>109</v>
      </c>
      <c r="AN250" s="1" t="s">
        <v>109</v>
      </c>
      <c r="AO250" s="1" t="s">
        <v>109</v>
      </c>
      <c r="AP250" s="1"/>
      <c r="AQ250" s="1">
        <v>6</v>
      </c>
      <c r="AR250" s="1" t="s">
        <v>2434</v>
      </c>
      <c r="AS250" s="1" t="s">
        <v>2435</v>
      </c>
      <c r="AT250" s="1">
        <v>0</v>
      </c>
      <c r="AU250" s="1">
        <v>0</v>
      </c>
      <c r="AV250" s="1">
        <v>0</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5" t="str">
        <f>HYPERLINK("http://www.d20pfsrd.com/magic/all-spells/g/guards-and-wards","Guards and Wards")</f>
        <v>Guards and Wards</v>
      </c>
      <c r="BT250" s="1">
        <v>249</v>
      </c>
      <c r="BU250" s="1" t="s">
        <v>109</v>
      </c>
      <c r="BV250" s="1" t="s">
        <v>2436</v>
      </c>
      <c r="BW250" s="1"/>
      <c r="BX250" s="1"/>
      <c r="BY250" s="1"/>
      <c r="BZ250" s="1">
        <v>0</v>
      </c>
      <c r="CA250" s="1" t="s">
        <v>109</v>
      </c>
      <c r="CB250" s="1" t="s">
        <v>109</v>
      </c>
      <c r="CC250" s="1" t="s">
        <v>109</v>
      </c>
      <c r="CD250" s="1" t="s">
        <v>109</v>
      </c>
      <c r="CE250" s="1" t="s">
        <v>109</v>
      </c>
      <c r="CF250" s="1" t="s">
        <v>109</v>
      </c>
      <c r="CG250" s="1" t="s">
        <v>109</v>
      </c>
      <c r="CH250" s="1" t="s">
        <v>109</v>
      </c>
      <c r="CI250" s="1" t="s">
        <v>109</v>
      </c>
      <c r="CJ250" s="1" t="s">
        <v>109</v>
      </c>
      <c r="CK250" s="1"/>
      <c r="CL250" s="1">
        <v>0</v>
      </c>
      <c r="CM250" s="1">
        <v>0</v>
      </c>
      <c r="CN250" s="1">
        <v>0</v>
      </c>
    </row>
    <row r="251" spans="1:92" ht="14.25" customHeight="1" x14ac:dyDescent="0.15">
      <c r="A251" s="1" t="s">
        <v>2437</v>
      </c>
      <c r="B251" s="1" t="s">
        <v>254</v>
      </c>
      <c r="C251" s="1"/>
      <c r="D251" s="1"/>
      <c r="E251" s="1" t="s">
        <v>2438</v>
      </c>
      <c r="F251" s="1" t="s">
        <v>98</v>
      </c>
      <c r="G251" s="1" t="s">
        <v>141</v>
      </c>
      <c r="H251" s="1">
        <v>0</v>
      </c>
      <c r="I251" s="1" t="s">
        <v>161</v>
      </c>
      <c r="J251" s="1"/>
      <c r="K251" s="1"/>
      <c r="L251" s="1" t="s">
        <v>506</v>
      </c>
      <c r="M251" s="1" t="s">
        <v>2439</v>
      </c>
      <c r="N251" s="1">
        <v>0</v>
      </c>
      <c r="O251" s="1">
        <v>0</v>
      </c>
      <c r="P251" s="1" t="s">
        <v>507</v>
      </c>
      <c r="Q251" s="1" t="s">
        <v>268</v>
      </c>
      <c r="R251" s="1" t="s">
        <v>2440</v>
      </c>
      <c r="S251" s="1" t="s">
        <v>2441</v>
      </c>
      <c r="T251" s="1" t="s">
        <v>107</v>
      </c>
      <c r="U251" s="1" t="s">
        <v>2442</v>
      </c>
      <c r="V251" s="1">
        <v>1</v>
      </c>
      <c r="W251" s="1">
        <v>1</v>
      </c>
      <c r="X251" s="1">
        <v>0</v>
      </c>
      <c r="Y251" s="1">
        <v>0</v>
      </c>
      <c r="Z251" s="1">
        <v>0</v>
      </c>
      <c r="AA251" s="1" t="s">
        <v>109</v>
      </c>
      <c r="AB251" s="1" t="s">
        <v>109</v>
      </c>
      <c r="AC251" s="1">
        <v>0</v>
      </c>
      <c r="AD251" s="1">
        <v>0</v>
      </c>
      <c r="AE251" s="1" t="s">
        <v>109</v>
      </c>
      <c r="AF251" s="1" t="s">
        <v>109</v>
      </c>
      <c r="AG251" s="1" t="s">
        <v>109</v>
      </c>
      <c r="AH251" s="1" t="s">
        <v>109</v>
      </c>
      <c r="AI251" s="1">
        <v>0</v>
      </c>
      <c r="AJ251" s="1">
        <v>0</v>
      </c>
      <c r="AK251" s="1">
        <v>0</v>
      </c>
      <c r="AL251" s="1">
        <v>0</v>
      </c>
      <c r="AM251" s="1" t="s">
        <v>109</v>
      </c>
      <c r="AN251" s="1" t="s">
        <v>109</v>
      </c>
      <c r="AO251" s="1">
        <v>0</v>
      </c>
      <c r="AP251" s="1"/>
      <c r="AQ251" s="1">
        <v>0</v>
      </c>
      <c r="AR251" s="1"/>
      <c r="AS251" s="1" t="s">
        <v>2443</v>
      </c>
      <c r="AT251" s="1">
        <v>0</v>
      </c>
      <c r="AU251" s="1">
        <v>0</v>
      </c>
      <c r="AV251" s="1">
        <v>0</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5" t="str">
        <f>HYPERLINK("http://www.d20pfsrd.com/magic/all-spells/g/guidance","Guidance")</f>
        <v>Guidance</v>
      </c>
      <c r="BT251" s="1">
        <v>250</v>
      </c>
      <c r="BU251" s="1" t="s">
        <v>109</v>
      </c>
      <c r="BV251" s="1"/>
      <c r="BW251" s="1"/>
      <c r="BX251" s="1"/>
      <c r="BY251" s="1"/>
      <c r="BZ251" s="1">
        <v>0</v>
      </c>
      <c r="CA251" s="1" t="s">
        <v>109</v>
      </c>
      <c r="CB251" s="1">
        <v>0</v>
      </c>
      <c r="CC251" s="1" t="s">
        <v>109</v>
      </c>
      <c r="CD251" s="1" t="s">
        <v>109</v>
      </c>
      <c r="CE251" s="1" t="s">
        <v>109</v>
      </c>
      <c r="CF251" s="1">
        <v>0</v>
      </c>
      <c r="CG251" s="1">
        <v>0</v>
      </c>
      <c r="CH251" s="1" t="s">
        <v>109</v>
      </c>
      <c r="CI251" s="1" t="s">
        <v>109</v>
      </c>
      <c r="CJ251" s="1">
        <v>0</v>
      </c>
      <c r="CK251" s="1"/>
      <c r="CL251" s="1">
        <v>0</v>
      </c>
      <c r="CM251" s="1">
        <v>0</v>
      </c>
      <c r="CN251" s="1">
        <v>0</v>
      </c>
    </row>
    <row r="252" spans="1:92" ht="14.25" customHeight="1" x14ac:dyDescent="0.15">
      <c r="A252" s="1" t="s">
        <v>2444</v>
      </c>
      <c r="B252" s="1" t="s">
        <v>584</v>
      </c>
      <c r="C252" s="1"/>
      <c r="D252" s="1" t="s">
        <v>47</v>
      </c>
      <c r="E252" s="1" t="s">
        <v>2089</v>
      </c>
      <c r="F252" s="1" t="s">
        <v>98</v>
      </c>
      <c r="G252" s="1" t="s">
        <v>141</v>
      </c>
      <c r="H252" s="1">
        <v>0</v>
      </c>
      <c r="I252" s="1" t="s">
        <v>1016</v>
      </c>
      <c r="J252" s="1"/>
      <c r="K252" s="1" t="s">
        <v>2445</v>
      </c>
      <c r="L252" s="1"/>
      <c r="M252" s="1" t="s">
        <v>355</v>
      </c>
      <c r="N252" s="1">
        <v>0</v>
      </c>
      <c r="O252" s="1">
        <v>0</v>
      </c>
      <c r="P252" s="1" t="s">
        <v>267</v>
      </c>
      <c r="Q252" s="1" t="s">
        <v>268</v>
      </c>
      <c r="R252" s="1" t="s">
        <v>2446</v>
      </c>
      <c r="S252" s="1" t="s">
        <v>2447</v>
      </c>
      <c r="T252" s="1" t="s">
        <v>107</v>
      </c>
      <c r="U252" s="1" t="s">
        <v>2448</v>
      </c>
      <c r="V252" s="1">
        <v>1</v>
      </c>
      <c r="W252" s="1">
        <v>1</v>
      </c>
      <c r="X252" s="1">
        <v>0</v>
      </c>
      <c r="Y252" s="1">
        <v>0</v>
      </c>
      <c r="Z252" s="1">
        <v>0</v>
      </c>
      <c r="AA252" s="1">
        <v>2</v>
      </c>
      <c r="AB252" s="1">
        <v>2</v>
      </c>
      <c r="AC252" s="1" t="s">
        <v>109</v>
      </c>
      <c r="AD252" s="1">
        <v>2</v>
      </c>
      <c r="AE252" s="1" t="s">
        <v>109</v>
      </c>
      <c r="AF252" s="1" t="s">
        <v>109</v>
      </c>
      <c r="AG252" s="1" t="s">
        <v>109</v>
      </c>
      <c r="AH252" s="1" t="s">
        <v>109</v>
      </c>
      <c r="AI252" s="1" t="s">
        <v>109</v>
      </c>
      <c r="AJ252" s="1" t="s">
        <v>109</v>
      </c>
      <c r="AK252" s="1" t="s">
        <v>109</v>
      </c>
      <c r="AL252" s="1" t="s">
        <v>109</v>
      </c>
      <c r="AM252" s="1" t="s">
        <v>109</v>
      </c>
      <c r="AN252" s="1">
        <v>2</v>
      </c>
      <c r="AO252" s="1" t="s">
        <v>109</v>
      </c>
      <c r="AP252" s="1"/>
      <c r="AQ252" s="1">
        <v>2</v>
      </c>
      <c r="AR252" s="1" t="s">
        <v>2449</v>
      </c>
      <c r="AS252" s="1" t="s">
        <v>2450</v>
      </c>
      <c r="AT252" s="1">
        <v>0</v>
      </c>
      <c r="AU252" s="1">
        <v>1</v>
      </c>
      <c r="AV252" s="1">
        <v>0</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5" t="str">
        <f>HYPERLINK("http://www.d20pfsrd.com/magic/all-spells/g/gust-of-wind","Gust of Wind")</f>
        <v>Gust of Wind</v>
      </c>
      <c r="BT252" s="1">
        <v>251</v>
      </c>
      <c r="BU252" s="1" t="s">
        <v>109</v>
      </c>
      <c r="BV252" s="1" t="s">
        <v>2451</v>
      </c>
      <c r="BW252" s="1"/>
      <c r="BX252" s="1" t="s">
        <v>2452</v>
      </c>
      <c r="BY252" s="1" t="s">
        <v>2453</v>
      </c>
      <c r="BZ252" s="1">
        <v>1</v>
      </c>
      <c r="CA252" s="1">
        <v>2</v>
      </c>
      <c r="CB252" s="1" t="s">
        <v>109</v>
      </c>
      <c r="CC252" s="1" t="s">
        <v>109</v>
      </c>
      <c r="CD252" s="1" t="s">
        <v>109</v>
      </c>
      <c r="CE252" s="1" t="s">
        <v>109</v>
      </c>
      <c r="CF252" s="1">
        <v>2</v>
      </c>
      <c r="CG252" s="1" t="s">
        <v>109</v>
      </c>
      <c r="CH252" s="1" t="s">
        <v>109</v>
      </c>
      <c r="CI252" s="1" t="s">
        <v>109</v>
      </c>
      <c r="CJ252" s="1">
        <v>2</v>
      </c>
      <c r="CK252" s="1"/>
      <c r="CL252" s="1">
        <v>0</v>
      </c>
      <c r="CM252" s="1">
        <v>0</v>
      </c>
      <c r="CN252" s="1">
        <v>0</v>
      </c>
    </row>
    <row r="253" spans="1:92" ht="14.25" customHeight="1" x14ac:dyDescent="0.15">
      <c r="A253" s="1" t="s">
        <v>2454</v>
      </c>
      <c r="B253" s="1" t="s">
        <v>584</v>
      </c>
      <c r="C253" s="1"/>
      <c r="D253" s="1" t="s">
        <v>61</v>
      </c>
      <c r="E253" s="1" t="s">
        <v>447</v>
      </c>
      <c r="F253" s="1" t="s">
        <v>465</v>
      </c>
      <c r="G253" s="1" t="s">
        <v>2455</v>
      </c>
      <c r="H253" s="1">
        <v>1</v>
      </c>
      <c r="I253" s="1" t="s">
        <v>161</v>
      </c>
      <c r="J253" s="1" t="s">
        <v>2456</v>
      </c>
      <c r="K253" s="1"/>
      <c r="L253" s="1"/>
      <c r="M253" s="1" t="s">
        <v>144</v>
      </c>
      <c r="N253" s="1">
        <v>0</v>
      </c>
      <c r="O253" s="1">
        <v>0</v>
      </c>
      <c r="P253" s="1" t="s">
        <v>211</v>
      </c>
      <c r="Q253" s="1" t="s">
        <v>211</v>
      </c>
      <c r="R253" s="1" t="s">
        <v>2457</v>
      </c>
      <c r="S253" s="1" t="s">
        <v>2458</v>
      </c>
      <c r="T253" s="1" t="s">
        <v>107</v>
      </c>
      <c r="U253" s="1" t="s">
        <v>2459</v>
      </c>
      <c r="V253" s="1">
        <v>1</v>
      </c>
      <c r="W253" s="1">
        <v>1</v>
      </c>
      <c r="X253" s="1">
        <v>1</v>
      </c>
      <c r="Y253" s="1">
        <v>0</v>
      </c>
      <c r="Z253" s="1">
        <v>1</v>
      </c>
      <c r="AA253" s="1" t="s">
        <v>109</v>
      </c>
      <c r="AB253" s="1" t="s">
        <v>109</v>
      </c>
      <c r="AC253" s="1">
        <v>5</v>
      </c>
      <c r="AD253" s="1">
        <v>5</v>
      </c>
      <c r="AE253" s="1" t="s">
        <v>109</v>
      </c>
      <c r="AF253" s="1" t="s">
        <v>109</v>
      </c>
      <c r="AG253" s="1" t="s">
        <v>109</v>
      </c>
      <c r="AH253" s="1" t="s">
        <v>109</v>
      </c>
      <c r="AI253" s="1" t="s">
        <v>109</v>
      </c>
      <c r="AJ253" s="1" t="s">
        <v>109</v>
      </c>
      <c r="AK253" s="1">
        <v>5</v>
      </c>
      <c r="AL253" s="1">
        <v>5</v>
      </c>
      <c r="AM253" s="1" t="s">
        <v>109</v>
      </c>
      <c r="AN253" s="1" t="s">
        <v>109</v>
      </c>
      <c r="AO253" s="1" t="s">
        <v>109</v>
      </c>
      <c r="AP253" s="1"/>
      <c r="AQ253" s="1">
        <v>5</v>
      </c>
      <c r="AR253" s="1"/>
      <c r="AS253" s="1" t="s">
        <v>2460</v>
      </c>
      <c r="AT253" s="1">
        <v>0</v>
      </c>
      <c r="AU253" s="1">
        <v>0</v>
      </c>
      <c r="AV253" s="1">
        <v>0</v>
      </c>
      <c r="AW253" s="1">
        <v>0</v>
      </c>
      <c r="AX253" s="1">
        <v>0</v>
      </c>
      <c r="AY253" s="1">
        <v>0</v>
      </c>
      <c r="AZ253" s="1">
        <v>0</v>
      </c>
      <c r="BA253" s="1">
        <v>0</v>
      </c>
      <c r="BB253" s="1">
        <v>0</v>
      </c>
      <c r="BC253" s="1">
        <v>0</v>
      </c>
      <c r="BD253" s="1">
        <v>0</v>
      </c>
      <c r="BE253" s="1">
        <v>0</v>
      </c>
      <c r="BF253" s="1">
        <v>0</v>
      </c>
      <c r="BG253" s="1">
        <v>0</v>
      </c>
      <c r="BH253" s="1">
        <v>0</v>
      </c>
      <c r="BI253" s="1">
        <v>1</v>
      </c>
      <c r="BJ253" s="1">
        <v>0</v>
      </c>
      <c r="BK253" s="1">
        <v>0</v>
      </c>
      <c r="BL253" s="1">
        <v>0</v>
      </c>
      <c r="BM253" s="1">
        <v>0</v>
      </c>
      <c r="BN253" s="1">
        <v>0</v>
      </c>
      <c r="BO253" s="1">
        <v>0</v>
      </c>
      <c r="BP253" s="1">
        <v>0</v>
      </c>
      <c r="BQ253" s="1">
        <v>0</v>
      </c>
      <c r="BR253" s="1">
        <v>0</v>
      </c>
      <c r="BS253" s="5" t="str">
        <f>HYPERLINK("http://www.d20pfsrd.com/magic/all-spells/h/hallow","Hallow")</f>
        <v>Hallow</v>
      </c>
      <c r="BT253" s="1">
        <v>252</v>
      </c>
      <c r="BU253" s="1">
        <v>1000</v>
      </c>
      <c r="BV253" s="1"/>
      <c r="BW253" s="1"/>
      <c r="BX253" s="1"/>
      <c r="BY253" s="1"/>
      <c r="BZ253" s="1">
        <v>0</v>
      </c>
      <c r="CA253" s="1" t="s">
        <v>109</v>
      </c>
      <c r="CB253" s="1" t="s">
        <v>109</v>
      </c>
      <c r="CC253" s="1" t="s">
        <v>109</v>
      </c>
      <c r="CD253" s="1" t="s">
        <v>109</v>
      </c>
      <c r="CE253" s="1" t="s">
        <v>109</v>
      </c>
      <c r="CF253" s="1" t="s">
        <v>109</v>
      </c>
      <c r="CG253" s="1" t="s">
        <v>109</v>
      </c>
      <c r="CH253" s="1" t="s">
        <v>109</v>
      </c>
      <c r="CI253" s="1" t="s">
        <v>109</v>
      </c>
      <c r="CJ253" s="1">
        <v>5</v>
      </c>
      <c r="CK253" s="1"/>
      <c r="CL253" s="1">
        <v>0</v>
      </c>
      <c r="CM253" s="1">
        <v>0</v>
      </c>
      <c r="CN253" s="1">
        <v>0</v>
      </c>
    </row>
    <row r="254" spans="1:92" ht="14.25" customHeight="1" x14ac:dyDescent="0.15">
      <c r="A254" s="1" t="s">
        <v>2461</v>
      </c>
      <c r="B254" s="1" t="s">
        <v>674</v>
      </c>
      <c r="C254" s="1" t="s">
        <v>675</v>
      </c>
      <c r="D254" s="1"/>
      <c r="E254" s="1" t="s">
        <v>2462</v>
      </c>
      <c r="F254" s="1" t="s">
        <v>395</v>
      </c>
      <c r="G254" s="1" t="s">
        <v>2463</v>
      </c>
      <c r="H254" s="1">
        <v>0</v>
      </c>
      <c r="I254" s="1" t="s">
        <v>100</v>
      </c>
      <c r="J254" s="1" t="s">
        <v>2464</v>
      </c>
      <c r="K254" s="1"/>
      <c r="L254" s="1"/>
      <c r="M254" s="1" t="s">
        <v>246</v>
      </c>
      <c r="N254" s="1">
        <v>1</v>
      </c>
      <c r="O254" s="1">
        <v>1</v>
      </c>
      <c r="P254" s="1" t="s">
        <v>2465</v>
      </c>
      <c r="Q254" s="1" t="s">
        <v>104</v>
      </c>
      <c r="R254" s="1" t="s">
        <v>2466</v>
      </c>
      <c r="S254" s="1" t="s">
        <v>2467</v>
      </c>
      <c r="T254" s="1" t="s">
        <v>107</v>
      </c>
      <c r="U254" s="1" t="s">
        <v>2468</v>
      </c>
      <c r="V254" s="1">
        <v>1</v>
      </c>
      <c r="W254" s="1">
        <v>1</v>
      </c>
      <c r="X254" s="1">
        <v>1</v>
      </c>
      <c r="Y254" s="1">
        <v>0</v>
      </c>
      <c r="Z254" s="1">
        <v>0</v>
      </c>
      <c r="AA254" s="1">
        <v>4</v>
      </c>
      <c r="AB254" s="1">
        <v>4</v>
      </c>
      <c r="AC254" s="1" t="s">
        <v>109</v>
      </c>
      <c r="AD254" s="1" t="s">
        <v>109</v>
      </c>
      <c r="AE254" s="1" t="s">
        <v>109</v>
      </c>
      <c r="AF254" s="1">
        <v>4</v>
      </c>
      <c r="AG254" s="1" t="s">
        <v>109</v>
      </c>
      <c r="AH254" s="1" t="s">
        <v>109</v>
      </c>
      <c r="AI254" s="1" t="s">
        <v>109</v>
      </c>
      <c r="AJ254" s="1" t="s">
        <v>109</v>
      </c>
      <c r="AK254" s="1" t="s">
        <v>109</v>
      </c>
      <c r="AL254" s="1" t="s">
        <v>109</v>
      </c>
      <c r="AM254" s="1" t="s">
        <v>109</v>
      </c>
      <c r="AN254" s="1" t="s">
        <v>109</v>
      </c>
      <c r="AO254" s="1" t="s">
        <v>109</v>
      </c>
      <c r="AP254" s="1"/>
      <c r="AQ254" s="1">
        <v>4</v>
      </c>
      <c r="AR254" s="1"/>
      <c r="AS254" s="1" t="s">
        <v>2469</v>
      </c>
      <c r="AT254" s="1">
        <v>0</v>
      </c>
      <c r="AU254" s="1">
        <v>0</v>
      </c>
      <c r="AV254" s="1">
        <v>0</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5" t="str">
        <f>HYPERLINK("http://www.d20pfsrd.com/magic/all-spells/h/hallucinatory-terrain","Hallucinatory Terrain")</f>
        <v>Hallucinatory Terrain</v>
      </c>
      <c r="BT254" s="1">
        <v>253</v>
      </c>
      <c r="BU254" s="1" t="s">
        <v>109</v>
      </c>
      <c r="BV254" s="1"/>
      <c r="BW254" s="1" t="s">
        <v>2470</v>
      </c>
      <c r="BX254" s="1"/>
      <c r="BY254" s="1"/>
      <c r="BZ254" s="1">
        <v>0</v>
      </c>
      <c r="CA254" s="1" t="s">
        <v>109</v>
      </c>
      <c r="CB254" s="1" t="s">
        <v>109</v>
      </c>
      <c r="CC254" s="1">
        <v>4</v>
      </c>
      <c r="CD254" s="1" t="s">
        <v>109</v>
      </c>
      <c r="CE254" s="1">
        <v>4</v>
      </c>
      <c r="CF254" s="1" t="s">
        <v>109</v>
      </c>
      <c r="CG254" s="1" t="s">
        <v>109</v>
      </c>
      <c r="CH254" s="1" t="s">
        <v>109</v>
      </c>
      <c r="CI254" s="1" t="s">
        <v>109</v>
      </c>
      <c r="CJ254" s="1" t="s">
        <v>109</v>
      </c>
      <c r="CK254" s="1"/>
      <c r="CL254" s="1">
        <v>0</v>
      </c>
      <c r="CM254" s="1">
        <v>0</v>
      </c>
      <c r="CN254" s="1">
        <v>0</v>
      </c>
    </row>
    <row r="255" spans="1:92" ht="14.25" customHeight="1" x14ac:dyDescent="0.15">
      <c r="A255" s="1" t="s">
        <v>2471</v>
      </c>
      <c r="B255" s="1" t="s">
        <v>308</v>
      </c>
      <c r="C255" s="1"/>
      <c r="D255" s="1"/>
      <c r="E255" s="1" t="s">
        <v>2472</v>
      </c>
      <c r="F255" s="1" t="s">
        <v>98</v>
      </c>
      <c r="G255" s="1" t="s">
        <v>2473</v>
      </c>
      <c r="H255" s="1">
        <v>0</v>
      </c>
      <c r="I255" s="1" t="s">
        <v>122</v>
      </c>
      <c r="J255" s="1"/>
      <c r="K255" s="1"/>
      <c r="L255" s="1" t="s">
        <v>2474</v>
      </c>
      <c r="M255" s="1" t="s">
        <v>125</v>
      </c>
      <c r="N255" s="1">
        <v>0</v>
      </c>
      <c r="O255" s="1">
        <v>0</v>
      </c>
      <c r="P255" s="1" t="s">
        <v>2475</v>
      </c>
      <c r="Q255" s="1" t="s">
        <v>268</v>
      </c>
      <c r="R255" s="1" t="s">
        <v>2476</v>
      </c>
      <c r="S255" s="1" t="s">
        <v>2477</v>
      </c>
      <c r="T255" s="1" t="s">
        <v>107</v>
      </c>
      <c r="U255" s="1" t="s">
        <v>2478</v>
      </c>
      <c r="V255" s="1">
        <v>1</v>
      </c>
      <c r="W255" s="1">
        <v>1</v>
      </c>
      <c r="X255" s="1">
        <v>1</v>
      </c>
      <c r="Y255" s="1">
        <v>0</v>
      </c>
      <c r="Z255" s="1">
        <v>0</v>
      </c>
      <c r="AA255" s="1">
        <v>3</v>
      </c>
      <c r="AB255" s="1">
        <v>3</v>
      </c>
      <c r="AC255" s="1" t="s">
        <v>109</v>
      </c>
      <c r="AD255" s="1" t="s">
        <v>109</v>
      </c>
      <c r="AE255" s="1" t="s">
        <v>109</v>
      </c>
      <c r="AF255" s="1" t="s">
        <v>109</v>
      </c>
      <c r="AG255" s="1" t="s">
        <v>109</v>
      </c>
      <c r="AH255" s="1" t="s">
        <v>109</v>
      </c>
      <c r="AI255" s="1" t="s">
        <v>109</v>
      </c>
      <c r="AJ255" s="1" t="s">
        <v>109</v>
      </c>
      <c r="AK255" s="1">
        <v>3</v>
      </c>
      <c r="AL255" s="1" t="s">
        <v>109</v>
      </c>
      <c r="AM255" s="1" t="s">
        <v>109</v>
      </c>
      <c r="AN255" s="1" t="s">
        <v>109</v>
      </c>
      <c r="AO255" s="1" t="s">
        <v>109</v>
      </c>
      <c r="AP255" s="1"/>
      <c r="AQ255" s="1">
        <v>3</v>
      </c>
      <c r="AR255" s="1"/>
      <c r="AS255" s="1" t="s">
        <v>2479</v>
      </c>
      <c r="AT255" s="1">
        <v>0</v>
      </c>
      <c r="AU255" s="1">
        <v>0</v>
      </c>
      <c r="AV255" s="1">
        <v>0</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5" t="str">
        <f>HYPERLINK("http://www.d20pfsrd.com/magic/all-spells/h/halt-undead","Halt Undead")</f>
        <v>Halt Undead</v>
      </c>
      <c r="BT255" s="1">
        <v>254</v>
      </c>
      <c r="BU255" s="1" t="s">
        <v>109</v>
      </c>
      <c r="BV255" s="1"/>
      <c r="BW255" s="1"/>
      <c r="BX255" s="1"/>
      <c r="BY255" s="1"/>
      <c r="BZ255" s="1">
        <v>0</v>
      </c>
      <c r="CA255" s="1" t="s">
        <v>109</v>
      </c>
      <c r="CB255" s="1" t="s">
        <v>109</v>
      </c>
      <c r="CC255" s="1" t="s">
        <v>109</v>
      </c>
      <c r="CD255" s="1" t="s">
        <v>109</v>
      </c>
      <c r="CE255" s="1" t="s">
        <v>109</v>
      </c>
      <c r="CF255" s="1" t="s">
        <v>109</v>
      </c>
      <c r="CG255" s="1" t="s">
        <v>109</v>
      </c>
      <c r="CH255" s="1" t="s">
        <v>109</v>
      </c>
      <c r="CI255" s="1" t="s">
        <v>109</v>
      </c>
      <c r="CJ255" s="1" t="s">
        <v>109</v>
      </c>
      <c r="CK255" s="1"/>
      <c r="CL255" s="1">
        <v>0</v>
      </c>
      <c r="CM255" s="1">
        <v>0</v>
      </c>
      <c r="CN255" s="1">
        <v>0</v>
      </c>
    </row>
    <row r="256" spans="1:92" ht="14.25" customHeight="1" x14ac:dyDescent="0.15">
      <c r="A256" s="1" t="s">
        <v>2480</v>
      </c>
      <c r="B256" s="1" t="s">
        <v>308</v>
      </c>
      <c r="C256" s="1"/>
      <c r="D256" s="1"/>
      <c r="E256" s="1" t="s">
        <v>2481</v>
      </c>
      <c r="F256" s="1" t="s">
        <v>98</v>
      </c>
      <c r="G256" s="1" t="s">
        <v>141</v>
      </c>
      <c r="H256" s="1">
        <v>0</v>
      </c>
      <c r="I256" s="1" t="s">
        <v>161</v>
      </c>
      <c r="J256" s="1"/>
      <c r="K256" s="1"/>
      <c r="L256" s="1" t="s">
        <v>506</v>
      </c>
      <c r="M256" s="1" t="s">
        <v>144</v>
      </c>
      <c r="N256" s="1">
        <v>0</v>
      </c>
      <c r="O256" s="1">
        <v>0</v>
      </c>
      <c r="P256" s="1" t="s">
        <v>2482</v>
      </c>
      <c r="Q256" s="1" t="s">
        <v>268</v>
      </c>
      <c r="R256" s="1" t="s">
        <v>2483</v>
      </c>
      <c r="S256" s="1" t="s">
        <v>2484</v>
      </c>
      <c r="T256" s="1" t="s">
        <v>107</v>
      </c>
      <c r="U256" s="1" t="s">
        <v>2485</v>
      </c>
      <c r="V256" s="1">
        <v>1</v>
      </c>
      <c r="W256" s="1">
        <v>1</v>
      </c>
      <c r="X256" s="1">
        <v>0</v>
      </c>
      <c r="Y256" s="1">
        <v>0</v>
      </c>
      <c r="Z256" s="1">
        <v>0</v>
      </c>
      <c r="AA256" s="1" t="s">
        <v>109</v>
      </c>
      <c r="AB256" s="1" t="s">
        <v>109</v>
      </c>
      <c r="AC256" s="1">
        <v>6</v>
      </c>
      <c r="AD256" s="1" t="s">
        <v>109</v>
      </c>
      <c r="AE256" s="1" t="s">
        <v>109</v>
      </c>
      <c r="AF256" s="1" t="s">
        <v>109</v>
      </c>
      <c r="AG256" s="1" t="s">
        <v>109</v>
      </c>
      <c r="AH256" s="1" t="s">
        <v>109</v>
      </c>
      <c r="AI256" s="1" t="s">
        <v>109</v>
      </c>
      <c r="AJ256" s="1">
        <v>7</v>
      </c>
      <c r="AK256" s="1">
        <v>6</v>
      </c>
      <c r="AL256" s="1">
        <v>6</v>
      </c>
      <c r="AM256" s="1" t="s">
        <v>109</v>
      </c>
      <c r="AN256" s="1" t="s">
        <v>109</v>
      </c>
      <c r="AO256" s="1" t="s">
        <v>109</v>
      </c>
      <c r="AP256" s="1"/>
      <c r="AQ256" s="1">
        <v>6</v>
      </c>
      <c r="AR256" s="1" t="s">
        <v>2486</v>
      </c>
      <c r="AS256" s="1" t="s">
        <v>2487</v>
      </c>
      <c r="AT256" s="1">
        <v>0</v>
      </c>
      <c r="AU256" s="1">
        <v>0</v>
      </c>
      <c r="AV256" s="1">
        <v>0</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5" t="str">
        <f>HYPERLINK("http://www.d20pfsrd.com/magic/all-spells/h/harm","Harm")</f>
        <v>Harm</v>
      </c>
      <c r="BT256" s="1">
        <v>255</v>
      </c>
      <c r="BU256" s="1" t="s">
        <v>109</v>
      </c>
      <c r="BV256" s="1"/>
      <c r="BW256" s="1"/>
      <c r="BX256" s="1" t="s">
        <v>2488</v>
      </c>
      <c r="BY256" s="1" t="s">
        <v>2489</v>
      </c>
      <c r="BZ256" s="1">
        <v>1</v>
      </c>
      <c r="CA256" s="1" t="s">
        <v>109</v>
      </c>
      <c r="CB256" s="1">
        <v>7</v>
      </c>
      <c r="CC256" s="1" t="s">
        <v>109</v>
      </c>
      <c r="CD256" s="1" t="s">
        <v>109</v>
      </c>
      <c r="CE256" s="1" t="s">
        <v>109</v>
      </c>
      <c r="CF256" s="1">
        <v>6</v>
      </c>
      <c r="CG256" s="1">
        <v>6</v>
      </c>
      <c r="CH256" s="1" t="s">
        <v>109</v>
      </c>
      <c r="CI256" s="1" t="s">
        <v>109</v>
      </c>
      <c r="CJ256" s="1" t="s">
        <v>109</v>
      </c>
      <c r="CK256" s="1"/>
      <c r="CL256" s="1">
        <v>0</v>
      </c>
      <c r="CM256" s="1">
        <v>0</v>
      </c>
      <c r="CN256" s="1">
        <v>0</v>
      </c>
    </row>
    <row r="257" spans="1:92" ht="14.25" customHeight="1" x14ac:dyDescent="0.15">
      <c r="A257" s="1" t="s">
        <v>2490</v>
      </c>
      <c r="B257" s="1" t="s">
        <v>189</v>
      </c>
      <c r="C257" s="1"/>
      <c r="D257" s="1"/>
      <c r="E257" s="1" t="s">
        <v>2491</v>
      </c>
      <c r="F257" s="1" t="s">
        <v>98</v>
      </c>
      <c r="G257" s="1" t="s">
        <v>2492</v>
      </c>
      <c r="H257" s="1">
        <v>0</v>
      </c>
      <c r="I257" s="1" t="s">
        <v>142</v>
      </c>
      <c r="J257" s="1"/>
      <c r="K257" s="1"/>
      <c r="L257" s="1" t="s">
        <v>716</v>
      </c>
      <c r="M257" s="1" t="s">
        <v>125</v>
      </c>
      <c r="N257" s="1">
        <v>0</v>
      </c>
      <c r="O257" s="1">
        <v>0</v>
      </c>
      <c r="P257" s="1" t="s">
        <v>1382</v>
      </c>
      <c r="Q257" s="1" t="s">
        <v>167</v>
      </c>
      <c r="R257" s="1" t="s">
        <v>2493</v>
      </c>
      <c r="S257" s="1" t="s">
        <v>2494</v>
      </c>
      <c r="T257" s="1" t="s">
        <v>107</v>
      </c>
      <c r="U257" s="1" t="s">
        <v>2495</v>
      </c>
      <c r="V257" s="1">
        <v>1</v>
      </c>
      <c r="W257" s="1">
        <v>1</v>
      </c>
      <c r="X257" s="1">
        <v>1</v>
      </c>
      <c r="Y257" s="1">
        <v>0</v>
      </c>
      <c r="Z257" s="1">
        <v>0</v>
      </c>
      <c r="AA257" s="1">
        <v>3</v>
      </c>
      <c r="AB257" s="1">
        <v>3</v>
      </c>
      <c r="AC257" s="1" t="s">
        <v>109</v>
      </c>
      <c r="AD257" s="1" t="s">
        <v>109</v>
      </c>
      <c r="AE257" s="1" t="s">
        <v>109</v>
      </c>
      <c r="AF257" s="1">
        <v>3</v>
      </c>
      <c r="AG257" s="1" t="s">
        <v>109</v>
      </c>
      <c r="AH257" s="1">
        <v>3</v>
      </c>
      <c r="AI257" s="1">
        <v>2</v>
      </c>
      <c r="AJ257" s="1" t="s">
        <v>109</v>
      </c>
      <c r="AK257" s="1" t="s">
        <v>109</v>
      </c>
      <c r="AL257" s="1" t="s">
        <v>109</v>
      </c>
      <c r="AM257" s="1" t="s">
        <v>109</v>
      </c>
      <c r="AN257" s="1">
        <v>3</v>
      </c>
      <c r="AO257" s="1" t="s">
        <v>109</v>
      </c>
      <c r="AP257" s="1"/>
      <c r="AQ257" s="1">
        <v>3</v>
      </c>
      <c r="AR257" s="1"/>
      <c r="AS257" s="1" t="s">
        <v>2496</v>
      </c>
      <c r="AT257" s="1">
        <v>0</v>
      </c>
      <c r="AU257" s="1">
        <v>0</v>
      </c>
      <c r="AV257" s="1">
        <v>0</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5" t="str">
        <f>HYPERLINK("http://www.d20pfsrd.com/magic/all-spells/h/haste","Haste")</f>
        <v>Haste</v>
      </c>
      <c r="BT257" s="1">
        <v>256</v>
      </c>
      <c r="BU257" s="1" t="s">
        <v>109</v>
      </c>
      <c r="BV257" s="1"/>
      <c r="BW257" s="1" t="s">
        <v>2497</v>
      </c>
      <c r="BX257" s="1" t="s">
        <v>2498</v>
      </c>
      <c r="BY257" s="1" t="s">
        <v>2499</v>
      </c>
      <c r="BZ257" s="1">
        <v>1</v>
      </c>
      <c r="CA257" s="1">
        <v>3</v>
      </c>
      <c r="CB257" s="1" t="s">
        <v>109</v>
      </c>
      <c r="CC257" s="1">
        <v>3</v>
      </c>
      <c r="CD257" s="1" t="s">
        <v>109</v>
      </c>
      <c r="CE257" s="1" t="s">
        <v>109</v>
      </c>
      <c r="CF257" s="1">
        <v>3</v>
      </c>
      <c r="CG257" s="1">
        <v>3</v>
      </c>
      <c r="CH257" s="1" t="s">
        <v>109</v>
      </c>
      <c r="CI257" s="1" t="s">
        <v>109</v>
      </c>
      <c r="CJ257" s="1" t="s">
        <v>109</v>
      </c>
      <c r="CK257" s="1"/>
      <c r="CL257" s="1">
        <v>0</v>
      </c>
      <c r="CM257" s="1">
        <v>0</v>
      </c>
      <c r="CN257" s="1">
        <v>0</v>
      </c>
    </row>
    <row r="258" spans="1:92" ht="14.25" customHeight="1" x14ac:dyDescent="0.15">
      <c r="A258" s="1" t="s">
        <v>2500</v>
      </c>
      <c r="B258" s="1" t="s">
        <v>95</v>
      </c>
      <c r="C258" s="1" t="s">
        <v>694</v>
      </c>
      <c r="D258" s="1"/>
      <c r="E258" s="1" t="s">
        <v>2501</v>
      </c>
      <c r="F258" s="1" t="s">
        <v>98</v>
      </c>
      <c r="G258" s="1" t="s">
        <v>141</v>
      </c>
      <c r="H258" s="1">
        <v>0</v>
      </c>
      <c r="I258" s="1" t="s">
        <v>161</v>
      </c>
      <c r="J258" s="1"/>
      <c r="K258" s="1"/>
      <c r="L258" s="1" t="s">
        <v>506</v>
      </c>
      <c r="M258" s="1" t="s">
        <v>144</v>
      </c>
      <c r="N258" s="1">
        <v>0</v>
      </c>
      <c r="O258" s="1">
        <v>0</v>
      </c>
      <c r="P258" s="1" t="s">
        <v>507</v>
      </c>
      <c r="Q258" s="1" t="s">
        <v>167</v>
      </c>
      <c r="R258" s="1" t="s">
        <v>2502</v>
      </c>
      <c r="S258" s="1" t="s">
        <v>2503</v>
      </c>
      <c r="T258" s="1" t="s">
        <v>107</v>
      </c>
      <c r="U258" s="1" t="s">
        <v>2504</v>
      </c>
      <c r="V258" s="1">
        <v>1</v>
      </c>
      <c r="W258" s="1">
        <v>1</v>
      </c>
      <c r="X258" s="1">
        <v>0</v>
      </c>
      <c r="Y258" s="1">
        <v>0</v>
      </c>
      <c r="Z258" s="1">
        <v>0</v>
      </c>
      <c r="AA258" s="1" t="s">
        <v>109</v>
      </c>
      <c r="AB258" s="1" t="s">
        <v>109</v>
      </c>
      <c r="AC258" s="1">
        <v>6</v>
      </c>
      <c r="AD258" s="1">
        <v>7</v>
      </c>
      <c r="AE258" s="1" t="s">
        <v>109</v>
      </c>
      <c r="AF258" s="1" t="s">
        <v>109</v>
      </c>
      <c r="AG258" s="1" t="s">
        <v>109</v>
      </c>
      <c r="AH258" s="1">
        <v>6</v>
      </c>
      <c r="AI258" s="1" t="s">
        <v>109</v>
      </c>
      <c r="AJ258" s="1">
        <v>7</v>
      </c>
      <c r="AK258" s="1">
        <v>6</v>
      </c>
      <c r="AL258" s="1">
        <v>6</v>
      </c>
      <c r="AM258" s="1" t="s">
        <v>109</v>
      </c>
      <c r="AN258" s="1" t="s">
        <v>109</v>
      </c>
      <c r="AO258" s="1">
        <v>5</v>
      </c>
      <c r="AP258" s="1"/>
      <c r="AQ258" s="1">
        <v>6</v>
      </c>
      <c r="AR258" s="1" t="s">
        <v>2505</v>
      </c>
      <c r="AS258" s="1" t="s">
        <v>2506</v>
      </c>
      <c r="AT258" s="1">
        <v>0</v>
      </c>
      <c r="AU258" s="1">
        <v>0</v>
      </c>
      <c r="AV258" s="1">
        <v>0</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5" t="str">
        <f>HYPERLINK("http://www.d20pfsrd.com/magic/all-spells/h/heal","Heal")</f>
        <v>Heal</v>
      </c>
      <c r="BT258" s="1">
        <v>257</v>
      </c>
      <c r="BU258" s="1" t="s">
        <v>109</v>
      </c>
      <c r="BV258" s="1"/>
      <c r="BW258" s="1"/>
      <c r="BX258" s="1" t="s">
        <v>2507</v>
      </c>
      <c r="BY258" s="1" t="s">
        <v>2508</v>
      </c>
      <c r="BZ258" s="1">
        <v>1</v>
      </c>
      <c r="CA258" s="1" t="s">
        <v>109</v>
      </c>
      <c r="CB258" s="1">
        <v>7</v>
      </c>
      <c r="CC258" s="1" t="s">
        <v>109</v>
      </c>
      <c r="CD258" s="1" t="s">
        <v>109</v>
      </c>
      <c r="CE258" s="1" t="s">
        <v>109</v>
      </c>
      <c r="CF258" s="1">
        <v>6</v>
      </c>
      <c r="CG258" s="1">
        <v>6</v>
      </c>
      <c r="CH258" s="1" t="s">
        <v>109</v>
      </c>
      <c r="CI258" s="1" t="s">
        <v>109</v>
      </c>
      <c r="CJ258" s="1" t="s">
        <v>109</v>
      </c>
      <c r="CK258" s="1"/>
      <c r="CL258" s="1">
        <v>0</v>
      </c>
      <c r="CM258" s="1">
        <v>0</v>
      </c>
      <c r="CN258" s="1">
        <v>0</v>
      </c>
    </row>
    <row r="259" spans="1:92" ht="14.25" customHeight="1" x14ac:dyDescent="0.15">
      <c r="A259" s="1" t="s">
        <v>2509</v>
      </c>
      <c r="B259" s="1" t="s">
        <v>95</v>
      </c>
      <c r="C259" s="1" t="s">
        <v>694</v>
      </c>
      <c r="D259" s="1"/>
      <c r="E259" s="1" t="s">
        <v>2510</v>
      </c>
      <c r="F259" s="1" t="s">
        <v>98</v>
      </c>
      <c r="G259" s="1" t="s">
        <v>141</v>
      </c>
      <c r="H259" s="1">
        <v>0</v>
      </c>
      <c r="I259" s="1" t="s">
        <v>142</v>
      </c>
      <c r="J259" s="1"/>
      <c r="K259" s="1"/>
      <c r="L259" s="1" t="s">
        <v>2511</v>
      </c>
      <c r="M259" s="1" t="s">
        <v>144</v>
      </c>
      <c r="N259" s="1">
        <v>0</v>
      </c>
      <c r="O259" s="1">
        <v>0</v>
      </c>
      <c r="P259" s="1" t="s">
        <v>507</v>
      </c>
      <c r="Q259" s="1" t="s">
        <v>167</v>
      </c>
      <c r="R259" s="1" t="s">
        <v>2512</v>
      </c>
      <c r="S259" s="1" t="s">
        <v>2513</v>
      </c>
      <c r="T259" s="1" t="s">
        <v>107</v>
      </c>
      <c r="U259" s="1" t="s">
        <v>2514</v>
      </c>
      <c r="V259" s="1">
        <v>1</v>
      </c>
      <c r="W259" s="1">
        <v>1</v>
      </c>
      <c r="X259" s="1">
        <v>0</v>
      </c>
      <c r="Y259" s="1">
        <v>0</v>
      </c>
      <c r="Z259" s="1">
        <v>0</v>
      </c>
      <c r="AA259" s="1" t="s">
        <v>109</v>
      </c>
      <c r="AB259" s="1" t="s">
        <v>109</v>
      </c>
      <c r="AC259" s="1">
        <v>9</v>
      </c>
      <c r="AD259" s="1" t="s">
        <v>109</v>
      </c>
      <c r="AE259" s="1" t="s">
        <v>109</v>
      </c>
      <c r="AF259" s="1" t="s">
        <v>109</v>
      </c>
      <c r="AG259" s="1" t="s">
        <v>109</v>
      </c>
      <c r="AH259" s="1" t="s">
        <v>109</v>
      </c>
      <c r="AI259" s="1" t="s">
        <v>109</v>
      </c>
      <c r="AJ259" s="1" t="s">
        <v>109</v>
      </c>
      <c r="AK259" s="1" t="s">
        <v>109</v>
      </c>
      <c r="AL259" s="1">
        <v>9</v>
      </c>
      <c r="AM259" s="1" t="s">
        <v>109</v>
      </c>
      <c r="AN259" s="1" t="s">
        <v>109</v>
      </c>
      <c r="AO259" s="1" t="s">
        <v>109</v>
      </c>
      <c r="AP259" s="1"/>
      <c r="AQ259" s="1">
        <v>9</v>
      </c>
      <c r="AR259" s="1" t="s">
        <v>2515</v>
      </c>
      <c r="AS259" s="1" t="s">
        <v>2516</v>
      </c>
      <c r="AT259" s="1">
        <v>0</v>
      </c>
      <c r="AU259" s="1">
        <v>0</v>
      </c>
      <c r="AV259" s="1">
        <v>0</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5" t="str">
        <f>HYPERLINK("http://www.d20pfsrd.com/magic/all-spells/h/heal","Heal, Mass")</f>
        <v>Heal, Mass</v>
      </c>
      <c r="BT259" s="1">
        <v>258</v>
      </c>
      <c r="BU259" s="1" t="s">
        <v>109</v>
      </c>
      <c r="BV259" s="1"/>
      <c r="BW259" s="1" t="s">
        <v>2517</v>
      </c>
      <c r="BX259" s="1"/>
      <c r="BY259" s="1"/>
      <c r="BZ259" s="1">
        <v>0</v>
      </c>
      <c r="CA259" s="1" t="s">
        <v>109</v>
      </c>
      <c r="CB259" s="1">
        <v>9</v>
      </c>
      <c r="CC259" s="1" t="s">
        <v>109</v>
      </c>
      <c r="CD259" s="1" t="s">
        <v>109</v>
      </c>
      <c r="CE259" s="1" t="s">
        <v>109</v>
      </c>
      <c r="CF259" s="1" t="s">
        <v>109</v>
      </c>
      <c r="CG259" s="1" t="s">
        <v>109</v>
      </c>
      <c r="CH259" s="1" t="s">
        <v>109</v>
      </c>
      <c r="CI259" s="1" t="s">
        <v>109</v>
      </c>
      <c r="CJ259" s="1" t="s">
        <v>109</v>
      </c>
      <c r="CK259" s="1"/>
      <c r="CL259" s="1">
        <v>0</v>
      </c>
      <c r="CM259" s="1">
        <v>0</v>
      </c>
      <c r="CN259" s="1">
        <v>0</v>
      </c>
    </row>
    <row r="260" spans="1:92" ht="14.25" customHeight="1" x14ac:dyDescent="0.15">
      <c r="A260" s="1" t="s">
        <v>2518</v>
      </c>
      <c r="B260" s="1" t="s">
        <v>95</v>
      </c>
      <c r="C260" s="1" t="s">
        <v>694</v>
      </c>
      <c r="D260" s="1"/>
      <c r="E260" s="1" t="s">
        <v>2519</v>
      </c>
      <c r="F260" s="1" t="s">
        <v>98</v>
      </c>
      <c r="G260" s="1" t="s">
        <v>141</v>
      </c>
      <c r="H260" s="1">
        <v>0</v>
      </c>
      <c r="I260" s="1" t="s">
        <v>161</v>
      </c>
      <c r="J260" s="1"/>
      <c r="K260" s="1"/>
      <c r="L260" s="1" t="s">
        <v>2520</v>
      </c>
      <c r="M260" s="1" t="s">
        <v>144</v>
      </c>
      <c r="N260" s="1">
        <v>0</v>
      </c>
      <c r="O260" s="1">
        <v>0</v>
      </c>
      <c r="P260" s="1" t="s">
        <v>507</v>
      </c>
      <c r="Q260" s="1" t="s">
        <v>167</v>
      </c>
      <c r="R260" s="1" t="s">
        <v>2521</v>
      </c>
      <c r="S260" s="1" t="s">
        <v>2522</v>
      </c>
      <c r="T260" s="1" t="s">
        <v>107</v>
      </c>
      <c r="U260" s="1" t="s">
        <v>2523</v>
      </c>
      <c r="V260" s="1">
        <v>1</v>
      </c>
      <c r="W260" s="1">
        <v>1</v>
      </c>
      <c r="X260" s="1">
        <v>0</v>
      </c>
      <c r="Y260" s="1">
        <v>0</v>
      </c>
      <c r="Z260" s="1">
        <v>0</v>
      </c>
      <c r="AA260" s="1" t="s">
        <v>109</v>
      </c>
      <c r="AB260" s="1" t="s">
        <v>109</v>
      </c>
      <c r="AC260" s="1" t="s">
        <v>109</v>
      </c>
      <c r="AD260" s="1" t="s">
        <v>109</v>
      </c>
      <c r="AE260" s="1" t="s">
        <v>109</v>
      </c>
      <c r="AF260" s="1" t="s">
        <v>109</v>
      </c>
      <c r="AG260" s="1">
        <v>3</v>
      </c>
      <c r="AH260" s="1" t="s">
        <v>109</v>
      </c>
      <c r="AI260" s="1" t="s">
        <v>109</v>
      </c>
      <c r="AJ260" s="1" t="s">
        <v>109</v>
      </c>
      <c r="AK260" s="1" t="s">
        <v>109</v>
      </c>
      <c r="AL260" s="1" t="s">
        <v>109</v>
      </c>
      <c r="AM260" s="1" t="s">
        <v>109</v>
      </c>
      <c r="AN260" s="1" t="s">
        <v>109</v>
      </c>
      <c r="AO260" s="1" t="s">
        <v>109</v>
      </c>
      <c r="AP260" s="1"/>
      <c r="AQ260" s="1">
        <v>3</v>
      </c>
      <c r="AR260" s="1"/>
      <c r="AS260" s="1" t="s">
        <v>2524</v>
      </c>
      <c r="AT260" s="1">
        <v>0</v>
      </c>
      <c r="AU260" s="1">
        <v>0</v>
      </c>
      <c r="AV260" s="1">
        <v>0</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5" t="str">
        <f>HYPERLINK("http://www.d20pfsrd.com/magic/all-spells/h/heal-mount","Heal Mount")</f>
        <v>Heal Mount</v>
      </c>
      <c r="BT260" s="1">
        <v>259</v>
      </c>
      <c r="BU260" s="1" t="s">
        <v>109</v>
      </c>
      <c r="BV260" s="1"/>
      <c r="BW260" s="1"/>
      <c r="BX260" s="1"/>
      <c r="BY260" s="1"/>
      <c r="BZ260" s="1">
        <v>0</v>
      </c>
      <c r="CA260" s="1" t="s">
        <v>109</v>
      </c>
      <c r="CB260" s="1" t="s">
        <v>109</v>
      </c>
      <c r="CC260" s="1" t="s">
        <v>109</v>
      </c>
      <c r="CD260" s="1" t="s">
        <v>109</v>
      </c>
      <c r="CE260" s="1" t="s">
        <v>109</v>
      </c>
      <c r="CF260" s="1" t="s">
        <v>109</v>
      </c>
      <c r="CG260" s="1" t="s">
        <v>109</v>
      </c>
      <c r="CH260" s="1" t="s">
        <v>109</v>
      </c>
      <c r="CI260" s="1" t="s">
        <v>109</v>
      </c>
      <c r="CJ260" s="1" t="s">
        <v>109</v>
      </c>
      <c r="CK260" s="1"/>
      <c r="CL260" s="1">
        <v>0</v>
      </c>
      <c r="CM260" s="1">
        <v>0</v>
      </c>
      <c r="CN260" s="1">
        <v>0</v>
      </c>
    </row>
    <row r="261" spans="1:92" ht="14.25" customHeight="1" x14ac:dyDescent="0.15">
      <c r="A261" s="1" t="s">
        <v>2525</v>
      </c>
      <c r="B261" s="1" t="s">
        <v>189</v>
      </c>
      <c r="C261" s="1"/>
      <c r="D261" s="1" t="s">
        <v>59</v>
      </c>
      <c r="E261" s="1" t="s">
        <v>867</v>
      </c>
      <c r="F261" s="1" t="s">
        <v>98</v>
      </c>
      <c r="G261" s="1" t="s">
        <v>160</v>
      </c>
      <c r="H261" s="1">
        <v>0</v>
      </c>
      <c r="I261" s="1" t="s">
        <v>142</v>
      </c>
      <c r="J261" s="1"/>
      <c r="K261" s="1"/>
      <c r="L261" s="1" t="s">
        <v>2526</v>
      </c>
      <c r="M261" s="1" t="s">
        <v>869</v>
      </c>
      <c r="N261" s="1">
        <v>0</v>
      </c>
      <c r="O261" s="1">
        <v>0</v>
      </c>
      <c r="P261" s="1" t="s">
        <v>629</v>
      </c>
      <c r="Q261" s="1" t="s">
        <v>630</v>
      </c>
      <c r="R261" s="1" t="s">
        <v>2527</v>
      </c>
      <c r="S261" s="1" t="s">
        <v>2528</v>
      </c>
      <c r="T261" s="1" t="s">
        <v>107</v>
      </c>
      <c r="U261" s="1" t="s">
        <v>2529</v>
      </c>
      <c r="V261" s="1">
        <v>1</v>
      </c>
      <c r="W261" s="1">
        <v>1</v>
      </c>
      <c r="X261" s="1">
        <v>0</v>
      </c>
      <c r="Y261" s="1">
        <v>0</v>
      </c>
      <c r="Z261" s="1">
        <v>1</v>
      </c>
      <c r="AA261" s="1" t="s">
        <v>109</v>
      </c>
      <c r="AB261" s="1" t="s">
        <v>109</v>
      </c>
      <c r="AC261" s="1" t="s">
        <v>109</v>
      </c>
      <c r="AD261" s="1">
        <v>2</v>
      </c>
      <c r="AE261" s="1" t="s">
        <v>109</v>
      </c>
      <c r="AF261" s="1" t="s">
        <v>109</v>
      </c>
      <c r="AG261" s="1" t="s">
        <v>109</v>
      </c>
      <c r="AH261" s="1" t="s">
        <v>109</v>
      </c>
      <c r="AI261" s="1" t="s">
        <v>109</v>
      </c>
      <c r="AJ261" s="1" t="s">
        <v>109</v>
      </c>
      <c r="AK261" s="1" t="s">
        <v>109</v>
      </c>
      <c r="AL261" s="1" t="s">
        <v>109</v>
      </c>
      <c r="AM261" s="1" t="s">
        <v>109</v>
      </c>
      <c r="AN261" s="1" t="s">
        <v>109</v>
      </c>
      <c r="AO261" s="1" t="s">
        <v>109</v>
      </c>
      <c r="AP261" s="1"/>
      <c r="AQ261" s="1">
        <v>2</v>
      </c>
      <c r="AR261" s="1" t="s">
        <v>2530</v>
      </c>
      <c r="AS261" s="1" t="s">
        <v>2531</v>
      </c>
      <c r="AT261" s="1">
        <v>0</v>
      </c>
      <c r="AU261" s="1">
        <v>0</v>
      </c>
      <c r="AV261" s="1">
        <v>0</v>
      </c>
      <c r="AW261" s="1">
        <v>0</v>
      </c>
      <c r="AX261" s="1">
        <v>0</v>
      </c>
      <c r="AY261" s="1">
        <v>0</v>
      </c>
      <c r="AZ261" s="1">
        <v>0</v>
      </c>
      <c r="BA261" s="1">
        <v>0</v>
      </c>
      <c r="BB261" s="1">
        <v>0</v>
      </c>
      <c r="BC261" s="1">
        <v>0</v>
      </c>
      <c r="BD261" s="1">
        <v>0</v>
      </c>
      <c r="BE261" s="1">
        <v>0</v>
      </c>
      <c r="BF261" s="1">
        <v>0</v>
      </c>
      <c r="BG261" s="1">
        <v>1</v>
      </c>
      <c r="BH261" s="1">
        <v>0</v>
      </c>
      <c r="BI261" s="1">
        <v>0</v>
      </c>
      <c r="BJ261" s="1">
        <v>0</v>
      </c>
      <c r="BK261" s="1">
        <v>0</v>
      </c>
      <c r="BL261" s="1">
        <v>0</v>
      </c>
      <c r="BM261" s="1">
        <v>0</v>
      </c>
      <c r="BN261" s="1">
        <v>0</v>
      </c>
      <c r="BO261" s="1">
        <v>0</v>
      </c>
      <c r="BP261" s="1">
        <v>0</v>
      </c>
      <c r="BQ261" s="1">
        <v>0</v>
      </c>
      <c r="BR261" s="1">
        <v>0</v>
      </c>
      <c r="BS261" s="5" t="str">
        <f>HYPERLINK("http://www.d20pfsrd.com/magic/all-spells/h/heat-metal","Heat Metal")</f>
        <v>Heat Metal</v>
      </c>
      <c r="BT261" s="1">
        <v>260</v>
      </c>
      <c r="BU261" s="1" t="s">
        <v>109</v>
      </c>
      <c r="BV261" s="1"/>
      <c r="BW261" s="1"/>
      <c r="BX261" s="1" t="s">
        <v>2532</v>
      </c>
      <c r="BY261" s="1"/>
      <c r="BZ261" s="1">
        <v>1</v>
      </c>
      <c r="CA261" s="1" t="s">
        <v>109</v>
      </c>
      <c r="CB261" s="1" t="s">
        <v>109</v>
      </c>
      <c r="CC261" s="1">
        <v>2</v>
      </c>
      <c r="CD261" s="1" t="s">
        <v>109</v>
      </c>
      <c r="CE261" s="1" t="s">
        <v>109</v>
      </c>
      <c r="CF261" s="1">
        <v>2</v>
      </c>
      <c r="CG261" s="1" t="s">
        <v>109</v>
      </c>
      <c r="CH261" s="1" t="s">
        <v>109</v>
      </c>
      <c r="CI261" s="1" t="s">
        <v>109</v>
      </c>
      <c r="CJ261" s="1">
        <v>2</v>
      </c>
      <c r="CK261" s="1"/>
      <c r="CL261" s="1">
        <v>0</v>
      </c>
      <c r="CM261" s="1">
        <v>0</v>
      </c>
      <c r="CN261" s="1">
        <v>0</v>
      </c>
    </row>
    <row r="262" spans="1:92" ht="14.25" customHeight="1" x14ac:dyDescent="0.15">
      <c r="A262" s="1" t="s">
        <v>2533</v>
      </c>
      <c r="B262" s="1" t="s">
        <v>584</v>
      </c>
      <c r="C262" s="1"/>
      <c r="D262" s="1"/>
      <c r="E262" s="1" t="s">
        <v>2534</v>
      </c>
      <c r="F262" s="1" t="s">
        <v>98</v>
      </c>
      <c r="G262" s="1" t="s">
        <v>160</v>
      </c>
      <c r="H262" s="1">
        <v>0</v>
      </c>
      <c r="I262" s="1" t="s">
        <v>2535</v>
      </c>
      <c r="J262" s="1"/>
      <c r="K262" s="1" t="s">
        <v>2536</v>
      </c>
      <c r="L262" s="1"/>
      <c r="M262" s="1" t="s">
        <v>289</v>
      </c>
      <c r="N262" s="1">
        <v>0</v>
      </c>
      <c r="O262" s="1">
        <v>0</v>
      </c>
      <c r="P262" s="1" t="s">
        <v>103</v>
      </c>
      <c r="Q262" s="1" t="s">
        <v>104</v>
      </c>
      <c r="R262" s="1" t="s">
        <v>2537</v>
      </c>
      <c r="S262" s="1" t="s">
        <v>2538</v>
      </c>
      <c r="T262" s="1" t="s">
        <v>107</v>
      </c>
      <c r="U262" s="1" t="s">
        <v>2539</v>
      </c>
      <c r="V262" s="1">
        <v>1</v>
      </c>
      <c r="W262" s="1">
        <v>1</v>
      </c>
      <c r="X262" s="1">
        <v>0</v>
      </c>
      <c r="Y262" s="1">
        <v>0</v>
      </c>
      <c r="Z262" s="1">
        <v>1</v>
      </c>
      <c r="AA262" s="1" t="s">
        <v>109</v>
      </c>
      <c r="AB262" s="1" t="s">
        <v>109</v>
      </c>
      <c r="AC262" s="1">
        <v>3</v>
      </c>
      <c r="AD262" s="1" t="s">
        <v>109</v>
      </c>
      <c r="AE262" s="1" t="s">
        <v>109</v>
      </c>
      <c r="AF262" s="1" t="s">
        <v>109</v>
      </c>
      <c r="AG262" s="1" t="s">
        <v>109</v>
      </c>
      <c r="AH262" s="1" t="s">
        <v>109</v>
      </c>
      <c r="AI262" s="1" t="s">
        <v>109</v>
      </c>
      <c r="AJ262" s="1" t="s">
        <v>109</v>
      </c>
      <c r="AK262" s="1" t="s">
        <v>109</v>
      </c>
      <c r="AL262" s="1">
        <v>3</v>
      </c>
      <c r="AM262" s="1" t="s">
        <v>109</v>
      </c>
      <c r="AN262" s="1" t="s">
        <v>109</v>
      </c>
      <c r="AO262" s="1" t="s">
        <v>109</v>
      </c>
      <c r="AP262" s="1"/>
      <c r="AQ262" s="1">
        <v>3</v>
      </c>
      <c r="AR262" s="1"/>
      <c r="AS262" s="1" t="s">
        <v>2540</v>
      </c>
      <c r="AT262" s="1">
        <v>0</v>
      </c>
      <c r="AU262" s="1">
        <v>0</v>
      </c>
      <c r="AV262" s="1">
        <v>0</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5" t="str">
        <f>HYPERLINK("http://www.d20pfsrd.com/magic/all-spells/h/helping-hand","Helping Hand")</f>
        <v>Helping Hand</v>
      </c>
      <c r="BT262" s="1">
        <v>261</v>
      </c>
      <c r="BU262" s="1" t="s">
        <v>109</v>
      </c>
      <c r="BV262" s="1"/>
      <c r="BW262" s="1"/>
      <c r="BX262" s="1"/>
      <c r="BY262" s="1"/>
      <c r="BZ262" s="1">
        <v>0</v>
      </c>
      <c r="CA262" s="1" t="s">
        <v>109</v>
      </c>
      <c r="CB262" s="1" t="s">
        <v>109</v>
      </c>
      <c r="CC262" s="1">
        <v>3</v>
      </c>
      <c r="CD262" s="1" t="s">
        <v>109</v>
      </c>
      <c r="CE262" s="1" t="s">
        <v>109</v>
      </c>
      <c r="CF262" s="1" t="s">
        <v>109</v>
      </c>
      <c r="CG262" s="1">
        <v>3</v>
      </c>
      <c r="CH262" s="1" t="s">
        <v>109</v>
      </c>
      <c r="CI262" s="1" t="s">
        <v>109</v>
      </c>
      <c r="CJ262" s="1" t="s">
        <v>109</v>
      </c>
      <c r="CK262" s="1"/>
      <c r="CL262" s="1">
        <v>0</v>
      </c>
      <c r="CM262" s="1">
        <v>0</v>
      </c>
      <c r="CN262" s="1">
        <v>0</v>
      </c>
    </row>
    <row r="263" spans="1:92" ht="14.25" customHeight="1" x14ac:dyDescent="0.15">
      <c r="A263" s="1" t="s">
        <v>2541</v>
      </c>
      <c r="B263" s="1" t="s">
        <v>95</v>
      </c>
      <c r="C263" s="1" t="s">
        <v>96</v>
      </c>
      <c r="D263" s="1"/>
      <c r="E263" s="1" t="s">
        <v>2542</v>
      </c>
      <c r="F263" s="1" t="s">
        <v>395</v>
      </c>
      <c r="G263" s="1" t="s">
        <v>160</v>
      </c>
      <c r="H263" s="1">
        <v>0</v>
      </c>
      <c r="I263" s="1" t="s">
        <v>142</v>
      </c>
      <c r="J263" s="1"/>
      <c r="K263" s="1" t="s">
        <v>2543</v>
      </c>
      <c r="L263" s="1"/>
      <c r="M263" s="1" t="s">
        <v>2544</v>
      </c>
      <c r="N263" s="1">
        <v>0</v>
      </c>
      <c r="O263" s="1">
        <v>0</v>
      </c>
      <c r="P263" s="1" t="s">
        <v>103</v>
      </c>
      <c r="Q263" s="1" t="s">
        <v>104</v>
      </c>
      <c r="R263" s="1" t="s">
        <v>2545</v>
      </c>
      <c r="S263" s="1" t="s">
        <v>2546</v>
      </c>
      <c r="T263" s="1" t="s">
        <v>107</v>
      </c>
      <c r="U263" s="1" t="s">
        <v>2547</v>
      </c>
      <c r="V263" s="1">
        <v>1</v>
      </c>
      <c r="W263" s="1">
        <v>1</v>
      </c>
      <c r="X263" s="1">
        <v>0</v>
      </c>
      <c r="Y263" s="1">
        <v>0</v>
      </c>
      <c r="Z263" s="1">
        <v>1</v>
      </c>
      <c r="AA263" s="1" t="s">
        <v>109</v>
      </c>
      <c r="AB263" s="1" t="s">
        <v>109</v>
      </c>
      <c r="AC263" s="1">
        <v>6</v>
      </c>
      <c r="AD263" s="1" t="s">
        <v>109</v>
      </c>
      <c r="AE263" s="1" t="s">
        <v>109</v>
      </c>
      <c r="AF263" s="1">
        <v>6</v>
      </c>
      <c r="AG263" s="1" t="s">
        <v>109</v>
      </c>
      <c r="AH263" s="1" t="s">
        <v>109</v>
      </c>
      <c r="AI263" s="1" t="s">
        <v>109</v>
      </c>
      <c r="AJ263" s="1" t="s">
        <v>109</v>
      </c>
      <c r="AK263" s="1">
        <v>6</v>
      </c>
      <c r="AL263" s="1">
        <v>6</v>
      </c>
      <c r="AM263" s="1" t="s">
        <v>109</v>
      </c>
      <c r="AN263" s="1" t="s">
        <v>109</v>
      </c>
      <c r="AO263" s="1" t="s">
        <v>109</v>
      </c>
      <c r="AP263" s="1"/>
      <c r="AQ263" s="1">
        <v>6</v>
      </c>
      <c r="AR263" s="1" t="s">
        <v>2548</v>
      </c>
      <c r="AS263" s="1" t="s">
        <v>2549</v>
      </c>
      <c r="AT263" s="1">
        <v>0</v>
      </c>
      <c r="AU263" s="1">
        <v>0</v>
      </c>
      <c r="AV263" s="1">
        <v>0</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5" t="str">
        <f>HYPERLINK("http://www.d20pfsrd.com/magic/all-spells/h/heroes-feast","Heroes' Feast")</f>
        <v>Heroes' Feast</v>
      </c>
      <c r="BT263" s="1">
        <v>262</v>
      </c>
      <c r="BU263" s="1" t="s">
        <v>109</v>
      </c>
      <c r="BV263" s="1"/>
      <c r="BW263" s="1"/>
      <c r="BX263" s="1"/>
      <c r="BY263" s="1"/>
      <c r="BZ263" s="1">
        <v>0</v>
      </c>
      <c r="CA263" s="1" t="s">
        <v>109</v>
      </c>
      <c r="CB263" s="1" t="s">
        <v>109</v>
      </c>
      <c r="CC263" s="1" t="s">
        <v>109</v>
      </c>
      <c r="CD263" s="1" t="s">
        <v>109</v>
      </c>
      <c r="CE263" s="1" t="s">
        <v>109</v>
      </c>
      <c r="CF263" s="1" t="s">
        <v>109</v>
      </c>
      <c r="CG263" s="1" t="s">
        <v>109</v>
      </c>
      <c r="CH263" s="1" t="s">
        <v>109</v>
      </c>
      <c r="CI263" s="1" t="s">
        <v>109</v>
      </c>
      <c r="CJ263" s="1" t="s">
        <v>109</v>
      </c>
      <c r="CK263" s="1"/>
      <c r="CL263" s="1">
        <v>0</v>
      </c>
      <c r="CM263" s="1">
        <v>0</v>
      </c>
      <c r="CN263" s="1">
        <v>0</v>
      </c>
    </row>
    <row r="264" spans="1:92" ht="14.25" customHeight="1" x14ac:dyDescent="0.15">
      <c r="A264" s="1" t="s">
        <v>2550</v>
      </c>
      <c r="B264" s="1" t="s">
        <v>156</v>
      </c>
      <c r="C264" s="1" t="s">
        <v>157</v>
      </c>
      <c r="D264" s="1" t="s">
        <v>158</v>
      </c>
      <c r="E264" s="1" t="s">
        <v>2551</v>
      </c>
      <c r="F264" s="1" t="s">
        <v>98</v>
      </c>
      <c r="G264" s="1" t="s">
        <v>141</v>
      </c>
      <c r="H264" s="1">
        <v>0</v>
      </c>
      <c r="I264" s="1" t="s">
        <v>161</v>
      </c>
      <c r="J264" s="1"/>
      <c r="K264" s="1"/>
      <c r="L264" s="1" t="s">
        <v>506</v>
      </c>
      <c r="M264" s="1" t="s">
        <v>194</v>
      </c>
      <c r="N264" s="1">
        <v>0</v>
      </c>
      <c r="O264" s="1">
        <v>0</v>
      </c>
      <c r="P264" s="1" t="s">
        <v>507</v>
      </c>
      <c r="Q264" s="1" t="s">
        <v>167</v>
      </c>
      <c r="R264" s="1" t="s">
        <v>2552</v>
      </c>
      <c r="S264" s="1" t="s">
        <v>2553</v>
      </c>
      <c r="T264" s="1" t="s">
        <v>107</v>
      </c>
      <c r="U264" s="1" t="s">
        <v>2554</v>
      </c>
      <c r="V264" s="1">
        <v>1</v>
      </c>
      <c r="W264" s="1">
        <v>1</v>
      </c>
      <c r="X264" s="1">
        <v>0</v>
      </c>
      <c r="Y264" s="1">
        <v>0</v>
      </c>
      <c r="Z264" s="1">
        <v>0</v>
      </c>
      <c r="AA264" s="1">
        <v>3</v>
      </c>
      <c r="AB264" s="1">
        <v>3</v>
      </c>
      <c r="AC264" s="1" t="s">
        <v>109</v>
      </c>
      <c r="AD264" s="1" t="s">
        <v>109</v>
      </c>
      <c r="AE264" s="1" t="s">
        <v>109</v>
      </c>
      <c r="AF264" s="1">
        <v>2</v>
      </c>
      <c r="AG264" s="1" t="s">
        <v>109</v>
      </c>
      <c r="AH264" s="1">
        <v>3</v>
      </c>
      <c r="AI264" s="1">
        <v>3</v>
      </c>
      <c r="AJ264" s="1">
        <v>3</v>
      </c>
      <c r="AK264" s="1">
        <v>3</v>
      </c>
      <c r="AL264" s="1" t="s">
        <v>109</v>
      </c>
      <c r="AM264" s="1" t="s">
        <v>109</v>
      </c>
      <c r="AN264" s="1" t="s">
        <v>109</v>
      </c>
      <c r="AO264" s="1" t="s">
        <v>109</v>
      </c>
      <c r="AP264" s="1"/>
      <c r="AQ264" s="1">
        <v>3</v>
      </c>
      <c r="AR264" s="1" t="s">
        <v>2555</v>
      </c>
      <c r="AS264" s="1" t="s">
        <v>2556</v>
      </c>
      <c r="AT264" s="1">
        <v>0</v>
      </c>
      <c r="AU264" s="1">
        <v>0</v>
      </c>
      <c r="AV264" s="1">
        <v>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1</v>
      </c>
      <c r="BN264" s="1">
        <v>0</v>
      </c>
      <c r="BO264" s="1">
        <v>0</v>
      </c>
      <c r="BP264" s="1">
        <v>0</v>
      </c>
      <c r="BQ264" s="1">
        <v>0</v>
      </c>
      <c r="BR264" s="1">
        <v>0</v>
      </c>
      <c r="BS264" s="5" t="str">
        <f>HYPERLINK("http://www.d20pfsrd.com/magic/all-spells/h/heroism","Heroism")</f>
        <v>Heroism</v>
      </c>
      <c r="BT264" s="1">
        <v>263</v>
      </c>
      <c r="BU264" s="1" t="s">
        <v>109</v>
      </c>
      <c r="BV264" s="1" t="s">
        <v>2557</v>
      </c>
      <c r="BW264" s="1"/>
      <c r="BX264" s="1" t="s">
        <v>2558</v>
      </c>
      <c r="BY264" s="1" t="s">
        <v>2559</v>
      </c>
      <c r="BZ264" s="1">
        <v>1</v>
      </c>
      <c r="CA264" s="1">
        <v>3</v>
      </c>
      <c r="CB264" s="1" t="s">
        <v>109</v>
      </c>
      <c r="CC264" s="1">
        <v>3</v>
      </c>
      <c r="CD264" s="1" t="s">
        <v>109</v>
      </c>
      <c r="CE264" s="1" t="s">
        <v>109</v>
      </c>
      <c r="CF264" s="1" t="s">
        <v>109</v>
      </c>
      <c r="CG264" s="1">
        <v>3</v>
      </c>
      <c r="CH264" s="1" t="s">
        <v>109</v>
      </c>
      <c r="CI264" s="1" t="s">
        <v>109</v>
      </c>
      <c r="CJ264" s="1" t="s">
        <v>109</v>
      </c>
      <c r="CK264" s="1"/>
      <c r="CL264" s="1">
        <v>0</v>
      </c>
      <c r="CM264" s="1">
        <v>0</v>
      </c>
      <c r="CN264" s="1">
        <v>0</v>
      </c>
    </row>
    <row r="265" spans="1:92" ht="14.25" customHeight="1" x14ac:dyDescent="0.15">
      <c r="A265" s="1" t="s">
        <v>2560</v>
      </c>
      <c r="B265" s="1" t="s">
        <v>156</v>
      </c>
      <c r="C265" s="1" t="s">
        <v>157</v>
      </c>
      <c r="D265" s="1" t="s">
        <v>158</v>
      </c>
      <c r="E265" s="1" t="s">
        <v>2561</v>
      </c>
      <c r="F265" s="1" t="s">
        <v>98</v>
      </c>
      <c r="G265" s="1" t="s">
        <v>141</v>
      </c>
      <c r="H265" s="1">
        <v>0</v>
      </c>
      <c r="I265" s="1" t="s">
        <v>161</v>
      </c>
      <c r="J265" s="1"/>
      <c r="K265" s="1"/>
      <c r="L265" s="1" t="s">
        <v>506</v>
      </c>
      <c r="M265" s="1" t="s">
        <v>164</v>
      </c>
      <c r="N265" s="1">
        <v>0</v>
      </c>
      <c r="O265" s="1">
        <v>0</v>
      </c>
      <c r="P265" s="1" t="s">
        <v>507</v>
      </c>
      <c r="Q265" s="1" t="s">
        <v>167</v>
      </c>
      <c r="R265" s="1" t="s">
        <v>2562</v>
      </c>
      <c r="S265" s="1" t="s">
        <v>2563</v>
      </c>
      <c r="T265" s="1" t="s">
        <v>107</v>
      </c>
      <c r="U265" s="1" t="s">
        <v>2564</v>
      </c>
      <c r="V265" s="1">
        <v>1</v>
      </c>
      <c r="W265" s="1">
        <v>1</v>
      </c>
      <c r="X265" s="1">
        <v>0</v>
      </c>
      <c r="Y265" s="1">
        <v>0</v>
      </c>
      <c r="Z265" s="1">
        <v>0</v>
      </c>
      <c r="AA265" s="1">
        <v>6</v>
      </c>
      <c r="AB265" s="1">
        <v>6</v>
      </c>
      <c r="AC265" s="1" t="s">
        <v>109</v>
      </c>
      <c r="AD265" s="1" t="s">
        <v>109</v>
      </c>
      <c r="AE265" s="1" t="s">
        <v>109</v>
      </c>
      <c r="AF265" s="1">
        <v>5</v>
      </c>
      <c r="AG265" s="1" t="s">
        <v>109</v>
      </c>
      <c r="AH265" s="1" t="s">
        <v>109</v>
      </c>
      <c r="AI265" s="1">
        <v>5</v>
      </c>
      <c r="AJ265" s="1">
        <v>6</v>
      </c>
      <c r="AK265" s="1" t="s">
        <v>109</v>
      </c>
      <c r="AL265" s="1" t="s">
        <v>109</v>
      </c>
      <c r="AM265" s="1" t="s">
        <v>109</v>
      </c>
      <c r="AN265" s="1" t="s">
        <v>109</v>
      </c>
      <c r="AO265" s="1" t="s">
        <v>109</v>
      </c>
      <c r="AP265" s="1"/>
      <c r="AQ265" s="1">
        <v>6</v>
      </c>
      <c r="AR265" s="1" t="s">
        <v>2565</v>
      </c>
      <c r="AS265" s="1" t="s">
        <v>2566</v>
      </c>
      <c r="AT265" s="1">
        <v>0</v>
      </c>
      <c r="AU265" s="1">
        <v>0</v>
      </c>
      <c r="AV265" s="1">
        <v>0</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1</v>
      </c>
      <c r="BN265" s="1">
        <v>0</v>
      </c>
      <c r="BO265" s="1">
        <v>0</v>
      </c>
      <c r="BP265" s="1">
        <v>0</v>
      </c>
      <c r="BQ265" s="1">
        <v>0</v>
      </c>
      <c r="BR265" s="1">
        <v>0</v>
      </c>
      <c r="BS265" s="5" t="str">
        <f>HYPERLINK("http://www.d20pfsrd.com/magic/all-spells/h/heroism","Heroism, Greater")</f>
        <v>Heroism, Greater</v>
      </c>
      <c r="BT265" s="1">
        <v>264</v>
      </c>
      <c r="BU265" s="1" t="s">
        <v>109</v>
      </c>
      <c r="BV265" s="1" t="s">
        <v>2567</v>
      </c>
      <c r="BW265" s="1" t="s">
        <v>2568</v>
      </c>
      <c r="BX265" s="1"/>
      <c r="BY265" s="1"/>
      <c r="BZ265" s="1">
        <v>0</v>
      </c>
      <c r="CA265" s="1" t="s">
        <v>109</v>
      </c>
      <c r="CB265" s="1" t="s">
        <v>109</v>
      </c>
      <c r="CC265" s="1">
        <v>6</v>
      </c>
      <c r="CD265" s="1" t="s">
        <v>109</v>
      </c>
      <c r="CE265" s="1" t="s">
        <v>109</v>
      </c>
      <c r="CF265" s="1" t="s">
        <v>109</v>
      </c>
      <c r="CG265" s="1">
        <v>6</v>
      </c>
      <c r="CH265" s="1" t="s">
        <v>109</v>
      </c>
      <c r="CI265" s="1" t="s">
        <v>109</v>
      </c>
      <c r="CJ265" s="1" t="s">
        <v>109</v>
      </c>
      <c r="CK265" s="1"/>
      <c r="CL265" s="1">
        <v>0</v>
      </c>
      <c r="CM265" s="1">
        <v>0</v>
      </c>
      <c r="CN265" s="1">
        <v>0</v>
      </c>
    </row>
    <row r="266" spans="1:92" ht="14.25" customHeight="1" x14ac:dyDescent="0.15">
      <c r="A266" s="1" t="s">
        <v>2569</v>
      </c>
      <c r="B266" s="1" t="s">
        <v>242</v>
      </c>
      <c r="C266" s="1"/>
      <c r="D266" s="1"/>
      <c r="E266" s="1" t="s">
        <v>1839</v>
      </c>
      <c r="F266" s="1" t="s">
        <v>98</v>
      </c>
      <c r="G266" s="1" t="s">
        <v>2570</v>
      </c>
      <c r="H266" s="1">
        <v>0</v>
      </c>
      <c r="I266" s="1" t="s">
        <v>161</v>
      </c>
      <c r="J266" s="1"/>
      <c r="K266" s="1"/>
      <c r="L266" s="1" t="s">
        <v>2571</v>
      </c>
      <c r="M266" s="1" t="s">
        <v>194</v>
      </c>
      <c r="N266" s="1">
        <v>1</v>
      </c>
      <c r="O266" s="1">
        <v>0</v>
      </c>
      <c r="P266" s="1" t="s">
        <v>507</v>
      </c>
      <c r="Q266" s="1" t="s">
        <v>268</v>
      </c>
      <c r="R266" s="1" t="s">
        <v>2572</v>
      </c>
      <c r="S266" s="1" t="s">
        <v>2573</v>
      </c>
      <c r="T266" s="1" t="s">
        <v>107</v>
      </c>
      <c r="U266" s="1" t="s">
        <v>2574</v>
      </c>
      <c r="V266" s="1">
        <v>0</v>
      </c>
      <c r="W266" s="1">
        <v>1</v>
      </c>
      <c r="X266" s="1">
        <v>0</v>
      </c>
      <c r="Y266" s="1">
        <v>0</v>
      </c>
      <c r="Z266" s="1">
        <v>1</v>
      </c>
      <c r="AA266" s="1" t="s">
        <v>109</v>
      </c>
      <c r="AB266" s="1" t="s">
        <v>109</v>
      </c>
      <c r="AC266" s="1" t="s">
        <v>109</v>
      </c>
      <c r="AD266" s="1">
        <v>1</v>
      </c>
      <c r="AE266" s="1">
        <v>1</v>
      </c>
      <c r="AF266" s="1" t="s">
        <v>109</v>
      </c>
      <c r="AG266" s="1" t="s">
        <v>109</v>
      </c>
      <c r="AH266" s="1" t="s">
        <v>109</v>
      </c>
      <c r="AI266" s="1" t="s">
        <v>109</v>
      </c>
      <c r="AJ266" s="1" t="s">
        <v>109</v>
      </c>
      <c r="AK266" s="1" t="s">
        <v>109</v>
      </c>
      <c r="AL266" s="1" t="s">
        <v>109</v>
      </c>
      <c r="AM266" s="1" t="s">
        <v>109</v>
      </c>
      <c r="AN266" s="1" t="s">
        <v>109</v>
      </c>
      <c r="AO266" s="1" t="s">
        <v>109</v>
      </c>
      <c r="AP266" s="1"/>
      <c r="AQ266" s="1">
        <v>1</v>
      </c>
      <c r="AR266" s="1"/>
      <c r="AS266" s="1" t="s">
        <v>2575</v>
      </c>
      <c r="AT266" s="1">
        <v>0</v>
      </c>
      <c r="AU266" s="1">
        <v>0</v>
      </c>
      <c r="AV266" s="1">
        <v>0</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5" t="str">
        <f>HYPERLINK("http://www.d20pfsrd.com/magic/all-spells/h/hide-from-animals","Hide from Animals")</f>
        <v>Hide from Animals</v>
      </c>
      <c r="BT266" s="1">
        <v>265</v>
      </c>
      <c r="BU266" s="1" t="s">
        <v>109</v>
      </c>
      <c r="BV266" s="1"/>
      <c r="BW266" s="1"/>
      <c r="BX266" s="1"/>
      <c r="BY266" s="1"/>
      <c r="BZ266" s="1">
        <v>0</v>
      </c>
      <c r="CA266" s="1" t="s">
        <v>109</v>
      </c>
      <c r="CB266" s="1">
        <v>1</v>
      </c>
      <c r="CC266" s="1" t="s">
        <v>109</v>
      </c>
      <c r="CD266" s="1" t="s">
        <v>109</v>
      </c>
      <c r="CE266" s="1" t="s">
        <v>109</v>
      </c>
      <c r="CF266" s="1" t="s">
        <v>109</v>
      </c>
      <c r="CG266" s="1" t="s">
        <v>109</v>
      </c>
      <c r="CH266" s="1" t="s">
        <v>109</v>
      </c>
      <c r="CI266" s="1" t="s">
        <v>109</v>
      </c>
      <c r="CJ266" s="1">
        <v>1</v>
      </c>
      <c r="CK266" s="1"/>
      <c r="CL266" s="1">
        <v>0</v>
      </c>
      <c r="CM266" s="1">
        <v>0</v>
      </c>
      <c r="CN266" s="1">
        <v>0</v>
      </c>
    </row>
    <row r="267" spans="1:92" ht="14.25" customHeight="1" x14ac:dyDescent="0.15">
      <c r="A267" s="1" t="s">
        <v>2576</v>
      </c>
      <c r="B267" s="1" t="s">
        <v>242</v>
      </c>
      <c r="C267" s="1"/>
      <c r="D267" s="1"/>
      <c r="E267" s="1" t="s">
        <v>2577</v>
      </c>
      <c r="F267" s="1" t="s">
        <v>98</v>
      </c>
      <c r="G267" s="1" t="s">
        <v>160</v>
      </c>
      <c r="H267" s="1">
        <v>0</v>
      </c>
      <c r="I267" s="1" t="s">
        <v>161</v>
      </c>
      <c r="J267" s="1"/>
      <c r="K267" s="1"/>
      <c r="L267" s="1" t="s">
        <v>2578</v>
      </c>
      <c r="M267" s="1" t="s">
        <v>194</v>
      </c>
      <c r="N267" s="1">
        <v>1</v>
      </c>
      <c r="O267" s="1">
        <v>0</v>
      </c>
      <c r="P267" s="1" t="s">
        <v>2579</v>
      </c>
      <c r="Q267" s="1" t="s">
        <v>268</v>
      </c>
      <c r="R267" s="1" t="s">
        <v>2580</v>
      </c>
      <c r="S267" s="1" t="s">
        <v>2581</v>
      </c>
      <c r="T267" s="1" t="s">
        <v>107</v>
      </c>
      <c r="U267" s="1" t="s">
        <v>2582</v>
      </c>
      <c r="V267" s="1">
        <v>1</v>
      </c>
      <c r="W267" s="1">
        <v>1</v>
      </c>
      <c r="X267" s="1">
        <v>0</v>
      </c>
      <c r="Y267" s="1">
        <v>0</v>
      </c>
      <c r="Z267" s="1">
        <v>1</v>
      </c>
      <c r="AA267" s="1" t="s">
        <v>109</v>
      </c>
      <c r="AB267" s="1" t="s">
        <v>109</v>
      </c>
      <c r="AC267" s="1">
        <v>1</v>
      </c>
      <c r="AD267" s="1" t="s">
        <v>109</v>
      </c>
      <c r="AE267" s="1" t="s">
        <v>109</v>
      </c>
      <c r="AF267" s="1" t="s">
        <v>109</v>
      </c>
      <c r="AG267" s="1" t="s">
        <v>109</v>
      </c>
      <c r="AH267" s="1" t="s">
        <v>109</v>
      </c>
      <c r="AI267" s="1" t="s">
        <v>109</v>
      </c>
      <c r="AJ267" s="1" t="s">
        <v>109</v>
      </c>
      <c r="AK267" s="1">
        <v>1</v>
      </c>
      <c r="AL267" s="1">
        <v>1</v>
      </c>
      <c r="AM267" s="1" t="s">
        <v>109</v>
      </c>
      <c r="AN267" s="1" t="s">
        <v>109</v>
      </c>
      <c r="AO267" s="1" t="s">
        <v>109</v>
      </c>
      <c r="AP267" s="1"/>
      <c r="AQ267" s="1">
        <v>1</v>
      </c>
      <c r="AR267" s="1"/>
      <c r="AS267" s="1" t="s">
        <v>2583</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5" t="str">
        <f>HYPERLINK("http://www.d20pfsrd.com/magic/all-spells/h/hide-from-undead","Hide from Undead")</f>
        <v>Hide from Undead</v>
      </c>
      <c r="BT267" s="1">
        <v>266</v>
      </c>
      <c r="BU267" s="1" t="s">
        <v>109</v>
      </c>
      <c r="BV267" s="1"/>
      <c r="BW267" s="1"/>
      <c r="BX267" s="1"/>
      <c r="BY267" s="1"/>
      <c r="BZ267" s="1">
        <v>0</v>
      </c>
      <c r="CA267" s="1" t="s">
        <v>109</v>
      </c>
      <c r="CB267" s="1" t="s">
        <v>109</v>
      </c>
      <c r="CC267" s="1" t="s">
        <v>109</v>
      </c>
      <c r="CD267" s="1" t="s">
        <v>109</v>
      </c>
      <c r="CE267" s="1" t="s">
        <v>109</v>
      </c>
      <c r="CF267" s="1" t="s">
        <v>109</v>
      </c>
      <c r="CG267" s="1" t="s">
        <v>109</v>
      </c>
      <c r="CH267" s="1" t="s">
        <v>109</v>
      </c>
      <c r="CI267" s="1" t="s">
        <v>109</v>
      </c>
      <c r="CJ267" s="1" t="s">
        <v>109</v>
      </c>
      <c r="CK267" s="1"/>
      <c r="CL267" s="1">
        <v>0</v>
      </c>
      <c r="CM267" s="1">
        <v>0</v>
      </c>
      <c r="CN267" s="1">
        <v>0</v>
      </c>
    </row>
    <row r="268" spans="1:92" ht="14.25" customHeight="1" x14ac:dyDescent="0.15">
      <c r="A268" s="1" t="s">
        <v>2584</v>
      </c>
      <c r="B268" s="1" t="s">
        <v>156</v>
      </c>
      <c r="C268" s="1" t="s">
        <v>157</v>
      </c>
      <c r="D268" s="1" t="s">
        <v>158</v>
      </c>
      <c r="E268" s="1" t="s">
        <v>2585</v>
      </c>
      <c r="F268" s="1" t="s">
        <v>98</v>
      </c>
      <c r="G268" s="1" t="s">
        <v>2586</v>
      </c>
      <c r="H268" s="1">
        <v>0</v>
      </c>
      <c r="I268" s="1" t="s">
        <v>142</v>
      </c>
      <c r="J268" s="1"/>
      <c r="K268" s="1"/>
      <c r="L268" s="1" t="s">
        <v>2587</v>
      </c>
      <c r="M268" s="1" t="s">
        <v>125</v>
      </c>
      <c r="N268" s="1">
        <v>0</v>
      </c>
      <c r="O268" s="1">
        <v>0</v>
      </c>
      <c r="P268" s="1" t="s">
        <v>301</v>
      </c>
      <c r="Q268" s="1" t="s">
        <v>268</v>
      </c>
      <c r="R268" s="1" t="s">
        <v>2588</v>
      </c>
      <c r="S268" s="1" t="s">
        <v>2589</v>
      </c>
      <c r="T268" s="1" t="s">
        <v>107</v>
      </c>
      <c r="U268" s="1" t="s">
        <v>2590</v>
      </c>
      <c r="V268" s="1">
        <v>1</v>
      </c>
      <c r="W268" s="1">
        <v>1</v>
      </c>
      <c r="X268" s="1">
        <v>1</v>
      </c>
      <c r="Y268" s="1">
        <v>0</v>
      </c>
      <c r="Z268" s="1">
        <v>0</v>
      </c>
      <c r="AA268" s="1">
        <v>2</v>
      </c>
      <c r="AB268" s="1">
        <v>2</v>
      </c>
      <c r="AC268" s="1" t="s">
        <v>109</v>
      </c>
      <c r="AD268" s="1" t="s">
        <v>109</v>
      </c>
      <c r="AE268" s="1" t="s">
        <v>109</v>
      </c>
      <c r="AF268" s="1">
        <v>1</v>
      </c>
      <c r="AG268" s="1" t="s">
        <v>109</v>
      </c>
      <c r="AH268" s="1" t="s">
        <v>109</v>
      </c>
      <c r="AI268" s="1" t="s">
        <v>109</v>
      </c>
      <c r="AJ268" s="1" t="s">
        <v>109</v>
      </c>
      <c r="AK268" s="1" t="s">
        <v>109</v>
      </c>
      <c r="AL268" s="1" t="s">
        <v>109</v>
      </c>
      <c r="AM268" s="1" t="s">
        <v>109</v>
      </c>
      <c r="AN268" s="1" t="s">
        <v>109</v>
      </c>
      <c r="AO268" s="1" t="s">
        <v>109</v>
      </c>
      <c r="AP268" s="1"/>
      <c r="AQ268" s="1">
        <v>2</v>
      </c>
      <c r="AR268" s="1" t="s">
        <v>2591</v>
      </c>
      <c r="AS268" s="1" t="s">
        <v>2592</v>
      </c>
      <c r="AT268" s="1">
        <v>0</v>
      </c>
      <c r="AU268" s="1">
        <v>0</v>
      </c>
      <c r="AV268" s="1">
        <v>0</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1</v>
      </c>
      <c r="BN268" s="1">
        <v>0</v>
      </c>
      <c r="BO268" s="1">
        <v>0</v>
      </c>
      <c r="BP268" s="1">
        <v>0</v>
      </c>
      <c r="BQ268" s="1">
        <v>0</v>
      </c>
      <c r="BR268" s="1">
        <v>0</v>
      </c>
      <c r="BS268" s="5" t="str">
        <f>HYPERLINK("http://www.d20pfsrd.com/magic/all-spells/h/hideous-laughter","Hideous Laughter")</f>
        <v>Hideous Laughter</v>
      </c>
      <c r="BT268" s="1">
        <v>267</v>
      </c>
      <c r="BU268" s="1" t="s">
        <v>109</v>
      </c>
      <c r="BV268" s="1" t="s">
        <v>2593</v>
      </c>
      <c r="BW268" s="1" t="s">
        <v>2594</v>
      </c>
      <c r="BX268" s="1"/>
      <c r="BY268" s="1"/>
      <c r="BZ268" s="1">
        <v>0</v>
      </c>
      <c r="CA268" s="1" t="s">
        <v>109</v>
      </c>
      <c r="CB268" s="1" t="s">
        <v>109</v>
      </c>
      <c r="CC268" s="1">
        <v>2</v>
      </c>
      <c r="CD268" s="1" t="s">
        <v>109</v>
      </c>
      <c r="CE268" s="1">
        <v>1</v>
      </c>
      <c r="CF268" s="1" t="s">
        <v>109</v>
      </c>
      <c r="CG268" s="1" t="s">
        <v>109</v>
      </c>
      <c r="CH268" s="1" t="s">
        <v>109</v>
      </c>
      <c r="CI268" s="1" t="s">
        <v>109</v>
      </c>
      <c r="CJ268" s="1" t="s">
        <v>109</v>
      </c>
      <c r="CK268" s="1"/>
      <c r="CL268" s="1">
        <v>0</v>
      </c>
      <c r="CM268" s="1">
        <v>0</v>
      </c>
      <c r="CN268" s="1">
        <v>0</v>
      </c>
    </row>
    <row r="269" spans="1:92" ht="14.25" customHeight="1" x14ac:dyDescent="0.15">
      <c r="A269" s="1" t="s">
        <v>2595</v>
      </c>
      <c r="B269" s="1" t="s">
        <v>156</v>
      </c>
      <c r="C269" s="1" t="s">
        <v>157</v>
      </c>
      <c r="D269" s="1" t="s">
        <v>158</v>
      </c>
      <c r="E269" s="1" t="s">
        <v>2596</v>
      </c>
      <c r="F269" s="1" t="s">
        <v>98</v>
      </c>
      <c r="G269" s="1" t="s">
        <v>2597</v>
      </c>
      <c r="H269" s="1">
        <v>0</v>
      </c>
      <c r="I269" s="1" t="s">
        <v>122</v>
      </c>
      <c r="J269" s="1"/>
      <c r="K269" s="1"/>
      <c r="L269" s="1" t="s">
        <v>836</v>
      </c>
      <c r="M269" s="1" t="s">
        <v>2598</v>
      </c>
      <c r="N269" s="1">
        <v>1</v>
      </c>
      <c r="O269" s="1">
        <v>0</v>
      </c>
      <c r="P269" s="1" t="s">
        <v>564</v>
      </c>
      <c r="Q269" s="1" t="s">
        <v>268</v>
      </c>
      <c r="R269" s="1" t="s">
        <v>2599</v>
      </c>
      <c r="S269" s="1" t="s">
        <v>2600</v>
      </c>
      <c r="T269" s="1" t="s">
        <v>107</v>
      </c>
      <c r="U269" s="1" t="s">
        <v>2601</v>
      </c>
      <c r="V269" s="1">
        <v>1</v>
      </c>
      <c r="W269" s="1">
        <v>1</v>
      </c>
      <c r="X269" s="1">
        <v>0</v>
      </c>
      <c r="Y269" s="1">
        <v>1</v>
      </c>
      <c r="Z269" s="1">
        <v>1</v>
      </c>
      <c r="AA269" s="1">
        <v>3</v>
      </c>
      <c r="AB269" s="1">
        <v>3</v>
      </c>
      <c r="AC269" s="1">
        <v>2</v>
      </c>
      <c r="AD269" s="1" t="s">
        <v>109</v>
      </c>
      <c r="AE269" s="1" t="s">
        <v>109</v>
      </c>
      <c r="AF269" s="1">
        <v>2</v>
      </c>
      <c r="AG269" s="1" t="s">
        <v>109</v>
      </c>
      <c r="AH269" s="1" t="s">
        <v>109</v>
      </c>
      <c r="AI269" s="1" t="s">
        <v>109</v>
      </c>
      <c r="AJ269" s="1">
        <v>2</v>
      </c>
      <c r="AK269" s="1">
        <v>2</v>
      </c>
      <c r="AL269" s="1">
        <v>2</v>
      </c>
      <c r="AM269" s="1">
        <v>2</v>
      </c>
      <c r="AN269" s="1" t="s">
        <v>109</v>
      </c>
      <c r="AO269" s="1" t="s">
        <v>109</v>
      </c>
      <c r="AP269" s="1"/>
      <c r="AQ269" s="1">
        <v>3</v>
      </c>
      <c r="AR269" s="1"/>
      <c r="AS269" s="1" t="s">
        <v>2602</v>
      </c>
      <c r="AT269" s="1">
        <v>0</v>
      </c>
      <c r="AU269" s="1">
        <v>0</v>
      </c>
      <c r="AV269" s="1">
        <v>0</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1</v>
      </c>
      <c r="BN269" s="1">
        <v>0</v>
      </c>
      <c r="BO269" s="1">
        <v>0</v>
      </c>
      <c r="BP269" s="1">
        <v>0</v>
      </c>
      <c r="BQ269" s="1">
        <v>0</v>
      </c>
      <c r="BR269" s="1">
        <v>0</v>
      </c>
      <c r="BS269" s="5" t="str">
        <f>HYPERLINK("http://www.d20pfsrd.com/magic/all-spells/h/hold-person","Hold Person")</f>
        <v>Hold Person</v>
      </c>
      <c r="BT269" s="1">
        <v>268</v>
      </c>
      <c r="BU269" s="1" t="s">
        <v>109</v>
      </c>
      <c r="BV269" s="1"/>
      <c r="BW269" s="1"/>
      <c r="BX269" s="1"/>
      <c r="BY269" s="1"/>
      <c r="BZ269" s="1">
        <v>0</v>
      </c>
      <c r="CA269" s="1">
        <v>3</v>
      </c>
      <c r="CB269" s="1">
        <v>2</v>
      </c>
      <c r="CC269" s="1">
        <v>2</v>
      </c>
      <c r="CD269" s="1" t="s">
        <v>109</v>
      </c>
      <c r="CE269" s="1">
        <v>2</v>
      </c>
      <c r="CF269" s="1">
        <v>3</v>
      </c>
      <c r="CG269" s="1" t="s">
        <v>109</v>
      </c>
      <c r="CH269" s="1" t="s">
        <v>109</v>
      </c>
      <c r="CI269" s="1" t="s">
        <v>109</v>
      </c>
      <c r="CJ269" s="1" t="s">
        <v>109</v>
      </c>
      <c r="CK269" s="1"/>
      <c r="CL269" s="1">
        <v>0</v>
      </c>
      <c r="CM269" s="1">
        <v>0</v>
      </c>
      <c r="CN269" s="1">
        <v>0</v>
      </c>
    </row>
    <row r="270" spans="1:92" ht="14.25" customHeight="1" x14ac:dyDescent="0.15">
      <c r="A270" s="1" t="s">
        <v>2603</v>
      </c>
      <c r="B270" s="1" t="s">
        <v>156</v>
      </c>
      <c r="C270" s="1" t="s">
        <v>157</v>
      </c>
      <c r="D270" s="1" t="s">
        <v>158</v>
      </c>
      <c r="E270" s="1" t="s">
        <v>2604</v>
      </c>
      <c r="F270" s="1" t="s">
        <v>98</v>
      </c>
      <c r="G270" s="1" t="s">
        <v>2605</v>
      </c>
      <c r="H270" s="1">
        <v>0</v>
      </c>
      <c r="I270" s="1" t="s">
        <v>122</v>
      </c>
      <c r="J270" s="1"/>
      <c r="K270" s="1"/>
      <c r="L270" s="1" t="s">
        <v>563</v>
      </c>
      <c r="M270" s="1" t="s">
        <v>2598</v>
      </c>
      <c r="N270" s="1">
        <v>1</v>
      </c>
      <c r="O270" s="1">
        <v>0</v>
      </c>
      <c r="P270" s="1" t="s">
        <v>564</v>
      </c>
      <c r="Q270" s="1" t="s">
        <v>268</v>
      </c>
      <c r="R270" s="1" t="s">
        <v>2606</v>
      </c>
      <c r="S270" s="1" t="s">
        <v>2607</v>
      </c>
      <c r="T270" s="1" t="s">
        <v>107</v>
      </c>
      <c r="U270" s="1" t="s">
        <v>2608</v>
      </c>
      <c r="V270" s="1">
        <v>1</v>
      </c>
      <c r="W270" s="1">
        <v>1</v>
      </c>
      <c r="X270" s="1">
        <v>1</v>
      </c>
      <c r="Y270" s="1">
        <v>0</v>
      </c>
      <c r="Z270" s="1">
        <v>1</v>
      </c>
      <c r="AA270" s="1">
        <v>5</v>
      </c>
      <c r="AB270" s="1">
        <v>5</v>
      </c>
      <c r="AC270" s="1" t="s">
        <v>109</v>
      </c>
      <c r="AD270" s="1" t="s">
        <v>109</v>
      </c>
      <c r="AE270" s="1" t="s">
        <v>109</v>
      </c>
      <c r="AF270" s="1">
        <v>4</v>
      </c>
      <c r="AG270" s="1" t="s">
        <v>109</v>
      </c>
      <c r="AH270" s="1" t="s">
        <v>109</v>
      </c>
      <c r="AI270" s="1">
        <v>4</v>
      </c>
      <c r="AJ270" s="1">
        <v>5</v>
      </c>
      <c r="AK270" s="1">
        <v>4</v>
      </c>
      <c r="AL270" s="1" t="s">
        <v>109</v>
      </c>
      <c r="AM270" s="1" t="s">
        <v>109</v>
      </c>
      <c r="AN270" s="1" t="s">
        <v>109</v>
      </c>
      <c r="AO270" s="1" t="s">
        <v>109</v>
      </c>
      <c r="AP270" s="1"/>
      <c r="AQ270" s="1">
        <v>5</v>
      </c>
      <c r="AR270" s="1" t="s">
        <v>2609</v>
      </c>
      <c r="AS270" s="1" t="s">
        <v>2610</v>
      </c>
      <c r="AT270" s="1">
        <v>0</v>
      </c>
      <c r="AU270" s="1">
        <v>0</v>
      </c>
      <c r="AV270" s="1">
        <v>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1</v>
      </c>
      <c r="BN270" s="1">
        <v>0</v>
      </c>
      <c r="BO270" s="1">
        <v>0</v>
      </c>
      <c r="BP270" s="1">
        <v>0</v>
      </c>
      <c r="BQ270" s="1">
        <v>0</v>
      </c>
      <c r="BR270" s="1">
        <v>0</v>
      </c>
      <c r="BS270" s="5" t="str">
        <f>HYPERLINK("http://www.d20pfsrd.com/magic/all-spells/h/hold-monster","Hold Monster")</f>
        <v>Hold Monster</v>
      </c>
      <c r="BT270" s="1">
        <v>269</v>
      </c>
      <c r="BU270" s="1" t="s">
        <v>109</v>
      </c>
      <c r="BV270" s="1" t="s">
        <v>2611</v>
      </c>
      <c r="BW270" s="1"/>
      <c r="BX270" s="1"/>
      <c r="BY270" s="1"/>
      <c r="BZ270" s="1">
        <v>0</v>
      </c>
      <c r="CA270" s="1" t="s">
        <v>109</v>
      </c>
      <c r="CB270" s="1" t="s">
        <v>109</v>
      </c>
      <c r="CC270" s="1">
        <v>5</v>
      </c>
      <c r="CD270" s="1" t="s">
        <v>109</v>
      </c>
      <c r="CE270" s="1">
        <v>4</v>
      </c>
      <c r="CF270" s="1">
        <v>4</v>
      </c>
      <c r="CG270" s="1" t="s">
        <v>109</v>
      </c>
      <c r="CH270" s="1" t="s">
        <v>109</v>
      </c>
      <c r="CI270" s="1" t="s">
        <v>109</v>
      </c>
      <c r="CJ270" s="1" t="s">
        <v>109</v>
      </c>
      <c r="CK270" s="1"/>
      <c r="CL270" s="1">
        <v>0</v>
      </c>
      <c r="CM270" s="1">
        <v>0</v>
      </c>
      <c r="CN270" s="1">
        <v>0</v>
      </c>
    </row>
    <row r="271" spans="1:92" ht="14.25" customHeight="1" x14ac:dyDescent="0.15">
      <c r="A271" s="1" t="s">
        <v>2612</v>
      </c>
      <c r="B271" s="1" t="s">
        <v>156</v>
      </c>
      <c r="C271" s="1" t="s">
        <v>157</v>
      </c>
      <c r="D271" s="1" t="s">
        <v>158</v>
      </c>
      <c r="E271" s="1" t="s">
        <v>2613</v>
      </c>
      <c r="F271" s="1" t="s">
        <v>98</v>
      </c>
      <c r="G271" s="1" t="s">
        <v>2605</v>
      </c>
      <c r="H271" s="1">
        <v>0</v>
      </c>
      <c r="I271" s="1" t="s">
        <v>122</v>
      </c>
      <c r="J271" s="1"/>
      <c r="K271" s="1"/>
      <c r="L271" s="1" t="s">
        <v>2511</v>
      </c>
      <c r="M271" s="1" t="s">
        <v>2598</v>
      </c>
      <c r="N271" s="1">
        <v>1</v>
      </c>
      <c r="O271" s="1">
        <v>0</v>
      </c>
      <c r="P271" s="1" t="s">
        <v>564</v>
      </c>
      <c r="Q271" s="1" t="s">
        <v>268</v>
      </c>
      <c r="R271" s="1" t="s">
        <v>2614</v>
      </c>
      <c r="S271" s="1" t="s">
        <v>2615</v>
      </c>
      <c r="T271" s="1" t="s">
        <v>107</v>
      </c>
      <c r="U271" s="1" t="s">
        <v>2616</v>
      </c>
      <c r="V271" s="1">
        <v>1</v>
      </c>
      <c r="W271" s="1">
        <v>1</v>
      </c>
      <c r="X271" s="1">
        <v>1</v>
      </c>
      <c r="Y271" s="1">
        <v>0</v>
      </c>
      <c r="Z271" s="1">
        <v>1</v>
      </c>
      <c r="AA271" s="1">
        <v>9</v>
      </c>
      <c r="AB271" s="1">
        <v>9</v>
      </c>
      <c r="AC271" s="1" t="s">
        <v>109</v>
      </c>
      <c r="AD271" s="1" t="s">
        <v>109</v>
      </c>
      <c r="AE271" s="1" t="s">
        <v>109</v>
      </c>
      <c r="AF271" s="1" t="s">
        <v>109</v>
      </c>
      <c r="AG271" s="1" t="s">
        <v>109</v>
      </c>
      <c r="AH271" s="1" t="s">
        <v>109</v>
      </c>
      <c r="AI271" s="1" t="s">
        <v>109</v>
      </c>
      <c r="AJ271" s="1">
        <v>9</v>
      </c>
      <c r="AK271" s="1" t="s">
        <v>109</v>
      </c>
      <c r="AL271" s="1" t="s">
        <v>109</v>
      </c>
      <c r="AM271" s="1" t="s">
        <v>109</v>
      </c>
      <c r="AN271" s="1" t="s">
        <v>109</v>
      </c>
      <c r="AO271" s="1" t="s">
        <v>109</v>
      </c>
      <c r="AP271" s="1"/>
      <c r="AQ271" s="1">
        <v>9</v>
      </c>
      <c r="AR271" s="1" t="s">
        <v>2617</v>
      </c>
      <c r="AS271" s="1" t="s">
        <v>2618</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1</v>
      </c>
      <c r="BN271" s="1">
        <v>0</v>
      </c>
      <c r="BO271" s="1">
        <v>0</v>
      </c>
      <c r="BP271" s="1">
        <v>0</v>
      </c>
      <c r="BQ271" s="1">
        <v>0</v>
      </c>
      <c r="BR271" s="1">
        <v>0</v>
      </c>
      <c r="BS271" s="5" t="str">
        <f>HYPERLINK("http://www.d20pfsrd.com/magic/all-spells/h/hold-monster","Hold Monster, Mass")</f>
        <v>Hold Monster, Mass</v>
      </c>
      <c r="BT271" s="1">
        <v>270</v>
      </c>
      <c r="BU271" s="1" t="s">
        <v>109</v>
      </c>
      <c r="BV271" s="1"/>
      <c r="BW271" s="1"/>
      <c r="BX271" s="1"/>
      <c r="BY271" s="1"/>
      <c r="BZ271" s="1">
        <v>0</v>
      </c>
      <c r="CA271" s="1" t="s">
        <v>109</v>
      </c>
      <c r="CB271" s="1" t="s">
        <v>109</v>
      </c>
      <c r="CC271" s="1">
        <v>9</v>
      </c>
      <c r="CD271" s="1" t="s">
        <v>109</v>
      </c>
      <c r="CE271" s="1" t="s">
        <v>109</v>
      </c>
      <c r="CF271" s="1" t="s">
        <v>109</v>
      </c>
      <c r="CG271" s="1" t="s">
        <v>109</v>
      </c>
      <c r="CH271" s="1" t="s">
        <v>109</v>
      </c>
      <c r="CI271" s="1" t="s">
        <v>109</v>
      </c>
      <c r="CJ271" s="1" t="s">
        <v>109</v>
      </c>
      <c r="CK271" s="1"/>
      <c r="CL271" s="1">
        <v>0</v>
      </c>
      <c r="CM271" s="1">
        <v>0</v>
      </c>
      <c r="CN271" s="1">
        <v>0</v>
      </c>
    </row>
    <row r="272" spans="1:92" ht="14.25" customHeight="1" x14ac:dyDescent="0.15">
      <c r="A272" s="1" t="s">
        <v>2619</v>
      </c>
      <c r="B272" s="1" t="s">
        <v>156</v>
      </c>
      <c r="C272" s="1" t="s">
        <v>157</v>
      </c>
      <c r="D272" s="1" t="s">
        <v>158</v>
      </c>
      <c r="E272" s="1" t="s">
        <v>2620</v>
      </c>
      <c r="F272" s="1" t="s">
        <v>98</v>
      </c>
      <c r="G272" s="1" t="s">
        <v>2597</v>
      </c>
      <c r="H272" s="1">
        <v>0</v>
      </c>
      <c r="I272" s="1" t="s">
        <v>122</v>
      </c>
      <c r="J272" s="1"/>
      <c r="K272" s="1"/>
      <c r="L272" s="1" t="s">
        <v>2621</v>
      </c>
      <c r="M272" s="1" t="s">
        <v>2598</v>
      </c>
      <c r="N272" s="1">
        <v>1</v>
      </c>
      <c r="O272" s="1">
        <v>0</v>
      </c>
      <c r="P272" s="1" t="s">
        <v>564</v>
      </c>
      <c r="Q272" s="1" t="s">
        <v>268</v>
      </c>
      <c r="R272" s="1" t="s">
        <v>2622</v>
      </c>
      <c r="S272" s="1" t="s">
        <v>2623</v>
      </c>
      <c r="T272" s="1" t="s">
        <v>107</v>
      </c>
      <c r="U272" s="1" t="s">
        <v>2624</v>
      </c>
      <c r="V272" s="1">
        <v>1</v>
      </c>
      <c r="W272" s="1">
        <v>1</v>
      </c>
      <c r="X272" s="1">
        <v>0</v>
      </c>
      <c r="Y272" s="1">
        <v>1</v>
      </c>
      <c r="Z272" s="1">
        <v>1</v>
      </c>
      <c r="AA272" s="1">
        <v>7</v>
      </c>
      <c r="AB272" s="1">
        <v>7</v>
      </c>
      <c r="AC272" s="1" t="s">
        <v>109</v>
      </c>
      <c r="AD272" s="1" t="s">
        <v>109</v>
      </c>
      <c r="AE272" s="1" t="s">
        <v>109</v>
      </c>
      <c r="AF272" s="1" t="s">
        <v>109</v>
      </c>
      <c r="AG272" s="1" t="s">
        <v>109</v>
      </c>
      <c r="AH272" s="1" t="s">
        <v>109</v>
      </c>
      <c r="AI272" s="1" t="s">
        <v>109</v>
      </c>
      <c r="AJ272" s="1">
        <v>7</v>
      </c>
      <c r="AK272" s="1" t="s">
        <v>109</v>
      </c>
      <c r="AL272" s="1" t="s">
        <v>109</v>
      </c>
      <c r="AM272" s="1" t="s">
        <v>109</v>
      </c>
      <c r="AN272" s="1" t="s">
        <v>109</v>
      </c>
      <c r="AO272" s="1" t="s">
        <v>109</v>
      </c>
      <c r="AP272" s="1"/>
      <c r="AQ272" s="1">
        <v>7</v>
      </c>
      <c r="AR272" s="1"/>
      <c r="AS272" s="1" t="s">
        <v>2625</v>
      </c>
      <c r="AT272" s="1">
        <v>0</v>
      </c>
      <c r="AU272" s="1">
        <v>0</v>
      </c>
      <c r="AV272" s="1">
        <v>0</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1</v>
      </c>
      <c r="BN272" s="1">
        <v>0</v>
      </c>
      <c r="BO272" s="1">
        <v>0</v>
      </c>
      <c r="BP272" s="1">
        <v>0</v>
      </c>
      <c r="BQ272" s="1">
        <v>0</v>
      </c>
      <c r="BR272" s="1">
        <v>0</v>
      </c>
      <c r="BS272" s="5" t="str">
        <f>HYPERLINK("http://www.d20pfsrd.com/magic/all-spells/h/hold-person","Hold Person, Mass")</f>
        <v>Hold Person, Mass</v>
      </c>
      <c r="BT272" s="1">
        <v>271</v>
      </c>
      <c r="BU272" s="1" t="s">
        <v>109</v>
      </c>
      <c r="BV272" s="1"/>
      <c r="BW272" s="1"/>
      <c r="BX272" s="1"/>
      <c r="BY272" s="1"/>
      <c r="BZ272" s="1">
        <v>0</v>
      </c>
      <c r="CA272" s="1" t="s">
        <v>109</v>
      </c>
      <c r="CB272" s="1" t="s">
        <v>109</v>
      </c>
      <c r="CC272" s="1">
        <v>7</v>
      </c>
      <c r="CD272" s="1" t="s">
        <v>109</v>
      </c>
      <c r="CE272" s="1">
        <v>6</v>
      </c>
      <c r="CF272" s="1" t="s">
        <v>109</v>
      </c>
      <c r="CG272" s="1" t="s">
        <v>109</v>
      </c>
      <c r="CH272" s="1" t="s">
        <v>109</v>
      </c>
      <c r="CI272" s="1" t="s">
        <v>109</v>
      </c>
      <c r="CJ272" s="1" t="s">
        <v>109</v>
      </c>
      <c r="CK272" s="1"/>
      <c r="CL272" s="1">
        <v>0</v>
      </c>
      <c r="CM272" s="1">
        <v>0</v>
      </c>
      <c r="CN272" s="1">
        <v>0</v>
      </c>
    </row>
    <row r="273" spans="1:92" ht="14.25" customHeight="1" x14ac:dyDescent="0.15">
      <c r="A273" s="1" t="s">
        <v>2626</v>
      </c>
      <c r="B273" s="1" t="s">
        <v>242</v>
      </c>
      <c r="C273" s="1"/>
      <c r="D273" s="1"/>
      <c r="E273" s="1" t="s">
        <v>2627</v>
      </c>
      <c r="F273" s="1" t="s">
        <v>98</v>
      </c>
      <c r="G273" s="1" t="s">
        <v>333</v>
      </c>
      <c r="H273" s="1">
        <v>0</v>
      </c>
      <c r="I273" s="1" t="s">
        <v>122</v>
      </c>
      <c r="J273" s="1"/>
      <c r="K273" s="1"/>
      <c r="L273" s="1" t="s">
        <v>2628</v>
      </c>
      <c r="M273" s="1" t="s">
        <v>587</v>
      </c>
      <c r="N273" s="1">
        <v>1</v>
      </c>
      <c r="O273" s="1">
        <v>0</v>
      </c>
      <c r="P273" s="1" t="s">
        <v>103</v>
      </c>
      <c r="Q273" s="1" t="s">
        <v>104</v>
      </c>
      <c r="R273" s="1" t="s">
        <v>2629</v>
      </c>
      <c r="S273" s="1" t="s">
        <v>2630</v>
      </c>
      <c r="T273" s="1" t="s">
        <v>107</v>
      </c>
      <c r="U273" s="1" t="s">
        <v>2631</v>
      </c>
      <c r="V273" s="1">
        <v>1</v>
      </c>
      <c r="W273" s="1">
        <v>0</v>
      </c>
      <c r="X273" s="1">
        <v>0</v>
      </c>
      <c r="Y273" s="1">
        <v>0</v>
      </c>
      <c r="Z273" s="1">
        <v>0</v>
      </c>
      <c r="AA273" s="1">
        <v>1</v>
      </c>
      <c r="AB273" s="1">
        <v>1</v>
      </c>
      <c r="AC273" s="1" t="s">
        <v>109</v>
      </c>
      <c r="AD273" s="1" t="s">
        <v>109</v>
      </c>
      <c r="AE273" s="1" t="s">
        <v>109</v>
      </c>
      <c r="AF273" s="1" t="s">
        <v>109</v>
      </c>
      <c r="AG273" s="1" t="s">
        <v>109</v>
      </c>
      <c r="AH273" s="1" t="s">
        <v>109</v>
      </c>
      <c r="AI273" s="1" t="s">
        <v>109</v>
      </c>
      <c r="AJ273" s="1" t="s">
        <v>109</v>
      </c>
      <c r="AK273" s="1" t="s">
        <v>109</v>
      </c>
      <c r="AL273" s="1" t="s">
        <v>109</v>
      </c>
      <c r="AM273" s="1" t="s">
        <v>109</v>
      </c>
      <c r="AN273" s="1" t="s">
        <v>109</v>
      </c>
      <c r="AO273" s="1" t="s">
        <v>109</v>
      </c>
      <c r="AP273" s="1"/>
      <c r="AQ273" s="1">
        <v>1</v>
      </c>
      <c r="AR273" s="1" t="s">
        <v>2632</v>
      </c>
      <c r="AS273" s="1" t="s">
        <v>2633</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5" t="str">
        <f>HYPERLINK("http://www.d20pfsrd.com/magic/all-spells/h/hold-portal","Hold Portal")</f>
        <v>Hold Portal</v>
      </c>
      <c r="BT273" s="1">
        <v>272</v>
      </c>
      <c r="BU273" s="1" t="s">
        <v>109</v>
      </c>
      <c r="BV273" s="1"/>
      <c r="BW273" s="1" t="s">
        <v>2634</v>
      </c>
      <c r="BX273" s="1" t="s">
        <v>2635</v>
      </c>
      <c r="BY273" s="1"/>
      <c r="BZ273" s="1">
        <v>1</v>
      </c>
      <c r="CA273" s="1" t="s">
        <v>109</v>
      </c>
      <c r="CB273" s="1" t="s">
        <v>109</v>
      </c>
      <c r="CC273" s="1">
        <v>1</v>
      </c>
      <c r="CD273" s="1" t="s">
        <v>109</v>
      </c>
      <c r="CE273" s="1" t="s">
        <v>109</v>
      </c>
      <c r="CF273" s="1">
        <v>1</v>
      </c>
      <c r="CG273" s="1" t="s">
        <v>109</v>
      </c>
      <c r="CH273" s="1" t="s">
        <v>109</v>
      </c>
      <c r="CI273" s="1" t="s">
        <v>109</v>
      </c>
      <c r="CJ273" s="1" t="s">
        <v>109</v>
      </c>
      <c r="CK273" s="1"/>
      <c r="CL273" s="1">
        <v>0</v>
      </c>
      <c r="CM273" s="1">
        <v>0</v>
      </c>
      <c r="CN273" s="1">
        <v>0</v>
      </c>
    </row>
    <row r="274" spans="1:92" ht="14.25" customHeight="1" x14ac:dyDescent="0.15">
      <c r="A274" s="1" t="s">
        <v>2636</v>
      </c>
      <c r="B274" s="1" t="s">
        <v>242</v>
      </c>
      <c r="C274" s="1"/>
      <c r="D274" s="1" t="s">
        <v>61</v>
      </c>
      <c r="E274" s="1" t="s">
        <v>913</v>
      </c>
      <c r="F274" s="1" t="s">
        <v>98</v>
      </c>
      <c r="G274" s="1" t="s">
        <v>914</v>
      </c>
      <c r="H274" s="1">
        <v>1</v>
      </c>
      <c r="I274" s="1" t="s">
        <v>915</v>
      </c>
      <c r="J274" s="1"/>
      <c r="K274" s="1"/>
      <c r="L274" s="1" t="s">
        <v>916</v>
      </c>
      <c r="M274" s="1" t="s">
        <v>125</v>
      </c>
      <c r="N274" s="1">
        <v>1</v>
      </c>
      <c r="O274" s="1">
        <v>0</v>
      </c>
      <c r="P274" s="1" t="s">
        <v>211</v>
      </c>
      <c r="Q274" s="1" t="s">
        <v>167</v>
      </c>
      <c r="R274" s="1" t="s">
        <v>2637</v>
      </c>
      <c r="S274" s="1" t="s">
        <v>2638</v>
      </c>
      <c r="T274" s="1" t="s">
        <v>107</v>
      </c>
      <c r="U274" s="1" t="s">
        <v>2639</v>
      </c>
      <c r="V274" s="1">
        <v>1</v>
      </c>
      <c r="W274" s="1">
        <v>1</v>
      </c>
      <c r="X274" s="1">
        <v>0</v>
      </c>
      <c r="Y274" s="1">
        <v>1</v>
      </c>
      <c r="Z274" s="1">
        <v>0</v>
      </c>
      <c r="AA274" s="1" t="s">
        <v>109</v>
      </c>
      <c r="AB274" s="1" t="s">
        <v>109</v>
      </c>
      <c r="AC274" s="1">
        <v>8</v>
      </c>
      <c r="AD274" s="1" t="s">
        <v>109</v>
      </c>
      <c r="AE274" s="1" t="s">
        <v>109</v>
      </c>
      <c r="AF274" s="1" t="s">
        <v>109</v>
      </c>
      <c r="AG274" s="1" t="s">
        <v>109</v>
      </c>
      <c r="AH274" s="1" t="s">
        <v>109</v>
      </c>
      <c r="AI274" s="1" t="s">
        <v>109</v>
      </c>
      <c r="AJ274" s="1" t="s">
        <v>109</v>
      </c>
      <c r="AK274" s="1" t="s">
        <v>109</v>
      </c>
      <c r="AL274" s="1">
        <v>8</v>
      </c>
      <c r="AM274" s="1" t="s">
        <v>109</v>
      </c>
      <c r="AN274" s="1" t="s">
        <v>109</v>
      </c>
      <c r="AO274" s="1" t="s">
        <v>109</v>
      </c>
      <c r="AP274" s="1"/>
      <c r="AQ274" s="1">
        <v>8</v>
      </c>
      <c r="AR274" s="1" t="s">
        <v>2640</v>
      </c>
      <c r="AS274" s="1" t="s">
        <v>2641</v>
      </c>
      <c r="AT274" s="1">
        <v>0</v>
      </c>
      <c r="AU274" s="1">
        <v>0</v>
      </c>
      <c r="AV274" s="1">
        <v>0</v>
      </c>
      <c r="AW274" s="1">
        <v>0</v>
      </c>
      <c r="AX274" s="1">
        <v>0</v>
      </c>
      <c r="AY274" s="1">
        <v>0</v>
      </c>
      <c r="AZ274" s="1">
        <v>0</v>
      </c>
      <c r="BA274" s="1">
        <v>0</v>
      </c>
      <c r="BB274" s="1">
        <v>0</v>
      </c>
      <c r="BC274" s="1">
        <v>0</v>
      </c>
      <c r="BD274" s="1">
        <v>0</v>
      </c>
      <c r="BE274" s="1">
        <v>0</v>
      </c>
      <c r="BF274" s="1">
        <v>0</v>
      </c>
      <c r="BG274" s="1">
        <v>0</v>
      </c>
      <c r="BH274" s="1">
        <v>0</v>
      </c>
      <c r="BI274" s="1">
        <v>1</v>
      </c>
      <c r="BJ274" s="1">
        <v>0</v>
      </c>
      <c r="BK274" s="1">
        <v>0</v>
      </c>
      <c r="BL274" s="1">
        <v>0</v>
      </c>
      <c r="BM274" s="1">
        <v>0</v>
      </c>
      <c r="BN274" s="1">
        <v>0</v>
      </c>
      <c r="BO274" s="1">
        <v>0</v>
      </c>
      <c r="BP274" s="1">
        <v>0</v>
      </c>
      <c r="BQ274" s="1">
        <v>0</v>
      </c>
      <c r="BR274" s="1">
        <v>0</v>
      </c>
      <c r="BS274" s="5" t="str">
        <f>HYPERLINK("http://www.d20pfsrd.com/magic/all-spells/h/holy-aura","Holy Aura")</f>
        <v>Holy Aura</v>
      </c>
      <c r="BT274" s="1">
        <v>273</v>
      </c>
      <c r="BU274" s="1">
        <v>500</v>
      </c>
      <c r="BV274" s="1"/>
      <c r="BW274" s="1" t="s">
        <v>2642</v>
      </c>
      <c r="BX274" s="1"/>
      <c r="BY274" s="1"/>
      <c r="BZ274" s="1">
        <v>0</v>
      </c>
      <c r="CA274" s="1" t="s">
        <v>109</v>
      </c>
      <c r="CB274" s="1" t="s">
        <v>109</v>
      </c>
      <c r="CC274" s="1" t="s">
        <v>109</v>
      </c>
      <c r="CD274" s="1" t="s">
        <v>109</v>
      </c>
      <c r="CE274" s="1" t="s">
        <v>109</v>
      </c>
      <c r="CF274" s="1" t="s">
        <v>109</v>
      </c>
      <c r="CG274" s="1" t="s">
        <v>109</v>
      </c>
      <c r="CH274" s="1" t="s">
        <v>109</v>
      </c>
      <c r="CI274" s="1" t="s">
        <v>109</v>
      </c>
      <c r="CJ274" s="1" t="s">
        <v>109</v>
      </c>
      <c r="CK274" s="1"/>
      <c r="CL274" s="1">
        <v>0</v>
      </c>
      <c r="CM274" s="1">
        <v>0</v>
      </c>
      <c r="CN274" s="1">
        <v>0</v>
      </c>
    </row>
    <row r="275" spans="1:92" ht="14.25" customHeight="1" x14ac:dyDescent="0.15">
      <c r="A275" s="1" t="s">
        <v>2643</v>
      </c>
      <c r="B275" s="1" t="s">
        <v>584</v>
      </c>
      <c r="C275" s="1"/>
      <c r="D275" s="1" t="s">
        <v>61</v>
      </c>
      <c r="E275" s="1" t="s">
        <v>823</v>
      </c>
      <c r="F275" s="1" t="s">
        <v>98</v>
      </c>
      <c r="G275" s="1" t="s">
        <v>141</v>
      </c>
      <c r="H275" s="1">
        <v>0</v>
      </c>
      <c r="I275" s="1" t="s">
        <v>122</v>
      </c>
      <c r="J275" s="1" t="s">
        <v>824</v>
      </c>
      <c r="K275" s="1"/>
      <c r="L275" s="1"/>
      <c r="M275" s="1" t="s">
        <v>2644</v>
      </c>
      <c r="N275" s="1">
        <v>0</v>
      </c>
      <c r="O275" s="1">
        <v>0</v>
      </c>
      <c r="P275" s="1" t="s">
        <v>826</v>
      </c>
      <c r="Q275" s="1" t="s">
        <v>268</v>
      </c>
      <c r="R275" s="1" t="s">
        <v>2645</v>
      </c>
      <c r="S275" s="1" t="s">
        <v>2646</v>
      </c>
      <c r="T275" s="1" t="s">
        <v>107</v>
      </c>
      <c r="U275" s="1" t="s">
        <v>2647</v>
      </c>
      <c r="V275" s="1">
        <v>1</v>
      </c>
      <c r="W275" s="1">
        <v>1</v>
      </c>
      <c r="X275" s="1">
        <v>0</v>
      </c>
      <c r="Y275" s="1">
        <v>0</v>
      </c>
      <c r="Z275" s="1">
        <v>0</v>
      </c>
      <c r="AA275" s="1" t="s">
        <v>109</v>
      </c>
      <c r="AB275" s="1" t="s">
        <v>109</v>
      </c>
      <c r="AC275" s="1">
        <v>4</v>
      </c>
      <c r="AD275" s="1" t="s">
        <v>109</v>
      </c>
      <c r="AE275" s="1" t="s">
        <v>109</v>
      </c>
      <c r="AF275" s="1" t="s">
        <v>109</v>
      </c>
      <c r="AG275" s="1" t="s">
        <v>109</v>
      </c>
      <c r="AH275" s="1" t="s">
        <v>109</v>
      </c>
      <c r="AI275" s="1" t="s">
        <v>109</v>
      </c>
      <c r="AJ275" s="1" t="s">
        <v>109</v>
      </c>
      <c r="AK275" s="1">
        <v>4</v>
      </c>
      <c r="AL275" s="1">
        <v>4</v>
      </c>
      <c r="AM275" s="1" t="s">
        <v>109</v>
      </c>
      <c r="AN275" s="1" t="s">
        <v>109</v>
      </c>
      <c r="AO275" s="1" t="s">
        <v>109</v>
      </c>
      <c r="AP275" s="1"/>
      <c r="AQ275" s="1">
        <v>4</v>
      </c>
      <c r="AR275" s="1" t="s">
        <v>2648</v>
      </c>
      <c r="AS275" s="1" t="s">
        <v>2649</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1</v>
      </c>
      <c r="BJ275" s="1">
        <v>0</v>
      </c>
      <c r="BK275" s="1">
        <v>0</v>
      </c>
      <c r="BL275" s="1">
        <v>0</v>
      </c>
      <c r="BM275" s="1">
        <v>0</v>
      </c>
      <c r="BN275" s="1">
        <v>0</v>
      </c>
      <c r="BO275" s="1">
        <v>0</v>
      </c>
      <c r="BP275" s="1">
        <v>0</v>
      </c>
      <c r="BQ275" s="1">
        <v>0</v>
      </c>
      <c r="BR275" s="1">
        <v>0</v>
      </c>
      <c r="BS275" s="5" t="str">
        <f>HYPERLINK("http://www.d20pfsrd.com/magic/all-spells/h/holy-smite","Holy Smite")</f>
        <v>Holy Smite</v>
      </c>
      <c r="BT275" s="1">
        <v>274</v>
      </c>
      <c r="BU275" s="1" t="s">
        <v>109</v>
      </c>
      <c r="BV275" s="1"/>
      <c r="BW275" s="1"/>
      <c r="BX275" s="1" t="s">
        <v>2650</v>
      </c>
      <c r="BY275" s="1"/>
      <c r="BZ275" s="1">
        <v>1</v>
      </c>
      <c r="CA275" s="1" t="s">
        <v>109</v>
      </c>
      <c r="CB275" s="1" t="s">
        <v>109</v>
      </c>
      <c r="CC275" s="1" t="s">
        <v>109</v>
      </c>
      <c r="CD275" s="1" t="s">
        <v>109</v>
      </c>
      <c r="CE275" s="1" t="s">
        <v>109</v>
      </c>
      <c r="CF275" s="1" t="s">
        <v>109</v>
      </c>
      <c r="CG275" s="1" t="s">
        <v>109</v>
      </c>
      <c r="CH275" s="1" t="s">
        <v>109</v>
      </c>
      <c r="CI275" s="1" t="s">
        <v>109</v>
      </c>
      <c r="CJ275" s="1" t="s">
        <v>109</v>
      </c>
      <c r="CK275" s="1"/>
      <c r="CL275" s="1">
        <v>0</v>
      </c>
      <c r="CM275" s="1">
        <v>0</v>
      </c>
      <c r="CN275" s="1">
        <v>0</v>
      </c>
    </row>
    <row r="276" spans="1:92" ht="14.25" customHeight="1" x14ac:dyDescent="0.15">
      <c r="A276" s="1" t="s">
        <v>2651</v>
      </c>
      <c r="B276" s="1" t="s">
        <v>584</v>
      </c>
      <c r="C276" s="1"/>
      <c r="D276" s="1" t="s">
        <v>61</v>
      </c>
      <c r="E276" s="1" t="s">
        <v>2652</v>
      </c>
      <c r="F276" s="1" t="s">
        <v>98</v>
      </c>
      <c r="G276" s="1" t="s">
        <v>141</v>
      </c>
      <c r="H276" s="1">
        <v>0</v>
      </c>
      <c r="I276" s="1" t="s">
        <v>161</v>
      </c>
      <c r="J276" s="1"/>
      <c r="K276" s="1"/>
      <c r="L276" s="1" t="s">
        <v>2653</v>
      </c>
      <c r="M276" s="1" t="s">
        <v>125</v>
      </c>
      <c r="N276" s="1">
        <v>0</v>
      </c>
      <c r="O276" s="1">
        <v>0</v>
      </c>
      <c r="P276" s="1" t="s">
        <v>103</v>
      </c>
      <c r="Q276" s="1" t="s">
        <v>104</v>
      </c>
      <c r="R276" s="1" t="s">
        <v>2654</v>
      </c>
      <c r="S276" s="1" t="s">
        <v>2655</v>
      </c>
      <c r="T276" s="1" t="s">
        <v>107</v>
      </c>
      <c r="U276" s="1" t="s">
        <v>2656</v>
      </c>
      <c r="V276" s="1">
        <v>1</v>
      </c>
      <c r="W276" s="1">
        <v>1</v>
      </c>
      <c r="X276" s="1">
        <v>0</v>
      </c>
      <c r="Y276" s="1">
        <v>0</v>
      </c>
      <c r="Z276" s="1">
        <v>0</v>
      </c>
      <c r="AA276" s="1" t="s">
        <v>109</v>
      </c>
      <c r="AB276" s="1" t="s">
        <v>109</v>
      </c>
      <c r="AC276" s="1" t="s">
        <v>109</v>
      </c>
      <c r="AD276" s="1" t="s">
        <v>109</v>
      </c>
      <c r="AE276" s="1" t="s">
        <v>109</v>
      </c>
      <c r="AF276" s="1" t="s">
        <v>109</v>
      </c>
      <c r="AG276" s="1">
        <v>4</v>
      </c>
      <c r="AH276" s="1" t="s">
        <v>109</v>
      </c>
      <c r="AI276" s="1" t="s">
        <v>109</v>
      </c>
      <c r="AJ276" s="1" t="s">
        <v>109</v>
      </c>
      <c r="AK276" s="1" t="s">
        <v>109</v>
      </c>
      <c r="AL276" s="1" t="s">
        <v>109</v>
      </c>
      <c r="AM276" s="1" t="s">
        <v>109</v>
      </c>
      <c r="AN276" s="1" t="s">
        <v>109</v>
      </c>
      <c r="AO276" s="1" t="s">
        <v>109</v>
      </c>
      <c r="AP276" s="1"/>
      <c r="AQ276" s="1">
        <v>4</v>
      </c>
      <c r="AR276" s="1" t="s">
        <v>2657</v>
      </c>
      <c r="AS276" s="1" t="s">
        <v>2658</v>
      </c>
      <c r="AT276" s="1">
        <v>0</v>
      </c>
      <c r="AU276" s="1">
        <v>0</v>
      </c>
      <c r="AV276" s="1">
        <v>0</v>
      </c>
      <c r="AW276" s="1">
        <v>0</v>
      </c>
      <c r="AX276" s="1">
        <v>0</v>
      </c>
      <c r="AY276" s="1">
        <v>0</v>
      </c>
      <c r="AZ276" s="1">
        <v>0</v>
      </c>
      <c r="BA276" s="1">
        <v>0</v>
      </c>
      <c r="BB276" s="1">
        <v>0</v>
      </c>
      <c r="BC276" s="1">
        <v>0</v>
      </c>
      <c r="BD276" s="1">
        <v>0</v>
      </c>
      <c r="BE276" s="1">
        <v>0</v>
      </c>
      <c r="BF276" s="1">
        <v>0</v>
      </c>
      <c r="BG276" s="1">
        <v>0</v>
      </c>
      <c r="BH276" s="1">
        <v>0</v>
      </c>
      <c r="BI276" s="1">
        <v>1</v>
      </c>
      <c r="BJ276" s="1">
        <v>0</v>
      </c>
      <c r="BK276" s="1">
        <v>0</v>
      </c>
      <c r="BL276" s="1">
        <v>0</v>
      </c>
      <c r="BM276" s="1">
        <v>0</v>
      </c>
      <c r="BN276" s="1">
        <v>0</v>
      </c>
      <c r="BO276" s="1">
        <v>0</v>
      </c>
      <c r="BP276" s="1">
        <v>0</v>
      </c>
      <c r="BQ276" s="1">
        <v>0</v>
      </c>
      <c r="BR276" s="1">
        <v>0</v>
      </c>
      <c r="BS276" s="5" t="str">
        <f>HYPERLINK("http://www.d20pfsrd.com/magic/all-spells/h/holy-sword","Holy Sword")</f>
        <v>Holy Sword</v>
      </c>
      <c r="BT276" s="1">
        <v>275</v>
      </c>
      <c r="BU276" s="1" t="s">
        <v>109</v>
      </c>
      <c r="BV276" s="1"/>
      <c r="BW276" s="1"/>
      <c r="BX276" s="1"/>
      <c r="BY276" s="1"/>
      <c r="BZ276" s="1">
        <v>0</v>
      </c>
      <c r="CA276" s="1" t="s">
        <v>109</v>
      </c>
      <c r="CB276" s="1" t="s">
        <v>109</v>
      </c>
      <c r="CC276" s="1" t="s">
        <v>109</v>
      </c>
      <c r="CD276" s="1" t="s">
        <v>109</v>
      </c>
      <c r="CE276" s="1" t="s">
        <v>109</v>
      </c>
      <c r="CF276" s="1" t="s">
        <v>109</v>
      </c>
      <c r="CG276" s="1" t="s">
        <v>109</v>
      </c>
      <c r="CH276" s="1" t="s">
        <v>109</v>
      </c>
      <c r="CI276" s="1" t="s">
        <v>109</v>
      </c>
      <c r="CJ276" s="1" t="s">
        <v>109</v>
      </c>
      <c r="CK276" s="1"/>
      <c r="CL276" s="1">
        <v>0</v>
      </c>
      <c r="CM276" s="1">
        <v>0</v>
      </c>
      <c r="CN276" s="1">
        <v>0</v>
      </c>
    </row>
    <row r="277" spans="1:92" ht="14.25" customHeight="1" x14ac:dyDescent="0.15">
      <c r="A277" s="1" t="s">
        <v>2659</v>
      </c>
      <c r="B277" s="1" t="s">
        <v>584</v>
      </c>
      <c r="C277" s="1"/>
      <c r="D277" s="1" t="s">
        <v>2660</v>
      </c>
      <c r="E277" s="1" t="s">
        <v>599</v>
      </c>
      <c r="F277" s="1" t="s">
        <v>98</v>
      </c>
      <c r="G277" s="1" t="s">
        <v>333</v>
      </c>
      <c r="H277" s="1">
        <v>0</v>
      </c>
      <c r="I277" s="1" t="s">
        <v>600</v>
      </c>
      <c r="J277" s="1" t="s">
        <v>2661</v>
      </c>
      <c r="K277" s="1"/>
      <c r="L277" s="1"/>
      <c r="M277" s="1" t="s">
        <v>144</v>
      </c>
      <c r="N277" s="1">
        <v>0</v>
      </c>
      <c r="O277" s="1">
        <v>0</v>
      </c>
      <c r="P277" s="1" t="s">
        <v>380</v>
      </c>
      <c r="Q277" s="1" t="s">
        <v>268</v>
      </c>
      <c r="R277" s="1" t="s">
        <v>2662</v>
      </c>
      <c r="S277" s="1" t="s">
        <v>2663</v>
      </c>
      <c r="T277" s="1" t="s">
        <v>107</v>
      </c>
      <c r="U277" s="1" t="s">
        <v>2664</v>
      </c>
      <c r="V277" s="1">
        <v>1</v>
      </c>
      <c r="W277" s="1">
        <v>0</v>
      </c>
      <c r="X277" s="1">
        <v>0</v>
      </c>
      <c r="Y277" s="1">
        <v>0</v>
      </c>
      <c r="Z277" s="1">
        <v>0</v>
      </c>
      <c r="AA277" s="1" t="s">
        <v>109</v>
      </c>
      <c r="AB277" s="1" t="s">
        <v>109</v>
      </c>
      <c r="AC277" s="1">
        <v>7</v>
      </c>
      <c r="AD277" s="1" t="s">
        <v>109</v>
      </c>
      <c r="AE277" s="1" t="s">
        <v>109</v>
      </c>
      <c r="AF277" s="1" t="s">
        <v>109</v>
      </c>
      <c r="AG277" s="1" t="s">
        <v>109</v>
      </c>
      <c r="AH277" s="1" t="s">
        <v>109</v>
      </c>
      <c r="AI277" s="1" t="s">
        <v>109</v>
      </c>
      <c r="AJ277" s="1" t="s">
        <v>109</v>
      </c>
      <c r="AK277" s="1">
        <v>6</v>
      </c>
      <c r="AL277" s="1">
        <v>7</v>
      </c>
      <c r="AM277" s="1" t="s">
        <v>109</v>
      </c>
      <c r="AN277" s="1" t="s">
        <v>109</v>
      </c>
      <c r="AO277" s="1" t="s">
        <v>109</v>
      </c>
      <c r="AP277" s="1"/>
      <c r="AQ277" s="1">
        <v>7</v>
      </c>
      <c r="AR277" s="1" t="s">
        <v>2665</v>
      </c>
      <c r="AS277" s="1" t="s">
        <v>2666</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1</v>
      </c>
      <c r="BJ277" s="1">
        <v>0</v>
      </c>
      <c r="BK277" s="1">
        <v>0</v>
      </c>
      <c r="BL277" s="1">
        <v>0</v>
      </c>
      <c r="BM277" s="1">
        <v>0</v>
      </c>
      <c r="BN277" s="1">
        <v>0</v>
      </c>
      <c r="BO277" s="1">
        <v>0</v>
      </c>
      <c r="BP277" s="1">
        <v>0</v>
      </c>
      <c r="BQ277" s="1">
        <v>1</v>
      </c>
      <c r="BR277" s="1">
        <v>0</v>
      </c>
      <c r="BS277" s="5" t="str">
        <f>HYPERLINK("http://www.d20pfsrd.com/magic/all-spells/h/holy-word","Holy Word")</f>
        <v>Holy Word</v>
      </c>
      <c r="BT277" s="1">
        <v>276</v>
      </c>
      <c r="BU277" s="1" t="s">
        <v>109</v>
      </c>
      <c r="BV277" s="1"/>
      <c r="BW277" s="1"/>
      <c r="BX277" s="1" t="s">
        <v>2667</v>
      </c>
      <c r="BY277" s="1"/>
      <c r="BZ277" s="1">
        <v>1</v>
      </c>
      <c r="CA277" s="1" t="s">
        <v>109</v>
      </c>
      <c r="CB277" s="1" t="s">
        <v>109</v>
      </c>
      <c r="CC277" s="1" t="s">
        <v>109</v>
      </c>
      <c r="CD277" s="1" t="s">
        <v>109</v>
      </c>
      <c r="CE277" s="1" t="s">
        <v>109</v>
      </c>
      <c r="CF277" s="1" t="s">
        <v>109</v>
      </c>
      <c r="CG277" s="1" t="s">
        <v>109</v>
      </c>
      <c r="CH277" s="1" t="s">
        <v>109</v>
      </c>
      <c r="CI277" s="1" t="s">
        <v>109</v>
      </c>
      <c r="CJ277" s="1" t="s">
        <v>109</v>
      </c>
      <c r="CK277" s="1"/>
      <c r="CL277" s="1">
        <v>0</v>
      </c>
      <c r="CM277" s="1">
        <v>0</v>
      </c>
      <c r="CN277" s="1">
        <v>0</v>
      </c>
    </row>
    <row r="278" spans="1:92" ht="14.25" customHeight="1" x14ac:dyDescent="0.15">
      <c r="A278" s="1" t="s">
        <v>2668</v>
      </c>
      <c r="B278" s="1" t="s">
        <v>308</v>
      </c>
      <c r="C278" s="1"/>
      <c r="D278" s="1"/>
      <c r="E278" s="1" t="s">
        <v>2669</v>
      </c>
      <c r="F278" s="1" t="s">
        <v>98</v>
      </c>
      <c r="G278" s="1" t="s">
        <v>2670</v>
      </c>
      <c r="H278" s="1">
        <v>0</v>
      </c>
      <c r="I278" s="1" t="s">
        <v>100</v>
      </c>
      <c r="J278" s="1"/>
      <c r="K278" s="1"/>
      <c r="L278" s="1" t="s">
        <v>2671</v>
      </c>
      <c r="M278" s="1" t="s">
        <v>144</v>
      </c>
      <c r="N278" s="1">
        <v>0</v>
      </c>
      <c r="O278" s="1">
        <v>0</v>
      </c>
      <c r="P278" s="1" t="s">
        <v>2672</v>
      </c>
      <c r="Q278" s="1" t="s">
        <v>268</v>
      </c>
      <c r="R278" s="1" t="s">
        <v>2673</v>
      </c>
      <c r="S278" s="1" t="s">
        <v>2674</v>
      </c>
      <c r="T278" s="1" t="s">
        <v>107</v>
      </c>
      <c r="U278" s="1" t="s">
        <v>2675</v>
      </c>
      <c r="V278" s="1">
        <v>1</v>
      </c>
      <c r="W278" s="1">
        <v>1</v>
      </c>
      <c r="X278" s="1">
        <v>1</v>
      </c>
      <c r="Y278" s="1">
        <v>0</v>
      </c>
      <c r="Z278" s="1">
        <v>1</v>
      </c>
      <c r="AA278" s="1">
        <v>8</v>
      </c>
      <c r="AB278" s="1">
        <v>8</v>
      </c>
      <c r="AC278" s="1" t="s">
        <v>109</v>
      </c>
      <c r="AD278" s="1" t="s">
        <v>109</v>
      </c>
      <c r="AE278" s="1" t="s">
        <v>109</v>
      </c>
      <c r="AF278" s="1" t="s">
        <v>109</v>
      </c>
      <c r="AG278" s="1" t="s">
        <v>109</v>
      </c>
      <c r="AH278" s="1" t="s">
        <v>109</v>
      </c>
      <c r="AI278" s="1" t="s">
        <v>109</v>
      </c>
      <c r="AJ278" s="1">
        <v>8</v>
      </c>
      <c r="AK278" s="1" t="s">
        <v>109</v>
      </c>
      <c r="AL278" s="1" t="s">
        <v>109</v>
      </c>
      <c r="AM278" s="1" t="s">
        <v>109</v>
      </c>
      <c r="AN278" s="1" t="s">
        <v>109</v>
      </c>
      <c r="AO278" s="1" t="s">
        <v>109</v>
      </c>
      <c r="AP278" s="1"/>
      <c r="AQ278" s="1">
        <v>8</v>
      </c>
      <c r="AR278" s="1" t="s">
        <v>2676</v>
      </c>
      <c r="AS278" s="1" t="s">
        <v>2677</v>
      </c>
      <c r="AT278" s="1">
        <v>0</v>
      </c>
      <c r="AU278" s="1">
        <v>0</v>
      </c>
      <c r="AV278" s="1">
        <v>0</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5" t="str">
        <f>HYPERLINK("http://www.d20pfsrd.com/magic/all-spells/h/horrid-wilting","Horrid Wilting")</f>
        <v>Horrid Wilting</v>
      </c>
      <c r="BT278" s="1">
        <v>277</v>
      </c>
      <c r="BU278" s="1" t="s">
        <v>109</v>
      </c>
      <c r="BV278" s="1" t="s">
        <v>2678</v>
      </c>
      <c r="BW278" s="1" t="s">
        <v>2679</v>
      </c>
      <c r="BX278" s="1"/>
      <c r="BY278" s="1"/>
      <c r="BZ278" s="1">
        <v>0</v>
      </c>
      <c r="CA278" s="1" t="s">
        <v>109</v>
      </c>
      <c r="CB278" s="1">
        <v>8</v>
      </c>
      <c r="CC278" s="1" t="s">
        <v>109</v>
      </c>
      <c r="CD278" s="1" t="s">
        <v>109</v>
      </c>
      <c r="CE278" s="1" t="s">
        <v>109</v>
      </c>
      <c r="CF278" s="1" t="s">
        <v>109</v>
      </c>
      <c r="CG278" s="1" t="s">
        <v>109</v>
      </c>
      <c r="CH278" s="1" t="s">
        <v>109</v>
      </c>
      <c r="CI278" s="1" t="s">
        <v>109</v>
      </c>
      <c r="CJ278" s="1" t="s">
        <v>109</v>
      </c>
      <c r="CK278" s="1"/>
      <c r="CL278" s="1">
        <v>0</v>
      </c>
      <c r="CM278" s="1">
        <v>0</v>
      </c>
      <c r="CN278" s="1">
        <v>0</v>
      </c>
    </row>
    <row r="279" spans="1:92" ht="14.25" customHeight="1" x14ac:dyDescent="0.15">
      <c r="A279" s="1" t="s">
        <v>2680</v>
      </c>
      <c r="B279" s="1" t="s">
        <v>674</v>
      </c>
      <c r="C279" s="1" t="s">
        <v>944</v>
      </c>
      <c r="D279" s="1" t="s">
        <v>158</v>
      </c>
      <c r="E279" s="1" t="s">
        <v>2681</v>
      </c>
      <c r="F279" s="1" t="s">
        <v>98</v>
      </c>
      <c r="G279" s="1" t="s">
        <v>2682</v>
      </c>
      <c r="H279" s="1">
        <v>0</v>
      </c>
      <c r="I279" s="1" t="s">
        <v>122</v>
      </c>
      <c r="J279" s="1"/>
      <c r="K279" s="1" t="s">
        <v>2683</v>
      </c>
      <c r="L279" s="1"/>
      <c r="M279" s="1" t="s">
        <v>2684</v>
      </c>
      <c r="N279" s="1">
        <v>0</v>
      </c>
      <c r="O279" s="1">
        <v>0</v>
      </c>
      <c r="P279" s="1" t="s">
        <v>301</v>
      </c>
      <c r="Q279" s="1" t="s">
        <v>268</v>
      </c>
      <c r="R279" s="1" t="s">
        <v>2685</v>
      </c>
      <c r="S279" s="1" t="s">
        <v>2686</v>
      </c>
      <c r="T279" s="1" t="s">
        <v>107</v>
      </c>
      <c r="U279" s="1" t="s">
        <v>2687</v>
      </c>
      <c r="V279" s="1">
        <v>1</v>
      </c>
      <c r="W279" s="1">
        <v>1</v>
      </c>
      <c r="X279" s="1">
        <v>1</v>
      </c>
      <c r="Y279" s="1">
        <v>0</v>
      </c>
      <c r="Z279" s="1">
        <v>0</v>
      </c>
      <c r="AA279" s="1">
        <v>2</v>
      </c>
      <c r="AB279" s="1">
        <v>2</v>
      </c>
      <c r="AC279" s="1" t="s">
        <v>109</v>
      </c>
      <c r="AD279" s="1" t="s">
        <v>109</v>
      </c>
      <c r="AE279" s="1" t="s">
        <v>109</v>
      </c>
      <c r="AF279" s="1">
        <v>2</v>
      </c>
      <c r="AG279" s="1" t="s">
        <v>109</v>
      </c>
      <c r="AH279" s="1" t="s">
        <v>109</v>
      </c>
      <c r="AI279" s="1" t="s">
        <v>109</v>
      </c>
      <c r="AJ279" s="1" t="s">
        <v>109</v>
      </c>
      <c r="AK279" s="1" t="s">
        <v>109</v>
      </c>
      <c r="AL279" s="1" t="s">
        <v>109</v>
      </c>
      <c r="AM279" s="1" t="s">
        <v>109</v>
      </c>
      <c r="AN279" s="1" t="s">
        <v>109</v>
      </c>
      <c r="AO279" s="1" t="s">
        <v>109</v>
      </c>
      <c r="AP279" s="1"/>
      <c r="AQ279" s="1">
        <v>2</v>
      </c>
      <c r="AR279" s="1" t="s">
        <v>1940</v>
      </c>
      <c r="AS279" s="1" t="s">
        <v>2688</v>
      </c>
      <c r="AT279" s="1">
        <v>0</v>
      </c>
      <c r="AU279" s="1">
        <v>0</v>
      </c>
      <c r="AV279" s="1">
        <v>0</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1</v>
      </c>
      <c r="BN279" s="1">
        <v>0</v>
      </c>
      <c r="BO279" s="1">
        <v>0</v>
      </c>
      <c r="BP279" s="1">
        <v>0</v>
      </c>
      <c r="BQ279" s="1">
        <v>0</v>
      </c>
      <c r="BR279" s="1">
        <v>0</v>
      </c>
      <c r="BS279" s="5" t="str">
        <f>HYPERLINK("http://www.d20pfsrd.com/magic/all-spells/h/hypnotic-pattern","Hypnotic Pattern")</f>
        <v>Hypnotic Pattern</v>
      </c>
      <c r="BT279" s="1">
        <v>278</v>
      </c>
      <c r="BU279" s="1" t="s">
        <v>109</v>
      </c>
      <c r="BV279" s="1"/>
      <c r="BW279" s="1"/>
      <c r="BX279" s="1"/>
      <c r="BY279" s="1"/>
      <c r="BZ279" s="1">
        <v>0</v>
      </c>
      <c r="CA279" s="1" t="s">
        <v>109</v>
      </c>
      <c r="CB279" s="1" t="s">
        <v>109</v>
      </c>
      <c r="CC279" s="1">
        <v>2</v>
      </c>
      <c r="CD279" s="1" t="s">
        <v>109</v>
      </c>
      <c r="CE279" s="1">
        <v>2</v>
      </c>
      <c r="CF279" s="1" t="s">
        <v>109</v>
      </c>
      <c r="CG279" s="1" t="s">
        <v>109</v>
      </c>
      <c r="CH279" s="1" t="s">
        <v>109</v>
      </c>
      <c r="CI279" s="1" t="s">
        <v>109</v>
      </c>
      <c r="CJ279" s="1" t="s">
        <v>109</v>
      </c>
      <c r="CK279" s="1"/>
      <c r="CL279" s="1">
        <v>0</v>
      </c>
      <c r="CM279" s="1">
        <v>0</v>
      </c>
      <c r="CN279" s="1">
        <v>0</v>
      </c>
    </row>
    <row r="280" spans="1:92" ht="14.25" customHeight="1" x14ac:dyDescent="0.15">
      <c r="A280" s="1" t="s">
        <v>2689</v>
      </c>
      <c r="B280" s="1" t="s">
        <v>156</v>
      </c>
      <c r="C280" s="1" t="s">
        <v>157</v>
      </c>
      <c r="D280" s="1" t="s">
        <v>158</v>
      </c>
      <c r="E280" s="1" t="s">
        <v>2690</v>
      </c>
      <c r="F280" s="1" t="s">
        <v>355</v>
      </c>
      <c r="G280" s="1" t="s">
        <v>141</v>
      </c>
      <c r="H280" s="1">
        <v>0</v>
      </c>
      <c r="I280" s="1" t="s">
        <v>142</v>
      </c>
      <c r="J280" s="1" t="s">
        <v>2691</v>
      </c>
      <c r="K280" s="1"/>
      <c r="L280" s="1"/>
      <c r="M280" s="1" t="s">
        <v>2692</v>
      </c>
      <c r="N280" s="1">
        <v>1</v>
      </c>
      <c r="O280" s="1">
        <v>0</v>
      </c>
      <c r="P280" s="1" t="s">
        <v>301</v>
      </c>
      <c r="Q280" s="1" t="s">
        <v>268</v>
      </c>
      <c r="R280" s="1" t="s">
        <v>2693</v>
      </c>
      <c r="S280" s="1" t="s">
        <v>2694</v>
      </c>
      <c r="T280" s="1" t="s">
        <v>107</v>
      </c>
      <c r="U280" s="1" t="s">
        <v>2695</v>
      </c>
      <c r="V280" s="1">
        <v>1</v>
      </c>
      <c r="W280" s="1">
        <v>1</v>
      </c>
      <c r="X280" s="1">
        <v>0</v>
      </c>
      <c r="Y280" s="1">
        <v>0</v>
      </c>
      <c r="Z280" s="1">
        <v>0</v>
      </c>
      <c r="AA280" s="1">
        <v>1</v>
      </c>
      <c r="AB280" s="1">
        <v>1</v>
      </c>
      <c r="AC280" s="1" t="s">
        <v>109</v>
      </c>
      <c r="AD280" s="1" t="s">
        <v>109</v>
      </c>
      <c r="AE280" s="1" t="s">
        <v>109</v>
      </c>
      <c r="AF280" s="1">
        <v>1</v>
      </c>
      <c r="AG280" s="1" t="s">
        <v>109</v>
      </c>
      <c r="AH280" s="1" t="s">
        <v>109</v>
      </c>
      <c r="AI280" s="1" t="s">
        <v>109</v>
      </c>
      <c r="AJ280" s="1">
        <v>1</v>
      </c>
      <c r="AK280" s="1" t="s">
        <v>109</v>
      </c>
      <c r="AL280" s="1" t="s">
        <v>109</v>
      </c>
      <c r="AM280" s="1" t="s">
        <v>109</v>
      </c>
      <c r="AN280" s="1" t="s">
        <v>109</v>
      </c>
      <c r="AO280" s="1" t="s">
        <v>109</v>
      </c>
      <c r="AP280" s="1"/>
      <c r="AQ280" s="1">
        <v>1</v>
      </c>
      <c r="AR280" s="1"/>
      <c r="AS280" s="1" t="s">
        <v>2696</v>
      </c>
      <c r="AT280" s="1">
        <v>0</v>
      </c>
      <c r="AU280" s="1">
        <v>0</v>
      </c>
      <c r="AV280" s="1">
        <v>0</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1</v>
      </c>
      <c r="BN280" s="1">
        <v>0</v>
      </c>
      <c r="BO280" s="1">
        <v>0</v>
      </c>
      <c r="BP280" s="1">
        <v>0</v>
      </c>
      <c r="BQ280" s="1">
        <v>0</v>
      </c>
      <c r="BR280" s="1">
        <v>0</v>
      </c>
      <c r="BS280" s="5" t="str">
        <f>HYPERLINK("http://www.d20pfsrd.com/magic/all-spells/h/hypnotism","Hypnotism")</f>
        <v>Hypnotism</v>
      </c>
      <c r="BT280" s="1">
        <v>279</v>
      </c>
      <c r="BU280" s="1" t="s">
        <v>109</v>
      </c>
      <c r="BV280" s="1" t="s">
        <v>2697</v>
      </c>
      <c r="BW280" s="1"/>
      <c r="BX280" s="1"/>
      <c r="BY280" s="1"/>
      <c r="BZ280" s="1">
        <v>0</v>
      </c>
      <c r="CA280" s="1" t="s">
        <v>109</v>
      </c>
      <c r="CB280" s="1" t="s">
        <v>109</v>
      </c>
      <c r="CC280" s="1">
        <v>1</v>
      </c>
      <c r="CD280" s="1" t="s">
        <v>109</v>
      </c>
      <c r="CE280" s="1">
        <v>1</v>
      </c>
      <c r="CF280" s="1">
        <v>1</v>
      </c>
      <c r="CG280" s="1" t="s">
        <v>109</v>
      </c>
      <c r="CH280" s="1" t="s">
        <v>109</v>
      </c>
      <c r="CI280" s="1" t="s">
        <v>109</v>
      </c>
      <c r="CJ280" s="1" t="s">
        <v>109</v>
      </c>
      <c r="CK280" s="1"/>
      <c r="CL280" s="1">
        <v>0</v>
      </c>
      <c r="CM280" s="1">
        <v>0</v>
      </c>
      <c r="CN280" s="1">
        <v>0</v>
      </c>
    </row>
    <row r="281" spans="1:92" ht="14.25" customHeight="1" x14ac:dyDescent="0.15">
      <c r="A281" s="1" t="s">
        <v>2698</v>
      </c>
      <c r="B281" s="1" t="s">
        <v>584</v>
      </c>
      <c r="C281" s="1"/>
      <c r="D281" s="1" t="s">
        <v>49</v>
      </c>
      <c r="E281" s="1" t="s">
        <v>2699</v>
      </c>
      <c r="F281" s="1" t="s">
        <v>98</v>
      </c>
      <c r="G281" s="1" t="s">
        <v>2700</v>
      </c>
      <c r="H281" s="1">
        <v>0</v>
      </c>
      <c r="I281" s="1" t="s">
        <v>100</v>
      </c>
      <c r="J281" s="1" t="s">
        <v>2701</v>
      </c>
      <c r="K281" s="1"/>
      <c r="L281" s="1"/>
      <c r="M281" s="1" t="s">
        <v>574</v>
      </c>
      <c r="N281" s="1">
        <v>1</v>
      </c>
      <c r="O281" s="1">
        <v>0</v>
      </c>
      <c r="P281" s="1" t="s">
        <v>103</v>
      </c>
      <c r="Q281" s="1" t="s">
        <v>268</v>
      </c>
      <c r="R281" s="1" t="s">
        <v>2702</v>
      </c>
      <c r="S281" s="1" t="s">
        <v>2703</v>
      </c>
      <c r="T281" s="1" t="s">
        <v>107</v>
      </c>
      <c r="U281" s="1" t="s">
        <v>2704</v>
      </c>
      <c r="V281" s="1">
        <v>1</v>
      </c>
      <c r="W281" s="1">
        <v>1</v>
      </c>
      <c r="X281" s="1">
        <v>1</v>
      </c>
      <c r="Y281" s="1">
        <v>0</v>
      </c>
      <c r="Z281" s="1">
        <v>1</v>
      </c>
      <c r="AA281" s="1">
        <v>4</v>
      </c>
      <c r="AB281" s="1">
        <v>4</v>
      </c>
      <c r="AC281" s="1" t="s">
        <v>109</v>
      </c>
      <c r="AD281" s="1">
        <v>4</v>
      </c>
      <c r="AE281" s="1" t="s">
        <v>109</v>
      </c>
      <c r="AF281" s="1" t="s">
        <v>109</v>
      </c>
      <c r="AG281" s="1" t="s">
        <v>109</v>
      </c>
      <c r="AH281" s="1" t="s">
        <v>109</v>
      </c>
      <c r="AI281" s="1" t="s">
        <v>109</v>
      </c>
      <c r="AJ281" s="1">
        <v>4</v>
      </c>
      <c r="AK281" s="1" t="s">
        <v>109</v>
      </c>
      <c r="AL281" s="1" t="s">
        <v>109</v>
      </c>
      <c r="AM281" s="1" t="s">
        <v>109</v>
      </c>
      <c r="AN281" s="1">
        <v>4</v>
      </c>
      <c r="AO281" s="1" t="s">
        <v>109</v>
      </c>
      <c r="AP281" s="1"/>
      <c r="AQ281" s="1">
        <v>4</v>
      </c>
      <c r="AR281" s="1" t="s">
        <v>2705</v>
      </c>
      <c r="AS281" s="1" t="s">
        <v>2706</v>
      </c>
      <c r="AT281" s="1">
        <v>0</v>
      </c>
      <c r="AU281" s="1">
        <v>0</v>
      </c>
      <c r="AV281" s="1">
        <v>0</v>
      </c>
      <c r="AW281" s="1">
        <v>1</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5" t="str">
        <f>HYPERLINK("http://www.d20pfsrd.com/magic/all-spells/i/ice-storm","Ice Storm")</f>
        <v>Ice Storm</v>
      </c>
      <c r="BT281" s="1">
        <v>280</v>
      </c>
      <c r="BU281" s="1" t="s">
        <v>109</v>
      </c>
      <c r="BV281" s="1"/>
      <c r="BW281" s="1" t="s">
        <v>2707</v>
      </c>
      <c r="BX281" s="1" t="s">
        <v>2708</v>
      </c>
      <c r="BY281" s="1" t="s">
        <v>2709</v>
      </c>
      <c r="BZ281" s="1">
        <v>1</v>
      </c>
      <c r="CA281" s="1">
        <v>4</v>
      </c>
      <c r="CB281" s="1">
        <v>4</v>
      </c>
      <c r="CC281" s="1" t="s">
        <v>109</v>
      </c>
      <c r="CD281" s="1" t="s">
        <v>109</v>
      </c>
      <c r="CE281" s="1" t="s">
        <v>109</v>
      </c>
      <c r="CF281" s="1">
        <v>4</v>
      </c>
      <c r="CG281" s="1" t="s">
        <v>109</v>
      </c>
      <c r="CH281" s="1" t="s">
        <v>109</v>
      </c>
      <c r="CI281" s="1" t="s">
        <v>109</v>
      </c>
      <c r="CJ281" s="1">
        <v>4</v>
      </c>
      <c r="CK281" s="1"/>
      <c r="CL281" s="1">
        <v>0</v>
      </c>
      <c r="CM281" s="1">
        <v>0</v>
      </c>
      <c r="CN281" s="1">
        <v>0</v>
      </c>
    </row>
    <row r="282" spans="1:92" ht="14.25" customHeight="1" x14ac:dyDescent="0.15">
      <c r="A282" s="1" t="s">
        <v>2710</v>
      </c>
      <c r="B282" s="1" t="s">
        <v>254</v>
      </c>
      <c r="C282" s="1"/>
      <c r="D282" s="1"/>
      <c r="E282" s="1" t="s">
        <v>2711</v>
      </c>
      <c r="F282" s="1" t="s">
        <v>98</v>
      </c>
      <c r="G282" s="1" t="s">
        <v>2712</v>
      </c>
      <c r="H282" s="1">
        <v>0</v>
      </c>
      <c r="I282" s="1" t="s">
        <v>1016</v>
      </c>
      <c r="J282" s="1" t="s">
        <v>1346</v>
      </c>
      <c r="K282" s="1"/>
      <c r="L282" s="1"/>
      <c r="M282" s="1" t="s">
        <v>2713</v>
      </c>
      <c r="N282" s="1">
        <v>1</v>
      </c>
      <c r="O282" s="1">
        <v>0</v>
      </c>
      <c r="P282" s="1" t="s">
        <v>103</v>
      </c>
      <c r="Q282" s="1" t="s">
        <v>104</v>
      </c>
      <c r="R282" s="1" t="s">
        <v>2714</v>
      </c>
      <c r="S282" s="1" t="s">
        <v>2715</v>
      </c>
      <c r="T282" s="1" t="s">
        <v>107</v>
      </c>
      <c r="U282" s="1" t="s">
        <v>2716</v>
      </c>
      <c r="V282" s="1">
        <v>1</v>
      </c>
      <c r="W282" s="1">
        <v>1</v>
      </c>
      <c r="X282" s="1">
        <v>1</v>
      </c>
      <c r="Y282" s="1">
        <v>0</v>
      </c>
      <c r="Z282" s="1">
        <v>0</v>
      </c>
      <c r="AA282" s="1">
        <v>1</v>
      </c>
      <c r="AB282" s="1">
        <v>1</v>
      </c>
      <c r="AC282" s="1" t="s">
        <v>109</v>
      </c>
      <c r="AD282" s="1" t="s">
        <v>109</v>
      </c>
      <c r="AE282" s="1" t="s">
        <v>109</v>
      </c>
      <c r="AF282" s="1">
        <v>1</v>
      </c>
      <c r="AG282" s="1" t="s">
        <v>109</v>
      </c>
      <c r="AH282" s="1">
        <v>1</v>
      </c>
      <c r="AI282" s="1">
        <v>1</v>
      </c>
      <c r="AJ282" s="1">
        <v>1</v>
      </c>
      <c r="AK282" s="1" t="s">
        <v>109</v>
      </c>
      <c r="AL282" s="1" t="s">
        <v>109</v>
      </c>
      <c r="AM282" s="1" t="s">
        <v>109</v>
      </c>
      <c r="AN282" s="1" t="s">
        <v>109</v>
      </c>
      <c r="AO282" s="1" t="s">
        <v>109</v>
      </c>
      <c r="AP282" s="1"/>
      <c r="AQ282" s="1">
        <v>1</v>
      </c>
      <c r="AR282" s="1" t="s">
        <v>2717</v>
      </c>
      <c r="AS282" s="1" t="s">
        <v>2718</v>
      </c>
      <c r="AT282" s="1">
        <v>0</v>
      </c>
      <c r="AU282" s="1">
        <v>0</v>
      </c>
      <c r="AV282" s="1">
        <v>0</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5" t="str">
        <f>HYPERLINK("http://www.d20pfsrd.com/magic/all-spells/i/identify","Identify")</f>
        <v>Identify</v>
      </c>
      <c r="BT282" s="1">
        <v>281</v>
      </c>
      <c r="BU282" s="1" t="s">
        <v>109</v>
      </c>
      <c r="BV282" s="1" t="s">
        <v>2719</v>
      </c>
      <c r="BW282" s="1"/>
      <c r="BX282" s="1"/>
      <c r="BY282" s="1"/>
      <c r="BZ282" s="1">
        <v>0</v>
      </c>
      <c r="CA282" s="1" t="s">
        <v>109</v>
      </c>
      <c r="CB282" s="1" t="s">
        <v>109</v>
      </c>
      <c r="CC282" s="1">
        <v>1</v>
      </c>
      <c r="CD282" s="1" t="s">
        <v>109</v>
      </c>
      <c r="CE282" s="1" t="s">
        <v>109</v>
      </c>
      <c r="CF282" s="1">
        <v>1</v>
      </c>
      <c r="CG282" s="1">
        <v>1</v>
      </c>
      <c r="CH282" s="1" t="s">
        <v>109</v>
      </c>
      <c r="CI282" s="1" t="s">
        <v>109</v>
      </c>
      <c r="CJ282" s="1" t="s">
        <v>109</v>
      </c>
      <c r="CK282" s="1"/>
      <c r="CL282" s="1">
        <v>0</v>
      </c>
      <c r="CM282" s="1">
        <v>0</v>
      </c>
      <c r="CN282" s="1">
        <v>0</v>
      </c>
    </row>
    <row r="283" spans="1:92" ht="14.25" customHeight="1" x14ac:dyDescent="0.15">
      <c r="A283" s="1" t="s">
        <v>2720</v>
      </c>
      <c r="B283" s="1" t="s">
        <v>674</v>
      </c>
      <c r="C283" s="1" t="s">
        <v>1715</v>
      </c>
      <c r="D283" s="1" t="s">
        <v>158</v>
      </c>
      <c r="E283" s="1" t="s">
        <v>2721</v>
      </c>
      <c r="F283" s="1" t="s">
        <v>2722</v>
      </c>
      <c r="G283" s="1" t="s">
        <v>2723</v>
      </c>
      <c r="H283" s="1">
        <v>1</v>
      </c>
      <c r="I283" s="1" t="s">
        <v>161</v>
      </c>
      <c r="J283" s="1"/>
      <c r="K283" s="1"/>
      <c r="L283" s="1" t="s">
        <v>1905</v>
      </c>
      <c r="M283" s="1" t="s">
        <v>2724</v>
      </c>
      <c r="N283" s="1">
        <v>1</v>
      </c>
      <c r="O283" s="1">
        <v>0</v>
      </c>
      <c r="P283" s="1" t="s">
        <v>564</v>
      </c>
      <c r="Q283" s="1" t="s">
        <v>268</v>
      </c>
      <c r="R283" s="1" t="s">
        <v>2725</v>
      </c>
      <c r="S283" s="1" t="s">
        <v>2726</v>
      </c>
      <c r="T283" s="1" t="s">
        <v>107</v>
      </c>
      <c r="U283" s="1" t="s">
        <v>2727</v>
      </c>
      <c r="V283" s="1">
        <v>1</v>
      </c>
      <c r="W283" s="1">
        <v>1</v>
      </c>
      <c r="X283" s="1">
        <v>1</v>
      </c>
      <c r="Y283" s="1">
        <v>0</v>
      </c>
      <c r="Z283" s="1">
        <v>0</v>
      </c>
      <c r="AA283" s="1">
        <v>3</v>
      </c>
      <c r="AB283" s="1">
        <v>3</v>
      </c>
      <c r="AC283" s="1" t="s">
        <v>109</v>
      </c>
      <c r="AD283" s="1" t="s">
        <v>109</v>
      </c>
      <c r="AE283" s="1" t="s">
        <v>109</v>
      </c>
      <c r="AF283" s="1">
        <v>3</v>
      </c>
      <c r="AG283" s="1" t="s">
        <v>109</v>
      </c>
      <c r="AH283" s="1" t="s">
        <v>109</v>
      </c>
      <c r="AI283" s="1" t="s">
        <v>109</v>
      </c>
      <c r="AJ283" s="1" t="s">
        <v>109</v>
      </c>
      <c r="AK283" s="1" t="s">
        <v>109</v>
      </c>
      <c r="AL283" s="1" t="s">
        <v>109</v>
      </c>
      <c r="AM283" s="1" t="s">
        <v>109</v>
      </c>
      <c r="AN283" s="1" t="s">
        <v>109</v>
      </c>
      <c r="AO283" s="1" t="s">
        <v>109</v>
      </c>
      <c r="AP283" s="1"/>
      <c r="AQ283" s="1">
        <v>3</v>
      </c>
      <c r="AR283" s="1"/>
      <c r="AS283" s="1" t="s">
        <v>2728</v>
      </c>
      <c r="AT283" s="1">
        <v>0</v>
      </c>
      <c r="AU283" s="1">
        <v>0</v>
      </c>
      <c r="AV283" s="1">
        <v>0</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1</v>
      </c>
      <c r="BN283" s="1">
        <v>0</v>
      </c>
      <c r="BO283" s="1">
        <v>0</v>
      </c>
      <c r="BP283" s="1">
        <v>0</v>
      </c>
      <c r="BQ283" s="1">
        <v>0</v>
      </c>
      <c r="BR283" s="1">
        <v>0</v>
      </c>
      <c r="BS283" s="5" t="str">
        <f>HYPERLINK("http://www.d20pfsrd.com/magic/all-spells/i/illusory-script","Illusory Script")</f>
        <v>Illusory Script</v>
      </c>
      <c r="BT283" s="1">
        <v>282</v>
      </c>
      <c r="BU283" s="1">
        <v>50</v>
      </c>
      <c r="BV283" s="1"/>
      <c r="BW283" s="1"/>
      <c r="BX283" s="1"/>
      <c r="BY283" s="1"/>
      <c r="BZ283" s="1">
        <v>0</v>
      </c>
      <c r="CA283" s="1" t="s">
        <v>109</v>
      </c>
      <c r="CB283" s="1" t="s">
        <v>109</v>
      </c>
      <c r="CC283" s="1">
        <v>3</v>
      </c>
      <c r="CD283" s="1" t="s">
        <v>109</v>
      </c>
      <c r="CE283" s="1">
        <v>3</v>
      </c>
      <c r="CF283" s="1">
        <v>3</v>
      </c>
      <c r="CG283" s="1" t="s">
        <v>109</v>
      </c>
      <c r="CH283" s="1" t="s">
        <v>109</v>
      </c>
      <c r="CI283" s="1" t="s">
        <v>109</v>
      </c>
      <c r="CJ283" s="1" t="s">
        <v>109</v>
      </c>
      <c r="CK283" s="1"/>
      <c r="CL283" s="1">
        <v>0</v>
      </c>
      <c r="CM283" s="1">
        <v>0</v>
      </c>
      <c r="CN283" s="1">
        <v>0</v>
      </c>
    </row>
    <row r="284" spans="1:92" ht="14.25" customHeight="1" x14ac:dyDescent="0.15">
      <c r="A284" s="1" t="s">
        <v>2729</v>
      </c>
      <c r="B284" s="1" t="s">
        <v>674</v>
      </c>
      <c r="C284" s="1" t="s">
        <v>2300</v>
      </c>
      <c r="D284" s="1"/>
      <c r="E284" s="1" t="s">
        <v>2730</v>
      </c>
      <c r="F284" s="1" t="s">
        <v>98</v>
      </c>
      <c r="G284" s="1" t="s">
        <v>141</v>
      </c>
      <c r="H284" s="1">
        <v>0</v>
      </c>
      <c r="I284" s="1" t="s">
        <v>142</v>
      </c>
      <c r="J284" s="1"/>
      <c r="K284" s="1" t="s">
        <v>2731</v>
      </c>
      <c r="L284" s="1"/>
      <c r="M284" s="1" t="s">
        <v>408</v>
      </c>
      <c r="N284" s="1">
        <v>0</v>
      </c>
      <c r="O284" s="1">
        <v>0</v>
      </c>
      <c r="P284" s="1" t="s">
        <v>2465</v>
      </c>
      <c r="Q284" s="1" t="s">
        <v>104</v>
      </c>
      <c r="R284" s="1" t="s">
        <v>2732</v>
      </c>
      <c r="S284" s="1" t="s">
        <v>2733</v>
      </c>
      <c r="T284" s="1" t="s">
        <v>107</v>
      </c>
      <c r="U284" s="1" t="s">
        <v>2734</v>
      </c>
      <c r="V284" s="1">
        <v>1</v>
      </c>
      <c r="W284" s="1">
        <v>1</v>
      </c>
      <c r="X284" s="1">
        <v>0</v>
      </c>
      <c r="Y284" s="1">
        <v>0</v>
      </c>
      <c r="Z284" s="1">
        <v>0</v>
      </c>
      <c r="AA284" s="1">
        <v>4</v>
      </c>
      <c r="AB284" s="1">
        <v>4</v>
      </c>
      <c r="AC284" s="1" t="s">
        <v>109</v>
      </c>
      <c r="AD284" s="1" t="s">
        <v>109</v>
      </c>
      <c r="AE284" s="1" t="s">
        <v>109</v>
      </c>
      <c r="AF284" s="1" t="s">
        <v>109</v>
      </c>
      <c r="AG284" s="1" t="s">
        <v>109</v>
      </c>
      <c r="AH284" s="1" t="s">
        <v>109</v>
      </c>
      <c r="AI284" s="1" t="s">
        <v>109</v>
      </c>
      <c r="AJ284" s="1" t="s">
        <v>109</v>
      </c>
      <c r="AK284" s="1" t="s">
        <v>109</v>
      </c>
      <c r="AL284" s="1" t="s">
        <v>109</v>
      </c>
      <c r="AM284" s="1" t="s">
        <v>109</v>
      </c>
      <c r="AN284" s="1" t="s">
        <v>109</v>
      </c>
      <c r="AO284" s="1" t="s">
        <v>109</v>
      </c>
      <c r="AP284" s="1"/>
      <c r="AQ284" s="1">
        <v>4</v>
      </c>
      <c r="AR284" s="1" t="s">
        <v>2735</v>
      </c>
      <c r="AS284" s="1" t="s">
        <v>2736</v>
      </c>
      <c r="AT284" s="1">
        <v>0</v>
      </c>
      <c r="AU284" s="1">
        <v>0</v>
      </c>
      <c r="AV284" s="1">
        <v>0</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5" t="str">
        <f>HYPERLINK("http://www.d20pfsrd.com/magic/all-spells/i/illusory-wall","Illusory Wall")</f>
        <v>Illusory Wall</v>
      </c>
      <c r="BT284" s="1">
        <v>283</v>
      </c>
      <c r="BU284" s="1" t="s">
        <v>109</v>
      </c>
      <c r="BV284" s="1"/>
      <c r="BW284" s="1"/>
      <c r="BX284" s="1"/>
      <c r="BY284" s="1"/>
      <c r="BZ284" s="1">
        <v>0</v>
      </c>
      <c r="CA284" s="1" t="s">
        <v>109</v>
      </c>
      <c r="CB284" s="1" t="s">
        <v>109</v>
      </c>
      <c r="CC284" s="1">
        <v>4</v>
      </c>
      <c r="CD284" s="1" t="s">
        <v>109</v>
      </c>
      <c r="CE284" s="1">
        <v>4</v>
      </c>
      <c r="CF284" s="1">
        <v>4</v>
      </c>
      <c r="CG284" s="1" t="s">
        <v>109</v>
      </c>
      <c r="CH284" s="1" t="s">
        <v>109</v>
      </c>
      <c r="CI284" s="1" t="s">
        <v>109</v>
      </c>
      <c r="CJ284" s="1" t="s">
        <v>109</v>
      </c>
      <c r="CK284" s="1"/>
      <c r="CL284" s="1">
        <v>0</v>
      </c>
      <c r="CM284" s="1">
        <v>0</v>
      </c>
      <c r="CN284" s="1">
        <v>0</v>
      </c>
    </row>
    <row r="285" spans="1:92" ht="14.25" customHeight="1" x14ac:dyDescent="0.15">
      <c r="A285" s="1" t="s">
        <v>2737</v>
      </c>
      <c r="B285" s="1" t="s">
        <v>584</v>
      </c>
      <c r="C285" s="1"/>
      <c r="D285" s="1"/>
      <c r="E285" s="1" t="s">
        <v>2738</v>
      </c>
      <c r="F285" s="1" t="s">
        <v>395</v>
      </c>
      <c r="G285" s="1" t="s">
        <v>160</v>
      </c>
      <c r="H285" s="1">
        <v>0</v>
      </c>
      <c r="I285" s="1" t="s">
        <v>161</v>
      </c>
      <c r="J285" s="1"/>
      <c r="K285" s="1"/>
      <c r="L285" s="1" t="s">
        <v>2739</v>
      </c>
      <c r="M285" s="1" t="s">
        <v>1906</v>
      </c>
      <c r="N285" s="1">
        <v>1</v>
      </c>
      <c r="O285" s="1">
        <v>0</v>
      </c>
      <c r="P285" s="1" t="s">
        <v>507</v>
      </c>
      <c r="Q285" s="1" t="s">
        <v>167</v>
      </c>
      <c r="R285" s="1" t="s">
        <v>2740</v>
      </c>
      <c r="S285" s="1" t="s">
        <v>2741</v>
      </c>
      <c r="T285" s="1" t="s">
        <v>107</v>
      </c>
      <c r="U285" s="1" t="s">
        <v>2742</v>
      </c>
      <c r="V285" s="1">
        <v>1</v>
      </c>
      <c r="W285" s="1">
        <v>1</v>
      </c>
      <c r="X285" s="1">
        <v>0</v>
      </c>
      <c r="Y285" s="1">
        <v>0</v>
      </c>
      <c r="Z285" s="1">
        <v>1</v>
      </c>
      <c r="AA285" s="1" t="s">
        <v>109</v>
      </c>
      <c r="AB285" s="1" t="s">
        <v>109</v>
      </c>
      <c r="AC285" s="1">
        <v>4</v>
      </c>
      <c r="AD285" s="1" t="s">
        <v>109</v>
      </c>
      <c r="AE285" s="1" t="s">
        <v>109</v>
      </c>
      <c r="AF285" s="1" t="s">
        <v>109</v>
      </c>
      <c r="AG285" s="1" t="s">
        <v>109</v>
      </c>
      <c r="AH285" s="1" t="s">
        <v>109</v>
      </c>
      <c r="AI285" s="1" t="s">
        <v>109</v>
      </c>
      <c r="AJ285" s="1" t="s">
        <v>109</v>
      </c>
      <c r="AK285" s="1" t="s">
        <v>109</v>
      </c>
      <c r="AL285" s="1">
        <v>4</v>
      </c>
      <c r="AM285" s="1" t="s">
        <v>109</v>
      </c>
      <c r="AN285" s="1" t="s">
        <v>109</v>
      </c>
      <c r="AO285" s="1" t="s">
        <v>109</v>
      </c>
      <c r="AP285" s="1"/>
      <c r="AQ285" s="1">
        <v>4</v>
      </c>
      <c r="AR285" s="1" t="s">
        <v>2743</v>
      </c>
      <c r="AS285" s="1" t="s">
        <v>2744</v>
      </c>
      <c r="AT285" s="1">
        <v>0</v>
      </c>
      <c r="AU285" s="1">
        <v>0</v>
      </c>
      <c r="AV285" s="1">
        <v>0</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5" t="str">
        <f>HYPERLINK("http://www.d20pfsrd.com/magic/all-spells/i/imbue-with-spell-ability","Imbue with Spell Ability")</f>
        <v>Imbue with Spell Ability</v>
      </c>
      <c r="BT285" s="1">
        <v>284</v>
      </c>
      <c r="BU285" s="1" t="s">
        <v>109</v>
      </c>
      <c r="BV285" s="1"/>
      <c r="BW285" s="1"/>
      <c r="BX285" s="1"/>
      <c r="BY285" s="1"/>
      <c r="BZ285" s="1">
        <v>0</v>
      </c>
      <c r="CA285" s="1" t="s">
        <v>109</v>
      </c>
      <c r="CB285" s="1">
        <v>4</v>
      </c>
      <c r="CC285" s="1" t="s">
        <v>109</v>
      </c>
      <c r="CD285" s="1" t="s">
        <v>109</v>
      </c>
      <c r="CE285" s="1" t="s">
        <v>109</v>
      </c>
      <c r="CF285" s="1" t="s">
        <v>109</v>
      </c>
      <c r="CG285" s="1">
        <v>4</v>
      </c>
      <c r="CH285" s="1" t="s">
        <v>109</v>
      </c>
      <c r="CI285" s="1" t="s">
        <v>109</v>
      </c>
      <c r="CJ285" s="1" t="s">
        <v>109</v>
      </c>
      <c r="CK285" s="1"/>
      <c r="CL285" s="1">
        <v>0</v>
      </c>
      <c r="CM285" s="1">
        <v>0</v>
      </c>
      <c r="CN285" s="1">
        <v>0</v>
      </c>
    </row>
    <row r="286" spans="1:92" ht="14.25" customHeight="1" x14ac:dyDescent="0.15">
      <c r="A286" s="1" t="s">
        <v>2745</v>
      </c>
      <c r="B286" s="1" t="s">
        <v>584</v>
      </c>
      <c r="C286" s="1"/>
      <c r="D286" s="1"/>
      <c r="E286" s="1" t="s">
        <v>2746</v>
      </c>
      <c r="F286" s="1" t="s">
        <v>98</v>
      </c>
      <c r="G286" s="1" t="s">
        <v>141</v>
      </c>
      <c r="H286" s="1">
        <v>0</v>
      </c>
      <c r="I286" s="1" t="s">
        <v>142</v>
      </c>
      <c r="J286" s="1"/>
      <c r="K286" s="1"/>
      <c r="L286" s="1" t="s">
        <v>2747</v>
      </c>
      <c r="M286" s="1" t="s">
        <v>2748</v>
      </c>
      <c r="N286" s="1">
        <v>0</v>
      </c>
      <c r="O286" s="1">
        <v>0</v>
      </c>
      <c r="P286" s="1" t="s">
        <v>267</v>
      </c>
      <c r="Q286" s="1" t="s">
        <v>268</v>
      </c>
      <c r="R286" s="1" t="s">
        <v>2749</v>
      </c>
      <c r="S286" s="1" t="s">
        <v>2750</v>
      </c>
      <c r="T286" s="1" t="s">
        <v>107</v>
      </c>
      <c r="U286" s="1" t="s">
        <v>2751</v>
      </c>
      <c r="V286" s="1">
        <v>1</v>
      </c>
      <c r="W286" s="1">
        <v>1</v>
      </c>
      <c r="X286" s="1">
        <v>0</v>
      </c>
      <c r="Y286" s="1">
        <v>0</v>
      </c>
      <c r="Z286" s="1">
        <v>0</v>
      </c>
      <c r="AA286" s="1" t="s">
        <v>109</v>
      </c>
      <c r="AB286" s="1" t="s">
        <v>109</v>
      </c>
      <c r="AC286" s="1">
        <v>9</v>
      </c>
      <c r="AD286" s="1" t="s">
        <v>109</v>
      </c>
      <c r="AE286" s="1" t="s">
        <v>109</v>
      </c>
      <c r="AF286" s="1" t="s">
        <v>109</v>
      </c>
      <c r="AG286" s="1" t="s">
        <v>109</v>
      </c>
      <c r="AH286" s="1" t="s">
        <v>109</v>
      </c>
      <c r="AI286" s="1" t="s">
        <v>109</v>
      </c>
      <c r="AJ286" s="1" t="s">
        <v>109</v>
      </c>
      <c r="AK286" s="1" t="s">
        <v>109</v>
      </c>
      <c r="AL286" s="1">
        <v>9</v>
      </c>
      <c r="AM286" s="1" t="s">
        <v>109</v>
      </c>
      <c r="AN286" s="1" t="s">
        <v>109</v>
      </c>
      <c r="AO286" s="1" t="s">
        <v>109</v>
      </c>
      <c r="AP286" s="1"/>
      <c r="AQ286" s="1">
        <v>9</v>
      </c>
      <c r="AR286" s="1" t="s">
        <v>2752</v>
      </c>
      <c r="AS286" s="1" t="s">
        <v>2753</v>
      </c>
      <c r="AT286" s="1">
        <v>0</v>
      </c>
      <c r="AU286" s="1">
        <v>0</v>
      </c>
      <c r="AV286" s="1">
        <v>0</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5" t="str">
        <f>HYPERLINK("http://www.d20pfsrd.com/magic/all-spells/i/implosion","Implosion")</f>
        <v>Implosion</v>
      </c>
      <c r="BT286" s="1">
        <v>285</v>
      </c>
      <c r="BU286" s="1" t="s">
        <v>109</v>
      </c>
      <c r="BV286" s="1"/>
      <c r="BW286" s="1"/>
      <c r="BX286" s="1"/>
      <c r="BY286" s="1"/>
      <c r="BZ286" s="1">
        <v>0</v>
      </c>
      <c r="CA286" s="1" t="s">
        <v>109</v>
      </c>
      <c r="CB286" s="1" t="s">
        <v>109</v>
      </c>
      <c r="CC286" s="1">
        <v>9</v>
      </c>
      <c r="CD286" s="1" t="s">
        <v>109</v>
      </c>
      <c r="CE286" s="1" t="s">
        <v>109</v>
      </c>
      <c r="CF286" s="1" t="s">
        <v>109</v>
      </c>
      <c r="CG286" s="1" t="s">
        <v>109</v>
      </c>
      <c r="CH286" s="1" t="s">
        <v>109</v>
      </c>
      <c r="CI286" s="1" t="s">
        <v>109</v>
      </c>
      <c r="CJ286" s="1" t="s">
        <v>109</v>
      </c>
      <c r="CK286" s="1"/>
      <c r="CL286" s="1">
        <v>0</v>
      </c>
      <c r="CM286" s="1">
        <v>0</v>
      </c>
      <c r="CN286" s="1">
        <v>0</v>
      </c>
    </row>
    <row r="287" spans="1:92" ht="14.25" customHeight="1" x14ac:dyDescent="0.15">
      <c r="A287" s="1" t="s">
        <v>2754</v>
      </c>
      <c r="B287" s="1" t="s">
        <v>242</v>
      </c>
      <c r="C287" s="1"/>
      <c r="D287" s="1"/>
      <c r="E287" s="1" t="s">
        <v>1199</v>
      </c>
      <c r="F287" s="1" t="s">
        <v>98</v>
      </c>
      <c r="G287" s="1" t="s">
        <v>141</v>
      </c>
      <c r="H287" s="1">
        <v>0</v>
      </c>
      <c r="I287" s="1" t="s">
        <v>161</v>
      </c>
      <c r="J287" s="1"/>
      <c r="K287" s="1"/>
      <c r="L287" s="1" t="s">
        <v>506</v>
      </c>
      <c r="M287" s="1" t="s">
        <v>144</v>
      </c>
      <c r="N287" s="1">
        <v>0</v>
      </c>
      <c r="O287" s="1">
        <v>0</v>
      </c>
      <c r="P287" s="1" t="s">
        <v>564</v>
      </c>
      <c r="Q287" s="1" t="s">
        <v>268</v>
      </c>
      <c r="R287" s="1" t="s">
        <v>2755</v>
      </c>
      <c r="S287" s="1" t="s">
        <v>2756</v>
      </c>
      <c r="T287" s="1" t="s">
        <v>107</v>
      </c>
      <c r="U287" s="1" t="s">
        <v>2757</v>
      </c>
      <c r="V287" s="1">
        <v>1</v>
      </c>
      <c r="W287" s="1">
        <v>1</v>
      </c>
      <c r="X287" s="1">
        <v>0</v>
      </c>
      <c r="Y287" s="1">
        <v>0</v>
      </c>
      <c r="Z287" s="1">
        <v>0</v>
      </c>
      <c r="AA287" s="1">
        <v>9</v>
      </c>
      <c r="AB287" s="1">
        <v>9</v>
      </c>
      <c r="AC287" s="1" t="s">
        <v>109</v>
      </c>
      <c r="AD287" s="1" t="s">
        <v>109</v>
      </c>
      <c r="AE287" s="1" t="s">
        <v>109</v>
      </c>
      <c r="AF287" s="1" t="s">
        <v>109</v>
      </c>
      <c r="AG287" s="1" t="s">
        <v>109</v>
      </c>
      <c r="AH287" s="1" t="s">
        <v>109</v>
      </c>
      <c r="AI287" s="1" t="s">
        <v>109</v>
      </c>
      <c r="AJ287" s="1" t="s">
        <v>109</v>
      </c>
      <c r="AK287" s="1" t="s">
        <v>109</v>
      </c>
      <c r="AL287" s="1" t="s">
        <v>109</v>
      </c>
      <c r="AM287" s="1" t="s">
        <v>109</v>
      </c>
      <c r="AN287" s="1" t="s">
        <v>109</v>
      </c>
      <c r="AO287" s="1" t="s">
        <v>109</v>
      </c>
      <c r="AP287" s="1"/>
      <c r="AQ287" s="1">
        <v>9</v>
      </c>
      <c r="AR287" s="1"/>
      <c r="AS287" s="1" t="s">
        <v>2758</v>
      </c>
      <c r="AT287" s="1">
        <v>0</v>
      </c>
      <c r="AU287" s="1">
        <v>0</v>
      </c>
      <c r="AV287" s="1">
        <v>0</v>
      </c>
      <c r="AW287" s="1">
        <v>0</v>
      </c>
      <c r="AX287" s="1">
        <v>0</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5" t="str">
        <f>HYPERLINK("http://www.d20pfsrd.com/magic/all-spells/i/imprisonment","Imprisonment")</f>
        <v>Imprisonment</v>
      </c>
      <c r="BT287" s="1">
        <v>286</v>
      </c>
      <c r="BU287" s="1" t="s">
        <v>109</v>
      </c>
      <c r="BV287" s="1" t="s">
        <v>2759</v>
      </c>
      <c r="BW287" s="1"/>
      <c r="BX287" s="1"/>
      <c r="BY287" s="1"/>
      <c r="BZ287" s="1">
        <v>0</v>
      </c>
      <c r="CA287" s="1" t="s">
        <v>109</v>
      </c>
      <c r="CB287" s="1" t="s">
        <v>109</v>
      </c>
      <c r="CC287" s="1">
        <v>9</v>
      </c>
      <c r="CD287" s="1" t="s">
        <v>109</v>
      </c>
      <c r="CE287" s="1" t="s">
        <v>109</v>
      </c>
      <c r="CF287" s="1" t="s">
        <v>109</v>
      </c>
      <c r="CG287" s="1" t="s">
        <v>109</v>
      </c>
      <c r="CH287" s="1" t="s">
        <v>109</v>
      </c>
      <c r="CI287" s="1" t="s">
        <v>109</v>
      </c>
      <c r="CJ287" s="1" t="s">
        <v>109</v>
      </c>
      <c r="CK287" s="1"/>
      <c r="CL287" s="1">
        <v>0</v>
      </c>
      <c r="CM287" s="1">
        <v>0</v>
      </c>
      <c r="CN287" s="1">
        <v>0</v>
      </c>
    </row>
    <row r="288" spans="1:92" ht="14.25" customHeight="1" x14ac:dyDescent="0.15">
      <c r="A288" s="1" t="s">
        <v>2760</v>
      </c>
      <c r="B288" s="1" t="s">
        <v>95</v>
      </c>
      <c r="C288" s="1" t="s">
        <v>96</v>
      </c>
      <c r="D288" s="1" t="s">
        <v>59</v>
      </c>
      <c r="E288" s="1" t="s">
        <v>2761</v>
      </c>
      <c r="F288" s="1" t="s">
        <v>98</v>
      </c>
      <c r="G288" s="1" t="s">
        <v>141</v>
      </c>
      <c r="H288" s="1">
        <v>0</v>
      </c>
      <c r="I288" s="1" t="s">
        <v>122</v>
      </c>
      <c r="J288" s="1" t="s">
        <v>933</v>
      </c>
      <c r="K288" s="1"/>
      <c r="L288" s="1"/>
      <c r="M288" s="1" t="s">
        <v>125</v>
      </c>
      <c r="N288" s="1">
        <v>1</v>
      </c>
      <c r="O288" s="1">
        <v>0</v>
      </c>
      <c r="P288" s="1" t="s">
        <v>2045</v>
      </c>
      <c r="Q288" s="1" t="s">
        <v>104</v>
      </c>
      <c r="R288" s="1" t="s">
        <v>2762</v>
      </c>
      <c r="S288" s="1" t="s">
        <v>2763</v>
      </c>
      <c r="T288" s="1" t="s">
        <v>107</v>
      </c>
      <c r="U288" s="1" t="s">
        <v>2764</v>
      </c>
      <c r="V288" s="1">
        <v>1</v>
      </c>
      <c r="W288" s="1">
        <v>1</v>
      </c>
      <c r="X288" s="1">
        <v>0</v>
      </c>
      <c r="Y288" s="1">
        <v>0</v>
      </c>
      <c r="Z288" s="1">
        <v>0</v>
      </c>
      <c r="AA288" s="1">
        <v>8</v>
      </c>
      <c r="AB288" s="1">
        <v>8</v>
      </c>
      <c r="AC288" s="1" t="s">
        <v>109</v>
      </c>
      <c r="AD288" s="1" t="s">
        <v>109</v>
      </c>
      <c r="AE288" s="1" t="s">
        <v>109</v>
      </c>
      <c r="AF288" s="1" t="s">
        <v>109</v>
      </c>
      <c r="AG288" s="1" t="s">
        <v>109</v>
      </c>
      <c r="AH288" s="1" t="s">
        <v>109</v>
      </c>
      <c r="AI288" s="1">
        <v>6</v>
      </c>
      <c r="AJ288" s="1" t="s">
        <v>109</v>
      </c>
      <c r="AK288" s="1" t="s">
        <v>109</v>
      </c>
      <c r="AL288" s="1" t="s">
        <v>109</v>
      </c>
      <c r="AM288" s="1" t="s">
        <v>109</v>
      </c>
      <c r="AN288" s="1" t="s">
        <v>109</v>
      </c>
      <c r="AO288" s="1" t="s">
        <v>109</v>
      </c>
      <c r="AP288" s="1"/>
      <c r="AQ288" s="1">
        <v>8</v>
      </c>
      <c r="AR288" s="1" t="s">
        <v>2765</v>
      </c>
      <c r="AS288" s="1" t="s">
        <v>2766</v>
      </c>
      <c r="AT288" s="1">
        <v>0</v>
      </c>
      <c r="AU288" s="1">
        <v>0</v>
      </c>
      <c r="AV288" s="1">
        <v>0</v>
      </c>
      <c r="AW288" s="1">
        <v>0</v>
      </c>
      <c r="AX288" s="1">
        <v>0</v>
      </c>
      <c r="AY288" s="1">
        <v>0</v>
      </c>
      <c r="AZ288" s="1">
        <v>0</v>
      </c>
      <c r="BA288" s="1">
        <v>0</v>
      </c>
      <c r="BB288" s="1">
        <v>0</v>
      </c>
      <c r="BC288" s="1">
        <v>0</v>
      </c>
      <c r="BD288" s="1">
        <v>0</v>
      </c>
      <c r="BE288" s="1">
        <v>0</v>
      </c>
      <c r="BF288" s="1">
        <v>0</v>
      </c>
      <c r="BG288" s="1">
        <v>1</v>
      </c>
      <c r="BH288" s="1">
        <v>0</v>
      </c>
      <c r="BI288" s="1">
        <v>0</v>
      </c>
      <c r="BJ288" s="1">
        <v>0</v>
      </c>
      <c r="BK288" s="1">
        <v>0</v>
      </c>
      <c r="BL288" s="1">
        <v>0</v>
      </c>
      <c r="BM288" s="1">
        <v>0</v>
      </c>
      <c r="BN288" s="1">
        <v>0</v>
      </c>
      <c r="BO288" s="1">
        <v>0</v>
      </c>
      <c r="BP288" s="1">
        <v>0</v>
      </c>
      <c r="BQ288" s="1">
        <v>0</v>
      </c>
      <c r="BR288" s="1">
        <v>0</v>
      </c>
      <c r="BS288" s="5" t="str">
        <f>HYPERLINK("http://www.d20pfsrd.com/magic/all-spells/i/incendiary-cloud","Incendiary Cloud")</f>
        <v>Incendiary Cloud</v>
      </c>
      <c r="BT288" s="1">
        <v>287</v>
      </c>
      <c r="BU288" s="1" t="s">
        <v>109</v>
      </c>
      <c r="BV288" s="1"/>
      <c r="BW288" s="1" t="s">
        <v>2767</v>
      </c>
      <c r="BX288" s="1"/>
      <c r="BY288" s="1"/>
      <c r="BZ288" s="1">
        <v>0</v>
      </c>
      <c r="CA288" s="1" t="s">
        <v>109</v>
      </c>
      <c r="CB288" s="1" t="s">
        <v>109</v>
      </c>
      <c r="CC288" s="1" t="s">
        <v>109</v>
      </c>
      <c r="CD288" s="1" t="s">
        <v>109</v>
      </c>
      <c r="CE288" s="1" t="s">
        <v>109</v>
      </c>
      <c r="CF288" s="1" t="s">
        <v>109</v>
      </c>
      <c r="CG288" s="1" t="s">
        <v>109</v>
      </c>
      <c r="CH288" s="1" t="s">
        <v>109</v>
      </c>
      <c r="CI288" s="1" t="s">
        <v>109</v>
      </c>
      <c r="CJ288" s="1" t="s">
        <v>109</v>
      </c>
      <c r="CK288" s="1"/>
      <c r="CL288" s="1">
        <v>0</v>
      </c>
      <c r="CM288" s="1">
        <v>0</v>
      </c>
      <c r="CN288" s="1">
        <v>0</v>
      </c>
    </row>
    <row r="289" spans="1:92" ht="14.25" customHeight="1" x14ac:dyDescent="0.15">
      <c r="A289" s="1" t="s">
        <v>2768</v>
      </c>
      <c r="B289" s="1" t="s">
        <v>308</v>
      </c>
      <c r="C289" s="1"/>
      <c r="D289" s="1"/>
      <c r="E289" s="1" t="s">
        <v>2769</v>
      </c>
      <c r="F289" s="1" t="s">
        <v>98</v>
      </c>
      <c r="G289" s="1" t="s">
        <v>141</v>
      </c>
      <c r="H289" s="1">
        <v>0</v>
      </c>
      <c r="I289" s="1" t="s">
        <v>161</v>
      </c>
      <c r="J289" s="1"/>
      <c r="K289" s="1"/>
      <c r="L289" s="1" t="s">
        <v>506</v>
      </c>
      <c r="M289" s="1" t="s">
        <v>144</v>
      </c>
      <c r="N289" s="1">
        <v>0</v>
      </c>
      <c r="O289" s="1">
        <v>0</v>
      </c>
      <c r="P289" s="1" t="s">
        <v>2770</v>
      </c>
      <c r="Q289" s="1" t="s">
        <v>268</v>
      </c>
      <c r="R289" s="1" t="s">
        <v>2771</v>
      </c>
      <c r="S289" s="1" t="s">
        <v>2772</v>
      </c>
      <c r="T289" s="1" t="s">
        <v>107</v>
      </c>
      <c r="U289" s="1" t="s">
        <v>2773</v>
      </c>
      <c r="V289" s="1">
        <v>1</v>
      </c>
      <c r="W289" s="1">
        <v>1</v>
      </c>
      <c r="X289" s="1">
        <v>0</v>
      </c>
      <c r="Y289" s="1">
        <v>0</v>
      </c>
      <c r="Z289" s="1">
        <v>0</v>
      </c>
      <c r="AA289" s="1" t="s">
        <v>109</v>
      </c>
      <c r="AB289" s="1" t="s">
        <v>109</v>
      </c>
      <c r="AC289" s="1">
        <v>1</v>
      </c>
      <c r="AD289" s="1" t="s">
        <v>109</v>
      </c>
      <c r="AE289" s="1" t="s">
        <v>109</v>
      </c>
      <c r="AF289" s="1" t="s">
        <v>109</v>
      </c>
      <c r="AG289" s="1" t="s">
        <v>109</v>
      </c>
      <c r="AH289" s="1" t="s">
        <v>109</v>
      </c>
      <c r="AI289" s="1" t="s">
        <v>109</v>
      </c>
      <c r="AJ289" s="1">
        <v>1</v>
      </c>
      <c r="AK289" s="1">
        <v>1</v>
      </c>
      <c r="AL289" s="1">
        <v>1</v>
      </c>
      <c r="AM289" s="1">
        <v>1</v>
      </c>
      <c r="AN289" s="1" t="s">
        <v>109</v>
      </c>
      <c r="AO289" s="1" t="s">
        <v>109</v>
      </c>
      <c r="AP289" s="1"/>
      <c r="AQ289" s="1">
        <v>1</v>
      </c>
      <c r="AR289" s="1"/>
      <c r="AS289" s="1" t="s">
        <v>2774</v>
      </c>
      <c r="AT289" s="1">
        <v>0</v>
      </c>
      <c r="AU289" s="1">
        <v>0</v>
      </c>
      <c r="AV289" s="1">
        <v>0</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5" t="str">
        <f>HYPERLINK("http://www.d20pfsrd.com/magic/all-spells/i/inflict-light-wounds","Inflict Light Wounds")</f>
        <v>Inflict Light Wounds</v>
      </c>
      <c r="BT289" s="1">
        <v>288</v>
      </c>
      <c r="BU289" s="1" t="s">
        <v>109</v>
      </c>
      <c r="BV289" s="1"/>
      <c r="BW289" s="1"/>
      <c r="BX289" s="1" t="s">
        <v>2775</v>
      </c>
      <c r="BY289" s="1"/>
      <c r="BZ289" s="1">
        <v>1</v>
      </c>
      <c r="CA289" s="1" t="s">
        <v>109</v>
      </c>
      <c r="CB289" s="1">
        <v>1</v>
      </c>
      <c r="CC289" s="1" t="s">
        <v>109</v>
      </c>
      <c r="CD289" s="1" t="s">
        <v>109</v>
      </c>
      <c r="CE289" s="1" t="s">
        <v>109</v>
      </c>
      <c r="CF289" s="1">
        <v>1</v>
      </c>
      <c r="CG289" s="1">
        <v>1</v>
      </c>
      <c r="CH289" s="1" t="s">
        <v>109</v>
      </c>
      <c r="CI289" s="1" t="s">
        <v>109</v>
      </c>
      <c r="CJ289" s="1" t="s">
        <v>109</v>
      </c>
      <c r="CK289" s="1"/>
      <c r="CL289" s="1">
        <v>0</v>
      </c>
      <c r="CM289" s="1">
        <v>0</v>
      </c>
      <c r="CN289" s="1">
        <v>0</v>
      </c>
    </row>
    <row r="290" spans="1:92" ht="14.25" customHeight="1" x14ac:dyDescent="0.15">
      <c r="A290" s="1" t="s">
        <v>2776</v>
      </c>
      <c r="B290" s="1" t="s">
        <v>308</v>
      </c>
      <c r="C290" s="1"/>
      <c r="D290" s="1"/>
      <c r="E290" s="1" t="s">
        <v>2777</v>
      </c>
      <c r="F290" s="1" t="s">
        <v>98</v>
      </c>
      <c r="G290" s="1" t="s">
        <v>141</v>
      </c>
      <c r="H290" s="1">
        <v>0</v>
      </c>
      <c r="I290" s="1" t="s">
        <v>161</v>
      </c>
      <c r="J290" s="1"/>
      <c r="K290" s="1"/>
      <c r="L290" s="1" t="s">
        <v>506</v>
      </c>
      <c r="M290" s="1" t="s">
        <v>144</v>
      </c>
      <c r="N290" s="1">
        <v>0</v>
      </c>
      <c r="O290" s="1">
        <v>0</v>
      </c>
      <c r="P290" s="1" t="s">
        <v>2770</v>
      </c>
      <c r="Q290" s="1" t="s">
        <v>268</v>
      </c>
      <c r="R290" s="1" t="s">
        <v>2778</v>
      </c>
      <c r="S290" s="1" t="s">
        <v>2779</v>
      </c>
      <c r="T290" s="1" t="s">
        <v>107</v>
      </c>
      <c r="U290" s="1" t="s">
        <v>2780</v>
      </c>
      <c r="V290" s="1">
        <v>1</v>
      </c>
      <c r="W290" s="1">
        <v>1</v>
      </c>
      <c r="X290" s="1">
        <v>0</v>
      </c>
      <c r="Y290" s="1">
        <v>0</v>
      </c>
      <c r="Z290" s="1">
        <v>0</v>
      </c>
      <c r="AA290" s="1" t="s">
        <v>109</v>
      </c>
      <c r="AB290" s="1" t="s">
        <v>109</v>
      </c>
      <c r="AC290" s="1">
        <v>4</v>
      </c>
      <c r="AD290" s="1" t="s">
        <v>109</v>
      </c>
      <c r="AE290" s="1" t="s">
        <v>109</v>
      </c>
      <c r="AF290" s="1" t="s">
        <v>109</v>
      </c>
      <c r="AG290" s="1" t="s">
        <v>109</v>
      </c>
      <c r="AH290" s="1" t="s">
        <v>109</v>
      </c>
      <c r="AI290" s="1" t="s">
        <v>109</v>
      </c>
      <c r="AJ290" s="1">
        <v>5</v>
      </c>
      <c r="AK290" s="1">
        <v>4</v>
      </c>
      <c r="AL290" s="1">
        <v>4</v>
      </c>
      <c r="AM290" s="1" t="s">
        <v>109</v>
      </c>
      <c r="AN290" s="1" t="s">
        <v>109</v>
      </c>
      <c r="AO290" s="1" t="s">
        <v>109</v>
      </c>
      <c r="AP290" s="1"/>
      <c r="AQ290" s="1">
        <v>4</v>
      </c>
      <c r="AR290" s="1" t="s">
        <v>2781</v>
      </c>
      <c r="AS290" s="1" t="s">
        <v>2782</v>
      </c>
      <c r="AT290" s="1">
        <v>0</v>
      </c>
      <c r="AU290" s="1">
        <v>0</v>
      </c>
      <c r="AV290" s="1">
        <v>0</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5" t="str">
        <f>HYPERLINK("http://www.d20pfsrd.com/magic/all-spells/i/inflict-critical-wounds","Inflict Critical Wounds")</f>
        <v>Inflict Critical Wounds</v>
      </c>
      <c r="BT290" s="1">
        <v>289</v>
      </c>
      <c r="BU290" s="1" t="s">
        <v>109</v>
      </c>
      <c r="BV290" s="1"/>
      <c r="BW290" s="1"/>
      <c r="BX290" s="1" t="s">
        <v>2783</v>
      </c>
      <c r="BY290" s="1"/>
      <c r="BZ290" s="1">
        <v>1</v>
      </c>
      <c r="CA290" s="1" t="s">
        <v>109</v>
      </c>
      <c r="CB290" s="1">
        <v>4</v>
      </c>
      <c r="CC290" s="1" t="s">
        <v>109</v>
      </c>
      <c r="CD290" s="1" t="s">
        <v>109</v>
      </c>
      <c r="CE290" s="1" t="s">
        <v>109</v>
      </c>
      <c r="CF290" s="1">
        <v>4</v>
      </c>
      <c r="CG290" s="1">
        <v>4</v>
      </c>
      <c r="CH290" s="1" t="s">
        <v>109</v>
      </c>
      <c r="CI290" s="1" t="s">
        <v>109</v>
      </c>
      <c r="CJ290" s="1" t="s">
        <v>109</v>
      </c>
      <c r="CK290" s="1"/>
      <c r="CL290" s="1">
        <v>0</v>
      </c>
      <c r="CM290" s="1">
        <v>0</v>
      </c>
      <c r="CN290" s="1">
        <v>0</v>
      </c>
    </row>
    <row r="291" spans="1:92" ht="14.25" customHeight="1" x14ac:dyDescent="0.15">
      <c r="A291" s="1" t="s">
        <v>2784</v>
      </c>
      <c r="B291" s="1" t="s">
        <v>308</v>
      </c>
      <c r="C291" s="1"/>
      <c r="D291" s="1"/>
      <c r="E291" s="1" t="s">
        <v>2785</v>
      </c>
      <c r="F291" s="1" t="s">
        <v>98</v>
      </c>
      <c r="G291" s="1" t="s">
        <v>141</v>
      </c>
      <c r="H291" s="1">
        <v>0</v>
      </c>
      <c r="I291" s="1" t="s">
        <v>142</v>
      </c>
      <c r="J291" s="1"/>
      <c r="K291" s="1"/>
      <c r="L291" s="1" t="s">
        <v>716</v>
      </c>
      <c r="M291" s="1" t="s">
        <v>144</v>
      </c>
      <c r="N291" s="1">
        <v>0</v>
      </c>
      <c r="O291" s="1">
        <v>0</v>
      </c>
      <c r="P291" s="1" t="s">
        <v>2770</v>
      </c>
      <c r="Q291" s="1" t="s">
        <v>268</v>
      </c>
      <c r="R291" s="1" t="s">
        <v>2786</v>
      </c>
      <c r="S291" s="1" t="s">
        <v>2787</v>
      </c>
      <c r="T291" s="1" t="s">
        <v>107</v>
      </c>
      <c r="U291" s="1" t="s">
        <v>2788</v>
      </c>
      <c r="V291" s="1">
        <v>1</v>
      </c>
      <c r="W291" s="1">
        <v>1</v>
      </c>
      <c r="X291" s="1">
        <v>0</v>
      </c>
      <c r="Y291" s="1">
        <v>0</v>
      </c>
      <c r="Z291" s="1">
        <v>0</v>
      </c>
      <c r="AA291" s="1" t="s">
        <v>109</v>
      </c>
      <c r="AB291" s="1" t="s">
        <v>109</v>
      </c>
      <c r="AC291" s="1">
        <v>8</v>
      </c>
      <c r="AD291" s="1" t="s">
        <v>109</v>
      </c>
      <c r="AE291" s="1" t="s">
        <v>109</v>
      </c>
      <c r="AF291" s="1" t="s">
        <v>109</v>
      </c>
      <c r="AG291" s="1" t="s">
        <v>109</v>
      </c>
      <c r="AH291" s="1" t="s">
        <v>109</v>
      </c>
      <c r="AI291" s="1" t="s">
        <v>109</v>
      </c>
      <c r="AJ291" s="1">
        <v>9</v>
      </c>
      <c r="AK291" s="1" t="s">
        <v>109</v>
      </c>
      <c r="AL291" s="1">
        <v>8</v>
      </c>
      <c r="AM291" s="1" t="s">
        <v>109</v>
      </c>
      <c r="AN291" s="1" t="s">
        <v>109</v>
      </c>
      <c r="AO291" s="1" t="s">
        <v>109</v>
      </c>
      <c r="AP291" s="1"/>
      <c r="AQ291" s="1">
        <v>8</v>
      </c>
      <c r="AR291" s="1"/>
      <c r="AS291" s="1" t="s">
        <v>2789</v>
      </c>
      <c r="AT291" s="1">
        <v>0</v>
      </c>
      <c r="AU291" s="1">
        <v>0</v>
      </c>
      <c r="AV291" s="1">
        <v>0</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5" t="str">
        <f>HYPERLINK("http://www.d20pfsrd.com/magic/all-spells/i/inflict-critical-wounds","Inflict Critical Wounds, Mass")</f>
        <v>Inflict Critical Wounds, Mass</v>
      </c>
      <c r="BT291" s="1">
        <v>290</v>
      </c>
      <c r="BU291" s="1" t="s">
        <v>109</v>
      </c>
      <c r="BV291" s="1"/>
      <c r="BW291" s="1"/>
      <c r="BX291" s="1"/>
      <c r="BY291" s="1"/>
      <c r="BZ291" s="1">
        <v>0</v>
      </c>
      <c r="CA291" s="1" t="s">
        <v>109</v>
      </c>
      <c r="CB291" s="1">
        <v>8</v>
      </c>
      <c r="CC291" s="1" t="s">
        <v>109</v>
      </c>
      <c r="CD291" s="1" t="s">
        <v>109</v>
      </c>
      <c r="CE291" s="1" t="s">
        <v>109</v>
      </c>
      <c r="CF291" s="1" t="s">
        <v>109</v>
      </c>
      <c r="CG291" s="1" t="s">
        <v>109</v>
      </c>
      <c r="CH291" s="1" t="s">
        <v>109</v>
      </c>
      <c r="CI291" s="1" t="s">
        <v>109</v>
      </c>
      <c r="CJ291" s="1" t="s">
        <v>109</v>
      </c>
      <c r="CK291" s="1"/>
      <c r="CL291" s="1">
        <v>0</v>
      </c>
      <c r="CM291" s="1">
        <v>0</v>
      </c>
      <c r="CN291" s="1">
        <v>0</v>
      </c>
    </row>
    <row r="292" spans="1:92" ht="14.25" customHeight="1" x14ac:dyDescent="0.15">
      <c r="A292" s="1" t="s">
        <v>2790</v>
      </c>
      <c r="B292" s="1" t="s">
        <v>308</v>
      </c>
      <c r="C292" s="1"/>
      <c r="D292" s="1"/>
      <c r="E292" s="1" t="s">
        <v>2791</v>
      </c>
      <c r="F292" s="1" t="s">
        <v>98</v>
      </c>
      <c r="G292" s="1" t="s">
        <v>141</v>
      </c>
      <c r="H292" s="1">
        <v>0</v>
      </c>
      <c r="I292" s="1" t="s">
        <v>142</v>
      </c>
      <c r="J292" s="1"/>
      <c r="K292" s="1"/>
      <c r="L292" s="1" t="s">
        <v>716</v>
      </c>
      <c r="M292" s="1" t="s">
        <v>144</v>
      </c>
      <c r="N292" s="1">
        <v>0</v>
      </c>
      <c r="O292" s="1">
        <v>0</v>
      </c>
      <c r="P292" s="1" t="s">
        <v>2770</v>
      </c>
      <c r="Q292" s="1" t="s">
        <v>268</v>
      </c>
      <c r="R292" s="1" t="s">
        <v>2792</v>
      </c>
      <c r="S292" s="1" t="s">
        <v>2793</v>
      </c>
      <c r="T292" s="1" t="s">
        <v>107</v>
      </c>
      <c r="U292" s="1" t="s">
        <v>2794</v>
      </c>
      <c r="V292" s="1">
        <v>1</v>
      </c>
      <c r="W292" s="1">
        <v>1</v>
      </c>
      <c r="X292" s="1">
        <v>0</v>
      </c>
      <c r="Y292" s="1">
        <v>0</v>
      </c>
      <c r="Z292" s="1">
        <v>0</v>
      </c>
      <c r="AA292" s="1" t="s">
        <v>109</v>
      </c>
      <c r="AB292" s="1" t="s">
        <v>109</v>
      </c>
      <c r="AC292" s="1">
        <v>5</v>
      </c>
      <c r="AD292" s="1" t="s">
        <v>109</v>
      </c>
      <c r="AE292" s="1" t="s">
        <v>109</v>
      </c>
      <c r="AF292" s="1" t="s">
        <v>109</v>
      </c>
      <c r="AG292" s="1" t="s">
        <v>109</v>
      </c>
      <c r="AH292" s="1" t="s">
        <v>109</v>
      </c>
      <c r="AI292" s="1" t="s">
        <v>109</v>
      </c>
      <c r="AJ292" s="1">
        <v>6</v>
      </c>
      <c r="AK292" s="1">
        <v>5</v>
      </c>
      <c r="AL292" s="1">
        <v>5</v>
      </c>
      <c r="AM292" s="1" t="s">
        <v>109</v>
      </c>
      <c r="AN292" s="1" t="s">
        <v>109</v>
      </c>
      <c r="AO292" s="1" t="s">
        <v>109</v>
      </c>
      <c r="AP292" s="1"/>
      <c r="AQ292" s="1">
        <v>5</v>
      </c>
      <c r="AR292" s="1"/>
      <c r="AS292" s="1" t="s">
        <v>2795</v>
      </c>
      <c r="AT292" s="1">
        <v>0</v>
      </c>
      <c r="AU292" s="1">
        <v>0</v>
      </c>
      <c r="AV292" s="1">
        <v>0</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5" t="str">
        <f>HYPERLINK("http://www.d20pfsrd.com/magic/all-spells/i/inflict-light-wounds","Inflict Light Wounds, Mass")</f>
        <v>Inflict Light Wounds, Mass</v>
      </c>
      <c r="BT292" s="1">
        <v>291</v>
      </c>
      <c r="BU292" s="1" t="s">
        <v>109</v>
      </c>
      <c r="BV292" s="1"/>
      <c r="BW292" s="1"/>
      <c r="BX292" s="1"/>
      <c r="BY292" s="1"/>
      <c r="BZ292" s="1">
        <v>0</v>
      </c>
      <c r="CA292" s="1" t="s">
        <v>109</v>
      </c>
      <c r="CB292" s="1">
        <v>5</v>
      </c>
      <c r="CC292" s="1" t="s">
        <v>109</v>
      </c>
      <c r="CD292" s="1" t="s">
        <v>109</v>
      </c>
      <c r="CE292" s="1" t="s">
        <v>109</v>
      </c>
      <c r="CF292" s="1">
        <v>5</v>
      </c>
      <c r="CG292" s="1" t="s">
        <v>109</v>
      </c>
      <c r="CH292" s="1" t="s">
        <v>109</v>
      </c>
      <c r="CI292" s="1" t="s">
        <v>109</v>
      </c>
      <c r="CJ292" s="1" t="s">
        <v>109</v>
      </c>
      <c r="CK292" s="1"/>
      <c r="CL292" s="1">
        <v>0</v>
      </c>
      <c r="CM292" s="1">
        <v>0</v>
      </c>
      <c r="CN292" s="1">
        <v>0</v>
      </c>
    </row>
    <row r="293" spans="1:92" ht="14.25" customHeight="1" x14ac:dyDescent="0.15">
      <c r="A293" s="1" t="s">
        <v>2796</v>
      </c>
      <c r="B293" s="1" t="s">
        <v>308</v>
      </c>
      <c r="C293" s="1"/>
      <c r="D293" s="1"/>
      <c r="E293" s="1" t="s">
        <v>2797</v>
      </c>
      <c r="F293" s="1" t="s">
        <v>98</v>
      </c>
      <c r="G293" s="1" t="s">
        <v>141</v>
      </c>
      <c r="H293" s="1">
        <v>0</v>
      </c>
      <c r="I293" s="1" t="s">
        <v>161</v>
      </c>
      <c r="J293" s="1"/>
      <c r="K293" s="1"/>
      <c r="L293" s="1" t="s">
        <v>506</v>
      </c>
      <c r="M293" s="1" t="s">
        <v>144</v>
      </c>
      <c r="N293" s="1">
        <v>0</v>
      </c>
      <c r="O293" s="1">
        <v>0</v>
      </c>
      <c r="P293" s="1" t="s">
        <v>2770</v>
      </c>
      <c r="Q293" s="1" t="s">
        <v>268</v>
      </c>
      <c r="R293" s="1" t="s">
        <v>2798</v>
      </c>
      <c r="S293" s="1" t="s">
        <v>2799</v>
      </c>
      <c r="T293" s="1" t="s">
        <v>107</v>
      </c>
      <c r="U293" s="1" t="s">
        <v>2800</v>
      </c>
      <c r="V293" s="1">
        <v>1</v>
      </c>
      <c r="W293" s="1">
        <v>1</v>
      </c>
      <c r="X293" s="1">
        <v>0</v>
      </c>
      <c r="Y293" s="1">
        <v>0</v>
      </c>
      <c r="Z293" s="1">
        <v>0</v>
      </c>
      <c r="AA293" s="1" t="s">
        <v>109</v>
      </c>
      <c r="AB293" s="1" t="s">
        <v>109</v>
      </c>
      <c r="AC293" s="1">
        <v>2</v>
      </c>
      <c r="AD293" s="1" t="s">
        <v>109</v>
      </c>
      <c r="AE293" s="1" t="s">
        <v>109</v>
      </c>
      <c r="AF293" s="1" t="s">
        <v>109</v>
      </c>
      <c r="AG293" s="1" t="s">
        <v>109</v>
      </c>
      <c r="AH293" s="1" t="s">
        <v>109</v>
      </c>
      <c r="AI293" s="1" t="s">
        <v>109</v>
      </c>
      <c r="AJ293" s="1">
        <v>2</v>
      </c>
      <c r="AK293" s="1">
        <v>2</v>
      </c>
      <c r="AL293" s="1">
        <v>2</v>
      </c>
      <c r="AM293" s="1">
        <v>3</v>
      </c>
      <c r="AN293" s="1" t="s">
        <v>109</v>
      </c>
      <c r="AO293" s="1" t="s">
        <v>109</v>
      </c>
      <c r="AP293" s="1"/>
      <c r="AQ293" s="1">
        <v>2</v>
      </c>
      <c r="AR293" s="1"/>
      <c r="AS293" s="1" t="s">
        <v>2801</v>
      </c>
      <c r="AT293" s="1">
        <v>0</v>
      </c>
      <c r="AU293" s="1">
        <v>0</v>
      </c>
      <c r="AV293" s="1">
        <v>0</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5" t="str">
        <f>HYPERLINK("http://www.d20pfsrd.com/magic/all-spells/i/inflict-moderate-wounds","Inflict Moderate Wounds")</f>
        <v>Inflict Moderate Wounds</v>
      </c>
      <c r="BT293" s="1">
        <v>292</v>
      </c>
      <c r="BU293" s="1" t="s">
        <v>109</v>
      </c>
      <c r="BV293" s="1"/>
      <c r="BW293" s="1"/>
      <c r="BX293" s="1" t="s">
        <v>2798</v>
      </c>
      <c r="BY293" s="1"/>
      <c r="BZ293" s="1">
        <v>1</v>
      </c>
      <c r="CA293" s="1" t="s">
        <v>109</v>
      </c>
      <c r="CB293" s="1">
        <v>2</v>
      </c>
      <c r="CC293" s="1" t="s">
        <v>109</v>
      </c>
      <c r="CD293" s="1" t="s">
        <v>109</v>
      </c>
      <c r="CE293" s="1" t="s">
        <v>109</v>
      </c>
      <c r="CF293" s="1">
        <v>2</v>
      </c>
      <c r="CG293" s="1">
        <v>2</v>
      </c>
      <c r="CH293" s="1" t="s">
        <v>109</v>
      </c>
      <c r="CI293" s="1" t="s">
        <v>109</v>
      </c>
      <c r="CJ293" s="1" t="s">
        <v>109</v>
      </c>
      <c r="CK293" s="1"/>
      <c r="CL293" s="1">
        <v>0</v>
      </c>
      <c r="CM293" s="1">
        <v>0</v>
      </c>
      <c r="CN293" s="1">
        <v>0</v>
      </c>
    </row>
    <row r="294" spans="1:92" ht="14.25" customHeight="1" x14ac:dyDescent="0.15">
      <c r="A294" s="1" t="s">
        <v>2802</v>
      </c>
      <c r="B294" s="1" t="s">
        <v>308</v>
      </c>
      <c r="C294" s="1"/>
      <c r="D294" s="1"/>
      <c r="E294" s="1" t="s">
        <v>2803</v>
      </c>
      <c r="F294" s="1" t="s">
        <v>98</v>
      </c>
      <c r="G294" s="1" t="s">
        <v>141</v>
      </c>
      <c r="H294" s="1">
        <v>0</v>
      </c>
      <c r="I294" s="1" t="s">
        <v>142</v>
      </c>
      <c r="J294" s="1"/>
      <c r="K294" s="1"/>
      <c r="L294" s="1" t="s">
        <v>716</v>
      </c>
      <c r="M294" s="1" t="s">
        <v>144</v>
      </c>
      <c r="N294" s="1">
        <v>0</v>
      </c>
      <c r="O294" s="1">
        <v>0</v>
      </c>
      <c r="P294" s="1" t="s">
        <v>2770</v>
      </c>
      <c r="Q294" s="1" t="s">
        <v>268</v>
      </c>
      <c r="R294" s="1" t="s">
        <v>2804</v>
      </c>
      <c r="S294" s="1" t="s">
        <v>2805</v>
      </c>
      <c r="T294" s="1" t="s">
        <v>107</v>
      </c>
      <c r="U294" s="1" t="s">
        <v>2806</v>
      </c>
      <c r="V294" s="1">
        <v>1</v>
      </c>
      <c r="W294" s="1">
        <v>1</v>
      </c>
      <c r="X294" s="1">
        <v>0</v>
      </c>
      <c r="Y294" s="1">
        <v>0</v>
      </c>
      <c r="Z294" s="1">
        <v>0</v>
      </c>
      <c r="AA294" s="1" t="s">
        <v>109</v>
      </c>
      <c r="AB294" s="1" t="s">
        <v>109</v>
      </c>
      <c r="AC294" s="1">
        <v>6</v>
      </c>
      <c r="AD294" s="1" t="s">
        <v>109</v>
      </c>
      <c r="AE294" s="1" t="s">
        <v>109</v>
      </c>
      <c r="AF294" s="1" t="s">
        <v>109</v>
      </c>
      <c r="AG294" s="1" t="s">
        <v>109</v>
      </c>
      <c r="AH294" s="1" t="s">
        <v>109</v>
      </c>
      <c r="AI294" s="1" t="s">
        <v>109</v>
      </c>
      <c r="AJ294" s="1">
        <v>7</v>
      </c>
      <c r="AK294" s="1">
        <v>6</v>
      </c>
      <c r="AL294" s="1">
        <v>6</v>
      </c>
      <c r="AM294" s="1" t="s">
        <v>109</v>
      </c>
      <c r="AN294" s="1" t="s">
        <v>109</v>
      </c>
      <c r="AO294" s="1" t="s">
        <v>109</v>
      </c>
      <c r="AP294" s="1"/>
      <c r="AQ294" s="1">
        <v>6</v>
      </c>
      <c r="AR294" s="1"/>
      <c r="AS294" s="1" t="s">
        <v>2807</v>
      </c>
      <c r="AT294" s="1">
        <v>0</v>
      </c>
      <c r="AU294" s="1">
        <v>0</v>
      </c>
      <c r="AV294" s="1">
        <v>0</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5" t="str">
        <f>HYPERLINK("http://www.d20pfsrd.com/magic/all-spells/i/inflict-moderate-wounds","Inflict Moderate Wounds, Mass")</f>
        <v>Inflict Moderate Wounds, Mass</v>
      </c>
      <c r="BT294" s="1">
        <v>293</v>
      </c>
      <c r="BU294" s="1" t="s">
        <v>109</v>
      </c>
      <c r="BV294" s="1"/>
      <c r="BW294" s="1"/>
      <c r="BX294" s="1"/>
      <c r="BY294" s="1"/>
      <c r="BZ294" s="1">
        <v>0</v>
      </c>
      <c r="CA294" s="1" t="s">
        <v>109</v>
      </c>
      <c r="CB294" s="1">
        <v>6</v>
      </c>
      <c r="CC294" s="1" t="s">
        <v>109</v>
      </c>
      <c r="CD294" s="1" t="s">
        <v>109</v>
      </c>
      <c r="CE294" s="1" t="s">
        <v>109</v>
      </c>
      <c r="CF294" s="1">
        <v>6</v>
      </c>
      <c r="CG294" s="1" t="s">
        <v>109</v>
      </c>
      <c r="CH294" s="1" t="s">
        <v>109</v>
      </c>
      <c r="CI294" s="1" t="s">
        <v>109</v>
      </c>
      <c r="CJ294" s="1" t="s">
        <v>109</v>
      </c>
      <c r="CK294" s="1"/>
      <c r="CL294" s="1">
        <v>0</v>
      </c>
      <c r="CM294" s="1">
        <v>0</v>
      </c>
      <c r="CN294" s="1">
        <v>0</v>
      </c>
    </row>
    <row r="295" spans="1:92" ht="14.25" customHeight="1" x14ac:dyDescent="0.15">
      <c r="A295" s="1" t="s">
        <v>2808</v>
      </c>
      <c r="B295" s="1" t="s">
        <v>308</v>
      </c>
      <c r="C295" s="1"/>
      <c r="D295" s="1"/>
      <c r="E295" s="1" t="s">
        <v>2809</v>
      </c>
      <c r="F295" s="1" t="s">
        <v>98</v>
      </c>
      <c r="G295" s="1" t="s">
        <v>141</v>
      </c>
      <c r="H295" s="1">
        <v>0</v>
      </c>
      <c r="I295" s="1" t="s">
        <v>161</v>
      </c>
      <c r="J295" s="1"/>
      <c r="K295" s="1"/>
      <c r="L295" s="1" t="s">
        <v>506</v>
      </c>
      <c r="M295" s="1" t="s">
        <v>144</v>
      </c>
      <c r="N295" s="1">
        <v>0</v>
      </c>
      <c r="O295" s="1">
        <v>0</v>
      </c>
      <c r="P295" s="1" t="s">
        <v>2770</v>
      </c>
      <c r="Q295" s="1" t="s">
        <v>268</v>
      </c>
      <c r="R295" s="1" t="s">
        <v>2810</v>
      </c>
      <c r="S295" s="1" t="s">
        <v>2811</v>
      </c>
      <c r="T295" s="1" t="s">
        <v>107</v>
      </c>
      <c r="U295" s="1" t="s">
        <v>2812</v>
      </c>
      <c r="V295" s="1">
        <v>1</v>
      </c>
      <c r="W295" s="1">
        <v>1</v>
      </c>
      <c r="X295" s="1">
        <v>0</v>
      </c>
      <c r="Y295" s="1">
        <v>0</v>
      </c>
      <c r="Z295" s="1">
        <v>0</v>
      </c>
      <c r="AA295" s="1" t="s">
        <v>109</v>
      </c>
      <c r="AB295" s="1" t="s">
        <v>109</v>
      </c>
      <c r="AC295" s="1">
        <v>3</v>
      </c>
      <c r="AD295" s="1" t="s">
        <v>109</v>
      </c>
      <c r="AE295" s="1" t="s">
        <v>109</v>
      </c>
      <c r="AF295" s="1" t="s">
        <v>109</v>
      </c>
      <c r="AG295" s="1" t="s">
        <v>109</v>
      </c>
      <c r="AH295" s="1" t="s">
        <v>109</v>
      </c>
      <c r="AI295" s="1" t="s">
        <v>109</v>
      </c>
      <c r="AJ295" s="1">
        <v>4</v>
      </c>
      <c r="AK295" s="1">
        <v>3</v>
      </c>
      <c r="AL295" s="1">
        <v>3</v>
      </c>
      <c r="AM295" s="1">
        <v>4</v>
      </c>
      <c r="AN295" s="1" t="s">
        <v>109</v>
      </c>
      <c r="AO295" s="1" t="s">
        <v>109</v>
      </c>
      <c r="AP295" s="1"/>
      <c r="AQ295" s="1">
        <v>3</v>
      </c>
      <c r="AR295" s="1"/>
      <c r="AS295" s="1" t="s">
        <v>2813</v>
      </c>
      <c r="AT295" s="1">
        <v>0</v>
      </c>
      <c r="AU295" s="1">
        <v>0</v>
      </c>
      <c r="AV295" s="1">
        <v>0</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5" t="str">
        <f>HYPERLINK("http://www.d20pfsrd.com/magic/all-spells/i/inflict-serious-wounds","Inflict Serious Wounds")</f>
        <v>Inflict Serious Wounds</v>
      </c>
      <c r="BT295" s="1">
        <v>294</v>
      </c>
      <c r="BU295" s="1" t="s">
        <v>109</v>
      </c>
      <c r="BV295" s="1"/>
      <c r="BW295" s="1"/>
      <c r="BX295" s="1" t="s">
        <v>2810</v>
      </c>
      <c r="BY295" s="1"/>
      <c r="BZ295" s="1">
        <v>1</v>
      </c>
      <c r="CA295" s="1" t="s">
        <v>109</v>
      </c>
      <c r="CB295" s="1">
        <v>3</v>
      </c>
      <c r="CC295" s="1" t="s">
        <v>109</v>
      </c>
      <c r="CD295" s="1" t="s">
        <v>109</v>
      </c>
      <c r="CE295" s="1" t="s">
        <v>109</v>
      </c>
      <c r="CF295" s="1">
        <v>3</v>
      </c>
      <c r="CG295" s="1">
        <v>3</v>
      </c>
      <c r="CH295" s="1" t="s">
        <v>109</v>
      </c>
      <c r="CI295" s="1" t="s">
        <v>109</v>
      </c>
      <c r="CJ295" s="1" t="s">
        <v>109</v>
      </c>
      <c r="CK295" s="1"/>
      <c r="CL295" s="1">
        <v>0</v>
      </c>
      <c r="CM295" s="1">
        <v>0</v>
      </c>
      <c r="CN295" s="1">
        <v>0</v>
      </c>
    </row>
    <row r="296" spans="1:92" ht="14.25" customHeight="1" x14ac:dyDescent="0.15">
      <c r="A296" s="1" t="s">
        <v>2814</v>
      </c>
      <c r="B296" s="1" t="s">
        <v>308</v>
      </c>
      <c r="C296" s="1"/>
      <c r="D296" s="1"/>
      <c r="E296" s="1" t="s">
        <v>2815</v>
      </c>
      <c r="F296" s="1" t="s">
        <v>98</v>
      </c>
      <c r="G296" s="1" t="s">
        <v>141</v>
      </c>
      <c r="H296" s="1">
        <v>0</v>
      </c>
      <c r="I296" s="1" t="s">
        <v>142</v>
      </c>
      <c r="J296" s="1"/>
      <c r="K296" s="1"/>
      <c r="L296" s="1" t="s">
        <v>716</v>
      </c>
      <c r="M296" s="1" t="s">
        <v>144</v>
      </c>
      <c r="N296" s="1">
        <v>0</v>
      </c>
      <c r="O296" s="1">
        <v>0</v>
      </c>
      <c r="P296" s="1" t="s">
        <v>2770</v>
      </c>
      <c r="Q296" s="1" t="s">
        <v>268</v>
      </c>
      <c r="R296" s="1" t="s">
        <v>2816</v>
      </c>
      <c r="S296" s="1" t="s">
        <v>2817</v>
      </c>
      <c r="T296" s="1" t="s">
        <v>107</v>
      </c>
      <c r="U296" s="1" t="s">
        <v>2818</v>
      </c>
      <c r="V296" s="1">
        <v>1</v>
      </c>
      <c r="W296" s="1">
        <v>1</v>
      </c>
      <c r="X296" s="1">
        <v>0</v>
      </c>
      <c r="Y296" s="1">
        <v>0</v>
      </c>
      <c r="Z296" s="1">
        <v>0</v>
      </c>
      <c r="AA296" s="1" t="s">
        <v>109</v>
      </c>
      <c r="AB296" s="1" t="s">
        <v>109</v>
      </c>
      <c r="AC296" s="1">
        <v>7</v>
      </c>
      <c r="AD296" s="1" t="s">
        <v>109</v>
      </c>
      <c r="AE296" s="1" t="s">
        <v>109</v>
      </c>
      <c r="AF296" s="1" t="s">
        <v>109</v>
      </c>
      <c r="AG296" s="1" t="s">
        <v>109</v>
      </c>
      <c r="AH296" s="1" t="s">
        <v>109</v>
      </c>
      <c r="AI296" s="1" t="s">
        <v>109</v>
      </c>
      <c r="AJ296" s="1">
        <v>8</v>
      </c>
      <c r="AK296" s="1" t="s">
        <v>109</v>
      </c>
      <c r="AL296" s="1">
        <v>7</v>
      </c>
      <c r="AM296" s="1" t="s">
        <v>109</v>
      </c>
      <c r="AN296" s="1" t="s">
        <v>109</v>
      </c>
      <c r="AO296" s="1" t="s">
        <v>109</v>
      </c>
      <c r="AP296" s="1"/>
      <c r="AQ296" s="1">
        <v>7</v>
      </c>
      <c r="AR296" s="1" t="s">
        <v>2819</v>
      </c>
      <c r="AS296" s="1" t="s">
        <v>2820</v>
      </c>
      <c r="AT296" s="1">
        <v>0</v>
      </c>
      <c r="AU296" s="1">
        <v>0</v>
      </c>
      <c r="AV296" s="1">
        <v>0</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5" t="str">
        <f>HYPERLINK("http://www.d20pfsrd.com/magic/all-spells/i/inflict-serious-wounds","Inflict Serious Wounds, Mass")</f>
        <v>Inflict Serious Wounds, Mass</v>
      </c>
      <c r="BT296" s="1">
        <v>295</v>
      </c>
      <c r="BU296" s="1" t="s">
        <v>109</v>
      </c>
      <c r="BV296" s="1"/>
      <c r="BW296" s="1"/>
      <c r="BX296" s="1"/>
      <c r="BY296" s="1"/>
      <c r="BZ296" s="1">
        <v>0</v>
      </c>
      <c r="CA296" s="1" t="s">
        <v>109</v>
      </c>
      <c r="CB296" s="1">
        <v>7</v>
      </c>
      <c r="CC296" s="1" t="s">
        <v>109</v>
      </c>
      <c r="CD296" s="1" t="s">
        <v>109</v>
      </c>
      <c r="CE296" s="1" t="s">
        <v>109</v>
      </c>
      <c r="CF296" s="1" t="s">
        <v>109</v>
      </c>
      <c r="CG296" s="1" t="s">
        <v>109</v>
      </c>
      <c r="CH296" s="1" t="s">
        <v>109</v>
      </c>
      <c r="CI296" s="1" t="s">
        <v>109</v>
      </c>
      <c r="CJ296" s="1" t="s">
        <v>109</v>
      </c>
      <c r="CK296" s="1"/>
      <c r="CL296" s="1">
        <v>0</v>
      </c>
      <c r="CM296" s="1">
        <v>0</v>
      </c>
      <c r="CN296" s="1">
        <v>0</v>
      </c>
    </row>
    <row r="297" spans="1:92" ht="14.25" customHeight="1" x14ac:dyDescent="0.15">
      <c r="A297" s="1" t="s">
        <v>2821</v>
      </c>
      <c r="B297" s="1" t="s">
        <v>156</v>
      </c>
      <c r="C297" s="1" t="s">
        <v>157</v>
      </c>
      <c r="D297" s="1" t="s">
        <v>158</v>
      </c>
      <c r="E297" s="1" t="s">
        <v>2620</v>
      </c>
      <c r="F297" s="1" t="s">
        <v>98</v>
      </c>
      <c r="G297" s="1" t="s">
        <v>141</v>
      </c>
      <c r="H297" s="1">
        <v>0</v>
      </c>
      <c r="I297" s="1" t="s">
        <v>122</v>
      </c>
      <c r="J297" s="1"/>
      <c r="K297" s="1"/>
      <c r="L297" s="1" t="s">
        <v>563</v>
      </c>
      <c r="M297" s="1" t="s">
        <v>144</v>
      </c>
      <c r="N297" s="1">
        <v>0</v>
      </c>
      <c r="O297" s="1">
        <v>0</v>
      </c>
      <c r="P297" s="1" t="s">
        <v>301</v>
      </c>
      <c r="Q297" s="1" t="s">
        <v>268</v>
      </c>
      <c r="R297" s="1" t="s">
        <v>2822</v>
      </c>
      <c r="S297" s="1" t="s">
        <v>2823</v>
      </c>
      <c r="T297" s="1" t="s">
        <v>107</v>
      </c>
      <c r="U297" s="1" t="s">
        <v>2824</v>
      </c>
      <c r="V297" s="1">
        <v>1</v>
      </c>
      <c r="W297" s="1">
        <v>1</v>
      </c>
      <c r="X297" s="1">
        <v>0</v>
      </c>
      <c r="Y297" s="1">
        <v>0</v>
      </c>
      <c r="Z297" s="1">
        <v>0</v>
      </c>
      <c r="AA297" s="1">
        <v>7</v>
      </c>
      <c r="AB297" s="1">
        <v>7</v>
      </c>
      <c r="AC297" s="1" t="s">
        <v>109</v>
      </c>
      <c r="AD297" s="1" t="s">
        <v>109</v>
      </c>
      <c r="AE297" s="1" t="s">
        <v>109</v>
      </c>
      <c r="AF297" s="1" t="s">
        <v>109</v>
      </c>
      <c r="AG297" s="1" t="s">
        <v>109</v>
      </c>
      <c r="AH297" s="1" t="s">
        <v>109</v>
      </c>
      <c r="AI297" s="1" t="s">
        <v>109</v>
      </c>
      <c r="AJ297" s="1">
        <v>7</v>
      </c>
      <c r="AK297" s="1" t="s">
        <v>109</v>
      </c>
      <c r="AL297" s="1" t="s">
        <v>109</v>
      </c>
      <c r="AM297" s="1" t="s">
        <v>109</v>
      </c>
      <c r="AN297" s="1" t="s">
        <v>109</v>
      </c>
      <c r="AO297" s="1" t="s">
        <v>109</v>
      </c>
      <c r="AP297" s="1"/>
      <c r="AQ297" s="1">
        <v>7</v>
      </c>
      <c r="AR297" s="1" t="s">
        <v>2825</v>
      </c>
      <c r="AS297" s="1" t="s">
        <v>2826</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1</v>
      </c>
      <c r="BN297" s="1">
        <v>0</v>
      </c>
      <c r="BO297" s="1">
        <v>0</v>
      </c>
      <c r="BP297" s="1">
        <v>0</v>
      </c>
      <c r="BQ297" s="1">
        <v>0</v>
      </c>
      <c r="BR297" s="1">
        <v>0</v>
      </c>
      <c r="BS297" s="5" t="str">
        <f>HYPERLINK("http://www.d20pfsrd.com/magic/all-spells/i/insanity","Insanity")</f>
        <v>Insanity</v>
      </c>
      <c r="BT297" s="1">
        <v>296</v>
      </c>
      <c r="BU297" s="1" t="s">
        <v>109</v>
      </c>
      <c r="BV297" s="1" t="s">
        <v>2827</v>
      </c>
      <c r="BW297" s="1" t="s">
        <v>2828</v>
      </c>
      <c r="BX297" s="1"/>
      <c r="BY297" s="1"/>
      <c r="BZ297" s="1">
        <v>0</v>
      </c>
      <c r="CA297" s="1" t="s">
        <v>109</v>
      </c>
      <c r="CB297" s="1" t="s">
        <v>109</v>
      </c>
      <c r="CC297" s="1">
        <v>7</v>
      </c>
      <c r="CD297" s="1" t="s">
        <v>109</v>
      </c>
      <c r="CE297" s="1">
        <v>6</v>
      </c>
      <c r="CF297" s="1" t="s">
        <v>109</v>
      </c>
      <c r="CG297" s="1" t="s">
        <v>109</v>
      </c>
      <c r="CH297" s="1" t="s">
        <v>109</v>
      </c>
      <c r="CI297" s="1" t="s">
        <v>109</v>
      </c>
      <c r="CJ297" s="1" t="s">
        <v>109</v>
      </c>
      <c r="CK297" s="1"/>
      <c r="CL297" s="1">
        <v>0</v>
      </c>
      <c r="CM297" s="1">
        <v>0</v>
      </c>
      <c r="CN297" s="1">
        <v>0</v>
      </c>
    </row>
    <row r="298" spans="1:92" ht="14.25" customHeight="1" x14ac:dyDescent="0.15">
      <c r="A298" s="1" t="s">
        <v>2829</v>
      </c>
      <c r="B298" s="1" t="s">
        <v>584</v>
      </c>
      <c r="C298" s="1"/>
      <c r="D298" s="1" t="s">
        <v>60</v>
      </c>
      <c r="E298" s="1" t="s">
        <v>2830</v>
      </c>
      <c r="F298" s="1" t="s">
        <v>98</v>
      </c>
      <c r="G298" s="1" t="s">
        <v>1200</v>
      </c>
      <c r="H298" s="1">
        <v>0</v>
      </c>
      <c r="I298" s="1" t="s">
        <v>122</v>
      </c>
      <c r="J298" s="1"/>
      <c r="K298" s="1" t="s">
        <v>906</v>
      </c>
      <c r="L298" s="1"/>
      <c r="M298" s="1" t="s">
        <v>125</v>
      </c>
      <c r="N298" s="1">
        <v>1</v>
      </c>
      <c r="O298" s="1">
        <v>0</v>
      </c>
      <c r="P298" s="1" t="s">
        <v>103</v>
      </c>
      <c r="Q298" s="1" t="s">
        <v>268</v>
      </c>
      <c r="R298" s="1" t="s">
        <v>2831</v>
      </c>
      <c r="S298" s="1" t="s">
        <v>2832</v>
      </c>
      <c r="T298" s="1" t="s">
        <v>107</v>
      </c>
      <c r="U298" s="1" t="s">
        <v>2833</v>
      </c>
      <c r="V298" s="1">
        <v>1</v>
      </c>
      <c r="W298" s="1">
        <v>1</v>
      </c>
      <c r="X298" s="1">
        <v>0</v>
      </c>
      <c r="Y298" s="1">
        <v>1</v>
      </c>
      <c r="Z298" s="1">
        <v>0</v>
      </c>
      <c r="AA298" s="1">
        <v>5</v>
      </c>
      <c r="AB298" s="1">
        <v>5</v>
      </c>
      <c r="AC298" s="1" t="s">
        <v>109</v>
      </c>
      <c r="AD298" s="1" t="s">
        <v>109</v>
      </c>
      <c r="AE298" s="1" t="s">
        <v>109</v>
      </c>
      <c r="AF298" s="1" t="s">
        <v>109</v>
      </c>
      <c r="AG298" s="1" t="s">
        <v>109</v>
      </c>
      <c r="AH298" s="1" t="s">
        <v>109</v>
      </c>
      <c r="AI298" s="1" t="s">
        <v>109</v>
      </c>
      <c r="AJ298" s="1" t="s">
        <v>109</v>
      </c>
      <c r="AK298" s="1" t="s">
        <v>109</v>
      </c>
      <c r="AL298" s="1" t="s">
        <v>109</v>
      </c>
      <c r="AM298" s="1" t="s">
        <v>109</v>
      </c>
      <c r="AN298" s="1">
        <v>5</v>
      </c>
      <c r="AO298" s="1" t="s">
        <v>109</v>
      </c>
      <c r="AP298" s="1"/>
      <c r="AQ298" s="1">
        <v>5</v>
      </c>
      <c r="AR298" s="1"/>
      <c r="AS298" s="1" t="s">
        <v>2834</v>
      </c>
      <c r="AT298" s="1">
        <v>0</v>
      </c>
      <c r="AU298" s="1">
        <v>0</v>
      </c>
      <c r="AV298" s="1">
        <v>0</v>
      </c>
      <c r="AW298" s="1">
        <v>0</v>
      </c>
      <c r="AX298" s="1">
        <v>0</v>
      </c>
      <c r="AY298" s="1">
        <v>0</v>
      </c>
      <c r="AZ298" s="1">
        <v>0</v>
      </c>
      <c r="BA298" s="1">
        <v>0</v>
      </c>
      <c r="BB298" s="1">
        <v>0</v>
      </c>
      <c r="BC298" s="1">
        <v>0</v>
      </c>
      <c r="BD298" s="1">
        <v>0</v>
      </c>
      <c r="BE298" s="1">
        <v>0</v>
      </c>
      <c r="BF298" s="1">
        <v>0</v>
      </c>
      <c r="BG298" s="1">
        <v>0</v>
      </c>
      <c r="BH298" s="1">
        <v>1</v>
      </c>
      <c r="BI298" s="1">
        <v>0</v>
      </c>
      <c r="BJ298" s="1">
        <v>0</v>
      </c>
      <c r="BK298" s="1">
        <v>0</v>
      </c>
      <c r="BL298" s="1">
        <v>0</v>
      </c>
      <c r="BM298" s="1">
        <v>0</v>
      </c>
      <c r="BN298" s="1">
        <v>0</v>
      </c>
      <c r="BO298" s="1">
        <v>0</v>
      </c>
      <c r="BP298" s="1">
        <v>0</v>
      </c>
      <c r="BQ298" s="1">
        <v>0</v>
      </c>
      <c r="BR298" s="1">
        <v>0</v>
      </c>
      <c r="BS298" s="5" t="str">
        <f>HYPERLINK("http://www.d20pfsrd.com/magic/all-spells/i/interposing-hand","Interposing Hand")</f>
        <v>Interposing Hand</v>
      </c>
      <c r="BT298" s="1">
        <v>297</v>
      </c>
      <c r="BU298" s="1" t="s">
        <v>109</v>
      </c>
      <c r="BV298" s="1"/>
      <c r="BW298" s="1"/>
      <c r="BX298" s="1"/>
      <c r="BY298" s="1"/>
      <c r="BZ298" s="1">
        <v>0</v>
      </c>
      <c r="CA298" s="1" t="s">
        <v>109</v>
      </c>
      <c r="CB298" s="1" t="s">
        <v>109</v>
      </c>
      <c r="CC298" s="1">
        <v>5</v>
      </c>
      <c r="CD298" s="1" t="s">
        <v>109</v>
      </c>
      <c r="CE298" s="1" t="s">
        <v>109</v>
      </c>
      <c r="CF298" s="1">
        <v>5</v>
      </c>
      <c r="CG298" s="1" t="s">
        <v>109</v>
      </c>
      <c r="CH298" s="1" t="s">
        <v>109</v>
      </c>
      <c r="CI298" s="1" t="s">
        <v>109</v>
      </c>
      <c r="CJ298" s="1" t="s">
        <v>109</v>
      </c>
      <c r="CK298" s="1"/>
      <c r="CL298" s="1">
        <v>0</v>
      </c>
      <c r="CM298" s="1">
        <v>0</v>
      </c>
      <c r="CN298" s="1">
        <v>0</v>
      </c>
    </row>
    <row r="299" spans="1:92" ht="14.25" customHeight="1" x14ac:dyDescent="0.15">
      <c r="A299" s="1" t="s">
        <v>2835</v>
      </c>
      <c r="B299" s="1" t="s">
        <v>674</v>
      </c>
      <c r="C299" s="1" t="s">
        <v>675</v>
      </c>
      <c r="D299" s="1"/>
      <c r="E299" s="1" t="s">
        <v>2836</v>
      </c>
      <c r="F299" s="1" t="s">
        <v>98</v>
      </c>
      <c r="G299" s="1" t="s">
        <v>2837</v>
      </c>
      <c r="H299" s="1">
        <v>0</v>
      </c>
      <c r="I299" s="1" t="s">
        <v>1986</v>
      </c>
      <c r="J299" s="1"/>
      <c r="K299" s="1"/>
      <c r="L299" s="1" t="s">
        <v>2838</v>
      </c>
      <c r="M299" s="1" t="s">
        <v>587</v>
      </c>
      <c r="N299" s="1">
        <v>1</v>
      </c>
      <c r="O299" s="1">
        <v>0</v>
      </c>
      <c r="P299" s="1" t="s">
        <v>2839</v>
      </c>
      <c r="Q299" s="1" t="s">
        <v>2840</v>
      </c>
      <c r="R299" s="1" t="s">
        <v>2841</v>
      </c>
      <c r="S299" s="1" t="s">
        <v>2842</v>
      </c>
      <c r="T299" s="1" t="s">
        <v>107</v>
      </c>
      <c r="U299" s="1" t="s">
        <v>2843</v>
      </c>
      <c r="V299" s="1">
        <v>1</v>
      </c>
      <c r="W299" s="1">
        <v>1</v>
      </c>
      <c r="X299" s="1">
        <v>1</v>
      </c>
      <c r="Y299" s="1">
        <v>0</v>
      </c>
      <c r="Z299" s="1">
        <v>1</v>
      </c>
      <c r="AA299" s="1">
        <v>2</v>
      </c>
      <c r="AB299" s="1">
        <v>2</v>
      </c>
      <c r="AC299" s="1" t="s">
        <v>109</v>
      </c>
      <c r="AD299" s="1" t="s">
        <v>109</v>
      </c>
      <c r="AE299" s="1" t="s">
        <v>109</v>
      </c>
      <c r="AF299" s="1">
        <v>2</v>
      </c>
      <c r="AG299" s="1" t="s">
        <v>109</v>
      </c>
      <c r="AH299" s="1">
        <v>2</v>
      </c>
      <c r="AI299" s="1">
        <v>2</v>
      </c>
      <c r="AJ299" s="1" t="s">
        <v>109</v>
      </c>
      <c r="AK299" s="1">
        <v>2</v>
      </c>
      <c r="AL299" s="1" t="s">
        <v>109</v>
      </c>
      <c r="AM299" s="1">
        <v>2</v>
      </c>
      <c r="AN299" s="1">
        <v>2</v>
      </c>
      <c r="AO299" s="1">
        <v>2</v>
      </c>
      <c r="AP299" s="1"/>
      <c r="AQ299" s="1">
        <v>2</v>
      </c>
      <c r="AR299" s="1" t="s">
        <v>352</v>
      </c>
      <c r="AS299" s="1" t="s">
        <v>2844</v>
      </c>
      <c r="AT299" s="1">
        <v>0</v>
      </c>
      <c r="AU299" s="1">
        <v>0</v>
      </c>
      <c r="AV299" s="1">
        <v>0</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5" t="str">
        <f>HYPERLINK("http://www.d20pfsrd.com/magic/all-spells/i/invisibility","Invisibility")</f>
        <v>Invisibility</v>
      </c>
      <c r="BT299" s="1">
        <v>298</v>
      </c>
      <c r="BU299" s="1" t="s">
        <v>109</v>
      </c>
      <c r="BV299" s="1" t="s">
        <v>2845</v>
      </c>
      <c r="BW299" s="1" t="s">
        <v>2846</v>
      </c>
      <c r="BX299" s="1" t="s">
        <v>2847</v>
      </c>
      <c r="BY299" s="1" t="s">
        <v>2848</v>
      </c>
      <c r="BZ299" s="1">
        <v>1</v>
      </c>
      <c r="CA299" s="1" t="s">
        <v>109</v>
      </c>
      <c r="CB299" s="1" t="s">
        <v>109</v>
      </c>
      <c r="CC299" s="1">
        <v>2</v>
      </c>
      <c r="CD299" s="1" t="s">
        <v>109</v>
      </c>
      <c r="CE299" s="1">
        <v>2</v>
      </c>
      <c r="CF299" s="1">
        <v>2</v>
      </c>
      <c r="CG299" s="1">
        <v>2</v>
      </c>
      <c r="CH299" s="1" t="s">
        <v>109</v>
      </c>
      <c r="CI299" s="1" t="s">
        <v>109</v>
      </c>
      <c r="CJ299" s="1" t="s">
        <v>109</v>
      </c>
      <c r="CK299" s="1"/>
      <c r="CL299" s="1">
        <v>0</v>
      </c>
      <c r="CM299" s="1">
        <v>0</v>
      </c>
      <c r="CN299" s="1">
        <v>0</v>
      </c>
    </row>
    <row r="300" spans="1:92" ht="14.25" customHeight="1" x14ac:dyDescent="0.15">
      <c r="A300" s="1" t="s">
        <v>2849</v>
      </c>
      <c r="B300" s="1" t="s">
        <v>674</v>
      </c>
      <c r="C300" s="1" t="s">
        <v>675</v>
      </c>
      <c r="D300" s="1"/>
      <c r="E300" s="1" t="s">
        <v>2850</v>
      </c>
      <c r="F300" s="1" t="s">
        <v>98</v>
      </c>
      <c r="G300" s="1" t="s">
        <v>141</v>
      </c>
      <c r="H300" s="1">
        <v>0</v>
      </c>
      <c r="I300" s="1" t="s">
        <v>1986</v>
      </c>
      <c r="J300" s="1"/>
      <c r="K300" s="1"/>
      <c r="L300" s="1" t="s">
        <v>1987</v>
      </c>
      <c r="M300" s="1" t="s">
        <v>125</v>
      </c>
      <c r="N300" s="1">
        <v>1</v>
      </c>
      <c r="O300" s="1">
        <v>0</v>
      </c>
      <c r="P300" s="1" t="s">
        <v>507</v>
      </c>
      <c r="Q300" s="1" t="s">
        <v>167</v>
      </c>
      <c r="R300" s="1" t="s">
        <v>2851</v>
      </c>
      <c r="S300" s="1" t="s">
        <v>2852</v>
      </c>
      <c r="T300" s="1" t="s">
        <v>107</v>
      </c>
      <c r="U300" s="1" t="s">
        <v>2853</v>
      </c>
      <c r="V300" s="1">
        <v>1</v>
      </c>
      <c r="W300" s="1">
        <v>1</v>
      </c>
      <c r="X300" s="1">
        <v>0</v>
      </c>
      <c r="Y300" s="1">
        <v>0</v>
      </c>
      <c r="Z300" s="1">
        <v>0</v>
      </c>
      <c r="AA300" s="1">
        <v>4</v>
      </c>
      <c r="AB300" s="1">
        <v>4</v>
      </c>
      <c r="AC300" s="1" t="s">
        <v>109</v>
      </c>
      <c r="AD300" s="1" t="s">
        <v>109</v>
      </c>
      <c r="AE300" s="1" t="s">
        <v>109</v>
      </c>
      <c r="AF300" s="1">
        <v>4</v>
      </c>
      <c r="AG300" s="1" t="s">
        <v>109</v>
      </c>
      <c r="AH300" s="1">
        <v>4</v>
      </c>
      <c r="AI300" s="1">
        <v>3</v>
      </c>
      <c r="AJ300" s="1" t="s">
        <v>109</v>
      </c>
      <c r="AK300" s="1">
        <v>4</v>
      </c>
      <c r="AL300" s="1" t="s">
        <v>109</v>
      </c>
      <c r="AM300" s="1">
        <v>4</v>
      </c>
      <c r="AN300" s="1" t="s">
        <v>109</v>
      </c>
      <c r="AO300" s="1" t="s">
        <v>109</v>
      </c>
      <c r="AP300" s="1"/>
      <c r="AQ300" s="1">
        <v>4</v>
      </c>
      <c r="AR300" s="1"/>
      <c r="AS300" s="1" t="s">
        <v>2854</v>
      </c>
      <c r="AT300" s="1">
        <v>0</v>
      </c>
      <c r="AU300" s="1">
        <v>0</v>
      </c>
      <c r="AV300" s="1">
        <v>0</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5" t="str">
        <f>HYPERLINK("http://www.d20pfsrd.com/magic/all-spells/i/invisibility","Invisibility, Greater")</f>
        <v>Invisibility, Greater</v>
      </c>
      <c r="BT300" s="1">
        <v>299</v>
      </c>
      <c r="BU300" s="1" t="s">
        <v>109</v>
      </c>
      <c r="BV300" s="1"/>
      <c r="BW300" s="1"/>
      <c r="BX300" s="1"/>
      <c r="BY300" s="1"/>
      <c r="BZ300" s="1">
        <v>0</v>
      </c>
      <c r="CA300" s="1" t="s">
        <v>109</v>
      </c>
      <c r="CB300" s="1" t="s">
        <v>109</v>
      </c>
      <c r="CC300" s="1">
        <v>4</v>
      </c>
      <c r="CD300" s="1" t="s">
        <v>109</v>
      </c>
      <c r="CE300" s="1">
        <v>4</v>
      </c>
      <c r="CF300" s="1">
        <v>4</v>
      </c>
      <c r="CG300" s="1">
        <v>4</v>
      </c>
      <c r="CH300" s="1" t="s">
        <v>109</v>
      </c>
      <c r="CI300" s="1" t="s">
        <v>109</v>
      </c>
      <c r="CJ300" s="1" t="s">
        <v>109</v>
      </c>
      <c r="CK300" s="1"/>
      <c r="CL300" s="1">
        <v>0</v>
      </c>
      <c r="CM300" s="1">
        <v>0</v>
      </c>
      <c r="CN300" s="1">
        <v>0</v>
      </c>
    </row>
    <row r="301" spans="1:92" ht="14.25" customHeight="1" x14ac:dyDescent="0.15">
      <c r="A301" s="1" t="s">
        <v>2855</v>
      </c>
      <c r="B301" s="1" t="s">
        <v>674</v>
      </c>
      <c r="C301" s="1" t="s">
        <v>675</v>
      </c>
      <c r="D301" s="1"/>
      <c r="E301" s="1" t="s">
        <v>2856</v>
      </c>
      <c r="F301" s="1" t="s">
        <v>98</v>
      </c>
      <c r="G301" s="1" t="s">
        <v>141</v>
      </c>
      <c r="H301" s="1">
        <v>0</v>
      </c>
      <c r="I301" s="1" t="s">
        <v>100</v>
      </c>
      <c r="J301" s="1"/>
      <c r="K301" s="1"/>
      <c r="L301" s="1" t="s">
        <v>2857</v>
      </c>
      <c r="M301" s="1" t="s">
        <v>125</v>
      </c>
      <c r="N301" s="1">
        <v>1</v>
      </c>
      <c r="O301" s="1">
        <v>0</v>
      </c>
      <c r="P301" s="1" t="s">
        <v>507</v>
      </c>
      <c r="Q301" s="1" t="s">
        <v>167</v>
      </c>
      <c r="R301" s="1" t="s">
        <v>2858</v>
      </c>
      <c r="S301" s="1" t="s">
        <v>2859</v>
      </c>
      <c r="T301" s="1" t="s">
        <v>107</v>
      </c>
      <c r="U301" s="1" t="s">
        <v>2860</v>
      </c>
      <c r="V301" s="1">
        <v>1</v>
      </c>
      <c r="W301" s="1">
        <v>1</v>
      </c>
      <c r="X301" s="1">
        <v>0</v>
      </c>
      <c r="Y301" s="1">
        <v>0</v>
      </c>
      <c r="Z301" s="1">
        <v>0</v>
      </c>
      <c r="AA301" s="1">
        <v>7</v>
      </c>
      <c r="AB301" s="1">
        <v>7</v>
      </c>
      <c r="AC301" s="1" t="s">
        <v>109</v>
      </c>
      <c r="AD301" s="1" t="s">
        <v>109</v>
      </c>
      <c r="AE301" s="1" t="s">
        <v>109</v>
      </c>
      <c r="AF301" s="1" t="s">
        <v>109</v>
      </c>
      <c r="AG301" s="1" t="s">
        <v>109</v>
      </c>
      <c r="AH301" s="1" t="s">
        <v>109</v>
      </c>
      <c r="AI301" s="1">
        <v>5</v>
      </c>
      <c r="AJ301" s="1" t="s">
        <v>109</v>
      </c>
      <c r="AK301" s="1" t="s">
        <v>109</v>
      </c>
      <c r="AL301" s="1" t="s">
        <v>109</v>
      </c>
      <c r="AM301" s="1" t="s">
        <v>109</v>
      </c>
      <c r="AN301" s="1" t="s">
        <v>109</v>
      </c>
      <c r="AO301" s="1" t="s">
        <v>109</v>
      </c>
      <c r="AP301" s="1"/>
      <c r="AQ301" s="1">
        <v>7</v>
      </c>
      <c r="AR301" s="1" t="s">
        <v>2470</v>
      </c>
      <c r="AS301" s="1" t="s">
        <v>2861</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5" t="str">
        <f>HYPERLINK("http://www.d20pfsrd.com/magic/all-spells/i/invisibility","Invisibility, Mass")</f>
        <v>Invisibility, Mass</v>
      </c>
      <c r="BT301" s="1">
        <v>300</v>
      </c>
      <c r="BU301" s="1" t="s">
        <v>109</v>
      </c>
      <c r="BV301" s="1"/>
      <c r="BW301" s="1" t="s">
        <v>2862</v>
      </c>
      <c r="BX301" s="1"/>
      <c r="BY301" s="1"/>
      <c r="BZ301" s="1">
        <v>0</v>
      </c>
      <c r="CA301" s="1" t="s">
        <v>109</v>
      </c>
      <c r="CB301" s="1" t="s">
        <v>109</v>
      </c>
      <c r="CC301" s="1">
        <v>7</v>
      </c>
      <c r="CD301" s="1" t="s">
        <v>109</v>
      </c>
      <c r="CE301" s="1">
        <v>6</v>
      </c>
      <c r="CF301" s="1" t="s">
        <v>109</v>
      </c>
      <c r="CG301" s="1" t="s">
        <v>109</v>
      </c>
      <c r="CH301" s="1" t="s">
        <v>109</v>
      </c>
      <c r="CI301" s="1" t="s">
        <v>109</v>
      </c>
      <c r="CJ301" s="1" t="s">
        <v>109</v>
      </c>
      <c r="CK301" s="1"/>
      <c r="CL301" s="1">
        <v>0</v>
      </c>
      <c r="CM301" s="1">
        <v>0</v>
      </c>
      <c r="CN301" s="1">
        <v>0</v>
      </c>
    </row>
    <row r="302" spans="1:92" ht="14.25" customHeight="1" x14ac:dyDescent="0.15">
      <c r="A302" s="1" t="s">
        <v>2863</v>
      </c>
      <c r="B302" s="1" t="s">
        <v>584</v>
      </c>
      <c r="C302" s="1"/>
      <c r="D302" s="1"/>
      <c r="E302" s="1" t="s">
        <v>2864</v>
      </c>
      <c r="F302" s="1" t="s">
        <v>98</v>
      </c>
      <c r="G302" s="1" t="s">
        <v>141</v>
      </c>
      <c r="H302" s="1">
        <v>0</v>
      </c>
      <c r="I302" s="1" t="s">
        <v>235</v>
      </c>
      <c r="J302" s="1"/>
      <c r="K302" s="1"/>
      <c r="L302" s="1" t="s">
        <v>236</v>
      </c>
      <c r="M302" s="1" t="s">
        <v>164</v>
      </c>
      <c r="N302" s="1">
        <v>1</v>
      </c>
      <c r="O302" s="1">
        <v>0</v>
      </c>
      <c r="P302" s="1"/>
      <c r="Q302" s="1"/>
      <c r="R302" s="1" t="s">
        <v>2865</v>
      </c>
      <c r="S302" s="1" t="s">
        <v>2866</v>
      </c>
      <c r="T302" s="1" t="s">
        <v>107</v>
      </c>
      <c r="U302" s="1" t="s">
        <v>2867</v>
      </c>
      <c r="V302" s="1">
        <v>1</v>
      </c>
      <c r="W302" s="1">
        <v>1</v>
      </c>
      <c r="X302" s="1">
        <v>0</v>
      </c>
      <c r="Y302" s="1">
        <v>0</v>
      </c>
      <c r="Z302" s="1">
        <v>0</v>
      </c>
      <c r="AA302" s="1" t="s">
        <v>109</v>
      </c>
      <c r="AB302" s="1" t="s">
        <v>109</v>
      </c>
      <c r="AC302" s="1">
        <v>3</v>
      </c>
      <c r="AD302" s="1" t="s">
        <v>109</v>
      </c>
      <c r="AE302" s="1" t="s">
        <v>109</v>
      </c>
      <c r="AF302" s="1" t="s">
        <v>109</v>
      </c>
      <c r="AG302" s="1" t="s">
        <v>109</v>
      </c>
      <c r="AH302" s="1" t="s">
        <v>109</v>
      </c>
      <c r="AI302" s="1" t="s">
        <v>109</v>
      </c>
      <c r="AJ302" s="1" t="s">
        <v>109</v>
      </c>
      <c r="AK302" s="1">
        <v>3</v>
      </c>
      <c r="AL302" s="1">
        <v>3</v>
      </c>
      <c r="AM302" s="1" t="s">
        <v>109</v>
      </c>
      <c r="AN302" s="1" t="s">
        <v>109</v>
      </c>
      <c r="AO302" s="1" t="s">
        <v>109</v>
      </c>
      <c r="AP302" s="1"/>
      <c r="AQ302" s="1">
        <v>3</v>
      </c>
      <c r="AR302" s="1"/>
      <c r="AS302" s="1" t="s">
        <v>2868</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5" t="str">
        <f>HYPERLINK("http://www.d20pfsrd.com/magic/all-spells/i/invisibility-purge","Invisibility Purge")</f>
        <v>Invisibility Purge</v>
      </c>
      <c r="BT302" s="1">
        <v>301</v>
      </c>
      <c r="BU302" s="1" t="s">
        <v>109</v>
      </c>
      <c r="BV302" s="1"/>
      <c r="BW302" s="1"/>
      <c r="BX302" s="1"/>
      <c r="BY302" s="1"/>
      <c r="BZ302" s="1">
        <v>0</v>
      </c>
      <c r="CA302" s="1" t="s">
        <v>109</v>
      </c>
      <c r="CB302" s="1" t="s">
        <v>109</v>
      </c>
      <c r="CC302" s="1" t="s">
        <v>109</v>
      </c>
      <c r="CD302" s="1" t="s">
        <v>109</v>
      </c>
      <c r="CE302" s="1" t="s">
        <v>109</v>
      </c>
      <c r="CF302" s="1">
        <v>3</v>
      </c>
      <c r="CG302" s="1">
        <v>3</v>
      </c>
      <c r="CH302" s="1" t="s">
        <v>109</v>
      </c>
      <c r="CI302" s="1" t="s">
        <v>109</v>
      </c>
      <c r="CJ302" s="1" t="s">
        <v>109</v>
      </c>
      <c r="CK302" s="1"/>
      <c r="CL302" s="1">
        <v>0</v>
      </c>
      <c r="CM302" s="1">
        <v>0</v>
      </c>
      <c r="CN302" s="1">
        <v>0</v>
      </c>
    </row>
    <row r="303" spans="1:92" ht="14.25" customHeight="1" x14ac:dyDescent="0.15">
      <c r="A303" s="1" t="s">
        <v>2869</v>
      </c>
      <c r="B303" s="1" t="s">
        <v>674</v>
      </c>
      <c r="C303" s="1" t="s">
        <v>675</v>
      </c>
      <c r="D303" s="1"/>
      <c r="E303" s="1" t="s">
        <v>2721</v>
      </c>
      <c r="F303" s="1" t="s">
        <v>98</v>
      </c>
      <c r="G303" s="1" t="s">
        <v>1191</v>
      </c>
      <c r="H303" s="1">
        <v>0</v>
      </c>
      <c r="I303" s="1"/>
      <c r="J303" s="1" t="s">
        <v>2870</v>
      </c>
      <c r="K303" s="1"/>
      <c r="L303" s="1"/>
      <c r="M303" s="1" t="s">
        <v>587</v>
      </c>
      <c r="N303" s="1">
        <v>1</v>
      </c>
      <c r="O303" s="1">
        <v>0</v>
      </c>
      <c r="P303" s="1" t="s">
        <v>507</v>
      </c>
      <c r="Q303" s="1" t="s">
        <v>167</v>
      </c>
      <c r="R303" s="1" t="s">
        <v>2871</v>
      </c>
      <c r="S303" s="1" t="s">
        <v>2872</v>
      </c>
      <c r="T303" s="1" t="s">
        <v>107</v>
      </c>
      <c r="U303" s="1" t="s">
        <v>2873</v>
      </c>
      <c r="V303" s="1">
        <v>1</v>
      </c>
      <c r="W303" s="1">
        <v>1</v>
      </c>
      <c r="X303" s="1">
        <v>1</v>
      </c>
      <c r="Y303" s="1">
        <v>0</v>
      </c>
      <c r="Z303" s="1">
        <v>0</v>
      </c>
      <c r="AA303" s="1">
        <v>3</v>
      </c>
      <c r="AB303" s="1">
        <v>3</v>
      </c>
      <c r="AC303" s="1" t="s">
        <v>109</v>
      </c>
      <c r="AD303" s="1" t="s">
        <v>109</v>
      </c>
      <c r="AE303" s="1" t="s">
        <v>109</v>
      </c>
      <c r="AF303" s="1">
        <v>3</v>
      </c>
      <c r="AG303" s="1" t="s">
        <v>109</v>
      </c>
      <c r="AH303" s="1" t="s">
        <v>109</v>
      </c>
      <c r="AI303" s="1" t="s">
        <v>109</v>
      </c>
      <c r="AJ303" s="1" t="s">
        <v>109</v>
      </c>
      <c r="AK303" s="1" t="s">
        <v>109</v>
      </c>
      <c r="AL303" s="1" t="s">
        <v>109</v>
      </c>
      <c r="AM303" s="1" t="s">
        <v>109</v>
      </c>
      <c r="AN303" s="1" t="s">
        <v>109</v>
      </c>
      <c r="AO303" s="1" t="s">
        <v>109</v>
      </c>
      <c r="AP303" s="1"/>
      <c r="AQ303" s="1">
        <v>3</v>
      </c>
      <c r="AR303" s="1"/>
      <c r="AS303" s="1" t="s">
        <v>2874</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5" t="str">
        <f>HYPERLINK("http://www.d20pfsrd.com/magic/all-spells/i/invisibility-sphere","Invisibility Sphere")</f>
        <v>Invisibility Sphere</v>
      </c>
      <c r="BT303" s="1">
        <v>302</v>
      </c>
      <c r="BU303" s="1" t="s">
        <v>109</v>
      </c>
      <c r="BV303" s="1"/>
      <c r="BW303" s="1"/>
      <c r="BX303" s="1"/>
      <c r="BY303" s="1"/>
      <c r="BZ303" s="1">
        <v>0</v>
      </c>
      <c r="CA303" s="1" t="s">
        <v>109</v>
      </c>
      <c r="CB303" s="1" t="s">
        <v>109</v>
      </c>
      <c r="CC303" s="1">
        <v>3</v>
      </c>
      <c r="CD303" s="1" t="s">
        <v>109</v>
      </c>
      <c r="CE303" s="1">
        <v>3</v>
      </c>
      <c r="CF303" s="1">
        <v>3</v>
      </c>
      <c r="CG303" s="1" t="s">
        <v>109</v>
      </c>
      <c r="CH303" s="1" t="s">
        <v>109</v>
      </c>
      <c r="CI303" s="1" t="s">
        <v>109</v>
      </c>
      <c r="CJ303" s="1" t="s">
        <v>109</v>
      </c>
      <c r="CK303" s="1"/>
      <c r="CL303" s="1">
        <v>0</v>
      </c>
      <c r="CM303" s="1">
        <v>0</v>
      </c>
      <c r="CN303" s="1">
        <v>0</v>
      </c>
    </row>
    <row r="304" spans="1:92" ht="14.25" customHeight="1" x14ac:dyDescent="0.15">
      <c r="A304" s="1" t="s">
        <v>2875</v>
      </c>
      <c r="B304" s="1" t="s">
        <v>189</v>
      </c>
      <c r="C304" s="1"/>
      <c r="D304" s="1"/>
      <c r="E304" s="1" t="s">
        <v>904</v>
      </c>
      <c r="F304" s="1" t="s">
        <v>98</v>
      </c>
      <c r="G304" s="1" t="s">
        <v>2876</v>
      </c>
      <c r="H304" s="1">
        <v>0</v>
      </c>
      <c r="I304" s="1" t="s">
        <v>235</v>
      </c>
      <c r="J304" s="1"/>
      <c r="K304" s="1"/>
      <c r="L304" s="1" t="s">
        <v>236</v>
      </c>
      <c r="M304" s="1" t="s">
        <v>164</v>
      </c>
      <c r="N304" s="1">
        <v>1</v>
      </c>
      <c r="O304" s="1">
        <v>0</v>
      </c>
      <c r="P304" s="1"/>
      <c r="Q304" s="1"/>
      <c r="R304" s="1" t="s">
        <v>2877</v>
      </c>
      <c r="S304" s="1" t="s">
        <v>2878</v>
      </c>
      <c r="T304" s="1" t="s">
        <v>107</v>
      </c>
      <c r="U304" s="1" t="s">
        <v>2879</v>
      </c>
      <c r="V304" s="1">
        <v>1</v>
      </c>
      <c r="W304" s="1">
        <v>1</v>
      </c>
      <c r="X304" s="1">
        <v>1</v>
      </c>
      <c r="Y304" s="1">
        <v>0</v>
      </c>
      <c r="Z304" s="1">
        <v>1</v>
      </c>
      <c r="AA304" s="1">
        <v>8</v>
      </c>
      <c r="AB304" s="1">
        <v>8</v>
      </c>
      <c r="AC304" s="1" t="s">
        <v>109</v>
      </c>
      <c r="AD304" s="1" t="s">
        <v>109</v>
      </c>
      <c r="AE304" s="1" t="s">
        <v>109</v>
      </c>
      <c r="AF304" s="1" t="s">
        <v>109</v>
      </c>
      <c r="AG304" s="1" t="s">
        <v>109</v>
      </c>
      <c r="AH304" s="1" t="s">
        <v>109</v>
      </c>
      <c r="AI304" s="1" t="s">
        <v>109</v>
      </c>
      <c r="AJ304" s="1" t="s">
        <v>109</v>
      </c>
      <c r="AK304" s="1" t="s">
        <v>109</v>
      </c>
      <c r="AL304" s="1" t="s">
        <v>109</v>
      </c>
      <c r="AM304" s="1" t="s">
        <v>109</v>
      </c>
      <c r="AN304" s="1" t="s">
        <v>109</v>
      </c>
      <c r="AO304" s="1" t="s">
        <v>109</v>
      </c>
      <c r="AP304" s="1"/>
      <c r="AQ304" s="1">
        <v>8</v>
      </c>
      <c r="AR304" s="1" t="s">
        <v>2880</v>
      </c>
      <c r="AS304" s="1" t="s">
        <v>2881</v>
      </c>
      <c r="AT304" s="1">
        <v>0</v>
      </c>
      <c r="AU304" s="1">
        <v>0</v>
      </c>
      <c r="AV304" s="1">
        <v>0</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5" t="str">
        <f>HYPERLINK("http://www.d20pfsrd.com/magic/all-spells/i/iron-body","Iron Body")</f>
        <v>Iron Body</v>
      </c>
      <c r="BT304" s="1">
        <v>304</v>
      </c>
      <c r="BU304" s="1" t="s">
        <v>109</v>
      </c>
      <c r="BV304" s="1" t="s">
        <v>2882</v>
      </c>
      <c r="BW304" s="1" t="s">
        <v>2883</v>
      </c>
      <c r="BX304" s="1"/>
      <c r="BY304" s="1"/>
      <c r="BZ304" s="1">
        <v>0</v>
      </c>
      <c r="CA304" s="1" t="s">
        <v>109</v>
      </c>
      <c r="CB304" s="1" t="s">
        <v>109</v>
      </c>
      <c r="CC304" s="1">
        <v>8</v>
      </c>
      <c r="CD304" s="1" t="s">
        <v>109</v>
      </c>
      <c r="CE304" s="1" t="s">
        <v>109</v>
      </c>
      <c r="CF304" s="1" t="s">
        <v>109</v>
      </c>
      <c r="CG304" s="1" t="s">
        <v>109</v>
      </c>
      <c r="CH304" s="1" t="s">
        <v>109</v>
      </c>
      <c r="CI304" s="1" t="s">
        <v>109</v>
      </c>
      <c r="CJ304" s="1" t="s">
        <v>109</v>
      </c>
      <c r="CK304" s="1"/>
      <c r="CL304" s="1">
        <v>0</v>
      </c>
      <c r="CM304" s="1">
        <v>0</v>
      </c>
      <c r="CN304" s="1">
        <v>0</v>
      </c>
    </row>
    <row r="305" spans="1:92" ht="14.25" customHeight="1" x14ac:dyDescent="0.15">
      <c r="A305" s="1" t="s">
        <v>2884</v>
      </c>
      <c r="B305" s="1" t="s">
        <v>189</v>
      </c>
      <c r="C305" s="1"/>
      <c r="D305" s="1"/>
      <c r="E305" s="1" t="s">
        <v>2885</v>
      </c>
      <c r="F305" s="1" t="s">
        <v>2886</v>
      </c>
      <c r="G305" s="1" t="s">
        <v>2887</v>
      </c>
      <c r="H305" s="1">
        <v>0</v>
      </c>
      <c r="I305" s="1" t="s">
        <v>925</v>
      </c>
      <c r="J305" s="1"/>
      <c r="K305" s="1" t="s">
        <v>2888</v>
      </c>
      <c r="L305" s="1"/>
      <c r="M305" s="1" t="s">
        <v>280</v>
      </c>
      <c r="N305" s="1">
        <v>1</v>
      </c>
      <c r="O305" s="1">
        <v>0</v>
      </c>
      <c r="P305" s="1" t="s">
        <v>103</v>
      </c>
      <c r="Q305" s="1" t="s">
        <v>104</v>
      </c>
      <c r="R305" s="1" t="s">
        <v>2889</v>
      </c>
      <c r="S305" s="1" t="s">
        <v>2890</v>
      </c>
      <c r="T305" s="1" t="s">
        <v>107</v>
      </c>
      <c r="U305" s="1" t="s">
        <v>2891</v>
      </c>
      <c r="V305" s="1">
        <v>1</v>
      </c>
      <c r="W305" s="1">
        <v>1</v>
      </c>
      <c r="X305" s="1">
        <v>0</v>
      </c>
      <c r="Y305" s="1">
        <v>1</v>
      </c>
      <c r="Z305" s="1">
        <v>0</v>
      </c>
      <c r="AA305" s="1" t="s">
        <v>109</v>
      </c>
      <c r="AB305" s="1" t="s">
        <v>109</v>
      </c>
      <c r="AC305" s="1" t="s">
        <v>109</v>
      </c>
      <c r="AD305" s="1">
        <v>6</v>
      </c>
      <c r="AE305" s="1" t="s">
        <v>109</v>
      </c>
      <c r="AF305" s="1" t="s">
        <v>109</v>
      </c>
      <c r="AG305" s="1" t="s">
        <v>109</v>
      </c>
      <c r="AH305" s="1" t="s">
        <v>109</v>
      </c>
      <c r="AI305" s="1" t="s">
        <v>109</v>
      </c>
      <c r="AJ305" s="1" t="s">
        <v>109</v>
      </c>
      <c r="AK305" s="1" t="s">
        <v>109</v>
      </c>
      <c r="AL305" s="1" t="s">
        <v>109</v>
      </c>
      <c r="AM305" s="1" t="s">
        <v>109</v>
      </c>
      <c r="AN305" s="1" t="s">
        <v>109</v>
      </c>
      <c r="AO305" s="1" t="s">
        <v>109</v>
      </c>
      <c r="AP305" s="1"/>
      <c r="AQ305" s="1">
        <v>6</v>
      </c>
      <c r="AR305" s="1"/>
      <c r="AS305" s="1" t="s">
        <v>2892</v>
      </c>
      <c r="AT305" s="1">
        <v>0</v>
      </c>
      <c r="AU305" s="1">
        <v>0</v>
      </c>
      <c r="AV305" s="1">
        <v>0</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5" t="str">
        <f>HYPERLINK("http://www.d20pfsrd.com/magic/all-spells/i/ironwood","Ironwood")</f>
        <v>Ironwood</v>
      </c>
      <c r="BT305" s="1">
        <v>305</v>
      </c>
      <c r="BU305" s="1" t="s">
        <v>109</v>
      </c>
      <c r="BV305" s="1"/>
      <c r="BW305" s="1"/>
      <c r="BX305" s="1"/>
      <c r="BY305" s="1"/>
      <c r="BZ305" s="1">
        <v>0</v>
      </c>
      <c r="CA305" s="1" t="s">
        <v>109</v>
      </c>
      <c r="CB305" s="1" t="s">
        <v>109</v>
      </c>
      <c r="CC305" s="1" t="s">
        <v>109</v>
      </c>
      <c r="CD305" s="1" t="s">
        <v>109</v>
      </c>
      <c r="CE305" s="1" t="s">
        <v>109</v>
      </c>
      <c r="CF305" s="1">
        <v>6</v>
      </c>
      <c r="CG305" s="1" t="s">
        <v>109</v>
      </c>
      <c r="CH305" s="1" t="s">
        <v>109</v>
      </c>
      <c r="CI305" s="1" t="s">
        <v>109</v>
      </c>
      <c r="CJ305" s="1">
        <v>6</v>
      </c>
      <c r="CK305" s="1"/>
      <c r="CL305" s="1">
        <v>0</v>
      </c>
      <c r="CM305" s="1">
        <v>0</v>
      </c>
      <c r="CN305" s="1">
        <v>0</v>
      </c>
    </row>
    <row r="306" spans="1:92" ht="14.25" customHeight="1" x14ac:dyDescent="0.15">
      <c r="A306" s="1" t="s">
        <v>2893</v>
      </c>
      <c r="B306" s="1" t="s">
        <v>156</v>
      </c>
      <c r="C306" s="1" t="s">
        <v>157</v>
      </c>
      <c r="D306" s="1" t="s">
        <v>158</v>
      </c>
      <c r="E306" s="1" t="s">
        <v>2894</v>
      </c>
      <c r="F306" s="1" t="s">
        <v>98</v>
      </c>
      <c r="G306" s="1" t="s">
        <v>333</v>
      </c>
      <c r="H306" s="1">
        <v>0</v>
      </c>
      <c r="I306" s="1" t="s">
        <v>161</v>
      </c>
      <c r="J306" s="1"/>
      <c r="K306" s="1"/>
      <c r="L306" s="1" t="s">
        <v>162</v>
      </c>
      <c r="M306" s="1" t="s">
        <v>2895</v>
      </c>
      <c r="N306" s="1">
        <v>0</v>
      </c>
      <c r="O306" s="1">
        <v>0</v>
      </c>
      <c r="P306" s="1" t="s">
        <v>380</v>
      </c>
      <c r="Q306" s="1" t="s">
        <v>268</v>
      </c>
      <c r="R306" s="1" t="s">
        <v>2896</v>
      </c>
      <c r="S306" s="1" t="s">
        <v>2897</v>
      </c>
      <c r="T306" s="1" t="s">
        <v>107</v>
      </c>
      <c r="U306" s="1" t="s">
        <v>2898</v>
      </c>
      <c r="V306" s="1">
        <v>1</v>
      </c>
      <c r="W306" s="1">
        <v>0</v>
      </c>
      <c r="X306" s="1">
        <v>0</v>
      </c>
      <c r="Y306" s="1">
        <v>0</v>
      </c>
      <c r="Z306" s="1">
        <v>0</v>
      </c>
      <c r="AA306" s="1">
        <v>8</v>
      </c>
      <c r="AB306" s="1">
        <v>8</v>
      </c>
      <c r="AC306" s="1" t="s">
        <v>109</v>
      </c>
      <c r="AD306" s="1" t="s">
        <v>109</v>
      </c>
      <c r="AE306" s="1" t="s">
        <v>109</v>
      </c>
      <c r="AF306" s="1">
        <v>6</v>
      </c>
      <c r="AG306" s="1" t="s">
        <v>109</v>
      </c>
      <c r="AH306" s="1" t="s">
        <v>109</v>
      </c>
      <c r="AI306" s="1" t="s">
        <v>109</v>
      </c>
      <c r="AJ306" s="1">
        <v>8</v>
      </c>
      <c r="AK306" s="1" t="s">
        <v>109</v>
      </c>
      <c r="AL306" s="1" t="s">
        <v>109</v>
      </c>
      <c r="AM306" s="1" t="s">
        <v>109</v>
      </c>
      <c r="AN306" s="1" t="s">
        <v>109</v>
      </c>
      <c r="AO306" s="1" t="s">
        <v>109</v>
      </c>
      <c r="AP306" s="1"/>
      <c r="AQ306" s="1">
        <v>8</v>
      </c>
      <c r="AR306" s="1" t="s">
        <v>2899</v>
      </c>
      <c r="AS306" s="1" t="s">
        <v>2900</v>
      </c>
      <c r="AT306" s="1">
        <v>0</v>
      </c>
      <c r="AU306" s="1">
        <v>0</v>
      </c>
      <c r="AV306" s="1">
        <v>0</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1</v>
      </c>
      <c r="BN306" s="1">
        <v>0</v>
      </c>
      <c r="BO306" s="1">
        <v>0</v>
      </c>
      <c r="BP306" s="1">
        <v>0</v>
      </c>
      <c r="BQ306" s="1">
        <v>0</v>
      </c>
      <c r="BR306" s="1">
        <v>0</v>
      </c>
      <c r="BS306" s="5" t="str">
        <f>HYPERLINK("http://www.d20pfsrd.com/magic/all-spells/i/irresistible-dance","Irresistible Dance")</f>
        <v>Irresistible Dance</v>
      </c>
      <c r="BT306" s="1">
        <v>306</v>
      </c>
      <c r="BU306" s="1" t="s">
        <v>109</v>
      </c>
      <c r="BV306" s="1" t="s">
        <v>2901</v>
      </c>
      <c r="BW306" s="1"/>
      <c r="BX306" s="1"/>
      <c r="BY306" s="1"/>
      <c r="BZ306" s="1">
        <v>0</v>
      </c>
      <c r="CA306" s="1" t="s">
        <v>109</v>
      </c>
      <c r="CB306" s="1">
        <v>8</v>
      </c>
      <c r="CC306" s="1">
        <v>8</v>
      </c>
      <c r="CD306" s="1" t="s">
        <v>109</v>
      </c>
      <c r="CE306" s="1">
        <v>6</v>
      </c>
      <c r="CF306" s="1" t="s">
        <v>109</v>
      </c>
      <c r="CG306" s="1" t="s">
        <v>109</v>
      </c>
      <c r="CH306" s="1" t="s">
        <v>109</v>
      </c>
      <c r="CI306" s="1" t="s">
        <v>109</v>
      </c>
      <c r="CJ306" s="1" t="s">
        <v>109</v>
      </c>
      <c r="CK306" s="1"/>
      <c r="CL306" s="1">
        <v>0</v>
      </c>
      <c r="CM306" s="1">
        <v>0</v>
      </c>
      <c r="CN306" s="1">
        <v>0</v>
      </c>
    </row>
    <row r="307" spans="1:92" ht="14.25" customHeight="1" x14ac:dyDescent="0.15">
      <c r="A307" s="1" t="s">
        <v>2902</v>
      </c>
      <c r="B307" s="1" t="s">
        <v>189</v>
      </c>
      <c r="C307" s="1"/>
      <c r="D307" s="1"/>
      <c r="E307" s="1" t="s">
        <v>2903</v>
      </c>
      <c r="F307" s="1" t="s">
        <v>98</v>
      </c>
      <c r="G307" s="1" t="s">
        <v>2904</v>
      </c>
      <c r="H307" s="1">
        <v>0</v>
      </c>
      <c r="I307" s="1" t="s">
        <v>161</v>
      </c>
      <c r="J307" s="1"/>
      <c r="K307" s="1"/>
      <c r="L307" s="1" t="s">
        <v>506</v>
      </c>
      <c r="M307" s="1" t="s">
        <v>164</v>
      </c>
      <c r="N307" s="1">
        <v>1</v>
      </c>
      <c r="O307" s="1">
        <v>0</v>
      </c>
      <c r="P307" s="1" t="s">
        <v>507</v>
      </c>
      <c r="Q307" s="1" t="s">
        <v>268</v>
      </c>
      <c r="R307" s="1" t="s">
        <v>2905</v>
      </c>
      <c r="S307" s="1" t="s">
        <v>2906</v>
      </c>
      <c r="T307" s="1" t="s">
        <v>107</v>
      </c>
      <c r="U307" s="1" t="s">
        <v>2907</v>
      </c>
      <c r="V307" s="1">
        <v>1</v>
      </c>
      <c r="W307" s="1">
        <v>1</v>
      </c>
      <c r="X307" s="1">
        <v>1</v>
      </c>
      <c r="Y307" s="1">
        <v>0</v>
      </c>
      <c r="Z307" s="1">
        <v>0</v>
      </c>
      <c r="AA307" s="1">
        <v>1</v>
      </c>
      <c r="AB307" s="1">
        <v>1</v>
      </c>
      <c r="AC307" s="1" t="s">
        <v>109</v>
      </c>
      <c r="AD307" s="1">
        <v>1</v>
      </c>
      <c r="AE307" s="1">
        <v>1</v>
      </c>
      <c r="AF307" s="1" t="s">
        <v>109</v>
      </c>
      <c r="AG307" s="1" t="s">
        <v>109</v>
      </c>
      <c r="AH307" s="1">
        <v>1</v>
      </c>
      <c r="AI307" s="1">
        <v>1</v>
      </c>
      <c r="AJ307" s="1" t="s">
        <v>109</v>
      </c>
      <c r="AK307" s="1" t="s">
        <v>109</v>
      </c>
      <c r="AL307" s="1" t="s">
        <v>109</v>
      </c>
      <c r="AM307" s="1" t="s">
        <v>109</v>
      </c>
      <c r="AN307" s="1">
        <v>1</v>
      </c>
      <c r="AO307" s="1" t="s">
        <v>109</v>
      </c>
      <c r="AP307" s="1"/>
      <c r="AQ307" s="1">
        <v>1</v>
      </c>
      <c r="AR307" s="1" t="s">
        <v>2908</v>
      </c>
      <c r="AS307" s="1" t="s">
        <v>2909</v>
      </c>
      <c r="AT307" s="1">
        <v>0</v>
      </c>
      <c r="AU307" s="1">
        <v>0</v>
      </c>
      <c r="AV307" s="1">
        <v>0</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5" t="str">
        <f>HYPERLINK("http://www.d20pfsrd.com/magic/all-spells/j/jump","Jump")</f>
        <v>Jump</v>
      </c>
      <c r="BT307" s="1">
        <v>307</v>
      </c>
      <c r="BU307" s="1" t="s">
        <v>109</v>
      </c>
      <c r="BV307" s="1"/>
      <c r="BW307" s="1" t="s">
        <v>2910</v>
      </c>
      <c r="BX307" s="1"/>
      <c r="BY307" s="1"/>
      <c r="BZ307" s="1">
        <v>0</v>
      </c>
      <c r="CA307" s="1">
        <v>1</v>
      </c>
      <c r="CB307" s="1" t="s">
        <v>109</v>
      </c>
      <c r="CC307" s="1">
        <v>1</v>
      </c>
      <c r="CD307" s="1" t="s">
        <v>109</v>
      </c>
      <c r="CE307" s="1" t="s">
        <v>109</v>
      </c>
      <c r="CF307" s="1" t="s">
        <v>109</v>
      </c>
      <c r="CG307" s="1" t="s">
        <v>109</v>
      </c>
      <c r="CH307" s="1" t="s">
        <v>109</v>
      </c>
      <c r="CI307" s="1" t="s">
        <v>109</v>
      </c>
      <c r="CJ307" s="1">
        <v>1</v>
      </c>
      <c r="CK307" s="1"/>
      <c r="CL307" s="1">
        <v>0</v>
      </c>
      <c r="CM307" s="1">
        <v>0</v>
      </c>
      <c r="CN307" s="1">
        <v>0</v>
      </c>
    </row>
    <row r="308" spans="1:92" ht="14.25" customHeight="1" x14ac:dyDescent="0.15">
      <c r="A308" s="1" t="s">
        <v>2911</v>
      </c>
      <c r="B308" s="1" t="s">
        <v>189</v>
      </c>
      <c r="C308" s="1"/>
      <c r="D308" s="1"/>
      <c r="E308" s="1" t="s">
        <v>2912</v>
      </c>
      <c r="F308" s="1" t="s">
        <v>98</v>
      </c>
      <c r="G308" s="1" t="s">
        <v>141</v>
      </c>
      <c r="H308" s="1">
        <v>0</v>
      </c>
      <c r="I308" s="1" t="s">
        <v>142</v>
      </c>
      <c r="J308" s="1"/>
      <c r="K308" s="1"/>
      <c r="L308" s="1" t="s">
        <v>2913</v>
      </c>
      <c r="M308" s="1" t="s">
        <v>194</v>
      </c>
      <c r="N308" s="1">
        <v>0</v>
      </c>
      <c r="O308" s="1">
        <v>0</v>
      </c>
      <c r="P308" s="1" t="s">
        <v>215</v>
      </c>
      <c r="Q308" s="1" t="s">
        <v>216</v>
      </c>
      <c r="R308" s="1" t="s">
        <v>2914</v>
      </c>
      <c r="S308" s="1" t="s">
        <v>2915</v>
      </c>
      <c r="T308" s="1" t="s">
        <v>107</v>
      </c>
      <c r="U308" s="1" t="s">
        <v>2916</v>
      </c>
      <c r="V308" s="1">
        <v>1</v>
      </c>
      <c r="W308" s="1">
        <v>1</v>
      </c>
      <c r="X308" s="1">
        <v>0</v>
      </c>
      <c r="Y308" s="1">
        <v>0</v>
      </c>
      <c r="Z308" s="1">
        <v>0</v>
      </c>
      <c r="AA308" s="1">
        <v>3</v>
      </c>
      <c r="AB308" s="1">
        <v>3</v>
      </c>
      <c r="AC308" s="1" t="s">
        <v>109</v>
      </c>
      <c r="AD308" s="1" t="s">
        <v>109</v>
      </c>
      <c r="AE308" s="1" t="s">
        <v>109</v>
      </c>
      <c r="AF308" s="1" t="s">
        <v>109</v>
      </c>
      <c r="AG308" s="1" t="s">
        <v>109</v>
      </c>
      <c r="AH308" s="1" t="s">
        <v>109</v>
      </c>
      <c r="AI308" s="1" t="s">
        <v>109</v>
      </c>
      <c r="AJ308" s="1" t="s">
        <v>109</v>
      </c>
      <c r="AK308" s="1">
        <v>3</v>
      </c>
      <c r="AL308" s="1" t="s">
        <v>109</v>
      </c>
      <c r="AM308" s="1" t="s">
        <v>109</v>
      </c>
      <c r="AN308" s="1">
        <v>3</v>
      </c>
      <c r="AO308" s="1" t="s">
        <v>109</v>
      </c>
      <c r="AP308" s="1"/>
      <c r="AQ308" s="1">
        <v>3</v>
      </c>
      <c r="AR308" s="1" t="s">
        <v>2917</v>
      </c>
      <c r="AS308" s="1" t="s">
        <v>2918</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5" t="str">
        <f>HYPERLINK("http://www.d20pfsrd.com/magic/all-spells/k/keen-edge","Keen Edge")</f>
        <v>Keen Edge</v>
      </c>
      <c r="BT308" s="1">
        <v>308</v>
      </c>
      <c r="BU308" s="1" t="s">
        <v>109</v>
      </c>
      <c r="BV308" s="1"/>
      <c r="BW308" s="1"/>
      <c r="BX308" s="1"/>
      <c r="BY308" s="1"/>
      <c r="BZ308" s="1">
        <v>0</v>
      </c>
      <c r="CA308" s="1">
        <v>3</v>
      </c>
      <c r="CB308" s="1" t="s">
        <v>109</v>
      </c>
      <c r="CC308" s="1" t="s">
        <v>109</v>
      </c>
      <c r="CD308" s="1" t="s">
        <v>109</v>
      </c>
      <c r="CE308" s="1" t="s">
        <v>109</v>
      </c>
      <c r="CF308" s="1">
        <v>3</v>
      </c>
      <c r="CG308" s="1" t="s">
        <v>109</v>
      </c>
      <c r="CH308" s="1" t="s">
        <v>109</v>
      </c>
      <c r="CI308" s="1" t="s">
        <v>109</v>
      </c>
      <c r="CJ308" s="1" t="s">
        <v>109</v>
      </c>
      <c r="CK308" s="1"/>
      <c r="CL308" s="1">
        <v>0</v>
      </c>
      <c r="CM308" s="1">
        <v>0</v>
      </c>
      <c r="CN308" s="1">
        <v>0</v>
      </c>
    </row>
    <row r="309" spans="1:92" ht="14.25" customHeight="1" x14ac:dyDescent="0.15">
      <c r="A309" s="1" t="s">
        <v>2919</v>
      </c>
      <c r="B309" s="1" t="s">
        <v>189</v>
      </c>
      <c r="C309" s="1"/>
      <c r="D309" s="1"/>
      <c r="E309" s="1" t="s">
        <v>2920</v>
      </c>
      <c r="F309" s="1" t="s">
        <v>98</v>
      </c>
      <c r="G309" s="1" t="s">
        <v>333</v>
      </c>
      <c r="H309" s="1">
        <v>0</v>
      </c>
      <c r="I309" s="1" t="s">
        <v>122</v>
      </c>
      <c r="J309" s="1"/>
      <c r="K309" s="1"/>
      <c r="L309" s="1" t="s">
        <v>2921</v>
      </c>
      <c r="M309" s="1" t="s">
        <v>947</v>
      </c>
      <c r="N309" s="1">
        <v>0</v>
      </c>
      <c r="O309" s="1">
        <v>0</v>
      </c>
      <c r="P309" s="1" t="s">
        <v>103</v>
      </c>
      <c r="Q309" s="1" t="s">
        <v>104</v>
      </c>
      <c r="R309" s="1" t="s">
        <v>2922</v>
      </c>
      <c r="S309" s="1" t="s">
        <v>2923</v>
      </c>
      <c r="T309" s="1" t="s">
        <v>107</v>
      </c>
      <c r="U309" s="1" t="s">
        <v>2924</v>
      </c>
      <c r="V309" s="1">
        <v>1</v>
      </c>
      <c r="W309" s="1">
        <v>0</v>
      </c>
      <c r="X309" s="1">
        <v>0</v>
      </c>
      <c r="Y309" s="1">
        <v>0</v>
      </c>
      <c r="Z309" s="1">
        <v>0</v>
      </c>
      <c r="AA309" s="1">
        <v>2</v>
      </c>
      <c r="AB309" s="1">
        <v>2</v>
      </c>
      <c r="AC309" s="1" t="s">
        <v>109</v>
      </c>
      <c r="AD309" s="1" t="s">
        <v>109</v>
      </c>
      <c r="AE309" s="1" t="s">
        <v>109</v>
      </c>
      <c r="AF309" s="1" t="s">
        <v>109</v>
      </c>
      <c r="AG309" s="1" t="s">
        <v>109</v>
      </c>
      <c r="AH309" s="1" t="s">
        <v>109</v>
      </c>
      <c r="AI309" s="1" t="s">
        <v>109</v>
      </c>
      <c r="AJ309" s="1" t="s">
        <v>109</v>
      </c>
      <c r="AK309" s="1">
        <v>2</v>
      </c>
      <c r="AL309" s="1" t="s">
        <v>109</v>
      </c>
      <c r="AM309" s="1" t="s">
        <v>109</v>
      </c>
      <c r="AN309" s="1" t="s">
        <v>109</v>
      </c>
      <c r="AO309" s="1" t="s">
        <v>109</v>
      </c>
      <c r="AP309" s="1"/>
      <c r="AQ309" s="1">
        <v>2</v>
      </c>
      <c r="AR309" s="1"/>
      <c r="AS309" s="1" t="s">
        <v>2925</v>
      </c>
      <c r="AT309" s="1">
        <v>0</v>
      </c>
      <c r="AU309" s="1">
        <v>0</v>
      </c>
      <c r="AV309" s="1">
        <v>0</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5" t="str">
        <f>HYPERLINK("http://www.d20pfsrd.com/magic/all-spells/k/knock","Knock")</f>
        <v>Knock</v>
      </c>
      <c r="BT309" s="1">
        <v>309</v>
      </c>
      <c r="BU309" s="1" t="s">
        <v>109</v>
      </c>
      <c r="BV309" s="1"/>
      <c r="BW309" s="1"/>
      <c r="BX309" s="1"/>
      <c r="BY309" s="1"/>
      <c r="BZ309" s="1">
        <v>0</v>
      </c>
      <c r="CA309" s="1" t="s">
        <v>109</v>
      </c>
      <c r="CB309" s="1" t="s">
        <v>109</v>
      </c>
      <c r="CC309" s="1">
        <v>2</v>
      </c>
      <c r="CD309" s="1" t="s">
        <v>109</v>
      </c>
      <c r="CE309" s="1">
        <v>2</v>
      </c>
      <c r="CF309" s="1">
        <v>2</v>
      </c>
      <c r="CG309" s="1" t="s">
        <v>109</v>
      </c>
      <c r="CH309" s="1" t="s">
        <v>109</v>
      </c>
      <c r="CI309" s="1" t="s">
        <v>109</v>
      </c>
      <c r="CJ309" s="1" t="s">
        <v>109</v>
      </c>
      <c r="CK309" s="1"/>
      <c r="CL309" s="1">
        <v>0</v>
      </c>
      <c r="CM309" s="1">
        <v>0</v>
      </c>
      <c r="CN309" s="1">
        <v>0</v>
      </c>
    </row>
    <row r="310" spans="1:92" ht="14.25" customHeight="1" x14ac:dyDescent="0.15">
      <c r="A310" s="1" t="s">
        <v>2926</v>
      </c>
      <c r="B310" s="1" t="s">
        <v>254</v>
      </c>
      <c r="C310" s="1"/>
      <c r="D310" s="1"/>
      <c r="E310" s="1" t="s">
        <v>2927</v>
      </c>
      <c r="F310" s="1" t="s">
        <v>98</v>
      </c>
      <c r="G310" s="1" t="s">
        <v>141</v>
      </c>
      <c r="H310" s="1">
        <v>0</v>
      </c>
      <c r="I310" s="1" t="s">
        <v>235</v>
      </c>
      <c r="J310" s="1"/>
      <c r="K310" s="1"/>
      <c r="L310" s="1" t="s">
        <v>236</v>
      </c>
      <c r="M310" s="1" t="s">
        <v>144</v>
      </c>
      <c r="N310" s="1">
        <v>0</v>
      </c>
      <c r="O310" s="1">
        <v>0</v>
      </c>
      <c r="P310" s="1"/>
      <c r="Q310" s="1"/>
      <c r="R310" s="1" t="s">
        <v>2928</v>
      </c>
      <c r="S310" s="1" t="s">
        <v>2929</v>
      </c>
      <c r="T310" s="1" t="s">
        <v>107</v>
      </c>
      <c r="U310" s="1" t="s">
        <v>2930</v>
      </c>
      <c r="V310" s="1">
        <v>1</v>
      </c>
      <c r="W310" s="1">
        <v>1</v>
      </c>
      <c r="X310" s="1">
        <v>0</v>
      </c>
      <c r="Y310" s="1">
        <v>0</v>
      </c>
      <c r="Z310" s="1">
        <v>0</v>
      </c>
      <c r="AA310" s="1" t="s">
        <v>109</v>
      </c>
      <c r="AB310" s="1" t="s">
        <v>109</v>
      </c>
      <c r="AC310" s="1" t="s">
        <v>109</v>
      </c>
      <c r="AD310" s="1">
        <v>0</v>
      </c>
      <c r="AE310" s="1" t="s">
        <v>109</v>
      </c>
      <c r="AF310" s="1">
        <v>0</v>
      </c>
      <c r="AG310" s="1" t="s">
        <v>109</v>
      </c>
      <c r="AH310" s="1" t="s">
        <v>109</v>
      </c>
      <c r="AI310" s="1" t="s">
        <v>109</v>
      </c>
      <c r="AJ310" s="1" t="s">
        <v>109</v>
      </c>
      <c r="AK310" s="1" t="s">
        <v>109</v>
      </c>
      <c r="AL310" s="1" t="s">
        <v>109</v>
      </c>
      <c r="AM310" s="1" t="s">
        <v>109</v>
      </c>
      <c r="AN310" s="1" t="s">
        <v>109</v>
      </c>
      <c r="AO310" s="1" t="s">
        <v>109</v>
      </c>
      <c r="AP310" s="1"/>
      <c r="AQ310" s="1">
        <v>0</v>
      </c>
      <c r="AR310" s="1"/>
      <c r="AS310" s="1" t="s">
        <v>2931</v>
      </c>
      <c r="AT310" s="1">
        <v>0</v>
      </c>
      <c r="AU310" s="1">
        <v>0</v>
      </c>
      <c r="AV310" s="1">
        <v>0</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5" t="str">
        <f>HYPERLINK("http://www.d20pfsrd.com/magic/all-spells/k/know-direction","Know Direction")</f>
        <v>Know Direction</v>
      </c>
      <c r="BT310" s="1">
        <v>310</v>
      </c>
      <c r="BU310" s="1" t="s">
        <v>109</v>
      </c>
      <c r="BV310" s="1"/>
      <c r="BW310" s="1"/>
      <c r="BX310" s="1"/>
      <c r="BY310" s="1"/>
      <c r="BZ310" s="1">
        <v>0</v>
      </c>
      <c r="CA310" s="1" t="s">
        <v>109</v>
      </c>
      <c r="CB310" s="1">
        <v>0</v>
      </c>
      <c r="CC310" s="1">
        <v>0</v>
      </c>
      <c r="CD310" s="1" t="s">
        <v>109</v>
      </c>
      <c r="CE310" s="1" t="s">
        <v>109</v>
      </c>
      <c r="CF310" s="1">
        <v>0</v>
      </c>
      <c r="CG310" s="1" t="s">
        <v>109</v>
      </c>
      <c r="CH310" s="1" t="s">
        <v>109</v>
      </c>
      <c r="CI310" s="1" t="s">
        <v>109</v>
      </c>
      <c r="CJ310" s="1">
        <v>0</v>
      </c>
      <c r="CK310" s="1"/>
      <c r="CL310" s="1">
        <v>0</v>
      </c>
      <c r="CM310" s="1">
        <v>0</v>
      </c>
      <c r="CN310" s="1">
        <v>0</v>
      </c>
    </row>
    <row r="311" spans="1:92" ht="14.25" customHeight="1" x14ac:dyDescent="0.15">
      <c r="A311" s="1" t="s">
        <v>2932</v>
      </c>
      <c r="B311" s="1" t="s">
        <v>254</v>
      </c>
      <c r="C311" s="1"/>
      <c r="D311" s="1"/>
      <c r="E311" s="1" t="s">
        <v>2933</v>
      </c>
      <c r="F311" s="1" t="s">
        <v>211</v>
      </c>
      <c r="G311" s="1" t="s">
        <v>2934</v>
      </c>
      <c r="H311" s="1">
        <v>1</v>
      </c>
      <c r="I311" s="1" t="s">
        <v>235</v>
      </c>
      <c r="J311" s="1"/>
      <c r="K311" s="1"/>
      <c r="L311" s="1" t="s">
        <v>236</v>
      </c>
      <c r="M311" s="1" t="s">
        <v>211</v>
      </c>
      <c r="N311" s="1">
        <v>0</v>
      </c>
      <c r="O311" s="1">
        <v>0</v>
      </c>
      <c r="P311" s="1"/>
      <c r="Q311" s="1"/>
      <c r="R311" s="1" t="s">
        <v>2935</v>
      </c>
      <c r="S311" s="1" t="s">
        <v>2936</v>
      </c>
      <c r="T311" s="1" t="s">
        <v>107</v>
      </c>
      <c r="U311" s="1" t="s">
        <v>2937</v>
      </c>
      <c r="V311" s="1">
        <v>1</v>
      </c>
      <c r="W311" s="1">
        <v>1</v>
      </c>
      <c r="X311" s="1">
        <v>1</v>
      </c>
      <c r="Y311" s="1">
        <v>1</v>
      </c>
      <c r="Z311" s="1">
        <v>0</v>
      </c>
      <c r="AA311" s="1">
        <v>6</v>
      </c>
      <c r="AB311" s="1">
        <v>6</v>
      </c>
      <c r="AC311" s="1" t="s">
        <v>109</v>
      </c>
      <c r="AD311" s="1" t="s">
        <v>109</v>
      </c>
      <c r="AE311" s="1" t="s">
        <v>109</v>
      </c>
      <c r="AF311" s="1">
        <v>4</v>
      </c>
      <c r="AG311" s="1" t="s">
        <v>109</v>
      </c>
      <c r="AH311" s="1" t="s">
        <v>109</v>
      </c>
      <c r="AI311" s="1" t="s">
        <v>109</v>
      </c>
      <c r="AJ311" s="1">
        <v>6</v>
      </c>
      <c r="AK311" s="1">
        <v>6</v>
      </c>
      <c r="AL311" s="1" t="s">
        <v>109</v>
      </c>
      <c r="AM311" s="1" t="s">
        <v>109</v>
      </c>
      <c r="AN311" s="1" t="s">
        <v>109</v>
      </c>
      <c r="AO311" s="1" t="s">
        <v>109</v>
      </c>
      <c r="AP311" s="1"/>
      <c r="AQ311" s="1">
        <v>6</v>
      </c>
      <c r="AR311" s="1" t="s">
        <v>2938</v>
      </c>
      <c r="AS311" s="1" t="s">
        <v>2939</v>
      </c>
      <c r="AT311" s="1">
        <v>0</v>
      </c>
      <c r="AU311" s="1">
        <v>0</v>
      </c>
      <c r="AV311" s="1">
        <v>0</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5" t="str">
        <f>HYPERLINK("http://www.d20pfsrd.com/magic/all-spells/l/legend-lore","Legend Lore")</f>
        <v>Legend Lore</v>
      </c>
      <c r="BT311" s="1">
        <v>311</v>
      </c>
      <c r="BU311" s="1">
        <v>250</v>
      </c>
      <c r="BV311" s="1" t="s">
        <v>2940</v>
      </c>
      <c r="BW311" s="1" t="s">
        <v>2941</v>
      </c>
      <c r="BX311" s="1"/>
      <c r="BY311" s="1"/>
      <c r="BZ311" s="1">
        <v>0</v>
      </c>
      <c r="CA311" s="1" t="s">
        <v>109</v>
      </c>
      <c r="CB311" s="1" t="s">
        <v>109</v>
      </c>
      <c r="CC311" s="1">
        <v>6</v>
      </c>
      <c r="CD311" s="1" t="s">
        <v>109</v>
      </c>
      <c r="CE311" s="1" t="s">
        <v>109</v>
      </c>
      <c r="CF311" s="1">
        <v>6</v>
      </c>
      <c r="CG311" s="1">
        <v>6</v>
      </c>
      <c r="CH311" s="1" t="s">
        <v>109</v>
      </c>
      <c r="CI311" s="1" t="s">
        <v>109</v>
      </c>
      <c r="CJ311" s="1" t="s">
        <v>109</v>
      </c>
      <c r="CK311" s="1"/>
      <c r="CL311" s="1">
        <v>0</v>
      </c>
      <c r="CM311" s="1">
        <v>0</v>
      </c>
      <c r="CN311" s="1">
        <v>0</v>
      </c>
    </row>
    <row r="312" spans="1:92" ht="14.25" customHeight="1" x14ac:dyDescent="0.15">
      <c r="A312" s="1" t="s">
        <v>2942</v>
      </c>
      <c r="B312" s="1" t="s">
        <v>189</v>
      </c>
      <c r="C312" s="1"/>
      <c r="D312" s="1"/>
      <c r="E312" s="1" t="s">
        <v>2943</v>
      </c>
      <c r="F312" s="1" t="s">
        <v>98</v>
      </c>
      <c r="G312" s="1" t="s">
        <v>2944</v>
      </c>
      <c r="H312" s="1">
        <v>0</v>
      </c>
      <c r="I312" s="1" t="s">
        <v>2945</v>
      </c>
      <c r="J312" s="1"/>
      <c r="K312" s="1"/>
      <c r="L312" s="1" t="s">
        <v>2946</v>
      </c>
      <c r="M312" s="1" t="s">
        <v>164</v>
      </c>
      <c r="N312" s="1">
        <v>1</v>
      </c>
      <c r="O312" s="1">
        <v>0</v>
      </c>
      <c r="P312" s="1" t="s">
        <v>103</v>
      </c>
      <c r="Q312" s="1" t="s">
        <v>104</v>
      </c>
      <c r="R312" s="1" t="s">
        <v>2947</v>
      </c>
      <c r="S312" s="1" t="s">
        <v>2948</v>
      </c>
      <c r="T312" s="1" t="s">
        <v>107</v>
      </c>
      <c r="U312" s="1" t="s">
        <v>2949</v>
      </c>
      <c r="V312" s="1">
        <v>1</v>
      </c>
      <c r="W312" s="1">
        <v>1</v>
      </c>
      <c r="X312" s="1">
        <v>0</v>
      </c>
      <c r="Y312" s="1">
        <v>1</v>
      </c>
      <c r="Z312" s="1">
        <v>0</v>
      </c>
      <c r="AA312" s="1">
        <v>2</v>
      </c>
      <c r="AB312" s="1">
        <v>2</v>
      </c>
      <c r="AC312" s="1" t="s">
        <v>109</v>
      </c>
      <c r="AD312" s="1" t="s">
        <v>109</v>
      </c>
      <c r="AE312" s="1" t="s">
        <v>109</v>
      </c>
      <c r="AF312" s="1" t="s">
        <v>109</v>
      </c>
      <c r="AG312" s="1" t="s">
        <v>109</v>
      </c>
      <c r="AH312" s="1">
        <v>2</v>
      </c>
      <c r="AI312" s="1">
        <v>2</v>
      </c>
      <c r="AJ312" s="1">
        <v>2</v>
      </c>
      <c r="AK312" s="1" t="s">
        <v>109</v>
      </c>
      <c r="AL312" s="1" t="s">
        <v>109</v>
      </c>
      <c r="AM312" s="1" t="s">
        <v>109</v>
      </c>
      <c r="AN312" s="1">
        <v>2</v>
      </c>
      <c r="AO312" s="1" t="s">
        <v>109</v>
      </c>
      <c r="AP312" s="1"/>
      <c r="AQ312" s="1">
        <v>2</v>
      </c>
      <c r="AR312" s="1" t="s">
        <v>2950</v>
      </c>
      <c r="AS312" s="1" t="s">
        <v>2951</v>
      </c>
      <c r="AT312" s="1">
        <v>0</v>
      </c>
      <c r="AU312" s="1">
        <v>0</v>
      </c>
      <c r="AV312" s="1">
        <v>0</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5" t="str">
        <f>HYPERLINK("http://www.d20pfsrd.com/magic/all-spells/l/levitate","Levitate")</f>
        <v>Levitate</v>
      </c>
      <c r="BT312" s="1">
        <v>312</v>
      </c>
      <c r="BU312" s="1" t="s">
        <v>109</v>
      </c>
      <c r="BV312" s="1"/>
      <c r="BW312" s="1"/>
      <c r="BX312" s="1"/>
      <c r="BY312" s="1"/>
      <c r="BZ312" s="1">
        <v>0</v>
      </c>
      <c r="CA312" s="1" t="s">
        <v>109</v>
      </c>
      <c r="CB312" s="1">
        <v>2</v>
      </c>
      <c r="CC312" s="1">
        <v>2</v>
      </c>
      <c r="CD312" s="1" t="s">
        <v>109</v>
      </c>
      <c r="CE312" s="1">
        <v>2</v>
      </c>
      <c r="CF312" s="1">
        <v>2</v>
      </c>
      <c r="CG312" s="1">
        <v>2</v>
      </c>
      <c r="CH312" s="1" t="s">
        <v>109</v>
      </c>
      <c r="CI312" s="1" t="s">
        <v>109</v>
      </c>
      <c r="CJ312" s="1" t="s">
        <v>109</v>
      </c>
      <c r="CK312" s="1"/>
      <c r="CL312" s="1">
        <v>0</v>
      </c>
      <c r="CM312" s="1">
        <v>0</v>
      </c>
      <c r="CN312" s="1">
        <v>0</v>
      </c>
    </row>
    <row r="313" spans="1:92" ht="14.25" customHeight="1" x14ac:dyDescent="0.15">
      <c r="A313" s="1" t="s">
        <v>2952</v>
      </c>
      <c r="B313" s="1" t="s">
        <v>584</v>
      </c>
      <c r="C313" s="1"/>
      <c r="D313" s="1" t="s">
        <v>64</v>
      </c>
      <c r="E313" s="1" t="s">
        <v>2953</v>
      </c>
      <c r="F313" s="1" t="s">
        <v>98</v>
      </c>
      <c r="G313" s="1" t="s">
        <v>2954</v>
      </c>
      <c r="H313" s="1">
        <v>0</v>
      </c>
      <c r="I313" s="1" t="s">
        <v>161</v>
      </c>
      <c r="J313" s="1"/>
      <c r="K313" s="1"/>
      <c r="L313" s="1" t="s">
        <v>1285</v>
      </c>
      <c r="M313" s="1" t="s">
        <v>194</v>
      </c>
      <c r="N313" s="1">
        <v>0</v>
      </c>
      <c r="O313" s="1">
        <v>0</v>
      </c>
      <c r="P313" s="1" t="s">
        <v>103</v>
      </c>
      <c r="Q313" s="1" t="s">
        <v>104</v>
      </c>
      <c r="R313" s="1" t="s">
        <v>2955</v>
      </c>
      <c r="S313" s="1" t="s">
        <v>2956</v>
      </c>
      <c r="T313" s="1" t="s">
        <v>107</v>
      </c>
      <c r="U313" s="1" t="s">
        <v>2957</v>
      </c>
      <c r="V313" s="1">
        <v>1</v>
      </c>
      <c r="W313" s="1">
        <v>0</v>
      </c>
      <c r="X313" s="1">
        <v>1</v>
      </c>
      <c r="Y313" s="1">
        <v>0</v>
      </c>
      <c r="Z313" s="1">
        <v>1</v>
      </c>
      <c r="AA313" s="1">
        <v>0</v>
      </c>
      <c r="AB313" s="1">
        <v>0</v>
      </c>
      <c r="AC313" s="1">
        <v>0</v>
      </c>
      <c r="AD313" s="1">
        <v>0</v>
      </c>
      <c r="AE313" s="1" t="s">
        <v>109</v>
      </c>
      <c r="AF313" s="1">
        <v>0</v>
      </c>
      <c r="AG313" s="1" t="s">
        <v>109</v>
      </c>
      <c r="AH313" s="1" t="s">
        <v>109</v>
      </c>
      <c r="AI313" s="1">
        <v>0</v>
      </c>
      <c r="AJ313" s="1">
        <v>0</v>
      </c>
      <c r="AK313" s="1">
        <v>0</v>
      </c>
      <c r="AL313" s="1">
        <v>0</v>
      </c>
      <c r="AM313" s="1" t="s">
        <v>109</v>
      </c>
      <c r="AN313" s="1">
        <v>0</v>
      </c>
      <c r="AO313" s="1">
        <v>0</v>
      </c>
      <c r="AP313" s="1"/>
      <c r="AQ313" s="1">
        <v>0</v>
      </c>
      <c r="AR313" s="1"/>
      <c r="AS313" s="1" t="s">
        <v>2958</v>
      </c>
      <c r="AT313" s="1">
        <v>0</v>
      </c>
      <c r="AU313" s="1">
        <v>0</v>
      </c>
      <c r="AV313" s="1">
        <v>0</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1</v>
      </c>
      <c r="BM313" s="1">
        <v>0</v>
      </c>
      <c r="BN313" s="1">
        <v>0</v>
      </c>
      <c r="BO313" s="1">
        <v>0</v>
      </c>
      <c r="BP313" s="1">
        <v>0</v>
      </c>
      <c r="BQ313" s="1">
        <v>0</v>
      </c>
      <c r="BR313" s="1">
        <v>0</v>
      </c>
      <c r="BS313" s="5" t="str">
        <f>HYPERLINK("http://www.d20pfsrd.com/magic/all-spells/l/light","Light")</f>
        <v>Light</v>
      </c>
      <c r="BT313" s="1">
        <v>313</v>
      </c>
      <c r="BU313" s="1" t="s">
        <v>109</v>
      </c>
      <c r="BV313" s="1"/>
      <c r="BW313" s="1"/>
      <c r="BX313" s="1"/>
      <c r="BY313" s="1"/>
      <c r="BZ313" s="1">
        <v>0</v>
      </c>
      <c r="CA313" s="1" t="s">
        <v>109</v>
      </c>
      <c r="CB313" s="1">
        <v>0</v>
      </c>
      <c r="CC313" s="1">
        <v>0</v>
      </c>
      <c r="CD313" s="1" t="s">
        <v>109</v>
      </c>
      <c r="CE313" s="1">
        <v>0</v>
      </c>
      <c r="CF313" s="1">
        <v>0</v>
      </c>
      <c r="CG313" s="1">
        <v>0</v>
      </c>
      <c r="CH313" s="1" t="s">
        <v>109</v>
      </c>
      <c r="CI313" s="1" t="s">
        <v>109</v>
      </c>
      <c r="CJ313" s="1">
        <v>0</v>
      </c>
      <c r="CK313" s="1"/>
      <c r="CL313" s="1">
        <v>0</v>
      </c>
      <c r="CM313" s="1">
        <v>0</v>
      </c>
      <c r="CN313" s="1">
        <v>0</v>
      </c>
    </row>
    <row r="314" spans="1:92" ht="14.25" customHeight="1" x14ac:dyDescent="0.15">
      <c r="A314" s="1" t="s">
        <v>2959</v>
      </c>
      <c r="B314" s="1" t="s">
        <v>584</v>
      </c>
      <c r="C314" s="1"/>
      <c r="D314" s="1" t="s">
        <v>55</v>
      </c>
      <c r="E314" s="1" t="s">
        <v>2960</v>
      </c>
      <c r="F314" s="1" t="s">
        <v>98</v>
      </c>
      <c r="G314" s="1" t="s">
        <v>2961</v>
      </c>
      <c r="H314" s="1">
        <v>0</v>
      </c>
      <c r="I314" s="1" t="s">
        <v>2962</v>
      </c>
      <c r="J314" s="1" t="s">
        <v>2963</v>
      </c>
      <c r="K314" s="1"/>
      <c r="L314" s="1"/>
      <c r="M314" s="1" t="s">
        <v>144</v>
      </c>
      <c r="N314" s="1">
        <v>0</v>
      </c>
      <c r="O314" s="1">
        <v>0</v>
      </c>
      <c r="P314" s="1" t="s">
        <v>727</v>
      </c>
      <c r="Q314" s="1" t="s">
        <v>268</v>
      </c>
      <c r="R314" s="1" t="s">
        <v>2964</v>
      </c>
      <c r="S314" s="1" t="s">
        <v>2965</v>
      </c>
      <c r="T314" s="1" t="s">
        <v>107</v>
      </c>
      <c r="U314" s="1" t="s">
        <v>2966</v>
      </c>
      <c r="V314" s="1">
        <v>1</v>
      </c>
      <c r="W314" s="1">
        <v>1</v>
      </c>
      <c r="X314" s="1">
        <v>1</v>
      </c>
      <c r="Y314" s="1">
        <v>0</v>
      </c>
      <c r="Z314" s="1">
        <v>0</v>
      </c>
      <c r="AA314" s="1">
        <v>3</v>
      </c>
      <c r="AB314" s="1">
        <v>3</v>
      </c>
      <c r="AC314" s="1" t="s">
        <v>109</v>
      </c>
      <c r="AD314" s="1" t="s">
        <v>109</v>
      </c>
      <c r="AE314" s="1" t="s">
        <v>109</v>
      </c>
      <c r="AF314" s="1" t="s">
        <v>109</v>
      </c>
      <c r="AG314" s="1" t="s">
        <v>109</v>
      </c>
      <c r="AH314" s="1" t="s">
        <v>109</v>
      </c>
      <c r="AI314" s="1" t="s">
        <v>109</v>
      </c>
      <c r="AJ314" s="1">
        <v>3</v>
      </c>
      <c r="AK314" s="1" t="s">
        <v>109</v>
      </c>
      <c r="AL314" s="1" t="s">
        <v>109</v>
      </c>
      <c r="AM314" s="1" t="s">
        <v>109</v>
      </c>
      <c r="AN314" s="1">
        <v>3</v>
      </c>
      <c r="AO314" s="1">
        <v>3</v>
      </c>
      <c r="AP314" s="1"/>
      <c r="AQ314" s="1">
        <v>3</v>
      </c>
      <c r="AR314" s="1"/>
      <c r="AS314" s="1" t="s">
        <v>2967</v>
      </c>
      <c r="AT314" s="1">
        <v>0</v>
      </c>
      <c r="AU314" s="1">
        <v>0</v>
      </c>
      <c r="AV314" s="1">
        <v>0</v>
      </c>
      <c r="AW314" s="1">
        <v>0</v>
      </c>
      <c r="AX314" s="1">
        <v>0</v>
      </c>
      <c r="AY314" s="1">
        <v>0</v>
      </c>
      <c r="AZ314" s="1">
        <v>0</v>
      </c>
      <c r="BA314" s="1">
        <v>0</v>
      </c>
      <c r="BB314" s="1">
        <v>0</v>
      </c>
      <c r="BC314" s="1">
        <v>1</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5" t="str">
        <f>HYPERLINK("http://www.d20pfsrd.com/magic/all-spells/l/lightning-bolt","Lightning Bolt")</f>
        <v>Lightning Bolt</v>
      </c>
      <c r="BT314" s="1">
        <v>314</v>
      </c>
      <c r="BU314" s="1" t="s">
        <v>109</v>
      </c>
      <c r="BV314" s="1" t="s">
        <v>2968</v>
      </c>
      <c r="BW314" s="1"/>
      <c r="BX314" s="1" t="s">
        <v>2969</v>
      </c>
      <c r="BY314" s="1" t="s">
        <v>2970</v>
      </c>
      <c r="BZ314" s="1">
        <v>1</v>
      </c>
      <c r="CA314" s="1">
        <v>3</v>
      </c>
      <c r="CB314" s="1" t="s">
        <v>109</v>
      </c>
      <c r="CC314" s="1" t="s">
        <v>109</v>
      </c>
      <c r="CD314" s="1" t="s">
        <v>109</v>
      </c>
      <c r="CE314" s="1" t="s">
        <v>109</v>
      </c>
      <c r="CF314" s="1">
        <v>3</v>
      </c>
      <c r="CG314" s="1" t="s">
        <v>109</v>
      </c>
      <c r="CH314" s="1" t="s">
        <v>109</v>
      </c>
      <c r="CI314" s="1" t="s">
        <v>109</v>
      </c>
      <c r="CJ314" s="1" t="s">
        <v>109</v>
      </c>
      <c r="CK314" s="1"/>
      <c r="CL314" s="1">
        <v>0</v>
      </c>
      <c r="CM314" s="1">
        <v>0</v>
      </c>
      <c r="CN314" s="1">
        <v>0</v>
      </c>
    </row>
    <row r="315" spans="1:92" ht="14.25" customHeight="1" x14ac:dyDescent="0.15">
      <c r="A315" s="1" t="s">
        <v>2971</v>
      </c>
      <c r="B315" s="1" t="s">
        <v>415</v>
      </c>
      <c r="C315" s="1"/>
      <c r="D315" s="1"/>
      <c r="E315" s="1" t="s">
        <v>2156</v>
      </c>
      <c r="F315" s="1" t="s">
        <v>98</v>
      </c>
      <c r="G315" s="1" t="s">
        <v>2972</v>
      </c>
      <c r="H315" s="1">
        <v>1</v>
      </c>
      <c r="I315" s="1" t="s">
        <v>211</v>
      </c>
      <c r="J315" s="1" t="s">
        <v>2973</v>
      </c>
      <c r="K315" s="1" t="s">
        <v>2974</v>
      </c>
      <c r="L315" s="1"/>
      <c r="M315" s="1" t="s">
        <v>211</v>
      </c>
      <c r="N315" s="1">
        <v>0</v>
      </c>
      <c r="O315" s="1">
        <v>0</v>
      </c>
      <c r="P315" s="1" t="s">
        <v>2975</v>
      </c>
      <c r="Q315" s="1" t="s">
        <v>268</v>
      </c>
      <c r="R315" s="1" t="s">
        <v>2976</v>
      </c>
      <c r="S315" s="1" t="s">
        <v>2977</v>
      </c>
      <c r="T315" s="1" t="s">
        <v>107</v>
      </c>
      <c r="U315" s="1" t="s">
        <v>2978</v>
      </c>
      <c r="V315" s="1">
        <v>1</v>
      </c>
      <c r="W315" s="1">
        <v>1</v>
      </c>
      <c r="X315" s="1">
        <v>1</v>
      </c>
      <c r="Y315" s="1">
        <v>0</v>
      </c>
      <c r="Z315" s="1">
        <v>0</v>
      </c>
      <c r="AA315" s="1">
        <v>7</v>
      </c>
      <c r="AB315" s="1">
        <v>7</v>
      </c>
      <c r="AC315" s="1" t="s">
        <v>109</v>
      </c>
      <c r="AD315" s="1" t="s">
        <v>109</v>
      </c>
      <c r="AE315" s="1" t="s">
        <v>109</v>
      </c>
      <c r="AF315" s="1" t="s">
        <v>109</v>
      </c>
      <c r="AG315" s="1" t="s">
        <v>109</v>
      </c>
      <c r="AH315" s="1" t="s">
        <v>109</v>
      </c>
      <c r="AI315" s="1" t="s">
        <v>109</v>
      </c>
      <c r="AJ315" s="1" t="s">
        <v>109</v>
      </c>
      <c r="AK315" s="1" t="s">
        <v>109</v>
      </c>
      <c r="AL315" s="1" t="s">
        <v>109</v>
      </c>
      <c r="AM315" s="1" t="s">
        <v>109</v>
      </c>
      <c r="AN315" s="1" t="s">
        <v>109</v>
      </c>
      <c r="AO315" s="1" t="s">
        <v>109</v>
      </c>
      <c r="AP315" s="1"/>
      <c r="AQ315" s="1">
        <v>7</v>
      </c>
      <c r="AR315" s="1" t="s">
        <v>2979</v>
      </c>
      <c r="AS315" s="1" t="s">
        <v>2980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5" t="str">
        <f>HYPERLINK("http://www.d20pfsrd.com/magic/all-spells/l/limited-wish","Limited Wish")</f>
        <v>Limited Wish</v>
      </c>
      <c r="BT315" s="1">
        <v>315</v>
      </c>
      <c r="BU315" s="1">
        <v>1500</v>
      </c>
      <c r="BV315" s="1"/>
      <c r="BW315" s="1"/>
      <c r="BX315" s="1" t="s">
        <v>2981</v>
      </c>
      <c r="BY315" s="1" t="s">
        <v>2982</v>
      </c>
      <c r="BZ315" s="1">
        <v>1</v>
      </c>
      <c r="CA315" s="1" t="s">
        <v>109</v>
      </c>
      <c r="CB315" s="1" t="s">
        <v>109</v>
      </c>
      <c r="CC315" s="1">
        <v>7</v>
      </c>
      <c r="CD315" s="1" t="s">
        <v>109</v>
      </c>
      <c r="CE315" s="1" t="s">
        <v>109</v>
      </c>
      <c r="CF315" s="1" t="s">
        <v>109</v>
      </c>
      <c r="CG315" s="1" t="s">
        <v>109</v>
      </c>
      <c r="CH315" s="1" t="s">
        <v>109</v>
      </c>
      <c r="CI315" s="1" t="s">
        <v>109</v>
      </c>
      <c r="CJ315" s="1" t="s">
        <v>109</v>
      </c>
      <c r="CK315" s="1"/>
      <c r="CL315" s="1">
        <v>0</v>
      </c>
      <c r="CM315" s="1">
        <v>0</v>
      </c>
      <c r="CN315" s="1">
        <v>0</v>
      </c>
    </row>
    <row r="316" spans="1:92" ht="14.25" customHeight="1" x14ac:dyDescent="0.15">
      <c r="A316" s="1" t="s">
        <v>2983</v>
      </c>
      <c r="B316" s="1" t="s">
        <v>189</v>
      </c>
      <c r="C316" s="1"/>
      <c r="D316" s="1"/>
      <c r="E316" s="1" t="s">
        <v>2984</v>
      </c>
      <c r="F316" s="1" t="s">
        <v>395</v>
      </c>
      <c r="G316" s="1" t="s">
        <v>141</v>
      </c>
      <c r="H316" s="1">
        <v>0</v>
      </c>
      <c r="I316" s="1" t="s">
        <v>161</v>
      </c>
      <c r="J316" s="1"/>
      <c r="K316" s="1"/>
      <c r="L316" s="1" t="s">
        <v>2985</v>
      </c>
      <c r="M316" s="1" t="s">
        <v>280</v>
      </c>
      <c r="N316" s="1">
        <v>1</v>
      </c>
      <c r="O316" s="1">
        <v>0</v>
      </c>
      <c r="P316" s="1" t="s">
        <v>103</v>
      </c>
      <c r="Q316" s="1" t="s">
        <v>104</v>
      </c>
      <c r="R316" s="1" t="s">
        <v>2986</v>
      </c>
      <c r="S316" s="1" t="s">
        <v>2987</v>
      </c>
      <c r="T316" s="1" t="s">
        <v>107</v>
      </c>
      <c r="U316" s="1" t="s">
        <v>2988</v>
      </c>
      <c r="V316" s="1">
        <v>1</v>
      </c>
      <c r="W316" s="1">
        <v>1</v>
      </c>
      <c r="X316" s="1">
        <v>0</v>
      </c>
      <c r="Y316" s="1">
        <v>0</v>
      </c>
      <c r="Z316" s="1">
        <v>0</v>
      </c>
      <c r="AA316" s="1" t="s">
        <v>109</v>
      </c>
      <c r="AB316" s="1" t="s">
        <v>109</v>
      </c>
      <c r="AC316" s="1" t="s">
        <v>109</v>
      </c>
      <c r="AD316" s="1">
        <v>6</v>
      </c>
      <c r="AE316" s="1" t="s">
        <v>109</v>
      </c>
      <c r="AF316" s="1" t="s">
        <v>109</v>
      </c>
      <c r="AG316" s="1" t="s">
        <v>109</v>
      </c>
      <c r="AH316" s="1" t="s">
        <v>109</v>
      </c>
      <c r="AI316" s="1" t="s">
        <v>109</v>
      </c>
      <c r="AJ316" s="1" t="s">
        <v>109</v>
      </c>
      <c r="AK316" s="1" t="s">
        <v>109</v>
      </c>
      <c r="AL316" s="1" t="s">
        <v>109</v>
      </c>
      <c r="AM316" s="1" t="s">
        <v>109</v>
      </c>
      <c r="AN316" s="1" t="s">
        <v>109</v>
      </c>
      <c r="AO316" s="1" t="s">
        <v>109</v>
      </c>
      <c r="AP316" s="1"/>
      <c r="AQ316" s="1">
        <v>6</v>
      </c>
      <c r="AR316" s="1"/>
      <c r="AS316" s="1" t="s">
        <v>2989</v>
      </c>
      <c r="AT316" s="1">
        <v>0</v>
      </c>
      <c r="AU316" s="1">
        <v>0</v>
      </c>
      <c r="AV316" s="1">
        <v>0</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5" t="str">
        <f>HYPERLINK("http://www.d20pfsrd.com/magic/all-spells/l/liveoak","Liveoak")</f>
        <v>Liveoak</v>
      </c>
      <c r="BT316" s="1">
        <v>316</v>
      </c>
      <c r="BU316" s="1" t="s">
        <v>109</v>
      </c>
      <c r="BV316" s="1"/>
      <c r="BW316" s="1"/>
      <c r="BX316" s="1"/>
      <c r="BY316" s="1"/>
      <c r="BZ316" s="1">
        <v>0</v>
      </c>
      <c r="CA316" s="1" t="s">
        <v>109</v>
      </c>
      <c r="CB316" s="1">
        <v>7</v>
      </c>
      <c r="CC316" s="1" t="s">
        <v>109</v>
      </c>
      <c r="CD316" s="1" t="s">
        <v>109</v>
      </c>
      <c r="CE316" s="1" t="s">
        <v>109</v>
      </c>
      <c r="CF316" s="1" t="s">
        <v>109</v>
      </c>
      <c r="CG316" s="1" t="s">
        <v>109</v>
      </c>
      <c r="CH316" s="1" t="s">
        <v>109</v>
      </c>
      <c r="CI316" s="1" t="s">
        <v>109</v>
      </c>
      <c r="CJ316" s="1">
        <v>6</v>
      </c>
      <c r="CK316" s="1"/>
      <c r="CL316" s="1">
        <v>0</v>
      </c>
      <c r="CM316" s="1">
        <v>0</v>
      </c>
      <c r="CN316" s="1">
        <v>0</v>
      </c>
    </row>
    <row r="317" spans="1:92" ht="14.25" customHeight="1" x14ac:dyDescent="0.15">
      <c r="A317" s="1" t="s">
        <v>2990</v>
      </c>
      <c r="B317" s="1" t="s">
        <v>254</v>
      </c>
      <c r="C317" s="1"/>
      <c r="D317" s="1"/>
      <c r="E317" s="1" t="s">
        <v>2991</v>
      </c>
      <c r="F317" s="1" t="s">
        <v>98</v>
      </c>
      <c r="G317" s="1" t="s">
        <v>2992</v>
      </c>
      <c r="H317" s="1">
        <v>0</v>
      </c>
      <c r="I317" s="1" t="s">
        <v>100</v>
      </c>
      <c r="J317" s="1" t="s">
        <v>2993</v>
      </c>
      <c r="K317" s="1"/>
      <c r="L317" s="1"/>
      <c r="M317" s="1" t="s">
        <v>164</v>
      </c>
      <c r="N317" s="1">
        <v>0</v>
      </c>
      <c r="O317" s="1">
        <v>0</v>
      </c>
      <c r="P317" s="1" t="s">
        <v>103</v>
      </c>
      <c r="Q317" s="1" t="s">
        <v>104</v>
      </c>
      <c r="R317" s="1" t="s">
        <v>2994</v>
      </c>
      <c r="S317" s="1" t="s">
        <v>2995</v>
      </c>
      <c r="T317" s="1" t="s">
        <v>107</v>
      </c>
      <c r="U317" s="1" t="s">
        <v>2996</v>
      </c>
      <c r="V317" s="1">
        <v>1</v>
      </c>
      <c r="W317" s="1">
        <v>1</v>
      </c>
      <c r="X317" s="1">
        <v>0</v>
      </c>
      <c r="Y317" s="1">
        <v>1</v>
      </c>
      <c r="Z317" s="1">
        <v>1</v>
      </c>
      <c r="AA317" s="1">
        <v>2</v>
      </c>
      <c r="AB317" s="1">
        <v>2</v>
      </c>
      <c r="AC317" s="1">
        <v>3</v>
      </c>
      <c r="AD317" s="1" t="s">
        <v>109</v>
      </c>
      <c r="AE317" s="1" t="s">
        <v>109</v>
      </c>
      <c r="AF317" s="1">
        <v>2</v>
      </c>
      <c r="AG317" s="1" t="s">
        <v>109</v>
      </c>
      <c r="AH317" s="1" t="s">
        <v>109</v>
      </c>
      <c r="AI317" s="1" t="s">
        <v>109</v>
      </c>
      <c r="AJ317" s="1">
        <v>3</v>
      </c>
      <c r="AK317" s="1">
        <v>3</v>
      </c>
      <c r="AL317" s="1">
        <v>3</v>
      </c>
      <c r="AM317" s="1" t="s">
        <v>109</v>
      </c>
      <c r="AN317" s="1" t="s">
        <v>109</v>
      </c>
      <c r="AO317" s="1" t="s">
        <v>109</v>
      </c>
      <c r="AP317" s="1"/>
      <c r="AQ317" s="1">
        <v>2</v>
      </c>
      <c r="AR317" s="1" t="s">
        <v>2997</v>
      </c>
      <c r="AS317" s="1" t="s">
        <v>2998</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5" t="str">
        <f>HYPERLINK("http://www.d20pfsrd.com/magic/all-spells/l/locate-object","Locate Object")</f>
        <v>Locate Object</v>
      </c>
      <c r="BT317" s="1">
        <v>317</v>
      </c>
      <c r="BU317" s="1" t="s">
        <v>109</v>
      </c>
      <c r="BV317" s="1"/>
      <c r="BW317" s="1" t="s">
        <v>2999</v>
      </c>
      <c r="BX317" s="1"/>
      <c r="BY317" s="1"/>
      <c r="BZ317" s="1">
        <v>0</v>
      </c>
      <c r="CA317" s="1" t="s">
        <v>109</v>
      </c>
      <c r="CB317" s="1" t="s">
        <v>109</v>
      </c>
      <c r="CC317" s="1">
        <v>2</v>
      </c>
      <c r="CD317" s="1" t="s">
        <v>109</v>
      </c>
      <c r="CE317" s="1">
        <v>2</v>
      </c>
      <c r="CF317" s="1">
        <v>2</v>
      </c>
      <c r="CG317" s="1">
        <v>2</v>
      </c>
      <c r="CH317" s="1" t="s">
        <v>109</v>
      </c>
      <c r="CI317" s="1" t="s">
        <v>109</v>
      </c>
      <c r="CJ317" s="1" t="s">
        <v>109</v>
      </c>
      <c r="CK317" s="1"/>
      <c r="CL317" s="1">
        <v>0</v>
      </c>
      <c r="CM317" s="1">
        <v>0</v>
      </c>
      <c r="CN317" s="1">
        <v>0</v>
      </c>
    </row>
    <row r="318" spans="1:92" ht="14.25" customHeight="1" x14ac:dyDescent="0.15">
      <c r="A318" s="1" t="s">
        <v>3000</v>
      </c>
      <c r="B318" s="1" t="s">
        <v>254</v>
      </c>
      <c r="C318" s="1"/>
      <c r="D318" s="1"/>
      <c r="E318" s="1" t="s">
        <v>3001</v>
      </c>
      <c r="F318" s="1" t="s">
        <v>98</v>
      </c>
      <c r="G318" s="1" t="s">
        <v>3002</v>
      </c>
      <c r="H318" s="1">
        <v>0</v>
      </c>
      <c r="I318" s="1" t="s">
        <v>100</v>
      </c>
      <c r="J318" s="1" t="s">
        <v>2993</v>
      </c>
      <c r="K318" s="1"/>
      <c r="L318" s="1"/>
      <c r="M318" s="1" t="s">
        <v>194</v>
      </c>
      <c r="N318" s="1">
        <v>0</v>
      </c>
      <c r="O318" s="1">
        <v>0</v>
      </c>
      <c r="P318" s="1" t="s">
        <v>103</v>
      </c>
      <c r="Q318" s="1" t="s">
        <v>104</v>
      </c>
      <c r="R318" s="1" t="s">
        <v>3003</v>
      </c>
      <c r="S318" s="1" t="s">
        <v>3004</v>
      </c>
      <c r="T318" s="1" t="s">
        <v>107</v>
      </c>
      <c r="U318" s="1" t="s">
        <v>3005</v>
      </c>
      <c r="V318" s="1">
        <v>1</v>
      </c>
      <c r="W318" s="1">
        <v>1</v>
      </c>
      <c r="X318" s="1">
        <v>1</v>
      </c>
      <c r="Y318" s="1">
        <v>0</v>
      </c>
      <c r="Z318" s="1">
        <v>0</v>
      </c>
      <c r="AA318" s="1">
        <v>4</v>
      </c>
      <c r="AB318" s="1">
        <v>4</v>
      </c>
      <c r="AC318" s="1" t="s">
        <v>109</v>
      </c>
      <c r="AD318" s="1" t="s">
        <v>109</v>
      </c>
      <c r="AE318" s="1" t="s">
        <v>109</v>
      </c>
      <c r="AF318" s="1">
        <v>4</v>
      </c>
      <c r="AG318" s="1" t="s">
        <v>109</v>
      </c>
      <c r="AH318" s="1" t="s">
        <v>109</v>
      </c>
      <c r="AI318" s="1">
        <v>3</v>
      </c>
      <c r="AJ318" s="1">
        <v>4</v>
      </c>
      <c r="AK318" s="1" t="s">
        <v>109</v>
      </c>
      <c r="AL318" s="1" t="s">
        <v>109</v>
      </c>
      <c r="AM318" s="1" t="s">
        <v>109</v>
      </c>
      <c r="AN318" s="1" t="s">
        <v>109</v>
      </c>
      <c r="AO318" s="1" t="s">
        <v>109</v>
      </c>
      <c r="AP318" s="1"/>
      <c r="AQ318" s="1">
        <v>4</v>
      </c>
      <c r="AR318" s="1" t="s">
        <v>3006</v>
      </c>
      <c r="AS318" s="1" t="s">
        <v>3007</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5" t="str">
        <f>HYPERLINK("http://www.d20pfsrd.com/magic/all-spells/l/locate-creature","Locate Creature")</f>
        <v>Locate Creature</v>
      </c>
      <c r="BT318" s="1">
        <v>318</v>
      </c>
      <c r="BU318" s="1" t="s">
        <v>109</v>
      </c>
      <c r="BV318" s="1"/>
      <c r="BW318" s="1"/>
      <c r="BX318" s="1"/>
      <c r="BY318" s="1"/>
      <c r="BZ318" s="1">
        <v>0</v>
      </c>
      <c r="CA318" s="1" t="s">
        <v>109</v>
      </c>
      <c r="CB318" s="1" t="s">
        <v>109</v>
      </c>
      <c r="CC318" s="1">
        <v>4</v>
      </c>
      <c r="CD318" s="1" t="s">
        <v>109</v>
      </c>
      <c r="CE318" s="1">
        <v>4</v>
      </c>
      <c r="CF318" s="1">
        <v>4</v>
      </c>
      <c r="CG318" s="1">
        <v>4</v>
      </c>
      <c r="CH318" s="1" t="s">
        <v>109</v>
      </c>
      <c r="CI318" s="1" t="s">
        <v>109</v>
      </c>
      <c r="CJ318" s="1" t="s">
        <v>109</v>
      </c>
      <c r="CK318" s="1"/>
      <c r="CL318" s="1">
        <v>0</v>
      </c>
      <c r="CM318" s="1">
        <v>0</v>
      </c>
      <c r="CN318" s="1">
        <v>0</v>
      </c>
    </row>
    <row r="319" spans="1:92" ht="14.25" customHeight="1" x14ac:dyDescent="0.15">
      <c r="A319" s="1" t="s">
        <v>3008</v>
      </c>
      <c r="B319" s="1" t="s">
        <v>189</v>
      </c>
      <c r="C319" s="1"/>
      <c r="D319" s="1"/>
      <c r="E319" s="1" t="s">
        <v>3009</v>
      </c>
      <c r="F319" s="1" t="s">
        <v>98</v>
      </c>
      <c r="G319" s="1" t="s">
        <v>3010</v>
      </c>
      <c r="H319" s="1">
        <v>0</v>
      </c>
      <c r="I319" s="1" t="s">
        <v>235</v>
      </c>
      <c r="J319" s="1"/>
      <c r="K319" s="1"/>
      <c r="L319" s="1" t="s">
        <v>236</v>
      </c>
      <c r="M319" s="1" t="s">
        <v>289</v>
      </c>
      <c r="N319" s="1">
        <v>1</v>
      </c>
      <c r="O319" s="1">
        <v>0</v>
      </c>
      <c r="P319" s="1"/>
      <c r="Q319" s="1"/>
      <c r="R319" s="1" t="s">
        <v>3011</v>
      </c>
      <c r="S319" s="1" t="s">
        <v>3012</v>
      </c>
      <c r="T319" s="1" t="s">
        <v>107</v>
      </c>
      <c r="U319" s="1" t="s">
        <v>3013</v>
      </c>
      <c r="V319" s="1">
        <v>1</v>
      </c>
      <c r="W319" s="1">
        <v>1</v>
      </c>
      <c r="X319" s="1">
        <v>1</v>
      </c>
      <c r="Y319" s="1">
        <v>0</v>
      </c>
      <c r="Z319" s="1">
        <v>0</v>
      </c>
      <c r="AA319" s="1" t="s">
        <v>109</v>
      </c>
      <c r="AB319" s="1" t="s">
        <v>109</v>
      </c>
      <c r="AC319" s="1" t="s">
        <v>109</v>
      </c>
      <c r="AD319" s="1">
        <v>1</v>
      </c>
      <c r="AE319" s="1">
        <v>1</v>
      </c>
      <c r="AF319" s="1" t="s">
        <v>109</v>
      </c>
      <c r="AG319" s="1" t="s">
        <v>109</v>
      </c>
      <c r="AH319" s="1" t="s">
        <v>109</v>
      </c>
      <c r="AI319" s="1" t="s">
        <v>109</v>
      </c>
      <c r="AJ319" s="1" t="s">
        <v>109</v>
      </c>
      <c r="AK319" s="1" t="s">
        <v>109</v>
      </c>
      <c r="AL319" s="1" t="s">
        <v>109</v>
      </c>
      <c r="AM319" s="1" t="s">
        <v>109</v>
      </c>
      <c r="AN319" s="1" t="s">
        <v>109</v>
      </c>
      <c r="AO319" s="1" t="s">
        <v>109</v>
      </c>
      <c r="AP319" s="1"/>
      <c r="AQ319" s="1">
        <v>1</v>
      </c>
      <c r="AR319" s="1" t="s">
        <v>3014</v>
      </c>
      <c r="AS319" s="1" t="s">
        <v>3015</v>
      </c>
      <c r="AT319" s="1">
        <v>0</v>
      </c>
      <c r="AU319" s="1">
        <v>0</v>
      </c>
      <c r="AV319" s="1">
        <v>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5" t="str">
        <f>HYPERLINK("http://www.d20pfsrd.com/magic/all-spells/l/longstrider","Longstrider")</f>
        <v>Longstrider</v>
      </c>
      <c r="BT319" s="1">
        <v>319</v>
      </c>
      <c r="BU319" s="1" t="s">
        <v>109</v>
      </c>
      <c r="BV319" s="1"/>
      <c r="BW319" s="1"/>
      <c r="BX319" s="1"/>
      <c r="BY319" s="1"/>
      <c r="BZ319" s="1">
        <v>0</v>
      </c>
      <c r="CA319" s="1" t="s">
        <v>109</v>
      </c>
      <c r="CB319" s="1" t="s">
        <v>109</v>
      </c>
      <c r="CC319" s="1" t="s">
        <v>109</v>
      </c>
      <c r="CD319" s="1" t="s">
        <v>109</v>
      </c>
      <c r="CE319" s="1" t="s">
        <v>109</v>
      </c>
      <c r="CF319" s="1" t="s">
        <v>109</v>
      </c>
      <c r="CG319" s="1" t="s">
        <v>109</v>
      </c>
      <c r="CH319" s="1" t="s">
        <v>109</v>
      </c>
      <c r="CI319" s="1" t="s">
        <v>109</v>
      </c>
      <c r="CJ319" s="1">
        <v>1</v>
      </c>
      <c r="CK319" s="1"/>
      <c r="CL319" s="1">
        <v>0</v>
      </c>
      <c r="CM319" s="1">
        <v>0</v>
      </c>
      <c r="CN319" s="1">
        <v>0</v>
      </c>
    </row>
    <row r="320" spans="1:92" ht="14.25" customHeight="1" x14ac:dyDescent="0.15">
      <c r="A320" s="1" t="s">
        <v>3016</v>
      </c>
      <c r="B320" s="1" t="s">
        <v>156</v>
      </c>
      <c r="C320" s="1" t="s">
        <v>157</v>
      </c>
      <c r="D320" s="1" t="s">
        <v>158</v>
      </c>
      <c r="E320" s="1" t="s">
        <v>3017</v>
      </c>
      <c r="F320" s="1" t="s">
        <v>98</v>
      </c>
      <c r="G320" s="1" t="s">
        <v>141</v>
      </c>
      <c r="H320" s="1">
        <v>0</v>
      </c>
      <c r="I320" s="1" t="s">
        <v>122</v>
      </c>
      <c r="J320" s="1" t="s">
        <v>3018</v>
      </c>
      <c r="K320" s="1"/>
      <c r="L320" s="1"/>
      <c r="M320" s="1" t="s">
        <v>3019</v>
      </c>
      <c r="N320" s="1">
        <v>1</v>
      </c>
      <c r="O320" s="1">
        <v>0</v>
      </c>
      <c r="P320" s="1" t="s">
        <v>301</v>
      </c>
      <c r="Q320" s="1" t="s">
        <v>268</v>
      </c>
      <c r="R320" s="1" t="s">
        <v>3020</v>
      </c>
      <c r="S320" s="1" t="s">
        <v>3021</v>
      </c>
      <c r="T320" s="1" t="s">
        <v>107</v>
      </c>
      <c r="U320" s="1" t="s">
        <v>3022</v>
      </c>
      <c r="V320" s="1">
        <v>1</v>
      </c>
      <c r="W320" s="1">
        <v>1</v>
      </c>
      <c r="X320" s="1">
        <v>0</v>
      </c>
      <c r="Y320" s="1">
        <v>0</v>
      </c>
      <c r="Z320" s="1">
        <v>0</v>
      </c>
      <c r="AA320" s="1" t="s">
        <v>109</v>
      </c>
      <c r="AB320" s="1" t="s">
        <v>109</v>
      </c>
      <c r="AC320" s="1" t="s">
        <v>109</v>
      </c>
      <c r="AD320" s="1" t="s">
        <v>109</v>
      </c>
      <c r="AE320" s="1" t="s">
        <v>109</v>
      </c>
      <c r="AF320" s="1">
        <v>0</v>
      </c>
      <c r="AG320" s="1" t="s">
        <v>109</v>
      </c>
      <c r="AH320" s="1" t="s">
        <v>109</v>
      </c>
      <c r="AI320" s="1" t="s">
        <v>109</v>
      </c>
      <c r="AJ320" s="1" t="s">
        <v>109</v>
      </c>
      <c r="AK320" s="1" t="s">
        <v>109</v>
      </c>
      <c r="AL320" s="1" t="s">
        <v>109</v>
      </c>
      <c r="AM320" s="1" t="s">
        <v>109</v>
      </c>
      <c r="AN320" s="1" t="s">
        <v>109</v>
      </c>
      <c r="AO320" s="1" t="s">
        <v>109</v>
      </c>
      <c r="AP320" s="1"/>
      <c r="AQ320" s="1">
        <v>0</v>
      </c>
      <c r="AR320" s="1"/>
      <c r="AS320" s="1" t="s">
        <v>3023</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1</v>
      </c>
      <c r="BN320" s="1">
        <v>0</v>
      </c>
      <c r="BO320" s="1">
        <v>0</v>
      </c>
      <c r="BP320" s="1">
        <v>0</v>
      </c>
      <c r="BQ320" s="1">
        <v>0</v>
      </c>
      <c r="BR320" s="1">
        <v>0</v>
      </c>
      <c r="BS320" s="5" t="str">
        <f>HYPERLINK("http://www.d20pfsrd.com/magic/all-spells/l/lullaby","Lullaby")</f>
        <v>Lullaby</v>
      </c>
      <c r="BT320" s="1">
        <v>320</v>
      </c>
      <c r="BU320" s="1" t="s">
        <v>109</v>
      </c>
      <c r="BV320" s="1"/>
      <c r="BW320" s="1"/>
      <c r="BX320" s="1"/>
      <c r="BY320" s="1"/>
      <c r="BZ320" s="1">
        <v>0</v>
      </c>
      <c r="CA320" s="1" t="s">
        <v>109</v>
      </c>
      <c r="CB320" s="1" t="s">
        <v>109</v>
      </c>
      <c r="CC320" s="1">
        <v>0</v>
      </c>
      <c r="CD320" s="1" t="s">
        <v>109</v>
      </c>
      <c r="CE320" s="1">
        <v>0</v>
      </c>
      <c r="CF320" s="1" t="s">
        <v>109</v>
      </c>
      <c r="CG320" s="1" t="s">
        <v>109</v>
      </c>
      <c r="CH320" s="1" t="s">
        <v>109</v>
      </c>
      <c r="CI320" s="1" t="s">
        <v>109</v>
      </c>
      <c r="CJ320" s="1" t="s">
        <v>109</v>
      </c>
      <c r="CK320" s="1"/>
      <c r="CL320" s="1">
        <v>0</v>
      </c>
      <c r="CM320" s="1">
        <v>0</v>
      </c>
      <c r="CN320" s="1">
        <v>0</v>
      </c>
    </row>
    <row r="321" spans="1:92" ht="14.25" customHeight="1" x14ac:dyDescent="0.15">
      <c r="A321" s="1" t="s">
        <v>3024</v>
      </c>
      <c r="B321" s="1" t="s">
        <v>95</v>
      </c>
      <c r="C321" s="1" t="s">
        <v>96</v>
      </c>
      <c r="D321" s="1" t="s">
        <v>60</v>
      </c>
      <c r="E321" s="1" t="s">
        <v>3025</v>
      </c>
      <c r="F321" s="1" t="s">
        <v>98</v>
      </c>
      <c r="G321" s="1" t="s">
        <v>3026</v>
      </c>
      <c r="H321" s="1">
        <v>0</v>
      </c>
      <c r="I321" s="1" t="s">
        <v>161</v>
      </c>
      <c r="J321" s="1"/>
      <c r="K321" s="1"/>
      <c r="L321" s="1" t="s">
        <v>506</v>
      </c>
      <c r="M321" s="1" t="s">
        <v>815</v>
      </c>
      <c r="N321" s="1">
        <v>1</v>
      </c>
      <c r="O321" s="1">
        <v>0</v>
      </c>
      <c r="P321" s="1" t="s">
        <v>507</v>
      </c>
      <c r="Q321" s="1" t="s">
        <v>104</v>
      </c>
      <c r="R321" s="1" t="s">
        <v>3027</v>
      </c>
      <c r="S321" s="1" t="s">
        <v>3028</v>
      </c>
      <c r="T321" s="1" t="s">
        <v>107</v>
      </c>
      <c r="U321" s="1" t="s">
        <v>3029</v>
      </c>
      <c r="V321" s="1">
        <v>1</v>
      </c>
      <c r="W321" s="1">
        <v>1</v>
      </c>
      <c r="X321" s="1">
        <v>0</v>
      </c>
      <c r="Y321" s="1">
        <v>0</v>
      </c>
      <c r="Z321" s="1">
        <v>0</v>
      </c>
      <c r="AA321" s="1">
        <v>1</v>
      </c>
      <c r="AB321" s="1">
        <v>1</v>
      </c>
      <c r="AC321" s="1" t="s">
        <v>109</v>
      </c>
      <c r="AD321" s="1" t="s">
        <v>109</v>
      </c>
      <c r="AE321" s="1" t="s">
        <v>109</v>
      </c>
      <c r="AF321" s="1" t="s">
        <v>109</v>
      </c>
      <c r="AG321" s="1" t="s">
        <v>109</v>
      </c>
      <c r="AH321" s="1" t="s">
        <v>109</v>
      </c>
      <c r="AI321" s="1">
        <v>1</v>
      </c>
      <c r="AJ321" s="1">
        <v>1</v>
      </c>
      <c r="AK321" s="1" t="s">
        <v>109</v>
      </c>
      <c r="AL321" s="1" t="s">
        <v>109</v>
      </c>
      <c r="AM321" s="1" t="s">
        <v>109</v>
      </c>
      <c r="AN321" s="1" t="s">
        <v>109</v>
      </c>
      <c r="AO321" s="1" t="s">
        <v>109</v>
      </c>
      <c r="AP321" s="1"/>
      <c r="AQ321" s="1">
        <v>1</v>
      </c>
      <c r="AR321" s="1"/>
      <c r="AS321" s="1" t="s">
        <v>3030</v>
      </c>
      <c r="AT321" s="1">
        <v>0</v>
      </c>
      <c r="AU321" s="1">
        <v>0</v>
      </c>
      <c r="AV321" s="1">
        <v>0</v>
      </c>
      <c r="AW321" s="1">
        <v>0</v>
      </c>
      <c r="AX321" s="1">
        <v>0</v>
      </c>
      <c r="AY321" s="1">
        <v>0</v>
      </c>
      <c r="AZ321" s="1">
        <v>0</v>
      </c>
      <c r="BA321" s="1">
        <v>0</v>
      </c>
      <c r="BB321" s="1">
        <v>0</v>
      </c>
      <c r="BC321" s="1">
        <v>0</v>
      </c>
      <c r="BD321" s="1">
        <v>0</v>
      </c>
      <c r="BE321" s="1">
        <v>0</v>
      </c>
      <c r="BF321" s="1">
        <v>0</v>
      </c>
      <c r="BG321" s="1">
        <v>0</v>
      </c>
      <c r="BH321" s="1">
        <v>1</v>
      </c>
      <c r="BI321" s="1">
        <v>0</v>
      </c>
      <c r="BJ321" s="1">
        <v>0</v>
      </c>
      <c r="BK321" s="1">
        <v>0</v>
      </c>
      <c r="BL321" s="1">
        <v>0</v>
      </c>
      <c r="BM321" s="1">
        <v>0</v>
      </c>
      <c r="BN321" s="1">
        <v>0</v>
      </c>
      <c r="BO321" s="1">
        <v>0</v>
      </c>
      <c r="BP321" s="1">
        <v>0</v>
      </c>
      <c r="BQ321" s="1">
        <v>0</v>
      </c>
      <c r="BR321" s="1">
        <v>0</v>
      </c>
      <c r="BS321" s="5" t="str">
        <f>HYPERLINK("http://www.d20pfsrd.com/magic/all-spells/m/mage-armor","Mage Armor")</f>
        <v>Mage Armor</v>
      </c>
      <c r="BT321" s="1">
        <v>321</v>
      </c>
      <c r="BU321" s="1" t="s">
        <v>109</v>
      </c>
      <c r="BV321" s="1" t="s">
        <v>3031</v>
      </c>
      <c r="BW321" s="1"/>
      <c r="BX321" s="1" t="s">
        <v>3032</v>
      </c>
      <c r="BY321" s="1"/>
      <c r="BZ321" s="1">
        <v>1</v>
      </c>
      <c r="CA321" s="1">
        <v>1</v>
      </c>
      <c r="CB321" s="1" t="s">
        <v>109</v>
      </c>
      <c r="CC321" s="1">
        <v>1</v>
      </c>
      <c r="CD321" s="1" t="s">
        <v>109</v>
      </c>
      <c r="CE321" s="1" t="s">
        <v>109</v>
      </c>
      <c r="CF321" s="1">
        <v>1</v>
      </c>
      <c r="CG321" s="1">
        <v>1</v>
      </c>
      <c r="CH321" s="1" t="s">
        <v>109</v>
      </c>
      <c r="CI321" s="1" t="s">
        <v>109</v>
      </c>
      <c r="CJ321" s="1" t="s">
        <v>109</v>
      </c>
      <c r="CK321" s="1"/>
      <c r="CL321" s="1">
        <v>0</v>
      </c>
      <c r="CM321" s="1">
        <v>0</v>
      </c>
      <c r="CN321" s="1">
        <v>0</v>
      </c>
    </row>
    <row r="322" spans="1:92" ht="14.25" customHeight="1" x14ac:dyDescent="0.15">
      <c r="A322" s="1" t="s">
        <v>3033</v>
      </c>
      <c r="B322" s="1" t="s">
        <v>189</v>
      </c>
      <c r="C322" s="1"/>
      <c r="D322" s="1"/>
      <c r="E322" s="1" t="s">
        <v>3034</v>
      </c>
      <c r="F322" s="1" t="s">
        <v>98</v>
      </c>
      <c r="G322" s="1" t="s">
        <v>141</v>
      </c>
      <c r="H322" s="1">
        <v>0</v>
      </c>
      <c r="I322" s="1" t="s">
        <v>142</v>
      </c>
      <c r="J322" s="1"/>
      <c r="K322" s="1"/>
      <c r="L322" s="1" t="s">
        <v>3035</v>
      </c>
      <c r="M322" s="1" t="s">
        <v>300</v>
      </c>
      <c r="N322" s="1">
        <v>0</v>
      </c>
      <c r="O322" s="1">
        <v>0</v>
      </c>
      <c r="P322" s="1" t="s">
        <v>103</v>
      </c>
      <c r="Q322" s="1" t="s">
        <v>104</v>
      </c>
      <c r="R322" s="1" t="s">
        <v>3036</v>
      </c>
      <c r="S322" s="1" t="s">
        <v>3037</v>
      </c>
      <c r="T322" s="1" t="s">
        <v>107</v>
      </c>
      <c r="U322" s="1" t="s">
        <v>3038</v>
      </c>
      <c r="V322" s="1">
        <v>1</v>
      </c>
      <c r="W322" s="1">
        <v>1</v>
      </c>
      <c r="X322" s="1">
        <v>0</v>
      </c>
      <c r="Y322" s="1">
        <v>0</v>
      </c>
      <c r="Z322" s="1">
        <v>0</v>
      </c>
      <c r="AA322" s="1">
        <v>0</v>
      </c>
      <c r="AB322" s="1">
        <v>0</v>
      </c>
      <c r="AC322" s="1" t="s">
        <v>109</v>
      </c>
      <c r="AD322" s="1" t="s">
        <v>109</v>
      </c>
      <c r="AE322" s="1" t="s">
        <v>109</v>
      </c>
      <c r="AF322" s="1">
        <v>0</v>
      </c>
      <c r="AG322" s="1" t="s">
        <v>109</v>
      </c>
      <c r="AH322" s="1" t="s">
        <v>109</v>
      </c>
      <c r="AI322" s="1">
        <v>0</v>
      </c>
      <c r="AJ322" s="1" t="s">
        <v>109</v>
      </c>
      <c r="AK322" s="1" t="s">
        <v>109</v>
      </c>
      <c r="AL322" s="1" t="s">
        <v>109</v>
      </c>
      <c r="AM322" s="1" t="s">
        <v>109</v>
      </c>
      <c r="AN322" s="1">
        <v>0</v>
      </c>
      <c r="AO322" s="1" t="s">
        <v>109</v>
      </c>
      <c r="AP322" s="1"/>
      <c r="AQ322" s="1">
        <v>0</v>
      </c>
      <c r="AR322" s="1"/>
      <c r="AS322" s="1" t="s">
        <v>3039</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5" t="str">
        <f>HYPERLINK("http://www.d20pfsrd.com/magic/all-spells/m/mage-hand","Mage Hand")</f>
        <v>Mage Hand</v>
      </c>
      <c r="BT322" s="1">
        <v>322</v>
      </c>
      <c r="BU322" s="1" t="s">
        <v>109</v>
      </c>
      <c r="BV322" s="1"/>
      <c r="BW322" s="1"/>
      <c r="BX322" s="1"/>
      <c r="BY322" s="1"/>
      <c r="BZ322" s="1">
        <v>0</v>
      </c>
      <c r="CA322" s="1" t="s">
        <v>109</v>
      </c>
      <c r="CB322" s="1" t="s">
        <v>109</v>
      </c>
      <c r="CC322" s="1">
        <v>0</v>
      </c>
      <c r="CD322" s="1" t="s">
        <v>109</v>
      </c>
      <c r="CE322" s="1">
        <v>0</v>
      </c>
      <c r="CF322" s="1">
        <v>0</v>
      </c>
      <c r="CG322" s="1">
        <v>0</v>
      </c>
      <c r="CH322" s="1" t="s">
        <v>109</v>
      </c>
      <c r="CI322" s="1" t="s">
        <v>109</v>
      </c>
      <c r="CJ322" s="1" t="s">
        <v>109</v>
      </c>
      <c r="CK322" s="1"/>
      <c r="CL322" s="1">
        <v>0</v>
      </c>
      <c r="CM322" s="1">
        <v>0</v>
      </c>
      <c r="CN322" s="1">
        <v>0</v>
      </c>
    </row>
    <row r="323" spans="1:92" ht="14.25" customHeight="1" x14ac:dyDescent="0.15">
      <c r="A323" s="1" t="s">
        <v>3040</v>
      </c>
      <c r="B323" s="1" t="s">
        <v>242</v>
      </c>
      <c r="C323" s="1"/>
      <c r="D323" s="1"/>
      <c r="E323" s="1" t="s">
        <v>1199</v>
      </c>
      <c r="F323" s="1" t="s">
        <v>98</v>
      </c>
      <c r="G323" s="1" t="s">
        <v>333</v>
      </c>
      <c r="H323" s="1">
        <v>0</v>
      </c>
      <c r="I323" s="1" t="s">
        <v>142</v>
      </c>
      <c r="J323" s="1" t="s">
        <v>3041</v>
      </c>
      <c r="K323" s="1"/>
      <c r="L323" s="1"/>
      <c r="M323" s="1" t="s">
        <v>3042</v>
      </c>
      <c r="N323" s="1">
        <v>0</v>
      </c>
      <c r="O323" s="1">
        <v>0</v>
      </c>
      <c r="P323" s="1" t="s">
        <v>629</v>
      </c>
      <c r="Q323" s="1" t="s">
        <v>104</v>
      </c>
      <c r="R323" s="1" t="s">
        <v>3043</v>
      </c>
      <c r="S323" s="1" t="s">
        <v>3044</v>
      </c>
      <c r="T323" s="1" t="s">
        <v>107</v>
      </c>
      <c r="U323" s="1" t="s">
        <v>3045</v>
      </c>
      <c r="V323" s="1">
        <v>1</v>
      </c>
      <c r="W323" s="1">
        <v>0</v>
      </c>
      <c r="X323" s="1">
        <v>0</v>
      </c>
      <c r="Y323" s="1">
        <v>0</v>
      </c>
      <c r="Z323" s="1">
        <v>0</v>
      </c>
      <c r="AA323" s="1">
        <v>9</v>
      </c>
      <c r="AB323" s="1">
        <v>9</v>
      </c>
      <c r="AC323" s="1" t="s">
        <v>109</v>
      </c>
      <c r="AD323" s="1" t="s">
        <v>109</v>
      </c>
      <c r="AE323" s="1" t="s">
        <v>109</v>
      </c>
      <c r="AF323" s="1" t="s">
        <v>109</v>
      </c>
      <c r="AG323" s="1" t="s">
        <v>109</v>
      </c>
      <c r="AH323" s="1" t="s">
        <v>109</v>
      </c>
      <c r="AI323" s="1" t="s">
        <v>109</v>
      </c>
      <c r="AJ323" s="1" t="s">
        <v>109</v>
      </c>
      <c r="AK323" s="1" t="s">
        <v>109</v>
      </c>
      <c r="AL323" s="1" t="s">
        <v>109</v>
      </c>
      <c r="AM323" s="1" t="s">
        <v>109</v>
      </c>
      <c r="AN323" s="1" t="s">
        <v>109</v>
      </c>
      <c r="AO323" s="1" t="s">
        <v>109</v>
      </c>
      <c r="AP323" s="1"/>
      <c r="AQ323" s="1">
        <v>9</v>
      </c>
      <c r="AR323" s="1" t="s">
        <v>3046</v>
      </c>
      <c r="AS323" s="1" t="s">
        <v>3047</v>
      </c>
      <c r="AT323" s="1">
        <v>0</v>
      </c>
      <c r="AU323" s="1">
        <v>0</v>
      </c>
      <c r="AV323" s="1">
        <v>0</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5" t="str">
        <f>HYPERLINK("http://www.d20pfsrd.com/magic/all-spells/m/mage-s-disjunction","Mage's Disjunction")</f>
        <v>Mage's Disjunction</v>
      </c>
      <c r="BT323" s="1">
        <v>323</v>
      </c>
      <c r="BU323" s="1" t="s">
        <v>109</v>
      </c>
      <c r="BV323" s="1"/>
      <c r="BW323" s="1" t="s">
        <v>3048</v>
      </c>
      <c r="BX323" s="1" t="s">
        <v>3049</v>
      </c>
      <c r="BY323" s="1"/>
      <c r="BZ323" s="1">
        <v>1</v>
      </c>
      <c r="CA323" s="1" t="s">
        <v>109</v>
      </c>
      <c r="CB323" s="1" t="s">
        <v>109</v>
      </c>
      <c r="CC323" s="1">
        <v>9</v>
      </c>
      <c r="CD323" s="1" t="s">
        <v>109</v>
      </c>
      <c r="CE323" s="1" t="s">
        <v>109</v>
      </c>
      <c r="CF323" s="1" t="s">
        <v>109</v>
      </c>
      <c r="CG323" s="1" t="s">
        <v>109</v>
      </c>
      <c r="CH323" s="1" t="s">
        <v>109</v>
      </c>
      <c r="CI323" s="1" t="s">
        <v>109</v>
      </c>
      <c r="CJ323" s="1" t="s">
        <v>109</v>
      </c>
      <c r="CK323" s="1"/>
      <c r="CL323" s="1">
        <v>0</v>
      </c>
      <c r="CM323" s="1">
        <v>0</v>
      </c>
      <c r="CN323" s="1">
        <v>0</v>
      </c>
    </row>
    <row r="324" spans="1:92" ht="14.25" customHeight="1" x14ac:dyDescent="0.15">
      <c r="A324" s="1" t="s">
        <v>3050</v>
      </c>
      <c r="B324" s="1" t="s">
        <v>95</v>
      </c>
      <c r="C324" s="1" t="s">
        <v>96</v>
      </c>
      <c r="D324" s="1"/>
      <c r="E324" s="1" t="s">
        <v>3051</v>
      </c>
      <c r="F324" s="1" t="s">
        <v>98</v>
      </c>
      <c r="G324" s="1" t="s">
        <v>3052</v>
      </c>
      <c r="H324" s="1">
        <v>0</v>
      </c>
      <c r="I324" s="1" t="s">
        <v>142</v>
      </c>
      <c r="J324" s="1"/>
      <c r="K324" s="1" t="s">
        <v>3053</v>
      </c>
      <c r="L324" s="1"/>
      <c r="M324" s="1" t="s">
        <v>3054</v>
      </c>
      <c r="N324" s="1">
        <v>0</v>
      </c>
      <c r="O324" s="1">
        <v>0</v>
      </c>
      <c r="P324" s="1" t="s">
        <v>103</v>
      </c>
      <c r="Q324" s="1" t="s">
        <v>104</v>
      </c>
      <c r="R324" s="1" t="s">
        <v>3055</v>
      </c>
      <c r="S324" s="1" t="s">
        <v>3056</v>
      </c>
      <c r="T324" s="1" t="s">
        <v>107</v>
      </c>
      <c r="U324" s="1" t="s">
        <v>3057</v>
      </c>
      <c r="V324" s="1">
        <v>1</v>
      </c>
      <c r="W324" s="1">
        <v>1</v>
      </c>
      <c r="X324" s="1">
        <v>1</v>
      </c>
      <c r="Y324" s="1">
        <v>0</v>
      </c>
      <c r="Z324" s="1">
        <v>0</v>
      </c>
      <c r="AA324" s="1">
        <v>5</v>
      </c>
      <c r="AB324" s="1">
        <v>5</v>
      </c>
      <c r="AC324" s="1" t="s">
        <v>109</v>
      </c>
      <c r="AD324" s="1" t="s">
        <v>109</v>
      </c>
      <c r="AE324" s="1" t="s">
        <v>109</v>
      </c>
      <c r="AF324" s="1" t="s">
        <v>109</v>
      </c>
      <c r="AG324" s="1" t="s">
        <v>109</v>
      </c>
      <c r="AH324" s="1" t="s">
        <v>109</v>
      </c>
      <c r="AI324" s="1">
        <v>4</v>
      </c>
      <c r="AJ324" s="1" t="s">
        <v>109</v>
      </c>
      <c r="AK324" s="1" t="s">
        <v>109</v>
      </c>
      <c r="AL324" s="1" t="s">
        <v>109</v>
      </c>
      <c r="AM324" s="1" t="s">
        <v>109</v>
      </c>
      <c r="AN324" s="1" t="s">
        <v>109</v>
      </c>
      <c r="AO324" s="1" t="s">
        <v>109</v>
      </c>
      <c r="AP324" s="1"/>
      <c r="AQ324" s="1">
        <v>5</v>
      </c>
      <c r="AR324" s="1"/>
      <c r="AS324" s="1" t="s">
        <v>3058</v>
      </c>
      <c r="AT324" s="1">
        <v>0</v>
      </c>
      <c r="AU324" s="1">
        <v>0</v>
      </c>
      <c r="AV324" s="1">
        <v>0</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5" t="str">
        <f>HYPERLINK("http://www.d20pfsrd.com/magic/all-spells/m/mage-s-faithful-hound","Mage's Faithful Hound")</f>
        <v>Mage's Faithful Hound</v>
      </c>
      <c r="BT324" s="1">
        <v>324</v>
      </c>
      <c r="BU324" s="1" t="s">
        <v>109</v>
      </c>
      <c r="BV324" s="1"/>
      <c r="BW324" s="1"/>
      <c r="BX324" s="1"/>
      <c r="BY324" s="1"/>
      <c r="BZ324" s="1">
        <v>0</v>
      </c>
      <c r="CA324" s="1" t="s">
        <v>109</v>
      </c>
      <c r="CB324" s="1" t="s">
        <v>109</v>
      </c>
      <c r="CC324" s="1" t="s">
        <v>109</v>
      </c>
      <c r="CD324" s="1" t="s">
        <v>109</v>
      </c>
      <c r="CE324" s="1" t="s">
        <v>109</v>
      </c>
      <c r="CF324" s="1" t="s">
        <v>109</v>
      </c>
      <c r="CG324" s="1">
        <v>5</v>
      </c>
      <c r="CH324" s="1" t="s">
        <v>109</v>
      </c>
      <c r="CI324" s="1" t="s">
        <v>109</v>
      </c>
      <c r="CJ324" s="1" t="s">
        <v>109</v>
      </c>
      <c r="CK324" s="1"/>
      <c r="CL324" s="1">
        <v>0</v>
      </c>
      <c r="CM324" s="1">
        <v>0</v>
      </c>
      <c r="CN324" s="1">
        <v>0</v>
      </c>
    </row>
    <row r="325" spans="1:92" ht="14.25" customHeight="1" x14ac:dyDescent="0.15">
      <c r="A325" s="1" t="s">
        <v>3059</v>
      </c>
      <c r="B325" s="1" t="s">
        <v>189</v>
      </c>
      <c r="C325" s="1"/>
      <c r="D325" s="1"/>
      <c r="E325" s="1" t="s">
        <v>3060</v>
      </c>
      <c r="F325" s="1" t="s">
        <v>98</v>
      </c>
      <c r="G325" s="1" t="s">
        <v>141</v>
      </c>
      <c r="H325" s="1">
        <v>0</v>
      </c>
      <c r="I325" s="1" t="s">
        <v>235</v>
      </c>
      <c r="J325" s="1"/>
      <c r="K325" s="1"/>
      <c r="L325" s="1" t="s">
        <v>236</v>
      </c>
      <c r="M325" s="1" t="s">
        <v>144</v>
      </c>
      <c r="N325" s="1">
        <v>0</v>
      </c>
      <c r="O325" s="1">
        <v>0</v>
      </c>
      <c r="P325" s="1"/>
      <c r="Q325" s="1"/>
      <c r="R325" s="1" t="s">
        <v>3061</v>
      </c>
      <c r="S325" s="1" t="s">
        <v>3062</v>
      </c>
      <c r="T325" s="1" t="s">
        <v>107</v>
      </c>
      <c r="U325" s="1" t="s">
        <v>3063</v>
      </c>
      <c r="V325" s="1">
        <v>1</v>
      </c>
      <c r="W325" s="1">
        <v>1</v>
      </c>
      <c r="X325" s="1">
        <v>0</v>
      </c>
      <c r="Y325" s="1">
        <v>0</v>
      </c>
      <c r="Z325" s="1">
        <v>0</v>
      </c>
      <c r="AA325" s="1" t="s">
        <v>109</v>
      </c>
      <c r="AB325" s="1">
        <v>6</v>
      </c>
      <c r="AC325" s="1" t="s">
        <v>109</v>
      </c>
      <c r="AD325" s="1" t="s">
        <v>109</v>
      </c>
      <c r="AE325" s="1" t="s">
        <v>109</v>
      </c>
      <c r="AF325" s="1" t="s">
        <v>109</v>
      </c>
      <c r="AG325" s="1" t="s">
        <v>109</v>
      </c>
      <c r="AH325" s="1" t="s">
        <v>109</v>
      </c>
      <c r="AI325" s="1" t="s">
        <v>109</v>
      </c>
      <c r="AJ325" s="1" t="s">
        <v>109</v>
      </c>
      <c r="AK325" s="1" t="s">
        <v>109</v>
      </c>
      <c r="AL325" s="1" t="s">
        <v>109</v>
      </c>
      <c r="AM325" s="1" t="s">
        <v>109</v>
      </c>
      <c r="AN325" s="1" t="s">
        <v>109</v>
      </c>
      <c r="AO325" s="1" t="s">
        <v>109</v>
      </c>
      <c r="AP325" s="1"/>
      <c r="AQ325" s="1">
        <v>6</v>
      </c>
      <c r="AR325" s="1"/>
      <c r="AS325" s="1" t="s">
        <v>3064</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5" t="str">
        <f>HYPERLINK("http://www.d20pfsrd.com/magic/all-spells/m/mage-s-lucubration","Mage's Lucubration")</f>
        <v>Mage's Lucubration</v>
      </c>
      <c r="BT325" s="1">
        <v>325</v>
      </c>
      <c r="BU325" s="1" t="s">
        <v>109</v>
      </c>
      <c r="BV325" s="1"/>
      <c r="BW325" s="1"/>
      <c r="BX325" s="1"/>
      <c r="BY325" s="1"/>
      <c r="BZ325" s="1">
        <v>0</v>
      </c>
      <c r="CA325" s="1" t="s">
        <v>109</v>
      </c>
      <c r="CB325" s="1" t="s">
        <v>109</v>
      </c>
      <c r="CC325" s="1" t="s">
        <v>109</v>
      </c>
      <c r="CD325" s="1" t="s">
        <v>109</v>
      </c>
      <c r="CE325" s="1" t="s">
        <v>109</v>
      </c>
      <c r="CF325" s="1" t="s">
        <v>109</v>
      </c>
      <c r="CG325" s="1" t="s">
        <v>109</v>
      </c>
      <c r="CH325" s="1" t="s">
        <v>109</v>
      </c>
      <c r="CI325" s="1" t="s">
        <v>109</v>
      </c>
      <c r="CJ325" s="1" t="s">
        <v>109</v>
      </c>
      <c r="CK325" s="1"/>
      <c r="CL325" s="1">
        <v>0</v>
      </c>
      <c r="CM325" s="1">
        <v>0</v>
      </c>
      <c r="CN325" s="1">
        <v>0</v>
      </c>
    </row>
    <row r="326" spans="1:92" ht="14.25" customHeight="1" x14ac:dyDescent="0.15">
      <c r="A326" s="1" t="s">
        <v>3065</v>
      </c>
      <c r="B326" s="1" t="s">
        <v>95</v>
      </c>
      <c r="C326" s="1" t="s">
        <v>96</v>
      </c>
      <c r="D326" s="1"/>
      <c r="E326" s="1" t="s">
        <v>2156</v>
      </c>
      <c r="F326" s="1" t="s">
        <v>98</v>
      </c>
      <c r="G326" s="1" t="s">
        <v>3066</v>
      </c>
      <c r="H326" s="1">
        <v>1</v>
      </c>
      <c r="I326" s="1" t="s">
        <v>142</v>
      </c>
      <c r="J326" s="1"/>
      <c r="K326" s="1" t="s">
        <v>3067</v>
      </c>
      <c r="L326" s="1"/>
      <c r="M326" s="1" t="s">
        <v>246</v>
      </c>
      <c r="N326" s="1">
        <v>1</v>
      </c>
      <c r="O326" s="1">
        <v>0</v>
      </c>
      <c r="P326" s="1" t="s">
        <v>103</v>
      </c>
      <c r="Q326" s="1" t="s">
        <v>104</v>
      </c>
      <c r="R326" s="1" t="s">
        <v>3068</v>
      </c>
      <c r="S326" s="1" t="s">
        <v>3069</v>
      </c>
      <c r="T326" s="1" t="s">
        <v>107</v>
      </c>
      <c r="U326" s="1" t="s">
        <v>3070</v>
      </c>
      <c r="V326" s="1">
        <v>1</v>
      </c>
      <c r="W326" s="1">
        <v>1</v>
      </c>
      <c r="X326" s="1">
        <v>0</v>
      </c>
      <c r="Y326" s="1">
        <v>1</v>
      </c>
      <c r="Z326" s="1">
        <v>0</v>
      </c>
      <c r="AA326" s="1">
        <v>7</v>
      </c>
      <c r="AB326" s="1">
        <v>7</v>
      </c>
      <c r="AC326" s="1" t="s">
        <v>109</v>
      </c>
      <c r="AD326" s="1" t="s">
        <v>109</v>
      </c>
      <c r="AE326" s="1" t="s">
        <v>109</v>
      </c>
      <c r="AF326" s="1" t="s">
        <v>109</v>
      </c>
      <c r="AG326" s="1" t="s">
        <v>109</v>
      </c>
      <c r="AH326" s="1" t="s">
        <v>109</v>
      </c>
      <c r="AI326" s="1" t="s">
        <v>109</v>
      </c>
      <c r="AJ326" s="1" t="s">
        <v>109</v>
      </c>
      <c r="AK326" s="1" t="s">
        <v>109</v>
      </c>
      <c r="AL326" s="1" t="s">
        <v>109</v>
      </c>
      <c r="AM326" s="1" t="s">
        <v>109</v>
      </c>
      <c r="AN326" s="1" t="s">
        <v>109</v>
      </c>
      <c r="AO326" s="1" t="s">
        <v>109</v>
      </c>
      <c r="AP326" s="1"/>
      <c r="AQ326" s="1">
        <v>7</v>
      </c>
      <c r="AR326" s="1" t="s">
        <v>3071</v>
      </c>
      <c r="AS326" s="1" t="s">
        <v>3072</v>
      </c>
      <c r="AT326" s="1">
        <v>0</v>
      </c>
      <c r="AU326" s="1">
        <v>0</v>
      </c>
      <c r="AV326" s="1">
        <v>0</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5" t="str">
        <f>HYPERLINK("http://www.d20pfsrd.com/magic/all-spells/m/mage-s-magnificent-mansion","Mage's Magnificent Mansion")</f>
        <v>Mage's Magnificent Mansion</v>
      </c>
      <c r="BT326" s="1">
        <v>326</v>
      </c>
      <c r="BU326" s="1">
        <v>5</v>
      </c>
      <c r="BV326" s="1"/>
      <c r="BW326" s="1"/>
      <c r="BX326" s="1"/>
      <c r="BY326" s="1"/>
      <c r="BZ326" s="1">
        <v>0</v>
      </c>
      <c r="CA326" s="1" t="s">
        <v>109</v>
      </c>
      <c r="CB326" s="1" t="s">
        <v>109</v>
      </c>
      <c r="CC326" s="1">
        <v>7</v>
      </c>
      <c r="CD326" s="1" t="s">
        <v>109</v>
      </c>
      <c r="CE326" s="1" t="s">
        <v>109</v>
      </c>
      <c r="CF326" s="1" t="s">
        <v>109</v>
      </c>
      <c r="CG326" s="1" t="s">
        <v>109</v>
      </c>
      <c r="CH326" s="1" t="s">
        <v>109</v>
      </c>
      <c r="CI326" s="1" t="s">
        <v>109</v>
      </c>
      <c r="CJ326" s="1" t="s">
        <v>109</v>
      </c>
      <c r="CK326" s="1"/>
      <c r="CL326" s="1">
        <v>0</v>
      </c>
      <c r="CM326" s="1">
        <v>0</v>
      </c>
      <c r="CN326" s="1">
        <v>0</v>
      </c>
    </row>
    <row r="327" spans="1:92" ht="14.25" customHeight="1" x14ac:dyDescent="0.15">
      <c r="A327" s="1" t="s">
        <v>3073</v>
      </c>
      <c r="B327" s="1" t="s">
        <v>242</v>
      </c>
      <c r="C327" s="1"/>
      <c r="D327" s="1"/>
      <c r="E327" s="1" t="s">
        <v>3074</v>
      </c>
      <c r="F327" s="1" t="s">
        <v>395</v>
      </c>
      <c r="G327" s="1" t="s">
        <v>3075</v>
      </c>
      <c r="H327" s="1">
        <v>0</v>
      </c>
      <c r="I327" s="1" t="s">
        <v>142</v>
      </c>
      <c r="J327" s="1" t="s">
        <v>3076</v>
      </c>
      <c r="K327" s="1"/>
      <c r="L327" s="1"/>
      <c r="M327" s="1" t="s">
        <v>465</v>
      </c>
      <c r="N327" s="1">
        <v>1</v>
      </c>
      <c r="O327" s="1">
        <v>1</v>
      </c>
      <c r="P327" s="1" t="s">
        <v>103</v>
      </c>
      <c r="Q327" s="1" t="s">
        <v>104</v>
      </c>
      <c r="R327" s="1" t="s">
        <v>3077</v>
      </c>
      <c r="S327" s="1" t="s">
        <v>3078</v>
      </c>
      <c r="T327" s="1" t="s">
        <v>107</v>
      </c>
      <c r="U327" s="1" t="s">
        <v>3079</v>
      </c>
      <c r="V327" s="1">
        <v>1</v>
      </c>
      <c r="W327" s="1">
        <v>1</v>
      </c>
      <c r="X327" s="1">
        <v>1</v>
      </c>
      <c r="Y327" s="1">
        <v>0</v>
      </c>
      <c r="Z327" s="1">
        <v>0</v>
      </c>
      <c r="AA327" s="1">
        <v>5</v>
      </c>
      <c r="AB327" s="1">
        <v>5</v>
      </c>
      <c r="AC327" s="1" t="s">
        <v>109</v>
      </c>
      <c r="AD327" s="1" t="s">
        <v>109</v>
      </c>
      <c r="AE327" s="1" t="s">
        <v>109</v>
      </c>
      <c r="AF327" s="1" t="s">
        <v>109</v>
      </c>
      <c r="AG327" s="1" t="s">
        <v>109</v>
      </c>
      <c r="AH327" s="1" t="s">
        <v>109</v>
      </c>
      <c r="AI327" s="1" t="s">
        <v>109</v>
      </c>
      <c r="AJ327" s="1" t="s">
        <v>109</v>
      </c>
      <c r="AK327" s="1" t="s">
        <v>109</v>
      </c>
      <c r="AL327" s="1" t="s">
        <v>109</v>
      </c>
      <c r="AM327" s="1" t="s">
        <v>109</v>
      </c>
      <c r="AN327" s="1" t="s">
        <v>109</v>
      </c>
      <c r="AO327" s="1" t="s">
        <v>109</v>
      </c>
      <c r="AP327" s="1"/>
      <c r="AQ327" s="1">
        <v>5</v>
      </c>
      <c r="AR327" s="1"/>
      <c r="AS327" s="1" t="s">
        <v>3080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5" t="str">
        <f>HYPERLINK("http://www.d20pfsrd.com/magic/all-spells/m/mage-s-private-sanctum","Mage's Private Sanctum")</f>
        <v>Mage's Private Sanctum</v>
      </c>
      <c r="BT327" s="1">
        <v>327</v>
      </c>
      <c r="BU327" s="1" t="s">
        <v>109</v>
      </c>
      <c r="BV327" s="1"/>
      <c r="BW327" s="1"/>
      <c r="BX327" s="1"/>
      <c r="BY327" s="1"/>
      <c r="BZ327" s="1">
        <v>0</v>
      </c>
      <c r="CA327" s="1" t="s">
        <v>109</v>
      </c>
      <c r="CB327" s="1" t="s">
        <v>109</v>
      </c>
      <c r="CC327" s="1">
        <v>5</v>
      </c>
      <c r="CD327" s="1" t="s">
        <v>109</v>
      </c>
      <c r="CE327" s="1">
        <v>5</v>
      </c>
      <c r="CF327" s="1" t="s">
        <v>109</v>
      </c>
      <c r="CG327" s="1">
        <v>5</v>
      </c>
      <c r="CH327" s="1" t="s">
        <v>109</v>
      </c>
      <c r="CI327" s="1" t="s">
        <v>109</v>
      </c>
      <c r="CJ327" s="1" t="s">
        <v>109</v>
      </c>
      <c r="CK327" s="1"/>
      <c r="CL327" s="1">
        <v>0</v>
      </c>
      <c r="CM327" s="1">
        <v>0</v>
      </c>
      <c r="CN327" s="1">
        <v>0</v>
      </c>
    </row>
    <row r="328" spans="1:92" ht="14.25" customHeight="1" x14ac:dyDescent="0.15">
      <c r="A328" s="1" t="s">
        <v>3081</v>
      </c>
      <c r="B328" s="1" t="s">
        <v>584</v>
      </c>
      <c r="C328" s="1"/>
      <c r="D328" s="1" t="s">
        <v>60</v>
      </c>
      <c r="E328" s="1" t="s">
        <v>2156</v>
      </c>
      <c r="F328" s="1" t="s">
        <v>98</v>
      </c>
      <c r="G328" s="1" t="s">
        <v>3082</v>
      </c>
      <c r="H328" s="1">
        <v>1</v>
      </c>
      <c r="I328" s="1" t="s">
        <v>142</v>
      </c>
      <c r="J328" s="1"/>
      <c r="K328" s="1" t="s">
        <v>3083</v>
      </c>
      <c r="L328" s="1"/>
      <c r="M328" s="1" t="s">
        <v>125</v>
      </c>
      <c r="N328" s="1">
        <v>1</v>
      </c>
      <c r="O328" s="1">
        <v>0</v>
      </c>
      <c r="P328" s="1" t="s">
        <v>103</v>
      </c>
      <c r="Q328" s="1" t="s">
        <v>268</v>
      </c>
      <c r="R328" s="1" t="s">
        <v>3084</v>
      </c>
      <c r="S328" s="1" t="s">
        <v>3085</v>
      </c>
      <c r="T328" s="1" t="s">
        <v>107</v>
      </c>
      <c r="U328" s="1" t="s">
        <v>3086</v>
      </c>
      <c r="V328" s="1">
        <v>1</v>
      </c>
      <c r="W328" s="1">
        <v>1</v>
      </c>
      <c r="X328" s="1">
        <v>0</v>
      </c>
      <c r="Y328" s="1">
        <v>1</v>
      </c>
      <c r="Z328" s="1">
        <v>0</v>
      </c>
      <c r="AA328" s="1">
        <v>7</v>
      </c>
      <c r="AB328" s="1">
        <v>7</v>
      </c>
      <c r="AC328" s="1" t="s">
        <v>109</v>
      </c>
      <c r="AD328" s="1" t="s">
        <v>109</v>
      </c>
      <c r="AE328" s="1" t="s">
        <v>109</v>
      </c>
      <c r="AF328" s="1" t="s">
        <v>109</v>
      </c>
      <c r="AG328" s="1" t="s">
        <v>109</v>
      </c>
      <c r="AH328" s="1" t="s">
        <v>109</v>
      </c>
      <c r="AI328" s="1" t="s">
        <v>109</v>
      </c>
      <c r="AJ328" s="1" t="s">
        <v>109</v>
      </c>
      <c r="AK328" s="1" t="s">
        <v>109</v>
      </c>
      <c r="AL328" s="1" t="s">
        <v>109</v>
      </c>
      <c r="AM328" s="1" t="s">
        <v>109</v>
      </c>
      <c r="AN328" s="1" t="s">
        <v>109</v>
      </c>
      <c r="AO328" s="1" t="s">
        <v>109</v>
      </c>
      <c r="AP328" s="1"/>
      <c r="AQ328" s="1">
        <v>7</v>
      </c>
      <c r="AR328" s="1"/>
      <c r="AS328" s="1" t="s">
        <v>3087</v>
      </c>
      <c r="AT328" s="1">
        <v>0</v>
      </c>
      <c r="AU328" s="1">
        <v>0</v>
      </c>
      <c r="AV328" s="1">
        <v>0</v>
      </c>
      <c r="AW328" s="1">
        <v>0</v>
      </c>
      <c r="AX328" s="1">
        <v>0</v>
      </c>
      <c r="AY328" s="1">
        <v>0</v>
      </c>
      <c r="AZ328" s="1">
        <v>0</v>
      </c>
      <c r="BA328" s="1">
        <v>0</v>
      </c>
      <c r="BB328" s="1">
        <v>0</v>
      </c>
      <c r="BC328" s="1">
        <v>0</v>
      </c>
      <c r="BD328" s="1">
        <v>0</v>
      </c>
      <c r="BE328" s="1">
        <v>0</v>
      </c>
      <c r="BF328" s="1">
        <v>0</v>
      </c>
      <c r="BG328" s="1">
        <v>0</v>
      </c>
      <c r="BH328" s="1">
        <v>1</v>
      </c>
      <c r="BI328" s="1">
        <v>0</v>
      </c>
      <c r="BJ328" s="1">
        <v>0</v>
      </c>
      <c r="BK328" s="1">
        <v>0</v>
      </c>
      <c r="BL328" s="1">
        <v>0</v>
      </c>
      <c r="BM328" s="1">
        <v>0</v>
      </c>
      <c r="BN328" s="1">
        <v>0</v>
      </c>
      <c r="BO328" s="1">
        <v>0</v>
      </c>
      <c r="BP328" s="1">
        <v>0</v>
      </c>
      <c r="BQ328" s="1">
        <v>0</v>
      </c>
      <c r="BR328" s="1">
        <v>0</v>
      </c>
      <c r="BS328" s="5" t="str">
        <f>HYPERLINK("http://www.d20pfsrd.com/magic/all-spells/m/mage-s-sword","Mage's Sword")</f>
        <v>Mage's Sword</v>
      </c>
      <c r="BT328" s="1">
        <v>328</v>
      </c>
      <c r="BU328" s="1">
        <v>250</v>
      </c>
      <c r="BV328" s="1"/>
      <c r="BW328" s="1" t="s">
        <v>3088</v>
      </c>
      <c r="BX328" s="1"/>
      <c r="BY328" s="1"/>
      <c r="BZ328" s="1">
        <v>0</v>
      </c>
      <c r="CA328" s="1" t="s">
        <v>109</v>
      </c>
      <c r="CB328" s="1" t="s">
        <v>109</v>
      </c>
      <c r="CC328" s="1">
        <v>7</v>
      </c>
      <c r="CD328" s="1" t="s">
        <v>109</v>
      </c>
      <c r="CE328" s="1" t="s">
        <v>109</v>
      </c>
      <c r="CF328" s="1" t="s">
        <v>109</v>
      </c>
      <c r="CG328" s="1" t="s">
        <v>109</v>
      </c>
      <c r="CH328" s="1" t="s">
        <v>109</v>
      </c>
      <c r="CI328" s="1" t="s">
        <v>109</v>
      </c>
      <c r="CJ328" s="1" t="s">
        <v>109</v>
      </c>
      <c r="CK328" s="1"/>
      <c r="CL328" s="1">
        <v>0</v>
      </c>
      <c r="CM328" s="1">
        <v>0</v>
      </c>
      <c r="CN328" s="1">
        <v>0</v>
      </c>
    </row>
    <row r="329" spans="1:92" ht="14.25" customHeight="1" x14ac:dyDescent="0.15">
      <c r="A329" s="1" t="s">
        <v>3089</v>
      </c>
      <c r="B329" s="1" t="s">
        <v>674</v>
      </c>
      <c r="C329" s="1" t="s">
        <v>675</v>
      </c>
      <c r="D329" s="1"/>
      <c r="E329" s="1" t="s">
        <v>3090</v>
      </c>
      <c r="F329" s="1" t="s">
        <v>98</v>
      </c>
      <c r="G329" s="1" t="s">
        <v>3091</v>
      </c>
      <c r="H329" s="1">
        <v>0</v>
      </c>
      <c r="I329" s="1" t="s">
        <v>161</v>
      </c>
      <c r="J329" s="1"/>
      <c r="K329" s="1"/>
      <c r="L329" s="1" t="s">
        <v>3092</v>
      </c>
      <c r="M329" s="1" t="s">
        <v>280</v>
      </c>
      <c r="N329" s="1">
        <v>1</v>
      </c>
      <c r="O329" s="1">
        <v>0</v>
      </c>
      <c r="P329" s="1" t="s">
        <v>281</v>
      </c>
      <c r="Q329" s="1" t="s">
        <v>104</v>
      </c>
      <c r="R329" s="1" t="s">
        <v>3093</v>
      </c>
      <c r="S329" s="1" t="s">
        <v>3094</v>
      </c>
      <c r="T329" s="1" t="s">
        <v>107</v>
      </c>
      <c r="U329" s="1" t="s">
        <v>3095</v>
      </c>
      <c r="V329" s="1">
        <v>1</v>
      </c>
      <c r="W329" s="1">
        <v>1</v>
      </c>
      <c r="X329" s="1">
        <v>0</v>
      </c>
      <c r="Y329" s="1">
        <v>1</v>
      </c>
      <c r="Z329" s="1">
        <v>0</v>
      </c>
      <c r="AA329" s="1">
        <v>1</v>
      </c>
      <c r="AB329" s="1">
        <v>1</v>
      </c>
      <c r="AC329" s="1" t="s">
        <v>109</v>
      </c>
      <c r="AD329" s="1" t="s">
        <v>109</v>
      </c>
      <c r="AE329" s="1" t="s">
        <v>109</v>
      </c>
      <c r="AF329" s="1">
        <v>1</v>
      </c>
      <c r="AG329" s="1" t="s">
        <v>109</v>
      </c>
      <c r="AH329" s="1" t="s">
        <v>109</v>
      </c>
      <c r="AI329" s="1" t="s">
        <v>109</v>
      </c>
      <c r="AJ329" s="1" t="s">
        <v>109</v>
      </c>
      <c r="AK329" s="1" t="s">
        <v>109</v>
      </c>
      <c r="AL329" s="1" t="s">
        <v>109</v>
      </c>
      <c r="AM329" s="1" t="s">
        <v>109</v>
      </c>
      <c r="AN329" s="1" t="s">
        <v>109</v>
      </c>
      <c r="AO329" s="1" t="s">
        <v>109</v>
      </c>
      <c r="AP329" s="1"/>
      <c r="AQ329" s="1">
        <v>1</v>
      </c>
      <c r="AR329" s="1" t="s">
        <v>3096</v>
      </c>
      <c r="AS329" s="1" t="s">
        <v>3097</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5" t="str">
        <f>HYPERLINK("http://www.d20pfsrd.com/magic/all-spells/m/magic-aura","Magic Aura")</f>
        <v>Magic Aura</v>
      </c>
      <c r="BT329" s="1">
        <v>329</v>
      </c>
      <c r="BU329" s="1" t="s">
        <v>109</v>
      </c>
      <c r="BV329" s="1"/>
      <c r="BW329" s="1"/>
      <c r="BX329" s="1"/>
      <c r="BY329" s="1"/>
      <c r="BZ329" s="1">
        <v>0</v>
      </c>
      <c r="CA329" s="1" t="s">
        <v>109</v>
      </c>
      <c r="CB329" s="1" t="s">
        <v>109</v>
      </c>
      <c r="CC329" s="1">
        <v>1</v>
      </c>
      <c r="CD329" s="1" t="s">
        <v>109</v>
      </c>
      <c r="CE329" s="1">
        <v>1</v>
      </c>
      <c r="CF329" s="1">
        <v>1</v>
      </c>
      <c r="CG329" s="1" t="s">
        <v>109</v>
      </c>
      <c r="CH329" s="1" t="s">
        <v>109</v>
      </c>
      <c r="CI329" s="1" t="s">
        <v>109</v>
      </c>
      <c r="CJ329" s="1" t="s">
        <v>109</v>
      </c>
      <c r="CK329" s="1"/>
      <c r="CL329" s="1">
        <v>0</v>
      </c>
      <c r="CM329" s="1">
        <v>0</v>
      </c>
      <c r="CN329" s="1">
        <v>0</v>
      </c>
    </row>
    <row r="330" spans="1:92" ht="14.25" customHeight="1" x14ac:dyDescent="0.15">
      <c r="A330" s="1" t="s">
        <v>3098</v>
      </c>
      <c r="B330" s="1" t="s">
        <v>242</v>
      </c>
      <c r="C330" s="1"/>
      <c r="D330" s="1" t="s">
        <v>61</v>
      </c>
      <c r="E330" s="1" t="s">
        <v>3099</v>
      </c>
      <c r="F330" s="1" t="s">
        <v>98</v>
      </c>
      <c r="G330" s="1" t="s">
        <v>3100</v>
      </c>
      <c r="H330" s="1">
        <v>0</v>
      </c>
      <c r="I330" s="1" t="s">
        <v>161</v>
      </c>
      <c r="J330" s="1" t="s">
        <v>3101</v>
      </c>
      <c r="K330" s="1"/>
      <c r="L330" s="1"/>
      <c r="M330" s="1" t="s">
        <v>194</v>
      </c>
      <c r="N330" s="1">
        <v>0</v>
      </c>
      <c r="O330" s="1">
        <v>0</v>
      </c>
      <c r="P330" s="1" t="s">
        <v>507</v>
      </c>
      <c r="Q330" s="1" t="s">
        <v>3102</v>
      </c>
      <c r="R330" s="1" t="s">
        <v>3103</v>
      </c>
      <c r="S330" s="1" t="s">
        <v>3104</v>
      </c>
      <c r="T330" s="1" t="s">
        <v>107</v>
      </c>
      <c r="U330" s="1" t="s">
        <v>3105</v>
      </c>
      <c r="V330" s="1">
        <v>1</v>
      </c>
      <c r="W330" s="1">
        <v>1</v>
      </c>
      <c r="X330" s="1">
        <v>1</v>
      </c>
      <c r="Y330" s="1">
        <v>0</v>
      </c>
      <c r="Z330" s="1">
        <v>1</v>
      </c>
      <c r="AA330" s="1">
        <v>3</v>
      </c>
      <c r="AB330" s="1">
        <v>3</v>
      </c>
      <c r="AC330" s="1">
        <v>3</v>
      </c>
      <c r="AD330" s="1" t="s">
        <v>109</v>
      </c>
      <c r="AE330" s="1" t="s">
        <v>109</v>
      </c>
      <c r="AF330" s="1" t="s">
        <v>109</v>
      </c>
      <c r="AG330" s="1">
        <v>3</v>
      </c>
      <c r="AH330" s="1" t="s">
        <v>109</v>
      </c>
      <c r="AI330" s="1">
        <v>3</v>
      </c>
      <c r="AJ330" s="1" t="s">
        <v>109</v>
      </c>
      <c r="AK330" s="1">
        <v>3</v>
      </c>
      <c r="AL330" s="1">
        <v>3</v>
      </c>
      <c r="AM330" s="1" t="s">
        <v>109</v>
      </c>
      <c r="AN330" s="1" t="s">
        <v>109</v>
      </c>
      <c r="AO330" s="1" t="s">
        <v>109</v>
      </c>
      <c r="AP330" s="1"/>
      <c r="AQ330" s="1">
        <v>3</v>
      </c>
      <c r="AR330" s="1" t="s">
        <v>3106</v>
      </c>
      <c r="AS330" s="1" t="s">
        <v>3107</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1</v>
      </c>
      <c r="BJ330" s="1">
        <v>0</v>
      </c>
      <c r="BK330" s="1">
        <v>0</v>
      </c>
      <c r="BL330" s="1">
        <v>0</v>
      </c>
      <c r="BM330" s="1">
        <v>0</v>
      </c>
      <c r="BN330" s="1">
        <v>0</v>
      </c>
      <c r="BO330" s="1">
        <v>0</v>
      </c>
      <c r="BP330" s="1">
        <v>0</v>
      </c>
      <c r="BQ330" s="1">
        <v>0</v>
      </c>
      <c r="BR330" s="1">
        <v>0</v>
      </c>
      <c r="BS330" s="5" t="str">
        <f>HYPERLINK("http://www.d20pfsrd.com/magic/all-spells/m/magic-circle-against-evil","Magic Circle against Evil")</f>
        <v>Magic Circle against Evil</v>
      </c>
      <c r="BT330" s="1">
        <v>330</v>
      </c>
      <c r="BU330" s="1" t="s">
        <v>109</v>
      </c>
      <c r="BV330" s="1" t="s">
        <v>3108</v>
      </c>
      <c r="BW330" s="1" t="s">
        <v>3109</v>
      </c>
      <c r="BX330" s="1"/>
      <c r="BY330" s="1"/>
      <c r="BZ330" s="1">
        <v>0</v>
      </c>
      <c r="CA330" s="1" t="s">
        <v>109</v>
      </c>
      <c r="CB330" s="1">
        <v>3</v>
      </c>
      <c r="CC330" s="1" t="s">
        <v>109</v>
      </c>
      <c r="CD330" s="1" t="s">
        <v>109</v>
      </c>
      <c r="CE330" s="1" t="s">
        <v>109</v>
      </c>
      <c r="CF330" s="1">
        <v>3</v>
      </c>
      <c r="CG330" s="1">
        <v>3</v>
      </c>
      <c r="CH330" s="1" t="s">
        <v>109</v>
      </c>
      <c r="CI330" s="1" t="s">
        <v>109</v>
      </c>
      <c r="CJ330" s="1" t="s">
        <v>109</v>
      </c>
      <c r="CK330" s="1"/>
      <c r="CL330" s="1">
        <v>0</v>
      </c>
      <c r="CM330" s="1">
        <v>0</v>
      </c>
      <c r="CN330" s="1">
        <v>0</v>
      </c>
    </row>
    <row r="331" spans="1:92" ht="14.25" customHeight="1" x14ac:dyDescent="0.15">
      <c r="A331" s="1" t="s">
        <v>3110</v>
      </c>
      <c r="B331" s="1" t="s">
        <v>242</v>
      </c>
      <c r="C331" s="1"/>
      <c r="D331" s="1" t="s">
        <v>63</v>
      </c>
      <c r="E331" s="1" t="s">
        <v>3099</v>
      </c>
      <c r="F331" s="1" t="s">
        <v>98</v>
      </c>
      <c r="G331" s="1" t="s">
        <v>3100</v>
      </c>
      <c r="H331" s="1">
        <v>0</v>
      </c>
      <c r="I331" s="1" t="s">
        <v>161</v>
      </c>
      <c r="J331" s="1" t="s">
        <v>3101</v>
      </c>
      <c r="K331" s="1"/>
      <c r="L331" s="1"/>
      <c r="M331" s="1" t="s">
        <v>194</v>
      </c>
      <c r="N331" s="1">
        <v>0</v>
      </c>
      <c r="O331" s="1">
        <v>0</v>
      </c>
      <c r="P331" s="1" t="s">
        <v>507</v>
      </c>
      <c r="Q331" s="1" t="s">
        <v>3102</v>
      </c>
      <c r="R331" s="1" t="s">
        <v>3111</v>
      </c>
      <c r="S331" s="1" t="s">
        <v>3112</v>
      </c>
      <c r="T331" s="1" t="s">
        <v>107</v>
      </c>
      <c r="U331" s="1" t="s">
        <v>3113</v>
      </c>
      <c r="V331" s="1">
        <v>1</v>
      </c>
      <c r="W331" s="1">
        <v>1</v>
      </c>
      <c r="X331" s="1">
        <v>1</v>
      </c>
      <c r="Y331" s="1">
        <v>0</v>
      </c>
      <c r="Z331" s="1">
        <v>1</v>
      </c>
      <c r="AA331" s="1">
        <v>3</v>
      </c>
      <c r="AB331" s="1">
        <v>3</v>
      </c>
      <c r="AC331" s="1">
        <v>3</v>
      </c>
      <c r="AD331" s="1" t="s">
        <v>109</v>
      </c>
      <c r="AE331" s="1" t="s">
        <v>109</v>
      </c>
      <c r="AF331" s="1" t="s">
        <v>109</v>
      </c>
      <c r="AG331" s="1">
        <v>3</v>
      </c>
      <c r="AH331" s="1" t="s">
        <v>109</v>
      </c>
      <c r="AI331" s="1">
        <v>3</v>
      </c>
      <c r="AJ331" s="1" t="s">
        <v>109</v>
      </c>
      <c r="AK331" s="1">
        <v>3</v>
      </c>
      <c r="AL331" s="1">
        <v>3</v>
      </c>
      <c r="AM331" s="1" t="s">
        <v>109</v>
      </c>
      <c r="AN331" s="1" t="s">
        <v>109</v>
      </c>
      <c r="AO331" s="1" t="s">
        <v>109</v>
      </c>
      <c r="AP331" s="1"/>
      <c r="AQ331" s="1">
        <v>3</v>
      </c>
      <c r="AR331" s="1" t="s">
        <v>3114</v>
      </c>
      <c r="AS331" s="1" t="s">
        <v>3107</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1</v>
      </c>
      <c r="BL331" s="1">
        <v>0</v>
      </c>
      <c r="BM331" s="1">
        <v>0</v>
      </c>
      <c r="BN331" s="1">
        <v>0</v>
      </c>
      <c r="BO331" s="1">
        <v>0</v>
      </c>
      <c r="BP331" s="1">
        <v>0</v>
      </c>
      <c r="BQ331" s="1">
        <v>0</v>
      </c>
      <c r="BR331" s="1">
        <v>0</v>
      </c>
      <c r="BS331" s="5" t="str">
        <f>HYPERLINK("http://www.d20pfsrd.com/magic/all-spells/m/magic-circle-against-chaos","Magic Circle against Chaos")</f>
        <v>Magic Circle against Chaos</v>
      </c>
      <c r="BT331" s="1">
        <v>331</v>
      </c>
      <c r="BU331" s="1" t="s">
        <v>109</v>
      </c>
      <c r="BV331" s="1"/>
      <c r="BW331" s="1"/>
      <c r="BX331" s="1"/>
      <c r="BY331" s="1"/>
      <c r="BZ331" s="1">
        <v>0</v>
      </c>
      <c r="CA331" s="1" t="s">
        <v>109</v>
      </c>
      <c r="CB331" s="1">
        <v>3</v>
      </c>
      <c r="CC331" s="1" t="s">
        <v>109</v>
      </c>
      <c r="CD331" s="1" t="s">
        <v>109</v>
      </c>
      <c r="CE331" s="1" t="s">
        <v>109</v>
      </c>
      <c r="CF331" s="1">
        <v>3</v>
      </c>
      <c r="CG331" s="1">
        <v>3</v>
      </c>
      <c r="CH331" s="1" t="s">
        <v>109</v>
      </c>
      <c r="CI331" s="1" t="s">
        <v>109</v>
      </c>
      <c r="CJ331" s="1" t="s">
        <v>109</v>
      </c>
      <c r="CK331" s="1"/>
      <c r="CL331" s="1">
        <v>0</v>
      </c>
      <c r="CM331" s="1">
        <v>0</v>
      </c>
      <c r="CN331" s="1">
        <v>0</v>
      </c>
    </row>
    <row r="332" spans="1:92" ht="14.25" customHeight="1" x14ac:dyDescent="0.15">
      <c r="A332" s="1" t="s">
        <v>3115</v>
      </c>
      <c r="B332" s="1" t="s">
        <v>242</v>
      </c>
      <c r="C332" s="1"/>
      <c r="D332" s="1" t="s">
        <v>57</v>
      </c>
      <c r="E332" s="1" t="s">
        <v>3116</v>
      </c>
      <c r="F332" s="1" t="s">
        <v>98</v>
      </c>
      <c r="G332" s="1" t="s">
        <v>3100</v>
      </c>
      <c r="H332" s="1">
        <v>0</v>
      </c>
      <c r="I332" s="1" t="s">
        <v>161</v>
      </c>
      <c r="J332" s="1" t="s">
        <v>3101</v>
      </c>
      <c r="K332" s="1"/>
      <c r="L332" s="1"/>
      <c r="M332" s="1" t="s">
        <v>194</v>
      </c>
      <c r="N332" s="1">
        <v>0</v>
      </c>
      <c r="O332" s="1">
        <v>0</v>
      </c>
      <c r="P332" s="1" t="s">
        <v>507</v>
      </c>
      <c r="Q332" s="1" t="s">
        <v>3102</v>
      </c>
      <c r="R332" s="1" t="s">
        <v>3117</v>
      </c>
      <c r="S332" s="1" t="s">
        <v>3118</v>
      </c>
      <c r="T332" s="1" t="s">
        <v>107</v>
      </c>
      <c r="U332" s="1" t="s">
        <v>3119</v>
      </c>
      <c r="V332" s="1">
        <v>1</v>
      </c>
      <c r="W332" s="1">
        <v>1</v>
      </c>
      <c r="X332" s="1">
        <v>1</v>
      </c>
      <c r="Y332" s="1">
        <v>0</v>
      </c>
      <c r="Z332" s="1">
        <v>1</v>
      </c>
      <c r="AA332" s="1">
        <v>3</v>
      </c>
      <c r="AB332" s="1">
        <v>3</v>
      </c>
      <c r="AC332" s="1">
        <v>3</v>
      </c>
      <c r="AD332" s="1" t="s">
        <v>109</v>
      </c>
      <c r="AE332" s="1" t="s">
        <v>109</v>
      </c>
      <c r="AF332" s="1" t="s">
        <v>109</v>
      </c>
      <c r="AG332" s="1" t="s">
        <v>109</v>
      </c>
      <c r="AH332" s="1" t="s">
        <v>109</v>
      </c>
      <c r="AI332" s="1">
        <v>3</v>
      </c>
      <c r="AJ332" s="1" t="s">
        <v>109</v>
      </c>
      <c r="AK332" s="1">
        <v>3</v>
      </c>
      <c r="AL332" s="1">
        <v>3</v>
      </c>
      <c r="AM332" s="1">
        <v>3</v>
      </c>
      <c r="AN332" s="1" t="s">
        <v>109</v>
      </c>
      <c r="AO332" s="1" t="s">
        <v>109</v>
      </c>
      <c r="AP332" s="1"/>
      <c r="AQ332" s="1">
        <v>3</v>
      </c>
      <c r="AR332" s="1" t="s">
        <v>3120</v>
      </c>
      <c r="AS332" s="1" t="s">
        <v>3107</v>
      </c>
      <c r="AT332" s="1">
        <v>0</v>
      </c>
      <c r="AU332" s="1">
        <v>0</v>
      </c>
      <c r="AV332" s="1">
        <v>0</v>
      </c>
      <c r="AW332" s="1">
        <v>0</v>
      </c>
      <c r="AX332" s="1">
        <v>0</v>
      </c>
      <c r="AY332" s="1">
        <v>0</v>
      </c>
      <c r="AZ332" s="1">
        <v>0</v>
      </c>
      <c r="BA332" s="1">
        <v>0</v>
      </c>
      <c r="BB332" s="1">
        <v>0</v>
      </c>
      <c r="BC332" s="1">
        <v>0</v>
      </c>
      <c r="BD332" s="1">
        <v>0</v>
      </c>
      <c r="BE332" s="1">
        <v>1</v>
      </c>
      <c r="BF332" s="1">
        <v>0</v>
      </c>
      <c r="BG332" s="1">
        <v>0</v>
      </c>
      <c r="BH332" s="1">
        <v>0</v>
      </c>
      <c r="BI332" s="1">
        <v>0</v>
      </c>
      <c r="BJ332" s="1">
        <v>0</v>
      </c>
      <c r="BK332" s="1">
        <v>0</v>
      </c>
      <c r="BL332" s="1">
        <v>0</v>
      </c>
      <c r="BM332" s="1">
        <v>0</v>
      </c>
      <c r="BN332" s="1">
        <v>0</v>
      </c>
      <c r="BO332" s="1">
        <v>0</v>
      </c>
      <c r="BP332" s="1">
        <v>0</v>
      </c>
      <c r="BQ332" s="1">
        <v>0</v>
      </c>
      <c r="BR332" s="1">
        <v>0</v>
      </c>
      <c r="BS332" s="5" t="str">
        <f>HYPERLINK("http://www.d20pfsrd.com/magic/all-spells/m/magic-circle-against-good","Magic Circle against Good")</f>
        <v>Magic Circle against Good</v>
      </c>
      <c r="BT332" s="1">
        <v>332</v>
      </c>
      <c r="BU332" s="1" t="s">
        <v>109</v>
      </c>
      <c r="BV332" s="1"/>
      <c r="BW332" s="1"/>
      <c r="BX332" s="1"/>
      <c r="BY332" s="1"/>
      <c r="BZ332" s="1">
        <v>0</v>
      </c>
      <c r="CA332" s="1" t="s">
        <v>109</v>
      </c>
      <c r="CB332" s="1">
        <v>3</v>
      </c>
      <c r="CC332" s="1" t="s">
        <v>109</v>
      </c>
      <c r="CD332" s="1" t="s">
        <v>109</v>
      </c>
      <c r="CE332" s="1" t="s">
        <v>109</v>
      </c>
      <c r="CF332" s="1">
        <v>3</v>
      </c>
      <c r="CG332" s="1">
        <v>3</v>
      </c>
      <c r="CH332" s="1" t="s">
        <v>109</v>
      </c>
      <c r="CI332" s="1" t="s">
        <v>109</v>
      </c>
      <c r="CJ332" s="1" t="s">
        <v>109</v>
      </c>
      <c r="CK332" s="1"/>
      <c r="CL332" s="1">
        <v>0</v>
      </c>
      <c r="CM332" s="1">
        <v>0</v>
      </c>
      <c r="CN332" s="1">
        <v>0</v>
      </c>
    </row>
    <row r="333" spans="1:92" ht="14.25" customHeight="1" x14ac:dyDescent="0.15">
      <c r="A333" s="1" t="s">
        <v>3121</v>
      </c>
      <c r="B333" s="1" t="s">
        <v>242</v>
      </c>
      <c r="C333" s="1"/>
      <c r="D333" s="1" t="s">
        <v>48</v>
      </c>
      <c r="E333" s="1" t="s">
        <v>3116</v>
      </c>
      <c r="F333" s="1" t="s">
        <v>98</v>
      </c>
      <c r="G333" s="1" t="s">
        <v>3100</v>
      </c>
      <c r="H333" s="1">
        <v>0</v>
      </c>
      <c r="I333" s="1" t="s">
        <v>161</v>
      </c>
      <c r="J333" s="1" t="s">
        <v>3101</v>
      </c>
      <c r="K333" s="1"/>
      <c r="L333" s="1"/>
      <c r="M333" s="1" t="s">
        <v>194</v>
      </c>
      <c r="N333" s="1">
        <v>0</v>
      </c>
      <c r="O333" s="1">
        <v>0</v>
      </c>
      <c r="P333" s="1" t="s">
        <v>507</v>
      </c>
      <c r="Q333" s="1" t="s">
        <v>3102</v>
      </c>
      <c r="R333" s="1" t="s">
        <v>3122</v>
      </c>
      <c r="S333" s="1" t="s">
        <v>3123</v>
      </c>
      <c r="T333" s="1" t="s">
        <v>107</v>
      </c>
      <c r="U333" s="1" t="s">
        <v>3124</v>
      </c>
      <c r="V333" s="1">
        <v>1</v>
      </c>
      <c r="W333" s="1">
        <v>1</v>
      </c>
      <c r="X333" s="1">
        <v>1</v>
      </c>
      <c r="Y333" s="1">
        <v>0</v>
      </c>
      <c r="Z333" s="1">
        <v>1</v>
      </c>
      <c r="AA333" s="1">
        <v>3</v>
      </c>
      <c r="AB333" s="1">
        <v>3</v>
      </c>
      <c r="AC333" s="1">
        <v>3</v>
      </c>
      <c r="AD333" s="1" t="s">
        <v>109</v>
      </c>
      <c r="AE333" s="1" t="s">
        <v>109</v>
      </c>
      <c r="AF333" s="1" t="s">
        <v>109</v>
      </c>
      <c r="AG333" s="1" t="s">
        <v>109</v>
      </c>
      <c r="AH333" s="1" t="s">
        <v>109</v>
      </c>
      <c r="AI333" s="1">
        <v>3</v>
      </c>
      <c r="AJ333" s="1" t="s">
        <v>109</v>
      </c>
      <c r="AK333" s="1">
        <v>3</v>
      </c>
      <c r="AL333" s="1">
        <v>3</v>
      </c>
      <c r="AM333" s="1">
        <v>3</v>
      </c>
      <c r="AN333" s="1" t="s">
        <v>109</v>
      </c>
      <c r="AO333" s="1" t="s">
        <v>109</v>
      </c>
      <c r="AP333" s="1"/>
      <c r="AQ333" s="1">
        <v>3</v>
      </c>
      <c r="AR333" s="1" t="s">
        <v>3125</v>
      </c>
      <c r="AS333" s="1" t="s">
        <v>3107</v>
      </c>
      <c r="AT333" s="1">
        <v>0</v>
      </c>
      <c r="AU333" s="1">
        <v>0</v>
      </c>
      <c r="AV333" s="1">
        <v>1</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5" t="str">
        <f>HYPERLINK("http://www.d20pfsrd.com/magic/all-spells/m/magic-circle-against-law","Magic Circle against Law")</f>
        <v>Magic Circle against Law</v>
      </c>
      <c r="BT333" s="1">
        <v>333</v>
      </c>
      <c r="BU333" s="1" t="s">
        <v>109</v>
      </c>
      <c r="BV333" s="1"/>
      <c r="BW333" s="1"/>
      <c r="BX333" s="1"/>
      <c r="BY333" s="1"/>
      <c r="BZ333" s="1">
        <v>0</v>
      </c>
      <c r="CA333" s="1" t="s">
        <v>109</v>
      </c>
      <c r="CB333" s="1">
        <v>3</v>
      </c>
      <c r="CC333" s="1" t="s">
        <v>109</v>
      </c>
      <c r="CD333" s="1" t="s">
        <v>109</v>
      </c>
      <c r="CE333" s="1" t="s">
        <v>109</v>
      </c>
      <c r="CF333" s="1">
        <v>3</v>
      </c>
      <c r="CG333" s="1">
        <v>3</v>
      </c>
      <c r="CH333" s="1" t="s">
        <v>109</v>
      </c>
      <c r="CI333" s="1" t="s">
        <v>109</v>
      </c>
      <c r="CJ333" s="1" t="s">
        <v>109</v>
      </c>
      <c r="CK333" s="1"/>
      <c r="CL333" s="1">
        <v>0</v>
      </c>
      <c r="CM333" s="1">
        <v>0</v>
      </c>
      <c r="CN333" s="1">
        <v>0</v>
      </c>
    </row>
    <row r="334" spans="1:92" ht="14.25" customHeight="1" x14ac:dyDescent="0.15">
      <c r="A334" s="1" t="s">
        <v>3126</v>
      </c>
      <c r="B334" s="1" t="s">
        <v>189</v>
      </c>
      <c r="C334" s="1"/>
      <c r="D334" s="1"/>
      <c r="E334" s="1" t="s">
        <v>3127</v>
      </c>
      <c r="F334" s="1" t="s">
        <v>98</v>
      </c>
      <c r="G334" s="1" t="s">
        <v>160</v>
      </c>
      <c r="H334" s="1">
        <v>0</v>
      </c>
      <c r="I334" s="1" t="s">
        <v>161</v>
      </c>
      <c r="J334" s="1"/>
      <c r="K334" s="1"/>
      <c r="L334" s="1" t="s">
        <v>162</v>
      </c>
      <c r="M334" s="1" t="s">
        <v>164</v>
      </c>
      <c r="N334" s="1">
        <v>0</v>
      </c>
      <c r="O334" s="1">
        <v>0</v>
      </c>
      <c r="P334" s="1" t="s">
        <v>507</v>
      </c>
      <c r="Q334" s="1" t="s">
        <v>167</v>
      </c>
      <c r="R334" s="1" t="s">
        <v>3128</v>
      </c>
      <c r="S334" s="1" t="s">
        <v>3129</v>
      </c>
      <c r="T334" s="1" t="s">
        <v>107</v>
      </c>
      <c r="U334" s="1" t="s">
        <v>3130</v>
      </c>
      <c r="V334" s="1">
        <v>1</v>
      </c>
      <c r="W334" s="1">
        <v>1</v>
      </c>
      <c r="X334" s="1">
        <v>0</v>
      </c>
      <c r="Y334" s="1">
        <v>0</v>
      </c>
      <c r="Z334" s="1">
        <v>1</v>
      </c>
      <c r="AA334" s="1" t="s">
        <v>109</v>
      </c>
      <c r="AB334" s="1" t="s">
        <v>109</v>
      </c>
      <c r="AC334" s="1" t="s">
        <v>109</v>
      </c>
      <c r="AD334" s="1">
        <v>1</v>
      </c>
      <c r="AE334" s="1">
        <v>1</v>
      </c>
      <c r="AF334" s="1" t="s">
        <v>109</v>
      </c>
      <c r="AG334" s="1" t="s">
        <v>109</v>
      </c>
      <c r="AH334" s="1" t="s">
        <v>109</v>
      </c>
      <c r="AI334" s="1">
        <v>1</v>
      </c>
      <c r="AJ334" s="1" t="s">
        <v>109</v>
      </c>
      <c r="AK334" s="1" t="s">
        <v>109</v>
      </c>
      <c r="AL334" s="1" t="s">
        <v>109</v>
      </c>
      <c r="AM334" s="1" t="s">
        <v>109</v>
      </c>
      <c r="AN334" s="1" t="s">
        <v>109</v>
      </c>
      <c r="AO334" s="1" t="s">
        <v>109</v>
      </c>
      <c r="AP334" s="1"/>
      <c r="AQ334" s="1">
        <v>1</v>
      </c>
      <c r="AR334" s="1" t="s">
        <v>3131</v>
      </c>
      <c r="AS334" s="1" t="s">
        <v>3132</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5" t="str">
        <f>HYPERLINK("http://www.d20pfsrd.com/magic/all-spells/m/magic-fang","Magic Fang")</f>
        <v>Magic Fang</v>
      </c>
      <c r="BT334" s="1">
        <v>334</v>
      </c>
      <c r="BU334" s="1" t="s">
        <v>109</v>
      </c>
      <c r="BV334" s="1"/>
      <c r="BW334" s="1"/>
      <c r="BX334" s="1" t="s">
        <v>3133</v>
      </c>
      <c r="BY334" s="1"/>
      <c r="BZ334" s="1">
        <v>1</v>
      </c>
      <c r="CA334" s="1" t="s">
        <v>109</v>
      </c>
      <c r="CB334" s="1" t="s">
        <v>109</v>
      </c>
      <c r="CC334" s="1" t="s">
        <v>109</v>
      </c>
      <c r="CD334" s="1" t="s">
        <v>109</v>
      </c>
      <c r="CE334" s="1" t="s">
        <v>109</v>
      </c>
      <c r="CF334" s="1" t="s">
        <v>109</v>
      </c>
      <c r="CG334" s="1">
        <v>1</v>
      </c>
      <c r="CH334" s="1" t="s">
        <v>109</v>
      </c>
      <c r="CI334" s="1" t="s">
        <v>109</v>
      </c>
      <c r="CJ334" s="1">
        <v>1</v>
      </c>
      <c r="CK334" s="1"/>
      <c r="CL334" s="1">
        <v>0</v>
      </c>
      <c r="CM334" s="1">
        <v>0</v>
      </c>
      <c r="CN334" s="1">
        <v>0</v>
      </c>
    </row>
    <row r="335" spans="1:92" ht="14.25" customHeight="1" x14ac:dyDescent="0.15">
      <c r="A335" s="1" t="s">
        <v>3134</v>
      </c>
      <c r="B335" s="1" t="s">
        <v>189</v>
      </c>
      <c r="C335" s="1"/>
      <c r="D335" s="1"/>
      <c r="E335" s="1" t="s">
        <v>3135</v>
      </c>
      <c r="F335" s="1" t="s">
        <v>98</v>
      </c>
      <c r="G335" s="1" t="s">
        <v>160</v>
      </c>
      <c r="H335" s="1">
        <v>0</v>
      </c>
      <c r="I335" s="1" t="s">
        <v>142</v>
      </c>
      <c r="J335" s="1"/>
      <c r="K335" s="1"/>
      <c r="L335" s="1" t="s">
        <v>563</v>
      </c>
      <c r="M335" s="1" t="s">
        <v>289</v>
      </c>
      <c r="N335" s="1">
        <v>0</v>
      </c>
      <c r="O335" s="1">
        <v>0</v>
      </c>
      <c r="P335" s="1" t="s">
        <v>507</v>
      </c>
      <c r="Q335" s="1" t="s">
        <v>167</v>
      </c>
      <c r="R335" s="1" t="s">
        <v>3136</v>
      </c>
      <c r="S335" s="1" t="s">
        <v>3137</v>
      </c>
      <c r="T335" s="1" t="s">
        <v>107</v>
      </c>
      <c r="U335" s="1" t="s">
        <v>3138</v>
      </c>
      <c r="V335" s="1">
        <v>1</v>
      </c>
      <c r="W335" s="1">
        <v>1</v>
      </c>
      <c r="X335" s="1">
        <v>0</v>
      </c>
      <c r="Y335" s="1">
        <v>0</v>
      </c>
      <c r="Z335" s="1">
        <v>1</v>
      </c>
      <c r="AA335" s="1" t="s">
        <v>109</v>
      </c>
      <c r="AB335" s="1" t="s">
        <v>109</v>
      </c>
      <c r="AC335" s="1" t="s">
        <v>109</v>
      </c>
      <c r="AD335" s="1">
        <v>3</v>
      </c>
      <c r="AE335" s="1">
        <v>3</v>
      </c>
      <c r="AF335" s="1" t="s">
        <v>109</v>
      </c>
      <c r="AG335" s="1" t="s">
        <v>109</v>
      </c>
      <c r="AH335" s="1" t="s">
        <v>109</v>
      </c>
      <c r="AI335" s="1">
        <v>3</v>
      </c>
      <c r="AJ335" s="1" t="s">
        <v>109</v>
      </c>
      <c r="AK335" s="1" t="s">
        <v>109</v>
      </c>
      <c r="AL335" s="1" t="s">
        <v>109</v>
      </c>
      <c r="AM335" s="1" t="s">
        <v>109</v>
      </c>
      <c r="AN335" s="1" t="s">
        <v>109</v>
      </c>
      <c r="AO335" s="1" t="s">
        <v>109</v>
      </c>
      <c r="AP335" s="1"/>
      <c r="AQ335" s="1">
        <v>3</v>
      </c>
      <c r="AR335" s="1" t="s">
        <v>3139</v>
      </c>
      <c r="AS335" s="1" t="s">
        <v>3140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5" t="str">
        <f>HYPERLINK("http://www.d20pfsrd.com/magic/all-spells/m/magic-fang","Magic Fang, Greater")</f>
        <v>Magic Fang, Greater</v>
      </c>
      <c r="BT335" s="1">
        <v>335</v>
      </c>
      <c r="BU335" s="1" t="s">
        <v>109</v>
      </c>
      <c r="BV335" s="1"/>
      <c r="BW335" s="1"/>
      <c r="BX335" s="1"/>
      <c r="BY335" s="1"/>
      <c r="BZ335" s="1">
        <v>0</v>
      </c>
      <c r="CA335" s="1" t="s">
        <v>109</v>
      </c>
      <c r="CB335" s="1" t="s">
        <v>109</v>
      </c>
      <c r="CC335" s="1" t="s">
        <v>109</v>
      </c>
      <c r="CD335" s="1" t="s">
        <v>109</v>
      </c>
      <c r="CE335" s="1" t="s">
        <v>109</v>
      </c>
      <c r="CF335" s="1" t="s">
        <v>109</v>
      </c>
      <c r="CG335" s="1">
        <v>3</v>
      </c>
      <c r="CH335" s="1" t="s">
        <v>109</v>
      </c>
      <c r="CI335" s="1" t="s">
        <v>109</v>
      </c>
      <c r="CJ335" s="1">
        <v>3</v>
      </c>
      <c r="CK335" s="1"/>
      <c r="CL335" s="1">
        <v>0</v>
      </c>
      <c r="CM335" s="1">
        <v>0</v>
      </c>
      <c r="CN335" s="1">
        <v>0</v>
      </c>
    </row>
    <row r="336" spans="1:92" ht="14.25" customHeight="1" x14ac:dyDescent="0.15">
      <c r="A336" s="1" t="s">
        <v>3141</v>
      </c>
      <c r="B336" s="1" t="s">
        <v>308</v>
      </c>
      <c r="C336" s="1"/>
      <c r="D336" s="1"/>
      <c r="E336" s="1" t="s">
        <v>3142</v>
      </c>
      <c r="F336" s="1" t="s">
        <v>98</v>
      </c>
      <c r="G336" s="1" t="s">
        <v>3143</v>
      </c>
      <c r="H336" s="1">
        <v>1</v>
      </c>
      <c r="I336" s="1" t="s">
        <v>122</v>
      </c>
      <c r="J336" s="1"/>
      <c r="K336" s="1"/>
      <c r="L336" s="1" t="s">
        <v>1391</v>
      </c>
      <c r="M336" s="1" t="s">
        <v>3144</v>
      </c>
      <c r="N336" s="1">
        <v>0</v>
      </c>
      <c r="O336" s="1">
        <v>0</v>
      </c>
      <c r="P336" s="1" t="s">
        <v>564</v>
      </c>
      <c r="Q336" s="1" t="s">
        <v>268</v>
      </c>
      <c r="R336" s="1" t="s">
        <v>3145</v>
      </c>
      <c r="S336" s="1" t="s">
        <v>3146</v>
      </c>
      <c r="T336" s="1" t="s">
        <v>107</v>
      </c>
      <c r="U336" s="1" t="s">
        <v>3147</v>
      </c>
      <c r="V336" s="1">
        <v>1</v>
      </c>
      <c r="W336" s="1">
        <v>1</v>
      </c>
      <c r="X336" s="1">
        <v>0</v>
      </c>
      <c r="Y336" s="1">
        <v>1</v>
      </c>
      <c r="Z336" s="1">
        <v>0</v>
      </c>
      <c r="AA336" s="1">
        <v>5</v>
      </c>
      <c r="AB336" s="1">
        <v>5</v>
      </c>
      <c r="AC336" s="1" t="s">
        <v>109</v>
      </c>
      <c r="AD336" s="1" t="s">
        <v>109</v>
      </c>
      <c r="AE336" s="1" t="s">
        <v>109</v>
      </c>
      <c r="AF336" s="1" t="s">
        <v>109</v>
      </c>
      <c r="AG336" s="1" t="s">
        <v>109</v>
      </c>
      <c r="AH336" s="1">
        <v>5</v>
      </c>
      <c r="AI336" s="1">
        <v>4</v>
      </c>
      <c r="AJ336" s="1">
        <v>5</v>
      </c>
      <c r="AK336" s="1" t="s">
        <v>109</v>
      </c>
      <c r="AL336" s="1" t="s">
        <v>109</v>
      </c>
      <c r="AM336" s="1" t="s">
        <v>109</v>
      </c>
      <c r="AN336" s="1" t="s">
        <v>109</v>
      </c>
      <c r="AO336" s="1" t="s">
        <v>109</v>
      </c>
      <c r="AP336" s="1"/>
      <c r="AQ336" s="1">
        <v>5</v>
      </c>
      <c r="AR336" s="1"/>
      <c r="AS336" s="1" t="s">
        <v>3148</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5" t="str">
        <f>HYPERLINK("http://www.d20pfsrd.com/magic/all-spells/m/magic-jar","Magic Jar")</f>
        <v>Magic Jar</v>
      </c>
      <c r="BT336" s="1">
        <v>336</v>
      </c>
      <c r="BU336" s="1">
        <v>100</v>
      </c>
      <c r="BV336" s="1"/>
      <c r="BW336" s="1"/>
      <c r="BX336" s="1"/>
      <c r="BY336" s="1"/>
      <c r="BZ336" s="1">
        <v>0</v>
      </c>
      <c r="CA336" s="1" t="s">
        <v>109</v>
      </c>
      <c r="CB336" s="1" t="s">
        <v>109</v>
      </c>
      <c r="CC336" s="1" t="s">
        <v>109</v>
      </c>
      <c r="CD336" s="1" t="s">
        <v>109</v>
      </c>
      <c r="CE336" s="1" t="s">
        <v>109</v>
      </c>
      <c r="CF336" s="1" t="s">
        <v>109</v>
      </c>
      <c r="CG336" s="1" t="s">
        <v>109</v>
      </c>
      <c r="CH336" s="1" t="s">
        <v>109</v>
      </c>
      <c r="CI336" s="1" t="s">
        <v>109</v>
      </c>
      <c r="CJ336" s="1" t="s">
        <v>109</v>
      </c>
      <c r="CK336" s="1"/>
      <c r="CL336" s="1">
        <v>0</v>
      </c>
      <c r="CM336" s="1">
        <v>0</v>
      </c>
      <c r="CN336" s="1">
        <v>0</v>
      </c>
    </row>
    <row r="337" spans="1:92" ht="14.25" customHeight="1" x14ac:dyDescent="0.15">
      <c r="A337" s="1" t="s">
        <v>3149</v>
      </c>
      <c r="B337" s="1" t="s">
        <v>584</v>
      </c>
      <c r="C337" s="1"/>
      <c r="D337" s="1" t="s">
        <v>60</v>
      </c>
      <c r="E337" s="1" t="s">
        <v>3150</v>
      </c>
      <c r="F337" s="1" t="s">
        <v>98</v>
      </c>
      <c r="G337" s="1" t="s">
        <v>141</v>
      </c>
      <c r="H337" s="1">
        <v>0</v>
      </c>
      <c r="I337" s="1" t="s">
        <v>122</v>
      </c>
      <c r="J337" s="1"/>
      <c r="K337" s="1"/>
      <c r="L337" s="1" t="s">
        <v>3151</v>
      </c>
      <c r="M337" s="1" t="s">
        <v>144</v>
      </c>
      <c r="N337" s="1">
        <v>0</v>
      </c>
      <c r="O337" s="1">
        <v>0</v>
      </c>
      <c r="P337" s="1" t="s">
        <v>103</v>
      </c>
      <c r="Q337" s="1" t="s">
        <v>268</v>
      </c>
      <c r="R337" s="1" t="s">
        <v>3152</v>
      </c>
      <c r="S337" s="1" t="s">
        <v>3153</v>
      </c>
      <c r="T337" s="1" t="s">
        <v>107</v>
      </c>
      <c r="U337" s="1" t="s">
        <v>3154</v>
      </c>
      <c r="V337" s="1">
        <v>1</v>
      </c>
      <c r="W337" s="1">
        <v>1</v>
      </c>
      <c r="X337" s="1">
        <v>0</v>
      </c>
      <c r="Y337" s="1">
        <v>0</v>
      </c>
      <c r="Z337" s="1">
        <v>0</v>
      </c>
      <c r="AA337" s="1">
        <v>1</v>
      </c>
      <c r="AB337" s="1">
        <v>1</v>
      </c>
      <c r="AC337" s="1" t="s">
        <v>109</v>
      </c>
      <c r="AD337" s="1" t="s">
        <v>109</v>
      </c>
      <c r="AE337" s="1" t="s">
        <v>109</v>
      </c>
      <c r="AF337" s="1" t="s">
        <v>109</v>
      </c>
      <c r="AG337" s="1" t="s">
        <v>109</v>
      </c>
      <c r="AH337" s="1" t="s">
        <v>109</v>
      </c>
      <c r="AI337" s="1" t="s">
        <v>109</v>
      </c>
      <c r="AJ337" s="1" t="s">
        <v>109</v>
      </c>
      <c r="AK337" s="1" t="s">
        <v>109</v>
      </c>
      <c r="AL337" s="1" t="s">
        <v>109</v>
      </c>
      <c r="AM337" s="1" t="s">
        <v>109</v>
      </c>
      <c r="AN337" s="1">
        <v>1</v>
      </c>
      <c r="AO337" s="1" t="s">
        <v>109</v>
      </c>
      <c r="AP337" s="1"/>
      <c r="AQ337" s="1">
        <v>1</v>
      </c>
      <c r="AR337" s="1"/>
      <c r="AS337" s="1" t="s">
        <v>3155</v>
      </c>
      <c r="AT337" s="1">
        <v>0</v>
      </c>
      <c r="AU337" s="1">
        <v>0</v>
      </c>
      <c r="AV337" s="1">
        <v>0</v>
      </c>
      <c r="AW337" s="1">
        <v>0</v>
      </c>
      <c r="AX337" s="1">
        <v>0</v>
      </c>
      <c r="AY337" s="1">
        <v>0</v>
      </c>
      <c r="AZ337" s="1">
        <v>0</v>
      </c>
      <c r="BA337" s="1">
        <v>0</v>
      </c>
      <c r="BB337" s="1">
        <v>0</v>
      </c>
      <c r="BC337" s="1">
        <v>0</v>
      </c>
      <c r="BD337" s="1">
        <v>0</v>
      </c>
      <c r="BE337" s="1">
        <v>0</v>
      </c>
      <c r="BF337" s="1">
        <v>0</v>
      </c>
      <c r="BG337" s="1">
        <v>0</v>
      </c>
      <c r="BH337" s="1">
        <v>1</v>
      </c>
      <c r="BI337" s="1">
        <v>0</v>
      </c>
      <c r="BJ337" s="1">
        <v>0</v>
      </c>
      <c r="BK337" s="1">
        <v>0</v>
      </c>
      <c r="BL337" s="1">
        <v>0</v>
      </c>
      <c r="BM337" s="1">
        <v>0</v>
      </c>
      <c r="BN337" s="1">
        <v>0</v>
      </c>
      <c r="BO337" s="1">
        <v>0</v>
      </c>
      <c r="BP337" s="1">
        <v>0</v>
      </c>
      <c r="BQ337" s="1">
        <v>0</v>
      </c>
      <c r="BR337" s="1">
        <v>0</v>
      </c>
      <c r="BS337" s="5" t="str">
        <f>HYPERLINK("http://www.d20pfsrd.com/magic/all-spells/m/magic-missile","Magic Missile")</f>
        <v>Magic Missile</v>
      </c>
      <c r="BT337" s="1">
        <v>337</v>
      </c>
      <c r="BU337" s="1" t="s">
        <v>109</v>
      </c>
      <c r="BV337" s="1"/>
      <c r="BW337" s="1"/>
      <c r="BX337" s="1" t="s">
        <v>3156</v>
      </c>
      <c r="BY337" s="1" t="s">
        <v>3157</v>
      </c>
      <c r="BZ337" s="1">
        <v>1</v>
      </c>
      <c r="CA337" s="1">
        <v>1</v>
      </c>
      <c r="CB337" s="1" t="s">
        <v>109</v>
      </c>
      <c r="CC337" s="1">
        <v>1</v>
      </c>
      <c r="CD337" s="1" t="s">
        <v>109</v>
      </c>
      <c r="CE337" s="1" t="s">
        <v>109</v>
      </c>
      <c r="CF337" s="1" t="s">
        <v>109</v>
      </c>
      <c r="CG337" s="1" t="s">
        <v>109</v>
      </c>
      <c r="CH337" s="1" t="s">
        <v>109</v>
      </c>
      <c r="CI337" s="1" t="s">
        <v>109</v>
      </c>
      <c r="CJ337" s="1" t="s">
        <v>109</v>
      </c>
      <c r="CK337" s="1"/>
      <c r="CL337" s="1">
        <v>0</v>
      </c>
      <c r="CM337" s="1">
        <v>0</v>
      </c>
      <c r="CN337" s="1">
        <v>0</v>
      </c>
    </row>
    <row r="338" spans="1:92" ht="14.25" customHeight="1" x14ac:dyDescent="0.15">
      <c r="A338" s="1" t="s">
        <v>3158</v>
      </c>
      <c r="B338" s="1" t="s">
        <v>674</v>
      </c>
      <c r="C338" s="1" t="s">
        <v>675</v>
      </c>
      <c r="D338" s="1"/>
      <c r="E338" s="1" t="s">
        <v>3159</v>
      </c>
      <c r="F338" s="1" t="s">
        <v>98</v>
      </c>
      <c r="G338" s="1" t="s">
        <v>3160</v>
      </c>
      <c r="H338" s="1">
        <v>1</v>
      </c>
      <c r="I338" s="1" t="s">
        <v>142</v>
      </c>
      <c r="J338" s="1"/>
      <c r="K338" s="1"/>
      <c r="L338" s="1" t="s">
        <v>1548</v>
      </c>
      <c r="M338" s="1" t="s">
        <v>1906</v>
      </c>
      <c r="N338" s="1">
        <v>0</v>
      </c>
      <c r="O338" s="1">
        <v>0</v>
      </c>
      <c r="P338" s="1" t="s">
        <v>629</v>
      </c>
      <c r="Q338" s="1" t="s">
        <v>630</v>
      </c>
      <c r="R338" s="1" t="s">
        <v>3161</v>
      </c>
      <c r="S338" s="1" t="s">
        <v>3162</v>
      </c>
      <c r="T338" s="1" t="s">
        <v>107</v>
      </c>
      <c r="U338" s="1" t="s">
        <v>3163</v>
      </c>
      <c r="V338" s="1">
        <v>1</v>
      </c>
      <c r="W338" s="1">
        <v>1</v>
      </c>
      <c r="X338" s="1">
        <v>1</v>
      </c>
      <c r="Y338" s="1">
        <v>0</v>
      </c>
      <c r="Z338" s="1">
        <v>0</v>
      </c>
      <c r="AA338" s="1">
        <v>2</v>
      </c>
      <c r="AB338" s="1">
        <v>2</v>
      </c>
      <c r="AC338" s="1" t="s">
        <v>109</v>
      </c>
      <c r="AD338" s="1" t="s">
        <v>109</v>
      </c>
      <c r="AE338" s="1" t="s">
        <v>109</v>
      </c>
      <c r="AF338" s="1">
        <v>1</v>
      </c>
      <c r="AG338" s="1" t="s">
        <v>109</v>
      </c>
      <c r="AH338" s="1" t="s">
        <v>109</v>
      </c>
      <c r="AI338" s="1">
        <v>1</v>
      </c>
      <c r="AJ338" s="1" t="s">
        <v>109</v>
      </c>
      <c r="AK338" s="1" t="s">
        <v>109</v>
      </c>
      <c r="AL338" s="1" t="s">
        <v>109</v>
      </c>
      <c r="AM338" s="1" t="s">
        <v>109</v>
      </c>
      <c r="AN338" s="1" t="s">
        <v>109</v>
      </c>
      <c r="AO338" s="1" t="s">
        <v>109</v>
      </c>
      <c r="AP338" s="1"/>
      <c r="AQ338" s="1">
        <v>2</v>
      </c>
      <c r="AR338" s="1" t="s">
        <v>3164</v>
      </c>
      <c r="AS338" s="1" t="s">
        <v>3165</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5" t="str">
        <f>HYPERLINK("http://www.d20pfsrd.com/magic/all-spells/m/magic-mouth","Magic Mouth")</f>
        <v>Magic Mouth</v>
      </c>
      <c r="BT338" s="1">
        <v>338</v>
      </c>
      <c r="BU338" s="1">
        <v>10</v>
      </c>
      <c r="BV338" s="1"/>
      <c r="BW338" s="1"/>
      <c r="BX338" s="1"/>
      <c r="BY338" s="1"/>
      <c r="BZ338" s="1">
        <v>0</v>
      </c>
      <c r="CA338" s="1" t="s">
        <v>109</v>
      </c>
      <c r="CB338" s="1" t="s">
        <v>109</v>
      </c>
      <c r="CC338" s="1">
        <v>2</v>
      </c>
      <c r="CD338" s="1" t="s">
        <v>109</v>
      </c>
      <c r="CE338" s="1">
        <v>1</v>
      </c>
      <c r="CF338" s="1">
        <v>2</v>
      </c>
      <c r="CG338" s="1" t="s">
        <v>109</v>
      </c>
      <c r="CH338" s="1" t="s">
        <v>109</v>
      </c>
      <c r="CI338" s="1" t="s">
        <v>109</v>
      </c>
      <c r="CJ338" s="1" t="s">
        <v>109</v>
      </c>
      <c r="CK338" s="1"/>
      <c r="CL338" s="1">
        <v>0</v>
      </c>
      <c r="CM338" s="1">
        <v>0</v>
      </c>
      <c r="CN338" s="1">
        <v>0</v>
      </c>
    </row>
    <row r="339" spans="1:92" ht="14.25" customHeight="1" x14ac:dyDescent="0.15">
      <c r="A339" s="1" t="s">
        <v>3166</v>
      </c>
      <c r="B339" s="1" t="s">
        <v>189</v>
      </c>
      <c r="C339" s="1"/>
      <c r="D339" s="1"/>
      <c r="E339" s="1" t="s">
        <v>3167</v>
      </c>
      <c r="F339" s="1" t="s">
        <v>98</v>
      </c>
      <c r="G339" s="1" t="s">
        <v>160</v>
      </c>
      <c r="H339" s="1">
        <v>0</v>
      </c>
      <c r="I339" s="1" t="s">
        <v>161</v>
      </c>
      <c r="J339" s="1"/>
      <c r="K339" s="1"/>
      <c r="L339" s="1" t="s">
        <v>3168</v>
      </c>
      <c r="M339" s="1" t="s">
        <v>3169</v>
      </c>
      <c r="N339" s="1">
        <v>0</v>
      </c>
      <c r="O339" s="1">
        <v>0</v>
      </c>
      <c r="P339" s="1" t="s">
        <v>215</v>
      </c>
      <c r="Q339" s="1" t="s">
        <v>216</v>
      </c>
      <c r="R339" s="1" t="s">
        <v>3170</v>
      </c>
      <c r="S339" s="1" t="s">
        <v>3171</v>
      </c>
      <c r="T339" s="1" t="s">
        <v>107</v>
      </c>
      <c r="U339" s="1" t="s">
        <v>3172</v>
      </c>
      <c r="V339" s="1">
        <v>1</v>
      </c>
      <c r="W339" s="1">
        <v>1</v>
      </c>
      <c r="X339" s="1">
        <v>0</v>
      </c>
      <c r="Y339" s="1">
        <v>0</v>
      </c>
      <c r="Z339" s="1">
        <v>1</v>
      </c>
      <c r="AA339" s="1" t="s">
        <v>109</v>
      </c>
      <c r="AB339" s="1" t="s">
        <v>109</v>
      </c>
      <c r="AC339" s="1">
        <v>1</v>
      </c>
      <c r="AD339" s="1">
        <v>1</v>
      </c>
      <c r="AE339" s="1" t="s">
        <v>109</v>
      </c>
      <c r="AF339" s="1" t="s">
        <v>109</v>
      </c>
      <c r="AG339" s="1" t="s">
        <v>109</v>
      </c>
      <c r="AH339" s="1" t="s">
        <v>109</v>
      </c>
      <c r="AI339" s="1" t="s">
        <v>109</v>
      </c>
      <c r="AJ339" s="1" t="s">
        <v>109</v>
      </c>
      <c r="AK339" s="1" t="s">
        <v>109</v>
      </c>
      <c r="AL339" s="1">
        <v>1</v>
      </c>
      <c r="AM339" s="1" t="s">
        <v>109</v>
      </c>
      <c r="AN339" s="1" t="s">
        <v>109</v>
      </c>
      <c r="AO339" s="1" t="s">
        <v>109</v>
      </c>
      <c r="AP339" s="1"/>
      <c r="AQ339" s="1">
        <v>1</v>
      </c>
      <c r="AR339" s="1" t="s">
        <v>3173</v>
      </c>
      <c r="AS339" s="1" t="s">
        <v>3174</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5" t="str">
        <f>HYPERLINK("http://www.d20pfsrd.com/magic/all-spells/m/magic-stone","Magic Stone")</f>
        <v>Magic Stone</v>
      </c>
      <c r="BT339" s="1">
        <v>339</v>
      </c>
      <c r="BU339" s="1" t="s">
        <v>109</v>
      </c>
      <c r="BV339" s="1"/>
      <c r="BW339" s="1"/>
      <c r="BX339" s="1"/>
      <c r="BY339" s="1"/>
      <c r="BZ339" s="1">
        <v>0</v>
      </c>
      <c r="CA339" s="1" t="s">
        <v>109</v>
      </c>
      <c r="CB339" s="1">
        <v>1</v>
      </c>
      <c r="CC339" s="1" t="s">
        <v>109</v>
      </c>
      <c r="CD339" s="1" t="s">
        <v>109</v>
      </c>
      <c r="CE339" s="1" t="s">
        <v>109</v>
      </c>
      <c r="CF339" s="1" t="s">
        <v>109</v>
      </c>
      <c r="CG339" s="1" t="s">
        <v>109</v>
      </c>
      <c r="CH339" s="1" t="s">
        <v>109</v>
      </c>
      <c r="CI339" s="1" t="s">
        <v>109</v>
      </c>
      <c r="CJ339" s="1">
        <v>1</v>
      </c>
      <c r="CK339" s="1"/>
      <c r="CL339" s="1">
        <v>0</v>
      </c>
      <c r="CM339" s="1">
        <v>0</v>
      </c>
      <c r="CN339" s="1">
        <v>0</v>
      </c>
    </row>
    <row r="340" spans="1:92" ht="14.25" customHeight="1" x14ac:dyDescent="0.15">
      <c r="A340" s="1" t="s">
        <v>3175</v>
      </c>
      <c r="B340" s="1" t="s">
        <v>189</v>
      </c>
      <c r="C340" s="1"/>
      <c r="D340" s="1"/>
      <c r="E340" s="1" t="s">
        <v>3176</v>
      </c>
      <c r="F340" s="1" t="s">
        <v>98</v>
      </c>
      <c r="G340" s="1" t="s">
        <v>160</v>
      </c>
      <c r="H340" s="1">
        <v>0</v>
      </c>
      <c r="I340" s="1" t="s">
        <v>161</v>
      </c>
      <c r="J340" s="1"/>
      <c r="K340" s="1"/>
      <c r="L340" s="1" t="s">
        <v>3177</v>
      </c>
      <c r="M340" s="1" t="s">
        <v>289</v>
      </c>
      <c r="N340" s="1">
        <v>0</v>
      </c>
      <c r="O340" s="1">
        <v>0</v>
      </c>
      <c r="P340" s="1" t="s">
        <v>215</v>
      </c>
      <c r="Q340" s="1" t="s">
        <v>216</v>
      </c>
      <c r="R340" s="1" t="s">
        <v>3178</v>
      </c>
      <c r="S340" s="1" t="s">
        <v>3179</v>
      </c>
      <c r="T340" s="1" t="s">
        <v>107</v>
      </c>
      <c r="U340" s="1" t="s">
        <v>3180</v>
      </c>
      <c r="V340" s="1">
        <v>1</v>
      </c>
      <c r="W340" s="1">
        <v>1</v>
      </c>
      <c r="X340" s="1">
        <v>0</v>
      </c>
      <c r="Y340" s="1">
        <v>0</v>
      </c>
      <c r="Z340" s="1">
        <v>1</v>
      </c>
      <c r="AA340" s="1" t="s">
        <v>109</v>
      </c>
      <c r="AB340" s="1" t="s">
        <v>109</v>
      </c>
      <c r="AC340" s="1">
        <v>3</v>
      </c>
      <c r="AD340" s="1" t="s">
        <v>109</v>
      </c>
      <c r="AE340" s="1" t="s">
        <v>109</v>
      </c>
      <c r="AF340" s="1" t="s">
        <v>109</v>
      </c>
      <c r="AG340" s="1" t="s">
        <v>109</v>
      </c>
      <c r="AH340" s="1" t="s">
        <v>109</v>
      </c>
      <c r="AI340" s="1" t="s">
        <v>109</v>
      </c>
      <c r="AJ340" s="1" t="s">
        <v>109</v>
      </c>
      <c r="AK340" s="1">
        <v>3</v>
      </c>
      <c r="AL340" s="1">
        <v>3</v>
      </c>
      <c r="AM340" s="1" t="s">
        <v>109</v>
      </c>
      <c r="AN340" s="1" t="s">
        <v>109</v>
      </c>
      <c r="AO340" s="1" t="s">
        <v>109</v>
      </c>
      <c r="AP340" s="1"/>
      <c r="AQ340" s="1">
        <v>3</v>
      </c>
      <c r="AR340" s="1" t="s">
        <v>3181</v>
      </c>
      <c r="AS340" s="1" t="s">
        <v>3182</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5" t="str">
        <f>HYPERLINK("http://www.d20pfsrd.com/magic/all-spells/m/magic-vestment","Magic Vestment")</f>
        <v>Magic Vestment</v>
      </c>
      <c r="BT340" s="1">
        <v>340</v>
      </c>
      <c r="BU340" s="1" t="s">
        <v>109</v>
      </c>
      <c r="BV340" s="1"/>
      <c r="BW340" s="1" t="s">
        <v>3183</v>
      </c>
      <c r="BX340" s="1" t="s">
        <v>3184</v>
      </c>
      <c r="BY340" s="1" t="s">
        <v>3185</v>
      </c>
      <c r="BZ340" s="1">
        <v>1</v>
      </c>
      <c r="CA340" s="1" t="s">
        <v>109</v>
      </c>
      <c r="CB340" s="1">
        <v>3</v>
      </c>
      <c r="CC340" s="1" t="s">
        <v>109</v>
      </c>
      <c r="CD340" s="1" t="s">
        <v>109</v>
      </c>
      <c r="CE340" s="1" t="s">
        <v>109</v>
      </c>
      <c r="CF340" s="1">
        <v>3</v>
      </c>
      <c r="CG340" s="1" t="s">
        <v>109</v>
      </c>
      <c r="CH340" s="1" t="s">
        <v>109</v>
      </c>
      <c r="CI340" s="1" t="s">
        <v>109</v>
      </c>
      <c r="CJ340" s="1" t="s">
        <v>109</v>
      </c>
      <c r="CK340" s="1"/>
      <c r="CL340" s="1">
        <v>0</v>
      </c>
      <c r="CM340" s="1">
        <v>0</v>
      </c>
      <c r="CN340" s="1">
        <v>0</v>
      </c>
    </row>
    <row r="341" spans="1:92" ht="14.25" customHeight="1" x14ac:dyDescent="0.15">
      <c r="A341" s="1" t="s">
        <v>3186</v>
      </c>
      <c r="B341" s="1" t="s">
        <v>189</v>
      </c>
      <c r="C341" s="1"/>
      <c r="D341" s="1"/>
      <c r="E341" s="1" t="s">
        <v>3187</v>
      </c>
      <c r="F341" s="1" t="s">
        <v>98</v>
      </c>
      <c r="G341" s="1" t="s">
        <v>160</v>
      </c>
      <c r="H341" s="1">
        <v>0</v>
      </c>
      <c r="I341" s="1" t="s">
        <v>161</v>
      </c>
      <c r="J341" s="1"/>
      <c r="K341" s="1"/>
      <c r="L341" s="1" t="s">
        <v>639</v>
      </c>
      <c r="M341" s="1" t="s">
        <v>164</v>
      </c>
      <c r="N341" s="1">
        <v>0</v>
      </c>
      <c r="O341" s="1">
        <v>0</v>
      </c>
      <c r="P341" s="1" t="s">
        <v>215</v>
      </c>
      <c r="Q341" s="1" t="s">
        <v>216</v>
      </c>
      <c r="R341" s="1" t="s">
        <v>3188</v>
      </c>
      <c r="S341" s="1" t="s">
        <v>3189</v>
      </c>
      <c r="T341" s="1" t="s">
        <v>107</v>
      </c>
      <c r="U341" s="1" t="s">
        <v>3190</v>
      </c>
      <c r="V341" s="1">
        <v>1</v>
      </c>
      <c r="W341" s="1">
        <v>1</v>
      </c>
      <c r="X341" s="1">
        <v>0</v>
      </c>
      <c r="Y341" s="1">
        <v>0</v>
      </c>
      <c r="Z341" s="1">
        <v>1</v>
      </c>
      <c r="AA341" s="1">
        <v>1</v>
      </c>
      <c r="AB341" s="1">
        <v>1</v>
      </c>
      <c r="AC341" s="1">
        <v>1</v>
      </c>
      <c r="AD341" s="1" t="s">
        <v>109</v>
      </c>
      <c r="AE341" s="1" t="s">
        <v>109</v>
      </c>
      <c r="AF341" s="1" t="s">
        <v>109</v>
      </c>
      <c r="AG341" s="1">
        <v>1</v>
      </c>
      <c r="AH341" s="1" t="s">
        <v>109</v>
      </c>
      <c r="AI341" s="1" t="s">
        <v>109</v>
      </c>
      <c r="AJ341" s="1" t="s">
        <v>109</v>
      </c>
      <c r="AK341" s="1">
        <v>1</v>
      </c>
      <c r="AL341" s="1">
        <v>1</v>
      </c>
      <c r="AM341" s="1">
        <v>1</v>
      </c>
      <c r="AN341" s="1">
        <v>1</v>
      </c>
      <c r="AO341" s="1" t="s">
        <v>109</v>
      </c>
      <c r="AP341" s="1"/>
      <c r="AQ341" s="1">
        <v>1</v>
      </c>
      <c r="AR341" s="1" t="s">
        <v>3191</v>
      </c>
      <c r="AS341" s="1" t="s">
        <v>3192</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5" t="str">
        <f>HYPERLINK("http://www.d20pfsrd.com/magic/all-spells/m/magic-weapon","Magic Weapon")</f>
        <v>Magic Weapon</v>
      </c>
      <c r="BT341" s="1">
        <v>341</v>
      </c>
      <c r="BU341" s="1" t="s">
        <v>109</v>
      </c>
      <c r="BV341" s="1"/>
      <c r="BW341" s="1"/>
      <c r="BX341" s="1"/>
      <c r="BY341" s="1"/>
      <c r="BZ341" s="1">
        <v>0</v>
      </c>
      <c r="CA341" s="1">
        <v>1</v>
      </c>
      <c r="CB341" s="1">
        <v>1</v>
      </c>
      <c r="CC341" s="1" t="s">
        <v>109</v>
      </c>
      <c r="CD341" s="1" t="s">
        <v>109</v>
      </c>
      <c r="CE341" s="1" t="s">
        <v>109</v>
      </c>
      <c r="CF341" s="1">
        <v>1</v>
      </c>
      <c r="CG341" s="1" t="s">
        <v>109</v>
      </c>
      <c r="CH341" s="1" t="s">
        <v>109</v>
      </c>
      <c r="CI341" s="1" t="s">
        <v>109</v>
      </c>
      <c r="CJ341" s="1" t="s">
        <v>109</v>
      </c>
      <c r="CK341" s="1"/>
      <c r="CL341" s="1">
        <v>0</v>
      </c>
      <c r="CM341" s="1">
        <v>0</v>
      </c>
      <c r="CN341" s="1">
        <v>0</v>
      </c>
    </row>
    <row r="342" spans="1:92" ht="14.25" customHeight="1" x14ac:dyDescent="0.15">
      <c r="A342" s="1" t="s">
        <v>3193</v>
      </c>
      <c r="B342" s="1" t="s">
        <v>189</v>
      </c>
      <c r="C342" s="1"/>
      <c r="D342" s="1"/>
      <c r="E342" s="1" t="s">
        <v>3194</v>
      </c>
      <c r="F342" s="1" t="s">
        <v>98</v>
      </c>
      <c r="G342" s="1" t="s">
        <v>3195</v>
      </c>
      <c r="H342" s="1">
        <v>0</v>
      </c>
      <c r="I342" s="1" t="s">
        <v>142</v>
      </c>
      <c r="J342" s="1"/>
      <c r="K342" s="1"/>
      <c r="L342" s="1" t="s">
        <v>3196</v>
      </c>
      <c r="M342" s="1" t="s">
        <v>289</v>
      </c>
      <c r="N342" s="1">
        <v>0</v>
      </c>
      <c r="O342" s="1">
        <v>0</v>
      </c>
      <c r="P342" s="1" t="s">
        <v>215</v>
      </c>
      <c r="Q342" s="1" t="s">
        <v>216</v>
      </c>
      <c r="R342" s="1" t="s">
        <v>3197</v>
      </c>
      <c r="S342" s="1" t="s">
        <v>3198</v>
      </c>
      <c r="T342" s="1" t="s">
        <v>107</v>
      </c>
      <c r="U342" s="1" t="s">
        <v>3199</v>
      </c>
      <c r="V342" s="1">
        <v>1</v>
      </c>
      <c r="W342" s="1">
        <v>1</v>
      </c>
      <c r="X342" s="1">
        <v>1</v>
      </c>
      <c r="Y342" s="1">
        <v>0</v>
      </c>
      <c r="Z342" s="1">
        <v>1</v>
      </c>
      <c r="AA342" s="1">
        <v>3</v>
      </c>
      <c r="AB342" s="1">
        <v>3</v>
      </c>
      <c r="AC342" s="1">
        <v>4</v>
      </c>
      <c r="AD342" s="1" t="s">
        <v>109</v>
      </c>
      <c r="AE342" s="1" t="s">
        <v>109</v>
      </c>
      <c r="AF342" s="1" t="s">
        <v>109</v>
      </c>
      <c r="AG342" s="1">
        <v>3</v>
      </c>
      <c r="AH342" s="1" t="s">
        <v>109</v>
      </c>
      <c r="AI342" s="1" t="s">
        <v>109</v>
      </c>
      <c r="AJ342" s="1" t="s">
        <v>109</v>
      </c>
      <c r="AK342" s="1">
        <v>3</v>
      </c>
      <c r="AL342" s="1">
        <v>4</v>
      </c>
      <c r="AM342" s="1">
        <v>3</v>
      </c>
      <c r="AN342" s="1">
        <v>3</v>
      </c>
      <c r="AO342" s="1" t="s">
        <v>109</v>
      </c>
      <c r="AP342" s="1"/>
      <c r="AQ342" s="1">
        <v>3</v>
      </c>
      <c r="AR342" s="1"/>
      <c r="AS342" s="1" t="s">
        <v>3200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5" t="str">
        <f>HYPERLINK("http://www.d20pfsrd.com/magic/all-spells/m/magic-weapon","Magic Weapon, Greater")</f>
        <v>Magic Weapon, Greater</v>
      </c>
      <c r="BT342" s="1">
        <v>342</v>
      </c>
      <c r="BU342" s="1" t="s">
        <v>109</v>
      </c>
      <c r="BV342" s="1" t="s">
        <v>3201</v>
      </c>
      <c r="BW342" s="1" t="s">
        <v>3202</v>
      </c>
      <c r="BX342" s="1" t="s">
        <v>3203</v>
      </c>
      <c r="BY342" s="1" t="s">
        <v>3204</v>
      </c>
      <c r="BZ342" s="1">
        <v>1</v>
      </c>
      <c r="CA342" s="1">
        <v>3</v>
      </c>
      <c r="CB342" s="1">
        <v>4</v>
      </c>
      <c r="CC342" s="1" t="s">
        <v>109</v>
      </c>
      <c r="CD342" s="1" t="s">
        <v>109</v>
      </c>
      <c r="CE342" s="1" t="s">
        <v>109</v>
      </c>
      <c r="CF342" s="1">
        <v>3</v>
      </c>
      <c r="CG342" s="1" t="s">
        <v>109</v>
      </c>
      <c r="CH342" s="1" t="s">
        <v>109</v>
      </c>
      <c r="CI342" s="1" t="s">
        <v>109</v>
      </c>
      <c r="CJ342" s="1" t="s">
        <v>109</v>
      </c>
      <c r="CK342" s="1"/>
      <c r="CL342" s="1">
        <v>0</v>
      </c>
      <c r="CM342" s="1">
        <v>0</v>
      </c>
      <c r="CN342" s="1">
        <v>0</v>
      </c>
    </row>
    <row r="343" spans="1:92" ht="14.25" customHeight="1" x14ac:dyDescent="0.15">
      <c r="A343" s="1" t="s">
        <v>3205</v>
      </c>
      <c r="B343" s="1" t="s">
        <v>95</v>
      </c>
      <c r="C343" s="1" t="s">
        <v>96</v>
      </c>
      <c r="D343" s="1"/>
      <c r="E343" s="1" t="s">
        <v>3206</v>
      </c>
      <c r="F343" s="1" t="s">
        <v>277</v>
      </c>
      <c r="G343" s="1" t="s">
        <v>3207</v>
      </c>
      <c r="H343" s="1">
        <v>0</v>
      </c>
      <c r="I343" s="1" t="s">
        <v>925</v>
      </c>
      <c r="J343" s="1"/>
      <c r="K343" s="1" t="s">
        <v>3208</v>
      </c>
      <c r="L343" s="1"/>
      <c r="M343" s="1" t="s">
        <v>289</v>
      </c>
      <c r="N343" s="1">
        <v>1</v>
      </c>
      <c r="O343" s="1">
        <v>0</v>
      </c>
      <c r="P343" s="1" t="s">
        <v>103</v>
      </c>
      <c r="Q343" s="1" t="s">
        <v>104</v>
      </c>
      <c r="R343" s="1" t="s">
        <v>3209</v>
      </c>
      <c r="S343" s="1" t="s">
        <v>3210</v>
      </c>
      <c r="T343" s="1" t="s">
        <v>107</v>
      </c>
      <c r="U343" s="1" t="s">
        <v>3211</v>
      </c>
      <c r="V343" s="1">
        <v>1</v>
      </c>
      <c r="W343" s="1">
        <v>1</v>
      </c>
      <c r="X343" s="1">
        <v>1</v>
      </c>
      <c r="Y343" s="1">
        <v>0</v>
      </c>
      <c r="Z343" s="1">
        <v>0</v>
      </c>
      <c r="AA343" s="1">
        <v>4</v>
      </c>
      <c r="AB343" s="1">
        <v>4</v>
      </c>
      <c r="AC343" s="1" t="s">
        <v>109</v>
      </c>
      <c r="AD343" s="1" t="s">
        <v>109</v>
      </c>
      <c r="AE343" s="1" t="s">
        <v>109</v>
      </c>
      <c r="AF343" s="1" t="s">
        <v>109</v>
      </c>
      <c r="AG343" s="1" t="s">
        <v>109</v>
      </c>
      <c r="AH343" s="1" t="s">
        <v>109</v>
      </c>
      <c r="AI343" s="1">
        <v>3</v>
      </c>
      <c r="AJ343" s="1">
        <v>4</v>
      </c>
      <c r="AK343" s="1" t="s">
        <v>109</v>
      </c>
      <c r="AL343" s="1" t="s">
        <v>109</v>
      </c>
      <c r="AM343" s="1" t="s">
        <v>109</v>
      </c>
      <c r="AN343" s="1" t="s">
        <v>109</v>
      </c>
      <c r="AO343" s="1">
        <v>4</v>
      </c>
      <c r="AP343" s="1"/>
      <c r="AQ343" s="1">
        <v>4</v>
      </c>
      <c r="AR343" s="1" t="s">
        <v>3212</v>
      </c>
      <c r="AS343" s="1" t="s">
        <v>3213</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5" t="str">
        <f>HYPERLINK("http://www.d20pfsrd.com/magic/all-spells/m/minor-creation","Minor Creation")</f>
        <v>Minor Creation</v>
      </c>
      <c r="BT343" s="1">
        <v>343</v>
      </c>
      <c r="BU343" s="1" t="s">
        <v>109</v>
      </c>
      <c r="BV343" s="1" t="s">
        <v>3214</v>
      </c>
      <c r="BW343" s="1"/>
      <c r="BX343" s="1"/>
      <c r="BY343" s="1"/>
      <c r="BZ343" s="1">
        <v>0</v>
      </c>
      <c r="CA343" s="1" t="s">
        <v>109</v>
      </c>
      <c r="CB343" s="1" t="s">
        <v>109</v>
      </c>
      <c r="CC343" s="1">
        <v>4</v>
      </c>
      <c r="CD343" s="1" t="s">
        <v>109</v>
      </c>
      <c r="CE343" s="1" t="s">
        <v>109</v>
      </c>
      <c r="CF343" s="1">
        <v>3</v>
      </c>
      <c r="CG343" s="1">
        <v>3</v>
      </c>
      <c r="CH343" s="1" t="s">
        <v>109</v>
      </c>
      <c r="CI343" s="1" t="s">
        <v>109</v>
      </c>
      <c r="CJ343" s="1" t="s">
        <v>109</v>
      </c>
      <c r="CK343" s="1"/>
      <c r="CL343" s="1">
        <v>0</v>
      </c>
      <c r="CM343" s="1">
        <v>0</v>
      </c>
      <c r="CN343" s="1">
        <v>0</v>
      </c>
    </row>
    <row r="344" spans="1:92" ht="14.25" customHeight="1" x14ac:dyDescent="0.15">
      <c r="A344" s="1" t="s">
        <v>3215</v>
      </c>
      <c r="B344" s="1" t="s">
        <v>95</v>
      </c>
      <c r="C344" s="1" t="s">
        <v>96</v>
      </c>
      <c r="D344" s="1"/>
      <c r="E344" s="1" t="s">
        <v>3216</v>
      </c>
      <c r="F344" s="1" t="s">
        <v>395</v>
      </c>
      <c r="G344" s="1" t="s">
        <v>3207</v>
      </c>
      <c r="H344" s="1">
        <v>0</v>
      </c>
      <c r="I344" s="1" t="s">
        <v>142</v>
      </c>
      <c r="J344" s="1"/>
      <c r="K344" s="1" t="s">
        <v>3208</v>
      </c>
      <c r="L344" s="1"/>
      <c r="M344" s="1" t="s">
        <v>211</v>
      </c>
      <c r="N344" s="1">
        <v>0</v>
      </c>
      <c r="O344" s="1">
        <v>0</v>
      </c>
      <c r="P344" s="1" t="s">
        <v>103</v>
      </c>
      <c r="Q344" s="1" t="s">
        <v>104</v>
      </c>
      <c r="R344" s="1" t="s">
        <v>3217</v>
      </c>
      <c r="S344" s="1" t="s">
        <v>3218</v>
      </c>
      <c r="T344" s="1" t="s">
        <v>107</v>
      </c>
      <c r="U344" s="1" t="s">
        <v>3219</v>
      </c>
      <c r="V344" s="1">
        <v>1</v>
      </c>
      <c r="W344" s="1">
        <v>1</v>
      </c>
      <c r="X344" s="1">
        <v>1</v>
      </c>
      <c r="Y344" s="1">
        <v>0</v>
      </c>
      <c r="Z344" s="1">
        <v>0</v>
      </c>
      <c r="AA344" s="1">
        <v>5</v>
      </c>
      <c r="AB344" s="1">
        <v>5</v>
      </c>
      <c r="AC344" s="1" t="s">
        <v>109</v>
      </c>
      <c r="AD344" s="1" t="s">
        <v>109</v>
      </c>
      <c r="AE344" s="1" t="s">
        <v>109</v>
      </c>
      <c r="AF344" s="1" t="s">
        <v>109</v>
      </c>
      <c r="AG344" s="1" t="s">
        <v>109</v>
      </c>
      <c r="AH344" s="1" t="s">
        <v>109</v>
      </c>
      <c r="AI344" s="1">
        <v>4</v>
      </c>
      <c r="AJ344" s="1">
        <v>5</v>
      </c>
      <c r="AK344" s="1" t="s">
        <v>109</v>
      </c>
      <c r="AL344" s="1" t="s">
        <v>109</v>
      </c>
      <c r="AM344" s="1" t="s">
        <v>109</v>
      </c>
      <c r="AN344" s="1" t="s">
        <v>109</v>
      </c>
      <c r="AO344" s="1">
        <v>5</v>
      </c>
      <c r="AP344" s="1"/>
      <c r="AQ344" s="1">
        <v>5</v>
      </c>
      <c r="AR344" s="1" t="s">
        <v>3220</v>
      </c>
      <c r="AS344" s="1" t="s">
        <v>3221</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5" t="str">
        <f>HYPERLINK("http://www.d20pfsrd.com/magic/all-spells/m/major-creation","Major Creation")</f>
        <v>Major Creation</v>
      </c>
      <c r="BT344" s="1">
        <v>344</v>
      </c>
      <c r="BU344" s="1" t="s">
        <v>109</v>
      </c>
      <c r="BV344" s="1" t="s">
        <v>3222</v>
      </c>
      <c r="BW344" s="1"/>
      <c r="BX344" s="1"/>
      <c r="BY344" s="1"/>
      <c r="BZ344" s="1">
        <v>0</v>
      </c>
      <c r="CA344" s="1" t="s">
        <v>109</v>
      </c>
      <c r="CB344" s="1" t="s">
        <v>109</v>
      </c>
      <c r="CC344" s="1">
        <v>5</v>
      </c>
      <c r="CD344" s="1" t="s">
        <v>109</v>
      </c>
      <c r="CE344" s="1" t="s">
        <v>109</v>
      </c>
      <c r="CF344" s="1">
        <v>4</v>
      </c>
      <c r="CG344" s="1" t="s">
        <v>109</v>
      </c>
      <c r="CH344" s="1" t="s">
        <v>109</v>
      </c>
      <c r="CI344" s="1" t="s">
        <v>109</v>
      </c>
      <c r="CJ344" s="1" t="s">
        <v>109</v>
      </c>
      <c r="CK344" s="1"/>
      <c r="CL344" s="1">
        <v>0</v>
      </c>
      <c r="CM344" s="1">
        <v>0</v>
      </c>
      <c r="CN344" s="1">
        <v>0</v>
      </c>
    </row>
    <row r="345" spans="1:92" ht="14.25" customHeight="1" x14ac:dyDescent="0.15">
      <c r="A345" s="1" t="s">
        <v>3223</v>
      </c>
      <c r="B345" s="1" t="s">
        <v>674</v>
      </c>
      <c r="C345" s="1" t="s">
        <v>2300</v>
      </c>
      <c r="D345" s="1"/>
      <c r="E345" s="1" t="s">
        <v>3224</v>
      </c>
      <c r="F345" s="1" t="s">
        <v>98</v>
      </c>
      <c r="G345" s="1" t="s">
        <v>3225</v>
      </c>
      <c r="H345" s="1">
        <v>0</v>
      </c>
      <c r="I345" s="1" t="s">
        <v>100</v>
      </c>
      <c r="J345" s="1"/>
      <c r="K345" s="1" t="s">
        <v>3226</v>
      </c>
      <c r="L345" s="1"/>
      <c r="M345" s="1" t="s">
        <v>3227</v>
      </c>
      <c r="N345" s="1">
        <v>0</v>
      </c>
      <c r="O345" s="1">
        <v>0</v>
      </c>
      <c r="P345" s="1" t="s">
        <v>2465</v>
      </c>
      <c r="Q345" s="1" t="s">
        <v>104</v>
      </c>
      <c r="R345" s="1" t="s">
        <v>3228</v>
      </c>
      <c r="S345" s="1" t="s">
        <v>3229</v>
      </c>
      <c r="T345" s="1" t="s">
        <v>107</v>
      </c>
      <c r="U345" s="1" t="s">
        <v>3230</v>
      </c>
      <c r="V345" s="1">
        <v>1</v>
      </c>
      <c r="W345" s="1">
        <v>1</v>
      </c>
      <c r="X345" s="1">
        <v>0</v>
      </c>
      <c r="Y345" s="1">
        <v>1</v>
      </c>
      <c r="Z345" s="1">
        <v>0</v>
      </c>
      <c r="AA345" s="1">
        <v>3</v>
      </c>
      <c r="AB345" s="1">
        <v>3</v>
      </c>
      <c r="AC345" s="1" t="s">
        <v>109</v>
      </c>
      <c r="AD345" s="1" t="s">
        <v>109</v>
      </c>
      <c r="AE345" s="1" t="s">
        <v>109</v>
      </c>
      <c r="AF345" s="1">
        <v>3</v>
      </c>
      <c r="AG345" s="1" t="s">
        <v>109</v>
      </c>
      <c r="AH345" s="1" t="s">
        <v>109</v>
      </c>
      <c r="AI345" s="1" t="s">
        <v>109</v>
      </c>
      <c r="AJ345" s="1" t="s">
        <v>109</v>
      </c>
      <c r="AK345" s="1" t="s">
        <v>109</v>
      </c>
      <c r="AL345" s="1" t="s">
        <v>109</v>
      </c>
      <c r="AM345" s="1" t="s">
        <v>109</v>
      </c>
      <c r="AN345" s="1">
        <v>3</v>
      </c>
      <c r="AO345" s="1" t="s">
        <v>109</v>
      </c>
      <c r="AP345" s="1"/>
      <c r="AQ345" s="1">
        <v>3</v>
      </c>
      <c r="AR345" s="1" t="s">
        <v>3231</v>
      </c>
      <c r="AS345" s="1" t="s">
        <v>3232</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5" t="str">
        <f>HYPERLINK("http://www.d20pfsrd.com/magic/all-spells/m/major-image","Major Image")</f>
        <v>Major Image</v>
      </c>
      <c r="BT345" s="1">
        <v>345</v>
      </c>
      <c r="BU345" s="1" t="s">
        <v>109</v>
      </c>
      <c r="BV345" s="1"/>
      <c r="BW345" s="1" t="s">
        <v>3233</v>
      </c>
      <c r="BX345" s="1"/>
      <c r="BY345" s="1"/>
      <c r="BZ345" s="1">
        <v>0</v>
      </c>
      <c r="CA345" s="1" t="s">
        <v>109</v>
      </c>
      <c r="CB345" s="1" t="s">
        <v>109</v>
      </c>
      <c r="CC345" s="1">
        <v>3</v>
      </c>
      <c r="CD345" s="1" t="s">
        <v>109</v>
      </c>
      <c r="CE345" s="1">
        <v>3</v>
      </c>
      <c r="CF345" s="1">
        <v>3</v>
      </c>
      <c r="CG345" s="1" t="s">
        <v>109</v>
      </c>
      <c r="CH345" s="1" t="s">
        <v>109</v>
      </c>
      <c r="CI345" s="1" t="s">
        <v>109</v>
      </c>
      <c r="CJ345" s="1" t="s">
        <v>109</v>
      </c>
      <c r="CK345" s="1"/>
      <c r="CL345" s="1">
        <v>0</v>
      </c>
      <c r="CM345" s="1">
        <v>0</v>
      </c>
      <c r="CN345" s="1">
        <v>0</v>
      </c>
    </row>
    <row r="346" spans="1:92" ht="14.25" customHeight="1" x14ac:dyDescent="0.15">
      <c r="A346" s="1" t="s">
        <v>3234</v>
      </c>
      <c r="B346" s="1" t="s">
        <v>189</v>
      </c>
      <c r="C346" s="1"/>
      <c r="D346" s="1"/>
      <c r="E346" s="1" t="s">
        <v>3235</v>
      </c>
      <c r="F346" s="1" t="s">
        <v>395</v>
      </c>
      <c r="G346" s="1" t="s">
        <v>141</v>
      </c>
      <c r="H346" s="1">
        <v>0</v>
      </c>
      <c r="I346" s="1" t="s">
        <v>142</v>
      </c>
      <c r="J346" s="1"/>
      <c r="K346" s="1"/>
      <c r="L346" s="1" t="s">
        <v>3236</v>
      </c>
      <c r="M346" s="1" t="s">
        <v>144</v>
      </c>
      <c r="N346" s="1">
        <v>0</v>
      </c>
      <c r="O346" s="1">
        <v>0</v>
      </c>
      <c r="P346" s="1" t="s">
        <v>215</v>
      </c>
      <c r="Q346" s="1" t="s">
        <v>216</v>
      </c>
      <c r="R346" s="1" t="s">
        <v>3237</v>
      </c>
      <c r="S346" s="1" t="s">
        <v>3238</v>
      </c>
      <c r="T346" s="1" t="s">
        <v>107</v>
      </c>
      <c r="U346" s="1" t="s">
        <v>3239</v>
      </c>
      <c r="V346" s="1">
        <v>1</v>
      </c>
      <c r="W346" s="1">
        <v>1</v>
      </c>
      <c r="X346" s="1">
        <v>0</v>
      </c>
      <c r="Y346" s="1">
        <v>0</v>
      </c>
      <c r="Z346" s="1">
        <v>0</v>
      </c>
      <c r="AA346" s="1">
        <v>2</v>
      </c>
      <c r="AB346" s="1">
        <v>2</v>
      </c>
      <c r="AC346" s="1">
        <v>2</v>
      </c>
      <c r="AD346" s="1" t="s">
        <v>109</v>
      </c>
      <c r="AE346" s="1" t="s">
        <v>109</v>
      </c>
      <c r="AF346" s="1" t="s">
        <v>109</v>
      </c>
      <c r="AG346" s="1" t="s">
        <v>109</v>
      </c>
      <c r="AH346" s="1" t="s">
        <v>109</v>
      </c>
      <c r="AI346" s="1" t="s">
        <v>109</v>
      </c>
      <c r="AJ346" s="1" t="s">
        <v>109</v>
      </c>
      <c r="AK346" s="1" t="s">
        <v>109</v>
      </c>
      <c r="AL346" s="1">
        <v>2</v>
      </c>
      <c r="AM346" s="1" t="s">
        <v>109</v>
      </c>
      <c r="AN346" s="1" t="s">
        <v>109</v>
      </c>
      <c r="AO346" s="1" t="s">
        <v>109</v>
      </c>
      <c r="AP346" s="1"/>
      <c r="AQ346" s="1">
        <v>2</v>
      </c>
      <c r="AR346" s="1" t="s">
        <v>3240</v>
      </c>
      <c r="AS346" s="1" t="s">
        <v>3241</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5" t="str">
        <f>HYPERLINK("http://www.d20pfsrd.com/magic/all-spells/m/make-whole","Make Whole")</f>
        <v>Make Whole</v>
      </c>
      <c r="BT346" s="1">
        <v>346</v>
      </c>
      <c r="BU346" s="1" t="s">
        <v>109</v>
      </c>
      <c r="BV346" s="1" t="s">
        <v>3242</v>
      </c>
      <c r="BW346" s="1"/>
      <c r="BX346" s="1" t="s">
        <v>3243</v>
      </c>
      <c r="BY346" s="1"/>
      <c r="BZ346" s="1">
        <v>1</v>
      </c>
      <c r="CA346" s="1" t="s">
        <v>109</v>
      </c>
      <c r="CB346" s="1" t="s">
        <v>109</v>
      </c>
      <c r="CC346" s="1">
        <v>2</v>
      </c>
      <c r="CD346" s="1" t="s">
        <v>109</v>
      </c>
      <c r="CE346" s="1" t="s">
        <v>109</v>
      </c>
      <c r="CF346" s="1">
        <v>2</v>
      </c>
      <c r="CG346" s="1" t="s">
        <v>109</v>
      </c>
      <c r="CH346" s="1" t="s">
        <v>109</v>
      </c>
      <c r="CI346" s="1" t="s">
        <v>109</v>
      </c>
      <c r="CJ346" s="1" t="s">
        <v>109</v>
      </c>
      <c r="CK346" s="1"/>
      <c r="CL346" s="1">
        <v>0</v>
      </c>
      <c r="CM346" s="1">
        <v>0</v>
      </c>
      <c r="CN346" s="1">
        <v>0</v>
      </c>
    </row>
    <row r="347" spans="1:92" ht="14.25" customHeight="1" x14ac:dyDescent="0.15">
      <c r="A347" s="1" t="s">
        <v>3244</v>
      </c>
      <c r="B347" s="1" t="s">
        <v>308</v>
      </c>
      <c r="C347" s="1"/>
      <c r="D347" s="1" t="s">
        <v>50</v>
      </c>
      <c r="E347" s="1" t="s">
        <v>3245</v>
      </c>
      <c r="F347" s="1" t="s">
        <v>395</v>
      </c>
      <c r="G347" s="1" t="s">
        <v>160</v>
      </c>
      <c r="H347" s="1">
        <v>0</v>
      </c>
      <c r="I347" s="1" t="s">
        <v>161</v>
      </c>
      <c r="J347" s="1"/>
      <c r="K347" s="1"/>
      <c r="L347" s="1" t="s">
        <v>506</v>
      </c>
      <c r="M347" s="1" t="s">
        <v>3246</v>
      </c>
      <c r="N347" s="1">
        <v>0</v>
      </c>
      <c r="O347" s="1">
        <v>0</v>
      </c>
      <c r="P347" s="1" t="s">
        <v>103</v>
      </c>
      <c r="Q347" s="1" t="s">
        <v>268</v>
      </c>
      <c r="R347" s="1" t="s">
        <v>3247</v>
      </c>
      <c r="S347" s="1" t="s">
        <v>3248</v>
      </c>
      <c r="T347" s="1" t="s">
        <v>107</v>
      </c>
      <c r="U347" s="1" t="s">
        <v>3249</v>
      </c>
      <c r="V347" s="1">
        <v>1</v>
      </c>
      <c r="W347" s="1">
        <v>1</v>
      </c>
      <c r="X347" s="1">
        <v>0</v>
      </c>
      <c r="Y347" s="1">
        <v>0</v>
      </c>
      <c r="Z347" s="1">
        <v>1</v>
      </c>
      <c r="AA347" s="1" t="s">
        <v>109</v>
      </c>
      <c r="AB347" s="1" t="s">
        <v>109</v>
      </c>
      <c r="AC347" s="1">
        <v>5</v>
      </c>
      <c r="AD347" s="1" t="s">
        <v>109</v>
      </c>
      <c r="AE347" s="1" t="s">
        <v>109</v>
      </c>
      <c r="AF347" s="1" t="s">
        <v>109</v>
      </c>
      <c r="AG347" s="1">
        <v>4</v>
      </c>
      <c r="AH347" s="1" t="s">
        <v>109</v>
      </c>
      <c r="AI347" s="1" t="s">
        <v>109</v>
      </c>
      <c r="AJ347" s="1">
        <v>5</v>
      </c>
      <c r="AK347" s="1">
        <v>5</v>
      </c>
      <c r="AL347" s="1">
        <v>5</v>
      </c>
      <c r="AM347" s="1" t="s">
        <v>109</v>
      </c>
      <c r="AN347" s="1" t="s">
        <v>109</v>
      </c>
      <c r="AO347" s="1" t="s">
        <v>109</v>
      </c>
      <c r="AP347" s="1"/>
      <c r="AQ347" s="1">
        <v>5</v>
      </c>
      <c r="AR347" s="1" t="s">
        <v>3250</v>
      </c>
      <c r="AS347" s="1" t="s">
        <v>3251</v>
      </c>
      <c r="AT347" s="1">
        <v>0</v>
      </c>
      <c r="AU347" s="1">
        <v>0</v>
      </c>
      <c r="AV347" s="1">
        <v>0</v>
      </c>
      <c r="AW347" s="1">
        <v>0</v>
      </c>
      <c r="AX347" s="1">
        <v>1</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5" t="str">
        <f>HYPERLINK("http://www.d20pfsrd.com/magic/all-spells/m/mark-of-justice","Mark of Justice")</f>
        <v>Mark of Justice</v>
      </c>
      <c r="BT347" s="1">
        <v>347</v>
      </c>
      <c r="BU347" s="1" t="s">
        <v>109</v>
      </c>
      <c r="BV347" s="1"/>
      <c r="BW347" s="1"/>
      <c r="BX347" s="1"/>
      <c r="BY347" s="1"/>
      <c r="BZ347" s="1">
        <v>0</v>
      </c>
      <c r="CA347" s="1" t="s">
        <v>109</v>
      </c>
      <c r="CB347" s="1" t="s">
        <v>109</v>
      </c>
      <c r="CC347" s="1" t="s">
        <v>109</v>
      </c>
      <c r="CD347" s="1" t="s">
        <v>109</v>
      </c>
      <c r="CE347" s="1" t="s">
        <v>109</v>
      </c>
      <c r="CF347" s="1" t="s">
        <v>109</v>
      </c>
      <c r="CG347" s="1" t="s">
        <v>109</v>
      </c>
      <c r="CH347" s="1" t="s">
        <v>109</v>
      </c>
      <c r="CI347" s="1" t="s">
        <v>109</v>
      </c>
      <c r="CJ347" s="1" t="s">
        <v>109</v>
      </c>
      <c r="CK347" s="1"/>
      <c r="CL347" s="1">
        <v>0</v>
      </c>
      <c r="CM347" s="1">
        <v>0</v>
      </c>
      <c r="CN347" s="1">
        <v>0</v>
      </c>
    </row>
    <row r="348" spans="1:92" ht="14.25" customHeight="1" x14ac:dyDescent="0.15">
      <c r="A348" s="1" t="s">
        <v>3252</v>
      </c>
      <c r="B348" s="1" t="s">
        <v>95</v>
      </c>
      <c r="C348" s="1" t="s">
        <v>1522</v>
      </c>
      <c r="D348" s="1"/>
      <c r="E348" s="1" t="s">
        <v>3253</v>
      </c>
      <c r="F348" s="1" t="s">
        <v>98</v>
      </c>
      <c r="G348" s="1" t="s">
        <v>141</v>
      </c>
      <c r="H348" s="1">
        <v>0</v>
      </c>
      <c r="I348" s="1" t="s">
        <v>142</v>
      </c>
      <c r="J348" s="1"/>
      <c r="K348" s="1"/>
      <c r="L348" s="1" t="s">
        <v>1391</v>
      </c>
      <c r="M348" s="1" t="s">
        <v>211</v>
      </c>
      <c r="N348" s="1">
        <v>0</v>
      </c>
      <c r="O348" s="1">
        <v>0</v>
      </c>
      <c r="P348" s="1" t="s">
        <v>103</v>
      </c>
      <c r="Q348" s="1" t="s">
        <v>268</v>
      </c>
      <c r="R348" s="1" t="s">
        <v>3254</v>
      </c>
      <c r="S348" s="1" t="s">
        <v>3255</v>
      </c>
      <c r="T348" s="1" t="s">
        <v>107</v>
      </c>
      <c r="U348" s="1" t="s">
        <v>3256</v>
      </c>
      <c r="V348" s="1">
        <v>1</v>
      </c>
      <c r="W348" s="1">
        <v>1</v>
      </c>
      <c r="X348" s="1">
        <v>0</v>
      </c>
      <c r="Y348" s="1">
        <v>0</v>
      </c>
      <c r="Z348" s="1">
        <v>0</v>
      </c>
      <c r="AA348" s="1">
        <v>8</v>
      </c>
      <c r="AB348" s="1">
        <v>8</v>
      </c>
      <c r="AC348" s="1" t="s">
        <v>109</v>
      </c>
      <c r="AD348" s="1" t="s">
        <v>109</v>
      </c>
      <c r="AE348" s="1" t="s">
        <v>109</v>
      </c>
      <c r="AF348" s="1" t="s">
        <v>109</v>
      </c>
      <c r="AG348" s="1" t="s">
        <v>109</v>
      </c>
      <c r="AH348" s="1" t="s">
        <v>109</v>
      </c>
      <c r="AI348" s="1">
        <v>6</v>
      </c>
      <c r="AJ348" s="1">
        <v>8</v>
      </c>
      <c r="AK348" s="1" t="s">
        <v>109</v>
      </c>
      <c r="AL348" s="1" t="s">
        <v>109</v>
      </c>
      <c r="AM348" s="1" t="s">
        <v>109</v>
      </c>
      <c r="AN348" s="1" t="s">
        <v>109</v>
      </c>
      <c r="AO348" s="1" t="s">
        <v>109</v>
      </c>
      <c r="AP348" s="1"/>
      <c r="AQ348" s="1">
        <v>8</v>
      </c>
      <c r="AR348" s="1"/>
      <c r="AS348" s="1" t="s">
        <v>3257</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5" t="str">
        <f>HYPERLINK("http://www.d20pfsrd.com/magic/all-spells/m/maze","Maze")</f>
        <v>Maze</v>
      </c>
      <c r="BT348" s="1">
        <v>348</v>
      </c>
      <c r="BU348" s="1" t="s">
        <v>109</v>
      </c>
      <c r="BV348" s="1"/>
      <c r="BW348" s="1"/>
      <c r="BX348" s="1" t="s">
        <v>3258</v>
      </c>
      <c r="BY348" s="1"/>
      <c r="BZ348" s="1">
        <v>1</v>
      </c>
      <c r="CA348" s="1" t="s">
        <v>109</v>
      </c>
      <c r="CB348" s="1" t="s">
        <v>109</v>
      </c>
      <c r="CC348" s="1">
        <v>8</v>
      </c>
      <c r="CD348" s="1" t="s">
        <v>109</v>
      </c>
      <c r="CE348" s="1" t="s">
        <v>109</v>
      </c>
      <c r="CF348" s="1" t="s">
        <v>109</v>
      </c>
      <c r="CG348" s="1" t="s">
        <v>109</v>
      </c>
      <c r="CH348" s="1" t="s">
        <v>109</v>
      </c>
      <c r="CI348" s="1" t="s">
        <v>109</v>
      </c>
      <c r="CJ348" s="1" t="s">
        <v>109</v>
      </c>
      <c r="CK348" s="1"/>
      <c r="CL348" s="1">
        <v>0</v>
      </c>
      <c r="CM348" s="1">
        <v>0</v>
      </c>
      <c r="CN348" s="1">
        <v>0</v>
      </c>
    </row>
    <row r="349" spans="1:92" ht="14.25" customHeight="1" x14ac:dyDescent="0.15">
      <c r="A349" s="1" t="s">
        <v>3259</v>
      </c>
      <c r="B349" s="1" t="s">
        <v>189</v>
      </c>
      <c r="C349" s="1"/>
      <c r="D349" s="1" t="s">
        <v>54</v>
      </c>
      <c r="E349" s="1" t="s">
        <v>3260</v>
      </c>
      <c r="F349" s="1" t="s">
        <v>98</v>
      </c>
      <c r="G349" s="1" t="s">
        <v>160</v>
      </c>
      <c r="H349" s="1">
        <v>0</v>
      </c>
      <c r="I349" s="1" t="s">
        <v>235</v>
      </c>
      <c r="J349" s="1"/>
      <c r="K349" s="1"/>
      <c r="L349" s="1" t="s">
        <v>236</v>
      </c>
      <c r="M349" s="1" t="s">
        <v>194</v>
      </c>
      <c r="N349" s="1">
        <v>0</v>
      </c>
      <c r="O349" s="1">
        <v>0</v>
      </c>
      <c r="P349" s="1"/>
      <c r="Q349" s="1"/>
      <c r="R349" s="1" t="s">
        <v>3261</v>
      </c>
      <c r="S349" s="1" t="s">
        <v>3262</v>
      </c>
      <c r="T349" s="1" t="s">
        <v>107</v>
      </c>
      <c r="U349" s="1" t="s">
        <v>3263</v>
      </c>
      <c r="V349" s="1">
        <v>1</v>
      </c>
      <c r="W349" s="1">
        <v>1</v>
      </c>
      <c r="X349" s="1">
        <v>0</v>
      </c>
      <c r="Y349" s="1">
        <v>0</v>
      </c>
      <c r="Z349" s="1">
        <v>1</v>
      </c>
      <c r="AA349" s="1" t="s">
        <v>109</v>
      </c>
      <c r="AB349" s="1" t="s">
        <v>109</v>
      </c>
      <c r="AC349" s="1">
        <v>3</v>
      </c>
      <c r="AD349" s="1">
        <v>3</v>
      </c>
      <c r="AE349" s="1" t="s">
        <v>109</v>
      </c>
      <c r="AF349" s="1" t="s">
        <v>109</v>
      </c>
      <c r="AG349" s="1" t="s">
        <v>109</v>
      </c>
      <c r="AH349" s="1" t="s">
        <v>109</v>
      </c>
      <c r="AI349" s="1" t="s">
        <v>109</v>
      </c>
      <c r="AJ349" s="1" t="s">
        <v>109</v>
      </c>
      <c r="AK349" s="1" t="s">
        <v>109</v>
      </c>
      <c r="AL349" s="1">
        <v>3</v>
      </c>
      <c r="AM349" s="1" t="s">
        <v>109</v>
      </c>
      <c r="AN349" s="1" t="s">
        <v>109</v>
      </c>
      <c r="AO349" s="1" t="s">
        <v>109</v>
      </c>
      <c r="AP349" s="1"/>
      <c r="AQ349" s="1">
        <v>3</v>
      </c>
      <c r="AR349" s="1" t="s">
        <v>3264</v>
      </c>
      <c r="AS349" s="1" t="s">
        <v>3265</v>
      </c>
      <c r="AT349" s="1">
        <v>0</v>
      </c>
      <c r="AU349" s="1">
        <v>0</v>
      </c>
      <c r="AV349" s="1">
        <v>0</v>
      </c>
      <c r="AW349" s="1">
        <v>0</v>
      </c>
      <c r="AX349" s="1">
        <v>0</v>
      </c>
      <c r="AY349" s="1">
        <v>0</v>
      </c>
      <c r="AZ349" s="1">
        <v>0</v>
      </c>
      <c r="BA349" s="1">
        <v>0</v>
      </c>
      <c r="BB349" s="1">
        <v>1</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5" t="str">
        <f>HYPERLINK("http://www.d20pfsrd.com/magic/all-spells/m/meld-into-stone","Meld into Stone")</f>
        <v>Meld into Stone</v>
      </c>
      <c r="BT349" s="1">
        <v>349</v>
      </c>
      <c r="BU349" s="1" t="s">
        <v>109</v>
      </c>
      <c r="BV349" s="1"/>
      <c r="BW349" s="1"/>
      <c r="BX349" s="1"/>
      <c r="BY349" s="1"/>
      <c r="BZ349" s="1">
        <v>0</v>
      </c>
      <c r="CA349" s="1" t="s">
        <v>109</v>
      </c>
      <c r="CB349" s="1" t="s">
        <v>109</v>
      </c>
      <c r="CC349" s="1">
        <v>3</v>
      </c>
      <c r="CD349" s="1" t="s">
        <v>109</v>
      </c>
      <c r="CE349" s="1" t="s">
        <v>109</v>
      </c>
      <c r="CF349" s="1" t="s">
        <v>109</v>
      </c>
      <c r="CG349" s="1" t="s">
        <v>109</v>
      </c>
      <c r="CH349" s="1" t="s">
        <v>109</v>
      </c>
      <c r="CI349" s="1" t="s">
        <v>109</v>
      </c>
      <c r="CJ349" s="1">
        <v>3</v>
      </c>
      <c r="CK349" s="1"/>
      <c r="CL349" s="1">
        <v>0</v>
      </c>
      <c r="CM349" s="1">
        <v>0</v>
      </c>
      <c r="CN349" s="1">
        <v>0</v>
      </c>
    </row>
    <row r="350" spans="1:92" ht="14.25" customHeight="1" x14ac:dyDescent="0.15">
      <c r="A350" s="1" t="s">
        <v>3266</v>
      </c>
      <c r="B350" s="1" t="s">
        <v>189</v>
      </c>
      <c r="C350" s="1"/>
      <c r="D350" s="1"/>
      <c r="E350" s="1" t="s">
        <v>3267</v>
      </c>
      <c r="F350" s="1" t="s">
        <v>395</v>
      </c>
      <c r="G350" s="1" t="s">
        <v>141</v>
      </c>
      <c r="H350" s="1">
        <v>0</v>
      </c>
      <c r="I350" s="1" t="s">
        <v>356</v>
      </c>
      <c r="J350" s="1"/>
      <c r="K350" s="1"/>
      <c r="L350" s="1" t="s">
        <v>3268</v>
      </c>
      <c r="M350" s="1" t="s">
        <v>144</v>
      </c>
      <c r="N350" s="1">
        <v>0</v>
      </c>
      <c r="O350" s="1">
        <v>0</v>
      </c>
      <c r="P350" s="1" t="s">
        <v>215</v>
      </c>
      <c r="Q350" s="1" t="s">
        <v>216</v>
      </c>
      <c r="R350" s="1" t="s">
        <v>3269</v>
      </c>
      <c r="S350" s="1" t="s">
        <v>3270</v>
      </c>
      <c r="T350" s="1" t="s">
        <v>107</v>
      </c>
      <c r="U350" s="1" t="s">
        <v>3271</v>
      </c>
      <c r="V350" s="1">
        <v>1</v>
      </c>
      <c r="W350" s="1">
        <v>1</v>
      </c>
      <c r="X350" s="1">
        <v>0</v>
      </c>
      <c r="Y350" s="1">
        <v>0</v>
      </c>
      <c r="Z350" s="1">
        <v>0</v>
      </c>
      <c r="AA350" s="1">
        <v>0</v>
      </c>
      <c r="AB350" s="1">
        <v>0</v>
      </c>
      <c r="AC350" s="1">
        <v>0</v>
      </c>
      <c r="AD350" s="1">
        <v>0</v>
      </c>
      <c r="AE350" s="1" t="s">
        <v>109</v>
      </c>
      <c r="AF350" s="1">
        <v>0</v>
      </c>
      <c r="AG350" s="1" t="s">
        <v>109</v>
      </c>
      <c r="AH350" s="1" t="s">
        <v>109</v>
      </c>
      <c r="AI350" s="1">
        <v>0</v>
      </c>
      <c r="AJ350" s="1">
        <v>0</v>
      </c>
      <c r="AK350" s="1" t="s">
        <v>109</v>
      </c>
      <c r="AL350" s="1">
        <v>0</v>
      </c>
      <c r="AM350" s="1" t="s">
        <v>109</v>
      </c>
      <c r="AN350" s="1" t="s">
        <v>109</v>
      </c>
      <c r="AO350" s="1">
        <v>0</v>
      </c>
      <c r="AP350" s="1"/>
      <c r="AQ350" s="1">
        <v>0</v>
      </c>
      <c r="AR350" s="1"/>
      <c r="AS350" s="1" t="s">
        <v>3272</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5" t="str">
        <f>HYPERLINK("http://www.d20pfsrd.com/magic/all-spells/m/mending","Mending")</f>
        <v>Mending</v>
      </c>
      <c r="BT350" s="1">
        <v>350</v>
      </c>
      <c r="BU350" s="1" t="s">
        <v>109</v>
      </c>
      <c r="BV350" s="1"/>
      <c r="BW350" s="1"/>
      <c r="BX350" s="1"/>
      <c r="BY350" s="1"/>
      <c r="BZ350" s="1">
        <v>0</v>
      </c>
      <c r="CA350" s="1" t="s">
        <v>109</v>
      </c>
      <c r="CB350" s="1">
        <v>0</v>
      </c>
      <c r="CC350" s="1">
        <v>0</v>
      </c>
      <c r="CD350" s="1" t="s">
        <v>109</v>
      </c>
      <c r="CE350" s="1" t="s">
        <v>109</v>
      </c>
      <c r="CF350" s="1">
        <v>0</v>
      </c>
      <c r="CG350" s="1">
        <v>0</v>
      </c>
      <c r="CH350" s="1" t="s">
        <v>109</v>
      </c>
      <c r="CI350" s="1" t="s">
        <v>109</v>
      </c>
      <c r="CJ350" s="1">
        <v>0</v>
      </c>
      <c r="CK350" s="1"/>
      <c r="CL350" s="1">
        <v>0</v>
      </c>
      <c r="CM350" s="1">
        <v>0</v>
      </c>
      <c r="CN350" s="1">
        <v>0</v>
      </c>
    </row>
    <row r="351" spans="1:92" ht="14.25" customHeight="1" x14ac:dyDescent="0.15">
      <c r="A351" s="1" t="s">
        <v>3273</v>
      </c>
      <c r="B351" s="1" t="s">
        <v>189</v>
      </c>
      <c r="C351" s="1"/>
      <c r="D351" s="1" t="s">
        <v>3274</v>
      </c>
      <c r="E351" s="1" t="s">
        <v>3275</v>
      </c>
      <c r="F351" s="1" t="s">
        <v>98</v>
      </c>
      <c r="G351" s="1" t="s">
        <v>3276</v>
      </c>
      <c r="H351" s="1">
        <v>0</v>
      </c>
      <c r="I351" s="1" t="s">
        <v>122</v>
      </c>
      <c r="J351" s="1"/>
      <c r="K351" s="1"/>
      <c r="L351" s="1" t="s">
        <v>3277</v>
      </c>
      <c r="M351" s="1" t="s">
        <v>194</v>
      </c>
      <c r="N351" s="1">
        <v>0</v>
      </c>
      <c r="O351" s="1">
        <v>0</v>
      </c>
      <c r="P351" s="1" t="s">
        <v>103</v>
      </c>
      <c r="Q351" s="1" t="s">
        <v>104</v>
      </c>
      <c r="R351" s="1" t="s">
        <v>3278</v>
      </c>
      <c r="S351" s="1" t="s">
        <v>3279</v>
      </c>
      <c r="T351" s="1" t="s">
        <v>107</v>
      </c>
      <c r="U351" s="1" t="s">
        <v>3280</v>
      </c>
      <c r="V351" s="1">
        <v>1</v>
      </c>
      <c r="W351" s="1">
        <v>1</v>
      </c>
      <c r="X351" s="1">
        <v>0</v>
      </c>
      <c r="Y351" s="1">
        <v>1</v>
      </c>
      <c r="Z351" s="1">
        <v>0</v>
      </c>
      <c r="AA351" s="1">
        <v>0</v>
      </c>
      <c r="AB351" s="1">
        <v>0</v>
      </c>
      <c r="AC351" s="1" t="s">
        <v>109</v>
      </c>
      <c r="AD351" s="1" t="s">
        <v>109</v>
      </c>
      <c r="AE351" s="1" t="s">
        <v>109</v>
      </c>
      <c r="AF351" s="1">
        <v>0</v>
      </c>
      <c r="AG351" s="1" t="s">
        <v>109</v>
      </c>
      <c r="AH351" s="1" t="s">
        <v>109</v>
      </c>
      <c r="AI351" s="1">
        <v>0</v>
      </c>
      <c r="AJ351" s="1">
        <v>0</v>
      </c>
      <c r="AK351" s="1" t="s">
        <v>109</v>
      </c>
      <c r="AL351" s="1" t="s">
        <v>109</v>
      </c>
      <c r="AM351" s="1" t="s">
        <v>109</v>
      </c>
      <c r="AN351" s="1" t="s">
        <v>109</v>
      </c>
      <c r="AO351" s="1" t="s">
        <v>109</v>
      </c>
      <c r="AP351" s="1"/>
      <c r="AQ351" s="1">
        <v>0</v>
      </c>
      <c r="AR351" s="1"/>
      <c r="AS351" s="1" t="s">
        <v>3281</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1</v>
      </c>
      <c r="BK351" s="1">
        <v>0</v>
      </c>
      <c r="BL351" s="1">
        <v>0</v>
      </c>
      <c r="BM351" s="1">
        <v>0</v>
      </c>
      <c r="BN351" s="1">
        <v>0</v>
      </c>
      <c r="BO351" s="1">
        <v>0</v>
      </c>
      <c r="BP351" s="1">
        <v>0</v>
      </c>
      <c r="BQ351" s="1">
        <v>0</v>
      </c>
      <c r="BR351" s="1">
        <v>0</v>
      </c>
      <c r="BS351" s="5" t="str">
        <f>HYPERLINK("http://www.d20pfsrd.com/magic/all-spells/m/message","Message")</f>
        <v>Message</v>
      </c>
      <c r="BT351" s="1">
        <v>351</v>
      </c>
      <c r="BU351" s="1" t="s">
        <v>109</v>
      </c>
      <c r="BV351" s="1"/>
      <c r="BW351" s="1"/>
      <c r="BX351" s="1"/>
      <c r="BY351" s="1"/>
      <c r="BZ351" s="1">
        <v>0</v>
      </c>
      <c r="CA351" s="1" t="s">
        <v>109</v>
      </c>
      <c r="CB351" s="1" t="s">
        <v>109</v>
      </c>
      <c r="CC351" s="1">
        <v>0</v>
      </c>
      <c r="CD351" s="1" t="s">
        <v>109</v>
      </c>
      <c r="CE351" s="1">
        <v>0</v>
      </c>
      <c r="CF351" s="1">
        <v>0</v>
      </c>
      <c r="CG351" s="1">
        <v>0</v>
      </c>
      <c r="CH351" s="1" t="s">
        <v>109</v>
      </c>
      <c r="CI351" s="1" t="s">
        <v>109</v>
      </c>
      <c r="CJ351" s="1" t="s">
        <v>109</v>
      </c>
      <c r="CK351" s="1"/>
      <c r="CL351" s="1">
        <v>0</v>
      </c>
      <c r="CM351" s="1">
        <v>0</v>
      </c>
      <c r="CN351" s="1">
        <v>0</v>
      </c>
    </row>
    <row r="352" spans="1:92" ht="14.25" customHeight="1" x14ac:dyDescent="0.15">
      <c r="A352" s="1" t="s">
        <v>3282</v>
      </c>
      <c r="B352" s="1" t="s">
        <v>584</v>
      </c>
      <c r="C352" s="1"/>
      <c r="D352" s="1" t="s">
        <v>59</v>
      </c>
      <c r="E352" s="1" t="s">
        <v>3283</v>
      </c>
      <c r="F352" s="1" t="s">
        <v>98</v>
      </c>
      <c r="G352" s="1" t="s">
        <v>141</v>
      </c>
      <c r="H352" s="1">
        <v>0</v>
      </c>
      <c r="I352" s="1" t="s">
        <v>100</v>
      </c>
      <c r="J352" s="1" t="s">
        <v>3284</v>
      </c>
      <c r="K352" s="1"/>
      <c r="L352" s="1"/>
      <c r="M352" s="1" t="s">
        <v>144</v>
      </c>
      <c r="N352" s="1">
        <v>0</v>
      </c>
      <c r="O352" s="1">
        <v>0</v>
      </c>
      <c r="P352" s="1" t="s">
        <v>3285</v>
      </c>
      <c r="Q352" s="1" t="s">
        <v>268</v>
      </c>
      <c r="R352" s="1" t="s">
        <v>3286</v>
      </c>
      <c r="S352" s="1" t="s">
        <v>3287</v>
      </c>
      <c r="T352" s="1" t="s">
        <v>107</v>
      </c>
      <c r="U352" s="1" t="s">
        <v>3288</v>
      </c>
      <c r="V352" s="1">
        <v>1</v>
      </c>
      <c r="W352" s="1">
        <v>1</v>
      </c>
      <c r="X352" s="1">
        <v>0</v>
      </c>
      <c r="Y352" s="1">
        <v>0</v>
      </c>
      <c r="Z352" s="1">
        <v>0</v>
      </c>
      <c r="AA352" s="1">
        <v>9</v>
      </c>
      <c r="AB352" s="1">
        <v>9</v>
      </c>
      <c r="AC352" s="1" t="s">
        <v>109</v>
      </c>
      <c r="AD352" s="1" t="s">
        <v>109</v>
      </c>
      <c r="AE352" s="1" t="s">
        <v>109</v>
      </c>
      <c r="AF352" s="1" t="s">
        <v>109</v>
      </c>
      <c r="AG352" s="1" t="s">
        <v>109</v>
      </c>
      <c r="AH352" s="1" t="s">
        <v>109</v>
      </c>
      <c r="AI352" s="1" t="s">
        <v>109</v>
      </c>
      <c r="AJ352" s="1" t="s">
        <v>109</v>
      </c>
      <c r="AK352" s="1" t="s">
        <v>109</v>
      </c>
      <c r="AL352" s="1" t="s">
        <v>109</v>
      </c>
      <c r="AM352" s="1" t="s">
        <v>109</v>
      </c>
      <c r="AN352" s="1" t="s">
        <v>109</v>
      </c>
      <c r="AO352" s="1" t="s">
        <v>109</v>
      </c>
      <c r="AP352" s="1"/>
      <c r="AQ352" s="1">
        <v>9</v>
      </c>
      <c r="AR352" s="1" t="s">
        <v>3289</v>
      </c>
      <c r="AS352" s="1" t="s">
        <v>3290</v>
      </c>
      <c r="AT352" s="1">
        <v>0</v>
      </c>
      <c r="AU352" s="1">
        <v>0</v>
      </c>
      <c r="AV352" s="1">
        <v>0</v>
      </c>
      <c r="AW352" s="1">
        <v>0</v>
      </c>
      <c r="AX352" s="1">
        <v>0</v>
      </c>
      <c r="AY352" s="1">
        <v>0</v>
      </c>
      <c r="AZ352" s="1">
        <v>0</v>
      </c>
      <c r="BA352" s="1">
        <v>0</v>
      </c>
      <c r="BB352" s="1">
        <v>0</v>
      </c>
      <c r="BC352" s="1">
        <v>0</v>
      </c>
      <c r="BD352" s="1">
        <v>0</v>
      </c>
      <c r="BE352" s="1">
        <v>0</v>
      </c>
      <c r="BF352" s="1">
        <v>0</v>
      </c>
      <c r="BG352" s="1">
        <v>1</v>
      </c>
      <c r="BH352" s="1">
        <v>0</v>
      </c>
      <c r="BI352" s="1">
        <v>0</v>
      </c>
      <c r="BJ352" s="1">
        <v>0</v>
      </c>
      <c r="BK352" s="1">
        <v>0</v>
      </c>
      <c r="BL352" s="1">
        <v>0</v>
      </c>
      <c r="BM352" s="1">
        <v>0</v>
      </c>
      <c r="BN352" s="1">
        <v>0</v>
      </c>
      <c r="BO352" s="1">
        <v>0</v>
      </c>
      <c r="BP352" s="1">
        <v>0</v>
      </c>
      <c r="BQ352" s="1">
        <v>0</v>
      </c>
      <c r="BR352" s="1">
        <v>0</v>
      </c>
      <c r="BS352" s="5" t="str">
        <f>HYPERLINK("http://www.d20pfsrd.com/magic/all-spells/m/meteor-swarm","Meteor Swarm")</f>
        <v>Meteor Swarm</v>
      </c>
      <c r="BT352" s="1">
        <v>352</v>
      </c>
      <c r="BU352" s="1" t="s">
        <v>109</v>
      </c>
      <c r="BV352" s="1" t="s">
        <v>3291</v>
      </c>
      <c r="BW352" s="1" t="s">
        <v>3292</v>
      </c>
      <c r="BX352" s="1" t="s">
        <v>3293</v>
      </c>
      <c r="BY352" s="1" t="s">
        <v>3294</v>
      </c>
      <c r="BZ352" s="1">
        <v>1</v>
      </c>
      <c r="CA352" s="1" t="s">
        <v>109</v>
      </c>
      <c r="CB352" s="1" t="s">
        <v>109</v>
      </c>
      <c r="CC352" s="1" t="s">
        <v>109</v>
      </c>
      <c r="CD352" s="1" t="s">
        <v>109</v>
      </c>
      <c r="CE352" s="1" t="s">
        <v>109</v>
      </c>
      <c r="CF352" s="1" t="s">
        <v>109</v>
      </c>
      <c r="CG352" s="1" t="s">
        <v>109</v>
      </c>
      <c r="CH352" s="1" t="s">
        <v>109</v>
      </c>
      <c r="CI352" s="1" t="s">
        <v>109</v>
      </c>
      <c r="CJ352" s="1" t="s">
        <v>109</v>
      </c>
      <c r="CK352" s="1"/>
      <c r="CL352" s="1">
        <v>0</v>
      </c>
      <c r="CM352" s="1">
        <v>0</v>
      </c>
      <c r="CN352" s="1">
        <v>0</v>
      </c>
    </row>
    <row r="353" spans="1:92" ht="14.25" customHeight="1" x14ac:dyDescent="0.15">
      <c r="A353" s="1" t="s">
        <v>3295</v>
      </c>
      <c r="B353" s="1" t="s">
        <v>242</v>
      </c>
      <c r="C353" s="1"/>
      <c r="D353" s="1"/>
      <c r="E353" s="1" t="s">
        <v>3296</v>
      </c>
      <c r="F353" s="1" t="s">
        <v>98</v>
      </c>
      <c r="G353" s="1" t="s">
        <v>141</v>
      </c>
      <c r="H353" s="1">
        <v>0</v>
      </c>
      <c r="I353" s="1" t="s">
        <v>142</v>
      </c>
      <c r="J353" s="1"/>
      <c r="K353" s="1"/>
      <c r="L353" s="1" t="s">
        <v>1391</v>
      </c>
      <c r="M353" s="1" t="s">
        <v>465</v>
      </c>
      <c r="N353" s="1">
        <v>0</v>
      </c>
      <c r="O353" s="1">
        <v>0</v>
      </c>
      <c r="P353" s="1" t="s">
        <v>507</v>
      </c>
      <c r="Q353" s="1" t="s">
        <v>167</v>
      </c>
      <c r="R353" s="1" t="s">
        <v>3297</v>
      </c>
      <c r="S353" s="1" t="s">
        <v>3298</v>
      </c>
      <c r="T353" s="1" t="s">
        <v>107</v>
      </c>
      <c r="U353" s="1" t="s">
        <v>3299</v>
      </c>
      <c r="V353" s="1">
        <v>1</v>
      </c>
      <c r="W353" s="1">
        <v>1</v>
      </c>
      <c r="X353" s="1">
        <v>0</v>
      </c>
      <c r="Y353" s="1">
        <v>0</v>
      </c>
      <c r="Z353" s="1">
        <v>0</v>
      </c>
      <c r="AA353" s="1">
        <v>8</v>
      </c>
      <c r="AB353" s="1">
        <v>8</v>
      </c>
      <c r="AC353" s="1" t="s">
        <v>109</v>
      </c>
      <c r="AD353" s="1" t="s">
        <v>109</v>
      </c>
      <c r="AE353" s="1" t="s">
        <v>109</v>
      </c>
      <c r="AF353" s="1" t="s">
        <v>109</v>
      </c>
      <c r="AG353" s="1" t="s">
        <v>109</v>
      </c>
      <c r="AH353" s="1" t="s">
        <v>109</v>
      </c>
      <c r="AI353" s="1" t="s">
        <v>109</v>
      </c>
      <c r="AJ353" s="1">
        <v>8</v>
      </c>
      <c r="AK353" s="1" t="s">
        <v>109</v>
      </c>
      <c r="AL353" s="1" t="s">
        <v>109</v>
      </c>
      <c r="AM353" s="1" t="s">
        <v>109</v>
      </c>
      <c r="AN353" s="1" t="s">
        <v>109</v>
      </c>
      <c r="AO353" s="1" t="s">
        <v>109</v>
      </c>
      <c r="AP353" s="1"/>
      <c r="AQ353" s="1">
        <v>8</v>
      </c>
      <c r="AR353" s="1" t="s">
        <v>3300</v>
      </c>
      <c r="AS353" s="1" t="s">
        <v>3301</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5" t="str">
        <f>HYPERLINK("http://www.d20pfsrd.com/magic/all-spells/m/mind-blank","Mind Blank")</f>
        <v>Mind Blank</v>
      </c>
      <c r="BT353" s="1">
        <v>353</v>
      </c>
      <c r="BU353" s="1" t="s">
        <v>109</v>
      </c>
      <c r="BV353" s="1" t="s">
        <v>3302</v>
      </c>
      <c r="BW353" s="1"/>
      <c r="BX353" s="1"/>
      <c r="BY353" s="1"/>
      <c r="BZ353" s="1">
        <v>0</v>
      </c>
      <c r="CA353" s="1" t="s">
        <v>109</v>
      </c>
      <c r="CB353" s="1" t="s">
        <v>109</v>
      </c>
      <c r="CC353" s="1">
        <v>7</v>
      </c>
      <c r="CD353" s="1" t="s">
        <v>109</v>
      </c>
      <c r="CE353" s="1" t="s">
        <v>109</v>
      </c>
      <c r="CF353" s="1" t="s">
        <v>109</v>
      </c>
      <c r="CG353" s="1" t="s">
        <v>109</v>
      </c>
      <c r="CH353" s="1" t="s">
        <v>109</v>
      </c>
      <c r="CI353" s="1" t="s">
        <v>109</v>
      </c>
      <c r="CJ353" s="1" t="s">
        <v>109</v>
      </c>
      <c r="CK353" s="1"/>
      <c r="CL353" s="1">
        <v>0</v>
      </c>
      <c r="CM353" s="1">
        <v>0</v>
      </c>
      <c r="CN353" s="1">
        <v>0</v>
      </c>
    </row>
    <row r="354" spans="1:92" ht="14.25" customHeight="1" x14ac:dyDescent="0.15">
      <c r="A354" s="1" t="s">
        <v>3303</v>
      </c>
      <c r="B354" s="1" t="s">
        <v>156</v>
      </c>
      <c r="C354" s="1" t="s">
        <v>157</v>
      </c>
      <c r="D354" s="1" t="s">
        <v>158</v>
      </c>
      <c r="E354" s="1" t="s">
        <v>3304</v>
      </c>
      <c r="F354" s="1" t="s">
        <v>98</v>
      </c>
      <c r="G354" s="1" t="s">
        <v>141</v>
      </c>
      <c r="H354" s="1">
        <v>0</v>
      </c>
      <c r="I354" s="1" t="s">
        <v>122</v>
      </c>
      <c r="J354" s="1"/>
      <c r="K354" s="1" t="s">
        <v>123</v>
      </c>
      <c r="L354" s="1"/>
      <c r="M354" s="1" t="s">
        <v>3305</v>
      </c>
      <c r="N354" s="1">
        <v>0</v>
      </c>
      <c r="O354" s="1">
        <v>0</v>
      </c>
      <c r="P354" s="1" t="s">
        <v>301</v>
      </c>
      <c r="Q354" s="1" t="s">
        <v>268</v>
      </c>
      <c r="R354" s="1" t="s">
        <v>3306</v>
      </c>
      <c r="S354" s="1" t="s">
        <v>3307</v>
      </c>
      <c r="T354" s="1" t="s">
        <v>107</v>
      </c>
      <c r="U354" s="1" t="s">
        <v>3308</v>
      </c>
      <c r="V354" s="1">
        <v>1</v>
      </c>
      <c r="W354" s="1">
        <v>1</v>
      </c>
      <c r="X354" s="1">
        <v>0</v>
      </c>
      <c r="Y354" s="1">
        <v>0</v>
      </c>
      <c r="Z354" s="1">
        <v>0</v>
      </c>
      <c r="AA354" s="1">
        <v>5</v>
      </c>
      <c r="AB354" s="1">
        <v>5</v>
      </c>
      <c r="AC354" s="1" t="s">
        <v>109</v>
      </c>
      <c r="AD354" s="1" t="s">
        <v>109</v>
      </c>
      <c r="AE354" s="1" t="s">
        <v>109</v>
      </c>
      <c r="AF354" s="1">
        <v>5</v>
      </c>
      <c r="AG354" s="1" t="s">
        <v>109</v>
      </c>
      <c r="AH354" s="1" t="s">
        <v>109</v>
      </c>
      <c r="AI354" s="1" t="s">
        <v>109</v>
      </c>
      <c r="AJ354" s="1">
        <v>5</v>
      </c>
      <c r="AK354" s="1" t="s">
        <v>109</v>
      </c>
      <c r="AL354" s="1" t="s">
        <v>109</v>
      </c>
      <c r="AM354" s="1" t="s">
        <v>109</v>
      </c>
      <c r="AN354" s="1" t="s">
        <v>109</v>
      </c>
      <c r="AO354" s="1" t="s">
        <v>109</v>
      </c>
      <c r="AP354" s="1"/>
      <c r="AQ354" s="1">
        <v>5</v>
      </c>
      <c r="AR354" s="1"/>
      <c r="AS354" s="1" t="s">
        <v>3309</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1</v>
      </c>
      <c r="BN354" s="1">
        <v>0</v>
      </c>
      <c r="BO354" s="1">
        <v>0</v>
      </c>
      <c r="BP354" s="1">
        <v>0</v>
      </c>
      <c r="BQ354" s="1">
        <v>0</v>
      </c>
      <c r="BR354" s="1">
        <v>0</v>
      </c>
      <c r="BS354" s="5" t="str">
        <f>HYPERLINK("http://www.d20pfsrd.com/magic/all-spells/m/mind-fog","Mind Fog")</f>
        <v>Mind Fog</v>
      </c>
      <c r="BT354" s="1">
        <v>354</v>
      </c>
      <c r="BU354" s="1" t="s">
        <v>109</v>
      </c>
      <c r="BV354" s="1"/>
      <c r="BW354" s="1" t="s">
        <v>3310</v>
      </c>
      <c r="BX354" s="1"/>
      <c r="BY354" s="1"/>
      <c r="BZ354" s="1">
        <v>0</v>
      </c>
      <c r="CA354" s="1" t="s">
        <v>109</v>
      </c>
      <c r="CB354" s="1" t="s">
        <v>109</v>
      </c>
      <c r="CC354" s="1">
        <v>5</v>
      </c>
      <c r="CD354" s="1" t="s">
        <v>109</v>
      </c>
      <c r="CE354" s="1">
        <v>5</v>
      </c>
      <c r="CF354" s="1">
        <v>5</v>
      </c>
      <c r="CG354" s="1">
        <v>5</v>
      </c>
      <c r="CH354" s="1" t="s">
        <v>109</v>
      </c>
      <c r="CI354" s="1" t="s">
        <v>109</v>
      </c>
      <c r="CJ354" s="1" t="s">
        <v>109</v>
      </c>
      <c r="CK354" s="1"/>
      <c r="CL354" s="1">
        <v>0</v>
      </c>
      <c r="CM354" s="1">
        <v>0</v>
      </c>
      <c r="CN354" s="1">
        <v>0</v>
      </c>
    </row>
    <row r="355" spans="1:92" ht="14.25" customHeight="1" x14ac:dyDescent="0.15">
      <c r="A355" s="1" t="s">
        <v>3311</v>
      </c>
      <c r="B355" s="1" t="s">
        <v>674</v>
      </c>
      <c r="C355" s="1" t="s">
        <v>2300</v>
      </c>
      <c r="D355" s="1"/>
      <c r="E355" s="1" t="s">
        <v>3312</v>
      </c>
      <c r="F355" s="1" t="s">
        <v>98</v>
      </c>
      <c r="G355" s="1" t="s">
        <v>3225</v>
      </c>
      <c r="H355" s="1">
        <v>0</v>
      </c>
      <c r="I355" s="1" t="s">
        <v>100</v>
      </c>
      <c r="J355" s="1"/>
      <c r="K355" s="1" t="s">
        <v>3226</v>
      </c>
      <c r="L355" s="1"/>
      <c r="M355" s="1" t="s">
        <v>3313</v>
      </c>
      <c r="N355" s="1">
        <v>0</v>
      </c>
      <c r="O355" s="1">
        <v>0</v>
      </c>
      <c r="P355" s="1" t="s">
        <v>2465</v>
      </c>
      <c r="Q355" s="1" t="s">
        <v>104</v>
      </c>
      <c r="R355" s="1" t="s">
        <v>3314</v>
      </c>
      <c r="S355" s="1" t="s">
        <v>3315</v>
      </c>
      <c r="T355" s="1" t="s">
        <v>107</v>
      </c>
      <c r="U355" s="1" t="s">
        <v>3316</v>
      </c>
      <c r="V355" s="1">
        <v>1</v>
      </c>
      <c r="W355" s="1">
        <v>1</v>
      </c>
      <c r="X355" s="1">
        <v>0</v>
      </c>
      <c r="Y355" s="1">
        <v>1</v>
      </c>
      <c r="Z355" s="1">
        <v>0</v>
      </c>
      <c r="AA355" s="1">
        <v>2</v>
      </c>
      <c r="AB355" s="1">
        <v>2</v>
      </c>
      <c r="AC355" s="1" t="s">
        <v>109</v>
      </c>
      <c r="AD355" s="1" t="s">
        <v>109</v>
      </c>
      <c r="AE355" s="1" t="s">
        <v>109</v>
      </c>
      <c r="AF355" s="1">
        <v>2</v>
      </c>
      <c r="AG355" s="1" t="s">
        <v>109</v>
      </c>
      <c r="AH355" s="1" t="s">
        <v>109</v>
      </c>
      <c r="AI355" s="1" t="s">
        <v>109</v>
      </c>
      <c r="AJ355" s="1" t="s">
        <v>109</v>
      </c>
      <c r="AK355" s="1" t="s">
        <v>109</v>
      </c>
      <c r="AL355" s="1" t="s">
        <v>109</v>
      </c>
      <c r="AM355" s="1" t="s">
        <v>109</v>
      </c>
      <c r="AN355" s="1">
        <v>2</v>
      </c>
      <c r="AO355" s="1" t="s">
        <v>109</v>
      </c>
      <c r="AP355" s="1"/>
      <c r="AQ355" s="1">
        <v>2</v>
      </c>
      <c r="AR355" s="1" t="s">
        <v>3317</v>
      </c>
      <c r="AS355" s="1" t="s">
        <v>3318</v>
      </c>
      <c r="AT355" s="1">
        <v>0</v>
      </c>
      <c r="AU355" s="1">
        <v>0</v>
      </c>
      <c r="AV355" s="1">
        <v>0</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5" t="str">
        <f>HYPERLINK("http://www.d20pfsrd.com/magic/all-spells/m/minor-image","Minor Image")</f>
        <v>Minor Image</v>
      </c>
      <c r="BT355" s="1">
        <v>355</v>
      </c>
      <c r="BU355" s="1" t="s">
        <v>109</v>
      </c>
      <c r="BV355" s="1"/>
      <c r="BW355" s="1"/>
      <c r="BX355" s="1"/>
      <c r="BY355" s="1"/>
      <c r="BZ355" s="1">
        <v>0</v>
      </c>
      <c r="CA355" s="1" t="s">
        <v>109</v>
      </c>
      <c r="CB355" s="1" t="s">
        <v>109</v>
      </c>
      <c r="CC355" s="1">
        <v>2</v>
      </c>
      <c r="CD355" s="1" t="s">
        <v>109</v>
      </c>
      <c r="CE355" s="1">
        <v>2</v>
      </c>
      <c r="CF355" s="1">
        <v>2</v>
      </c>
      <c r="CG355" s="1" t="s">
        <v>109</v>
      </c>
      <c r="CH355" s="1" t="s">
        <v>109</v>
      </c>
      <c r="CI355" s="1" t="s">
        <v>109</v>
      </c>
      <c r="CJ355" s="1" t="s">
        <v>109</v>
      </c>
      <c r="CK355" s="1"/>
      <c r="CL355" s="1">
        <v>0</v>
      </c>
      <c r="CM355" s="1">
        <v>0</v>
      </c>
      <c r="CN355" s="1">
        <v>0</v>
      </c>
    </row>
    <row r="356" spans="1:92" ht="14.25" customHeight="1" x14ac:dyDescent="0.15">
      <c r="A356" s="1" t="s">
        <v>3319</v>
      </c>
      <c r="B356" s="1" t="s">
        <v>584</v>
      </c>
      <c r="C356" s="1"/>
      <c r="D356" s="1"/>
      <c r="E356" s="1" t="s">
        <v>3320</v>
      </c>
      <c r="F356" s="1" t="s">
        <v>98</v>
      </c>
      <c r="G356" s="1" t="s">
        <v>3321</v>
      </c>
      <c r="H356" s="1">
        <v>0</v>
      </c>
      <c r="I356" s="1" t="s">
        <v>211</v>
      </c>
      <c r="J356" s="1" t="s">
        <v>211</v>
      </c>
      <c r="K356" s="1"/>
      <c r="L356" s="1"/>
      <c r="M356" s="1" t="s">
        <v>211</v>
      </c>
      <c r="N356" s="1">
        <v>0</v>
      </c>
      <c r="O356" s="1">
        <v>0</v>
      </c>
      <c r="P356" s="1" t="s">
        <v>211</v>
      </c>
      <c r="Q356" s="1" t="s">
        <v>268</v>
      </c>
      <c r="R356" s="1" t="s">
        <v>3322</v>
      </c>
      <c r="S356" s="1" t="s">
        <v>3323</v>
      </c>
      <c r="T356" s="1" t="s">
        <v>107</v>
      </c>
      <c r="U356" s="1" t="s">
        <v>3324</v>
      </c>
      <c r="V356" s="1">
        <v>1</v>
      </c>
      <c r="W356" s="1">
        <v>1</v>
      </c>
      <c r="X356" s="1">
        <v>0</v>
      </c>
      <c r="Y356" s="1">
        <v>0</v>
      </c>
      <c r="Z356" s="1">
        <v>0</v>
      </c>
      <c r="AA356" s="1" t="s">
        <v>109</v>
      </c>
      <c r="AB356" s="1" t="s">
        <v>109</v>
      </c>
      <c r="AC356" s="1">
        <v>9</v>
      </c>
      <c r="AD356" s="1" t="s">
        <v>109</v>
      </c>
      <c r="AE356" s="1" t="s">
        <v>109</v>
      </c>
      <c r="AF356" s="1" t="s">
        <v>109</v>
      </c>
      <c r="AG356" s="1" t="s">
        <v>109</v>
      </c>
      <c r="AH356" s="1" t="s">
        <v>109</v>
      </c>
      <c r="AI356" s="1" t="s">
        <v>109</v>
      </c>
      <c r="AJ356" s="1" t="s">
        <v>109</v>
      </c>
      <c r="AK356" s="1" t="s">
        <v>109</v>
      </c>
      <c r="AL356" s="1">
        <v>9</v>
      </c>
      <c r="AM356" s="1" t="s">
        <v>109</v>
      </c>
      <c r="AN356" s="1" t="s">
        <v>109</v>
      </c>
      <c r="AO356" s="1" t="s">
        <v>109</v>
      </c>
      <c r="AP356" s="1"/>
      <c r="AQ356" s="1">
        <v>9</v>
      </c>
      <c r="AR356" s="1" t="s">
        <v>3325</v>
      </c>
      <c r="AS356" s="1" t="s">
        <v>3326</v>
      </c>
      <c r="AT356" s="1">
        <v>0</v>
      </c>
      <c r="AU356" s="1">
        <v>0</v>
      </c>
      <c r="AV356" s="1">
        <v>0</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5" t="str">
        <f>HYPERLINK("http://www.d20pfsrd.com/magic/all-spells/m/miracle","Miracle")</f>
        <v>Miracle</v>
      </c>
      <c r="BT356" s="1">
        <v>356</v>
      </c>
      <c r="BU356" s="1" t="s">
        <v>109</v>
      </c>
      <c r="BV356" s="1"/>
      <c r="BW356" s="1" t="s">
        <v>3327</v>
      </c>
      <c r="BX356" s="1"/>
      <c r="BY356" s="1"/>
      <c r="BZ356" s="1">
        <v>0</v>
      </c>
      <c r="CA356" s="1" t="s">
        <v>109</v>
      </c>
      <c r="CB356" s="1" t="s">
        <v>109</v>
      </c>
      <c r="CC356" s="1" t="s">
        <v>109</v>
      </c>
      <c r="CD356" s="1" t="s">
        <v>109</v>
      </c>
      <c r="CE356" s="1" t="s">
        <v>109</v>
      </c>
      <c r="CF356" s="1" t="s">
        <v>109</v>
      </c>
      <c r="CG356" s="1" t="s">
        <v>109</v>
      </c>
      <c r="CH356" s="1" t="s">
        <v>109</v>
      </c>
      <c r="CI356" s="1" t="s">
        <v>109</v>
      </c>
      <c r="CJ356" s="1" t="s">
        <v>109</v>
      </c>
      <c r="CK356" s="1"/>
      <c r="CL356" s="1">
        <v>0</v>
      </c>
      <c r="CM356" s="1">
        <v>0</v>
      </c>
      <c r="CN356" s="1">
        <v>0</v>
      </c>
    </row>
    <row r="357" spans="1:92" ht="14.25" customHeight="1" x14ac:dyDescent="0.15">
      <c r="A357" s="1" t="s">
        <v>3328</v>
      </c>
      <c r="B357" s="1" t="s">
        <v>674</v>
      </c>
      <c r="C357" s="1" t="s">
        <v>675</v>
      </c>
      <c r="D357" s="1"/>
      <c r="E357" s="1" t="s">
        <v>3329</v>
      </c>
      <c r="F357" s="1" t="s">
        <v>98</v>
      </c>
      <c r="G357" s="1" t="s">
        <v>141</v>
      </c>
      <c r="H357" s="1">
        <v>0</v>
      </c>
      <c r="I357" s="1" t="s">
        <v>100</v>
      </c>
      <c r="J357" s="1" t="s">
        <v>3330</v>
      </c>
      <c r="K357" s="1"/>
      <c r="L357" s="1"/>
      <c r="M357" s="1" t="s">
        <v>3331</v>
      </c>
      <c r="N357" s="1">
        <v>1</v>
      </c>
      <c r="O357" s="1">
        <v>1</v>
      </c>
      <c r="P357" s="1" t="s">
        <v>2465</v>
      </c>
      <c r="Q357" s="1" t="s">
        <v>104</v>
      </c>
      <c r="R357" s="1" t="s">
        <v>3332</v>
      </c>
      <c r="S357" s="1" t="s">
        <v>3333</v>
      </c>
      <c r="T357" s="1" t="s">
        <v>107</v>
      </c>
      <c r="U357" s="1" t="s">
        <v>3334</v>
      </c>
      <c r="V357" s="1">
        <v>1</v>
      </c>
      <c r="W357" s="1">
        <v>1</v>
      </c>
      <c r="X357" s="1">
        <v>0</v>
      </c>
      <c r="Y357" s="1">
        <v>0</v>
      </c>
      <c r="Z357" s="1">
        <v>0</v>
      </c>
      <c r="AA357" s="1">
        <v>5</v>
      </c>
      <c r="AB357" s="1">
        <v>5</v>
      </c>
      <c r="AC357" s="1" t="s">
        <v>109</v>
      </c>
      <c r="AD357" s="1" t="s">
        <v>109</v>
      </c>
      <c r="AE357" s="1" t="s">
        <v>109</v>
      </c>
      <c r="AF357" s="1">
        <v>5</v>
      </c>
      <c r="AG357" s="1" t="s">
        <v>109</v>
      </c>
      <c r="AH357" s="1" t="s">
        <v>109</v>
      </c>
      <c r="AI357" s="1" t="s">
        <v>109</v>
      </c>
      <c r="AJ357" s="1" t="s">
        <v>109</v>
      </c>
      <c r="AK357" s="1" t="s">
        <v>109</v>
      </c>
      <c r="AL357" s="1" t="s">
        <v>109</v>
      </c>
      <c r="AM357" s="1" t="s">
        <v>109</v>
      </c>
      <c r="AN357" s="1" t="s">
        <v>109</v>
      </c>
      <c r="AO357" s="1" t="s">
        <v>109</v>
      </c>
      <c r="AP357" s="1"/>
      <c r="AQ357" s="1">
        <v>5</v>
      </c>
      <c r="AR357" s="1" t="s">
        <v>3335</v>
      </c>
      <c r="AS357" s="1" t="s">
        <v>3336</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5" t="str">
        <f>HYPERLINK("http://www.d20pfsrd.com/magic/all-spells/m/mirage-arcana","Mirage Arcana")</f>
        <v>Mirage Arcana</v>
      </c>
      <c r="BT357" s="1">
        <v>357</v>
      </c>
      <c r="BU357" s="1" t="s">
        <v>109</v>
      </c>
      <c r="BV357" s="1"/>
      <c r="BW357" s="1" t="s">
        <v>3337</v>
      </c>
      <c r="BX357" s="1"/>
      <c r="BY357" s="1"/>
      <c r="BZ357" s="1">
        <v>0</v>
      </c>
      <c r="CA357" s="1" t="s">
        <v>109</v>
      </c>
      <c r="CB357" s="1" t="s">
        <v>109</v>
      </c>
      <c r="CC357" s="1">
        <v>5</v>
      </c>
      <c r="CD357" s="1" t="s">
        <v>109</v>
      </c>
      <c r="CE357" s="1">
        <v>5</v>
      </c>
      <c r="CF357" s="1" t="s">
        <v>109</v>
      </c>
      <c r="CG357" s="1" t="s">
        <v>109</v>
      </c>
      <c r="CH357" s="1" t="s">
        <v>109</v>
      </c>
      <c r="CI357" s="1" t="s">
        <v>109</v>
      </c>
      <c r="CJ357" s="1" t="s">
        <v>109</v>
      </c>
      <c r="CK357" s="1"/>
      <c r="CL357" s="1">
        <v>0</v>
      </c>
      <c r="CM357" s="1">
        <v>0</v>
      </c>
      <c r="CN357" s="1">
        <v>0</v>
      </c>
    </row>
    <row r="358" spans="1:92" ht="14.25" customHeight="1" x14ac:dyDescent="0.15">
      <c r="A358" s="1" t="s">
        <v>3338</v>
      </c>
      <c r="B358" s="1" t="s">
        <v>674</v>
      </c>
      <c r="C358" s="1" t="s">
        <v>2300</v>
      </c>
      <c r="D358" s="1"/>
      <c r="E358" s="1" t="s">
        <v>3339</v>
      </c>
      <c r="F358" s="1" t="s">
        <v>98</v>
      </c>
      <c r="G358" s="1" t="s">
        <v>141</v>
      </c>
      <c r="H358" s="1">
        <v>0</v>
      </c>
      <c r="I358" s="1" t="s">
        <v>235</v>
      </c>
      <c r="J358" s="1"/>
      <c r="K358" s="1"/>
      <c r="L358" s="1" t="s">
        <v>236</v>
      </c>
      <c r="M358" s="1" t="s">
        <v>164</v>
      </c>
      <c r="N358" s="1">
        <v>0</v>
      </c>
      <c r="O358" s="1">
        <v>0</v>
      </c>
      <c r="P358" s="1"/>
      <c r="Q358" s="1"/>
      <c r="R358" s="1" t="s">
        <v>3340</v>
      </c>
      <c r="S358" s="1" t="s">
        <v>3341</v>
      </c>
      <c r="T358" s="1" t="s">
        <v>107</v>
      </c>
      <c r="U358" s="1" t="s">
        <v>3342</v>
      </c>
      <c r="V358" s="1">
        <v>1</v>
      </c>
      <c r="W358" s="1">
        <v>1</v>
      </c>
      <c r="X358" s="1">
        <v>0</v>
      </c>
      <c r="Y358" s="1">
        <v>0</v>
      </c>
      <c r="Z358" s="1">
        <v>0</v>
      </c>
      <c r="AA358" s="1">
        <v>2</v>
      </c>
      <c r="AB358" s="1">
        <v>2</v>
      </c>
      <c r="AC358" s="1" t="s">
        <v>109</v>
      </c>
      <c r="AD358" s="1" t="s">
        <v>109</v>
      </c>
      <c r="AE358" s="1" t="s">
        <v>109</v>
      </c>
      <c r="AF358" s="1">
        <v>2</v>
      </c>
      <c r="AG358" s="1" t="s">
        <v>109</v>
      </c>
      <c r="AH358" s="1" t="s">
        <v>109</v>
      </c>
      <c r="AI358" s="1" t="s">
        <v>109</v>
      </c>
      <c r="AJ358" s="1" t="s">
        <v>109</v>
      </c>
      <c r="AK358" s="1" t="s">
        <v>109</v>
      </c>
      <c r="AL358" s="1" t="s">
        <v>109</v>
      </c>
      <c r="AM358" s="1" t="s">
        <v>109</v>
      </c>
      <c r="AN358" s="1">
        <v>2</v>
      </c>
      <c r="AO358" s="1">
        <v>2</v>
      </c>
      <c r="AP358" s="1"/>
      <c r="AQ358" s="1">
        <v>2</v>
      </c>
      <c r="AR358" s="1" t="s">
        <v>3343</v>
      </c>
      <c r="AS358" s="1" t="s">
        <v>3344</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5" t="str">
        <f>HYPERLINK("http://www.d20pfsrd.com/magic/all-spells/m/mirror-image","Mirror Image")</f>
        <v>Mirror Image</v>
      </c>
      <c r="BT358" s="1">
        <v>358</v>
      </c>
      <c r="BU358" s="1" t="s">
        <v>109</v>
      </c>
      <c r="BV358" s="1"/>
      <c r="BW358" s="1" t="s">
        <v>3345</v>
      </c>
      <c r="BX358" s="1" t="s">
        <v>3346</v>
      </c>
      <c r="BY358" s="1"/>
      <c r="BZ358" s="1">
        <v>1</v>
      </c>
      <c r="CA358" s="1">
        <v>2</v>
      </c>
      <c r="CB358" s="1" t="s">
        <v>109</v>
      </c>
      <c r="CC358" s="1">
        <v>2</v>
      </c>
      <c r="CD358" s="1" t="s">
        <v>109</v>
      </c>
      <c r="CE358" s="1">
        <v>2</v>
      </c>
      <c r="CF358" s="1">
        <v>2</v>
      </c>
      <c r="CG358" s="1" t="s">
        <v>109</v>
      </c>
      <c r="CH358" s="1" t="s">
        <v>109</v>
      </c>
      <c r="CI358" s="1" t="s">
        <v>109</v>
      </c>
      <c r="CJ358" s="1" t="s">
        <v>109</v>
      </c>
      <c r="CK358" s="1"/>
      <c r="CL358" s="1">
        <v>0</v>
      </c>
      <c r="CM358" s="1">
        <v>0</v>
      </c>
      <c r="CN358" s="1">
        <v>0</v>
      </c>
    </row>
    <row r="359" spans="1:92" ht="14.25" customHeight="1" x14ac:dyDescent="0.15">
      <c r="A359" s="1" t="s">
        <v>3347</v>
      </c>
      <c r="B359" s="1" t="s">
        <v>674</v>
      </c>
      <c r="C359" s="1" t="s">
        <v>675</v>
      </c>
      <c r="D359" s="1"/>
      <c r="E359" s="1" t="s">
        <v>3348</v>
      </c>
      <c r="F359" s="1" t="s">
        <v>98</v>
      </c>
      <c r="G359" s="1" t="s">
        <v>141</v>
      </c>
      <c r="H359" s="1">
        <v>0</v>
      </c>
      <c r="I359" s="1" t="s">
        <v>142</v>
      </c>
      <c r="J359" s="1"/>
      <c r="K359" s="1"/>
      <c r="L359" s="1" t="s">
        <v>3349</v>
      </c>
      <c r="M359" s="1" t="s">
        <v>289</v>
      </c>
      <c r="N359" s="1">
        <v>0</v>
      </c>
      <c r="O359" s="1">
        <v>0</v>
      </c>
      <c r="P359" s="1" t="s">
        <v>258</v>
      </c>
      <c r="Q359" s="1" t="s">
        <v>104</v>
      </c>
      <c r="R359" s="1" t="s">
        <v>3350</v>
      </c>
      <c r="S359" s="1" t="s">
        <v>3351</v>
      </c>
      <c r="T359" s="1" t="s">
        <v>107</v>
      </c>
      <c r="U359" s="1" t="s">
        <v>3352</v>
      </c>
      <c r="V359" s="1">
        <v>1</v>
      </c>
      <c r="W359" s="1">
        <v>1</v>
      </c>
      <c r="X359" s="1">
        <v>0</v>
      </c>
      <c r="Y359" s="1">
        <v>0</v>
      </c>
      <c r="Z359" s="1">
        <v>0</v>
      </c>
      <c r="AA359" s="1">
        <v>2</v>
      </c>
      <c r="AB359" s="1">
        <v>2</v>
      </c>
      <c r="AC359" s="1" t="s">
        <v>109</v>
      </c>
      <c r="AD359" s="1" t="s">
        <v>109</v>
      </c>
      <c r="AE359" s="1" t="s">
        <v>109</v>
      </c>
      <c r="AF359" s="1">
        <v>2</v>
      </c>
      <c r="AG359" s="1" t="s">
        <v>109</v>
      </c>
      <c r="AH359" s="1" t="s">
        <v>109</v>
      </c>
      <c r="AI359" s="1">
        <v>2</v>
      </c>
      <c r="AJ359" s="1" t="s">
        <v>109</v>
      </c>
      <c r="AK359" s="1" t="s">
        <v>109</v>
      </c>
      <c r="AL359" s="1" t="s">
        <v>109</v>
      </c>
      <c r="AM359" s="1" t="s">
        <v>109</v>
      </c>
      <c r="AN359" s="1" t="s">
        <v>109</v>
      </c>
      <c r="AO359" s="1" t="s">
        <v>109</v>
      </c>
      <c r="AP359" s="1"/>
      <c r="AQ359" s="1">
        <v>2</v>
      </c>
      <c r="AR359" s="1"/>
      <c r="AS359" s="1" t="s">
        <v>3353</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5" t="str">
        <f>HYPERLINK("http://www.d20pfsrd.com/magic/all-spells/m/misdirection","Misdirection")</f>
        <v>Misdirection</v>
      </c>
      <c r="BT359" s="1">
        <v>359</v>
      </c>
      <c r="BU359" s="1" t="s">
        <v>109</v>
      </c>
      <c r="BV359" s="1"/>
      <c r="BW359" s="1"/>
      <c r="BX359" s="1"/>
      <c r="BY359" s="1"/>
      <c r="BZ359" s="1">
        <v>0</v>
      </c>
      <c r="CA359" s="1" t="s">
        <v>109</v>
      </c>
      <c r="CB359" s="1" t="s">
        <v>109</v>
      </c>
      <c r="CC359" s="1">
        <v>2</v>
      </c>
      <c r="CD359" s="1" t="s">
        <v>109</v>
      </c>
      <c r="CE359" s="1">
        <v>2</v>
      </c>
      <c r="CF359" s="1">
        <v>2</v>
      </c>
      <c r="CG359" s="1">
        <v>2</v>
      </c>
      <c r="CH359" s="1" t="s">
        <v>109</v>
      </c>
      <c r="CI359" s="1" t="s">
        <v>109</v>
      </c>
      <c r="CJ359" s="1" t="s">
        <v>109</v>
      </c>
      <c r="CK359" s="1"/>
      <c r="CL359" s="1">
        <v>0</v>
      </c>
      <c r="CM359" s="1">
        <v>0</v>
      </c>
      <c r="CN359" s="1">
        <v>0</v>
      </c>
    </row>
    <row r="360" spans="1:92" ht="14.25" customHeight="1" x14ac:dyDescent="0.15">
      <c r="A360" s="1" t="s">
        <v>3354</v>
      </c>
      <c r="B360" s="1" t="s">
        <v>674</v>
      </c>
      <c r="C360" s="1" t="s">
        <v>3355</v>
      </c>
      <c r="D360" s="1"/>
      <c r="E360" s="1" t="s">
        <v>3356</v>
      </c>
      <c r="F360" s="1" t="s">
        <v>98</v>
      </c>
      <c r="G360" s="1" t="s">
        <v>2345</v>
      </c>
      <c r="H360" s="1">
        <v>0</v>
      </c>
      <c r="I360" s="1" t="s">
        <v>142</v>
      </c>
      <c r="J360" s="1"/>
      <c r="K360" s="1" t="s">
        <v>3357</v>
      </c>
      <c r="L360" s="1"/>
      <c r="M360" s="1" t="s">
        <v>3358</v>
      </c>
      <c r="N360" s="1">
        <v>1</v>
      </c>
      <c r="O360" s="1">
        <v>0</v>
      </c>
      <c r="P360" s="1" t="s">
        <v>3359</v>
      </c>
      <c r="Q360" s="1" t="s">
        <v>104</v>
      </c>
      <c r="R360" s="1" t="s">
        <v>3360</v>
      </c>
      <c r="S360" s="1" t="s">
        <v>3361</v>
      </c>
      <c r="T360" s="1" t="s">
        <v>107</v>
      </c>
      <c r="U360" s="1" t="s">
        <v>3362</v>
      </c>
      <c r="V360" s="1">
        <v>0</v>
      </c>
      <c r="W360" s="1">
        <v>1</v>
      </c>
      <c r="X360" s="1">
        <v>0</v>
      </c>
      <c r="Y360" s="1">
        <v>0</v>
      </c>
      <c r="Z360" s="1">
        <v>0</v>
      </c>
      <c r="AA360" s="1">
        <v>6</v>
      </c>
      <c r="AB360" s="1">
        <v>6</v>
      </c>
      <c r="AC360" s="1" t="s">
        <v>109</v>
      </c>
      <c r="AD360" s="1" t="s">
        <v>109</v>
      </c>
      <c r="AE360" s="1" t="s">
        <v>109</v>
      </c>
      <c r="AF360" s="1">
        <v>5</v>
      </c>
      <c r="AG360" s="1" t="s">
        <v>109</v>
      </c>
      <c r="AH360" s="1">
        <v>6</v>
      </c>
      <c r="AI360" s="1" t="s">
        <v>109</v>
      </c>
      <c r="AJ360" s="1" t="s">
        <v>109</v>
      </c>
      <c r="AK360" s="1" t="s">
        <v>109</v>
      </c>
      <c r="AL360" s="1" t="s">
        <v>109</v>
      </c>
      <c r="AM360" s="1" t="s">
        <v>109</v>
      </c>
      <c r="AN360" s="1">
        <v>6</v>
      </c>
      <c r="AO360" s="1" t="s">
        <v>109</v>
      </c>
      <c r="AP360" s="1"/>
      <c r="AQ360" s="1">
        <v>6</v>
      </c>
      <c r="AR360" s="1" t="s">
        <v>3363</v>
      </c>
      <c r="AS360" s="1" t="s">
        <v>3364</v>
      </c>
      <c r="AT360" s="1">
        <v>0</v>
      </c>
      <c r="AU360" s="1">
        <v>0</v>
      </c>
      <c r="AV360" s="1">
        <v>0</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5" t="str">
        <f>HYPERLINK("http://www.d20pfsrd.com/magic/all-spells/m/mislead","Mislead")</f>
        <v>Mislead</v>
      </c>
      <c r="BT360" s="1">
        <v>360</v>
      </c>
      <c r="BU360" s="1" t="s">
        <v>109</v>
      </c>
      <c r="BV360" s="1" t="s">
        <v>3365</v>
      </c>
      <c r="BW360" s="1" t="s">
        <v>3366</v>
      </c>
      <c r="BX360" s="1" t="s">
        <v>3367</v>
      </c>
      <c r="BY360" s="1" t="s">
        <v>3368</v>
      </c>
      <c r="BZ360" s="1">
        <v>1</v>
      </c>
      <c r="CA360" s="1" t="s">
        <v>109</v>
      </c>
      <c r="CB360" s="1" t="s">
        <v>109</v>
      </c>
      <c r="CC360" s="1">
        <v>6</v>
      </c>
      <c r="CD360" s="1" t="s">
        <v>109</v>
      </c>
      <c r="CE360" s="1">
        <v>5</v>
      </c>
      <c r="CF360" s="1">
        <v>5</v>
      </c>
      <c r="CG360" s="1">
        <v>6</v>
      </c>
      <c r="CH360" s="1" t="s">
        <v>109</v>
      </c>
      <c r="CI360" s="1" t="s">
        <v>109</v>
      </c>
      <c r="CJ360" s="1" t="s">
        <v>109</v>
      </c>
      <c r="CK360" s="1"/>
      <c r="CL360" s="1">
        <v>0</v>
      </c>
      <c r="CM360" s="1">
        <v>0</v>
      </c>
      <c r="CN360" s="1">
        <v>0</v>
      </c>
    </row>
    <row r="361" spans="1:92" ht="14.25" customHeight="1" x14ac:dyDescent="0.15">
      <c r="A361" s="1" t="s">
        <v>3369</v>
      </c>
      <c r="B361" s="1" t="s">
        <v>189</v>
      </c>
      <c r="C361" s="1"/>
      <c r="D361" s="1"/>
      <c r="E361" s="1" t="s">
        <v>3370</v>
      </c>
      <c r="F361" s="1" t="s">
        <v>395</v>
      </c>
      <c r="G361" s="1" t="s">
        <v>3371</v>
      </c>
      <c r="H361" s="1">
        <v>1</v>
      </c>
      <c r="I361" s="1" t="s">
        <v>235</v>
      </c>
      <c r="J361" s="1"/>
      <c r="K361" s="1"/>
      <c r="L361" s="1" t="s">
        <v>236</v>
      </c>
      <c r="M361" s="1" t="s">
        <v>144</v>
      </c>
      <c r="N361" s="1">
        <v>0</v>
      </c>
      <c r="O361" s="1">
        <v>0</v>
      </c>
      <c r="P361" s="1"/>
      <c r="Q361" s="1"/>
      <c r="R361" s="1" t="s">
        <v>3372</v>
      </c>
      <c r="S361" s="1" t="s">
        <v>3373</v>
      </c>
      <c r="T361" s="1" t="s">
        <v>107</v>
      </c>
      <c r="U361" s="1" t="s">
        <v>3374</v>
      </c>
      <c r="V361" s="1">
        <v>1</v>
      </c>
      <c r="W361" s="1">
        <v>1</v>
      </c>
      <c r="X361" s="1">
        <v>1</v>
      </c>
      <c r="Y361" s="1">
        <v>1</v>
      </c>
      <c r="Z361" s="1">
        <v>0</v>
      </c>
      <c r="AA361" s="1" t="s">
        <v>109</v>
      </c>
      <c r="AB361" s="1">
        <v>4</v>
      </c>
      <c r="AC361" s="1" t="s">
        <v>109</v>
      </c>
      <c r="AD361" s="1" t="s">
        <v>109</v>
      </c>
      <c r="AE361" s="1" t="s">
        <v>109</v>
      </c>
      <c r="AF361" s="1" t="s">
        <v>109</v>
      </c>
      <c r="AG361" s="1" t="s">
        <v>109</v>
      </c>
      <c r="AH361" s="1" t="s">
        <v>109</v>
      </c>
      <c r="AI361" s="1" t="s">
        <v>109</v>
      </c>
      <c r="AJ361" s="1" t="s">
        <v>109</v>
      </c>
      <c r="AK361" s="1" t="s">
        <v>109</v>
      </c>
      <c r="AL361" s="1" t="s">
        <v>109</v>
      </c>
      <c r="AM361" s="1" t="s">
        <v>109</v>
      </c>
      <c r="AN361" s="1" t="s">
        <v>109</v>
      </c>
      <c r="AO361" s="1" t="s">
        <v>109</v>
      </c>
      <c r="AP361" s="1"/>
      <c r="AQ361" s="1">
        <v>4</v>
      </c>
      <c r="AR361" s="1"/>
      <c r="AS361" s="1" t="s">
        <v>3375</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5" t="str">
        <f>HYPERLINK("http://www.d20pfsrd.com/magic/all-spells/m/mnemonic-enhancer","Mnemonic Enhancer")</f>
        <v>Mnemonic Enhancer</v>
      </c>
      <c r="BT361" s="1">
        <v>361</v>
      </c>
      <c r="BU361" s="1">
        <v>50</v>
      </c>
      <c r="BV361" s="1"/>
      <c r="BW361" s="1"/>
      <c r="BX361" s="1"/>
      <c r="BY361" s="1"/>
      <c r="BZ361" s="1">
        <v>0</v>
      </c>
      <c r="CA361" s="1" t="s">
        <v>109</v>
      </c>
      <c r="CB361" s="1" t="s">
        <v>109</v>
      </c>
      <c r="CC361" s="1" t="s">
        <v>109</v>
      </c>
      <c r="CD361" s="1" t="s">
        <v>109</v>
      </c>
      <c r="CE361" s="1" t="s">
        <v>109</v>
      </c>
      <c r="CF361" s="1" t="s">
        <v>109</v>
      </c>
      <c r="CG361" s="1" t="s">
        <v>109</v>
      </c>
      <c r="CH361" s="1" t="s">
        <v>109</v>
      </c>
      <c r="CI361" s="1" t="s">
        <v>109</v>
      </c>
      <c r="CJ361" s="1" t="s">
        <v>109</v>
      </c>
      <c r="CK361" s="1"/>
      <c r="CL361" s="1">
        <v>0</v>
      </c>
      <c r="CM361" s="1">
        <v>0</v>
      </c>
      <c r="CN361" s="1">
        <v>0</v>
      </c>
    </row>
    <row r="362" spans="1:92" ht="14.25" customHeight="1" x14ac:dyDescent="0.15">
      <c r="A362" s="1" t="s">
        <v>3376</v>
      </c>
      <c r="B362" s="1" t="s">
        <v>156</v>
      </c>
      <c r="C362" s="1" t="s">
        <v>157</v>
      </c>
      <c r="D362" s="1" t="s">
        <v>158</v>
      </c>
      <c r="E362" s="1" t="s">
        <v>3377</v>
      </c>
      <c r="F362" s="1" t="s">
        <v>1392</v>
      </c>
      <c r="G362" s="1" t="s">
        <v>141</v>
      </c>
      <c r="H362" s="1">
        <v>0</v>
      </c>
      <c r="I362" s="1" t="s">
        <v>142</v>
      </c>
      <c r="J362" s="1"/>
      <c r="K362" s="1"/>
      <c r="L362" s="1" t="s">
        <v>563</v>
      </c>
      <c r="M362" s="1" t="s">
        <v>408</v>
      </c>
      <c r="N362" s="1">
        <v>0</v>
      </c>
      <c r="O362" s="1">
        <v>0</v>
      </c>
      <c r="P362" s="1" t="s">
        <v>301</v>
      </c>
      <c r="Q362" s="1" t="s">
        <v>268</v>
      </c>
      <c r="R362" s="1" t="s">
        <v>3378</v>
      </c>
      <c r="S362" s="1" t="s">
        <v>3379</v>
      </c>
      <c r="T362" s="1" t="s">
        <v>107</v>
      </c>
      <c r="U362" s="1" t="s">
        <v>3380</v>
      </c>
      <c r="V362" s="1">
        <v>1</v>
      </c>
      <c r="W362" s="1">
        <v>1</v>
      </c>
      <c r="X362" s="1">
        <v>0</v>
      </c>
      <c r="Y362" s="1">
        <v>0</v>
      </c>
      <c r="Z362" s="1">
        <v>0</v>
      </c>
      <c r="AA362" s="1" t="s">
        <v>109</v>
      </c>
      <c r="AB362" s="1" t="s">
        <v>109</v>
      </c>
      <c r="AC362" s="1" t="s">
        <v>109</v>
      </c>
      <c r="AD362" s="1" t="s">
        <v>109</v>
      </c>
      <c r="AE362" s="1" t="s">
        <v>109</v>
      </c>
      <c r="AF362" s="1">
        <v>4</v>
      </c>
      <c r="AG362" s="1" t="s">
        <v>109</v>
      </c>
      <c r="AH362" s="1" t="s">
        <v>109</v>
      </c>
      <c r="AI362" s="1" t="s">
        <v>109</v>
      </c>
      <c r="AJ362" s="1" t="s">
        <v>109</v>
      </c>
      <c r="AK362" s="1" t="s">
        <v>109</v>
      </c>
      <c r="AL362" s="1" t="s">
        <v>109</v>
      </c>
      <c r="AM362" s="1" t="s">
        <v>109</v>
      </c>
      <c r="AN362" s="1" t="s">
        <v>109</v>
      </c>
      <c r="AO362" s="1" t="s">
        <v>109</v>
      </c>
      <c r="AP362" s="1"/>
      <c r="AQ362" s="1">
        <v>4</v>
      </c>
      <c r="AR362" s="1" t="s">
        <v>3381</v>
      </c>
      <c r="AS362" s="1" t="s">
        <v>3382</v>
      </c>
      <c r="AT362" s="1">
        <v>0</v>
      </c>
      <c r="AU362" s="1">
        <v>0</v>
      </c>
      <c r="AV362" s="1">
        <v>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1</v>
      </c>
      <c r="BN362" s="1">
        <v>0</v>
      </c>
      <c r="BO362" s="1">
        <v>0</v>
      </c>
      <c r="BP362" s="1">
        <v>0</v>
      </c>
      <c r="BQ362" s="1">
        <v>0</v>
      </c>
      <c r="BR362" s="1">
        <v>0</v>
      </c>
      <c r="BS362" s="5" t="str">
        <f>HYPERLINK("http://www.d20pfsrd.com/magic/all-spells/m/modify-memory","Modify Memory")</f>
        <v>Modify Memory</v>
      </c>
      <c r="BT362" s="1">
        <v>362</v>
      </c>
      <c r="BU362" s="1" t="s">
        <v>109</v>
      </c>
      <c r="BV362" s="1"/>
      <c r="BW362" s="1"/>
      <c r="BX362" s="1"/>
      <c r="BY362" s="1"/>
      <c r="BZ362" s="1">
        <v>0</v>
      </c>
      <c r="CA362" s="1" t="s">
        <v>109</v>
      </c>
      <c r="CB362" s="1" t="s">
        <v>109</v>
      </c>
      <c r="CC362" s="1">
        <v>5</v>
      </c>
      <c r="CD362" s="1" t="s">
        <v>109</v>
      </c>
      <c r="CE362" s="1">
        <v>4</v>
      </c>
      <c r="CF362" s="1" t="s">
        <v>109</v>
      </c>
      <c r="CG362" s="1" t="s">
        <v>109</v>
      </c>
      <c r="CH362" s="1" t="s">
        <v>109</v>
      </c>
      <c r="CI362" s="1" t="s">
        <v>109</v>
      </c>
      <c r="CJ362" s="1" t="s">
        <v>109</v>
      </c>
      <c r="CK362" s="1"/>
      <c r="CL362" s="1">
        <v>0</v>
      </c>
      <c r="CM362" s="1">
        <v>0</v>
      </c>
      <c r="CN362" s="1">
        <v>0</v>
      </c>
    </row>
    <row r="363" spans="1:92" ht="14.25" customHeight="1" x14ac:dyDescent="0.15">
      <c r="A363" s="1" t="s">
        <v>3383</v>
      </c>
      <c r="B363" s="1" t="s">
        <v>254</v>
      </c>
      <c r="C363" s="1"/>
      <c r="D363" s="1"/>
      <c r="E363" s="1" t="s">
        <v>3384</v>
      </c>
      <c r="F363" s="1" t="s">
        <v>98</v>
      </c>
      <c r="G363" s="1" t="s">
        <v>141</v>
      </c>
      <c r="H363" s="1">
        <v>0</v>
      </c>
      <c r="I363" s="1" t="s">
        <v>235</v>
      </c>
      <c r="J363" s="1"/>
      <c r="K363" s="1"/>
      <c r="L363" s="1" t="s">
        <v>236</v>
      </c>
      <c r="M363" s="1" t="s">
        <v>3385</v>
      </c>
      <c r="N363" s="1">
        <v>0</v>
      </c>
      <c r="O363" s="1">
        <v>0</v>
      </c>
      <c r="P363" s="1"/>
      <c r="Q363" s="1"/>
      <c r="R363" s="1" t="s">
        <v>3386</v>
      </c>
      <c r="S363" s="1" t="s">
        <v>3387</v>
      </c>
      <c r="T363" s="1" t="s">
        <v>107</v>
      </c>
      <c r="U363" s="1" t="s">
        <v>3388</v>
      </c>
      <c r="V363" s="1">
        <v>1</v>
      </c>
      <c r="W363" s="1">
        <v>1</v>
      </c>
      <c r="X363" s="1">
        <v>0</v>
      </c>
      <c r="Y363" s="1">
        <v>0</v>
      </c>
      <c r="Z363" s="1">
        <v>0</v>
      </c>
      <c r="AA363" s="1">
        <v>8</v>
      </c>
      <c r="AB363" s="1">
        <v>8</v>
      </c>
      <c r="AC363" s="1" t="s">
        <v>109</v>
      </c>
      <c r="AD363" s="1" t="s">
        <v>109</v>
      </c>
      <c r="AE363" s="1" t="s">
        <v>109</v>
      </c>
      <c r="AF363" s="1" t="s">
        <v>109</v>
      </c>
      <c r="AG363" s="1" t="s">
        <v>109</v>
      </c>
      <c r="AH363" s="1" t="s">
        <v>109</v>
      </c>
      <c r="AI363" s="1" t="s">
        <v>109</v>
      </c>
      <c r="AJ363" s="1">
        <v>8</v>
      </c>
      <c r="AK363" s="1" t="s">
        <v>109</v>
      </c>
      <c r="AL363" s="1" t="s">
        <v>109</v>
      </c>
      <c r="AM363" s="1" t="s">
        <v>109</v>
      </c>
      <c r="AN363" s="1" t="s">
        <v>109</v>
      </c>
      <c r="AO363" s="1" t="s">
        <v>109</v>
      </c>
      <c r="AP363" s="1"/>
      <c r="AQ363" s="1">
        <v>8</v>
      </c>
      <c r="AR363" s="1" t="s">
        <v>3389</v>
      </c>
      <c r="AS363" s="1" t="s">
        <v>3390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5" t="str">
        <f>HYPERLINK("http://www.d20pfsrd.com/magic/all-spells/m/moment-of-prescience","Moment of Prescience")</f>
        <v>Moment of Prescience</v>
      </c>
      <c r="BT363" s="1">
        <v>363</v>
      </c>
      <c r="BU363" s="1" t="s">
        <v>109</v>
      </c>
      <c r="BV363" s="1" t="s">
        <v>3391</v>
      </c>
      <c r="BW363" s="1" t="s">
        <v>3392</v>
      </c>
      <c r="BX363" s="1"/>
      <c r="BY363" s="1"/>
      <c r="BZ363" s="1">
        <v>0</v>
      </c>
      <c r="CA363" s="1" t="s">
        <v>109</v>
      </c>
      <c r="CB363" s="1" t="s">
        <v>109</v>
      </c>
      <c r="CC363" s="1">
        <v>8</v>
      </c>
      <c r="CD363" s="1" t="s">
        <v>109</v>
      </c>
      <c r="CE363" s="1" t="s">
        <v>109</v>
      </c>
      <c r="CF363" s="1" t="s">
        <v>109</v>
      </c>
      <c r="CG363" s="1" t="s">
        <v>109</v>
      </c>
      <c r="CH363" s="1" t="s">
        <v>109</v>
      </c>
      <c r="CI363" s="1" t="s">
        <v>109</v>
      </c>
      <c r="CJ363" s="1" t="s">
        <v>109</v>
      </c>
      <c r="CK363" s="1"/>
      <c r="CL363" s="1">
        <v>0</v>
      </c>
      <c r="CM363" s="1">
        <v>0</v>
      </c>
      <c r="CN363" s="1">
        <v>0</v>
      </c>
    </row>
    <row r="364" spans="1:92" ht="14.25" customHeight="1" x14ac:dyDescent="0.15">
      <c r="A364" s="1" t="s">
        <v>3393</v>
      </c>
      <c r="B364" s="1" t="s">
        <v>95</v>
      </c>
      <c r="C364" s="1" t="s">
        <v>1179</v>
      </c>
      <c r="D364" s="1"/>
      <c r="E364" s="1" t="s">
        <v>3394</v>
      </c>
      <c r="F364" s="1" t="s">
        <v>355</v>
      </c>
      <c r="G364" s="1" t="s">
        <v>3395</v>
      </c>
      <c r="H364" s="1">
        <v>0</v>
      </c>
      <c r="I364" s="1" t="s">
        <v>142</v>
      </c>
      <c r="J364" s="1"/>
      <c r="K364" s="1" t="s">
        <v>3396</v>
      </c>
      <c r="L364" s="1"/>
      <c r="M364" s="1" t="s">
        <v>246</v>
      </c>
      <c r="N364" s="1">
        <v>1</v>
      </c>
      <c r="O364" s="1">
        <v>0</v>
      </c>
      <c r="P364" s="1" t="s">
        <v>103</v>
      </c>
      <c r="Q364" s="1" t="s">
        <v>104</v>
      </c>
      <c r="R364" s="1" t="s">
        <v>3397</v>
      </c>
      <c r="S364" s="1" t="s">
        <v>3398</v>
      </c>
      <c r="T364" s="1" t="s">
        <v>107</v>
      </c>
      <c r="U364" s="1" t="s">
        <v>3399</v>
      </c>
      <c r="V364" s="1">
        <v>1</v>
      </c>
      <c r="W364" s="1">
        <v>1</v>
      </c>
      <c r="X364" s="1">
        <v>1</v>
      </c>
      <c r="Y364" s="1">
        <v>0</v>
      </c>
      <c r="Z364" s="1">
        <v>0</v>
      </c>
      <c r="AA364" s="1">
        <v>1</v>
      </c>
      <c r="AB364" s="1">
        <v>1</v>
      </c>
      <c r="AC364" s="1" t="s">
        <v>109</v>
      </c>
      <c r="AD364" s="1" t="s">
        <v>109</v>
      </c>
      <c r="AE364" s="1" t="s">
        <v>109</v>
      </c>
      <c r="AF364" s="1" t="s">
        <v>109</v>
      </c>
      <c r="AG364" s="1" t="s">
        <v>109</v>
      </c>
      <c r="AH364" s="1" t="s">
        <v>109</v>
      </c>
      <c r="AI364" s="1">
        <v>1</v>
      </c>
      <c r="AJ364" s="1">
        <v>1</v>
      </c>
      <c r="AK364" s="1" t="s">
        <v>109</v>
      </c>
      <c r="AL364" s="1" t="s">
        <v>109</v>
      </c>
      <c r="AM364" s="1" t="s">
        <v>109</v>
      </c>
      <c r="AN364" s="1">
        <v>1</v>
      </c>
      <c r="AO364" s="1" t="s">
        <v>109</v>
      </c>
      <c r="AP364" s="1"/>
      <c r="AQ364" s="1">
        <v>1</v>
      </c>
      <c r="AR364" s="1"/>
      <c r="AS364" s="1" t="s">
        <v>3400</v>
      </c>
      <c r="AT364" s="1">
        <v>0</v>
      </c>
      <c r="AU364" s="1">
        <v>0</v>
      </c>
      <c r="AV364" s="1">
        <v>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5" t="str">
        <f>HYPERLINK("http://www.d20pfsrd.com/magic/all-spells/m/mount","Mount")</f>
        <v>Mount</v>
      </c>
      <c r="BT364" s="1">
        <v>364</v>
      </c>
      <c r="BU364" s="1" t="s">
        <v>109</v>
      </c>
      <c r="BV364" s="1"/>
      <c r="BW364" s="1"/>
      <c r="BX364" s="1"/>
      <c r="BY364" s="1"/>
      <c r="BZ364" s="1">
        <v>0</v>
      </c>
      <c r="CA364" s="1">
        <v>1</v>
      </c>
      <c r="CB364" s="1" t="s">
        <v>109</v>
      </c>
      <c r="CC364" s="1" t="s">
        <v>109</v>
      </c>
      <c r="CD364" s="1" t="s">
        <v>109</v>
      </c>
      <c r="CE364" s="1" t="s">
        <v>109</v>
      </c>
      <c r="CF364" s="1">
        <v>1</v>
      </c>
      <c r="CG364" s="1" t="s">
        <v>109</v>
      </c>
      <c r="CH364" s="1" t="s">
        <v>109</v>
      </c>
      <c r="CI364" s="1" t="s">
        <v>109</v>
      </c>
      <c r="CJ364" s="1" t="s">
        <v>109</v>
      </c>
      <c r="CK364" s="1"/>
      <c r="CL364" s="1">
        <v>0</v>
      </c>
      <c r="CM364" s="1">
        <v>0</v>
      </c>
      <c r="CN364" s="1">
        <v>0</v>
      </c>
    </row>
    <row r="365" spans="1:92" ht="14.25" customHeight="1" x14ac:dyDescent="0.15">
      <c r="A365" s="1" t="s">
        <v>3401</v>
      </c>
      <c r="B365" s="1" t="s">
        <v>189</v>
      </c>
      <c r="C365" s="1"/>
      <c r="D365" s="1" t="s">
        <v>54</v>
      </c>
      <c r="E365" s="1" t="s">
        <v>3402</v>
      </c>
      <c r="F365" s="1" t="s">
        <v>211</v>
      </c>
      <c r="G365" s="1" t="s">
        <v>3403</v>
      </c>
      <c r="H365" s="1">
        <v>0</v>
      </c>
      <c r="I365" s="1" t="s">
        <v>100</v>
      </c>
      <c r="J365" s="1" t="s">
        <v>3404</v>
      </c>
      <c r="K365" s="1"/>
      <c r="L365" s="1"/>
      <c r="M365" s="1" t="s">
        <v>144</v>
      </c>
      <c r="N365" s="1">
        <v>0</v>
      </c>
      <c r="O365" s="1">
        <v>1</v>
      </c>
      <c r="P365" s="1" t="s">
        <v>103</v>
      </c>
      <c r="Q365" s="1" t="s">
        <v>104</v>
      </c>
      <c r="R365" s="1" t="s">
        <v>3405</v>
      </c>
      <c r="S365" s="1" t="s">
        <v>3406</v>
      </c>
      <c r="T365" s="1" t="s">
        <v>107</v>
      </c>
      <c r="U365" s="1" t="s">
        <v>3407</v>
      </c>
      <c r="V365" s="1">
        <v>1</v>
      </c>
      <c r="W365" s="1">
        <v>1</v>
      </c>
      <c r="X365" s="1">
        <v>1</v>
      </c>
      <c r="Y365" s="1">
        <v>0</v>
      </c>
      <c r="Z365" s="1">
        <v>0</v>
      </c>
      <c r="AA365" s="1">
        <v>6</v>
      </c>
      <c r="AB365" s="1">
        <v>6</v>
      </c>
      <c r="AC365" s="1" t="s">
        <v>109</v>
      </c>
      <c r="AD365" s="1">
        <v>6</v>
      </c>
      <c r="AE365" s="1" t="s">
        <v>109</v>
      </c>
      <c r="AF365" s="1" t="s">
        <v>109</v>
      </c>
      <c r="AG365" s="1" t="s">
        <v>109</v>
      </c>
      <c r="AH365" s="1" t="s">
        <v>109</v>
      </c>
      <c r="AI365" s="1" t="s">
        <v>109</v>
      </c>
      <c r="AJ365" s="1" t="s">
        <v>109</v>
      </c>
      <c r="AK365" s="1" t="s">
        <v>109</v>
      </c>
      <c r="AL365" s="1" t="s">
        <v>109</v>
      </c>
      <c r="AM365" s="1" t="s">
        <v>109</v>
      </c>
      <c r="AN365" s="1" t="s">
        <v>109</v>
      </c>
      <c r="AO365" s="1" t="s">
        <v>109</v>
      </c>
      <c r="AP365" s="1"/>
      <c r="AQ365" s="1">
        <v>6</v>
      </c>
      <c r="AR365" s="1"/>
      <c r="AS365" s="1" t="s">
        <v>3408</v>
      </c>
      <c r="AT365" s="1">
        <v>0</v>
      </c>
      <c r="AU365" s="1">
        <v>0</v>
      </c>
      <c r="AV365" s="1">
        <v>0</v>
      </c>
      <c r="AW365" s="1">
        <v>0</v>
      </c>
      <c r="AX365" s="1">
        <v>0</v>
      </c>
      <c r="AY365" s="1">
        <v>0</v>
      </c>
      <c r="AZ365" s="1">
        <v>0</v>
      </c>
      <c r="BA365" s="1">
        <v>0</v>
      </c>
      <c r="BB365" s="1">
        <v>1</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5" t="str">
        <f>HYPERLINK("http://www.d20pfsrd.com/magic/all-spells/m/move-earth","Move Earth")</f>
        <v>Move Earth</v>
      </c>
      <c r="BT365" s="1">
        <v>365</v>
      </c>
      <c r="BU365" s="1" t="s">
        <v>109</v>
      </c>
      <c r="BV365" s="1" t="s">
        <v>3409</v>
      </c>
      <c r="BW365" s="1"/>
      <c r="BX365" s="1" t="s">
        <v>3410</v>
      </c>
      <c r="BY365" s="1"/>
      <c r="BZ365" s="1">
        <v>1</v>
      </c>
      <c r="CA365" s="1" t="s">
        <v>109</v>
      </c>
      <c r="CB365" s="1" t="s">
        <v>109</v>
      </c>
      <c r="CC365" s="1" t="s">
        <v>109</v>
      </c>
      <c r="CD365" s="1" t="s">
        <v>109</v>
      </c>
      <c r="CE365" s="1" t="s">
        <v>109</v>
      </c>
      <c r="CF365" s="1" t="s">
        <v>109</v>
      </c>
      <c r="CG365" s="1" t="s">
        <v>109</v>
      </c>
      <c r="CH365" s="1" t="s">
        <v>109</v>
      </c>
      <c r="CI365" s="1" t="s">
        <v>109</v>
      </c>
      <c r="CJ365" s="1">
        <v>6</v>
      </c>
      <c r="CK365" s="1"/>
      <c r="CL365" s="1">
        <v>0</v>
      </c>
      <c r="CM365" s="1">
        <v>0</v>
      </c>
      <c r="CN365" s="1">
        <v>0</v>
      </c>
    </row>
    <row r="366" spans="1:92" ht="14.25" customHeight="1" x14ac:dyDescent="0.15">
      <c r="A366" s="1" t="s">
        <v>3411</v>
      </c>
      <c r="B366" s="1" t="s">
        <v>95</v>
      </c>
      <c r="C366" s="1" t="s">
        <v>694</v>
      </c>
      <c r="D366" s="1"/>
      <c r="E366" s="1" t="s">
        <v>3412</v>
      </c>
      <c r="F366" s="1" t="s">
        <v>98</v>
      </c>
      <c r="G366" s="1" t="s">
        <v>3413</v>
      </c>
      <c r="H366" s="1">
        <v>0</v>
      </c>
      <c r="I366" s="1" t="s">
        <v>161</v>
      </c>
      <c r="J366" s="1"/>
      <c r="K366" s="1"/>
      <c r="L366" s="1" t="s">
        <v>3414</v>
      </c>
      <c r="M366" s="1" t="s">
        <v>3415</v>
      </c>
      <c r="N366" s="1">
        <v>0</v>
      </c>
      <c r="O366" s="1">
        <v>0</v>
      </c>
      <c r="P366" s="1" t="s">
        <v>215</v>
      </c>
      <c r="Q366" s="1" t="s">
        <v>216</v>
      </c>
      <c r="R366" s="1" t="s">
        <v>3416</v>
      </c>
      <c r="S366" s="1" t="s">
        <v>3417</v>
      </c>
      <c r="T366" s="1" t="s">
        <v>107</v>
      </c>
      <c r="U366" s="1" t="s">
        <v>3418</v>
      </c>
      <c r="V366" s="1">
        <v>1</v>
      </c>
      <c r="W366" s="1">
        <v>1</v>
      </c>
      <c r="X366" s="1">
        <v>1</v>
      </c>
      <c r="Y366" s="1">
        <v>0</v>
      </c>
      <c r="Z366" s="1">
        <v>1</v>
      </c>
      <c r="AA366" s="1" t="s">
        <v>109</v>
      </c>
      <c r="AB366" s="1" t="s">
        <v>109</v>
      </c>
      <c r="AC366" s="1">
        <v>4</v>
      </c>
      <c r="AD366" s="1">
        <v>3</v>
      </c>
      <c r="AE366" s="1">
        <v>3</v>
      </c>
      <c r="AF366" s="1">
        <v>4</v>
      </c>
      <c r="AG366" s="1">
        <v>4</v>
      </c>
      <c r="AH366" s="1">
        <v>4</v>
      </c>
      <c r="AI366" s="1" t="s">
        <v>109</v>
      </c>
      <c r="AJ366" s="1">
        <v>4</v>
      </c>
      <c r="AK366" s="1">
        <v>4</v>
      </c>
      <c r="AL366" s="1">
        <v>4</v>
      </c>
      <c r="AM366" s="1" t="s">
        <v>109</v>
      </c>
      <c r="AN366" s="1" t="s">
        <v>109</v>
      </c>
      <c r="AO366" s="1">
        <v>3</v>
      </c>
      <c r="AP366" s="1"/>
      <c r="AQ366" s="1">
        <v>4</v>
      </c>
      <c r="AR366" s="1" t="s">
        <v>3419</v>
      </c>
      <c r="AS366" s="1" t="s">
        <v>3420</v>
      </c>
      <c r="AT366" s="1">
        <v>0</v>
      </c>
      <c r="AU366" s="1">
        <v>0</v>
      </c>
      <c r="AV366" s="1">
        <v>0</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5" t="str">
        <f>HYPERLINK("http://www.d20pfsrd.com/magic/all-spells/n/neutralize-poison","Neutralize Poison")</f>
        <v>Neutralize Poison</v>
      </c>
      <c r="BT366" s="1">
        <v>366</v>
      </c>
      <c r="BU366" s="1" t="s">
        <v>109</v>
      </c>
      <c r="BV366" s="1"/>
      <c r="BW366" s="1"/>
      <c r="BX366" s="1"/>
      <c r="BY366" s="1"/>
      <c r="BZ366" s="1">
        <v>0</v>
      </c>
      <c r="CA366" s="1" t="s">
        <v>109</v>
      </c>
      <c r="CB366" s="1">
        <v>4</v>
      </c>
      <c r="CC366" s="1" t="s">
        <v>109</v>
      </c>
      <c r="CD366" s="1" t="s">
        <v>109</v>
      </c>
      <c r="CE366" s="1" t="s">
        <v>109</v>
      </c>
      <c r="CF366" s="1" t="s">
        <v>109</v>
      </c>
      <c r="CG366" s="1">
        <v>4</v>
      </c>
      <c r="CH366" s="1" t="s">
        <v>109</v>
      </c>
      <c r="CI366" s="1" t="s">
        <v>109</v>
      </c>
      <c r="CJ366" s="1">
        <v>3</v>
      </c>
      <c r="CK366" s="1"/>
      <c r="CL366" s="1">
        <v>0</v>
      </c>
      <c r="CM366" s="1">
        <v>0</v>
      </c>
      <c r="CN366" s="1">
        <v>0</v>
      </c>
    </row>
    <row r="367" spans="1:92" ht="14.25" customHeight="1" x14ac:dyDescent="0.15">
      <c r="A367" s="1" t="s">
        <v>3421</v>
      </c>
      <c r="B367" s="1" t="s">
        <v>674</v>
      </c>
      <c r="C367" s="1" t="s">
        <v>1715</v>
      </c>
      <c r="D367" s="1" t="s">
        <v>3422</v>
      </c>
      <c r="E367" s="1" t="s">
        <v>3423</v>
      </c>
      <c r="F367" s="1" t="s">
        <v>395</v>
      </c>
      <c r="G367" s="1" t="s">
        <v>141</v>
      </c>
      <c r="H367" s="1">
        <v>0</v>
      </c>
      <c r="I367" s="1" t="s">
        <v>397</v>
      </c>
      <c r="J367" s="1"/>
      <c r="K367" s="1"/>
      <c r="L367" s="1" t="s">
        <v>563</v>
      </c>
      <c r="M367" s="1" t="s">
        <v>144</v>
      </c>
      <c r="N367" s="1">
        <v>0</v>
      </c>
      <c r="O367" s="1">
        <v>0</v>
      </c>
      <c r="P367" s="1" t="s">
        <v>564</v>
      </c>
      <c r="Q367" s="1" t="s">
        <v>268</v>
      </c>
      <c r="R367" s="1" t="s">
        <v>3424</v>
      </c>
      <c r="S367" s="1" t="s">
        <v>3425</v>
      </c>
      <c r="T367" s="1" t="s">
        <v>107</v>
      </c>
      <c r="U367" s="1" t="s">
        <v>3426</v>
      </c>
      <c r="V367" s="1">
        <v>1</v>
      </c>
      <c r="W367" s="1">
        <v>1</v>
      </c>
      <c r="X367" s="1">
        <v>0</v>
      </c>
      <c r="Y367" s="1">
        <v>0</v>
      </c>
      <c r="Z367" s="1">
        <v>0</v>
      </c>
      <c r="AA367" s="1">
        <v>5</v>
      </c>
      <c r="AB367" s="1">
        <v>5</v>
      </c>
      <c r="AC367" s="1" t="s">
        <v>109</v>
      </c>
      <c r="AD367" s="1" t="s">
        <v>109</v>
      </c>
      <c r="AE367" s="1" t="s">
        <v>109</v>
      </c>
      <c r="AF367" s="1">
        <v>5</v>
      </c>
      <c r="AG367" s="1" t="s">
        <v>109</v>
      </c>
      <c r="AH367" s="1">
        <v>5</v>
      </c>
      <c r="AI367" s="1" t="s">
        <v>109</v>
      </c>
      <c r="AJ367" s="1" t="s">
        <v>109</v>
      </c>
      <c r="AK367" s="1" t="s">
        <v>109</v>
      </c>
      <c r="AL367" s="1" t="s">
        <v>109</v>
      </c>
      <c r="AM367" s="1" t="s">
        <v>109</v>
      </c>
      <c r="AN367" s="1" t="s">
        <v>109</v>
      </c>
      <c r="AO367" s="1" t="s">
        <v>109</v>
      </c>
      <c r="AP367" s="1"/>
      <c r="AQ367" s="1">
        <v>5</v>
      </c>
      <c r="AR367" s="1" t="s">
        <v>3427</v>
      </c>
      <c r="AS367" s="1" t="s">
        <v>3428</v>
      </c>
      <c r="AT367" s="1">
        <v>0</v>
      </c>
      <c r="AU367" s="1">
        <v>0</v>
      </c>
      <c r="AV367" s="1">
        <v>0</v>
      </c>
      <c r="AW367" s="1">
        <v>0</v>
      </c>
      <c r="AX367" s="1">
        <v>0</v>
      </c>
      <c r="AY367" s="1">
        <v>0</v>
      </c>
      <c r="AZ367" s="1">
        <v>0</v>
      </c>
      <c r="BA367" s="1">
        <v>0</v>
      </c>
      <c r="BB367" s="1">
        <v>0</v>
      </c>
      <c r="BC367" s="1">
        <v>0</v>
      </c>
      <c r="BD367" s="1">
        <v>0</v>
      </c>
      <c r="BE367" s="1">
        <v>1</v>
      </c>
      <c r="BF367" s="1">
        <v>0</v>
      </c>
      <c r="BG367" s="1">
        <v>0</v>
      </c>
      <c r="BH367" s="1">
        <v>0</v>
      </c>
      <c r="BI367" s="1">
        <v>0</v>
      </c>
      <c r="BJ367" s="1">
        <v>0</v>
      </c>
      <c r="BK367" s="1">
        <v>0</v>
      </c>
      <c r="BL367" s="1">
        <v>0</v>
      </c>
      <c r="BM367" s="1">
        <v>1</v>
      </c>
      <c r="BN367" s="1">
        <v>0</v>
      </c>
      <c r="BO367" s="1">
        <v>0</v>
      </c>
      <c r="BP367" s="1">
        <v>0</v>
      </c>
      <c r="BQ367" s="1">
        <v>0</v>
      </c>
      <c r="BR367" s="1">
        <v>0</v>
      </c>
      <c r="BS367" s="5" t="str">
        <f>HYPERLINK("http://www.d20pfsrd.com/magic/all-spells/n/nightmare","Nightmare")</f>
        <v>Nightmare</v>
      </c>
      <c r="BT367" s="1">
        <v>367</v>
      </c>
      <c r="BU367" s="1" t="s">
        <v>109</v>
      </c>
      <c r="BV367" s="1"/>
      <c r="BW367" s="1"/>
      <c r="BX367" s="1" t="s">
        <v>3429</v>
      </c>
      <c r="BY367" s="1" t="s">
        <v>3430</v>
      </c>
      <c r="BZ367" s="1">
        <v>1</v>
      </c>
      <c r="CA367" s="1" t="s">
        <v>109</v>
      </c>
      <c r="CB367" s="1" t="s">
        <v>109</v>
      </c>
      <c r="CC367" s="1">
        <v>5</v>
      </c>
      <c r="CD367" s="1" t="s">
        <v>109</v>
      </c>
      <c r="CE367" s="1">
        <v>5</v>
      </c>
      <c r="CF367" s="1" t="s">
        <v>109</v>
      </c>
      <c r="CG367" s="1">
        <v>5</v>
      </c>
      <c r="CH367" s="1" t="s">
        <v>109</v>
      </c>
      <c r="CI367" s="1" t="s">
        <v>109</v>
      </c>
      <c r="CJ367" s="1" t="s">
        <v>109</v>
      </c>
      <c r="CK367" s="1"/>
      <c r="CL367" s="1">
        <v>0</v>
      </c>
      <c r="CM367" s="1">
        <v>0</v>
      </c>
      <c r="CN367" s="1">
        <v>0</v>
      </c>
    </row>
    <row r="368" spans="1:92" ht="14.25" customHeight="1" x14ac:dyDescent="0.15">
      <c r="A368" s="1" t="s">
        <v>3431</v>
      </c>
      <c r="B368" s="1" t="s">
        <v>242</v>
      </c>
      <c r="C368" s="1"/>
      <c r="D368" s="1"/>
      <c r="E368" s="1" t="s">
        <v>3432</v>
      </c>
      <c r="F368" s="1" t="s">
        <v>98</v>
      </c>
      <c r="G368" s="1" t="s">
        <v>3433</v>
      </c>
      <c r="H368" s="1">
        <v>1</v>
      </c>
      <c r="I368" s="1" t="s">
        <v>161</v>
      </c>
      <c r="J368" s="1"/>
      <c r="K368" s="1"/>
      <c r="L368" s="1" t="s">
        <v>3434</v>
      </c>
      <c r="M368" s="1" t="s">
        <v>289</v>
      </c>
      <c r="N368" s="1">
        <v>0</v>
      </c>
      <c r="O368" s="1">
        <v>0</v>
      </c>
      <c r="P368" s="1" t="s">
        <v>215</v>
      </c>
      <c r="Q368" s="1" t="s">
        <v>216</v>
      </c>
      <c r="R368" s="1" t="s">
        <v>3435</v>
      </c>
      <c r="S368" s="1" t="s">
        <v>3436</v>
      </c>
      <c r="T368" s="1" t="s">
        <v>107</v>
      </c>
      <c r="U368" s="1" t="s">
        <v>3437</v>
      </c>
      <c r="V368" s="1">
        <v>1</v>
      </c>
      <c r="W368" s="1">
        <v>1</v>
      </c>
      <c r="X368" s="1">
        <v>1</v>
      </c>
      <c r="Y368" s="1">
        <v>0</v>
      </c>
      <c r="Z368" s="1">
        <v>0</v>
      </c>
      <c r="AA368" s="1">
        <v>3</v>
      </c>
      <c r="AB368" s="1">
        <v>3</v>
      </c>
      <c r="AC368" s="1" t="s">
        <v>109</v>
      </c>
      <c r="AD368" s="1" t="s">
        <v>109</v>
      </c>
      <c r="AE368" s="1">
        <v>4</v>
      </c>
      <c r="AF368" s="1" t="s">
        <v>109</v>
      </c>
      <c r="AG368" s="1" t="s">
        <v>109</v>
      </c>
      <c r="AH368" s="1">
        <v>3</v>
      </c>
      <c r="AI368" s="1">
        <v>3</v>
      </c>
      <c r="AJ368" s="1" t="s">
        <v>109</v>
      </c>
      <c r="AK368" s="1">
        <v>3</v>
      </c>
      <c r="AL368" s="1" t="s">
        <v>109</v>
      </c>
      <c r="AM368" s="1">
        <v>3</v>
      </c>
      <c r="AN368" s="1" t="s">
        <v>109</v>
      </c>
      <c r="AO368" s="1" t="s">
        <v>109</v>
      </c>
      <c r="AP368" s="1"/>
      <c r="AQ368" s="1">
        <v>3</v>
      </c>
      <c r="AR368" s="1" t="s">
        <v>3438</v>
      </c>
      <c r="AS368" s="1" t="s">
        <v>3439</v>
      </c>
      <c r="AT368" s="1">
        <v>0</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5" t="str">
        <f>HYPERLINK("http://www.d20pfsrd.com/magic/all-spells/n/nondetection","Nondetection")</f>
        <v>Nondetection</v>
      </c>
      <c r="BT368" s="1">
        <v>368</v>
      </c>
      <c r="BU368" s="1">
        <v>50</v>
      </c>
      <c r="BV368" s="1"/>
      <c r="BW368" s="1"/>
      <c r="BX368" s="1"/>
      <c r="BY368" s="1"/>
      <c r="BZ368" s="1">
        <v>0</v>
      </c>
      <c r="CA368" s="1" t="s">
        <v>109</v>
      </c>
      <c r="CB368" s="1" t="s">
        <v>109</v>
      </c>
      <c r="CC368" s="1">
        <v>3</v>
      </c>
      <c r="CD368" s="1" t="s">
        <v>109</v>
      </c>
      <c r="CE368" s="1">
        <v>3</v>
      </c>
      <c r="CF368" s="1">
        <v>3</v>
      </c>
      <c r="CG368" s="1">
        <v>3</v>
      </c>
      <c r="CH368" s="1" t="s">
        <v>109</v>
      </c>
      <c r="CI368" s="1" t="s">
        <v>109</v>
      </c>
      <c r="CJ368" s="1">
        <v>4</v>
      </c>
      <c r="CK368" s="1"/>
      <c r="CL368" s="1">
        <v>0</v>
      </c>
      <c r="CM368" s="1">
        <v>0</v>
      </c>
      <c r="CN368" s="1">
        <v>0</v>
      </c>
    </row>
    <row r="369" spans="1:92" ht="14.25" customHeight="1" x14ac:dyDescent="0.15">
      <c r="A369" s="1" t="s">
        <v>3440</v>
      </c>
      <c r="B369" s="1" t="s">
        <v>242</v>
      </c>
      <c r="C369" s="1"/>
      <c r="D369" s="1"/>
      <c r="E369" s="1" t="s">
        <v>3441</v>
      </c>
      <c r="F369" s="1" t="s">
        <v>98</v>
      </c>
      <c r="G369" s="1" t="s">
        <v>3442</v>
      </c>
      <c r="H369" s="1">
        <v>0</v>
      </c>
      <c r="I369" s="1" t="s">
        <v>161</v>
      </c>
      <c r="J369" s="1"/>
      <c r="K369" s="1"/>
      <c r="L369" s="1" t="s">
        <v>3443</v>
      </c>
      <c r="M369" s="1" t="s">
        <v>3444</v>
      </c>
      <c r="N369" s="1">
        <v>1</v>
      </c>
      <c r="O369" s="1">
        <v>0</v>
      </c>
      <c r="P369" s="1" t="s">
        <v>629</v>
      </c>
      <c r="Q369" s="1" t="s">
        <v>630</v>
      </c>
      <c r="R369" s="1" t="s">
        <v>3445</v>
      </c>
      <c r="S369" s="1" t="s">
        <v>3446</v>
      </c>
      <c r="T369" s="1" t="s">
        <v>107</v>
      </c>
      <c r="U369" s="1" t="s">
        <v>3447</v>
      </c>
      <c r="V369" s="1">
        <v>1</v>
      </c>
      <c r="W369" s="1">
        <v>1</v>
      </c>
      <c r="X369" s="1">
        <v>1</v>
      </c>
      <c r="Y369" s="1">
        <v>0</v>
      </c>
      <c r="Z369" s="1">
        <v>1</v>
      </c>
      <c r="AA369" s="1">
        <v>2</v>
      </c>
      <c r="AB369" s="1">
        <v>2</v>
      </c>
      <c r="AC369" s="1">
        <v>3</v>
      </c>
      <c r="AD369" s="1" t="s">
        <v>109</v>
      </c>
      <c r="AE369" s="1" t="s">
        <v>109</v>
      </c>
      <c r="AF369" s="1">
        <v>1</v>
      </c>
      <c r="AG369" s="1" t="s">
        <v>109</v>
      </c>
      <c r="AH369" s="1" t="s">
        <v>109</v>
      </c>
      <c r="AI369" s="1" t="s">
        <v>109</v>
      </c>
      <c r="AJ369" s="1" t="s">
        <v>109</v>
      </c>
      <c r="AK369" s="1">
        <v>3</v>
      </c>
      <c r="AL369" s="1">
        <v>3</v>
      </c>
      <c r="AM369" s="1" t="s">
        <v>109</v>
      </c>
      <c r="AN369" s="1" t="s">
        <v>109</v>
      </c>
      <c r="AO369" s="1" t="s">
        <v>109</v>
      </c>
      <c r="AP369" s="1"/>
      <c r="AQ369" s="1">
        <v>2</v>
      </c>
      <c r="AR369" s="1"/>
      <c r="AS369" s="1" t="s">
        <v>3448</v>
      </c>
      <c r="AT369" s="1">
        <v>0</v>
      </c>
      <c r="AU369" s="1">
        <v>0</v>
      </c>
      <c r="AV369" s="1">
        <v>0</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5" t="str">
        <f>HYPERLINK("http://www.d20pfsrd.com/magic/all-spells/o/obscure-object","Obscure Object")</f>
        <v>Obscure Object</v>
      </c>
      <c r="BT369" s="1">
        <v>369</v>
      </c>
      <c r="BU369" s="1" t="s">
        <v>109</v>
      </c>
      <c r="BV369" s="1"/>
      <c r="BW369" s="1"/>
      <c r="BX369" s="1"/>
      <c r="BY369" s="1"/>
      <c r="BZ369" s="1">
        <v>0</v>
      </c>
      <c r="CA369" s="1" t="s">
        <v>109</v>
      </c>
      <c r="CB369" s="1" t="s">
        <v>109</v>
      </c>
      <c r="CC369" s="1">
        <v>2</v>
      </c>
      <c r="CD369" s="1" t="s">
        <v>109</v>
      </c>
      <c r="CE369" s="1">
        <v>1</v>
      </c>
      <c r="CF369" s="1">
        <v>2</v>
      </c>
      <c r="CG369" s="1">
        <v>3</v>
      </c>
      <c r="CH369" s="1" t="s">
        <v>109</v>
      </c>
      <c r="CI369" s="1" t="s">
        <v>109</v>
      </c>
      <c r="CJ369" s="1" t="s">
        <v>109</v>
      </c>
      <c r="CK369" s="1"/>
      <c r="CL369" s="1">
        <v>0</v>
      </c>
      <c r="CM369" s="1">
        <v>0</v>
      </c>
      <c r="CN369" s="1">
        <v>0</v>
      </c>
    </row>
    <row r="370" spans="1:92" ht="14.25" customHeight="1" x14ac:dyDescent="0.15">
      <c r="A370" s="1" t="s">
        <v>3449</v>
      </c>
      <c r="B370" s="1" t="s">
        <v>95</v>
      </c>
      <c r="C370" s="1" t="s">
        <v>96</v>
      </c>
      <c r="D370" s="1"/>
      <c r="E370" s="1" t="s">
        <v>3450</v>
      </c>
      <c r="F370" s="1" t="s">
        <v>98</v>
      </c>
      <c r="G370" s="1" t="s">
        <v>141</v>
      </c>
      <c r="H370" s="1">
        <v>0</v>
      </c>
      <c r="I370" s="1" t="s">
        <v>915</v>
      </c>
      <c r="J370" s="1"/>
      <c r="K370" s="1" t="s">
        <v>3451</v>
      </c>
      <c r="L370" s="1"/>
      <c r="M370" s="1" t="s">
        <v>164</v>
      </c>
      <c r="N370" s="1">
        <v>1</v>
      </c>
      <c r="O370" s="1">
        <v>0</v>
      </c>
      <c r="P370" s="1" t="s">
        <v>103</v>
      </c>
      <c r="Q370" s="1" t="s">
        <v>104</v>
      </c>
      <c r="R370" s="1" t="s">
        <v>3452</v>
      </c>
      <c r="S370" s="1" t="s">
        <v>3453</v>
      </c>
      <c r="T370" s="1" t="s">
        <v>107</v>
      </c>
      <c r="U370" s="1" t="s">
        <v>3454</v>
      </c>
      <c r="V370" s="1">
        <v>1</v>
      </c>
      <c r="W370" s="1">
        <v>1</v>
      </c>
      <c r="X370" s="1">
        <v>0</v>
      </c>
      <c r="Y370" s="1">
        <v>0</v>
      </c>
      <c r="Z370" s="1">
        <v>0</v>
      </c>
      <c r="AA370" s="1">
        <v>1</v>
      </c>
      <c r="AB370" s="1">
        <v>1</v>
      </c>
      <c r="AC370" s="1">
        <v>1</v>
      </c>
      <c r="AD370" s="1">
        <v>1</v>
      </c>
      <c r="AE370" s="1" t="s">
        <v>109</v>
      </c>
      <c r="AF370" s="1" t="s">
        <v>109</v>
      </c>
      <c r="AG370" s="1" t="s">
        <v>109</v>
      </c>
      <c r="AH370" s="1" t="s">
        <v>109</v>
      </c>
      <c r="AI370" s="1" t="s">
        <v>109</v>
      </c>
      <c r="AJ370" s="1">
        <v>1</v>
      </c>
      <c r="AK370" s="1" t="s">
        <v>109</v>
      </c>
      <c r="AL370" s="1">
        <v>1</v>
      </c>
      <c r="AM370" s="1" t="s">
        <v>109</v>
      </c>
      <c r="AN370" s="1">
        <v>1</v>
      </c>
      <c r="AO370" s="1">
        <v>1</v>
      </c>
      <c r="AP370" s="1"/>
      <c r="AQ370" s="1">
        <v>1</v>
      </c>
      <c r="AR370" s="1" t="s">
        <v>3455</v>
      </c>
      <c r="AS370" s="1" t="s">
        <v>3456</v>
      </c>
      <c r="AT370" s="1">
        <v>0</v>
      </c>
      <c r="AU370" s="1">
        <v>0</v>
      </c>
      <c r="AV370" s="1">
        <v>0</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5" t="str">
        <f>HYPERLINK("http://www.d20pfsrd.com/magic/all-spells/o/obscuring-mist","Obscuring Mist")</f>
        <v>Obscuring Mist</v>
      </c>
      <c r="BT370" s="1">
        <v>370</v>
      </c>
      <c r="BU370" s="1" t="s">
        <v>109</v>
      </c>
      <c r="BV370" s="1" t="s">
        <v>3457</v>
      </c>
      <c r="BW370" s="1" t="s">
        <v>3458</v>
      </c>
      <c r="BX370" s="1"/>
      <c r="BY370" s="1"/>
      <c r="BZ370" s="1">
        <v>0</v>
      </c>
      <c r="CA370" s="1" t="s">
        <v>109</v>
      </c>
      <c r="CB370" s="1">
        <v>1</v>
      </c>
      <c r="CC370" s="1" t="s">
        <v>109</v>
      </c>
      <c r="CD370" s="1" t="s">
        <v>109</v>
      </c>
      <c r="CE370" s="1">
        <v>1</v>
      </c>
      <c r="CF370" s="1" t="s">
        <v>109</v>
      </c>
      <c r="CG370" s="1">
        <v>1</v>
      </c>
      <c r="CH370" s="1" t="s">
        <v>109</v>
      </c>
      <c r="CI370" s="1" t="s">
        <v>109</v>
      </c>
      <c r="CJ370" s="1">
        <v>1</v>
      </c>
      <c r="CK370" s="1"/>
      <c r="CL370" s="1">
        <v>0</v>
      </c>
      <c r="CM370" s="1">
        <v>0</v>
      </c>
      <c r="CN370" s="1">
        <v>0</v>
      </c>
    </row>
    <row r="371" spans="1:92" ht="14.25" customHeight="1" x14ac:dyDescent="0.15">
      <c r="A371" s="1" t="s">
        <v>3459</v>
      </c>
      <c r="B371" s="1" t="s">
        <v>189</v>
      </c>
      <c r="C371" s="1"/>
      <c r="D371" s="1"/>
      <c r="E371" s="1" t="s">
        <v>3034</v>
      </c>
      <c r="F371" s="1" t="s">
        <v>98</v>
      </c>
      <c r="G371" s="1" t="s">
        <v>3460</v>
      </c>
      <c r="H371" s="1">
        <v>0</v>
      </c>
      <c r="I371" s="1" t="s">
        <v>142</v>
      </c>
      <c r="J371" s="1"/>
      <c r="K371" s="1"/>
      <c r="L371" s="1" t="s">
        <v>3461</v>
      </c>
      <c r="M371" s="1" t="s">
        <v>144</v>
      </c>
      <c r="N371" s="1">
        <v>0</v>
      </c>
      <c r="O371" s="1">
        <v>0</v>
      </c>
      <c r="P371" s="1" t="s">
        <v>629</v>
      </c>
      <c r="Q371" s="1" t="s">
        <v>630</v>
      </c>
      <c r="R371" s="1" t="s">
        <v>3462</v>
      </c>
      <c r="S371" s="1" t="s">
        <v>3463</v>
      </c>
      <c r="T371" s="1" t="s">
        <v>107</v>
      </c>
      <c r="U371" s="1" t="s">
        <v>3464</v>
      </c>
      <c r="V371" s="1">
        <v>1</v>
      </c>
      <c r="W371" s="1">
        <v>1</v>
      </c>
      <c r="X371" s="1">
        <v>0</v>
      </c>
      <c r="Y371" s="1">
        <v>1</v>
      </c>
      <c r="Z371" s="1">
        <v>0</v>
      </c>
      <c r="AA371" s="1">
        <v>0</v>
      </c>
      <c r="AB371" s="1">
        <v>0</v>
      </c>
      <c r="AC371" s="1" t="s">
        <v>109</v>
      </c>
      <c r="AD371" s="1" t="s">
        <v>109</v>
      </c>
      <c r="AE371" s="1" t="s">
        <v>109</v>
      </c>
      <c r="AF371" s="1">
        <v>0</v>
      </c>
      <c r="AG371" s="1" t="s">
        <v>109</v>
      </c>
      <c r="AH371" s="1" t="s">
        <v>109</v>
      </c>
      <c r="AI371" s="1">
        <v>0</v>
      </c>
      <c r="AJ371" s="1" t="s">
        <v>109</v>
      </c>
      <c r="AK371" s="1" t="s">
        <v>109</v>
      </c>
      <c r="AL371" s="1" t="s">
        <v>109</v>
      </c>
      <c r="AM371" s="1" t="s">
        <v>109</v>
      </c>
      <c r="AN371" s="1">
        <v>0</v>
      </c>
      <c r="AO371" s="1" t="s">
        <v>109</v>
      </c>
      <c r="AP371" s="1"/>
      <c r="AQ371" s="1">
        <v>0</v>
      </c>
      <c r="AR371" s="1"/>
      <c r="AS371" s="1" t="s">
        <v>3465</v>
      </c>
      <c r="AT371" s="1">
        <v>0</v>
      </c>
      <c r="AU371" s="1">
        <v>0</v>
      </c>
      <c r="AV371" s="1">
        <v>0</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5" t="str">
        <f>HYPERLINK("http://www.d20pfsrd.com/magic/all-spells/o/open-close","Open/Close")</f>
        <v>Open/Close</v>
      </c>
      <c r="BT371" s="1">
        <v>371</v>
      </c>
      <c r="BU371" s="1" t="s">
        <v>109</v>
      </c>
      <c r="BV371" s="1"/>
      <c r="BW371" s="1"/>
      <c r="BX371" s="1"/>
      <c r="BY371" s="1"/>
      <c r="BZ371" s="1">
        <v>0</v>
      </c>
      <c r="CA371" s="1" t="s">
        <v>109</v>
      </c>
      <c r="CB371" s="1" t="s">
        <v>109</v>
      </c>
      <c r="CC371" s="1">
        <v>0</v>
      </c>
      <c r="CD371" s="1" t="s">
        <v>109</v>
      </c>
      <c r="CE371" s="1">
        <v>0</v>
      </c>
      <c r="CF371" s="1">
        <v>0</v>
      </c>
      <c r="CG371" s="1">
        <v>0</v>
      </c>
      <c r="CH371" s="1" t="s">
        <v>109</v>
      </c>
      <c r="CI371" s="1" t="s">
        <v>109</v>
      </c>
      <c r="CJ371" s="1" t="s">
        <v>109</v>
      </c>
      <c r="CK371" s="1"/>
      <c r="CL371" s="1">
        <v>0</v>
      </c>
      <c r="CM371" s="1">
        <v>0</v>
      </c>
      <c r="CN371" s="1">
        <v>0</v>
      </c>
    </row>
    <row r="372" spans="1:92" ht="14.25" customHeight="1" x14ac:dyDescent="0.15">
      <c r="A372" s="1" t="s">
        <v>3466</v>
      </c>
      <c r="B372" s="1" t="s">
        <v>584</v>
      </c>
      <c r="C372" s="1"/>
      <c r="D372" s="1" t="s">
        <v>63</v>
      </c>
      <c r="E372" s="1" t="s">
        <v>823</v>
      </c>
      <c r="F372" s="1" t="s">
        <v>98</v>
      </c>
      <c r="G372" s="1" t="s">
        <v>141</v>
      </c>
      <c r="H372" s="1">
        <v>0</v>
      </c>
      <c r="I372" s="1" t="s">
        <v>122</v>
      </c>
      <c r="J372" s="1" t="s">
        <v>3467</v>
      </c>
      <c r="K372" s="1"/>
      <c r="L372" s="1"/>
      <c r="M372" s="1" t="s">
        <v>2644</v>
      </c>
      <c r="N372" s="1">
        <v>0</v>
      </c>
      <c r="O372" s="1">
        <v>0</v>
      </c>
      <c r="P372" s="1" t="s">
        <v>826</v>
      </c>
      <c r="Q372" s="1" t="s">
        <v>268</v>
      </c>
      <c r="R372" s="1" t="s">
        <v>3468</v>
      </c>
      <c r="S372" s="1" t="s">
        <v>3469</v>
      </c>
      <c r="T372" s="1" t="s">
        <v>107</v>
      </c>
      <c r="U372" s="1" t="s">
        <v>3470</v>
      </c>
      <c r="V372" s="1">
        <v>1</v>
      </c>
      <c r="W372" s="1">
        <v>1</v>
      </c>
      <c r="X372" s="1">
        <v>0</v>
      </c>
      <c r="Y372" s="1">
        <v>0</v>
      </c>
      <c r="Z372" s="1">
        <v>0</v>
      </c>
      <c r="AA372" s="1" t="s">
        <v>109</v>
      </c>
      <c r="AB372" s="1" t="s">
        <v>109</v>
      </c>
      <c r="AC372" s="1">
        <v>4</v>
      </c>
      <c r="AD372" s="1" t="s">
        <v>109</v>
      </c>
      <c r="AE372" s="1" t="s">
        <v>109</v>
      </c>
      <c r="AF372" s="1" t="s">
        <v>109</v>
      </c>
      <c r="AG372" s="1" t="s">
        <v>109</v>
      </c>
      <c r="AH372" s="1" t="s">
        <v>109</v>
      </c>
      <c r="AI372" s="1" t="s">
        <v>109</v>
      </c>
      <c r="AJ372" s="1" t="s">
        <v>109</v>
      </c>
      <c r="AK372" s="1">
        <v>4</v>
      </c>
      <c r="AL372" s="1">
        <v>4</v>
      </c>
      <c r="AM372" s="1" t="s">
        <v>109</v>
      </c>
      <c r="AN372" s="1" t="s">
        <v>109</v>
      </c>
      <c r="AO372" s="1" t="s">
        <v>109</v>
      </c>
      <c r="AP372" s="1"/>
      <c r="AQ372" s="1">
        <v>4</v>
      </c>
      <c r="AR372" s="1" t="s">
        <v>3471</v>
      </c>
      <c r="AS372" s="1" t="s">
        <v>3472</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1</v>
      </c>
      <c r="BL372" s="1">
        <v>0</v>
      </c>
      <c r="BM372" s="1">
        <v>0</v>
      </c>
      <c r="BN372" s="1">
        <v>0</v>
      </c>
      <c r="BO372" s="1">
        <v>0</v>
      </c>
      <c r="BP372" s="1">
        <v>0</v>
      </c>
      <c r="BQ372" s="1">
        <v>0</v>
      </c>
      <c r="BR372" s="1">
        <v>0</v>
      </c>
      <c r="BS372" s="5" t="str">
        <f>HYPERLINK("http://www.d20pfsrd.com/magic/all-spells/o/order-s-wrath","Order's Wrath")</f>
        <v>Order's Wrath</v>
      </c>
      <c r="BT372" s="1">
        <v>372</v>
      </c>
      <c r="BU372" s="1" t="s">
        <v>109</v>
      </c>
      <c r="BV372" s="1"/>
      <c r="BW372" s="1"/>
      <c r="BX372" s="1" t="s">
        <v>3473</v>
      </c>
      <c r="BY372" s="1"/>
      <c r="BZ372" s="1">
        <v>1</v>
      </c>
      <c r="CA372" s="1" t="s">
        <v>109</v>
      </c>
      <c r="CB372" s="1" t="s">
        <v>109</v>
      </c>
      <c r="CC372" s="1" t="s">
        <v>109</v>
      </c>
      <c r="CD372" s="1" t="s">
        <v>109</v>
      </c>
      <c r="CE372" s="1" t="s">
        <v>109</v>
      </c>
      <c r="CF372" s="1" t="s">
        <v>109</v>
      </c>
      <c r="CG372" s="1" t="s">
        <v>109</v>
      </c>
      <c r="CH372" s="1" t="s">
        <v>109</v>
      </c>
      <c r="CI372" s="1" t="s">
        <v>109</v>
      </c>
      <c r="CJ372" s="1" t="s">
        <v>109</v>
      </c>
      <c r="CK372" s="1"/>
      <c r="CL372" s="1">
        <v>0</v>
      </c>
      <c r="CM372" s="1">
        <v>0</v>
      </c>
      <c r="CN372" s="1">
        <v>0</v>
      </c>
    </row>
    <row r="373" spans="1:92" ht="14.25" customHeight="1" x14ac:dyDescent="0.15">
      <c r="A373" s="1" t="s">
        <v>3474</v>
      </c>
      <c r="B373" s="1" t="s">
        <v>189</v>
      </c>
      <c r="C373" s="1"/>
      <c r="D373" s="1"/>
      <c r="E373" s="1" t="s">
        <v>3475</v>
      </c>
      <c r="F373" s="1" t="s">
        <v>98</v>
      </c>
      <c r="G373" s="1" t="s">
        <v>141</v>
      </c>
      <c r="H373" s="1">
        <v>0</v>
      </c>
      <c r="I373" s="1" t="s">
        <v>235</v>
      </c>
      <c r="J373" s="1"/>
      <c r="K373" s="1"/>
      <c r="L373" s="1" t="s">
        <v>236</v>
      </c>
      <c r="M373" s="1" t="s">
        <v>289</v>
      </c>
      <c r="N373" s="1">
        <v>0</v>
      </c>
      <c r="O373" s="1">
        <v>0</v>
      </c>
      <c r="P373" s="1"/>
      <c r="Q373" s="1"/>
      <c r="R373" s="1" t="s">
        <v>3476</v>
      </c>
      <c r="S373" s="1" t="s">
        <v>3477</v>
      </c>
      <c r="T373" s="1" t="s">
        <v>107</v>
      </c>
      <c r="U373" s="1" t="s">
        <v>3478</v>
      </c>
      <c r="V373" s="1">
        <v>1</v>
      </c>
      <c r="W373" s="1">
        <v>1</v>
      </c>
      <c r="X373" s="1">
        <v>0</v>
      </c>
      <c r="Y373" s="1">
        <v>0</v>
      </c>
      <c r="Z373" s="1">
        <v>0</v>
      </c>
      <c r="AA373" s="1">
        <v>5</v>
      </c>
      <c r="AB373" s="1">
        <v>5</v>
      </c>
      <c r="AC373" s="1" t="s">
        <v>109</v>
      </c>
      <c r="AD373" s="1" t="s">
        <v>109</v>
      </c>
      <c r="AE373" s="1" t="s">
        <v>109</v>
      </c>
      <c r="AF373" s="1" t="s">
        <v>109</v>
      </c>
      <c r="AG373" s="1" t="s">
        <v>109</v>
      </c>
      <c r="AH373" s="1">
        <v>5</v>
      </c>
      <c r="AI373" s="1">
        <v>4</v>
      </c>
      <c r="AJ373" s="1">
        <v>5</v>
      </c>
      <c r="AK373" s="1" t="s">
        <v>109</v>
      </c>
      <c r="AL373" s="1" t="s">
        <v>109</v>
      </c>
      <c r="AM373" s="1" t="s">
        <v>109</v>
      </c>
      <c r="AN373" s="1">
        <v>5</v>
      </c>
      <c r="AO373" s="1" t="s">
        <v>109</v>
      </c>
      <c r="AP373" s="1"/>
      <c r="AQ373" s="1">
        <v>5</v>
      </c>
      <c r="AR373" s="1" t="s">
        <v>3479</v>
      </c>
      <c r="AS373" s="1" t="s">
        <v>3480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5" t="str">
        <f>HYPERLINK("http://www.d20pfsrd.com/magic/all-spells/o/overland-flight","Overland Flight")</f>
        <v>Overland Flight</v>
      </c>
      <c r="BT373" s="1">
        <v>373</v>
      </c>
      <c r="BU373" s="1" t="s">
        <v>109</v>
      </c>
      <c r="BV373" s="1" t="s">
        <v>3481</v>
      </c>
      <c r="BW373" s="1"/>
      <c r="BX373" s="1"/>
      <c r="BY373" s="1"/>
      <c r="BZ373" s="1">
        <v>0</v>
      </c>
      <c r="CA373" s="1" t="s">
        <v>109</v>
      </c>
      <c r="CB373" s="1">
        <v>5</v>
      </c>
      <c r="CC373" s="1">
        <v>5</v>
      </c>
      <c r="CD373" s="1" t="s">
        <v>109</v>
      </c>
      <c r="CE373" s="1" t="s">
        <v>109</v>
      </c>
      <c r="CF373" s="1">
        <v>5</v>
      </c>
      <c r="CG373" s="1">
        <v>5</v>
      </c>
      <c r="CH373" s="1" t="s">
        <v>109</v>
      </c>
      <c r="CI373" s="1" t="s">
        <v>109</v>
      </c>
      <c r="CJ373" s="1" t="s">
        <v>109</v>
      </c>
      <c r="CK373" s="1"/>
      <c r="CL373" s="1">
        <v>0</v>
      </c>
      <c r="CM373" s="1">
        <v>0</v>
      </c>
      <c r="CN373" s="1">
        <v>0</v>
      </c>
    </row>
    <row r="374" spans="1:92" ht="14.25" customHeight="1" x14ac:dyDescent="0.15">
      <c r="A374" s="1" t="s">
        <v>3482</v>
      </c>
      <c r="B374" s="1" t="s">
        <v>189</v>
      </c>
      <c r="C374" s="1"/>
      <c r="D374" s="1"/>
      <c r="E374" s="1" t="s">
        <v>3483</v>
      </c>
      <c r="F374" s="1" t="s">
        <v>98</v>
      </c>
      <c r="G374" s="1" t="s">
        <v>3484</v>
      </c>
      <c r="H374" s="1">
        <v>0</v>
      </c>
      <c r="I374" s="1" t="s">
        <v>161</v>
      </c>
      <c r="J374" s="1"/>
      <c r="K374" s="1"/>
      <c r="L374" s="1" t="s">
        <v>506</v>
      </c>
      <c r="M374" s="1" t="s">
        <v>164</v>
      </c>
      <c r="N374" s="1">
        <v>0</v>
      </c>
      <c r="O374" s="1">
        <v>0</v>
      </c>
      <c r="P374" s="1" t="s">
        <v>507</v>
      </c>
      <c r="Q374" s="1" t="s">
        <v>268</v>
      </c>
      <c r="R374" s="1" t="s">
        <v>3485</v>
      </c>
      <c r="S374" s="1" t="s">
        <v>3486</v>
      </c>
      <c r="T374" s="1" t="s">
        <v>107</v>
      </c>
      <c r="U374" s="1" t="s">
        <v>3487</v>
      </c>
      <c r="V374" s="1">
        <v>1</v>
      </c>
      <c r="W374" s="1">
        <v>1</v>
      </c>
      <c r="X374" s="1">
        <v>1</v>
      </c>
      <c r="Y374" s="1">
        <v>0</v>
      </c>
      <c r="Z374" s="1">
        <v>1</v>
      </c>
      <c r="AA374" s="1">
        <v>2</v>
      </c>
      <c r="AB374" s="1">
        <v>2</v>
      </c>
      <c r="AC374" s="1">
        <v>2</v>
      </c>
      <c r="AD374" s="1">
        <v>2</v>
      </c>
      <c r="AE374" s="1">
        <v>2</v>
      </c>
      <c r="AF374" s="1" t="s">
        <v>109</v>
      </c>
      <c r="AG374" s="1">
        <v>2</v>
      </c>
      <c r="AH374" s="1">
        <v>2</v>
      </c>
      <c r="AI374" s="1">
        <v>2</v>
      </c>
      <c r="AJ374" s="1" t="s">
        <v>109</v>
      </c>
      <c r="AK374" s="1" t="s">
        <v>109</v>
      </c>
      <c r="AL374" s="1">
        <v>2</v>
      </c>
      <c r="AM374" s="1" t="s">
        <v>109</v>
      </c>
      <c r="AN374" s="1" t="s">
        <v>109</v>
      </c>
      <c r="AO374" s="1" t="s">
        <v>109</v>
      </c>
      <c r="AP374" s="1"/>
      <c r="AQ374" s="1">
        <v>2</v>
      </c>
      <c r="AR374" s="1"/>
      <c r="AS374" s="1" t="s">
        <v>3488</v>
      </c>
      <c r="AT374" s="1">
        <v>0</v>
      </c>
      <c r="AU374" s="1">
        <v>0</v>
      </c>
      <c r="AV374" s="1">
        <v>0</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5" t="str">
        <f>HYPERLINK("http://www.d20pfsrd.com/magic/all-spells/o/owl-s-wisdom","Owl's Wisdom")</f>
        <v>Owl's Wisdom</v>
      </c>
      <c r="BT374" s="1">
        <v>374</v>
      </c>
      <c r="BU374" s="1" t="s">
        <v>109</v>
      </c>
      <c r="BV374" s="1"/>
      <c r="BW374" s="1" t="s">
        <v>3489</v>
      </c>
      <c r="BX374" s="1"/>
      <c r="BY374" s="1"/>
      <c r="BZ374" s="1">
        <v>0</v>
      </c>
      <c r="CA374" s="1" t="s">
        <v>109</v>
      </c>
      <c r="CB374" s="1">
        <v>2</v>
      </c>
      <c r="CC374" s="1">
        <v>2</v>
      </c>
      <c r="CD374" s="1" t="s">
        <v>109</v>
      </c>
      <c r="CE374" s="1" t="s">
        <v>109</v>
      </c>
      <c r="CF374" s="1" t="s">
        <v>109</v>
      </c>
      <c r="CG374" s="1" t="s">
        <v>109</v>
      </c>
      <c r="CH374" s="1" t="s">
        <v>109</v>
      </c>
      <c r="CI374" s="1" t="s">
        <v>109</v>
      </c>
      <c r="CJ374" s="1">
        <v>2</v>
      </c>
      <c r="CK374" s="1"/>
      <c r="CL374" s="1">
        <v>0</v>
      </c>
      <c r="CM374" s="1">
        <v>0</v>
      </c>
      <c r="CN374" s="1">
        <v>0</v>
      </c>
    </row>
    <row r="375" spans="1:92" ht="14.25" customHeight="1" x14ac:dyDescent="0.15">
      <c r="A375" s="1" t="s">
        <v>3490</v>
      </c>
      <c r="B375" s="1" t="s">
        <v>189</v>
      </c>
      <c r="C375" s="1"/>
      <c r="D375" s="1"/>
      <c r="E375" s="1" t="s">
        <v>3491</v>
      </c>
      <c r="F375" s="1" t="s">
        <v>98</v>
      </c>
      <c r="G375" s="1" t="s">
        <v>3484</v>
      </c>
      <c r="H375" s="1">
        <v>0</v>
      </c>
      <c r="I375" s="1" t="s">
        <v>142</v>
      </c>
      <c r="J375" s="1"/>
      <c r="K375" s="1"/>
      <c r="L375" s="1" t="s">
        <v>716</v>
      </c>
      <c r="M375" s="1" t="s">
        <v>164</v>
      </c>
      <c r="N375" s="1">
        <v>0</v>
      </c>
      <c r="O375" s="1">
        <v>0</v>
      </c>
      <c r="P375" s="1" t="s">
        <v>507</v>
      </c>
      <c r="Q375" s="1" t="s">
        <v>268</v>
      </c>
      <c r="R375" s="1" t="s">
        <v>3492</v>
      </c>
      <c r="S375" s="1" t="s">
        <v>3493</v>
      </c>
      <c r="T375" s="1" t="s">
        <v>107</v>
      </c>
      <c r="U375" s="1" t="s">
        <v>3494</v>
      </c>
      <c r="V375" s="1">
        <v>1</v>
      </c>
      <c r="W375" s="1">
        <v>1</v>
      </c>
      <c r="X375" s="1">
        <v>1</v>
      </c>
      <c r="Y375" s="1">
        <v>0</v>
      </c>
      <c r="Z375" s="1">
        <v>1</v>
      </c>
      <c r="AA375" s="1">
        <v>6</v>
      </c>
      <c r="AB375" s="1">
        <v>6</v>
      </c>
      <c r="AC375" s="1">
        <v>6</v>
      </c>
      <c r="AD375" s="1">
        <v>6</v>
      </c>
      <c r="AE375" s="1" t="s">
        <v>109</v>
      </c>
      <c r="AF375" s="1" t="s">
        <v>109</v>
      </c>
      <c r="AG375" s="1" t="s">
        <v>109</v>
      </c>
      <c r="AH375" s="1" t="s">
        <v>109</v>
      </c>
      <c r="AI375" s="1">
        <v>4</v>
      </c>
      <c r="AJ375" s="1" t="s">
        <v>109</v>
      </c>
      <c r="AK375" s="1" t="s">
        <v>109</v>
      </c>
      <c r="AL375" s="1">
        <v>6</v>
      </c>
      <c r="AM375" s="1" t="s">
        <v>109</v>
      </c>
      <c r="AN375" s="1" t="s">
        <v>109</v>
      </c>
      <c r="AO375" s="1" t="s">
        <v>109</v>
      </c>
      <c r="AP375" s="1"/>
      <c r="AQ375" s="1">
        <v>6</v>
      </c>
      <c r="AR375" s="1"/>
      <c r="AS375" s="1" t="s">
        <v>3495</v>
      </c>
      <c r="AT375" s="1">
        <v>0</v>
      </c>
      <c r="AU375" s="1">
        <v>0</v>
      </c>
      <c r="AV375" s="1">
        <v>0</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5" t="str">
        <f>HYPERLINK("http://www.d20pfsrd.com/magic/all-spells/o/owl-s-wisdom","Owl's Wisdom, Mass")</f>
        <v>Owl's Wisdom, Mass</v>
      </c>
      <c r="BT375" s="1">
        <v>375</v>
      </c>
      <c r="BU375" s="1" t="s">
        <v>109</v>
      </c>
      <c r="BV375" s="1"/>
      <c r="BW375" s="1"/>
      <c r="BX375" s="1"/>
      <c r="BY375" s="1"/>
      <c r="BZ375" s="1">
        <v>0</v>
      </c>
      <c r="CA375" s="1" t="s">
        <v>109</v>
      </c>
      <c r="CB375" s="1">
        <v>6</v>
      </c>
      <c r="CC375" s="1">
        <v>6</v>
      </c>
      <c r="CD375" s="1" t="s">
        <v>109</v>
      </c>
      <c r="CE375" s="1" t="s">
        <v>109</v>
      </c>
      <c r="CF375" s="1" t="s">
        <v>109</v>
      </c>
      <c r="CG375" s="1" t="s">
        <v>109</v>
      </c>
      <c r="CH375" s="1" t="s">
        <v>109</v>
      </c>
      <c r="CI375" s="1" t="s">
        <v>109</v>
      </c>
      <c r="CJ375" s="1">
        <v>6</v>
      </c>
      <c r="CK375" s="1"/>
      <c r="CL375" s="1">
        <v>0</v>
      </c>
      <c r="CM375" s="1">
        <v>0</v>
      </c>
      <c r="CN375" s="1">
        <v>0</v>
      </c>
    </row>
    <row r="376" spans="1:92" ht="14.25" customHeight="1" x14ac:dyDescent="0.15">
      <c r="A376" s="1" t="s">
        <v>3496</v>
      </c>
      <c r="B376" s="1" t="s">
        <v>189</v>
      </c>
      <c r="C376" s="1"/>
      <c r="D376" s="1"/>
      <c r="E376" s="1" t="s">
        <v>3497</v>
      </c>
      <c r="F376" s="1" t="s">
        <v>98</v>
      </c>
      <c r="G376" s="1" t="s">
        <v>3498</v>
      </c>
      <c r="H376" s="1">
        <v>0</v>
      </c>
      <c r="I376" s="1" t="s">
        <v>161</v>
      </c>
      <c r="J376" s="1"/>
      <c r="K376" s="1" t="s">
        <v>3499</v>
      </c>
      <c r="L376" s="1"/>
      <c r="M376" s="1" t="s">
        <v>289</v>
      </c>
      <c r="N376" s="1">
        <v>1</v>
      </c>
      <c r="O376" s="1">
        <v>0</v>
      </c>
      <c r="P376" s="1" t="s">
        <v>103</v>
      </c>
      <c r="Q376" s="1" t="s">
        <v>104</v>
      </c>
      <c r="R376" s="1" t="s">
        <v>3500</v>
      </c>
      <c r="S376" s="1" t="s">
        <v>3501</v>
      </c>
      <c r="T376" s="1" t="s">
        <v>107</v>
      </c>
      <c r="U376" s="1" t="s">
        <v>3502</v>
      </c>
      <c r="V376" s="1">
        <v>1</v>
      </c>
      <c r="W376" s="1">
        <v>1</v>
      </c>
      <c r="X376" s="1">
        <v>1</v>
      </c>
      <c r="Y376" s="1">
        <v>0</v>
      </c>
      <c r="Z376" s="1">
        <v>0</v>
      </c>
      <c r="AA376" s="1">
        <v>5</v>
      </c>
      <c r="AB376" s="1">
        <v>5</v>
      </c>
      <c r="AC376" s="1" t="s">
        <v>109</v>
      </c>
      <c r="AD376" s="1" t="s">
        <v>109</v>
      </c>
      <c r="AE376" s="1" t="s">
        <v>109</v>
      </c>
      <c r="AF376" s="1" t="s">
        <v>109</v>
      </c>
      <c r="AG376" s="1" t="s">
        <v>109</v>
      </c>
      <c r="AH376" s="1" t="s">
        <v>109</v>
      </c>
      <c r="AI376" s="1" t="s">
        <v>109</v>
      </c>
      <c r="AJ376" s="1" t="s">
        <v>109</v>
      </c>
      <c r="AK376" s="1" t="s">
        <v>109</v>
      </c>
      <c r="AL376" s="1" t="s">
        <v>109</v>
      </c>
      <c r="AM376" s="1" t="s">
        <v>109</v>
      </c>
      <c r="AN376" s="1" t="s">
        <v>109</v>
      </c>
      <c r="AO376" s="1" t="s">
        <v>109</v>
      </c>
      <c r="AP376" s="1"/>
      <c r="AQ376" s="1">
        <v>5</v>
      </c>
      <c r="AR376" s="1"/>
      <c r="AS376" s="1" t="s">
        <v>3503</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5" t="str">
        <f>HYPERLINK("http://www.d20pfsrd.com/magic/all-spells/p/passwall","Passwall")</f>
        <v>Passwall</v>
      </c>
      <c r="BT376" s="1">
        <v>376</v>
      </c>
      <c r="BU376" s="1" t="s">
        <v>109</v>
      </c>
      <c r="BV376" s="1"/>
      <c r="BW376" s="1" t="s">
        <v>3504</v>
      </c>
      <c r="BX376" s="1"/>
      <c r="BY376" s="1"/>
      <c r="BZ376" s="1">
        <v>0</v>
      </c>
      <c r="CA376" s="1" t="s">
        <v>109</v>
      </c>
      <c r="CB376" s="1" t="s">
        <v>109</v>
      </c>
      <c r="CC376" s="1">
        <v>5</v>
      </c>
      <c r="CD376" s="1" t="s">
        <v>109</v>
      </c>
      <c r="CE376" s="1">
        <v>5</v>
      </c>
      <c r="CF376" s="1" t="s">
        <v>109</v>
      </c>
      <c r="CG376" s="1" t="s">
        <v>109</v>
      </c>
      <c r="CH376" s="1" t="s">
        <v>109</v>
      </c>
      <c r="CI376" s="1" t="s">
        <v>109</v>
      </c>
      <c r="CJ376" s="1" t="s">
        <v>109</v>
      </c>
      <c r="CK376" s="1"/>
      <c r="CL376" s="1">
        <v>0</v>
      </c>
      <c r="CM376" s="1">
        <v>0</v>
      </c>
      <c r="CN376" s="1">
        <v>0</v>
      </c>
    </row>
    <row r="377" spans="1:92" ht="14.25" customHeight="1" x14ac:dyDescent="0.15">
      <c r="A377" s="1" t="s">
        <v>3505</v>
      </c>
      <c r="B377" s="1" t="s">
        <v>189</v>
      </c>
      <c r="C377" s="1"/>
      <c r="D377" s="1"/>
      <c r="E377" s="1" t="s">
        <v>3506</v>
      </c>
      <c r="F377" s="1" t="s">
        <v>98</v>
      </c>
      <c r="G377" s="1" t="s">
        <v>160</v>
      </c>
      <c r="H377" s="1">
        <v>0</v>
      </c>
      <c r="I377" s="1" t="s">
        <v>161</v>
      </c>
      <c r="J377" s="1"/>
      <c r="K377" s="1"/>
      <c r="L377" s="1" t="s">
        <v>3507</v>
      </c>
      <c r="M377" s="1" t="s">
        <v>289</v>
      </c>
      <c r="N377" s="1">
        <v>1</v>
      </c>
      <c r="O377" s="1">
        <v>0</v>
      </c>
      <c r="P377" s="1" t="s">
        <v>507</v>
      </c>
      <c r="Q377" s="1" t="s">
        <v>167</v>
      </c>
      <c r="R377" s="1" t="s">
        <v>3508</v>
      </c>
      <c r="S377" s="1" t="s">
        <v>3509</v>
      </c>
      <c r="T377" s="1" t="s">
        <v>107</v>
      </c>
      <c r="U377" s="1" t="s">
        <v>3510</v>
      </c>
      <c r="V377" s="1">
        <v>1</v>
      </c>
      <c r="W377" s="1">
        <v>1</v>
      </c>
      <c r="X377" s="1">
        <v>0</v>
      </c>
      <c r="Y377" s="1">
        <v>0</v>
      </c>
      <c r="Z377" s="1">
        <v>1</v>
      </c>
      <c r="AA377" s="1" t="s">
        <v>109</v>
      </c>
      <c r="AB377" s="1" t="s">
        <v>109</v>
      </c>
      <c r="AC377" s="1" t="s">
        <v>109</v>
      </c>
      <c r="AD377" s="1">
        <v>1</v>
      </c>
      <c r="AE377" s="1">
        <v>1</v>
      </c>
      <c r="AF377" s="1" t="s">
        <v>109</v>
      </c>
      <c r="AG377" s="1" t="s">
        <v>109</v>
      </c>
      <c r="AH377" s="1" t="s">
        <v>109</v>
      </c>
      <c r="AI377" s="1" t="s">
        <v>109</v>
      </c>
      <c r="AJ377" s="1" t="s">
        <v>109</v>
      </c>
      <c r="AK377" s="1" t="s">
        <v>109</v>
      </c>
      <c r="AL377" s="1" t="s">
        <v>109</v>
      </c>
      <c r="AM377" s="1" t="s">
        <v>109</v>
      </c>
      <c r="AN377" s="1" t="s">
        <v>109</v>
      </c>
      <c r="AO377" s="1" t="s">
        <v>109</v>
      </c>
      <c r="AP377" s="1"/>
      <c r="AQ377" s="1">
        <v>1</v>
      </c>
      <c r="AR377" s="1"/>
      <c r="AS377" s="1" t="s">
        <v>3511</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5" t="str">
        <f>HYPERLINK("http://www.d20pfsrd.com/magic/all-spells/p/pass-without-trace","Pass without Trace")</f>
        <v>Pass without Trace</v>
      </c>
      <c r="BT377" s="1">
        <v>377</v>
      </c>
      <c r="BU377" s="1" t="s">
        <v>109</v>
      </c>
      <c r="BV377" s="1"/>
      <c r="BW377" s="1"/>
      <c r="BX377" s="1"/>
      <c r="BY377" s="1"/>
      <c r="BZ377" s="1">
        <v>0</v>
      </c>
      <c r="CA377" s="1" t="s">
        <v>109</v>
      </c>
      <c r="CB377" s="1">
        <v>1</v>
      </c>
      <c r="CC377" s="1" t="s">
        <v>109</v>
      </c>
      <c r="CD377" s="1" t="s">
        <v>109</v>
      </c>
      <c r="CE377" s="1" t="s">
        <v>109</v>
      </c>
      <c r="CF377" s="1">
        <v>1</v>
      </c>
      <c r="CG377" s="1" t="s">
        <v>109</v>
      </c>
      <c r="CH377" s="1" t="s">
        <v>109</v>
      </c>
      <c r="CI377" s="1" t="s">
        <v>109</v>
      </c>
      <c r="CJ377" s="1">
        <v>1</v>
      </c>
      <c r="CK377" s="1"/>
      <c r="CL377" s="1">
        <v>0</v>
      </c>
      <c r="CM377" s="1">
        <v>0</v>
      </c>
      <c r="CN377" s="1">
        <v>0</v>
      </c>
    </row>
    <row r="378" spans="1:92" ht="14.25" customHeight="1" x14ac:dyDescent="0.15">
      <c r="A378" s="1" t="s">
        <v>3512</v>
      </c>
      <c r="B378" s="1" t="s">
        <v>415</v>
      </c>
      <c r="C378" s="1"/>
      <c r="D378" s="1"/>
      <c r="E378" s="1" t="s">
        <v>3513</v>
      </c>
      <c r="F378" s="1" t="s">
        <v>3514</v>
      </c>
      <c r="G378" s="1" t="s">
        <v>3515</v>
      </c>
      <c r="H378" s="1">
        <v>1</v>
      </c>
      <c r="I378" s="1" t="s">
        <v>211</v>
      </c>
      <c r="J378" s="1"/>
      <c r="K378" s="1"/>
      <c r="L378" s="1" t="s">
        <v>211</v>
      </c>
      <c r="M378" s="1" t="s">
        <v>3246</v>
      </c>
      <c r="N378" s="1">
        <v>0</v>
      </c>
      <c r="O378" s="1">
        <v>0</v>
      </c>
      <c r="P378" s="1" t="s">
        <v>103</v>
      </c>
      <c r="Q378" s="1" t="s">
        <v>104</v>
      </c>
      <c r="R378" s="1" t="s">
        <v>3516</v>
      </c>
      <c r="S378" s="1" t="s">
        <v>3517</v>
      </c>
      <c r="T378" s="1" t="s">
        <v>107</v>
      </c>
      <c r="U378" s="1" t="s">
        <v>3518</v>
      </c>
      <c r="V378" s="1">
        <v>1</v>
      </c>
      <c r="W378" s="1">
        <v>1</v>
      </c>
      <c r="X378" s="1">
        <v>1</v>
      </c>
      <c r="Y378" s="1">
        <v>0</v>
      </c>
      <c r="Z378" s="1">
        <v>0</v>
      </c>
      <c r="AA378" s="1">
        <v>5</v>
      </c>
      <c r="AB378" s="1">
        <v>5</v>
      </c>
      <c r="AC378" s="1" t="s">
        <v>109</v>
      </c>
      <c r="AD378" s="1" t="s">
        <v>109</v>
      </c>
      <c r="AE378" s="1" t="s">
        <v>109</v>
      </c>
      <c r="AF378" s="1" t="s">
        <v>109</v>
      </c>
      <c r="AG378" s="1" t="s">
        <v>109</v>
      </c>
      <c r="AH378" s="1" t="s">
        <v>109</v>
      </c>
      <c r="AI378" s="1" t="s">
        <v>109</v>
      </c>
      <c r="AJ378" s="1" t="s">
        <v>109</v>
      </c>
      <c r="AK378" s="1" t="s">
        <v>109</v>
      </c>
      <c r="AL378" s="1" t="s">
        <v>109</v>
      </c>
      <c r="AM378" s="1" t="s">
        <v>109</v>
      </c>
      <c r="AN378" s="1" t="s">
        <v>109</v>
      </c>
      <c r="AO378" s="1" t="s">
        <v>109</v>
      </c>
      <c r="AP378" s="1"/>
      <c r="AQ378" s="1">
        <v>5</v>
      </c>
      <c r="AR378" s="1"/>
      <c r="AS378" s="1" t="s">
        <v>3519</v>
      </c>
      <c r="AT378" s="1">
        <v>0</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5" t="str">
        <f>HYPERLINK("http://www.d20pfsrd.com/magic/all-spells/p/permanency","Permanency")</f>
        <v>Permanency</v>
      </c>
      <c r="BT378" s="1">
        <v>378</v>
      </c>
      <c r="BU378" s="1">
        <v>0</v>
      </c>
      <c r="BV378" s="1"/>
      <c r="BW378" s="1"/>
      <c r="BX378" s="1"/>
      <c r="BY378" s="1"/>
      <c r="BZ378" s="1">
        <v>0</v>
      </c>
      <c r="CA378" s="1" t="s">
        <v>109</v>
      </c>
      <c r="CB378" s="1" t="s">
        <v>109</v>
      </c>
      <c r="CC378" s="1">
        <v>5</v>
      </c>
      <c r="CD378" s="1" t="s">
        <v>109</v>
      </c>
      <c r="CE378" s="1" t="s">
        <v>109</v>
      </c>
      <c r="CF378" s="1" t="s">
        <v>109</v>
      </c>
      <c r="CG378" s="1" t="s">
        <v>109</v>
      </c>
      <c r="CH378" s="1" t="s">
        <v>109</v>
      </c>
      <c r="CI378" s="1" t="s">
        <v>109</v>
      </c>
      <c r="CJ378" s="1" t="s">
        <v>109</v>
      </c>
      <c r="CK378" s="1"/>
      <c r="CL378" s="1">
        <v>0</v>
      </c>
      <c r="CM378" s="1">
        <v>0</v>
      </c>
      <c r="CN378" s="1">
        <v>0</v>
      </c>
    </row>
    <row r="379" spans="1:92" ht="14.25" customHeight="1" x14ac:dyDescent="0.15">
      <c r="A379" s="1" t="s">
        <v>3520</v>
      </c>
      <c r="B379" s="1" t="s">
        <v>674</v>
      </c>
      <c r="C379" s="1" t="s">
        <v>2300</v>
      </c>
      <c r="D379" s="1"/>
      <c r="E379" s="1" t="s">
        <v>3521</v>
      </c>
      <c r="F379" s="1" t="s">
        <v>98</v>
      </c>
      <c r="G379" s="1" t="s">
        <v>3225</v>
      </c>
      <c r="H379" s="1">
        <v>0</v>
      </c>
      <c r="I379" s="1" t="s">
        <v>100</v>
      </c>
      <c r="J379" s="1"/>
      <c r="K379" s="1" t="s">
        <v>3522</v>
      </c>
      <c r="L379" s="1"/>
      <c r="M379" s="1" t="s">
        <v>408</v>
      </c>
      <c r="N379" s="1">
        <v>1</v>
      </c>
      <c r="O379" s="1">
        <v>0</v>
      </c>
      <c r="P379" s="1" t="s">
        <v>2465</v>
      </c>
      <c r="Q379" s="1" t="s">
        <v>104</v>
      </c>
      <c r="R379" s="1" t="s">
        <v>3523</v>
      </c>
      <c r="S379" s="1" t="s">
        <v>3524</v>
      </c>
      <c r="T379" s="1" t="s">
        <v>107</v>
      </c>
      <c r="U379" s="1" t="s">
        <v>3525</v>
      </c>
      <c r="V379" s="1">
        <v>1</v>
      </c>
      <c r="W379" s="1">
        <v>1</v>
      </c>
      <c r="X379" s="1">
        <v>0</v>
      </c>
      <c r="Y379" s="1">
        <v>1</v>
      </c>
      <c r="Z379" s="1">
        <v>0</v>
      </c>
      <c r="AA379" s="1">
        <v>6</v>
      </c>
      <c r="AB379" s="1">
        <v>6</v>
      </c>
      <c r="AC379" s="1" t="s">
        <v>109</v>
      </c>
      <c r="AD379" s="1" t="s">
        <v>109</v>
      </c>
      <c r="AE379" s="1" t="s">
        <v>109</v>
      </c>
      <c r="AF379" s="1">
        <v>6</v>
      </c>
      <c r="AG379" s="1" t="s">
        <v>109</v>
      </c>
      <c r="AH379" s="1" t="s">
        <v>109</v>
      </c>
      <c r="AI379" s="1" t="s">
        <v>109</v>
      </c>
      <c r="AJ379" s="1" t="s">
        <v>109</v>
      </c>
      <c r="AK379" s="1" t="s">
        <v>109</v>
      </c>
      <c r="AL379" s="1" t="s">
        <v>109</v>
      </c>
      <c r="AM379" s="1" t="s">
        <v>109</v>
      </c>
      <c r="AN379" s="1" t="s">
        <v>109</v>
      </c>
      <c r="AO379" s="1" t="s">
        <v>109</v>
      </c>
      <c r="AP379" s="1"/>
      <c r="AQ379" s="1">
        <v>6</v>
      </c>
      <c r="AR379" s="1"/>
      <c r="AS379" s="1" t="s">
        <v>3526</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5" t="str">
        <f>HYPERLINK("http://www.d20pfsrd.com/magic/all-spells/p/permanent-image","Permanent Image")</f>
        <v>Permanent Image</v>
      </c>
      <c r="BT379" s="1">
        <v>379</v>
      </c>
      <c r="BU379" s="1" t="s">
        <v>109</v>
      </c>
      <c r="BV379" s="1"/>
      <c r="BW379" s="1"/>
      <c r="BX379" s="1"/>
      <c r="BY379" s="1"/>
      <c r="BZ379" s="1">
        <v>0</v>
      </c>
      <c r="CA379" s="1" t="s">
        <v>109</v>
      </c>
      <c r="CB379" s="1" t="s">
        <v>109</v>
      </c>
      <c r="CC379" s="1">
        <v>6</v>
      </c>
      <c r="CD379" s="1" t="s">
        <v>109</v>
      </c>
      <c r="CE379" s="1">
        <v>6</v>
      </c>
      <c r="CF379" s="1">
        <v>6</v>
      </c>
      <c r="CG379" s="1" t="s">
        <v>109</v>
      </c>
      <c r="CH379" s="1" t="s">
        <v>109</v>
      </c>
      <c r="CI379" s="1" t="s">
        <v>109</v>
      </c>
      <c r="CJ379" s="1" t="s">
        <v>109</v>
      </c>
      <c r="CK379" s="1"/>
      <c r="CL379" s="1">
        <v>0</v>
      </c>
      <c r="CM379" s="1">
        <v>0</v>
      </c>
      <c r="CN379" s="1">
        <v>0</v>
      </c>
    </row>
    <row r="380" spans="1:92" ht="14.25" customHeight="1" x14ac:dyDescent="0.15">
      <c r="A380" s="1" t="s">
        <v>3527</v>
      </c>
      <c r="B380" s="1" t="s">
        <v>674</v>
      </c>
      <c r="C380" s="1" t="s">
        <v>2300</v>
      </c>
      <c r="D380" s="1"/>
      <c r="E380" s="1" t="s">
        <v>3528</v>
      </c>
      <c r="F380" s="1" t="s">
        <v>98</v>
      </c>
      <c r="G380" s="1" t="s">
        <v>3225</v>
      </c>
      <c r="H380" s="1">
        <v>0</v>
      </c>
      <c r="I380" s="1" t="s">
        <v>100</v>
      </c>
      <c r="J380" s="1"/>
      <c r="K380" s="1" t="s">
        <v>3226</v>
      </c>
      <c r="L380" s="1"/>
      <c r="M380" s="1" t="s">
        <v>164</v>
      </c>
      <c r="N380" s="1">
        <v>1</v>
      </c>
      <c r="O380" s="1">
        <v>0</v>
      </c>
      <c r="P380" s="1" t="s">
        <v>2465</v>
      </c>
      <c r="Q380" s="1" t="s">
        <v>104</v>
      </c>
      <c r="R380" s="1" t="s">
        <v>3529</v>
      </c>
      <c r="S380" s="1" t="s">
        <v>3530</v>
      </c>
      <c r="T380" s="1" t="s">
        <v>107</v>
      </c>
      <c r="U380" s="1" t="s">
        <v>3531</v>
      </c>
      <c r="V380" s="1">
        <v>1</v>
      </c>
      <c r="W380" s="1">
        <v>1</v>
      </c>
      <c r="X380" s="1">
        <v>0</v>
      </c>
      <c r="Y380" s="1">
        <v>1</v>
      </c>
      <c r="Z380" s="1">
        <v>0</v>
      </c>
      <c r="AA380" s="1">
        <v>5</v>
      </c>
      <c r="AB380" s="1">
        <v>5</v>
      </c>
      <c r="AC380" s="1" t="s">
        <v>109</v>
      </c>
      <c r="AD380" s="1" t="s">
        <v>109</v>
      </c>
      <c r="AE380" s="1" t="s">
        <v>109</v>
      </c>
      <c r="AF380" s="1">
        <v>5</v>
      </c>
      <c r="AG380" s="1" t="s">
        <v>109</v>
      </c>
      <c r="AH380" s="1" t="s">
        <v>109</v>
      </c>
      <c r="AI380" s="1" t="s">
        <v>109</v>
      </c>
      <c r="AJ380" s="1" t="s">
        <v>109</v>
      </c>
      <c r="AK380" s="1" t="s">
        <v>109</v>
      </c>
      <c r="AL380" s="1" t="s">
        <v>109</v>
      </c>
      <c r="AM380" s="1" t="s">
        <v>109</v>
      </c>
      <c r="AN380" s="1" t="s">
        <v>109</v>
      </c>
      <c r="AO380" s="1" t="s">
        <v>109</v>
      </c>
      <c r="AP380" s="1"/>
      <c r="AQ380" s="1">
        <v>5</v>
      </c>
      <c r="AR380" s="1"/>
      <c r="AS380" s="1" t="s">
        <v>3532</v>
      </c>
      <c r="AT380" s="1">
        <v>0</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5" t="str">
        <f>HYPERLINK("http://www.d20pfsrd.com/magic/all-spells/p/persistent-image","Persistent Image")</f>
        <v>Persistent Image</v>
      </c>
      <c r="BT380" s="1">
        <v>380</v>
      </c>
      <c r="BU380" s="1" t="s">
        <v>109</v>
      </c>
      <c r="BV380" s="1" t="s">
        <v>3533</v>
      </c>
      <c r="BW380" s="1"/>
      <c r="BX380" s="1"/>
      <c r="BY380" s="1"/>
      <c r="BZ380" s="1">
        <v>0</v>
      </c>
      <c r="CA380" s="1" t="s">
        <v>109</v>
      </c>
      <c r="CB380" s="1" t="s">
        <v>109</v>
      </c>
      <c r="CC380" s="1">
        <v>5</v>
      </c>
      <c r="CD380" s="1" t="s">
        <v>109</v>
      </c>
      <c r="CE380" s="1">
        <v>5</v>
      </c>
      <c r="CF380" s="1">
        <v>5</v>
      </c>
      <c r="CG380" s="1" t="s">
        <v>109</v>
      </c>
      <c r="CH380" s="1" t="s">
        <v>109</v>
      </c>
      <c r="CI380" s="1" t="s">
        <v>109</v>
      </c>
      <c r="CJ380" s="1" t="s">
        <v>109</v>
      </c>
      <c r="CK380" s="1"/>
      <c r="CL380" s="1">
        <v>0</v>
      </c>
      <c r="CM380" s="1">
        <v>0</v>
      </c>
      <c r="CN380" s="1">
        <v>0</v>
      </c>
    </row>
    <row r="381" spans="1:92" ht="14.25" customHeight="1" x14ac:dyDescent="0.15">
      <c r="A381" s="1" t="s">
        <v>3534</v>
      </c>
      <c r="B381" s="1" t="s">
        <v>674</v>
      </c>
      <c r="C381" s="1" t="s">
        <v>1715</v>
      </c>
      <c r="D381" s="1" t="s">
        <v>473</v>
      </c>
      <c r="E381" s="1" t="s">
        <v>3535</v>
      </c>
      <c r="F381" s="1" t="s">
        <v>98</v>
      </c>
      <c r="G381" s="1" t="s">
        <v>141</v>
      </c>
      <c r="H381" s="1">
        <v>0</v>
      </c>
      <c r="I381" s="1" t="s">
        <v>122</v>
      </c>
      <c r="J381" s="1"/>
      <c r="K381" s="1"/>
      <c r="L381" s="1" t="s">
        <v>563</v>
      </c>
      <c r="M381" s="1" t="s">
        <v>144</v>
      </c>
      <c r="N381" s="1">
        <v>0</v>
      </c>
      <c r="O381" s="1">
        <v>0</v>
      </c>
      <c r="P381" s="1" t="s">
        <v>3536</v>
      </c>
      <c r="Q381" s="1" t="s">
        <v>268</v>
      </c>
      <c r="R381" s="1" t="s">
        <v>3537</v>
      </c>
      <c r="S381" s="1" t="s">
        <v>3538</v>
      </c>
      <c r="T381" s="1" t="s">
        <v>107</v>
      </c>
      <c r="U381" s="1" t="s">
        <v>3539</v>
      </c>
      <c r="V381" s="1">
        <v>1</v>
      </c>
      <c r="W381" s="1">
        <v>1</v>
      </c>
      <c r="X381" s="1">
        <v>0</v>
      </c>
      <c r="Y381" s="1">
        <v>0</v>
      </c>
      <c r="Z381" s="1">
        <v>0</v>
      </c>
      <c r="AA381" s="1">
        <v>4</v>
      </c>
      <c r="AB381" s="1">
        <v>4</v>
      </c>
      <c r="AC381" s="1" t="s">
        <v>109</v>
      </c>
      <c r="AD381" s="1" t="s">
        <v>109</v>
      </c>
      <c r="AE381" s="1" t="s">
        <v>109</v>
      </c>
      <c r="AF381" s="1" t="s">
        <v>109</v>
      </c>
      <c r="AG381" s="1" t="s">
        <v>109</v>
      </c>
      <c r="AH381" s="1" t="s">
        <v>109</v>
      </c>
      <c r="AI381" s="1" t="s">
        <v>109</v>
      </c>
      <c r="AJ381" s="1">
        <v>4</v>
      </c>
      <c r="AK381" s="1" t="s">
        <v>109</v>
      </c>
      <c r="AL381" s="1" t="s">
        <v>109</v>
      </c>
      <c r="AM381" s="1" t="s">
        <v>109</v>
      </c>
      <c r="AN381" s="1">
        <v>4</v>
      </c>
      <c r="AO381" s="1" t="s">
        <v>109</v>
      </c>
      <c r="AP381" s="1"/>
      <c r="AQ381" s="1">
        <v>4</v>
      </c>
      <c r="AR381" s="1" t="s">
        <v>3540</v>
      </c>
      <c r="AS381" s="1" t="s">
        <v>3541</v>
      </c>
      <c r="AT381" s="1">
        <v>0</v>
      </c>
      <c r="AU381" s="1">
        <v>0</v>
      </c>
      <c r="AV381" s="1">
        <v>0</v>
      </c>
      <c r="AW381" s="1">
        <v>0</v>
      </c>
      <c r="AX381" s="1">
        <v>0</v>
      </c>
      <c r="AY381" s="1">
        <v>0</v>
      </c>
      <c r="AZ381" s="1">
        <v>0</v>
      </c>
      <c r="BA381" s="1">
        <v>0</v>
      </c>
      <c r="BB381" s="1">
        <v>0</v>
      </c>
      <c r="BC381" s="1">
        <v>0</v>
      </c>
      <c r="BD381" s="1">
        <v>0</v>
      </c>
      <c r="BE381" s="1">
        <v>0</v>
      </c>
      <c r="BF381" s="1">
        <v>1</v>
      </c>
      <c r="BG381" s="1">
        <v>0</v>
      </c>
      <c r="BH381" s="1">
        <v>0</v>
      </c>
      <c r="BI381" s="1">
        <v>0</v>
      </c>
      <c r="BJ381" s="1">
        <v>0</v>
      </c>
      <c r="BK381" s="1">
        <v>0</v>
      </c>
      <c r="BL381" s="1">
        <v>0</v>
      </c>
      <c r="BM381" s="1">
        <v>1</v>
      </c>
      <c r="BN381" s="1">
        <v>0</v>
      </c>
      <c r="BO381" s="1">
        <v>0</v>
      </c>
      <c r="BP381" s="1">
        <v>0</v>
      </c>
      <c r="BQ381" s="1">
        <v>0</v>
      </c>
      <c r="BR381" s="1">
        <v>0</v>
      </c>
      <c r="BS381" s="5" t="str">
        <f>HYPERLINK("http://www.d20pfsrd.com/magic/all-spells/p/phantasmal-killer","Phantasmal Killer")</f>
        <v>Phantasmal Killer</v>
      </c>
      <c r="BT381" s="1">
        <v>381</v>
      </c>
      <c r="BU381" s="1" t="s">
        <v>109</v>
      </c>
      <c r="BV381" s="1"/>
      <c r="BW381" s="1"/>
      <c r="BX381" s="1" t="s">
        <v>3542</v>
      </c>
      <c r="BY381" s="1" t="s">
        <v>3543</v>
      </c>
      <c r="BZ381" s="1">
        <v>1</v>
      </c>
      <c r="CA381" s="1">
        <v>4</v>
      </c>
      <c r="CB381" s="1" t="s">
        <v>109</v>
      </c>
      <c r="CC381" s="1">
        <v>4</v>
      </c>
      <c r="CD381" s="1" t="s">
        <v>109</v>
      </c>
      <c r="CE381" s="1">
        <v>4</v>
      </c>
      <c r="CF381" s="1" t="s">
        <v>109</v>
      </c>
      <c r="CG381" s="1">
        <v>4</v>
      </c>
      <c r="CH381" s="1" t="s">
        <v>109</v>
      </c>
      <c r="CI381" s="1" t="s">
        <v>109</v>
      </c>
      <c r="CJ381" s="1" t="s">
        <v>109</v>
      </c>
      <c r="CK381" s="1"/>
      <c r="CL381" s="1">
        <v>0</v>
      </c>
      <c r="CM381" s="1">
        <v>0</v>
      </c>
      <c r="CN381" s="1">
        <v>0</v>
      </c>
    </row>
    <row r="382" spans="1:92" ht="14.25" customHeight="1" x14ac:dyDescent="0.15">
      <c r="A382" s="1" t="s">
        <v>3544</v>
      </c>
      <c r="B382" s="1" t="s">
        <v>95</v>
      </c>
      <c r="C382" s="1" t="s">
        <v>96</v>
      </c>
      <c r="D382" s="1"/>
      <c r="E382" s="1" t="s">
        <v>3545</v>
      </c>
      <c r="F382" s="1" t="s">
        <v>395</v>
      </c>
      <c r="G382" s="1" t="s">
        <v>141</v>
      </c>
      <c r="H382" s="1">
        <v>0</v>
      </c>
      <c r="I382" s="1" t="s">
        <v>925</v>
      </c>
      <c r="J382" s="1"/>
      <c r="K382" s="1" t="s">
        <v>3546</v>
      </c>
      <c r="L382" s="1"/>
      <c r="M382" s="1" t="s">
        <v>815</v>
      </c>
      <c r="N382" s="1">
        <v>1</v>
      </c>
      <c r="O382" s="1">
        <v>0</v>
      </c>
      <c r="P382" s="1" t="s">
        <v>103</v>
      </c>
      <c r="Q382" s="1" t="s">
        <v>104</v>
      </c>
      <c r="R382" s="1" t="s">
        <v>3547</v>
      </c>
      <c r="S382" s="1" t="s">
        <v>3548</v>
      </c>
      <c r="T382" s="1" t="s">
        <v>107</v>
      </c>
      <c r="U382" s="1" t="s">
        <v>3549</v>
      </c>
      <c r="V382" s="1">
        <v>1</v>
      </c>
      <c r="W382" s="1">
        <v>1</v>
      </c>
      <c r="X382" s="1">
        <v>0</v>
      </c>
      <c r="Y382" s="1">
        <v>0</v>
      </c>
      <c r="Z382" s="1">
        <v>0</v>
      </c>
      <c r="AA382" s="1">
        <v>3</v>
      </c>
      <c r="AB382" s="1">
        <v>3</v>
      </c>
      <c r="AC382" s="1" t="s">
        <v>109</v>
      </c>
      <c r="AD382" s="1" t="s">
        <v>109</v>
      </c>
      <c r="AE382" s="1" t="s">
        <v>109</v>
      </c>
      <c r="AF382" s="1">
        <v>3</v>
      </c>
      <c r="AG382" s="1" t="s">
        <v>109</v>
      </c>
      <c r="AH382" s="1" t="s">
        <v>109</v>
      </c>
      <c r="AI382" s="1">
        <v>2</v>
      </c>
      <c r="AJ382" s="1" t="s">
        <v>109</v>
      </c>
      <c r="AK382" s="1" t="s">
        <v>109</v>
      </c>
      <c r="AL382" s="1" t="s">
        <v>109</v>
      </c>
      <c r="AM382" s="1" t="s">
        <v>109</v>
      </c>
      <c r="AN382" s="1">
        <v>3</v>
      </c>
      <c r="AO382" s="1" t="s">
        <v>109</v>
      </c>
      <c r="AP382" s="1"/>
      <c r="AQ382" s="1">
        <v>3</v>
      </c>
      <c r="AR382" s="1"/>
      <c r="AS382" s="1" t="s">
        <v>3550</v>
      </c>
      <c r="AT382" s="1">
        <v>0</v>
      </c>
      <c r="AU382" s="1">
        <v>0</v>
      </c>
      <c r="AV382" s="1">
        <v>0</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5" t="str">
        <f>HYPERLINK("http://www.d20pfsrd.com/magic/all-spells/p/phantom-steed","Phantom Steed")</f>
        <v>Phantom Steed</v>
      </c>
      <c r="BT382" s="1">
        <v>382</v>
      </c>
      <c r="BU382" s="1" t="s">
        <v>109</v>
      </c>
      <c r="BV382" s="1"/>
      <c r="BW382" s="1"/>
      <c r="BX382" s="1" t="s">
        <v>3551</v>
      </c>
      <c r="BY382" s="1" t="s">
        <v>3552</v>
      </c>
      <c r="BZ382" s="1">
        <v>1</v>
      </c>
      <c r="CA382" s="1">
        <v>3</v>
      </c>
      <c r="CB382" s="1" t="s">
        <v>109</v>
      </c>
      <c r="CC382" s="1" t="s">
        <v>109</v>
      </c>
      <c r="CD382" s="1" t="s">
        <v>109</v>
      </c>
      <c r="CE382" s="1" t="s">
        <v>109</v>
      </c>
      <c r="CF382" s="1">
        <v>3</v>
      </c>
      <c r="CG382" s="1">
        <v>2</v>
      </c>
      <c r="CH382" s="1" t="s">
        <v>109</v>
      </c>
      <c r="CI382" s="1" t="s">
        <v>109</v>
      </c>
      <c r="CJ382" s="1" t="s">
        <v>109</v>
      </c>
      <c r="CK382" s="1"/>
      <c r="CL382" s="1">
        <v>0</v>
      </c>
      <c r="CM382" s="1">
        <v>0</v>
      </c>
      <c r="CN382" s="1">
        <v>0</v>
      </c>
    </row>
    <row r="383" spans="1:92" ht="14.25" customHeight="1" x14ac:dyDescent="0.15">
      <c r="A383" s="1" t="s">
        <v>3553</v>
      </c>
      <c r="B383" s="1" t="s">
        <v>674</v>
      </c>
      <c r="C383" s="1" t="s">
        <v>675</v>
      </c>
      <c r="D383" s="1"/>
      <c r="E383" s="1" t="s">
        <v>3554</v>
      </c>
      <c r="F383" s="1" t="s">
        <v>98</v>
      </c>
      <c r="G383" s="1" t="s">
        <v>3555</v>
      </c>
      <c r="H383" s="1">
        <v>1</v>
      </c>
      <c r="I383" s="1" t="s">
        <v>161</v>
      </c>
      <c r="J383" s="1"/>
      <c r="K383" s="1"/>
      <c r="L383" s="1" t="s">
        <v>1285</v>
      </c>
      <c r="M383" s="1" t="s">
        <v>408</v>
      </c>
      <c r="N383" s="1">
        <v>1</v>
      </c>
      <c r="O383" s="1">
        <v>0</v>
      </c>
      <c r="P383" s="1" t="s">
        <v>103</v>
      </c>
      <c r="Q383" s="1" t="s">
        <v>104</v>
      </c>
      <c r="R383" s="1" t="s">
        <v>3556</v>
      </c>
      <c r="S383" s="1" t="s">
        <v>3557</v>
      </c>
      <c r="T383" s="1" t="s">
        <v>107</v>
      </c>
      <c r="U383" s="1" t="s">
        <v>3558</v>
      </c>
      <c r="V383" s="1">
        <v>1</v>
      </c>
      <c r="W383" s="1">
        <v>1</v>
      </c>
      <c r="X383" s="1">
        <v>1</v>
      </c>
      <c r="Y383" s="1">
        <v>0</v>
      </c>
      <c r="Z383" s="1">
        <v>0</v>
      </c>
      <c r="AA383" s="1">
        <v>2</v>
      </c>
      <c r="AB383" s="1">
        <v>2</v>
      </c>
      <c r="AC383" s="1" t="s">
        <v>109</v>
      </c>
      <c r="AD383" s="1" t="s">
        <v>109</v>
      </c>
      <c r="AE383" s="1" t="s">
        <v>109</v>
      </c>
      <c r="AF383" s="1" t="s">
        <v>109</v>
      </c>
      <c r="AG383" s="1" t="s">
        <v>109</v>
      </c>
      <c r="AH383" s="1" t="s">
        <v>109</v>
      </c>
      <c r="AI383" s="1" t="s">
        <v>109</v>
      </c>
      <c r="AJ383" s="1" t="s">
        <v>109</v>
      </c>
      <c r="AK383" s="1" t="s">
        <v>109</v>
      </c>
      <c r="AL383" s="1" t="s">
        <v>109</v>
      </c>
      <c r="AM383" s="1" t="s">
        <v>109</v>
      </c>
      <c r="AN383" s="1" t="s">
        <v>109</v>
      </c>
      <c r="AO383" s="1" t="s">
        <v>109</v>
      </c>
      <c r="AP383" s="1"/>
      <c r="AQ383" s="1">
        <v>2</v>
      </c>
      <c r="AR383" s="1"/>
      <c r="AS383" s="1" t="s">
        <v>3559</v>
      </c>
      <c r="AT383" s="1">
        <v>0</v>
      </c>
      <c r="AU383" s="1">
        <v>0</v>
      </c>
      <c r="AV383" s="1">
        <v>0</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5" t="str">
        <f>HYPERLINK("http://www.d20pfsrd.com/magic/all-spells/p/phantom-trap","Phantom Trap")</f>
        <v>Phantom Trap</v>
      </c>
      <c r="BT383" s="1">
        <v>383</v>
      </c>
      <c r="BU383" s="1">
        <v>50</v>
      </c>
      <c r="BV383" s="1"/>
      <c r="BW383" s="1"/>
      <c r="BX383" s="1"/>
      <c r="BY383" s="1"/>
      <c r="BZ383" s="1">
        <v>0</v>
      </c>
      <c r="CA383" s="1" t="s">
        <v>109</v>
      </c>
      <c r="CB383" s="1" t="s">
        <v>109</v>
      </c>
      <c r="CC383" s="1">
        <v>2</v>
      </c>
      <c r="CD383" s="1" t="s">
        <v>109</v>
      </c>
      <c r="CE383" s="1">
        <v>2</v>
      </c>
      <c r="CF383" s="1">
        <v>2</v>
      </c>
      <c r="CG383" s="1">
        <v>2</v>
      </c>
      <c r="CH383" s="1" t="s">
        <v>109</v>
      </c>
      <c r="CI383" s="1" t="s">
        <v>109</v>
      </c>
      <c r="CJ383" s="1" t="s">
        <v>109</v>
      </c>
      <c r="CK383" s="1"/>
      <c r="CL383" s="1">
        <v>0</v>
      </c>
      <c r="CM383" s="1">
        <v>0</v>
      </c>
      <c r="CN383" s="1">
        <v>0</v>
      </c>
    </row>
    <row r="384" spans="1:92" ht="14.25" customHeight="1" x14ac:dyDescent="0.15">
      <c r="A384" s="1" t="s">
        <v>3560</v>
      </c>
      <c r="B384" s="1" t="s">
        <v>95</v>
      </c>
      <c r="C384" s="1" t="s">
        <v>96</v>
      </c>
      <c r="D384" s="1"/>
      <c r="E384" s="1" t="s">
        <v>429</v>
      </c>
      <c r="F384" s="1" t="s">
        <v>98</v>
      </c>
      <c r="G384" s="1" t="s">
        <v>333</v>
      </c>
      <c r="H384" s="1">
        <v>0</v>
      </c>
      <c r="I384" s="1" t="s">
        <v>161</v>
      </c>
      <c r="J384" s="1"/>
      <c r="K384" s="1" t="s">
        <v>3561</v>
      </c>
      <c r="L384" s="1"/>
      <c r="M384" s="1" t="s">
        <v>3562</v>
      </c>
      <c r="N384" s="1">
        <v>0</v>
      </c>
      <c r="O384" s="1">
        <v>0</v>
      </c>
      <c r="P384" s="1" t="s">
        <v>103</v>
      </c>
      <c r="Q384" s="1" t="s">
        <v>104</v>
      </c>
      <c r="R384" s="1" t="s">
        <v>3563</v>
      </c>
      <c r="S384" s="1" t="s">
        <v>3564</v>
      </c>
      <c r="T384" s="1" t="s">
        <v>107</v>
      </c>
      <c r="U384" s="1" t="s">
        <v>3565</v>
      </c>
      <c r="V384" s="1">
        <v>1</v>
      </c>
      <c r="W384" s="1">
        <v>0</v>
      </c>
      <c r="X384" s="1">
        <v>0</v>
      </c>
      <c r="Y384" s="1">
        <v>0</v>
      </c>
      <c r="Z384" s="1">
        <v>0</v>
      </c>
      <c r="AA384" s="1">
        <v>7</v>
      </c>
      <c r="AB384" s="1">
        <v>7</v>
      </c>
      <c r="AC384" s="1" t="s">
        <v>109</v>
      </c>
      <c r="AD384" s="1" t="s">
        <v>109</v>
      </c>
      <c r="AE384" s="1" t="s">
        <v>109</v>
      </c>
      <c r="AF384" s="1" t="s">
        <v>109</v>
      </c>
      <c r="AG384" s="1" t="s">
        <v>109</v>
      </c>
      <c r="AH384" s="1" t="s">
        <v>109</v>
      </c>
      <c r="AI384" s="1" t="s">
        <v>109</v>
      </c>
      <c r="AJ384" s="1">
        <v>7</v>
      </c>
      <c r="AK384" s="1" t="s">
        <v>109</v>
      </c>
      <c r="AL384" s="1" t="s">
        <v>109</v>
      </c>
      <c r="AM384" s="1" t="s">
        <v>109</v>
      </c>
      <c r="AN384" s="1" t="s">
        <v>109</v>
      </c>
      <c r="AO384" s="1" t="s">
        <v>109</v>
      </c>
      <c r="AP384" s="1"/>
      <c r="AQ384" s="1">
        <v>7</v>
      </c>
      <c r="AR384" s="1" t="s">
        <v>3566</v>
      </c>
      <c r="AS384" s="1" t="s">
        <v>3567</v>
      </c>
      <c r="AT384" s="1">
        <v>0</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5" t="str">
        <f>HYPERLINK("http://www.d20pfsrd.com/magic/all-spells/p/phase-door","Phase Door")</f>
        <v>Phase Door</v>
      </c>
      <c r="BT384" s="1">
        <v>384</v>
      </c>
      <c r="BU384" s="1" t="s">
        <v>109</v>
      </c>
      <c r="BV384" s="1" t="s">
        <v>3568</v>
      </c>
      <c r="BW384" s="1"/>
      <c r="BX384" s="1"/>
      <c r="BY384" s="1"/>
      <c r="BZ384" s="1">
        <v>0</v>
      </c>
      <c r="CA384" s="1" t="s">
        <v>109</v>
      </c>
      <c r="CB384" s="1" t="s">
        <v>109</v>
      </c>
      <c r="CC384" s="1">
        <v>7</v>
      </c>
      <c r="CD384" s="1" t="s">
        <v>109</v>
      </c>
      <c r="CE384" s="1" t="s">
        <v>109</v>
      </c>
      <c r="CF384" s="1" t="s">
        <v>109</v>
      </c>
      <c r="CG384" s="1" t="s">
        <v>109</v>
      </c>
      <c r="CH384" s="1" t="s">
        <v>109</v>
      </c>
      <c r="CI384" s="1" t="s">
        <v>109</v>
      </c>
      <c r="CJ384" s="1" t="s">
        <v>109</v>
      </c>
      <c r="CK384" s="1"/>
      <c r="CL384" s="1">
        <v>0</v>
      </c>
      <c r="CM384" s="1">
        <v>0</v>
      </c>
      <c r="CN384" s="1">
        <v>0</v>
      </c>
    </row>
    <row r="385" spans="1:92" ht="14.25" customHeight="1" x14ac:dyDescent="0.15">
      <c r="A385" s="1" t="s">
        <v>3569</v>
      </c>
      <c r="B385" s="1" t="s">
        <v>95</v>
      </c>
      <c r="C385" s="1" t="s">
        <v>3570</v>
      </c>
      <c r="D385" s="1" t="s">
        <v>211</v>
      </c>
      <c r="E385" s="1" t="s">
        <v>3571</v>
      </c>
      <c r="F385" s="1" t="s">
        <v>395</v>
      </c>
      <c r="G385" s="1" t="s">
        <v>3572</v>
      </c>
      <c r="H385" s="1">
        <v>1</v>
      </c>
      <c r="I385" s="1" t="s">
        <v>142</v>
      </c>
      <c r="J385" s="1"/>
      <c r="K385" s="1" t="s">
        <v>3573</v>
      </c>
      <c r="L385" s="1"/>
      <c r="M385" s="1" t="s">
        <v>144</v>
      </c>
      <c r="N385" s="1">
        <v>0</v>
      </c>
      <c r="O385" s="1">
        <v>0</v>
      </c>
      <c r="P385" s="1" t="s">
        <v>103</v>
      </c>
      <c r="Q385" s="1" t="s">
        <v>104</v>
      </c>
      <c r="R385" s="1" t="s">
        <v>3574</v>
      </c>
      <c r="S385" s="1" t="s">
        <v>3575</v>
      </c>
      <c r="T385" s="1" t="s">
        <v>107</v>
      </c>
      <c r="U385" s="1" t="s">
        <v>3576</v>
      </c>
      <c r="V385" s="1">
        <v>1</v>
      </c>
      <c r="W385" s="1">
        <v>1</v>
      </c>
      <c r="X385" s="1">
        <v>1</v>
      </c>
      <c r="Y385" s="1">
        <v>0</v>
      </c>
      <c r="Z385" s="1">
        <v>1</v>
      </c>
      <c r="AA385" s="1" t="s">
        <v>109</v>
      </c>
      <c r="AB385" s="1" t="s">
        <v>109</v>
      </c>
      <c r="AC385" s="1">
        <v>4</v>
      </c>
      <c r="AD385" s="1" t="s">
        <v>109</v>
      </c>
      <c r="AE385" s="1" t="s">
        <v>109</v>
      </c>
      <c r="AF385" s="1" t="s">
        <v>109</v>
      </c>
      <c r="AG385" s="1" t="s">
        <v>109</v>
      </c>
      <c r="AH385" s="1" t="s">
        <v>109</v>
      </c>
      <c r="AI385" s="1" t="s">
        <v>109</v>
      </c>
      <c r="AJ385" s="1" t="s">
        <v>109</v>
      </c>
      <c r="AK385" s="1" t="s">
        <v>109</v>
      </c>
      <c r="AL385" s="1">
        <v>4</v>
      </c>
      <c r="AM385" s="1" t="s">
        <v>109</v>
      </c>
      <c r="AN385" s="1" t="s">
        <v>109</v>
      </c>
      <c r="AO385" s="1" t="s">
        <v>109</v>
      </c>
      <c r="AP385" s="1"/>
      <c r="AQ385" s="1">
        <v>4</v>
      </c>
      <c r="AR385" s="1"/>
      <c r="AS385" s="1" t="s">
        <v>3577</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5" t="str">
        <f>HYPERLINK("http://www.d20pfsrd.com/magic/all-spells/p/planar-ally","Planar Ally, Lesser")</f>
        <v>Planar Ally, Lesser</v>
      </c>
      <c r="BT385" s="1">
        <v>385</v>
      </c>
      <c r="BU385" s="1">
        <v>500</v>
      </c>
      <c r="BV385" s="1"/>
      <c r="BW385" s="1"/>
      <c r="BX385" s="1"/>
      <c r="BY385" s="1"/>
      <c r="BZ385" s="1">
        <v>0</v>
      </c>
      <c r="CA385" s="1" t="s">
        <v>109</v>
      </c>
      <c r="CB385" s="1">
        <v>4</v>
      </c>
      <c r="CC385" s="1">
        <v>4</v>
      </c>
      <c r="CD385" s="1" t="s">
        <v>109</v>
      </c>
      <c r="CE385" s="1" t="s">
        <v>109</v>
      </c>
      <c r="CF385" s="1" t="s">
        <v>109</v>
      </c>
      <c r="CG385" s="1" t="s">
        <v>109</v>
      </c>
      <c r="CH385" s="1" t="s">
        <v>109</v>
      </c>
      <c r="CI385" s="1" t="s">
        <v>109</v>
      </c>
      <c r="CJ385" s="1" t="s">
        <v>109</v>
      </c>
      <c r="CK385" s="1"/>
      <c r="CL385" s="1">
        <v>0</v>
      </c>
      <c r="CM385" s="1">
        <v>0</v>
      </c>
      <c r="CN385" s="1">
        <v>0</v>
      </c>
    </row>
    <row r="386" spans="1:92" ht="14.25" customHeight="1" x14ac:dyDescent="0.15">
      <c r="A386" s="1" t="s">
        <v>3578</v>
      </c>
      <c r="B386" s="1" t="s">
        <v>95</v>
      </c>
      <c r="C386" s="1" t="s">
        <v>3570</v>
      </c>
      <c r="D386" s="1" t="s">
        <v>3579</v>
      </c>
      <c r="E386" s="1" t="s">
        <v>3580</v>
      </c>
      <c r="F386" s="1" t="s">
        <v>395</v>
      </c>
      <c r="G386" s="1" t="s">
        <v>3581</v>
      </c>
      <c r="H386" s="1">
        <v>1</v>
      </c>
      <c r="I386" s="1" t="s">
        <v>142</v>
      </c>
      <c r="J386" s="1"/>
      <c r="K386" s="1" t="s">
        <v>3582</v>
      </c>
      <c r="L386" s="1"/>
      <c r="M386" s="1" t="s">
        <v>144</v>
      </c>
      <c r="N386" s="1">
        <v>0</v>
      </c>
      <c r="O386" s="1">
        <v>0</v>
      </c>
      <c r="P386" s="1" t="s">
        <v>103</v>
      </c>
      <c r="Q386" s="1" t="s">
        <v>104</v>
      </c>
      <c r="R386" s="1" t="s">
        <v>3583</v>
      </c>
      <c r="S386" s="1" t="s">
        <v>3584</v>
      </c>
      <c r="T386" s="1" t="s">
        <v>107</v>
      </c>
      <c r="U386" s="1" t="s">
        <v>3585</v>
      </c>
      <c r="V386" s="1">
        <v>1</v>
      </c>
      <c r="W386" s="1">
        <v>1</v>
      </c>
      <c r="X386" s="1">
        <v>1</v>
      </c>
      <c r="Y386" s="1">
        <v>0</v>
      </c>
      <c r="Z386" s="1">
        <v>1</v>
      </c>
      <c r="AA386" s="1" t="s">
        <v>109</v>
      </c>
      <c r="AB386" s="1" t="s">
        <v>109</v>
      </c>
      <c r="AC386" s="1">
        <v>6</v>
      </c>
      <c r="AD386" s="1" t="s">
        <v>109</v>
      </c>
      <c r="AE386" s="1" t="s">
        <v>109</v>
      </c>
      <c r="AF386" s="1" t="s">
        <v>109</v>
      </c>
      <c r="AG386" s="1" t="s">
        <v>109</v>
      </c>
      <c r="AH386" s="1" t="s">
        <v>109</v>
      </c>
      <c r="AI386" s="1" t="s">
        <v>109</v>
      </c>
      <c r="AJ386" s="1" t="s">
        <v>109</v>
      </c>
      <c r="AK386" s="1" t="s">
        <v>109</v>
      </c>
      <c r="AL386" s="1">
        <v>6</v>
      </c>
      <c r="AM386" s="1" t="s">
        <v>109</v>
      </c>
      <c r="AN386" s="1" t="s">
        <v>109</v>
      </c>
      <c r="AO386" s="1" t="s">
        <v>109</v>
      </c>
      <c r="AP386" s="1"/>
      <c r="AQ386" s="1">
        <v>6</v>
      </c>
      <c r="AR386" s="1" t="s">
        <v>3586</v>
      </c>
      <c r="AS386" s="1" t="s">
        <v>3587</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5" t="str">
        <f>HYPERLINK("http://www.d20pfsrd.com/magic/all-spells/p/planar-ally","Planar Ally")</f>
        <v>Planar Ally</v>
      </c>
      <c r="BT386" s="1">
        <v>386</v>
      </c>
      <c r="BU386" s="1">
        <v>1250</v>
      </c>
      <c r="BV386" s="1"/>
      <c r="BW386" s="1" t="s">
        <v>3588</v>
      </c>
      <c r="BX386" s="1"/>
      <c r="BY386" s="1"/>
      <c r="BZ386" s="1">
        <v>0</v>
      </c>
      <c r="CA386" s="1" t="s">
        <v>109</v>
      </c>
      <c r="CB386" s="1">
        <v>6</v>
      </c>
      <c r="CC386" s="1">
        <v>6</v>
      </c>
      <c r="CD386" s="1" t="s">
        <v>109</v>
      </c>
      <c r="CE386" s="1" t="s">
        <v>109</v>
      </c>
      <c r="CF386" s="1" t="s">
        <v>109</v>
      </c>
      <c r="CG386" s="1" t="s">
        <v>109</v>
      </c>
      <c r="CH386" s="1" t="s">
        <v>109</v>
      </c>
      <c r="CI386" s="1" t="s">
        <v>109</v>
      </c>
      <c r="CJ386" s="1" t="s">
        <v>109</v>
      </c>
      <c r="CK386" s="1"/>
      <c r="CL386" s="1">
        <v>0</v>
      </c>
      <c r="CM386" s="1">
        <v>0</v>
      </c>
      <c r="CN386" s="1">
        <v>0</v>
      </c>
    </row>
    <row r="387" spans="1:92" ht="14.25" customHeight="1" x14ac:dyDescent="0.15">
      <c r="A387" s="1" t="s">
        <v>3589</v>
      </c>
      <c r="B387" s="1" t="s">
        <v>95</v>
      </c>
      <c r="C387" s="1" t="s">
        <v>3570</v>
      </c>
      <c r="D387" s="1" t="s">
        <v>3579</v>
      </c>
      <c r="E387" s="1" t="s">
        <v>3590</v>
      </c>
      <c r="F387" s="1" t="s">
        <v>395</v>
      </c>
      <c r="G387" s="1" t="s">
        <v>3591</v>
      </c>
      <c r="H387" s="1">
        <v>1</v>
      </c>
      <c r="I387" s="1" t="s">
        <v>142</v>
      </c>
      <c r="J387" s="1"/>
      <c r="K387" s="1" t="s">
        <v>3592</v>
      </c>
      <c r="L387" s="1"/>
      <c r="M387" s="1" t="s">
        <v>144</v>
      </c>
      <c r="N387" s="1">
        <v>0</v>
      </c>
      <c r="O387" s="1">
        <v>0</v>
      </c>
      <c r="P387" s="1" t="s">
        <v>103</v>
      </c>
      <c r="Q387" s="1" t="s">
        <v>104</v>
      </c>
      <c r="R387" s="1" t="s">
        <v>3593</v>
      </c>
      <c r="S387" s="1" t="s">
        <v>3594</v>
      </c>
      <c r="T387" s="1" t="s">
        <v>107</v>
      </c>
      <c r="U387" s="1" t="s">
        <v>3595</v>
      </c>
      <c r="V387" s="1">
        <v>1</v>
      </c>
      <c r="W387" s="1">
        <v>1</v>
      </c>
      <c r="X387" s="1">
        <v>1</v>
      </c>
      <c r="Y387" s="1">
        <v>0</v>
      </c>
      <c r="Z387" s="1">
        <v>1</v>
      </c>
      <c r="AA387" s="1" t="s">
        <v>109</v>
      </c>
      <c r="AB387" s="1" t="s">
        <v>109</v>
      </c>
      <c r="AC387" s="1">
        <v>8</v>
      </c>
      <c r="AD387" s="1" t="s">
        <v>109</v>
      </c>
      <c r="AE387" s="1" t="s">
        <v>109</v>
      </c>
      <c r="AF387" s="1" t="s">
        <v>109</v>
      </c>
      <c r="AG387" s="1" t="s">
        <v>109</v>
      </c>
      <c r="AH387" s="1" t="s">
        <v>109</v>
      </c>
      <c r="AI387" s="1" t="s">
        <v>109</v>
      </c>
      <c r="AJ387" s="1" t="s">
        <v>109</v>
      </c>
      <c r="AK387" s="1" t="s">
        <v>109</v>
      </c>
      <c r="AL387" s="1">
        <v>8</v>
      </c>
      <c r="AM387" s="1" t="s">
        <v>109</v>
      </c>
      <c r="AN387" s="1" t="s">
        <v>109</v>
      </c>
      <c r="AO387" s="1" t="s">
        <v>109</v>
      </c>
      <c r="AP387" s="1"/>
      <c r="AQ387" s="1">
        <v>8</v>
      </c>
      <c r="AR387" s="1" t="s">
        <v>3596</v>
      </c>
      <c r="AS387" s="1" t="s">
        <v>3597</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5" t="str">
        <f>HYPERLINK("http://www.d20pfsrd.com/magic/all-spells/p/planar-ally","Planar Ally, Greater")</f>
        <v>Planar Ally, Greater</v>
      </c>
      <c r="BT387" s="1">
        <v>387</v>
      </c>
      <c r="BU387" s="1">
        <v>2500</v>
      </c>
      <c r="BV387" s="1"/>
      <c r="BW387" s="1"/>
      <c r="BX387" s="1"/>
      <c r="BY387" s="1"/>
      <c r="BZ387" s="1">
        <v>0</v>
      </c>
      <c r="CA387" s="1" t="s">
        <v>109</v>
      </c>
      <c r="CB387" s="1">
        <v>8</v>
      </c>
      <c r="CC387" s="1">
        <v>8</v>
      </c>
      <c r="CD387" s="1" t="s">
        <v>109</v>
      </c>
      <c r="CE387" s="1" t="s">
        <v>109</v>
      </c>
      <c r="CF387" s="1" t="s">
        <v>109</v>
      </c>
      <c r="CG387" s="1" t="s">
        <v>109</v>
      </c>
      <c r="CH387" s="1" t="s">
        <v>109</v>
      </c>
      <c r="CI387" s="1" t="s">
        <v>109</v>
      </c>
      <c r="CJ387" s="1" t="s">
        <v>109</v>
      </c>
      <c r="CK387" s="1"/>
      <c r="CL387" s="1">
        <v>0</v>
      </c>
      <c r="CM387" s="1">
        <v>0</v>
      </c>
      <c r="CN387" s="1">
        <v>0</v>
      </c>
    </row>
    <row r="388" spans="1:92" ht="14.25" customHeight="1" x14ac:dyDescent="0.15">
      <c r="A388" s="1" t="s">
        <v>3598</v>
      </c>
      <c r="B388" s="1" t="s">
        <v>95</v>
      </c>
      <c r="C388" s="1" t="s">
        <v>3570</v>
      </c>
      <c r="D388" s="1" t="s">
        <v>211</v>
      </c>
      <c r="E388" s="1" t="s">
        <v>3599</v>
      </c>
      <c r="F388" s="1" t="s">
        <v>395</v>
      </c>
      <c r="G388" s="1" t="s">
        <v>141</v>
      </c>
      <c r="H388" s="1">
        <v>0</v>
      </c>
      <c r="I388" s="1" t="s">
        <v>3600</v>
      </c>
      <c r="J388" s="1"/>
      <c r="K388" s="1"/>
      <c r="L388" s="1" t="s">
        <v>3601</v>
      </c>
      <c r="M388" s="1" t="s">
        <v>144</v>
      </c>
      <c r="N388" s="1">
        <v>0</v>
      </c>
      <c r="O388" s="1">
        <v>0</v>
      </c>
      <c r="P388" s="1" t="s">
        <v>301</v>
      </c>
      <c r="Q388" s="1" t="s">
        <v>3602</v>
      </c>
      <c r="R388" s="1" t="s">
        <v>3603</v>
      </c>
      <c r="S388" s="1" t="s">
        <v>3604</v>
      </c>
      <c r="T388" s="1" t="s">
        <v>107</v>
      </c>
      <c r="U388" s="1" t="s">
        <v>3605</v>
      </c>
      <c r="V388" s="1">
        <v>1</v>
      </c>
      <c r="W388" s="1">
        <v>1</v>
      </c>
      <c r="X388" s="1">
        <v>0</v>
      </c>
      <c r="Y388" s="1">
        <v>0</v>
      </c>
      <c r="Z388" s="1">
        <v>0</v>
      </c>
      <c r="AA388" s="1">
        <v>5</v>
      </c>
      <c r="AB388" s="1">
        <v>5</v>
      </c>
      <c r="AC388" s="1" t="s">
        <v>109</v>
      </c>
      <c r="AD388" s="1" t="s">
        <v>109</v>
      </c>
      <c r="AE388" s="1" t="s">
        <v>109</v>
      </c>
      <c r="AF388" s="1" t="s">
        <v>109</v>
      </c>
      <c r="AG388" s="1" t="s">
        <v>109</v>
      </c>
      <c r="AH388" s="1" t="s">
        <v>109</v>
      </c>
      <c r="AI388" s="1">
        <v>4</v>
      </c>
      <c r="AJ388" s="1" t="s">
        <v>109</v>
      </c>
      <c r="AK388" s="1" t="s">
        <v>109</v>
      </c>
      <c r="AL388" s="1" t="s">
        <v>109</v>
      </c>
      <c r="AM388" s="1" t="s">
        <v>109</v>
      </c>
      <c r="AN388" s="1" t="s">
        <v>109</v>
      </c>
      <c r="AO388" s="1" t="s">
        <v>109</v>
      </c>
      <c r="AP388" s="1"/>
      <c r="AQ388" s="1">
        <v>5</v>
      </c>
      <c r="AR388" s="1" t="s">
        <v>3606</v>
      </c>
      <c r="AS388" s="1" t="s">
        <v>3607</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5" t="str">
        <f>HYPERLINK("http://www.d20pfsrd.com/magic/all-spells/p/planar-binding","Planar Binding, Lesser")</f>
        <v>Planar Binding, Lesser</v>
      </c>
      <c r="BT388" s="1">
        <v>388</v>
      </c>
      <c r="BU388" s="1" t="s">
        <v>109</v>
      </c>
      <c r="BV388" s="1"/>
      <c r="BW388" s="1" t="s">
        <v>3608</v>
      </c>
      <c r="BX388" s="1"/>
      <c r="BY388" s="1"/>
      <c r="BZ388" s="1">
        <v>0</v>
      </c>
      <c r="CA388" s="1" t="s">
        <v>109</v>
      </c>
      <c r="CB388" s="1" t="s">
        <v>109</v>
      </c>
      <c r="CC388" s="1">
        <v>5</v>
      </c>
      <c r="CD388" s="1" t="s">
        <v>109</v>
      </c>
      <c r="CE388" s="1" t="s">
        <v>109</v>
      </c>
      <c r="CF388" s="1">
        <v>5</v>
      </c>
      <c r="CG388" s="1" t="s">
        <v>109</v>
      </c>
      <c r="CH388" s="1" t="s">
        <v>109</v>
      </c>
      <c r="CI388" s="1" t="s">
        <v>109</v>
      </c>
      <c r="CJ388" s="1" t="s">
        <v>109</v>
      </c>
      <c r="CK388" s="1"/>
      <c r="CL388" s="1">
        <v>0</v>
      </c>
      <c r="CM388" s="1">
        <v>0</v>
      </c>
      <c r="CN388" s="1">
        <v>0</v>
      </c>
    </row>
    <row r="389" spans="1:92" ht="14.25" customHeight="1" x14ac:dyDescent="0.15">
      <c r="A389" s="1" t="s">
        <v>3609</v>
      </c>
      <c r="B389" s="1" t="s">
        <v>95</v>
      </c>
      <c r="C389" s="1" t="s">
        <v>3570</v>
      </c>
      <c r="D389" s="1" t="s">
        <v>3610</v>
      </c>
      <c r="E389" s="1" t="s">
        <v>3611</v>
      </c>
      <c r="F389" s="1" t="s">
        <v>395</v>
      </c>
      <c r="G389" s="1" t="s">
        <v>141</v>
      </c>
      <c r="H389" s="1">
        <v>0</v>
      </c>
      <c r="I389" s="1" t="s">
        <v>3600</v>
      </c>
      <c r="J389" s="1"/>
      <c r="K389" s="1"/>
      <c r="L389" s="1" t="s">
        <v>3612</v>
      </c>
      <c r="M389" s="1" t="s">
        <v>144</v>
      </c>
      <c r="N389" s="1">
        <v>0</v>
      </c>
      <c r="O389" s="1">
        <v>0</v>
      </c>
      <c r="P389" s="1" t="s">
        <v>301</v>
      </c>
      <c r="Q389" s="1" t="s">
        <v>3602</v>
      </c>
      <c r="R389" s="1" t="s">
        <v>3613</v>
      </c>
      <c r="S389" s="1" t="s">
        <v>3614</v>
      </c>
      <c r="T389" s="1" t="s">
        <v>107</v>
      </c>
      <c r="U389" s="1" t="s">
        <v>3615</v>
      </c>
      <c r="V389" s="1">
        <v>1</v>
      </c>
      <c r="W389" s="1">
        <v>1</v>
      </c>
      <c r="X389" s="1">
        <v>0</v>
      </c>
      <c r="Y389" s="1">
        <v>0</v>
      </c>
      <c r="Z389" s="1">
        <v>0</v>
      </c>
      <c r="AA389" s="1">
        <v>6</v>
      </c>
      <c r="AB389" s="1">
        <v>6</v>
      </c>
      <c r="AC389" s="1" t="s">
        <v>109</v>
      </c>
      <c r="AD389" s="1" t="s">
        <v>109</v>
      </c>
      <c r="AE389" s="1" t="s">
        <v>109</v>
      </c>
      <c r="AF389" s="1" t="s">
        <v>109</v>
      </c>
      <c r="AG389" s="1" t="s">
        <v>109</v>
      </c>
      <c r="AH389" s="1" t="s">
        <v>109</v>
      </c>
      <c r="AI389" s="1">
        <v>5</v>
      </c>
      <c r="AJ389" s="1" t="s">
        <v>109</v>
      </c>
      <c r="AK389" s="1" t="s">
        <v>109</v>
      </c>
      <c r="AL389" s="1" t="s">
        <v>109</v>
      </c>
      <c r="AM389" s="1" t="s">
        <v>109</v>
      </c>
      <c r="AN389" s="1" t="s">
        <v>109</v>
      </c>
      <c r="AO389" s="1" t="s">
        <v>109</v>
      </c>
      <c r="AP389" s="1"/>
      <c r="AQ389" s="1">
        <v>6</v>
      </c>
      <c r="AR389" s="1" t="s">
        <v>3616</v>
      </c>
      <c r="AS389" s="1" t="s">
        <v>3617</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5" t="str">
        <f>HYPERLINK("http://www.d20pfsrd.com/magic/all-spells/p/planar-binding","Planar Binding")</f>
        <v>Planar Binding</v>
      </c>
      <c r="BT389" s="1">
        <v>389</v>
      </c>
      <c r="BU389" s="1" t="s">
        <v>109</v>
      </c>
      <c r="BV389" s="1" t="s">
        <v>3618</v>
      </c>
      <c r="BW389" s="1" t="s">
        <v>3619</v>
      </c>
      <c r="BX389" s="1"/>
      <c r="BY389" s="1"/>
      <c r="BZ389" s="1">
        <v>0</v>
      </c>
      <c r="CA389" s="1" t="s">
        <v>109</v>
      </c>
      <c r="CB389" s="1" t="s">
        <v>109</v>
      </c>
      <c r="CC389" s="1">
        <v>6</v>
      </c>
      <c r="CD389" s="1" t="s">
        <v>109</v>
      </c>
      <c r="CE389" s="1" t="s">
        <v>109</v>
      </c>
      <c r="CF389" s="1">
        <v>6</v>
      </c>
      <c r="CG389" s="1" t="s">
        <v>109</v>
      </c>
      <c r="CH389" s="1" t="s">
        <v>109</v>
      </c>
      <c r="CI389" s="1" t="s">
        <v>109</v>
      </c>
      <c r="CJ389" s="1" t="s">
        <v>109</v>
      </c>
      <c r="CK389" s="1"/>
      <c r="CL389" s="1">
        <v>0</v>
      </c>
      <c r="CM389" s="1">
        <v>0</v>
      </c>
      <c r="CN389" s="1">
        <v>0</v>
      </c>
    </row>
    <row r="390" spans="1:92" ht="14.25" customHeight="1" x14ac:dyDescent="0.15">
      <c r="A390" s="1" t="s">
        <v>3620</v>
      </c>
      <c r="B390" s="1" t="s">
        <v>95</v>
      </c>
      <c r="C390" s="1" t="s">
        <v>3570</v>
      </c>
      <c r="D390" s="1" t="s">
        <v>3610</v>
      </c>
      <c r="E390" s="1" t="s">
        <v>561</v>
      </c>
      <c r="F390" s="1" t="s">
        <v>395</v>
      </c>
      <c r="G390" s="1" t="s">
        <v>141</v>
      </c>
      <c r="H390" s="1">
        <v>0</v>
      </c>
      <c r="I390" s="1" t="s">
        <v>3600</v>
      </c>
      <c r="J390" s="1"/>
      <c r="K390" s="1"/>
      <c r="L390" s="1" t="s">
        <v>3621</v>
      </c>
      <c r="M390" s="1" t="s">
        <v>144</v>
      </c>
      <c r="N390" s="1">
        <v>0</v>
      </c>
      <c r="O390" s="1">
        <v>0</v>
      </c>
      <c r="P390" s="1" t="s">
        <v>301</v>
      </c>
      <c r="Q390" s="1" t="s">
        <v>3602</v>
      </c>
      <c r="R390" s="1" t="s">
        <v>3622</v>
      </c>
      <c r="S390" s="1" t="s">
        <v>3623</v>
      </c>
      <c r="T390" s="1" t="s">
        <v>107</v>
      </c>
      <c r="U390" s="1" t="s">
        <v>3624</v>
      </c>
      <c r="V390" s="1">
        <v>1</v>
      </c>
      <c r="W390" s="1">
        <v>1</v>
      </c>
      <c r="X390" s="1">
        <v>0</v>
      </c>
      <c r="Y390" s="1">
        <v>0</v>
      </c>
      <c r="Z390" s="1">
        <v>0</v>
      </c>
      <c r="AA390" s="1">
        <v>8</v>
      </c>
      <c r="AB390" s="1">
        <v>8</v>
      </c>
      <c r="AC390" s="1" t="s">
        <v>109</v>
      </c>
      <c r="AD390" s="1" t="s">
        <v>109</v>
      </c>
      <c r="AE390" s="1" t="s">
        <v>109</v>
      </c>
      <c r="AF390" s="1" t="s">
        <v>109</v>
      </c>
      <c r="AG390" s="1" t="s">
        <v>109</v>
      </c>
      <c r="AH390" s="1" t="s">
        <v>109</v>
      </c>
      <c r="AI390" s="1">
        <v>6</v>
      </c>
      <c r="AJ390" s="1" t="s">
        <v>109</v>
      </c>
      <c r="AK390" s="1" t="s">
        <v>109</v>
      </c>
      <c r="AL390" s="1" t="s">
        <v>109</v>
      </c>
      <c r="AM390" s="1" t="s">
        <v>109</v>
      </c>
      <c r="AN390" s="1" t="s">
        <v>109</v>
      </c>
      <c r="AO390" s="1" t="s">
        <v>109</v>
      </c>
      <c r="AP390" s="1"/>
      <c r="AQ390" s="1">
        <v>8</v>
      </c>
      <c r="AR390" s="1" t="s">
        <v>3625</v>
      </c>
      <c r="AS390" s="1" t="s">
        <v>3626</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5" t="str">
        <f>HYPERLINK("http://www.d20pfsrd.com/magic/all-spells/p/planar-binding","Planar Binding, Greater")</f>
        <v>Planar Binding, Greater</v>
      </c>
      <c r="BT390" s="1">
        <v>390</v>
      </c>
      <c r="BU390" s="1" t="s">
        <v>109</v>
      </c>
      <c r="BV390" s="1" t="s">
        <v>3627</v>
      </c>
      <c r="BW390" s="1" t="s">
        <v>3628</v>
      </c>
      <c r="BX390" s="1"/>
      <c r="BY390" s="1"/>
      <c r="BZ390" s="1">
        <v>0</v>
      </c>
      <c r="CA390" s="1" t="s">
        <v>109</v>
      </c>
      <c r="CB390" s="1" t="s">
        <v>109</v>
      </c>
      <c r="CC390" s="1">
        <v>8</v>
      </c>
      <c r="CD390" s="1" t="s">
        <v>109</v>
      </c>
      <c r="CE390" s="1" t="s">
        <v>109</v>
      </c>
      <c r="CF390" s="1" t="s">
        <v>109</v>
      </c>
      <c r="CG390" s="1" t="s">
        <v>109</v>
      </c>
      <c r="CH390" s="1" t="s">
        <v>109</v>
      </c>
      <c r="CI390" s="1" t="s">
        <v>109</v>
      </c>
      <c r="CJ390" s="1" t="s">
        <v>109</v>
      </c>
      <c r="CK390" s="1"/>
      <c r="CL390" s="1">
        <v>0</v>
      </c>
      <c r="CM390" s="1">
        <v>0</v>
      </c>
      <c r="CN390" s="1">
        <v>0</v>
      </c>
    </row>
    <row r="391" spans="1:92" ht="14.25" customHeight="1" x14ac:dyDescent="0.15">
      <c r="A391" s="1" t="s">
        <v>3629</v>
      </c>
      <c r="B391" s="1" t="s">
        <v>95</v>
      </c>
      <c r="C391" s="1" t="s">
        <v>1522</v>
      </c>
      <c r="D391" s="1"/>
      <c r="E391" s="1" t="s">
        <v>3630</v>
      </c>
      <c r="F391" s="1" t="s">
        <v>98</v>
      </c>
      <c r="G391" s="1" t="s">
        <v>3631</v>
      </c>
      <c r="H391" s="1">
        <v>0</v>
      </c>
      <c r="I391" s="1" t="s">
        <v>161</v>
      </c>
      <c r="J391" s="1"/>
      <c r="K391" s="1"/>
      <c r="L391" s="1" t="s">
        <v>3632</v>
      </c>
      <c r="M391" s="1" t="s">
        <v>144</v>
      </c>
      <c r="N391" s="1">
        <v>0</v>
      </c>
      <c r="O391" s="1">
        <v>0</v>
      </c>
      <c r="P391" s="1" t="s">
        <v>301</v>
      </c>
      <c r="Q391" s="1" t="s">
        <v>268</v>
      </c>
      <c r="R391" s="1" t="s">
        <v>3633</v>
      </c>
      <c r="S391" s="1" t="s">
        <v>3634</v>
      </c>
      <c r="T391" s="1" t="s">
        <v>107</v>
      </c>
      <c r="U391" s="1" t="s">
        <v>3635</v>
      </c>
      <c r="V391" s="1">
        <v>1</v>
      </c>
      <c r="W391" s="1">
        <v>1</v>
      </c>
      <c r="X391" s="1">
        <v>0</v>
      </c>
      <c r="Y391" s="1">
        <v>0</v>
      </c>
      <c r="Z391" s="1">
        <v>0</v>
      </c>
      <c r="AA391" s="1">
        <v>7</v>
      </c>
      <c r="AB391" s="1">
        <v>7</v>
      </c>
      <c r="AC391" s="1">
        <v>5</v>
      </c>
      <c r="AD391" s="1" t="s">
        <v>109</v>
      </c>
      <c r="AE391" s="1" t="s">
        <v>109</v>
      </c>
      <c r="AF391" s="1" t="s">
        <v>109</v>
      </c>
      <c r="AG391" s="1" t="s">
        <v>109</v>
      </c>
      <c r="AH391" s="1" t="s">
        <v>109</v>
      </c>
      <c r="AI391" s="1">
        <v>5</v>
      </c>
      <c r="AJ391" s="1">
        <v>7</v>
      </c>
      <c r="AK391" s="1" t="s">
        <v>109</v>
      </c>
      <c r="AL391" s="1">
        <v>5</v>
      </c>
      <c r="AM391" s="1" t="s">
        <v>109</v>
      </c>
      <c r="AN391" s="1" t="s">
        <v>109</v>
      </c>
      <c r="AO391" s="1" t="s">
        <v>109</v>
      </c>
      <c r="AP391" s="1"/>
      <c r="AQ391" s="1">
        <v>7</v>
      </c>
      <c r="AR391" s="1" t="s">
        <v>3636</v>
      </c>
      <c r="AS391" s="1" t="s">
        <v>3637</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5" t="str">
        <f>HYPERLINK("http://www.d20pfsrd.com/magic/all-spells/p/plane-shift","Plane Shift")</f>
        <v>Plane Shift</v>
      </c>
      <c r="BT391" s="1">
        <v>391</v>
      </c>
      <c r="BU391" s="1" t="s">
        <v>109</v>
      </c>
      <c r="BV391" s="1" t="s">
        <v>3638</v>
      </c>
      <c r="BW391" s="1"/>
      <c r="BX391" s="1" t="s">
        <v>3639</v>
      </c>
      <c r="BY391" s="1" t="s">
        <v>3640</v>
      </c>
      <c r="BZ391" s="1">
        <v>1</v>
      </c>
      <c r="CA391" s="1" t="s">
        <v>109</v>
      </c>
      <c r="CB391" s="1">
        <v>7</v>
      </c>
      <c r="CC391" s="1">
        <v>5</v>
      </c>
      <c r="CD391" s="1" t="s">
        <v>109</v>
      </c>
      <c r="CE391" s="1" t="s">
        <v>109</v>
      </c>
      <c r="CF391" s="1" t="s">
        <v>109</v>
      </c>
      <c r="CG391" s="1">
        <v>5</v>
      </c>
      <c r="CH391" s="1" t="s">
        <v>109</v>
      </c>
      <c r="CI391" s="1" t="s">
        <v>109</v>
      </c>
      <c r="CJ391" s="1" t="s">
        <v>109</v>
      </c>
      <c r="CK391" s="1"/>
      <c r="CL391" s="1">
        <v>0</v>
      </c>
      <c r="CM391" s="1">
        <v>0</v>
      </c>
      <c r="CN391" s="1">
        <v>0</v>
      </c>
    </row>
    <row r="392" spans="1:92" ht="14.25" customHeight="1" x14ac:dyDescent="0.15">
      <c r="A392" s="1" t="s">
        <v>3641</v>
      </c>
      <c r="B392" s="1" t="s">
        <v>189</v>
      </c>
      <c r="C392" s="1"/>
      <c r="D392" s="1"/>
      <c r="E392" s="1" t="s">
        <v>1534</v>
      </c>
      <c r="F392" s="1" t="s">
        <v>98</v>
      </c>
      <c r="G392" s="1" t="s">
        <v>160</v>
      </c>
      <c r="H392" s="1">
        <v>0</v>
      </c>
      <c r="I392" s="1" t="s">
        <v>211</v>
      </c>
      <c r="J392" s="1" t="s">
        <v>211</v>
      </c>
      <c r="K392" s="1"/>
      <c r="L392" s="1" t="s">
        <v>211</v>
      </c>
      <c r="M392" s="1" t="s">
        <v>144</v>
      </c>
      <c r="N392" s="1">
        <v>0</v>
      </c>
      <c r="O392" s="1">
        <v>0</v>
      </c>
      <c r="P392" s="1" t="s">
        <v>103</v>
      </c>
      <c r="Q392" s="1" t="s">
        <v>104</v>
      </c>
      <c r="R392" s="1" t="s">
        <v>3642</v>
      </c>
      <c r="S392" s="1" t="s">
        <v>3643</v>
      </c>
      <c r="T392" s="1" t="s">
        <v>107</v>
      </c>
      <c r="U392" s="1" t="s">
        <v>3644</v>
      </c>
      <c r="V392" s="1">
        <v>1</v>
      </c>
      <c r="W392" s="1">
        <v>1</v>
      </c>
      <c r="X392" s="1">
        <v>0</v>
      </c>
      <c r="Y392" s="1">
        <v>0</v>
      </c>
      <c r="Z392" s="1">
        <v>1</v>
      </c>
      <c r="AA392" s="1" t="s">
        <v>109</v>
      </c>
      <c r="AB392" s="1" t="s">
        <v>109</v>
      </c>
      <c r="AC392" s="1" t="s">
        <v>109</v>
      </c>
      <c r="AD392" s="1">
        <v>3</v>
      </c>
      <c r="AE392" s="1">
        <v>3</v>
      </c>
      <c r="AF392" s="1" t="s">
        <v>109</v>
      </c>
      <c r="AG392" s="1" t="s">
        <v>109</v>
      </c>
      <c r="AH392" s="1" t="s">
        <v>109</v>
      </c>
      <c r="AI392" s="1" t="s">
        <v>109</v>
      </c>
      <c r="AJ392" s="1" t="s">
        <v>109</v>
      </c>
      <c r="AK392" s="1" t="s">
        <v>109</v>
      </c>
      <c r="AL392" s="1" t="s">
        <v>109</v>
      </c>
      <c r="AM392" s="1" t="s">
        <v>109</v>
      </c>
      <c r="AN392" s="1" t="s">
        <v>109</v>
      </c>
      <c r="AO392" s="1" t="s">
        <v>109</v>
      </c>
      <c r="AP392" s="1"/>
      <c r="AQ392" s="1">
        <v>3</v>
      </c>
      <c r="AR392" s="1" t="s">
        <v>3645</v>
      </c>
      <c r="AS392" s="1" t="s">
        <v>3646</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5" t="str">
        <f>HYPERLINK("http://www.d20pfsrd.com/magic/all-spells/p/plant-growth","Plant Growth")</f>
        <v>Plant Growth</v>
      </c>
      <c r="BT392" s="1">
        <v>392</v>
      </c>
      <c r="BU392" s="1" t="s">
        <v>109</v>
      </c>
      <c r="BV392" s="1"/>
      <c r="BW392" s="1"/>
      <c r="BX392" s="1"/>
      <c r="BY392" s="1"/>
      <c r="BZ392" s="1">
        <v>0</v>
      </c>
      <c r="CA392" s="1" t="s">
        <v>109</v>
      </c>
      <c r="CB392" s="1" t="s">
        <v>109</v>
      </c>
      <c r="CC392" s="1" t="s">
        <v>109</v>
      </c>
      <c r="CD392" s="1" t="s">
        <v>109</v>
      </c>
      <c r="CE392" s="1" t="s">
        <v>109</v>
      </c>
      <c r="CF392" s="1" t="s">
        <v>109</v>
      </c>
      <c r="CG392" s="1" t="s">
        <v>109</v>
      </c>
      <c r="CH392" s="1" t="s">
        <v>109</v>
      </c>
      <c r="CI392" s="1" t="s">
        <v>109</v>
      </c>
      <c r="CJ392" s="1">
        <v>3</v>
      </c>
      <c r="CK392" s="1"/>
      <c r="CL392" s="1">
        <v>0</v>
      </c>
      <c r="CM392" s="1">
        <v>0</v>
      </c>
      <c r="CN392" s="1">
        <v>0</v>
      </c>
    </row>
    <row r="393" spans="1:92" ht="14.25" customHeight="1" x14ac:dyDescent="0.15">
      <c r="A393" s="1" t="s">
        <v>3647</v>
      </c>
      <c r="B393" s="1" t="s">
        <v>189</v>
      </c>
      <c r="C393" s="1" t="s">
        <v>231</v>
      </c>
      <c r="D393" s="1"/>
      <c r="E393" s="1" t="s">
        <v>3648</v>
      </c>
      <c r="F393" s="1" t="s">
        <v>98</v>
      </c>
      <c r="G393" s="1" t="s">
        <v>234</v>
      </c>
      <c r="H393" s="1">
        <v>0</v>
      </c>
      <c r="I393" s="1" t="s">
        <v>235</v>
      </c>
      <c r="J393" s="1"/>
      <c r="K393" s="1"/>
      <c r="L393" s="1" t="s">
        <v>236</v>
      </c>
      <c r="M393" s="1" t="s">
        <v>164</v>
      </c>
      <c r="N393" s="1">
        <v>1</v>
      </c>
      <c r="O393" s="1">
        <v>0</v>
      </c>
      <c r="P393" s="1"/>
      <c r="Q393" s="1"/>
      <c r="R393" s="1" t="s">
        <v>3649</v>
      </c>
      <c r="S393" s="1" t="s">
        <v>3650</v>
      </c>
      <c r="T393" s="1" t="s">
        <v>107</v>
      </c>
      <c r="U393" s="1" t="s">
        <v>3651</v>
      </c>
      <c r="V393" s="1">
        <v>1</v>
      </c>
      <c r="W393" s="1">
        <v>1</v>
      </c>
      <c r="X393" s="1">
        <v>1</v>
      </c>
      <c r="Y393" s="1">
        <v>0</v>
      </c>
      <c r="Z393" s="1">
        <v>0</v>
      </c>
      <c r="AA393" s="1">
        <v>5</v>
      </c>
      <c r="AB393" s="1">
        <v>5</v>
      </c>
      <c r="AC393" s="1" t="s">
        <v>109</v>
      </c>
      <c r="AD393" s="1" t="s">
        <v>109</v>
      </c>
      <c r="AE393" s="1" t="s">
        <v>109</v>
      </c>
      <c r="AF393" s="1" t="s">
        <v>109</v>
      </c>
      <c r="AG393" s="1" t="s">
        <v>109</v>
      </c>
      <c r="AH393" s="1">
        <v>5</v>
      </c>
      <c r="AI393" s="1" t="s">
        <v>109</v>
      </c>
      <c r="AJ393" s="1" t="s">
        <v>109</v>
      </c>
      <c r="AK393" s="1" t="s">
        <v>109</v>
      </c>
      <c r="AL393" s="1" t="s">
        <v>109</v>
      </c>
      <c r="AM393" s="1" t="s">
        <v>109</v>
      </c>
      <c r="AN393" s="1" t="s">
        <v>109</v>
      </c>
      <c r="AO393" s="1" t="s">
        <v>109</v>
      </c>
      <c r="AP393" s="1"/>
      <c r="AQ393" s="1">
        <v>5</v>
      </c>
      <c r="AR393" s="1"/>
      <c r="AS393" s="1" t="s">
        <v>3652</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5" t="str">
        <f>HYPERLINK("http://www.d20pfsrd.com/magic/all-spells/p/plant-shape-i","Plant Shape I")</f>
        <v>Plant Shape I</v>
      </c>
      <c r="BT393" s="1">
        <v>393</v>
      </c>
      <c r="BU393" s="1" t="s">
        <v>109</v>
      </c>
      <c r="BV393" s="1"/>
      <c r="BW393" s="1"/>
      <c r="BX393" s="1"/>
      <c r="BY393" s="1"/>
      <c r="BZ393" s="1">
        <v>0</v>
      </c>
      <c r="CA393" s="1" t="s">
        <v>109</v>
      </c>
      <c r="CB393" s="1" t="s">
        <v>109</v>
      </c>
      <c r="CC393" s="1" t="s">
        <v>109</v>
      </c>
      <c r="CD393" s="1" t="s">
        <v>109</v>
      </c>
      <c r="CE393" s="1" t="s">
        <v>109</v>
      </c>
      <c r="CF393" s="1" t="s">
        <v>109</v>
      </c>
      <c r="CG393" s="1" t="s">
        <v>109</v>
      </c>
      <c r="CH393" s="1" t="s">
        <v>109</v>
      </c>
      <c r="CI393" s="1" t="s">
        <v>109</v>
      </c>
      <c r="CJ393" s="1" t="s">
        <v>109</v>
      </c>
      <c r="CK393" s="1"/>
      <c r="CL393" s="1">
        <v>0</v>
      </c>
      <c r="CM393" s="1">
        <v>0</v>
      </c>
      <c r="CN393" s="1">
        <v>0</v>
      </c>
    </row>
    <row r="394" spans="1:92" ht="14.25" customHeight="1" x14ac:dyDescent="0.15">
      <c r="A394" s="1" t="s">
        <v>3653</v>
      </c>
      <c r="B394" s="1" t="s">
        <v>189</v>
      </c>
      <c r="C394" s="1" t="s">
        <v>231</v>
      </c>
      <c r="D394" s="1"/>
      <c r="E394" s="1" t="s">
        <v>3654</v>
      </c>
      <c r="F394" s="1" t="s">
        <v>98</v>
      </c>
      <c r="G394" s="1" t="s">
        <v>234</v>
      </c>
      <c r="H394" s="1">
        <v>0</v>
      </c>
      <c r="I394" s="1" t="s">
        <v>235</v>
      </c>
      <c r="J394" s="1"/>
      <c r="K394" s="1"/>
      <c r="L394" s="1" t="s">
        <v>236</v>
      </c>
      <c r="M394" s="1" t="s">
        <v>164</v>
      </c>
      <c r="N394" s="1">
        <v>1</v>
      </c>
      <c r="O394" s="1">
        <v>0</v>
      </c>
      <c r="P394" s="1"/>
      <c r="Q394" s="1"/>
      <c r="R394" s="1" t="s">
        <v>3655</v>
      </c>
      <c r="S394" s="1" t="s">
        <v>3656</v>
      </c>
      <c r="T394" s="1" t="s">
        <v>107</v>
      </c>
      <c r="U394" s="1" t="s">
        <v>3657</v>
      </c>
      <c r="V394" s="1">
        <v>1</v>
      </c>
      <c r="W394" s="1">
        <v>1</v>
      </c>
      <c r="X394" s="1">
        <v>1</v>
      </c>
      <c r="Y394" s="1">
        <v>0</v>
      </c>
      <c r="Z394" s="1">
        <v>0</v>
      </c>
      <c r="AA394" s="1">
        <v>6</v>
      </c>
      <c r="AB394" s="1">
        <v>6</v>
      </c>
      <c r="AC394" s="1" t="s">
        <v>109</v>
      </c>
      <c r="AD394" s="1" t="s">
        <v>109</v>
      </c>
      <c r="AE394" s="1" t="s">
        <v>109</v>
      </c>
      <c r="AF394" s="1" t="s">
        <v>109</v>
      </c>
      <c r="AG394" s="1" t="s">
        <v>109</v>
      </c>
      <c r="AH394" s="1">
        <v>6</v>
      </c>
      <c r="AI394" s="1" t="s">
        <v>109</v>
      </c>
      <c r="AJ394" s="1" t="s">
        <v>109</v>
      </c>
      <c r="AK394" s="1" t="s">
        <v>109</v>
      </c>
      <c r="AL394" s="1" t="s">
        <v>109</v>
      </c>
      <c r="AM394" s="1" t="s">
        <v>109</v>
      </c>
      <c r="AN394" s="1" t="s">
        <v>109</v>
      </c>
      <c r="AO394" s="1" t="s">
        <v>109</v>
      </c>
      <c r="AP394" s="1"/>
      <c r="AQ394" s="1">
        <v>6</v>
      </c>
      <c r="AR394" s="1"/>
      <c r="AS394" s="1" t="s">
        <v>3658</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5" t="str">
        <f>HYPERLINK("http://www.d20pfsrd.com/magic/all-spells/p/plant-shape-i#TOC-Plant-Shape-II","Plant Shape II")</f>
        <v>Plant Shape II</v>
      </c>
      <c r="BT394" s="1">
        <v>394</v>
      </c>
      <c r="BU394" s="1" t="s">
        <v>109</v>
      </c>
      <c r="BV394" s="1"/>
      <c r="BW394" s="1"/>
      <c r="BX394" s="1"/>
      <c r="BY394" s="1"/>
      <c r="BZ394" s="1">
        <v>0</v>
      </c>
      <c r="CA394" s="1" t="s">
        <v>109</v>
      </c>
      <c r="CB394" s="1" t="s">
        <v>109</v>
      </c>
      <c r="CC394" s="1" t="s">
        <v>109</v>
      </c>
      <c r="CD394" s="1" t="s">
        <v>109</v>
      </c>
      <c r="CE394" s="1" t="s">
        <v>109</v>
      </c>
      <c r="CF394" s="1" t="s">
        <v>109</v>
      </c>
      <c r="CG394" s="1" t="s">
        <v>109</v>
      </c>
      <c r="CH394" s="1" t="s">
        <v>109</v>
      </c>
      <c r="CI394" s="1" t="s">
        <v>109</v>
      </c>
      <c r="CJ394" s="1" t="s">
        <v>109</v>
      </c>
      <c r="CK394" s="1"/>
      <c r="CL394" s="1">
        <v>0</v>
      </c>
      <c r="CM394" s="1">
        <v>0</v>
      </c>
      <c r="CN394" s="1">
        <v>0</v>
      </c>
    </row>
    <row r="395" spans="1:92" ht="14.25" customHeight="1" x14ac:dyDescent="0.15">
      <c r="A395" s="1" t="s">
        <v>3659</v>
      </c>
      <c r="B395" s="1" t="s">
        <v>189</v>
      </c>
      <c r="C395" s="1" t="s">
        <v>231</v>
      </c>
      <c r="D395" s="1"/>
      <c r="E395" s="1" t="s">
        <v>1101</v>
      </c>
      <c r="F395" s="1" t="s">
        <v>98</v>
      </c>
      <c r="G395" s="1" t="s">
        <v>234</v>
      </c>
      <c r="H395" s="1">
        <v>0</v>
      </c>
      <c r="I395" s="1" t="s">
        <v>235</v>
      </c>
      <c r="J395" s="1"/>
      <c r="K395" s="1"/>
      <c r="L395" s="1" t="s">
        <v>236</v>
      </c>
      <c r="M395" s="1" t="s">
        <v>164</v>
      </c>
      <c r="N395" s="1">
        <v>1</v>
      </c>
      <c r="O395" s="1">
        <v>0</v>
      </c>
      <c r="P395" s="1"/>
      <c r="Q395" s="1"/>
      <c r="R395" s="1" t="s">
        <v>3660</v>
      </c>
      <c r="S395" s="1" t="s">
        <v>3661</v>
      </c>
      <c r="T395" s="1" t="s">
        <v>107</v>
      </c>
      <c r="U395" s="1" t="s">
        <v>3662</v>
      </c>
      <c r="V395" s="1">
        <v>1</v>
      </c>
      <c r="W395" s="1">
        <v>1</v>
      </c>
      <c r="X395" s="1">
        <v>1</v>
      </c>
      <c r="Y395" s="1">
        <v>0</v>
      </c>
      <c r="Z395" s="1">
        <v>0</v>
      </c>
      <c r="AA395" s="1">
        <v>7</v>
      </c>
      <c r="AB395" s="1">
        <v>7</v>
      </c>
      <c r="AC395" s="1" t="s">
        <v>109</v>
      </c>
      <c r="AD395" s="1" t="s">
        <v>109</v>
      </c>
      <c r="AE395" s="1" t="s">
        <v>109</v>
      </c>
      <c r="AF395" s="1" t="s">
        <v>109</v>
      </c>
      <c r="AG395" s="1" t="s">
        <v>109</v>
      </c>
      <c r="AH395" s="1" t="s">
        <v>109</v>
      </c>
      <c r="AI395" s="1" t="s">
        <v>109</v>
      </c>
      <c r="AJ395" s="1" t="s">
        <v>109</v>
      </c>
      <c r="AK395" s="1" t="s">
        <v>109</v>
      </c>
      <c r="AL395" s="1" t="s">
        <v>109</v>
      </c>
      <c r="AM395" s="1" t="s">
        <v>109</v>
      </c>
      <c r="AN395" s="1" t="s">
        <v>109</v>
      </c>
      <c r="AO395" s="1" t="s">
        <v>109</v>
      </c>
      <c r="AP395" s="1"/>
      <c r="AQ395" s="1">
        <v>7</v>
      </c>
      <c r="AR395" s="1"/>
      <c r="AS395" s="1" t="s">
        <v>3663</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5" t="str">
        <f>HYPERLINK("http://www.d20pfsrd.com/magic/all-spells/p/plant-shape-i#TOC-Plant-Shape-III","Plant Shape III")</f>
        <v>Plant Shape III</v>
      </c>
      <c r="BT395" s="1">
        <v>395</v>
      </c>
      <c r="BU395" s="1" t="s">
        <v>109</v>
      </c>
      <c r="BV395" s="1" t="s">
        <v>3664</v>
      </c>
      <c r="BW395" s="1"/>
      <c r="BX395" s="1"/>
      <c r="BY395" s="1"/>
      <c r="BZ395" s="1">
        <v>0</v>
      </c>
      <c r="CA395" s="1" t="s">
        <v>109</v>
      </c>
      <c r="CB395" s="1" t="s">
        <v>109</v>
      </c>
      <c r="CC395" s="1" t="s">
        <v>109</v>
      </c>
      <c r="CD395" s="1" t="s">
        <v>109</v>
      </c>
      <c r="CE395" s="1" t="s">
        <v>109</v>
      </c>
      <c r="CF395" s="1" t="s">
        <v>109</v>
      </c>
      <c r="CG395" s="1" t="s">
        <v>109</v>
      </c>
      <c r="CH395" s="1" t="s">
        <v>109</v>
      </c>
      <c r="CI395" s="1" t="s">
        <v>109</v>
      </c>
      <c r="CJ395" s="1" t="s">
        <v>109</v>
      </c>
      <c r="CK395" s="1"/>
      <c r="CL395" s="1">
        <v>0</v>
      </c>
      <c r="CM395" s="1">
        <v>0</v>
      </c>
      <c r="CN395" s="1">
        <v>0</v>
      </c>
    </row>
    <row r="396" spans="1:92" ht="14.25" customHeight="1" x14ac:dyDescent="0.15">
      <c r="A396" s="1" t="s">
        <v>3665</v>
      </c>
      <c r="B396" s="1" t="s">
        <v>308</v>
      </c>
      <c r="C396" s="1"/>
      <c r="D396" s="1" t="s">
        <v>67</v>
      </c>
      <c r="E396" s="1" t="s">
        <v>3666</v>
      </c>
      <c r="F396" s="1" t="s">
        <v>98</v>
      </c>
      <c r="G396" s="1" t="s">
        <v>160</v>
      </c>
      <c r="H396" s="1">
        <v>0</v>
      </c>
      <c r="I396" s="1" t="s">
        <v>161</v>
      </c>
      <c r="J396" s="1"/>
      <c r="K396" s="1"/>
      <c r="L396" s="1" t="s">
        <v>162</v>
      </c>
      <c r="M396" s="1" t="s">
        <v>947</v>
      </c>
      <c r="N396" s="1">
        <v>0</v>
      </c>
      <c r="O396" s="1">
        <v>0</v>
      </c>
      <c r="P396" s="1" t="s">
        <v>3667</v>
      </c>
      <c r="Q396" s="1" t="s">
        <v>268</v>
      </c>
      <c r="R396" s="1" t="s">
        <v>3668</v>
      </c>
      <c r="S396" s="1" t="s">
        <v>3669</v>
      </c>
      <c r="T396" s="1" t="s">
        <v>107</v>
      </c>
      <c r="U396" s="1" t="s">
        <v>3670</v>
      </c>
      <c r="V396" s="1">
        <v>1</v>
      </c>
      <c r="W396" s="1">
        <v>1</v>
      </c>
      <c r="X396" s="1">
        <v>0</v>
      </c>
      <c r="Y396" s="1">
        <v>0</v>
      </c>
      <c r="Z396" s="1">
        <v>1</v>
      </c>
      <c r="AA396" s="1" t="s">
        <v>109</v>
      </c>
      <c r="AB396" s="1" t="s">
        <v>109</v>
      </c>
      <c r="AC396" s="1">
        <v>4</v>
      </c>
      <c r="AD396" s="1">
        <v>3</v>
      </c>
      <c r="AE396" s="1" t="s">
        <v>109</v>
      </c>
      <c r="AF396" s="1" t="s">
        <v>109</v>
      </c>
      <c r="AG396" s="1" t="s">
        <v>109</v>
      </c>
      <c r="AH396" s="1" t="s">
        <v>109</v>
      </c>
      <c r="AI396" s="1" t="s">
        <v>109</v>
      </c>
      <c r="AJ396" s="1">
        <v>4</v>
      </c>
      <c r="AK396" s="1" t="s">
        <v>109</v>
      </c>
      <c r="AL396" s="1">
        <v>4</v>
      </c>
      <c r="AM396" s="1">
        <v>4</v>
      </c>
      <c r="AN396" s="1" t="s">
        <v>109</v>
      </c>
      <c r="AO396" s="1" t="s">
        <v>109</v>
      </c>
      <c r="AP396" s="1"/>
      <c r="AQ396" s="1">
        <v>4</v>
      </c>
      <c r="AR396" s="1" t="s">
        <v>3671</v>
      </c>
      <c r="AS396" s="1" t="s">
        <v>3672</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1</v>
      </c>
      <c r="BP396" s="1">
        <v>0</v>
      </c>
      <c r="BQ396" s="1">
        <v>0</v>
      </c>
      <c r="BR396" s="1">
        <v>0</v>
      </c>
      <c r="BS396" s="5" t="str">
        <f>HYPERLINK("http://www.d20pfsrd.com/magic/all-spells/p/poison","Poison")</f>
        <v>Poison</v>
      </c>
      <c r="BT396" s="1">
        <v>396</v>
      </c>
      <c r="BU396" s="1" t="s">
        <v>109</v>
      </c>
      <c r="BV396" s="1" t="s">
        <v>3673</v>
      </c>
      <c r="BW396" s="1"/>
      <c r="BX396" s="1"/>
      <c r="BY396" s="1"/>
      <c r="BZ396" s="1">
        <v>0</v>
      </c>
      <c r="CA396" s="1" t="s">
        <v>109</v>
      </c>
      <c r="CB396" s="1">
        <v>4</v>
      </c>
      <c r="CC396" s="1" t="s">
        <v>109</v>
      </c>
      <c r="CD396" s="1" t="s">
        <v>109</v>
      </c>
      <c r="CE396" s="1">
        <v>4</v>
      </c>
      <c r="CF396" s="1">
        <v>4</v>
      </c>
      <c r="CG396" s="1" t="s">
        <v>109</v>
      </c>
      <c r="CH396" s="1" t="s">
        <v>109</v>
      </c>
      <c r="CI396" s="1" t="s">
        <v>109</v>
      </c>
      <c r="CJ396" s="1">
        <v>3</v>
      </c>
      <c r="CK396" s="1"/>
      <c r="CL396" s="1">
        <v>0</v>
      </c>
      <c r="CM396" s="1">
        <v>0</v>
      </c>
      <c r="CN396" s="1">
        <v>0</v>
      </c>
    </row>
    <row r="397" spans="1:92" ht="14.25" customHeight="1" x14ac:dyDescent="0.15">
      <c r="A397" s="1" t="s">
        <v>3674</v>
      </c>
      <c r="B397" s="1" t="s">
        <v>584</v>
      </c>
      <c r="C397" s="1"/>
      <c r="D397" s="1" t="s">
        <v>49</v>
      </c>
      <c r="E397" s="1" t="s">
        <v>2199</v>
      </c>
      <c r="F397" s="1" t="s">
        <v>98</v>
      </c>
      <c r="G397" s="1" t="s">
        <v>3675</v>
      </c>
      <c r="H397" s="1">
        <v>0</v>
      </c>
      <c r="I397" s="1" t="s">
        <v>122</v>
      </c>
      <c r="J397" s="1"/>
      <c r="K397" s="1" t="s">
        <v>1506</v>
      </c>
      <c r="L397" s="1"/>
      <c r="M397" s="1" t="s">
        <v>144</v>
      </c>
      <c r="N397" s="1">
        <v>0</v>
      </c>
      <c r="O397" s="1">
        <v>0</v>
      </c>
      <c r="P397" s="1" t="s">
        <v>103</v>
      </c>
      <c r="Q397" s="1" t="s">
        <v>268</v>
      </c>
      <c r="R397" s="1" t="s">
        <v>3676</v>
      </c>
      <c r="S397" s="1" t="s">
        <v>3677</v>
      </c>
      <c r="T397" s="1" t="s">
        <v>107</v>
      </c>
      <c r="U397" s="1" t="s">
        <v>3678</v>
      </c>
      <c r="V397" s="1">
        <v>1</v>
      </c>
      <c r="W397" s="1">
        <v>1</v>
      </c>
      <c r="X397" s="1">
        <v>0</v>
      </c>
      <c r="Y397" s="1">
        <v>0</v>
      </c>
      <c r="Z397" s="1">
        <v>0</v>
      </c>
      <c r="AA397" s="1">
        <v>8</v>
      </c>
      <c r="AB397" s="1">
        <v>8</v>
      </c>
      <c r="AC397" s="1" t="s">
        <v>109</v>
      </c>
      <c r="AD397" s="1" t="s">
        <v>109</v>
      </c>
      <c r="AE397" s="1" t="s">
        <v>109</v>
      </c>
      <c r="AF397" s="1" t="s">
        <v>109</v>
      </c>
      <c r="AG397" s="1" t="s">
        <v>109</v>
      </c>
      <c r="AH397" s="1" t="s">
        <v>109</v>
      </c>
      <c r="AI397" s="1" t="s">
        <v>109</v>
      </c>
      <c r="AJ397" s="1" t="s">
        <v>109</v>
      </c>
      <c r="AK397" s="1" t="s">
        <v>109</v>
      </c>
      <c r="AL397" s="1" t="s">
        <v>109</v>
      </c>
      <c r="AM397" s="1" t="s">
        <v>109</v>
      </c>
      <c r="AN397" s="1" t="s">
        <v>109</v>
      </c>
      <c r="AO397" s="1" t="s">
        <v>109</v>
      </c>
      <c r="AP397" s="1"/>
      <c r="AQ397" s="1">
        <v>8</v>
      </c>
      <c r="AR397" s="1" t="s">
        <v>3679</v>
      </c>
      <c r="AS397" s="1" t="s">
        <v>3680</v>
      </c>
      <c r="AT397" s="1">
        <v>0</v>
      </c>
      <c r="AU397" s="1">
        <v>0</v>
      </c>
      <c r="AV397" s="1">
        <v>0</v>
      </c>
      <c r="AW397" s="1">
        <v>1</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5" t="str">
        <f>HYPERLINK("http://www.d20pfsrd.com/magic/all-spells/p/polar-ray","Polar Ray")</f>
        <v>Polar Ray</v>
      </c>
      <c r="BT397" s="1">
        <v>397</v>
      </c>
      <c r="BU397" s="1" t="s">
        <v>109</v>
      </c>
      <c r="BV397" s="1" t="s">
        <v>3681</v>
      </c>
      <c r="BW397" s="1" t="s">
        <v>3682</v>
      </c>
      <c r="BX397" s="1" t="s">
        <v>3683</v>
      </c>
      <c r="BY397" s="1"/>
      <c r="BZ397" s="1">
        <v>1</v>
      </c>
      <c r="CA397" s="1" t="s">
        <v>109</v>
      </c>
      <c r="CB397" s="1" t="s">
        <v>109</v>
      </c>
      <c r="CC397" s="1" t="s">
        <v>109</v>
      </c>
      <c r="CD397" s="1" t="s">
        <v>109</v>
      </c>
      <c r="CE397" s="1" t="s">
        <v>109</v>
      </c>
      <c r="CF397" s="1" t="s">
        <v>109</v>
      </c>
      <c r="CG397" s="1" t="s">
        <v>109</v>
      </c>
      <c r="CH397" s="1" t="s">
        <v>109</v>
      </c>
      <c r="CI397" s="1" t="s">
        <v>109</v>
      </c>
      <c r="CJ397" s="1" t="s">
        <v>109</v>
      </c>
      <c r="CK397" s="1"/>
      <c r="CL397" s="1">
        <v>0</v>
      </c>
      <c r="CM397" s="1">
        <v>0</v>
      </c>
      <c r="CN397" s="1">
        <v>0</v>
      </c>
    </row>
    <row r="398" spans="1:92" ht="14.25" customHeight="1" x14ac:dyDescent="0.15">
      <c r="A398" s="1" t="s">
        <v>3684</v>
      </c>
      <c r="B398" s="1" t="s">
        <v>189</v>
      </c>
      <c r="C398" s="1" t="s">
        <v>231</v>
      </c>
      <c r="D398" s="1"/>
      <c r="E398" s="1" t="s">
        <v>3648</v>
      </c>
      <c r="F398" s="1" t="s">
        <v>98</v>
      </c>
      <c r="G398" s="1" t="s">
        <v>3685</v>
      </c>
      <c r="H398" s="1">
        <v>0</v>
      </c>
      <c r="I398" s="1" t="s">
        <v>161</v>
      </c>
      <c r="J398" s="1"/>
      <c r="K398" s="1"/>
      <c r="L398" s="1" t="s">
        <v>162</v>
      </c>
      <c r="M398" s="1" t="s">
        <v>1754</v>
      </c>
      <c r="N398" s="1">
        <v>1</v>
      </c>
      <c r="O398" s="1">
        <v>0</v>
      </c>
      <c r="P398" s="1" t="s">
        <v>507</v>
      </c>
      <c r="Q398" s="1" t="s">
        <v>167</v>
      </c>
      <c r="R398" s="1" t="s">
        <v>3686</v>
      </c>
      <c r="S398" s="1" t="s">
        <v>3687</v>
      </c>
      <c r="T398" s="1" t="s">
        <v>107</v>
      </c>
      <c r="U398" s="1" t="s">
        <v>3688</v>
      </c>
      <c r="V398" s="1">
        <v>1</v>
      </c>
      <c r="W398" s="1">
        <v>1</v>
      </c>
      <c r="X398" s="1">
        <v>1</v>
      </c>
      <c r="Y398" s="1">
        <v>0</v>
      </c>
      <c r="Z398" s="1">
        <v>0</v>
      </c>
      <c r="AA398" s="1">
        <v>5</v>
      </c>
      <c r="AB398" s="1">
        <v>5</v>
      </c>
      <c r="AC398" s="1" t="s">
        <v>109</v>
      </c>
      <c r="AD398" s="1" t="s">
        <v>109</v>
      </c>
      <c r="AE398" s="1" t="s">
        <v>109</v>
      </c>
      <c r="AF398" s="1" t="s">
        <v>109</v>
      </c>
      <c r="AG398" s="1" t="s">
        <v>109</v>
      </c>
      <c r="AH398" s="1">
        <v>5</v>
      </c>
      <c r="AI398" s="1" t="s">
        <v>109</v>
      </c>
      <c r="AJ398" s="1" t="s">
        <v>109</v>
      </c>
      <c r="AK398" s="1" t="s">
        <v>109</v>
      </c>
      <c r="AL398" s="1" t="s">
        <v>109</v>
      </c>
      <c r="AM398" s="1" t="s">
        <v>109</v>
      </c>
      <c r="AN398" s="1" t="s">
        <v>109</v>
      </c>
      <c r="AO398" s="1">
        <v>4</v>
      </c>
      <c r="AP398" s="1"/>
      <c r="AQ398" s="1">
        <v>5</v>
      </c>
      <c r="AR398" s="1"/>
      <c r="AS398" s="1" t="s">
        <v>3689</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5" t="str">
        <f>HYPERLINK("http://www.d20pfsrd.com/magic/all-spells/p/polymorph","Polymorph")</f>
        <v>Polymorph</v>
      </c>
      <c r="BT398" s="1">
        <v>398</v>
      </c>
      <c r="BU398" s="1" t="s">
        <v>109</v>
      </c>
      <c r="BV398" s="1"/>
      <c r="BW398" s="1" t="s">
        <v>3690</v>
      </c>
      <c r="BX398" s="1"/>
      <c r="BY398" s="1"/>
      <c r="BZ398" s="1">
        <v>0</v>
      </c>
      <c r="CA398" s="1" t="s">
        <v>109</v>
      </c>
      <c r="CB398" s="1" t="s">
        <v>109</v>
      </c>
      <c r="CC398" s="1" t="s">
        <v>109</v>
      </c>
      <c r="CD398" s="1" t="s">
        <v>109</v>
      </c>
      <c r="CE398" s="1" t="s">
        <v>109</v>
      </c>
      <c r="CF398" s="1" t="s">
        <v>109</v>
      </c>
      <c r="CG398" s="1" t="s">
        <v>109</v>
      </c>
      <c r="CH398" s="1" t="s">
        <v>109</v>
      </c>
      <c r="CI398" s="1" t="s">
        <v>109</v>
      </c>
      <c r="CJ398" s="1" t="s">
        <v>109</v>
      </c>
      <c r="CK398" s="1"/>
      <c r="CL398" s="1">
        <v>0</v>
      </c>
      <c r="CM398" s="1">
        <v>0</v>
      </c>
      <c r="CN398" s="1">
        <v>0</v>
      </c>
    </row>
    <row r="399" spans="1:92" ht="14.25" customHeight="1" x14ac:dyDescent="0.15">
      <c r="A399" s="1" t="s">
        <v>3691</v>
      </c>
      <c r="B399" s="1" t="s">
        <v>189</v>
      </c>
      <c r="C399" s="1" t="s">
        <v>231</v>
      </c>
      <c r="D399" s="1"/>
      <c r="E399" s="1" t="s">
        <v>1101</v>
      </c>
      <c r="F399" s="1" t="s">
        <v>98</v>
      </c>
      <c r="G399" s="1" t="s">
        <v>3685</v>
      </c>
      <c r="H399" s="1">
        <v>0</v>
      </c>
      <c r="I399" s="1" t="s">
        <v>161</v>
      </c>
      <c r="J399" s="1"/>
      <c r="K399" s="1"/>
      <c r="L399" s="1" t="s">
        <v>162</v>
      </c>
      <c r="M399" s="1" t="s">
        <v>1754</v>
      </c>
      <c r="N399" s="1">
        <v>1</v>
      </c>
      <c r="O399" s="1">
        <v>0</v>
      </c>
      <c r="P399" s="1" t="s">
        <v>507</v>
      </c>
      <c r="Q399" s="1" t="s">
        <v>167</v>
      </c>
      <c r="R399" s="1" t="s">
        <v>3692</v>
      </c>
      <c r="S399" s="1" t="s">
        <v>3693</v>
      </c>
      <c r="T399" s="1" t="s">
        <v>107</v>
      </c>
      <c r="U399" s="1" t="s">
        <v>3694</v>
      </c>
      <c r="V399" s="1">
        <v>1</v>
      </c>
      <c r="W399" s="1">
        <v>1</v>
      </c>
      <c r="X399" s="1">
        <v>1</v>
      </c>
      <c r="Y399" s="1">
        <v>0</v>
      </c>
      <c r="Z399" s="1">
        <v>0</v>
      </c>
      <c r="AA399" s="1">
        <v>7</v>
      </c>
      <c r="AB399" s="1">
        <v>7</v>
      </c>
      <c r="AC399" s="1" t="s">
        <v>109</v>
      </c>
      <c r="AD399" s="1" t="s">
        <v>109</v>
      </c>
      <c r="AE399" s="1" t="s">
        <v>109</v>
      </c>
      <c r="AF399" s="1" t="s">
        <v>109</v>
      </c>
      <c r="AG399" s="1" t="s">
        <v>109</v>
      </c>
      <c r="AH399" s="1" t="s">
        <v>109</v>
      </c>
      <c r="AI399" s="1" t="s">
        <v>109</v>
      </c>
      <c r="AJ399" s="1" t="s">
        <v>109</v>
      </c>
      <c r="AK399" s="1" t="s">
        <v>109</v>
      </c>
      <c r="AL399" s="1" t="s">
        <v>109</v>
      </c>
      <c r="AM399" s="1" t="s">
        <v>109</v>
      </c>
      <c r="AN399" s="1" t="s">
        <v>109</v>
      </c>
      <c r="AO399" s="1" t="s">
        <v>109</v>
      </c>
      <c r="AP399" s="1"/>
      <c r="AQ399" s="1">
        <v>7</v>
      </c>
      <c r="AR399" s="1"/>
      <c r="AS399" s="1" t="s">
        <v>3695</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5" t="str">
        <f>HYPERLINK("http://www.d20pfsrd.com/magic/all-spells/p/polymorph","Polymorph, Greater")</f>
        <v>Polymorph, Greater</v>
      </c>
      <c r="BT399" s="1">
        <v>399</v>
      </c>
      <c r="BU399" s="1" t="s">
        <v>109</v>
      </c>
      <c r="BV399" s="1" t="s">
        <v>3696</v>
      </c>
      <c r="BW399" s="1"/>
      <c r="BX399" s="1"/>
      <c r="BY399" s="1"/>
      <c r="BZ399" s="1">
        <v>0</v>
      </c>
      <c r="CA399" s="1" t="s">
        <v>109</v>
      </c>
      <c r="CB399" s="1" t="s">
        <v>109</v>
      </c>
      <c r="CC399" s="1" t="s">
        <v>109</v>
      </c>
      <c r="CD399" s="1" t="s">
        <v>109</v>
      </c>
      <c r="CE399" s="1" t="s">
        <v>109</v>
      </c>
      <c r="CF399" s="1" t="s">
        <v>109</v>
      </c>
      <c r="CG399" s="1" t="s">
        <v>109</v>
      </c>
      <c r="CH399" s="1" t="s">
        <v>109</v>
      </c>
      <c r="CI399" s="1" t="s">
        <v>109</v>
      </c>
      <c r="CJ399" s="1" t="s">
        <v>109</v>
      </c>
      <c r="CK399" s="1"/>
      <c r="CL399" s="1">
        <v>0</v>
      </c>
      <c r="CM399" s="1">
        <v>0</v>
      </c>
      <c r="CN399" s="1">
        <v>0</v>
      </c>
    </row>
    <row r="400" spans="1:92" ht="14.25" customHeight="1" x14ac:dyDescent="0.15">
      <c r="A400" s="1" t="s">
        <v>3697</v>
      </c>
      <c r="B400" s="1" t="s">
        <v>189</v>
      </c>
      <c r="C400" s="1" t="s">
        <v>231</v>
      </c>
      <c r="D400" s="1"/>
      <c r="E400" s="1" t="s">
        <v>2199</v>
      </c>
      <c r="F400" s="1" t="s">
        <v>98</v>
      </c>
      <c r="G400" s="1" t="s">
        <v>3698</v>
      </c>
      <c r="H400" s="1">
        <v>0</v>
      </c>
      <c r="I400" s="1" t="s">
        <v>142</v>
      </c>
      <c r="J400" s="1"/>
      <c r="K400" s="1"/>
      <c r="L400" s="1" t="s">
        <v>3699</v>
      </c>
      <c r="M400" s="1" t="s">
        <v>211</v>
      </c>
      <c r="N400" s="1">
        <v>0</v>
      </c>
      <c r="O400" s="1">
        <v>0</v>
      </c>
      <c r="P400" s="1" t="s">
        <v>3700</v>
      </c>
      <c r="Q400" s="1" t="s">
        <v>630</v>
      </c>
      <c r="R400" s="1" t="s">
        <v>3701</v>
      </c>
      <c r="S400" s="1" t="s">
        <v>3702</v>
      </c>
      <c r="T400" s="1" t="s">
        <v>107</v>
      </c>
      <c r="U400" s="1" t="s">
        <v>3703</v>
      </c>
      <c r="V400" s="1">
        <v>1</v>
      </c>
      <c r="W400" s="1">
        <v>1</v>
      </c>
      <c r="X400" s="1">
        <v>1</v>
      </c>
      <c r="Y400" s="1">
        <v>0</v>
      </c>
      <c r="Z400" s="1">
        <v>1</v>
      </c>
      <c r="AA400" s="1">
        <v>8</v>
      </c>
      <c r="AB400" s="1">
        <v>8</v>
      </c>
      <c r="AC400" s="1" t="s">
        <v>109</v>
      </c>
      <c r="AD400" s="1" t="s">
        <v>109</v>
      </c>
      <c r="AE400" s="1" t="s">
        <v>109</v>
      </c>
      <c r="AF400" s="1" t="s">
        <v>109</v>
      </c>
      <c r="AG400" s="1" t="s">
        <v>109</v>
      </c>
      <c r="AH400" s="1" t="s">
        <v>109</v>
      </c>
      <c r="AI400" s="1" t="s">
        <v>109</v>
      </c>
      <c r="AJ400" s="1" t="s">
        <v>109</v>
      </c>
      <c r="AK400" s="1" t="s">
        <v>109</v>
      </c>
      <c r="AL400" s="1" t="s">
        <v>109</v>
      </c>
      <c r="AM400" s="1" t="s">
        <v>109</v>
      </c>
      <c r="AN400" s="1" t="s">
        <v>109</v>
      </c>
      <c r="AO400" s="1" t="s">
        <v>109</v>
      </c>
      <c r="AP400" s="1"/>
      <c r="AQ400" s="1">
        <v>8</v>
      </c>
      <c r="AR400" s="1" t="s">
        <v>3704</v>
      </c>
      <c r="AS400" s="1" t="s">
        <v>3705</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5" t="str">
        <f>HYPERLINK("http://www.d20pfsrd.com/magic/all-spells/p/polymorph-any-object","Polymorph Any Object")</f>
        <v>Polymorph Any Object</v>
      </c>
      <c r="BT400" s="1">
        <v>400</v>
      </c>
      <c r="BU400" s="1" t="s">
        <v>109</v>
      </c>
      <c r="BV400" s="1" t="s">
        <v>3706</v>
      </c>
      <c r="BW400" s="1"/>
      <c r="BX400" s="1"/>
      <c r="BY400" s="1"/>
      <c r="BZ400" s="1">
        <v>0</v>
      </c>
      <c r="CA400" s="1" t="s">
        <v>109</v>
      </c>
      <c r="CB400" s="1" t="s">
        <v>109</v>
      </c>
      <c r="CC400" s="1" t="s">
        <v>109</v>
      </c>
      <c r="CD400" s="1" t="s">
        <v>109</v>
      </c>
      <c r="CE400" s="1" t="s">
        <v>109</v>
      </c>
      <c r="CF400" s="1" t="s">
        <v>109</v>
      </c>
      <c r="CG400" s="1" t="s">
        <v>109</v>
      </c>
      <c r="CH400" s="1" t="s">
        <v>109</v>
      </c>
      <c r="CI400" s="1" t="s">
        <v>109</v>
      </c>
      <c r="CJ400" s="1" t="s">
        <v>109</v>
      </c>
      <c r="CK400" s="1"/>
      <c r="CL400" s="1">
        <v>0</v>
      </c>
      <c r="CM400" s="1">
        <v>0</v>
      </c>
      <c r="CN400" s="1">
        <v>0</v>
      </c>
    </row>
    <row r="401" spans="1:92" ht="14.25" customHeight="1" x14ac:dyDescent="0.15">
      <c r="A401" s="1" t="s">
        <v>3707</v>
      </c>
      <c r="B401" s="1" t="s">
        <v>156</v>
      </c>
      <c r="C401" s="1" t="s">
        <v>157</v>
      </c>
      <c r="D401" s="1" t="s">
        <v>158</v>
      </c>
      <c r="E401" s="1" t="s">
        <v>2620</v>
      </c>
      <c r="F401" s="1" t="s">
        <v>98</v>
      </c>
      <c r="G401" s="1" t="s">
        <v>333</v>
      </c>
      <c r="H401" s="1">
        <v>0</v>
      </c>
      <c r="I401" s="1" t="s">
        <v>142</v>
      </c>
      <c r="J401" s="1"/>
      <c r="K401" s="1"/>
      <c r="L401" s="1" t="s">
        <v>3708</v>
      </c>
      <c r="M401" s="1" t="s">
        <v>211</v>
      </c>
      <c r="N401" s="1">
        <v>0</v>
      </c>
      <c r="O401" s="1">
        <v>0</v>
      </c>
      <c r="P401" s="1" t="s">
        <v>103</v>
      </c>
      <c r="Q401" s="1" t="s">
        <v>268</v>
      </c>
      <c r="R401" s="1" t="s">
        <v>3709</v>
      </c>
      <c r="S401" s="1" t="s">
        <v>3710</v>
      </c>
      <c r="T401" s="1" t="s">
        <v>107</v>
      </c>
      <c r="U401" s="1" t="s">
        <v>3711</v>
      </c>
      <c r="V401" s="1">
        <v>1</v>
      </c>
      <c r="W401" s="1">
        <v>0</v>
      </c>
      <c r="X401" s="1">
        <v>0</v>
      </c>
      <c r="Y401" s="1">
        <v>0</v>
      </c>
      <c r="Z401" s="1">
        <v>0</v>
      </c>
      <c r="AA401" s="1">
        <v>7</v>
      </c>
      <c r="AB401" s="1">
        <v>7</v>
      </c>
      <c r="AC401" s="1" t="s">
        <v>109</v>
      </c>
      <c r="AD401" s="1" t="s">
        <v>109</v>
      </c>
      <c r="AE401" s="1" t="s">
        <v>109</v>
      </c>
      <c r="AF401" s="1" t="s">
        <v>109</v>
      </c>
      <c r="AG401" s="1" t="s">
        <v>109</v>
      </c>
      <c r="AH401" s="1" t="s">
        <v>109</v>
      </c>
      <c r="AI401" s="1" t="s">
        <v>109</v>
      </c>
      <c r="AJ401" s="1">
        <v>7</v>
      </c>
      <c r="AK401" s="1" t="s">
        <v>109</v>
      </c>
      <c r="AL401" s="1" t="s">
        <v>109</v>
      </c>
      <c r="AM401" s="1" t="s">
        <v>109</v>
      </c>
      <c r="AN401" s="1" t="s">
        <v>109</v>
      </c>
      <c r="AO401" s="1" t="s">
        <v>109</v>
      </c>
      <c r="AP401" s="1"/>
      <c r="AQ401" s="1">
        <v>7</v>
      </c>
      <c r="AR401" s="1" t="s">
        <v>3712</v>
      </c>
      <c r="AS401" s="1" t="s">
        <v>3713</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1</v>
      </c>
      <c r="BN401" s="1">
        <v>0</v>
      </c>
      <c r="BO401" s="1">
        <v>0</v>
      </c>
      <c r="BP401" s="1">
        <v>0</v>
      </c>
      <c r="BQ401" s="1">
        <v>0</v>
      </c>
      <c r="BR401" s="1">
        <v>0</v>
      </c>
      <c r="BS401" s="5" t="str">
        <f>HYPERLINK("http://www.d20pfsrd.com/magic/all-spells/p/power-word-blind","Power Word Blind")</f>
        <v>Power Word Blind</v>
      </c>
      <c r="BT401" s="1">
        <v>401</v>
      </c>
      <c r="BU401" s="1" t="s">
        <v>109</v>
      </c>
      <c r="BV401" s="1" t="s">
        <v>3714</v>
      </c>
      <c r="BW401" s="1"/>
      <c r="BX401" s="1"/>
      <c r="BY401" s="1"/>
      <c r="BZ401" s="1">
        <v>0</v>
      </c>
      <c r="CA401" s="1" t="s">
        <v>109</v>
      </c>
      <c r="CB401" s="1" t="s">
        <v>109</v>
      </c>
      <c r="CC401" s="1">
        <v>7</v>
      </c>
      <c r="CD401" s="1" t="s">
        <v>109</v>
      </c>
      <c r="CE401" s="1">
        <v>6</v>
      </c>
      <c r="CF401" s="1" t="s">
        <v>109</v>
      </c>
      <c r="CG401" s="1" t="s">
        <v>109</v>
      </c>
      <c r="CH401" s="1" t="s">
        <v>109</v>
      </c>
      <c r="CI401" s="1" t="s">
        <v>109</v>
      </c>
      <c r="CJ401" s="1" t="s">
        <v>109</v>
      </c>
      <c r="CK401" s="1"/>
      <c r="CL401" s="1">
        <v>0</v>
      </c>
      <c r="CM401" s="1">
        <v>0</v>
      </c>
      <c r="CN401" s="1">
        <v>0</v>
      </c>
    </row>
    <row r="402" spans="1:92" ht="14.25" customHeight="1" x14ac:dyDescent="0.15">
      <c r="A402" s="1" t="s">
        <v>3715</v>
      </c>
      <c r="B402" s="1" t="s">
        <v>156</v>
      </c>
      <c r="C402" s="1" t="s">
        <v>157</v>
      </c>
      <c r="D402" s="1" t="s">
        <v>3716</v>
      </c>
      <c r="E402" s="1" t="s">
        <v>2613</v>
      </c>
      <c r="F402" s="1" t="s">
        <v>98</v>
      </c>
      <c r="G402" s="1" t="s">
        <v>333</v>
      </c>
      <c r="H402" s="1">
        <v>0</v>
      </c>
      <c r="I402" s="1" t="s">
        <v>142</v>
      </c>
      <c r="J402" s="1"/>
      <c r="K402" s="1"/>
      <c r="L402" s="1" t="s">
        <v>3717</v>
      </c>
      <c r="M402" s="1" t="s">
        <v>144</v>
      </c>
      <c r="N402" s="1">
        <v>0</v>
      </c>
      <c r="O402" s="1">
        <v>0</v>
      </c>
      <c r="P402" s="1" t="s">
        <v>103</v>
      </c>
      <c r="Q402" s="1" t="s">
        <v>268</v>
      </c>
      <c r="R402" s="1" t="s">
        <v>3718</v>
      </c>
      <c r="S402" s="1" t="s">
        <v>3719</v>
      </c>
      <c r="T402" s="1" t="s">
        <v>107</v>
      </c>
      <c r="U402" s="1" t="s">
        <v>3720</v>
      </c>
      <c r="V402" s="1">
        <v>1</v>
      </c>
      <c r="W402" s="1">
        <v>0</v>
      </c>
      <c r="X402" s="1">
        <v>0</v>
      </c>
      <c r="Y402" s="1">
        <v>0</v>
      </c>
      <c r="Z402" s="1">
        <v>0</v>
      </c>
      <c r="AA402" s="1">
        <v>9</v>
      </c>
      <c r="AB402" s="1">
        <v>9</v>
      </c>
      <c r="AC402" s="1" t="s">
        <v>109</v>
      </c>
      <c r="AD402" s="1" t="s">
        <v>109</v>
      </c>
      <c r="AE402" s="1" t="s">
        <v>109</v>
      </c>
      <c r="AF402" s="1" t="s">
        <v>109</v>
      </c>
      <c r="AG402" s="1" t="s">
        <v>109</v>
      </c>
      <c r="AH402" s="1" t="s">
        <v>109</v>
      </c>
      <c r="AI402" s="1" t="s">
        <v>109</v>
      </c>
      <c r="AJ402" s="1">
        <v>9</v>
      </c>
      <c r="AK402" s="1" t="s">
        <v>109</v>
      </c>
      <c r="AL402" s="1" t="s">
        <v>109</v>
      </c>
      <c r="AM402" s="1" t="s">
        <v>109</v>
      </c>
      <c r="AN402" s="1" t="s">
        <v>109</v>
      </c>
      <c r="AO402" s="1" t="s">
        <v>109</v>
      </c>
      <c r="AP402" s="1"/>
      <c r="AQ402" s="1">
        <v>9</v>
      </c>
      <c r="AR402" s="1" t="s">
        <v>3721</v>
      </c>
      <c r="AS402" s="1" t="s">
        <v>3722</v>
      </c>
      <c r="AT402" s="1">
        <v>0</v>
      </c>
      <c r="AU402" s="1">
        <v>0</v>
      </c>
      <c r="AV402" s="1">
        <v>0</v>
      </c>
      <c r="AW402" s="1">
        <v>0</v>
      </c>
      <c r="AX402" s="1">
        <v>0</v>
      </c>
      <c r="AY402" s="1">
        <v>0</v>
      </c>
      <c r="AZ402" s="1">
        <v>1</v>
      </c>
      <c r="BA402" s="1">
        <v>0</v>
      </c>
      <c r="BB402" s="1">
        <v>0</v>
      </c>
      <c r="BC402" s="1">
        <v>0</v>
      </c>
      <c r="BD402" s="1">
        <v>0</v>
      </c>
      <c r="BE402" s="1">
        <v>0</v>
      </c>
      <c r="BF402" s="1">
        <v>0</v>
      </c>
      <c r="BG402" s="1">
        <v>0</v>
      </c>
      <c r="BH402" s="1">
        <v>0</v>
      </c>
      <c r="BI402" s="1">
        <v>0</v>
      </c>
      <c r="BJ402" s="1">
        <v>0</v>
      </c>
      <c r="BK402" s="1">
        <v>0</v>
      </c>
      <c r="BL402" s="1">
        <v>0</v>
      </c>
      <c r="BM402" s="1">
        <v>1</v>
      </c>
      <c r="BN402" s="1">
        <v>0</v>
      </c>
      <c r="BO402" s="1">
        <v>0</v>
      </c>
      <c r="BP402" s="1">
        <v>0</v>
      </c>
      <c r="BQ402" s="1">
        <v>0</v>
      </c>
      <c r="BR402" s="1">
        <v>0</v>
      </c>
      <c r="BS402" s="5" t="str">
        <f>HYPERLINK("http://www.d20pfsrd.com/magic/all-spells/p/power-word-kill","Power Word Kill")</f>
        <v>Power Word Kill</v>
      </c>
      <c r="BT402" s="1">
        <v>402</v>
      </c>
      <c r="BU402" s="1" t="s">
        <v>109</v>
      </c>
      <c r="BV402" s="1" t="s">
        <v>3723</v>
      </c>
      <c r="BW402" s="1" t="s">
        <v>3724</v>
      </c>
      <c r="BX402" s="1" t="s">
        <v>3725</v>
      </c>
      <c r="BY402" s="1" t="s">
        <v>3726</v>
      </c>
      <c r="BZ402" s="1">
        <v>1</v>
      </c>
      <c r="CA402" s="1" t="s">
        <v>109</v>
      </c>
      <c r="CB402" s="1" t="s">
        <v>109</v>
      </c>
      <c r="CC402" s="1">
        <v>9</v>
      </c>
      <c r="CD402" s="1" t="s">
        <v>109</v>
      </c>
      <c r="CE402" s="1" t="s">
        <v>109</v>
      </c>
      <c r="CF402" s="1" t="s">
        <v>109</v>
      </c>
      <c r="CG402" s="1" t="s">
        <v>109</v>
      </c>
      <c r="CH402" s="1" t="s">
        <v>109</v>
      </c>
      <c r="CI402" s="1" t="s">
        <v>109</v>
      </c>
      <c r="CJ402" s="1" t="s">
        <v>109</v>
      </c>
      <c r="CK402" s="1"/>
      <c r="CL402" s="1">
        <v>0</v>
      </c>
      <c r="CM402" s="1">
        <v>0</v>
      </c>
      <c r="CN402" s="1">
        <v>0</v>
      </c>
    </row>
    <row r="403" spans="1:92" ht="14.25" customHeight="1" x14ac:dyDescent="0.15">
      <c r="A403" s="1" t="s">
        <v>3727</v>
      </c>
      <c r="B403" s="1" t="s">
        <v>156</v>
      </c>
      <c r="C403" s="1" t="s">
        <v>157</v>
      </c>
      <c r="D403" s="1" t="s">
        <v>158</v>
      </c>
      <c r="E403" s="1" t="s">
        <v>3384</v>
      </c>
      <c r="F403" s="1" t="s">
        <v>98</v>
      </c>
      <c r="G403" s="1" t="s">
        <v>333</v>
      </c>
      <c r="H403" s="1">
        <v>0</v>
      </c>
      <c r="I403" s="1" t="s">
        <v>142</v>
      </c>
      <c r="J403" s="1"/>
      <c r="K403" s="1"/>
      <c r="L403" s="1" t="s">
        <v>3728</v>
      </c>
      <c r="M403" s="1" t="s">
        <v>3729</v>
      </c>
      <c r="N403" s="1">
        <v>0</v>
      </c>
      <c r="O403" s="1">
        <v>0</v>
      </c>
      <c r="P403" s="1" t="s">
        <v>103</v>
      </c>
      <c r="Q403" s="1" t="s">
        <v>268</v>
      </c>
      <c r="R403" s="1" t="s">
        <v>3730</v>
      </c>
      <c r="S403" s="1" t="s">
        <v>3731</v>
      </c>
      <c r="T403" s="1" t="s">
        <v>107</v>
      </c>
      <c r="U403" s="1" t="s">
        <v>3732</v>
      </c>
      <c r="V403" s="1">
        <v>1</v>
      </c>
      <c r="W403" s="1">
        <v>0</v>
      </c>
      <c r="X403" s="1">
        <v>0</v>
      </c>
      <c r="Y403" s="1">
        <v>0</v>
      </c>
      <c r="Z403" s="1">
        <v>0</v>
      </c>
      <c r="AA403" s="1">
        <v>8</v>
      </c>
      <c r="AB403" s="1">
        <v>8</v>
      </c>
      <c r="AC403" s="1" t="s">
        <v>109</v>
      </c>
      <c r="AD403" s="1" t="s">
        <v>109</v>
      </c>
      <c r="AE403" s="1" t="s">
        <v>109</v>
      </c>
      <c r="AF403" s="1" t="s">
        <v>109</v>
      </c>
      <c r="AG403" s="1" t="s">
        <v>109</v>
      </c>
      <c r="AH403" s="1" t="s">
        <v>109</v>
      </c>
      <c r="AI403" s="1" t="s">
        <v>109</v>
      </c>
      <c r="AJ403" s="1">
        <v>8</v>
      </c>
      <c r="AK403" s="1" t="s">
        <v>109</v>
      </c>
      <c r="AL403" s="1" t="s">
        <v>109</v>
      </c>
      <c r="AM403" s="1" t="s">
        <v>109</v>
      </c>
      <c r="AN403" s="1" t="s">
        <v>109</v>
      </c>
      <c r="AO403" s="1" t="s">
        <v>109</v>
      </c>
      <c r="AP403" s="1"/>
      <c r="AQ403" s="1">
        <v>8</v>
      </c>
      <c r="AR403" s="1" t="s">
        <v>3733</v>
      </c>
      <c r="AS403" s="1" t="s">
        <v>3734</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1</v>
      </c>
      <c r="BN403" s="1">
        <v>0</v>
      </c>
      <c r="BO403" s="1">
        <v>0</v>
      </c>
      <c r="BP403" s="1">
        <v>0</v>
      </c>
      <c r="BQ403" s="1">
        <v>0</v>
      </c>
      <c r="BR403" s="1">
        <v>0</v>
      </c>
      <c r="BS403" s="5" t="str">
        <f>HYPERLINK("http://www.d20pfsrd.com/magic/all-spells/p/power-word-stun","Power Word Stun")</f>
        <v>Power Word Stun</v>
      </c>
      <c r="BT403" s="1">
        <v>403</v>
      </c>
      <c r="BU403" s="1" t="s">
        <v>109</v>
      </c>
      <c r="BV403" s="1" t="s">
        <v>3735</v>
      </c>
      <c r="BW403" s="1"/>
      <c r="BX403" s="1"/>
      <c r="BY403" s="1"/>
      <c r="BZ403" s="1">
        <v>0</v>
      </c>
      <c r="CA403" s="1" t="s">
        <v>109</v>
      </c>
      <c r="CB403" s="1" t="s">
        <v>109</v>
      </c>
      <c r="CC403" s="1">
        <v>8</v>
      </c>
      <c r="CD403" s="1" t="s">
        <v>109</v>
      </c>
      <c r="CE403" s="1" t="s">
        <v>109</v>
      </c>
      <c r="CF403" s="1" t="s">
        <v>109</v>
      </c>
      <c r="CG403" s="1" t="s">
        <v>109</v>
      </c>
      <c r="CH403" s="1" t="s">
        <v>109</v>
      </c>
      <c r="CI403" s="1" t="s">
        <v>109</v>
      </c>
      <c r="CJ403" s="1" t="s">
        <v>109</v>
      </c>
      <c r="CK403" s="1"/>
      <c r="CL403" s="1">
        <v>0</v>
      </c>
      <c r="CM403" s="1">
        <v>0</v>
      </c>
      <c r="CN403" s="1">
        <v>0</v>
      </c>
    </row>
    <row r="404" spans="1:92" ht="14.25" customHeight="1" x14ac:dyDescent="0.15">
      <c r="A404" s="1" t="s">
        <v>3736</v>
      </c>
      <c r="B404" s="1" t="s">
        <v>156</v>
      </c>
      <c r="C404" s="1" t="s">
        <v>157</v>
      </c>
      <c r="D404" s="1" t="s">
        <v>158</v>
      </c>
      <c r="E404" s="1" t="s">
        <v>3737</v>
      </c>
      <c r="F404" s="1" t="s">
        <v>98</v>
      </c>
      <c r="G404" s="1" t="s">
        <v>160</v>
      </c>
      <c r="H404" s="1">
        <v>0</v>
      </c>
      <c r="I404" s="1" t="s">
        <v>600</v>
      </c>
      <c r="J404" s="1" t="s">
        <v>3738</v>
      </c>
      <c r="K404" s="1"/>
      <c r="L404" s="1"/>
      <c r="M404" s="1" t="s">
        <v>125</v>
      </c>
      <c r="N404" s="1">
        <v>0</v>
      </c>
      <c r="O404" s="1">
        <v>0</v>
      </c>
      <c r="P404" s="1" t="s">
        <v>103</v>
      </c>
      <c r="Q404" s="1" t="s">
        <v>268</v>
      </c>
      <c r="R404" s="1" t="s">
        <v>3739</v>
      </c>
      <c r="S404" s="1" t="s">
        <v>3740</v>
      </c>
      <c r="T404" s="1" t="s">
        <v>107</v>
      </c>
      <c r="U404" s="1" t="s">
        <v>3741</v>
      </c>
      <c r="V404" s="1">
        <v>1</v>
      </c>
      <c r="W404" s="1">
        <v>1</v>
      </c>
      <c r="X404" s="1">
        <v>0</v>
      </c>
      <c r="Y404" s="1">
        <v>0</v>
      </c>
      <c r="Z404" s="1">
        <v>1</v>
      </c>
      <c r="AA404" s="1" t="s">
        <v>109</v>
      </c>
      <c r="AB404" s="1" t="s">
        <v>109</v>
      </c>
      <c r="AC404" s="1">
        <v>3</v>
      </c>
      <c r="AD404" s="1" t="s">
        <v>109</v>
      </c>
      <c r="AE404" s="1" t="s">
        <v>109</v>
      </c>
      <c r="AF404" s="1" t="s">
        <v>109</v>
      </c>
      <c r="AG404" s="1">
        <v>3</v>
      </c>
      <c r="AH404" s="1" t="s">
        <v>109</v>
      </c>
      <c r="AI404" s="1" t="s">
        <v>109</v>
      </c>
      <c r="AJ404" s="1" t="s">
        <v>109</v>
      </c>
      <c r="AK404" s="1">
        <v>3</v>
      </c>
      <c r="AL404" s="1">
        <v>3</v>
      </c>
      <c r="AM404" s="1" t="s">
        <v>109</v>
      </c>
      <c r="AN404" s="1" t="s">
        <v>109</v>
      </c>
      <c r="AO404" s="1" t="s">
        <v>109</v>
      </c>
      <c r="AP404" s="1"/>
      <c r="AQ404" s="1">
        <v>3</v>
      </c>
      <c r="AR404" s="1" t="s">
        <v>3742</v>
      </c>
      <c r="AS404" s="1" t="s">
        <v>3743</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1</v>
      </c>
      <c r="BN404" s="1">
        <v>0</v>
      </c>
      <c r="BO404" s="1">
        <v>0</v>
      </c>
      <c r="BP404" s="1">
        <v>0</v>
      </c>
      <c r="BQ404" s="1">
        <v>0</v>
      </c>
      <c r="BR404" s="1">
        <v>0</v>
      </c>
      <c r="BS404" s="5" t="str">
        <f>HYPERLINK("http://www.d20pfsrd.com/magic/all-spells/p/prayer","Prayer")</f>
        <v>Prayer</v>
      </c>
      <c r="BT404" s="1">
        <v>404</v>
      </c>
      <c r="BU404" s="1" t="s">
        <v>109</v>
      </c>
      <c r="BV404" s="1"/>
      <c r="BW404" s="1" t="s">
        <v>3744</v>
      </c>
      <c r="BX404" s="1" t="s">
        <v>3745</v>
      </c>
      <c r="BY404" s="1"/>
      <c r="BZ404" s="1">
        <v>1</v>
      </c>
      <c r="CA404" s="1" t="s">
        <v>109</v>
      </c>
      <c r="CB404" s="1" t="s">
        <v>109</v>
      </c>
      <c r="CC404" s="1" t="s">
        <v>109</v>
      </c>
      <c r="CD404" s="1" t="s">
        <v>109</v>
      </c>
      <c r="CE404" s="1" t="s">
        <v>109</v>
      </c>
      <c r="CF404" s="1" t="s">
        <v>109</v>
      </c>
      <c r="CG404" s="1" t="s">
        <v>109</v>
      </c>
      <c r="CH404" s="1" t="s">
        <v>109</v>
      </c>
      <c r="CI404" s="1" t="s">
        <v>109</v>
      </c>
      <c r="CJ404" s="1" t="s">
        <v>109</v>
      </c>
      <c r="CK404" s="1"/>
      <c r="CL404" s="1">
        <v>0</v>
      </c>
      <c r="CM404" s="1">
        <v>0</v>
      </c>
      <c r="CN404" s="1">
        <v>0</v>
      </c>
    </row>
    <row r="405" spans="1:92" ht="14.25" customHeight="1" x14ac:dyDescent="0.15">
      <c r="A405" s="1" t="s">
        <v>3746</v>
      </c>
      <c r="B405" s="1" t="s">
        <v>415</v>
      </c>
      <c r="C405" s="1"/>
      <c r="D405" s="1"/>
      <c r="E405" s="1" t="s">
        <v>3747</v>
      </c>
      <c r="F405" s="1" t="s">
        <v>98</v>
      </c>
      <c r="G405" s="1" t="s">
        <v>141</v>
      </c>
      <c r="H405" s="1">
        <v>0</v>
      </c>
      <c r="I405" s="1" t="s">
        <v>356</v>
      </c>
      <c r="J405" s="1" t="s">
        <v>211</v>
      </c>
      <c r="K405" s="1" t="s">
        <v>211</v>
      </c>
      <c r="L405" s="1" t="s">
        <v>211</v>
      </c>
      <c r="M405" s="1" t="s">
        <v>377</v>
      </c>
      <c r="N405" s="1">
        <v>0</v>
      </c>
      <c r="O405" s="1">
        <v>0</v>
      </c>
      <c r="P405" s="1" t="s">
        <v>211</v>
      </c>
      <c r="Q405" s="1" t="s">
        <v>104</v>
      </c>
      <c r="R405" s="1" t="s">
        <v>3748</v>
      </c>
      <c r="S405" s="1" t="s">
        <v>3749</v>
      </c>
      <c r="T405" s="1" t="s">
        <v>107</v>
      </c>
      <c r="U405" s="1" t="s">
        <v>3750</v>
      </c>
      <c r="V405" s="1">
        <v>1</v>
      </c>
      <c r="W405" s="1">
        <v>1</v>
      </c>
      <c r="X405" s="1">
        <v>0</v>
      </c>
      <c r="Y405" s="1">
        <v>0</v>
      </c>
      <c r="Z405" s="1">
        <v>0</v>
      </c>
      <c r="AA405" s="1">
        <v>0</v>
      </c>
      <c r="AB405" s="1">
        <v>0</v>
      </c>
      <c r="AC405" s="1" t="s">
        <v>109</v>
      </c>
      <c r="AD405" s="1" t="s">
        <v>109</v>
      </c>
      <c r="AE405" s="1" t="s">
        <v>109</v>
      </c>
      <c r="AF405" s="1">
        <v>0</v>
      </c>
      <c r="AG405" s="1" t="s">
        <v>109</v>
      </c>
      <c r="AH405" s="1" t="s">
        <v>109</v>
      </c>
      <c r="AI405" s="1" t="s">
        <v>109</v>
      </c>
      <c r="AJ405" s="1" t="s">
        <v>109</v>
      </c>
      <c r="AK405" s="1" t="s">
        <v>109</v>
      </c>
      <c r="AL405" s="1" t="s">
        <v>109</v>
      </c>
      <c r="AM405" s="1" t="s">
        <v>109</v>
      </c>
      <c r="AN405" s="1">
        <v>0</v>
      </c>
      <c r="AO405" s="1" t="s">
        <v>109</v>
      </c>
      <c r="AP405" s="1"/>
      <c r="AQ405" s="1">
        <v>0</v>
      </c>
      <c r="AR405" s="1"/>
      <c r="AS405" s="1" t="s">
        <v>3751</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5" t="str">
        <f>HYPERLINK("http://www.d20pfsrd.com/magic/all-spells/p/prestidigitation","Prestidigitation")</f>
        <v>Prestidigitation</v>
      </c>
      <c r="BT405" s="1">
        <v>405</v>
      </c>
      <c r="BU405" s="1" t="s">
        <v>109</v>
      </c>
      <c r="BV405" s="1"/>
      <c r="BW405" s="1"/>
      <c r="BX405" s="1"/>
      <c r="BY405" s="1"/>
      <c r="BZ405" s="1">
        <v>0</v>
      </c>
      <c r="CA405" s="1" t="s">
        <v>109</v>
      </c>
      <c r="CB405" s="1" t="s">
        <v>109</v>
      </c>
      <c r="CC405" s="1">
        <v>0</v>
      </c>
      <c r="CD405" s="1" t="s">
        <v>109</v>
      </c>
      <c r="CE405" s="1">
        <v>0</v>
      </c>
      <c r="CF405" s="1" t="s">
        <v>109</v>
      </c>
      <c r="CG405" s="1" t="s">
        <v>109</v>
      </c>
      <c r="CH405" s="1" t="s">
        <v>109</v>
      </c>
      <c r="CI405" s="1" t="s">
        <v>109</v>
      </c>
      <c r="CJ405" s="1" t="s">
        <v>109</v>
      </c>
      <c r="CK405" s="1"/>
      <c r="CL405" s="1">
        <v>0</v>
      </c>
      <c r="CM405" s="1">
        <v>0</v>
      </c>
      <c r="CN405" s="1">
        <v>0</v>
      </c>
    </row>
    <row r="406" spans="1:92" ht="14.25" customHeight="1" x14ac:dyDescent="0.15">
      <c r="A406" s="1" t="s">
        <v>3752</v>
      </c>
      <c r="B406" s="1" t="s">
        <v>242</v>
      </c>
      <c r="C406" s="1"/>
      <c r="D406" s="1"/>
      <c r="E406" s="1" t="s">
        <v>3283</v>
      </c>
      <c r="F406" s="1" t="s">
        <v>98</v>
      </c>
      <c r="G406" s="1" t="s">
        <v>333</v>
      </c>
      <c r="H406" s="1">
        <v>0</v>
      </c>
      <c r="I406" s="1" t="s">
        <v>356</v>
      </c>
      <c r="J406" s="1"/>
      <c r="K406" s="1" t="s">
        <v>3753</v>
      </c>
      <c r="L406" s="1"/>
      <c r="M406" s="1" t="s">
        <v>367</v>
      </c>
      <c r="N406" s="1">
        <v>1</v>
      </c>
      <c r="O406" s="1">
        <v>0</v>
      </c>
      <c r="P406" s="1" t="s">
        <v>211</v>
      </c>
      <c r="Q406" s="1" t="s">
        <v>211</v>
      </c>
      <c r="R406" s="1" t="s">
        <v>3754</v>
      </c>
      <c r="S406" s="1" t="s">
        <v>3755</v>
      </c>
      <c r="T406" s="1" t="s">
        <v>107</v>
      </c>
      <c r="U406" s="1" t="s">
        <v>3756</v>
      </c>
      <c r="V406" s="1">
        <v>1</v>
      </c>
      <c r="W406" s="1">
        <v>0</v>
      </c>
      <c r="X406" s="1">
        <v>0</v>
      </c>
      <c r="Y406" s="1">
        <v>0</v>
      </c>
      <c r="Z406" s="1">
        <v>0</v>
      </c>
      <c r="AA406" s="1">
        <v>9</v>
      </c>
      <c r="AB406" s="1">
        <v>9</v>
      </c>
      <c r="AC406" s="1" t="s">
        <v>109</v>
      </c>
      <c r="AD406" s="1" t="s">
        <v>109</v>
      </c>
      <c r="AE406" s="1" t="s">
        <v>109</v>
      </c>
      <c r="AF406" s="1" t="s">
        <v>109</v>
      </c>
      <c r="AG406" s="1" t="s">
        <v>109</v>
      </c>
      <c r="AH406" s="1" t="s">
        <v>109</v>
      </c>
      <c r="AI406" s="1" t="s">
        <v>109</v>
      </c>
      <c r="AJ406" s="1" t="s">
        <v>109</v>
      </c>
      <c r="AK406" s="1" t="s">
        <v>109</v>
      </c>
      <c r="AL406" s="1" t="s">
        <v>109</v>
      </c>
      <c r="AM406" s="1" t="s">
        <v>109</v>
      </c>
      <c r="AN406" s="1" t="s">
        <v>109</v>
      </c>
      <c r="AO406" s="1" t="s">
        <v>109</v>
      </c>
      <c r="AP406" s="1"/>
      <c r="AQ406" s="1">
        <v>9</v>
      </c>
      <c r="AR406" s="1" t="s">
        <v>3757</v>
      </c>
      <c r="AS406" s="1" t="s">
        <v>3758</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5" t="str">
        <f>HYPERLINK("http://www.d20pfsrd.com/magic/all-spells/p/prismatic-sphere","Prismatic Sphere")</f>
        <v>Prismatic Sphere</v>
      </c>
      <c r="BT406" s="1">
        <v>406</v>
      </c>
      <c r="BU406" s="1" t="s">
        <v>109</v>
      </c>
      <c r="BV406" s="1"/>
      <c r="BW406" s="1"/>
      <c r="BX406" s="1" t="s">
        <v>3759</v>
      </c>
      <c r="BY406" s="1"/>
      <c r="BZ406" s="1">
        <v>1</v>
      </c>
      <c r="CA406" s="1" t="s">
        <v>109</v>
      </c>
      <c r="CB406" s="1" t="s">
        <v>109</v>
      </c>
      <c r="CC406" s="1" t="s">
        <v>109</v>
      </c>
      <c r="CD406" s="1" t="s">
        <v>109</v>
      </c>
      <c r="CE406" s="1" t="s">
        <v>109</v>
      </c>
      <c r="CF406" s="1" t="s">
        <v>109</v>
      </c>
      <c r="CG406" s="1" t="s">
        <v>109</v>
      </c>
      <c r="CH406" s="1" t="s">
        <v>109</v>
      </c>
      <c r="CI406" s="1" t="s">
        <v>109</v>
      </c>
      <c r="CJ406" s="1" t="s">
        <v>109</v>
      </c>
      <c r="CK406" s="1"/>
      <c r="CL406" s="1">
        <v>0</v>
      </c>
      <c r="CM406" s="1">
        <v>0</v>
      </c>
      <c r="CN406" s="1">
        <v>0</v>
      </c>
    </row>
    <row r="407" spans="1:92" ht="14.25" customHeight="1" x14ac:dyDescent="0.15">
      <c r="A407" s="1" t="s">
        <v>3760</v>
      </c>
      <c r="B407" s="1" t="s">
        <v>584</v>
      </c>
      <c r="C407" s="1"/>
      <c r="D407" s="1"/>
      <c r="E407" s="1" t="s">
        <v>1101</v>
      </c>
      <c r="F407" s="1" t="s">
        <v>98</v>
      </c>
      <c r="G407" s="1" t="s">
        <v>141</v>
      </c>
      <c r="H407" s="1">
        <v>0</v>
      </c>
      <c r="I407" s="1" t="s">
        <v>1016</v>
      </c>
      <c r="J407" s="1" t="s">
        <v>726</v>
      </c>
      <c r="K407" s="1"/>
      <c r="L407" s="1"/>
      <c r="M407" s="1" t="s">
        <v>144</v>
      </c>
      <c r="N407" s="1">
        <v>0</v>
      </c>
      <c r="O407" s="1">
        <v>0</v>
      </c>
      <c r="P407" s="1" t="s">
        <v>211</v>
      </c>
      <c r="Q407" s="1" t="s">
        <v>268</v>
      </c>
      <c r="R407" s="1" t="s">
        <v>3761</v>
      </c>
      <c r="S407" s="1" t="s">
        <v>3762</v>
      </c>
      <c r="T407" s="1" t="s">
        <v>107</v>
      </c>
      <c r="U407" s="1" t="s">
        <v>3763</v>
      </c>
      <c r="V407" s="1">
        <v>1</v>
      </c>
      <c r="W407" s="1">
        <v>1</v>
      </c>
      <c r="X407" s="1">
        <v>0</v>
      </c>
      <c r="Y407" s="1">
        <v>0</v>
      </c>
      <c r="Z407" s="1">
        <v>0</v>
      </c>
      <c r="AA407" s="1">
        <v>7</v>
      </c>
      <c r="AB407" s="1">
        <v>7</v>
      </c>
      <c r="AC407" s="1" t="s">
        <v>109</v>
      </c>
      <c r="AD407" s="1" t="s">
        <v>109</v>
      </c>
      <c r="AE407" s="1" t="s">
        <v>109</v>
      </c>
      <c r="AF407" s="1" t="s">
        <v>109</v>
      </c>
      <c r="AG407" s="1" t="s">
        <v>109</v>
      </c>
      <c r="AH407" s="1" t="s">
        <v>109</v>
      </c>
      <c r="AI407" s="1" t="s">
        <v>109</v>
      </c>
      <c r="AJ407" s="1" t="s">
        <v>109</v>
      </c>
      <c r="AK407" s="1" t="s">
        <v>109</v>
      </c>
      <c r="AL407" s="1" t="s">
        <v>109</v>
      </c>
      <c r="AM407" s="1" t="s">
        <v>109</v>
      </c>
      <c r="AN407" s="1" t="s">
        <v>109</v>
      </c>
      <c r="AO407" s="1" t="s">
        <v>109</v>
      </c>
      <c r="AP407" s="1"/>
      <c r="AQ407" s="1">
        <v>7</v>
      </c>
      <c r="AR407" s="1"/>
      <c r="AS407" s="1" t="s">
        <v>3764</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5" t="str">
        <f>HYPERLINK("http://www.d20pfsrd.com/magic/all-spells/p/prismatic-spray","Prismatic Spray")</f>
        <v>Prismatic Spray</v>
      </c>
      <c r="BT407" s="1">
        <v>407</v>
      </c>
      <c r="BU407" s="1" t="s">
        <v>109</v>
      </c>
      <c r="BV407" s="1"/>
      <c r="BW407" s="1"/>
      <c r="BX407" s="1" t="s">
        <v>3765</v>
      </c>
      <c r="BY407" s="1" t="s">
        <v>3766</v>
      </c>
      <c r="BZ407" s="1">
        <v>1</v>
      </c>
      <c r="CA407" s="1" t="s">
        <v>109</v>
      </c>
      <c r="CB407" s="1" t="s">
        <v>109</v>
      </c>
      <c r="CC407" s="1" t="s">
        <v>109</v>
      </c>
      <c r="CD407" s="1" t="s">
        <v>109</v>
      </c>
      <c r="CE407" s="1" t="s">
        <v>109</v>
      </c>
      <c r="CF407" s="1" t="s">
        <v>109</v>
      </c>
      <c r="CG407" s="1" t="s">
        <v>109</v>
      </c>
      <c r="CH407" s="1" t="s">
        <v>109</v>
      </c>
      <c r="CI407" s="1" t="s">
        <v>109</v>
      </c>
      <c r="CJ407" s="1" t="s">
        <v>109</v>
      </c>
      <c r="CK407" s="1"/>
      <c r="CL407" s="1">
        <v>0</v>
      </c>
      <c r="CM407" s="1">
        <v>0</v>
      </c>
      <c r="CN407" s="1">
        <v>0</v>
      </c>
    </row>
    <row r="408" spans="1:92" ht="14.25" customHeight="1" x14ac:dyDescent="0.15">
      <c r="A408" s="1" t="s">
        <v>3767</v>
      </c>
      <c r="B408" s="1" t="s">
        <v>242</v>
      </c>
      <c r="C408" s="1"/>
      <c r="D408" s="1"/>
      <c r="E408" s="1" t="s">
        <v>904</v>
      </c>
      <c r="F408" s="1" t="s">
        <v>98</v>
      </c>
      <c r="G408" s="1" t="s">
        <v>141</v>
      </c>
      <c r="H408" s="1">
        <v>0</v>
      </c>
      <c r="I408" s="1" t="s">
        <v>142</v>
      </c>
      <c r="J408" s="1"/>
      <c r="K408" s="1" t="s">
        <v>3768</v>
      </c>
      <c r="L408" s="1"/>
      <c r="M408" s="1" t="s">
        <v>194</v>
      </c>
      <c r="N408" s="1">
        <v>1</v>
      </c>
      <c r="O408" s="1">
        <v>0</v>
      </c>
      <c r="P408" s="1" t="s">
        <v>211</v>
      </c>
      <c r="Q408" s="1" t="s">
        <v>211</v>
      </c>
      <c r="R408" s="1" t="s">
        <v>3769</v>
      </c>
      <c r="S408" s="1" t="s">
        <v>3770</v>
      </c>
      <c r="T408" s="1" t="s">
        <v>107</v>
      </c>
      <c r="U408" s="1" t="s">
        <v>3771</v>
      </c>
      <c r="V408" s="1">
        <v>1</v>
      </c>
      <c r="W408" s="1">
        <v>1</v>
      </c>
      <c r="X408" s="1">
        <v>0</v>
      </c>
      <c r="Y408" s="1">
        <v>0</v>
      </c>
      <c r="Z408" s="1">
        <v>0</v>
      </c>
      <c r="AA408" s="1">
        <v>8</v>
      </c>
      <c r="AB408" s="1">
        <v>8</v>
      </c>
      <c r="AC408" s="1" t="s">
        <v>109</v>
      </c>
      <c r="AD408" s="1" t="s">
        <v>109</v>
      </c>
      <c r="AE408" s="1" t="s">
        <v>109</v>
      </c>
      <c r="AF408" s="1" t="s">
        <v>109</v>
      </c>
      <c r="AG408" s="1" t="s">
        <v>109</v>
      </c>
      <c r="AH408" s="1" t="s">
        <v>109</v>
      </c>
      <c r="AI408" s="1" t="s">
        <v>109</v>
      </c>
      <c r="AJ408" s="1" t="s">
        <v>109</v>
      </c>
      <c r="AK408" s="1" t="s">
        <v>109</v>
      </c>
      <c r="AL408" s="1" t="s">
        <v>109</v>
      </c>
      <c r="AM408" s="1" t="s">
        <v>109</v>
      </c>
      <c r="AN408" s="1" t="s">
        <v>109</v>
      </c>
      <c r="AO408" s="1" t="s">
        <v>109</v>
      </c>
      <c r="AP408" s="1"/>
      <c r="AQ408" s="1">
        <v>8</v>
      </c>
      <c r="AR408" s="1" t="s">
        <v>3772</v>
      </c>
      <c r="AS408" s="1" t="s">
        <v>3773</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5" t="str">
        <f>HYPERLINK("http://www.d20pfsrd.com/magic/all-spells/p/prismatic-wall","Prismatic Wall")</f>
        <v>Prismatic Wall</v>
      </c>
      <c r="BT408" s="1">
        <v>408</v>
      </c>
      <c r="BU408" s="1" t="s">
        <v>109</v>
      </c>
      <c r="BV408" s="1"/>
      <c r="BW408" s="1"/>
      <c r="BX408" s="1"/>
      <c r="BY408" s="1"/>
      <c r="BZ408" s="1">
        <v>0</v>
      </c>
      <c r="CA408" s="1" t="s">
        <v>109</v>
      </c>
      <c r="CB408" s="1" t="s">
        <v>109</v>
      </c>
      <c r="CC408" s="1">
        <v>8</v>
      </c>
      <c r="CD408" s="1" t="s">
        <v>109</v>
      </c>
      <c r="CE408" s="1" t="s">
        <v>109</v>
      </c>
      <c r="CF408" s="1" t="s">
        <v>109</v>
      </c>
      <c r="CG408" s="1" t="s">
        <v>109</v>
      </c>
      <c r="CH408" s="1" t="s">
        <v>109</v>
      </c>
      <c r="CI408" s="1" t="s">
        <v>109</v>
      </c>
      <c r="CJ408" s="1" t="s">
        <v>109</v>
      </c>
      <c r="CK408" s="1"/>
      <c r="CL408" s="1">
        <v>0</v>
      </c>
      <c r="CM408" s="1">
        <v>0</v>
      </c>
      <c r="CN408" s="1">
        <v>0</v>
      </c>
    </row>
    <row r="409" spans="1:92" ht="14.25" customHeight="1" x14ac:dyDescent="0.15">
      <c r="A409" s="1" t="s">
        <v>3774</v>
      </c>
      <c r="B409" s="1" t="s">
        <v>254</v>
      </c>
      <c r="C409" s="1"/>
      <c r="D409" s="1"/>
      <c r="E409" s="1" t="s">
        <v>3384</v>
      </c>
      <c r="F409" s="1" t="s">
        <v>277</v>
      </c>
      <c r="G409" s="1" t="s">
        <v>3775</v>
      </c>
      <c r="H409" s="1">
        <v>0</v>
      </c>
      <c r="I409" s="1" t="s">
        <v>3776</v>
      </c>
      <c r="J409" s="1"/>
      <c r="K409" s="1" t="s">
        <v>3777</v>
      </c>
      <c r="L409" s="1"/>
      <c r="M409" s="1" t="s">
        <v>3778</v>
      </c>
      <c r="N409" s="1">
        <v>1</v>
      </c>
      <c r="O409" s="1">
        <v>0</v>
      </c>
      <c r="P409" s="1" t="s">
        <v>103</v>
      </c>
      <c r="Q409" s="1" t="s">
        <v>104</v>
      </c>
      <c r="R409" s="1" t="s">
        <v>3779</v>
      </c>
      <c r="S409" s="1" t="s">
        <v>3780</v>
      </c>
      <c r="T409" s="1" t="s">
        <v>107</v>
      </c>
      <c r="U409" s="1" t="s">
        <v>3781</v>
      </c>
      <c r="V409" s="1">
        <v>1</v>
      </c>
      <c r="W409" s="1">
        <v>1</v>
      </c>
      <c r="X409" s="1">
        <v>1</v>
      </c>
      <c r="Y409" s="1">
        <v>0</v>
      </c>
      <c r="Z409" s="1">
        <v>0</v>
      </c>
      <c r="AA409" s="1">
        <v>8</v>
      </c>
      <c r="AB409" s="1">
        <v>8</v>
      </c>
      <c r="AC409" s="1" t="s">
        <v>109</v>
      </c>
      <c r="AD409" s="1" t="s">
        <v>109</v>
      </c>
      <c r="AE409" s="1" t="s">
        <v>109</v>
      </c>
      <c r="AF409" s="1" t="s">
        <v>109</v>
      </c>
      <c r="AG409" s="1" t="s">
        <v>109</v>
      </c>
      <c r="AH409" s="1" t="s">
        <v>109</v>
      </c>
      <c r="AI409" s="1" t="s">
        <v>109</v>
      </c>
      <c r="AJ409" s="1">
        <v>8</v>
      </c>
      <c r="AK409" s="1" t="s">
        <v>109</v>
      </c>
      <c r="AL409" s="1" t="s">
        <v>109</v>
      </c>
      <c r="AM409" s="1" t="s">
        <v>109</v>
      </c>
      <c r="AN409" s="1" t="s">
        <v>109</v>
      </c>
      <c r="AO409" s="1" t="s">
        <v>109</v>
      </c>
      <c r="AP409" s="1"/>
      <c r="AQ409" s="1">
        <v>8</v>
      </c>
      <c r="AR409" s="1"/>
      <c r="AS409" s="1" t="s">
        <v>3782</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5" t="str">
        <f>HYPERLINK("http://www.d20pfsrd.com/magic/all-spells/p/prying-eyes","Prying Eyes, Greater")</f>
        <v>Prying Eyes, Greater</v>
      </c>
      <c r="BT409" s="1">
        <v>409</v>
      </c>
      <c r="BU409" s="1" t="s">
        <v>109</v>
      </c>
      <c r="BV409" s="1" t="s">
        <v>3783</v>
      </c>
      <c r="BW409" s="1"/>
      <c r="BX409" s="1"/>
      <c r="BY409" s="1"/>
      <c r="BZ409" s="1">
        <v>0</v>
      </c>
      <c r="CA409" s="1" t="s">
        <v>109</v>
      </c>
      <c r="CB409" s="1" t="s">
        <v>109</v>
      </c>
      <c r="CC409" s="1">
        <v>8</v>
      </c>
      <c r="CD409" s="1" t="s">
        <v>109</v>
      </c>
      <c r="CE409" s="1" t="s">
        <v>109</v>
      </c>
      <c r="CF409" s="1" t="s">
        <v>109</v>
      </c>
      <c r="CG409" s="1" t="s">
        <v>109</v>
      </c>
      <c r="CH409" s="1" t="s">
        <v>109</v>
      </c>
      <c r="CI409" s="1" t="s">
        <v>109</v>
      </c>
      <c r="CJ409" s="1" t="s">
        <v>109</v>
      </c>
      <c r="CK409" s="1"/>
      <c r="CL409" s="1">
        <v>0</v>
      </c>
      <c r="CM409" s="1">
        <v>0</v>
      </c>
      <c r="CN409" s="1">
        <v>0</v>
      </c>
    </row>
    <row r="410" spans="1:92" ht="14.25" customHeight="1" x14ac:dyDescent="0.15">
      <c r="A410" s="1" t="s">
        <v>3784</v>
      </c>
      <c r="B410" s="1" t="s">
        <v>584</v>
      </c>
      <c r="C410" s="1"/>
      <c r="D410" s="1" t="s">
        <v>59</v>
      </c>
      <c r="E410" s="1" t="s">
        <v>2394</v>
      </c>
      <c r="F410" s="1" t="s">
        <v>98</v>
      </c>
      <c r="G410" s="1" t="s">
        <v>141</v>
      </c>
      <c r="H410" s="1">
        <v>0</v>
      </c>
      <c r="I410" s="1" t="s">
        <v>925</v>
      </c>
      <c r="J410" s="1"/>
      <c r="K410" s="1" t="s">
        <v>3785</v>
      </c>
      <c r="L410" s="1"/>
      <c r="M410" s="1" t="s">
        <v>164</v>
      </c>
      <c r="N410" s="1">
        <v>1</v>
      </c>
      <c r="O410" s="1">
        <v>0</v>
      </c>
      <c r="P410" s="1" t="s">
        <v>103</v>
      </c>
      <c r="Q410" s="1" t="s">
        <v>268</v>
      </c>
      <c r="R410" s="1" t="s">
        <v>3786</v>
      </c>
      <c r="S410" s="1" t="s">
        <v>3787</v>
      </c>
      <c r="T410" s="1" t="s">
        <v>107</v>
      </c>
      <c r="U410" s="1" t="s">
        <v>3788</v>
      </c>
      <c r="V410" s="1">
        <v>1</v>
      </c>
      <c r="W410" s="1">
        <v>1</v>
      </c>
      <c r="X410" s="1">
        <v>0</v>
      </c>
      <c r="Y410" s="1">
        <v>0</v>
      </c>
      <c r="Z410" s="1">
        <v>0</v>
      </c>
      <c r="AA410" s="1" t="s">
        <v>109</v>
      </c>
      <c r="AB410" s="1" t="s">
        <v>109</v>
      </c>
      <c r="AC410" s="1" t="s">
        <v>109</v>
      </c>
      <c r="AD410" s="1">
        <v>1</v>
      </c>
      <c r="AE410" s="1" t="s">
        <v>109</v>
      </c>
      <c r="AF410" s="1" t="s">
        <v>109</v>
      </c>
      <c r="AG410" s="1" t="s">
        <v>109</v>
      </c>
      <c r="AH410" s="1" t="s">
        <v>109</v>
      </c>
      <c r="AI410" s="1" t="s">
        <v>109</v>
      </c>
      <c r="AJ410" s="1" t="s">
        <v>109</v>
      </c>
      <c r="AK410" s="1" t="s">
        <v>109</v>
      </c>
      <c r="AL410" s="1" t="s">
        <v>109</v>
      </c>
      <c r="AM410" s="1" t="s">
        <v>109</v>
      </c>
      <c r="AN410" s="1" t="s">
        <v>109</v>
      </c>
      <c r="AO410" s="1" t="s">
        <v>109</v>
      </c>
      <c r="AP410" s="1"/>
      <c r="AQ410" s="1">
        <v>1</v>
      </c>
      <c r="AR410" s="1" t="s">
        <v>3789</v>
      </c>
      <c r="AS410" s="1" t="s">
        <v>3790</v>
      </c>
      <c r="AT410" s="1">
        <v>0</v>
      </c>
      <c r="AU410" s="1">
        <v>0</v>
      </c>
      <c r="AV410" s="1">
        <v>0</v>
      </c>
      <c r="AW410" s="1">
        <v>0</v>
      </c>
      <c r="AX410" s="1">
        <v>0</v>
      </c>
      <c r="AY410" s="1">
        <v>0</v>
      </c>
      <c r="AZ410" s="1">
        <v>0</v>
      </c>
      <c r="BA410" s="1">
        <v>0</v>
      </c>
      <c r="BB410" s="1">
        <v>0</v>
      </c>
      <c r="BC410" s="1">
        <v>0</v>
      </c>
      <c r="BD410" s="1">
        <v>0</v>
      </c>
      <c r="BE410" s="1">
        <v>0</v>
      </c>
      <c r="BF410" s="1">
        <v>0</v>
      </c>
      <c r="BG410" s="1">
        <v>1</v>
      </c>
      <c r="BH410" s="1">
        <v>0</v>
      </c>
      <c r="BI410" s="1">
        <v>0</v>
      </c>
      <c r="BJ410" s="1">
        <v>0</v>
      </c>
      <c r="BK410" s="1">
        <v>0</v>
      </c>
      <c r="BL410" s="1">
        <v>0</v>
      </c>
      <c r="BM410" s="1">
        <v>0</v>
      </c>
      <c r="BN410" s="1">
        <v>0</v>
      </c>
      <c r="BO410" s="1">
        <v>0</v>
      </c>
      <c r="BP410" s="1">
        <v>0</v>
      </c>
      <c r="BQ410" s="1">
        <v>0</v>
      </c>
      <c r="BR410" s="1">
        <v>0</v>
      </c>
      <c r="BS410" s="5" t="str">
        <f>HYPERLINK("http://www.d20pfsrd.com/magic/all-spells/p/produce-flame","Produce Flame")</f>
        <v>Produce Flame</v>
      </c>
      <c r="BT410" s="1">
        <v>410</v>
      </c>
      <c r="BU410" s="1" t="s">
        <v>109</v>
      </c>
      <c r="BV410" s="1"/>
      <c r="BW410" s="1"/>
      <c r="BX410" s="1"/>
      <c r="BY410" s="1"/>
      <c r="BZ410" s="1">
        <v>0</v>
      </c>
      <c r="CA410" s="1" t="s">
        <v>109</v>
      </c>
      <c r="CB410" s="1">
        <v>1</v>
      </c>
      <c r="CC410" s="1" t="s">
        <v>109</v>
      </c>
      <c r="CD410" s="1" t="s">
        <v>109</v>
      </c>
      <c r="CE410" s="1" t="s">
        <v>109</v>
      </c>
      <c r="CF410" s="1" t="s">
        <v>109</v>
      </c>
      <c r="CG410" s="1" t="s">
        <v>109</v>
      </c>
      <c r="CH410" s="1" t="s">
        <v>109</v>
      </c>
      <c r="CI410" s="1" t="s">
        <v>109</v>
      </c>
      <c r="CJ410" s="1">
        <v>1</v>
      </c>
      <c r="CK410" s="1"/>
      <c r="CL410" s="1">
        <v>0</v>
      </c>
      <c r="CM410" s="1">
        <v>0</v>
      </c>
      <c r="CN410" s="1">
        <v>0</v>
      </c>
    </row>
    <row r="411" spans="1:92" ht="14.25" customHeight="1" x14ac:dyDescent="0.15">
      <c r="A411" s="1" t="s">
        <v>3791</v>
      </c>
      <c r="B411" s="1" t="s">
        <v>674</v>
      </c>
      <c r="C411" s="1" t="s">
        <v>2300</v>
      </c>
      <c r="D411" s="1"/>
      <c r="E411" s="1" t="s">
        <v>3792</v>
      </c>
      <c r="F411" s="1" t="s">
        <v>98</v>
      </c>
      <c r="G411" s="1" t="s">
        <v>3793</v>
      </c>
      <c r="H411" s="1">
        <v>1</v>
      </c>
      <c r="I411" s="1" t="s">
        <v>100</v>
      </c>
      <c r="J411" s="1"/>
      <c r="K411" s="1" t="s">
        <v>3794</v>
      </c>
      <c r="L411" s="1"/>
      <c r="M411" s="1" t="s">
        <v>3795</v>
      </c>
      <c r="N411" s="1">
        <v>0</v>
      </c>
      <c r="O411" s="1">
        <v>0</v>
      </c>
      <c r="P411" s="1" t="s">
        <v>2465</v>
      </c>
      <c r="Q411" s="1" t="s">
        <v>104</v>
      </c>
      <c r="R411" s="1" t="s">
        <v>3796</v>
      </c>
      <c r="S411" s="1" t="s">
        <v>3797</v>
      </c>
      <c r="T411" s="1" t="s">
        <v>107</v>
      </c>
      <c r="U411" s="1" t="s">
        <v>3798</v>
      </c>
      <c r="V411" s="1">
        <v>1</v>
      </c>
      <c r="W411" s="1">
        <v>1</v>
      </c>
      <c r="X411" s="1">
        <v>1</v>
      </c>
      <c r="Y411" s="1">
        <v>0</v>
      </c>
      <c r="Z411" s="1">
        <v>0</v>
      </c>
      <c r="AA411" s="1">
        <v>6</v>
      </c>
      <c r="AB411" s="1">
        <v>6</v>
      </c>
      <c r="AC411" s="1" t="s">
        <v>109</v>
      </c>
      <c r="AD411" s="1" t="s">
        <v>109</v>
      </c>
      <c r="AE411" s="1" t="s">
        <v>109</v>
      </c>
      <c r="AF411" s="1">
        <v>6</v>
      </c>
      <c r="AG411" s="1" t="s">
        <v>109</v>
      </c>
      <c r="AH411" s="1" t="s">
        <v>109</v>
      </c>
      <c r="AI411" s="1" t="s">
        <v>109</v>
      </c>
      <c r="AJ411" s="1" t="s">
        <v>109</v>
      </c>
      <c r="AK411" s="1" t="s">
        <v>109</v>
      </c>
      <c r="AL411" s="1" t="s">
        <v>109</v>
      </c>
      <c r="AM411" s="1" t="s">
        <v>109</v>
      </c>
      <c r="AN411" s="1" t="s">
        <v>109</v>
      </c>
      <c r="AO411" s="1" t="s">
        <v>109</v>
      </c>
      <c r="AP411" s="1"/>
      <c r="AQ411" s="1">
        <v>6</v>
      </c>
      <c r="AR411" s="1"/>
      <c r="AS411" s="1" t="s">
        <v>3799</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5" t="str">
        <f>HYPERLINK("http://www.d20pfsrd.com/magic/all-spells/p/programmed-image","Programmed Image")</f>
        <v>Programmed Image</v>
      </c>
      <c r="BT411" s="1">
        <v>411</v>
      </c>
      <c r="BU411" s="1">
        <v>25</v>
      </c>
      <c r="BV411" s="1"/>
      <c r="BW411" s="1" t="s">
        <v>3800</v>
      </c>
      <c r="BX411" s="1"/>
      <c r="BY411" s="1"/>
      <c r="BZ411" s="1">
        <v>0</v>
      </c>
      <c r="CA411" s="1" t="s">
        <v>109</v>
      </c>
      <c r="CB411" s="1" t="s">
        <v>109</v>
      </c>
      <c r="CC411" s="1">
        <v>6</v>
      </c>
      <c r="CD411" s="1" t="s">
        <v>109</v>
      </c>
      <c r="CE411" s="1">
        <v>6</v>
      </c>
      <c r="CF411" s="1" t="s">
        <v>109</v>
      </c>
      <c r="CG411" s="1" t="s">
        <v>109</v>
      </c>
      <c r="CH411" s="1" t="s">
        <v>109</v>
      </c>
      <c r="CI411" s="1" t="s">
        <v>109</v>
      </c>
      <c r="CJ411" s="1" t="s">
        <v>109</v>
      </c>
      <c r="CK411" s="1"/>
      <c r="CL411" s="1">
        <v>0</v>
      </c>
      <c r="CM411" s="1">
        <v>0</v>
      </c>
      <c r="CN411" s="1">
        <v>0</v>
      </c>
    </row>
    <row r="412" spans="1:92" ht="14.25" customHeight="1" x14ac:dyDescent="0.15">
      <c r="A412" s="1" t="s">
        <v>3801</v>
      </c>
      <c r="B412" s="1" t="s">
        <v>674</v>
      </c>
      <c r="C412" s="1" t="s">
        <v>68</v>
      </c>
      <c r="D412" s="1" t="s">
        <v>68</v>
      </c>
      <c r="E412" s="1" t="s">
        <v>3802</v>
      </c>
      <c r="F412" s="1" t="s">
        <v>98</v>
      </c>
      <c r="G412" s="1" t="s">
        <v>3803</v>
      </c>
      <c r="H412" s="1">
        <v>1</v>
      </c>
      <c r="I412" s="1" t="s">
        <v>122</v>
      </c>
      <c r="J412" s="1"/>
      <c r="K412" s="1" t="s">
        <v>3804</v>
      </c>
      <c r="L412" s="1"/>
      <c r="M412" s="1" t="s">
        <v>125</v>
      </c>
      <c r="N412" s="1">
        <v>1</v>
      </c>
      <c r="O412" s="1">
        <v>0</v>
      </c>
      <c r="P412" s="1" t="s">
        <v>2465</v>
      </c>
      <c r="Q412" s="1" t="s">
        <v>104</v>
      </c>
      <c r="R412" s="1" t="s">
        <v>3805</v>
      </c>
      <c r="S412" s="1" t="s">
        <v>3806</v>
      </c>
      <c r="T412" s="1" t="s">
        <v>107</v>
      </c>
      <c r="U412" s="1" t="s">
        <v>3807</v>
      </c>
      <c r="V412" s="1">
        <v>1</v>
      </c>
      <c r="W412" s="1">
        <v>1</v>
      </c>
      <c r="X412" s="1">
        <v>1</v>
      </c>
      <c r="Y412" s="1">
        <v>0</v>
      </c>
      <c r="Z412" s="1">
        <v>0</v>
      </c>
      <c r="AA412" s="1">
        <v>7</v>
      </c>
      <c r="AB412" s="1">
        <v>7</v>
      </c>
      <c r="AC412" s="1" t="s">
        <v>109</v>
      </c>
      <c r="AD412" s="1" t="s">
        <v>109</v>
      </c>
      <c r="AE412" s="1" t="s">
        <v>109</v>
      </c>
      <c r="AF412" s="1">
        <v>6</v>
      </c>
      <c r="AG412" s="1" t="s">
        <v>109</v>
      </c>
      <c r="AH412" s="1" t="s">
        <v>109</v>
      </c>
      <c r="AI412" s="1" t="s">
        <v>109</v>
      </c>
      <c r="AJ412" s="1" t="s">
        <v>109</v>
      </c>
      <c r="AK412" s="1" t="s">
        <v>109</v>
      </c>
      <c r="AL412" s="1" t="s">
        <v>109</v>
      </c>
      <c r="AM412" s="1" t="s">
        <v>109</v>
      </c>
      <c r="AN412" s="1" t="s">
        <v>109</v>
      </c>
      <c r="AO412" s="1" t="s">
        <v>109</v>
      </c>
      <c r="AP412" s="1"/>
      <c r="AQ412" s="1">
        <v>7</v>
      </c>
      <c r="AR412" s="1" t="s">
        <v>3808</v>
      </c>
      <c r="AS412" s="1" t="s">
        <v>3809</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1</v>
      </c>
      <c r="BQ412" s="1">
        <v>0</v>
      </c>
      <c r="BR412" s="1">
        <v>0</v>
      </c>
      <c r="BS412" s="5" t="str">
        <f>HYPERLINK("http://www.d20pfsrd.com/magic/all-spells/p/project-image","Project Image")</f>
        <v>Project Image</v>
      </c>
      <c r="BT412" s="1">
        <v>412</v>
      </c>
      <c r="BU412" s="1">
        <v>5</v>
      </c>
      <c r="BV412" s="1"/>
      <c r="BW412" s="1"/>
      <c r="BX412" s="1"/>
      <c r="BY412" s="1"/>
      <c r="BZ412" s="1">
        <v>0</v>
      </c>
      <c r="CA412" s="1" t="s">
        <v>109</v>
      </c>
      <c r="CB412" s="1" t="s">
        <v>109</v>
      </c>
      <c r="CC412" s="1">
        <v>7</v>
      </c>
      <c r="CD412" s="1" t="s">
        <v>109</v>
      </c>
      <c r="CE412" s="1">
        <v>6</v>
      </c>
      <c r="CF412" s="1">
        <v>6</v>
      </c>
      <c r="CG412" s="1" t="s">
        <v>109</v>
      </c>
      <c r="CH412" s="1" t="s">
        <v>109</v>
      </c>
      <c r="CI412" s="1" t="s">
        <v>109</v>
      </c>
      <c r="CJ412" s="1" t="s">
        <v>109</v>
      </c>
      <c r="CK412" s="1"/>
      <c r="CL412" s="1">
        <v>0</v>
      </c>
      <c r="CM412" s="1">
        <v>0</v>
      </c>
      <c r="CN412" s="1">
        <v>0</v>
      </c>
    </row>
    <row r="413" spans="1:92" ht="14.25" customHeight="1" x14ac:dyDescent="0.15">
      <c r="A413" s="1" t="s">
        <v>3810</v>
      </c>
      <c r="B413" s="1" t="s">
        <v>242</v>
      </c>
      <c r="C413" s="1"/>
      <c r="D413" s="1"/>
      <c r="E413" s="1" t="s">
        <v>3811</v>
      </c>
      <c r="F413" s="1" t="s">
        <v>98</v>
      </c>
      <c r="G413" s="1" t="s">
        <v>3812</v>
      </c>
      <c r="H413" s="1">
        <v>0</v>
      </c>
      <c r="I413" s="1" t="s">
        <v>161</v>
      </c>
      <c r="J413" s="1"/>
      <c r="K413" s="1"/>
      <c r="L413" s="1" t="s">
        <v>506</v>
      </c>
      <c r="M413" s="1" t="s">
        <v>3385</v>
      </c>
      <c r="N413" s="1">
        <v>0</v>
      </c>
      <c r="O413" s="1">
        <v>0</v>
      </c>
      <c r="P413" s="1" t="s">
        <v>507</v>
      </c>
      <c r="Q413" s="1" t="s">
        <v>167</v>
      </c>
      <c r="R413" s="1" t="s">
        <v>3813</v>
      </c>
      <c r="S413" s="1" t="s">
        <v>3814</v>
      </c>
      <c r="T413" s="1" t="s">
        <v>107</v>
      </c>
      <c r="U413" s="1" t="s">
        <v>3815</v>
      </c>
      <c r="V413" s="1">
        <v>1</v>
      </c>
      <c r="W413" s="1">
        <v>1</v>
      </c>
      <c r="X413" s="1">
        <v>0</v>
      </c>
      <c r="Y413" s="1">
        <v>0</v>
      </c>
      <c r="Z413" s="1">
        <v>0</v>
      </c>
      <c r="AA413" s="1">
        <v>2</v>
      </c>
      <c r="AB413" s="1">
        <v>2</v>
      </c>
      <c r="AC413" s="1" t="s">
        <v>109</v>
      </c>
      <c r="AD413" s="1" t="s">
        <v>109</v>
      </c>
      <c r="AE413" s="1" t="s">
        <v>109</v>
      </c>
      <c r="AF413" s="1" t="s">
        <v>109</v>
      </c>
      <c r="AG413" s="1" t="s">
        <v>109</v>
      </c>
      <c r="AH413" s="1">
        <v>2</v>
      </c>
      <c r="AI413" s="1">
        <v>2</v>
      </c>
      <c r="AJ413" s="1" t="s">
        <v>109</v>
      </c>
      <c r="AK413" s="1" t="s">
        <v>109</v>
      </c>
      <c r="AL413" s="1" t="s">
        <v>109</v>
      </c>
      <c r="AM413" s="1" t="s">
        <v>109</v>
      </c>
      <c r="AN413" s="1" t="s">
        <v>109</v>
      </c>
      <c r="AO413" s="1" t="s">
        <v>109</v>
      </c>
      <c r="AP413" s="1"/>
      <c r="AQ413" s="1">
        <v>2</v>
      </c>
      <c r="AR413" s="1"/>
      <c r="AS413" s="1" t="s">
        <v>3816</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5" t="str">
        <f>HYPERLINK("http://www.d20pfsrd.com/magic/all-spells/p/protection-from-arrows","Protection from Arrows")</f>
        <v>Protection from Arrows</v>
      </c>
      <c r="BT413" s="1">
        <v>413</v>
      </c>
      <c r="BU413" s="1" t="s">
        <v>109</v>
      </c>
      <c r="BV413" s="1"/>
      <c r="BW413" s="1"/>
      <c r="BX413" s="1" t="s">
        <v>3817</v>
      </c>
      <c r="BY413" s="1"/>
      <c r="BZ413" s="1">
        <v>1</v>
      </c>
      <c r="CA413" s="1">
        <v>2</v>
      </c>
      <c r="CB413" s="1" t="s">
        <v>109</v>
      </c>
      <c r="CC413" s="1">
        <v>2</v>
      </c>
      <c r="CD413" s="1" t="s">
        <v>109</v>
      </c>
      <c r="CE413" s="1" t="s">
        <v>109</v>
      </c>
      <c r="CF413" s="1" t="s">
        <v>109</v>
      </c>
      <c r="CG413" s="1">
        <v>2</v>
      </c>
      <c r="CH413" s="1" t="s">
        <v>109</v>
      </c>
      <c r="CI413" s="1" t="s">
        <v>109</v>
      </c>
      <c r="CJ413" s="1" t="s">
        <v>109</v>
      </c>
      <c r="CK413" s="1"/>
      <c r="CL413" s="1">
        <v>0</v>
      </c>
      <c r="CM413" s="1">
        <v>0</v>
      </c>
      <c r="CN413" s="1">
        <v>0</v>
      </c>
    </row>
    <row r="414" spans="1:92" ht="14.25" customHeight="1" x14ac:dyDescent="0.15">
      <c r="A414" s="1" t="s">
        <v>3818</v>
      </c>
      <c r="B414" s="1" t="s">
        <v>242</v>
      </c>
      <c r="C414" s="1"/>
      <c r="D414" s="1" t="s">
        <v>63</v>
      </c>
      <c r="E414" s="1" t="s">
        <v>3819</v>
      </c>
      <c r="F414" s="1" t="s">
        <v>98</v>
      </c>
      <c r="G414" s="1" t="s">
        <v>3820</v>
      </c>
      <c r="H414" s="1">
        <v>0</v>
      </c>
      <c r="I414" s="1" t="s">
        <v>161</v>
      </c>
      <c r="J414" s="1"/>
      <c r="K414" s="1"/>
      <c r="L414" s="1" t="s">
        <v>506</v>
      </c>
      <c r="M414" s="1" t="s">
        <v>587</v>
      </c>
      <c r="N414" s="1">
        <v>1</v>
      </c>
      <c r="O414" s="1">
        <v>0</v>
      </c>
      <c r="P414" s="1" t="s">
        <v>507</v>
      </c>
      <c r="Q414" s="1" t="s">
        <v>3102</v>
      </c>
      <c r="R414" s="1" t="s">
        <v>3821</v>
      </c>
      <c r="S414" s="1" t="s">
        <v>3822</v>
      </c>
      <c r="T414" s="1" t="s">
        <v>107</v>
      </c>
      <c r="U414" s="1" t="s">
        <v>3823</v>
      </c>
      <c r="V414" s="1">
        <v>1</v>
      </c>
      <c r="W414" s="1">
        <v>1</v>
      </c>
      <c r="X414" s="1">
        <v>1</v>
      </c>
      <c r="Y414" s="1">
        <v>0</v>
      </c>
      <c r="Z414" s="1">
        <v>1</v>
      </c>
      <c r="AA414" s="1">
        <v>1</v>
      </c>
      <c r="AB414" s="1">
        <v>1</v>
      </c>
      <c r="AC414" s="1">
        <v>1</v>
      </c>
      <c r="AD414" s="1" t="s">
        <v>109</v>
      </c>
      <c r="AE414" s="1" t="s">
        <v>109</v>
      </c>
      <c r="AF414" s="1" t="s">
        <v>109</v>
      </c>
      <c r="AG414" s="1">
        <v>1</v>
      </c>
      <c r="AH414" s="1" t="s">
        <v>109</v>
      </c>
      <c r="AI414" s="1">
        <v>1</v>
      </c>
      <c r="AJ414" s="1" t="s">
        <v>109</v>
      </c>
      <c r="AK414" s="1">
        <v>1</v>
      </c>
      <c r="AL414" s="1">
        <v>1</v>
      </c>
      <c r="AM414" s="1" t="s">
        <v>109</v>
      </c>
      <c r="AN414" s="1" t="s">
        <v>109</v>
      </c>
      <c r="AO414" s="1">
        <v>1</v>
      </c>
      <c r="AP414" s="1"/>
      <c r="AQ414" s="1">
        <v>1</v>
      </c>
      <c r="AR414" s="1" t="s">
        <v>3824</v>
      </c>
      <c r="AS414" s="1" t="s">
        <v>3825</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1</v>
      </c>
      <c r="BL414" s="1">
        <v>0</v>
      </c>
      <c r="BM414" s="1">
        <v>0</v>
      </c>
      <c r="BN414" s="1">
        <v>0</v>
      </c>
      <c r="BO414" s="1">
        <v>0</v>
      </c>
      <c r="BP414" s="1">
        <v>0</v>
      </c>
      <c r="BQ414" s="1">
        <v>0</v>
      </c>
      <c r="BR414" s="1">
        <v>0</v>
      </c>
      <c r="BS414" s="5" t="str">
        <f>HYPERLINK("http://www.d20pfsrd.com/magic/all-spells/p/protection-from-chaos","Protection from Chaos")</f>
        <v>Protection from Chaos</v>
      </c>
      <c r="BT414" s="1">
        <v>414</v>
      </c>
      <c r="BU414" s="1" t="s">
        <v>109</v>
      </c>
      <c r="BV414" s="1"/>
      <c r="BW414" s="1"/>
      <c r="BX414" s="1" t="s">
        <v>3826</v>
      </c>
      <c r="BY414" s="1"/>
      <c r="BZ414" s="1">
        <v>1</v>
      </c>
      <c r="CA414" s="1">
        <v>1</v>
      </c>
      <c r="CB414" s="1">
        <v>1</v>
      </c>
      <c r="CC414" s="1" t="s">
        <v>109</v>
      </c>
      <c r="CD414" s="1" t="s">
        <v>109</v>
      </c>
      <c r="CE414" s="1" t="s">
        <v>109</v>
      </c>
      <c r="CF414" s="1" t="s">
        <v>109</v>
      </c>
      <c r="CG414" s="1">
        <v>1</v>
      </c>
      <c r="CH414" s="1" t="s">
        <v>109</v>
      </c>
      <c r="CI414" s="1" t="s">
        <v>109</v>
      </c>
      <c r="CJ414" s="1" t="s">
        <v>109</v>
      </c>
      <c r="CK414" s="1"/>
      <c r="CL414" s="1">
        <v>0</v>
      </c>
      <c r="CM414" s="1">
        <v>0</v>
      </c>
      <c r="CN414" s="1">
        <v>0</v>
      </c>
    </row>
    <row r="415" spans="1:92" ht="14.25" customHeight="1" x14ac:dyDescent="0.15">
      <c r="A415" s="1" t="s">
        <v>3827</v>
      </c>
      <c r="B415" s="1" t="s">
        <v>242</v>
      </c>
      <c r="C415" s="1"/>
      <c r="D415" s="1" t="s">
        <v>61</v>
      </c>
      <c r="E415" s="1" t="s">
        <v>3828</v>
      </c>
      <c r="F415" s="1" t="s">
        <v>98</v>
      </c>
      <c r="G415" s="1" t="s">
        <v>3820</v>
      </c>
      <c r="H415" s="1">
        <v>0</v>
      </c>
      <c r="I415" s="1" t="s">
        <v>161</v>
      </c>
      <c r="J415" s="1"/>
      <c r="K415" s="1"/>
      <c r="L415" s="1" t="s">
        <v>506</v>
      </c>
      <c r="M415" s="1" t="s">
        <v>587</v>
      </c>
      <c r="N415" s="1">
        <v>1</v>
      </c>
      <c r="O415" s="1">
        <v>0</v>
      </c>
      <c r="P415" s="1" t="s">
        <v>507</v>
      </c>
      <c r="Q415" s="1" t="s">
        <v>3102</v>
      </c>
      <c r="R415" s="1" t="s">
        <v>3829</v>
      </c>
      <c r="S415" s="1" t="s">
        <v>3830</v>
      </c>
      <c r="T415" s="1" t="s">
        <v>107</v>
      </c>
      <c r="U415" s="1" t="s">
        <v>3831</v>
      </c>
      <c r="V415" s="1">
        <v>1</v>
      </c>
      <c r="W415" s="1">
        <v>1</v>
      </c>
      <c r="X415" s="1">
        <v>1</v>
      </c>
      <c r="Y415" s="1">
        <v>0</v>
      </c>
      <c r="Z415" s="1">
        <v>1</v>
      </c>
      <c r="AA415" s="1">
        <v>1</v>
      </c>
      <c r="AB415" s="1">
        <v>1</v>
      </c>
      <c r="AC415" s="1">
        <v>1</v>
      </c>
      <c r="AD415" s="1" t="s">
        <v>109</v>
      </c>
      <c r="AE415" s="1" t="s">
        <v>109</v>
      </c>
      <c r="AF415" s="1" t="s">
        <v>109</v>
      </c>
      <c r="AG415" s="1">
        <v>1</v>
      </c>
      <c r="AH415" s="1" t="s">
        <v>109</v>
      </c>
      <c r="AI415" s="1">
        <v>1</v>
      </c>
      <c r="AJ415" s="1" t="s">
        <v>109</v>
      </c>
      <c r="AK415" s="1">
        <v>1</v>
      </c>
      <c r="AL415" s="1">
        <v>1</v>
      </c>
      <c r="AM415" s="1" t="s">
        <v>109</v>
      </c>
      <c r="AN415" s="1" t="s">
        <v>109</v>
      </c>
      <c r="AO415" s="1">
        <v>1</v>
      </c>
      <c r="AP415" s="1"/>
      <c r="AQ415" s="1">
        <v>1</v>
      </c>
      <c r="AR415" s="1" t="s">
        <v>3832</v>
      </c>
      <c r="AS415" s="1" t="s">
        <v>3825</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1</v>
      </c>
      <c r="BJ415" s="1">
        <v>0</v>
      </c>
      <c r="BK415" s="1">
        <v>0</v>
      </c>
      <c r="BL415" s="1">
        <v>0</v>
      </c>
      <c r="BM415" s="1">
        <v>0</v>
      </c>
      <c r="BN415" s="1">
        <v>0</v>
      </c>
      <c r="BO415" s="1">
        <v>0</v>
      </c>
      <c r="BP415" s="1">
        <v>0</v>
      </c>
      <c r="BQ415" s="1">
        <v>0</v>
      </c>
      <c r="BR415" s="1">
        <v>0</v>
      </c>
      <c r="BS415" s="5" t="str">
        <f>HYPERLINK("http://www.d20pfsrd.com/magic/all-spells/p/protection-from-evil","Protection from Evil")</f>
        <v>Protection from Evil</v>
      </c>
      <c r="BT415" s="1">
        <v>416</v>
      </c>
      <c r="BU415" s="1" t="s">
        <v>109</v>
      </c>
      <c r="BV415" s="1"/>
      <c r="BW415" s="1" t="s">
        <v>3833</v>
      </c>
      <c r="BX415" s="1" t="s">
        <v>3834</v>
      </c>
      <c r="BY415" s="1"/>
      <c r="BZ415" s="1">
        <v>1</v>
      </c>
      <c r="CA415" s="1">
        <v>1</v>
      </c>
      <c r="CB415" s="1">
        <v>1</v>
      </c>
      <c r="CC415" s="1" t="s">
        <v>109</v>
      </c>
      <c r="CD415" s="1" t="s">
        <v>109</v>
      </c>
      <c r="CE415" s="1" t="s">
        <v>109</v>
      </c>
      <c r="CF415" s="1" t="s">
        <v>109</v>
      </c>
      <c r="CG415" s="1">
        <v>1</v>
      </c>
      <c r="CH415" s="1" t="s">
        <v>109</v>
      </c>
      <c r="CI415" s="1" t="s">
        <v>109</v>
      </c>
      <c r="CJ415" s="1" t="s">
        <v>109</v>
      </c>
      <c r="CK415" s="1"/>
      <c r="CL415" s="1">
        <v>0</v>
      </c>
      <c r="CM415" s="1">
        <v>0</v>
      </c>
      <c r="CN415" s="1">
        <v>0</v>
      </c>
    </row>
    <row r="416" spans="1:92" ht="14.25" customHeight="1" x14ac:dyDescent="0.15">
      <c r="A416" s="1" t="s">
        <v>3835</v>
      </c>
      <c r="B416" s="1" t="s">
        <v>242</v>
      </c>
      <c r="C416" s="1"/>
      <c r="D416" s="1" t="s">
        <v>57</v>
      </c>
      <c r="E416" s="1" t="s">
        <v>3836</v>
      </c>
      <c r="F416" s="1" t="s">
        <v>98</v>
      </c>
      <c r="G416" s="1" t="s">
        <v>3820</v>
      </c>
      <c r="H416" s="1">
        <v>0</v>
      </c>
      <c r="I416" s="1" t="s">
        <v>161</v>
      </c>
      <c r="J416" s="1"/>
      <c r="K416" s="1"/>
      <c r="L416" s="1" t="s">
        <v>506</v>
      </c>
      <c r="M416" s="1" t="s">
        <v>587</v>
      </c>
      <c r="N416" s="1">
        <v>1</v>
      </c>
      <c r="O416" s="1">
        <v>0</v>
      </c>
      <c r="P416" s="1" t="s">
        <v>507</v>
      </c>
      <c r="Q416" s="1" t="s">
        <v>3102</v>
      </c>
      <c r="R416" s="1" t="s">
        <v>3837</v>
      </c>
      <c r="S416" s="1" t="s">
        <v>3838</v>
      </c>
      <c r="T416" s="1" t="s">
        <v>107</v>
      </c>
      <c r="U416" s="1" t="s">
        <v>3839</v>
      </c>
      <c r="V416" s="1">
        <v>1</v>
      </c>
      <c r="W416" s="1">
        <v>1</v>
      </c>
      <c r="X416" s="1">
        <v>1</v>
      </c>
      <c r="Y416" s="1">
        <v>0</v>
      </c>
      <c r="Z416" s="1">
        <v>1</v>
      </c>
      <c r="AA416" s="1">
        <v>1</v>
      </c>
      <c r="AB416" s="1">
        <v>1</v>
      </c>
      <c r="AC416" s="1">
        <v>1</v>
      </c>
      <c r="AD416" s="1" t="s">
        <v>109</v>
      </c>
      <c r="AE416" s="1" t="s">
        <v>109</v>
      </c>
      <c r="AF416" s="1" t="s">
        <v>109</v>
      </c>
      <c r="AG416" s="1" t="s">
        <v>109</v>
      </c>
      <c r="AH416" s="1" t="s">
        <v>109</v>
      </c>
      <c r="AI416" s="1">
        <v>1</v>
      </c>
      <c r="AJ416" s="1" t="s">
        <v>109</v>
      </c>
      <c r="AK416" s="1">
        <v>1</v>
      </c>
      <c r="AL416" s="1">
        <v>1</v>
      </c>
      <c r="AM416" s="1">
        <v>1</v>
      </c>
      <c r="AN416" s="1" t="s">
        <v>109</v>
      </c>
      <c r="AO416" s="1">
        <v>1</v>
      </c>
      <c r="AP416" s="1"/>
      <c r="AQ416" s="1">
        <v>1</v>
      </c>
      <c r="AR416" s="1" t="s">
        <v>3840</v>
      </c>
      <c r="AS416" s="1" t="s">
        <v>3841</v>
      </c>
      <c r="AT416" s="1">
        <v>0</v>
      </c>
      <c r="AU416" s="1">
        <v>0</v>
      </c>
      <c r="AV416" s="1">
        <v>0</v>
      </c>
      <c r="AW416" s="1">
        <v>0</v>
      </c>
      <c r="AX416" s="1">
        <v>0</v>
      </c>
      <c r="AY416" s="1">
        <v>0</v>
      </c>
      <c r="AZ416" s="1">
        <v>0</v>
      </c>
      <c r="BA416" s="1">
        <v>0</v>
      </c>
      <c r="BB416" s="1">
        <v>0</v>
      </c>
      <c r="BC416" s="1">
        <v>0</v>
      </c>
      <c r="BD416" s="1">
        <v>0</v>
      </c>
      <c r="BE416" s="1">
        <v>1</v>
      </c>
      <c r="BF416" s="1">
        <v>0</v>
      </c>
      <c r="BG416" s="1">
        <v>0</v>
      </c>
      <c r="BH416" s="1">
        <v>0</v>
      </c>
      <c r="BI416" s="1">
        <v>0</v>
      </c>
      <c r="BJ416" s="1">
        <v>0</v>
      </c>
      <c r="BK416" s="1">
        <v>0</v>
      </c>
      <c r="BL416" s="1">
        <v>0</v>
      </c>
      <c r="BM416" s="1">
        <v>0</v>
      </c>
      <c r="BN416" s="1">
        <v>0</v>
      </c>
      <c r="BO416" s="1">
        <v>0</v>
      </c>
      <c r="BP416" s="1">
        <v>0</v>
      </c>
      <c r="BQ416" s="1">
        <v>0</v>
      </c>
      <c r="BR416" s="1">
        <v>0</v>
      </c>
      <c r="BS416" s="5" t="str">
        <f>HYPERLINK("http://www.d20pfsrd.com/magic/all-spells/p/protection-from-good","Protection from Good")</f>
        <v>Protection from Good</v>
      </c>
      <c r="BT416" s="1">
        <v>417</v>
      </c>
      <c r="BU416" s="1" t="s">
        <v>109</v>
      </c>
      <c r="BV416" s="1" t="s">
        <v>3842</v>
      </c>
      <c r="BW416" s="1"/>
      <c r="BX416" s="1" t="s">
        <v>3843</v>
      </c>
      <c r="BY416" s="1"/>
      <c r="BZ416" s="1">
        <v>1</v>
      </c>
      <c r="CA416" s="1">
        <v>1</v>
      </c>
      <c r="CB416" s="1">
        <v>1</v>
      </c>
      <c r="CC416" s="1" t="s">
        <v>109</v>
      </c>
      <c r="CD416" s="1" t="s">
        <v>109</v>
      </c>
      <c r="CE416" s="1" t="s">
        <v>109</v>
      </c>
      <c r="CF416" s="1" t="s">
        <v>109</v>
      </c>
      <c r="CG416" s="1">
        <v>1</v>
      </c>
      <c r="CH416" s="1" t="s">
        <v>109</v>
      </c>
      <c r="CI416" s="1" t="s">
        <v>109</v>
      </c>
      <c r="CJ416" s="1" t="s">
        <v>109</v>
      </c>
      <c r="CK416" s="1"/>
      <c r="CL416" s="1">
        <v>0</v>
      </c>
      <c r="CM416" s="1">
        <v>0</v>
      </c>
      <c r="CN416" s="1">
        <v>0</v>
      </c>
    </row>
    <row r="417" spans="1:92" ht="14.25" customHeight="1" x14ac:dyDescent="0.15">
      <c r="A417" s="1" t="s">
        <v>3844</v>
      </c>
      <c r="B417" s="1" t="s">
        <v>242</v>
      </c>
      <c r="C417" s="1"/>
      <c r="D417" s="1" t="s">
        <v>48</v>
      </c>
      <c r="E417" s="1" t="s">
        <v>3836</v>
      </c>
      <c r="F417" s="1" t="s">
        <v>98</v>
      </c>
      <c r="G417" s="1" t="s">
        <v>3820</v>
      </c>
      <c r="H417" s="1">
        <v>0</v>
      </c>
      <c r="I417" s="1" t="s">
        <v>161</v>
      </c>
      <c r="J417" s="1"/>
      <c r="K417" s="1"/>
      <c r="L417" s="1" t="s">
        <v>506</v>
      </c>
      <c r="M417" s="1" t="s">
        <v>587</v>
      </c>
      <c r="N417" s="1">
        <v>1</v>
      </c>
      <c r="O417" s="1">
        <v>0</v>
      </c>
      <c r="P417" s="1" t="s">
        <v>507</v>
      </c>
      <c r="Q417" s="1" t="s">
        <v>3102</v>
      </c>
      <c r="R417" s="1" t="s">
        <v>3845</v>
      </c>
      <c r="S417" s="1" t="s">
        <v>3846</v>
      </c>
      <c r="T417" s="1" t="s">
        <v>107</v>
      </c>
      <c r="U417" s="1" t="s">
        <v>3847</v>
      </c>
      <c r="V417" s="1">
        <v>1</v>
      </c>
      <c r="W417" s="1">
        <v>1</v>
      </c>
      <c r="X417" s="1">
        <v>1</v>
      </c>
      <c r="Y417" s="1">
        <v>0</v>
      </c>
      <c r="Z417" s="1">
        <v>1</v>
      </c>
      <c r="AA417" s="1">
        <v>1</v>
      </c>
      <c r="AB417" s="1">
        <v>1</v>
      </c>
      <c r="AC417" s="1">
        <v>1</v>
      </c>
      <c r="AD417" s="1" t="s">
        <v>109</v>
      </c>
      <c r="AE417" s="1" t="s">
        <v>109</v>
      </c>
      <c r="AF417" s="1" t="s">
        <v>109</v>
      </c>
      <c r="AG417" s="1" t="s">
        <v>109</v>
      </c>
      <c r="AH417" s="1" t="s">
        <v>109</v>
      </c>
      <c r="AI417" s="1">
        <v>1</v>
      </c>
      <c r="AJ417" s="1" t="s">
        <v>109</v>
      </c>
      <c r="AK417" s="1">
        <v>1</v>
      </c>
      <c r="AL417" s="1">
        <v>1</v>
      </c>
      <c r="AM417" s="1">
        <v>1</v>
      </c>
      <c r="AN417" s="1" t="s">
        <v>109</v>
      </c>
      <c r="AO417" s="1">
        <v>1</v>
      </c>
      <c r="AP417" s="1"/>
      <c r="AQ417" s="1">
        <v>1</v>
      </c>
      <c r="AR417" s="1" t="s">
        <v>3848</v>
      </c>
      <c r="AS417" s="1" t="s">
        <v>3841</v>
      </c>
      <c r="AT417" s="1">
        <v>0</v>
      </c>
      <c r="AU417" s="1">
        <v>0</v>
      </c>
      <c r="AV417" s="1">
        <v>1</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5" t="str">
        <f>HYPERLINK("http://www.d20pfsrd.com/magic/all-spells/p/protection-from-law","Protection from Law")</f>
        <v>Protection from Law</v>
      </c>
      <c r="BT417" s="1">
        <v>418</v>
      </c>
      <c r="BU417" s="1" t="s">
        <v>109</v>
      </c>
      <c r="BV417" s="1"/>
      <c r="BW417" s="1"/>
      <c r="BX417" s="1" t="s">
        <v>3849</v>
      </c>
      <c r="BY417" s="1"/>
      <c r="BZ417" s="1">
        <v>1</v>
      </c>
      <c r="CA417" s="1">
        <v>1</v>
      </c>
      <c r="CB417" s="1">
        <v>1</v>
      </c>
      <c r="CC417" s="1" t="s">
        <v>109</v>
      </c>
      <c r="CD417" s="1" t="s">
        <v>109</v>
      </c>
      <c r="CE417" s="1" t="s">
        <v>109</v>
      </c>
      <c r="CF417" s="1" t="s">
        <v>109</v>
      </c>
      <c r="CG417" s="1">
        <v>1</v>
      </c>
      <c r="CH417" s="1" t="s">
        <v>109</v>
      </c>
      <c r="CI417" s="1" t="s">
        <v>109</v>
      </c>
      <c r="CJ417" s="1" t="s">
        <v>109</v>
      </c>
      <c r="CK417" s="1"/>
      <c r="CL417" s="1">
        <v>0</v>
      </c>
      <c r="CM417" s="1">
        <v>0</v>
      </c>
      <c r="CN417" s="1">
        <v>0</v>
      </c>
    </row>
    <row r="418" spans="1:92" ht="14.25" customHeight="1" x14ac:dyDescent="0.15">
      <c r="A418" s="1" t="s">
        <v>3850</v>
      </c>
      <c r="B418" s="1" t="s">
        <v>242</v>
      </c>
      <c r="C418" s="1"/>
      <c r="D418" s="1"/>
      <c r="E418" s="1" t="s">
        <v>561</v>
      </c>
      <c r="F418" s="1" t="s">
        <v>98</v>
      </c>
      <c r="G418" s="1" t="s">
        <v>3851</v>
      </c>
      <c r="H418" s="1">
        <v>1</v>
      </c>
      <c r="I418" s="1" t="s">
        <v>161</v>
      </c>
      <c r="J418" s="1"/>
      <c r="K418" s="1"/>
      <c r="L418" s="1" t="s">
        <v>3852</v>
      </c>
      <c r="M418" s="1" t="s">
        <v>194</v>
      </c>
      <c r="N418" s="1">
        <v>0</v>
      </c>
      <c r="O418" s="1">
        <v>0</v>
      </c>
      <c r="P418" s="1" t="s">
        <v>507</v>
      </c>
      <c r="Q418" s="1" t="s">
        <v>167</v>
      </c>
      <c r="R418" s="1" t="s">
        <v>3853</v>
      </c>
      <c r="S418" s="1" t="s">
        <v>3854</v>
      </c>
      <c r="T418" s="1" t="s">
        <v>107</v>
      </c>
      <c r="U418" s="1" t="s">
        <v>3855</v>
      </c>
      <c r="V418" s="1">
        <v>1</v>
      </c>
      <c r="W418" s="1">
        <v>1</v>
      </c>
      <c r="X418" s="1">
        <v>1</v>
      </c>
      <c r="Y418" s="1">
        <v>1</v>
      </c>
      <c r="Z418" s="1">
        <v>0</v>
      </c>
      <c r="AA418" s="1">
        <v>8</v>
      </c>
      <c r="AB418" s="1">
        <v>8</v>
      </c>
      <c r="AC418" s="1" t="s">
        <v>109</v>
      </c>
      <c r="AD418" s="1" t="s">
        <v>109</v>
      </c>
      <c r="AE418" s="1" t="s">
        <v>109</v>
      </c>
      <c r="AF418" s="1" t="s">
        <v>109</v>
      </c>
      <c r="AG418" s="1" t="s">
        <v>109</v>
      </c>
      <c r="AH418" s="1" t="s">
        <v>109</v>
      </c>
      <c r="AI418" s="1">
        <v>6</v>
      </c>
      <c r="AJ418" s="1" t="s">
        <v>109</v>
      </c>
      <c r="AK418" s="1" t="s">
        <v>109</v>
      </c>
      <c r="AL418" s="1" t="s">
        <v>109</v>
      </c>
      <c r="AM418" s="1" t="s">
        <v>109</v>
      </c>
      <c r="AN418" s="1" t="s">
        <v>109</v>
      </c>
      <c r="AO418" s="1" t="s">
        <v>109</v>
      </c>
      <c r="AP418" s="1"/>
      <c r="AQ418" s="1">
        <v>8</v>
      </c>
      <c r="AR418" s="1" t="s">
        <v>3856</v>
      </c>
      <c r="AS418" s="1" t="s">
        <v>3857</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5" t="str">
        <f>HYPERLINK("http://www.d20pfsrd.com/magic/all-spells/p/protection-from-spells","Protection from Spells")</f>
        <v>Protection from Spells</v>
      </c>
      <c r="BT418" s="1">
        <v>419</v>
      </c>
      <c r="BU418" s="1">
        <v>500</v>
      </c>
      <c r="BV418" s="1"/>
      <c r="BW418" s="1" t="s">
        <v>3858</v>
      </c>
      <c r="BX418" s="1"/>
      <c r="BY418" s="1"/>
      <c r="BZ418" s="1">
        <v>0</v>
      </c>
      <c r="CA418" s="1" t="s">
        <v>109</v>
      </c>
      <c r="CB418" s="1" t="s">
        <v>109</v>
      </c>
      <c r="CC418" s="1">
        <v>8</v>
      </c>
      <c r="CD418" s="1" t="s">
        <v>109</v>
      </c>
      <c r="CE418" s="1" t="s">
        <v>109</v>
      </c>
      <c r="CF418" s="1" t="s">
        <v>109</v>
      </c>
      <c r="CG418" s="1" t="s">
        <v>109</v>
      </c>
      <c r="CH418" s="1" t="s">
        <v>109</v>
      </c>
      <c r="CI418" s="1" t="s">
        <v>109</v>
      </c>
      <c r="CJ418" s="1" t="s">
        <v>109</v>
      </c>
      <c r="CK418" s="1"/>
      <c r="CL418" s="1">
        <v>0</v>
      </c>
      <c r="CM418" s="1">
        <v>0</v>
      </c>
      <c r="CN418" s="1">
        <v>0</v>
      </c>
    </row>
    <row r="419" spans="1:92" ht="14.25" customHeight="1" x14ac:dyDescent="0.15">
      <c r="A419" s="1" t="s">
        <v>3859</v>
      </c>
      <c r="B419" s="1" t="s">
        <v>189</v>
      </c>
      <c r="C419" s="1"/>
      <c r="D419" s="1"/>
      <c r="E419" s="1" t="s">
        <v>3860</v>
      </c>
      <c r="F419" s="1" t="s">
        <v>98</v>
      </c>
      <c r="G419" s="1" t="s">
        <v>141</v>
      </c>
      <c r="H419" s="1">
        <v>0</v>
      </c>
      <c r="I419" s="1" t="s">
        <v>356</v>
      </c>
      <c r="J419" s="1"/>
      <c r="K419" s="1"/>
      <c r="L419" s="1" t="s">
        <v>3861</v>
      </c>
      <c r="M419" s="1" t="s">
        <v>144</v>
      </c>
      <c r="N419" s="1">
        <v>0</v>
      </c>
      <c r="O419" s="1">
        <v>0</v>
      </c>
      <c r="P419" s="1" t="s">
        <v>629</v>
      </c>
      <c r="Q419" s="1" t="s">
        <v>630</v>
      </c>
      <c r="R419" s="1" t="s">
        <v>3862</v>
      </c>
      <c r="S419" s="1" t="s">
        <v>3863</v>
      </c>
      <c r="T419" s="1" t="s">
        <v>107</v>
      </c>
      <c r="U419" s="1" t="s">
        <v>3864</v>
      </c>
      <c r="V419" s="1">
        <v>1</v>
      </c>
      <c r="W419" s="1">
        <v>1</v>
      </c>
      <c r="X419" s="1">
        <v>0</v>
      </c>
      <c r="Y419" s="1">
        <v>0</v>
      </c>
      <c r="Z419" s="1">
        <v>0</v>
      </c>
      <c r="AA419" s="1" t="s">
        <v>109</v>
      </c>
      <c r="AB419" s="1" t="s">
        <v>109</v>
      </c>
      <c r="AC419" s="1">
        <v>0</v>
      </c>
      <c r="AD419" s="1">
        <v>0</v>
      </c>
      <c r="AE419" s="1" t="s">
        <v>109</v>
      </c>
      <c r="AF419" s="1" t="s">
        <v>109</v>
      </c>
      <c r="AG419" s="1" t="s">
        <v>109</v>
      </c>
      <c r="AH419" s="1" t="s">
        <v>109</v>
      </c>
      <c r="AI419" s="1" t="s">
        <v>109</v>
      </c>
      <c r="AJ419" s="1" t="s">
        <v>109</v>
      </c>
      <c r="AK419" s="1" t="s">
        <v>109</v>
      </c>
      <c r="AL419" s="1">
        <v>0</v>
      </c>
      <c r="AM419" s="1" t="s">
        <v>109</v>
      </c>
      <c r="AN419" s="1" t="s">
        <v>109</v>
      </c>
      <c r="AO419" s="1">
        <v>0</v>
      </c>
      <c r="AP419" s="1"/>
      <c r="AQ419" s="1">
        <v>0</v>
      </c>
      <c r="AR419" s="1"/>
      <c r="AS419" s="1" t="s">
        <v>3865</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5" t="str">
        <f>HYPERLINK("http://www.d20pfsrd.com/magic/all-spells/p/purify-food-and-drink","Purify Food and Drink")</f>
        <v>Purify Food and Drink</v>
      </c>
      <c r="BT419" s="1">
        <v>420</v>
      </c>
      <c r="BU419" s="1" t="s">
        <v>109</v>
      </c>
      <c r="BV419" s="1"/>
      <c r="BW419" s="1"/>
      <c r="BX419" s="1"/>
      <c r="BY419" s="1"/>
      <c r="BZ419" s="1">
        <v>0</v>
      </c>
      <c r="CA419" s="1" t="s">
        <v>109</v>
      </c>
      <c r="CB419" s="1">
        <v>0</v>
      </c>
      <c r="CC419" s="1" t="s">
        <v>109</v>
      </c>
      <c r="CD419" s="1" t="s">
        <v>109</v>
      </c>
      <c r="CE419" s="1" t="s">
        <v>109</v>
      </c>
      <c r="CF419" s="1">
        <v>0</v>
      </c>
      <c r="CG419" s="1" t="s">
        <v>109</v>
      </c>
      <c r="CH419" s="1" t="s">
        <v>109</v>
      </c>
      <c r="CI419" s="1" t="s">
        <v>109</v>
      </c>
      <c r="CJ419" s="1">
        <v>0</v>
      </c>
      <c r="CK419" s="1"/>
      <c r="CL419" s="1">
        <v>0</v>
      </c>
      <c r="CM419" s="1">
        <v>0</v>
      </c>
      <c r="CN419" s="1">
        <v>0</v>
      </c>
    </row>
    <row r="420" spans="1:92" ht="14.25" customHeight="1" x14ac:dyDescent="0.15">
      <c r="A420" s="1" t="s">
        <v>3866</v>
      </c>
      <c r="B420" s="1" t="s">
        <v>189</v>
      </c>
      <c r="C420" s="1"/>
      <c r="D420" s="1"/>
      <c r="E420" s="1" t="s">
        <v>3867</v>
      </c>
      <c r="F420" s="1" t="s">
        <v>98</v>
      </c>
      <c r="G420" s="1" t="s">
        <v>3868</v>
      </c>
      <c r="H420" s="1">
        <v>0</v>
      </c>
      <c r="I420" s="1" t="s">
        <v>100</v>
      </c>
      <c r="J420" s="1"/>
      <c r="K420" s="1"/>
      <c r="L420" s="1" t="s">
        <v>3869</v>
      </c>
      <c r="M420" s="1" t="s">
        <v>3870</v>
      </c>
      <c r="N420" s="1">
        <v>0</v>
      </c>
      <c r="O420" s="1">
        <v>0</v>
      </c>
      <c r="P420" s="1" t="s">
        <v>3871</v>
      </c>
      <c r="Q420" s="1" t="s">
        <v>3872</v>
      </c>
      <c r="R420" s="1" t="s">
        <v>3873</v>
      </c>
      <c r="S420" s="1" t="s">
        <v>3874</v>
      </c>
      <c r="T420" s="1" t="s">
        <v>107</v>
      </c>
      <c r="U420" s="1" t="s">
        <v>3875</v>
      </c>
      <c r="V420" s="1">
        <v>1</v>
      </c>
      <c r="W420" s="1">
        <v>1</v>
      </c>
      <c r="X420" s="1">
        <v>1</v>
      </c>
      <c r="Y420" s="1">
        <v>0</v>
      </c>
      <c r="Z420" s="1">
        <v>0</v>
      </c>
      <c r="AA420" s="1">
        <v>2</v>
      </c>
      <c r="AB420" s="1">
        <v>2</v>
      </c>
      <c r="AC420" s="1" t="s">
        <v>109</v>
      </c>
      <c r="AD420" s="1" t="s">
        <v>109</v>
      </c>
      <c r="AE420" s="1" t="s">
        <v>109</v>
      </c>
      <c r="AF420" s="1">
        <v>2</v>
      </c>
      <c r="AG420" s="1" t="s">
        <v>109</v>
      </c>
      <c r="AH420" s="1" t="s">
        <v>109</v>
      </c>
      <c r="AI420" s="1" t="s">
        <v>109</v>
      </c>
      <c r="AJ420" s="1" t="s">
        <v>109</v>
      </c>
      <c r="AK420" s="1" t="s">
        <v>109</v>
      </c>
      <c r="AL420" s="1" t="s">
        <v>109</v>
      </c>
      <c r="AM420" s="1" t="s">
        <v>109</v>
      </c>
      <c r="AN420" s="1">
        <v>2</v>
      </c>
      <c r="AO420" s="1" t="s">
        <v>109</v>
      </c>
      <c r="AP420" s="1"/>
      <c r="AQ420" s="1">
        <v>2</v>
      </c>
      <c r="AR420" s="1" t="s">
        <v>3876</v>
      </c>
      <c r="AS420" s="1" t="s">
        <v>3877</v>
      </c>
      <c r="AT420" s="1">
        <v>0</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5" t="str">
        <f>HYPERLINK("http://www.d20pfsrd.com/magic/all-spells/p/pyrotechnics","Pyrotechnics")</f>
        <v>Pyrotechnics</v>
      </c>
      <c r="BT420" s="1">
        <v>421</v>
      </c>
      <c r="BU420" s="1" t="s">
        <v>109</v>
      </c>
      <c r="BV420" s="1"/>
      <c r="BW420" s="1"/>
      <c r="BX420" s="1"/>
      <c r="BY420" s="1"/>
      <c r="BZ420" s="1">
        <v>0</v>
      </c>
      <c r="CA420" s="1">
        <v>2</v>
      </c>
      <c r="CB420" s="1" t="s">
        <v>109</v>
      </c>
      <c r="CC420" s="1">
        <v>2</v>
      </c>
      <c r="CD420" s="1" t="s">
        <v>109</v>
      </c>
      <c r="CE420" s="1">
        <v>2</v>
      </c>
      <c r="CF420" s="1" t="s">
        <v>109</v>
      </c>
      <c r="CG420" s="1" t="s">
        <v>109</v>
      </c>
      <c r="CH420" s="1" t="s">
        <v>109</v>
      </c>
      <c r="CI420" s="1" t="s">
        <v>109</v>
      </c>
      <c r="CJ420" s="1" t="s">
        <v>109</v>
      </c>
      <c r="CK420" s="1"/>
      <c r="CL420" s="1">
        <v>0</v>
      </c>
      <c r="CM420" s="1">
        <v>0</v>
      </c>
      <c r="CN420" s="1">
        <v>0</v>
      </c>
    </row>
    <row r="421" spans="1:92" ht="14.25" customHeight="1" x14ac:dyDescent="0.15">
      <c r="A421" s="1" t="s">
        <v>3878</v>
      </c>
      <c r="B421" s="1" t="s">
        <v>189</v>
      </c>
      <c r="C421" s="1"/>
      <c r="D421" s="1"/>
      <c r="E421" s="1" t="s">
        <v>3879</v>
      </c>
      <c r="F421" s="1" t="s">
        <v>98</v>
      </c>
      <c r="G421" s="1" t="s">
        <v>160</v>
      </c>
      <c r="H421" s="1">
        <v>0</v>
      </c>
      <c r="I421" s="1" t="s">
        <v>122</v>
      </c>
      <c r="J421" s="1" t="s">
        <v>3880</v>
      </c>
      <c r="K421" s="1"/>
      <c r="L421" s="1" t="s">
        <v>3881</v>
      </c>
      <c r="M421" s="1" t="s">
        <v>144</v>
      </c>
      <c r="N421" s="1">
        <v>0</v>
      </c>
      <c r="O421" s="1">
        <v>1</v>
      </c>
      <c r="P421" s="1" t="s">
        <v>3882</v>
      </c>
      <c r="Q421" s="1" t="s">
        <v>3883</v>
      </c>
      <c r="R421" s="1" t="s">
        <v>3884</v>
      </c>
      <c r="S421" s="1" t="s">
        <v>3885</v>
      </c>
      <c r="T421" s="1" t="s">
        <v>107</v>
      </c>
      <c r="U421" s="1" t="s">
        <v>3886</v>
      </c>
      <c r="V421" s="1">
        <v>1</v>
      </c>
      <c r="W421" s="1">
        <v>1</v>
      </c>
      <c r="X421" s="1">
        <v>0</v>
      </c>
      <c r="Y421" s="1">
        <v>0</v>
      </c>
      <c r="Z421" s="1">
        <v>1</v>
      </c>
      <c r="AA421" s="1" t="s">
        <v>109</v>
      </c>
      <c r="AB421" s="1" t="s">
        <v>109</v>
      </c>
      <c r="AC421" s="1" t="s">
        <v>109</v>
      </c>
      <c r="AD421" s="1">
        <v>3</v>
      </c>
      <c r="AE421" s="1" t="s">
        <v>109</v>
      </c>
      <c r="AF421" s="1" t="s">
        <v>109</v>
      </c>
      <c r="AG421" s="1" t="s">
        <v>109</v>
      </c>
      <c r="AH421" s="1" t="s">
        <v>109</v>
      </c>
      <c r="AI421" s="1" t="s">
        <v>109</v>
      </c>
      <c r="AJ421" s="1" t="s">
        <v>109</v>
      </c>
      <c r="AK421" s="1" t="s">
        <v>109</v>
      </c>
      <c r="AL421" s="1" t="s">
        <v>109</v>
      </c>
      <c r="AM421" s="1" t="s">
        <v>109</v>
      </c>
      <c r="AN421" s="1" t="s">
        <v>109</v>
      </c>
      <c r="AO421" s="1" t="s">
        <v>109</v>
      </c>
      <c r="AP421" s="1"/>
      <c r="AQ421" s="1">
        <v>3</v>
      </c>
      <c r="AR421" s="1"/>
      <c r="AS421" s="1" t="s">
        <v>3887</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5" t="str">
        <f>HYPERLINK("http://www.d20pfsrd.com/magic/all-spells/q/quench","Quench")</f>
        <v>Quench</v>
      </c>
      <c r="BT421" s="1">
        <v>422</v>
      </c>
      <c r="BU421" s="1" t="s">
        <v>109</v>
      </c>
      <c r="BV421" s="1"/>
      <c r="BW421" s="1"/>
      <c r="BX421" s="1"/>
      <c r="BY421" s="1"/>
      <c r="BZ421" s="1">
        <v>0</v>
      </c>
      <c r="CA421" s="1" t="s">
        <v>109</v>
      </c>
      <c r="CB421" s="1" t="s">
        <v>109</v>
      </c>
      <c r="CC421" s="1" t="s">
        <v>109</v>
      </c>
      <c r="CD421" s="1" t="s">
        <v>109</v>
      </c>
      <c r="CE421" s="1" t="s">
        <v>109</v>
      </c>
      <c r="CF421" s="1" t="s">
        <v>109</v>
      </c>
      <c r="CG421" s="1" t="s">
        <v>109</v>
      </c>
      <c r="CH421" s="1" t="s">
        <v>109</v>
      </c>
      <c r="CI421" s="1" t="s">
        <v>109</v>
      </c>
      <c r="CJ421" s="1">
        <v>3</v>
      </c>
      <c r="CK421" s="1"/>
      <c r="CL421" s="1">
        <v>0</v>
      </c>
      <c r="CM421" s="1">
        <v>0</v>
      </c>
      <c r="CN421" s="1">
        <v>0</v>
      </c>
    </row>
    <row r="422" spans="1:92" ht="14.25" customHeight="1" x14ac:dyDescent="0.15">
      <c r="A422" s="1" t="s">
        <v>3888</v>
      </c>
      <c r="B422" s="1" t="s">
        <v>156</v>
      </c>
      <c r="C422" s="1" t="s">
        <v>157</v>
      </c>
      <c r="D422" s="1" t="s">
        <v>375</v>
      </c>
      <c r="E422" s="1" t="s">
        <v>3889</v>
      </c>
      <c r="F422" s="1" t="s">
        <v>98</v>
      </c>
      <c r="G422" s="1" t="s">
        <v>141</v>
      </c>
      <c r="H422" s="1">
        <v>0</v>
      </c>
      <c r="I422" s="1" t="s">
        <v>122</v>
      </c>
      <c r="J422" s="1"/>
      <c r="K422" s="1"/>
      <c r="L422" s="1" t="s">
        <v>3890</v>
      </c>
      <c r="M422" s="1" t="s">
        <v>3019</v>
      </c>
      <c r="N422" s="1">
        <v>1</v>
      </c>
      <c r="O422" s="1">
        <v>0</v>
      </c>
      <c r="P422" s="1" t="s">
        <v>103</v>
      </c>
      <c r="Q422" s="1" t="s">
        <v>268</v>
      </c>
      <c r="R422" s="1" t="s">
        <v>3891</v>
      </c>
      <c r="S422" s="1" t="s">
        <v>3892</v>
      </c>
      <c r="T422" s="1" t="s">
        <v>107</v>
      </c>
      <c r="U422" s="1" t="s">
        <v>3893</v>
      </c>
      <c r="V422" s="1">
        <v>1</v>
      </c>
      <c r="W422" s="1">
        <v>1</v>
      </c>
      <c r="X422" s="1">
        <v>0</v>
      </c>
      <c r="Y422" s="1">
        <v>0</v>
      </c>
      <c r="Z422" s="1">
        <v>0</v>
      </c>
      <c r="AA422" s="1">
        <v>3</v>
      </c>
      <c r="AB422" s="1">
        <v>3</v>
      </c>
      <c r="AC422" s="1" t="s">
        <v>109</v>
      </c>
      <c r="AD422" s="1" t="s">
        <v>109</v>
      </c>
      <c r="AE422" s="1" t="s">
        <v>109</v>
      </c>
      <c r="AF422" s="1">
        <v>2</v>
      </c>
      <c r="AG422" s="1" t="s">
        <v>109</v>
      </c>
      <c r="AH422" s="1">
        <v>3</v>
      </c>
      <c r="AI422" s="1">
        <v>3</v>
      </c>
      <c r="AJ422" s="1">
        <v>3</v>
      </c>
      <c r="AK422" s="1" t="s">
        <v>109</v>
      </c>
      <c r="AL422" s="1" t="s">
        <v>109</v>
      </c>
      <c r="AM422" s="1" t="s">
        <v>109</v>
      </c>
      <c r="AN422" s="1" t="s">
        <v>109</v>
      </c>
      <c r="AO422" s="1" t="s">
        <v>109</v>
      </c>
      <c r="AP422" s="1"/>
      <c r="AQ422" s="1">
        <v>3</v>
      </c>
      <c r="AR422" s="1" t="s">
        <v>3894</v>
      </c>
      <c r="AS422" s="1" t="s">
        <v>3895</v>
      </c>
      <c r="AT422" s="1">
        <v>0</v>
      </c>
      <c r="AU422" s="1">
        <v>0</v>
      </c>
      <c r="AV422" s="1">
        <v>0</v>
      </c>
      <c r="AW422" s="1">
        <v>0</v>
      </c>
      <c r="AX422" s="1">
        <v>0</v>
      </c>
      <c r="AY422" s="1">
        <v>0</v>
      </c>
      <c r="AZ422" s="1">
        <v>0</v>
      </c>
      <c r="BA422" s="1">
        <v>0</v>
      </c>
      <c r="BB422" s="1">
        <v>0</v>
      </c>
      <c r="BC422" s="1">
        <v>0</v>
      </c>
      <c r="BD422" s="1">
        <v>1</v>
      </c>
      <c r="BE422" s="1">
        <v>0</v>
      </c>
      <c r="BF422" s="1">
        <v>0</v>
      </c>
      <c r="BG422" s="1">
        <v>0</v>
      </c>
      <c r="BH422" s="1">
        <v>0</v>
      </c>
      <c r="BI422" s="1">
        <v>0</v>
      </c>
      <c r="BJ422" s="1">
        <v>0</v>
      </c>
      <c r="BK422" s="1">
        <v>0</v>
      </c>
      <c r="BL422" s="1">
        <v>0</v>
      </c>
      <c r="BM422" s="1">
        <v>1</v>
      </c>
      <c r="BN422" s="1">
        <v>0</v>
      </c>
      <c r="BO422" s="1">
        <v>0</v>
      </c>
      <c r="BP422" s="1">
        <v>0</v>
      </c>
      <c r="BQ422" s="1">
        <v>0</v>
      </c>
      <c r="BR422" s="1">
        <v>0</v>
      </c>
      <c r="BS422" s="5" t="str">
        <f>HYPERLINK("http://www.d20pfsrd.com/magic/all-spells/r/rage","Rage")</f>
        <v>Rage</v>
      </c>
      <c r="BT422" s="1">
        <v>423</v>
      </c>
      <c r="BU422" s="1" t="s">
        <v>109</v>
      </c>
      <c r="BV422" s="1" t="s">
        <v>3896</v>
      </c>
      <c r="BW422" s="1"/>
      <c r="BX422" s="1"/>
      <c r="BY422" s="1"/>
      <c r="BZ422" s="1">
        <v>0</v>
      </c>
      <c r="CA422" s="1">
        <v>3</v>
      </c>
      <c r="CB422" s="1" t="s">
        <v>109</v>
      </c>
      <c r="CC422" s="1">
        <v>3</v>
      </c>
      <c r="CD422" s="1" t="s">
        <v>109</v>
      </c>
      <c r="CE422" s="1">
        <v>2</v>
      </c>
      <c r="CF422" s="1" t="s">
        <v>109</v>
      </c>
      <c r="CG422" s="1" t="s">
        <v>109</v>
      </c>
      <c r="CH422" s="1" t="s">
        <v>109</v>
      </c>
      <c r="CI422" s="1" t="s">
        <v>109</v>
      </c>
      <c r="CJ422" s="1" t="s">
        <v>109</v>
      </c>
      <c r="CK422" s="1"/>
      <c r="CL422" s="1">
        <v>0</v>
      </c>
      <c r="CM422" s="1">
        <v>0</v>
      </c>
      <c r="CN422" s="1">
        <v>0</v>
      </c>
    </row>
    <row r="423" spans="1:92" ht="14.25" customHeight="1" x14ac:dyDescent="0.15">
      <c r="A423" s="1" t="s">
        <v>3897</v>
      </c>
      <c r="B423" s="1" t="s">
        <v>674</v>
      </c>
      <c r="C423" s="1" t="s">
        <v>944</v>
      </c>
      <c r="D423" s="1" t="s">
        <v>158</v>
      </c>
      <c r="E423" s="1" t="s">
        <v>3898</v>
      </c>
      <c r="F423" s="1" t="s">
        <v>98</v>
      </c>
      <c r="G423" s="1" t="s">
        <v>3899</v>
      </c>
      <c r="H423" s="1">
        <v>0</v>
      </c>
      <c r="I423" s="1" t="s">
        <v>122</v>
      </c>
      <c r="J423" s="1"/>
      <c r="K423" s="1" t="s">
        <v>3900</v>
      </c>
      <c r="L423" s="1"/>
      <c r="M423" s="1" t="s">
        <v>3901</v>
      </c>
      <c r="N423" s="1">
        <v>1</v>
      </c>
      <c r="O423" s="1">
        <v>0</v>
      </c>
      <c r="P423" s="1" t="s">
        <v>301</v>
      </c>
      <c r="Q423" s="1" t="s">
        <v>268</v>
      </c>
      <c r="R423" s="1" t="s">
        <v>3902</v>
      </c>
      <c r="S423" s="1" t="s">
        <v>3903</v>
      </c>
      <c r="T423" s="1" t="s">
        <v>107</v>
      </c>
      <c r="U423" s="1" t="s">
        <v>3904</v>
      </c>
      <c r="V423" s="1">
        <v>1</v>
      </c>
      <c r="W423" s="1">
        <v>1</v>
      </c>
      <c r="X423" s="1">
        <v>1</v>
      </c>
      <c r="Y423" s="1">
        <v>1</v>
      </c>
      <c r="Z423" s="1">
        <v>0</v>
      </c>
      <c r="AA423" s="1">
        <v>4</v>
      </c>
      <c r="AB423" s="1">
        <v>4</v>
      </c>
      <c r="AC423" s="1" t="s">
        <v>109</v>
      </c>
      <c r="AD423" s="1" t="s">
        <v>109</v>
      </c>
      <c r="AE423" s="1" t="s">
        <v>109</v>
      </c>
      <c r="AF423" s="1">
        <v>4</v>
      </c>
      <c r="AG423" s="1" t="s">
        <v>109</v>
      </c>
      <c r="AH423" s="1" t="s">
        <v>109</v>
      </c>
      <c r="AI423" s="1" t="s">
        <v>109</v>
      </c>
      <c r="AJ423" s="1" t="s">
        <v>109</v>
      </c>
      <c r="AK423" s="1" t="s">
        <v>109</v>
      </c>
      <c r="AL423" s="1" t="s">
        <v>109</v>
      </c>
      <c r="AM423" s="1" t="s">
        <v>109</v>
      </c>
      <c r="AN423" s="1" t="s">
        <v>109</v>
      </c>
      <c r="AO423" s="1" t="s">
        <v>109</v>
      </c>
      <c r="AP423" s="1"/>
      <c r="AQ423" s="1">
        <v>4</v>
      </c>
      <c r="AR423" s="1"/>
      <c r="AS423" s="1" t="s">
        <v>3905</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1</v>
      </c>
      <c r="BN423" s="1">
        <v>0</v>
      </c>
      <c r="BO423" s="1">
        <v>0</v>
      </c>
      <c r="BP423" s="1">
        <v>0</v>
      </c>
      <c r="BQ423" s="1">
        <v>0</v>
      </c>
      <c r="BR423" s="1">
        <v>0</v>
      </c>
      <c r="BS423" s="5" t="str">
        <f>HYPERLINK("http://www.d20pfsrd.com/magic/all-spells/r/rainbow-pattern","Rainbow Pattern")</f>
        <v>Rainbow Pattern</v>
      </c>
      <c r="BT423" s="1">
        <v>424</v>
      </c>
      <c r="BU423" s="1" t="s">
        <v>109</v>
      </c>
      <c r="BV423" s="1"/>
      <c r="BW423" s="1" t="s">
        <v>3906</v>
      </c>
      <c r="BX423" s="1"/>
      <c r="BY423" s="1"/>
      <c r="BZ423" s="1">
        <v>0</v>
      </c>
      <c r="CA423" s="1" t="s">
        <v>109</v>
      </c>
      <c r="CB423" s="1" t="s">
        <v>109</v>
      </c>
      <c r="CC423" s="1">
        <v>4</v>
      </c>
      <c r="CD423" s="1" t="s">
        <v>109</v>
      </c>
      <c r="CE423" s="1" t="s">
        <v>109</v>
      </c>
      <c r="CF423" s="1" t="s">
        <v>109</v>
      </c>
      <c r="CG423" s="1" t="s">
        <v>109</v>
      </c>
      <c r="CH423" s="1" t="s">
        <v>109</v>
      </c>
      <c r="CI423" s="1" t="s">
        <v>109</v>
      </c>
      <c r="CJ423" s="1" t="s">
        <v>109</v>
      </c>
      <c r="CK423" s="1"/>
      <c r="CL423" s="1">
        <v>0</v>
      </c>
      <c r="CM423" s="1">
        <v>0</v>
      </c>
      <c r="CN423" s="1">
        <v>0</v>
      </c>
    </row>
    <row r="424" spans="1:92" ht="14.25" customHeight="1" x14ac:dyDescent="0.15">
      <c r="A424" s="1" t="s">
        <v>3907</v>
      </c>
      <c r="B424" s="1" t="s">
        <v>95</v>
      </c>
      <c r="C424" s="1" t="s">
        <v>694</v>
      </c>
      <c r="D424" s="1"/>
      <c r="E424" s="1" t="s">
        <v>3908</v>
      </c>
      <c r="F424" s="1" t="s">
        <v>277</v>
      </c>
      <c r="G424" s="1" t="s">
        <v>3909</v>
      </c>
      <c r="H424" s="1">
        <v>1</v>
      </c>
      <c r="I424" s="1" t="s">
        <v>161</v>
      </c>
      <c r="J424" s="1"/>
      <c r="K424" s="1"/>
      <c r="L424" s="1" t="s">
        <v>3910</v>
      </c>
      <c r="M424" s="1" t="s">
        <v>144</v>
      </c>
      <c r="N424" s="1">
        <v>0</v>
      </c>
      <c r="O424" s="1">
        <v>0</v>
      </c>
      <c r="P424" s="1" t="s">
        <v>281</v>
      </c>
      <c r="Q424" s="1" t="s">
        <v>167</v>
      </c>
      <c r="R424" s="1" t="s">
        <v>3911</v>
      </c>
      <c r="S424" s="1" t="s">
        <v>3912</v>
      </c>
      <c r="T424" s="1" t="s">
        <v>107</v>
      </c>
      <c r="U424" s="1" t="s">
        <v>3913</v>
      </c>
      <c r="V424" s="1">
        <v>1</v>
      </c>
      <c r="W424" s="1">
        <v>1</v>
      </c>
      <c r="X424" s="1">
        <v>1</v>
      </c>
      <c r="Y424" s="1">
        <v>0</v>
      </c>
      <c r="Z424" s="1">
        <v>1</v>
      </c>
      <c r="AA424" s="1" t="s">
        <v>109</v>
      </c>
      <c r="AB424" s="1" t="s">
        <v>109</v>
      </c>
      <c r="AC424" s="1">
        <v>5</v>
      </c>
      <c r="AD424" s="1" t="s">
        <v>109</v>
      </c>
      <c r="AE424" s="1" t="s">
        <v>109</v>
      </c>
      <c r="AF424" s="1" t="s">
        <v>109</v>
      </c>
      <c r="AG424" s="1" t="s">
        <v>109</v>
      </c>
      <c r="AH424" s="1" t="s">
        <v>109</v>
      </c>
      <c r="AI424" s="1" t="s">
        <v>109</v>
      </c>
      <c r="AJ424" s="1">
        <v>6</v>
      </c>
      <c r="AK424" s="1" t="s">
        <v>109</v>
      </c>
      <c r="AL424" s="1">
        <v>5</v>
      </c>
      <c r="AM424" s="1" t="s">
        <v>109</v>
      </c>
      <c r="AN424" s="1" t="s">
        <v>109</v>
      </c>
      <c r="AO424" s="1">
        <v>5</v>
      </c>
      <c r="AP424" s="1"/>
      <c r="AQ424" s="1">
        <v>5</v>
      </c>
      <c r="AR424" s="1" t="s">
        <v>3914</v>
      </c>
      <c r="AS424" s="1" t="s">
        <v>3915</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5" t="str">
        <f>HYPERLINK("http://www.d20pfsrd.com/magic/all-spells/r/raise-dead","Raise Dead")</f>
        <v>Raise Dead</v>
      </c>
      <c r="BT424" s="1">
        <v>425</v>
      </c>
      <c r="BU424" s="1">
        <v>5000</v>
      </c>
      <c r="BV424" s="1"/>
      <c r="BW424" s="1"/>
      <c r="BX424" s="1"/>
      <c r="BY424" s="1"/>
      <c r="BZ424" s="1">
        <v>0</v>
      </c>
      <c r="CA424" s="1" t="s">
        <v>109</v>
      </c>
      <c r="CB424" s="1">
        <v>6</v>
      </c>
      <c r="CC424" s="1" t="s">
        <v>109</v>
      </c>
      <c r="CD424" s="1" t="s">
        <v>109</v>
      </c>
      <c r="CE424" s="1" t="s">
        <v>109</v>
      </c>
      <c r="CF424" s="1" t="s">
        <v>109</v>
      </c>
      <c r="CG424" s="1">
        <v>5</v>
      </c>
      <c r="CH424" s="1" t="s">
        <v>109</v>
      </c>
      <c r="CI424" s="1" t="s">
        <v>109</v>
      </c>
      <c r="CJ424" s="1" t="s">
        <v>109</v>
      </c>
      <c r="CK424" s="1"/>
      <c r="CL424" s="1">
        <v>0</v>
      </c>
      <c r="CM424" s="1">
        <v>0</v>
      </c>
      <c r="CN424" s="1">
        <v>0</v>
      </c>
    </row>
    <row r="425" spans="1:92" ht="14.25" customHeight="1" x14ac:dyDescent="0.15">
      <c r="A425" s="1" t="s">
        <v>3916</v>
      </c>
      <c r="B425" s="1" t="s">
        <v>308</v>
      </c>
      <c r="C425" s="1"/>
      <c r="D425" s="1"/>
      <c r="E425" s="1" t="s">
        <v>3917</v>
      </c>
      <c r="F425" s="1" t="s">
        <v>98</v>
      </c>
      <c r="G425" s="1" t="s">
        <v>141</v>
      </c>
      <c r="H425" s="1">
        <v>0</v>
      </c>
      <c r="I425" s="1" t="s">
        <v>142</v>
      </c>
      <c r="J425" s="1"/>
      <c r="K425" s="1" t="s">
        <v>1506</v>
      </c>
      <c r="L425" s="1"/>
      <c r="M425" s="1" t="s">
        <v>125</v>
      </c>
      <c r="N425" s="1">
        <v>0</v>
      </c>
      <c r="O425" s="1">
        <v>0</v>
      </c>
      <c r="P425" s="1" t="s">
        <v>2672</v>
      </c>
      <c r="Q425" s="1" t="s">
        <v>268</v>
      </c>
      <c r="R425" s="1" t="s">
        <v>3918</v>
      </c>
      <c r="S425" s="1" t="s">
        <v>3919</v>
      </c>
      <c r="T425" s="1" t="s">
        <v>107</v>
      </c>
      <c r="U425" s="1" t="s">
        <v>3920</v>
      </c>
      <c r="V425" s="1">
        <v>1</v>
      </c>
      <c r="W425" s="1">
        <v>1</v>
      </c>
      <c r="X425" s="1">
        <v>0</v>
      </c>
      <c r="Y425" s="1">
        <v>0</v>
      </c>
      <c r="Z425" s="1">
        <v>0</v>
      </c>
      <c r="AA425" s="1">
        <v>1</v>
      </c>
      <c r="AB425" s="1">
        <v>1</v>
      </c>
      <c r="AC425" s="1" t="s">
        <v>109</v>
      </c>
      <c r="AD425" s="1" t="s">
        <v>109</v>
      </c>
      <c r="AE425" s="1" t="s">
        <v>109</v>
      </c>
      <c r="AF425" s="1" t="s">
        <v>109</v>
      </c>
      <c r="AG425" s="1" t="s">
        <v>109</v>
      </c>
      <c r="AH425" s="1" t="s">
        <v>109</v>
      </c>
      <c r="AI425" s="1" t="s">
        <v>109</v>
      </c>
      <c r="AJ425" s="1">
        <v>1</v>
      </c>
      <c r="AK425" s="1" t="s">
        <v>109</v>
      </c>
      <c r="AL425" s="1" t="s">
        <v>109</v>
      </c>
      <c r="AM425" s="1" t="s">
        <v>109</v>
      </c>
      <c r="AN425" s="1">
        <v>1</v>
      </c>
      <c r="AO425" s="1" t="s">
        <v>109</v>
      </c>
      <c r="AP425" s="1"/>
      <c r="AQ425" s="1">
        <v>1</v>
      </c>
      <c r="AR425" s="1"/>
      <c r="AS425" s="1" t="s">
        <v>3921</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5" t="str">
        <f>HYPERLINK("http://www.d20pfsrd.com/magic/all-spells/r/ray-of-enfeeblement","Ray of Enfeeblement")</f>
        <v>Ray of Enfeeblement</v>
      </c>
      <c r="BT425" s="1">
        <v>426</v>
      </c>
      <c r="BU425" s="1" t="s">
        <v>109</v>
      </c>
      <c r="BV425" s="1" t="s">
        <v>3922</v>
      </c>
      <c r="BW425" s="1"/>
      <c r="BX425" s="1" t="s">
        <v>3923</v>
      </c>
      <c r="BY425" s="1"/>
      <c r="BZ425" s="1">
        <v>1</v>
      </c>
      <c r="CA425" s="1">
        <v>1</v>
      </c>
      <c r="CB425" s="1" t="s">
        <v>109</v>
      </c>
      <c r="CC425" s="1" t="s">
        <v>109</v>
      </c>
      <c r="CD425" s="1" t="s">
        <v>109</v>
      </c>
      <c r="CE425" s="1">
        <v>1</v>
      </c>
      <c r="CF425" s="1" t="s">
        <v>109</v>
      </c>
      <c r="CG425" s="1" t="s">
        <v>109</v>
      </c>
      <c r="CH425" s="1" t="s">
        <v>109</v>
      </c>
      <c r="CI425" s="1" t="s">
        <v>109</v>
      </c>
      <c r="CJ425" s="1" t="s">
        <v>109</v>
      </c>
      <c r="CK425" s="1"/>
      <c r="CL425" s="1">
        <v>0</v>
      </c>
      <c r="CM425" s="1">
        <v>0</v>
      </c>
      <c r="CN425" s="1">
        <v>0</v>
      </c>
    </row>
    <row r="426" spans="1:92" ht="14.25" customHeight="1" x14ac:dyDescent="0.15">
      <c r="A426" s="1" t="s">
        <v>3924</v>
      </c>
      <c r="B426" s="1" t="s">
        <v>308</v>
      </c>
      <c r="C426" s="1"/>
      <c r="D426" s="1"/>
      <c r="E426" s="1" t="s">
        <v>3925</v>
      </c>
      <c r="F426" s="1" t="s">
        <v>98</v>
      </c>
      <c r="G426" s="1" t="s">
        <v>3926</v>
      </c>
      <c r="H426" s="1">
        <v>0</v>
      </c>
      <c r="I426" s="1" t="s">
        <v>142</v>
      </c>
      <c r="J426" s="1"/>
      <c r="K426" s="1" t="s">
        <v>1506</v>
      </c>
      <c r="L426" s="1"/>
      <c r="M426" s="1" t="s">
        <v>164</v>
      </c>
      <c r="N426" s="1">
        <v>0</v>
      </c>
      <c r="O426" s="1">
        <v>0</v>
      </c>
      <c r="P426" s="1" t="s">
        <v>934</v>
      </c>
      <c r="Q426" s="1" t="s">
        <v>268</v>
      </c>
      <c r="R426" s="1" t="s">
        <v>3927</v>
      </c>
      <c r="S426" s="1" t="s">
        <v>3928</v>
      </c>
      <c r="T426" s="1" t="s">
        <v>107</v>
      </c>
      <c r="U426" s="1" t="s">
        <v>3929</v>
      </c>
      <c r="V426" s="1">
        <v>1</v>
      </c>
      <c r="W426" s="1">
        <v>1</v>
      </c>
      <c r="X426" s="1">
        <v>1</v>
      </c>
      <c r="Y426" s="1">
        <v>0</v>
      </c>
      <c r="Z426" s="1">
        <v>0</v>
      </c>
      <c r="AA426" s="1">
        <v>3</v>
      </c>
      <c r="AB426" s="1">
        <v>3</v>
      </c>
      <c r="AC426" s="1" t="s">
        <v>109</v>
      </c>
      <c r="AD426" s="1" t="s">
        <v>109</v>
      </c>
      <c r="AE426" s="1" t="s">
        <v>109</v>
      </c>
      <c r="AF426" s="1" t="s">
        <v>109</v>
      </c>
      <c r="AG426" s="1" t="s">
        <v>109</v>
      </c>
      <c r="AH426" s="1" t="s">
        <v>109</v>
      </c>
      <c r="AI426" s="1" t="s">
        <v>109</v>
      </c>
      <c r="AJ426" s="1">
        <v>3</v>
      </c>
      <c r="AK426" s="1" t="s">
        <v>109</v>
      </c>
      <c r="AL426" s="1" t="s">
        <v>109</v>
      </c>
      <c r="AM426" s="1" t="s">
        <v>109</v>
      </c>
      <c r="AN426" s="1">
        <v>3</v>
      </c>
      <c r="AO426" s="1" t="s">
        <v>109</v>
      </c>
      <c r="AP426" s="1"/>
      <c r="AQ426" s="1">
        <v>3</v>
      </c>
      <c r="AR426" s="1"/>
      <c r="AS426" s="1" t="s">
        <v>3930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5" t="str">
        <f>HYPERLINK("http://www.d20pfsrd.com/magic/all-spells/r/ray-of-exhaustion","Ray of Exhaustion")</f>
        <v>Ray of Exhaustion</v>
      </c>
      <c r="BT426" s="1">
        <v>427</v>
      </c>
      <c r="BU426" s="1" t="s">
        <v>109</v>
      </c>
      <c r="BV426" s="1" t="s">
        <v>3931</v>
      </c>
      <c r="BW426" s="1"/>
      <c r="BX426" s="1"/>
      <c r="BY426" s="1"/>
      <c r="BZ426" s="1">
        <v>0</v>
      </c>
      <c r="CA426" s="1">
        <v>3</v>
      </c>
      <c r="CB426" s="1" t="s">
        <v>109</v>
      </c>
      <c r="CC426" s="1" t="s">
        <v>109</v>
      </c>
      <c r="CD426" s="1" t="s">
        <v>109</v>
      </c>
      <c r="CE426" s="1">
        <v>3</v>
      </c>
      <c r="CF426" s="1" t="s">
        <v>109</v>
      </c>
      <c r="CG426" s="1">
        <v>3</v>
      </c>
      <c r="CH426" s="1" t="s">
        <v>109</v>
      </c>
      <c r="CI426" s="1" t="s">
        <v>109</v>
      </c>
      <c r="CJ426" s="1" t="s">
        <v>109</v>
      </c>
      <c r="CK426" s="1"/>
      <c r="CL426" s="1">
        <v>0</v>
      </c>
      <c r="CM426" s="1">
        <v>0</v>
      </c>
      <c r="CN426" s="1">
        <v>0</v>
      </c>
    </row>
    <row r="427" spans="1:92" ht="14.25" customHeight="1" x14ac:dyDescent="0.15">
      <c r="A427" s="1" t="s">
        <v>3932</v>
      </c>
      <c r="B427" s="1" t="s">
        <v>584</v>
      </c>
      <c r="C427" s="1"/>
      <c r="D427" s="1" t="s">
        <v>49</v>
      </c>
      <c r="E427" s="1" t="s">
        <v>3933</v>
      </c>
      <c r="F427" s="1" t="s">
        <v>98</v>
      </c>
      <c r="G427" s="1" t="s">
        <v>141</v>
      </c>
      <c r="H427" s="1">
        <v>0</v>
      </c>
      <c r="I427" s="1" t="s">
        <v>142</v>
      </c>
      <c r="J427" s="1"/>
      <c r="K427" s="1" t="s">
        <v>1506</v>
      </c>
      <c r="L427" s="1"/>
      <c r="M427" s="1" t="s">
        <v>144</v>
      </c>
      <c r="N427" s="1">
        <v>0</v>
      </c>
      <c r="O427" s="1">
        <v>0</v>
      </c>
      <c r="P427" s="1" t="s">
        <v>103</v>
      </c>
      <c r="Q427" s="1" t="s">
        <v>268</v>
      </c>
      <c r="R427" s="1" t="s">
        <v>3934</v>
      </c>
      <c r="S427" s="1" t="s">
        <v>3935</v>
      </c>
      <c r="T427" s="1" t="s">
        <v>107</v>
      </c>
      <c r="U427" s="1" t="s">
        <v>3936</v>
      </c>
      <c r="V427" s="1">
        <v>1</v>
      </c>
      <c r="W427" s="1">
        <v>1</v>
      </c>
      <c r="X427" s="1">
        <v>0</v>
      </c>
      <c r="Y427" s="1">
        <v>0</v>
      </c>
      <c r="Z427" s="1">
        <v>0</v>
      </c>
      <c r="AA427" s="1">
        <v>0</v>
      </c>
      <c r="AB427" s="1">
        <v>0</v>
      </c>
      <c r="AC427" s="1" t="s">
        <v>109</v>
      </c>
      <c r="AD427" s="1" t="s">
        <v>109</v>
      </c>
      <c r="AE427" s="1" t="s">
        <v>109</v>
      </c>
      <c r="AF427" s="1" t="s">
        <v>109</v>
      </c>
      <c r="AG427" s="1" t="s">
        <v>109</v>
      </c>
      <c r="AH427" s="1" t="s">
        <v>109</v>
      </c>
      <c r="AI427" s="1" t="s">
        <v>109</v>
      </c>
      <c r="AJ427" s="1" t="s">
        <v>109</v>
      </c>
      <c r="AK427" s="1" t="s">
        <v>109</v>
      </c>
      <c r="AL427" s="1" t="s">
        <v>109</v>
      </c>
      <c r="AM427" s="1" t="s">
        <v>109</v>
      </c>
      <c r="AN427" s="1">
        <v>0</v>
      </c>
      <c r="AO427" s="1" t="s">
        <v>109</v>
      </c>
      <c r="AP427" s="1"/>
      <c r="AQ427" s="1">
        <v>0</v>
      </c>
      <c r="AR427" s="1"/>
      <c r="AS427" s="1" t="s">
        <v>3937</v>
      </c>
      <c r="AT427" s="1">
        <v>0</v>
      </c>
      <c r="AU427" s="1">
        <v>0</v>
      </c>
      <c r="AV427" s="1">
        <v>0</v>
      </c>
      <c r="AW427" s="1">
        <v>1</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5" t="str">
        <f>HYPERLINK("http://www.d20pfsrd.com/magic/all-spells/r/ray-of-frost","Ray of Frost")</f>
        <v>Ray of Frost</v>
      </c>
      <c r="BT427" s="1">
        <v>428</v>
      </c>
      <c r="BU427" s="1" t="s">
        <v>109</v>
      </c>
      <c r="BV427" s="1"/>
      <c r="BW427" s="1"/>
      <c r="BX427" s="1"/>
      <c r="BY427" s="1"/>
      <c r="BZ427" s="1">
        <v>0</v>
      </c>
      <c r="CA427" s="1" t="s">
        <v>109</v>
      </c>
      <c r="CB427" s="1" t="s">
        <v>109</v>
      </c>
      <c r="CC427" s="1" t="s">
        <v>109</v>
      </c>
      <c r="CD427" s="1" t="s">
        <v>109</v>
      </c>
      <c r="CE427" s="1" t="s">
        <v>109</v>
      </c>
      <c r="CF427" s="1" t="s">
        <v>109</v>
      </c>
      <c r="CG427" s="1" t="s">
        <v>109</v>
      </c>
      <c r="CH427" s="1" t="s">
        <v>109</v>
      </c>
      <c r="CI427" s="1" t="s">
        <v>109</v>
      </c>
      <c r="CJ427" s="1" t="s">
        <v>109</v>
      </c>
      <c r="CK427" s="1"/>
      <c r="CL427" s="1">
        <v>0</v>
      </c>
      <c r="CM427" s="1">
        <v>0</v>
      </c>
      <c r="CN427" s="1">
        <v>0</v>
      </c>
    </row>
    <row r="428" spans="1:92" ht="14.25" customHeight="1" x14ac:dyDescent="0.15">
      <c r="A428" s="1" t="s">
        <v>3938</v>
      </c>
      <c r="B428" s="1" t="s">
        <v>254</v>
      </c>
      <c r="C428" s="1"/>
      <c r="D428" s="1"/>
      <c r="E428" s="1" t="s">
        <v>3939</v>
      </c>
      <c r="F428" s="1" t="s">
        <v>98</v>
      </c>
      <c r="G428" s="1" t="s">
        <v>3940</v>
      </c>
      <c r="H428" s="1">
        <v>0</v>
      </c>
      <c r="I428" s="1" t="s">
        <v>235</v>
      </c>
      <c r="J428" s="1"/>
      <c r="K428" s="1"/>
      <c r="L428" s="1" t="s">
        <v>236</v>
      </c>
      <c r="M428" s="1" t="s">
        <v>194</v>
      </c>
      <c r="N428" s="1">
        <v>0</v>
      </c>
      <c r="O428" s="1">
        <v>0</v>
      </c>
      <c r="P428" s="1"/>
      <c r="Q428" s="1"/>
      <c r="R428" s="1" t="s">
        <v>3941</v>
      </c>
      <c r="S428" s="1" t="s">
        <v>3942</v>
      </c>
      <c r="T428" s="1" t="s">
        <v>107</v>
      </c>
      <c r="U428" s="1" t="s">
        <v>3943</v>
      </c>
      <c r="V428" s="1">
        <v>1</v>
      </c>
      <c r="W428" s="1">
        <v>1</v>
      </c>
      <c r="X428" s="1">
        <v>0</v>
      </c>
      <c r="Y428" s="1">
        <v>1</v>
      </c>
      <c r="Z428" s="1">
        <v>0</v>
      </c>
      <c r="AA428" s="1">
        <v>0</v>
      </c>
      <c r="AB428" s="1">
        <v>0</v>
      </c>
      <c r="AC428" s="1">
        <v>0</v>
      </c>
      <c r="AD428" s="1">
        <v>0</v>
      </c>
      <c r="AE428" s="1">
        <v>1</v>
      </c>
      <c r="AF428" s="1">
        <v>0</v>
      </c>
      <c r="AG428" s="1">
        <v>1</v>
      </c>
      <c r="AH428" s="1" t="s">
        <v>109</v>
      </c>
      <c r="AI428" s="1">
        <v>0</v>
      </c>
      <c r="AJ428" s="1">
        <v>0</v>
      </c>
      <c r="AK428" s="1">
        <v>0</v>
      </c>
      <c r="AL428" s="1">
        <v>0</v>
      </c>
      <c r="AM428" s="1">
        <v>1</v>
      </c>
      <c r="AN428" s="1">
        <v>0</v>
      </c>
      <c r="AO428" s="1">
        <v>0</v>
      </c>
      <c r="AP428" s="1"/>
      <c r="AQ428" s="1">
        <v>0</v>
      </c>
      <c r="AR428" s="1"/>
      <c r="AS428" s="1" t="s">
        <v>3944</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5" t="str">
        <f>HYPERLINK("http://www.d20pfsrd.com/magic/all-spells/r/read-magic","Read Magic")</f>
        <v>Read Magic</v>
      </c>
      <c r="BT428" s="1">
        <v>429</v>
      </c>
      <c r="BU428" s="1" t="s">
        <v>109</v>
      </c>
      <c r="BV428" s="1"/>
      <c r="BW428" s="1"/>
      <c r="BX428" s="1"/>
      <c r="BY428" s="1"/>
      <c r="BZ428" s="1">
        <v>0</v>
      </c>
      <c r="CA428" s="1" t="s">
        <v>109</v>
      </c>
      <c r="CB428" s="1">
        <v>0</v>
      </c>
      <c r="CC428" s="1">
        <v>0</v>
      </c>
      <c r="CD428" s="1" t="s">
        <v>109</v>
      </c>
      <c r="CE428" s="1">
        <v>0</v>
      </c>
      <c r="CF428" s="1">
        <v>0</v>
      </c>
      <c r="CG428" s="1">
        <v>0</v>
      </c>
      <c r="CH428" s="1" t="s">
        <v>109</v>
      </c>
      <c r="CI428" s="1" t="s">
        <v>109</v>
      </c>
      <c r="CJ428" s="1">
        <v>0</v>
      </c>
      <c r="CK428" s="1"/>
      <c r="CL428" s="1">
        <v>0</v>
      </c>
      <c r="CM428" s="1">
        <v>0</v>
      </c>
      <c r="CN428" s="1">
        <v>0</v>
      </c>
    </row>
    <row r="429" spans="1:92" ht="14.25" customHeight="1" x14ac:dyDescent="0.15">
      <c r="A429" s="1" t="s">
        <v>3945</v>
      </c>
      <c r="B429" s="1" t="s">
        <v>189</v>
      </c>
      <c r="C429" s="1"/>
      <c r="D429" s="1"/>
      <c r="E429" s="1" t="s">
        <v>1822</v>
      </c>
      <c r="F429" s="1" t="s">
        <v>355</v>
      </c>
      <c r="G429" s="1" t="s">
        <v>3946</v>
      </c>
      <c r="H429" s="1">
        <v>0</v>
      </c>
      <c r="I429" s="1" t="s">
        <v>142</v>
      </c>
      <c r="J429" s="1"/>
      <c r="K429" s="1"/>
      <c r="L429" s="1" t="s">
        <v>836</v>
      </c>
      <c r="M429" s="1" t="s">
        <v>587</v>
      </c>
      <c r="N429" s="1">
        <v>1</v>
      </c>
      <c r="O429" s="1">
        <v>0</v>
      </c>
      <c r="P429" s="1" t="s">
        <v>267</v>
      </c>
      <c r="Q429" s="1" t="s">
        <v>268</v>
      </c>
      <c r="R429" s="1" t="s">
        <v>3947</v>
      </c>
      <c r="S429" s="1" t="s">
        <v>3948</v>
      </c>
      <c r="T429" s="1" t="s">
        <v>107</v>
      </c>
      <c r="U429" s="1" t="s">
        <v>3949</v>
      </c>
      <c r="V429" s="1">
        <v>1</v>
      </c>
      <c r="W429" s="1">
        <v>1</v>
      </c>
      <c r="X429" s="1">
        <v>1</v>
      </c>
      <c r="Y429" s="1">
        <v>0</v>
      </c>
      <c r="Z429" s="1">
        <v>0</v>
      </c>
      <c r="AA429" s="1">
        <v>1</v>
      </c>
      <c r="AB429" s="1">
        <v>1</v>
      </c>
      <c r="AC429" s="1" t="s">
        <v>109</v>
      </c>
      <c r="AD429" s="1" t="s">
        <v>109</v>
      </c>
      <c r="AE429" s="1" t="s">
        <v>109</v>
      </c>
      <c r="AF429" s="1" t="s">
        <v>109</v>
      </c>
      <c r="AG429" s="1" t="s">
        <v>109</v>
      </c>
      <c r="AH429" s="1">
        <v>1</v>
      </c>
      <c r="AI429" s="1">
        <v>1</v>
      </c>
      <c r="AJ429" s="1">
        <v>1</v>
      </c>
      <c r="AK429" s="1" t="s">
        <v>109</v>
      </c>
      <c r="AL429" s="1" t="s">
        <v>109</v>
      </c>
      <c r="AM429" s="1" t="s">
        <v>109</v>
      </c>
      <c r="AN429" s="1">
        <v>1</v>
      </c>
      <c r="AO429" s="1" t="s">
        <v>109</v>
      </c>
      <c r="AP429" s="1"/>
      <c r="AQ429" s="1">
        <v>1</v>
      </c>
      <c r="AR429" s="1"/>
      <c r="AS429" s="1" t="s">
        <v>3950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5" t="str">
        <f>HYPERLINK("http://www.d20pfsrd.com/magic/all-spells/r/reduce-person","Reduce Person")</f>
        <v>Reduce Person</v>
      </c>
      <c r="BT429" s="1">
        <v>430</v>
      </c>
      <c r="BU429" s="1" t="s">
        <v>109</v>
      </c>
      <c r="BV429" s="1"/>
      <c r="BW429" s="1"/>
      <c r="BX429" s="1" t="s">
        <v>3951</v>
      </c>
      <c r="BY429" s="1"/>
      <c r="BZ429" s="1">
        <v>1</v>
      </c>
      <c r="CA429" s="1">
        <v>1</v>
      </c>
      <c r="CB429" s="1" t="s">
        <v>109</v>
      </c>
      <c r="CC429" s="1">
        <v>1</v>
      </c>
      <c r="CD429" s="1" t="s">
        <v>109</v>
      </c>
      <c r="CE429" s="1" t="s">
        <v>109</v>
      </c>
      <c r="CF429" s="1">
        <v>1</v>
      </c>
      <c r="CG429" s="1" t="s">
        <v>109</v>
      </c>
      <c r="CH429" s="1" t="s">
        <v>109</v>
      </c>
      <c r="CI429" s="1" t="s">
        <v>109</v>
      </c>
      <c r="CJ429" s="1" t="s">
        <v>109</v>
      </c>
      <c r="CK429" s="1"/>
      <c r="CL429" s="1">
        <v>0</v>
      </c>
      <c r="CM429" s="1">
        <v>0</v>
      </c>
      <c r="CN429" s="1">
        <v>0</v>
      </c>
    </row>
    <row r="430" spans="1:92" ht="14.25" customHeight="1" x14ac:dyDescent="0.15">
      <c r="A430" s="1" t="s">
        <v>3952</v>
      </c>
      <c r="B430" s="1" t="s">
        <v>189</v>
      </c>
      <c r="C430" s="1"/>
      <c r="D430" s="1"/>
      <c r="E430" s="1" t="s">
        <v>3953</v>
      </c>
      <c r="F430" s="1" t="s">
        <v>98</v>
      </c>
      <c r="G430" s="1" t="s">
        <v>141</v>
      </c>
      <c r="H430" s="1">
        <v>0</v>
      </c>
      <c r="I430" s="1" t="s">
        <v>161</v>
      </c>
      <c r="J430" s="1"/>
      <c r="K430" s="1"/>
      <c r="L430" s="1" t="s">
        <v>3954</v>
      </c>
      <c r="M430" s="1" t="s">
        <v>289</v>
      </c>
      <c r="N430" s="1">
        <v>1</v>
      </c>
      <c r="O430" s="1">
        <v>0</v>
      </c>
      <c r="P430" s="1" t="s">
        <v>103</v>
      </c>
      <c r="Q430" s="1" t="s">
        <v>104</v>
      </c>
      <c r="R430" s="1" t="s">
        <v>3955</v>
      </c>
      <c r="S430" s="1" t="s">
        <v>3956</v>
      </c>
      <c r="T430" s="1" t="s">
        <v>107</v>
      </c>
      <c r="U430" s="1" t="s">
        <v>3957</v>
      </c>
      <c r="V430" s="1">
        <v>1</v>
      </c>
      <c r="W430" s="1">
        <v>1</v>
      </c>
      <c r="X430" s="1">
        <v>0</v>
      </c>
      <c r="Y430" s="1">
        <v>0</v>
      </c>
      <c r="Z430" s="1">
        <v>0</v>
      </c>
      <c r="AA430" s="1" t="s">
        <v>109</v>
      </c>
      <c r="AB430" s="1" t="s">
        <v>109</v>
      </c>
      <c r="AC430" s="1" t="s">
        <v>109</v>
      </c>
      <c r="AD430" s="1">
        <v>2</v>
      </c>
      <c r="AE430" s="1">
        <v>3</v>
      </c>
      <c r="AF430" s="1" t="s">
        <v>109</v>
      </c>
      <c r="AG430" s="1" t="s">
        <v>109</v>
      </c>
      <c r="AH430" s="1" t="s">
        <v>109</v>
      </c>
      <c r="AI430" s="1" t="s">
        <v>109</v>
      </c>
      <c r="AJ430" s="1" t="s">
        <v>109</v>
      </c>
      <c r="AK430" s="1" t="s">
        <v>109</v>
      </c>
      <c r="AL430" s="1" t="s">
        <v>109</v>
      </c>
      <c r="AM430" s="1" t="s">
        <v>109</v>
      </c>
      <c r="AN430" s="1" t="s">
        <v>109</v>
      </c>
      <c r="AO430" s="1" t="s">
        <v>109</v>
      </c>
      <c r="AP430" s="1"/>
      <c r="AQ430" s="1">
        <v>2</v>
      </c>
      <c r="AR430" s="1"/>
      <c r="AS430" s="1" t="s">
        <v>3958</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5" t="str">
        <f>HYPERLINK("http://www.d20pfsrd.com/magic/all-spells/r/reduce-animal","Reduce Animal")</f>
        <v>Reduce Animal</v>
      </c>
      <c r="BT430" s="1">
        <v>431</v>
      </c>
      <c r="BU430" s="1" t="s">
        <v>109</v>
      </c>
      <c r="BV430" s="1"/>
      <c r="BW430" s="1"/>
      <c r="BX430" s="1"/>
      <c r="BY430" s="1"/>
      <c r="BZ430" s="1">
        <v>0</v>
      </c>
      <c r="CA430" s="1" t="s">
        <v>109</v>
      </c>
      <c r="CB430" s="1" t="s">
        <v>109</v>
      </c>
      <c r="CC430" s="1" t="s">
        <v>109</v>
      </c>
      <c r="CD430" s="1" t="s">
        <v>109</v>
      </c>
      <c r="CE430" s="1" t="s">
        <v>109</v>
      </c>
      <c r="CF430" s="1" t="s">
        <v>109</v>
      </c>
      <c r="CG430" s="1" t="s">
        <v>109</v>
      </c>
      <c r="CH430" s="1" t="s">
        <v>109</v>
      </c>
      <c r="CI430" s="1" t="s">
        <v>109</v>
      </c>
      <c r="CJ430" s="1">
        <v>2</v>
      </c>
      <c r="CK430" s="1"/>
      <c r="CL430" s="1">
        <v>0</v>
      </c>
      <c r="CM430" s="1">
        <v>0</v>
      </c>
      <c r="CN430" s="1">
        <v>0</v>
      </c>
    </row>
    <row r="431" spans="1:92" ht="14.25" customHeight="1" x14ac:dyDescent="0.15">
      <c r="A431" s="1" t="s">
        <v>3959</v>
      </c>
      <c r="B431" s="1" t="s">
        <v>189</v>
      </c>
      <c r="C431" s="1"/>
      <c r="D431" s="1"/>
      <c r="E431" s="1" t="s">
        <v>1832</v>
      </c>
      <c r="F431" s="1" t="s">
        <v>355</v>
      </c>
      <c r="G431" s="1" t="s">
        <v>3946</v>
      </c>
      <c r="H431" s="1">
        <v>0</v>
      </c>
      <c r="I431" s="1" t="s">
        <v>142</v>
      </c>
      <c r="J431" s="1"/>
      <c r="K431" s="1"/>
      <c r="L431" s="1" t="s">
        <v>3960</v>
      </c>
      <c r="M431" s="1" t="s">
        <v>164</v>
      </c>
      <c r="N431" s="1">
        <v>1</v>
      </c>
      <c r="O431" s="1">
        <v>0</v>
      </c>
      <c r="P431" s="1" t="s">
        <v>267</v>
      </c>
      <c r="Q431" s="1" t="s">
        <v>268</v>
      </c>
      <c r="R431" s="1" t="s">
        <v>3961</v>
      </c>
      <c r="S431" s="1" t="s">
        <v>3962</v>
      </c>
      <c r="T431" s="1" t="s">
        <v>107</v>
      </c>
      <c r="U431" s="1" t="s">
        <v>3963</v>
      </c>
      <c r="V431" s="1">
        <v>1</v>
      </c>
      <c r="W431" s="1">
        <v>1</v>
      </c>
      <c r="X431" s="1">
        <v>1</v>
      </c>
      <c r="Y431" s="1">
        <v>0</v>
      </c>
      <c r="Z431" s="1">
        <v>0</v>
      </c>
      <c r="AA431" s="1">
        <v>4</v>
      </c>
      <c r="AB431" s="1">
        <v>4</v>
      </c>
      <c r="AC431" s="1" t="s">
        <v>109</v>
      </c>
      <c r="AD431" s="1" t="s">
        <v>109</v>
      </c>
      <c r="AE431" s="1" t="s">
        <v>109</v>
      </c>
      <c r="AF431" s="1" t="s">
        <v>109</v>
      </c>
      <c r="AG431" s="1" t="s">
        <v>109</v>
      </c>
      <c r="AH431" s="1" t="s">
        <v>109</v>
      </c>
      <c r="AI431" s="1">
        <v>3</v>
      </c>
      <c r="AJ431" s="1" t="s">
        <v>109</v>
      </c>
      <c r="AK431" s="1" t="s">
        <v>109</v>
      </c>
      <c r="AL431" s="1" t="s">
        <v>109</v>
      </c>
      <c r="AM431" s="1" t="s">
        <v>109</v>
      </c>
      <c r="AN431" s="1" t="s">
        <v>109</v>
      </c>
      <c r="AO431" s="1" t="s">
        <v>109</v>
      </c>
      <c r="AP431" s="1"/>
      <c r="AQ431" s="1">
        <v>4</v>
      </c>
      <c r="AR431" s="1"/>
      <c r="AS431" s="1" t="s">
        <v>3964</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5" t="str">
        <f>HYPERLINK("http://www.d20pfsrd.com/magic/all-spells/r/reduce-person","Reduce Person, Mass")</f>
        <v>Reduce Person, Mass</v>
      </c>
      <c r="BT431" s="1">
        <v>432</v>
      </c>
      <c r="BU431" s="1" t="s">
        <v>109</v>
      </c>
      <c r="BV431" s="1"/>
      <c r="BW431" s="1"/>
      <c r="BX431" s="1"/>
      <c r="BY431" s="1"/>
      <c r="BZ431" s="1">
        <v>0</v>
      </c>
      <c r="CA431" s="1">
        <v>4</v>
      </c>
      <c r="CB431" s="1" t="s">
        <v>109</v>
      </c>
      <c r="CC431" s="1">
        <v>4</v>
      </c>
      <c r="CD431" s="1" t="s">
        <v>109</v>
      </c>
      <c r="CE431" s="1" t="s">
        <v>109</v>
      </c>
      <c r="CF431" s="1" t="s">
        <v>109</v>
      </c>
      <c r="CG431" s="1" t="s">
        <v>109</v>
      </c>
      <c r="CH431" s="1" t="s">
        <v>109</v>
      </c>
      <c r="CI431" s="1" t="s">
        <v>109</v>
      </c>
      <c r="CJ431" s="1" t="s">
        <v>109</v>
      </c>
      <c r="CK431" s="1"/>
      <c r="CL431" s="1">
        <v>0</v>
      </c>
      <c r="CM431" s="1">
        <v>0</v>
      </c>
      <c r="CN431" s="1">
        <v>0</v>
      </c>
    </row>
    <row r="432" spans="1:92" ht="14.25" customHeight="1" x14ac:dyDescent="0.15">
      <c r="A432" s="1" t="s">
        <v>3965</v>
      </c>
      <c r="B432" s="1" t="s">
        <v>95</v>
      </c>
      <c r="C432" s="1" t="s">
        <v>1522</v>
      </c>
      <c r="D432" s="1"/>
      <c r="E432" s="1" t="s">
        <v>3966</v>
      </c>
      <c r="F432" s="1" t="s">
        <v>98</v>
      </c>
      <c r="G432" s="1" t="s">
        <v>3967</v>
      </c>
      <c r="H432" s="1">
        <v>1</v>
      </c>
      <c r="I432" s="1" t="s">
        <v>161</v>
      </c>
      <c r="J432" s="1"/>
      <c r="K432" s="1"/>
      <c r="L432" s="1" t="s">
        <v>1285</v>
      </c>
      <c r="M432" s="1" t="s">
        <v>1906</v>
      </c>
      <c r="N432" s="1">
        <v>0</v>
      </c>
      <c r="O432" s="1">
        <v>0</v>
      </c>
      <c r="P432" s="1" t="s">
        <v>103</v>
      </c>
      <c r="Q432" s="1" t="s">
        <v>104</v>
      </c>
      <c r="R432" s="1" t="s">
        <v>3968</v>
      </c>
      <c r="S432" s="1" t="s">
        <v>3969</v>
      </c>
      <c r="T432" s="1" t="s">
        <v>107</v>
      </c>
      <c r="U432" s="1" t="s">
        <v>3970</v>
      </c>
      <c r="V432" s="1">
        <v>1</v>
      </c>
      <c r="W432" s="1">
        <v>1</v>
      </c>
      <c r="X432" s="1">
        <v>1</v>
      </c>
      <c r="Y432" s="1">
        <v>0</v>
      </c>
      <c r="Z432" s="1">
        <v>0</v>
      </c>
      <c r="AA432" s="1">
        <v>9</v>
      </c>
      <c r="AB432" s="1">
        <v>9</v>
      </c>
      <c r="AC432" s="1">
        <v>7</v>
      </c>
      <c r="AD432" s="1" t="s">
        <v>109</v>
      </c>
      <c r="AE432" s="1" t="s">
        <v>109</v>
      </c>
      <c r="AF432" s="1" t="s">
        <v>109</v>
      </c>
      <c r="AG432" s="1" t="s">
        <v>109</v>
      </c>
      <c r="AH432" s="1" t="s">
        <v>109</v>
      </c>
      <c r="AI432" s="1" t="s">
        <v>109</v>
      </c>
      <c r="AJ432" s="1">
        <v>9</v>
      </c>
      <c r="AK432" s="1" t="s">
        <v>109</v>
      </c>
      <c r="AL432" s="1">
        <v>7</v>
      </c>
      <c r="AM432" s="1" t="s">
        <v>109</v>
      </c>
      <c r="AN432" s="1" t="s">
        <v>109</v>
      </c>
      <c r="AO432" s="1" t="s">
        <v>109</v>
      </c>
      <c r="AP432" s="1"/>
      <c r="AQ432" s="1">
        <v>9</v>
      </c>
      <c r="AR432" s="1" t="s">
        <v>3971</v>
      </c>
      <c r="AS432" s="1" t="s">
        <v>3972</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5" t="str">
        <f>HYPERLINK("http://www.d20pfsrd.com/magic/all-spells/r/refuge","Refuge")</f>
        <v>Refuge</v>
      </c>
      <c r="BT432" s="1">
        <v>433</v>
      </c>
      <c r="BU432" s="1">
        <v>1500</v>
      </c>
      <c r="BV432" s="1"/>
      <c r="BW432" s="1" t="s">
        <v>3973</v>
      </c>
      <c r="BX432" s="1"/>
      <c r="BY432" s="1"/>
      <c r="BZ432" s="1">
        <v>0</v>
      </c>
      <c r="CA432" s="1" t="s">
        <v>109</v>
      </c>
      <c r="CB432" s="1" t="s">
        <v>109</v>
      </c>
      <c r="CC432" s="1">
        <v>8</v>
      </c>
      <c r="CD432" s="1" t="s">
        <v>109</v>
      </c>
      <c r="CE432" s="1" t="s">
        <v>109</v>
      </c>
      <c r="CF432" s="1" t="s">
        <v>109</v>
      </c>
      <c r="CG432" s="1" t="s">
        <v>109</v>
      </c>
      <c r="CH432" s="1" t="s">
        <v>109</v>
      </c>
      <c r="CI432" s="1" t="s">
        <v>109</v>
      </c>
      <c r="CJ432" s="1" t="s">
        <v>109</v>
      </c>
      <c r="CK432" s="1"/>
      <c r="CL432" s="1">
        <v>0</v>
      </c>
      <c r="CM432" s="1">
        <v>0</v>
      </c>
      <c r="CN432" s="1">
        <v>0</v>
      </c>
    </row>
    <row r="433" spans="1:92" ht="14.25" customHeight="1" x14ac:dyDescent="0.15">
      <c r="A433" s="1" t="s">
        <v>3974</v>
      </c>
      <c r="B433" s="1" t="s">
        <v>95</v>
      </c>
      <c r="C433" s="1" t="s">
        <v>694</v>
      </c>
      <c r="D433" s="1"/>
      <c r="E433" s="1" t="s">
        <v>3975</v>
      </c>
      <c r="F433" s="1" t="s">
        <v>3976</v>
      </c>
      <c r="G433" s="1" t="s">
        <v>160</v>
      </c>
      <c r="H433" s="1">
        <v>0</v>
      </c>
      <c r="I433" s="1" t="s">
        <v>161</v>
      </c>
      <c r="J433" s="1"/>
      <c r="K433" s="1"/>
      <c r="L433" s="1" t="s">
        <v>162</v>
      </c>
      <c r="M433" s="1" t="s">
        <v>144</v>
      </c>
      <c r="N433" s="1">
        <v>0</v>
      </c>
      <c r="O433" s="1">
        <v>0</v>
      </c>
      <c r="P433" s="1" t="s">
        <v>1382</v>
      </c>
      <c r="Q433" s="1" t="s">
        <v>167</v>
      </c>
      <c r="R433" s="1" t="s">
        <v>3977</v>
      </c>
      <c r="S433" s="1" t="s">
        <v>3978</v>
      </c>
      <c r="T433" s="1" t="s">
        <v>107</v>
      </c>
      <c r="U433" s="1" t="s">
        <v>3979</v>
      </c>
      <c r="V433" s="1">
        <v>1</v>
      </c>
      <c r="W433" s="1">
        <v>1</v>
      </c>
      <c r="X433" s="1">
        <v>0</v>
      </c>
      <c r="Y433" s="1">
        <v>0</v>
      </c>
      <c r="Z433" s="1">
        <v>1</v>
      </c>
      <c r="AA433" s="1" t="s">
        <v>109</v>
      </c>
      <c r="AB433" s="1" t="s">
        <v>109</v>
      </c>
      <c r="AC433" s="1">
        <v>7</v>
      </c>
      <c r="AD433" s="1">
        <v>9</v>
      </c>
      <c r="AE433" s="1" t="s">
        <v>109</v>
      </c>
      <c r="AF433" s="1" t="s">
        <v>109</v>
      </c>
      <c r="AG433" s="1" t="s">
        <v>109</v>
      </c>
      <c r="AH433" s="1" t="s">
        <v>109</v>
      </c>
      <c r="AI433" s="1" t="s">
        <v>109</v>
      </c>
      <c r="AJ433" s="1">
        <v>7</v>
      </c>
      <c r="AK433" s="1" t="s">
        <v>109</v>
      </c>
      <c r="AL433" s="1">
        <v>7</v>
      </c>
      <c r="AM433" s="1" t="s">
        <v>109</v>
      </c>
      <c r="AN433" s="1" t="s">
        <v>109</v>
      </c>
      <c r="AO433" s="1" t="s">
        <v>109</v>
      </c>
      <c r="AP433" s="1"/>
      <c r="AQ433" s="1">
        <v>7</v>
      </c>
      <c r="AR433" s="1" t="s">
        <v>3980</v>
      </c>
      <c r="AS433" s="1" t="s">
        <v>3981</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5" t="str">
        <f>HYPERLINK("http://www.d20pfsrd.com/magic/all-spells/r/regenerate","Regenerate")</f>
        <v>Regenerate</v>
      </c>
      <c r="BT433" s="1">
        <v>434</v>
      </c>
      <c r="BU433" s="1" t="s">
        <v>109</v>
      </c>
      <c r="BV433" s="1"/>
      <c r="BW433" s="1"/>
      <c r="BX433" s="1" t="s">
        <v>3982</v>
      </c>
      <c r="BY433" s="1"/>
      <c r="BZ433" s="1">
        <v>1</v>
      </c>
      <c r="CA433" s="1" t="s">
        <v>109</v>
      </c>
      <c r="CB433" s="1">
        <v>7</v>
      </c>
      <c r="CC433" s="1" t="s">
        <v>109</v>
      </c>
      <c r="CD433" s="1" t="s">
        <v>109</v>
      </c>
      <c r="CE433" s="1" t="s">
        <v>109</v>
      </c>
      <c r="CF433" s="1" t="s">
        <v>109</v>
      </c>
      <c r="CG433" s="1" t="s">
        <v>109</v>
      </c>
      <c r="CH433" s="1" t="s">
        <v>109</v>
      </c>
      <c r="CI433" s="1" t="s">
        <v>109</v>
      </c>
      <c r="CJ433" s="1" t="s">
        <v>109</v>
      </c>
      <c r="CK433" s="1"/>
      <c r="CL433" s="1">
        <v>0</v>
      </c>
      <c r="CM433" s="1">
        <v>0</v>
      </c>
      <c r="CN433" s="1">
        <v>0</v>
      </c>
    </row>
    <row r="434" spans="1:92" ht="14.25" customHeight="1" x14ac:dyDescent="0.15">
      <c r="A434" s="1" t="s">
        <v>3983</v>
      </c>
      <c r="B434" s="1" t="s">
        <v>189</v>
      </c>
      <c r="C434" s="1"/>
      <c r="D434" s="1"/>
      <c r="E434" s="1" t="s">
        <v>3984</v>
      </c>
      <c r="F434" s="1" t="s">
        <v>395</v>
      </c>
      <c r="G434" s="1" t="s">
        <v>3985</v>
      </c>
      <c r="H434" s="1">
        <v>1</v>
      </c>
      <c r="I434" s="1" t="s">
        <v>161</v>
      </c>
      <c r="J434" s="1"/>
      <c r="K434" s="1"/>
      <c r="L434" s="1" t="s">
        <v>3910</v>
      </c>
      <c r="M434" s="1" t="s">
        <v>144</v>
      </c>
      <c r="N434" s="1">
        <v>0</v>
      </c>
      <c r="O434" s="1">
        <v>0</v>
      </c>
      <c r="P434" s="1" t="s">
        <v>281</v>
      </c>
      <c r="Q434" s="1" t="s">
        <v>167</v>
      </c>
      <c r="R434" s="1" t="s">
        <v>3986</v>
      </c>
      <c r="S434" s="1" t="s">
        <v>3987</v>
      </c>
      <c r="T434" s="1" t="s">
        <v>107</v>
      </c>
      <c r="U434" s="1" t="s">
        <v>3988</v>
      </c>
      <c r="V434" s="1">
        <v>1</v>
      </c>
      <c r="W434" s="1">
        <v>1</v>
      </c>
      <c r="X434" s="1">
        <v>1</v>
      </c>
      <c r="Y434" s="1">
        <v>0</v>
      </c>
      <c r="Z434" s="1">
        <v>1</v>
      </c>
      <c r="AA434" s="1" t="s">
        <v>109</v>
      </c>
      <c r="AB434" s="1" t="s">
        <v>109</v>
      </c>
      <c r="AC434" s="1" t="s">
        <v>109</v>
      </c>
      <c r="AD434" s="1">
        <v>4</v>
      </c>
      <c r="AE434" s="1" t="s">
        <v>109</v>
      </c>
      <c r="AF434" s="1" t="s">
        <v>109</v>
      </c>
      <c r="AG434" s="1" t="s">
        <v>109</v>
      </c>
      <c r="AH434" s="1" t="s">
        <v>109</v>
      </c>
      <c r="AI434" s="1" t="s">
        <v>109</v>
      </c>
      <c r="AJ434" s="1">
        <v>5</v>
      </c>
      <c r="AK434" s="1" t="s">
        <v>109</v>
      </c>
      <c r="AL434" s="1" t="s">
        <v>109</v>
      </c>
      <c r="AM434" s="1" t="s">
        <v>109</v>
      </c>
      <c r="AN434" s="1" t="s">
        <v>109</v>
      </c>
      <c r="AO434" s="1" t="s">
        <v>109</v>
      </c>
      <c r="AP434" s="1"/>
      <c r="AQ434" s="1">
        <v>4</v>
      </c>
      <c r="AR434" s="1"/>
      <c r="AS434" s="1" t="s">
        <v>3989</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5" t="str">
        <f>HYPERLINK("http://www.d20pfsrd.com/magic/all-spells/r/reincarnate","Reincarnate")</f>
        <v>Reincarnate</v>
      </c>
      <c r="BT434" s="1">
        <v>435</v>
      </c>
      <c r="BU434" s="1">
        <v>1000</v>
      </c>
      <c r="BV434" s="1"/>
      <c r="BW434" s="1"/>
      <c r="BX434" s="1"/>
      <c r="BY434" s="1"/>
      <c r="BZ434" s="1">
        <v>0</v>
      </c>
      <c r="CA434" s="1" t="s">
        <v>109</v>
      </c>
      <c r="CB434" s="1">
        <v>4</v>
      </c>
      <c r="CC434" s="1" t="s">
        <v>109</v>
      </c>
      <c r="CD434" s="1" t="s">
        <v>109</v>
      </c>
      <c r="CE434" s="1" t="s">
        <v>109</v>
      </c>
      <c r="CF434" s="1" t="s">
        <v>109</v>
      </c>
      <c r="CG434" s="1" t="s">
        <v>109</v>
      </c>
      <c r="CH434" s="1" t="s">
        <v>109</v>
      </c>
      <c r="CI434" s="1" t="s">
        <v>109</v>
      </c>
      <c r="CJ434" s="1">
        <v>4</v>
      </c>
      <c r="CK434" s="1"/>
      <c r="CL434" s="1">
        <v>0</v>
      </c>
      <c r="CM434" s="1">
        <v>0</v>
      </c>
      <c r="CN434" s="1">
        <v>0</v>
      </c>
    </row>
    <row r="435" spans="1:92" ht="14.25" customHeight="1" x14ac:dyDescent="0.15">
      <c r="A435" s="1" t="s">
        <v>3990</v>
      </c>
      <c r="B435" s="1" t="s">
        <v>95</v>
      </c>
      <c r="C435" s="1" t="s">
        <v>694</v>
      </c>
      <c r="D435" s="1"/>
      <c r="E435" s="1" t="s">
        <v>3991</v>
      </c>
      <c r="F435" s="1" t="s">
        <v>98</v>
      </c>
      <c r="G435" s="1" t="s">
        <v>141</v>
      </c>
      <c r="H435" s="1">
        <v>0</v>
      </c>
      <c r="I435" s="1" t="s">
        <v>161</v>
      </c>
      <c r="J435" s="1"/>
      <c r="K435" s="1"/>
      <c r="L435" s="1" t="s">
        <v>506</v>
      </c>
      <c r="M435" s="1" t="s">
        <v>144</v>
      </c>
      <c r="N435" s="1">
        <v>0</v>
      </c>
      <c r="O435" s="1">
        <v>0</v>
      </c>
      <c r="P435" s="1" t="s">
        <v>1382</v>
      </c>
      <c r="Q435" s="1" t="s">
        <v>167</v>
      </c>
      <c r="R435" s="1" t="s">
        <v>3992</v>
      </c>
      <c r="S435" s="1" t="s">
        <v>3993</v>
      </c>
      <c r="T435" s="1" t="s">
        <v>107</v>
      </c>
      <c r="U435" s="1" t="s">
        <v>3994</v>
      </c>
      <c r="V435" s="1">
        <v>1</v>
      </c>
      <c r="W435" s="1">
        <v>1</v>
      </c>
      <c r="X435" s="1">
        <v>0</v>
      </c>
      <c r="Y435" s="1">
        <v>0</v>
      </c>
      <c r="Z435" s="1">
        <v>0</v>
      </c>
      <c r="AA435" s="1" t="s">
        <v>109</v>
      </c>
      <c r="AB435" s="1" t="s">
        <v>109</v>
      </c>
      <c r="AC435" s="1">
        <v>3</v>
      </c>
      <c r="AD435" s="1" t="s">
        <v>109</v>
      </c>
      <c r="AE435" s="1" t="s">
        <v>109</v>
      </c>
      <c r="AF435" s="1" t="s">
        <v>109</v>
      </c>
      <c r="AG435" s="1">
        <v>3</v>
      </c>
      <c r="AH435" s="1">
        <v>3</v>
      </c>
      <c r="AI435" s="1" t="s">
        <v>109</v>
      </c>
      <c r="AJ435" s="1">
        <v>3</v>
      </c>
      <c r="AK435" s="1" t="s">
        <v>109</v>
      </c>
      <c r="AL435" s="1">
        <v>3</v>
      </c>
      <c r="AM435" s="1" t="s">
        <v>109</v>
      </c>
      <c r="AN435" s="1" t="s">
        <v>109</v>
      </c>
      <c r="AO435" s="1" t="s">
        <v>109</v>
      </c>
      <c r="AP435" s="1"/>
      <c r="AQ435" s="1">
        <v>3</v>
      </c>
      <c r="AR435" s="1" t="s">
        <v>3995</v>
      </c>
      <c r="AS435" s="1" t="s">
        <v>3996</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5" t="str">
        <f>HYPERLINK("http://www.d20pfsrd.com/magic/all-spells/r/remove-blindness-deafness","Remove Blindness/Deafness")</f>
        <v>Remove Blindness/Deafness</v>
      </c>
      <c r="BT435" s="1">
        <v>436</v>
      </c>
      <c r="BU435" s="1" t="s">
        <v>109</v>
      </c>
      <c r="BV435" s="1"/>
      <c r="BW435" s="1"/>
      <c r="BX435" s="1"/>
      <c r="BY435" s="1"/>
      <c r="BZ435" s="1">
        <v>0</v>
      </c>
      <c r="CA435" s="1" t="s">
        <v>109</v>
      </c>
      <c r="CB435" s="1">
        <v>3</v>
      </c>
      <c r="CC435" s="1" t="s">
        <v>109</v>
      </c>
      <c r="CD435" s="1" t="s">
        <v>109</v>
      </c>
      <c r="CE435" s="1">
        <v>3</v>
      </c>
      <c r="CF435" s="1" t="s">
        <v>109</v>
      </c>
      <c r="CG435" s="1">
        <v>3</v>
      </c>
      <c r="CH435" s="1" t="s">
        <v>109</v>
      </c>
      <c r="CI435" s="1" t="s">
        <v>109</v>
      </c>
      <c r="CJ435" s="1" t="s">
        <v>109</v>
      </c>
      <c r="CK435" s="1"/>
      <c r="CL435" s="1">
        <v>0</v>
      </c>
      <c r="CM435" s="1">
        <v>0</v>
      </c>
      <c r="CN435" s="1">
        <v>0</v>
      </c>
    </row>
    <row r="436" spans="1:92" ht="14.25" customHeight="1" x14ac:dyDescent="0.15">
      <c r="A436" s="1" t="s">
        <v>3997</v>
      </c>
      <c r="B436" s="1" t="s">
        <v>242</v>
      </c>
      <c r="C436" s="1"/>
      <c r="D436" s="1"/>
      <c r="E436" s="1" t="s">
        <v>3998</v>
      </c>
      <c r="F436" s="1" t="s">
        <v>98</v>
      </c>
      <c r="G436" s="1" t="s">
        <v>141</v>
      </c>
      <c r="H436" s="1">
        <v>0</v>
      </c>
      <c r="I436" s="1" t="s">
        <v>161</v>
      </c>
      <c r="J436" s="1"/>
      <c r="K436" s="1"/>
      <c r="L436" s="1" t="s">
        <v>3434</v>
      </c>
      <c r="M436" s="1" t="s">
        <v>144</v>
      </c>
      <c r="N436" s="1">
        <v>0</v>
      </c>
      <c r="O436" s="1">
        <v>0</v>
      </c>
      <c r="P436" s="1" t="s">
        <v>507</v>
      </c>
      <c r="Q436" s="1" t="s">
        <v>167</v>
      </c>
      <c r="R436" s="1" t="s">
        <v>3999</v>
      </c>
      <c r="S436" s="1" t="s">
        <v>4000</v>
      </c>
      <c r="T436" s="1" t="s">
        <v>107</v>
      </c>
      <c r="U436" s="1" t="s">
        <v>4001</v>
      </c>
      <c r="V436" s="1">
        <v>1</v>
      </c>
      <c r="W436" s="1">
        <v>1</v>
      </c>
      <c r="X436" s="1">
        <v>0</v>
      </c>
      <c r="Y436" s="1">
        <v>0</v>
      </c>
      <c r="Z436" s="1">
        <v>0</v>
      </c>
      <c r="AA436" s="1">
        <v>4</v>
      </c>
      <c r="AB436" s="1">
        <v>4</v>
      </c>
      <c r="AC436" s="1">
        <v>3</v>
      </c>
      <c r="AD436" s="1" t="s">
        <v>109</v>
      </c>
      <c r="AE436" s="1" t="s">
        <v>109</v>
      </c>
      <c r="AF436" s="1">
        <v>3</v>
      </c>
      <c r="AG436" s="1">
        <v>3</v>
      </c>
      <c r="AH436" s="1">
        <v>3</v>
      </c>
      <c r="AI436" s="1" t="s">
        <v>109</v>
      </c>
      <c r="AJ436" s="1">
        <v>3</v>
      </c>
      <c r="AK436" s="1">
        <v>3</v>
      </c>
      <c r="AL436" s="1">
        <v>3</v>
      </c>
      <c r="AM436" s="1" t="s">
        <v>109</v>
      </c>
      <c r="AN436" s="1" t="s">
        <v>109</v>
      </c>
      <c r="AO436" s="1">
        <v>3</v>
      </c>
      <c r="AP436" s="1"/>
      <c r="AQ436" s="1">
        <v>4</v>
      </c>
      <c r="AR436" s="1" t="s">
        <v>4002</v>
      </c>
      <c r="AS436" s="1" t="s">
        <v>4003</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5" t="str">
        <f>HYPERLINK("http://www.d20pfsrd.com/magic/all-spells/r/remove-curse","Remove Curse")</f>
        <v>Remove Curse</v>
      </c>
      <c r="BT436" s="1">
        <v>437</v>
      </c>
      <c r="BU436" s="1" t="s">
        <v>109</v>
      </c>
      <c r="BV436" s="1" t="s">
        <v>4004</v>
      </c>
      <c r="BW436" s="1"/>
      <c r="BX436" s="1"/>
      <c r="BY436" s="1"/>
      <c r="BZ436" s="1">
        <v>0</v>
      </c>
      <c r="CA436" s="1" t="s">
        <v>109</v>
      </c>
      <c r="CB436" s="1">
        <v>3</v>
      </c>
      <c r="CC436" s="1" t="s">
        <v>109</v>
      </c>
      <c r="CD436" s="1" t="s">
        <v>109</v>
      </c>
      <c r="CE436" s="1">
        <v>3</v>
      </c>
      <c r="CF436" s="1" t="s">
        <v>109</v>
      </c>
      <c r="CG436" s="1">
        <v>3</v>
      </c>
      <c r="CH436" s="1" t="s">
        <v>109</v>
      </c>
      <c r="CI436" s="1" t="s">
        <v>109</v>
      </c>
      <c r="CJ436" s="1" t="s">
        <v>109</v>
      </c>
      <c r="CK436" s="1"/>
      <c r="CL436" s="1">
        <v>0</v>
      </c>
      <c r="CM436" s="1">
        <v>0</v>
      </c>
      <c r="CN436" s="1">
        <v>0</v>
      </c>
    </row>
    <row r="437" spans="1:92" ht="14.25" customHeight="1" x14ac:dyDescent="0.15">
      <c r="A437" s="1" t="s">
        <v>4005</v>
      </c>
      <c r="B437" s="1" t="s">
        <v>95</v>
      </c>
      <c r="C437" s="1" t="s">
        <v>694</v>
      </c>
      <c r="D437" s="1"/>
      <c r="E437" s="1" t="s">
        <v>4006</v>
      </c>
      <c r="F437" s="1" t="s">
        <v>98</v>
      </c>
      <c r="G437" s="1" t="s">
        <v>141</v>
      </c>
      <c r="H437" s="1">
        <v>0</v>
      </c>
      <c r="I437" s="1" t="s">
        <v>161</v>
      </c>
      <c r="J437" s="1"/>
      <c r="K437" s="1"/>
      <c r="L437" s="1" t="s">
        <v>506</v>
      </c>
      <c r="M437" s="1" t="s">
        <v>144</v>
      </c>
      <c r="N437" s="1">
        <v>0</v>
      </c>
      <c r="O437" s="1">
        <v>0</v>
      </c>
      <c r="P437" s="1" t="s">
        <v>1382</v>
      </c>
      <c r="Q437" s="1" t="s">
        <v>167</v>
      </c>
      <c r="R437" s="1" t="s">
        <v>4007</v>
      </c>
      <c r="S437" s="1" t="s">
        <v>4008</v>
      </c>
      <c r="T437" s="1" t="s">
        <v>107</v>
      </c>
      <c r="U437" s="1" t="s">
        <v>4009</v>
      </c>
      <c r="V437" s="1">
        <v>1</v>
      </c>
      <c r="W437" s="1">
        <v>1</v>
      </c>
      <c r="X437" s="1">
        <v>0</v>
      </c>
      <c r="Y437" s="1">
        <v>0</v>
      </c>
      <c r="Z437" s="1">
        <v>0</v>
      </c>
      <c r="AA437" s="1" t="s">
        <v>109</v>
      </c>
      <c r="AB437" s="1" t="s">
        <v>109</v>
      </c>
      <c r="AC437" s="1">
        <v>3</v>
      </c>
      <c r="AD437" s="1">
        <v>3</v>
      </c>
      <c r="AE437" s="1">
        <v>3</v>
      </c>
      <c r="AF437" s="1" t="s">
        <v>109</v>
      </c>
      <c r="AG437" s="1" t="s">
        <v>109</v>
      </c>
      <c r="AH437" s="1">
        <v>3</v>
      </c>
      <c r="AI437" s="1" t="s">
        <v>109</v>
      </c>
      <c r="AJ437" s="1">
        <v>3</v>
      </c>
      <c r="AK437" s="1">
        <v>3</v>
      </c>
      <c r="AL437" s="1">
        <v>3</v>
      </c>
      <c r="AM437" s="1" t="s">
        <v>109</v>
      </c>
      <c r="AN437" s="1" t="s">
        <v>109</v>
      </c>
      <c r="AO437" s="1">
        <v>3</v>
      </c>
      <c r="AP437" s="1"/>
      <c r="AQ437" s="1">
        <v>3</v>
      </c>
      <c r="AR437" s="1" t="s">
        <v>4010</v>
      </c>
      <c r="AS437" s="1" t="s">
        <v>4011</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5" t="str">
        <f>HYPERLINK("http://www.d20pfsrd.com/magic/all-spells/r/remove-disease","Remove Disease")</f>
        <v>Remove Disease</v>
      </c>
      <c r="BT437" s="1">
        <v>438</v>
      </c>
      <c r="BU437" s="1" t="s">
        <v>109</v>
      </c>
      <c r="BV437" s="1"/>
      <c r="BW437" s="1" t="s">
        <v>2505</v>
      </c>
      <c r="BX437" s="1"/>
      <c r="BY437" s="1"/>
      <c r="BZ437" s="1">
        <v>0</v>
      </c>
      <c r="CA437" s="1" t="s">
        <v>109</v>
      </c>
      <c r="CB437" s="1" t="s">
        <v>109</v>
      </c>
      <c r="CC437" s="1" t="s">
        <v>109</v>
      </c>
      <c r="CD437" s="1" t="s">
        <v>109</v>
      </c>
      <c r="CE437" s="1" t="s">
        <v>109</v>
      </c>
      <c r="CF437" s="1" t="s">
        <v>109</v>
      </c>
      <c r="CG437" s="1">
        <v>3</v>
      </c>
      <c r="CH437" s="1" t="s">
        <v>109</v>
      </c>
      <c r="CI437" s="1" t="s">
        <v>109</v>
      </c>
      <c r="CJ437" s="1">
        <v>3</v>
      </c>
      <c r="CK437" s="1"/>
      <c r="CL437" s="1">
        <v>0</v>
      </c>
      <c r="CM437" s="1">
        <v>0</v>
      </c>
      <c r="CN437" s="1">
        <v>0</v>
      </c>
    </row>
    <row r="438" spans="1:92" ht="14.25" customHeight="1" x14ac:dyDescent="0.15">
      <c r="A438" s="1" t="s">
        <v>4012</v>
      </c>
      <c r="B438" s="1" t="s">
        <v>242</v>
      </c>
      <c r="C438" s="1"/>
      <c r="D438" s="1"/>
      <c r="E438" s="1" t="s">
        <v>4013</v>
      </c>
      <c r="F438" s="1" t="s">
        <v>98</v>
      </c>
      <c r="G438" s="1" t="s">
        <v>141</v>
      </c>
      <c r="H438" s="1">
        <v>0</v>
      </c>
      <c r="I438" s="1" t="s">
        <v>142</v>
      </c>
      <c r="J438" s="1"/>
      <c r="K438" s="1"/>
      <c r="L438" s="1" t="s">
        <v>4014</v>
      </c>
      <c r="M438" s="1" t="s">
        <v>1123</v>
      </c>
      <c r="N438" s="1">
        <v>0</v>
      </c>
      <c r="O438" s="1">
        <v>0</v>
      </c>
      <c r="P438" s="1" t="s">
        <v>507</v>
      </c>
      <c r="Q438" s="1" t="s">
        <v>167</v>
      </c>
      <c r="R438" s="1" t="s">
        <v>4015</v>
      </c>
      <c r="S438" s="1" t="s">
        <v>4016</v>
      </c>
      <c r="T438" s="1" t="s">
        <v>107</v>
      </c>
      <c r="U438" s="1" t="s">
        <v>4017</v>
      </c>
      <c r="V438" s="1">
        <v>1</v>
      </c>
      <c r="W438" s="1">
        <v>1</v>
      </c>
      <c r="X438" s="1">
        <v>0</v>
      </c>
      <c r="Y438" s="1">
        <v>0</v>
      </c>
      <c r="Z438" s="1">
        <v>0</v>
      </c>
      <c r="AA438" s="1" t="s">
        <v>109</v>
      </c>
      <c r="AB438" s="1" t="s">
        <v>109</v>
      </c>
      <c r="AC438" s="1">
        <v>1</v>
      </c>
      <c r="AD438" s="1" t="s">
        <v>109</v>
      </c>
      <c r="AE438" s="1" t="s">
        <v>109</v>
      </c>
      <c r="AF438" s="1">
        <v>1</v>
      </c>
      <c r="AG438" s="1" t="s">
        <v>109</v>
      </c>
      <c r="AH438" s="1" t="s">
        <v>109</v>
      </c>
      <c r="AI438" s="1" t="s">
        <v>109</v>
      </c>
      <c r="AJ438" s="1" t="s">
        <v>109</v>
      </c>
      <c r="AK438" s="1">
        <v>1</v>
      </c>
      <c r="AL438" s="1">
        <v>1</v>
      </c>
      <c r="AM438" s="1" t="s">
        <v>109</v>
      </c>
      <c r="AN438" s="1" t="s">
        <v>109</v>
      </c>
      <c r="AO438" s="1" t="s">
        <v>109</v>
      </c>
      <c r="AP438" s="1"/>
      <c r="AQ438" s="1">
        <v>1</v>
      </c>
      <c r="AR438" s="1" t="s">
        <v>4018</v>
      </c>
      <c r="AS438" s="1" t="s">
        <v>4019</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5" t="str">
        <f>HYPERLINK("http://www.d20pfsrd.com/magic/all-spells/r/remove-fear","Remove Fear")</f>
        <v>Remove Fear</v>
      </c>
      <c r="BT438" s="1">
        <v>439</v>
      </c>
      <c r="BU438" s="1" t="s">
        <v>109</v>
      </c>
      <c r="BV438" s="1"/>
      <c r="BW438" s="1" t="s">
        <v>1245</v>
      </c>
      <c r="BX438" s="1"/>
      <c r="BY438" s="1"/>
      <c r="BZ438" s="1">
        <v>0</v>
      </c>
      <c r="CA438" s="1" t="s">
        <v>109</v>
      </c>
      <c r="CB438" s="1">
        <v>1</v>
      </c>
      <c r="CC438" s="1">
        <v>1</v>
      </c>
      <c r="CD438" s="1" t="s">
        <v>109</v>
      </c>
      <c r="CE438" s="1">
        <v>1</v>
      </c>
      <c r="CF438" s="1" t="s">
        <v>109</v>
      </c>
      <c r="CG438" s="1">
        <v>1</v>
      </c>
      <c r="CH438" s="1" t="s">
        <v>109</v>
      </c>
      <c r="CI438" s="1" t="s">
        <v>109</v>
      </c>
      <c r="CJ438" s="1" t="s">
        <v>109</v>
      </c>
      <c r="CK438" s="1"/>
      <c r="CL438" s="1">
        <v>0</v>
      </c>
      <c r="CM438" s="1">
        <v>0</v>
      </c>
      <c r="CN438" s="1">
        <v>0</v>
      </c>
    </row>
    <row r="439" spans="1:92" ht="14.25" customHeight="1" x14ac:dyDescent="0.15">
      <c r="A439" s="1" t="s">
        <v>4020</v>
      </c>
      <c r="B439" s="1" t="s">
        <v>95</v>
      </c>
      <c r="C439" s="1" t="s">
        <v>694</v>
      </c>
      <c r="D439" s="1"/>
      <c r="E439" s="1" t="s">
        <v>4021</v>
      </c>
      <c r="F439" s="1" t="s">
        <v>98</v>
      </c>
      <c r="G439" s="1" t="s">
        <v>141</v>
      </c>
      <c r="H439" s="1">
        <v>0</v>
      </c>
      <c r="I439" s="1" t="s">
        <v>142</v>
      </c>
      <c r="J439" s="1"/>
      <c r="K439" s="1"/>
      <c r="L439" s="1" t="s">
        <v>4022</v>
      </c>
      <c r="M439" s="1" t="s">
        <v>144</v>
      </c>
      <c r="N439" s="1">
        <v>0</v>
      </c>
      <c r="O439" s="1">
        <v>0</v>
      </c>
      <c r="P439" s="1" t="s">
        <v>507</v>
      </c>
      <c r="Q439" s="1" t="s">
        <v>167</v>
      </c>
      <c r="R439" s="1" t="s">
        <v>4023</v>
      </c>
      <c r="S439" s="1" t="s">
        <v>4024</v>
      </c>
      <c r="T439" s="1" t="s">
        <v>107</v>
      </c>
      <c r="U439" s="1" t="s">
        <v>4025</v>
      </c>
      <c r="V439" s="1">
        <v>1</v>
      </c>
      <c r="W439" s="1">
        <v>1</v>
      </c>
      <c r="X439" s="1">
        <v>0</v>
      </c>
      <c r="Y439" s="1">
        <v>0</v>
      </c>
      <c r="Z439" s="1">
        <v>0</v>
      </c>
      <c r="AA439" s="1" t="s">
        <v>109</v>
      </c>
      <c r="AB439" s="1" t="s">
        <v>109</v>
      </c>
      <c r="AC439" s="1">
        <v>2</v>
      </c>
      <c r="AD439" s="1" t="s">
        <v>109</v>
      </c>
      <c r="AE439" s="1" t="s">
        <v>109</v>
      </c>
      <c r="AF439" s="1" t="s">
        <v>109</v>
      </c>
      <c r="AG439" s="1">
        <v>2</v>
      </c>
      <c r="AH439" s="1" t="s">
        <v>109</v>
      </c>
      <c r="AI439" s="1" t="s">
        <v>109</v>
      </c>
      <c r="AJ439" s="1" t="s">
        <v>109</v>
      </c>
      <c r="AK439" s="1">
        <v>2</v>
      </c>
      <c r="AL439" s="1">
        <v>2</v>
      </c>
      <c r="AM439" s="1" t="s">
        <v>109</v>
      </c>
      <c r="AN439" s="1" t="s">
        <v>109</v>
      </c>
      <c r="AO439" s="1" t="s">
        <v>109</v>
      </c>
      <c r="AP439" s="1"/>
      <c r="AQ439" s="1">
        <v>2</v>
      </c>
      <c r="AR439" s="1" t="s">
        <v>4026</v>
      </c>
      <c r="AS439" s="1" t="s">
        <v>4027</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5" t="str">
        <f>HYPERLINK("http://www.d20pfsrd.com/magic/all-spells/r/remove-paralysis","Remove Paralysis")</f>
        <v>Remove Paralysis</v>
      </c>
      <c r="BT439" s="1">
        <v>440</v>
      </c>
      <c r="BU439" s="1" t="s">
        <v>109</v>
      </c>
      <c r="BV439" s="1"/>
      <c r="BW439" s="1"/>
      <c r="BX439" s="1"/>
      <c r="BY439" s="1"/>
      <c r="BZ439" s="1">
        <v>0</v>
      </c>
      <c r="CA439" s="1" t="s">
        <v>109</v>
      </c>
      <c r="CB439" s="1">
        <v>2</v>
      </c>
      <c r="CC439" s="1" t="s">
        <v>109</v>
      </c>
      <c r="CD439" s="1" t="s">
        <v>109</v>
      </c>
      <c r="CE439" s="1" t="s">
        <v>109</v>
      </c>
      <c r="CF439" s="1" t="s">
        <v>109</v>
      </c>
      <c r="CG439" s="1">
        <v>2</v>
      </c>
      <c r="CH439" s="1" t="s">
        <v>109</v>
      </c>
      <c r="CI439" s="1" t="s">
        <v>109</v>
      </c>
      <c r="CJ439" s="1" t="s">
        <v>109</v>
      </c>
      <c r="CK439" s="1"/>
      <c r="CL439" s="1">
        <v>0</v>
      </c>
      <c r="CM439" s="1">
        <v>0</v>
      </c>
      <c r="CN439" s="1">
        <v>0</v>
      </c>
    </row>
    <row r="440" spans="1:92" ht="14.25" customHeight="1" x14ac:dyDescent="0.15">
      <c r="A440" s="1" t="s">
        <v>4028</v>
      </c>
      <c r="B440" s="1" t="s">
        <v>242</v>
      </c>
      <c r="C440" s="1"/>
      <c r="D440" s="1" t="s">
        <v>54</v>
      </c>
      <c r="E440" s="1" t="s">
        <v>1093</v>
      </c>
      <c r="F440" s="1" t="s">
        <v>98</v>
      </c>
      <c r="G440" s="1" t="s">
        <v>141</v>
      </c>
      <c r="H440" s="1">
        <v>0</v>
      </c>
      <c r="I440" s="1" t="s">
        <v>1016</v>
      </c>
      <c r="J440" s="1" t="s">
        <v>4029</v>
      </c>
      <c r="K440" s="1"/>
      <c r="L440" s="1"/>
      <c r="M440" s="1" t="s">
        <v>125</v>
      </c>
      <c r="N440" s="1">
        <v>1</v>
      </c>
      <c r="O440" s="1">
        <v>0</v>
      </c>
      <c r="P440" s="1" t="s">
        <v>103</v>
      </c>
      <c r="Q440" s="1" t="s">
        <v>104</v>
      </c>
      <c r="R440" s="1" t="s">
        <v>4030</v>
      </c>
      <c r="S440" s="1" t="s">
        <v>4031</v>
      </c>
      <c r="T440" s="1" t="s">
        <v>107</v>
      </c>
      <c r="U440" s="1" t="s">
        <v>4032</v>
      </c>
      <c r="V440" s="1">
        <v>1</v>
      </c>
      <c r="W440" s="1">
        <v>1</v>
      </c>
      <c r="X440" s="1">
        <v>0</v>
      </c>
      <c r="Y440" s="1">
        <v>0</v>
      </c>
      <c r="Z440" s="1">
        <v>0</v>
      </c>
      <c r="AA440" s="1" t="s">
        <v>109</v>
      </c>
      <c r="AB440" s="1" t="s">
        <v>109</v>
      </c>
      <c r="AC440" s="1" t="s">
        <v>109</v>
      </c>
      <c r="AD440" s="1">
        <v>8</v>
      </c>
      <c r="AE440" s="1" t="s">
        <v>109</v>
      </c>
      <c r="AF440" s="1" t="s">
        <v>109</v>
      </c>
      <c r="AG440" s="1" t="s">
        <v>109</v>
      </c>
      <c r="AH440" s="1" t="s">
        <v>109</v>
      </c>
      <c r="AI440" s="1" t="s">
        <v>109</v>
      </c>
      <c r="AJ440" s="1" t="s">
        <v>109</v>
      </c>
      <c r="AK440" s="1" t="s">
        <v>109</v>
      </c>
      <c r="AL440" s="1" t="s">
        <v>109</v>
      </c>
      <c r="AM440" s="1" t="s">
        <v>109</v>
      </c>
      <c r="AN440" s="1" t="s">
        <v>109</v>
      </c>
      <c r="AO440" s="1" t="s">
        <v>109</v>
      </c>
      <c r="AP440" s="1"/>
      <c r="AQ440" s="1">
        <v>8</v>
      </c>
      <c r="AR440" s="1"/>
      <c r="AS440" s="1" t="s">
        <v>4033</v>
      </c>
      <c r="AT440" s="1">
        <v>0</v>
      </c>
      <c r="AU440" s="1">
        <v>0</v>
      </c>
      <c r="AV440" s="1">
        <v>0</v>
      </c>
      <c r="AW440" s="1">
        <v>0</v>
      </c>
      <c r="AX440" s="1">
        <v>0</v>
      </c>
      <c r="AY440" s="1">
        <v>0</v>
      </c>
      <c r="AZ440" s="1">
        <v>0</v>
      </c>
      <c r="BA440" s="1">
        <v>0</v>
      </c>
      <c r="BB440" s="1">
        <v>1</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5" t="str">
        <f>HYPERLINK("http://www.d20pfsrd.com/magic/all-spells/r/repel-metal-or-stone","Repel Metal or Stone")</f>
        <v>Repel Metal or Stone</v>
      </c>
      <c r="BT440" s="1">
        <v>441</v>
      </c>
      <c r="BU440" s="1" t="s">
        <v>109</v>
      </c>
      <c r="BV440" s="1" t="s">
        <v>4034</v>
      </c>
      <c r="BW440" s="1" t="s">
        <v>4035</v>
      </c>
      <c r="BX440" s="1"/>
      <c r="BY440" s="1"/>
      <c r="BZ440" s="1">
        <v>0</v>
      </c>
      <c r="CA440" s="1" t="s">
        <v>109</v>
      </c>
      <c r="CB440" s="1" t="s">
        <v>109</v>
      </c>
      <c r="CC440" s="1" t="s">
        <v>109</v>
      </c>
      <c r="CD440" s="1" t="s">
        <v>109</v>
      </c>
      <c r="CE440" s="1" t="s">
        <v>109</v>
      </c>
      <c r="CF440" s="1" t="s">
        <v>109</v>
      </c>
      <c r="CG440" s="1" t="s">
        <v>109</v>
      </c>
      <c r="CH440" s="1" t="s">
        <v>109</v>
      </c>
      <c r="CI440" s="1" t="s">
        <v>109</v>
      </c>
      <c r="CJ440" s="1" t="s">
        <v>109</v>
      </c>
      <c r="CK440" s="1"/>
      <c r="CL440" s="1">
        <v>0</v>
      </c>
      <c r="CM440" s="1">
        <v>0</v>
      </c>
      <c r="CN440" s="1">
        <v>0</v>
      </c>
    </row>
    <row r="441" spans="1:92" ht="14.25" customHeight="1" x14ac:dyDescent="0.15">
      <c r="A441" s="1" t="s">
        <v>4036</v>
      </c>
      <c r="B441" s="1" t="s">
        <v>242</v>
      </c>
      <c r="C441" s="1"/>
      <c r="D441" s="1" t="s">
        <v>66</v>
      </c>
      <c r="E441" s="1" t="s">
        <v>4037</v>
      </c>
      <c r="F441" s="1" t="s">
        <v>98</v>
      </c>
      <c r="G441" s="1" t="s">
        <v>160</v>
      </c>
      <c r="H441" s="1">
        <v>0</v>
      </c>
      <c r="I441" s="1" t="s">
        <v>356</v>
      </c>
      <c r="J441" s="1" t="s">
        <v>4038</v>
      </c>
      <c r="K441" s="1"/>
      <c r="L441" s="1"/>
      <c r="M441" s="1" t="s">
        <v>194</v>
      </c>
      <c r="N441" s="1">
        <v>1</v>
      </c>
      <c r="O441" s="1">
        <v>0</v>
      </c>
      <c r="P441" s="1" t="s">
        <v>258</v>
      </c>
      <c r="Q441" s="1" t="s">
        <v>268</v>
      </c>
      <c r="R441" s="1" t="s">
        <v>4039</v>
      </c>
      <c r="S441" s="1" t="s">
        <v>4040</v>
      </c>
      <c r="T441" s="1" t="s">
        <v>107</v>
      </c>
      <c r="U441" s="1" t="s">
        <v>4041</v>
      </c>
      <c r="V441" s="1">
        <v>1</v>
      </c>
      <c r="W441" s="1">
        <v>1</v>
      </c>
      <c r="X441" s="1">
        <v>0</v>
      </c>
      <c r="Y441" s="1">
        <v>0</v>
      </c>
      <c r="Z441" s="1">
        <v>1</v>
      </c>
      <c r="AA441" s="1" t="s">
        <v>109</v>
      </c>
      <c r="AB441" s="1" t="s">
        <v>109</v>
      </c>
      <c r="AC441" s="1">
        <v>4</v>
      </c>
      <c r="AD441" s="1">
        <v>4</v>
      </c>
      <c r="AE441" s="1">
        <v>3</v>
      </c>
      <c r="AF441" s="1">
        <v>4</v>
      </c>
      <c r="AG441" s="1" t="s">
        <v>109</v>
      </c>
      <c r="AH441" s="1" t="s">
        <v>109</v>
      </c>
      <c r="AI441" s="1" t="s">
        <v>109</v>
      </c>
      <c r="AJ441" s="1" t="s">
        <v>109</v>
      </c>
      <c r="AK441" s="1" t="s">
        <v>109</v>
      </c>
      <c r="AL441" s="1">
        <v>4</v>
      </c>
      <c r="AM441" s="1" t="s">
        <v>109</v>
      </c>
      <c r="AN441" s="1" t="s">
        <v>109</v>
      </c>
      <c r="AO441" s="1" t="s">
        <v>109</v>
      </c>
      <c r="AP441" s="1"/>
      <c r="AQ441" s="1">
        <v>4</v>
      </c>
      <c r="AR441" s="1"/>
      <c r="AS441" s="1" t="s">
        <v>4042</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1</v>
      </c>
      <c r="BO441" s="1">
        <v>0</v>
      </c>
      <c r="BP441" s="1">
        <v>0</v>
      </c>
      <c r="BQ441" s="1">
        <v>0</v>
      </c>
      <c r="BR441" s="1">
        <v>0</v>
      </c>
      <c r="BS441" s="5" t="str">
        <f>HYPERLINK("http://www.d20pfsrd.com/magic/all-spells/r/repel-vermin","Repel Vermin")</f>
        <v>Repel Vermin</v>
      </c>
      <c r="BT441" s="1">
        <v>442</v>
      </c>
      <c r="BU441" s="1" t="s">
        <v>109</v>
      </c>
      <c r="BV441" s="1" t="s">
        <v>4043</v>
      </c>
      <c r="BW441" s="1"/>
      <c r="BX441" s="1"/>
      <c r="BY441" s="1"/>
      <c r="BZ441" s="1">
        <v>0</v>
      </c>
      <c r="CA441" s="1" t="s">
        <v>109</v>
      </c>
      <c r="CB441" s="1">
        <v>4</v>
      </c>
      <c r="CC441" s="1" t="s">
        <v>109</v>
      </c>
      <c r="CD441" s="1" t="s">
        <v>109</v>
      </c>
      <c r="CE441" s="1" t="s">
        <v>109</v>
      </c>
      <c r="CF441" s="1" t="s">
        <v>109</v>
      </c>
      <c r="CG441" s="1" t="s">
        <v>109</v>
      </c>
      <c r="CH441" s="1" t="s">
        <v>109</v>
      </c>
      <c r="CI441" s="1" t="s">
        <v>109</v>
      </c>
      <c r="CJ441" s="1">
        <v>3</v>
      </c>
      <c r="CK441" s="1"/>
      <c r="CL441" s="1">
        <v>0</v>
      </c>
      <c r="CM441" s="1">
        <v>0</v>
      </c>
      <c r="CN441" s="1">
        <v>0</v>
      </c>
    </row>
    <row r="442" spans="1:92" ht="14.25" customHeight="1" x14ac:dyDescent="0.15">
      <c r="A442" s="1" t="s">
        <v>4044</v>
      </c>
      <c r="B442" s="1" t="s">
        <v>189</v>
      </c>
      <c r="C442" s="1"/>
      <c r="D442" s="1"/>
      <c r="E442" s="1" t="s">
        <v>4045</v>
      </c>
      <c r="F442" s="1" t="s">
        <v>98</v>
      </c>
      <c r="G442" s="1" t="s">
        <v>141</v>
      </c>
      <c r="H442" s="1">
        <v>0</v>
      </c>
      <c r="I442" s="1" t="s">
        <v>1016</v>
      </c>
      <c r="J442" s="1" t="s">
        <v>4046</v>
      </c>
      <c r="K442" s="1"/>
      <c r="L442" s="1"/>
      <c r="M442" s="1" t="s">
        <v>587</v>
      </c>
      <c r="N442" s="1">
        <v>1</v>
      </c>
      <c r="O442" s="1">
        <v>0</v>
      </c>
      <c r="P442" s="1" t="s">
        <v>103</v>
      </c>
      <c r="Q442" s="1" t="s">
        <v>104</v>
      </c>
      <c r="R442" s="1" t="s">
        <v>4047</v>
      </c>
      <c r="S442" s="1" t="s">
        <v>4048</v>
      </c>
      <c r="T442" s="1" t="s">
        <v>107</v>
      </c>
      <c r="U442" s="1" t="s">
        <v>4049</v>
      </c>
      <c r="V442" s="1">
        <v>1</v>
      </c>
      <c r="W442" s="1">
        <v>1</v>
      </c>
      <c r="X442" s="1">
        <v>0</v>
      </c>
      <c r="Y442" s="1">
        <v>0</v>
      </c>
      <c r="Z442" s="1">
        <v>0</v>
      </c>
      <c r="AA442" s="1" t="s">
        <v>109</v>
      </c>
      <c r="AB442" s="1" t="s">
        <v>109</v>
      </c>
      <c r="AC442" s="1" t="s">
        <v>109</v>
      </c>
      <c r="AD442" s="1">
        <v>6</v>
      </c>
      <c r="AE442" s="1" t="s">
        <v>109</v>
      </c>
      <c r="AF442" s="1" t="s">
        <v>109</v>
      </c>
      <c r="AG442" s="1" t="s">
        <v>109</v>
      </c>
      <c r="AH442" s="1" t="s">
        <v>109</v>
      </c>
      <c r="AI442" s="1" t="s">
        <v>109</v>
      </c>
      <c r="AJ442" s="1" t="s">
        <v>109</v>
      </c>
      <c r="AK442" s="1" t="s">
        <v>109</v>
      </c>
      <c r="AL442" s="1" t="s">
        <v>109</v>
      </c>
      <c r="AM442" s="1" t="s">
        <v>109</v>
      </c>
      <c r="AN442" s="1" t="s">
        <v>109</v>
      </c>
      <c r="AO442" s="1" t="s">
        <v>109</v>
      </c>
      <c r="AP442" s="1"/>
      <c r="AQ442" s="1">
        <v>6</v>
      </c>
      <c r="AR442" s="1" t="s">
        <v>4050</v>
      </c>
      <c r="AS442" s="1" t="s">
        <v>4051</v>
      </c>
      <c r="AT442" s="1">
        <v>0</v>
      </c>
      <c r="AU442" s="1">
        <v>0</v>
      </c>
      <c r="AV442" s="1">
        <v>0</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5" t="str">
        <f>HYPERLINK("http://www.d20pfsrd.com/magic/all-spells/r/repel-wood","Repel Wood")</f>
        <v>Repel Wood</v>
      </c>
      <c r="BT442" s="1">
        <v>443</v>
      </c>
      <c r="BU442" s="1" t="s">
        <v>109</v>
      </c>
      <c r="BV442" s="1"/>
      <c r="BW442" s="1" t="s">
        <v>4052</v>
      </c>
      <c r="BX442" s="1" t="s">
        <v>4053</v>
      </c>
      <c r="BY442" s="1" t="s">
        <v>4054</v>
      </c>
      <c r="BZ442" s="1">
        <v>1</v>
      </c>
      <c r="CA442" s="1" t="s">
        <v>109</v>
      </c>
      <c r="CB442" s="1" t="s">
        <v>109</v>
      </c>
      <c r="CC442" s="1" t="s">
        <v>109</v>
      </c>
      <c r="CD442" s="1" t="s">
        <v>109</v>
      </c>
      <c r="CE442" s="1" t="s">
        <v>109</v>
      </c>
      <c r="CF442" s="1" t="s">
        <v>109</v>
      </c>
      <c r="CG442" s="1" t="s">
        <v>109</v>
      </c>
      <c r="CH442" s="1" t="s">
        <v>109</v>
      </c>
      <c r="CI442" s="1" t="s">
        <v>109</v>
      </c>
      <c r="CJ442" s="1">
        <v>6</v>
      </c>
      <c r="CK442" s="1"/>
      <c r="CL442" s="1">
        <v>0</v>
      </c>
      <c r="CM442" s="1">
        <v>0</v>
      </c>
      <c r="CN442" s="1">
        <v>0</v>
      </c>
    </row>
    <row r="443" spans="1:92" ht="14.25" customHeight="1" x14ac:dyDescent="0.15">
      <c r="A443" s="1" t="s">
        <v>4055</v>
      </c>
      <c r="B443" s="1" t="s">
        <v>242</v>
      </c>
      <c r="C443" s="1"/>
      <c r="D443" s="1"/>
      <c r="E443" s="1" t="s">
        <v>4056</v>
      </c>
      <c r="F443" s="1" t="s">
        <v>98</v>
      </c>
      <c r="G443" s="1" t="s">
        <v>4057</v>
      </c>
      <c r="H443" s="1">
        <v>1</v>
      </c>
      <c r="I443" s="1" t="s">
        <v>4058</v>
      </c>
      <c r="J443" s="1" t="s">
        <v>4059</v>
      </c>
      <c r="K443" s="1"/>
      <c r="L443" s="1"/>
      <c r="M443" s="1" t="s">
        <v>125</v>
      </c>
      <c r="N443" s="1">
        <v>1</v>
      </c>
      <c r="O443" s="1">
        <v>0</v>
      </c>
      <c r="P443" s="1" t="s">
        <v>301</v>
      </c>
      <c r="Q443" s="1" t="s">
        <v>268</v>
      </c>
      <c r="R443" s="1" t="s">
        <v>4060</v>
      </c>
      <c r="S443" s="1" t="s">
        <v>4061</v>
      </c>
      <c r="T443" s="1" t="s">
        <v>107</v>
      </c>
      <c r="U443" s="1" t="s">
        <v>4062</v>
      </c>
      <c r="V443" s="1">
        <v>1</v>
      </c>
      <c r="W443" s="1">
        <v>1</v>
      </c>
      <c r="X443" s="1">
        <v>0</v>
      </c>
      <c r="Y443" s="1">
        <v>1</v>
      </c>
      <c r="Z443" s="1">
        <v>1</v>
      </c>
      <c r="AA443" s="1">
        <v>6</v>
      </c>
      <c r="AB443" s="1">
        <v>6</v>
      </c>
      <c r="AC443" s="1">
        <v>7</v>
      </c>
      <c r="AD443" s="1" t="s">
        <v>109</v>
      </c>
      <c r="AE443" s="1" t="s">
        <v>109</v>
      </c>
      <c r="AF443" s="1" t="s">
        <v>109</v>
      </c>
      <c r="AG443" s="1" t="s">
        <v>109</v>
      </c>
      <c r="AH443" s="1" t="s">
        <v>109</v>
      </c>
      <c r="AI443" s="1">
        <v>5</v>
      </c>
      <c r="AJ443" s="1" t="s">
        <v>109</v>
      </c>
      <c r="AK443" s="1">
        <v>6</v>
      </c>
      <c r="AL443" s="1">
        <v>7</v>
      </c>
      <c r="AM443" s="1" t="s">
        <v>109</v>
      </c>
      <c r="AN443" s="1" t="s">
        <v>109</v>
      </c>
      <c r="AO443" s="1" t="s">
        <v>109</v>
      </c>
      <c r="AP443" s="1"/>
      <c r="AQ443" s="1">
        <v>6</v>
      </c>
      <c r="AR443" s="1" t="s">
        <v>4063</v>
      </c>
      <c r="AS443" s="1" t="s">
        <v>4064</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5" t="str">
        <f>HYPERLINK("http://www.d20pfsrd.com/magic/all-spells/r/repulsion","Repulsion")</f>
        <v>Repulsion</v>
      </c>
      <c r="BT443" s="1">
        <v>444</v>
      </c>
      <c r="BU443" s="1">
        <v>50</v>
      </c>
      <c r="BV443" s="1" t="s">
        <v>4065</v>
      </c>
      <c r="BW443" s="1" t="s">
        <v>4066</v>
      </c>
      <c r="BX443" s="1"/>
      <c r="BY443" s="1"/>
      <c r="BZ443" s="1">
        <v>0</v>
      </c>
      <c r="CA443" s="1" t="s">
        <v>109</v>
      </c>
      <c r="CB443" s="1" t="s">
        <v>109</v>
      </c>
      <c r="CC443" s="1">
        <v>7</v>
      </c>
      <c r="CD443" s="1" t="s">
        <v>109</v>
      </c>
      <c r="CE443" s="1" t="s">
        <v>109</v>
      </c>
      <c r="CF443" s="1">
        <v>6</v>
      </c>
      <c r="CG443" s="1">
        <v>6</v>
      </c>
      <c r="CH443" s="1" t="s">
        <v>109</v>
      </c>
      <c r="CI443" s="1" t="s">
        <v>109</v>
      </c>
      <c r="CJ443" s="1" t="s">
        <v>109</v>
      </c>
      <c r="CK443" s="1"/>
      <c r="CL443" s="1">
        <v>0</v>
      </c>
      <c r="CM443" s="1">
        <v>0</v>
      </c>
      <c r="CN443" s="1">
        <v>0</v>
      </c>
    </row>
    <row r="444" spans="1:92" ht="14.25" customHeight="1" x14ac:dyDescent="0.15">
      <c r="A444" s="1" t="s">
        <v>4067</v>
      </c>
      <c r="B444" s="1" t="s">
        <v>584</v>
      </c>
      <c r="C444" s="1"/>
      <c r="D444" s="1" t="s">
        <v>60</v>
      </c>
      <c r="E444" s="1" t="s">
        <v>2361</v>
      </c>
      <c r="F444" s="1" t="s">
        <v>98</v>
      </c>
      <c r="G444" s="1" t="s">
        <v>4068</v>
      </c>
      <c r="H444" s="1">
        <v>0</v>
      </c>
      <c r="I444" s="1" t="s">
        <v>142</v>
      </c>
      <c r="J444" s="1"/>
      <c r="K444" s="1" t="s">
        <v>4069</v>
      </c>
      <c r="L444" s="1"/>
      <c r="M444" s="1" t="s">
        <v>164</v>
      </c>
      <c r="N444" s="1">
        <v>1</v>
      </c>
      <c r="O444" s="1">
        <v>0</v>
      </c>
      <c r="P444" s="1" t="s">
        <v>2092</v>
      </c>
      <c r="Q444" s="1" t="s">
        <v>268</v>
      </c>
      <c r="R444" s="1" t="s">
        <v>4070</v>
      </c>
      <c r="S444" s="1" t="s">
        <v>4071</v>
      </c>
      <c r="T444" s="1" t="s">
        <v>107</v>
      </c>
      <c r="U444" s="1" t="s">
        <v>4072</v>
      </c>
      <c r="V444" s="1">
        <v>1</v>
      </c>
      <c r="W444" s="1">
        <v>1</v>
      </c>
      <c r="X444" s="1">
        <v>0</v>
      </c>
      <c r="Y444" s="1">
        <v>1</v>
      </c>
      <c r="Z444" s="1">
        <v>0</v>
      </c>
      <c r="AA444" s="1">
        <v>4</v>
      </c>
      <c r="AB444" s="1">
        <v>4</v>
      </c>
      <c r="AC444" s="1" t="s">
        <v>109</v>
      </c>
      <c r="AD444" s="1" t="s">
        <v>109</v>
      </c>
      <c r="AE444" s="1" t="s">
        <v>109</v>
      </c>
      <c r="AF444" s="1" t="s">
        <v>109</v>
      </c>
      <c r="AG444" s="1" t="s">
        <v>109</v>
      </c>
      <c r="AH444" s="1" t="s">
        <v>109</v>
      </c>
      <c r="AI444" s="1" t="s">
        <v>109</v>
      </c>
      <c r="AJ444" s="1" t="s">
        <v>109</v>
      </c>
      <c r="AK444" s="1" t="s">
        <v>109</v>
      </c>
      <c r="AL444" s="1" t="s">
        <v>109</v>
      </c>
      <c r="AM444" s="1" t="s">
        <v>109</v>
      </c>
      <c r="AN444" s="1" t="s">
        <v>109</v>
      </c>
      <c r="AO444" s="1" t="s">
        <v>109</v>
      </c>
      <c r="AP444" s="1"/>
      <c r="AQ444" s="1">
        <v>4</v>
      </c>
      <c r="AR444" s="1"/>
      <c r="AS444" s="1" t="s">
        <v>4073</v>
      </c>
      <c r="AT444" s="1">
        <v>0</v>
      </c>
      <c r="AU444" s="1">
        <v>0</v>
      </c>
      <c r="AV444" s="1">
        <v>0</v>
      </c>
      <c r="AW444" s="1">
        <v>0</v>
      </c>
      <c r="AX444" s="1">
        <v>0</v>
      </c>
      <c r="AY444" s="1">
        <v>0</v>
      </c>
      <c r="AZ444" s="1">
        <v>0</v>
      </c>
      <c r="BA444" s="1">
        <v>0</v>
      </c>
      <c r="BB444" s="1">
        <v>0</v>
      </c>
      <c r="BC444" s="1">
        <v>0</v>
      </c>
      <c r="BD444" s="1">
        <v>0</v>
      </c>
      <c r="BE444" s="1">
        <v>0</v>
      </c>
      <c r="BF444" s="1">
        <v>0</v>
      </c>
      <c r="BG444" s="1">
        <v>0</v>
      </c>
      <c r="BH444" s="1">
        <v>1</v>
      </c>
      <c r="BI444" s="1">
        <v>0</v>
      </c>
      <c r="BJ444" s="1">
        <v>0</v>
      </c>
      <c r="BK444" s="1">
        <v>0</v>
      </c>
      <c r="BL444" s="1">
        <v>0</v>
      </c>
      <c r="BM444" s="1">
        <v>0</v>
      </c>
      <c r="BN444" s="1">
        <v>0</v>
      </c>
      <c r="BO444" s="1">
        <v>0</v>
      </c>
      <c r="BP444" s="1">
        <v>0</v>
      </c>
      <c r="BQ444" s="1">
        <v>0</v>
      </c>
      <c r="BR444" s="1">
        <v>0</v>
      </c>
      <c r="BS444" s="5" t="str">
        <f>HYPERLINK("http://www.d20pfsrd.com/magic/all-spells/r/resilient-sphere","Resilient Sphere")</f>
        <v>Resilient Sphere</v>
      </c>
      <c r="BT444" s="1">
        <v>445</v>
      </c>
      <c r="BU444" s="1" t="s">
        <v>109</v>
      </c>
      <c r="BV444" s="1"/>
      <c r="BW444" s="1"/>
      <c r="BX444" s="1"/>
      <c r="BY444" s="1"/>
      <c r="BZ444" s="1">
        <v>0</v>
      </c>
      <c r="CA444" s="1" t="s">
        <v>109</v>
      </c>
      <c r="CB444" s="1" t="s">
        <v>109</v>
      </c>
      <c r="CC444" s="1">
        <v>4</v>
      </c>
      <c r="CD444" s="1" t="s">
        <v>109</v>
      </c>
      <c r="CE444" s="1" t="s">
        <v>109</v>
      </c>
      <c r="CF444" s="1">
        <v>4</v>
      </c>
      <c r="CG444" s="1" t="s">
        <v>109</v>
      </c>
      <c r="CH444" s="1" t="s">
        <v>109</v>
      </c>
      <c r="CI444" s="1" t="s">
        <v>109</v>
      </c>
      <c r="CJ444" s="1" t="s">
        <v>109</v>
      </c>
      <c r="CK444" s="1"/>
      <c r="CL444" s="1">
        <v>0</v>
      </c>
      <c r="CM444" s="1">
        <v>0</v>
      </c>
      <c r="CN444" s="1">
        <v>0</v>
      </c>
    </row>
    <row r="445" spans="1:92" ht="14.25" customHeight="1" x14ac:dyDescent="0.15">
      <c r="A445" s="1" t="s">
        <v>4074</v>
      </c>
      <c r="B445" s="1" t="s">
        <v>242</v>
      </c>
      <c r="C445" s="1"/>
      <c r="D445" s="1"/>
      <c r="E445" s="1" t="s">
        <v>4075</v>
      </c>
      <c r="F445" s="1" t="s">
        <v>98</v>
      </c>
      <c r="G445" s="1" t="s">
        <v>4076</v>
      </c>
      <c r="H445" s="1">
        <v>0</v>
      </c>
      <c r="I445" s="1" t="s">
        <v>161</v>
      </c>
      <c r="J445" s="1"/>
      <c r="K445" s="1"/>
      <c r="L445" s="1" t="s">
        <v>506</v>
      </c>
      <c r="M445" s="1" t="s">
        <v>277</v>
      </c>
      <c r="N445" s="1">
        <v>0</v>
      </c>
      <c r="O445" s="1">
        <v>0</v>
      </c>
      <c r="P445" s="1" t="s">
        <v>507</v>
      </c>
      <c r="Q445" s="1" t="s">
        <v>167</v>
      </c>
      <c r="R445" s="1" t="s">
        <v>4077</v>
      </c>
      <c r="S445" s="1" t="s">
        <v>4078</v>
      </c>
      <c r="T445" s="1" t="s">
        <v>107</v>
      </c>
      <c r="U445" s="1" t="s">
        <v>4079</v>
      </c>
      <c r="V445" s="1">
        <v>1</v>
      </c>
      <c r="W445" s="1">
        <v>1</v>
      </c>
      <c r="X445" s="1">
        <v>1</v>
      </c>
      <c r="Y445" s="1">
        <v>0</v>
      </c>
      <c r="Z445" s="1">
        <v>1</v>
      </c>
      <c r="AA445" s="1">
        <v>0</v>
      </c>
      <c r="AB445" s="1">
        <v>0</v>
      </c>
      <c r="AC445" s="1">
        <v>0</v>
      </c>
      <c r="AD445" s="1">
        <v>0</v>
      </c>
      <c r="AE445" s="1" t="s">
        <v>109</v>
      </c>
      <c r="AF445" s="1">
        <v>0</v>
      </c>
      <c r="AG445" s="1">
        <v>1</v>
      </c>
      <c r="AH445" s="1" t="s">
        <v>109</v>
      </c>
      <c r="AI445" s="1">
        <v>0</v>
      </c>
      <c r="AJ445" s="1">
        <v>0</v>
      </c>
      <c r="AK445" s="1">
        <v>0</v>
      </c>
      <c r="AL445" s="1">
        <v>0</v>
      </c>
      <c r="AM445" s="1" t="s">
        <v>109</v>
      </c>
      <c r="AN445" s="1" t="s">
        <v>109</v>
      </c>
      <c r="AO445" s="1" t="s">
        <v>109</v>
      </c>
      <c r="AP445" s="1"/>
      <c r="AQ445" s="1">
        <v>0</v>
      </c>
      <c r="AR445" s="1"/>
      <c r="AS445" s="1" t="s">
        <v>4080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5" t="str">
        <f>HYPERLINK("http://www.d20pfsrd.com/magic/all-spells/r/resistance","Resistance")</f>
        <v>Resistance</v>
      </c>
      <c r="BT445" s="1">
        <v>446</v>
      </c>
      <c r="BU445" s="1" t="s">
        <v>109</v>
      </c>
      <c r="BV445" s="1"/>
      <c r="BW445" s="1"/>
      <c r="BX445" s="1"/>
      <c r="BY445" s="1"/>
      <c r="BZ445" s="1">
        <v>0</v>
      </c>
      <c r="CA445" s="1" t="s">
        <v>109</v>
      </c>
      <c r="CB445" s="1">
        <v>0</v>
      </c>
      <c r="CC445" s="1">
        <v>0</v>
      </c>
      <c r="CD445" s="1" t="s">
        <v>109</v>
      </c>
      <c r="CE445" s="1" t="s">
        <v>109</v>
      </c>
      <c r="CF445" s="1">
        <v>0</v>
      </c>
      <c r="CG445" s="1">
        <v>0</v>
      </c>
      <c r="CH445" s="1" t="s">
        <v>109</v>
      </c>
      <c r="CI445" s="1" t="s">
        <v>109</v>
      </c>
      <c r="CJ445" s="1">
        <v>0</v>
      </c>
      <c r="CK445" s="1"/>
      <c r="CL445" s="1">
        <v>0</v>
      </c>
      <c r="CM445" s="1">
        <v>0</v>
      </c>
      <c r="CN445" s="1">
        <v>0</v>
      </c>
    </row>
    <row r="446" spans="1:92" ht="14.25" customHeight="1" x14ac:dyDescent="0.15">
      <c r="A446" s="1" t="s">
        <v>4081</v>
      </c>
      <c r="B446" s="1" t="s">
        <v>242</v>
      </c>
      <c r="C446" s="1"/>
      <c r="D446" s="1"/>
      <c r="E446" s="1" t="s">
        <v>4082</v>
      </c>
      <c r="F446" s="1" t="s">
        <v>98</v>
      </c>
      <c r="G446" s="1" t="s">
        <v>160</v>
      </c>
      <c r="H446" s="1">
        <v>0</v>
      </c>
      <c r="I446" s="1" t="s">
        <v>161</v>
      </c>
      <c r="J446" s="1"/>
      <c r="K446" s="1"/>
      <c r="L446" s="1" t="s">
        <v>506</v>
      </c>
      <c r="M446" s="1" t="s">
        <v>194</v>
      </c>
      <c r="N446" s="1">
        <v>0</v>
      </c>
      <c r="O446" s="1">
        <v>0</v>
      </c>
      <c r="P446" s="1" t="s">
        <v>1382</v>
      </c>
      <c r="Q446" s="1" t="s">
        <v>167</v>
      </c>
      <c r="R446" s="1" t="s">
        <v>4083</v>
      </c>
      <c r="S446" s="1" t="s">
        <v>4084</v>
      </c>
      <c r="T446" s="1" t="s">
        <v>107</v>
      </c>
      <c r="U446" s="1" t="s">
        <v>4085</v>
      </c>
      <c r="V446" s="1">
        <v>1</v>
      </c>
      <c r="W446" s="1">
        <v>1</v>
      </c>
      <c r="X446" s="1">
        <v>0</v>
      </c>
      <c r="Y446" s="1">
        <v>0</v>
      </c>
      <c r="Z446" s="1">
        <v>1</v>
      </c>
      <c r="AA446" s="1">
        <v>2</v>
      </c>
      <c r="AB446" s="1">
        <v>2</v>
      </c>
      <c r="AC446" s="1">
        <v>2</v>
      </c>
      <c r="AD446" s="1">
        <v>2</v>
      </c>
      <c r="AE446" s="1">
        <v>1</v>
      </c>
      <c r="AF446" s="1" t="s">
        <v>109</v>
      </c>
      <c r="AG446" s="1">
        <v>2</v>
      </c>
      <c r="AH446" s="1">
        <v>2</v>
      </c>
      <c r="AI446" s="1">
        <v>2</v>
      </c>
      <c r="AJ446" s="1" t="s">
        <v>109</v>
      </c>
      <c r="AK446" s="1">
        <v>2</v>
      </c>
      <c r="AL446" s="1">
        <v>2</v>
      </c>
      <c r="AM446" s="1" t="s">
        <v>109</v>
      </c>
      <c r="AN446" s="1" t="s">
        <v>109</v>
      </c>
      <c r="AO446" s="1">
        <v>2</v>
      </c>
      <c r="AP446" s="1"/>
      <c r="AQ446" s="1">
        <v>2</v>
      </c>
      <c r="AR446" s="1"/>
      <c r="AS446" s="1" t="s">
        <v>4086</v>
      </c>
      <c r="AT446" s="1">
        <v>0</v>
      </c>
      <c r="AU446" s="1">
        <v>0</v>
      </c>
      <c r="AV446" s="1">
        <v>0</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5" t="str">
        <f>HYPERLINK("http://www.d20pfsrd.com/magic/all-spells/r/resist-energy","Resist Energy")</f>
        <v>Resist Energy</v>
      </c>
      <c r="BT446" s="1">
        <v>447</v>
      </c>
      <c r="BU446" s="1" t="s">
        <v>109</v>
      </c>
      <c r="BV446" s="1" t="s">
        <v>4087</v>
      </c>
      <c r="BW446" s="1" t="s">
        <v>4088</v>
      </c>
      <c r="BX446" s="1" t="s">
        <v>4089</v>
      </c>
      <c r="BY446" s="1"/>
      <c r="BZ446" s="1">
        <v>1</v>
      </c>
      <c r="CA446" s="1">
        <v>2</v>
      </c>
      <c r="CB446" s="1">
        <v>2</v>
      </c>
      <c r="CC446" s="1">
        <v>2</v>
      </c>
      <c r="CD446" s="1" t="s">
        <v>109</v>
      </c>
      <c r="CE446" s="1" t="s">
        <v>109</v>
      </c>
      <c r="CF446" s="1">
        <v>2</v>
      </c>
      <c r="CG446" s="1">
        <v>2</v>
      </c>
      <c r="CH446" s="1" t="s">
        <v>109</v>
      </c>
      <c r="CI446" s="1" t="s">
        <v>109</v>
      </c>
      <c r="CJ446" s="1">
        <v>1</v>
      </c>
      <c r="CK446" s="1"/>
      <c r="CL446" s="1">
        <v>0</v>
      </c>
      <c r="CM446" s="1">
        <v>0</v>
      </c>
      <c r="CN446" s="1">
        <v>0</v>
      </c>
    </row>
    <row r="447" spans="1:92" ht="14.25" customHeight="1" x14ac:dyDescent="0.15">
      <c r="A447" s="1" t="s">
        <v>4090</v>
      </c>
      <c r="B447" s="1" t="s">
        <v>95</v>
      </c>
      <c r="C447" s="1" t="s">
        <v>694</v>
      </c>
      <c r="D447" s="1"/>
      <c r="E447" s="1" t="s">
        <v>4091</v>
      </c>
      <c r="F447" s="1" t="s">
        <v>1984</v>
      </c>
      <c r="G447" s="1" t="s">
        <v>4092</v>
      </c>
      <c r="H447" s="1">
        <v>1</v>
      </c>
      <c r="I447" s="1" t="s">
        <v>161</v>
      </c>
      <c r="J447" s="1"/>
      <c r="K447" s="1"/>
      <c r="L447" s="1" t="s">
        <v>506</v>
      </c>
      <c r="M447" s="1" t="s">
        <v>144</v>
      </c>
      <c r="N447" s="1">
        <v>0</v>
      </c>
      <c r="O447" s="1">
        <v>0</v>
      </c>
      <c r="P447" s="1" t="s">
        <v>507</v>
      </c>
      <c r="Q447" s="1" t="s">
        <v>167</v>
      </c>
      <c r="R447" s="1" t="s">
        <v>4093</v>
      </c>
      <c r="S447" s="1" t="s">
        <v>4094</v>
      </c>
      <c r="T447" s="1" t="s">
        <v>107</v>
      </c>
      <c r="U447" s="1" t="s">
        <v>4095</v>
      </c>
      <c r="V447" s="1">
        <v>1</v>
      </c>
      <c r="W447" s="1">
        <v>1</v>
      </c>
      <c r="X447" s="1">
        <v>1</v>
      </c>
      <c r="Y447" s="1">
        <v>0</v>
      </c>
      <c r="Z447" s="1">
        <v>0</v>
      </c>
      <c r="AA447" s="1" t="s">
        <v>109</v>
      </c>
      <c r="AB447" s="1" t="s">
        <v>109</v>
      </c>
      <c r="AC447" s="1">
        <v>4</v>
      </c>
      <c r="AD447" s="1" t="s">
        <v>109</v>
      </c>
      <c r="AE447" s="1" t="s">
        <v>109</v>
      </c>
      <c r="AF447" s="1" t="s">
        <v>109</v>
      </c>
      <c r="AG447" s="1">
        <v>4</v>
      </c>
      <c r="AH447" s="1" t="s">
        <v>109</v>
      </c>
      <c r="AI447" s="1" t="s">
        <v>109</v>
      </c>
      <c r="AJ447" s="1" t="s">
        <v>109</v>
      </c>
      <c r="AK447" s="1" t="s">
        <v>109</v>
      </c>
      <c r="AL447" s="1">
        <v>4</v>
      </c>
      <c r="AM447" s="1" t="s">
        <v>109</v>
      </c>
      <c r="AN447" s="1" t="s">
        <v>109</v>
      </c>
      <c r="AO447" s="1">
        <v>4</v>
      </c>
      <c r="AP447" s="1"/>
      <c r="AQ447" s="1">
        <v>4</v>
      </c>
      <c r="AR447" s="1"/>
      <c r="AS447" s="1" t="s">
        <v>4096</v>
      </c>
      <c r="AT447" s="1">
        <v>0</v>
      </c>
      <c r="AU447" s="1">
        <v>0</v>
      </c>
      <c r="AV447" s="1">
        <v>0</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5" t="str">
        <f>HYPERLINK("http://www.d20pfsrd.com/magic/all-spells/r/restoration","Restoration")</f>
        <v>Restoration</v>
      </c>
      <c r="BT447" s="1">
        <v>448</v>
      </c>
      <c r="BU447" s="1">
        <v>100</v>
      </c>
      <c r="BV447" s="1"/>
      <c r="BW447" s="1" t="s">
        <v>4097</v>
      </c>
      <c r="BX447" s="1"/>
      <c r="BY447" s="1"/>
      <c r="BZ447" s="1">
        <v>0</v>
      </c>
      <c r="CA447" s="1" t="s">
        <v>109</v>
      </c>
      <c r="CB447" s="1">
        <v>4</v>
      </c>
      <c r="CC447" s="1" t="s">
        <v>109</v>
      </c>
      <c r="CD447" s="1" t="s">
        <v>109</v>
      </c>
      <c r="CE447" s="1">
        <v>4</v>
      </c>
      <c r="CF447" s="1" t="s">
        <v>109</v>
      </c>
      <c r="CG447" s="1">
        <v>4</v>
      </c>
      <c r="CH447" s="1" t="s">
        <v>109</v>
      </c>
      <c r="CI447" s="1" t="s">
        <v>109</v>
      </c>
      <c r="CJ447" s="1" t="s">
        <v>109</v>
      </c>
      <c r="CK447" s="1"/>
      <c r="CL447" s="1">
        <v>0</v>
      </c>
      <c r="CM447" s="1">
        <v>0</v>
      </c>
      <c r="CN447" s="1">
        <v>0</v>
      </c>
    </row>
    <row r="448" spans="1:92" ht="14.25" customHeight="1" x14ac:dyDescent="0.15">
      <c r="A448" s="1" t="s">
        <v>4098</v>
      </c>
      <c r="B448" s="1" t="s">
        <v>95</v>
      </c>
      <c r="C448" s="1" t="s">
        <v>694</v>
      </c>
      <c r="D448" s="1"/>
      <c r="E448" s="1" t="s">
        <v>4099</v>
      </c>
      <c r="F448" s="1" t="s">
        <v>277</v>
      </c>
      <c r="G448" s="1" t="s">
        <v>4100</v>
      </c>
      <c r="H448" s="1">
        <v>1</v>
      </c>
      <c r="I448" s="1" t="s">
        <v>161</v>
      </c>
      <c r="J448" s="1"/>
      <c r="K448" s="1"/>
      <c r="L448" s="1" t="s">
        <v>506</v>
      </c>
      <c r="M448" s="1" t="s">
        <v>144</v>
      </c>
      <c r="N448" s="1">
        <v>0</v>
      </c>
      <c r="O448" s="1">
        <v>0</v>
      </c>
      <c r="P448" s="1" t="s">
        <v>507</v>
      </c>
      <c r="Q448" s="1" t="s">
        <v>167</v>
      </c>
      <c r="R448" s="1" t="s">
        <v>4101</v>
      </c>
      <c r="S448" s="1" t="s">
        <v>4102</v>
      </c>
      <c r="T448" s="1" t="s">
        <v>107</v>
      </c>
      <c r="U448" s="1" t="s">
        <v>4103</v>
      </c>
      <c r="V448" s="1">
        <v>1</v>
      </c>
      <c r="W448" s="1">
        <v>1</v>
      </c>
      <c r="X448" s="1">
        <v>1</v>
      </c>
      <c r="Y448" s="1">
        <v>0</v>
      </c>
      <c r="Z448" s="1">
        <v>0</v>
      </c>
      <c r="AA448" s="1" t="s">
        <v>109</v>
      </c>
      <c r="AB448" s="1" t="s">
        <v>109</v>
      </c>
      <c r="AC448" s="1">
        <v>7</v>
      </c>
      <c r="AD448" s="1" t="s">
        <v>109</v>
      </c>
      <c r="AE448" s="1" t="s">
        <v>109</v>
      </c>
      <c r="AF448" s="1" t="s">
        <v>109</v>
      </c>
      <c r="AG448" s="1" t="s">
        <v>109</v>
      </c>
      <c r="AH448" s="1" t="s">
        <v>109</v>
      </c>
      <c r="AI448" s="1" t="s">
        <v>109</v>
      </c>
      <c r="AJ448" s="1" t="s">
        <v>109</v>
      </c>
      <c r="AK448" s="1" t="s">
        <v>109</v>
      </c>
      <c r="AL448" s="1">
        <v>7</v>
      </c>
      <c r="AM448" s="1" t="s">
        <v>109</v>
      </c>
      <c r="AN448" s="1" t="s">
        <v>109</v>
      </c>
      <c r="AO448" s="1" t="s">
        <v>109</v>
      </c>
      <c r="AP448" s="1"/>
      <c r="AQ448" s="1">
        <v>7</v>
      </c>
      <c r="AR448" s="1"/>
      <c r="AS448" s="1" t="s">
        <v>4104</v>
      </c>
      <c r="AT448" s="1">
        <v>0</v>
      </c>
      <c r="AU448" s="1">
        <v>0</v>
      </c>
      <c r="AV448" s="1">
        <v>0</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5" t="str">
        <f>HYPERLINK("http://www.d20pfsrd.com/magic/all-spells/r/restoration#TOC-Restoration-Greater","Restoration, Greater")</f>
        <v>Restoration, Greater</v>
      </c>
      <c r="BT448" s="1">
        <v>449</v>
      </c>
      <c r="BU448" s="1">
        <v>5000</v>
      </c>
      <c r="BV448" s="1"/>
      <c r="BW448" s="1" t="s">
        <v>4105</v>
      </c>
      <c r="BX448" s="1"/>
      <c r="BY448" s="1"/>
      <c r="BZ448" s="1">
        <v>0</v>
      </c>
      <c r="CA448" s="1" t="s">
        <v>109</v>
      </c>
      <c r="CB448" s="1">
        <v>7</v>
      </c>
      <c r="CC448" s="1" t="s">
        <v>109</v>
      </c>
      <c r="CD448" s="1" t="s">
        <v>109</v>
      </c>
      <c r="CE448" s="1" t="s">
        <v>109</v>
      </c>
      <c r="CF448" s="1" t="s">
        <v>109</v>
      </c>
      <c r="CG448" s="1" t="s">
        <v>109</v>
      </c>
      <c r="CH448" s="1" t="s">
        <v>109</v>
      </c>
      <c r="CI448" s="1" t="s">
        <v>109</v>
      </c>
      <c r="CJ448" s="1" t="s">
        <v>109</v>
      </c>
      <c r="CK448" s="1"/>
      <c r="CL448" s="1">
        <v>0</v>
      </c>
      <c r="CM448" s="1">
        <v>0</v>
      </c>
      <c r="CN448" s="1">
        <v>0</v>
      </c>
    </row>
    <row r="449" spans="1:92" ht="14.25" customHeight="1" x14ac:dyDescent="0.15">
      <c r="A449" s="1" t="s">
        <v>4106</v>
      </c>
      <c r="B449" s="1" t="s">
        <v>95</v>
      </c>
      <c r="C449" s="1" t="s">
        <v>694</v>
      </c>
      <c r="D449" s="1"/>
      <c r="E449" s="1" t="s">
        <v>4107</v>
      </c>
      <c r="F449" s="1" t="s">
        <v>1984</v>
      </c>
      <c r="G449" s="1" t="s">
        <v>141</v>
      </c>
      <c r="H449" s="1">
        <v>0</v>
      </c>
      <c r="I449" s="1" t="s">
        <v>161</v>
      </c>
      <c r="J449" s="1"/>
      <c r="K449" s="1"/>
      <c r="L449" s="1" t="s">
        <v>506</v>
      </c>
      <c r="M449" s="1" t="s">
        <v>144</v>
      </c>
      <c r="N449" s="1">
        <v>0</v>
      </c>
      <c r="O449" s="1">
        <v>0</v>
      </c>
      <c r="P449" s="1" t="s">
        <v>507</v>
      </c>
      <c r="Q449" s="1" t="s">
        <v>167</v>
      </c>
      <c r="R449" s="1" t="s">
        <v>4108</v>
      </c>
      <c r="S449" s="1" t="s">
        <v>4109</v>
      </c>
      <c r="T449" s="1" t="s">
        <v>107</v>
      </c>
      <c r="U449" s="1" t="s">
        <v>4110</v>
      </c>
      <c r="V449" s="1">
        <v>1</v>
      </c>
      <c r="W449" s="1">
        <v>1</v>
      </c>
      <c r="X449" s="1">
        <v>0</v>
      </c>
      <c r="Y449" s="1">
        <v>0</v>
      </c>
      <c r="Z449" s="1">
        <v>0</v>
      </c>
      <c r="AA449" s="1" t="s">
        <v>109</v>
      </c>
      <c r="AB449" s="1" t="s">
        <v>109</v>
      </c>
      <c r="AC449" s="1">
        <v>2</v>
      </c>
      <c r="AD449" s="1">
        <v>2</v>
      </c>
      <c r="AE449" s="1" t="s">
        <v>109</v>
      </c>
      <c r="AF449" s="1" t="s">
        <v>109</v>
      </c>
      <c r="AG449" s="1">
        <v>1</v>
      </c>
      <c r="AH449" s="1">
        <v>2</v>
      </c>
      <c r="AI449" s="1" t="s">
        <v>109</v>
      </c>
      <c r="AJ449" s="1" t="s">
        <v>109</v>
      </c>
      <c r="AK449" s="1">
        <v>2</v>
      </c>
      <c r="AL449" s="1">
        <v>2</v>
      </c>
      <c r="AM449" s="1" t="s">
        <v>109</v>
      </c>
      <c r="AN449" s="1" t="s">
        <v>109</v>
      </c>
      <c r="AO449" s="1" t="s">
        <v>109</v>
      </c>
      <c r="AP449" s="1"/>
      <c r="AQ449" s="1">
        <v>2</v>
      </c>
      <c r="AR449" s="1"/>
      <c r="AS449" s="1" t="s">
        <v>4111</v>
      </c>
      <c r="AT449" s="1">
        <v>0</v>
      </c>
      <c r="AU449" s="1">
        <v>0</v>
      </c>
      <c r="AV449" s="1">
        <v>0</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5" t="str">
        <f>HYPERLINK("http://www.d20pfsrd.com/magic/all-spells/r/restoration#TOC-Restoration-Lesser","Restoration, Lesser")</f>
        <v>Restoration, Lesser</v>
      </c>
      <c r="BT449" s="1">
        <v>450</v>
      </c>
      <c r="BU449" s="1" t="s">
        <v>109</v>
      </c>
      <c r="BV449" s="1"/>
      <c r="BW449" s="1" t="s">
        <v>1221</v>
      </c>
      <c r="BX449" s="1"/>
      <c r="BY449" s="1"/>
      <c r="BZ449" s="1">
        <v>0</v>
      </c>
      <c r="CA449" s="1" t="s">
        <v>109</v>
      </c>
      <c r="CB449" s="1">
        <v>2</v>
      </c>
      <c r="CC449" s="1" t="s">
        <v>109</v>
      </c>
      <c r="CD449" s="1" t="s">
        <v>109</v>
      </c>
      <c r="CE449" s="1">
        <v>2</v>
      </c>
      <c r="CF449" s="1" t="s">
        <v>109</v>
      </c>
      <c r="CG449" s="1">
        <v>2</v>
      </c>
      <c r="CH449" s="1" t="s">
        <v>109</v>
      </c>
      <c r="CI449" s="1" t="s">
        <v>109</v>
      </c>
      <c r="CJ449" s="1">
        <v>2</v>
      </c>
      <c r="CK449" s="1"/>
      <c r="CL449" s="1">
        <v>0</v>
      </c>
      <c r="CM449" s="1">
        <v>0</v>
      </c>
      <c r="CN449" s="1">
        <v>0</v>
      </c>
    </row>
    <row r="450" spans="1:92" ht="14.25" customHeight="1" x14ac:dyDescent="0.15">
      <c r="A450" s="1" t="s">
        <v>4112</v>
      </c>
      <c r="B450" s="1" t="s">
        <v>95</v>
      </c>
      <c r="C450" s="1" t="s">
        <v>694</v>
      </c>
      <c r="D450" s="1"/>
      <c r="E450" s="1" t="s">
        <v>1408</v>
      </c>
      <c r="F450" s="1" t="s">
        <v>277</v>
      </c>
      <c r="G450" s="1" t="s">
        <v>4113</v>
      </c>
      <c r="H450" s="1">
        <v>1</v>
      </c>
      <c r="I450" s="1" t="s">
        <v>161</v>
      </c>
      <c r="J450" s="1"/>
      <c r="K450" s="1"/>
      <c r="L450" s="1" t="s">
        <v>3910</v>
      </c>
      <c r="M450" s="1" t="s">
        <v>144</v>
      </c>
      <c r="N450" s="1">
        <v>0</v>
      </c>
      <c r="O450" s="1">
        <v>0</v>
      </c>
      <c r="P450" s="1" t="s">
        <v>281</v>
      </c>
      <c r="Q450" s="1" t="s">
        <v>167</v>
      </c>
      <c r="R450" s="1" t="s">
        <v>4114</v>
      </c>
      <c r="S450" s="1" t="s">
        <v>4115</v>
      </c>
      <c r="T450" s="1" t="s">
        <v>107</v>
      </c>
      <c r="U450" s="1" t="s">
        <v>4116</v>
      </c>
      <c r="V450" s="1">
        <v>1</v>
      </c>
      <c r="W450" s="1">
        <v>1</v>
      </c>
      <c r="X450" s="1">
        <v>1</v>
      </c>
      <c r="Y450" s="1">
        <v>0</v>
      </c>
      <c r="Z450" s="1">
        <v>1</v>
      </c>
      <c r="AA450" s="1" t="s">
        <v>109</v>
      </c>
      <c r="AB450" s="1" t="s">
        <v>109</v>
      </c>
      <c r="AC450" s="1">
        <v>7</v>
      </c>
      <c r="AD450" s="1" t="s">
        <v>109</v>
      </c>
      <c r="AE450" s="1" t="s">
        <v>109</v>
      </c>
      <c r="AF450" s="1" t="s">
        <v>109</v>
      </c>
      <c r="AG450" s="1" t="s">
        <v>109</v>
      </c>
      <c r="AH450" s="1" t="s">
        <v>109</v>
      </c>
      <c r="AI450" s="1" t="s">
        <v>109</v>
      </c>
      <c r="AJ450" s="1">
        <v>8</v>
      </c>
      <c r="AK450" s="1" t="s">
        <v>109</v>
      </c>
      <c r="AL450" s="1">
        <v>7</v>
      </c>
      <c r="AM450" s="1" t="s">
        <v>109</v>
      </c>
      <c r="AN450" s="1" t="s">
        <v>109</v>
      </c>
      <c r="AO450" s="1" t="s">
        <v>109</v>
      </c>
      <c r="AP450" s="1"/>
      <c r="AQ450" s="1">
        <v>7</v>
      </c>
      <c r="AR450" s="1" t="s">
        <v>4117</v>
      </c>
      <c r="AS450" s="1" t="s">
        <v>4118</v>
      </c>
      <c r="AT450" s="1">
        <v>0</v>
      </c>
      <c r="AU450" s="1">
        <v>0</v>
      </c>
      <c r="AV450" s="1">
        <v>0</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5" t="str">
        <f>HYPERLINK("http://www.d20pfsrd.com/magic/all-spells/r/resurrection","Resurrection")</f>
        <v>Resurrection</v>
      </c>
      <c r="BT450" s="1">
        <v>451</v>
      </c>
      <c r="BU450" s="1">
        <v>10000</v>
      </c>
      <c r="BV450" s="1"/>
      <c r="BW450" s="1"/>
      <c r="BX450" s="1"/>
      <c r="BY450" s="1"/>
      <c r="BZ450" s="1">
        <v>0</v>
      </c>
      <c r="CA450" s="1" t="s">
        <v>109</v>
      </c>
      <c r="CB450" s="1">
        <v>8</v>
      </c>
      <c r="CC450" s="1" t="s">
        <v>109</v>
      </c>
      <c r="CD450" s="1" t="s">
        <v>109</v>
      </c>
      <c r="CE450" s="1" t="s">
        <v>109</v>
      </c>
      <c r="CF450" s="1" t="s">
        <v>109</v>
      </c>
      <c r="CG450" s="1" t="s">
        <v>109</v>
      </c>
      <c r="CH450" s="1" t="s">
        <v>109</v>
      </c>
      <c r="CI450" s="1" t="s">
        <v>109</v>
      </c>
      <c r="CJ450" s="1" t="s">
        <v>109</v>
      </c>
      <c r="CK450" s="1"/>
      <c r="CL450" s="1">
        <v>0</v>
      </c>
      <c r="CM450" s="1">
        <v>0</v>
      </c>
      <c r="CN450" s="1">
        <v>0</v>
      </c>
    </row>
    <row r="451" spans="1:92" ht="14.25" customHeight="1" x14ac:dyDescent="0.15">
      <c r="A451" s="1" t="s">
        <v>4119</v>
      </c>
      <c r="B451" s="1" t="s">
        <v>189</v>
      </c>
      <c r="C451" s="1"/>
      <c r="D451" s="1"/>
      <c r="E451" s="1" t="s">
        <v>2002</v>
      </c>
      <c r="F451" s="1" t="s">
        <v>98</v>
      </c>
      <c r="G451" s="1" t="s">
        <v>4120</v>
      </c>
      <c r="H451" s="1">
        <v>0</v>
      </c>
      <c r="I451" s="1" t="s">
        <v>122</v>
      </c>
      <c r="J451" s="1" t="s">
        <v>4121</v>
      </c>
      <c r="K451" s="1"/>
      <c r="L451" s="1"/>
      <c r="M451" s="1" t="s">
        <v>574</v>
      </c>
      <c r="N451" s="1">
        <v>1</v>
      </c>
      <c r="O451" s="1">
        <v>1</v>
      </c>
      <c r="P451" s="1" t="s">
        <v>281</v>
      </c>
      <c r="Q451" s="1" t="s">
        <v>104</v>
      </c>
      <c r="R451" s="1" t="s">
        <v>4122</v>
      </c>
      <c r="S451" s="1" t="s">
        <v>4123</v>
      </c>
      <c r="T451" s="1" t="s">
        <v>107</v>
      </c>
      <c r="U451" s="1" t="s">
        <v>4124</v>
      </c>
      <c r="V451" s="1">
        <v>1</v>
      </c>
      <c r="W451" s="1">
        <v>1</v>
      </c>
      <c r="X451" s="1">
        <v>1</v>
      </c>
      <c r="Y451" s="1">
        <v>0</v>
      </c>
      <c r="Z451" s="1">
        <v>1</v>
      </c>
      <c r="AA451" s="1">
        <v>7</v>
      </c>
      <c r="AB451" s="1">
        <v>7</v>
      </c>
      <c r="AC451" s="1" t="s">
        <v>109</v>
      </c>
      <c r="AD451" s="1">
        <v>8</v>
      </c>
      <c r="AE451" s="1" t="s">
        <v>109</v>
      </c>
      <c r="AF451" s="1" t="s">
        <v>109</v>
      </c>
      <c r="AG451" s="1" t="s">
        <v>109</v>
      </c>
      <c r="AH451" s="1" t="s">
        <v>109</v>
      </c>
      <c r="AI451" s="1" t="s">
        <v>109</v>
      </c>
      <c r="AJ451" s="1" t="s">
        <v>109</v>
      </c>
      <c r="AK451" s="1" t="s">
        <v>109</v>
      </c>
      <c r="AL451" s="1" t="s">
        <v>109</v>
      </c>
      <c r="AM451" s="1" t="s">
        <v>109</v>
      </c>
      <c r="AN451" s="1" t="s">
        <v>109</v>
      </c>
      <c r="AO451" s="1" t="s">
        <v>109</v>
      </c>
      <c r="AP451" s="1"/>
      <c r="AQ451" s="1">
        <v>7</v>
      </c>
      <c r="AR451" s="1" t="s">
        <v>4125</v>
      </c>
      <c r="AS451" s="1" t="s">
        <v>4126</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5" t="str">
        <f>HYPERLINK("http://www.d20pfsrd.com/magic/all-spells/r/reverse-gravity","Reverse Gravity")</f>
        <v>Reverse Gravity</v>
      </c>
      <c r="BT451" s="1">
        <v>452</v>
      </c>
      <c r="BU451" s="1" t="s">
        <v>109</v>
      </c>
      <c r="BV451" s="1" t="s">
        <v>4127</v>
      </c>
      <c r="BW451" s="1" t="s">
        <v>4128</v>
      </c>
      <c r="BX451" s="1" t="s">
        <v>4129</v>
      </c>
      <c r="BY451" s="1" t="s">
        <v>4130</v>
      </c>
      <c r="BZ451" s="1">
        <v>1</v>
      </c>
      <c r="CA451" s="1" t="s">
        <v>109</v>
      </c>
      <c r="CB451" s="1" t="s">
        <v>109</v>
      </c>
      <c r="CC451" s="1">
        <v>7</v>
      </c>
      <c r="CD451" s="1" t="s">
        <v>109</v>
      </c>
      <c r="CE451" s="1" t="s">
        <v>109</v>
      </c>
      <c r="CF451" s="1" t="s">
        <v>109</v>
      </c>
      <c r="CG451" s="1" t="s">
        <v>109</v>
      </c>
      <c r="CH451" s="1" t="s">
        <v>109</v>
      </c>
      <c r="CI451" s="1" t="s">
        <v>109</v>
      </c>
      <c r="CJ451" s="1" t="s">
        <v>109</v>
      </c>
      <c r="CK451" s="1"/>
      <c r="CL451" s="1">
        <v>0</v>
      </c>
      <c r="CM451" s="1">
        <v>0</v>
      </c>
      <c r="CN451" s="1">
        <v>0</v>
      </c>
    </row>
    <row r="452" spans="1:92" ht="14.25" customHeight="1" x14ac:dyDescent="0.15">
      <c r="A452" s="1" t="s">
        <v>4131</v>
      </c>
      <c r="B452" s="1" t="s">
        <v>189</v>
      </c>
      <c r="C452" s="1"/>
      <c r="D452" s="1"/>
      <c r="E452" s="1" t="s">
        <v>4132</v>
      </c>
      <c r="F452" s="1" t="s">
        <v>98</v>
      </c>
      <c r="G452" s="1" t="s">
        <v>160</v>
      </c>
      <c r="H452" s="1">
        <v>0</v>
      </c>
      <c r="I452" s="1" t="s">
        <v>235</v>
      </c>
      <c r="J452" s="1"/>
      <c r="K452" s="1"/>
      <c r="L452" s="1" t="s">
        <v>236</v>
      </c>
      <c r="M452" s="1" t="s">
        <v>125</v>
      </c>
      <c r="N452" s="1">
        <v>1</v>
      </c>
      <c r="O452" s="1">
        <v>0</v>
      </c>
      <c r="P452" s="1"/>
      <c r="Q452" s="1"/>
      <c r="R452" s="1" t="s">
        <v>4133</v>
      </c>
      <c r="S452" s="1" t="s">
        <v>4134</v>
      </c>
      <c r="T452" s="1" t="s">
        <v>107</v>
      </c>
      <c r="U452" s="1" t="s">
        <v>4135</v>
      </c>
      <c r="V452" s="1">
        <v>1</v>
      </c>
      <c r="W452" s="1">
        <v>1</v>
      </c>
      <c r="X452" s="1">
        <v>0</v>
      </c>
      <c r="Y452" s="1">
        <v>0</v>
      </c>
      <c r="Z452" s="1">
        <v>1</v>
      </c>
      <c r="AA452" s="1" t="s">
        <v>109</v>
      </c>
      <c r="AB452" s="1" t="s">
        <v>109</v>
      </c>
      <c r="AC452" s="1">
        <v>5</v>
      </c>
      <c r="AD452" s="1" t="s">
        <v>109</v>
      </c>
      <c r="AE452" s="1" t="s">
        <v>109</v>
      </c>
      <c r="AF452" s="1" t="s">
        <v>109</v>
      </c>
      <c r="AG452" s="1" t="s">
        <v>109</v>
      </c>
      <c r="AH452" s="1" t="s">
        <v>109</v>
      </c>
      <c r="AI452" s="1" t="s">
        <v>109</v>
      </c>
      <c r="AJ452" s="1" t="s">
        <v>109</v>
      </c>
      <c r="AK452" s="1">
        <v>5</v>
      </c>
      <c r="AL452" s="1">
        <v>5</v>
      </c>
      <c r="AM452" s="1" t="s">
        <v>109</v>
      </c>
      <c r="AN452" s="1" t="s">
        <v>109</v>
      </c>
      <c r="AO452" s="1" t="s">
        <v>109</v>
      </c>
      <c r="AP452" s="1"/>
      <c r="AQ452" s="1">
        <v>5</v>
      </c>
      <c r="AR452" s="1" t="s">
        <v>4136</v>
      </c>
      <c r="AS452" s="1" t="s">
        <v>4137</v>
      </c>
      <c r="AT452" s="1">
        <v>0</v>
      </c>
      <c r="AU452" s="1">
        <v>0</v>
      </c>
      <c r="AV452" s="1">
        <v>0</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5" t="str">
        <f>HYPERLINK("http://www.d20pfsrd.com/magic/all-spells/r/righteous-might","Righteous Might")</f>
        <v>Righteous Might</v>
      </c>
      <c r="BT452" s="1">
        <v>453</v>
      </c>
      <c r="BU452" s="1" t="s">
        <v>109</v>
      </c>
      <c r="BV452" s="1"/>
      <c r="BW452" s="1" t="s">
        <v>4138</v>
      </c>
      <c r="BX452" s="1"/>
      <c r="BY452" s="1"/>
      <c r="BZ452" s="1">
        <v>0</v>
      </c>
      <c r="CA452" s="1" t="s">
        <v>109</v>
      </c>
      <c r="CB452" s="1" t="s">
        <v>109</v>
      </c>
      <c r="CC452" s="1" t="s">
        <v>109</v>
      </c>
      <c r="CD452" s="1" t="s">
        <v>109</v>
      </c>
      <c r="CE452" s="1" t="s">
        <v>109</v>
      </c>
      <c r="CF452" s="1" t="s">
        <v>109</v>
      </c>
      <c r="CG452" s="1" t="s">
        <v>109</v>
      </c>
      <c r="CH452" s="1" t="s">
        <v>109</v>
      </c>
      <c r="CI452" s="1" t="s">
        <v>109</v>
      </c>
      <c r="CJ452" s="1" t="s">
        <v>109</v>
      </c>
      <c r="CK452" s="1"/>
      <c r="CL452" s="1">
        <v>0</v>
      </c>
      <c r="CM452" s="1">
        <v>0</v>
      </c>
      <c r="CN452" s="1">
        <v>0</v>
      </c>
    </row>
    <row r="453" spans="1:92" ht="14.25" customHeight="1" x14ac:dyDescent="0.15">
      <c r="A453" s="1" t="s">
        <v>4139</v>
      </c>
      <c r="B453" s="1" t="s">
        <v>189</v>
      </c>
      <c r="C453" s="1"/>
      <c r="D453" s="1"/>
      <c r="E453" s="1" t="s">
        <v>4140</v>
      </c>
      <c r="F453" s="1" t="s">
        <v>98</v>
      </c>
      <c r="G453" s="1" t="s">
        <v>4141</v>
      </c>
      <c r="H453" s="1">
        <v>0</v>
      </c>
      <c r="I453" s="1" t="s">
        <v>161</v>
      </c>
      <c r="J453" s="1"/>
      <c r="K453" s="1"/>
      <c r="L453" s="1" t="s">
        <v>4142</v>
      </c>
      <c r="M453" s="1" t="s">
        <v>289</v>
      </c>
      <c r="N453" s="1">
        <v>1</v>
      </c>
      <c r="O453" s="1">
        <v>0</v>
      </c>
      <c r="P453" s="1" t="s">
        <v>103</v>
      </c>
      <c r="Q453" s="1" t="s">
        <v>104</v>
      </c>
      <c r="R453" s="1" t="s">
        <v>4143</v>
      </c>
      <c r="S453" s="1" t="s">
        <v>4144</v>
      </c>
      <c r="T453" s="1" t="s">
        <v>107</v>
      </c>
      <c r="U453" s="1" t="s">
        <v>4145</v>
      </c>
      <c r="V453" s="1">
        <v>1</v>
      </c>
      <c r="W453" s="1">
        <v>1</v>
      </c>
      <c r="X453" s="1">
        <v>1</v>
      </c>
      <c r="Y453" s="1">
        <v>0</v>
      </c>
      <c r="Z453" s="1">
        <v>0</v>
      </c>
      <c r="AA453" s="1">
        <v>2</v>
      </c>
      <c r="AB453" s="1">
        <v>2</v>
      </c>
      <c r="AC453" s="1" t="s">
        <v>109</v>
      </c>
      <c r="AD453" s="1" t="s">
        <v>109</v>
      </c>
      <c r="AE453" s="1" t="s">
        <v>109</v>
      </c>
      <c r="AF453" s="1" t="s">
        <v>109</v>
      </c>
      <c r="AG453" s="1" t="s">
        <v>109</v>
      </c>
      <c r="AH453" s="1" t="s">
        <v>109</v>
      </c>
      <c r="AI453" s="1" t="s">
        <v>109</v>
      </c>
      <c r="AJ453" s="1" t="s">
        <v>109</v>
      </c>
      <c r="AK453" s="1" t="s">
        <v>109</v>
      </c>
      <c r="AL453" s="1" t="s">
        <v>109</v>
      </c>
      <c r="AM453" s="1" t="s">
        <v>109</v>
      </c>
      <c r="AN453" s="1" t="s">
        <v>109</v>
      </c>
      <c r="AO453" s="1" t="s">
        <v>109</v>
      </c>
      <c r="AP453" s="1"/>
      <c r="AQ453" s="1">
        <v>2</v>
      </c>
      <c r="AR453" s="1"/>
      <c r="AS453" s="1" t="s">
        <v>4146</v>
      </c>
      <c r="AT453" s="1">
        <v>0</v>
      </c>
      <c r="AU453" s="1">
        <v>0</v>
      </c>
      <c r="AV453" s="1">
        <v>0</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5" t="str">
        <f>HYPERLINK("http://www.d20pfsrd.com/magic/all-spells/r/rope-trick","Rope Trick")</f>
        <v>Rope Trick</v>
      </c>
      <c r="BT453" s="1">
        <v>454</v>
      </c>
      <c r="BU453" s="1" t="s">
        <v>109</v>
      </c>
      <c r="BV453" s="1"/>
      <c r="BW453" s="1" t="s">
        <v>4147</v>
      </c>
      <c r="BX453" s="1"/>
      <c r="BY453" s="1"/>
      <c r="BZ453" s="1">
        <v>0</v>
      </c>
      <c r="CA453" s="1" t="s">
        <v>109</v>
      </c>
      <c r="CB453" s="1" t="s">
        <v>109</v>
      </c>
      <c r="CC453" s="1">
        <v>2</v>
      </c>
      <c r="CD453" s="1" t="s">
        <v>109</v>
      </c>
      <c r="CE453" s="1" t="s">
        <v>109</v>
      </c>
      <c r="CF453" s="1">
        <v>2</v>
      </c>
      <c r="CG453" s="1" t="s">
        <v>109</v>
      </c>
      <c r="CH453" s="1" t="s">
        <v>109</v>
      </c>
      <c r="CI453" s="1" t="s">
        <v>109</v>
      </c>
      <c r="CJ453" s="1" t="s">
        <v>109</v>
      </c>
      <c r="CK453" s="1"/>
      <c r="CL453" s="1">
        <v>0</v>
      </c>
      <c r="CM453" s="1">
        <v>0</v>
      </c>
      <c r="CN453" s="1">
        <v>0</v>
      </c>
    </row>
    <row r="454" spans="1:92" ht="14.25" customHeight="1" x14ac:dyDescent="0.15">
      <c r="A454" s="1" t="s">
        <v>4148</v>
      </c>
      <c r="B454" s="1" t="s">
        <v>189</v>
      </c>
      <c r="C454" s="1"/>
      <c r="D454" s="1"/>
      <c r="E454" s="1" t="s">
        <v>4149</v>
      </c>
      <c r="F454" s="1" t="s">
        <v>98</v>
      </c>
      <c r="G454" s="1" t="s">
        <v>160</v>
      </c>
      <c r="H454" s="1">
        <v>0</v>
      </c>
      <c r="I454" s="1" t="s">
        <v>161</v>
      </c>
      <c r="J454" s="1"/>
      <c r="K454" s="1"/>
      <c r="L454" s="1" t="s">
        <v>4150</v>
      </c>
      <c r="M454" s="1" t="s">
        <v>211</v>
      </c>
      <c r="N454" s="1">
        <v>0</v>
      </c>
      <c r="O454" s="1">
        <v>0</v>
      </c>
      <c r="P454" s="1" t="s">
        <v>103</v>
      </c>
      <c r="Q454" s="1" t="s">
        <v>104</v>
      </c>
      <c r="R454" s="1" t="s">
        <v>4151</v>
      </c>
      <c r="S454" s="1" t="s">
        <v>4152</v>
      </c>
      <c r="T454" s="1" t="s">
        <v>107</v>
      </c>
      <c r="U454" s="1" t="s">
        <v>4153</v>
      </c>
      <c r="V454" s="1">
        <v>1</v>
      </c>
      <c r="W454" s="1">
        <v>1</v>
      </c>
      <c r="X454" s="1">
        <v>0</v>
      </c>
      <c r="Y454" s="1">
        <v>0</v>
      </c>
      <c r="Z454" s="1">
        <v>1</v>
      </c>
      <c r="AA454" s="1" t="s">
        <v>109</v>
      </c>
      <c r="AB454" s="1" t="s">
        <v>109</v>
      </c>
      <c r="AC454" s="1" t="s">
        <v>109</v>
      </c>
      <c r="AD454" s="1">
        <v>4</v>
      </c>
      <c r="AE454" s="1" t="s">
        <v>109</v>
      </c>
      <c r="AF454" s="1" t="s">
        <v>109</v>
      </c>
      <c r="AG454" s="1" t="s">
        <v>109</v>
      </c>
      <c r="AH454" s="1" t="s">
        <v>109</v>
      </c>
      <c r="AI454" s="1" t="s">
        <v>109</v>
      </c>
      <c r="AJ454" s="1" t="s">
        <v>109</v>
      </c>
      <c r="AK454" s="1" t="s">
        <v>109</v>
      </c>
      <c r="AL454" s="1" t="s">
        <v>109</v>
      </c>
      <c r="AM454" s="1" t="s">
        <v>109</v>
      </c>
      <c r="AN454" s="1" t="s">
        <v>109</v>
      </c>
      <c r="AO454" s="1" t="s">
        <v>109</v>
      </c>
      <c r="AP454" s="1"/>
      <c r="AQ454" s="1">
        <v>4</v>
      </c>
      <c r="AR454" s="1" t="s">
        <v>4154</v>
      </c>
      <c r="AS454" s="1" t="s">
        <v>4155</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5" t="str">
        <f>HYPERLINK("http://www.d20pfsrd.com/magic/all-spells/r/rusting-grasp","Rusting Grasp")</f>
        <v>Rusting Grasp</v>
      </c>
      <c r="BT454" s="1">
        <v>455</v>
      </c>
      <c r="BU454" s="1" t="s">
        <v>109</v>
      </c>
      <c r="BV454" s="1"/>
      <c r="BW454" s="1"/>
      <c r="BX454" s="1"/>
      <c r="BY454" s="1"/>
      <c r="BZ454" s="1">
        <v>0</v>
      </c>
      <c r="CA454" s="1" t="s">
        <v>109</v>
      </c>
      <c r="CB454" s="1" t="s">
        <v>109</v>
      </c>
      <c r="CC454" s="1" t="s">
        <v>109</v>
      </c>
      <c r="CD454" s="1" t="s">
        <v>109</v>
      </c>
      <c r="CE454" s="1" t="s">
        <v>109</v>
      </c>
      <c r="CF454" s="1">
        <v>4</v>
      </c>
      <c r="CG454" s="1" t="s">
        <v>109</v>
      </c>
      <c r="CH454" s="1" t="s">
        <v>109</v>
      </c>
      <c r="CI454" s="1" t="s">
        <v>109</v>
      </c>
      <c r="CJ454" s="1">
        <v>4</v>
      </c>
      <c r="CK454" s="1"/>
      <c r="CL454" s="1">
        <v>0</v>
      </c>
      <c r="CM454" s="1">
        <v>0</v>
      </c>
      <c r="CN454" s="1">
        <v>0</v>
      </c>
    </row>
    <row r="455" spans="1:92" ht="14.25" customHeight="1" x14ac:dyDescent="0.15">
      <c r="A455" s="1" t="s">
        <v>4156</v>
      </c>
      <c r="B455" s="1" t="s">
        <v>242</v>
      </c>
      <c r="C455" s="1"/>
      <c r="D455" s="1"/>
      <c r="E455" s="1" t="s">
        <v>4157</v>
      </c>
      <c r="F455" s="1" t="s">
        <v>98</v>
      </c>
      <c r="G455" s="1" t="s">
        <v>160</v>
      </c>
      <c r="H455" s="1">
        <v>0</v>
      </c>
      <c r="I455" s="1" t="s">
        <v>161</v>
      </c>
      <c r="J455" s="1"/>
      <c r="K455" s="1"/>
      <c r="L455" s="1" t="s">
        <v>506</v>
      </c>
      <c r="M455" s="1" t="s">
        <v>125</v>
      </c>
      <c r="N455" s="1">
        <v>0</v>
      </c>
      <c r="O455" s="1">
        <v>0</v>
      </c>
      <c r="P455" s="1" t="s">
        <v>301</v>
      </c>
      <c r="Q455" s="1" t="s">
        <v>104</v>
      </c>
      <c r="R455" s="1" t="s">
        <v>4158</v>
      </c>
      <c r="S455" s="1" t="s">
        <v>4159</v>
      </c>
      <c r="T455" s="1" t="s">
        <v>107</v>
      </c>
      <c r="U455" s="1" t="s">
        <v>4160</v>
      </c>
      <c r="V455" s="1">
        <v>1</v>
      </c>
      <c r="W455" s="1">
        <v>1</v>
      </c>
      <c r="X455" s="1">
        <v>0</v>
      </c>
      <c r="Y455" s="1">
        <v>0</v>
      </c>
      <c r="Z455" s="1">
        <v>1</v>
      </c>
      <c r="AA455" s="1" t="s">
        <v>109</v>
      </c>
      <c r="AB455" s="1" t="s">
        <v>109</v>
      </c>
      <c r="AC455" s="1">
        <v>1</v>
      </c>
      <c r="AD455" s="1" t="s">
        <v>109</v>
      </c>
      <c r="AE455" s="1" t="s">
        <v>109</v>
      </c>
      <c r="AF455" s="1" t="s">
        <v>109</v>
      </c>
      <c r="AG455" s="1" t="s">
        <v>109</v>
      </c>
      <c r="AH455" s="1" t="s">
        <v>109</v>
      </c>
      <c r="AI455" s="1" t="s">
        <v>109</v>
      </c>
      <c r="AJ455" s="1" t="s">
        <v>109</v>
      </c>
      <c r="AK455" s="1">
        <v>1</v>
      </c>
      <c r="AL455" s="1">
        <v>1</v>
      </c>
      <c r="AM455" s="1" t="s">
        <v>109</v>
      </c>
      <c r="AN455" s="1" t="s">
        <v>109</v>
      </c>
      <c r="AO455" s="1" t="s">
        <v>109</v>
      </c>
      <c r="AP455" s="1"/>
      <c r="AQ455" s="1">
        <v>1</v>
      </c>
      <c r="AR455" s="1" t="s">
        <v>4161</v>
      </c>
      <c r="AS455" s="1" t="s">
        <v>4162</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5" t="str">
        <f>HYPERLINK("http://www.d20pfsrd.com/magic/all-spells/s/sanctuary","Sanctuary")</f>
        <v>Sanctuary</v>
      </c>
      <c r="BT455" s="1">
        <v>456</v>
      </c>
      <c r="BU455" s="1" t="s">
        <v>109</v>
      </c>
      <c r="BV455" s="1"/>
      <c r="BW455" s="1" t="s">
        <v>4163</v>
      </c>
      <c r="BX455" s="1" t="s">
        <v>4164</v>
      </c>
      <c r="BY455" s="1" t="s">
        <v>4165</v>
      </c>
      <c r="BZ455" s="1">
        <v>1</v>
      </c>
      <c r="CA455" s="1" t="s">
        <v>109</v>
      </c>
      <c r="CB455" s="1" t="s">
        <v>109</v>
      </c>
      <c r="CC455" s="1" t="s">
        <v>109</v>
      </c>
      <c r="CD455" s="1" t="s">
        <v>109</v>
      </c>
      <c r="CE455" s="1" t="s">
        <v>109</v>
      </c>
      <c r="CF455" s="1" t="s">
        <v>109</v>
      </c>
      <c r="CG455" s="1">
        <v>1</v>
      </c>
      <c r="CH455" s="1" t="s">
        <v>109</v>
      </c>
      <c r="CI455" s="1" t="s">
        <v>109</v>
      </c>
      <c r="CJ455" s="1" t="s">
        <v>109</v>
      </c>
      <c r="CK455" s="1"/>
      <c r="CL455" s="1">
        <v>0</v>
      </c>
      <c r="CM455" s="1">
        <v>0</v>
      </c>
      <c r="CN455" s="1">
        <v>0</v>
      </c>
    </row>
    <row r="456" spans="1:92" ht="14.25" customHeight="1" x14ac:dyDescent="0.15">
      <c r="A456" s="1" t="s">
        <v>4166</v>
      </c>
      <c r="B456" s="1" t="s">
        <v>308</v>
      </c>
      <c r="C456" s="1"/>
      <c r="D456" s="1" t="s">
        <v>4167</v>
      </c>
      <c r="E456" s="1" t="s">
        <v>4168</v>
      </c>
      <c r="F456" s="1" t="s">
        <v>98</v>
      </c>
      <c r="G456" s="1" t="s">
        <v>4169</v>
      </c>
      <c r="H456" s="1">
        <v>0</v>
      </c>
      <c r="I456" s="1" t="s">
        <v>122</v>
      </c>
      <c r="J456" s="1"/>
      <c r="K456" s="1"/>
      <c r="L456" s="1" t="s">
        <v>4170</v>
      </c>
      <c r="M456" s="1" t="s">
        <v>4171</v>
      </c>
      <c r="N456" s="1">
        <v>0</v>
      </c>
      <c r="O456" s="1">
        <v>0</v>
      </c>
      <c r="P456" s="1" t="s">
        <v>380</v>
      </c>
      <c r="Q456" s="1" t="s">
        <v>268</v>
      </c>
      <c r="R456" s="1" t="s">
        <v>4172</v>
      </c>
      <c r="S456" s="1" t="s">
        <v>4173</v>
      </c>
      <c r="T456" s="1" t="s">
        <v>107</v>
      </c>
      <c r="U456" s="1" t="s">
        <v>4174</v>
      </c>
      <c r="V456" s="1">
        <v>1</v>
      </c>
      <c r="W456" s="1">
        <v>1</v>
      </c>
      <c r="X456" s="1">
        <v>1</v>
      </c>
      <c r="Y456" s="1">
        <v>0</v>
      </c>
      <c r="Z456" s="1">
        <v>0</v>
      </c>
      <c r="AA456" s="1">
        <v>2</v>
      </c>
      <c r="AB456" s="1">
        <v>2</v>
      </c>
      <c r="AC456" s="1" t="s">
        <v>109</v>
      </c>
      <c r="AD456" s="1" t="s">
        <v>109</v>
      </c>
      <c r="AE456" s="1" t="s">
        <v>109</v>
      </c>
      <c r="AF456" s="1">
        <v>2</v>
      </c>
      <c r="AG456" s="1" t="s">
        <v>109</v>
      </c>
      <c r="AH456" s="1" t="s">
        <v>109</v>
      </c>
      <c r="AI456" s="1" t="s">
        <v>109</v>
      </c>
      <c r="AJ456" s="1">
        <v>2</v>
      </c>
      <c r="AK456" s="1" t="s">
        <v>109</v>
      </c>
      <c r="AL456" s="1" t="s">
        <v>109</v>
      </c>
      <c r="AM456" s="1">
        <v>2</v>
      </c>
      <c r="AN456" s="1" t="s">
        <v>109</v>
      </c>
      <c r="AO456" s="1" t="s">
        <v>109</v>
      </c>
      <c r="AP456" s="1"/>
      <c r="AQ456" s="1">
        <v>2</v>
      </c>
      <c r="AR456" s="1" t="s">
        <v>4175</v>
      </c>
      <c r="AS456" s="1" t="s">
        <v>4176</v>
      </c>
      <c r="AT456" s="1">
        <v>0</v>
      </c>
      <c r="AU456" s="1">
        <v>0</v>
      </c>
      <c r="AV456" s="1">
        <v>0</v>
      </c>
      <c r="AW456" s="1">
        <v>0</v>
      </c>
      <c r="AX456" s="1">
        <v>0</v>
      </c>
      <c r="AY456" s="1">
        <v>0</v>
      </c>
      <c r="AZ456" s="1">
        <v>0</v>
      </c>
      <c r="BA456" s="1">
        <v>0</v>
      </c>
      <c r="BB456" s="1">
        <v>0</v>
      </c>
      <c r="BC456" s="1">
        <v>0</v>
      </c>
      <c r="BD456" s="1">
        <v>1</v>
      </c>
      <c r="BE456" s="1">
        <v>0</v>
      </c>
      <c r="BF456" s="1">
        <v>1</v>
      </c>
      <c r="BG456" s="1">
        <v>0</v>
      </c>
      <c r="BH456" s="1">
        <v>0</v>
      </c>
      <c r="BI456" s="1">
        <v>0</v>
      </c>
      <c r="BJ456" s="1">
        <v>0</v>
      </c>
      <c r="BK456" s="1">
        <v>0</v>
      </c>
      <c r="BL456" s="1">
        <v>0</v>
      </c>
      <c r="BM456" s="1">
        <v>1</v>
      </c>
      <c r="BN456" s="1">
        <v>0</v>
      </c>
      <c r="BO456" s="1">
        <v>0</v>
      </c>
      <c r="BP456" s="1">
        <v>0</v>
      </c>
      <c r="BQ456" s="1">
        <v>0</v>
      </c>
      <c r="BR456" s="1">
        <v>0</v>
      </c>
      <c r="BS456" s="5" t="str">
        <f>HYPERLINK("http://www.d20pfsrd.com/magic/all-spells/s/scare","Scare")</f>
        <v>Scare</v>
      </c>
      <c r="BT456" s="1">
        <v>457</v>
      </c>
      <c r="BU456" s="1" t="s">
        <v>109</v>
      </c>
      <c r="BV456" s="1"/>
      <c r="BW456" s="1"/>
      <c r="BX456" s="1"/>
      <c r="BY456" s="1"/>
      <c r="BZ456" s="1">
        <v>0</v>
      </c>
      <c r="CA456" s="1" t="s">
        <v>109</v>
      </c>
      <c r="CB456" s="1">
        <v>2</v>
      </c>
      <c r="CC456" s="1">
        <v>2</v>
      </c>
      <c r="CD456" s="1" t="s">
        <v>109</v>
      </c>
      <c r="CE456" s="1">
        <v>2</v>
      </c>
      <c r="CF456" s="1">
        <v>2</v>
      </c>
      <c r="CG456" s="1">
        <v>2</v>
      </c>
      <c r="CH456" s="1" t="s">
        <v>109</v>
      </c>
      <c r="CI456" s="1" t="s">
        <v>109</v>
      </c>
      <c r="CJ456" s="1" t="s">
        <v>109</v>
      </c>
      <c r="CK456" s="1"/>
      <c r="CL456" s="1">
        <v>0</v>
      </c>
      <c r="CM456" s="1">
        <v>0</v>
      </c>
      <c r="CN456" s="1">
        <v>0</v>
      </c>
    </row>
    <row r="457" spans="1:92" ht="14.25" customHeight="1" x14ac:dyDescent="0.15">
      <c r="A457" s="1" t="s">
        <v>4177</v>
      </c>
      <c r="B457" s="1" t="s">
        <v>674</v>
      </c>
      <c r="C457" s="1" t="s">
        <v>944</v>
      </c>
      <c r="D457" s="1" t="s">
        <v>158</v>
      </c>
      <c r="E457" s="1" t="s">
        <v>904</v>
      </c>
      <c r="F457" s="1" t="s">
        <v>98</v>
      </c>
      <c r="G457" s="1" t="s">
        <v>4178</v>
      </c>
      <c r="H457" s="1">
        <v>0</v>
      </c>
      <c r="I457" s="1" t="s">
        <v>142</v>
      </c>
      <c r="J457" s="1"/>
      <c r="K457" s="1" t="s">
        <v>4179</v>
      </c>
      <c r="L457" s="1"/>
      <c r="M457" s="1" t="s">
        <v>3313</v>
      </c>
      <c r="N457" s="1">
        <v>0</v>
      </c>
      <c r="O457" s="1">
        <v>0</v>
      </c>
      <c r="P457" s="1" t="s">
        <v>103</v>
      </c>
      <c r="Q457" s="1" t="s">
        <v>268</v>
      </c>
      <c r="R457" s="1" t="s">
        <v>4180</v>
      </c>
      <c r="S457" s="1" t="s">
        <v>4181</v>
      </c>
      <c r="T457" s="1" t="s">
        <v>107</v>
      </c>
      <c r="U457" s="1" t="s">
        <v>4182</v>
      </c>
      <c r="V457" s="1">
        <v>1</v>
      </c>
      <c r="W457" s="1">
        <v>1</v>
      </c>
      <c r="X457" s="1">
        <v>1</v>
      </c>
      <c r="Y457" s="1">
        <v>0</v>
      </c>
      <c r="Z457" s="1">
        <v>0</v>
      </c>
      <c r="AA457" s="1">
        <v>8</v>
      </c>
      <c r="AB457" s="1">
        <v>8</v>
      </c>
      <c r="AC457" s="1" t="s">
        <v>109</v>
      </c>
      <c r="AD457" s="1" t="s">
        <v>109</v>
      </c>
      <c r="AE457" s="1" t="s">
        <v>109</v>
      </c>
      <c r="AF457" s="1" t="s">
        <v>109</v>
      </c>
      <c r="AG457" s="1" t="s">
        <v>109</v>
      </c>
      <c r="AH457" s="1" t="s">
        <v>109</v>
      </c>
      <c r="AI457" s="1" t="s">
        <v>109</v>
      </c>
      <c r="AJ457" s="1" t="s">
        <v>109</v>
      </c>
      <c r="AK457" s="1" t="s">
        <v>109</v>
      </c>
      <c r="AL457" s="1" t="s">
        <v>109</v>
      </c>
      <c r="AM457" s="1" t="s">
        <v>109</v>
      </c>
      <c r="AN457" s="1" t="s">
        <v>109</v>
      </c>
      <c r="AO457" s="1" t="s">
        <v>109</v>
      </c>
      <c r="AP457" s="1"/>
      <c r="AQ457" s="1">
        <v>8</v>
      </c>
      <c r="AR457" s="1" t="s">
        <v>4183</v>
      </c>
      <c r="AS457" s="1" t="s">
        <v>4184</v>
      </c>
      <c r="AT457" s="1">
        <v>0</v>
      </c>
      <c r="AU457" s="1">
        <v>0</v>
      </c>
      <c r="AV457" s="1">
        <v>0</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1</v>
      </c>
      <c r="BN457" s="1">
        <v>0</v>
      </c>
      <c r="BO457" s="1">
        <v>0</v>
      </c>
      <c r="BP457" s="1">
        <v>0</v>
      </c>
      <c r="BQ457" s="1">
        <v>0</v>
      </c>
      <c r="BR457" s="1">
        <v>0</v>
      </c>
      <c r="BS457" s="5" t="str">
        <f>HYPERLINK("http://www.d20pfsrd.com/magic/all-spells/s/scintillating-pattern","Scintillating Pattern")</f>
        <v>Scintillating Pattern</v>
      </c>
      <c r="BT457" s="1">
        <v>458</v>
      </c>
      <c r="BU457" s="1" t="s">
        <v>109</v>
      </c>
      <c r="BV457" s="1"/>
      <c r="BW457" s="1" t="s">
        <v>4185</v>
      </c>
      <c r="BX457" s="1"/>
      <c r="BY457" s="1"/>
      <c r="BZ457" s="1">
        <v>0</v>
      </c>
      <c r="CA457" s="1" t="s">
        <v>109</v>
      </c>
      <c r="CB457" s="1" t="s">
        <v>109</v>
      </c>
      <c r="CC457" s="1">
        <v>8</v>
      </c>
      <c r="CD457" s="1" t="s">
        <v>109</v>
      </c>
      <c r="CE457" s="1" t="s">
        <v>109</v>
      </c>
      <c r="CF457" s="1" t="s">
        <v>109</v>
      </c>
      <c r="CG457" s="1" t="s">
        <v>109</v>
      </c>
      <c r="CH457" s="1" t="s">
        <v>109</v>
      </c>
      <c r="CI457" s="1" t="s">
        <v>109</v>
      </c>
      <c r="CJ457" s="1" t="s">
        <v>109</v>
      </c>
      <c r="CK457" s="1"/>
      <c r="CL457" s="1">
        <v>0</v>
      </c>
      <c r="CM457" s="1">
        <v>0</v>
      </c>
      <c r="CN457" s="1">
        <v>0</v>
      </c>
    </row>
    <row r="458" spans="1:92" ht="14.25" customHeight="1" x14ac:dyDescent="0.15">
      <c r="A458" s="1" t="s">
        <v>4186</v>
      </c>
      <c r="B458" s="1" t="s">
        <v>584</v>
      </c>
      <c r="C458" s="1"/>
      <c r="D458" s="1" t="s">
        <v>59</v>
      </c>
      <c r="E458" s="1" t="s">
        <v>97</v>
      </c>
      <c r="F458" s="1" t="s">
        <v>98</v>
      </c>
      <c r="G458" s="1" t="s">
        <v>141</v>
      </c>
      <c r="H458" s="1">
        <v>0</v>
      </c>
      <c r="I458" s="1" t="s">
        <v>142</v>
      </c>
      <c r="J458" s="1"/>
      <c r="K458" s="1" t="s">
        <v>4187</v>
      </c>
      <c r="L458" s="1"/>
      <c r="M458" s="1" t="s">
        <v>144</v>
      </c>
      <c r="N458" s="1">
        <v>0</v>
      </c>
      <c r="O458" s="1">
        <v>0</v>
      </c>
      <c r="P458" s="1" t="s">
        <v>103</v>
      </c>
      <c r="Q458" s="1" t="s">
        <v>268</v>
      </c>
      <c r="R458" s="1" t="s">
        <v>4188</v>
      </c>
      <c r="S458" s="1" t="s">
        <v>4189</v>
      </c>
      <c r="T458" s="1" t="s">
        <v>107</v>
      </c>
      <c r="U458" s="1" t="s">
        <v>4190</v>
      </c>
      <c r="V458" s="1">
        <v>1</v>
      </c>
      <c r="W458" s="1">
        <v>1</v>
      </c>
      <c r="X458" s="1">
        <v>0</v>
      </c>
      <c r="Y458" s="1">
        <v>0</v>
      </c>
      <c r="Z458" s="1">
        <v>0</v>
      </c>
      <c r="AA458" s="1">
        <v>2</v>
      </c>
      <c r="AB458" s="1">
        <v>2</v>
      </c>
      <c r="AC458" s="1" t="s">
        <v>109</v>
      </c>
      <c r="AD458" s="1" t="s">
        <v>109</v>
      </c>
      <c r="AE458" s="1" t="s">
        <v>109</v>
      </c>
      <c r="AF458" s="1" t="s">
        <v>109</v>
      </c>
      <c r="AG458" s="1" t="s">
        <v>109</v>
      </c>
      <c r="AH458" s="1" t="s">
        <v>109</v>
      </c>
      <c r="AI458" s="1" t="s">
        <v>109</v>
      </c>
      <c r="AJ458" s="1" t="s">
        <v>109</v>
      </c>
      <c r="AK458" s="1" t="s">
        <v>109</v>
      </c>
      <c r="AL458" s="1" t="s">
        <v>109</v>
      </c>
      <c r="AM458" s="1" t="s">
        <v>109</v>
      </c>
      <c r="AN458" s="1">
        <v>2</v>
      </c>
      <c r="AO458" s="1">
        <v>2</v>
      </c>
      <c r="AP458" s="1"/>
      <c r="AQ458" s="1">
        <v>2</v>
      </c>
      <c r="AR458" s="1"/>
      <c r="AS458" s="1" t="s">
        <v>4191</v>
      </c>
      <c r="AT458" s="1">
        <v>0</v>
      </c>
      <c r="AU458" s="1">
        <v>0</v>
      </c>
      <c r="AV458" s="1">
        <v>0</v>
      </c>
      <c r="AW458" s="1">
        <v>0</v>
      </c>
      <c r="AX458" s="1">
        <v>0</v>
      </c>
      <c r="AY458" s="1">
        <v>0</v>
      </c>
      <c r="AZ458" s="1">
        <v>0</v>
      </c>
      <c r="BA458" s="1">
        <v>0</v>
      </c>
      <c r="BB458" s="1">
        <v>0</v>
      </c>
      <c r="BC458" s="1">
        <v>0</v>
      </c>
      <c r="BD458" s="1">
        <v>0</v>
      </c>
      <c r="BE458" s="1">
        <v>0</v>
      </c>
      <c r="BF458" s="1">
        <v>0</v>
      </c>
      <c r="BG458" s="1">
        <v>1</v>
      </c>
      <c r="BH458" s="1">
        <v>0</v>
      </c>
      <c r="BI458" s="1">
        <v>0</v>
      </c>
      <c r="BJ458" s="1">
        <v>0</v>
      </c>
      <c r="BK458" s="1">
        <v>0</v>
      </c>
      <c r="BL458" s="1">
        <v>0</v>
      </c>
      <c r="BM458" s="1">
        <v>0</v>
      </c>
      <c r="BN458" s="1">
        <v>0</v>
      </c>
      <c r="BO458" s="1">
        <v>0</v>
      </c>
      <c r="BP458" s="1">
        <v>0</v>
      </c>
      <c r="BQ458" s="1">
        <v>0</v>
      </c>
      <c r="BR458" s="1">
        <v>0</v>
      </c>
      <c r="BS458" s="5" t="str">
        <f>HYPERLINK("http://www.d20pfsrd.com/magic/all-spells/s/scorching-ray","Scorching Ray")</f>
        <v>Scorching Ray</v>
      </c>
      <c r="BT458" s="1">
        <v>459</v>
      </c>
      <c r="BU458" s="1" t="s">
        <v>109</v>
      </c>
      <c r="BV458" s="1" t="s">
        <v>4192</v>
      </c>
      <c r="BW458" s="1"/>
      <c r="BX458" s="1" t="s">
        <v>4193</v>
      </c>
      <c r="BY458" s="1"/>
      <c r="BZ458" s="1">
        <v>1</v>
      </c>
      <c r="CA458" s="1">
        <v>2</v>
      </c>
      <c r="CB458" s="1" t="s">
        <v>109</v>
      </c>
      <c r="CC458" s="1" t="s">
        <v>109</v>
      </c>
      <c r="CD458" s="1" t="s">
        <v>109</v>
      </c>
      <c r="CE458" s="1" t="s">
        <v>109</v>
      </c>
      <c r="CF458" s="1" t="s">
        <v>109</v>
      </c>
      <c r="CG458" s="1" t="s">
        <v>109</v>
      </c>
      <c r="CH458" s="1" t="s">
        <v>109</v>
      </c>
      <c r="CI458" s="1" t="s">
        <v>109</v>
      </c>
      <c r="CJ458" s="1" t="s">
        <v>109</v>
      </c>
      <c r="CK458" s="1"/>
      <c r="CL458" s="1">
        <v>0</v>
      </c>
      <c r="CM458" s="1">
        <v>0</v>
      </c>
      <c r="CN458" s="1">
        <v>0</v>
      </c>
    </row>
    <row r="459" spans="1:92" ht="14.25" customHeight="1" x14ac:dyDescent="0.15">
      <c r="A459" s="1" t="s">
        <v>4194</v>
      </c>
      <c r="B459" s="1" t="s">
        <v>674</v>
      </c>
      <c r="C459" s="1" t="s">
        <v>675</v>
      </c>
      <c r="D459" s="1"/>
      <c r="E459" s="1" t="s">
        <v>904</v>
      </c>
      <c r="F459" s="1" t="s">
        <v>395</v>
      </c>
      <c r="G459" s="1" t="s">
        <v>141</v>
      </c>
      <c r="H459" s="1">
        <v>0</v>
      </c>
      <c r="I459" s="1" t="s">
        <v>142</v>
      </c>
      <c r="J459" s="1" t="s">
        <v>3076</v>
      </c>
      <c r="K459" s="1"/>
      <c r="L459" s="1"/>
      <c r="M459" s="1" t="s">
        <v>465</v>
      </c>
      <c r="N459" s="1">
        <v>0</v>
      </c>
      <c r="O459" s="1">
        <v>1</v>
      </c>
      <c r="P459" s="1" t="s">
        <v>3359</v>
      </c>
      <c r="Q459" s="1" t="s">
        <v>104</v>
      </c>
      <c r="R459" s="1" t="s">
        <v>4195</v>
      </c>
      <c r="S459" s="1" t="s">
        <v>4196</v>
      </c>
      <c r="T459" s="1" t="s">
        <v>107</v>
      </c>
      <c r="U459" s="1" t="s">
        <v>4197</v>
      </c>
      <c r="V459" s="1">
        <v>1</v>
      </c>
      <c r="W459" s="1">
        <v>1</v>
      </c>
      <c r="X459" s="1">
        <v>0</v>
      </c>
      <c r="Y459" s="1">
        <v>0</v>
      </c>
      <c r="Z459" s="1">
        <v>0</v>
      </c>
      <c r="AA459" s="1">
        <v>8</v>
      </c>
      <c r="AB459" s="1">
        <v>8</v>
      </c>
      <c r="AC459" s="1" t="s">
        <v>109</v>
      </c>
      <c r="AD459" s="1" t="s">
        <v>109</v>
      </c>
      <c r="AE459" s="1" t="s">
        <v>109</v>
      </c>
      <c r="AF459" s="1" t="s">
        <v>109</v>
      </c>
      <c r="AG459" s="1" t="s">
        <v>109</v>
      </c>
      <c r="AH459" s="1" t="s">
        <v>109</v>
      </c>
      <c r="AI459" s="1" t="s">
        <v>109</v>
      </c>
      <c r="AJ459" s="1" t="s">
        <v>109</v>
      </c>
      <c r="AK459" s="1" t="s">
        <v>109</v>
      </c>
      <c r="AL459" s="1" t="s">
        <v>109</v>
      </c>
      <c r="AM459" s="1" t="s">
        <v>109</v>
      </c>
      <c r="AN459" s="1" t="s">
        <v>109</v>
      </c>
      <c r="AO459" s="1" t="s">
        <v>109</v>
      </c>
      <c r="AP459" s="1"/>
      <c r="AQ459" s="1">
        <v>8</v>
      </c>
      <c r="AR459" s="1" t="s">
        <v>4198</v>
      </c>
      <c r="AS459" s="1" t="s">
        <v>4199</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5" t="str">
        <f>HYPERLINK("http://www.d20pfsrd.com/magic/all-spells/s/screen","Screen")</f>
        <v>Screen</v>
      </c>
      <c r="BT459" s="1">
        <v>460</v>
      </c>
      <c r="BU459" s="1" t="s">
        <v>109</v>
      </c>
      <c r="BV459" s="1"/>
      <c r="BW459" s="1" t="s">
        <v>4200</v>
      </c>
      <c r="BX459" s="1"/>
      <c r="BY459" s="1"/>
      <c r="BZ459" s="1">
        <v>0</v>
      </c>
      <c r="CA459" s="1" t="s">
        <v>109</v>
      </c>
      <c r="CB459" s="1" t="s">
        <v>109</v>
      </c>
      <c r="CC459" s="1">
        <v>8</v>
      </c>
      <c r="CD459" s="1" t="s">
        <v>109</v>
      </c>
      <c r="CE459" s="1" t="s">
        <v>109</v>
      </c>
      <c r="CF459" s="1" t="s">
        <v>109</v>
      </c>
      <c r="CG459" s="1" t="s">
        <v>109</v>
      </c>
      <c r="CH459" s="1" t="s">
        <v>109</v>
      </c>
      <c r="CI459" s="1" t="s">
        <v>109</v>
      </c>
      <c r="CJ459" s="1" t="s">
        <v>109</v>
      </c>
      <c r="CK459" s="1"/>
      <c r="CL459" s="1">
        <v>0</v>
      </c>
      <c r="CM459" s="1">
        <v>0</v>
      </c>
      <c r="CN459" s="1">
        <v>0</v>
      </c>
    </row>
    <row r="460" spans="1:92" ht="14.25" customHeight="1" x14ac:dyDescent="0.15">
      <c r="A460" s="1" t="s">
        <v>4201</v>
      </c>
      <c r="B460" s="1" t="s">
        <v>254</v>
      </c>
      <c r="C460" s="1" t="s">
        <v>393</v>
      </c>
      <c r="D460" s="1"/>
      <c r="E460" s="1" t="s">
        <v>4202</v>
      </c>
      <c r="F460" s="1" t="s">
        <v>377</v>
      </c>
      <c r="G460" s="1" t="s">
        <v>4203</v>
      </c>
      <c r="H460" s="1">
        <v>1</v>
      </c>
      <c r="I460" s="1" t="s">
        <v>211</v>
      </c>
      <c r="J460" s="1"/>
      <c r="K460" s="1" t="s">
        <v>398</v>
      </c>
      <c r="L460" s="1"/>
      <c r="M460" s="1" t="s">
        <v>164</v>
      </c>
      <c r="N460" s="1">
        <v>0</v>
      </c>
      <c r="O460" s="1">
        <v>0</v>
      </c>
      <c r="P460" s="1" t="s">
        <v>301</v>
      </c>
      <c r="Q460" s="1" t="s">
        <v>268</v>
      </c>
      <c r="R460" s="1" t="s">
        <v>4204</v>
      </c>
      <c r="S460" s="1" t="s">
        <v>4205</v>
      </c>
      <c r="T460" s="1" t="s">
        <v>107</v>
      </c>
      <c r="U460" s="1" t="s">
        <v>4206</v>
      </c>
      <c r="V460" s="1">
        <v>1</v>
      </c>
      <c r="W460" s="1">
        <v>1</v>
      </c>
      <c r="X460" s="1">
        <v>1</v>
      </c>
      <c r="Y460" s="1">
        <v>0</v>
      </c>
      <c r="Z460" s="1">
        <v>1</v>
      </c>
      <c r="AA460" s="1">
        <v>4</v>
      </c>
      <c r="AB460" s="1">
        <v>4</v>
      </c>
      <c r="AC460" s="1">
        <v>5</v>
      </c>
      <c r="AD460" s="1">
        <v>4</v>
      </c>
      <c r="AE460" s="1" t="s">
        <v>109</v>
      </c>
      <c r="AF460" s="1">
        <v>3</v>
      </c>
      <c r="AG460" s="1" t="s">
        <v>109</v>
      </c>
      <c r="AH460" s="1" t="s">
        <v>109</v>
      </c>
      <c r="AI460" s="1" t="s">
        <v>109</v>
      </c>
      <c r="AJ460" s="1">
        <v>4</v>
      </c>
      <c r="AK460" s="1" t="s">
        <v>109</v>
      </c>
      <c r="AL460" s="1">
        <v>5</v>
      </c>
      <c r="AM460" s="1" t="s">
        <v>109</v>
      </c>
      <c r="AN460" s="1" t="s">
        <v>109</v>
      </c>
      <c r="AO460" s="1" t="s">
        <v>109</v>
      </c>
      <c r="AP460" s="1"/>
      <c r="AQ460" s="1">
        <v>4</v>
      </c>
      <c r="AR460" s="1"/>
      <c r="AS460" s="1" t="s">
        <v>4207</v>
      </c>
      <c r="AT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5" t="str">
        <f>HYPERLINK("http://www.d20pfsrd.com/magic/all-spells/s/scrying","Scrying")</f>
        <v>Scrying</v>
      </c>
      <c r="BT460" s="1">
        <v>461</v>
      </c>
      <c r="BU460" s="1">
        <v>1000</v>
      </c>
      <c r="BV460" s="1"/>
      <c r="BW460" s="1"/>
      <c r="BX460" s="1"/>
      <c r="BY460" s="1"/>
      <c r="BZ460" s="1">
        <v>0</v>
      </c>
      <c r="CA460" s="1" t="s">
        <v>109</v>
      </c>
      <c r="CB460" s="1">
        <v>4</v>
      </c>
      <c r="CC460" s="1">
        <v>4</v>
      </c>
      <c r="CD460" s="1" t="s">
        <v>109</v>
      </c>
      <c r="CE460" s="1">
        <v>3</v>
      </c>
      <c r="CF460" s="1">
        <v>4</v>
      </c>
      <c r="CG460" s="1">
        <v>5</v>
      </c>
      <c r="CH460" s="1" t="s">
        <v>109</v>
      </c>
      <c r="CI460" s="1" t="s">
        <v>109</v>
      </c>
      <c r="CJ460" s="1">
        <v>4</v>
      </c>
      <c r="CK460" s="1"/>
      <c r="CL460" s="1">
        <v>0</v>
      </c>
      <c r="CM460" s="1">
        <v>0</v>
      </c>
      <c r="CN460" s="1">
        <v>0</v>
      </c>
    </row>
    <row r="461" spans="1:92" ht="14.25" customHeight="1" x14ac:dyDescent="0.15">
      <c r="A461" s="1" t="s">
        <v>4208</v>
      </c>
      <c r="B461" s="1" t="s">
        <v>254</v>
      </c>
      <c r="C461" s="1" t="s">
        <v>393</v>
      </c>
      <c r="D461" s="1"/>
      <c r="E461" s="1" t="s">
        <v>4209</v>
      </c>
      <c r="F461" s="1" t="s">
        <v>98</v>
      </c>
      <c r="G461" s="1" t="s">
        <v>141</v>
      </c>
      <c r="H461" s="1">
        <v>0</v>
      </c>
      <c r="I461" s="1" t="s">
        <v>211</v>
      </c>
      <c r="J461" s="1"/>
      <c r="K461" s="1" t="s">
        <v>398</v>
      </c>
      <c r="L461" s="1"/>
      <c r="M461" s="1" t="s">
        <v>289</v>
      </c>
      <c r="N461" s="1">
        <v>0</v>
      </c>
      <c r="O461" s="1">
        <v>0</v>
      </c>
      <c r="P461" s="1" t="s">
        <v>301</v>
      </c>
      <c r="Q461" s="1" t="s">
        <v>268</v>
      </c>
      <c r="R461" s="1" t="s">
        <v>4210</v>
      </c>
      <c r="S461" s="1" t="s">
        <v>4211</v>
      </c>
      <c r="T461" s="1" t="s">
        <v>107</v>
      </c>
      <c r="U461" s="1" t="s">
        <v>4212</v>
      </c>
      <c r="V461" s="1">
        <v>1</v>
      </c>
      <c r="W461" s="1">
        <v>1</v>
      </c>
      <c r="X461" s="1">
        <v>0</v>
      </c>
      <c r="Y461" s="1">
        <v>0</v>
      </c>
      <c r="Z461" s="1">
        <v>0</v>
      </c>
      <c r="AA461" s="1">
        <v>7</v>
      </c>
      <c r="AB461" s="1">
        <v>7</v>
      </c>
      <c r="AC461" s="1">
        <v>7</v>
      </c>
      <c r="AD461" s="1">
        <v>7</v>
      </c>
      <c r="AE461" s="1" t="s">
        <v>109</v>
      </c>
      <c r="AF461" s="1">
        <v>6</v>
      </c>
      <c r="AG461" s="1" t="s">
        <v>109</v>
      </c>
      <c r="AH461" s="1" t="s">
        <v>109</v>
      </c>
      <c r="AI461" s="1" t="s">
        <v>109</v>
      </c>
      <c r="AJ461" s="1">
        <v>7</v>
      </c>
      <c r="AK461" s="1" t="s">
        <v>109</v>
      </c>
      <c r="AL461" s="1">
        <v>7</v>
      </c>
      <c r="AM461" s="1" t="s">
        <v>109</v>
      </c>
      <c r="AN461" s="1" t="s">
        <v>109</v>
      </c>
      <c r="AO461" s="1" t="s">
        <v>109</v>
      </c>
      <c r="AP461" s="1"/>
      <c r="AQ461" s="1">
        <v>7</v>
      </c>
      <c r="AR461" s="1"/>
      <c r="AS461" s="1" t="s">
        <v>4213</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5" t="str">
        <f>HYPERLINK("http://www.d20pfsrd.com/magic/all-spells/s/scrying","Scrying, Greater")</f>
        <v>Scrying, Greater</v>
      </c>
      <c r="BT461" s="1">
        <v>462</v>
      </c>
      <c r="BU461" s="1" t="s">
        <v>109</v>
      </c>
      <c r="BV461" s="1"/>
      <c r="BW461" s="1"/>
      <c r="BX461" s="1"/>
      <c r="BY461" s="1"/>
      <c r="BZ461" s="1">
        <v>0</v>
      </c>
      <c r="CA461" s="1" t="s">
        <v>109</v>
      </c>
      <c r="CB461" s="1">
        <v>7</v>
      </c>
      <c r="CC461" s="1">
        <v>7</v>
      </c>
      <c r="CD461" s="1" t="s">
        <v>109</v>
      </c>
      <c r="CE461" s="1">
        <v>6</v>
      </c>
      <c r="CF461" s="1">
        <v>6</v>
      </c>
      <c r="CG461" s="1" t="s">
        <v>109</v>
      </c>
      <c r="CH461" s="1" t="s">
        <v>109</v>
      </c>
      <c r="CI461" s="1" t="s">
        <v>109</v>
      </c>
      <c r="CJ461" s="1" t="s">
        <v>109</v>
      </c>
      <c r="CK461" s="1"/>
      <c r="CL461" s="1">
        <v>0</v>
      </c>
      <c r="CM461" s="1">
        <v>0</v>
      </c>
      <c r="CN461" s="1">
        <v>0</v>
      </c>
    </row>
    <row r="462" spans="1:92" ht="14.25" customHeight="1" x14ac:dyDescent="0.15">
      <c r="A462" s="1" t="s">
        <v>4214</v>
      </c>
      <c r="B462" s="1" t="s">
        <v>189</v>
      </c>
      <c r="C462" s="1"/>
      <c r="D462" s="1"/>
      <c r="E462" s="1" t="s">
        <v>2403</v>
      </c>
      <c r="F462" s="1" t="s">
        <v>98</v>
      </c>
      <c r="G462" s="1" t="s">
        <v>141</v>
      </c>
      <c r="H462" s="1">
        <v>0</v>
      </c>
      <c r="I462" s="1" t="s">
        <v>142</v>
      </c>
      <c r="J462" s="1"/>
      <c r="K462" s="1"/>
      <c r="L462" s="1" t="s">
        <v>4215</v>
      </c>
      <c r="M462" s="1" t="s">
        <v>289</v>
      </c>
      <c r="N462" s="1">
        <v>1</v>
      </c>
      <c r="O462" s="1">
        <v>0</v>
      </c>
      <c r="P462" s="1" t="s">
        <v>629</v>
      </c>
      <c r="Q462" s="1" t="s">
        <v>630</v>
      </c>
      <c r="R462" s="1" t="s">
        <v>4216</v>
      </c>
      <c r="S462" s="1" t="s">
        <v>4217</v>
      </c>
      <c r="T462" s="1" t="s">
        <v>107</v>
      </c>
      <c r="U462" s="1" t="s">
        <v>4218</v>
      </c>
      <c r="V462" s="1">
        <v>1</v>
      </c>
      <c r="W462" s="1">
        <v>1</v>
      </c>
      <c r="X462" s="1">
        <v>0</v>
      </c>
      <c r="Y462" s="1">
        <v>0</v>
      </c>
      <c r="Z462" s="1">
        <v>0</v>
      </c>
      <c r="AA462" s="1" t="s">
        <v>109</v>
      </c>
      <c r="AB462" s="1" t="s">
        <v>109</v>
      </c>
      <c r="AC462" s="1" t="s">
        <v>109</v>
      </c>
      <c r="AD462" s="1" t="s">
        <v>109</v>
      </c>
      <c r="AE462" s="1" t="s">
        <v>109</v>
      </c>
      <c r="AF462" s="1">
        <v>3</v>
      </c>
      <c r="AG462" s="1" t="s">
        <v>109</v>
      </c>
      <c r="AH462" s="1" t="s">
        <v>109</v>
      </c>
      <c r="AI462" s="1" t="s">
        <v>109</v>
      </c>
      <c r="AJ462" s="1" t="s">
        <v>109</v>
      </c>
      <c r="AK462" s="1" t="s">
        <v>109</v>
      </c>
      <c r="AL462" s="1" t="s">
        <v>109</v>
      </c>
      <c r="AM462" s="1" t="s">
        <v>109</v>
      </c>
      <c r="AN462" s="1" t="s">
        <v>109</v>
      </c>
      <c r="AO462" s="1" t="s">
        <v>109</v>
      </c>
      <c r="AP462" s="1"/>
      <c r="AQ462" s="1">
        <v>3</v>
      </c>
      <c r="AR462" s="1"/>
      <c r="AS462" s="1" t="s">
        <v>4219</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5" t="str">
        <f>HYPERLINK("http://www.d20pfsrd.com/magic/all-spells/s/sculpt-sound","Sculpt Sound")</f>
        <v>Sculpt Sound</v>
      </c>
      <c r="BT462" s="1">
        <v>463</v>
      </c>
      <c r="BU462" s="1" t="s">
        <v>109</v>
      </c>
      <c r="BV462" s="1"/>
      <c r="BW462" s="1"/>
      <c r="BX462" s="1"/>
      <c r="BY462" s="1"/>
      <c r="BZ462" s="1">
        <v>0</v>
      </c>
      <c r="CA462" s="1" t="s">
        <v>109</v>
      </c>
      <c r="CB462" s="1" t="s">
        <v>109</v>
      </c>
      <c r="CC462" s="1" t="s">
        <v>109</v>
      </c>
      <c r="CD462" s="1" t="s">
        <v>109</v>
      </c>
      <c r="CE462" s="1" t="s">
        <v>109</v>
      </c>
      <c r="CF462" s="1" t="s">
        <v>109</v>
      </c>
      <c r="CG462" s="1" t="s">
        <v>109</v>
      </c>
      <c r="CH462" s="1" t="s">
        <v>109</v>
      </c>
      <c r="CI462" s="1" t="s">
        <v>109</v>
      </c>
      <c r="CJ462" s="1" t="s">
        <v>109</v>
      </c>
      <c r="CK462" s="1"/>
      <c r="CL462" s="1">
        <v>0</v>
      </c>
      <c r="CM462" s="1">
        <v>0</v>
      </c>
      <c r="CN462" s="1">
        <v>0</v>
      </c>
    </row>
    <row r="463" spans="1:92" ht="14.25" customHeight="1" x14ac:dyDescent="0.15">
      <c r="A463" s="1" t="s">
        <v>4220</v>
      </c>
      <c r="B463" s="1" t="s">
        <v>584</v>
      </c>
      <c r="C463" s="1"/>
      <c r="D463" s="1"/>
      <c r="E463" s="1" t="s">
        <v>4221</v>
      </c>
      <c r="F463" s="1" t="s">
        <v>98</v>
      </c>
      <c r="G463" s="1" t="s">
        <v>141</v>
      </c>
      <c r="H463" s="1">
        <v>0</v>
      </c>
      <c r="I463" s="1" t="s">
        <v>122</v>
      </c>
      <c r="J463" s="1"/>
      <c r="K463" s="1" t="s">
        <v>1506</v>
      </c>
      <c r="L463" s="1"/>
      <c r="M463" s="1" t="s">
        <v>144</v>
      </c>
      <c r="N463" s="1">
        <v>0</v>
      </c>
      <c r="O463" s="1">
        <v>0</v>
      </c>
      <c r="P463" s="1" t="s">
        <v>103</v>
      </c>
      <c r="Q463" s="1" t="s">
        <v>268</v>
      </c>
      <c r="R463" s="1" t="s">
        <v>4222</v>
      </c>
      <c r="S463" s="1" t="s">
        <v>4223</v>
      </c>
      <c r="T463" s="1" t="s">
        <v>107</v>
      </c>
      <c r="U463" s="1" t="s">
        <v>4224</v>
      </c>
      <c r="V463" s="1">
        <v>1</v>
      </c>
      <c r="W463" s="1">
        <v>1</v>
      </c>
      <c r="X463" s="1">
        <v>0</v>
      </c>
      <c r="Y463" s="1">
        <v>0</v>
      </c>
      <c r="Z463" s="1">
        <v>0</v>
      </c>
      <c r="AA463" s="1" t="s">
        <v>109</v>
      </c>
      <c r="AB463" s="1" t="s">
        <v>109</v>
      </c>
      <c r="AC463" s="1">
        <v>3</v>
      </c>
      <c r="AD463" s="1" t="s">
        <v>109</v>
      </c>
      <c r="AE463" s="1" t="s">
        <v>109</v>
      </c>
      <c r="AF463" s="1" t="s">
        <v>109</v>
      </c>
      <c r="AG463" s="1" t="s">
        <v>109</v>
      </c>
      <c r="AH463" s="1" t="s">
        <v>109</v>
      </c>
      <c r="AI463" s="1" t="s">
        <v>109</v>
      </c>
      <c r="AJ463" s="1" t="s">
        <v>109</v>
      </c>
      <c r="AK463" s="1">
        <v>3</v>
      </c>
      <c r="AL463" s="1">
        <v>3</v>
      </c>
      <c r="AM463" s="1" t="s">
        <v>109</v>
      </c>
      <c r="AN463" s="1" t="s">
        <v>109</v>
      </c>
      <c r="AO463" s="1" t="s">
        <v>109</v>
      </c>
      <c r="AP463" s="1"/>
      <c r="AQ463" s="1">
        <v>3</v>
      </c>
      <c r="AR463" s="1" t="s">
        <v>4225</v>
      </c>
      <c r="AS463" s="1" t="s">
        <v>4226</v>
      </c>
      <c r="AT463" s="1">
        <v>0</v>
      </c>
      <c r="AU463" s="1">
        <v>0</v>
      </c>
      <c r="AV463" s="1">
        <v>0</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5" t="str">
        <f>HYPERLINK("http://www.d20pfsrd.com/magic/all-spells/s/searing-light","Searing Light")</f>
        <v>Searing Light</v>
      </c>
      <c r="BT463" s="1">
        <v>464</v>
      </c>
      <c r="BU463" s="1" t="s">
        <v>109</v>
      </c>
      <c r="BV463" s="1"/>
      <c r="BW463" s="1"/>
      <c r="BX463" s="1" t="s">
        <v>4227</v>
      </c>
      <c r="BY463" s="1"/>
      <c r="BZ463" s="1">
        <v>1</v>
      </c>
      <c r="CA463" s="1" t="s">
        <v>109</v>
      </c>
      <c r="CB463" s="1" t="s">
        <v>109</v>
      </c>
      <c r="CC463" s="1" t="s">
        <v>109</v>
      </c>
      <c r="CD463" s="1" t="s">
        <v>109</v>
      </c>
      <c r="CE463" s="1" t="s">
        <v>109</v>
      </c>
      <c r="CF463" s="1" t="s">
        <v>109</v>
      </c>
      <c r="CG463" s="1" t="s">
        <v>109</v>
      </c>
      <c r="CH463" s="1" t="s">
        <v>109</v>
      </c>
      <c r="CI463" s="1" t="s">
        <v>109</v>
      </c>
      <c r="CJ463" s="1" t="s">
        <v>109</v>
      </c>
      <c r="CK463" s="1"/>
      <c r="CL463" s="1">
        <v>0</v>
      </c>
      <c r="CM463" s="1">
        <v>0</v>
      </c>
      <c r="CN463" s="1">
        <v>0</v>
      </c>
    </row>
    <row r="464" spans="1:92" ht="14.25" customHeight="1" x14ac:dyDescent="0.15">
      <c r="A464" s="1" t="s">
        <v>4228</v>
      </c>
      <c r="B464" s="1" t="s">
        <v>95</v>
      </c>
      <c r="C464" s="1" t="s">
        <v>1179</v>
      </c>
      <c r="D464" s="1"/>
      <c r="E464" s="1" t="s">
        <v>4229</v>
      </c>
      <c r="F464" s="1" t="s">
        <v>395</v>
      </c>
      <c r="G464" s="1" t="s">
        <v>4230</v>
      </c>
      <c r="H464" s="1">
        <v>0</v>
      </c>
      <c r="I464" s="1" t="s">
        <v>211</v>
      </c>
      <c r="J464" s="1"/>
      <c r="K464" s="1"/>
      <c r="L464" s="1" t="s">
        <v>4231</v>
      </c>
      <c r="M464" s="1" t="s">
        <v>4232</v>
      </c>
      <c r="N464" s="1">
        <v>0</v>
      </c>
      <c r="O464" s="1">
        <v>0</v>
      </c>
      <c r="P464" s="1" t="s">
        <v>103</v>
      </c>
      <c r="Q464" s="1" t="s">
        <v>104</v>
      </c>
      <c r="R464" s="1" t="s">
        <v>4233</v>
      </c>
      <c r="S464" s="1" t="s">
        <v>4234</v>
      </c>
      <c r="T464" s="1" t="s">
        <v>107</v>
      </c>
      <c r="U464" s="1" t="s">
        <v>4235</v>
      </c>
      <c r="V464" s="1">
        <v>1</v>
      </c>
      <c r="W464" s="1">
        <v>1</v>
      </c>
      <c r="X464" s="1">
        <v>0</v>
      </c>
      <c r="Y464" s="1">
        <v>1</v>
      </c>
      <c r="Z464" s="1">
        <v>0</v>
      </c>
      <c r="AA464" s="1">
        <v>5</v>
      </c>
      <c r="AB464" s="1">
        <v>5</v>
      </c>
      <c r="AC464" s="1" t="s">
        <v>109</v>
      </c>
      <c r="AD464" s="1" t="s">
        <v>109</v>
      </c>
      <c r="AE464" s="1" t="s">
        <v>109</v>
      </c>
      <c r="AF464" s="1" t="s">
        <v>109</v>
      </c>
      <c r="AG464" s="1" t="s">
        <v>109</v>
      </c>
      <c r="AH464" s="1" t="s">
        <v>109</v>
      </c>
      <c r="AI464" s="1" t="s">
        <v>109</v>
      </c>
      <c r="AJ464" s="1">
        <v>5</v>
      </c>
      <c r="AK464" s="1" t="s">
        <v>109</v>
      </c>
      <c r="AL464" s="1" t="s">
        <v>109</v>
      </c>
      <c r="AM464" s="1" t="s">
        <v>109</v>
      </c>
      <c r="AN464" s="1" t="s">
        <v>109</v>
      </c>
      <c r="AO464" s="1" t="s">
        <v>109</v>
      </c>
      <c r="AP464" s="1"/>
      <c r="AQ464" s="1">
        <v>5</v>
      </c>
      <c r="AR464" s="1"/>
      <c r="AS464" s="1" t="s">
        <v>4236</v>
      </c>
      <c r="AT464" s="1">
        <v>0</v>
      </c>
      <c r="AU464" s="1">
        <v>0</v>
      </c>
      <c r="AV464" s="1">
        <v>0</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5" t="str">
        <f>HYPERLINK("http://www.d20pfsrd.com/magic/all-spells/s/secret-chest","Secret Chest")</f>
        <v>Secret Chest</v>
      </c>
      <c r="BT464" s="1">
        <v>465</v>
      </c>
      <c r="BU464" s="1" t="s">
        <v>109</v>
      </c>
      <c r="BV464" s="1"/>
      <c r="BW464" s="1"/>
      <c r="BX464" s="1"/>
      <c r="BY464" s="1"/>
      <c r="BZ464" s="1">
        <v>0</v>
      </c>
      <c r="CA464" s="1" t="s">
        <v>109</v>
      </c>
      <c r="CB464" s="1" t="s">
        <v>109</v>
      </c>
      <c r="CC464" s="1">
        <v>5</v>
      </c>
      <c r="CD464" s="1" t="s">
        <v>109</v>
      </c>
      <c r="CE464" s="1">
        <v>5</v>
      </c>
      <c r="CF464" s="1">
        <v>5</v>
      </c>
      <c r="CG464" s="1">
        <v>5</v>
      </c>
      <c r="CH464" s="1" t="s">
        <v>109</v>
      </c>
      <c r="CI464" s="1" t="s">
        <v>109</v>
      </c>
      <c r="CJ464" s="1" t="s">
        <v>109</v>
      </c>
      <c r="CK464" s="1"/>
      <c r="CL464" s="1">
        <v>0</v>
      </c>
      <c r="CM464" s="1">
        <v>0</v>
      </c>
      <c r="CN464" s="1">
        <v>0</v>
      </c>
    </row>
    <row r="465" spans="1:92" ht="14.25" customHeight="1" x14ac:dyDescent="0.15">
      <c r="A465" s="1" t="s">
        <v>4237</v>
      </c>
      <c r="B465" s="1" t="s">
        <v>189</v>
      </c>
      <c r="C465" s="1"/>
      <c r="D465" s="1"/>
      <c r="E465" s="1" t="s">
        <v>4238</v>
      </c>
      <c r="F465" s="1" t="s">
        <v>395</v>
      </c>
      <c r="G465" s="1" t="s">
        <v>4239</v>
      </c>
      <c r="H465" s="1">
        <v>0</v>
      </c>
      <c r="I465" s="1" t="s">
        <v>161</v>
      </c>
      <c r="J465" s="1"/>
      <c r="K465" s="1"/>
      <c r="L465" s="1" t="s">
        <v>4240</v>
      </c>
      <c r="M465" s="1" t="s">
        <v>408</v>
      </c>
      <c r="N465" s="1">
        <v>0</v>
      </c>
      <c r="O465" s="1">
        <v>0</v>
      </c>
      <c r="P465" s="1" t="s">
        <v>103</v>
      </c>
      <c r="Q465" s="1" t="s">
        <v>104</v>
      </c>
      <c r="R465" s="1" t="s">
        <v>4241</v>
      </c>
      <c r="S465" s="1" t="s">
        <v>4242</v>
      </c>
      <c r="T465" s="1" t="s">
        <v>107</v>
      </c>
      <c r="U465" s="1" t="s">
        <v>4243</v>
      </c>
      <c r="V465" s="1">
        <v>1</v>
      </c>
      <c r="W465" s="1">
        <v>1</v>
      </c>
      <c r="X465" s="1">
        <v>1</v>
      </c>
      <c r="Y465" s="1">
        <v>0</v>
      </c>
      <c r="Z465" s="1">
        <v>0</v>
      </c>
      <c r="AA465" s="1">
        <v>3</v>
      </c>
      <c r="AB465" s="1">
        <v>3</v>
      </c>
      <c r="AC465" s="1" t="s">
        <v>109</v>
      </c>
      <c r="AD465" s="1" t="s">
        <v>109</v>
      </c>
      <c r="AE465" s="1" t="s">
        <v>109</v>
      </c>
      <c r="AF465" s="1">
        <v>3</v>
      </c>
      <c r="AG465" s="1" t="s">
        <v>109</v>
      </c>
      <c r="AH465" s="1" t="s">
        <v>109</v>
      </c>
      <c r="AI465" s="1" t="s">
        <v>109</v>
      </c>
      <c r="AJ465" s="1" t="s">
        <v>109</v>
      </c>
      <c r="AK465" s="1" t="s">
        <v>109</v>
      </c>
      <c r="AL465" s="1" t="s">
        <v>109</v>
      </c>
      <c r="AM465" s="1" t="s">
        <v>109</v>
      </c>
      <c r="AN465" s="1" t="s">
        <v>109</v>
      </c>
      <c r="AO465" s="1" t="s">
        <v>109</v>
      </c>
      <c r="AP465" s="1"/>
      <c r="AQ465" s="1">
        <v>3</v>
      </c>
      <c r="AR465" s="1" t="s">
        <v>4244</v>
      </c>
      <c r="AS465" s="1" t="s">
        <v>4245</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5" t="str">
        <f>HYPERLINK("http://www.d20pfsrd.com/magic/all-spells/s/secret-page","Secret Page")</f>
        <v>Secret Page</v>
      </c>
      <c r="BT465" s="1">
        <v>466</v>
      </c>
      <c r="BU465" s="1" t="s">
        <v>109</v>
      </c>
      <c r="BV465" s="1"/>
      <c r="BW465" s="1"/>
      <c r="BX465" s="1"/>
      <c r="BY465" s="1"/>
      <c r="BZ465" s="1">
        <v>0</v>
      </c>
      <c r="CA465" s="1" t="s">
        <v>109</v>
      </c>
      <c r="CB465" s="1" t="s">
        <v>109</v>
      </c>
      <c r="CC465" s="1" t="s">
        <v>109</v>
      </c>
      <c r="CD465" s="1" t="s">
        <v>109</v>
      </c>
      <c r="CE465" s="1">
        <v>3</v>
      </c>
      <c r="CF465" s="1">
        <v>3</v>
      </c>
      <c r="CG465" s="1" t="s">
        <v>109</v>
      </c>
      <c r="CH465" s="1" t="s">
        <v>109</v>
      </c>
      <c r="CI465" s="1" t="s">
        <v>109</v>
      </c>
      <c r="CJ465" s="1" t="s">
        <v>109</v>
      </c>
      <c r="CK465" s="1"/>
      <c r="CL465" s="1">
        <v>0</v>
      </c>
      <c r="CM465" s="1">
        <v>0</v>
      </c>
      <c r="CN465" s="1">
        <v>0</v>
      </c>
    </row>
    <row r="466" spans="1:92" ht="14.25" customHeight="1" x14ac:dyDescent="0.15">
      <c r="A466" s="1" t="s">
        <v>4246</v>
      </c>
      <c r="B466" s="1" t="s">
        <v>95</v>
      </c>
      <c r="C466" s="1" t="s">
        <v>96</v>
      </c>
      <c r="D466" s="1"/>
      <c r="E466" s="1" t="s">
        <v>4247</v>
      </c>
      <c r="F466" s="1" t="s">
        <v>395</v>
      </c>
      <c r="G466" s="1" t="s">
        <v>4248</v>
      </c>
      <c r="H466" s="1">
        <v>0</v>
      </c>
      <c r="I466" s="1" t="s">
        <v>142</v>
      </c>
      <c r="J466" s="1"/>
      <c r="K466" s="1" t="s">
        <v>4249</v>
      </c>
      <c r="L466" s="1"/>
      <c r="M466" s="1" t="s">
        <v>246</v>
      </c>
      <c r="N466" s="1">
        <v>1</v>
      </c>
      <c r="O466" s="1">
        <v>0</v>
      </c>
      <c r="P466" s="1" t="s">
        <v>103</v>
      </c>
      <c r="Q466" s="1" t="s">
        <v>104</v>
      </c>
      <c r="R466" s="1" t="s">
        <v>4250</v>
      </c>
      <c r="S466" s="1" t="s">
        <v>4251</v>
      </c>
      <c r="T466" s="1" t="s">
        <v>107</v>
      </c>
      <c r="U466" s="1" t="s">
        <v>4252</v>
      </c>
      <c r="V466" s="1">
        <v>1</v>
      </c>
      <c r="W466" s="1">
        <v>1</v>
      </c>
      <c r="X466" s="1">
        <v>1</v>
      </c>
      <c r="Y466" s="1">
        <v>0</v>
      </c>
      <c r="Z466" s="1">
        <v>0</v>
      </c>
      <c r="AA466" s="1">
        <v>4</v>
      </c>
      <c r="AB466" s="1">
        <v>4</v>
      </c>
      <c r="AC466" s="1" t="s">
        <v>109</v>
      </c>
      <c r="AD466" s="1" t="s">
        <v>109</v>
      </c>
      <c r="AE466" s="1" t="s">
        <v>109</v>
      </c>
      <c r="AF466" s="1">
        <v>4</v>
      </c>
      <c r="AG466" s="1" t="s">
        <v>109</v>
      </c>
      <c r="AH466" s="1" t="s">
        <v>109</v>
      </c>
      <c r="AI466" s="1" t="s">
        <v>109</v>
      </c>
      <c r="AJ466" s="1">
        <v>4</v>
      </c>
      <c r="AK466" s="1" t="s">
        <v>109</v>
      </c>
      <c r="AL466" s="1" t="s">
        <v>109</v>
      </c>
      <c r="AM466" s="1" t="s">
        <v>109</v>
      </c>
      <c r="AN466" s="1" t="s">
        <v>109</v>
      </c>
      <c r="AO466" s="1" t="s">
        <v>109</v>
      </c>
      <c r="AP466" s="1"/>
      <c r="AQ466" s="1">
        <v>4</v>
      </c>
      <c r="AR466" s="1"/>
      <c r="AS466" s="1" t="s">
        <v>4253</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5" t="str">
        <f>HYPERLINK("http://www.d20pfsrd.com/magic/all-spells/s/secure-shelter","Secure Shelter")</f>
        <v>Secure Shelter</v>
      </c>
      <c r="BT466" s="1">
        <v>467</v>
      </c>
      <c r="BU466" s="1" t="s">
        <v>109</v>
      </c>
      <c r="BV466" s="1"/>
      <c r="BW466" s="1"/>
      <c r="BX466" s="1"/>
      <c r="BY466" s="1"/>
      <c r="BZ466" s="1">
        <v>0</v>
      </c>
      <c r="CA466" s="1" t="s">
        <v>109</v>
      </c>
      <c r="CB466" s="1" t="s">
        <v>109</v>
      </c>
      <c r="CC466" s="1" t="s">
        <v>109</v>
      </c>
      <c r="CD466" s="1" t="s">
        <v>109</v>
      </c>
      <c r="CE466" s="1" t="s">
        <v>109</v>
      </c>
      <c r="CF466" s="1" t="s">
        <v>109</v>
      </c>
      <c r="CG466" s="1" t="s">
        <v>109</v>
      </c>
      <c r="CH466" s="1" t="s">
        <v>109</v>
      </c>
      <c r="CI466" s="1" t="s">
        <v>109</v>
      </c>
      <c r="CJ466" s="1" t="s">
        <v>109</v>
      </c>
      <c r="CK466" s="1"/>
      <c r="CL466" s="1">
        <v>0</v>
      </c>
      <c r="CM466" s="1">
        <v>0</v>
      </c>
      <c r="CN466" s="1">
        <v>0</v>
      </c>
    </row>
    <row r="467" spans="1:92" ht="14.25" customHeight="1" x14ac:dyDescent="0.15">
      <c r="A467" s="1" t="s">
        <v>4254</v>
      </c>
      <c r="B467" s="1" t="s">
        <v>254</v>
      </c>
      <c r="C467" s="1"/>
      <c r="D467" s="1"/>
      <c r="E467" s="1" t="s">
        <v>4255</v>
      </c>
      <c r="F467" s="1" t="s">
        <v>98</v>
      </c>
      <c r="G467" s="1" t="s">
        <v>4256</v>
      </c>
      <c r="H467" s="1">
        <v>0</v>
      </c>
      <c r="I467" s="1" t="s">
        <v>235</v>
      </c>
      <c r="J467" s="1"/>
      <c r="K467" s="1"/>
      <c r="L467" s="1" t="s">
        <v>236</v>
      </c>
      <c r="M467" s="1" t="s">
        <v>194</v>
      </c>
      <c r="N467" s="1">
        <v>1</v>
      </c>
      <c r="O467" s="1">
        <v>0</v>
      </c>
      <c r="P467" s="1"/>
      <c r="Q467" s="1"/>
      <c r="R467" s="1" t="s">
        <v>4257</v>
      </c>
      <c r="S467" s="1" t="s">
        <v>4258</v>
      </c>
      <c r="T467" s="1" t="s">
        <v>107</v>
      </c>
      <c r="U467" s="1" t="s">
        <v>4259</v>
      </c>
      <c r="V467" s="1">
        <v>1</v>
      </c>
      <c r="W467" s="1">
        <v>1</v>
      </c>
      <c r="X467" s="1">
        <v>1</v>
      </c>
      <c r="Y467" s="1">
        <v>0</v>
      </c>
      <c r="Z467" s="1">
        <v>0</v>
      </c>
      <c r="AA467" s="1">
        <v>2</v>
      </c>
      <c r="AB467" s="1">
        <v>2</v>
      </c>
      <c r="AC467" s="1" t="s">
        <v>109</v>
      </c>
      <c r="AD467" s="1" t="s">
        <v>109</v>
      </c>
      <c r="AE467" s="1" t="s">
        <v>109</v>
      </c>
      <c r="AF467" s="1">
        <v>3</v>
      </c>
      <c r="AG467" s="1" t="s">
        <v>109</v>
      </c>
      <c r="AH467" s="1">
        <v>2</v>
      </c>
      <c r="AI467" s="1">
        <v>2</v>
      </c>
      <c r="AJ467" s="1">
        <v>2</v>
      </c>
      <c r="AK467" s="1">
        <v>2</v>
      </c>
      <c r="AL467" s="1" t="s">
        <v>109</v>
      </c>
      <c r="AM467" s="1" t="s">
        <v>109</v>
      </c>
      <c r="AN467" s="1" t="s">
        <v>109</v>
      </c>
      <c r="AO467" s="1">
        <v>2</v>
      </c>
      <c r="AP467" s="1"/>
      <c r="AQ467" s="1">
        <v>2</v>
      </c>
      <c r="AR467" s="1" t="s">
        <v>4260</v>
      </c>
      <c r="AS467" s="1" t="s">
        <v>4261</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5" t="str">
        <f>HYPERLINK("http://www.d20pfsrd.com/magic/all-spells/s/see-invisibility","See Invisibility")</f>
        <v>See Invisibility</v>
      </c>
      <c r="BT467" s="1">
        <v>468</v>
      </c>
      <c r="BU467" s="1" t="s">
        <v>109</v>
      </c>
      <c r="BV467" s="1" t="s">
        <v>4262</v>
      </c>
      <c r="BW467" s="1" t="s">
        <v>4263</v>
      </c>
      <c r="BX467" s="1"/>
      <c r="BY467" s="1"/>
      <c r="BZ467" s="1">
        <v>0</v>
      </c>
      <c r="CA467" s="1">
        <v>2</v>
      </c>
      <c r="CB467" s="1" t="s">
        <v>109</v>
      </c>
      <c r="CC467" s="1">
        <v>2</v>
      </c>
      <c r="CD467" s="1" t="s">
        <v>109</v>
      </c>
      <c r="CE467" s="1">
        <v>3</v>
      </c>
      <c r="CF467" s="1">
        <v>2</v>
      </c>
      <c r="CG467" s="1">
        <v>2</v>
      </c>
      <c r="CH467" s="1" t="s">
        <v>109</v>
      </c>
      <c r="CI467" s="1" t="s">
        <v>109</v>
      </c>
      <c r="CJ467" s="1" t="s">
        <v>109</v>
      </c>
      <c r="CK467" s="1"/>
      <c r="CL467" s="1">
        <v>0</v>
      </c>
      <c r="CM467" s="1">
        <v>0</v>
      </c>
      <c r="CN467" s="1">
        <v>0</v>
      </c>
    </row>
    <row r="468" spans="1:92" ht="14.25" customHeight="1" x14ac:dyDescent="0.15">
      <c r="A468" s="1" t="s">
        <v>4264</v>
      </c>
      <c r="B468" s="1" t="s">
        <v>674</v>
      </c>
      <c r="C468" s="1" t="s">
        <v>675</v>
      </c>
      <c r="D468" s="1"/>
      <c r="E468" s="1" t="s">
        <v>3528</v>
      </c>
      <c r="F468" s="1" t="s">
        <v>98</v>
      </c>
      <c r="G468" s="1" t="s">
        <v>141</v>
      </c>
      <c r="H468" s="1">
        <v>0</v>
      </c>
      <c r="I468" s="1" t="s">
        <v>142</v>
      </c>
      <c r="J468" s="1"/>
      <c r="K468" s="1"/>
      <c r="L468" s="1" t="s">
        <v>4265</v>
      </c>
      <c r="M468" s="1" t="s">
        <v>4266</v>
      </c>
      <c r="N468" s="1">
        <v>1</v>
      </c>
      <c r="O468" s="1">
        <v>0</v>
      </c>
      <c r="P468" s="1" t="s">
        <v>4267</v>
      </c>
      <c r="Q468" s="1" t="s">
        <v>3872</v>
      </c>
      <c r="R468" s="1" t="s">
        <v>4268</v>
      </c>
      <c r="S468" s="1" t="s">
        <v>4269</v>
      </c>
      <c r="T468" s="1" t="s">
        <v>107</v>
      </c>
      <c r="U468" s="1" t="s">
        <v>4270</v>
      </c>
      <c r="V468" s="1">
        <v>1</v>
      </c>
      <c r="W468" s="1">
        <v>1</v>
      </c>
      <c r="X468" s="1">
        <v>0</v>
      </c>
      <c r="Y468" s="1">
        <v>0</v>
      </c>
      <c r="Z468" s="1">
        <v>0</v>
      </c>
      <c r="AA468" s="1">
        <v>5</v>
      </c>
      <c r="AB468" s="1">
        <v>5</v>
      </c>
      <c r="AC468" s="1" t="s">
        <v>109</v>
      </c>
      <c r="AD468" s="1" t="s">
        <v>109</v>
      </c>
      <c r="AE468" s="1" t="s">
        <v>109</v>
      </c>
      <c r="AF468" s="1">
        <v>5</v>
      </c>
      <c r="AG468" s="1" t="s">
        <v>109</v>
      </c>
      <c r="AH468" s="1" t="s">
        <v>109</v>
      </c>
      <c r="AI468" s="1" t="s">
        <v>109</v>
      </c>
      <c r="AJ468" s="1" t="s">
        <v>109</v>
      </c>
      <c r="AK468" s="1" t="s">
        <v>109</v>
      </c>
      <c r="AL468" s="1" t="s">
        <v>109</v>
      </c>
      <c r="AM468" s="1" t="s">
        <v>109</v>
      </c>
      <c r="AN468" s="1" t="s">
        <v>109</v>
      </c>
      <c r="AO468" s="1" t="s">
        <v>109</v>
      </c>
      <c r="AP468" s="1"/>
      <c r="AQ468" s="1">
        <v>5</v>
      </c>
      <c r="AR468" s="1"/>
      <c r="AS468" s="1" t="s">
        <v>4271</v>
      </c>
      <c r="AT468" s="1">
        <v>0</v>
      </c>
      <c r="AU468" s="1">
        <v>0</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5" t="str">
        <f>HYPERLINK("http://www.d20pfsrd.com/magic/all-spells/s/seeming","Seeming")</f>
        <v>Seeming</v>
      </c>
      <c r="BT468" s="1">
        <v>469</v>
      </c>
      <c r="BU468" s="1" t="s">
        <v>109</v>
      </c>
      <c r="BV468" s="1"/>
      <c r="BW468" s="1"/>
      <c r="BX468" s="1"/>
      <c r="BY468" s="1"/>
      <c r="BZ468" s="1">
        <v>0</v>
      </c>
      <c r="CA468" s="1" t="s">
        <v>109</v>
      </c>
      <c r="CB468" s="1" t="s">
        <v>109</v>
      </c>
      <c r="CC468" s="1">
        <v>5</v>
      </c>
      <c r="CD468" s="1" t="s">
        <v>109</v>
      </c>
      <c r="CE468" s="1">
        <v>5</v>
      </c>
      <c r="CF468" s="1">
        <v>5</v>
      </c>
      <c r="CG468" s="1" t="s">
        <v>109</v>
      </c>
      <c r="CH468" s="1" t="s">
        <v>109</v>
      </c>
      <c r="CI468" s="1" t="s">
        <v>109</v>
      </c>
      <c r="CJ468" s="1" t="s">
        <v>109</v>
      </c>
      <c r="CK468" s="1"/>
      <c r="CL468" s="1">
        <v>0</v>
      </c>
      <c r="CM468" s="1">
        <v>0</v>
      </c>
      <c r="CN468" s="1">
        <v>0</v>
      </c>
    </row>
    <row r="469" spans="1:92" ht="14.25" customHeight="1" x14ac:dyDescent="0.15">
      <c r="A469" s="1" t="s">
        <v>4272</v>
      </c>
      <c r="B469" s="1" t="s">
        <v>584</v>
      </c>
      <c r="C469" s="1"/>
      <c r="D469" s="1"/>
      <c r="E469" s="1" t="s">
        <v>4273</v>
      </c>
      <c r="F469" s="1" t="s">
        <v>395</v>
      </c>
      <c r="G469" s="1" t="s">
        <v>1390</v>
      </c>
      <c r="H469" s="1">
        <v>0</v>
      </c>
      <c r="I469" s="1" t="s">
        <v>211</v>
      </c>
      <c r="J469" s="1"/>
      <c r="K469" s="1"/>
      <c r="L469" s="1" t="s">
        <v>1391</v>
      </c>
      <c r="M469" s="1" t="s">
        <v>1392</v>
      </c>
      <c r="N469" s="1">
        <v>0</v>
      </c>
      <c r="O469" s="1">
        <v>0</v>
      </c>
      <c r="P469" s="1" t="s">
        <v>103</v>
      </c>
      <c r="Q469" s="1" t="s">
        <v>104</v>
      </c>
      <c r="R469" s="1" t="s">
        <v>4274</v>
      </c>
      <c r="S469" s="1" t="s">
        <v>4275</v>
      </c>
      <c r="T469" s="1" t="s">
        <v>107</v>
      </c>
      <c r="U469" s="1" t="s">
        <v>4276</v>
      </c>
      <c r="V469" s="1">
        <v>1</v>
      </c>
      <c r="W469" s="1">
        <v>1</v>
      </c>
      <c r="X469" s="1">
        <v>1</v>
      </c>
      <c r="Y469" s="1">
        <v>0</v>
      </c>
      <c r="Z469" s="1">
        <v>1</v>
      </c>
      <c r="AA469" s="1">
        <v>5</v>
      </c>
      <c r="AB469" s="1">
        <v>5</v>
      </c>
      <c r="AC469" s="1">
        <v>4</v>
      </c>
      <c r="AD469" s="1" t="s">
        <v>109</v>
      </c>
      <c r="AE469" s="1" t="s">
        <v>109</v>
      </c>
      <c r="AF469" s="1" t="s">
        <v>109</v>
      </c>
      <c r="AG469" s="1" t="s">
        <v>109</v>
      </c>
      <c r="AH469" s="1">
        <v>5</v>
      </c>
      <c r="AI469" s="1">
        <v>4</v>
      </c>
      <c r="AJ469" s="1" t="s">
        <v>109</v>
      </c>
      <c r="AK469" s="1">
        <v>4</v>
      </c>
      <c r="AL469" s="1">
        <v>4</v>
      </c>
      <c r="AM469" s="1" t="s">
        <v>109</v>
      </c>
      <c r="AN469" s="1" t="s">
        <v>109</v>
      </c>
      <c r="AO469" s="1" t="s">
        <v>109</v>
      </c>
      <c r="AP469" s="1"/>
      <c r="AQ469" s="1">
        <v>5</v>
      </c>
      <c r="AR469" s="1"/>
      <c r="AS469" s="1" t="s">
        <v>4277</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5" t="str">
        <f>HYPERLINK("http://www.d20pfsrd.com/magic/all-spells/s/sending","Sending")</f>
        <v>Sending</v>
      </c>
      <c r="BT469" s="1">
        <v>470</v>
      </c>
      <c r="BU469" s="1" t="s">
        <v>109</v>
      </c>
      <c r="BV469" s="1"/>
      <c r="BW469" s="1"/>
      <c r="BX469" s="1"/>
      <c r="BY469" s="1"/>
      <c r="BZ469" s="1">
        <v>0</v>
      </c>
      <c r="CA469" s="1" t="s">
        <v>109</v>
      </c>
      <c r="CB469" s="1">
        <v>4</v>
      </c>
      <c r="CC469" s="1">
        <v>4</v>
      </c>
      <c r="CD469" s="1" t="s">
        <v>109</v>
      </c>
      <c r="CE469" s="1">
        <v>3</v>
      </c>
      <c r="CF469" s="1">
        <v>4</v>
      </c>
      <c r="CG469" s="1">
        <v>5</v>
      </c>
      <c r="CH469" s="1" t="s">
        <v>109</v>
      </c>
      <c r="CI469" s="1" t="s">
        <v>109</v>
      </c>
      <c r="CJ469" s="1" t="s">
        <v>109</v>
      </c>
      <c r="CK469" s="1"/>
      <c r="CL469" s="1">
        <v>0</v>
      </c>
      <c r="CM469" s="1">
        <v>0</v>
      </c>
      <c r="CN469" s="1">
        <v>0</v>
      </c>
    </row>
    <row r="470" spans="1:92" ht="14.25" customHeight="1" x14ac:dyDescent="0.15">
      <c r="A470" s="1" t="s">
        <v>4278</v>
      </c>
      <c r="B470" s="1" t="s">
        <v>95</v>
      </c>
      <c r="C470" s="1" t="s">
        <v>96</v>
      </c>
      <c r="D470" s="1" t="s">
        <v>60</v>
      </c>
      <c r="E470" s="1" t="s">
        <v>4279</v>
      </c>
      <c r="F470" s="1" t="s">
        <v>395</v>
      </c>
      <c r="G470" s="1" t="s">
        <v>4280</v>
      </c>
      <c r="H470" s="1">
        <v>1</v>
      </c>
      <c r="I470" s="1" t="s">
        <v>161</v>
      </c>
      <c r="J470" s="1"/>
      <c r="K470" s="1"/>
      <c r="L470" s="1" t="s">
        <v>4281</v>
      </c>
      <c r="M470" s="1" t="s">
        <v>4282</v>
      </c>
      <c r="N470" s="1">
        <v>0</v>
      </c>
      <c r="O470" s="1">
        <v>0</v>
      </c>
      <c r="P470" s="1" t="s">
        <v>2092</v>
      </c>
      <c r="Q470" s="1" t="s">
        <v>104</v>
      </c>
      <c r="R470" s="1" t="s">
        <v>4283</v>
      </c>
      <c r="S470" s="1" t="s">
        <v>4284</v>
      </c>
      <c r="T470" s="1" t="s">
        <v>107</v>
      </c>
      <c r="U470" s="1" t="s">
        <v>4285</v>
      </c>
      <c r="V470" s="1">
        <v>1</v>
      </c>
      <c r="W470" s="1">
        <v>1</v>
      </c>
      <c r="X470" s="1">
        <v>1</v>
      </c>
      <c r="Y470" s="1">
        <v>0</v>
      </c>
      <c r="Z470" s="1">
        <v>0</v>
      </c>
      <c r="AA470" s="1">
        <v>3</v>
      </c>
      <c r="AB470" s="1">
        <v>3</v>
      </c>
      <c r="AC470" s="1" t="s">
        <v>109</v>
      </c>
      <c r="AD470" s="1" t="s">
        <v>109</v>
      </c>
      <c r="AE470" s="1" t="s">
        <v>109</v>
      </c>
      <c r="AF470" s="1">
        <v>3</v>
      </c>
      <c r="AG470" s="1" t="s">
        <v>109</v>
      </c>
      <c r="AH470" s="1" t="s">
        <v>109</v>
      </c>
      <c r="AI470" s="1" t="s">
        <v>109</v>
      </c>
      <c r="AJ470" s="1">
        <v>3</v>
      </c>
      <c r="AK470" s="1" t="s">
        <v>109</v>
      </c>
      <c r="AL470" s="1" t="s">
        <v>109</v>
      </c>
      <c r="AM470" s="1" t="s">
        <v>109</v>
      </c>
      <c r="AN470" s="1" t="s">
        <v>109</v>
      </c>
      <c r="AO470" s="1" t="s">
        <v>109</v>
      </c>
      <c r="AP470" s="1"/>
      <c r="AQ470" s="1">
        <v>3</v>
      </c>
      <c r="AR470" s="1"/>
      <c r="AS470" s="1" t="s">
        <v>4286</v>
      </c>
      <c r="AT470" s="1">
        <v>0</v>
      </c>
      <c r="AU470" s="1">
        <v>0</v>
      </c>
      <c r="AV470" s="1">
        <v>0</v>
      </c>
      <c r="AW470" s="1">
        <v>0</v>
      </c>
      <c r="AX470" s="1">
        <v>0</v>
      </c>
      <c r="AY470" s="1">
        <v>0</v>
      </c>
      <c r="AZ470" s="1">
        <v>0</v>
      </c>
      <c r="BA470" s="1">
        <v>0</v>
      </c>
      <c r="BB470" s="1">
        <v>0</v>
      </c>
      <c r="BC470" s="1">
        <v>0</v>
      </c>
      <c r="BD470" s="1">
        <v>0</v>
      </c>
      <c r="BE470" s="1">
        <v>0</v>
      </c>
      <c r="BF470" s="1">
        <v>0</v>
      </c>
      <c r="BG470" s="1">
        <v>0</v>
      </c>
      <c r="BH470" s="1">
        <v>1</v>
      </c>
      <c r="BI470" s="1">
        <v>0</v>
      </c>
      <c r="BJ470" s="1">
        <v>0</v>
      </c>
      <c r="BK470" s="1">
        <v>0</v>
      </c>
      <c r="BL470" s="1">
        <v>0</v>
      </c>
      <c r="BM470" s="1">
        <v>0</v>
      </c>
      <c r="BN470" s="1">
        <v>0</v>
      </c>
      <c r="BO470" s="1">
        <v>0</v>
      </c>
      <c r="BP470" s="1">
        <v>0</v>
      </c>
      <c r="BQ470" s="1">
        <v>0</v>
      </c>
      <c r="BR470" s="1">
        <v>0</v>
      </c>
      <c r="BS470" s="5" t="str">
        <f>HYPERLINK("http://www.d20pfsrd.com/magic/all-spells/s/sepia-snake-sigil","Sepia Snake Sigil")</f>
        <v>Sepia Snake Sigil</v>
      </c>
      <c r="BT470" s="1">
        <v>471</v>
      </c>
      <c r="BU470" s="1">
        <v>500</v>
      </c>
      <c r="BV470" s="1"/>
      <c r="BW470" s="1"/>
      <c r="BX470" s="1"/>
      <c r="BY470" s="1"/>
      <c r="BZ470" s="1">
        <v>0</v>
      </c>
      <c r="CA470" s="1" t="s">
        <v>109</v>
      </c>
      <c r="CB470" s="1" t="s">
        <v>109</v>
      </c>
      <c r="CC470" s="1" t="s">
        <v>109</v>
      </c>
      <c r="CD470" s="1" t="s">
        <v>109</v>
      </c>
      <c r="CE470" s="1" t="s">
        <v>109</v>
      </c>
      <c r="CF470" s="1">
        <v>3</v>
      </c>
      <c r="CG470" s="1" t="s">
        <v>109</v>
      </c>
      <c r="CH470" s="1" t="s">
        <v>109</v>
      </c>
      <c r="CI470" s="1" t="s">
        <v>109</v>
      </c>
      <c r="CJ470" s="1" t="s">
        <v>109</v>
      </c>
      <c r="CK470" s="1"/>
      <c r="CL470" s="1">
        <v>0</v>
      </c>
      <c r="CM470" s="1">
        <v>0</v>
      </c>
      <c r="CN470" s="1">
        <v>0</v>
      </c>
    </row>
    <row r="471" spans="1:92" ht="14.25" customHeight="1" x14ac:dyDescent="0.15">
      <c r="A471" s="1" t="s">
        <v>4287</v>
      </c>
      <c r="B471" s="1" t="s">
        <v>242</v>
      </c>
      <c r="C471" s="1"/>
      <c r="D471" s="1"/>
      <c r="E471" s="1" t="s">
        <v>4288</v>
      </c>
      <c r="F471" s="1" t="s">
        <v>98</v>
      </c>
      <c r="G471" s="1" t="s">
        <v>4289</v>
      </c>
      <c r="H471" s="1">
        <v>0</v>
      </c>
      <c r="I471" s="1" t="s">
        <v>161</v>
      </c>
      <c r="J471" s="1"/>
      <c r="K471" s="1"/>
      <c r="L471" s="1" t="s">
        <v>4290</v>
      </c>
      <c r="M471" s="1" t="s">
        <v>280</v>
      </c>
      <c r="N471" s="1">
        <v>1</v>
      </c>
      <c r="O471" s="1">
        <v>0</v>
      </c>
      <c r="P471" s="1" t="s">
        <v>3882</v>
      </c>
      <c r="Q471" s="1" t="s">
        <v>3883</v>
      </c>
      <c r="R471" s="1" t="s">
        <v>4291</v>
      </c>
      <c r="S471" s="1" t="s">
        <v>4292</v>
      </c>
      <c r="T471" s="1" t="s">
        <v>107</v>
      </c>
      <c r="U471" s="1" t="s">
        <v>4293</v>
      </c>
      <c r="V471" s="1">
        <v>1</v>
      </c>
      <c r="W471" s="1">
        <v>1</v>
      </c>
      <c r="X471" s="1">
        <v>1</v>
      </c>
      <c r="Y471" s="1">
        <v>0</v>
      </c>
      <c r="Z471" s="1">
        <v>0</v>
      </c>
      <c r="AA471" s="1">
        <v>7</v>
      </c>
      <c r="AB471" s="1">
        <v>7</v>
      </c>
      <c r="AC471" s="1" t="s">
        <v>109</v>
      </c>
      <c r="AD471" s="1" t="s">
        <v>109</v>
      </c>
      <c r="AE471" s="1" t="s">
        <v>109</v>
      </c>
      <c r="AF471" s="1" t="s">
        <v>109</v>
      </c>
      <c r="AG471" s="1" t="s">
        <v>109</v>
      </c>
      <c r="AH471" s="1" t="s">
        <v>109</v>
      </c>
      <c r="AI471" s="1">
        <v>5</v>
      </c>
      <c r="AJ471" s="1" t="s">
        <v>109</v>
      </c>
      <c r="AK471" s="1" t="s">
        <v>109</v>
      </c>
      <c r="AL471" s="1" t="s">
        <v>109</v>
      </c>
      <c r="AM471" s="1" t="s">
        <v>109</v>
      </c>
      <c r="AN471" s="1" t="s">
        <v>109</v>
      </c>
      <c r="AO471" s="1" t="s">
        <v>109</v>
      </c>
      <c r="AP471" s="1"/>
      <c r="AQ471" s="1">
        <v>7</v>
      </c>
      <c r="AR471" s="1"/>
      <c r="AS471" s="1" t="s">
        <v>4294</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5" t="str">
        <f>HYPERLINK("http://www.d20pfsrd.com/magic/all-spells/s/sequester","Sequester")</f>
        <v>Sequester</v>
      </c>
      <c r="BT471" s="1">
        <v>472</v>
      </c>
      <c r="BU471" s="1" t="s">
        <v>109</v>
      </c>
      <c r="BV471" s="1"/>
      <c r="BW471" s="1"/>
      <c r="BX471" s="1"/>
      <c r="BY471" s="1"/>
      <c r="BZ471" s="1">
        <v>0</v>
      </c>
      <c r="CA471" s="1" t="s">
        <v>109</v>
      </c>
      <c r="CB471" s="1" t="s">
        <v>109</v>
      </c>
      <c r="CC471" s="1">
        <v>7</v>
      </c>
      <c r="CD471" s="1" t="s">
        <v>109</v>
      </c>
      <c r="CE471" s="1" t="s">
        <v>109</v>
      </c>
      <c r="CF471" s="1" t="s">
        <v>109</v>
      </c>
      <c r="CG471" s="1" t="s">
        <v>109</v>
      </c>
      <c r="CH471" s="1" t="s">
        <v>109</v>
      </c>
      <c r="CI471" s="1" t="s">
        <v>109</v>
      </c>
      <c r="CJ471" s="1" t="s">
        <v>109</v>
      </c>
      <c r="CK471" s="1"/>
      <c r="CL471" s="1">
        <v>0</v>
      </c>
      <c r="CM471" s="1">
        <v>0</v>
      </c>
      <c r="CN471" s="1">
        <v>0</v>
      </c>
    </row>
    <row r="472" spans="1:92" ht="14.25" customHeight="1" x14ac:dyDescent="0.15">
      <c r="A472" s="1" t="s">
        <v>4295</v>
      </c>
      <c r="B472" s="1" t="s">
        <v>674</v>
      </c>
      <c r="C472" s="1" t="s">
        <v>68</v>
      </c>
      <c r="D472" s="1" t="s">
        <v>68</v>
      </c>
      <c r="E472" s="1" t="s">
        <v>4296</v>
      </c>
      <c r="F472" s="1" t="s">
        <v>98</v>
      </c>
      <c r="G472" s="1" t="s">
        <v>141</v>
      </c>
      <c r="H472" s="1">
        <v>0</v>
      </c>
      <c r="I472" s="1" t="s">
        <v>211</v>
      </c>
      <c r="J472" s="1"/>
      <c r="K472" s="1" t="s">
        <v>211</v>
      </c>
      <c r="L472" s="1"/>
      <c r="M472" s="1" t="s">
        <v>211</v>
      </c>
      <c r="N472" s="1">
        <v>0</v>
      </c>
      <c r="O472" s="1">
        <v>0</v>
      </c>
      <c r="P472" s="1" t="s">
        <v>4297</v>
      </c>
      <c r="Q472" s="1" t="s">
        <v>4298</v>
      </c>
      <c r="R472" s="1" t="s">
        <v>4299</v>
      </c>
      <c r="S472" s="1" t="s">
        <v>4300</v>
      </c>
      <c r="T472" s="1" t="s">
        <v>107</v>
      </c>
      <c r="U472" s="1" t="s">
        <v>4301</v>
      </c>
      <c r="V472" s="1">
        <v>1</v>
      </c>
      <c r="W472" s="1">
        <v>1</v>
      </c>
      <c r="X472" s="1">
        <v>0</v>
      </c>
      <c r="Y472" s="1">
        <v>0</v>
      </c>
      <c r="Z472" s="1">
        <v>0</v>
      </c>
      <c r="AA472" s="1">
        <v>4</v>
      </c>
      <c r="AB472" s="1">
        <v>4</v>
      </c>
      <c r="AC472" s="1" t="s">
        <v>109</v>
      </c>
      <c r="AD472" s="1" t="s">
        <v>109</v>
      </c>
      <c r="AE472" s="1" t="s">
        <v>109</v>
      </c>
      <c r="AF472" s="1">
        <v>4</v>
      </c>
      <c r="AG472" s="1" t="s">
        <v>109</v>
      </c>
      <c r="AH472" s="1" t="s">
        <v>109</v>
      </c>
      <c r="AI472" s="1" t="s">
        <v>109</v>
      </c>
      <c r="AJ472" s="1" t="s">
        <v>109</v>
      </c>
      <c r="AK472" s="1" t="s">
        <v>109</v>
      </c>
      <c r="AL472" s="1" t="s">
        <v>109</v>
      </c>
      <c r="AM472" s="1" t="s">
        <v>109</v>
      </c>
      <c r="AN472" s="1" t="s">
        <v>109</v>
      </c>
      <c r="AO472" s="1" t="s">
        <v>109</v>
      </c>
      <c r="AP472" s="1"/>
      <c r="AQ472" s="1">
        <v>4</v>
      </c>
      <c r="AR472" s="1" t="s">
        <v>4302</v>
      </c>
      <c r="AS472" s="1" t="s">
        <v>4303</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1</v>
      </c>
      <c r="BQ472" s="1">
        <v>0</v>
      </c>
      <c r="BR472" s="1">
        <v>0</v>
      </c>
      <c r="BS472" s="5" t="str">
        <f>HYPERLINK("http://www.d20pfsrd.com/magic/all-spells/s/shadow-conjuration","Shadow Conjuration")</f>
        <v>Shadow Conjuration</v>
      </c>
      <c r="BT472" s="1">
        <v>473</v>
      </c>
      <c r="BU472" s="1" t="s">
        <v>109</v>
      </c>
      <c r="BV472" s="1" t="s">
        <v>4304</v>
      </c>
      <c r="BW472" s="1" t="s">
        <v>4305</v>
      </c>
      <c r="BX472" s="1"/>
      <c r="BY472" s="1"/>
      <c r="BZ472" s="1">
        <v>0</v>
      </c>
      <c r="CA472" s="1" t="s">
        <v>109</v>
      </c>
      <c r="CB472" s="1" t="s">
        <v>109</v>
      </c>
      <c r="CC472" s="1" t="s">
        <v>109</v>
      </c>
      <c r="CD472" s="1" t="s">
        <v>109</v>
      </c>
      <c r="CE472" s="1">
        <v>4</v>
      </c>
      <c r="CF472" s="1" t="s">
        <v>109</v>
      </c>
      <c r="CG472" s="1">
        <v>4</v>
      </c>
      <c r="CH472" s="1" t="s">
        <v>109</v>
      </c>
      <c r="CI472" s="1" t="s">
        <v>109</v>
      </c>
      <c r="CJ472" s="1" t="s">
        <v>109</v>
      </c>
      <c r="CK472" s="1"/>
      <c r="CL472" s="1">
        <v>0</v>
      </c>
      <c r="CM472" s="1">
        <v>0</v>
      </c>
      <c r="CN472" s="1">
        <v>0</v>
      </c>
    </row>
    <row r="473" spans="1:92" ht="14.25" customHeight="1" x14ac:dyDescent="0.15">
      <c r="A473" s="1" t="s">
        <v>4306</v>
      </c>
      <c r="B473" s="1" t="s">
        <v>674</v>
      </c>
      <c r="C473" s="1" t="s">
        <v>68</v>
      </c>
      <c r="D473" s="1" t="s">
        <v>68</v>
      </c>
      <c r="E473" s="1" t="s">
        <v>3283</v>
      </c>
      <c r="F473" s="1" t="s">
        <v>98</v>
      </c>
      <c r="G473" s="1" t="s">
        <v>141</v>
      </c>
      <c r="H473" s="1">
        <v>0</v>
      </c>
      <c r="I473" s="1" t="s">
        <v>211</v>
      </c>
      <c r="J473" s="1"/>
      <c r="K473" s="1" t="s">
        <v>211</v>
      </c>
      <c r="L473" s="1"/>
      <c r="M473" s="1" t="s">
        <v>211</v>
      </c>
      <c r="N473" s="1">
        <v>0</v>
      </c>
      <c r="O473" s="1">
        <v>0</v>
      </c>
      <c r="P473" s="1" t="s">
        <v>4297</v>
      </c>
      <c r="Q473" s="1" t="s">
        <v>4298</v>
      </c>
      <c r="R473" s="1" t="s">
        <v>4307</v>
      </c>
      <c r="S473" s="1" t="s">
        <v>4308</v>
      </c>
      <c r="T473" s="1" t="s">
        <v>107</v>
      </c>
      <c r="U473" s="1" t="s">
        <v>4309</v>
      </c>
      <c r="V473" s="1">
        <v>1</v>
      </c>
      <c r="W473" s="1">
        <v>1</v>
      </c>
      <c r="X473" s="1">
        <v>0</v>
      </c>
      <c r="Y473" s="1">
        <v>0</v>
      </c>
      <c r="Z473" s="1">
        <v>0</v>
      </c>
      <c r="AA473" s="1">
        <v>9</v>
      </c>
      <c r="AB473" s="1">
        <v>9</v>
      </c>
      <c r="AC473" s="1" t="s">
        <v>109</v>
      </c>
      <c r="AD473" s="1" t="s">
        <v>109</v>
      </c>
      <c r="AE473" s="1" t="s">
        <v>109</v>
      </c>
      <c r="AF473" s="1" t="s">
        <v>109</v>
      </c>
      <c r="AG473" s="1" t="s">
        <v>109</v>
      </c>
      <c r="AH473" s="1" t="s">
        <v>109</v>
      </c>
      <c r="AI473" s="1" t="s">
        <v>109</v>
      </c>
      <c r="AJ473" s="1" t="s">
        <v>109</v>
      </c>
      <c r="AK473" s="1" t="s">
        <v>109</v>
      </c>
      <c r="AL473" s="1" t="s">
        <v>109</v>
      </c>
      <c r="AM473" s="1" t="s">
        <v>109</v>
      </c>
      <c r="AN473" s="1" t="s">
        <v>109</v>
      </c>
      <c r="AO473" s="1" t="s">
        <v>109</v>
      </c>
      <c r="AP473" s="1"/>
      <c r="AQ473" s="1">
        <v>9</v>
      </c>
      <c r="AR473" s="1" t="s">
        <v>4310</v>
      </c>
      <c r="AS473" s="1" t="s">
        <v>4311</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1</v>
      </c>
      <c r="BQ473" s="1">
        <v>0</v>
      </c>
      <c r="BR473" s="1">
        <v>0</v>
      </c>
      <c r="BS473" s="5" t="str">
        <f>HYPERLINK("http://www.d20pfsrd.com/magic/all-spells/s/shades","Shades")</f>
        <v>Shades</v>
      </c>
      <c r="BT473" s="1">
        <v>474</v>
      </c>
      <c r="BU473" s="1" t="s">
        <v>109</v>
      </c>
      <c r="BV473" s="1" t="s">
        <v>4312</v>
      </c>
      <c r="BW473" s="1" t="s">
        <v>4313</v>
      </c>
      <c r="BX473" s="1"/>
      <c r="BY473" s="1"/>
      <c r="BZ473" s="1">
        <v>0</v>
      </c>
      <c r="CA473" s="1" t="s">
        <v>109</v>
      </c>
      <c r="CB473" s="1" t="s">
        <v>109</v>
      </c>
      <c r="CC473" s="1" t="s">
        <v>109</v>
      </c>
      <c r="CD473" s="1" t="s">
        <v>109</v>
      </c>
      <c r="CE473" s="1" t="s">
        <v>109</v>
      </c>
      <c r="CF473" s="1" t="s">
        <v>109</v>
      </c>
      <c r="CG473" s="1" t="s">
        <v>109</v>
      </c>
      <c r="CH473" s="1" t="s">
        <v>109</v>
      </c>
      <c r="CI473" s="1" t="s">
        <v>109</v>
      </c>
      <c r="CJ473" s="1" t="s">
        <v>109</v>
      </c>
      <c r="CK473" s="1"/>
      <c r="CL473" s="1">
        <v>0</v>
      </c>
      <c r="CM473" s="1">
        <v>0</v>
      </c>
      <c r="CN473" s="1">
        <v>0</v>
      </c>
    </row>
    <row r="474" spans="1:92" ht="14.25" customHeight="1" x14ac:dyDescent="0.15">
      <c r="A474" s="1" t="s">
        <v>4314</v>
      </c>
      <c r="B474" s="1" t="s">
        <v>674</v>
      </c>
      <c r="C474" s="1" t="s">
        <v>68</v>
      </c>
      <c r="D474" s="1" t="s">
        <v>68</v>
      </c>
      <c r="E474" s="1" t="s">
        <v>1101</v>
      </c>
      <c r="F474" s="1" t="s">
        <v>98</v>
      </c>
      <c r="G474" s="1" t="s">
        <v>141</v>
      </c>
      <c r="H474" s="1">
        <v>0</v>
      </c>
      <c r="I474" s="1" t="s">
        <v>211</v>
      </c>
      <c r="J474" s="1"/>
      <c r="K474" s="1" t="s">
        <v>211</v>
      </c>
      <c r="L474" s="1"/>
      <c r="M474" s="1" t="s">
        <v>211</v>
      </c>
      <c r="N474" s="1">
        <v>0</v>
      </c>
      <c r="O474" s="1">
        <v>0</v>
      </c>
      <c r="P474" s="1" t="s">
        <v>4297</v>
      </c>
      <c r="Q474" s="1" t="s">
        <v>4298</v>
      </c>
      <c r="R474" s="1" t="s">
        <v>4315</v>
      </c>
      <c r="S474" s="1" t="s">
        <v>4316</v>
      </c>
      <c r="T474" s="1" t="s">
        <v>107</v>
      </c>
      <c r="U474" s="1" t="s">
        <v>4317</v>
      </c>
      <c r="V474" s="1">
        <v>1</v>
      </c>
      <c r="W474" s="1">
        <v>1</v>
      </c>
      <c r="X474" s="1">
        <v>0</v>
      </c>
      <c r="Y474" s="1">
        <v>0</v>
      </c>
      <c r="Z474" s="1">
        <v>0</v>
      </c>
      <c r="AA474" s="1">
        <v>7</v>
      </c>
      <c r="AB474" s="1">
        <v>7</v>
      </c>
      <c r="AC474" s="1" t="s">
        <v>109</v>
      </c>
      <c r="AD474" s="1" t="s">
        <v>109</v>
      </c>
      <c r="AE474" s="1" t="s">
        <v>109</v>
      </c>
      <c r="AF474" s="1" t="s">
        <v>109</v>
      </c>
      <c r="AG474" s="1" t="s">
        <v>109</v>
      </c>
      <c r="AH474" s="1" t="s">
        <v>109</v>
      </c>
      <c r="AI474" s="1" t="s">
        <v>109</v>
      </c>
      <c r="AJ474" s="1" t="s">
        <v>109</v>
      </c>
      <c r="AK474" s="1" t="s">
        <v>109</v>
      </c>
      <c r="AL474" s="1" t="s">
        <v>109</v>
      </c>
      <c r="AM474" s="1" t="s">
        <v>109</v>
      </c>
      <c r="AN474" s="1" t="s">
        <v>109</v>
      </c>
      <c r="AO474" s="1" t="s">
        <v>109</v>
      </c>
      <c r="AP474" s="1"/>
      <c r="AQ474" s="1">
        <v>7</v>
      </c>
      <c r="AR474" s="1"/>
      <c r="AS474" s="1" t="s">
        <v>4318</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1</v>
      </c>
      <c r="BQ474" s="1">
        <v>0</v>
      </c>
      <c r="BR474" s="1">
        <v>0</v>
      </c>
      <c r="BS474" s="5" t="str">
        <f>HYPERLINK("http://www.d20pfsrd.com/magic/all-spells/s/shadow-conjuration","Shadow Conjuration, Greater")</f>
        <v>Shadow Conjuration, Greater</v>
      </c>
      <c r="BT474" s="1">
        <v>475</v>
      </c>
      <c r="BU474" s="1" t="s">
        <v>109</v>
      </c>
      <c r="BV474" s="1"/>
      <c r="BW474" s="1" t="s">
        <v>4319</v>
      </c>
      <c r="BX474" s="1"/>
      <c r="BY474" s="1"/>
      <c r="BZ474" s="1">
        <v>0</v>
      </c>
      <c r="CA474" s="1" t="s">
        <v>109</v>
      </c>
      <c r="CB474" s="1" t="s">
        <v>109</v>
      </c>
      <c r="CC474" s="1" t="s">
        <v>109</v>
      </c>
      <c r="CD474" s="1" t="s">
        <v>109</v>
      </c>
      <c r="CE474" s="1" t="s">
        <v>109</v>
      </c>
      <c r="CF474" s="1" t="s">
        <v>109</v>
      </c>
      <c r="CG474" s="1" t="s">
        <v>109</v>
      </c>
      <c r="CH474" s="1" t="s">
        <v>109</v>
      </c>
      <c r="CI474" s="1" t="s">
        <v>109</v>
      </c>
      <c r="CJ474" s="1" t="s">
        <v>109</v>
      </c>
      <c r="CK474" s="1"/>
      <c r="CL474" s="1">
        <v>0</v>
      </c>
      <c r="CM474" s="1">
        <v>0</v>
      </c>
      <c r="CN474" s="1">
        <v>0</v>
      </c>
    </row>
    <row r="475" spans="1:92" ht="14.25" customHeight="1" x14ac:dyDescent="0.15">
      <c r="A475" s="1" t="s">
        <v>4320</v>
      </c>
      <c r="B475" s="1" t="s">
        <v>674</v>
      </c>
      <c r="C475" s="1" t="s">
        <v>68</v>
      </c>
      <c r="D475" s="1" t="s">
        <v>68</v>
      </c>
      <c r="E475" s="1" t="s">
        <v>4321</v>
      </c>
      <c r="F475" s="1" t="s">
        <v>98</v>
      </c>
      <c r="G475" s="1" t="s">
        <v>141</v>
      </c>
      <c r="H475" s="1">
        <v>0</v>
      </c>
      <c r="I475" s="1" t="s">
        <v>211</v>
      </c>
      <c r="J475" s="1"/>
      <c r="K475" s="1" t="s">
        <v>211</v>
      </c>
      <c r="L475" s="1"/>
      <c r="M475" s="1" t="s">
        <v>211</v>
      </c>
      <c r="N475" s="1">
        <v>0</v>
      </c>
      <c r="O475" s="1">
        <v>0</v>
      </c>
      <c r="P475" s="1" t="s">
        <v>2465</v>
      </c>
      <c r="Q475" s="1" t="s">
        <v>268</v>
      </c>
      <c r="R475" s="1" t="s">
        <v>4322</v>
      </c>
      <c r="S475" s="1" t="s">
        <v>4323</v>
      </c>
      <c r="T475" s="1" t="s">
        <v>107</v>
      </c>
      <c r="U475" s="1" t="s">
        <v>4324</v>
      </c>
      <c r="V475" s="1">
        <v>1</v>
      </c>
      <c r="W475" s="1">
        <v>1</v>
      </c>
      <c r="X475" s="1">
        <v>0</v>
      </c>
      <c r="Y475" s="1">
        <v>0</v>
      </c>
      <c r="Z475" s="1">
        <v>0</v>
      </c>
      <c r="AA475" s="1">
        <v>5</v>
      </c>
      <c r="AB475" s="1">
        <v>5</v>
      </c>
      <c r="AC475" s="1" t="s">
        <v>109</v>
      </c>
      <c r="AD475" s="1" t="s">
        <v>109</v>
      </c>
      <c r="AE475" s="1" t="s">
        <v>109</v>
      </c>
      <c r="AF475" s="1">
        <v>5</v>
      </c>
      <c r="AG475" s="1" t="s">
        <v>109</v>
      </c>
      <c r="AH475" s="1" t="s">
        <v>109</v>
      </c>
      <c r="AI475" s="1" t="s">
        <v>109</v>
      </c>
      <c r="AJ475" s="1" t="s">
        <v>109</v>
      </c>
      <c r="AK475" s="1" t="s">
        <v>109</v>
      </c>
      <c r="AL475" s="1" t="s">
        <v>109</v>
      </c>
      <c r="AM475" s="1" t="s">
        <v>109</v>
      </c>
      <c r="AN475" s="1" t="s">
        <v>109</v>
      </c>
      <c r="AO475" s="1" t="s">
        <v>109</v>
      </c>
      <c r="AP475" s="1"/>
      <c r="AQ475" s="1">
        <v>5</v>
      </c>
      <c r="AR475" s="1"/>
      <c r="AS475" s="1" t="s">
        <v>4325</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1</v>
      </c>
      <c r="BQ475" s="1">
        <v>0</v>
      </c>
      <c r="BR475" s="1">
        <v>0</v>
      </c>
      <c r="BS475" s="5" t="str">
        <f>HYPERLINK("http://www.d20pfsrd.com/magic/all-spells/s/shadow-evocation","Shadow Evocation")</f>
        <v>Shadow Evocation</v>
      </c>
      <c r="BT475" s="1">
        <v>476</v>
      </c>
      <c r="BU475" s="1" t="s">
        <v>109</v>
      </c>
      <c r="BV475" s="1" t="s">
        <v>4326</v>
      </c>
      <c r="BW475" s="1" t="s">
        <v>4327</v>
      </c>
      <c r="BX475" s="1"/>
      <c r="BY475" s="1"/>
      <c r="BZ475" s="1">
        <v>0</v>
      </c>
      <c r="CA475" s="1" t="s">
        <v>109</v>
      </c>
      <c r="CB475" s="1" t="s">
        <v>109</v>
      </c>
      <c r="CC475" s="1" t="s">
        <v>109</v>
      </c>
      <c r="CD475" s="1" t="s">
        <v>109</v>
      </c>
      <c r="CE475" s="1">
        <v>5</v>
      </c>
      <c r="CF475" s="1" t="s">
        <v>109</v>
      </c>
      <c r="CG475" s="1">
        <v>5</v>
      </c>
      <c r="CH475" s="1" t="s">
        <v>109</v>
      </c>
      <c r="CI475" s="1" t="s">
        <v>109</v>
      </c>
      <c r="CJ475" s="1" t="s">
        <v>109</v>
      </c>
      <c r="CK475" s="1"/>
      <c r="CL475" s="1">
        <v>0</v>
      </c>
      <c r="CM475" s="1">
        <v>0</v>
      </c>
      <c r="CN475" s="1">
        <v>0</v>
      </c>
    </row>
    <row r="476" spans="1:92" ht="14.25" customHeight="1" x14ac:dyDescent="0.15">
      <c r="A476" s="1" t="s">
        <v>4328</v>
      </c>
      <c r="B476" s="1" t="s">
        <v>674</v>
      </c>
      <c r="C476" s="1" t="s">
        <v>68</v>
      </c>
      <c r="D476" s="1" t="s">
        <v>68</v>
      </c>
      <c r="E476" s="1" t="s">
        <v>2199</v>
      </c>
      <c r="F476" s="1" t="s">
        <v>98</v>
      </c>
      <c r="G476" s="1" t="s">
        <v>141</v>
      </c>
      <c r="H476" s="1">
        <v>0</v>
      </c>
      <c r="I476" s="1" t="s">
        <v>211</v>
      </c>
      <c r="J476" s="1"/>
      <c r="K476" s="1" t="s">
        <v>211</v>
      </c>
      <c r="L476" s="1"/>
      <c r="M476" s="1" t="s">
        <v>211</v>
      </c>
      <c r="N476" s="1">
        <v>0</v>
      </c>
      <c r="O476" s="1">
        <v>0</v>
      </c>
      <c r="P476" s="1" t="s">
        <v>2465</v>
      </c>
      <c r="Q476" s="1" t="s">
        <v>268</v>
      </c>
      <c r="R476" s="1" t="s">
        <v>4329</v>
      </c>
      <c r="S476" s="1" t="s">
        <v>4330</v>
      </c>
      <c r="T476" s="1" t="s">
        <v>107</v>
      </c>
      <c r="U476" s="1" t="s">
        <v>4331</v>
      </c>
      <c r="V476" s="1">
        <v>1</v>
      </c>
      <c r="W476" s="1">
        <v>1</v>
      </c>
      <c r="X476" s="1">
        <v>0</v>
      </c>
      <c r="Y476" s="1">
        <v>0</v>
      </c>
      <c r="Z476" s="1">
        <v>0</v>
      </c>
      <c r="AA476" s="1">
        <v>8</v>
      </c>
      <c r="AB476" s="1">
        <v>8</v>
      </c>
      <c r="AC476" s="1" t="s">
        <v>109</v>
      </c>
      <c r="AD476" s="1" t="s">
        <v>109</v>
      </c>
      <c r="AE476" s="1" t="s">
        <v>109</v>
      </c>
      <c r="AF476" s="1" t="s">
        <v>109</v>
      </c>
      <c r="AG476" s="1" t="s">
        <v>109</v>
      </c>
      <c r="AH476" s="1" t="s">
        <v>109</v>
      </c>
      <c r="AI476" s="1" t="s">
        <v>109</v>
      </c>
      <c r="AJ476" s="1" t="s">
        <v>109</v>
      </c>
      <c r="AK476" s="1" t="s">
        <v>109</v>
      </c>
      <c r="AL476" s="1" t="s">
        <v>109</v>
      </c>
      <c r="AM476" s="1" t="s">
        <v>109</v>
      </c>
      <c r="AN476" s="1" t="s">
        <v>109</v>
      </c>
      <c r="AO476" s="1" t="s">
        <v>109</v>
      </c>
      <c r="AP476" s="1"/>
      <c r="AQ476" s="1">
        <v>8</v>
      </c>
      <c r="AR476" s="1" t="s">
        <v>4332</v>
      </c>
      <c r="AS476" s="1" t="s">
        <v>4333</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1</v>
      </c>
      <c r="BQ476" s="1">
        <v>0</v>
      </c>
      <c r="BR476" s="1">
        <v>0</v>
      </c>
      <c r="BS476" s="5" t="str">
        <f>HYPERLINK("http://www.d20pfsrd.com/magic/all-spells/s/shadow-evocation","Shadow Evocation, Greater")</f>
        <v>Shadow Evocation, Greater</v>
      </c>
      <c r="BT476" s="1">
        <v>477</v>
      </c>
      <c r="BU476" s="1" t="s">
        <v>109</v>
      </c>
      <c r="BV476" s="1" t="s">
        <v>4334</v>
      </c>
      <c r="BW476" s="1" t="s">
        <v>4335</v>
      </c>
      <c r="BX476" s="1"/>
      <c r="BY476" s="1"/>
      <c r="BZ476" s="1">
        <v>0</v>
      </c>
      <c r="CA476" s="1" t="s">
        <v>109</v>
      </c>
      <c r="CB476" s="1" t="s">
        <v>109</v>
      </c>
      <c r="CC476" s="1" t="s">
        <v>109</v>
      </c>
      <c r="CD476" s="1" t="s">
        <v>109</v>
      </c>
      <c r="CE476" s="1" t="s">
        <v>109</v>
      </c>
      <c r="CF476" s="1" t="s">
        <v>109</v>
      </c>
      <c r="CG476" s="1" t="s">
        <v>109</v>
      </c>
      <c r="CH476" s="1" t="s">
        <v>109</v>
      </c>
      <c r="CI476" s="1" t="s">
        <v>109</v>
      </c>
      <c r="CJ476" s="1" t="s">
        <v>109</v>
      </c>
      <c r="CK476" s="1"/>
      <c r="CL476" s="1">
        <v>0</v>
      </c>
      <c r="CM476" s="1">
        <v>0</v>
      </c>
      <c r="CN476" s="1">
        <v>0</v>
      </c>
    </row>
    <row r="477" spans="1:92" ht="14.25" customHeight="1" x14ac:dyDescent="0.15">
      <c r="A477" s="1" t="s">
        <v>4336</v>
      </c>
      <c r="B477" s="1" t="s">
        <v>674</v>
      </c>
      <c r="C477" s="1" t="s">
        <v>68</v>
      </c>
      <c r="D477" s="1" t="s">
        <v>68</v>
      </c>
      <c r="E477" s="1" t="s">
        <v>4337</v>
      </c>
      <c r="F477" s="1" t="s">
        <v>98</v>
      </c>
      <c r="G477" s="1" t="s">
        <v>141</v>
      </c>
      <c r="H477" s="1">
        <v>0</v>
      </c>
      <c r="I477" s="1" t="s">
        <v>161</v>
      </c>
      <c r="J477" s="1"/>
      <c r="K477" s="1"/>
      <c r="L477" s="1" t="s">
        <v>4338</v>
      </c>
      <c r="M477" s="1" t="s">
        <v>289</v>
      </c>
      <c r="N477" s="1">
        <v>1</v>
      </c>
      <c r="O477" s="1">
        <v>0</v>
      </c>
      <c r="P477" s="1" t="s">
        <v>301</v>
      </c>
      <c r="Q477" s="1" t="s">
        <v>268</v>
      </c>
      <c r="R477" s="1" t="s">
        <v>4339</v>
      </c>
      <c r="S477" s="1" t="s">
        <v>4340</v>
      </c>
      <c r="T477" s="1" t="s">
        <v>107</v>
      </c>
      <c r="U477" s="1" t="s">
        <v>4341</v>
      </c>
      <c r="V477" s="1">
        <v>1</v>
      </c>
      <c r="W477" s="1">
        <v>1</v>
      </c>
      <c r="X477" s="1">
        <v>0</v>
      </c>
      <c r="Y477" s="1">
        <v>0</v>
      </c>
      <c r="Z477" s="1">
        <v>0</v>
      </c>
      <c r="AA477" s="1">
        <v>6</v>
      </c>
      <c r="AB477" s="1">
        <v>6</v>
      </c>
      <c r="AC477" s="1" t="s">
        <v>109</v>
      </c>
      <c r="AD477" s="1" t="s">
        <v>109</v>
      </c>
      <c r="AE477" s="1" t="s">
        <v>109</v>
      </c>
      <c r="AF477" s="1">
        <v>5</v>
      </c>
      <c r="AG477" s="1" t="s">
        <v>109</v>
      </c>
      <c r="AH477" s="1">
        <v>6</v>
      </c>
      <c r="AI477" s="1" t="s">
        <v>109</v>
      </c>
      <c r="AJ477" s="1" t="s">
        <v>109</v>
      </c>
      <c r="AK477" s="1" t="s">
        <v>109</v>
      </c>
      <c r="AL477" s="1" t="s">
        <v>109</v>
      </c>
      <c r="AM477" s="1" t="s">
        <v>109</v>
      </c>
      <c r="AN477" s="1" t="s">
        <v>109</v>
      </c>
      <c r="AO477" s="1" t="s">
        <v>109</v>
      </c>
      <c r="AP477" s="1"/>
      <c r="AQ477" s="1">
        <v>6</v>
      </c>
      <c r="AR477" s="1" t="s">
        <v>4342</v>
      </c>
      <c r="AS477" s="1" t="s">
        <v>4343</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1</v>
      </c>
      <c r="BQ477" s="1">
        <v>0</v>
      </c>
      <c r="BR477" s="1">
        <v>0</v>
      </c>
      <c r="BS477" s="5" t="str">
        <f>HYPERLINK("http://www.d20pfsrd.com/magic/all-spells/s/shadow-walk","Shadow Walk")</f>
        <v>Shadow Walk</v>
      </c>
      <c r="BT477" s="1">
        <v>478</v>
      </c>
      <c r="BU477" s="1" t="s">
        <v>109</v>
      </c>
      <c r="BV477" s="1" t="s">
        <v>4344</v>
      </c>
      <c r="BW477" s="1" t="s">
        <v>4345</v>
      </c>
      <c r="BX477" s="1"/>
      <c r="BY477" s="1"/>
      <c r="BZ477" s="1">
        <v>0</v>
      </c>
      <c r="CA477" s="1" t="s">
        <v>109</v>
      </c>
      <c r="CB477" s="1" t="s">
        <v>109</v>
      </c>
      <c r="CC477" s="1" t="s">
        <v>109</v>
      </c>
      <c r="CD477" s="1" t="s">
        <v>109</v>
      </c>
      <c r="CE477" s="1">
        <v>5</v>
      </c>
      <c r="CF477" s="1" t="s">
        <v>109</v>
      </c>
      <c r="CG477" s="1">
        <v>6</v>
      </c>
      <c r="CH477" s="1" t="s">
        <v>109</v>
      </c>
      <c r="CI477" s="1" t="s">
        <v>109</v>
      </c>
      <c r="CJ477" s="1" t="s">
        <v>109</v>
      </c>
      <c r="CK477" s="1"/>
      <c r="CL477" s="1">
        <v>0</v>
      </c>
      <c r="CM477" s="1">
        <v>0</v>
      </c>
      <c r="CN477" s="1">
        <v>0</v>
      </c>
    </row>
    <row r="478" spans="1:92" ht="14.25" customHeight="1" x14ac:dyDescent="0.15">
      <c r="A478" s="1" t="s">
        <v>4346</v>
      </c>
      <c r="B478" s="1" t="s">
        <v>95</v>
      </c>
      <c r="C478" s="1" t="s">
        <v>96</v>
      </c>
      <c r="D478" s="1"/>
      <c r="E478" s="1" t="s">
        <v>4347</v>
      </c>
      <c r="F478" s="1" t="s">
        <v>98</v>
      </c>
      <c r="G478" s="1" t="s">
        <v>141</v>
      </c>
      <c r="H478" s="1">
        <v>0</v>
      </c>
      <c r="I478" s="1" t="s">
        <v>122</v>
      </c>
      <c r="J478" s="1"/>
      <c r="K478" s="1" t="s">
        <v>4348</v>
      </c>
      <c r="L478" s="1"/>
      <c r="M478" s="1" t="s">
        <v>4349</v>
      </c>
      <c r="N478" s="1">
        <v>1</v>
      </c>
      <c r="O478" s="1">
        <v>0</v>
      </c>
      <c r="P478" s="1" t="s">
        <v>103</v>
      </c>
      <c r="Q478" s="1" t="s">
        <v>104</v>
      </c>
      <c r="R478" s="1" t="s">
        <v>4350</v>
      </c>
      <c r="S478" s="1" t="s">
        <v>4351</v>
      </c>
      <c r="T478" s="1" t="s">
        <v>107</v>
      </c>
      <c r="U478" s="1" t="s">
        <v>4352</v>
      </c>
      <c r="V478" s="1">
        <v>1</v>
      </c>
      <c r="W478" s="1">
        <v>1</v>
      </c>
      <c r="X478" s="1">
        <v>0</v>
      </c>
      <c r="Y478" s="1">
        <v>0</v>
      </c>
      <c r="Z478" s="1">
        <v>0</v>
      </c>
      <c r="AA478" s="1" t="s">
        <v>109</v>
      </c>
      <c r="AB478" s="1" t="s">
        <v>109</v>
      </c>
      <c r="AC478" s="1" t="s">
        <v>109</v>
      </c>
      <c r="AD478" s="1">
        <v>9</v>
      </c>
      <c r="AE478" s="1" t="s">
        <v>109</v>
      </c>
      <c r="AF478" s="1" t="s">
        <v>109</v>
      </c>
      <c r="AG478" s="1" t="s">
        <v>109</v>
      </c>
      <c r="AH478" s="1" t="s">
        <v>109</v>
      </c>
      <c r="AI478" s="1" t="s">
        <v>109</v>
      </c>
      <c r="AJ478" s="1" t="s">
        <v>109</v>
      </c>
      <c r="AK478" s="1" t="s">
        <v>109</v>
      </c>
      <c r="AL478" s="1" t="s">
        <v>109</v>
      </c>
      <c r="AM478" s="1" t="s">
        <v>109</v>
      </c>
      <c r="AN478" s="1" t="s">
        <v>109</v>
      </c>
      <c r="AO478" s="1" t="s">
        <v>109</v>
      </c>
      <c r="AP478" s="1"/>
      <c r="AQ478" s="1">
        <v>9</v>
      </c>
      <c r="AR478" s="1" t="s">
        <v>4353</v>
      </c>
      <c r="AS478" s="1" t="s">
        <v>4354</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5" t="str">
        <f>HYPERLINK("http://www.d20pfsrd.com/magic/all-spells/s/shambler","Shambler")</f>
        <v>Shambler</v>
      </c>
      <c r="BT478" s="1">
        <v>479</v>
      </c>
      <c r="BU478" s="1" t="s">
        <v>109</v>
      </c>
      <c r="BV478" s="1" t="s">
        <v>4355</v>
      </c>
      <c r="BW478" s="1" t="s">
        <v>4356</v>
      </c>
      <c r="BX478" s="1"/>
      <c r="BY478" s="1"/>
      <c r="BZ478" s="1">
        <v>0</v>
      </c>
      <c r="CA478" s="1" t="s">
        <v>109</v>
      </c>
      <c r="CB478" s="1">
        <v>9</v>
      </c>
      <c r="CC478" s="1" t="s">
        <v>109</v>
      </c>
      <c r="CD478" s="1" t="s">
        <v>109</v>
      </c>
      <c r="CE478" s="1" t="s">
        <v>109</v>
      </c>
      <c r="CF478" s="1" t="s">
        <v>109</v>
      </c>
      <c r="CG478" s="1" t="s">
        <v>109</v>
      </c>
      <c r="CH478" s="1" t="s">
        <v>109</v>
      </c>
      <c r="CI478" s="1" t="s">
        <v>109</v>
      </c>
      <c r="CJ478" s="1" t="s">
        <v>109</v>
      </c>
      <c r="CK478" s="1"/>
      <c r="CL478" s="1">
        <v>0</v>
      </c>
      <c r="CM478" s="1">
        <v>0</v>
      </c>
      <c r="CN478" s="1">
        <v>0</v>
      </c>
    </row>
    <row r="479" spans="1:92" ht="14.25" customHeight="1" x14ac:dyDescent="0.15">
      <c r="A479" s="1" t="s">
        <v>4357</v>
      </c>
      <c r="B479" s="1" t="s">
        <v>189</v>
      </c>
      <c r="C479" s="1" t="s">
        <v>231</v>
      </c>
      <c r="D479" s="1"/>
      <c r="E479" s="1" t="s">
        <v>4358</v>
      </c>
      <c r="F479" s="1" t="s">
        <v>98</v>
      </c>
      <c r="G479" s="1" t="s">
        <v>4359</v>
      </c>
      <c r="H479" s="1">
        <v>1</v>
      </c>
      <c r="I479" s="1" t="s">
        <v>235</v>
      </c>
      <c r="J479" s="1"/>
      <c r="K479" s="1"/>
      <c r="L479" s="1" t="s">
        <v>236</v>
      </c>
      <c r="M479" s="1" t="s">
        <v>194</v>
      </c>
      <c r="N479" s="1">
        <v>1</v>
      </c>
      <c r="O479" s="1">
        <v>0</v>
      </c>
      <c r="P479" s="1"/>
      <c r="Q479" s="1"/>
      <c r="R479" s="1" t="s">
        <v>4360</v>
      </c>
      <c r="S479" s="1" t="s">
        <v>4361</v>
      </c>
      <c r="T479" s="1" t="s">
        <v>107</v>
      </c>
      <c r="U479" s="1" t="s">
        <v>4362</v>
      </c>
      <c r="V479" s="1">
        <v>1</v>
      </c>
      <c r="W479" s="1">
        <v>1</v>
      </c>
      <c r="X479" s="1">
        <v>0</v>
      </c>
      <c r="Y479" s="1">
        <v>1</v>
      </c>
      <c r="Z479" s="1">
        <v>0</v>
      </c>
      <c r="AA479" s="1">
        <v>9</v>
      </c>
      <c r="AB479" s="1">
        <v>9</v>
      </c>
      <c r="AC479" s="1" t="s">
        <v>109</v>
      </c>
      <c r="AD479" s="1">
        <v>9</v>
      </c>
      <c r="AE479" s="1" t="s">
        <v>109</v>
      </c>
      <c r="AF479" s="1" t="s">
        <v>109</v>
      </c>
      <c r="AG479" s="1" t="s">
        <v>109</v>
      </c>
      <c r="AH479" s="1" t="s">
        <v>109</v>
      </c>
      <c r="AI479" s="1" t="s">
        <v>109</v>
      </c>
      <c r="AJ479" s="1" t="s">
        <v>109</v>
      </c>
      <c r="AK479" s="1" t="s">
        <v>109</v>
      </c>
      <c r="AL479" s="1" t="s">
        <v>109</v>
      </c>
      <c r="AM479" s="1" t="s">
        <v>109</v>
      </c>
      <c r="AN479" s="1" t="s">
        <v>109</v>
      </c>
      <c r="AO479" s="1" t="s">
        <v>109</v>
      </c>
      <c r="AP479" s="1"/>
      <c r="AQ479" s="1">
        <v>9</v>
      </c>
      <c r="AR479" s="1" t="s">
        <v>4363</v>
      </c>
      <c r="AS479" s="1" t="s">
        <v>4364</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5" t="str">
        <f>HYPERLINK("http://www.d20pfsrd.com/magic/all-spells/s/shapechange","Shapechange")</f>
        <v>Shapechange</v>
      </c>
      <c r="BT479" s="1">
        <v>480</v>
      </c>
      <c r="BU479" s="1">
        <v>1500</v>
      </c>
      <c r="BV479" s="1" t="s">
        <v>4365</v>
      </c>
      <c r="BW479" s="1" t="s">
        <v>4366</v>
      </c>
      <c r="BX479" s="1"/>
      <c r="BY479" s="1"/>
      <c r="BZ479" s="1">
        <v>0</v>
      </c>
      <c r="CA479" s="1" t="s">
        <v>109</v>
      </c>
      <c r="CB479" s="1">
        <v>9</v>
      </c>
      <c r="CC479" s="1" t="s">
        <v>109</v>
      </c>
      <c r="CD479" s="1" t="s">
        <v>109</v>
      </c>
      <c r="CE479" s="1" t="s">
        <v>109</v>
      </c>
      <c r="CF479" s="1" t="s">
        <v>109</v>
      </c>
      <c r="CG479" s="1" t="s">
        <v>109</v>
      </c>
      <c r="CH479" s="1" t="s">
        <v>109</v>
      </c>
      <c r="CI479" s="1" t="s">
        <v>109</v>
      </c>
      <c r="CJ479" s="1" t="s">
        <v>109</v>
      </c>
      <c r="CK479" s="1"/>
      <c r="CL479" s="1">
        <v>0</v>
      </c>
      <c r="CM479" s="1">
        <v>0</v>
      </c>
      <c r="CN479" s="1">
        <v>0</v>
      </c>
    </row>
    <row r="480" spans="1:92" ht="14.25" customHeight="1" x14ac:dyDescent="0.15">
      <c r="A480" s="1" t="s">
        <v>4367</v>
      </c>
      <c r="B480" s="1" t="s">
        <v>584</v>
      </c>
      <c r="C480" s="1"/>
      <c r="D480" s="1" t="s">
        <v>69</v>
      </c>
      <c r="E480" s="1" t="s">
        <v>4368</v>
      </c>
      <c r="F480" s="1" t="s">
        <v>98</v>
      </c>
      <c r="G480" s="1" t="s">
        <v>4369</v>
      </c>
      <c r="H480" s="1">
        <v>0</v>
      </c>
      <c r="I480" s="1" t="s">
        <v>142</v>
      </c>
      <c r="J480" s="1" t="s">
        <v>4370</v>
      </c>
      <c r="K480" s="1"/>
      <c r="L480" s="1" t="s">
        <v>4370</v>
      </c>
      <c r="M480" s="1" t="s">
        <v>144</v>
      </c>
      <c r="N480" s="1">
        <v>0</v>
      </c>
      <c r="O480" s="1">
        <v>0</v>
      </c>
      <c r="P480" s="1" t="s">
        <v>4371</v>
      </c>
      <c r="Q480" s="1" t="s">
        <v>268</v>
      </c>
      <c r="R480" s="1" t="s">
        <v>4372</v>
      </c>
      <c r="S480" s="1" t="s">
        <v>4373</v>
      </c>
      <c r="T480" s="1" t="s">
        <v>107</v>
      </c>
      <c r="U480" s="1" t="s">
        <v>4374</v>
      </c>
      <c r="V480" s="1">
        <v>1</v>
      </c>
      <c r="W480" s="1">
        <v>1</v>
      </c>
      <c r="X480" s="1">
        <v>1</v>
      </c>
      <c r="Y480" s="1">
        <v>0</v>
      </c>
      <c r="Z480" s="1">
        <v>1</v>
      </c>
      <c r="AA480" s="1">
        <v>2</v>
      </c>
      <c r="AB480" s="1">
        <v>2</v>
      </c>
      <c r="AC480" s="1">
        <v>2</v>
      </c>
      <c r="AD480" s="1" t="s">
        <v>109</v>
      </c>
      <c r="AE480" s="1" t="s">
        <v>109</v>
      </c>
      <c r="AF480" s="1">
        <v>2</v>
      </c>
      <c r="AG480" s="1" t="s">
        <v>109</v>
      </c>
      <c r="AH480" s="1" t="s">
        <v>109</v>
      </c>
      <c r="AI480" s="1" t="s">
        <v>109</v>
      </c>
      <c r="AJ480" s="1" t="s">
        <v>109</v>
      </c>
      <c r="AK480" s="1" t="s">
        <v>109</v>
      </c>
      <c r="AL480" s="1">
        <v>2</v>
      </c>
      <c r="AM480" s="1" t="s">
        <v>109</v>
      </c>
      <c r="AN480" s="1">
        <v>2</v>
      </c>
      <c r="AO480" s="1" t="s">
        <v>109</v>
      </c>
      <c r="AP480" s="1"/>
      <c r="AQ480" s="1">
        <v>2</v>
      </c>
      <c r="AR480" s="1" t="s">
        <v>4375</v>
      </c>
      <c r="AS480" s="1" t="s">
        <v>4376</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1</v>
      </c>
      <c r="BR480" s="1">
        <v>0</v>
      </c>
      <c r="BS480" s="5" t="str">
        <f>HYPERLINK("http://www.d20pfsrd.com/magic/all-spells/s/shatter","Shatter")</f>
        <v>Shatter</v>
      </c>
      <c r="BT480" s="1">
        <v>481</v>
      </c>
      <c r="BU480" s="1" t="s">
        <v>109</v>
      </c>
      <c r="BV480" s="1"/>
      <c r="BW480" s="1"/>
      <c r="BX480" s="1" t="s">
        <v>4377</v>
      </c>
      <c r="BY480" s="1"/>
      <c r="BZ480" s="1">
        <v>1</v>
      </c>
      <c r="CA480" s="1">
        <v>2</v>
      </c>
      <c r="CB480" s="1" t="s">
        <v>109</v>
      </c>
      <c r="CC480" s="1">
        <v>2</v>
      </c>
      <c r="CD480" s="1" t="s">
        <v>109</v>
      </c>
      <c r="CE480" s="1" t="s">
        <v>109</v>
      </c>
      <c r="CF480" s="1">
        <v>2</v>
      </c>
      <c r="CG480" s="1" t="s">
        <v>109</v>
      </c>
      <c r="CH480" s="1" t="s">
        <v>109</v>
      </c>
      <c r="CI480" s="1" t="s">
        <v>109</v>
      </c>
      <c r="CJ480" s="1" t="s">
        <v>109</v>
      </c>
      <c r="CK480" s="1"/>
      <c r="CL480" s="1">
        <v>0</v>
      </c>
      <c r="CM480" s="1">
        <v>0</v>
      </c>
      <c r="CN480" s="1">
        <v>0</v>
      </c>
    </row>
    <row r="481" spans="1:92" ht="14.25" customHeight="1" x14ac:dyDescent="0.15">
      <c r="A481" s="1" t="s">
        <v>4378</v>
      </c>
      <c r="B481" s="1" t="s">
        <v>242</v>
      </c>
      <c r="C481" s="1"/>
      <c r="D481" s="1" t="s">
        <v>60</v>
      </c>
      <c r="E481" s="1" t="s">
        <v>4379</v>
      </c>
      <c r="F481" s="1" t="s">
        <v>98</v>
      </c>
      <c r="G481" s="1" t="s">
        <v>141</v>
      </c>
      <c r="H481" s="1">
        <v>0</v>
      </c>
      <c r="I481" s="1" t="s">
        <v>235</v>
      </c>
      <c r="J481" s="1"/>
      <c r="K481" s="1"/>
      <c r="L481" s="1" t="s">
        <v>236</v>
      </c>
      <c r="M481" s="1" t="s">
        <v>164</v>
      </c>
      <c r="N481" s="1">
        <v>1</v>
      </c>
      <c r="O481" s="1">
        <v>0</v>
      </c>
      <c r="P481" s="1"/>
      <c r="Q481" s="1"/>
      <c r="R481" s="1" t="s">
        <v>4380</v>
      </c>
      <c r="S481" s="1" t="s">
        <v>4381</v>
      </c>
      <c r="T481" s="1" t="s">
        <v>107</v>
      </c>
      <c r="U481" s="1" t="s">
        <v>4382</v>
      </c>
      <c r="V481" s="1">
        <v>1</v>
      </c>
      <c r="W481" s="1">
        <v>1</v>
      </c>
      <c r="X481" s="1">
        <v>0</v>
      </c>
      <c r="Y481" s="1">
        <v>0</v>
      </c>
      <c r="Z481" s="1">
        <v>0</v>
      </c>
      <c r="AA481" s="1">
        <v>1</v>
      </c>
      <c r="AB481" s="1">
        <v>1</v>
      </c>
      <c r="AC481" s="1" t="s">
        <v>109</v>
      </c>
      <c r="AD481" s="1" t="s">
        <v>109</v>
      </c>
      <c r="AE481" s="1" t="s">
        <v>109</v>
      </c>
      <c r="AF481" s="1" t="s">
        <v>109</v>
      </c>
      <c r="AG481" s="1" t="s">
        <v>109</v>
      </c>
      <c r="AH481" s="1">
        <v>1</v>
      </c>
      <c r="AI481" s="1">
        <v>1</v>
      </c>
      <c r="AJ481" s="1" t="s">
        <v>109</v>
      </c>
      <c r="AK481" s="1" t="s">
        <v>109</v>
      </c>
      <c r="AL481" s="1" t="s">
        <v>109</v>
      </c>
      <c r="AM481" s="1" t="s">
        <v>109</v>
      </c>
      <c r="AN481" s="1">
        <v>1</v>
      </c>
      <c r="AO481" s="1" t="s">
        <v>109</v>
      </c>
      <c r="AP481" s="1"/>
      <c r="AQ481" s="1">
        <v>1</v>
      </c>
      <c r="AR481" s="1" t="s">
        <v>4383</v>
      </c>
      <c r="AS481" s="1" t="s">
        <v>4384</v>
      </c>
      <c r="AT481" s="1">
        <v>0</v>
      </c>
      <c r="AU481" s="1">
        <v>0</v>
      </c>
      <c r="AV481" s="1">
        <v>0</v>
      </c>
      <c r="AW481" s="1">
        <v>0</v>
      </c>
      <c r="AX481" s="1">
        <v>0</v>
      </c>
      <c r="AY481" s="1">
        <v>0</v>
      </c>
      <c r="AZ481" s="1">
        <v>0</v>
      </c>
      <c r="BA481" s="1">
        <v>0</v>
      </c>
      <c r="BB481" s="1">
        <v>0</v>
      </c>
      <c r="BC481" s="1">
        <v>0</v>
      </c>
      <c r="BD481" s="1">
        <v>0</v>
      </c>
      <c r="BE481" s="1">
        <v>0</v>
      </c>
      <c r="BF481" s="1">
        <v>0</v>
      </c>
      <c r="BG481" s="1">
        <v>0</v>
      </c>
      <c r="BH481" s="1">
        <v>1</v>
      </c>
      <c r="BI481" s="1">
        <v>0</v>
      </c>
      <c r="BJ481" s="1">
        <v>0</v>
      </c>
      <c r="BK481" s="1">
        <v>0</v>
      </c>
      <c r="BL481" s="1">
        <v>0</v>
      </c>
      <c r="BM481" s="1">
        <v>0</v>
      </c>
      <c r="BN481" s="1">
        <v>0</v>
      </c>
      <c r="BO481" s="1">
        <v>0</v>
      </c>
      <c r="BP481" s="1">
        <v>0</v>
      </c>
      <c r="BQ481" s="1">
        <v>0</v>
      </c>
      <c r="BR481" s="1">
        <v>0</v>
      </c>
      <c r="BS481" s="5" t="str">
        <f>HYPERLINK("http://www.d20pfsrd.com/magic/all-spells/s/shield","Shield")</f>
        <v>Shield</v>
      </c>
      <c r="BT481" s="1">
        <v>482</v>
      </c>
      <c r="BU481" s="1" t="s">
        <v>109</v>
      </c>
      <c r="BV481" s="1"/>
      <c r="BW481" s="1"/>
      <c r="BX481" s="1"/>
      <c r="BY481" s="1"/>
      <c r="BZ481" s="1">
        <v>0</v>
      </c>
      <c r="CA481" s="1">
        <v>1</v>
      </c>
      <c r="CB481" s="1" t="s">
        <v>109</v>
      </c>
      <c r="CC481" s="1">
        <v>1</v>
      </c>
      <c r="CD481" s="1" t="s">
        <v>109</v>
      </c>
      <c r="CE481" s="1" t="s">
        <v>109</v>
      </c>
      <c r="CF481" s="1">
        <v>1</v>
      </c>
      <c r="CG481" s="1">
        <v>1</v>
      </c>
      <c r="CH481" s="1" t="s">
        <v>109</v>
      </c>
      <c r="CI481" s="1" t="s">
        <v>109</v>
      </c>
      <c r="CJ481" s="1" t="s">
        <v>109</v>
      </c>
      <c r="CK481" s="1"/>
      <c r="CL481" s="1">
        <v>0</v>
      </c>
      <c r="CM481" s="1">
        <v>0</v>
      </c>
      <c r="CN481" s="1">
        <v>0</v>
      </c>
    </row>
    <row r="482" spans="1:92" ht="14.25" customHeight="1" x14ac:dyDescent="0.15">
      <c r="A482" s="1" t="s">
        <v>4385</v>
      </c>
      <c r="B482" s="1" t="s">
        <v>242</v>
      </c>
      <c r="C482" s="1"/>
      <c r="D482" s="1"/>
      <c r="E482" s="1" t="s">
        <v>2577</v>
      </c>
      <c r="F482" s="1" t="s">
        <v>98</v>
      </c>
      <c r="G482" s="1" t="s">
        <v>4386</v>
      </c>
      <c r="H482" s="1">
        <v>0</v>
      </c>
      <c r="I482" s="1" t="s">
        <v>161</v>
      </c>
      <c r="J482" s="1"/>
      <c r="K482" s="1"/>
      <c r="L482" s="1" t="s">
        <v>506</v>
      </c>
      <c r="M482" s="1" t="s">
        <v>164</v>
      </c>
      <c r="N482" s="1">
        <v>0</v>
      </c>
      <c r="O482" s="1">
        <v>0</v>
      </c>
      <c r="P482" s="1" t="s">
        <v>507</v>
      </c>
      <c r="Q482" s="1" t="s">
        <v>167</v>
      </c>
      <c r="R482" s="1" t="s">
        <v>4387</v>
      </c>
      <c r="S482" s="1" t="s">
        <v>4388</v>
      </c>
      <c r="T482" s="1" t="s">
        <v>107</v>
      </c>
      <c r="U482" s="1" t="s">
        <v>4389</v>
      </c>
      <c r="V482" s="1">
        <v>1</v>
      </c>
      <c r="W482" s="1">
        <v>1</v>
      </c>
      <c r="X482" s="1">
        <v>1</v>
      </c>
      <c r="Y482" s="1">
        <v>0</v>
      </c>
      <c r="Z482" s="1">
        <v>0</v>
      </c>
      <c r="AA482" s="1" t="s">
        <v>109</v>
      </c>
      <c r="AB482" s="1" t="s">
        <v>109</v>
      </c>
      <c r="AC482" s="1">
        <v>1</v>
      </c>
      <c r="AD482" s="1" t="s">
        <v>109</v>
      </c>
      <c r="AE482" s="1" t="s">
        <v>109</v>
      </c>
      <c r="AF482" s="1" t="s">
        <v>109</v>
      </c>
      <c r="AG482" s="1" t="s">
        <v>109</v>
      </c>
      <c r="AH482" s="1" t="s">
        <v>109</v>
      </c>
      <c r="AI482" s="1" t="s">
        <v>109</v>
      </c>
      <c r="AJ482" s="1" t="s">
        <v>109</v>
      </c>
      <c r="AK482" s="1">
        <v>1</v>
      </c>
      <c r="AL482" s="1">
        <v>1</v>
      </c>
      <c r="AM482" s="1" t="s">
        <v>109</v>
      </c>
      <c r="AN482" s="1" t="s">
        <v>109</v>
      </c>
      <c r="AO482" s="1" t="s">
        <v>109</v>
      </c>
      <c r="AP482" s="1"/>
      <c r="AQ482" s="1">
        <v>1</v>
      </c>
      <c r="AR482" s="1" t="s">
        <v>4390</v>
      </c>
      <c r="AS482" s="1" t="s">
        <v>4391</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5" t="str">
        <f>HYPERLINK("http://www.d20pfsrd.com/magic/all-spells/s/shield-of-faith","Shield of Faith")</f>
        <v>Shield of Faith</v>
      </c>
      <c r="BT482" s="1">
        <v>483</v>
      </c>
      <c r="BU482" s="1" t="s">
        <v>109</v>
      </c>
      <c r="BV482" s="1"/>
      <c r="BW482" s="1" t="s">
        <v>4392</v>
      </c>
      <c r="BX482" s="1" t="s">
        <v>4393</v>
      </c>
      <c r="BY482" s="1"/>
      <c r="BZ482" s="1">
        <v>1</v>
      </c>
      <c r="CA482" s="1" t="s">
        <v>109</v>
      </c>
      <c r="CB482" s="1" t="s">
        <v>109</v>
      </c>
      <c r="CC482" s="1" t="s">
        <v>109</v>
      </c>
      <c r="CD482" s="1" t="s">
        <v>109</v>
      </c>
      <c r="CE482" s="1" t="s">
        <v>109</v>
      </c>
      <c r="CF482" s="1" t="s">
        <v>109</v>
      </c>
      <c r="CG482" s="1" t="s">
        <v>109</v>
      </c>
      <c r="CH482" s="1" t="s">
        <v>109</v>
      </c>
      <c r="CI482" s="1" t="s">
        <v>109</v>
      </c>
      <c r="CJ482" s="1" t="s">
        <v>109</v>
      </c>
      <c r="CK482" s="1"/>
      <c r="CL482" s="1">
        <v>0</v>
      </c>
      <c r="CM482" s="1">
        <v>0</v>
      </c>
      <c r="CN482" s="1">
        <v>0</v>
      </c>
    </row>
    <row r="483" spans="1:92" ht="14.25" customHeight="1" x14ac:dyDescent="0.15">
      <c r="A483" s="1" t="s">
        <v>4394</v>
      </c>
      <c r="B483" s="1" t="s">
        <v>242</v>
      </c>
      <c r="C483" s="1"/>
      <c r="D483" s="1" t="s">
        <v>63</v>
      </c>
      <c r="E483" s="1" t="s">
        <v>913</v>
      </c>
      <c r="F483" s="1" t="s">
        <v>98</v>
      </c>
      <c r="G483" s="1" t="s">
        <v>4395</v>
      </c>
      <c r="H483" s="1">
        <v>1</v>
      </c>
      <c r="I483" s="1" t="s">
        <v>915</v>
      </c>
      <c r="J483" s="1"/>
      <c r="K483" s="1"/>
      <c r="L483" s="1" t="s">
        <v>916</v>
      </c>
      <c r="M483" s="1" t="s">
        <v>125</v>
      </c>
      <c r="N483" s="1">
        <v>1</v>
      </c>
      <c r="O483" s="1">
        <v>0</v>
      </c>
      <c r="P483" s="1" t="s">
        <v>211</v>
      </c>
      <c r="Q483" s="1" t="s">
        <v>167</v>
      </c>
      <c r="R483" s="1" t="s">
        <v>4396</v>
      </c>
      <c r="S483" s="1" t="s">
        <v>4397</v>
      </c>
      <c r="T483" s="1" t="s">
        <v>107</v>
      </c>
      <c r="U483" s="1" t="s">
        <v>4398</v>
      </c>
      <c r="V483" s="1">
        <v>1</v>
      </c>
      <c r="W483" s="1">
        <v>1</v>
      </c>
      <c r="X483" s="1">
        <v>0</v>
      </c>
      <c r="Y483" s="1">
        <v>1</v>
      </c>
      <c r="Z483" s="1">
        <v>0</v>
      </c>
      <c r="AA483" s="1" t="s">
        <v>109</v>
      </c>
      <c r="AB483" s="1" t="s">
        <v>109</v>
      </c>
      <c r="AC483" s="1">
        <v>8</v>
      </c>
      <c r="AD483" s="1" t="s">
        <v>109</v>
      </c>
      <c r="AE483" s="1" t="s">
        <v>109</v>
      </c>
      <c r="AF483" s="1" t="s">
        <v>109</v>
      </c>
      <c r="AG483" s="1" t="s">
        <v>109</v>
      </c>
      <c r="AH483" s="1" t="s">
        <v>109</v>
      </c>
      <c r="AI483" s="1" t="s">
        <v>109</v>
      </c>
      <c r="AJ483" s="1" t="s">
        <v>109</v>
      </c>
      <c r="AK483" s="1" t="s">
        <v>109</v>
      </c>
      <c r="AL483" s="1">
        <v>8</v>
      </c>
      <c r="AM483" s="1" t="s">
        <v>109</v>
      </c>
      <c r="AN483" s="1" t="s">
        <v>109</v>
      </c>
      <c r="AO483" s="1" t="s">
        <v>109</v>
      </c>
      <c r="AP483" s="1"/>
      <c r="AQ483" s="1">
        <v>8</v>
      </c>
      <c r="AR483" s="1" t="s">
        <v>4399</v>
      </c>
      <c r="AS483" s="1" t="s">
        <v>4400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1</v>
      </c>
      <c r="BL483" s="1">
        <v>0</v>
      </c>
      <c r="BM483" s="1">
        <v>0</v>
      </c>
      <c r="BN483" s="1">
        <v>0</v>
      </c>
      <c r="BO483" s="1">
        <v>0</v>
      </c>
      <c r="BP483" s="1">
        <v>0</v>
      </c>
      <c r="BQ483" s="1">
        <v>0</v>
      </c>
      <c r="BR483" s="1">
        <v>0</v>
      </c>
      <c r="BS483" s="5" t="str">
        <f>HYPERLINK("http://www.d20pfsrd.com/magic/all-spells/s/shield-of-law","Shield of Law")</f>
        <v>Shield of Law</v>
      </c>
      <c r="BT483" s="1">
        <v>484</v>
      </c>
      <c r="BU483" s="1">
        <v>500</v>
      </c>
      <c r="BV483" s="1"/>
      <c r="BW483" s="1"/>
      <c r="BX483" s="1"/>
      <c r="BY483" s="1"/>
      <c r="BZ483" s="1">
        <v>0</v>
      </c>
      <c r="CA483" s="1" t="s">
        <v>109</v>
      </c>
      <c r="CB483" s="1" t="s">
        <v>109</v>
      </c>
      <c r="CC483" s="1" t="s">
        <v>109</v>
      </c>
      <c r="CD483" s="1" t="s">
        <v>109</v>
      </c>
      <c r="CE483" s="1" t="s">
        <v>109</v>
      </c>
      <c r="CF483" s="1" t="s">
        <v>109</v>
      </c>
      <c r="CG483" s="1" t="s">
        <v>109</v>
      </c>
      <c r="CH483" s="1" t="s">
        <v>109</v>
      </c>
      <c r="CI483" s="1" t="s">
        <v>109</v>
      </c>
      <c r="CJ483" s="1" t="s">
        <v>109</v>
      </c>
      <c r="CK483" s="1"/>
      <c r="CL483" s="1">
        <v>0</v>
      </c>
      <c r="CM483" s="1">
        <v>0</v>
      </c>
      <c r="CN483" s="1">
        <v>0</v>
      </c>
    </row>
    <row r="484" spans="1:92" ht="14.25" customHeight="1" x14ac:dyDescent="0.15">
      <c r="A484" s="1" t="s">
        <v>4401</v>
      </c>
      <c r="B484" s="1" t="s">
        <v>242</v>
      </c>
      <c r="C484" s="1"/>
      <c r="D484" s="1"/>
      <c r="E484" s="1" t="s">
        <v>4402</v>
      </c>
      <c r="F484" s="1" t="s">
        <v>98</v>
      </c>
      <c r="G484" s="1" t="s">
        <v>4403</v>
      </c>
      <c r="H484" s="1">
        <v>1</v>
      </c>
      <c r="I484" s="1" t="s">
        <v>142</v>
      </c>
      <c r="J484" s="1"/>
      <c r="K484" s="1"/>
      <c r="L484" s="1" t="s">
        <v>1391</v>
      </c>
      <c r="M484" s="1" t="s">
        <v>815</v>
      </c>
      <c r="N484" s="1">
        <v>1</v>
      </c>
      <c r="O484" s="1">
        <v>0</v>
      </c>
      <c r="P484" s="1" t="s">
        <v>507</v>
      </c>
      <c r="Q484" s="1" t="s">
        <v>167</v>
      </c>
      <c r="R484" s="1" t="s">
        <v>4404</v>
      </c>
      <c r="S484" s="1" t="s">
        <v>4405</v>
      </c>
      <c r="T484" s="1" t="s">
        <v>107</v>
      </c>
      <c r="U484" s="1" t="s">
        <v>4406</v>
      </c>
      <c r="V484" s="1">
        <v>1</v>
      </c>
      <c r="W484" s="1">
        <v>1</v>
      </c>
      <c r="X484" s="1">
        <v>0</v>
      </c>
      <c r="Y484" s="1">
        <v>0</v>
      </c>
      <c r="Z484" s="1">
        <v>0</v>
      </c>
      <c r="AA484" s="1" t="s">
        <v>109</v>
      </c>
      <c r="AB484" s="1" t="s">
        <v>109</v>
      </c>
      <c r="AC484" s="1">
        <v>2</v>
      </c>
      <c r="AD484" s="1" t="s">
        <v>109</v>
      </c>
      <c r="AE484" s="1" t="s">
        <v>109</v>
      </c>
      <c r="AF484" s="1" t="s">
        <v>109</v>
      </c>
      <c r="AG484" s="1">
        <v>2</v>
      </c>
      <c r="AH484" s="1" t="s">
        <v>109</v>
      </c>
      <c r="AI484" s="1" t="s">
        <v>109</v>
      </c>
      <c r="AJ484" s="1" t="s">
        <v>109</v>
      </c>
      <c r="AK484" s="1">
        <v>2</v>
      </c>
      <c r="AL484" s="1">
        <v>2</v>
      </c>
      <c r="AM484" s="1" t="s">
        <v>109</v>
      </c>
      <c r="AN484" s="1" t="s">
        <v>109</v>
      </c>
      <c r="AO484" s="1" t="s">
        <v>109</v>
      </c>
      <c r="AP484" s="1"/>
      <c r="AQ484" s="1">
        <v>2</v>
      </c>
      <c r="AR484" s="1" t="s">
        <v>4407</v>
      </c>
      <c r="AS484" s="1" t="s">
        <v>4408</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5" t="str">
        <f>HYPERLINK("http://www.d20pfsrd.com/magic/all-spells/s/shield-other","Shield Other")</f>
        <v>Shield Other</v>
      </c>
      <c r="BT484" s="1">
        <v>485</v>
      </c>
      <c r="BU484" s="1">
        <v>50</v>
      </c>
      <c r="BV484" s="1"/>
      <c r="BW484" s="1"/>
      <c r="BX484" s="1" t="s">
        <v>4409</v>
      </c>
      <c r="BY484" s="1"/>
      <c r="BZ484" s="1">
        <v>1</v>
      </c>
      <c r="CA484" s="1" t="s">
        <v>109</v>
      </c>
      <c r="CB484" s="1" t="s">
        <v>109</v>
      </c>
      <c r="CC484" s="1">
        <v>2</v>
      </c>
      <c r="CD484" s="1" t="s">
        <v>109</v>
      </c>
      <c r="CE484" s="1" t="s">
        <v>109</v>
      </c>
      <c r="CF484" s="1" t="s">
        <v>109</v>
      </c>
      <c r="CG484" s="1" t="s">
        <v>109</v>
      </c>
      <c r="CH484" s="1" t="s">
        <v>109</v>
      </c>
      <c r="CI484" s="1" t="s">
        <v>109</v>
      </c>
      <c r="CJ484" s="1" t="s">
        <v>109</v>
      </c>
      <c r="CK484" s="1"/>
      <c r="CL484" s="1">
        <v>0</v>
      </c>
      <c r="CM484" s="1">
        <v>0</v>
      </c>
      <c r="CN484" s="1">
        <v>0</v>
      </c>
    </row>
    <row r="485" spans="1:92" ht="14.25" customHeight="1" x14ac:dyDescent="0.15">
      <c r="A485" s="1" t="s">
        <v>4410</v>
      </c>
      <c r="B485" s="1" t="s">
        <v>189</v>
      </c>
      <c r="C485" s="1"/>
      <c r="D485" s="1"/>
      <c r="E485" s="1" t="s">
        <v>4411</v>
      </c>
      <c r="F485" s="1" t="s">
        <v>98</v>
      </c>
      <c r="G485" s="1" t="s">
        <v>160</v>
      </c>
      <c r="H485" s="1">
        <v>0</v>
      </c>
      <c r="I485" s="1" t="s">
        <v>161</v>
      </c>
      <c r="J485" s="1"/>
      <c r="K485" s="1"/>
      <c r="L485" s="1" t="s">
        <v>4412</v>
      </c>
      <c r="M485" s="1" t="s">
        <v>164</v>
      </c>
      <c r="N485" s="1">
        <v>0</v>
      </c>
      <c r="O485" s="1">
        <v>0</v>
      </c>
      <c r="P485" s="1" t="s">
        <v>629</v>
      </c>
      <c r="Q485" s="1" t="s">
        <v>630</v>
      </c>
      <c r="R485" s="1" t="s">
        <v>4413</v>
      </c>
      <c r="S485" s="1" t="s">
        <v>4414</v>
      </c>
      <c r="T485" s="1" t="s">
        <v>107</v>
      </c>
      <c r="U485" s="1" t="s">
        <v>4415</v>
      </c>
      <c r="V485" s="1">
        <v>1</v>
      </c>
      <c r="W485" s="1">
        <v>1</v>
      </c>
      <c r="X485" s="1">
        <v>0</v>
      </c>
      <c r="Y485" s="1">
        <v>0</v>
      </c>
      <c r="Z485" s="1">
        <v>1</v>
      </c>
      <c r="AA485" s="1" t="s">
        <v>109</v>
      </c>
      <c r="AB485" s="1" t="s">
        <v>109</v>
      </c>
      <c r="AC485" s="1" t="s">
        <v>109</v>
      </c>
      <c r="AD485" s="1">
        <v>1</v>
      </c>
      <c r="AE485" s="1" t="s">
        <v>109</v>
      </c>
      <c r="AF485" s="1" t="s">
        <v>109</v>
      </c>
      <c r="AG485" s="1" t="s">
        <v>109</v>
      </c>
      <c r="AH485" s="1" t="s">
        <v>109</v>
      </c>
      <c r="AI485" s="1" t="s">
        <v>109</v>
      </c>
      <c r="AJ485" s="1" t="s">
        <v>109</v>
      </c>
      <c r="AK485" s="1" t="s">
        <v>109</v>
      </c>
      <c r="AL485" s="1" t="s">
        <v>109</v>
      </c>
      <c r="AM485" s="1" t="s">
        <v>109</v>
      </c>
      <c r="AN485" s="1" t="s">
        <v>109</v>
      </c>
      <c r="AO485" s="1" t="s">
        <v>109</v>
      </c>
      <c r="AP485" s="1"/>
      <c r="AQ485" s="1">
        <v>1</v>
      </c>
      <c r="AR485" s="1"/>
      <c r="AS485" s="1" t="s">
        <v>4416</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5" t="str">
        <f>HYPERLINK("http://www.d20pfsrd.com/magic/all-spells/s/shillelagh","Shillelagh")</f>
        <v>Shillelagh</v>
      </c>
      <c r="BT485" s="1">
        <v>486</v>
      </c>
      <c r="BU485" s="1" t="s">
        <v>109</v>
      </c>
      <c r="BV485" s="1"/>
      <c r="BW485" s="1"/>
      <c r="BX485" s="1"/>
      <c r="BY485" s="1"/>
      <c r="BZ485" s="1">
        <v>0</v>
      </c>
      <c r="CA485" s="1" t="s">
        <v>109</v>
      </c>
      <c r="CB485" s="1" t="s">
        <v>109</v>
      </c>
      <c r="CC485" s="1" t="s">
        <v>109</v>
      </c>
      <c r="CD485" s="1" t="s">
        <v>109</v>
      </c>
      <c r="CE485" s="1" t="s">
        <v>109</v>
      </c>
      <c r="CF485" s="1" t="s">
        <v>109</v>
      </c>
      <c r="CG485" s="1" t="s">
        <v>109</v>
      </c>
      <c r="CH485" s="1" t="s">
        <v>109</v>
      </c>
      <c r="CI485" s="1" t="s">
        <v>109</v>
      </c>
      <c r="CJ485" s="1">
        <v>1</v>
      </c>
      <c r="CK485" s="1"/>
      <c r="CL485" s="1">
        <v>0</v>
      </c>
      <c r="CM485" s="1">
        <v>0</v>
      </c>
      <c r="CN485" s="1">
        <v>0</v>
      </c>
    </row>
    <row r="486" spans="1:92" ht="14.25" customHeight="1" x14ac:dyDescent="0.15">
      <c r="A486" s="1" t="s">
        <v>4417</v>
      </c>
      <c r="B486" s="1" t="s">
        <v>189</v>
      </c>
      <c r="C486" s="1"/>
      <c r="D486" s="1"/>
      <c r="E486" s="1" t="s">
        <v>4418</v>
      </c>
      <c r="F486" s="1" t="s">
        <v>98</v>
      </c>
      <c r="G486" s="1" t="s">
        <v>141</v>
      </c>
      <c r="H486" s="1">
        <v>0</v>
      </c>
      <c r="I486" s="1" t="s">
        <v>161</v>
      </c>
      <c r="J486" s="1"/>
      <c r="K486" s="1"/>
      <c r="L486" s="1" t="s">
        <v>4419</v>
      </c>
      <c r="M486" s="1" t="s">
        <v>4420</v>
      </c>
      <c r="N486" s="1">
        <v>0</v>
      </c>
      <c r="O486" s="1">
        <v>0</v>
      </c>
      <c r="P486" s="1" t="s">
        <v>629</v>
      </c>
      <c r="Q486" s="1" t="s">
        <v>630</v>
      </c>
      <c r="R486" s="1" t="s">
        <v>4421</v>
      </c>
      <c r="S486" s="1" t="s">
        <v>4422</v>
      </c>
      <c r="T486" s="1" t="s">
        <v>107</v>
      </c>
      <c r="U486" s="1" t="s">
        <v>4423</v>
      </c>
      <c r="V486" s="1">
        <v>1</v>
      </c>
      <c r="W486" s="1">
        <v>1</v>
      </c>
      <c r="X486" s="1">
        <v>0</v>
      </c>
      <c r="Y486" s="1">
        <v>0</v>
      </c>
      <c r="Z486" s="1">
        <v>0</v>
      </c>
      <c r="AA486" s="1">
        <v>3</v>
      </c>
      <c r="AB486" s="1">
        <v>3</v>
      </c>
      <c r="AC486" s="1" t="s">
        <v>109</v>
      </c>
      <c r="AD486" s="1" t="s">
        <v>109</v>
      </c>
      <c r="AE486" s="1" t="s">
        <v>109</v>
      </c>
      <c r="AF486" s="1" t="s">
        <v>109</v>
      </c>
      <c r="AG486" s="1" t="s">
        <v>109</v>
      </c>
      <c r="AH486" s="1" t="s">
        <v>109</v>
      </c>
      <c r="AI486" s="1" t="s">
        <v>109</v>
      </c>
      <c r="AJ486" s="1" t="s">
        <v>109</v>
      </c>
      <c r="AK486" s="1" t="s">
        <v>109</v>
      </c>
      <c r="AL486" s="1" t="s">
        <v>109</v>
      </c>
      <c r="AM486" s="1" t="s">
        <v>109</v>
      </c>
      <c r="AN486" s="1" t="s">
        <v>109</v>
      </c>
      <c r="AO486" s="1" t="s">
        <v>109</v>
      </c>
      <c r="AP486" s="1"/>
      <c r="AQ486" s="1">
        <v>3</v>
      </c>
      <c r="AR486" s="1"/>
      <c r="AS486" s="1" t="s">
        <v>4424</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5" t="str">
        <f>HYPERLINK("http://www.d20pfsrd.com/magic/all-spells/s/shrink-item","Shrink Item")</f>
        <v>Shrink Item</v>
      </c>
      <c r="BT486" s="1">
        <v>487</v>
      </c>
      <c r="BU486" s="1" t="s">
        <v>109</v>
      </c>
      <c r="BV486" s="1" t="s">
        <v>4425</v>
      </c>
      <c r="BW486" s="1"/>
      <c r="BX486" s="1"/>
      <c r="BY486" s="1"/>
      <c r="BZ486" s="1">
        <v>0</v>
      </c>
      <c r="CA486" s="1" t="s">
        <v>109</v>
      </c>
      <c r="CB486" s="1" t="s">
        <v>109</v>
      </c>
      <c r="CC486" s="1">
        <v>3</v>
      </c>
      <c r="CD486" s="1" t="s">
        <v>109</v>
      </c>
      <c r="CE486" s="1" t="s">
        <v>109</v>
      </c>
      <c r="CF486" s="1">
        <v>3</v>
      </c>
      <c r="CG486" s="1" t="s">
        <v>109</v>
      </c>
      <c r="CH486" s="1" t="s">
        <v>109</v>
      </c>
      <c r="CI486" s="1" t="s">
        <v>109</v>
      </c>
      <c r="CJ486" s="1" t="s">
        <v>109</v>
      </c>
      <c r="CK486" s="1"/>
      <c r="CL486" s="1">
        <v>0</v>
      </c>
      <c r="CM486" s="1">
        <v>0</v>
      </c>
      <c r="CN486" s="1">
        <v>0</v>
      </c>
    </row>
    <row r="487" spans="1:92" ht="14.25" customHeight="1" x14ac:dyDescent="0.15">
      <c r="A487" s="1" t="s">
        <v>4426</v>
      </c>
      <c r="B487" s="1" t="s">
        <v>584</v>
      </c>
      <c r="C487" s="1"/>
      <c r="D487" s="1" t="s">
        <v>55</v>
      </c>
      <c r="E487" s="1" t="s">
        <v>4427</v>
      </c>
      <c r="F487" s="1" t="s">
        <v>98</v>
      </c>
      <c r="G487" s="1" t="s">
        <v>141</v>
      </c>
      <c r="H487" s="1">
        <v>0</v>
      </c>
      <c r="I487" s="1" t="s">
        <v>161</v>
      </c>
      <c r="J487" s="1"/>
      <c r="K487" s="1"/>
      <c r="L487" s="1" t="s">
        <v>3434</v>
      </c>
      <c r="M487" s="1" t="s">
        <v>144</v>
      </c>
      <c r="N487" s="1">
        <v>0</v>
      </c>
      <c r="O487" s="1">
        <v>0</v>
      </c>
      <c r="P487" s="1" t="s">
        <v>103</v>
      </c>
      <c r="Q487" s="1" t="s">
        <v>268</v>
      </c>
      <c r="R487" s="1" t="s">
        <v>4428</v>
      </c>
      <c r="S487" s="1" t="s">
        <v>4429</v>
      </c>
      <c r="T487" s="1" t="s">
        <v>107</v>
      </c>
      <c r="U487" s="1" t="s">
        <v>4430</v>
      </c>
      <c r="V487" s="1">
        <v>1</v>
      </c>
      <c r="W487" s="1">
        <v>1</v>
      </c>
      <c r="X487" s="1">
        <v>0</v>
      </c>
      <c r="Y487" s="1">
        <v>0</v>
      </c>
      <c r="Z487" s="1">
        <v>0</v>
      </c>
      <c r="AA487" s="1">
        <v>1</v>
      </c>
      <c r="AB487" s="1">
        <v>1</v>
      </c>
      <c r="AC487" s="1" t="s">
        <v>109</v>
      </c>
      <c r="AD487" s="1" t="s">
        <v>109</v>
      </c>
      <c r="AE487" s="1" t="s">
        <v>109</v>
      </c>
      <c r="AF487" s="1" t="s">
        <v>109</v>
      </c>
      <c r="AG487" s="1" t="s">
        <v>109</v>
      </c>
      <c r="AH487" s="1" t="s">
        <v>109</v>
      </c>
      <c r="AI487" s="1" t="s">
        <v>109</v>
      </c>
      <c r="AJ487" s="1" t="s">
        <v>109</v>
      </c>
      <c r="AK487" s="1" t="s">
        <v>109</v>
      </c>
      <c r="AL487" s="1" t="s">
        <v>109</v>
      </c>
      <c r="AM487" s="1" t="s">
        <v>109</v>
      </c>
      <c r="AN487" s="1">
        <v>1</v>
      </c>
      <c r="AO487" s="1" t="s">
        <v>109</v>
      </c>
      <c r="AP487" s="1"/>
      <c r="AQ487" s="1">
        <v>1</v>
      </c>
      <c r="AR487" s="1"/>
      <c r="AS487" s="1" t="s">
        <v>4431</v>
      </c>
      <c r="AT487" s="1">
        <v>0</v>
      </c>
      <c r="AU487" s="1">
        <v>0</v>
      </c>
      <c r="AV487" s="1">
        <v>0</v>
      </c>
      <c r="AW487" s="1">
        <v>0</v>
      </c>
      <c r="AX487" s="1">
        <v>0</v>
      </c>
      <c r="AY487" s="1">
        <v>0</v>
      </c>
      <c r="AZ487" s="1">
        <v>0</v>
      </c>
      <c r="BA487" s="1">
        <v>0</v>
      </c>
      <c r="BB487" s="1">
        <v>0</v>
      </c>
      <c r="BC487" s="1">
        <v>1</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5" t="str">
        <f>HYPERLINK("http://www.d20pfsrd.com/magic/all-spells/s/shocking-grasp","Shocking Grasp")</f>
        <v>Shocking Grasp</v>
      </c>
      <c r="BT487" s="1">
        <v>488</v>
      </c>
      <c r="BU487" s="1" t="s">
        <v>109</v>
      </c>
      <c r="BV487" s="1" t="s">
        <v>4432</v>
      </c>
      <c r="BW487" s="1" t="s">
        <v>4433</v>
      </c>
      <c r="BX487" s="1" t="s">
        <v>4434</v>
      </c>
      <c r="BY487" s="1" t="s">
        <v>4435</v>
      </c>
      <c r="BZ487" s="1">
        <v>1</v>
      </c>
      <c r="CA487" s="1">
        <v>1</v>
      </c>
      <c r="CB487" s="1" t="s">
        <v>109</v>
      </c>
      <c r="CC487" s="1" t="s">
        <v>109</v>
      </c>
      <c r="CD487" s="1" t="s">
        <v>109</v>
      </c>
      <c r="CE487" s="1" t="s">
        <v>109</v>
      </c>
      <c r="CF487" s="1">
        <v>1</v>
      </c>
      <c r="CG487" s="1" t="s">
        <v>109</v>
      </c>
      <c r="CH487" s="1" t="s">
        <v>109</v>
      </c>
      <c r="CI487" s="1" t="s">
        <v>109</v>
      </c>
      <c r="CJ487" s="1" t="s">
        <v>109</v>
      </c>
      <c r="CK487" s="1"/>
      <c r="CL487" s="1">
        <v>0</v>
      </c>
      <c r="CM487" s="1">
        <v>0</v>
      </c>
      <c r="CN487" s="1">
        <v>0</v>
      </c>
    </row>
    <row r="488" spans="1:92" ht="14.25" customHeight="1" x14ac:dyDescent="0.15">
      <c r="A488" s="1" t="s">
        <v>4436</v>
      </c>
      <c r="B488" s="1" t="s">
        <v>584</v>
      </c>
      <c r="C488" s="1"/>
      <c r="D488" s="1" t="s">
        <v>69</v>
      </c>
      <c r="E488" s="1" t="s">
        <v>4437</v>
      </c>
      <c r="F488" s="1" t="s">
        <v>98</v>
      </c>
      <c r="G488" s="1" t="s">
        <v>333</v>
      </c>
      <c r="H488" s="1">
        <v>0</v>
      </c>
      <c r="I488" s="1" t="s">
        <v>1192</v>
      </c>
      <c r="J488" s="1" t="s">
        <v>726</v>
      </c>
      <c r="K488" s="1"/>
      <c r="L488" s="1"/>
      <c r="M488" s="1" t="s">
        <v>144</v>
      </c>
      <c r="N488" s="1">
        <v>0</v>
      </c>
      <c r="O488" s="1">
        <v>0</v>
      </c>
      <c r="P488" s="1" t="s">
        <v>4438</v>
      </c>
      <c r="Q488" s="1" t="s">
        <v>630</v>
      </c>
      <c r="R488" s="1" t="s">
        <v>4439</v>
      </c>
      <c r="S488" s="1" t="s">
        <v>4440</v>
      </c>
      <c r="T488" s="1" t="s">
        <v>107</v>
      </c>
      <c r="U488" s="1" t="s">
        <v>4441</v>
      </c>
      <c r="V488" s="1">
        <v>1</v>
      </c>
      <c r="W488" s="1">
        <v>0</v>
      </c>
      <c r="X488" s="1">
        <v>0</v>
      </c>
      <c r="Y488" s="1">
        <v>0</v>
      </c>
      <c r="Z488" s="1">
        <v>0</v>
      </c>
      <c r="AA488" s="1">
        <v>4</v>
      </c>
      <c r="AB488" s="1">
        <v>4</v>
      </c>
      <c r="AC488" s="1" t="s">
        <v>109</v>
      </c>
      <c r="AD488" s="1" t="s">
        <v>109</v>
      </c>
      <c r="AE488" s="1" t="s">
        <v>109</v>
      </c>
      <c r="AF488" s="1">
        <v>4</v>
      </c>
      <c r="AG488" s="1" t="s">
        <v>109</v>
      </c>
      <c r="AH488" s="1" t="s">
        <v>109</v>
      </c>
      <c r="AI488" s="1" t="s">
        <v>109</v>
      </c>
      <c r="AJ488" s="1" t="s">
        <v>109</v>
      </c>
      <c r="AK488" s="1" t="s">
        <v>109</v>
      </c>
      <c r="AL488" s="1" t="s">
        <v>109</v>
      </c>
      <c r="AM488" s="1" t="s">
        <v>109</v>
      </c>
      <c r="AN488" s="1">
        <v>4</v>
      </c>
      <c r="AO488" s="1" t="s">
        <v>109</v>
      </c>
      <c r="AP488" s="1"/>
      <c r="AQ488" s="1">
        <v>4</v>
      </c>
      <c r="AR488" s="1" t="s">
        <v>4442</v>
      </c>
      <c r="AS488" s="1" t="s">
        <v>4443</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1</v>
      </c>
      <c r="BR488" s="1">
        <v>0</v>
      </c>
      <c r="BS488" s="5" t="str">
        <f>HYPERLINK("http://www.d20pfsrd.com/magic/all-spells/s/shout","Shout")</f>
        <v>Shout</v>
      </c>
      <c r="BT488" s="1">
        <v>489</v>
      </c>
      <c r="BU488" s="1" t="s">
        <v>109</v>
      </c>
      <c r="BV488" s="1" t="s">
        <v>4444</v>
      </c>
      <c r="BW488" s="1" t="s">
        <v>4445</v>
      </c>
      <c r="BX488" s="1" t="s">
        <v>4446</v>
      </c>
      <c r="BY488" s="1"/>
      <c r="BZ488" s="1">
        <v>1</v>
      </c>
      <c r="CA488" s="1">
        <v>4</v>
      </c>
      <c r="CB488" s="1" t="s">
        <v>109</v>
      </c>
      <c r="CC488" s="1">
        <v>4</v>
      </c>
      <c r="CD488" s="1" t="s">
        <v>109</v>
      </c>
      <c r="CE488" s="1" t="s">
        <v>109</v>
      </c>
      <c r="CF488" s="1">
        <v>4</v>
      </c>
      <c r="CG488" s="1" t="s">
        <v>109</v>
      </c>
      <c r="CH488" s="1" t="s">
        <v>109</v>
      </c>
      <c r="CI488" s="1" t="s">
        <v>109</v>
      </c>
      <c r="CJ488" s="1" t="s">
        <v>109</v>
      </c>
      <c r="CK488" s="1"/>
      <c r="CL488" s="1">
        <v>0</v>
      </c>
      <c r="CM488" s="1">
        <v>0</v>
      </c>
      <c r="CN488" s="1">
        <v>0</v>
      </c>
    </row>
    <row r="489" spans="1:92" ht="14.25" customHeight="1" x14ac:dyDescent="0.15">
      <c r="A489" s="1" t="s">
        <v>4447</v>
      </c>
      <c r="B489" s="1" t="s">
        <v>584</v>
      </c>
      <c r="C489" s="1"/>
      <c r="D489" s="1" t="s">
        <v>69</v>
      </c>
      <c r="E489" s="1" t="s">
        <v>4448</v>
      </c>
      <c r="F489" s="1" t="s">
        <v>98</v>
      </c>
      <c r="G489" s="1" t="s">
        <v>4449</v>
      </c>
      <c r="H489" s="1">
        <v>0</v>
      </c>
      <c r="I489" s="1" t="s">
        <v>1016</v>
      </c>
      <c r="J489" s="1" t="s">
        <v>726</v>
      </c>
      <c r="K489" s="1"/>
      <c r="L489" s="1"/>
      <c r="M489" s="1" t="s">
        <v>144</v>
      </c>
      <c r="N489" s="1">
        <v>0</v>
      </c>
      <c r="O489" s="1">
        <v>0</v>
      </c>
      <c r="P489" s="1" t="s">
        <v>4438</v>
      </c>
      <c r="Q489" s="1" t="s">
        <v>630</v>
      </c>
      <c r="R489" s="1" t="s">
        <v>4450</v>
      </c>
      <c r="S489" s="1" t="s">
        <v>4451</v>
      </c>
      <c r="T489" s="1" t="s">
        <v>107</v>
      </c>
      <c r="U489" s="1" t="s">
        <v>4452</v>
      </c>
      <c r="V489" s="1">
        <v>1</v>
      </c>
      <c r="W489" s="1">
        <v>1</v>
      </c>
      <c r="X489" s="1">
        <v>0</v>
      </c>
      <c r="Y489" s="1">
        <v>1</v>
      </c>
      <c r="Z489" s="1">
        <v>0</v>
      </c>
      <c r="AA489" s="1">
        <v>8</v>
      </c>
      <c r="AB489" s="1">
        <v>8</v>
      </c>
      <c r="AC489" s="1" t="s">
        <v>109</v>
      </c>
      <c r="AD489" s="1" t="s">
        <v>109</v>
      </c>
      <c r="AE489" s="1" t="s">
        <v>109</v>
      </c>
      <c r="AF489" s="1">
        <v>6</v>
      </c>
      <c r="AG489" s="1" t="s">
        <v>109</v>
      </c>
      <c r="AH489" s="1" t="s">
        <v>109</v>
      </c>
      <c r="AI489" s="1" t="s">
        <v>109</v>
      </c>
      <c r="AJ489" s="1" t="s">
        <v>109</v>
      </c>
      <c r="AK489" s="1" t="s">
        <v>109</v>
      </c>
      <c r="AL489" s="1" t="s">
        <v>109</v>
      </c>
      <c r="AM489" s="1" t="s">
        <v>109</v>
      </c>
      <c r="AN489" s="1" t="s">
        <v>109</v>
      </c>
      <c r="AO489" s="1" t="s">
        <v>109</v>
      </c>
      <c r="AP489" s="1"/>
      <c r="AQ489" s="1">
        <v>8</v>
      </c>
      <c r="AR489" s="1"/>
      <c r="AS489" s="1" t="s">
        <v>4453</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1</v>
      </c>
      <c r="BR489" s="1">
        <v>0</v>
      </c>
      <c r="BS489" s="5" t="str">
        <f>HYPERLINK("http://www.d20pfsrd.com/magic/all-spells/s/shout","Shout, Greater")</f>
        <v>Shout, Greater</v>
      </c>
      <c r="BT489" s="1">
        <v>490</v>
      </c>
      <c r="BU489" s="1" t="s">
        <v>109</v>
      </c>
      <c r="BV489" s="1" t="s">
        <v>4454</v>
      </c>
      <c r="BW489" s="1"/>
      <c r="BX489" s="1"/>
      <c r="BY489" s="1"/>
      <c r="BZ489" s="1">
        <v>0</v>
      </c>
      <c r="CA489" s="1" t="s">
        <v>109</v>
      </c>
      <c r="CB489" s="1" t="s">
        <v>109</v>
      </c>
      <c r="CC489" s="1">
        <v>8</v>
      </c>
      <c r="CD489" s="1" t="s">
        <v>109</v>
      </c>
      <c r="CE489" s="1" t="s">
        <v>109</v>
      </c>
      <c r="CF489" s="1" t="s">
        <v>109</v>
      </c>
      <c r="CG489" s="1" t="s">
        <v>109</v>
      </c>
      <c r="CH489" s="1" t="s">
        <v>109</v>
      </c>
      <c r="CI489" s="1" t="s">
        <v>109</v>
      </c>
      <c r="CJ489" s="1" t="s">
        <v>109</v>
      </c>
      <c r="CK489" s="1"/>
      <c r="CL489" s="1">
        <v>0</v>
      </c>
      <c r="CM489" s="1">
        <v>0</v>
      </c>
      <c r="CN489" s="1">
        <v>0</v>
      </c>
    </row>
    <row r="490" spans="1:92" ht="14.25" customHeight="1" x14ac:dyDescent="0.15">
      <c r="A490" s="1" t="s">
        <v>4455</v>
      </c>
      <c r="B490" s="1" t="s">
        <v>674</v>
      </c>
      <c r="C490" s="1" t="s">
        <v>675</v>
      </c>
      <c r="D490" s="1"/>
      <c r="E490" s="1" t="s">
        <v>4456</v>
      </c>
      <c r="F490" s="1" t="s">
        <v>355</v>
      </c>
      <c r="G490" s="1" t="s">
        <v>141</v>
      </c>
      <c r="H490" s="1">
        <v>0</v>
      </c>
      <c r="I490" s="1" t="s">
        <v>100</v>
      </c>
      <c r="J490" s="1" t="s">
        <v>4457</v>
      </c>
      <c r="K490" s="1"/>
      <c r="L490" s="1"/>
      <c r="M490" s="1" t="s">
        <v>574</v>
      </c>
      <c r="N490" s="1">
        <v>1</v>
      </c>
      <c r="O490" s="1">
        <v>0</v>
      </c>
      <c r="P490" s="1" t="s">
        <v>4458</v>
      </c>
      <c r="Q490" s="1" t="s">
        <v>4459</v>
      </c>
      <c r="R490" s="1" t="s">
        <v>4460</v>
      </c>
      <c r="S490" s="1" t="s">
        <v>4461</v>
      </c>
      <c r="T490" s="1" t="s">
        <v>107</v>
      </c>
      <c r="U490" s="1" t="s">
        <v>4462</v>
      </c>
      <c r="V490" s="1">
        <v>1</v>
      </c>
      <c r="W490" s="1">
        <v>1</v>
      </c>
      <c r="X490" s="1">
        <v>0</v>
      </c>
      <c r="Y490" s="1">
        <v>0</v>
      </c>
      <c r="Z490" s="1">
        <v>0</v>
      </c>
      <c r="AA490" s="1" t="s">
        <v>109</v>
      </c>
      <c r="AB490" s="1" t="s">
        <v>109</v>
      </c>
      <c r="AC490" s="1">
        <v>2</v>
      </c>
      <c r="AD490" s="1" t="s">
        <v>109</v>
      </c>
      <c r="AE490" s="1" t="s">
        <v>109</v>
      </c>
      <c r="AF490" s="1">
        <v>2</v>
      </c>
      <c r="AG490" s="1" t="s">
        <v>109</v>
      </c>
      <c r="AH490" s="1" t="s">
        <v>109</v>
      </c>
      <c r="AI490" s="1" t="s">
        <v>109</v>
      </c>
      <c r="AJ490" s="1" t="s">
        <v>109</v>
      </c>
      <c r="AK490" s="1">
        <v>2</v>
      </c>
      <c r="AL490" s="1">
        <v>2</v>
      </c>
      <c r="AM490" s="1">
        <v>2</v>
      </c>
      <c r="AN490" s="1" t="s">
        <v>109</v>
      </c>
      <c r="AO490" s="1" t="s">
        <v>109</v>
      </c>
      <c r="AP490" s="1"/>
      <c r="AQ490" s="1">
        <v>2</v>
      </c>
      <c r="AR490" s="1" t="s">
        <v>4463</v>
      </c>
      <c r="AS490" s="1" t="s">
        <v>4464</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5" t="str">
        <f>HYPERLINK("http://www.d20pfsrd.com/magic/all-spells/s/silence","Silence")</f>
        <v>Silence</v>
      </c>
      <c r="BT490" s="1">
        <v>491</v>
      </c>
      <c r="BU490" s="1" t="s">
        <v>109</v>
      </c>
      <c r="BV490" s="1"/>
      <c r="BW490" s="1" t="s">
        <v>4465</v>
      </c>
      <c r="BX490" s="1" t="s">
        <v>4466</v>
      </c>
      <c r="BY490" s="1"/>
      <c r="BZ490" s="1">
        <v>1</v>
      </c>
      <c r="CA490" s="1" t="s">
        <v>109</v>
      </c>
      <c r="CB490" s="1" t="s">
        <v>109</v>
      </c>
      <c r="CC490" s="1">
        <v>2</v>
      </c>
      <c r="CD490" s="1" t="s">
        <v>109</v>
      </c>
      <c r="CE490" s="1">
        <v>2</v>
      </c>
      <c r="CF490" s="1" t="s">
        <v>109</v>
      </c>
      <c r="CG490" s="1" t="s">
        <v>109</v>
      </c>
      <c r="CH490" s="1" t="s">
        <v>109</v>
      </c>
      <c r="CI490" s="1" t="s">
        <v>109</v>
      </c>
      <c r="CJ490" s="1" t="s">
        <v>109</v>
      </c>
      <c r="CK490" s="1"/>
      <c r="CL490" s="1">
        <v>0</v>
      </c>
      <c r="CM490" s="1">
        <v>0</v>
      </c>
      <c r="CN490" s="1">
        <v>0</v>
      </c>
    </row>
    <row r="491" spans="1:92" ht="14.25" customHeight="1" x14ac:dyDescent="0.15">
      <c r="A491" s="1" t="s">
        <v>4467</v>
      </c>
      <c r="B491" s="1" t="s">
        <v>674</v>
      </c>
      <c r="C491" s="1" t="s">
        <v>2300</v>
      </c>
      <c r="D491" s="1"/>
      <c r="E491" s="1" t="s">
        <v>4468</v>
      </c>
      <c r="F491" s="1" t="s">
        <v>98</v>
      </c>
      <c r="G491" s="1" t="s">
        <v>3225</v>
      </c>
      <c r="H491" s="1">
        <v>0</v>
      </c>
      <c r="I491" s="1" t="s">
        <v>100</v>
      </c>
      <c r="J491" s="1"/>
      <c r="K491" s="1" t="s">
        <v>4469</v>
      </c>
      <c r="L491" s="1"/>
      <c r="M491" s="1" t="s">
        <v>300</v>
      </c>
      <c r="N491" s="1">
        <v>0</v>
      </c>
      <c r="O491" s="1">
        <v>0</v>
      </c>
      <c r="P491" s="1" t="s">
        <v>2465</v>
      </c>
      <c r="Q491" s="1" t="s">
        <v>104</v>
      </c>
      <c r="R491" s="1" t="s">
        <v>4470</v>
      </c>
      <c r="S491" s="1" t="s">
        <v>4471</v>
      </c>
      <c r="T491" s="1" t="s">
        <v>107</v>
      </c>
      <c r="U491" s="1" t="s">
        <v>4472</v>
      </c>
      <c r="V491" s="1">
        <v>1</v>
      </c>
      <c r="W491" s="1">
        <v>1</v>
      </c>
      <c r="X491" s="1">
        <v>0</v>
      </c>
      <c r="Y491" s="1">
        <v>0</v>
      </c>
      <c r="Z491" s="1">
        <v>0</v>
      </c>
      <c r="AA491" s="1">
        <v>1</v>
      </c>
      <c r="AB491" s="1">
        <v>1</v>
      </c>
      <c r="AC491" s="1" t="s">
        <v>109</v>
      </c>
      <c r="AD491" s="1" t="s">
        <v>109</v>
      </c>
      <c r="AE491" s="1" t="s">
        <v>109</v>
      </c>
      <c r="AF491" s="1">
        <v>1</v>
      </c>
      <c r="AG491" s="1" t="s">
        <v>109</v>
      </c>
      <c r="AH491" s="1" t="s">
        <v>109</v>
      </c>
      <c r="AI491" s="1" t="s">
        <v>109</v>
      </c>
      <c r="AJ491" s="1" t="s">
        <v>109</v>
      </c>
      <c r="AK491" s="1" t="s">
        <v>109</v>
      </c>
      <c r="AL491" s="1" t="s">
        <v>109</v>
      </c>
      <c r="AM491" s="1" t="s">
        <v>109</v>
      </c>
      <c r="AN491" s="1">
        <v>1</v>
      </c>
      <c r="AO491" s="1" t="s">
        <v>109</v>
      </c>
      <c r="AP491" s="1"/>
      <c r="AQ491" s="1">
        <v>1</v>
      </c>
      <c r="AR491" s="1" t="s">
        <v>4473</v>
      </c>
      <c r="AS491" s="1" t="s">
        <v>4474</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5" t="str">
        <f>HYPERLINK("http://www.d20pfsrd.com/magic/all-spells/s/silent-image","Silent Image")</f>
        <v>Silent Image</v>
      </c>
      <c r="BT491" s="1">
        <v>492</v>
      </c>
      <c r="BU491" s="1" t="s">
        <v>109</v>
      </c>
      <c r="BV491" s="1"/>
      <c r="BW491" s="1" t="s">
        <v>4475</v>
      </c>
      <c r="BX491" s="1" t="s">
        <v>4476</v>
      </c>
      <c r="BY491" s="1" t="s">
        <v>4477</v>
      </c>
      <c r="BZ491" s="1">
        <v>1</v>
      </c>
      <c r="CA491" s="1" t="s">
        <v>109</v>
      </c>
      <c r="CB491" s="1" t="s">
        <v>109</v>
      </c>
      <c r="CC491" s="1">
        <v>1</v>
      </c>
      <c r="CD491" s="1" t="s">
        <v>109</v>
      </c>
      <c r="CE491" s="1">
        <v>1</v>
      </c>
      <c r="CF491" s="1">
        <v>1</v>
      </c>
      <c r="CG491" s="1" t="s">
        <v>109</v>
      </c>
      <c r="CH491" s="1" t="s">
        <v>109</v>
      </c>
      <c r="CI491" s="1" t="s">
        <v>109</v>
      </c>
      <c r="CJ491" s="1" t="s">
        <v>109</v>
      </c>
      <c r="CK491" s="1"/>
      <c r="CL491" s="1">
        <v>0</v>
      </c>
      <c r="CM491" s="1">
        <v>0</v>
      </c>
      <c r="CN491" s="1">
        <v>0</v>
      </c>
    </row>
    <row r="492" spans="1:92" ht="14.25" customHeight="1" x14ac:dyDescent="0.15">
      <c r="A492" s="1" t="s">
        <v>4478</v>
      </c>
      <c r="B492" s="1" t="s">
        <v>674</v>
      </c>
      <c r="C492" s="1" t="s">
        <v>68</v>
      </c>
      <c r="D492" s="1"/>
      <c r="E492" s="1" t="s">
        <v>4288</v>
      </c>
      <c r="F492" s="1" t="s">
        <v>4266</v>
      </c>
      <c r="G492" s="1" t="s">
        <v>4479</v>
      </c>
      <c r="H492" s="1">
        <v>1</v>
      </c>
      <c r="I492" s="1" t="s">
        <v>925</v>
      </c>
      <c r="J492" s="1"/>
      <c r="K492" s="1" t="s">
        <v>4480</v>
      </c>
      <c r="L492" s="1"/>
      <c r="M492" s="1" t="s">
        <v>144</v>
      </c>
      <c r="N492" s="1">
        <v>0</v>
      </c>
      <c r="O492" s="1">
        <v>0</v>
      </c>
      <c r="P492" s="1" t="s">
        <v>103</v>
      </c>
      <c r="Q492" s="1" t="s">
        <v>104</v>
      </c>
      <c r="R492" s="1" t="s">
        <v>4481</v>
      </c>
      <c r="S492" s="1" t="s">
        <v>4482</v>
      </c>
      <c r="T492" s="1" t="s">
        <v>107</v>
      </c>
      <c r="U492" s="1" t="s">
        <v>4483</v>
      </c>
      <c r="V492" s="1">
        <v>1</v>
      </c>
      <c r="W492" s="1">
        <v>1</v>
      </c>
      <c r="X492" s="1">
        <v>1</v>
      </c>
      <c r="Y492" s="1">
        <v>0</v>
      </c>
      <c r="Z492" s="1">
        <v>0</v>
      </c>
      <c r="AA492" s="1">
        <v>7</v>
      </c>
      <c r="AB492" s="1">
        <v>7</v>
      </c>
      <c r="AC492" s="1" t="s">
        <v>109</v>
      </c>
      <c r="AD492" s="1" t="s">
        <v>109</v>
      </c>
      <c r="AE492" s="1" t="s">
        <v>109</v>
      </c>
      <c r="AF492" s="1" t="s">
        <v>109</v>
      </c>
      <c r="AG492" s="1" t="s">
        <v>109</v>
      </c>
      <c r="AH492" s="1" t="s">
        <v>109</v>
      </c>
      <c r="AI492" s="1">
        <v>5</v>
      </c>
      <c r="AJ492" s="1" t="s">
        <v>109</v>
      </c>
      <c r="AK492" s="1" t="s">
        <v>109</v>
      </c>
      <c r="AL492" s="1" t="s">
        <v>109</v>
      </c>
      <c r="AM492" s="1" t="s">
        <v>109</v>
      </c>
      <c r="AN492" s="1" t="s">
        <v>109</v>
      </c>
      <c r="AO492" s="1" t="s">
        <v>109</v>
      </c>
      <c r="AP492" s="1"/>
      <c r="AQ492" s="1">
        <v>7</v>
      </c>
      <c r="AR492" s="1"/>
      <c r="AS492" s="1" t="s">
        <v>4484</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5" t="str">
        <f>HYPERLINK("http://www.d20pfsrd.com/magic/all-spells/s/simulacrum","Simulacrum")</f>
        <v>Simulacrum</v>
      </c>
      <c r="BT492" s="1">
        <v>493</v>
      </c>
      <c r="BU492" s="1">
        <v>500</v>
      </c>
      <c r="BV492" s="1"/>
      <c r="BW492" s="1"/>
      <c r="BX492" s="1"/>
      <c r="BY492" s="1"/>
      <c r="BZ492" s="1">
        <v>0</v>
      </c>
      <c r="CA492" s="1" t="s">
        <v>109</v>
      </c>
      <c r="CB492" s="1" t="s">
        <v>109</v>
      </c>
      <c r="CC492" s="1">
        <v>7</v>
      </c>
      <c r="CD492" s="1" t="s">
        <v>109</v>
      </c>
      <c r="CE492" s="1" t="s">
        <v>109</v>
      </c>
      <c r="CF492" s="1" t="s">
        <v>109</v>
      </c>
      <c r="CG492" s="1" t="s">
        <v>109</v>
      </c>
      <c r="CH492" s="1" t="s">
        <v>109</v>
      </c>
      <c r="CI492" s="1" t="s">
        <v>109</v>
      </c>
      <c r="CJ492" s="1" t="s">
        <v>109</v>
      </c>
      <c r="CK492" s="1"/>
      <c r="CL492" s="1">
        <v>0</v>
      </c>
      <c r="CM492" s="1">
        <v>0</v>
      </c>
      <c r="CN492" s="1">
        <v>0</v>
      </c>
    </row>
    <row r="493" spans="1:92" ht="14.25" customHeight="1" x14ac:dyDescent="0.15">
      <c r="A493" s="1" t="s">
        <v>4485</v>
      </c>
      <c r="B493" s="1" t="s">
        <v>308</v>
      </c>
      <c r="C493" s="1"/>
      <c r="D493" s="1" t="s">
        <v>52</v>
      </c>
      <c r="E493" s="1" t="s">
        <v>4486</v>
      </c>
      <c r="F493" s="1" t="s">
        <v>98</v>
      </c>
      <c r="G493" s="1" t="s">
        <v>141</v>
      </c>
      <c r="H493" s="1">
        <v>0</v>
      </c>
      <c r="I493" s="1" t="s">
        <v>161</v>
      </c>
      <c r="J493" s="1"/>
      <c r="K493" s="1"/>
      <c r="L493" s="1" t="s">
        <v>162</v>
      </c>
      <c r="M493" s="1" t="s">
        <v>144</v>
      </c>
      <c r="N493" s="1">
        <v>0</v>
      </c>
      <c r="O493" s="1">
        <v>0</v>
      </c>
      <c r="P493" s="1" t="s">
        <v>1410</v>
      </c>
      <c r="Q493" s="1" t="s">
        <v>268</v>
      </c>
      <c r="R493" s="1" t="s">
        <v>4487</v>
      </c>
      <c r="S493" s="1" t="s">
        <v>4488</v>
      </c>
      <c r="T493" s="1" t="s">
        <v>107</v>
      </c>
      <c r="U493" s="1" t="s">
        <v>4489</v>
      </c>
      <c r="V493" s="1">
        <v>1</v>
      </c>
      <c r="W493" s="1">
        <v>1</v>
      </c>
      <c r="X493" s="1">
        <v>0</v>
      </c>
      <c r="Y493" s="1">
        <v>0</v>
      </c>
      <c r="Z493" s="1">
        <v>0</v>
      </c>
      <c r="AA493" s="1" t="s">
        <v>109</v>
      </c>
      <c r="AB493" s="1" t="s">
        <v>109</v>
      </c>
      <c r="AC493" s="1">
        <v>5</v>
      </c>
      <c r="AD493" s="1" t="s">
        <v>109</v>
      </c>
      <c r="AE493" s="1" t="s">
        <v>109</v>
      </c>
      <c r="AF493" s="1" t="s">
        <v>109</v>
      </c>
      <c r="AG493" s="1" t="s">
        <v>109</v>
      </c>
      <c r="AH493" s="1" t="s">
        <v>109</v>
      </c>
      <c r="AI493" s="1" t="s">
        <v>109</v>
      </c>
      <c r="AJ493" s="1">
        <v>6</v>
      </c>
      <c r="AK493" s="1" t="s">
        <v>109</v>
      </c>
      <c r="AL493" s="1">
        <v>5</v>
      </c>
      <c r="AM493" s="1">
        <v>4</v>
      </c>
      <c r="AN493" s="1" t="s">
        <v>109</v>
      </c>
      <c r="AO493" s="1" t="s">
        <v>109</v>
      </c>
      <c r="AP493" s="1"/>
      <c r="AQ493" s="1">
        <v>5</v>
      </c>
      <c r="AR493" s="1" t="s">
        <v>4490</v>
      </c>
      <c r="AS493" s="1" t="s">
        <v>4491</v>
      </c>
      <c r="AT493" s="1">
        <v>0</v>
      </c>
      <c r="AU493" s="1">
        <v>0</v>
      </c>
      <c r="AV493" s="1">
        <v>0</v>
      </c>
      <c r="AW493" s="1">
        <v>0</v>
      </c>
      <c r="AX493" s="1">
        <v>0</v>
      </c>
      <c r="AY493" s="1">
        <v>0</v>
      </c>
      <c r="AZ493" s="1">
        <v>1</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5" t="str">
        <f>HYPERLINK("http://www.d20pfsrd.com/magic/all-spells/s/slay-living","Slay Living")</f>
        <v>Slay Living</v>
      </c>
      <c r="BT493" s="1">
        <v>494</v>
      </c>
      <c r="BU493" s="1" t="s">
        <v>109</v>
      </c>
      <c r="BV493" s="1"/>
      <c r="BW493" s="1"/>
      <c r="BX493" s="1"/>
      <c r="BY493" s="1"/>
      <c r="BZ493" s="1">
        <v>0</v>
      </c>
      <c r="CA493" s="1" t="s">
        <v>109</v>
      </c>
      <c r="CB493" s="1">
        <v>6</v>
      </c>
      <c r="CC493" s="1" t="s">
        <v>109</v>
      </c>
      <c r="CD493" s="1" t="s">
        <v>109</v>
      </c>
      <c r="CE493" s="1" t="s">
        <v>109</v>
      </c>
      <c r="CF493" s="1" t="s">
        <v>109</v>
      </c>
      <c r="CG493" s="1">
        <v>5</v>
      </c>
      <c r="CH493" s="1" t="s">
        <v>109</v>
      </c>
      <c r="CI493" s="1" t="s">
        <v>109</v>
      </c>
      <c r="CJ493" s="1" t="s">
        <v>109</v>
      </c>
      <c r="CK493" s="1"/>
      <c r="CL493" s="1">
        <v>0</v>
      </c>
      <c r="CM493" s="1">
        <v>0</v>
      </c>
      <c r="CN493" s="1">
        <v>0</v>
      </c>
    </row>
    <row r="494" spans="1:92" ht="14.25" customHeight="1" x14ac:dyDescent="0.15">
      <c r="A494" s="1" t="s">
        <v>4492</v>
      </c>
      <c r="B494" s="1" t="s">
        <v>156</v>
      </c>
      <c r="C494" s="1" t="s">
        <v>157</v>
      </c>
      <c r="D494" s="1" t="s">
        <v>158</v>
      </c>
      <c r="E494" s="1" t="s">
        <v>835</v>
      </c>
      <c r="F494" s="1" t="s">
        <v>355</v>
      </c>
      <c r="G494" s="1" t="s">
        <v>1362</v>
      </c>
      <c r="H494" s="1">
        <v>0</v>
      </c>
      <c r="I494" s="1" t="s">
        <v>122</v>
      </c>
      <c r="J494" s="1" t="s">
        <v>1363</v>
      </c>
      <c r="K494" s="1"/>
      <c r="L494" s="1"/>
      <c r="M494" s="1" t="s">
        <v>164</v>
      </c>
      <c r="N494" s="1">
        <v>0</v>
      </c>
      <c r="O494" s="1">
        <v>0</v>
      </c>
      <c r="P494" s="1" t="s">
        <v>301</v>
      </c>
      <c r="Q494" s="1" t="s">
        <v>268</v>
      </c>
      <c r="R494" s="1" t="s">
        <v>4493</v>
      </c>
      <c r="S494" s="1" t="s">
        <v>4494</v>
      </c>
      <c r="T494" s="1" t="s">
        <v>107</v>
      </c>
      <c r="U494" s="1" t="s">
        <v>4495</v>
      </c>
      <c r="V494" s="1">
        <v>1</v>
      </c>
      <c r="W494" s="1">
        <v>1</v>
      </c>
      <c r="X494" s="1">
        <v>1</v>
      </c>
      <c r="Y494" s="1">
        <v>0</v>
      </c>
      <c r="Z494" s="1">
        <v>0</v>
      </c>
      <c r="AA494" s="1">
        <v>1</v>
      </c>
      <c r="AB494" s="1">
        <v>1</v>
      </c>
      <c r="AC494" s="1" t="s">
        <v>109</v>
      </c>
      <c r="AD494" s="1" t="s">
        <v>109</v>
      </c>
      <c r="AE494" s="1" t="s">
        <v>109</v>
      </c>
      <c r="AF494" s="1">
        <v>1</v>
      </c>
      <c r="AG494" s="1" t="s">
        <v>109</v>
      </c>
      <c r="AH494" s="1" t="s">
        <v>109</v>
      </c>
      <c r="AI494" s="1" t="s">
        <v>109</v>
      </c>
      <c r="AJ494" s="1">
        <v>1</v>
      </c>
      <c r="AK494" s="1" t="s">
        <v>109</v>
      </c>
      <c r="AL494" s="1" t="s">
        <v>109</v>
      </c>
      <c r="AM494" s="1" t="s">
        <v>109</v>
      </c>
      <c r="AN494" s="1" t="s">
        <v>109</v>
      </c>
      <c r="AO494" s="1">
        <v>1</v>
      </c>
      <c r="AP494" s="1"/>
      <c r="AQ494" s="1">
        <v>1</v>
      </c>
      <c r="AR494" s="1" t="s">
        <v>4496</v>
      </c>
      <c r="AS494" s="1" t="s">
        <v>4497</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1</v>
      </c>
      <c r="BN494" s="1">
        <v>0</v>
      </c>
      <c r="BO494" s="1">
        <v>0</v>
      </c>
      <c r="BP494" s="1">
        <v>0</v>
      </c>
      <c r="BQ494" s="1">
        <v>0</v>
      </c>
      <c r="BR494" s="1">
        <v>0</v>
      </c>
      <c r="BS494" s="5" t="str">
        <f>HYPERLINK("http://www.d20pfsrd.com/magic/all-spells/s/sleep","Sleep")</f>
        <v>Sleep</v>
      </c>
      <c r="BT494" s="1">
        <v>495</v>
      </c>
      <c r="BU494" s="1" t="s">
        <v>109</v>
      </c>
      <c r="BV494" s="1" t="s">
        <v>4498</v>
      </c>
      <c r="BW494" s="1"/>
      <c r="BX494" s="1" t="s">
        <v>4499</v>
      </c>
      <c r="BY494" s="1" t="s">
        <v>4500</v>
      </c>
      <c r="BZ494" s="1">
        <v>1</v>
      </c>
      <c r="CA494" s="1" t="s">
        <v>109</v>
      </c>
      <c r="CB494" s="1">
        <v>1</v>
      </c>
      <c r="CC494" s="1">
        <v>1</v>
      </c>
      <c r="CD494" s="1" t="s">
        <v>109</v>
      </c>
      <c r="CE494" s="1">
        <v>1</v>
      </c>
      <c r="CF494" s="1">
        <v>1</v>
      </c>
      <c r="CG494" s="1" t="s">
        <v>109</v>
      </c>
      <c r="CH494" s="1" t="s">
        <v>109</v>
      </c>
      <c r="CI494" s="1" t="s">
        <v>109</v>
      </c>
      <c r="CJ494" s="1" t="s">
        <v>109</v>
      </c>
      <c r="CK494" s="1"/>
      <c r="CL494" s="1">
        <v>0</v>
      </c>
      <c r="CM494" s="1">
        <v>0</v>
      </c>
      <c r="CN494" s="1">
        <v>0</v>
      </c>
    </row>
    <row r="495" spans="1:92" ht="14.25" customHeight="1" x14ac:dyDescent="0.15">
      <c r="A495" s="1" t="s">
        <v>4501</v>
      </c>
      <c r="B495" s="1" t="s">
        <v>95</v>
      </c>
      <c r="C495" s="1" t="s">
        <v>96</v>
      </c>
      <c r="D495" s="1" t="s">
        <v>49</v>
      </c>
      <c r="E495" s="1" t="s">
        <v>4502</v>
      </c>
      <c r="F495" s="1" t="s">
        <v>98</v>
      </c>
      <c r="G495" s="1" t="s">
        <v>2700</v>
      </c>
      <c r="H495" s="1">
        <v>0</v>
      </c>
      <c r="I495" s="1" t="s">
        <v>100</v>
      </c>
      <c r="J495" s="1" t="s">
        <v>4503</v>
      </c>
      <c r="K495" s="1"/>
      <c r="L495" s="1"/>
      <c r="M495" s="1" t="s">
        <v>125</v>
      </c>
      <c r="N495" s="1">
        <v>0</v>
      </c>
      <c r="O495" s="1">
        <v>0</v>
      </c>
      <c r="P495" s="1" t="s">
        <v>103</v>
      </c>
      <c r="Q495" s="1" t="s">
        <v>104</v>
      </c>
      <c r="R495" s="1" t="s">
        <v>4504</v>
      </c>
      <c r="S495" s="1" t="s">
        <v>4505</v>
      </c>
      <c r="T495" s="1" t="s">
        <v>107</v>
      </c>
      <c r="U495" s="1" t="s">
        <v>4506</v>
      </c>
      <c r="V495" s="1">
        <v>1</v>
      </c>
      <c r="W495" s="1">
        <v>1</v>
      </c>
      <c r="X495" s="1">
        <v>1</v>
      </c>
      <c r="Y495" s="1">
        <v>0</v>
      </c>
      <c r="Z495" s="1">
        <v>1</v>
      </c>
      <c r="AA495" s="1">
        <v>3</v>
      </c>
      <c r="AB495" s="1">
        <v>3</v>
      </c>
      <c r="AC495" s="1" t="s">
        <v>109</v>
      </c>
      <c r="AD495" s="1">
        <v>3</v>
      </c>
      <c r="AE495" s="1" t="s">
        <v>109</v>
      </c>
      <c r="AF495" s="1" t="s">
        <v>109</v>
      </c>
      <c r="AG495" s="1" t="s">
        <v>109</v>
      </c>
      <c r="AH495" s="1" t="s">
        <v>109</v>
      </c>
      <c r="AI495" s="1" t="s">
        <v>109</v>
      </c>
      <c r="AJ495" s="1">
        <v>3</v>
      </c>
      <c r="AK495" s="1" t="s">
        <v>109</v>
      </c>
      <c r="AL495" s="1" t="s">
        <v>109</v>
      </c>
      <c r="AM495" s="1" t="s">
        <v>109</v>
      </c>
      <c r="AN495" s="1">
        <v>3</v>
      </c>
      <c r="AO495" s="1" t="s">
        <v>109</v>
      </c>
      <c r="AP495" s="1"/>
      <c r="AQ495" s="1">
        <v>3</v>
      </c>
      <c r="AR495" s="1" t="s">
        <v>4507</v>
      </c>
      <c r="AS495" s="1" t="s">
        <v>4508</v>
      </c>
      <c r="AT495" s="1">
        <v>0</v>
      </c>
      <c r="AU495" s="1">
        <v>0</v>
      </c>
      <c r="AV495" s="1">
        <v>0</v>
      </c>
      <c r="AW495" s="1">
        <v>1</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5" t="str">
        <f>HYPERLINK("http://www.d20pfsrd.com/magic/all-spells/s/sleet-storm","Sleet Storm")</f>
        <v>Sleet Storm</v>
      </c>
      <c r="BT495" s="1">
        <v>496</v>
      </c>
      <c r="BU495" s="1" t="s">
        <v>109</v>
      </c>
      <c r="BV495" s="1"/>
      <c r="BW495" s="1"/>
      <c r="BX495" s="1"/>
      <c r="BY495" s="1"/>
      <c r="BZ495" s="1">
        <v>0</v>
      </c>
      <c r="CA495" s="1">
        <v>3</v>
      </c>
      <c r="CB495" s="1">
        <v>3</v>
      </c>
      <c r="CC495" s="1" t="s">
        <v>109</v>
      </c>
      <c r="CD495" s="1" t="s">
        <v>109</v>
      </c>
      <c r="CE495" s="1" t="s">
        <v>109</v>
      </c>
      <c r="CF495" s="1" t="s">
        <v>109</v>
      </c>
      <c r="CG495" s="1" t="s">
        <v>109</v>
      </c>
      <c r="CH495" s="1" t="s">
        <v>109</v>
      </c>
      <c r="CI495" s="1" t="s">
        <v>109</v>
      </c>
      <c r="CJ495" s="1">
        <v>3</v>
      </c>
      <c r="CK495" s="1"/>
      <c r="CL495" s="1">
        <v>0</v>
      </c>
      <c r="CM495" s="1">
        <v>0</v>
      </c>
      <c r="CN495" s="1">
        <v>0</v>
      </c>
    </row>
    <row r="496" spans="1:92" ht="14.25" customHeight="1" x14ac:dyDescent="0.15">
      <c r="A496" s="1" t="s">
        <v>4509</v>
      </c>
      <c r="B496" s="1" t="s">
        <v>189</v>
      </c>
      <c r="C496" s="1"/>
      <c r="D496" s="1"/>
      <c r="E496" s="1" t="s">
        <v>4510</v>
      </c>
      <c r="F496" s="1" t="s">
        <v>98</v>
      </c>
      <c r="G496" s="1" t="s">
        <v>4511</v>
      </c>
      <c r="H496" s="1">
        <v>0</v>
      </c>
      <c r="I496" s="1" t="s">
        <v>142</v>
      </c>
      <c r="J496" s="1"/>
      <c r="K496" s="1"/>
      <c r="L496" s="1" t="s">
        <v>716</v>
      </c>
      <c r="M496" s="1" t="s">
        <v>125</v>
      </c>
      <c r="N496" s="1">
        <v>0</v>
      </c>
      <c r="O496" s="1">
        <v>0</v>
      </c>
      <c r="P496" s="1" t="s">
        <v>301</v>
      </c>
      <c r="Q496" s="1" t="s">
        <v>268</v>
      </c>
      <c r="R496" s="1" t="s">
        <v>4512</v>
      </c>
      <c r="S496" s="1" t="s">
        <v>4513</v>
      </c>
      <c r="T496" s="1" t="s">
        <v>107</v>
      </c>
      <c r="U496" s="1" t="s">
        <v>4514</v>
      </c>
      <c r="V496" s="1">
        <v>1</v>
      </c>
      <c r="W496" s="1">
        <v>1</v>
      </c>
      <c r="X496" s="1">
        <v>1</v>
      </c>
      <c r="Y496" s="1">
        <v>0</v>
      </c>
      <c r="Z496" s="1">
        <v>0</v>
      </c>
      <c r="AA496" s="1">
        <v>3</v>
      </c>
      <c r="AB496" s="1">
        <v>3</v>
      </c>
      <c r="AC496" s="1" t="s">
        <v>109</v>
      </c>
      <c r="AD496" s="1" t="s">
        <v>109</v>
      </c>
      <c r="AE496" s="1" t="s">
        <v>109</v>
      </c>
      <c r="AF496" s="1">
        <v>3</v>
      </c>
      <c r="AG496" s="1" t="s">
        <v>109</v>
      </c>
      <c r="AH496" s="1" t="s">
        <v>109</v>
      </c>
      <c r="AI496" s="1">
        <v>2</v>
      </c>
      <c r="AJ496" s="1" t="s">
        <v>109</v>
      </c>
      <c r="AK496" s="1" t="s">
        <v>109</v>
      </c>
      <c r="AL496" s="1" t="s">
        <v>109</v>
      </c>
      <c r="AM496" s="1" t="s">
        <v>109</v>
      </c>
      <c r="AN496" s="1">
        <v>3</v>
      </c>
      <c r="AO496" s="1" t="s">
        <v>109</v>
      </c>
      <c r="AP496" s="1"/>
      <c r="AQ496" s="1">
        <v>3</v>
      </c>
      <c r="AR496" s="1"/>
      <c r="AS496" s="1" t="s">
        <v>4515</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5" t="str">
        <f>HYPERLINK("http://www.d20pfsrd.com/magic/all-spells/s/slow","Slow")</f>
        <v>Slow</v>
      </c>
      <c r="BT496" s="1">
        <v>497</v>
      </c>
      <c r="BU496" s="1" t="s">
        <v>109</v>
      </c>
      <c r="BV496" s="1"/>
      <c r="BW496" s="1"/>
      <c r="BX496" s="1" t="s">
        <v>4516</v>
      </c>
      <c r="BY496" s="1"/>
      <c r="BZ496" s="1">
        <v>1</v>
      </c>
      <c r="CA496" s="1">
        <v>3</v>
      </c>
      <c r="CB496" s="1" t="s">
        <v>109</v>
      </c>
      <c r="CC496" s="1">
        <v>3</v>
      </c>
      <c r="CD496" s="1" t="s">
        <v>109</v>
      </c>
      <c r="CE496" s="1" t="s">
        <v>109</v>
      </c>
      <c r="CF496" s="1">
        <v>3</v>
      </c>
      <c r="CG496" s="1">
        <v>3</v>
      </c>
      <c r="CH496" s="1" t="s">
        <v>109</v>
      </c>
      <c r="CI496" s="1" t="s">
        <v>109</v>
      </c>
      <c r="CJ496" s="1" t="s">
        <v>109</v>
      </c>
      <c r="CK496" s="1"/>
      <c r="CL496" s="1">
        <v>0</v>
      </c>
      <c r="CM496" s="1">
        <v>0</v>
      </c>
      <c r="CN496" s="1">
        <v>0</v>
      </c>
    </row>
    <row r="497" spans="1:92" ht="14.25" customHeight="1" x14ac:dyDescent="0.15">
      <c r="A497" s="1" t="s">
        <v>4517</v>
      </c>
      <c r="B497" s="1" t="s">
        <v>189</v>
      </c>
      <c r="C497" s="1"/>
      <c r="D497" s="1"/>
      <c r="E497" s="1" t="s">
        <v>4518</v>
      </c>
      <c r="F497" s="1" t="s">
        <v>1984</v>
      </c>
      <c r="G497" s="1" t="s">
        <v>160</v>
      </c>
      <c r="H497" s="1">
        <v>0</v>
      </c>
      <c r="I497" s="1" t="s">
        <v>161</v>
      </c>
      <c r="J497" s="1"/>
      <c r="K497" s="1"/>
      <c r="L497" s="1" t="s">
        <v>4519</v>
      </c>
      <c r="M497" s="1" t="s">
        <v>4520</v>
      </c>
      <c r="N497" s="1">
        <v>0</v>
      </c>
      <c r="O497" s="1">
        <v>0</v>
      </c>
      <c r="P497" s="1" t="s">
        <v>103</v>
      </c>
      <c r="Q497" s="1" t="s">
        <v>104</v>
      </c>
      <c r="R497" s="1" t="s">
        <v>4521</v>
      </c>
      <c r="S497" s="1" t="s">
        <v>4522</v>
      </c>
      <c r="T497" s="1" t="s">
        <v>107</v>
      </c>
      <c r="U497" s="1" t="s">
        <v>4523</v>
      </c>
      <c r="V497" s="1">
        <v>1</v>
      </c>
      <c r="W497" s="1">
        <v>1</v>
      </c>
      <c r="X497" s="1">
        <v>0</v>
      </c>
      <c r="Y497" s="1">
        <v>0</v>
      </c>
      <c r="Z497" s="1">
        <v>1</v>
      </c>
      <c r="AA497" s="1" t="s">
        <v>109</v>
      </c>
      <c r="AB497" s="1" t="s">
        <v>109</v>
      </c>
      <c r="AC497" s="1" t="s">
        <v>109</v>
      </c>
      <c r="AD497" s="1">
        <v>3</v>
      </c>
      <c r="AE497" s="1">
        <v>2</v>
      </c>
      <c r="AF497" s="1" t="s">
        <v>109</v>
      </c>
      <c r="AG497" s="1" t="s">
        <v>109</v>
      </c>
      <c r="AH497" s="1" t="s">
        <v>109</v>
      </c>
      <c r="AI497" s="1" t="s">
        <v>109</v>
      </c>
      <c r="AJ497" s="1" t="s">
        <v>109</v>
      </c>
      <c r="AK497" s="1" t="s">
        <v>109</v>
      </c>
      <c r="AL497" s="1" t="s">
        <v>109</v>
      </c>
      <c r="AM497" s="1" t="s">
        <v>109</v>
      </c>
      <c r="AN497" s="1" t="s">
        <v>109</v>
      </c>
      <c r="AO497" s="1" t="s">
        <v>109</v>
      </c>
      <c r="AP497" s="1"/>
      <c r="AQ497" s="1">
        <v>3</v>
      </c>
      <c r="AR497" s="1" t="s">
        <v>4524</v>
      </c>
      <c r="AS497" s="1" t="s">
        <v>4525</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5" t="str">
        <f>HYPERLINK("http://www.d20pfsrd.com/magic/all-spells/s/snare","Snare")</f>
        <v>Snare</v>
      </c>
      <c r="BT497" s="1">
        <v>498</v>
      </c>
      <c r="BU497" s="1" t="s">
        <v>109</v>
      </c>
      <c r="BV497" s="1"/>
      <c r="BW497" s="1"/>
      <c r="BX497" s="1"/>
      <c r="BY497" s="1"/>
      <c r="BZ497" s="1">
        <v>0</v>
      </c>
      <c r="CA497" s="1" t="s">
        <v>109</v>
      </c>
      <c r="CB497" s="1" t="s">
        <v>109</v>
      </c>
      <c r="CC497" s="1" t="s">
        <v>109</v>
      </c>
      <c r="CD497" s="1" t="s">
        <v>109</v>
      </c>
      <c r="CE497" s="1" t="s">
        <v>109</v>
      </c>
      <c r="CF497" s="1" t="s">
        <v>109</v>
      </c>
      <c r="CG497" s="1" t="s">
        <v>109</v>
      </c>
      <c r="CH497" s="1" t="s">
        <v>109</v>
      </c>
      <c r="CI497" s="1" t="s">
        <v>109</v>
      </c>
      <c r="CJ497" s="1">
        <v>2</v>
      </c>
      <c r="CK497" s="1"/>
      <c r="CL497" s="1">
        <v>0</v>
      </c>
      <c r="CM497" s="1">
        <v>0</v>
      </c>
      <c r="CN497" s="1">
        <v>0</v>
      </c>
    </row>
    <row r="498" spans="1:92" ht="14.25" customHeight="1" x14ac:dyDescent="0.15">
      <c r="A498" s="1" t="s">
        <v>4526</v>
      </c>
      <c r="B498" s="1" t="s">
        <v>189</v>
      </c>
      <c r="C498" s="1"/>
      <c r="D498" s="1" t="s">
        <v>54</v>
      </c>
      <c r="E498" s="1" t="s">
        <v>4527</v>
      </c>
      <c r="F498" s="1" t="s">
        <v>98</v>
      </c>
      <c r="G498" s="1" t="s">
        <v>160</v>
      </c>
      <c r="H498" s="1">
        <v>0</v>
      </c>
      <c r="I498" s="1" t="s">
        <v>142</v>
      </c>
      <c r="J498" s="1" t="s">
        <v>4528</v>
      </c>
      <c r="K498" s="1"/>
      <c r="L498" s="1"/>
      <c r="M498" s="1" t="s">
        <v>144</v>
      </c>
      <c r="N498" s="1">
        <v>0</v>
      </c>
      <c r="O498" s="1">
        <v>0</v>
      </c>
      <c r="P498" s="1" t="s">
        <v>103</v>
      </c>
      <c r="Q498" s="1" t="s">
        <v>104</v>
      </c>
      <c r="R498" s="1" t="s">
        <v>4529</v>
      </c>
      <c r="S498" s="1" t="s">
        <v>4530</v>
      </c>
      <c r="T498" s="1" t="s">
        <v>107</v>
      </c>
      <c r="U498" s="1" t="s">
        <v>4531</v>
      </c>
      <c r="V498" s="1">
        <v>1</v>
      </c>
      <c r="W498" s="1">
        <v>1</v>
      </c>
      <c r="X498" s="1">
        <v>0</v>
      </c>
      <c r="Y498" s="1">
        <v>0</v>
      </c>
      <c r="Z498" s="1">
        <v>1</v>
      </c>
      <c r="AA498" s="1" t="s">
        <v>109</v>
      </c>
      <c r="AB498" s="1" t="s">
        <v>109</v>
      </c>
      <c r="AC498" s="1" t="s">
        <v>109</v>
      </c>
      <c r="AD498" s="1">
        <v>2</v>
      </c>
      <c r="AE498" s="1" t="s">
        <v>109</v>
      </c>
      <c r="AF498" s="1" t="s">
        <v>109</v>
      </c>
      <c r="AG498" s="1" t="s">
        <v>109</v>
      </c>
      <c r="AH498" s="1" t="s">
        <v>109</v>
      </c>
      <c r="AI498" s="1" t="s">
        <v>109</v>
      </c>
      <c r="AJ498" s="1" t="s">
        <v>109</v>
      </c>
      <c r="AK498" s="1" t="s">
        <v>109</v>
      </c>
      <c r="AL498" s="1" t="s">
        <v>109</v>
      </c>
      <c r="AM498" s="1" t="s">
        <v>109</v>
      </c>
      <c r="AN498" s="1" t="s">
        <v>109</v>
      </c>
      <c r="AO498" s="1" t="s">
        <v>109</v>
      </c>
      <c r="AP498" s="1"/>
      <c r="AQ498" s="1">
        <v>2</v>
      </c>
      <c r="AR498" s="1" t="s">
        <v>4532</v>
      </c>
      <c r="AS498" s="1" t="s">
        <v>4533</v>
      </c>
      <c r="AT498" s="1">
        <v>0</v>
      </c>
      <c r="AU498" s="1">
        <v>0</v>
      </c>
      <c r="AV498" s="1">
        <v>0</v>
      </c>
      <c r="AW498" s="1">
        <v>0</v>
      </c>
      <c r="AX498" s="1">
        <v>0</v>
      </c>
      <c r="AY498" s="1">
        <v>0</v>
      </c>
      <c r="AZ498" s="1">
        <v>0</v>
      </c>
      <c r="BA498" s="1">
        <v>0</v>
      </c>
      <c r="BB498" s="1">
        <v>1</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5" t="str">
        <f>HYPERLINK("http://www.d20pfsrd.com/magic/all-spells/s/soften-earth-and-stone","Soften Earth and Stone")</f>
        <v>Soften Earth and Stone</v>
      </c>
      <c r="BT498" s="1">
        <v>499</v>
      </c>
      <c r="BU498" s="1" t="s">
        <v>109</v>
      </c>
      <c r="BV498" s="1"/>
      <c r="BW498" s="1"/>
      <c r="BX498" s="1"/>
      <c r="BY498" s="1"/>
      <c r="BZ498" s="1">
        <v>0</v>
      </c>
      <c r="CA498" s="1" t="s">
        <v>109</v>
      </c>
      <c r="CB498" s="1" t="s">
        <v>109</v>
      </c>
      <c r="CC498" s="1" t="s">
        <v>109</v>
      </c>
      <c r="CD498" s="1" t="s">
        <v>109</v>
      </c>
      <c r="CE498" s="1" t="s">
        <v>109</v>
      </c>
      <c r="CF498" s="1" t="s">
        <v>109</v>
      </c>
      <c r="CG498" s="1" t="s">
        <v>109</v>
      </c>
      <c r="CH498" s="1" t="s">
        <v>109</v>
      </c>
      <c r="CI498" s="1" t="s">
        <v>109</v>
      </c>
      <c r="CJ498" s="1">
        <v>2</v>
      </c>
      <c r="CK498" s="1"/>
      <c r="CL498" s="1">
        <v>0</v>
      </c>
      <c r="CM498" s="1">
        <v>0</v>
      </c>
      <c r="CN498" s="1">
        <v>0</v>
      </c>
    </row>
    <row r="499" spans="1:92" ht="14.25" customHeight="1" x14ac:dyDescent="0.15">
      <c r="A499" s="1" t="s">
        <v>4534</v>
      </c>
      <c r="B499" s="1" t="s">
        <v>95</v>
      </c>
      <c r="C499" s="1" t="s">
        <v>96</v>
      </c>
      <c r="D499" s="1"/>
      <c r="E499" s="1" t="s">
        <v>4535</v>
      </c>
      <c r="F499" s="1" t="s">
        <v>98</v>
      </c>
      <c r="G499" s="1" t="s">
        <v>121</v>
      </c>
      <c r="H499" s="1">
        <v>0</v>
      </c>
      <c r="I499" s="1" t="s">
        <v>2136</v>
      </c>
      <c r="J499" s="1"/>
      <c r="K499" s="1" t="s">
        <v>2137</v>
      </c>
      <c r="L499" s="1"/>
      <c r="M499" s="1" t="s">
        <v>164</v>
      </c>
      <c r="N499" s="1">
        <v>0</v>
      </c>
      <c r="O499" s="1">
        <v>0</v>
      </c>
      <c r="P499" s="1" t="s">
        <v>103</v>
      </c>
      <c r="Q499" s="1" t="s">
        <v>104</v>
      </c>
      <c r="R499" s="1" t="s">
        <v>4536</v>
      </c>
      <c r="S499" s="1" t="s">
        <v>4537</v>
      </c>
      <c r="T499" s="1" t="s">
        <v>107</v>
      </c>
      <c r="U499" s="1" t="s">
        <v>4538</v>
      </c>
      <c r="V499" s="1">
        <v>1</v>
      </c>
      <c r="W499" s="1">
        <v>1</v>
      </c>
      <c r="X499" s="1">
        <v>1</v>
      </c>
      <c r="Y499" s="1">
        <v>0</v>
      </c>
      <c r="Z499" s="1">
        <v>0</v>
      </c>
      <c r="AA499" s="1">
        <v>4</v>
      </c>
      <c r="AB499" s="1">
        <v>4</v>
      </c>
      <c r="AC499" s="1" t="s">
        <v>109</v>
      </c>
      <c r="AD499" s="1" t="s">
        <v>109</v>
      </c>
      <c r="AE499" s="1" t="s">
        <v>109</v>
      </c>
      <c r="AF499" s="1" t="s">
        <v>109</v>
      </c>
      <c r="AG499" s="1" t="s">
        <v>109</v>
      </c>
      <c r="AH499" s="1" t="s">
        <v>109</v>
      </c>
      <c r="AI499" s="1" t="s">
        <v>109</v>
      </c>
      <c r="AJ499" s="1">
        <v>4</v>
      </c>
      <c r="AK499" s="1" t="s">
        <v>109</v>
      </c>
      <c r="AL499" s="1" t="s">
        <v>109</v>
      </c>
      <c r="AM499" s="1" t="s">
        <v>109</v>
      </c>
      <c r="AN499" s="1">
        <v>4</v>
      </c>
      <c r="AO499" s="1" t="s">
        <v>109</v>
      </c>
      <c r="AP499" s="1"/>
      <c r="AQ499" s="1">
        <v>4</v>
      </c>
      <c r="AR499" s="1" t="s">
        <v>4539</v>
      </c>
      <c r="AS499" s="1" t="s">
        <v>4540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5" t="str">
        <f>HYPERLINK("http://www.d20pfsrd.com/magic/all-spells/s/solid-fog","Solid Fog")</f>
        <v>Solid Fog</v>
      </c>
      <c r="BT499" s="1">
        <v>500</v>
      </c>
      <c r="BU499" s="1" t="s">
        <v>109</v>
      </c>
      <c r="BV499" s="1"/>
      <c r="BW499" s="1"/>
      <c r="BX499" s="1" t="s">
        <v>4541</v>
      </c>
      <c r="BY499" s="1" t="s">
        <v>4542</v>
      </c>
      <c r="BZ499" s="1">
        <v>1</v>
      </c>
      <c r="CA499" s="1" t="s">
        <v>109</v>
      </c>
      <c r="CB499" s="1">
        <v>4</v>
      </c>
      <c r="CC499" s="1" t="s">
        <v>109</v>
      </c>
      <c r="CD499" s="1" t="s">
        <v>109</v>
      </c>
      <c r="CE499" s="1">
        <v>4</v>
      </c>
      <c r="CF499" s="1" t="s">
        <v>109</v>
      </c>
      <c r="CG499" s="1">
        <v>4</v>
      </c>
      <c r="CH499" s="1" t="s">
        <v>109</v>
      </c>
      <c r="CI499" s="1" t="s">
        <v>109</v>
      </c>
      <c r="CJ499" s="1" t="s">
        <v>109</v>
      </c>
      <c r="CK499" s="1"/>
      <c r="CL499" s="1">
        <v>0</v>
      </c>
      <c r="CM499" s="1">
        <v>0</v>
      </c>
      <c r="CN499" s="1">
        <v>0</v>
      </c>
    </row>
    <row r="500" spans="1:92" ht="14.25" customHeight="1" x14ac:dyDescent="0.15">
      <c r="A500" s="1" t="s">
        <v>4543</v>
      </c>
      <c r="B500" s="1" t="s">
        <v>156</v>
      </c>
      <c r="C500" s="1" t="s">
        <v>157</v>
      </c>
      <c r="D500" s="1" t="s">
        <v>297</v>
      </c>
      <c r="E500" s="1" t="s">
        <v>4544</v>
      </c>
      <c r="F500" s="1" t="s">
        <v>98</v>
      </c>
      <c r="G500" s="1" t="s">
        <v>141</v>
      </c>
      <c r="H500" s="1">
        <v>0</v>
      </c>
      <c r="I500" s="1" t="s">
        <v>122</v>
      </c>
      <c r="J500" s="1" t="s">
        <v>4545</v>
      </c>
      <c r="K500" s="1"/>
      <c r="L500" s="1"/>
      <c r="M500" s="1" t="s">
        <v>125</v>
      </c>
      <c r="N500" s="1">
        <v>0</v>
      </c>
      <c r="O500" s="1">
        <v>0</v>
      </c>
      <c r="P500" s="1" t="s">
        <v>301</v>
      </c>
      <c r="Q500" s="1" t="s">
        <v>268</v>
      </c>
      <c r="R500" s="1" t="s">
        <v>4546</v>
      </c>
      <c r="S500" s="1" t="s">
        <v>4547</v>
      </c>
      <c r="T500" s="1" t="s">
        <v>107</v>
      </c>
      <c r="U500" s="1" t="s">
        <v>4548</v>
      </c>
      <c r="V500" s="1">
        <v>1</v>
      </c>
      <c r="W500" s="1">
        <v>1</v>
      </c>
      <c r="X500" s="1">
        <v>0</v>
      </c>
      <c r="Y500" s="1">
        <v>0</v>
      </c>
      <c r="Z500" s="1">
        <v>0</v>
      </c>
      <c r="AA500" s="1" t="s">
        <v>109</v>
      </c>
      <c r="AB500" s="1" t="s">
        <v>109</v>
      </c>
      <c r="AC500" s="1" t="s">
        <v>109</v>
      </c>
      <c r="AD500" s="1" t="s">
        <v>109</v>
      </c>
      <c r="AE500" s="1" t="s">
        <v>109</v>
      </c>
      <c r="AF500" s="1">
        <v>5</v>
      </c>
      <c r="AG500" s="1" t="s">
        <v>109</v>
      </c>
      <c r="AH500" s="1" t="s">
        <v>109</v>
      </c>
      <c r="AI500" s="1" t="s">
        <v>109</v>
      </c>
      <c r="AJ500" s="1" t="s">
        <v>109</v>
      </c>
      <c r="AK500" s="1" t="s">
        <v>109</v>
      </c>
      <c r="AL500" s="1" t="s">
        <v>109</v>
      </c>
      <c r="AM500" s="1" t="s">
        <v>109</v>
      </c>
      <c r="AN500" s="1" t="s">
        <v>109</v>
      </c>
      <c r="AO500" s="1" t="s">
        <v>109</v>
      </c>
      <c r="AP500" s="1"/>
      <c r="AQ500" s="1">
        <v>5</v>
      </c>
      <c r="AR500" s="1" t="s">
        <v>4549</v>
      </c>
      <c r="AS500" s="1" t="s">
        <v>4550</v>
      </c>
      <c r="AT500" s="1">
        <v>0</v>
      </c>
      <c r="AU500" s="1">
        <v>0</v>
      </c>
      <c r="AV500" s="1">
        <v>0</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1</v>
      </c>
      <c r="BN500" s="1">
        <v>0</v>
      </c>
      <c r="BO500" s="1">
        <v>0</v>
      </c>
      <c r="BP500" s="1">
        <v>0</v>
      </c>
      <c r="BQ500" s="1">
        <v>1</v>
      </c>
      <c r="BR500" s="1">
        <v>0</v>
      </c>
      <c r="BS500" s="5" t="str">
        <f>HYPERLINK("http://www.d20pfsrd.com/magic/all-spells/s/song-of-discord","Song of Discord")</f>
        <v>Song of Discord</v>
      </c>
      <c r="BT500" s="1">
        <v>501</v>
      </c>
      <c r="BU500" s="1" t="s">
        <v>109</v>
      </c>
      <c r="BV500" s="1"/>
      <c r="BW500" s="1"/>
      <c r="BX500" s="1"/>
      <c r="BY500" s="1"/>
      <c r="BZ500" s="1">
        <v>0</v>
      </c>
      <c r="CA500" s="1" t="s">
        <v>109</v>
      </c>
      <c r="CB500" s="1" t="s">
        <v>109</v>
      </c>
      <c r="CC500" s="1">
        <v>5</v>
      </c>
      <c r="CD500" s="1" t="s">
        <v>109</v>
      </c>
      <c r="CE500" s="1" t="s">
        <v>109</v>
      </c>
      <c r="CF500" s="1" t="s">
        <v>109</v>
      </c>
      <c r="CG500" s="1" t="s">
        <v>109</v>
      </c>
      <c r="CH500" s="1" t="s">
        <v>109</v>
      </c>
      <c r="CI500" s="1" t="s">
        <v>109</v>
      </c>
      <c r="CJ500" s="1" t="s">
        <v>109</v>
      </c>
      <c r="CK500" s="1"/>
      <c r="CL500" s="1">
        <v>0</v>
      </c>
      <c r="CM500" s="1">
        <v>0</v>
      </c>
      <c r="CN500" s="1">
        <v>0</v>
      </c>
    </row>
    <row r="501" spans="1:92" ht="14.25" customHeight="1" x14ac:dyDescent="0.15">
      <c r="A501" s="1" t="s">
        <v>4551</v>
      </c>
      <c r="B501" s="1" t="s">
        <v>308</v>
      </c>
      <c r="C501" s="1"/>
      <c r="D501" s="1"/>
      <c r="E501" s="1" t="s">
        <v>4552</v>
      </c>
      <c r="F501" s="1" t="s">
        <v>98</v>
      </c>
      <c r="G501" s="1" t="s">
        <v>485</v>
      </c>
      <c r="H501" s="1">
        <v>1</v>
      </c>
      <c r="I501" s="1" t="s">
        <v>142</v>
      </c>
      <c r="J501" s="1"/>
      <c r="K501" s="1"/>
      <c r="L501" s="1" t="s">
        <v>4553</v>
      </c>
      <c r="M501" s="1" t="s">
        <v>408</v>
      </c>
      <c r="N501" s="1">
        <v>0</v>
      </c>
      <c r="O501" s="1">
        <v>0</v>
      </c>
      <c r="P501" s="1" t="s">
        <v>301</v>
      </c>
      <c r="Q501" s="1" t="s">
        <v>104</v>
      </c>
      <c r="R501" s="1" t="s">
        <v>4554</v>
      </c>
      <c r="S501" s="1" t="s">
        <v>4555</v>
      </c>
      <c r="T501" s="1" t="s">
        <v>107</v>
      </c>
      <c r="U501" s="1" t="s">
        <v>4556</v>
      </c>
      <c r="V501" s="1">
        <v>1</v>
      </c>
      <c r="W501" s="1">
        <v>1</v>
      </c>
      <c r="X501" s="1">
        <v>0</v>
      </c>
      <c r="Y501" s="1">
        <v>1</v>
      </c>
      <c r="Z501" s="1">
        <v>0</v>
      </c>
      <c r="AA501" s="1">
        <v>9</v>
      </c>
      <c r="AB501" s="1">
        <v>9</v>
      </c>
      <c r="AC501" s="1">
        <v>9</v>
      </c>
      <c r="AD501" s="1" t="s">
        <v>109</v>
      </c>
      <c r="AE501" s="1" t="s">
        <v>109</v>
      </c>
      <c r="AF501" s="1" t="s">
        <v>109</v>
      </c>
      <c r="AG501" s="1" t="s">
        <v>109</v>
      </c>
      <c r="AH501" s="1" t="s">
        <v>109</v>
      </c>
      <c r="AI501" s="1" t="s">
        <v>109</v>
      </c>
      <c r="AJ501" s="1">
        <v>9</v>
      </c>
      <c r="AK501" s="1" t="s">
        <v>109</v>
      </c>
      <c r="AL501" s="1">
        <v>9</v>
      </c>
      <c r="AM501" s="1" t="s">
        <v>109</v>
      </c>
      <c r="AN501" s="1" t="s">
        <v>109</v>
      </c>
      <c r="AO501" s="1" t="s">
        <v>109</v>
      </c>
      <c r="AP501" s="1"/>
      <c r="AQ501" s="1">
        <v>9</v>
      </c>
      <c r="AR501" s="1"/>
      <c r="AS501" s="1" t="s">
        <v>4557</v>
      </c>
      <c r="AT501" s="1">
        <v>0</v>
      </c>
      <c r="AU501" s="1">
        <v>0</v>
      </c>
      <c r="AV501" s="1">
        <v>0</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5" t="str">
        <f>HYPERLINK("http://www.d20pfsrd.com/magic/all-spells/s/soul-bind","Soul Bind")</f>
        <v>Soul Bind</v>
      </c>
      <c r="BT501" s="1">
        <v>502</v>
      </c>
      <c r="BU501" s="1">
        <v>0</v>
      </c>
      <c r="BV501" s="1" t="s">
        <v>4558</v>
      </c>
      <c r="BW501" s="1"/>
      <c r="BX501" s="1"/>
      <c r="BY501" s="1"/>
      <c r="BZ501" s="1">
        <v>0</v>
      </c>
      <c r="CA501" s="1" t="s">
        <v>109</v>
      </c>
      <c r="CB501" s="1">
        <v>9</v>
      </c>
      <c r="CC501" s="1">
        <v>9</v>
      </c>
      <c r="CD501" s="1" t="s">
        <v>109</v>
      </c>
      <c r="CE501" s="1" t="s">
        <v>109</v>
      </c>
      <c r="CF501" s="1" t="s">
        <v>109</v>
      </c>
      <c r="CG501" s="1" t="s">
        <v>109</v>
      </c>
      <c r="CH501" s="1" t="s">
        <v>109</v>
      </c>
      <c r="CI501" s="1" t="s">
        <v>109</v>
      </c>
      <c r="CJ501" s="1" t="s">
        <v>109</v>
      </c>
      <c r="CK501" s="1"/>
      <c r="CL501" s="1">
        <v>0</v>
      </c>
      <c r="CM501" s="1">
        <v>0</v>
      </c>
      <c r="CN501" s="1">
        <v>0</v>
      </c>
    </row>
    <row r="502" spans="1:92" ht="14.25" customHeight="1" x14ac:dyDescent="0.15">
      <c r="A502" s="1" t="s">
        <v>4559</v>
      </c>
      <c r="B502" s="1" t="s">
        <v>584</v>
      </c>
      <c r="C502" s="1"/>
      <c r="D502" s="1" t="s">
        <v>69</v>
      </c>
      <c r="E502" s="1" t="s">
        <v>4560</v>
      </c>
      <c r="F502" s="1" t="s">
        <v>98</v>
      </c>
      <c r="G502" s="1" t="s">
        <v>4561</v>
      </c>
      <c r="H502" s="1">
        <v>0</v>
      </c>
      <c r="I502" s="1" t="s">
        <v>142</v>
      </c>
      <c r="J502" s="1" t="s">
        <v>4562</v>
      </c>
      <c r="K502" s="1"/>
      <c r="L502" s="1"/>
      <c r="M502" s="1" t="s">
        <v>144</v>
      </c>
      <c r="N502" s="1">
        <v>0</v>
      </c>
      <c r="O502" s="1">
        <v>0</v>
      </c>
      <c r="P502" s="1" t="s">
        <v>1410</v>
      </c>
      <c r="Q502" s="1" t="s">
        <v>268</v>
      </c>
      <c r="R502" s="1" t="s">
        <v>4563</v>
      </c>
      <c r="S502" s="1" t="s">
        <v>4564</v>
      </c>
      <c r="T502" s="1" t="s">
        <v>107</v>
      </c>
      <c r="U502" s="1" t="s">
        <v>4565</v>
      </c>
      <c r="V502" s="1">
        <v>1</v>
      </c>
      <c r="W502" s="1">
        <v>1</v>
      </c>
      <c r="X502" s="1">
        <v>0</v>
      </c>
      <c r="Y502" s="1">
        <v>1</v>
      </c>
      <c r="Z502" s="1">
        <v>1</v>
      </c>
      <c r="AA502" s="1" t="s">
        <v>109</v>
      </c>
      <c r="AB502" s="1" t="s">
        <v>109</v>
      </c>
      <c r="AC502" s="1">
        <v>2</v>
      </c>
      <c r="AD502" s="1" t="s">
        <v>109</v>
      </c>
      <c r="AE502" s="1" t="s">
        <v>109</v>
      </c>
      <c r="AF502" s="1">
        <v>2</v>
      </c>
      <c r="AG502" s="1" t="s">
        <v>109</v>
      </c>
      <c r="AH502" s="1" t="s">
        <v>109</v>
      </c>
      <c r="AI502" s="1" t="s">
        <v>109</v>
      </c>
      <c r="AJ502" s="1" t="s">
        <v>109</v>
      </c>
      <c r="AK502" s="1" t="s">
        <v>109</v>
      </c>
      <c r="AL502" s="1">
        <v>2</v>
      </c>
      <c r="AM502" s="1" t="s">
        <v>109</v>
      </c>
      <c r="AN502" s="1" t="s">
        <v>109</v>
      </c>
      <c r="AO502" s="1" t="s">
        <v>109</v>
      </c>
      <c r="AP502" s="1"/>
      <c r="AQ502" s="1">
        <v>2</v>
      </c>
      <c r="AR502" s="1"/>
      <c r="AS502" s="1" t="s">
        <v>4566</v>
      </c>
      <c r="AT502" s="1">
        <v>0</v>
      </c>
      <c r="AU502" s="1">
        <v>0</v>
      </c>
      <c r="AV502" s="1">
        <v>0</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1</v>
      </c>
      <c r="BR502" s="1">
        <v>0</v>
      </c>
      <c r="BS502" s="5" t="str">
        <f>HYPERLINK("http://www.d20pfsrd.com/magic/all-spells/s/sound-burst","Sound Burst")</f>
        <v>Sound Burst</v>
      </c>
      <c r="BT502" s="1">
        <v>503</v>
      </c>
      <c r="BU502" s="1" t="s">
        <v>109</v>
      </c>
      <c r="BV502" s="1"/>
      <c r="BW502" s="1"/>
      <c r="BX502" s="1"/>
      <c r="BY502" s="1"/>
      <c r="BZ502" s="1">
        <v>0</v>
      </c>
      <c r="CA502" s="1" t="s">
        <v>109</v>
      </c>
      <c r="CB502" s="1" t="s">
        <v>109</v>
      </c>
      <c r="CC502" s="1" t="s">
        <v>109</v>
      </c>
      <c r="CD502" s="1" t="s">
        <v>109</v>
      </c>
      <c r="CE502" s="1" t="s">
        <v>109</v>
      </c>
      <c r="CF502" s="1">
        <v>2</v>
      </c>
      <c r="CG502" s="1" t="s">
        <v>109</v>
      </c>
      <c r="CH502" s="1" t="s">
        <v>109</v>
      </c>
      <c r="CI502" s="1" t="s">
        <v>109</v>
      </c>
      <c r="CJ502" s="1" t="s">
        <v>109</v>
      </c>
      <c r="CK502" s="1"/>
      <c r="CL502" s="1">
        <v>0</v>
      </c>
      <c r="CM502" s="1">
        <v>0</v>
      </c>
      <c r="CN502" s="1">
        <v>0</v>
      </c>
    </row>
    <row r="503" spans="1:92" ht="14.25" customHeight="1" x14ac:dyDescent="0.15">
      <c r="A503" s="1" t="s">
        <v>4567</v>
      </c>
      <c r="B503" s="1" t="s">
        <v>254</v>
      </c>
      <c r="C503" s="1"/>
      <c r="D503" s="1"/>
      <c r="E503" s="1" t="s">
        <v>4568</v>
      </c>
      <c r="F503" s="1" t="s">
        <v>98</v>
      </c>
      <c r="G503" s="1" t="s">
        <v>141</v>
      </c>
      <c r="H503" s="1">
        <v>0</v>
      </c>
      <c r="I503" s="1" t="s">
        <v>235</v>
      </c>
      <c r="J503" s="1"/>
      <c r="K503" s="1"/>
      <c r="L503" s="1" t="s">
        <v>236</v>
      </c>
      <c r="M503" s="1" t="s">
        <v>164</v>
      </c>
      <c r="N503" s="1">
        <v>0</v>
      </c>
      <c r="O503" s="1">
        <v>0</v>
      </c>
      <c r="P503" s="1"/>
      <c r="Q503" s="1"/>
      <c r="R503" s="1" t="s">
        <v>4569</v>
      </c>
      <c r="S503" s="1" t="s">
        <v>4570</v>
      </c>
      <c r="T503" s="1" t="s">
        <v>107</v>
      </c>
      <c r="U503" s="1" t="s">
        <v>4571</v>
      </c>
      <c r="V503" s="1">
        <v>1</v>
      </c>
      <c r="W503" s="1">
        <v>1</v>
      </c>
      <c r="X503" s="1">
        <v>0</v>
      </c>
      <c r="Y503" s="1">
        <v>0</v>
      </c>
      <c r="Z503" s="1">
        <v>0</v>
      </c>
      <c r="AA503" s="1" t="s">
        <v>109</v>
      </c>
      <c r="AB503" s="1" t="s">
        <v>109</v>
      </c>
      <c r="AC503" s="1" t="s">
        <v>109</v>
      </c>
      <c r="AD503" s="1">
        <v>1</v>
      </c>
      <c r="AE503" s="1">
        <v>1</v>
      </c>
      <c r="AF503" s="1">
        <v>3</v>
      </c>
      <c r="AG503" s="1" t="s">
        <v>109</v>
      </c>
      <c r="AH503" s="1" t="s">
        <v>109</v>
      </c>
      <c r="AI503" s="1" t="s">
        <v>109</v>
      </c>
      <c r="AJ503" s="1" t="s">
        <v>109</v>
      </c>
      <c r="AK503" s="1" t="s">
        <v>109</v>
      </c>
      <c r="AL503" s="1" t="s">
        <v>109</v>
      </c>
      <c r="AM503" s="1" t="s">
        <v>109</v>
      </c>
      <c r="AN503" s="1" t="s">
        <v>109</v>
      </c>
      <c r="AO503" s="1" t="s">
        <v>109</v>
      </c>
      <c r="AP503" s="1"/>
      <c r="AQ503" s="1">
        <v>1</v>
      </c>
      <c r="AR503" s="1"/>
      <c r="AS503" s="1" t="s">
        <v>4572</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5" t="str">
        <f>HYPERLINK("http://www.d20pfsrd.com/magic/all-spells/s/speak-with-animals","Speak with Animals")</f>
        <v>Speak with Animals</v>
      </c>
      <c r="BT503" s="1">
        <v>504</v>
      </c>
      <c r="BU503" s="1" t="s">
        <v>109</v>
      </c>
      <c r="BV503" s="1"/>
      <c r="BW503" s="1" t="s">
        <v>4573</v>
      </c>
      <c r="BX503" s="1"/>
      <c r="BY503" s="1"/>
      <c r="BZ503" s="1">
        <v>0</v>
      </c>
      <c r="CA503" s="1" t="s">
        <v>109</v>
      </c>
      <c r="CB503" s="1" t="s">
        <v>109</v>
      </c>
      <c r="CC503" s="1">
        <v>2</v>
      </c>
      <c r="CD503" s="1" t="s">
        <v>109</v>
      </c>
      <c r="CE503" s="1" t="s">
        <v>109</v>
      </c>
      <c r="CF503" s="1" t="s">
        <v>109</v>
      </c>
      <c r="CG503" s="1" t="s">
        <v>109</v>
      </c>
      <c r="CH503" s="1" t="s">
        <v>109</v>
      </c>
      <c r="CI503" s="1" t="s">
        <v>109</v>
      </c>
      <c r="CJ503" s="1">
        <v>1</v>
      </c>
      <c r="CK503" s="1"/>
      <c r="CL503" s="1">
        <v>0</v>
      </c>
      <c r="CM503" s="1">
        <v>0</v>
      </c>
      <c r="CN503" s="1">
        <v>0</v>
      </c>
    </row>
    <row r="504" spans="1:92" ht="14.25" customHeight="1" x14ac:dyDescent="0.15">
      <c r="A504" s="1" t="s">
        <v>4574</v>
      </c>
      <c r="B504" s="1" t="s">
        <v>308</v>
      </c>
      <c r="C504" s="1"/>
      <c r="D504" s="1" t="s">
        <v>3274</v>
      </c>
      <c r="E504" s="1" t="s">
        <v>4575</v>
      </c>
      <c r="F504" s="1" t="s">
        <v>395</v>
      </c>
      <c r="G504" s="1" t="s">
        <v>160</v>
      </c>
      <c r="H504" s="1">
        <v>0</v>
      </c>
      <c r="I504" s="1" t="s">
        <v>356</v>
      </c>
      <c r="J504" s="1"/>
      <c r="K504" s="1"/>
      <c r="L504" s="1" t="s">
        <v>4576</v>
      </c>
      <c r="M504" s="1" t="s">
        <v>164</v>
      </c>
      <c r="N504" s="1">
        <v>0</v>
      </c>
      <c r="O504" s="1">
        <v>0</v>
      </c>
      <c r="P504" s="1" t="s">
        <v>564</v>
      </c>
      <c r="Q504" s="1" t="s">
        <v>104</v>
      </c>
      <c r="R504" s="1" t="s">
        <v>4577</v>
      </c>
      <c r="S504" s="1" t="s">
        <v>4578</v>
      </c>
      <c r="T504" s="1" t="s">
        <v>107</v>
      </c>
      <c r="U504" s="1" t="s">
        <v>4579</v>
      </c>
      <c r="V504" s="1">
        <v>1</v>
      </c>
      <c r="W504" s="1">
        <v>1</v>
      </c>
      <c r="X504" s="1">
        <v>0</v>
      </c>
      <c r="Y504" s="1">
        <v>0</v>
      </c>
      <c r="Z504" s="1">
        <v>1</v>
      </c>
      <c r="AA504" s="1" t="s">
        <v>109</v>
      </c>
      <c r="AB504" s="1" t="s">
        <v>109</v>
      </c>
      <c r="AC504" s="1">
        <v>3</v>
      </c>
      <c r="AD504" s="1" t="s">
        <v>109</v>
      </c>
      <c r="AE504" s="1" t="s">
        <v>109</v>
      </c>
      <c r="AF504" s="1" t="s">
        <v>109</v>
      </c>
      <c r="AG504" s="1" t="s">
        <v>109</v>
      </c>
      <c r="AH504" s="1" t="s">
        <v>109</v>
      </c>
      <c r="AI504" s="1" t="s">
        <v>109</v>
      </c>
      <c r="AJ504" s="1">
        <v>3</v>
      </c>
      <c r="AK504" s="1">
        <v>3</v>
      </c>
      <c r="AL504" s="1">
        <v>3</v>
      </c>
      <c r="AM504" s="1" t="s">
        <v>109</v>
      </c>
      <c r="AN504" s="1" t="s">
        <v>109</v>
      </c>
      <c r="AO504" s="1" t="s">
        <v>109</v>
      </c>
      <c r="AP504" s="1"/>
      <c r="AQ504" s="1">
        <v>3</v>
      </c>
      <c r="AR504" s="1" t="s">
        <v>4580</v>
      </c>
      <c r="AS504" s="1" t="s">
        <v>4581</v>
      </c>
      <c r="AT504" s="1">
        <v>0</v>
      </c>
      <c r="AU504" s="1">
        <v>0</v>
      </c>
      <c r="AV504" s="1">
        <v>0</v>
      </c>
      <c r="AW504" s="1">
        <v>0</v>
      </c>
      <c r="AX504" s="1">
        <v>0</v>
      </c>
      <c r="AY504" s="1">
        <v>0</v>
      </c>
      <c r="AZ504" s="1">
        <v>0</v>
      </c>
      <c r="BA504" s="1">
        <v>0</v>
      </c>
      <c r="BB504" s="1">
        <v>0</v>
      </c>
      <c r="BC504" s="1">
        <v>0</v>
      </c>
      <c r="BD504" s="1">
        <v>0</v>
      </c>
      <c r="BE504" s="1">
        <v>0</v>
      </c>
      <c r="BF504" s="1">
        <v>0</v>
      </c>
      <c r="BG504" s="1">
        <v>0</v>
      </c>
      <c r="BH504" s="1">
        <v>0</v>
      </c>
      <c r="BI504" s="1">
        <v>0</v>
      </c>
      <c r="BJ504" s="1">
        <v>1</v>
      </c>
      <c r="BK504" s="1">
        <v>0</v>
      </c>
      <c r="BL504" s="1">
        <v>0</v>
      </c>
      <c r="BM504" s="1">
        <v>0</v>
      </c>
      <c r="BN504" s="1">
        <v>0</v>
      </c>
      <c r="BO504" s="1">
        <v>0</v>
      </c>
      <c r="BP504" s="1">
        <v>0</v>
      </c>
      <c r="BQ504" s="1">
        <v>0</v>
      </c>
      <c r="BR504" s="1">
        <v>0</v>
      </c>
      <c r="BS504" s="5" t="str">
        <f>HYPERLINK("http://www.d20pfsrd.com/magic/all-spells/s/speak-with-dead","Speak with Dead")</f>
        <v>Speak with Dead</v>
      </c>
      <c r="BT504" s="1">
        <v>505</v>
      </c>
      <c r="BU504" s="1" t="s">
        <v>109</v>
      </c>
      <c r="BV504" s="1"/>
      <c r="BW504" s="1" t="s">
        <v>4582</v>
      </c>
      <c r="BX504" s="1"/>
      <c r="BY504" s="1"/>
      <c r="BZ504" s="1">
        <v>0</v>
      </c>
      <c r="CA504" s="1" t="s">
        <v>109</v>
      </c>
      <c r="CB504" s="1">
        <v>3</v>
      </c>
      <c r="CC504" s="1">
        <v>3</v>
      </c>
      <c r="CD504" s="1" t="s">
        <v>109</v>
      </c>
      <c r="CE504" s="1" t="s">
        <v>109</v>
      </c>
      <c r="CF504" s="1" t="s">
        <v>109</v>
      </c>
      <c r="CG504" s="1">
        <v>3</v>
      </c>
      <c r="CH504" s="1" t="s">
        <v>109</v>
      </c>
      <c r="CI504" s="1" t="s">
        <v>109</v>
      </c>
      <c r="CJ504" s="1" t="s">
        <v>109</v>
      </c>
      <c r="CK504" s="1"/>
      <c r="CL504" s="1">
        <v>0</v>
      </c>
      <c r="CM504" s="1">
        <v>0</v>
      </c>
      <c r="CN504" s="1">
        <v>0</v>
      </c>
    </row>
    <row r="505" spans="1:92" ht="14.25" customHeight="1" x14ac:dyDescent="0.15">
      <c r="A505" s="1" t="s">
        <v>4583</v>
      </c>
      <c r="B505" s="1" t="s">
        <v>254</v>
      </c>
      <c r="C505" s="1"/>
      <c r="D505" s="1"/>
      <c r="E505" s="1" t="s">
        <v>4584</v>
      </c>
      <c r="F505" s="1" t="s">
        <v>98</v>
      </c>
      <c r="G505" s="1" t="s">
        <v>141</v>
      </c>
      <c r="H505" s="1">
        <v>0</v>
      </c>
      <c r="I505" s="1" t="s">
        <v>235</v>
      </c>
      <c r="J505" s="1"/>
      <c r="K505" s="1"/>
      <c r="L505" s="1" t="s">
        <v>236</v>
      </c>
      <c r="M505" s="1" t="s">
        <v>164</v>
      </c>
      <c r="N505" s="1">
        <v>0</v>
      </c>
      <c r="O505" s="1">
        <v>0</v>
      </c>
      <c r="P505" s="1"/>
      <c r="Q505" s="1"/>
      <c r="R505" s="1" t="s">
        <v>4585</v>
      </c>
      <c r="S505" s="1" t="s">
        <v>4586</v>
      </c>
      <c r="T505" s="1" t="s">
        <v>107</v>
      </c>
      <c r="U505" s="1" t="s">
        <v>4587</v>
      </c>
      <c r="V505" s="1">
        <v>1</v>
      </c>
      <c r="W505" s="1">
        <v>1</v>
      </c>
      <c r="X505" s="1">
        <v>0</v>
      </c>
      <c r="Y505" s="1">
        <v>0</v>
      </c>
      <c r="Z505" s="1">
        <v>0</v>
      </c>
      <c r="AA505" s="1" t="s">
        <v>109</v>
      </c>
      <c r="AB505" s="1" t="s">
        <v>109</v>
      </c>
      <c r="AC505" s="1" t="s">
        <v>109</v>
      </c>
      <c r="AD505" s="1">
        <v>3</v>
      </c>
      <c r="AE505" s="1">
        <v>2</v>
      </c>
      <c r="AF505" s="1">
        <v>4</v>
      </c>
      <c r="AG505" s="1" t="s">
        <v>109</v>
      </c>
      <c r="AH505" s="1" t="s">
        <v>109</v>
      </c>
      <c r="AI505" s="1" t="s">
        <v>109</v>
      </c>
      <c r="AJ505" s="1" t="s">
        <v>109</v>
      </c>
      <c r="AK505" s="1" t="s">
        <v>109</v>
      </c>
      <c r="AL505" s="1" t="s">
        <v>109</v>
      </c>
      <c r="AM505" s="1" t="s">
        <v>109</v>
      </c>
      <c r="AN505" s="1" t="s">
        <v>109</v>
      </c>
      <c r="AO505" s="1" t="s">
        <v>109</v>
      </c>
      <c r="AP505" s="1"/>
      <c r="AQ505" s="1">
        <v>3</v>
      </c>
      <c r="AR505" s="1"/>
      <c r="AS505" s="1" t="s">
        <v>4588</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5" t="str">
        <f>HYPERLINK("http://www.d20pfsrd.com/magic/all-spells/s/speak-with-plants","Speak with Plants")</f>
        <v>Speak with Plants</v>
      </c>
      <c r="BT505" s="1">
        <v>506</v>
      </c>
      <c r="BU505" s="1" t="s">
        <v>109</v>
      </c>
      <c r="BV505" s="1" t="s">
        <v>4589</v>
      </c>
      <c r="BW505" s="1"/>
      <c r="BX505" s="1"/>
      <c r="BY505" s="1"/>
      <c r="BZ505" s="1">
        <v>0</v>
      </c>
      <c r="CA505" s="1" t="s">
        <v>109</v>
      </c>
      <c r="CB505" s="1" t="s">
        <v>109</v>
      </c>
      <c r="CC505" s="1" t="s">
        <v>109</v>
      </c>
      <c r="CD505" s="1" t="s">
        <v>109</v>
      </c>
      <c r="CE505" s="1" t="s">
        <v>109</v>
      </c>
      <c r="CF505" s="1" t="s">
        <v>109</v>
      </c>
      <c r="CG505" s="1" t="s">
        <v>109</v>
      </c>
      <c r="CH505" s="1" t="s">
        <v>109</v>
      </c>
      <c r="CI505" s="1" t="s">
        <v>109</v>
      </c>
      <c r="CJ505" s="1">
        <v>2</v>
      </c>
      <c r="CK505" s="1"/>
      <c r="CL505" s="1">
        <v>0</v>
      </c>
      <c r="CM505" s="1">
        <v>0</v>
      </c>
      <c r="CN505" s="1">
        <v>0</v>
      </c>
    </row>
    <row r="506" spans="1:92" ht="14.25" customHeight="1" x14ac:dyDescent="0.15">
      <c r="A506" s="1" t="s">
        <v>4590</v>
      </c>
      <c r="B506" s="1" t="s">
        <v>308</v>
      </c>
      <c r="C506" s="1"/>
      <c r="D506" s="1"/>
      <c r="E506" s="1" t="s">
        <v>4591</v>
      </c>
      <c r="F506" s="1" t="s">
        <v>98</v>
      </c>
      <c r="G506" s="1" t="s">
        <v>141</v>
      </c>
      <c r="H506" s="1">
        <v>0</v>
      </c>
      <c r="I506" s="1" t="s">
        <v>122</v>
      </c>
      <c r="J506" s="1"/>
      <c r="K506" s="1" t="s">
        <v>4592</v>
      </c>
      <c r="L506" s="1"/>
      <c r="M506" s="1" t="s">
        <v>164</v>
      </c>
      <c r="N506" s="1">
        <v>1</v>
      </c>
      <c r="O506" s="1">
        <v>0</v>
      </c>
      <c r="P506" s="1" t="s">
        <v>103</v>
      </c>
      <c r="Q506" s="1" t="s">
        <v>104</v>
      </c>
      <c r="R506" s="1" t="s">
        <v>4593</v>
      </c>
      <c r="S506" s="1" t="s">
        <v>4594</v>
      </c>
      <c r="T506" s="1" t="s">
        <v>107</v>
      </c>
      <c r="U506" s="1" t="s">
        <v>4595</v>
      </c>
      <c r="V506" s="1">
        <v>1</v>
      </c>
      <c r="W506" s="1">
        <v>1</v>
      </c>
      <c r="X506" s="1">
        <v>0</v>
      </c>
      <c r="Y506" s="1">
        <v>0</v>
      </c>
      <c r="Z506" s="1">
        <v>0</v>
      </c>
      <c r="AA506" s="1">
        <v>2</v>
      </c>
      <c r="AB506" s="1">
        <v>2</v>
      </c>
      <c r="AC506" s="1" t="s">
        <v>109</v>
      </c>
      <c r="AD506" s="1" t="s">
        <v>109</v>
      </c>
      <c r="AE506" s="1" t="s">
        <v>109</v>
      </c>
      <c r="AF506" s="1" t="s">
        <v>109</v>
      </c>
      <c r="AG506" s="1" t="s">
        <v>109</v>
      </c>
      <c r="AH506" s="1" t="s">
        <v>109</v>
      </c>
      <c r="AI506" s="1" t="s">
        <v>109</v>
      </c>
      <c r="AJ506" s="1">
        <v>2</v>
      </c>
      <c r="AK506" s="1" t="s">
        <v>109</v>
      </c>
      <c r="AL506" s="1" t="s">
        <v>109</v>
      </c>
      <c r="AM506" s="1" t="s">
        <v>109</v>
      </c>
      <c r="AN506" s="1" t="s">
        <v>109</v>
      </c>
      <c r="AO506" s="1" t="s">
        <v>109</v>
      </c>
      <c r="AP506" s="1"/>
      <c r="AQ506" s="1">
        <v>2</v>
      </c>
      <c r="AR506" s="1"/>
      <c r="AS506" s="1" t="s">
        <v>4596</v>
      </c>
      <c r="AT506" s="1">
        <v>0</v>
      </c>
      <c r="AU506" s="1">
        <v>0</v>
      </c>
      <c r="AV506" s="1">
        <v>0</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5" t="str">
        <f>HYPERLINK("http://www.d20pfsrd.com/magic/all-spells/s/spectral-hand","Spectral Hand")</f>
        <v>Spectral Hand</v>
      </c>
      <c r="BT506" s="1">
        <v>507</v>
      </c>
      <c r="BU506" s="1" t="s">
        <v>109</v>
      </c>
      <c r="BV506" s="1"/>
      <c r="BW506" s="1"/>
      <c r="BX506" s="1"/>
      <c r="BY506" s="1"/>
      <c r="BZ506" s="1">
        <v>0</v>
      </c>
      <c r="CA506" s="1" t="s">
        <v>109</v>
      </c>
      <c r="CB506" s="1" t="s">
        <v>109</v>
      </c>
      <c r="CC506" s="1">
        <v>2</v>
      </c>
      <c r="CD506" s="1" t="s">
        <v>109</v>
      </c>
      <c r="CE506" s="1" t="s">
        <v>109</v>
      </c>
      <c r="CF506" s="1">
        <v>2</v>
      </c>
      <c r="CG506" s="1">
        <v>2</v>
      </c>
      <c r="CH506" s="1" t="s">
        <v>109</v>
      </c>
      <c r="CI506" s="1" t="s">
        <v>109</v>
      </c>
      <c r="CJ506" s="1" t="s">
        <v>109</v>
      </c>
      <c r="CK506" s="1"/>
      <c r="CL506" s="1">
        <v>0</v>
      </c>
      <c r="CM506" s="1">
        <v>0</v>
      </c>
      <c r="CN506" s="1">
        <v>0</v>
      </c>
    </row>
    <row r="507" spans="1:92" ht="14.25" customHeight="1" x14ac:dyDescent="0.15">
      <c r="A507" s="1" t="s">
        <v>4597</v>
      </c>
      <c r="B507" s="1" t="s">
        <v>242</v>
      </c>
      <c r="C507" s="1"/>
      <c r="D507" s="1"/>
      <c r="E507" s="1" t="s">
        <v>4598</v>
      </c>
      <c r="F507" s="1" t="s">
        <v>98</v>
      </c>
      <c r="G507" s="1" t="s">
        <v>160</v>
      </c>
      <c r="H507" s="1">
        <v>0</v>
      </c>
      <c r="I507" s="1" t="s">
        <v>161</v>
      </c>
      <c r="J507" s="1"/>
      <c r="K507" s="1"/>
      <c r="L507" s="1" t="s">
        <v>506</v>
      </c>
      <c r="M507" s="1" t="s">
        <v>194</v>
      </c>
      <c r="N507" s="1">
        <v>0</v>
      </c>
      <c r="O507" s="1">
        <v>0</v>
      </c>
      <c r="P507" s="1" t="s">
        <v>507</v>
      </c>
      <c r="Q507" s="1" t="s">
        <v>167</v>
      </c>
      <c r="R507" s="1" t="s">
        <v>4599</v>
      </c>
      <c r="S507" s="1" t="s">
        <v>4600</v>
      </c>
      <c r="T507" s="1" t="s">
        <v>107</v>
      </c>
      <c r="U507" s="1" t="s">
        <v>4601</v>
      </c>
      <c r="V507" s="1">
        <v>1</v>
      </c>
      <c r="W507" s="1">
        <v>1</v>
      </c>
      <c r="X507" s="1">
        <v>0</v>
      </c>
      <c r="Y507" s="1">
        <v>0</v>
      </c>
      <c r="Z507" s="1">
        <v>1</v>
      </c>
      <c r="AA507" s="1" t="s">
        <v>109</v>
      </c>
      <c r="AB507" s="1" t="s">
        <v>109</v>
      </c>
      <c r="AC507" s="1">
        <v>4</v>
      </c>
      <c r="AD507" s="1" t="s">
        <v>109</v>
      </c>
      <c r="AE507" s="1" t="s">
        <v>109</v>
      </c>
      <c r="AF507" s="1" t="s">
        <v>109</v>
      </c>
      <c r="AG507" s="1" t="s">
        <v>109</v>
      </c>
      <c r="AH507" s="1">
        <v>4</v>
      </c>
      <c r="AI507" s="1" t="s">
        <v>109</v>
      </c>
      <c r="AJ507" s="1" t="s">
        <v>109</v>
      </c>
      <c r="AK507" s="1">
        <v>4</v>
      </c>
      <c r="AL507" s="1">
        <v>4</v>
      </c>
      <c r="AM507" s="1" t="s">
        <v>109</v>
      </c>
      <c r="AN507" s="1" t="s">
        <v>109</v>
      </c>
      <c r="AO507" s="1" t="s">
        <v>109</v>
      </c>
      <c r="AP507" s="1"/>
      <c r="AQ507" s="1">
        <v>4</v>
      </c>
      <c r="AR507" s="1" t="s">
        <v>4602</v>
      </c>
      <c r="AS507" s="1" t="s">
        <v>4603</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5" t="str">
        <f>HYPERLINK("http://www.d20pfsrd.com/magic/all-spells/s/spell-immunity","Spell Immunity")</f>
        <v>Spell Immunity</v>
      </c>
      <c r="BT507" s="1">
        <v>508</v>
      </c>
      <c r="BU507" s="1" t="s">
        <v>109</v>
      </c>
      <c r="BV507" s="1"/>
      <c r="BW507" s="1" t="s">
        <v>4604</v>
      </c>
      <c r="BX507" s="1"/>
      <c r="BY507" s="1"/>
      <c r="BZ507" s="1">
        <v>0</v>
      </c>
      <c r="CA507" s="1" t="s">
        <v>109</v>
      </c>
      <c r="CB507" s="1" t="s">
        <v>109</v>
      </c>
      <c r="CC507" s="1">
        <v>4</v>
      </c>
      <c r="CD507" s="1" t="s">
        <v>109</v>
      </c>
      <c r="CE507" s="1" t="s">
        <v>109</v>
      </c>
      <c r="CF507" s="1">
        <v>4</v>
      </c>
      <c r="CG507" s="1">
        <v>4</v>
      </c>
      <c r="CH507" s="1" t="s">
        <v>109</v>
      </c>
      <c r="CI507" s="1" t="s">
        <v>109</v>
      </c>
      <c r="CJ507" s="1" t="s">
        <v>109</v>
      </c>
      <c r="CK507" s="1"/>
      <c r="CL507" s="1">
        <v>0</v>
      </c>
      <c r="CM507" s="1">
        <v>0</v>
      </c>
      <c r="CN507" s="1">
        <v>0</v>
      </c>
    </row>
    <row r="508" spans="1:92" ht="14.25" customHeight="1" x14ac:dyDescent="0.15">
      <c r="A508" s="1" t="s">
        <v>4605</v>
      </c>
      <c r="B508" s="1" t="s">
        <v>242</v>
      </c>
      <c r="C508" s="1"/>
      <c r="D508" s="1"/>
      <c r="E508" s="1" t="s">
        <v>4606</v>
      </c>
      <c r="F508" s="1" t="s">
        <v>98</v>
      </c>
      <c r="G508" s="1" t="s">
        <v>160</v>
      </c>
      <c r="H508" s="1">
        <v>0</v>
      </c>
      <c r="I508" s="1" t="s">
        <v>161</v>
      </c>
      <c r="J508" s="1"/>
      <c r="K508" s="1"/>
      <c r="L508" s="1" t="s">
        <v>506</v>
      </c>
      <c r="M508" s="1" t="s">
        <v>194</v>
      </c>
      <c r="N508" s="1">
        <v>0</v>
      </c>
      <c r="O508" s="1">
        <v>0</v>
      </c>
      <c r="P508" s="1" t="s">
        <v>507</v>
      </c>
      <c r="Q508" s="1" t="s">
        <v>167</v>
      </c>
      <c r="R508" s="1" t="s">
        <v>4607</v>
      </c>
      <c r="S508" s="1" t="s">
        <v>4608</v>
      </c>
      <c r="T508" s="1" t="s">
        <v>107</v>
      </c>
      <c r="U508" s="1" t="s">
        <v>4609</v>
      </c>
      <c r="V508" s="1">
        <v>1</v>
      </c>
      <c r="W508" s="1">
        <v>1</v>
      </c>
      <c r="X508" s="1">
        <v>0</v>
      </c>
      <c r="Y508" s="1">
        <v>0</v>
      </c>
      <c r="Z508" s="1">
        <v>1</v>
      </c>
      <c r="AA508" s="1" t="s">
        <v>109</v>
      </c>
      <c r="AB508" s="1" t="s">
        <v>109</v>
      </c>
      <c r="AC508" s="1">
        <v>8</v>
      </c>
      <c r="AD508" s="1" t="s">
        <v>109</v>
      </c>
      <c r="AE508" s="1" t="s">
        <v>109</v>
      </c>
      <c r="AF508" s="1" t="s">
        <v>109</v>
      </c>
      <c r="AG508" s="1" t="s">
        <v>109</v>
      </c>
      <c r="AH508" s="1" t="s">
        <v>109</v>
      </c>
      <c r="AI508" s="1" t="s">
        <v>109</v>
      </c>
      <c r="AJ508" s="1" t="s">
        <v>109</v>
      </c>
      <c r="AK508" s="1" t="s">
        <v>109</v>
      </c>
      <c r="AL508" s="1">
        <v>8</v>
      </c>
      <c r="AM508" s="1" t="s">
        <v>109</v>
      </c>
      <c r="AN508" s="1" t="s">
        <v>109</v>
      </c>
      <c r="AO508" s="1" t="s">
        <v>109</v>
      </c>
      <c r="AP508" s="1"/>
      <c r="AQ508" s="1">
        <v>8</v>
      </c>
      <c r="AR508" s="1"/>
      <c r="AS508" s="1" t="s">
        <v>4610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5" t="str">
        <f>HYPERLINK("http://www.d20pfsrd.com/magic/all-spells/s/spell-immunity","Spell Immunity, Greater")</f>
        <v>Spell Immunity, Greater</v>
      </c>
      <c r="BT508" s="1">
        <v>509</v>
      </c>
      <c r="BU508" s="1" t="s">
        <v>109</v>
      </c>
      <c r="BV508" s="1"/>
      <c r="BW508" s="1"/>
      <c r="BX508" s="1"/>
      <c r="BY508" s="1"/>
      <c r="BZ508" s="1">
        <v>0</v>
      </c>
      <c r="CA508" s="1" t="s">
        <v>109</v>
      </c>
      <c r="CB508" s="1" t="s">
        <v>109</v>
      </c>
      <c r="CC508" s="1">
        <v>8</v>
      </c>
      <c r="CD508" s="1" t="s">
        <v>109</v>
      </c>
      <c r="CE508" s="1" t="s">
        <v>109</v>
      </c>
      <c r="CF508" s="1" t="s">
        <v>109</v>
      </c>
      <c r="CG508" s="1" t="s">
        <v>109</v>
      </c>
      <c r="CH508" s="1" t="s">
        <v>109</v>
      </c>
      <c r="CI508" s="1" t="s">
        <v>109</v>
      </c>
      <c r="CJ508" s="1" t="s">
        <v>109</v>
      </c>
      <c r="CK508" s="1"/>
      <c r="CL508" s="1">
        <v>0</v>
      </c>
      <c r="CM508" s="1">
        <v>0</v>
      </c>
      <c r="CN508" s="1">
        <v>0</v>
      </c>
    </row>
    <row r="509" spans="1:92" ht="14.25" customHeight="1" x14ac:dyDescent="0.15">
      <c r="A509" s="1" t="s">
        <v>4611</v>
      </c>
      <c r="B509" s="1" t="s">
        <v>242</v>
      </c>
      <c r="C509" s="1"/>
      <c r="D509" s="1"/>
      <c r="E509" s="1" t="s">
        <v>4612</v>
      </c>
      <c r="F509" s="1" t="s">
        <v>98</v>
      </c>
      <c r="G509" s="1" t="s">
        <v>160</v>
      </c>
      <c r="H509" s="1">
        <v>0</v>
      </c>
      <c r="I509" s="1" t="s">
        <v>161</v>
      </c>
      <c r="J509" s="1"/>
      <c r="K509" s="1"/>
      <c r="L509" s="1" t="s">
        <v>506</v>
      </c>
      <c r="M509" s="1" t="s">
        <v>164</v>
      </c>
      <c r="N509" s="1">
        <v>0</v>
      </c>
      <c r="O509" s="1">
        <v>0</v>
      </c>
      <c r="P509" s="1" t="s">
        <v>507</v>
      </c>
      <c r="Q509" s="1" t="s">
        <v>167</v>
      </c>
      <c r="R509" s="1" t="s">
        <v>4613</v>
      </c>
      <c r="S509" s="1" t="s">
        <v>4614</v>
      </c>
      <c r="T509" s="1" t="s">
        <v>107</v>
      </c>
      <c r="U509" s="1" t="s">
        <v>4615</v>
      </c>
      <c r="V509" s="1">
        <v>1</v>
      </c>
      <c r="W509" s="1">
        <v>1</v>
      </c>
      <c r="X509" s="1">
        <v>0</v>
      </c>
      <c r="Y509" s="1">
        <v>0</v>
      </c>
      <c r="Z509" s="1">
        <v>1</v>
      </c>
      <c r="AA509" s="1" t="s">
        <v>109</v>
      </c>
      <c r="AB509" s="1" t="s">
        <v>109</v>
      </c>
      <c r="AC509" s="1">
        <v>5</v>
      </c>
      <c r="AD509" s="1" t="s">
        <v>109</v>
      </c>
      <c r="AE509" s="1" t="s">
        <v>109</v>
      </c>
      <c r="AF509" s="1" t="s">
        <v>109</v>
      </c>
      <c r="AG509" s="1" t="s">
        <v>109</v>
      </c>
      <c r="AH509" s="1">
        <v>5</v>
      </c>
      <c r="AI509" s="1" t="s">
        <v>109</v>
      </c>
      <c r="AJ509" s="1" t="s">
        <v>109</v>
      </c>
      <c r="AK509" s="1">
        <v>5</v>
      </c>
      <c r="AL509" s="1">
        <v>5</v>
      </c>
      <c r="AM509" s="1" t="s">
        <v>109</v>
      </c>
      <c r="AN509" s="1" t="s">
        <v>109</v>
      </c>
      <c r="AO509" s="1" t="s">
        <v>109</v>
      </c>
      <c r="AP509" s="1"/>
      <c r="AQ509" s="1">
        <v>5</v>
      </c>
      <c r="AR509" s="1" t="s">
        <v>4616</v>
      </c>
      <c r="AS509" s="1" t="s">
        <v>4617</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5" t="str">
        <f>HYPERLINK("http://www.d20pfsrd.com/magic/all-spells/s/spell-resistance","Spell Resistance")</f>
        <v>Spell Resistance</v>
      </c>
      <c r="BT509" s="1">
        <v>510</v>
      </c>
      <c r="BU509" s="1" t="s">
        <v>109</v>
      </c>
      <c r="BV509" s="1" t="s">
        <v>4618</v>
      </c>
      <c r="BW509" s="1" t="s">
        <v>4619</v>
      </c>
      <c r="BX509" s="1"/>
      <c r="BY509" s="1"/>
      <c r="BZ509" s="1">
        <v>0</v>
      </c>
      <c r="CA509" s="1" t="s">
        <v>109</v>
      </c>
      <c r="CB509" s="1" t="s">
        <v>109</v>
      </c>
      <c r="CC509" s="1">
        <v>5</v>
      </c>
      <c r="CD509" s="1" t="s">
        <v>109</v>
      </c>
      <c r="CE509" s="1" t="s">
        <v>109</v>
      </c>
      <c r="CF509" s="1">
        <v>5</v>
      </c>
      <c r="CG509" s="1">
        <v>5</v>
      </c>
      <c r="CH509" s="1" t="s">
        <v>109</v>
      </c>
      <c r="CI509" s="1" t="s">
        <v>109</v>
      </c>
      <c r="CJ509" s="1" t="s">
        <v>109</v>
      </c>
      <c r="CK509" s="1"/>
      <c r="CL509" s="1">
        <v>0</v>
      </c>
      <c r="CM509" s="1">
        <v>0</v>
      </c>
      <c r="CN509" s="1">
        <v>0</v>
      </c>
    </row>
    <row r="510" spans="1:92" ht="14.25" customHeight="1" x14ac:dyDescent="0.15">
      <c r="A510" s="1" t="s">
        <v>4620</v>
      </c>
      <c r="B510" s="1" t="s">
        <v>189</v>
      </c>
      <c r="C510" s="1"/>
      <c r="D510" s="1"/>
      <c r="E510" s="1" t="s">
        <v>4045</v>
      </c>
      <c r="F510" s="1" t="s">
        <v>395</v>
      </c>
      <c r="G510" s="1" t="s">
        <v>4621</v>
      </c>
      <c r="H510" s="1">
        <v>0</v>
      </c>
      <c r="I510" s="1" t="s">
        <v>161</v>
      </c>
      <c r="J510" s="1"/>
      <c r="K510" s="1"/>
      <c r="L510" s="1" t="s">
        <v>4622</v>
      </c>
      <c r="M510" s="1" t="s">
        <v>1906</v>
      </c>
      <c r="N510" s="1">
        <v>1</v>
      </c>
      <c r="O510" s="1">
        <v>0</v>
      </c>
      <c r="P510" s="1" t="s">
        <v>629</v>
      </c>
      <c r="Q510" s="1" t="s">
        <v>630</v>
      </c>
      <c r="R510" s="1" t="s">
        <v>4623</v>
      </c>
      <c r="S510" s="1" t="s">
        <v>4624</v>
      </c>
      <c r="T510" s="1" t="s">
        <v>107</v>
      </c>
      <c r="U510" s="1" t="s">
        <v>4625</v>
      </c>
      <c r="V510" s="1">
        <v>1</v>
      </c>
      <c r="W510" s="1">
        <v>1</v>
      </c>
      <c r="X510" s="1">
        <v>0</v>
      </c>
      <c r="Y510" s="1">
        <v>1</v>
      </c>
      <c r="Z510" s="1">
        <v>0</v>
      </c>
      <c r="AA510" s="1" t="s">
        <v>109</v>
      </c>
      <c r="AB510" s="1" t="s">
        <v>109</v>
      </c>
      <c r="AC510" s="1" t="s">
        <v>109</v>
      </c>
      <c r="AD510" s="1">
        <v>6</v>
      </c>
      <c r="AE510" s="1" t="s">
        <v>109</v>
      </c>
      <c r="AF510" s="1" t="s">
        <v>109</v>
      </c>
      <c r="AG510" s="1" t="s">
        <v>109</v>
      </c>
      <c r="AH510" s="1" t="s">
        <v>109</v>
      </c>
      <c r="AI510" s="1" t="s">
        <v>109</v>
      </c>
      <c r="AJ510" s="1" t="s">
        <v>109</v>
      </c>
      <c r="AK510" s="1" t="s">
        <v>109</v>
      </c>
      <c r="AL510" s="1" t="s">
        <v>109</v>
      </c>
      <c r="AM510" s="1" t="s">
        <v>109</v>
      </c>
      <c r="AN510" s="1" t="s">
        <v>109</v>
      </c>
      <c r="AO510" s="1" t="s">
        <v>109</v>
      </c>
      <c r="AP510" s="1"/>
      <c r="AQ510" s="1">
        <v>6</v>
      </c>
      <c r="AR510" s="1"/>
      <c r="AS510" s="1" t="s">
        <v>4626</v>
      </c>
      <c r="AT510" s="1">
        <v>0</v>
      </c>
      <c r="AU510" s="1">
        <v>0</v>
      </c>
      <c r="AV510" s="1">
        <v>0</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5" t="str">
        <f>HYPERLINK("http://www.d20pfsrd.com/magic/all-spells/s/spellstaff","Spellstaff")</f>
        <v>Spellstaff</v>
      </c>
      <c r="BT510" s="1">
        <v>511</v>
      </c>
      <c r="BU510" s="1" t="s">
        <v>109</v>
      </c>
      <c r="BV510" s="1"/>
      <c r="BW510" s="1"/>
      <c r="BX510" s="1"/>
      <c r="BY510" s="1"/>
      <c r="BZ510" s="1">
        <v>0</v>
      </c>
      <c r="CA510" s="1" t="s">
        <v>109</v>
      </c>
      <c r="CB510" s="1" t="s">
        <v>109</v>
      </c>
      <c r="CC510" s="1" t="s">
        <v>109</v>
      </c>
      <c r="CD510" s="1" t="s">
        <v>109</v>
      </c>
      <c r="CE510" s="1" t="s">
        <v>109</v>
      </c>
      <c r="CF510" s="1" t="s">
        <v>109</v>
      </c>
      <c r="CG510" s="1" t="s">
        <v>109</v>
      </c>
      <c r="CH510" s="1" t="s">
        <v>109</v>
      </c>
      <c r="CI510" s="1" t="s">
        <v>109</v>
      </c>
      <c r="CJ510" s="1">
        <v>6</v>
      </c>
      <c r="CK510" s="1"/>
      <c r="CL510" s="1">
        <v>0</v>
      </c>
      <c r="CM510" s="1">
        <v>0</v>
      </c>
      <c r="CN510" s="1">
        <v>0</v>
      </c>
    </row>
    <row r="511" spans="1:92" ht="14.25" customHeight="1" x14ac:dyDescent="0.15">
      <c r="A511" s="1" t="s">
        <v>4627</v>
      </c>
      <c r="B511" s="1" t="s">
        <v>242</v>
      </c>
      <c r="C511" s="1"/>
      <c r="D511" s="1"/>
      <c r="E511" s="1" t="s">
        <v>4288</v>
      </c>
      <c r="F511" s="1" t="s">
        <v>98</v>
      </c>
      <c r="G511" s="1" t="s">
        <v>4628</v>
      </c>
      <c r="H511" s="1">
        <v>0</v>
      </c>
      <c r="I511" s="1" t="s">
        <v>235</v>
      </c>
      <c r="J511" s="1"/>
      <c r="K511" s="1"/>
      <c r="L511" s="1" t="s">
        <v>236</v>
      </c>
      <c r="M511" s="1" t="s">
        <v>4629</v>
      </c>
      <c r="N511" s="1">
        <v>0</v>
      </c>
      <c r="O511" s="1">
        <v>0</v>
      </c>
      <c r="P511" s="1"/>
      <c r="Q511" s="1"/>
      <c r="R511" s="1" t="s">
        <v>4630</v>
      </c>
      <c r="S511" s="1" t="s">
        <v>4631</v>
      </c>
      <c r="T511" s="1" t="s">
        <v>107</v>
      </c>
      <c r="U511" s="1" t="s">
        <v>4632</v>
      </c>
      <c r="V511" s="1">
        <v>1</v>
      </c>
      <c r="W511" s="1">
        <v>1</v>
      </c>
      <c r="X511" s="1">
        <v>1</v>
      </c>
      <c r="Y511" s="1">
        <v>0</v>
      </c>
      <c r="Z511" s="1">
        <v>1</v>
      </c>
      <c r="AA511" s="1">
        <v>7</v>
      </c>
      <c r="AB511" s="1">
        <v>7</v>
      </c>
      <c r="AC511" s="1" t="s">
        <v>109</v>
      </c>
      <c r="AD511" s="1" t="s">
        <v>109</v>
      </c>
      <c r="AE511" s="1" t="s">
        <v>109</v>
      </c>
      <c r="AF511" s="1" t="s">
        <v>109</v>
      </c>
      <c r="AG511" s="1" t="s">
        <v>109</v>
      </c>
      <c r="AH511" s="1" t="s">
        <v>109</v>
      </c>
      <c r="AI511" s="1">
        <v>5</v>
      </c>
      <c r="AJ511" s="1" t="s">
        <v>109</v>
      </c>
      <c r="AK511" s="1" t="s">
        <v>109</v>
      </c>
      <c r="AL511" s="1" t="s">
        <v>109</v>
      </c>
      <c r="AM511" s="1" t="s">
        <v>109</v>
      </c>
      <c r="AN511" s="1" t="s">
        <v>109</v>
      </c>
      <c r="AO511" s="1" t="s">
        <v>109</v>
      </c>
      <c r="AP511" s="1"/>
      <c r="AQ511" s="1">
        <v>7</v>
      </c>
      <c r="AR511" s="1" t="s">
        <v>4633</v>
      </c>
      <c r="AS511" s="1" t="s">
        <v>4634</v>
      </c>
      <c r="AT511" s="1">
        <v>0</v>
      </c>
      <c r="AU511" s="1">
        <v>0</v>
      </c>
      <c r="AV511" s="1">
        <v>0</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5" t="str">
        <f>HYPERLINK("http://www.d20pfsrd.com/magic/all-spells/s/spell-turning","Spell Turning")</f>
        <v>Spell Turning</v>
      </c>
      <c r="BT511" s="1">
        <v>512</v>
      </c>
      <c r="BU511" s="1" t="s">
        <v>109</v>
      </c>
      <c r="BV511" s="1" t="s">
        <v>4635</v>
      </c>
      <c r="BW511" s="1" t="s">
        <v>4636</v>
      </c>
      <c r="BX511" s="1"/>
      <c r="BY511" s="1"/>
      <c r="BZ511" s="1">
        <v>0</v>
      </c>
      <c r="CA511" s="1" t="s">
        <v>109</v>
      </c>
      <c r="CB511" s="1" t="s">
        <v>109</v>
      </c>
      <c r="CC511" s="1">
        <v>7</v>
      </c>
      <c r="CD511" s="1" t="s">
        <v>109</v>
      </c>
      <c r="CE511" s="1" t="s">
        <v>109</v>
      </c>
      <c r="CF511" s="1" t="s">
        <v>109</v>
      </c>
      <c r="CG511" s="1" t="s">
        <v>109</v>
      </c>
      <c r="CH511" s="1" t="s">
        <v>109</v>
      </c>
      <c r="CI511" s="1" t="s">
        <v>109</v>
      </c>
      <c r="CJ511" s="1" t="s">
        <v>109</v>
      </c>
      <c r="CK511" s="1"/>
      <c r="CL511" s="1">
        <v>0</v>
      </c>
      <c r="CM511" s="1">
        <v>0</v>
      </c>
      <c r="CN511" s="1">
        <v>0</v>
      </c>
    </row>
    <row r="512" spans="1:92" ht="14.25" customHeight="1" x14ac:dyDescent="0.15">
      <c r="A512" s="1" t="s">
        <v>4637</v>
      </c>
      <c r="B512" s="1" t="s">
        <v>189</v>
      </c>
      <c r="C512" s="1"/>
      <c r="D512" s="1"/>
      <c r="E512" s="1" t="s">
        <v>4638</v>
      </c>
      <c r="F512" s="1" t="s">
        <v>98</v>
      </c>
      <c r="G512" s="1" t="s">
        <v>4639</v>
      </c>
      <c r="H512" s="1">
        <v>0</v>
      </c>
      <c r="I512" s="1" t="s">
        <v>161</v>
      </c>
      <c r="J512" s="1"/>
      <c r="K512" s="1"/>
      <c r="L512" s="1" t="s">
        <v>506</v>
      </c>
      <c r="M512" s="1" t="s">
        <v>194</v>
      </c>
      <c r="N512" s="1">
        <v>0</v>
      </c>
      <c r="O512" s="1">
        <v>0</v>
      </c>
      <c r="P512" s="1" t="s">
        <v>507</v>
      </c>
      <c r="Q512" s="1" t="s">
        <v>167</v>
      </c>
      <c r="R512" s="1" t="s">
        <v>4640</v>
      </c>
      <c r="S512" s="1" t="s">
        <v>4641</v>
      </c>
      <c r="T512" s="1" t="s">
        <v>107</v>
      </c>
      <c r="U512" s="1" t="s">
        <v>4642</v>
      </c>
      <c r="V512" s="1">
        <v>1</v>
      </c>
      <c r="W512" s="1">
        <v>1</v>
      </c>
      <c r="X512" s="1">
        <v>1</v>
      </c>
      <c r="Y512" s="1">
        <v>0</v>
      </c>
      <c r="Z512" s="1">
        <v>0</v>
      </c>
      <c r="AA512" s="1">
        <v>2</v>
      </c>
      <c r="AB512" s="1">
        <v>2</v>
      </c>
      <c r="AC512" s="1" t="s">
        <v>109</v>
      </c>
      <c r="AD512" s="1">
        <v>2</v>
      </c>
      <c r="AE512" s="1" t="s">
        <v>109</v>
      </c>
      <c r="AF512" s="1" t="s">
        <v>109</v>
      </c>
      <c r="AG512" s="1" t="s">
        <v>109</v>
      </c>
      <c r="AH512" s="1">
        <v>2</v>
      </c>
      <c r="AI512" s="1">
        <v>2</v>
      </c>
      <c r="AJ512" s="1" t="s">
        <v>109</v>
      </c>
      <c r="AK512" s="1" t="s">
        <v>109</v>
      </c>
      <c r="AL512" s="1" t="s">
        <v>109</v>
      </c>
      <c r="AM512" s="1" t="s">
        <v>109</v>
      </c>
      <c r="AN512" s="1">
        <v>2</v>
      </c>
      <c r="AO512" s="1" t="s">
        <v>109</v>
      </c>
      <c r="AP512" s="1"/>
      <c r="AQ512" s="1">
        <v>2</v>
      </c>
      <c r="AR512" s="1"/>
      <c r="AS512" s="1" t="s">
        <v>4643</v>
      </c>
      <c r="AT512" s="1">
        <v>0</v>
      </c>
      <c r="AU512" s="1">
        <v>0</v>
      </c>
      <c r="AV512" s="1">
        <v>0</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5" t="str">
        <f>HYPERLINK("http://www.d20pfsrd.com/magic/all-spells/s/spider-climb","Spider Climb")</f>
        <v>Spider Climb</v>
      </c>
      <c r="BT512" s="1">
        <v>513</v>
      </c>
      <c r="BU512" s="1" t="s">
        <v>109</v>
      </c>
      <c r="BV512" s="1"/>
      <c r="BW512" s="1"/>
      <c r="BX512" s="1" t="s">
        <v>4644</v>
      </c>
      <c r="BY512" s="1"/>
      <c r="BZ512" s="1">
        <v>1</v>
      </c>
      <c r="CA512" s="1">
        <v>2</v>
      </c>
      <c r="CB512" s="1" t="s">
        <v>109</v>
      </c>
      <c r="CC512" s="1">
        <v>2</v>
      </c>
      <c r="CD512" s="1" t="s">
        <v>109</v>
      </c>
      <c r="CE512" s="1" t="s">
        <v>109</v>
      </c>
      <c r="CF512" s="1">
        <v>2</v>
      </c>
      <c r="CG512" s="1" t="s">
        <v>109</v>
      </c>
      <c r="CH512" s="1" t="s">
        <v>109</v>
      </c>
      <c r="CI512" s="1" t="s">
        <v>109</v>
      </c>
      <c r="CJ512" s="1">
        <v>2</v>
      </c>
      <c r="CK512" s="1"/>
      <c r="CL512" s="1">
        <v>0</v>
      </c>
      <c r="CM512" s="1">
        <v>0</v>
      </c>
      <c r="CN512" s="1">
        <v>0</v>
      </c>
    </row>
    <row r="513" spans="1:92" ht="14.25" customHeight="1" x14ac:dyDescent="0.15">
      <c r="A513" s="1" t="s">
        <v>4645</v>
      </c>
      <c r="B513" s="1" t="s">
        <v>189</v>
      </c>
      <c r="C513" s="1"/>
      <c r="D513" s="1"/>
      <c r="E513" s="1" t="s">
        <v>4518</v>
      </c>
      <c r="F513" s="1" t="s">
        <v>98</v>
      </c>
      <c r="G513" s="1" t="s">
        <v>160</v>
      </c>
      <c r="H513" s="1">
        <v>0</v>
      </c>
      <c r="I513" s="1" t="s">
        <v>122</v>
      </c>
      <c r="J513" s="1" t="s">
        <v>4646</v>
      </c>
      <c r="K513" s="1"/>
      <c r="L513" s="1"/>
      <c r="M513" s="1" t="s">
        <v>289</v>
      </c>
      <c r="N513" s="1">
        <v>1</v>
      </c>
      <c r="O513" s="1">
        <v>0</v>
      </c>
      <c r="P513" s="1" t="s">
        <v>4647</v>
      </c>
      <c r="Q513" s="1" t="s">
        <v>268</v>
      </c>
      <c r="R513" s="1" t="s">
        <v>4648</v>
      </c>
      <c r="S513" s="1" t="s">
        <v>4649</v>
      </c>
      <c r="T513" s="1" t="s">
        <v>107</v>
      </c>
      <c r="U513" s="1" t="s">
        <v>4650</v>
      </c>
      <c r="V513" s="1">
        <v>1</v>
      </c>
      <c r="W513" s="1">
        <v>1</v>
      </c>
      <c r="X513" s="1">
        <v>0</v>
      </c>
      <c r="Y513" s="1">
        <v>0</v>
      </c>
      <c r="Z513" s="1">
        <v>1</v>
      </c>
      <c r="AA513" s="1" t="s">
        <v>109</v>
      </c>
      <c r="AB513" s="1" t="s">
        <v>109</v>
      </c>
      <c r="AC513" s="1" t="s">
        <v>109</v>
      </c>
      <c r="AD513" s="1">
        <v>3</v>
      </c>
      <c r="AE513" s="1">
        <v>2</v>
      </c>
      <c r="AF513" s="1" t="s">
        <v>109</v>
      </c>
      <c r="AG513" s="1" t="s">
        <v>109</v>
      </c>
      <c r="AH513" s="1" t="s">
        <v>109</v>
      </c>
      <c r="AI513" s="1" t="s">
        <v>109</v>
      </c>
      <c r="AJ513" s="1" t="s">
        <v>109</v>
      </c>
      <c r="AK513" s="1" t="s">
        <v>109</v>
      </c>
      <c r="AL513" s="1" t="s">
        <v>109</v>
      </c>
      <c r="AM513" s="1" t="s">
        <v>109</v>
      </c>
      <c r="AN513" s="1" t="s">
        <v>109</v>
      </c>
      <c r="AO513" s="1" t="s">
        <v>109</v>
      </c>
      <c r="AP513" s="1"/>
      <c r="AQ513" s="1">
        <v>3</v>
      </c>
      <c r="AR513" s="1"/>
      <c r="AS513" s="1" t="s">
        <v>4651</v>
      </c>
      <c r="AT513" s="1">
        <v>0</v>
      </c>
      <c r="AU513" s="1">
        <v>0</v>
      </c>
      <c r="AV513" s="1">
        <v>0</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5" t="str">
        <f>HYPERLINK("http://www.d20pfsrd.com/magic/all-spells/s/spike-growth","Spike Growth")</f>
        <v>Spike Growth</v>
      </c>
      <c r="BT513" s="1">
        <v>514</v>
      </c>
      <c r="BU513" s="1" t="s">
        <v>109</v>
      </c>
      <c r="BV513" s="1"/>
      <c r="BW513" s="1"/>
      <c r="BX513" s="1"/>
      <c r="BY513" s="1"/>
      <c r="BZ513" s="1">
        <v>0</v>
      </c>
      <c r="CA513" s="1" t="s">
        <v>109</v>
      </c>
      <c r="CB513" s="1" t="s">
        <v>109</v>
      </c>
      <c r="CC513" s="1" t="s">
        <v>109</v>
      </c>
      <c r="CD513" s="1" t="s">
        <v>109</v>
      </c>
      <c r="CE513" s="1" t="s">
        <v>109</v>
      </c>
      <c r="CF513" s="1" t="s">
        <v>109</v>
      </c>
      <c r="CG513" s="1" t="s">
        <v>109</v>
      </c>
      <c r="CH513" s="1" t="s">
        <v>109</v>
      </c>
      <c r="CI513" s="1" t="s">
        <v>109</v>
      </c>
      <c r="CJ513" s="1">
        <v>2</v>
      </c>
      <c r="CK513" s="1"/>
      <c r="CL513" s="1">
        <v>0</v>
      </c>
      <c r="CM513" s="1">
        <v>0</v>
      </c>
      <c r="CN513" s="1">
        <v>0</v>
      </c>
    </row>
    <row r="514" spans="1:92" ht="14.25" customHeight="1" x14ac:dyDescent="0.15">
      <c r="A514" s="1" t="s">
        <v>4652</v>
      </c>
      <c r="B514" s="1" t="s">
        <v>189</v>
      </c>
      <c r="C514" s="1"/>
      <c r="D514" s="1" t="s">
        <v>54</v>
      </c>
      <c r="E514" s="1" t="s">
        <v>4653</v>
      </c>
      <c r="F514" s="1" t="s">
        <v>98</v>
      </c>
      <c r="G514" s="1" t="s">
        <v>160</v>
      </c>
      <c r="H514" s="1">
        <v>0</v>
      </c>
      <c r="I514" s="1" t="s">
        <v>122</v>
      </c>
      <c r="J514" s="1" t="s">
        <v>4646</v>
      </c>
      <c r="K514" s="1"/>
      <c r="L514" s="1"/>
      <c r="M514" s="1" t="s">
        <v>815</v>
      </c>
      <c r="N514" s="1">
        <v>1</v>
      </c>
      <c r="O514" s="1">
        <v>0</v>
      </c>
      <c r="P514" s="1" t="s">
        <v>4647</v>
      </c>
      <c r="Q514" s="1" t="s">
        <v>268</v>
      </c>
      <c r="R514" s="1" t="s">
        <v>4654</v>
      </c>
      <c r="S514" s="1" t="s">
        <v>4655</v>
      </c>
      <c r="T514" s="1" t="s">
        <v>107</v>
      </c>
      <c r="U514" s="1" t="s">
        <v>4656</v>
      </c>
      <c r="V514" s="1">
        <v>1</v>
      </c>
      <c r="W514" s="1">
        <v>1</v>
      </c>
      <c r="X514" s="1">
        <v>0</v>
      </c>
      <c r="Y514" s="1">
        <v>0</v>
      </c>
      <c r="Z514" s="1">
        <v>1</v>
      </c>
      <c r="AA514" s="1" t="s">
        <v>109</v>
      </c>
      <c r="AB514" s="1" t="s">
        <v>109</v>
      </c>
      <c r="AC514" s="1" t="s">
        <v>109</v>
      </c>
      <c r="AD514" s="1">
        <v>4</v>
      </c>
      <c r="AE514" s="1" t="s">
        <v>109</v>
      </c>
      <c r="AF514" s="1" t="s">
        <v>109</v>
      </c>
      <c r="AG514" s="1" t="s">
        <v>109</v>
      </c>
      <c r="AH514" s="1" t="s">
        <v>109</v>
      </c>
      <c r="AI514" s="1" t="s">
        <v>109</v>
      </c>
      <c r="AJ514" s="1" t="s">
        <v>109</v>
      </c>
      <c r="AK514" s="1" t="s">
        <v>109</v>
      </c>
      <c r="AL514" s="1" t="s">
        <v>109</v>
      </c>
      <c r="AM514" s="1" t="s">
        <v>109</v>
      </c>
      <c r="AN514" s="1" t="s">
        <v>109</v>
      </c>
      <c r="AO514" s="1" t="s">
        <v>109</v>
      </c>
      <c r="AP514" s="1"/>
      <c r="AQ514" s="1">
        <v>4</v>
      </c>
      <c r="AR514" s="1" t="s">
        <v>4657</v>
      </c>
      <c r="AS514" s="1" t="s">
        <v>4658</v>
      </c>
      <c r="AT514" s="1">
        <v>0</v>
      </c>
      <c r="AU514" s="1">
        <v>0</v>
      </c>
      <c r="AV514" s="1">
        <v>0</v>
      </c>
      <c r="AW514" s="1">
        <v>0</v>
      </c>
      <c r="AX514" s="1">
        <v>0</v>
      </c>
      <c r="AY514" s="1">
        <v>0</v>
      </c>
      <c r="AZ514" s="1">
        <v>0</v>
      </c>
      <c r="BA514" s="1">
        <v>0</v>
      </c>
      <c r="BB514" s="1">
        <v>1</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5" t="str">
        <f>HYPERLINK("http://www.d20pfsrd.com/magic/all-spells/s/spike-stones","Spike Stones")</f>
        <v>Spike Stones</v>
      </c>
      <c r="BT514" s="1">
        <v>515</v>
      </c>
      <c r="BU514" s="1" t="s">
        <v>109</v>
      </c>
      <c r="BV514" s="1" t="s">
        <v>4659</v>
      </c>
      <c r="BW514" s="1" t="s">
        <v>4660</v>
      </c>
      <c r="BX514" s="1" t="s">
        <v>4661</v>
      </c>
      <c r="BY514" s="1"/>
      <c r="BZ514" s="1">
        <v>1</v>
      </c>
      <c r="CA514" s="1" t="s">
        <v>109</v>
      </c>
      <c r="CB514" s="1">
        <v>4</v>
      </c>
      <c r="CC514" s="1" t="s">
        <v>109</v>
      </c>
      <c r="CD514" s="1" t="s">
        <v>109</v>
      </c>
      <c r="CE514" s="1" t="s">
        <v>109</v>
      </c>
      <c r="CF514" s="1" t="s">
        <v>109</v>
      </c>
      <c r="CG514" s="1" t="s">
        <v>109</v>
      </c>
      <c r="CH514" s="1" t="s">
        <v>109</v>
      </c>
      <c r="CI514" s="1" t="s">
        <v>109</v>
      </c>
      <c r="CJ514" s="1">
        <v>4</v>
      </c>
      <c r="CK514" s="1"/>
      <c r="CL514" s="1">
        <v>0</v>
      </c>
      <c r="CM514" s="1">
        <v>0</v>
      </c>
      <c r="CN514" s="1">
        <v>0</v>
      </c>
    </row>
    <row r="515" spans="1:92" ht="14.25" customHeight="1" x14ac:dyDescent="0.15">
      <c r="A515" s="1" t="s">
        <v>4662</v>
      </c>
      <c r="B515" s="1" t="s">
        <v>584</v>
      </c>
      <c r="C515" s="1"/>
      <c r="D515" s="1" t="s">
        <v>60</v>
      </c>
      <c r="E515" s="1" t="s">
        <v>4663</v>
      </c>
      <c r="F515" s="1" t="s">
        <v>98</v>
      </c>
      <c r="G515" s="1" t="s">
        <v>160</v>
      </c>
      <c r="H515" s="1">
        <v>0</v>
      </c>
      <c r="I515" s="1" t="s">
        <v>122</v>
      </c>
      <c r="J515" s="1"/>
      <c r="K515" s="1" t="s">
        <v>4664</v>
      </c>
      <c r="L515" s="1"/>
      <c r="M515" s="1" t="s">
        <v>574</v>
      </c>
      <c r="N515" s="1">
        <v>1</v>
      </c>
      <c r="O515" s="1">
        <v>0</v>
      </c>
      <c r="P515" s="1" t="s">
        <v>103</v>
      </c>
      <c r="Q515" s="1" t="s">
        <v>268</v>
      </c>
      <c r="R515" s="1" t="s">
        <v>4665</v>
      </c>
      <c r="S515" s="1" t="s">
        <v>4666</v>
      </c>
      <c r="T515" s="1" t="s">
        <v>107</v>
      </c>
      <c r="U515" s="1" t="s">
        <v>4667</v>
      </c>
      <c r="V515" s="1">
        <v>1</v>
      </c>
      <c r="W515" s="1">
        <v>1</v>
      </c>
      <c r="X515" s="1">
        <v>0</v>
      </c>
      <c r="Y515" s="1">
        <v>0</v>
      </c>
      <c r="Z515" s="1">
        <v>1</v>
      </c>
      <c r="AA515" s="1" t="s">
        <v>109</v>
      </c>
      <c r="AB515" s="1" t="s">
        <v>109</v>
      </c>
      <c r="AC515" s="1">
        <v>2</v>
      </c>
      <c r="AD515" s="1" t="s">
        <v>109</v>
      </c>
      <c r="AE515" s="1" t="s">
        <v>109</v>
      </c>
      <c r="AF515" s="1" t="s">
        <v>109</v>
      </c>
      <c r="AG515" s="1" t="s">
        <v>109</v>
      </c>
      <c r="AH515" s="1" t="s">
        <v>109</v>
      </c>
      <c r="AI515" s="1" t="s">
        <v>109</v>
      </c>
      <c r="AJ515" s="1" t="s">
        <v>109</v>
      </c>
      <c r="AK515" s="1">
        <v>2</v>
      </c>
      <c r="AL515" s="1">
        <v>2</v>
      </c>
      <c r="AM515" s="1" t="s">
        <v>109</v>
      </c>
      <c r="AN515" s="1" t="s">
        <v>109</v>
      </c>
      <c r="AO515" s="1" t="s">
        <v>109</v>
      </c>
      <c r="AP515" s="1"/>
      <c r="AQ515" s="1">
        <v>2</v>
      </c>
      <c r="AR515" s="1" t="s">
        <v>4668</v>
      </c>
      <c r="AS515" s="1" t="s">
        <v>4669</v>
      </c>
      <c r="AT515" s="1">
        <v>0</v>
      </c>
      <c r="AU515" s="1">
        <v>0</v>
      </c>
      <c r="AV515" s="1">
        <v>0</v>
      </c>
      <c r="AW515" s="1">
        <v>0</v>
      </c>
      <c r="AX515" s="1">
        <v>0</v>
      </c>
      <c r="AY515" s="1">
        <v>0</v>
      </c>
      <c r="AZ515" s="1">
        <v>0</v>
      </c>
      <c r="BA515" s="1">
        <v>0</v>
      </c>
      <c r="BB515" s="1">
        <v>0</v>
      </c>
      <c r="BC515" s="1">
        <v>0</v>
      </c>
      <c r="BD515" s="1">
        <v>0</v>
      </c>
      <c r="BE515" s="1">
        <v>0</v>
      </c>
      <c r="BF515" s="1">
        <v>0</v>
      </c>
      <c r="BG515" s="1">
        <v>0</v>
      </c>
      <c r="BH515" s="1">
        <v>1</v>
      </c>
      <c r="BI515" s="1">
        <v>0</v>
      </c>
      <c r="BJ515" s="1">
        <v>0</v>
      </c>
      <c r="BK515" s="1">
        <v>0</v>
      </c>
      <c r="BL515" s="1">
        <v>0</v>
      </c>
      <c r="BM515" s="1">
        <v>0</v>
      </c>
      <c r="BN515" s="1">
        <v>0</v>
      </c>
      <c r="BO515" s="1">
        <v>0</v>
      </c>
      <c r="BP515" s="1">
        <v>0</v>
      </c>
      <c r="BQ515" s="1">
        <v>0</v>
      </c>
      <c r="BR515" s="1">
        <v>0</v>
      </c>
      <c r="BS515" s="5" t="str">
        <f>HYPERLINK("http://www.d20pfsrd.com/magic/all-spells/s/spiritual-weapon","Spiritual Weapon")</f>
        <v>Spiritual Weapon</v>
      </c>
      <c r="BT515" s="1">
        <v>516</v>
      </c>
      <c r="BU515" s="1" t="s">
        <v>109</v>
      </c>
      <c r="BV515" s="1"/>
      <c r="BW515" s="1"/>
      <c r="BX515" s="1" t="s">
        <v>4670</v>
      </c>
      <c r="BY515" s="1"/>
      <c r="BZ515" s="1">
        <v>1</v>
      </c>
      <c r="CA515" s="1" t="s">
        <v>109</v>
      </c>
      <c r="CB515" s="1">
        <v>2</v>
      </c>
      <c r="CC515" s="1" t="s">
        <v>109</v>
      </c>
      <c r="CD515" s="1" t="s">
        <v>109</v>
      </c>
      <c r="CE515" s="1" t="s">
        <v>109</v>
      </c>
      <c r="CF515" s="1" t="s">
        <v>109</v>
      </c>
      <c r="CG515" s="1">
        <v>2</v>
      </c>
      <c r="CH515" s="1" t="s">
        <v>109</v>
      </c>
      <c r="CI515" s="1" t="s">
        <v>109</v>
      </c>
      <c r="CJ515" s="1" t="s">
        <v>109</v>
      </c>
      <c r="CK515" s="1"/>
      <c r="CL515" s="1">
        <v>0</v>
      </c>
      <c r="CM515" s="1">
        <v>0</v>
      </c>
      <c r="CN515" s="1">
        <v>0</v>
      </c>
    </row>
    <row r="516" spans="1:92" ht="14.25" customHeight="1" x14ac:dyDescent="0.15">
      <c r="A516" s="1" t="s">
        <v>4671</v>
      </c>
      <c r="B516" s="1" t="s">
        <v>95</v>
      </c>
      <c r="C516" s="1" t="s">
        <v>694</v>
      </c>
      <c r="D516" s="1"/>
      <c r="E516" s="1" t="s">
        <v>4672</v>
      </c>
      <c r="F516" s="1" t="s">
        <v>98</v>
      </c>
      <c r="G516" s="1" t="s">
        <v>141</v>
      </c>
      <c r="H516" s="1">
        <v>0</v>
      </c>
      <c r="I516" s="1" t="s">
        <v>142</v>
      </c>
      <c r="J516" s="1"/>
      <c r="K516" s="1"/>
      <c r="L516" s="1" t="s">
        <v>563</v>
      </c>
      <c r="M516" s="1" t="s">
        <v>144</v>
      </c>
      <c r="N516" s="1">
        <v>0</v>
      </c>
      <c r="O516" s="1">
        <v>0</v>
      </c>
      <c r="P516" s="1" t="s">
        <v>507</v>
      </c>
      <c r="Q516" s="1" t="s">
        <v>167</v>
      </c>
      <c r="R516" s="1" t="s">
        <v>4673</v>
      </c>
      <c r="S516" s="1" t="s">
        <v>4674</v>
      </c>
      <c r="T516" s="1" t="s">
        <v>107</v>
      </c>
      <c r="U516" s="1" t="s">
        <v>4675</v>
      </c>
      <c r="V516" s="1">
        <v>1</v>
      </c>
      <c r="W516" s="1">
        <v>1</v>
      </c>
      <c r="X516" s="1">
        <v>0</v>
      </c>
      <c r="Y516" s="1">
        <v>0</v>
      </c>
      <c r="Z516" s="1">
        <v>0</v>
      </c>
      <c r="AA516" s="1" t="s">
        <v>109</v>
      </c>
      <c r="AB516" s="1" t="s">
        <v>109</v>
      </c>
      <c r="AC516" s="1">
        <v>0</v>
      </c>
      <c r="AD516" s="1">
        <v>0</v>
      </c>
      <c r="AE516" s="1" t="s">
        <v>109</v>
      </c>
      <c r="AF516" s="1" t="s">
        <v>109</v>
      </c>
      <c r="AG516" s="1" t="s">
        <v>109</v>
      </c>
      <c r="AH516" s="1" t="s">
        <v>109</v>
      </c>
      <c r="AI516" s="1" t="s">
        <v>109</v>
      </c>
      <c r="AJ516" s="1">
        <v>0</v>
      </c>
      <c r="AK516" s="1">
        <v>0</v>
      </c>
      <c r="AL516" s="1">
        <v>0</v>
      </c>
      <c r="AM516" s="1" t="s">
        <v>109</v>
      </c>
      <c r="AN516" s="1" t="s">
        <v>109</v>
      </c>
      <c r="AO516" s="1">
        <v>0</v>
      </c>
      <c r="AP516" s="1"/>
      <c r="AQ516" s="1">
        <v>0</v>
      </c>
      <c r="AR516" s="1"/>
      <c r="AS516" s="1" t="s">
        <v>4676</v>
      </c>
      <c r="AT516" s="1">
        <v>0</v>
      </c>
      <c r="AU516" s="1">
        <v>0</v>
      </c>
      <c r="AV516" s="1">
        <v>0</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5" t="str">
        <f>HYPERLINK("http://www.d20pfsrd.com/magic/all-spells/s/stabilize","Stabilize")</f>
        <v>Stabilize</v>
      </c>
      <c r="BT516" s="1">
        <v>517</v>
      </c>
      <c r="BU516" s="1" t="s">
        <v>109</v>
      </c>
      <c r="BV516" s="1"/>
      <c r="BW516" s="1"/>
      <c r="BX516" s="1"/>
      <c r="BY516" s="1"/>
      <c r="BZ516" s="1">
        <v>0</v>
      </c>
      <c r="CA516" s="1" t="s">
        <v>109</v>
      </c>
      <c r="CB516" s="1">
        <v>0</v>
      </c>
      <c r="CC516" s="1">
        <v>0</v>
      </c>
      <c r="CD516" s="1" t="s">
        <v>109</v>
      </c>
      <c r="CE516" s="1" t="s">
        <v>109</v>
      </c>
      <c r="CF516" s="1">
        <v>0</v>
      </c>
      <c r="CG516" s="1">
        <v>0</v>
      </c>
      <c r="CH516" s="1" t="s">
        <v>109</v>
      </c>
      <c r="CI516" s="1" t="s">
        <v>109</v>
      </c>
      <c r="CJ516" s="1">
        <v>0</v>
      </c>
      <c r="CK516" s="1"/>
      <c r="CL516" s="1">
        <v>0</v>
      </c>
      <c r="CM516" s="1">
        <v>0</v>
      </c>
      <c r="CN516" s="1">
        <v>0</v>
      </c>
    </row>
    <row r="517" spans="1:92" ht="14.25" customHeight="1" x14ac:dyDescent="0.15">
      <c r="A517" s="1" t="s">
        <v>4677</v>
      </c>
      <c r="B517" s="1" t="s">
        <v>189</v>
      </c>
      <c r="C517" s="1"/>
      <c r="D517" s="1"/>
      <c r="E517" s="1" t="s">
        <v>4678</v>
      </c>
      <c r="F517" s="1" t="s">
        <v>355</v>
      </c>
      <c r="G517" s="1" t="s">
        <v>4679</v>
      </c>
      <c r="H517" s="1">
        <v>0</v>
      </c>
      <c r="I517" s="1" t="s">
        <v>161</v>
      </c>
      <c r="J517" s="1"/>
      <c r="K517" s="1"/>
      <c r="L517" s="1" t="s">
        <v>506</v>
      </c>
      <c r="M517" s="1" t="s">
        <v>289</v>
      </c>
      <c r="N517" s="1">
        <v>1</v>
      </c>
      <c r="O517" s="1">
        <v>0</v>
      </c>
      <c r="P517" s="1" t="s">
        <v>507</v>
      </c>
      <c r="Q517" s="1" t="s">
        <v>167</v>
      </c>
      <c r="R517" s="1" t="s">
        <v>4680</v>
      </c>
      <c r="S517" s="1" t="s">
        <v>4681</v>
      </c>
      <c r="T517" s="1" t="s">
        <v>107</v>
      </c>
      <c r="U517" s="1" t="s">
        <v>4682</v>
      </c>
      <c r="V517" s="1">
        <v>1</v>
      </c>
      <c r="W517" s="1">
        <v>1</v>
      </c>
      <c r="X517" s="1">
        <v>1</v>
      </c>
      <c r="Y517" s="1">
        <v>0</v>
      </c>
      <c r="Z517" s="1">
        <v>0</v>
      </c>
      <c r="AA517" s="1">
        <v>7</v>
      </c>
      <c r="AB517" s="1">
        <v>7</v>
      </c>
      <c r="AC517" s="1" t="s">
        <v>109</v>
      </c>
      <c r="AD517" s="1" t="s">
        <v>109</v>
      </c>
      <c r="AE517" s="1" t="s">
        <v>109</v>
      </c>
      <c r="AF517" s="1" t="s">
        <v>109</v>
      </c>
      <c r="AG517" s="1" t="s">
        <v>109</v>
      </c>
      <c r="AH517" s="1">
        <v>6</v>
      </c>
      <c r="AI517" s="1" t="s">
        <v>109</v>
      </c>
      <c r="AJ517" s="1" t="s">
        <v>109</v>
      </c>
      <c r="AK517" s="1" t="s">
        <v>109</v>
      </c>
      <c r="AL517" s="1" t="s">
        <v>109</v>
      </c>
      <c r="AM517" s="1" t="s">
        <v>109</v>
      </c>
      <c r="AN517" s="1" t="s">
        <v>109</v>
      </c>
      <c r="AO517" s="1" t="s">
        <v>109</v>
      </c>
      <c r="AP517" s="1"/>
      <c r="AQ517" s="1">
        <v>7</v>
      </c>
      <c r="AR517" s="1" t="s">
        <v>4683</v>
      </c>
      <c r="AS517" s="1" t="s">
        <v>4684</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5" t="str">
        <f>HYPERLINK("http://www.d20pfsrd.com/magic/all-spells/s/statue","Statue")</f>
        <v>Statue</v>
      </c>
      <c r="BT517" s="1">
        <v>518</v>
      </c>
      <c r="BU517" s="1" t="s">
        <v>109</v>
      </c>
      <c r="BV517" s="1"/>
      <c r="BW517" s="1"/>
      <c r="BX517" s="1"/>
      <c r="BY517" s="1"/>
      <c r="BZ517" s="1">
        <v>0</v>
      </c>
      <c r="CA517" s="1" t="s">
        <v>109</v>
      </c>
      <c r="CB517" s="1" t="s">
        <v>109</v>
      </c>
      <c r="CC517" s="1" t="s">
        <v>109</v>
      </c>
      <c r="CD517" s="1" t="s">
        <v>109</v>
      </c>
      <c r="CE517" s="1" t="s">
        <v>109</v>
      </c>
      <c r="CF517" s="1">
        <v>6</v>
      </c>
      <c r="CG517" s="1" t="s">
        <v>109</v>
      </c>
      <c r="CH517" s="1" t="s">
        <v>109</v>
      </c>
      <c r="CI517" s="1" t="s">
        <v>109</v>
      </c>
      <c r="CJ517" s="1" t="s">
        <v>109</v>
      </c>
      <c r="CK517" s="1"/>
      <c r="CL517" s="1">
        <v>0</v>
      </c>
      <c r="CM517" s="1">
        <v>0</v>
      </c>
      <c r="CN517" s="1">
        <v>0</v>
      </c>
    </row>
    <row r="518" spans="1:92" ht="14.25" customHeight="1" x14ac:dyDescent="0.15">
      <c r="A518" s="1" t="s">
        <v>4685</v>
      </c>
      <c r="B518" s="1" t="s">
        <v>254</v>
      </c>
      <c r="C518" s="1"/>
      <c r="D518" s="1"/>
      <c r="E518" s="1" t="s">
        <v>4686</v>
      </c>
      <c r="F518" s="1" t="s">
        <v>98</v>
      </c>
      <c r="G518" s="1" t="s">
        <v>141</v>
      </c>
      <c r="H518" s="1">
        <v>0</v>
      </c>
      <c r="I518" s="1" t="s">
        <v>161</v>
      </c>
      <c r="J518" s="1"/>
      <c r="K518" s="1"/>
      <c r="L518" s="1" t="s">
        <v>4687</v>
      </c>
      <c r="M518" s="1" t="s">
        <v>289</v>
      </c>
      <c r="N518" s="1">
        <v>0</v>
      </c>
      <c r="O518" s="1">
        <v>0</v>
      </c>
      <c r="P518" s="1" t="s">
        <v>507</v>
      </c>
      <c r="Q518" s="1" t="s">
        <v>167</v>
      </c>
      <c r="R518" s="1" t="s">
        <v>4688</v>
      </c>
      <c r="S518" s="1" t="s">
        <v>4689</v>
      </c>
      <c r="T518" s="1" t="s">
        <v>107</v>
      </c>
      <c r="U518" s="1" t="s">
        <v>4690</v>
      </c>
      <c r="V518" s="1">
        <v>1</v>
      </c>
      <c r="W518" s="1">
        <v>1</v>
      </c>
      <c r="X518" s="1">
        <v>0</v>
      </c>
      <c r="Y518" s="1">
        <v>0</v>
      </c>
      <c r="Z518" s="1">
        <v>0</v>
      </c>
      <c r="AA518" s="1" t="s">
        <v>109</v>
      </c>
      <c r="AB518" s="1" t="s">
        <v>109</v>
      </c>
      <c r="AC518" s="1">
        <v>2</v>
      </c>
      <c r="AD518" s="1" t="s">
        <v>109</v>
      </c>
      <c r="AE518" s="1" t="s">
        <v>109</v>
      </c>
      <c r="AF518" s="1" t="s">
        <v>109</v>
      </c>
      <c r="AG518" s="1" t="s">
        <v>109</v>
      </c>
      <c r="AH518" s="1" t="s">
        <v>109</v>
      </c>
      <c r="AI518" s="1" t="s">
        <v>109</v>
      </c>
      <c r="AJ518" s="1">
        <v>2</v>
      </c>
      <c r="AK518" s="1" t="s">
        <v>109</v>
      </c>
      <c r="AL518" s="1">
        <v>2</v>
      </c>
      <c r="AM518" s="1" t="s">
        <v>109</v>
      </c>
      <c r="AN518" s="1" t="s">
        <v>109</v>
      </c>
      <c r="AO518" s="1" t="s">
        <v>109</v>
      </c>
      <c r="AP518" s="1"/>
      <c r="AQ518" s="1">
        <v>2</v>
      </c>
      <c r="AR518" s="1"/>
      <c r="AS518" s="1" t="s">
        <v>4691</v>
      </c>
      <c r="AT518" s="1">
        <v>0</v>
      </c>
      <c r="AU518" s="1">
        <v>0</v>
      </c>
      <c r="AV518" s="1">
        <v>0</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5" t="str">
        <f>HYPERLINK("http://www.d20pfsrd.com/magic/all-spells/s/status","Status")</f>
        <v>Status</v>
      </c>
      <c r="BT518" s="1">
        <v>519</v>
      </c>
      <c r="BU518" s="1" t="s">
        <v>109</v>
      </c>
      <c r="BV518" s="1"/>
      <c r="BW518" s="1"/>
      <c r="BX518" s="1"/>
      <c r="BY518" s="1"/>
      <c r="BZ518" s="1">
        <v>0</v>
      </c>
      <c r="CA518" s="1" t="s">
        <v>109</v>
      </c>
      <c r="CB518" s="1" t="s">
        <v>109</v>
      </c>
      <c r="CC518" s="1">
        <v>2</v>
      </c>
      <c r="CD518" s="1" t="s">
        <v>109</v>
      </c>
      <c r="CE518" s="1" t="s">
        <v>109</v>
      </c>
      <c r="CF518" s="1">
        <v>2</v>
      </c>
      <c r="CG518" s="1">
        <v>2</v>
      </c>
      <c r="CH518" s="1" t="s">
        <v>109</v>
      </c>
      <c r="CI518" s="1" t="s">
        <v>109</v>
      </c>
      <c r="CJ518" s="1" t="s">
        <v>109</v>
      </c>
      <c r="CK518" s="1"/>
      <c r="CL518" s="1">
        <v>0</v>
      </c>
      <c r="CM518" s="1">
        <v>0</v>
      </c>
      <c r="CN518" s="1">
        <v>0</v>
      </c>
    </row>
    <row r="519" spans="1:92" ht="14.25" customHeight="1" x14ac:dyDescent="0.15">
      <c r="A519" s="1" t="s">
        <v>4692</v>
      </c>
      <c r="B519" s="1" t="s">
        <v>95</v>
      </c>
      <c r="C519" s="1" t="s">
        <v>96</v>
      </c>
      <c r="D519" s="1"/>
      <c r="E519" s="1" t="s">
        <v>4693</v>
      </c>
      <c r="F519" s="1" t="s">
        <v>98</v>
      </c>
      <c r="G519" s="1" t="s">
        <v>4694</v>
      </c>
      <c r="H519" s="1">
        <v>0</v>
      </c>
      <c r="I519" s="1" t="s">
        <v>122</v>
      </c>
      <c r="J519" s="1"/>
      <c r="K519" s="1" t="s">
        <v>933</v>
      </c>
      <c r="L519" s="1"/>
      <c r="M519" s="1" t="s">
        <v>125</v>
      </c>
      <c r="N519" s="1">
        <v>0</v>
      </c>
      <c r="O519" s="1">
        <v>0</v>
      </c>
      <c r="P519" s="1" t="s">
        <v>3667</v>
      </c>
      <c r="Q519" s="1" t="s">
        <v>104</v>
      </c>
      <c r="R519" s="1" t="s">
        <v>4695</v>
      </c>
      <c r="S519" s="1" t="s">
        <v>4696</v>
      </c>
      <c r="T519" s="1" t="s">
        <v>107</v>
      </c>
      <c r="U519" s="1" t="s">
        <v>4697</v>
      </c>
      <c r="V519" s="1">
        <v>1</v>
      </c>
      <c r="W519" s="1">
        <v>1</v>
      </c>
      <c r="X519" s="1">
        <v>1</v>
      </c>
      <c r="Y519" s="1">
        <v>0</v>
      </c>
      <c r="Z519" s="1">
        <v>0</v>
      </c>
      <c r="AA519" s="1">
        <v>3</v>
      </c>
      <c r="AB519" s="1">
        <v>3</v>
      </c>
      <c r="AC519" s="1" t="s">
        <v>109</v>
      </c>
      <c r="AD519" s="1" t="s">
        <v>109</v>
      </c>
      <c r="AE519" s="1" t="s">
        <v>109</v>
      </c>
      <c r="AF519" s="1" t="s">
        <v>109</v>
      </c>
      <c r="AG519" s="1" t="s">
        <v>109</v>
      </c>
      <c r="AH519" s="1" t="s">
        <v>109</v>
      </c>
      <c r="AI519" s="1" t="s">
        <v>109</v>
      </c>
      <c r="AJ519" s="1">
        <v>3</v>
      </c>
      <c r="AK519" s="1" t="s">
        <v>109</v>
      </c>
      <c r="AL519" s="1" t="s">
        <v>109</v>
      </c>
      <c r="AM519" s="1" t="s">
        <v>109</v>
      </c>
      <c r="AN519" s="1">
        <v>3</v>
      </c>
      <c r="AO519" s="1" t="s">
        <v>109</v>
      </c>
      <c r="AP519" s="1"/>
      <c r="AQ519" s="1">
        <v>3</v>
      </c>
      <c r="AR519" s="1" t="s">
        <v>4698</v>
      </c>
      <c r="AS519" s="1" t="s">
        <v>4699</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5" t="str">
        <f>HYPERLINK("http://www.d20pfsrd.com/magic/all-spells/s/stinking-cloud","Stinking Cloud")</f>
        <v>Stinking Cloud</v>
      </c>
      <c r="BT519" s="1">
        <v>520</v>
      </c>
      <c r="BU519" s="1" t="s">
        <v>109</v>
      </c>
      <c r="BV519" s="1"/>
      <c r="BW519" s="1"/>
      <c r="BX519" s="1" t="s">
        <v>4700</v>
      </c>
      <c r="BY519" s="1"/>
      <c r="BZ519" s="1">
        <v>1</v>
      </c>
      <c r="CA519" s="1">
        <v>3</v>
      </c>
      <c r="CB519" s="1">
        <v>3</v>
      </c>
      <c r="CC519" s="1" t="s">
        <v>109</v>
      </c>
      <c r="CD519" s="1" t="s">
        <v>109</v>
      </c>
      <c r="CE519" s="1" t="s">
        <v>109</v>
      </c>
      <c r="CF519" s="1" t="s">
        <v>109</v>
      </c>
      <c r="CG519" s="1" t="s">
        <v>109</v>
      </c>
      <c r="CH519" s="1" t="s">
        <v>109</v>
      </c>
      <c r="CI519" s="1" t="s">
        <v>109</v>
      </c>
      <c r="CJ519" s="1" t="s">
        <v>109</v>
      </c>
      <c r="CK519" s="1"/>
      <c r="CL519" s="1">
        <v>0</v>
      </c>
      <c r="CM519" s="1">
        <v>0</v>
      </c>
      <c r="CN519" s="1">
        <v>0</v>
      </c>
    </row>
    <row r="520" spans="1:92" ht="14.25" customHeight="1" x14ac:dyDescent="0.15">
      <c r="A520" s="1" t="s">
        <v>4701</v>
      </c>
      <c r="B520" s="1" t="s">
        <v>189</v>
      </c>
      <c r="C520" s="1"/>
      <c r="D520" s="1" t="s">
        <v>54</v>
      </c>
      <c r="E520" s="1" t="s">
        <v>4702</v>
      </c>
      <c r="F520" s="1" t="s">
        <v>98</v>
      </c>
      <c r="G520" s="1" t="s">
        <v>4703</v>
      </c>
      <c r="H520" s="1">
        <v>0</v>
      </c>
      <c r="I520" s="1" t="s">
        <v>161</v>
      </c>
      <c r="J520" s="1"/>
      <c r="K520" s="1"/>
      <c r="L520" s="1" t="s">
        <v>4704</v>
      </c>
      <c r="M520" s="1" t="s">
        <v>144</v>
      </c>
      <c r="N520" s="1">
        <v>0</v>
      </c>
      <c r="O520" s="1">
        <v>0</v>
      </c>
      <c r="P520" s="1" t="s">
        <v>103</v>
      </c>
      <c r="Q520" s="1" t="s">
        <v>104</v>
      </c>
      <c r="R520" s="1" t="s">
        <v>4705</v>
      </c>
      <c r="S520" s="1" t="s">
        <v>4706</v>
      </c>
      <c r="T520" s="1" t="s">
        <v>107</v>
      </c>
      <c r="U520" s="1" t="s">
        <v>4707</v>
      </c>
      <c r="V520" s="1">
        <v>1</v>
      </c>
      <c r="W520" s="1">
        <v>1</v>
      </c>
      <c r="X520" s="1">
        <v>1</v>
      </c>
      <c r="Y520" s="1">
        <v>0</v>
      </c>
      <c r="Z520" s="1">
        <v>1</v>
      </c>
      <c r="AA520" s="1">
        <v>4</v>
      </c>
      <c r="AB520" s="1">
        <v>4</v>
      </c>
      <c r="AC520" s="1">
        <v>3</v>
      </c>
      <c r="AD520" s="1">
        <v>3</v>
      </c>
      <c r="AE520" s="1" t="s">
        <v>109</v>
      </c>
      <c r="AF520" s="1" t="s">
        <v>109</v>
      </c>
      <c r="AG520" s="1" t="s">
        <v>109</v>
      </c>
      <c r="AH520" s="1" t="s">
        <v>109</v>
      </c>
      <c r="AI520" s="1" t="s">
        <v>109</v>
      </c>
      <c r="AJ520" s="1" t="s">
        <v>109</v>
      </c>
      <c r="AK520" s="1" t="s">
        <v>109</v>
      </c>
      <c r="AL520" s="1">
        <v>3</v>
      </c>
      <c r="AM520" s="1" t="s">
        <v>109</v>
      </c>
      <c r="AN520" s="1" t="s">
        <v>109</v>
      </c>
      <c r="AO520" s="1" t="s">
        <v>109</v>
      </c>
      <c r="AP520" s="1"/>
      <c r="AQ520" s="1">
        <v>4</v>
      </c>
      <c r="AR520" s="1" t="s">
        <v>4708</v>
      </c>
      <c r="AS520" s="1" t="s">
        <v>4709</v>
      </c>
      <c r="AT520" s="1">
        <v>0</v>
      </c>
      <c r="AU520" s="1">
        <v>0</v>
      </c>
      <c r="AV520" s="1">
        <v>0</v>
      </c>
      <c r="AW520" s="1">
        <v>0</v>
      </c>
      <c r="AX520" s="1">
        <v>0</v>
      </c>
      <c r="AY520" s="1">
        <v>0</v>
      </c>
      <c r="AZ520" s="1">
        <v>0</v>
      </c>
      <c r="BA520" s="1">
        <v>0</v>
      </c>
      <c r="BB520" s="1">
        <v>1</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5" t="str">
        <f>HYPERLINK("http://www.d20pfsrd.com/magic/all-spells/s/stone-shape","Stone Shape")</f>
        <v>Stone Shape</v>
      </c>
      <c r="BT520" s="1">
        <v>521</v>
      </c>
      <c r="BU520" s="1" t="s">
        <v>109</v>
      </c>
      <c r="BV520" s="1"/>
      <c r="BW520" s="1" t="s">
        <v>4710</v>
      </c>
      <c r="BX520" s="1" t="s">
        <v>4711</v>
      </c>
      <c r="BY520" s="1"/>
      <c r="BZ520" s="1">
        <v>1</v>
      </c>
      <c r="CA520" s="1" t="s">
        <v>109</v>
      </c>
      <c r="CB520" s="1">
        <v>3</v>
      </c>
      <c r="CC520" s="1" t="s">
        <v>109</v>
      </c>
      <c r="CD520" s="1" t="s">
        <v>109</v>
      </c>
      <c r="CE520" s="1" t="s">
        <v>109</v>
      </c>
      <c r="CF520" s="1">
        <v>3</v>
      </c>
      <c r="CG520" s="1" t="s">
        <v>109</v>
      </c>
      <c r="CH520" s="1" t="s">
        <v>109</v>
      </c>
      <c r="CI520" s="1" t="s">
        <v>109</v>
      </c>
      <c r="CJ520" s="1">
        <v>3</v>
      </c>
      <c r="CK520" s="1"/>
      <c r="CL520" s="1">
        <v>0</v>
      </c>
      <c r="CM520" s="1">
        <v>0</v>
      </c>
      <c r="CN520" s="1">
        <v>0</v>
      </c>
    </row>
    <row r="521" spans="1:92" ht="14.25" customHeight="1" x14ac:dyDescent="0.15">
      <c r="A521" s="1" t="s">
        <v>4712</v>
      </c>
      <c r="B521" s="1" t="s">
        <v>242</v>
      </c>
      <c r="C521" s="1"/>
      <c r="D521" s="1"/>
      <c r="E521" s="1" t="s">
        <v>4713</v>
      </c>
      <c r="F521" s="1" t="s">
        <v>98</v>
      </c>
      <c r="G521" s="1" t="s">
        <v>4714</v>
      </c>
      <c r="H521" s="1">
        <v>1</v>
      </c>
      <c r="I521" s="1" t="s">
        <v>161</v>
      </c>
      <c r="J521" s="1"/>
      <c r="K521" s="1"/>
      <c r="L521" s="1" t="s">
        <v>506</v>
      </c>
      <c r="M521" s="1" t="s">
        <v>4715</v>
      </c>
      <c r="N521" s="1">
        <v>0</v>
      </c>
      <c r="O521" s="1">
        <v>0</v>
      </c>
      <c r="P521" s="1" t="s">
        <v>507</v>
      </c>
      <c r="Q521" s="1" t="s">
        <v>167</v>
      </c>
      <c r="R521" s="1" t="s">
        <v>4716</v>
      </c>
      <c r="S521" s="1" t="s">
        <v>4717</v>
      </c>
      <c r="T521" s="1" t="s">
        <v>107</v>
      </c>
      <c r="U521" s="1" t="s">
        <v>4718</v>
      </c>
      <c r="V521" s="1">
        <v>1</v>
      </c>
      <c r="W521" s="1">
        <v>1</v>
      </c>
      <c r="X521" s="1">
        <v>1</v>
      </c>
      <c r="Y521" s="1">
        <v>0</v>
      </c>
      <c r="Z521" s="1">
        <v>0</v>
      </c>
      <c r="AA521" s="1">
        <v>4</v>
      </c>
      <c r="AB521" s="1">
        <v>4</v>
      </c>
      <c r="AC521" s="1" t="s">
        <v>109</v>
      </c>
      <c r="AD521" s="1">
        <v>5</v>
      </c>
      <c r="AE521" s="1" t="s">
        <v>109</v>
      </c>
      <c r="AF521" s="1" t="s">
        <v>109</v>
      </c>
      <c r="AG521" s="1" t="s">
        <v>109</v>
      </c>
      <c r="AH521" s="1">
        <v>4</v>
      </c>
      <c r="AI521" s="1">
        <v>3</v>
      </c>
      <c r="AJ521" s="1" t="s">
        <v>109</v>
      </c>
      <c r="AK521" s="1">
        <v>4</v>
      </c>
      <c r="AL521" s="1" t="s">
        <v>109</v>
      </c>
      <c r="AM521" s="1" t="s">
        <v>109</v>
      </c>
      <c r="AN521" s="1">
        <v>4</v>
      </c>
      <c r="AO521" s="1">
        <v>4</v>
      </c>
      <c r="AP521" s="1"/>
      <c r="AQ521" s="1">
        <v>4</v>
      </c>
      <c r="AR521" s="1" t="s">
        <v>4719</v>
      </c>
      <c r="AS521" s="1" t="s">
        <v>4720</v>
      </c>
      <c r="AT521" s="1">
        <v>0</v>
      </c>
      <c r="AU521" s="1">
        <v>0</v>
      </c>
      <c r="AV521" s="1">
        <v>0</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5" t="str">
        <f>HYPERLINK("http://www.d20pfsrd.com/magic/all-spells/s/stoneskin","Stoneskin")</f>
        <v>Stoneskin</v>
      </c>
      <c r="BT521" s="1">
        <v>522</v>
      </c>
      <c r="BU521" s="1">
        <v>250</v>
      </c>
      <c r="BV521" s="1" t="s">
        <v>4721</v>
      </c>
      <c r="BW521" s="1"/>
      <c r="BX521" s="1" t="s">
        <v>4722</v>
      </c>
      <c r="BY521" s="1"/>
      <c r="BZ521" s="1">
        <v>1</v>
      </c>
      <c r="CA521" s="1">
        <v>4</v>
      </c>
      <c r="CB521" s="1">
        <v>5</v>
      </c>
      <c r="CC521" s="1">
        <v>4</v>
      </c>
      <c r="CD521" s="1" t="s">
        <v>109</v>
      </c>
      <c r="CE521" s="1" t="s">
        <v>109</v>
      </c>
      <c r="CF521" s="1">
        <v>4</v>
      </c>
      <c r="CG521" s="1" t="s">
        <v>109</v>
      </c>
      <c r="CH521" s="1" t="s">
        <v>109</v>
      </c>
      <c r="CI521" s="1" t="s">
        <v>109</v>
      </c>
      <c r="CJ521" s="1">
        <v>5</v>
      </c>
      <c r="CK521" s="1"/>
      <c r="CL521" s="1">
        <v>0</v>
      </c>
      <c r="CM521" s="1">
        <v>0</v>
      </c>
      <c r="CN521" s="1">
        <v>0</v>
      </c>
    </row>
    <row r="522" spans="1:92" ht="14.25" customHeight="1" x14ac:dyDescent="0.15">
      <c r="A522" s="1" t="s">
        <v>4723</v>
      </c>
      <c r="B522" s="1" t="s">
        <v>254</v>
      </c>
      <c r="C522" s="1"/>
      <c r="D522" s="1"/>
      <c r="E522" s="1" t="s">
        <v>4724</v>
      </c>
      <c r="F522" s="1" t="s">
        <v>395</v>
      </c>
      <c r="G522" s="1" t="s">
        <v>160</v>
      </c>
      <c r="H522" s="1">
        <v>0</v>
      </c>
      <c r="I522" s="1" t="s">
        <v>235</v>
      </c>
      <c r="J522" s="1"/>
      <c r="K522" s="1"/>
      <c r="L522" s="1" t="s">
        <v>236</v>
      </c>
      <c r="M522" s="1" t="s">
        <v>164</v>
      </c>
      <c r="N522" s="1">
        <v>0</v>
      </c>
      <c r="O522" s="1">
        <v>0</v>
      </c>
      <c r="P522" s="1"/>
      <c r="Q522" s="1"/>
      <c r="R522" s="1" t="s">
        <v>4725</v>
      </c>
      <c r="S522" s="1" t="s">
        <v>4726</v>
      </c>
      <c r="T522" s="1" t="s">
        <v>107</v>
      </c>
      <c r="U522" s="1" t="s">
        <v>4727</v>
      </c>
      <c r="V522" s="1">
        <v>1</v>
      </c>
      <c r="W522" s="1">
        <v>1</v>
      </c>
      <c r="X522" s="1">
        <v>0</v>
      </c>
      <c r="Y522" s="1">
        <v>0</v>
      </c>
      <c r="Z522" s="1">
        <v>1</v>
      </c>
      <c r="AA522" s="1" t="s">
        <v>109</v>
      </c>
      <c r="AB522" s="1" t="s">
        <v>109</v>
      </c>
      <c r="AC522" s="1" t="s">
        <v>109</v>
      </c>
      <c r="AD522" s="1">
        <v>6</v>
      </c>
      <c r="AE522" s="1" t="s">
        <v>109</v>
      </c>
      <c r="AF522" s="1" t="s">
        <v>109</v>
      </c>
      <c r="AG522" s="1" t="s">
        <v>109</v>
      </c>
      <c r="AH522" s="1" t="s">
        <v>109</v>
      </c>
      <c r="AI522" s="1" t="s">
        <v>109</v>
      </c>
      <c r="AJ522" s="1" t="s">
        <v>109</v>
      </c>
      <c r="AK522" s="1" t="s">
        <v>109</v>
      </c>
      <c r="AL522" s="1" t="s">
        <v>109</v>
      </c>
      <c r="AM522" s="1" t="s">
        <v>109</v>
      </c>
      <c r="AN522" s="1" t="s">
        <v>109</v>
      </c>
      <c r="AO522" s="1" t="s">
        <v>109</v>
      </c>
      <c r="AP522" s="1"/>
      <c r="AQ522" s="1">
        <v>6</v>
      </c>
      <c r="AR522" s="1" t="s">
        <v>4728</v>
      </c>
      <c r="AS522" s="1" t="s">
        <v>4729</v>
      </c>
      <c r="AT522" s="1">
        <v>0</v>
      </c>
      <c r="AU522" s="1">
        <v>0</v>
      </c>
      <c r="AV522" s="1">
        <v>0</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5" t="str">
        <f>HYPERLINK("http://www.d20pfsrd.com/magic/all-spells/s/stone-tell","Stone Tell")</f>
        <v>Stone Tell</v>
      </c>
      <c r="BT522" s="1">
        <v>523</v>
      </c>
      <c r="BU522" s="1" t="s">
        <v>109</v>
      </c>
      <c r="BV522" s="1" t="s">
        <v>4730</v>
      </c>
      <c r="BW522" s="1" t="s">
        <v>4731</v>
      </c>
      <c r="BX522" s="1"/>
      <c r="BY522" s="1"/>
      <c r="BZ522" s="1">
        <v>0</v>
      </c>
      <c r="CA522" s="1" t="s">
        <v>109</v>
      </c>
      <c r="CB522" s="1">
        <v>7</v>
      </c>
      <c r="CC522" s="1">
        <v>6</v>
      </c>
      <c r="CD522" s="1" t="s">
        <v>109</v>
      </c>
      <c r="CE522" s="1" t="s">
        <v>109</v>
      </c>
      <c r="CF522" s="1" t="s">
        <v>109</v>
      </c>
      <c r="CG522" s="1" t="s">
        <v>109</v>
      </c>
      <c r="CH522" s="1" t="s">
        <v>109</v>
      </c>
      <c r="CI522" s="1" t="s">
        <v>109</v>
      </c>
      <c r="CJ522" s="1">
        <v>6</v>
      </c>
      <c r="CK522" s="1"/>
      <c r="CL522" s="1">
        <v>0</v>
      </c>
      <c r="CM522" s="1">
        <v>0</v>
      </c>
      <c r="CN522" s="1">
        <v>0</v>
      </c>
    </row>
    <row r="523" spans="1:92" ht="14.25" customHeight="1" x14ac:dyDescent="0.15">
      <c r="A523" s="1" t="s">
        <v>4732</v>
      </c>
      <c r="B523" s="1" t="s">
        <v>189</v>
      </c>
      <c r="C523" s="1"/>
      <c r="D523" s="1"/>
      <c r="E523" s="1" t="s">
        <v>2107</v>
      </c>
      <c r="F523" s="1" t="s">
        <v>98</v>
      </c>
      <c r="G523" s="1" t="s">
        <v>4733</v>
      </c>
      <c r="H523" s="1">
        <v>0</v>
      </c>
      <c r="I523" s="1" t="s">
        <v>122</v>
      </c>
      <c r="J523" s="1"/>
      <c r="K523" s="1"/>
      <c r="L523" s="1" t="s">
        <v>4734</v>
      </c>
      <c r="M523" s="1" t="s">
        <v>144</v>
      </c>
      <c r="N523" s="1">
        <v>0</v>
      </c>
      <c r="O523" s="1">
        <v>0</v>
      </c>
      <c r="P523" s="1" t="s">
        <v>3700</v>
      </c>
      <c r="Q523" s="1" t="s">
        <v>268</v>
      </c>
      <c r="R523" s="1" t="s">
        <v>4735</v>
      </c>
      <c r="S523" s="1" t="s">
        <v>4736</v>
      </c>
      <c r="T523" s="1" t="s">
        <v>107</v>
      </c>
      <c r="U523" s="1" t="s">
        <v>4737</v>
      </c>
      <c r="V523" s="1">
        <v>1</v>
      </c>
      <c r="W523" s="1">
        <v>1</v>
      </c>
      <c r="X523" s="1">
        <v>1</v>
      </c>
      <c r="Y523" s="1">
        <v>0</v>
      </c>
      <c r="Z523" s="1">
        <v>0</v>
      </c>
      <c r="AA523" s="1">
        <v>6</v>
      </c>
      <c r="AB523" s="1">
        <v>6</v>
      </c>
      <c r="AC523" s="1" t="s">
        <v>109</v>
      </c>
      <c r="AD523" s="1" t="s">
        <v>109</v>
      </c>
      <c r="AE523" s="1" t="s">
        <v>109</v>
      </c>
      <c r="AF523" s="1" t="s">
        <v>109</v>
      </c>
      <c r="AG523" s="1" t="s">
        <v>109</v>
      </c>
      <c r="AH523" s="1" t="s">
        <v>109</v>
      </c>
      <c r="AI523" s="1" t="s">
        <v>109</v>
      </c>
      <c r="AJ523" s="1">
        <v>6</v>
      </c>
      <c r="AK523" s="1" t="s">
        <v>109</v>
      </c>
      <c r="AL523" s="1" t="s">
        <v>109</v>
      </c>
      <c r="AM523" s="1" t="s">
        <v>109</v>
      </c>
      <c r="AN523" s="1">
        <v>6</v>
      </c>
      <c r="AO523" s="1" t="s">
        <v>109</v>
      </c>
      <c r="AP523" s="1"/>
      <c r="AQ523" s="1">
        <v>6</v>
      </c>
      <c r="AR523" s="1"/>
      <c r="AS523" s="1" t="s">
        <v>4738</v>
      </c>
      <c r="AT523" s="1">
        <v>0</v>
      </c>
      <c r="AU523" s="1">
        <v>0</v>
      </c>
      <c r="AV523" s="1">
        <v>0</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5" t="str">
        <f>HYPERLINK("http://www.d20pfsrd.com/magic/all-spells/s/stone-to-flesh","Stone to Flesh")</f>
        <v>Stone to Flesh</v>
      </c>
      <c r="BT523" s="1">
        <v>524</v>
      </c>
      <c r="BU523" s="1" t="s">
        <v>109</v>
      </c>
      <c r="BV523" s="1"/>
      <c r="BW523" s="1"/>
      <c r="BX523" s="1"/>
      <c r="BY523" s="1"/>
      <c r="BZ523" s="1">
        <v>0</v>
      </c>
      <c r="CA523" s="1" t="s">
        <v>109</v>
      </c>
      <c r="CB523" s="1">
        <v>6</v>
      </c>
      <c r="CC523" s="1" t="s">
        <v>109</v>
      </c>
      <c r="CD523" s="1" t="s">
        <v>109</v>
      </c>
      <c r="CE523" s="1" t="s">
        <v>109</v>
      </c>
      <c r="CF523" s="1" t="s">
        <v>109</v>
      </c>
      <c r="CG523" s="1" t="s">
        <v>109</v>
      </c>
      <c r="CH523" s="1" t="s">
        <v>109</v>
      </c>
      <c r="CI523" s="1" t="s">
        <v>109</v>
      </c>
      <c r="CJ523" s="1" t="s">
        <v>109</v>
      </c>
      <c r="CK523" s="1"/>
      <c r="CL523" s="1">
        <v>0</v>
      </c>
      <c r="CM523" s="1">
        <v>0</v>
      </c>
      <c r="CN523" s="1">
        <v>0</v>
      </c>
    </row>
    <row r="524" spans="1:92" ht="14.25" customHeight="1" x14ac:dyDescent="0.15">
      <c r="A524" s="1" t="s">
        <v>4739</v>
      </c>
      <c r="B524" s="1" t="s">
        <v>95</v>
      </c>
      <c r="C524" s="1" t="s">
        <v>1179</v>
      </c>
      <c r="D524" s="1"/>
      <c r="E524" s="1" t="s">
        <v>4740</v>
      </c>
      <c r="F524" s="1" t="s">
        <v>355</v>
      </c>
      <c r="G524" s="1" t="s">
        <v>141</v>
      </c>
      <c r="H524" s="1">
        <v>0</v>
      </c>
      <c r="I524" s="1" t="s">
        <v>100</v>
      </c>
      <c r="J524" s="1"/>
      <c r="K524" s="1" t="s">
        <v>4741</v>
      </c>
      <c r="L524" s="1"/>
      <c r="M524" s="1" t="s">
        <v>4742</v>
      </c>
      <c r="N524" s="1">
        <v>1</v>
      </c>
      <c r="O524" s="1">
        <v>0</v>
      </c>
      <c r="P524" s="1" t="s">
        <v>211</v>
      </c>
      <c r="Q524" s="1" t="s">
        <v>268</v>
      </c>
      <c r="R524" s="1" t="s">
        <v>4743</v>
      </c>
      <c r="S524" s="1" t="s">
        <v>4744</v>
      </c>
      <c r="T524" s="1" t="s">
        <v>107</v>
      </c>
      <c r="U524" s="1" t="s">
        <v>4745</v>
      </c>
      <c r="V524" s="1">
        <v>1</v>
      </c>
      <c r="W524" s="1">
        <v>1</v>
      </c>
      <c r="X524" s="1">
        <v>0</v>
      </c>
      <c r="Y524" s="1">
        <v>0</v>
      </c>
      <c r="Z524" s="1">
        <v>0</v>
      </c>
      <c r="AA524" s="1" t="s">
        <v>109</v>
      </c>
      <c r="AB524" s="1" t="s">
        <v>109</v>
      </c>
      <c r="AC524" s="1">
        <v>9</v>
      </c>
      <c r="AD524" s="1">
        <v>9</v>
      </c>
      <c r="AE524" s="1" t="s">
        <v>109</v>
      </c>
      <c r="AF524" s="1" t="s">
        <v>109</v>
      </c>
      <c r="AG524" s="1" t="s">
        <v>109</v>
      </c>
      <c r="AH524" s="1" t="s">
        <v>109</v>
      </c>
      <c r="AI524" s="1" t="s">
        <v>109</v>
      </c>
      <c r="AJ524" s="1">
        <v>9</v>
      </c>
      <c r="AK524" s="1" t="s">
        <v>109</v>
      </c>
      <c r="AL524" s="1">
        <v>9</v>
      </c>
      <c r="AM524" s="1" t="s">
        <v>109</v>
      </c>
      <c r="AN524" s="1" t="s">
        <v>109</v>
      </c>
      <c r="AO524" s="1" t="s">
        <v>109</v>
      </c>
      <c r="AP524" s="1"/>
      <c r="AQ524" s="1">
        <v>9</v>
      </c>
      <c r="AR524" s="1" t="s">
        <v>4746</v>
      </c>
      <c r="AS524" s="1" t="s">
        <v>4747</v>
      </c>
      <c r="AT524" s="1">
        <v>0</v>
      </c>
      <c r="AU524" s="1">
        <v>0</v>
      </c>
      <c r="AV524" s="1">
        <v>0</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5" t="str">
        <f>HYPERLINK("http://www.d20pfsrd.com/magic/all-spells/s/storm-of-vengeance","Storm of Vengeance")</f>
        <v>Storm of Vengeance</v>
      </c>
      <c r="BT524" s="1">
        <v>525</v>
      </c>
      <c r="BU524" s="1" t="s">
        <v>109</v>
      </c>
      <c r="BV524" s="1" t="s">
        <v>4748</v>
      </c>
      <c r="BW524" s="1" t="s">
        <v>4749</v>
      </c>
      <c r="BX524" s="1" t="s">
        <v>4750</v>
      </c>
      <c r="BY524" s="1" t="s">
        <v>4751</v>
      </c>
      <c r="BZ524" s="1">
        <v>1</v>
      </c>
      <c r="CA524" s="1" t="s">
        <v>109</v>
      </c>
      <c r="CB524" s="1">
        <v>9</v>
      </c>
      <c r="CC524" s="1" t="s">
        <v>109</v>
      </c>
      <c r="CD524" s="1" t="s">
        <v>109</v>
      </c>
      <c r="CE524" s="1" t="s">
        <v>109</v>
      </c>
      <c r="CF524" s="1" t="s">
        <v>109</v>
      </c>
      <c r="CG524" s="1" t="s">
        <v>109</v>
      </c>
      <c r="CH524" s="1" t="s">
        <v>109</v>
      </c>
      <c r="CI524" s="1" t="s">
        <v>109</v>
      </c>
      <c r="CJ524" s="1" t="s">
        <v>109</v>
      </c>
      <c r="CK524" s="1"/>
      <c r="CL524" s="1">
        <v>0</v>
      </c>
      <c r="CM524" s="1">
        <v>0</v>
      </c>
      <c r="CN524" s="1">
        <v>0</v>
      </c>
    </row>
    <row r="525" spans="1:92" ht="14.25" customHeight="1" x14ac:dyDescent="0.15">
      <c r="A525" s="1" t="s">
        <v>4752</v>
      </c>
      <c r="B525" s="1" t="s">
        <v>156</v>
      </c>
      <c r="C525" s="1" t="s">
        <v>157</v>
      </c>
      <c r="D525" s="1" t="s">
        <v>954</v>
      </c>
      <c r="E525" s="1" t="s">
        <v>4753</v>
      </c>
      <c r="F525" s="1" t="s">
        <v>98</v>
      </c>
      <c r="G525" s="1" t="s">
        <v>4754</v>
      </c>
      <c r="H525" s="1">
        <v>0</v>
      </c>
      <c r="I525" s="1" t="s">
        <v>142</v>
      </c>
      <c r="J525" s="1"/>
      <c r="K525" s="1"/>
      <c r="L525" s="1" t="s">
        <v>563</v>
      </c>
      <c r="M525" s="1" t="s">
        <v>4755</v>
      </c>
      <c r="N525" s="1">
        <v>0</v>
      </c>
      <c r="O525" s="1">
        <v>0</v>
      </c>
      <c r="P525" s="1" t="s">
        <v>301</v>
      </c>
      <c r="Q525" s="1" t="s">
        <v>268</v>
      </c>
      <c r="R525" s="1" t="s">
        <v>4756</v>
      </c>
      <c r="S525" s="1" t="s">
        <v>4757</v>
      </c>
      <c r="T525" s="1" t="s">
        <v>107</v>
      </c>
      <c r="U525" s="1" t="s">
        <v>4758</v>
      </c>
      <c r="V525" s="1">
        <v>1</v>
      </c>
      <c r="W525" s="1">
        <v>0</v>
      </c>
      <c r="X525" s="1">
        <v>1</v>
      </c>
      <c r="Y525" s="1">
        <v>0</v>
      </c>
      <c r="Z525" s="1">
        <v>0</v>
      </c>
      <c r="AA525" s="1">
        <v>3</v>
      </c>
      <c r="AB525" s="1">
        <v>3</v>
      </c>
      <c r="AC525" s="1" t="s">
        <v>109</v>
      </c>
      <c r="AD525" s="1" t="s">
        <v>109</v>
      </c>
      <c r="AE525" s="1" t="s">
        <v>109</v>
      </c>
      <c r="AF525" s="1">
        <v>2</v>
      </c>
      <c r="AG525" s="1" t="s">
        <v>109</v>
      </c>
      <c r="AH525" s="1" t="s">
        <v>109</v>
      </c>
      <c r="AI525" s="1" t="s">
        <v>109</v>
      </c>
      <c r="AJ525" s="1">
        <v>3</v>
      </c>
      <c r="AK525" s="1" t="s">
        <v>109</v>
      </c>
      <c r="AL525" s="1" t="s">
        <v>109</v>
      </c>
      <c r="AM525" s="1" t="s">
        <v>109</v>
      </c>
      <c r="AN525" s="1" t="s">
        <v>109</v>
      </c>
      <c r="AO525" s="1" t="s">
        <v>109</v>
      </c>
      <c r="AP525" s="1"/>
      <c r="AQ525" s="1">
        <v>3</v>
      </c>
      <c r="AR525" s="1" t="s">
        <v>4759</v>
      </c>
      <c r="AS525" s="1" t="s">
        <v>4760</v>
      </c>
      <c r="AT525" s="1">
        <v>0</v>
      </c>
      <c r="AU525" s="1">
        <v>0</v>
      </c>
      <c r="AV525" s="1">
        <v>0</v>
      </c>
      <c r="AW525" s="1">
        <v>0</v>
      </c>
      <c r="AX525" s="1">
        <v>0</v>
      </c>
      <c r="AY525" s="1">
        <v>0</v>
      </c>
      <c r="AZ525" s="1">
        <v>0</v>
      </c>
      <c r="BA525" s="1">
        <v>0</v>
      </c>
      <c r="BB525" s="1">
        <v>0</v>
      </c>
      <c r="BC525" s="1">
        <v>0</v>
      </c>
      <c r="BD525" s="1">
        <v>0</v>
      </c>
      <c r="BE525" s="1">
        <v>0</v>
      </c>
      <c r="BF525" s="1">
        <v>0</v>
      </c>
      <c r="BG525" s="1">
        <v>0</v>
      </c>
      <c r="BH525" s="1">
        <v>0</v>
      </c>
      <c r="BI525" s="1">
        <v>0</v>
      </c>
      <c r="BJ525" s="1">
        <v>1</v>
      </c>
      <c r="BK525" s="1">
        <v>0</v>
      </c>
      <c r="BL525" s="1">
        <v>0</v>
      </c>
      <c r="BM525" s="1">
        <v>1</v>
      </c>
      <c r="BN525" s="1">
        <v>0</v>
      </c>
      <c r="BO525" s="1">
        <v>0</v>
      </c>
      <c r="BP525" s="1">
        <v>0</v>
      </c>
      <c r="BQ525" s="1">
        <v>0</v>
      </c>
      <c r="BR525" s="1">
        <v>0</v>
      </c>
      <c r="BS525" s="5" t="str">
        <f>HYPERLINK("http://www.d20pfsrd.com/magic/all-spells/s/suggestion","Suggestion")</f>
        <v>Suggestion</v>
      </c>
      <c r="BT525" s="1">
        <v>526</v>
      </c>
      <c r="BU525" s="1" t="s">
        <v>109</v>
      </c>
      <c r="BV525" s="1" t="s">
        <v>4761</v>
      </c>
      <c r="BW525" s="1"/>
      <c r="BX525" s="1" t="s">
        <v>4762</v>
      </c>
      <c r="BY525" s="1"/>
      <c r="BZ525" s="1">
        <v>1</v>
      </c>
      <c r="CA525" s="1" t="s">
        <v>109</v>
      </c>
      <c r="CB525" s="1" t="s">
        <v>109</v>
      </c>
      <c r="CC525" s="1">
        <v>2</v>
      </c>
      <c r="CD525" s="1" t="s">
        <v>109</v>
      </c>
      <c r="CE525" s="1">
        <v>2</v>
      </c>
      <c r="CF525" s="1">
        <v>3</v>
      </c>
      <c r="CG525" s="1" t="s">
        <v>109</v>
      </c>
      <c r="CH525" s="1" t="s">
        <v>109</v>
      </c>
      <c r="CI525" s="1" t="s">
        <v>109</v>
      </c>
      <c r="CJ525" s="1" t="s">
        <v>109</v>
      </c>
      <c r="CK525" s="1"/>
      <c r="CL525" s="1">
        <v>0</v>
      </c>
      <c r="CM525" s="1">
        <v>0</v>
      </c>
      <c r="CN525" s="1">
        <v>0</v>
      </c>
    </row>
    <row r="526" spans="1:92" ht="14.25" customHeight="1" x14ac:dyDescent="0.15">
      <c r="A526" s="1" t="s">
        <v>4763</v>
      </c>
      <c r="B526" s="1" t="s">
        <v>156</v>
      </c>
      <c r="C526" s="1" t="s">
        <v>157</v>
      </c>
      <c r="D526" s="1" t="s">
        <v>954</v>
      </c>
      <c r="E526" s="1" t="s">
        <v>4764</v>
      </c>
      <c r="F526" s="1" t="s">
        <v>98</v>
      </c>
      <c r="G526" s="1" t="s">
        <v>4754</v>
      </c>
      <c r="H526" s="1">
        <v>0</v>
      </c>
      <c r="I526" s="1" t="s">
        <v>122</v>
      </c>
      <c r="J526" s="1"/>
      <c r="K526" s="1"/>
      <c r="L526" s="1" t="s">
        <v>716</v>
      </c>
      <c r="M526" s="1" t="s">
        <v>4755</v>
      </c>
      <c r="N526" s="1">
        <v>0</v>
      </c>
      <c r="O526" s="1">
        <v>0</v>
      </c>
      <c r="P526" s="1" t="s">
        <v>301</v>
      </c>
      <c r="Q526" s="1" t="s">
        <v>268</v>
      </c>
      <c r="R526" s="1" t="s">
        <v>4765</v>
      </c>
      <c r="S526" s="1" t="s">
        <v>4766</v>
      </c>
      <c r="T526" s="1" t="s">
        <v>107</v>
      </c>
      <c r="U526" s="1" t="s">
        <v>4767</v>
      </c>
      <c r="V526" s="1">
        <v>1</v>
      </c>
      <c r="W526" s="1">
        <v>0</v>
      </c>
      <c r="X526" s="1">
        <v>1</v>
      </c>
      <c r="Y526" s="1">
        <v>0</v>
      </c>
      <c r="Z526" s="1">
        <v>0</v>
      </c>
      <c r="AA526" s="1">
        <v>6</v>
      </c>
      <c r="AB526" s="1">
        <v>6</v>
      </c>
      <c r="AC526" s="1" t="s">
        <v>109</v>
      </c>
      <c r="AD526" s="1" t="s">
        <v>109</v>
      </c>
      <c r="AE526" s="1" t="s">
        <v>109</v>
      </c>
      <c r="AF526" s="1">
        <v>5</v>
      </c>
      <c r="AG526" s="1" t="s">
        <v>109</v>
      </c>
      <c r="AH526" s="1" t="s">
        <v>109</v>
      </c>
      <c r="AI526" s="1" t="s">
        <v>109</v>
      </c>
      <c r="AJ526" s="1">
        <v>6</v>
      </c>
      <c r="AK526" s="1" t="s">
        <v>109</v>
      </c>
      <c r="AL526" s="1" t="s">
        <v>109</v>
      </c>
      <c r="AM526" s="1" t="s">
        <v>109</v>
      </c>
      <c r="AN526" s="1" t="s">
        <v>109</v>
      </c>
      <c r="AO526" s="1" t="s">
        <v>109</v>
      </c>
      <c r="AP526" s="1"/>
      <c r="AQ526" s="1">
        <v>6</v>
      </c>
      <c r="AR526" s="1" t="s">
        <v>4768</v>
      </c>
      <c r="AS526" s="1" t="s">
        <v>4769</v>
      </c>
      <c r="AT526" s="1">
        <v>0</v>
      </c>
      <c r="AU526" s="1">
        <v>0</v>
      </c>
      <c r="AV526" s="1">
        <v>0</v>
      </c>
      <c r="AW526" s="1">
        <v>0</v>
      </c>
      <c r="AX526" s="1">
        <v>0</v>
      </c>
      <c r="AY526" s="1">
        <v>0</v>
      </c>
      <c r="AZ526" s="1">
        <v>0</v>
      </c>
      <c r="BA526" s="1">
        <v>0</v>
      </c>
      <c r="BB526" s="1">
        <v>0</v>
      </c>
      <c r="BC526" s="1">
        <v>0</v>
      </c>
      <c r="BD526" s="1">
        <v>0</v>
      </c>
      <c r="BE526" s="1">
        <v>0</v>
      </c>
      <c r="BF526" s="1">
        <v>0</v>
      </c>
      <c r="BG526" s="1">
        <v>0</v>
      </c>
      <c r="BH526" s="1">
        <v>0</v>
      </c>
      <c r="BI526" s="1">
        <v>0</v>
      </c>
      <c r="BJ526" s="1">
        <v>1</v>
      </c>
      <c r="BK526" s="1">
        <v>0</v>
      </c>
      <c r="BL526" s="1">
        <v>0</v>
      </c>
      <c r="BM526" s="1">
        <v>1</v>
      </c>
      <c r="BN526" s="1">
        <v>0</v>
      </c>
      <c r="BO526" s="1">
        <v>0</v>
      </c>
      <c r="BP526" s="1">
        <v>0</v>
      </c>
      <c r="BQ526" s="1">
        <v>0</v>
      </c>
      <c r="BR526" s="1">
        <v>0</v>
      </c>
      <c r="BS526" s="5" t="str">
        <f>HYPERLINK("http://www.d20pfsrd.com/magic/all-spells/s/suggestion","Suggestion, Mass")</f>
        <v>Suggestion, Mass</v>
      </c>
      <c r="BT526" s="1">
        <v>527</v>
      </c>
      <c r="BU526" s="1" t="s">
        <v>109</v>
      </c>
      <c r="BV526" s="1" t="s">
        <v>4770</v>
      </c>
      <c r="BW526" s="1"/>
      <c r="BX526" s="1"/>
      <c r="BY526" s="1"/>
      <c r="BZ526" s="1">
        <v>0</v>
      </c>
      <c r="CA526" s="1" t="s">
        <v>109</v>
      </c>
      <c r="CB526" s="1" t="s">
        <v>109</v>
      </c>
      <c r="CC526" s="1">
        <v>5</v>
      </c>
      <c r="CD526" s="1" t="s">
        <v>109</v>
      </c>
      <c r="CE526" s="1">
        <v>5</v>
      </c>
      <c r="CF526" s="1">
        <v>5</v>
      </c>
      <c r="CG526" s="1" t="s">
        <v>109</v>
      </c>
      <c r="CH526" s="1" t="s">
        <v>109</v>
      </c>
      <c r="CI526" s="1" t="s">
        <v>109</v>
      </c>
      <c r="CJ526" s="1" t="s">
        <v>109</v>
      </c>
      <c r="CK526" s="1"/>
      <c r="CL526" s="1">
        <v>0</v>
      </c>
      <c r="CM526" s="1">
        <v>0</v>
      </c>
      <c r="CN526" s="1">
        <v>0</v>
      </c>
    </row>
    <row r="527" spans="1:92" ht="14.25" customHeight="1" x14ac:dyDescent="0.15">
      <c r="A527" s="1" t="s">
        <v>4771</v>
      </c>
      <c r="B527" s="1" t="s">
        <v>95</v>
      </c>
      <c r="C527" s="1" t="s">
        <v>1179</v>
      </c>
      <c r="D527" s="1"/>
      <c r="E527" s="1" t="s">
        <v>4772</v>
      </c>
      <c r="F527" s="1" t="s">
        <v>355</v>
      </c>
      <c r="G527" s="1" t="s">
        <v>141</v>
      </c>
      <c r="H527" s="1">
        <v>0</v>
      </c>
      <c r="I527" s="1" t="s">
        <v>925</v>
      </c>
      <c r="J527" s="1"/>
      <c r="K527" s="1" t="s">
        <v>4773</v>
      </c>
      <c r="L527" s="1"/>
      <c r="M527" s="1" t="s">
        <v>164</v>
      </c>
      <c r="N527" s="1">
        <v>1</v>
      </c>
      <c r="O527" s="1">
        <v>0</v>
      </c>
      <c r="P527" s="1" t="s">
        <v>103</v>
      </c>
      <c r="Q527" s="1" t="s">
        <v>104</v>
      </c>
      <c r="R527" s="1" t="s">
        <v>4774</v>
      </c>
      <c r="S527" s="1" t="s">
        <v>4775</v>
      </c>
      <c r="T527" s="1" t="s">
        <v>107</v>
      </c>
      <c r="U527" s="1" t="s">
        <v>4776</v>
      </c>
      <c r="V527" s="1">
        <v>1</v>
      </c>
      <c r="W527" s="1">
        <v>1</v>
      </c>
      <c r="X527" s="1">
        <v>0</v>
      </c>
      <c r="Y527" s="1">
        <v>0</v>
      </c>
      <c r="Z527" s="1">
        <v>0</v>
      </c>
      <c r="AA527" s="1" t="s">
        <v>109</v>
      </c>
      <c r="AB527" s="1" t="s">
        <v>109</v>
      </c>
      <c r="AC527" s="1" t="s">
        <v>109</v>
      </c>
      <c r="AD527" s="1" t="s">
        <v>109</v>
      </c>
      <c r="AE527" s="1" t="s">
        <v>109</v>
      </c>
      <c r="AF527" s="1">
        <v>0</v>
      </c>
      <c r="AG527" s="1" t="s">
        <v>109</v>
      </c>
      <c r="AH527" s="1" t="s">
        <v>109</v>
      </c>
      <c r="AI527" s="1" t="s">
        <v>109</v>
      </c>
      <c r="AJ527" s="1" t="s">
        <v>109</v>
      </c>
      <c r="AK527" s="1" t="s">
        <v>109</v>
      </c>
      <c r="AL527" s="1" t="s">
        <v>109</v>
      </c>
      <c r="AM527" s="1" t="s">
        <v>109</v>
      </c>
      <c r="AN527" s="1" t="s">
        <v>109</v>
      </c>
      <c r="AO527" s="1" t="s">
        <v>109</v>
      </c>
      <c r="AP527" s="1"/>
      <c r="AQ527" s="1">
        <v>0</v>
      </c>
      <c r="AR527" s="1"/>
      <c r="AS527" s="1" t="s">
        <v>4777</v>
      </c>
      <c r="AT527" s="1">
        <v>0</v>
      </c>
      <c r="AU527" s="1">
        <v>0</v>
      </c>
      <c r="AV527" s="1">
        <v>0</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5" t="str">
        <f>HYPERLINK("http://www.d20pfsrd.com/magic/all-spells/s/summon-instrument","Summon Instrument")</f>
        <v>Summon Instrument</v>
      </c>
      <c r="BT527" s="1">
        <v>528</v>
      </c>
      <c r="BU527" s="1" t="s">
        <v>109</v>
      </c>
      <c r="BV527" s="1"/>
      <c r="BW527" s="1"/>
      <c r="BX527" s="1"/>
      <c r="BY527" s="1"/>
      <c r="BZ527" s="1">
        <v>0</v>
      </c>
      <c r="CA527" s="1" t="s">
        <v>109</v>
      </c>
      <c r="CB527" s="1" t="s">
        <v>109</v>
      </c>
      <c r="CC527" s="1" t="s">
        <v>109</v>
      </c>
      <c r="CD527" s="1" t="s">
        <v>109</v>
      </c>
      <c r="CE527" s="1" t="s">
        <v>109</v>
      </c>
      <c r="CF527" s="1" t="s">
        <v>109</v>
      </c>
      <c r="CG527" s="1" t="s">
        <v>109</v>
      </c>
      <c r="CH527" s="1" t="s">
        <v>109</v>
      </c>
      <c r="CI527" s="1" t="s">
        <v>109</v>
      </c>
      <c r="CJ527" s="1" t="s">
        <v>109</v>
      </c>
      <c r="CK527" s="1"/>
      <c r="CL527" s="1">
        <v>0</v>
      </c>
      <c r="CM527" s="1">
        <v>0</v>
      </c>
      <c r="CN527" s="1">
        <v>0</v>
      </c>
    </row>
    <row r="528" spans="1:92" ht="14.25" customHeight="1" x14ac:dyDescent="0.15">
      <c r="A528" s="1" t="s">
        <v>4778</v>
      </c>
      <c r="B528" s="1" t="s">
        <v>95</v>
      </c>
      <c r="C528" s="1" t="s">
        <v>1179</v>
      </c>
      <c r="D528" s="1" t="s">
        <v>211</v>
      </c>
      <c r="E528" s="1" t="s">
        <v>4779</v>
      </c>
      <c r="F528" s="1" t="s">
        <v>355</v>
      </c>
      <c r="G528" s="1" t="s">
        <v>4780</v>
      </c>
      <c r="H528" s="1">
        <v>0</v>
      </c>
      <c r="I528" s="1" t="s">
        <v>142</v>
      </c>
      <c r="J528" s="1"/>
      <c r="K528" s="1" t="s">
        <v>4781</v>
      </c>
      <c r="L528" s="1"/>
      <c r="M528" s="1" t="s">
        <v>125</v>
      </c>
      <c r="N528" s="1">
        <v>1</v>
      </c>
      <c r="O528" s="1">
        <v>0</v>
      </c>
      <c r="P528" s="1" t="s">
        <v>103</v>
      </c>
      <c r="Q528" s="1" t="s">
        <v>104</v>
      </c>
      <c r="R528" s="1" t="s">
        <v>4782</v>
      </c>
      <c r="S528" s="1" t="s">
        <v>4783</v>
      </c>
      <c r="T528" s="1" t="s">
        <v>107</v>
      </c>
      <c r="U528" s="1" t="s">
        <v>4784</v>
      </c>
      <c r="V528" s="1">
        <v>1</v>
      </c>
      <c r="W528" s="1">
        <v>1</v>
      </c>
      <c r="X528" s="1">
        <v>0</v>
      </c>
      <c r="Y528" s="1">
        <v>1</v>
      </c>
      <c r="Z528" s="1">
        <v>1</v>
      </c>
      <c r="AA528" s="1">
        <v>1</v>
      </c>
      <c r="AB528" s="1">
        <v>1</v>
      </c>
      <c r="AC528" s="1">
        <v>1</v>
      </c>
      <c r="AD528" s="1" t="s">
        <v>109</v>
      </c>
      <c r="AE528" s="1" t="s">
        <v>109</v>
      </c>
      <c r="AF528" s="1">
        <v>1</v>
      </c>
      <c r="AG528" s="1" t="s">
        <v>109</v>
      </c>
      <c r="AH528" s="1" t="s">
        <v>109</v>
      </c>
      <c r="AI528" s="1">
        <v>1</v>
      </c>
      <c r="AJ528" s="1">
        <v>1</v>
      </c>
      <c r="AK528" s="1" t="s">
        <v>109</v>
      </c>
      <c r="AL528" s="1">
        <v>1</v>
      </c>
      <c r="AM528" s="1">
        <v>1</v>
      </c>
      <c r="AN528" s="1" t="s">
        <v>109</v>
      </c>
      <c r="AO528" s="1" t="s">
        <v>109</v>
      </c>
      <c r="AP528" s="1"/>
      <c r="AQ528" s="1">
        <v>1</v>
      </c>
      <c r="AR528" s="1"/>
      <c r="AS528" s="1" t="s">
        <v>4785</v>
      </c>
      <c r="AT528" s="1">
        <v>0</v>
      </c>
      <c r="AU528" s="1">
        <v>0</v>
      </c>
      <c r="AV528" s="1">
        <v>0</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5" t="str">
        <f>HYPERLINK("http://www.d20pfsrd.com/magic/all-spells/s/summon-monster-i","Summon Monster I")</f>
        <v>Summon Monster I</v>
      </c>
      <c r="BT528" s="1">
        <v>529</v>
      </c>
      <c r="BU528" s="1" t="s">
        <v>109</v>
      </c>
      <c r="BV528" s="1"/>
      <c r="BW528" s="1"/>
      <c r="BX528" s="1"/>
      <c r="BY528" s="1"/>
      <c r="BZ528" s="1">
        <v>0</v>
      </c>
      <c r="CA528" s="1" t="s">
        <v>109</v>
      </c>
      <c r="CB528" s="1" t="s">
        <v>109</v>
      </c>
      <c r="CC528" s="1">
        <v>1</v>
      </c>
      <c r="CD528" s="1" t="s">
        <v>109</v>
      </c>
      <c r="CE528" s="1" t="s">
        <v>109</v>
      </c>
      <c r="CF528" s="1" t="s">
        <v>109</v>
      </c>
      <c r="CG528" s="1">
        <v>1</v>
      </c>
      <c r="CH528" s="1" t="s">
        <v>109</v>
      </c>
      <c r="CI528" s="1" t="s">
        <v>109</v>
      </c>
      <c r="CJ528" s="1" t="s">
        <v>109</v>
      </c>
      <c r="CK528" s="1"/>
      <c r="CL528" s="1">
        <v>0</v>
      </c>
      <c r="CM528" s="1">
        <v>0</v>
      </c>
      <c r="CN528" s="1">
        <v>0</v>
      </c>
    </row>
    <row r="529" spans="1:92" ht="14.25" customHeight="1" x14ac:dyDescent="0.15">
      <c r="A529" s="1" t="s">
        <v>4786</v>
      </c>
      <c r="B529" s="1" t="s">
        <v>95</v>
      </c>
      <c r="C529" s="1" t="s">
        <v>1179</v>
      </c>
      <c r="D529" s="1"/>
      <c r="E529" s="1" t="s">
        <v>4787</v>
      </c>
      <c r="F529" s="1" t="s">
        <v>355</v>
      </c>
      <c r="G529" s="1" t="s">
        <v>4780</v>
      </c>
      <c r="H529" s="1">
        <v>0</v>
      </c>
      <c r="I529" s="1" t="s">
        <v>142</v>
      </c>
      <c r="J529" s="1"/>
      <c r="K529" s="1" t="s">
        <v>4781</v>
      </c>
      <c r="L529" s="1"/>
      <c r="M529" s="1" t="s">
        <v>125</v>
      </c>
      <c r="N529" s="1">
        <v>1</v>
      </c>
      <c r="O529" s="1">
        <v>0</v>
      </c>
      <c r="P529" s="1" t="s">
        <v>103</v>
      </c>
      <c r="Q529" s="1" t="s">
        <v>104</v>
      </c>
      <c r="R529" s="1" t="s">
        <v>4788</v>
      </c>
      <c r="S529" s="1" t="s">
        <v>4789</v>
      </c>
      <c r="T529" s="1" t="s">
        <v>107</v>
      </c>
      <c r="U529" s="1" t="s">
        <v>4790</v>
      </c>
      <c r="V529" s="1">
        <v>1</v>
      </c>
      <c r="W529" s="1">
        <v>1</v>
      </c>
      <c r="X529" s="1">
        <v>0</v>
      </c>
      <c r="Y529" s="1">
        <v>1</v>
      </c>
      <c r="Z529" s="1">
        <v>1</v>
      </c>
      <c r="AA529" s="1">
        <v>2</v>
      </c>
      <c r="AB529" s="1">
        <v>2</v>
      </c>
      <c r="AC529" s="1">
        <v>2</v>
      </c>
      <c r="AD529" s="1" t="s">
        <v>109</v>
      </c>
      <c r="AE529" s="1" t="s">
        <v>109</v>
      </c>
      <c r="AF529" s="1">
        <v>2</v>
      </c>
      <c r="AG529" s="1" t="s">
        <v>109</v>
      </c>
      <c r="AH529" s="1" t="s">
        <v>109</v>
      </c>
      <c r="AI529" s="1">
        <v>2</v>
      </c>
      <c r="AJ529" s="1">
        <v>2</v>
      </c>
      <c r="AK529" s="1" t="s">
        <v>109</v>
      </c>
      <c r="AL529" s="1">
        <v>2</v>
      </c>
      <c r="AM529" s="1">
        <v>2</v>
      </c>
      <c r="AN529" s="1" t="s">
        <v>109</v>
      </c>
      <c r="AO529" s="1" t="s">
        <v>109</v>
      </c>
      <c r="AP529" s="1"/>
      <c r="AQ529" s="1">
        <v>2</v>
      </c>
      <c r="AR529" s="1" t="s">
        <v>4791</v>
      </c>
      <c r="AS529" s="1" t="s">
        <v>4785</v>
      </c>
      <c r="AT529" s="1">
        <v>0</v>
      </c>
      <c r="AU529" s="1">
        <v>0</v>
      </c>
      <c r="AV529" s="1">
        <v>0</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5" t="str">
        <f>HYPERLINK("http://www.d20pfsrd.com/magic/all-spells/s/summon-monster-i#TOC-Summon-Monster-II","Summon Monster II")</f>
        <v>Summon Monster II</v>
      </c>
      <c r="BT529" s="1">
        <v>530</v>
      </c>
      <c r="BU529" s="1" t="s">
        <v>109</v>
      </c>
      <c r="BV529" s="1"/>
      <c r="BW529" s="1"/>
      <c r="BX529" s="1"/>
      <c r="BY529" s="1"/>
      <c r="BZ529" s="1">
        <v>0</v>
      </c>
      <c r="CA529" s="1" t="s">
        <v>109</v>
      </c>
      <c r="CB529" s="1" t="s">
        <v>109</v>
      </c>
      <c r="CC529" s="1">
        <v>2</v>
      </c>
      <c r="CD529" s="1" t="s">
        <v>109</v>
      </c>
      <c r="CE529" s="1" t="s">
        <v>109</v>
      </c>
      <c r="CF529" s="1" t="s">
        <v>109</v>
      </c>
      <c r="CG529" s="1">
        <v>2</v>
      </c>
      <c r="CH529" s="1" t="s">
        <v>109</v>
      </c>
      <c r="CI529" s="1" t="s">
        <v>109</v>
      </c>
      <c r="CJ529" s="1" t="s">
        <v>109</v>
      </c>
      <c r="CK529" s="1"/>
      <c r="CL529" s="1">
        <v>0</v>
      </c>
      <c r="CM529" s="1">
        <v>0</v>
      </c>
      <c r="CN529" s="1">
        <v>0</v>
      </c>
    </row>
    <row r="530" spans="1:92" ht="14.25" customHeight="1" x14ac:dyDescent="0.15">
      <c r="A530" s="1" t="s">
        <v>4792</v>
      </c>
      <c r="B530" s="1" t="s">
        <v>95</v>
      </c>
      <c r="C530" s="1" t="s">
        <v>1179</v>
      </c>
      <c r="D530" s="1"/>
      <c r="E530" s="1" t="s">
        <v>4793</v>
      </c>
      <c r="F530" s="1" t="s">
        <v>355</v>
      </c>
      <c r="G530" s="1" t="s">
        <v>4780</v>
      </c>
      <c r="H530" s="1">
        <v>0</v>
      </c>
      <c r="I530" s="1" t="s">
        <v>142</v>
      </c>
      <c r="J530" s="1"/>
      <c r="K530" s="1" t="s">
        <v>4781</v>
      </c>
      <c r="L530" s="1"/>
      <c r="M530" s="1" t="s">
        <v>125</v>
      </c>
      <c r="N530" s="1">
        <v>1</v>
      </c>
      <c r="O530" s="1">
        <v>0</v>
      </c>
      <c r="P530" s="1" t="s">
        <v>103</v>
      </c>
      <c r="Q530" s="1" t="s">
        <v>104</v>
      </c>
      <c r="R530" s="1" t="s">
        <v>4794</v>
      </c>
      <c r="S530" s="1" t="s">
        <v>4795</v>
      </c>
      <c r="T530" s="1" t="s">
        <v>107</v>
      </c>
      <c r="U530" s="1" t="s">
        <v>4796</v>
      </c>
      <c r="V530" s="1">
        <v>1</v>
      </c>
      <c r="W530" s="1">
        <v>1</v>
      </c>
      <c r="X530" s="1">
        <v>0</v>
      </c>
      <c r="Y530" s="1">
        <v>1</v>
      </c>
      <c r="Z530" s="1">
        <v>1</v>
      </c>
      <c r="AA530" s="1">
        <v>3</v>
      </c>
      <c r="AB530" s="1">
        <v>3</v>
      </c>
      <c r="AC530" s="1">
        <v>3</v>
      </c>
      <c r="AD530" s="1" t="s">
        <v>109</v>
      </c>
      <c r="AE530" s="1" t="s">
        <v>109</v>
      </c>
      <c r="AF530" s="1">
        <v>3</v>
      </c>
      <c r="AG530" s="1" t="s">
        <v>109</v>
      </c>
      <c r="AH530" s="1" t="s">
        <v>109</v>
      </c>
      <c r="AI530" s="1" t="s">
        <v>109</v>
      </c>
      <c r="AJ530" s="1">
        <v>3</v>
      </c>
      <c r="AK530" s="1" t="s">
        <v>109</v>
      </c>
      <c r="AL530" s="1">
        <v>3</v>
      </c>
      <c r="AM530" s="1">
        <v>3</v>
      </c>
      <c r="AN530" s="1" t="s">
        <v>109</v>
      </c>
      <c r="AO530" s="1" t="s">
        <v>109</v>
      </c>
      <c r="AP530" s="1"/>
      <c r="AQ530" s="1">
        <v>3</v>
      </c>
      <c r="AR530" s="1"/>
      <c r="AS530" s="1" t="s">
        <v>4785</v>
      </c>
      <c r="AT530" s="1">
        <v>0</v>
      </c>
      <c r="AU530" s="1">
        <v>0</v>
      </c>
      <c r="AV530" s="1">
        <v>0</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5" t="str">
        <f>HYPERLINK("http://www.d20pfsrd.com/magic/all-spells/s/summon-monster-i#TOC-Summon-Monster-III","Summon Monster III")</f>
        <v>Summon Monster III</v>
      </c>
      <c r="BT530" s="1">
        <v>531</v>
      </c>
      <c r="BU530" s="1" t="s">
        <v>109</v>
      </c>
      <c r="BV530" s="1" t="s">
        <v>4797</v>
      </c>
      <c r="BW530" s="1"/>
      <c r="BX530" s="1"/>
      <c r="BY530" s="1"/>
      <c r="BZ530" s="1">
        <v>0</v>
      </c>
      <c r="CA530" s="1" t="s">
        <v>109</v>
      </c>
      <c r="CB530" s="1" t="s">
        <v>109</v>
      </c>
      <c r="CC530" s="1">
        <v>3</v>
      </c>
      <c r="CD530" s="1" t="s">
        <v>109</v>
      </c>
      <c r="CE530" s="1" t="s">
        <v>109</v>
      </c>
      <c r="CF530" s="1" t="s">
        <v>109</v>
      </c>
      <c r="CG530" s="1">
        <v>3</v>
      </c>
      <c r="CH530" s="1" t="s">
        <v>109</v>
      </c>
      <c r="CI530" s="1" t="s">
        <v>109</v>
      </c>
      <c r="CJ530" s="1" t="s">
        <v>109</v>
      </c>
      <c r="CK530" s="1"/>
      <c r="CL530" s="1">
        <v>0</v>
      </c>
      <c r="CM530" s="1">
        <v>0</v>
      </c>
      <c r="CN530" s="1">
        <v>0</v>
      </c>
    </row>
    <row r="531" spans="1:92" ht="14.25" customHeight="1" x14ac:dyDescent="0.15">
      <c r="A531" s="1" t="s">
        <v>4798</v>
      </c>
      <c r="B531" s="1" t="s">
        <v>95</v>
      </c>
      <c r="C531" s="1" t="s">
        <v>1179</v>
      </c>
      <c r="D531" s="1"/>
      <c r="E531" s="1" t="s">
        <v>4799</v>
      </c>
      <c r="F531" s="1" t="s">
        <v>355</v>
      </c>
      <c r="G531" s="1" t="s">
        <v>4780</v>
      </c>
      <c r="H531" s="1">
        <v>0</v>
      </c>
      <c r="I531" s="1" t="s">
        <v>142</v>
      </c>
      <c r="J531" s="1"/>
      <c r="K531" s="1" t="s">
        <v>4781</v>
      </c>
      <c r="L531" s="1"/>
      <c r="M531" s="1" t="s">
        <v>125</v>
      </c>
      <c r="N531" s="1">
        <v>1</v>
      </c>
      <c r="O531" s="1">
        <v>0</v>
      </c>
      <c r="P531" s="1" t="s">
        <v>103</v>
      </c>
      <c r="Q531" s="1" t="s">
        <v>104</v>
      </c>
      <c r="R531" s="1" t="s">
        <v>4800</v>
      </c>
      <c r="S531" s="1" t="s">
        <v>4801</v>
      </c>
      <c r="T531" s="1" t="s">
        <v>107</v>
      </c>
      <c r="U531" s="1" t="s">
        <v>4802</v>
      </c>
      <c r="V531" s="1">
        <v>1</v>
      </c>
      <c r="W531" s="1">
        <v>1</v>
      </c>
      <c r="X531" s="1">
        <v>0</v>
      </c>
      <c r="Y531" s="1">
        <v>1</v>
      </c>
      <c r="Z531" s="1">
        <v>1</v>
      </c>
      <c r="AA531" s="1">
        <v>4</v>
      </c>
      <c r="AB531" s="1">
        <v>4</v>
      </c>
      <c r="AC531" s="1">
        <v>4</v>
      </c>
      <c r="AD531" s="1" t="s">
        <v>109</v>
      </c>
      <c r="AE531" s="1" t="s">
        <v>109</v>
      </c>
      <c r="AF531" s="1">
        <v>4</v>
      </c>
      <c r="AG531" s="1" t="s">
        <v>109</v>
      </c>
      <c r="AH531" s="1" t="s">
        <v>109</v>
      </c>
      <c r="AI531" s="1">
        <v>3</v>
      </c>
      <c r="AJ531" s="1">
        <v>4</v>
      </c>
      <c r="AK531" s="1" t="s">
        <v>109</v>
      </c>
      <c r="AL531" s="1">
        <v>4</v>
      </c>
      <c r="AM531" s="1">
        <v>4</v>
      </c>
      <c r="AN531" s="1" t="s">
        <v>109</v>
      </c>
      <c r="AO531" s="1" t="s">
        <v>109</v>
      </c>
      <c r="AP531" s="1"/>
      <c r="AQ531" s="1">
        <v>4</v>
      </c>
      <c r="AR531" s="1" t="s">
        <v>4803</v>
      </c>
      <c r="AS531" s="1" t="s">
        <v>4785</v>
      </c>
      <c r="AT531" s="1">
        <v>0</v>
      </c>
      <c r="AU531" s="1">
        <v>0</v>
      </c>
      <c r="AV531" s="1">
        <v>0</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5" t="str">
        <f>HYPERLINK("http://www.d20pfsrd.com/magic/all-spells/s/summon-monster-i#TOC-Summon-Monster-IV","Summon Monster IV")</f>
        <v>Summon Monster IV</v>
      </c>
      <c r="BT531" s="1">
        <v>532</v>
      </c>
      <c r="BU531" s="1" t="s">
        <v>109</v>
      </c>
      <c r="BV531" s="1"/>
      <c r="BW531" s="1"/>
      <c r="BX531" s="1"/>
      <c r="BY531" s="1"/>
      <c r="BZ531" s="1">
        <v>0</v>
      </c>
      <c r="CA531" s="1" t="s">
        <v>109</v>
      </c>
      <c r="CB531" s="1" t="s">
        <v>109</v>
      </c>
      <c r="CC531" s="1">
        <v>4</v>
      </c>
      <c r="CD531" s="1" t="s">
        <v>109</v>
      </c>
      <c r="CE531" s="1" t="s">
        <v>109</v>
      </c>
      <c r="CF531" s="1" t="s">
        <v>109</v>
      </c>
      <c r="CG531" s="1">
        <v>4</v>
      </c>
      <c r="CH531" s="1" t="s">
        <v>109</v>
      </c>
      <c r="CI531" s="1" t="s">
        <v>109</v>
      </c>
      <c r="CJ531" s="1" t="s">
        <v>109</v>
      </c>
      <c r="CK531" s="1"/>
      <c r="CL531" s="1">
        <v>0</v>
      </c>
      <c r="CM531" s="1">
        <v>0</v>
      </c>
      <c r="CN531" s="1">
        <v>0</v>
      </c>
    </row>
    <row r="532" spans="1:92" ht="14.25" customHeight="1" x14ac:dyDescent="0.15">
      <c r="A532" s="1" t="s">
        <v>4804</v>
      </c>
      <c r="B532" s="1" t="s">
        <v>95</v>
      </c>
      <c r="C532" s="1" t="s">
        <v>1179</v>
      </c>
      <c r="D532" s="1"/>
      <c r="E532" s="1" t="s">
        <v>4805</v>
      </c>
      <c r="F532" s="1" t="s">
        <v>355</v>
      </c>
      <c r="G532" s="1" t="s">
        <v>4780</v>
      </c>
      <c r="H532" s="1">
        <v>0</v>
      </c>
      <c r="I532" s="1" t="s">
        <v>142</v>
      </c>
      <c r="J532" s="1"/>
      <c r="K532" s="1" t="s">
        <v>4781</v>
      </c>
      <c r="L532" s="1"/>
      <c r="M532" s="1" t="s">
        <v>125</v>
      </c>
      <c r="N532" s="1">
        <v>1</v>
      </c>
      <c r="O532" s="1">
        <v>0</v>
      </c>
      <c r="P532" s="1" t="s">
        <v>103</v>
      </c>
      <c r="Q532" s="1" t="s">
        <v>104</v>
      </c>
      <c r="R532" s="1" t="s">
        <v>4806</v>
      </c>
      <c r="S532" s="1" t="s">
        <v>4807</v>
      </c>
      <c r="T532" s="1" t="s">
        <v>107</v>
      </c>
      <c r="U532" s="1" t="s">
        <v>4808</v>
      </c>
      <c r="V532" s="1">
        <v>1</v>
      </c>
      <c r="W532" s="1">
        <v>1</v>
      </c>
      <c r="X532" s="1">
        <v>0</v>
      </c>
      <c r="Y532" s="1">
        <v>1</v>
      </c>
      <c r="Z532" s="1">
        <v>1</v>
      </c>
      <c r="AA532" s="1">
        <v>5</v>
      </c>
      <c r="AB532" s="1">
        <v>5</v>
      </c>
      <c r="AC532" s="1">
        <v>5</v>
      </c>
      <c r="AD532" s="1" t="s">
        <v>109</v>
      </c>
      <c r="AE532" s="1" t="s">
        <v>109</v>
      </c>
      <c r="AF532" s="1">
        <v>5</v>
      </c>
      <c r="AG532" s="1" t="s">
        <v>109</v>
      </c>
      <c r="AH532" s="1" t="s">
        <v>109</v>
      </c>
      <c r="AI532" s="1">
        <v>4</v>
      </c>
      <c r="AJ532" s="1">
        <v>5</v>
      </c>
      <c r="AK532" s="1" t="s">
        <v>109</v>
      </c>
      <c r="AL532" s="1">
        <v>5</v>
      </c>
      <c r="AM532" s="1" t="s">
        <v>109</v>
      </c>
      <c r="AN532" s="1" t="s">
        <v>109</v>
      </c>
      <c r="AO532" s="1" t="s">
        <v>109</v>
      </c>
      <c r="AP532" s="1"/>
      <c r="AQ532" s="1">
        <v>5</v>
      </c>
      <c r="AR532" s="1" t="s">
        <v>4809</v>
      </c>
      <c r="AS532" s="1" t="s">
        <v>4810</v>
      </c>
      <c r="AT532" s="1">
        <v>0</v>
      </c>
      <c r="AU532" s="1">
        <v>0</v>
      </c>
      <c r="AV532" s="1">
        <v>0</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5" t="str">
        <f>HYPERLINK("http://www.d20pfsrd.com/magic/all-spells/s/summon-monster-i#TOC-Summon-Monster-V","Summon Monster V")</f>
        <v>Summon Monster V</v>
      </c>
      <c r="BT532" s="1">
        <v>533</v>
      </c>
      <c r="BU532" s="1" t="s">
        <v>109</v>
      </c>
      <c r="BV532" s="1"/>
      <c r="BW532" s="1"/>
      <c r="BX532" s="1"/>
      <c r="BY532" s="1"/>
      <c r="BZ532" s="1">
        <v>0</v>
      </c>
      <c r="CA532" s="1" t="s">
        <v>109</v>
      </c>
      <c r="CB532" s="1" t="s">
        <v>109</v>
      </c>
      <c r="CC532" s="1">
        <v>5</v>
      </c>
      <c r="CD532" s="1" t="s">
        <v>109</v>
      </c>
      <c r="CE532" s="1" t="s">
        <v>109</v>
      </c>
      <c r="CF532" s="1" t="s">
        <v>109</v>
      </c>
      <c r="CG532" s="1">
        <v>5</v>
      </c>
      <c r="CH532" s="1" t="s">
        <v>109</v>
      </c>
      <c r="CI532" s="1" t="s">
        <v>109</v>
      </c>
      <c r="CJ532" s="1" t="s">
        <v>109</v>
      </c>
      <c r="CK532" s="1"/>
      <c r="CL532" s="1">
        <v>0</v>
      </c>
      <c r="CM532" s="1">
        <v>0</v>
      </c>
      <c r="CN532" s="1">
        <v>0</v>
      </c>
    </row>
    <row r="533" spans="1:92" ht="14.25" customHeight="1" x14ac:dyDescent="0.15">
      <c r="A533" s="1" t="s">
        <v>4811</v>
      </c>
      <c r="B533" s="1" t="s">
        <v>95</v>
      </c>
      <c r="C533" s="1" t="s">
        <v>1179</v>
      </c>
      <c r="D533" s="1"/>
      <c r="E533" s="1" t="s">
        <v>4812</v>
      </c>
      <c r="F533" s="1" t="s">
        <v>355</v>
      </c>
      <c r="G533" s="1" t="s">
        <v>4780</v>
      </c>
      <c r="H533" s="1">
        <v>0</v>
      </c>
      <c r="I533" s="1" t="s">
        <v>142</v>
      </c>
      <c r="J533" s="1"/>
      <c r="K533" s="1" t="s">
        <v>4781</v>
      </c>
      <c r="L533" s="1"/>
      <c r="M533" s="1" t="s">
        <v>125</v>
      </c>
      <c r="N533" s="1">
        <v>1</v>
      </c>
      <c r="O533" s="1">
        <v>0</v>
      </c>
      <c r="P533" s="1" t="s">
        <v>103</v>
      </c>
      <c r="Q533" s="1" t="s">
        <v>104</v>
      </c>
      <c r="R533" s="1" t="s">
        <v>4813</v>
      </c>
      <c r="S533" s="1" t="s">
        <v>4814</v>
      </c>
      <c r="T533" s="1" t="s">
        <v>107</v>
      </c>
      <c r="U533" s="1" t="s">
        <v>4815</v>
      </c>
      <c r="V533" s="1">
        <v>1</v>
      </c>
      <c r="W533" s="1">
        <v>1</v>
      </c>
      <c r="X533" s="1">
        <v>0</v>
      </c>
      <c r="Y533" s="1">
        <v>1</v>
      </c>
      <c r="Z533" s="1">
        <v>1</v>
      </c>
      <c r="AA533" s="1">
        <v>6</v>
      </c>
      <c r="AB533" s="1">
        <v>6</v>
      </c>
      <c r="AC533" s="1">
        <v>6</v>
      </c>
      <c r="AD533" s="1" t="s">
        <v>109</v>
      </c>
      <c r="AE533" s="1" t="s">
        <v>109</v>
      </c>
      <c r="AF533" s="1">
        <v>6</v>
      </c>
      <c r="AG533" s="1" t="s">
        <v>109</v>
      </c>
      <c r="AH533" s="1" t="s">
        <v>109</v>
      </c>
      <c r="AI533" s="1" t="s">
        <v>109</v>
      </c>
      <c r="AJ533" s="1">
        <v>6</v>
      </c>
      <c r="AK533" s="1" t="s">
        <v>109</v>
      </c>
      <c r="AL533" s="1">
        <v>6</v>
      </c>
      <c r="AM533" s="1" t="s">
        <v>109</v>
      </c>
      <c r="AN533" s="1" t="s">
        <v>109</v>
      </c>
      <c r="AO533" s="1" t="s">
        <v>109</v>
      </c>
      <c r="AP533" s="1"/>
      <c r="AQ533" s="1">
        <v>6</v>
      </c>
      <c r="AR533" s="1"/>
      <c r="AS533" s="1" t="s">
        <v>4810</v>
      </c>
      <c r="AT533" s="1">
        <v>0</v>
      </c>
      <c r="AU533" s="1">
        <v>0</v>
      </c>
      <c r="AV533" s="1">
        <v>0</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5" t="str">
        <f>HYPERLINK("http://www.d20pfsrd.com/magic/all-spells/s/summon-monster-i#TOC-Summon-Monster-VI","Summon Monster VI")</f>
        <v>Summon Monster VI</v>
      </c>
      <c r="BT533" s="1">
        <v>534</v>
      </c>
      <c r="BU533" s="1" t="s">
        <v>109</v>
      </c>
      <c r="BV533" s="1"/>
      <c r="BW533" s="1"/>
      <c r="BX533" s="1"/>
      <c r="BY533" s="1"/>
      <c r="BZ533" s="1">
        <v>0</v>
      </c>
      <c r="CA533" s="1" t="s">
        <v>109</v>
      </c>
      <c r="CB533" s="1" t="s">
        <v>109</v>
      </c>
      <c r="CC533" s="1">
        <v>6</v>
      </c>
      <c r="CD533" s="1" t="s">
        <v>109</v>
      </c>
      <c r="CE533" s="1" t="s">
        <v>109</v>
      </c>
      <c r="CF533" s="1" t="s">
        <v>109</v>
      </c>
      <c r="CG533" s="1">
        <v>6</v>
      </c>
      <c r="CH533" s="1" t="s">
        <v>109</v>
      </c>
      <c r="CI533" s="1" t="s">
        <v>109</v>
      </c>
      <c r="CJ533" s="1" t="s">
        <v>109</v>
      </c>
      <c r="CK533" s="1"/>
      <c r="CL533" s="1">
        <v>0</v>
      </c>
      <c r="CM533" s="1">
        <v>0</v>
      </c>
      <c r="CN533" s="1">
        <v>0</v>
      </c>
    </row>
    <row r="534" spans="1:92" ht="14.25" customHeight="1" x14ac:dyDescent="0.15">
      <c r="A534" s="1" t="s">
        <v>4816</v>
      </c>
      <c r="B534" s="1" t="s">
        <v>95</v>
      </c>
      <c r="C534" s="1" t="s">
        <v>1179</v>
      </c>
      <c r="D534" s="1"/>
      <c r="E534" s="1" t="s">
        <v>4817</v>
      </c>
      <c r="F534" s="1" t="s">
        <v>355</v>
      </c>
      <c r="G534" s="1" t="s">
        <v>4780</v>
      </c>
      <c r="H534" s="1">
        <v>0</v>
      </c>
      <c r="I534" s="1" t="s">
        <v>142</v>
      </c>
      <c r="J534" s="1"/>
      <c r="K534" s="1" t="s">
        <v>4781</v>
      </c>
      <c r="L534" s="1"/>
      <c r="M534" s="1" t="s">
        <v>125</v>
      </c>
      <c r="N534" s="1">
        <v>1</v>
      </c>
      <c r="O534" s="1">
        <v>0</v>
      </c>
      <c r="P534" s="1" t="s">
        <v>103</v>
      </c>
      <c r="Q534" s="1" t="s">
        <v>104</v>
      </c>
      <c r="R534" s="1" t="s">
        <v>4818</v>
      </c>
      <c r="S534" s="1" t="s">
        <v>4819</v>
      </c>
      <c r="T534" s="1" t="s">
        <v>107</v>
      </c>
      <c r="U534" s="1" t="s">
        <v>4820</v>
      </c>
      <c r="V534" s="1">
        <v>1</v>
      </c>
      <c r="W534" s="1">
        <v>1</v>
      </c>
      <c r="X534" s="1">
        <v>0</v>
      </c>
      <c r="Y534" s="1">
        <v>1</v>
      </c>
      <c r="Z534" s="1">
        <v>1</v>
      </c>
      <c r="AA534" s="1">
        <v>8</v>
      </c>
      <c r="AB534" s="1">
        <v>8</v>
      </c>
      <c r="AC534" s="1">
        <v>8</v>
      </c>
      <c r="AD534" s="1" t="s">
        <v>109</v>
      </c>
      <c r="AE534" s="1" t="s">
        <v>109</v>
      </c>
      <c r="AF534" s="1" t="s">
        <v>109</v>
      </c>
      <c r="AG534" s="1" t="s">
        <v>109</v>
      </c>
      <c r="AH534" s="1" t="s">
        <v>109</v>
      </c>
      <c r="AI534" s="1">
        <v>6</v>
      </c>
      <c r="AJ534" s="1">
        <v>8</v>
      </c>
      <c r="AK534" s="1" t="s">
        <v>109</v>
      </c>
      <c r="AL534" s="1">
        <v>8</v>
      </c>
      <c r="AM534" s="1" t="s">
        <v>109</v>
      </c>
      <c r="AN534" s="1" t="s">
        <v>109</v>
      </c>
      <c r="AO534" s="1" t="s">
        <v>109</v>
      </c>
      <c r="AP534" s="1"/>
      <c r="AQ534" s="1">
        <v>8</v>
      </c>
      <c r="AR534" s="1"/>
      <c r="AS534" s="1" t="s">
        <v>4810</v>
      </c>
      <c r="AT534" s="1">
        <v>0</v>
      </c>
      <c r="AU534" s="1">
        <v>0</v>
      </c>
      <c r="AV534" s="1">
        <v>0</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5" t="str">
        <f>HYPERLINK("http://www.d20pfsrd.com/magic/all-spells/s/summon-monster-i#TOC-Summon-Monster-VIII","Summon Monster VIII")</f>
        <v>Summon Monster VIII</v>
      </c>
      <c r="BT534" s="1">
        <v>535</v>
      </c>
      <c r="BU534" s="1" t="s">
        <v>109</v>
      </c>
      <c r="BV534" s="1" t="s">
        <v>4821</v>
      </c>
      <c r="BW534" s="1"/>
      <c r="BX534" s="1"/>
      <c r="BY534" s="1"/>
      <c r="BZ534" s="1">
        <v>0</v>
      </c>
      <c r="CA534" s="1" t="s">
        <v>109</v>
      </c>
      <c r="CB534" s="1" t="s">
        <v>109</v>
      </c>
      <c r="CC534" s="1">
        <v>8</v>
      </c>
      <c r="CD534" s="1" t="s">
        <v>109</v>
      </c>
      <c r="CE534" s="1" t="s">
        <v>109</v>
      </c>
      <c r="CF534" s="1" t="s">
        <v>109</v>
      </c>
      <c r="CG534" s="1" t="s">
        <v>109</v>
      </c>
      <c r="CH534" s="1" t="s">
        <v>109</v>
      </c>
      <c r="CI534" s="1" t="s">
        <v>109</v>
      </c>
      <c r="CJ534" s="1" t="s">
        <v>109</v>
      </c>
      <c r="CK534" s="1"/>
      <c r="CL534" s="1">
        <v>0</v>
      </c>
      <c r="CM534" s="1">
        <v>0</v>
      </c>
      <c r="CN534" s="1">
        <v>0</v>
      </c>
    </row>
    <row r="535" spans="1:92" ht="14.25" customHeight="1" x14ac:dyDescent="0.15">
      <c r="A535" s="1" t="s">
        <v>4822</v>
      </c>
      <c r="B535" s="1" t="s">
        <v>95</v>
      </c>
      <c r="C535" s="1" t="s">
        <v>1179</v>
      </c>
      <c r="D535" s="1"/>
      <c r="E535" s="1" t="s">
        <v>4823</v>
      </c>
      <c r="F535" s="1" t="s">
        <v>355</v>
      </c>
      <c r="G535" s="1" t="s">
        <v>4780</v>
      </c>
      <c r="H535" s="1">
        <v>0</v>
      </c>
      <c r="I535" s="1" t="s">
        <v>142</v>
      </c>
      <c r="J535" s="1"/>
      <c r="K535" s="1" t="s">
        <v>4781</v>
      </c>
      <c r="L535" s="1"/>
      <c r="M535" s="1" t="s">
        <v>125</v>
      </c>
      <c r="N535" s="1">
        <v>1</v>
      </c>
      <c r="O535" s="1">
        <v>0</v>
      </c>
      <c r="P535" s="1" t="s">
        <v>103</v>
      </c>
      <c r="Q535" s="1" t="s">
        <v>104</v>
      </c>
      <c r="R535" s="1" t="s">
        <v>4824</v>
      </c>
      <c r="S535" s="1" t="s">
        <v>4825</v>
      </c>
      <c r="T535" s="1" t="s">
        <v>107</v>
      </c>
      <c r="U535" s="1" t="s">
        <v>4826</v>
      </c>
      <c r="V535" s="1">
        <v>1</v>
      </c>
      <c r="W535" s="1">
        <v>1</v>
      </c>
      <c r="X535" s="1">
        <v>0</v>
      </c>
      <c r="Y535" s="1">
        <v>1</v>
      </c>
      <c r="Z535" s="1">
        <v>1</v>
      </c>
      <c r="AA535" s="1">
        <v>7</v>
      </c>
      <c r="AB535" s="1">
        <v>7</v>
      </c>
      <c r="AC535" s="1">
        <v>7</v>
      </c>
      <c r="AD535" s="1" t="s">
        <v>109</v>
      </c>
      <c r="AE535" s="1" t="s">
        <v>109</v>
      </c>
      <c r="AF535" s="1" t="s">
        <v>109</v>
      </c>
      <c r="AG535" s="1" t="s">
        <v>109</v>
      </c>
      <c r="AH535" s="1" t="s">
        <v>109</v>
      </c>
      <c r="AI535" s="1">
        <v>5</v>
      </c>
      <c r="AJ535" s="1">
        <v>7</v>
      </c>
      <c r="AK535" s="1" t="s">
        <v>109</v>
      </c>
      <c r="AL535" s="1">
        <v>7</v>
      </c>
      <c r="AM535" s="1" t="s">
        <v>109</v>
      </c>
      <c r="AN535" s="1" t="s">
        <v>109</v>
      </c>
      <c r="AO535" s="1" t="s">
        <v>109</v>
      </c>
      <c r="AP535" s="1"/>
      <c r="AQ535" s="1">
        <v>7</v>
      </c>
      <c r="AR535" s="1"/>
      <c r="AS535" s="1" t="s">
        <v>4810</v>
      </c>
      <c r="AT535" s="1">
        <v>0</v>
      </c>
      <c r="AU535" s="1">
        <v>0</v>
      </c>
      <c r="AV535" s="1">
        <v>0</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5" t="str">
        <f>HYPERLINK("http://www.d20pfsrd.com/magic/all-spells/s/summon-monster-i#TOC-Summon-Monster-VII","Summon Monster VII")</f>
        <v>Summon Monster VII</v>
      </c>
      <c r="BT535" s="1">
        <v>536</v>
      </c>
      <c r="BU535" s="1" t="s">
        <v>109</v>
      </c>
      <c r="BV535" s="1" t="s">
        <v>4827</v>
      </c>
      <c r="BW535" s="1"/>
      <c r="BX535" s="1"/>
      <c r="BY535" s="1"/>
      <c r="BZ535" s="1">
        <v>0</v>
      </c>
      <c r="CA535" s="1" t="s">
        <v>109</v>
      </c>
      <c r="CB535" s="1" t="s">
        <v>109</v>
      </c>
      <c r="CC535" s="1">
        <v>7</v>
      </c>
      <c r="CD535" s="1" t="s">
        <v>109</v>
      </c>
      <c r="CE535" s="1" t="s">
        <v>109</v>
      </c>
      <c r="CF535" s="1" t="s">
        <v>109</v>
      </c>
      <c r="CG535" s="1" t="s">
        <v>109</v>
      </c>
      <c r="CH535" s="1" t="s">
        <v>109</v>
      </c>
      <c r="CI535" s="1" t="s">
        <v>109</v>
      </c>
      <c r="CJ535" s="1" t="s">
        <v>109</v>
      </c>
      <c r="CK535" s="1"/>
      <c r="CL535" s="1">
        <v>0</v>
      </c>
      <c r="CM535" s="1">
        <v>0</v>
      </c>
      <c r="CN535" s="1">
        <v>0</v>
      </c>
    </row>
    <row r="536" spans="1:92" ht="14.25" customHeight="1" x14ac:dyDescent="0.15">
      <c r="A536" s="1" t="s">
        <v>4828</v>
      </c>
      <c r="B536" s="1" t="s">
        <v>95</v>
      </c>
      <c r="C536" s="1" t="s">
        <v>1179</v>
      </c>
      <c r="D536" s="1"/>
      <c r="E536" s="1" t="s">
        <v>435</v>
      </c>
      <c r="F536" s="1" t="s">
        <v>355</v>
      </c>
      <c r="G536" s="1" t="s">
        <v>4780</v>
      </c>
      <c r="H536" s="1">
        <v>0</v>
      </c>
      <c r="I536" s="1" t="s">
        <v>142</v>
      </c>
      <c r="J536" s="1"/>
      <c r="K536" s="1" t="s">
        <v>4781</v>
      </c>
      <c r="L536" s="1"/>
      <c r="M536" s="1" t="s">
        <v>125</v>
      </c>
      <c r="N536" s="1">
        <v>1</v>
      </c>
      <c r="O536" s="1">
        <v>0</v>
      </c>
      <c r="P536" s="1" t="s">
        <v>103</v>
      </c>
      <c r="Q536" s="1" t="s">
        <v>104</v>
      </c>
      <c r="R536" s="1" t="s">
        <v>4829</v>
      </c>
      <c r="S536" s="1" t="s">
        <v>4830</v>
      </c>
      <c r="T536" s="1" t="s">
        <v>107</v>
      </c>
      <c r="U536" s="1" t="s">
        <v>4831</v>
      </c>
      <c r="V536" s="1">
        <v>1</v>
      </c>
      <c r="W536" s="1">
        <v>1</v>
      </c>
      <c r="X536" s="1">
        <v>0</v>
      </c>
      <c r="Y536" s="1">
        <v>1</v>
      </c>
      <c r="Z536" s="1">
        <v>1</v>
      </c>
      <c r="AA536" s="1">
        <v>9</v>
      </c>
      <c r="AB536" s="1">
        <v>9</v>
      </c>
      <c r="AC536" s="1">
        <v>9</v>
      </c>
      <c r="AD536" s="1" t="s">
        <v>109</v>
      </c>
      <c r="AE536" s="1" t="s">
        <v>109</v>
      </c>
      <c r="AF536" s="1" t="s">
        <v>109</v>
      </c>
      <c r="AG536" s="1" t="s">
        <v>109</v>
      </c>
      <c r="AH536" s="1" t="s">
        <v>109</v>
      </c>
      <c r="AI536" s="1" t="s">
        <v>109</v>
      </c>
      <c r="AJ536" s="1">
        <v>9</v>
      </c>
      <c r="AK536" s="1" t="s">
        <v>109</v>
      </c>
      <c r="AL536" s="1">
        <v>9</v>
      </c>
      <c r="AM536" s="1" t="s">
        <v>109</v>
      </c>
      <c r="AN536" s="1" t="s">
        <v>109</v>
      </c>
      <c r="AO536" s="1" t="s">
        <v>109</v>
      </c>
      <c r="AP536" s="1"/>
      <c r="AQ536" s="1">
        <v>9</v>
      </c>
      <c r="AR536" s="1" t="s">
        <v>4832</v>
      </c>
      <c r="AS536" s="1" t="s">
        <v>4810</v>
      </c>
      <c r="AT536" s="1">
        <v>0</v>
      </c>
      <c r="AU536" s="1">
        <v>0</v>
      </c>
      <c r="AV536" s="1">
        <v>0</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5" t="str">
        <f>HYPERLINK("http://www.d20pfsrd.com/magic/all-spells/s/summon-monster-i#TOC-Summon-Monster-IX","Summon Monster IX")</f>
        <v>Summon Monster IX</v>
      </c>
      <c r="BT536" s="1">
        <v>537</v>
      </c>
      <c r="BU536" s="1" t="s">
        <v>109</v>
      </c>
      <c r="BV536" s="1" t="s">
        <v>4833</v>
      </c>
      <c r="BW536" s="1"/>
      <c r="BX536" s="1"/>
      <c r="BY536" s="1"/>
      <c r="BZ536" s="1">
        <v>0</v>
      </c>
      <c r="CA536" s="1" t="s">
        <v>109</v>
      </c>
      <c r="CB536" s="1" t="s">
        <v>109</v>
      </c>
      <c r="CC536" s="1">
        <v>9</v>
      </c>
      <c r="CD536" s="1" t="s">
        <v>109</v>
      </c>
      <c r="CE536" s="1" t="s">
        <v>109</v>
      </c>
      <c r="CF536" s="1" t="s">
        <v>109</v>
      </c>
      <c r="CG536" s="1" t="s">
        <v>109</v>
      </c>
      <c r="CH536" s="1" t="s">
        <v>109</v>
      </c>
      <c r="CI536" s="1" t="s">
        <v>109</v>
      </c>
      <c r="CJ536" s="1" t="s">
        <v>109</v>
      </c>
      <c r="CK536" s="1"/>
      <c r="CL536" s="1">
        <v>0</v>
      </c>
      <c r="CM536" s="1">
        <v>0</v>
      </c>
      <c r="CN536" s="1">
        <v>0</v>
      </c>
    </row>
    <row r="537" spans="1:92" ht="14.25" customHeight="1" x14ac:dyDescent="0.15">
      <c r="A537" s="1" t="s">
        <v>4834</v>
      </c>
      <c r="B537" s="1" t="s">
        <v>95</v>
      </c>
      <c r="C537" s="1" t="s">
        <v>1179</v>
      </c>
      <c r="D537" s="1"/>
      <c r="E537" s="1" t="s">
        <v>3009</v>
      </c>
      <c r="F537" s="1" t="s">
        <v>355</v>
      </c>
      <c r="G537" s="1" t="s">
        <v>160</v>
      </c>
      <c r="H537" s="1">
        <v>0</v>
      </c>
      <c r="I537" s="1" t="s">
        <v>142</v>
      </c>
      <c r="J537" s="1"/>
      <c r="K537" s="1" t="s">
        <v>4781</v>
      </c>
      <c r="L537" s="1"/>
      <c r="M537" s="1" t="s">
        <v>125</v>
      </c>
      <c r="N537" s="1">
        <v>1</v>
      </c>
      <c r="O537" s="1">
        <v>0</v>
      </c>
      <c r="P537" s="1" t="s">
        <v>103</v>
      </c>
      <c r="Q537" s="1" t="s">
        <v>104</v>
      </c>
      <c r="R537" s="1" t="s">
        <v>4835</v>
      </c>
      <c r="S537" s="1" t="s">
        <v>4836</v>
      </c>
      <c r="T537" s="1" t="s">
        <v>107</v>
      </c>
      <c r="U537" s="1" t="s">
        <v>4837</v>
      </c>
      <c r="V537" s="1">
        <v>1</v>
      </c>
      <c r="W537" s="1">
        <v>1</v>
      </c>
      <c r="X537" s="1">
        <v>0</v>
      </c>
      <c r="Y537" s="1">
        <v>0</v>
      </c>
      <c r="Z537" s="1">
        <v>1</v>
      </c>
      <c r="AA537" s="1" t="s">
        <v>109</v>
      </c>
      <c r="AB537" s="1" t="s">
        <v>109</v>
      </c>
      <c r="AC537" s="1" t="s">
        <v>109</v>
      </c>
      <c r="AD537" s="1">
        <v>1</v>
      </c>
      <c r="AE537" s="1">
        <v>1</v>
      </c>
      <c r="AF537" s="1" t="s">
        <v>109</v>
      </c>
      <c r="AG537" s="1" t="s">
        <v>109</v>
      </c>
      <c r="AH537" s="1" t="s">
        <v>109</v>
      </c>
      <c r="AI537" s="1" t="s">
        <v>109</v>
      </c>
      <c r="AJ537" s="1" t="s">
        <v>109</v>
      </c>
      <c r="AK537" s="1" t="s">
        <v>109</v>
      </c>
      <c r="AL537" s="1" t="s">
        <v>109</v>
      </c>
      <c r="AM537" s="1" t="s">
        <v>109</v>
      </c>
      <c r="AN537" s="1" t="s">
        <v>109</v>
      </c>
      <c r="AO537" s="1" t="s">
        <v>109</v>
      </c>
      <c r="AP537" s="1"/>
      <c r="AQ537" s="1">
        <v>1</v>
      </c>
      <c r="AR537" s="1"/>
      <c r="AS537" s="1" t="s">
        <v>4838</v>
      </c>
      <c r="AT537" s="1">
        <v>0</v>
      </c>
      <c r="AU537" s="1">
        <v>0</v>
      </c>
      <c r="AV537" s="1">
        <v>0</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5" t="str">
        <f>HYPERLINK("http://www.d20pfsrd.com/magic/all-spells/s/summon-nature-s-ally-i","Summon Nature's Ally I")</f>
        <v>Summon Nature's Ally I</v>
      </c>
      <c r="BT537" s="1">
        <v>538</v>
      </c>
      <c r="BU537" s="1" t="s">
        <v>109</v>
      </c>
      <c r="BV537" s="1"/>
      <c r="BW537" s="1"/>
      <c r="BX537" s="1"/>
      <c r="BY537" s="1"/>
      <c r="BZ537" s="1">
        <v>0</v>
      </c>
      <c r="CA537" s="1" t="s">
        <v>109</v>
      </c>
      <c r="CB537" s="1" t="s">
        <v>109</v>
      </c>
      <c r="CC537" s="1" t="s">
        <v>109</v>
      </c>
      <c r="CD537" s="1" t="s">
        <v>109</v>
      </c>
      <c r="CE537" s="1" t="s">
        <v>109</v>
      </c>
      <c r="CF537" s="1" t="s">
        <v>109</v>
      </c>
      <c r="CG537" s="1" t="s">
        <v>109</v>
      </c>
      <c r="CH537" s="1" t="s">
        <v>109</v>
      </c>
      <c r="CI537" s="1" t="s">
        <v>109</v>
      </c>
      <c r="CJ537" s="1">
        <v>1</v>
      </c>
      <c r="CK537" s="1"/>
      <c r="CL537" s="1">
        <v>0</v>
      </c>
      <c r="CM537" s="1">
        <v>0</v>
      </c>
      <c r="CN537" s="1">
        <v>0</v>
      </c>
    </row>
    <row r="538" spans="1:92" ht="14.25" customHeight="1" x14ac:dyDescent="0.15">
      <c r="A538" s="1" t="s">
        <v>4839</v>
      </c>
      <c r="B538" s="1" t="s">
        <v>95</v>
      </c>
      <c r="C538" s="1" t="s">
        <v>1179</v>
      </c>
      <c r="D538" s="1"/>
      <c r="E538" s="1" t="s">
        <v>4840</v>
      </c>
      <c r="F538" s="1" t="s">
        <v>355</v>
      </c>
      <c r="G538" s="1" t="s">
        <v>160</v>
      </c>
      <c r="H538" s="1">
        <v>0</v>
      </c>
      <c r="I538" s="1" t="s">
        <v>142</v>
      </c>
      <c r="J538" s="1"/>
      <c r="K538" s="1" t="s">
        <v>4781</v>
      </c>
      <c r="L538" s="1"/>
      <c r="M538" s="1" t="s">
        <v>125</v>
      </c>
      <c r="N538" s="1">
        <v>1</v>
      </c>
      <c r="O538" s="1">
        <v>0</v>
      </c>
      <c r="P538" s="1" t="s">
        <v>103</v>
      </c>
      <c r="Q538" s="1" t="s">
        <v>104</v>
      </c>
      <c r="R538" s="1" t="s">
        <v>4841</v>
      </c>
      <c r="S538" s="1" t="s">
        <v>4842</v>
      </c>
      <c r="T538" s="1" t="s">
        <v>107</v>
      </c>
      <c r="U538" s="1" t="s">
        <v>4843</v>
      </c>
      <c r="V538" s="1">
        <v>1</v>
      </c>
      <c r="W538" s="1">
        <v>1</v>
      </c>
      <c r="X538" s="1">
        <v>0</v>
      </c>
      <c r="Y538" s="1">
        <v>0</v>
      </c>
      <c r="Z538" s="1">
        <v>1</v>
      </c>
      <c r="AA538" s="1" t="s">
        <v>109</v>
      </c>
      <c r="AB538" s="1" t="s">
        <v>109</v>
      </c>
      <c r="AC538" s="1" t="s">
        <v>109</v>
      </c>
      <c r="AD538" s="1">
        <v>2</v>
      </c>
      <c r="AE538" s="1">
        <v>2</v>
      </c>
      <c r="AF538" s="1" t="s">
        <v>109</v>
      </c>
      <c r="AG538" s="1" t="s">
        <v>109</v>
      </c>
      <c r="AH538" s="1" t="s">
        <v>109</v>
      </c>
      <c r="AI538" s="1" t="s">
        <v>109</v>
      </c>
      <c r="AJ538" s="1" t="s">
        <v>109</v>
      </c>
      <c r="AK538" s="1" t="s">
        <v>109</v>
      </c>
      <c r="AL538" s="1" t="s">
        <v>109</v>
      </c>
      <c r="AM538" s="1" t="s">
        <v>109</v>
      </c>
      <c r="AN538" s="1" t="s">
        <v>109</v>
      </c>
      <c r="AO538" s="1" t="s">
        <v>109</v>
      </c>
      <c r="AP538" s="1"/>
      <c r="AQ538" s="1">
        <v>2</v>
      </c>
      <c r="AR538" s="1"/>
      <c r="AS538" s="1" t="s">
        <v>4838</v>
      </c>
      <c r="AT538" s="1">
        <v>0</v>
      </c>
      <c r="AU538" s="1">
        <v>0</v>
      </c>
      <c r="AV538" s="1">
        <v>0</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5" t="str">
        <f>HYPERLINK("http://www.d20pfsrd.com/magic/all-spells/s/summon-nature-s-ally-i","Summon Nature's Ally II")</f>
        <v>Summon Nature's Ally II</v>
      </c>
      <c r="BT538" s="1">
        <v>539</v>
      </c>
      <c r="BU538" s="1" t="s">
        <v>109</v>
      </c>
      <c r="BV538" s="1"/>
      <c r="BW538" s="1"/>
      <c r="BX538" s="1"/>
      <c r="BY538" s="1"/>
      <c r="BZ538" s="1">
        <v>0</v>
      </c>
      <c r="CA538" s="1" t="s">
        <v>109</v>
      </c>
      <c r="CB538" s="1" t="s">
        <v>109</v>
      </c>
      <c r="CC538" s="1" t="s">
        <v>109</v>
      </c>
      <c r="CD538" s="1" t="s">
        <v>109</v>
      </c>
      <c r="CE538" s="1" t="s">
        <v>109</v>
      </c>
      <c r="CF538" s="1" t="s">
        <v>109</v>
      </c>
      <c r="CG538" s="1" t="s">
        <v>109</v>
      </c>
      <c r="CH538" s="1" t="s">
        <v>109</v>
      </c>
      <c r="CI538" s="1" t="s">
        <v>109</v>
      </c>
      <c r="CJ538" s="1">
        <v>2</v>
      </c>
      <c r="CK538" s="1"/>
      <c r="CL538" s="1">
        <v>0</v>
      </c>
      <c r="CM538" s="1">
        <v>0</v>
      </c>
      <c r="CN538" s="1">
        <v>0</v>
      </c>
    </row>
    <row r="539" spans="1:92" ht="14.25" customHeight="1" x14ac:dyDescent="0.15">
      <c r="A539" s="1" t="s">
        <v>4844</v>
      </c>
      <c r="B539" s="1" t="s">
        <v>95</v>
      </c>
      <c r="C539" s="1" t="s">
        <v>1179</v>
      </c>
      <c r="D539" s="1" t="s">
        <v>211</v>
      </c>
      <c r="E539" s="1" t="s">
        <v>1534</v>
      </c>
      <c r="F539" s="1" t="s">
        <v>355</v>
      </c>
      <c r="G539" s="1" t="s">
        <v>160</v>
      </c>
      <c r="H539" s="1">
        <v>0</v>
      </c>
      <c r="I539" s="1" t="s">
        <v>142</v>
      </c>
      <c r="J539" s="1"/>
      <c r="K539" s="1" t="s">
        <v>4781</v>
      </c>
      <c r="L539" s="1"/>
      <c r="M539" s="1" t="s">
        <v>125</v>
      </c>
      <c r="N539" s="1">
        <v>1</v>
      </c>
      <c r="O539" s="1">
        <v>0</v>
      </c>
      <c r="P539" s="1" t="s">
        <v>103</v>
      </c>
      <c r="Q539" s="1" t="s">
        <v>104</v>
      </c>
      <c r="R539" s="1" t="s">
        <v>4845</v>
      </c>
      <c r="S539" s="1" t="s">
        <v>4846</v>
      </c>
      <c r="T539" s="1" t="s">
        <v>107</v>
      </c>
      <c r="U539" s="1" t="s">
        <v>4847</v>
      </c>
      <c r="V539" s="1">
        <v>1</v>
      </c>
      <c r="W539" s="1">
        <v>1</v>
      </c>
      <c r="X539" s="1">
        <v>0</v>
      </c>
      <c r="Y539" s="1">
        <v>0</v>
      </c>
      <c r="Z539" s="1">
        <v>1</v>
      </c>
      <c r="AA539" s="1" t="s">
        <v>109</v>
      </c>
      <c r="AB539" s="1" t="s">
        <v>109</v>
      </c>
      <c r="AC539" s="1" t="s">
        <v>109</v>
      </c>
      <c r="AD539" s="1">
        <v>3</v>
      </c>
      <c r="AE539" s="1">
        <v>3</v>
      </c>
      <c r="AF539" s="1" t="s">
        <v>109</v>
      </c>
      <c r="AG539" s="1" t="s">
        <v>109</v>
      </c>
      <c r="AH539" s="1" t="s">
        <v>109</v>
      </c>
      <c r="AI539" s="1" t="s">
        <v>109</v>
      </c>
      <c r="AJ539" s="1" t="s">
        <v>109</v>
      </c>
      <c r="AK539" s="1" t="s">
        <v>109</v>
      </c>
      <c r="AL539" s="1" t="s">
        <v>109</v>
      </c>
      <c r="AM539" s="1" t="s">
        <v>109</v>
      </c>
      <c r="AN539" s="1" t="s">
        <v>109</v>
      </c>
      <c r="AO539" s="1" t="s">
        <v>109</v>
      </c>
      <c r="AP539" s="1"/>
      <c r="AQ539" s="1">
        <v>3</v>
      </c>
      <c r="AR539" s="1"/>
      <c r="AS539" s="1" t="s">
        <v>4838</v>
      </c>
      <c r="AT539" s="1">
        <v>0</v>
      </c>
      <c r="AU539" s="1">
        <v>0</v>
      </c>
      <c r="AV539" s="1">
        <v>0</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5" t="str">
        <f>HYPERLINK("http://www.d20pfsrd.com/magic/all-spells/s/summon-nature-s-ally-i","Summon Nature's Ally III")</f>
        <v>Summon Nature's Ally III</v>
      </c>
      <c r="BT539" s="1">
        <v>540</v>
      </c>
      <c r="BU539" s="1" t="s">
        <v>109</v>
      </c>
      <c r="BV539" s="1"/>
      <c r="BW539" s="1"/>
      <c r="BX539" s="1"/>
      <c r="BY539" s="1"/>
      <c r="BZ539" s="1">
        <v>0</v>
      </c>
      <c r="CA539" s="1" t="s">
        <v>109</v>
      </c>
      <c r="CB539" s="1" t="s">
        <v>109</v>
      </c>
      <c r="CC539" s="1" t="s">
        <v>109</v>
      </c>
      <c r="CD539" s="1" t="s">
        <v>109</v>
      </c>
      <c r="CE539" s="1" t="s">
        <v>109</v>
      </c>
      <c r="CF539" s="1" t="s">
        <v>109</v>
      </c>
      <c r="CG539" s="1" t="s">
        <v>109</v>
      </c>
      <c r="CH539" s="1" t="s">
        <v>109</v>
      </c>
      <c r="CI539" s="1" t="s">
        <v>109</v>
      </c>
      <c r="CJ539" s="1">
        <v>3</v>
      </c>
      <c r="CK539" s="1"/>
      <c r="CL539" s="1">
        <v>0</v>
      </c>
      <c r="CM539" s="1">
        <v>0</v>
      </c>
      <c r="CN539" s="1">
        <v>0</v>
      </c>
    </row>
    <row r="540" spans="1:92" ht="14.25" customHeight="1" x14ac:dyDescent="0.15">
      <c r="A540" s="1" t="s">
        <v>4848</v>
      </c>
      <c r="B540" s="1" t="s">
        <v>95</v>
      </c>
      <c r="C540" s="1" t="s">
        <v>1179</v>
      </c>
      <c r="D540" s="1" t="s">
        <v>211</v>
      </c>
      <c r="E540" s="1" t="s">
        <v>4849</v>
      </c>
      <c r="F540" s="1" t="s">
        <v>355</v>
      </c>
      <c r="G540" s="1" t="s">
        <v>160</v>
      </c>
      <c r="H540" s="1">
        <v>0</v>
      </c>
      <c r="I540" s="1" t="s">
        <v>142</v>
      </c>
      <c r="J540" s="1"/>
      <c r="K540" s="1" t="s">
        <v>4781</v>
      </c>
      <c r="L540" s="1"/>
      <c r="M540" s="1" t="s">
        <v>125</v>
      </c>
      <c r="N540" s="1">
        <v>1</v>
      </c>
      <c r="O540" s="1">
        <v>0</v>
      </c>
      <c r="P540" s="1" t="s">
        <v>103</v>
      </c>
      <c r="Q540" s="1" t="s">
        <v>104</v>
      </c>
      <c r="R540" s="1" t="s">
        <v>4850</v>
      </c>
      <c r="S540" s="1" t="s">
        <v>4851</v>
      </c>
      <c r="T540" s="1" t="s">
        <v>107</v>
      </c>
      <c r="U540" s="1" t="s">
        <v>4852</v>
      </c>
      <c r="V540" s="1">
        <v>1</v>
      </c>
      <c r="W540" s="1">
        <v>1</v>
      </c>
      <c r="X540" s="1">
        <v>0</v>
      </c>
      <c r="Y540" s="1">
        <v>0</v>
      </c>
      <c r="Z540" s="1">
        <v>1</v>
      </c>
      <c r="AA540" s="1" t="s">
        <v>109</v>
      </c>
      <c r="AB540" s="1" t="s">
        <v>109</v>
      </c>
      <c r="AC540" s="1" t="s">
        <v>109</v>
      </c>
      <c r="AD540" s="1">
        <v>4</v>
      </c>
      <c r="AE540" s="1">
        <v>4</v>
      </c>
      <c r="AF540" s="1" t="s">
        <v>109</v>
      </c>
      <c r="AG540" s="1" t="s">
        <v>109</v>
      </c>
      <c r="AH540" s="1" t="s">
        <v>109</v>
      </c>
      <c r="AI540" s="1" t="s">
        <v>109</v>
      </c>
      <c r="AJ540" s="1" t="s">
        <v>109</v>
      </c>
      <c r="AK540" s="1" t="s">
        <v>109</v>
      </c>
      <c r="AL540" s="1" t="s">
        <v>109</v>
      </c>
      <c r="AM540" s="1" t="s">
        <v>109</v>
      </c>
      <c r="AN540" s="1" t="s">
        <v>109</v>
      </c>
      <c r="AO540" s="1" t="s">
        <v>109</v>
      </c>
      <c r="AP540" s="1"/>
      <c r="AQ540" s="1">
        <v>4</v>
      </c>
      <c r="AR540" s="1" t="s">
        <v>4853</v>
      </c>
      <c r="AS540" s="1" t="s">
        <v>4838</v>
      </c>
      <c r="AT540" s="1">
        <v>0</v>
      </c>
      <c r="AU540" s="1">
        <v>0</v>
      </c>
      <c r="AV540" s="1">
        <v>0</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5" t="str">
        <f>HYPERLINK("http://www.d20pfsrd.com/magic/all-spells/s/summon-nature-s-ally-i","Summon Nature's Ally IV")</f>
        <v>Summon Nature's Ally IV</v>
      </c>
      <c r="BT540" s="1">
        <v>541</v>
      </c>
      <c r="BU540" s="1" t="s">
        <v>109</v>
      </c>
      <c r="BV540" s="1"/>
      <c r="BW540" s="1" t="s">
        <v>4854</v>
      </c>
      <c r="BX540" s="1"/>
      <c r="BY540" s="1"/>
      <c r="BZ540" s="1">
        <v>0</v>
      </c>
      <c r="CA540" s="1" t="s">
        <v>109</v>
      </c>
      <c r="CB540" s="1" t="s">
        <v>109</v>
      </c>
      <c r="CC540" s="1" t="s">
        <v>109</v>
      </c>
      <c r="CD540" s="1" t="s">
        <v>109</v>
      </c>
      <c r="CE540" s="1" t="s">
        <v>109</v>
      </c>
      <c r="CF540" s="1" t="s">
        <v>109</v>
      </c>
      <c r="CG540" s="1" t="s">
        <v>109</v>
      </c>
      <c r="CH540" s="1" t="s">
        <v>109</v>
      </c>
      <c r="CI540" s="1" t="s">
        <v>109</v>
      </c>
      <c r="CJ540" s="1">
        <v>4</v>
      </c>
      <c r="CK540" s="1"/>
      <c r="CL540" s="1">
        <v>0</v>
      </c>
      <c r="CM540" s="1">
        <v>0</v>
      </c>
      <c r="CN540" s="1">
        <v>0</v>
      </c>
    </row>
    <row r="541" spans="1:92" ht="14.25" customHeight="1" x14ac:dyDescent="0.15">
      <c r="A541" s="1" t="s">
        <v>4855</v>
      </c>
      <c r="B541" s="1" t="s">
        <v>95</v>
      </c>
      <c r="C541" s="1" t="s">
        <v>1179</v>
      </c>
      <c r="D541" s="1" t="s">
        <v>211</v>
      </c>
      <c r="E541" s="1" t="s">
        <v>4856</v>
      </c>
      <c r="F541" s="1" t="s">
        <v>355</v>
      </c>
      <c r="G541" s="1" t="s">
        <v>160</v>
      </c>
      <c r="H541" s="1">
        <v>0</v>
      </c>
      <c r="I541" s="1" t="s">
        <v>142</v>
      </c>
      <c r="J541" s="1"/>
      <c r="K541" s="1" t="s">
        <v>4781</v>
      </c>
      <c r="L541" s="1"/>
      <c r="M541" s="1" t="s">
        <v>125</v>
      </c>
      <c r="N541" s="1">
        <v>1</v>
      </c>
      <c r="O541" s="1">
        <v>0</v>
      </c>
      <c r="P541" s="1" t="s">
        <v>103</v>
      </c>
      <c r="Q541" s="1" t="s">
        <v>104</v>
      </c>
      <c r="R541" s="1" t="s">
        <v>4857</v>
      </c>
      <c r="S541" s="1" t="s">
        <v>4858</v>
      </c>
      <c r="T541" s="1" t="s">
        <v>107</v>
      </c>
      <c r="U541" s="1" t="s">
        <v>4859</v>
      </c>
      <c r="V541" s="1">
        <v>1</v>
      </c>
      <c r="W541" s="1">
        <v>1</v>
      </c>
      <c r="X541" s="1">
        <v>0</v>
      </c>
      <c r="Y541" s="1">
        <v>0</v>
      </c>
      <c r="Z541" s="1">
        <v>1</v>
      </c>
      <c r="AA541" s="1" t="s">
        <v>109</v>
      </c>
      <c r="AB541" s="1" t="s">
        <v>109</v>
      </c>
      <c r="AC541" s="1" t="s">
        <v>109</v>
      </c>
      <c r="AD541" s="1">
        <v>5</v>
      </c>
      <c r="AE541" s="1" t="s">
        <v>109</v>
      </c>
      <c r="AF541" s="1" t="s">
        <v>109</v>
      </c>
      <c r="AG541" s="1" t="s">
        <v>109</v>
      </c>
      <c r="AH541" s="1" t="s">
        <v>109</v>
      </c>
      <c r="AI541" s="1" t="s">
        <v>109</v>
      </c>
      <c r="AJ541" s="1" t="s">
        <v>109</v>
      </c>
      <c r="AK541" s="1" t="s">
        <v>109</v>
      </c>
      <c r="AL541" s="1" t="s">
        <v>109</v>
      </c>
      <c r="AM541" s="1" t="s">
        <v>109</v>
      </c>
      <c r="AN541" s="1" t="s">
        <v>109</v>
      </c>
      <c r="AO541" s="1" t="s">
        <v>109</v>
      </c>
      <c r="AP541" s="1"/>
      <c r="AQ541" s="1">
        <v>5</v>
      </c>
      <c r="AR541" s="1"/>
      <c r="AS541" s="1" t="s">
        <v>4860</v>
      </c>
      <c r="AT541" s="1">
        <v>0</v>
      </c>
      <c r="AU541" s="1">
        <v>0</v>
      </c>
      <c r="AV541" s="1">
        <v>0</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5" t="str">
        <f>HYPERLINK("http://www.d20pfsrd.com/magic/all-spells/s/summon-nature-s-ally-i","Summon Nature's Ally V")</f>
        <v>Summon Nature's Ally V</v>
      </c>
      <c r="BT541" s="1">
        <v>542</v>
      </c>
      <c r="BU541" s="1" t="s">
        <v>109</v>
      </c>
      <c r="BV541" s="1"/>
      <c r="BW541" s="1"/>
      <c r="BX541" s="1"/>
      <c r="BY541" s="1"/>
      <c r="BZ541" s="1">
        <v>0</v>
      </c>
      <c r="CA541" s="1" t="s">
        <v>109</v>
      </c>
      <c r="CB541" s="1" t="s">
        <v>109</v>
      </c>
      <c r="CC541" s="1" t="s">
        <v>109</v>
      </c>
      <c r="CD541" s="1" t="s">
        <v>109</v>
      </c>
      <c r="CE541" s="1" t="s">
        <v>109</v>
      </c>
      <c r="CF541" s="1" t="s">
        <v>109</v>
      </c>
      <c r="CG541" s="1" t="s">
        <v>109</v>
      </c>
      <c r="CH541" s="1" t="s">
        <v>109</v>
      </c>
      <c r="CI541" s="1" t="s">
        <v>109</v>
      </c>
      <c r="CJ541" s="1">
        <v>5</v>
      </c>
      <c r="CK541" s="1"/>
      <c r="CL541" s="1">
        <v>0</v>
      </c>
      <c r="CM541" s="1">
        <v>0</v>
      </c>
      <c r="CN541" s="1">
        <v>0</v>
      </c>
    </row>
    <row r="542" spans="1:92" ht="14.25" customHeight="1" x14ac:dyDescent="0.15">
      <c r="A542" s="1" t="s">
        <v>4861</v>
      </c>
      <c r="B542" s="1" t="s">
        <v>95</v>
      </c>
      <c r="C542" s="1" t="s">
        <v>1179</v>
      </c>
      <c r="D542" s="1" t="s">
        <v>211</v>
      </c>
      <c r="E542" s="1" t="s">
        <v>4045</v>
      </c>
      <c r="F542" s="1" t="s">
        <v>355</v>
      </c>
      <c r="G542" s="1" t="s">
        <v>160</v>
      </c>
      <c r="H542" s="1">
        <v>0</v>
      </c>
      <c r="I542" s="1" t="s">
        <v>142</v>
      </c>
      <c r="J542" s="1"/>
      <c r="K542" s="1" t="s">
        <v>4781</v>
      </c>
      <c r="L542" s="1"/>
      <c r="M542" s="1" t="s">
        <v>125</v>
      </c>
      <c r="N542" s="1">
        <v>1</v>
      </c>
      <c r="O542" s="1">
        <v>0</v>
      </c>
      <c r="P542" s="1" t="s">
        <v>103</v>
      </c>
      <c r="Q542" s="1" t="s">
        <v>104</v>
      </c>
      <c r="R542" s="1" t="s">
        <v>4862</v>
      </c>
      <c r="S542" s="1" t="s">
        <v>4863</v>
      </c>
      <c r="T542" s="1" t="s">
        <v>107</v>
      </c>
      <c r="U542" s="1" t="s">
        <v>4864</v>
      </c>
      <c r="V542" s="1">
        <v>1</v>
      </c>
      <c r="W542" s="1">
        <v>1</v>
      </c>
      <c r="X542" s="1">
        <v>0</v>
      </c>
      <c r="Y542" s="1">
        <v>0</v>
      </c>
      <c r="Z542" s="1">
        <v>1</v>
      </c>
      <c r="AA542" s="1" t="s">
        <v>109</v>
      </c>
      <c r="AB542" s="1" t="s">
        <v>109</v>
      </c>
      <c r="AC542" s="1" t="s">
        <v>109</v>
      </c>
      <c r="AD542" s="1">
        <v>6</v>
      </c>
      <c r="AE542" s="1" t="s">
        <v>109</v>
      </c>
      <c r="AF542" s="1" t="s">
        <v>109</v>
      </c>
      <c r="AG542" s="1" t="s">
        <v>109</v>
      </c>
      <c r="AH542" s="1" t="s">
        <v>109</v>
      </c>
      <c r="AI542" s="1" t="s">
        <v>109</v>
      </c>
      <c r="AJ542" s="1" t="s">
        <v>109</v>
      </c>
      <c r="AK542" s="1" t="s">
        <v>109</v>
      </c>
      <c r="AL542" s="1" t="s">
        <v>109</v>
      </c>
      <c r="AM542" s="1" t="s">
        <v>109</v>
      </c>
      <c r="AN542" s="1" t="s">
        <v>109</v>
      </c>
      <c r="AO542" s="1" t="s">
        <v>109</v>
      </c>
      <c r="AP542" s="1"/>
      <c r="AQ542" s="1">
        <v>6</v>
      </c>
      <c r="AR542" s="1"/>
      <c r="AS542" s="1" t="s">
        <v>4860</v>
      </c>
      <c r="AT542" s="1">
        <v>0</v>
      </c>
      <c r="AU542" s="1">
        <v>0</v>
      </c>
      <c r="AV542" s="1">
        <v>0</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5" t="str">
        <f>HYPERLINK("http://www.d20pfsrd.com/magic/all-spells/s/summon-nature-s-ally-i","Summon Nature's Ally VI")</f>
        <v>Summon Nature's Ally VI</v>
      </c>
      <c r="BT542" s="1">
        <v>543</v>
      </c>
      <c r="BU542" s="1" t="s">
        <v>109</v>
      </c>
      <c r="BV542" s="1"/>
      <c r="BW542" s="1"/>
      <c r="BX542" s="1"/>
      <c r="BY542" s="1"/>
      <c r="BZ542" s="1">
        <v>0</v>
      </c>
      <c r="CA542" s="1" t="s">
        <v>109</v>
      </c>
      <c r="CB542" s="1" t="s">
        <v>109</v>
      </c>
      <c r="CC542" s="1" t="s">
        <v>109</v>
      </c>
      <c r="CD542" s="1" t="s">
        <v>109</v>
      </c>
      <c r="CE542" s="1" t="s">
        <v>109</v>
      </c>
      <c r="CF542" s="1" t="s">
        <v>109</v>
      </c>
      <c r="CG542" s="1" t="s">
        <v>109</v>
      </c>
      <c r="CH542" s="1" t="s">
        <v>109</v>
      </c>
      <c r="CI542" s="1" t="s">
        <v>109</v>
      </c>
      <c r="CJ542" s="1">
        <v>6</v>
      </c>
      <c r="CK542" s="1"/>
      <c r="CL542" s="1">
        <v>0</v>
      </c>
      <c r="CM542" s="1">
        <v>0</v>
      </c>
      <c r="CN542" s="1">
        <v>0</v>
      </c>
    </row>
    <row r="543" spans="1:92" ht="14.25" customHeight="1" x14ac:dyDescent="0.15">
      <c r="A543" s="1" t="s">
        <v>4865</v>
      </c>
      <c r="B543" s="1" t="s">
        <v>95</v>
      </c>
      <c r="C543" s="1" t="s">
        <v>1179</v>
      </c>
      <c r="D543" s="1" t="s">
        <v>211</v>
      </c>
      <c r="E543" s="1" t="s">
        <v>812</v>
      </c>
      <c r="F543" s="1" t="s">
        <v>355</v>
      </c>
      <c r="G543" s="1" t="s">
        <v>160</v>
      </c>
      <c r="H543" s="1">
        <v>0</v>
      </c>
      <c r="I543" s="1" t="s">
        <v>142</v>
      </c>
      <c r="J543" s="1"/>
      <c r="K543" s="1" t="s">
        <v>4781</v>
      </c>
      <c r="L543" s="1"/>
      <c r="M543" s="1" t="s">
        <v>125</v>
      </c>
      <c r="N543" s="1">
        <v>1</v>
      </c>
      <c r="O543" s="1">
        <v>0</v>
      </c>
      <c r="P543" s="1" t="s">
        <v>103</v>
      </c>
      <c r="Q543" s="1" t="s">
        <v>104</v>
      </c>
      <c r="R543" s="1" t="s">
        <v>4866</v>
      </c>
      <c r="S543" s="1" t="s">
        <v>4867</v>
      </c>
      <c r="T543" s="1" t="s">
        <v>107</v>
      </c>
      <c r="U543" s="1" t="s">
        <v>4868</v>
      </c>
      <c r="V543" s="1">
        <v>1</v>
      </c>
      <c r="W543" s="1">
        <v>1</v>
      </c>
      <c r="X543" s="1">
        <v>0</v>
      </c>
      <c r="Y543" s="1">
        <v>0</v>
      </c>
      <c r="Z543" s="1">
        <v>1</v>
      </c>
      <c r="AA543" s="1" t="s">
        <v>109</v>
      </c>
      <c r="AB543" s="1" t="s">
        <v>109</v>
      </c>
      <c r="AC543" s="1" t="s">
        <v>109</v>
      </c>
      <c r="AD543" s="1">
        <v>7</v>
      </c>
      <c r="AE543" s="1" t="s">
        <v>109</v>
      </c>
      <c r="AF543" s="1" t="s">
        <v>109</v>
      </c>
      <c r="AG543" s="1" t="s">
        <v>109</v>
      </c>
      <c r="AH543" s="1" t="s">
        <v>109</v>
      </c>
      <c r="AI543" s="1" t="s">
        <v>109</v>
      </c>
      <c r="AJ543" s="1" t="s">
        <v>109</v>
      </c>
      <c r="AK543" s="1" t="s">
        <v>109</v>
      </c>
      <c r="AL543" s="1" t="s">
        <v>109</v>
      </c>
      <c r="AM543" s="1" t="s">
        <v>109</v>
      </c>
      <c r="AN543" s="1" t="s">
        <v>109</v>
      </c>
      <c r="AO543" s="1" t="s">
        <v>109</v>
      </c>
      <c r="AP543" s="1"/>
      <c r="AQ543" s="1">
        <v>7</v>
      </c>
      <c r="AR543" s="1" t="s">
        <v>4869</v>
      </c>
      <c r="AS543" s="1" t="s">
        <v>4860</v>
      </c>
      <c r="AT543" s="1">
        <v>0</v>
      </c>
      <c r="AU543" s="1">
        <v>0</v>
      </c>
      <c r="AV543" s="1">
        <v>0</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5" t="str">
        <f>HYPERLINK("http://www.d20pfsrd.com/magic/all-spells/s/summon-nature-s-ally-i","Summon Nature's Ally VII")</f>
        <v>Summon Nature's Ally VII</v>
      </c>
      <c r="BT543" s="1">
        <v>544</v>
      </c>
      <c r="BU543" s="1" t="s">
        <v>109</v>
      </c>
      <c r="BV543" s="1"/>
      <c r="BW543" s="1"/>
      <c r="BX543" s="1"/>
      <c r="BY543" s="1"/>
      <c r="BZ543" s="1">
        <v>0</v>
      </c>
      <c r="CA543" s="1" t="s">
        <v>109</v>
      </c>
      <c r="CB543" s="1" t="s">
        <v>109</v>
      </c>
      <c r="CC543" s="1" t="s">
        <v>109</v>
      </c>
      <c r="CD543" s="1" t="s">
        <v>109</v>
      </c>
      <c r="CE543" s="1" t="s">
        <v>109</v>
      </c>
      <c r="CF543" s="1" t="s">
        <v>109</v>
      </c>
      <c r="CG543" s="1" t="s">
        <v>109</v>
      </c>
      <c r="CH543" s="1" t="s">
        <v>109</v>
      </c>
      <c r="CI543" s="1" t="s">
        <v>109</v>
      </c>
      <c r="CJ543" s="1" t="s">
        <v>109</v>
      </c>
      <c r="CK543" s="1"/>
      <c r="CL543" s="1">
        <v>0</v>
      </c>
      <c r="CM543" s="1">
        <v>0</v>
      </c>
      <c r="CN543" s="1">
        <v>0</v>
      </c>
    </row>
    <row r="544" spans="1:92" ht="14.25" customHeight="1" x14ac:dyDescent="0.15">
      <c r="A544" s="1" t="s">
        <v>4870</v>
      </c>
      <c r="B544" s="1" t="s">
        <v>95</v>
      </c>
      <c r="C544" s="1" t="s">
        <v>1179</v>
      </c>
      <c r="D544" s="1" t="s">
        <v>211</v>
      </c>
      <c r="E544" s="1" t="s">
        <v>1093</v>
      </c>
      <c r="F544" s="1" t="s">
        <v>355</v>
      </c>
      <c r="G544" s="1" t="s">
        <v>160</v>
      </c>
      <c r="H544" s="1">
        <v>0</v>
      </c>
      <c r="I544" s="1" t="s">
        <v>142</v>
      </c>
      <c r="J544" s="1"/>
      <c r="K544" s="1" t="s">
        <v>4781</v>
      </c>
      <c r="L544" s="1"/>
      <c r="M544" s="1" t="s">
        <v>125</v>
      </c>
      <c r="N544" s="1">
        <v>1</v>
      </c>
      <c r="O544" s="1">
        <v>0</v>
      </c>
      <c r="P544" s="1" t="s">
        <v>103</v>
      </c>
      <c r="Q544" s="1" t="s">
        <v>104</v>
      </c>
      <c r="R544" s="1" t="s">
        <v>4871</v>
      </c>
      <c r="S544" s="1" t="s">
        <v>4872</v>
      </c>
      <c r="T544" s="1" t="s">
        <v>107</v>
      </c>
      <c r="U544" s="1" t="s">
        <v>4873</v>
      </c>
      <c r="V544" s="1">
        <v>1</v>
      </c>
      <c r="W544" s="1">
        <v>1</v>
      </c>
      <c r="X544" s="1">
        <v>0</v>
      </c>
      <c r="Y544" s="1">
        <v>0</v>
      </c>
      <c r="Z544" s="1">
        <v>1</v>
      </c>
      <c r="AA544" s="1" t="s">
        <v>109</v>
      </c>
      <c r="AB544" s="1" t="s">
        <v>109</v>
      </c>
      <c r="AC544" s="1" t="s">
        <v>109</v>
      </c>
      <c r="AD544" s="1">
        <v>8</v>
      </c>
      <c r="AE544" s="1" t="s">
        <v>109</v>
      </c>
      <c r="AF544" s="1" t="s">
        <v>109</v>
      </c>
      <c r="AG544" s="1" t="s">
        <v>109</v>
      </c>
      <c r="AH544" s="1" t="s">
        <v>109</v>
      </c>
      <c r="AI544" s="1" t="s">
        <v>109</v>
      </c>
      <c r="AJ544" s="1" t="s">
        <v>109</v>
      </c>
      <c r="AK544" s="1" t="s">
        <v>109</v>
      </c>
      <c r="AL544" s="1" t="s">
        <v>109</v>
      </c>
      <c r="AM544" s="1" t="s">
        <v>109</v>
      </c>
      <c r="AN544" s="1" t="s">
        <v>109</v>
      </c>
      <c r="AO544" s="1" t="s">
        <v>109</v>
      </c>
      <c r="AP544" s="1"/>
      <c r="AQ544" s="1">
        <v>8</v>
      </c>
      <c r="AR544" s="1" t="s">
        <v>4874</v>
      </c>
      <c r="AS544" s="1" t="s">
        <v>4860</v>
      </c>
      <c r="AT544" s="1">
        <v>0</v>
      </c>
      <c r="AU544" s="1">
        <v>0</v>
      </c>
      <c r="AV544" s="1">
        <v>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5" t="str">
        <f>HYPERLINK("http://www.d20pfsrd.com/magic/all-spells/s/summon-nature-s-ally-i","Summon Nature's Ally VIII")</f>
        <v>Summon Nature's Ally VIII</v>
      </c>
      <c r="BT544" s="1">
        <v>545</v>
      </c>
      <c r="BU544" s="1" t="s">
        <v>109</v>
      </c>
      <c r="BV544" s="1"/>
      <c r="BW544" s="1"/>
      <c r="BX544" s="1"/>
      <c r="BY544" s="1"/>
      <c r="BZ544" s="1">
        <v>0</v>
      </c>
      <c r="CA544" s="1" t="s">
        <v>109</v>
      </c>
      <c r="CB544" s="1" t="s">
        <v>109</v>
      </c>
      <c r="CC544" s="1" t="s">
        <v>109</v>
      </c>
      <c r="CD544" s="1" t="s">
        <v>109</v>
      </c>
      <c r="CE544" s="1" t="s">
        <v>109</v>
      </c>
      <c r="CF544" s="1" t="s">
        <v>109</v>
      </c>
      <c r="CG544" s="1" t="s">
        <v>109</v>
      </c>
      <c r="CH544" s="1" t="s">
        <v>109</v>
      </c>
      <c r="CI544" s="1" t="s">
        <v>109</v>
      </c>
      <c r="CJ544" s="1" t="s">
        <v>109</v>
      </c>
      <c r="CK544" s="1"/>
      <c r="CL544" s="1">
        <v>0</v>
      </c>
      <c r="CM544" s="1">
        <v>0</v>
      </c>
      <c r="CN544" s="1">
        <v>0</v>
      </c>
    </row>
    <row r="545" spans="1:92" ht="14.25" customHeight="1" x14ac:dyDescent="0.15">
      <c r="A545" s="1" t="s">
        <v>4875</v>
      </c>
      <c r="B545" s="1" t="s">
        <v>95</v>
      </c>
      <c r="C545" s="1" t="s">
        <v>1179</v>
      </c>
      <c r="D545" s="1" t="s">
        <v>211</v>
      </c>
      <c r="E545" s="1" t="s">
        <v>4876</v>
      </c>
      <c r="F545" s="1" t="s">
        <v>355</v>
      </c>
      <c r="G545" s="1" t="s">
        <v>160</v>
      </c>
      <c r="H545" s="1">
        <v>0</v>
      </c>
      <c r="I545" s="1" t="s">
        <v>142</v>
      </c>
      <c r="J545" s="1"/>
      <c r="K545" s="1" t="s">
        <v>4781</v>
      </c>
      <c r="L545" s="1"/>
      <c r="M545" s="1" t="s">
        <v>125</v>
      </c>
      <c r="N545" s="1">
        <v>1</v>
      </c>
      <c r="O545" s="1">
        <v>0</v>
      </c>
      <c r="P545" s="1" t="s">
        <v>103</v>
      </c>
      <c r="Q545" s="1" t="s">
        <v>104</v>
      </c>
      <c r="R545" s="1" t="s">
        <v>4877</v>
      </c>
      <c r="S545" s="1" t="s">
        <v>4878</v>
      </c>
      <c r="T545" s="1" t="s">
        <v>107</v>
      </c>
      <c r="U545" s="1" t="s">
        <v>4879</v>
      </c>
      <c r="V545" s="1">
        <v>1</v>
      </c>
      <c r="W545" s="1">
        <v>1</v>
      </c>
      <c r="X545" s="1">
        <v>0</v>
      </c>
      <c r="Y545" s="1">
        <v>0</v>
      </c>
      <c r="Z545" s="1">
        <v>1</v>
      </c>
      <c r="AA545" s="1" t="s">
        <v>109</v>
      </c>
      <c r="AB545" s="1" t="s">
        <v>109</v>
      </c>
      <c r="AC545" s="1" t="s">
        <v>109</v>
      </c>
      <c r="AD545" s="1">
        <v>9</v>
      </c>
      <c r="AE545" s="1" t="s">
        <v>109</v>
      </c>
      <c r="AF545" s="1" t="s">
        <v>109</v>
      </c>
      <c r="AG545" s="1" t="s">
        <v>109</v>
      </c>
      <c r="AH545" s="1" t="s">
        <v>109</v>
      </c>
      <c r="AI545" s="1" t="s">
        <v>109</v>
      </c>
      <c r="AJ545" s="1" t="s">
        <v>109</v>
      </c>
      <c r="AK545" s="1" t="s">
        <v>109</v>
      </c>
      <c r="AL545" s="1" t="s">
        <v>109</v>
      </c>
      <c r="AM545" s="1" t="s">
        <v>109</v>
      </c>
      <c r="AN545" s="1" t="s">
        <v>109</v>
      </c>
      <c r="AO545" s="1" t="s">
        <v>109</v>
      </c>
      <c r="AP545" s="1"/>
      <c r="AQ545" s="1">
        <v>9</v>
      </c>
      <c r="AR545" s="1"/>
      <c r="AS545" s="1" t="s">
        <v>4860</v>
      </c>
      <c r="AT545" s="1">
        <v>0</v>
      </c>
      <c r="AU545" s="1">
        <v>0</v>
      </c>
      <c r="AV545" s="1">
        <v>0</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5" t="str">
        <f>HYPERLINK("http://www.d20pfsrd.com/magic/all-spells/s/summon-nature-s-ally-i","Summon Nature's Ally IX")</f>
        <v>Summon Nature's Ally IX</v>
      </c>
      <c r="BT545" s="1">
        <v>546</v>
      </c>
      <c r="BU545" s="1" t="s">
        <v>109</v>
      </c>
      <c r="BV545" s="1"/>
      <c r="BW545" s="1" t="s">
        <v>4880</v>
      </c>
      <c r="BX545" s="1"/>
      <c r="BY545" s="1"/>
      <c r="BZ545" s="1">
        <v>0</v>
      </c>
      <c r="CA545" s="1" t="s">
        <v>109</v>
      </c>
      <c r="CB545" s="1" t="s">
        <v>109</v>
      </c>
      <c r="CC545" s="1" t="s">
        <v>109</v>
      </c>
      <c r="CD545" s="1" t="s">
        <v>109</v>
      </c>
      <c r="CE545" s="1" t="s">
        <v>109</v>
      </c>
      <c r="CF545" s="1" t="s">
        <v>109</v>
      </c>
      <c r="CG545" s="1" t="s">
        <v>109</v>
      </c>
      <c r="CH545" s="1" t="s">
        <v>109</v>
      </c>
      <c r="CI545" s="1" t="s">
        <v>109</v>
      </c>
      <c r="CJ545" s="1" t="s">
        <v>109</v>
      </c>
      <c r="CK545" s="1"/>
      <c r="CL545" s="1">
        <v>0</v>
      </c>
      <c r="CM545" s="1">
        <v>0</v>
      </c>
      <c r="CN545" s="1">
        <v>0</v>
      </c>
    </row>
    <row r="546" spans="1:92" ht="14.25" customHeight="1" x14ac:dyDescent="0.15">
      <c r="A546" s="1" t="s">
        <v>4881</v>
      </c>
      <c r="B546" s="1" t="s">
        <v>95</v>
      </c>
      <c r="C546" s="1" t="s">
        <v>1179</v>
      </c>
      <c r="D546" s="1"/>
      <c r="E546" s="1" t="s">
        <v>4882</v>
      </c>
      <c r="F546" s="1" t="s">
        <v>355</v>
      </c>
      <c r="G546" s="1" t="s">
        <v>4883</v>
      </c>
      <c r="H546" s="1">
        <v>0</v>
      </c>
      <c r="I546" s="1" t="s">
        <v>142</v>
      </c>
      <c r="J546" s="1"/>
      <c r="K546" s="1" t="s">
        <v>4884</v>
      </c>
      <c r="L546" s="1"/>
      <c r="M546" s="1" t="s">
        <v>3313</v>
      </c>
      <c r="N546" s="1">
        <v>0</v>
      </c>
      <c r="O546" s="1">
        <v>0</v>
      </c>
      <c r="P546" s="1" t="s">
        <v>103</v>
      </c>
      <c r="Q546" s="1" t="s">
        <v>104</v>
      </c>
      <c r="R546" s="1" t="s">
        <v>4885</v>
      </c>
      <c r="S546" s="1" t="s">
        <v>4886</v>
      </c>
      <c r="T546" s="1" t="s">
        <v>107</v>
      </c>
      <c r="U546" s="1" t="s">
        <v>4887</v>
      </c>
      <c r="V546" s="1">
        <v>1</v>
      </c>
      <c r="W546" s="1">
        <v>1</v>
      </c>
      <c r="X546" s="1">
        <v>1</v>
      </c>
      <c r="Y546" s="1">
        <v>0</v>
      </c>
      <c r="Z546" s="1">
        <v>1</v>
      </c>
      <c r="AA546" s="1">
        <v>2</v>
      </c>
      <c r="AB546" s="1">
        <v>2</v>
      </c>
      <c r="AC546" s="1" t="s">
        <v>109</v>
      </c>
      <c r="AD546" s="1">
        <v>2</v>
      </c>
      <c r="AE546" s="1" t="s">
        <v>109</v>
      </c>
      <c r="AF546" s="1">
        <v>2</v>
      </c>
      <c r="AG546" s="1" t="s">
        <v>109</v>
      </c>
      <c r="AH546" s="1" t="s">
        <v>109</v>
      </c>
      <c r="AI546" s="1">
        <v>2</v>
      </c>
      <c r="AJ546" s="1">
        <v>2</v>
      </c>
      <c r="AK546" s="1" t="s">
        <v>109</v>
      </c>
      <c r="AL546" s="1" t="s">
        <v>109</v>
      </c>
      <c r="AM546" s="1" t="s">
        <v>109</v>
      </c>
      <c r="AN546" s="1" t="s">
        <v>109</v>
      </c>
      <c r="AO546" s="1" t="s">
        <v>109</v>
      </c>
      <c r="AP546" s="1"/>
      <c r="AQ546" s="1">
        <v>2</v>
      </c>
      <c r="AR546" s="1"/>
      <c r="AS546" s="1" t="s">
        <v>4888</v>
      </c>
      <c r="AT546" s="1">
        <v>0</v>
      </c>
      <c r="AU546" s="1">
        <v>0</v>
      </c>
      <c r="AV546" s="1">
        <v>0</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5" t="str">
        <f>HYPERLINK("http://www.d20pfsrd.com/magic/all-spells/s/summon-swarm","Summon Swarm")</f>
        <v>Summon Swarm</v>
      </c>
      <c r="BT546" s="1">
        <v>547</v>
      </c>
      <c r="BU546" s="1" t="s">
        <v>109</v>
      </c>
      <c r="BV546" s="1" t="s">
        <v>4889</v>
      </c>
      <c r="BW546" s="1"/>
      <c r="BX546" s="1" t="s">
        <v>4890</v>
      </c>
      <c r="BY546" s="1"/>
      <c r="BZ546" s="1">
        <v>1</v>
      </c>
      <c r="CA546" s="1" t="s">
        <v>109</v>
      </c>
      <c r="CB546" s="1">
        <v>2</v>
      </c>
      <c r="CC546" s="1" t="s">
        <v>109</v>
      </c>
      <c r="CD546" s="1" t="s">
        <v>109</v>
      </c>
      <c r="CE546" s="1" t="s">
        <v>109</v>
      </c>
      <c r="CF546" s="1" t="s">
        <v>109</v>
      </c>
      <c r="CG546" s="1" t="s">
        <v>109</v>
      </c>
      <c r="CH546" s="1" t="s">
        <v>109</v>
      </c>
      <c r="CI546" s="1" t="s">
        <v>109</v>
      </c>
      <c r="CJ546" s="1">
        <v>2</v>
      </c>
      <c r="CK546" s="1"/>
      <c r="CL546" s="1">
        <v>0</v>
      </c>
      <c r="CM546" s="1">
        <v>0</v>
      </c>
      <c r="CN546" s="1">
        <v>0</v>
      </c>
    </row>
    <row r="547" spans="1:92" ht="14.25" customHeight="1" x14ac:dyDescent="0.15">
      <c r="A547" s="1" t="s">
        <v>4891</v>
      </c>
      <c r="B547" s="1" t="s">
        <v>584</v>
      </c>
      <c r="C547" s="1"/>
      <c r="D547" s="1" t="s">
        <v>64</v>
      </c>
      <c r="E547" s="1" t="s">
        <v>332</v>
      </c>
      <c r="F547" s="1" t="s">
        <v>98</v>
      </c>
      <c r="G547" s="1" t="s">
        <v>160</v>
      </c>
      <c r="H547" s="1">
        <v>0</v>
      </c>
      <c r="I547" s="1" t="s">
        <v>1016</v>
      </c>
      <c r="J547" s="1" t="s">
        <v>4892</v>
      </c>
      <c r="K547" s="1"/>
      <c r="L547" s="1"/>
      <c r="M547" s="1" t="s">
        <v>4893</v>
      </c>
      <c r="N547" s="1">
        <v>0</v>
      </c>
      <c r="O547" s="1">
        <v>0</v>
      </c>
      <c r="P547" s="1" t="s">
        <v>4894</v>
      </c>
      <c r="Q547" s="1" t="s">
        <v>268</v>
      </c>
      <c r="R547" s="1" t="s">
        <v>4895</v>
      </c>
      <c r="S547" s="1" t="s">
        <v>4896</v>
      </c>
      <c r="T547" s="1" t="s">
        <v>107</v>
      </c>
      <c r="U547" s="1" t="s">
        <v>4897</v>
      </c>
      <c r="V547" s="1">
        <v>1</v>
      </c>
      <c r="W547" s="1">
        <v>1</v>
      </c>
      <c r="X547" s="1">
        <v>0</v>
      </c>
      <c r="Y547" s="1">
        <v>0</v>
      </c>
      <c r="Z547" s="1">
        <v>1</v>
      </c>
      <c r="AA547" s="1" t="s">
        <v>109</v>
      </c>
      <c r="AB547" s="1" t="s">
        <v>109</v>
      </c>
      <c r="AC547" s="1" t="s">
        <v>109</v>
      </c>
      <c r="AD547" s="1">
        <v>7</v>
      </c>
      <c r="AE547" s="1" t="s">
        <v>109</v>
      </c>
      <c r="AF547" s="1" t="s">
        <v>109</v>
      </c>
      <c r="AG547" s="1" t="s">
        <v>109</v>
      </c>
      <c r="AH547" s="1" t="s">
        <v>109</v>
      </c>
      <c r="AI547" s="1" t="s">
        <v>109</v>
      </c>
      <c r="AJ547" s="1" t="s">
        <v>109</v>
      </c>
      <c r="AK547" s="1" t="s">
        <v>109</v>
      </c>
      <c r="AL547" s="1" t="s">
        <v>109</v>
      </c>
      <c r="AM547" s="1" t="s">
        <v>109</v>
      </c>
      <c r="AN547" s="1" t="s">
        <v>109</v>
      </c>
      <c r="AO547" s="1" t="s">
        <v>109</v>
      </c>
      <c r="AP547" s="1"/>
      <c r="AQ547" s="1">
        <v>7</v>
      </c>
      <c r="AR547" s="1" t="s">
        <v>4898</v>
      </c>
      <c r="AS547" s="1" t="s">
        <v>4899</v>
      </c>
      <c r="AT547" s="1">
        <v>0</v>
      </c>
      <c r="AU547" s="1">
        <v>0</v>
      </c>
      <c r="AV547" s="1">
        <v>0</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1</v>
      </c>
      <c r="BM547" s="1">
        <v>0</v>
      </c>
      <c r="BN547" s="1">
        <v>0</v>
      </c>
      <c r="BO547" s="1">
        <v>0</v>
      </c>
      <c r="BP547" s="1">
        <v>0</v>
      </c>
      <c r="BQ547" s="1">
        <v>0</v>
      </c>
      <c r="BR547" s="1">
        <v>0</v>
      </c>
      <c r="BS547" s="5" t="str">
        <f>HYPERLINK("http://www.d20pfsrd.com/magic/all-spells/s/sunbeam","Sunbeam")</f>
        <v>Sunbeam</v>
      </c>
      <c r="BT547" s="1">
        <v>548</v>
      </c>
      <c r="BU547" s="1" t="s">
        <v>109</v>
      </c>
      <c r="BV547" s="1"/>
      <c r="BW547" s="1" t="s">
        <v>4900</v>
      </c>
      <c r="BX547" s="1" t="s">
        <v>4901</v>
      </c>
      <c r="BY547" s="1" t="s">
        <v>4902</v>
      </c>
      <c r="BZ547" s="1">
        <v>1</v>
      </c>
      <c r="CA547" s="1" t="s">
        <v>109</v>
      </c>
      <c r="CB547" s="1">
        <v>7</v>
      </c>
      <c r="CC547" s="1" t="s">
        <v>109</v>
      </c>
      <c r="CD547" s="1" t="s">
        <v>109</v>
      </c>
      <c r="CE547" s="1" t="s">
        <v>109</v>
      </c>
      <c r="CF547" s="1" t="s">
        <v>109</v>
      </c>
      <c r="CG547" s="1" t="s">
        <v>109</v>
      </c>
      <c r="CH547" s="1" t="s">
        <v>109</v>
      </c>
      <c r="CI547" s="1" t="s">
        <v>109</v>
      </c>
      <c r="CJ547" s="1" t="s">
        <v>109</v>
      </c>
      <c r="CK547" s="1"/>
      <c r="CL547" s="1">
        <v>0</v>
      </c>
      <c r="CM547" s="1">
        <v>0</v>
      </c>
      <c r="CN547" s="1">
        <v>0</v>
      </c>
    </row>
    <row r="548" spans="1:92" ht="14.25" customHeight="1" x14ac:dyDescent="0.15">
      <c r="A548" s="1" t="s">
        <v>4903</v>
      </c>
      <c r="B548" s="1" t="s">
        <v>584</v>
      </c>
      <c r="C548" s="1"/>
      <c r="D548" s="1" t="s">
        <v>64</v>
      </c>
      <c r="E548" s="1" t="s">
        <v>4904</v>
      </c>
      <c r="F548" s="1" t="s">
        <v>98</v>
      </c>
      <c r="G548" s="1" t="s">
        <v>4905</v>
      </c>
      <c r="H548" s="1">
        <v>0</v>
      </c>
      <c r="I548" s="1" t="s">
        <v>100</v>
      </c>
      <c r="J548" s="1" t="s">
        <v>4906</v>
      </c>
      <c r="K548" s="1"/>
      <c r="L548" s="1"/>
      <c r="M548" s="1" t="s">
        <v>144</v>
      </c>
      <c r="N548" s="1">
        <v>0</v>
      </c>
      <c r="O548" s="1">
        <v>0</v>
      </c>
      <c r="P548" s="1" t="s">
        <v>1841</v>
      </c>
      <c r="Q548" s="1" t="s">
        <v>268</v>
      </c>
      <c r="R548" s="1" t="s">
        <v>4907</v>
      </c>
      <c r="S548" s="1" t="s">
        <v>4908</v>
      </c>
      <c r="T548" s="1" t="s">
        <v>107</v>
      </c>
      <c r="U548" s="1" t="s">
        <v>4909</v>
      </c>
      <c r="V548" s="1">
        <v>1</v>
      </c>
      <c r="W548" s="1">
        <v>1</v>
      </c>
      <c r="X548" s="1">
        <v>1</v>
      </c>
      <c r="Y548" s="1">
        <v>0</v>
      </c>
      <c r="Z548" s="1">
        <v>1</v>
      </c>
      <c r="AA548" s="1">
        <v>8</v>
      </c>
      <c r="AB548" s="1">
        <v>8</v>
      </c>
      <c r="AC548" s="1" t="s">
        <v>109</v>
      </c>
      <c r="AD548" s="1">
        <v>8</v>
      </c>
      <c r="AE548" s="1" t="s">
        <v>109</v>
      </c>
      <c r="AF548" s="1" t="s">
        <v>109</v>
      </c>
      <c r="AG548" s="1" t="s">
        <v>109</v>
      </c>
      <c r="AH548" s="1" t="s">
        <v>109</v>
      </c>
      <c r="AI548" s="1" t="s">
        <v>109</v>
      </c>
      <c r="AJ548" s="1" t="s">
        <v>109</v>
      </c>
      <c r="AK548" s="1" t="s">
        <v>109</v>
      </c>
      <c r="AL548" s="1" t="s">
        <v>109</v>
      </c>
      <c r="AM548" s="1" t="s">
        <v>109</v>
      </c>
      <c r="AN548" s="1" t="s">
        <v>109</v>
      </c>
      <c r="AO548" s="1" t="s">
        <v>109</v>
      </c>
      <c r="AP548" s="1"/>
      <c r="AQ548" s="1">
        <v>8</v>
      </c>
      <c r="AR548" s="1" t="s">
        <v>4910</v>
      </c>
      <c r="AS548" s="1" t="s">
        <v>4911</v>
      </c>
      <c r="AT548" s="1">
        <v>0</v>
      </c>
      <c r="AU548" s="1">
        <v>0</v>
      </c>
      <c r="AV548" s="1">
        <v>0</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1</v>
      </c>
      <c r="BM548" s="1">
        <v>0</v>
      </c>
      <c r="BN548" s="1">
        <v>0</v>
      </c>
      <c r="BO548" s="1">
        <v>0</v>
      </c>
      <c r="BP548" s="1">
        <v>0</v>
      </c>
      <c r="BQ548" s="1">
        <v>0</v>
      </c>
      <c r="BR548" s="1">
        <v>0</v>
      </c>
      <c r="BS548" s="5" t="str">
        <f>HYPERLINK("http://www.d20pfsrd.com/magic/all-spells/s/sunburst","Sunburst")</f>
        <v>Sunburst</v>
      </c>
      <c r="BT548" s="1">
        <v>549</v>
      </c>
      <c r="BU548" s="1" t="s">
        <v>109</v>
      </c>
      <c r="BV548" s="1" t="s">
        <v>4912</v>
      </c>
      <c r="BW548" s="1" t="s">
        <v>4913</v>
      </c>
      <c r="BX548" s="1"/>
      <c r="BY548" s="1"/>
      <c r="BZ548" s="1">
        <v>0</v>
      </c>
      <c r="CA548" s="1" t="s">
        <v>109</v>
      </c>
      <c r="CB548" s="1">
        <v>8</v>
      </c>
      <c r="CC548" s="1" t="s">
        <v>109</v>
      </c>
      <c r="CD548" s="1" t="s">
        <v>109</v>
      </c>
      <c r="CE548" s="1" t="s">
        <v>109</v>
      </c>
      <c r="CF548" s="1" t="s">
        <v>109</v>
      </c>
      <c r="CG548" s="1" t="s">
        <v>109</v>
      </c>
      <c r="CH548" s="1" t="s">
        <v>109</v>
      </c>
      <c r="CI548" s="1" t="s">
        <v>109</v>
      </c>
      <c r="CJ548" s="1" t="s">
        <v>109</v>
      </c>
      <c r="CK548" s="1"/>
      <c r="CL548" s="1">
        <v>0</v>
      </c>
      <c r="CM548" s="1">
        <v>0</v>
      </c>
      <c r="CN548" s="1">
        <v>0</v>
      </c>
    </row>
    <row r="549" spans="1:92" ht="14.25" customHeight="1" x14ac:dyDescent="0.15">
      <c r="A549" s="1" t="s">
        <v>4914</v>
      </c>
      <c r="B549" s="1" t="s">
        <v>308</v>
      </c>
      <c r="C549" s="1"/>
      <c r="D549" s="1" t="s">
        <v>52</v>
      </c>
      <c r="E549" s="1" t="s">
        <v>4915</v>
      </c>
      <c r="F549" s="1" t="s">
        <v>395</v>
      </c>
      <c r="G549" s="1" t="s">
        <v>4916</v>
      </c>
      <c r="H549" s="1">
        <v>1</v>
      </c>
      <c r="I549" s="1" t="s">
        <v>4917</v>
      </c>
      <c r="J549" s="1"/>
      <c r="K549" s="1" t="s">
        <v>4918</v>
      </c>
      <c r="L549" s="1"/>
      <c r="M549" s="1" t="s">
        <v>211</v>
      </c>
      <c r="N549" s="1">
        <v>0</v>
      </c>
      <c r="O549" s="1">
        <v>0</v>
      </c>
      <c r="P549" s="1" t="s">
        <v>267</v>
      </c>
      <c r="Q549" s="1" t="s">
        <v>268</v>
      </c>
      <c r="R549" s="1" t="s">
        <v>4919</v>
      </c>
      <c r="S549" s="1" t="s">
        <v>4920</v>
      </c>
      <c r="T549" s="1" t="s">
        <v>107</v>
      </c>
      <c r="U549" s="1" t="s">
        <v>4921</v>
      </c>
      <c r="V549" s="1">
        <v>1</v>
      </c>
      <c r="W549" s="1">
        <v>1</v>
      </c>
      <c r="X549" s="1">
        <v>1</v>
      </c>
      <c r="Y549" s="1">
        <v>0</v>
      </c>
      <c r="Z549" s="1">
        <v>0</v>
      </c>
      <c r="AA549" s="1">
        <v>8</v>
      </c>
      <c r="AB549" s="1">
        <v>8</v>
      </c>
      <c r="AC549" s="1">
        <v>8</v>
      </c>
      <c r="AD549" s="1" t="s">
        <v>109</v>
      </c>
      <c r="AE549" s="1" t="s">
        <v>109</v>
      </c>
      <c r="AF549" s="1" t="s">
        <v>109</v>
      </c>
      <c r="AG549" s="1" t="s">
        <v>109</v>
      </c>
      <c r="AH549" s="1" t="s">
        <v>109</v>
      </c>
      <c r="AI549" s="1" t="s">
        <v>109</v>
      </c>
      <c r="AJ549" s="1">
        <v>8</v>
      </c>
      <c r="AK549" s="1" t="s">
        <v>109</v>
      </c>
      <c r="AL549" s="1">
        <v>8</v>
      </c>
      <c r="AM549" s="1" t="s">
        <v>109</v>
      </c>
      <c r="AN549" s="1" t="s">
        <v>109</v>
      </c>
      <c r="AO549" s="1" t="s">
        <v>109</v>
      </c>
      <c r="AP549" s="1"/>
      <c r="AQ549" s="1">
        <v>8</v>
      </c>
      <c r="AR549" s="1" t="s">
        <v>4922</v>
      </c>
      <c r="AS549" s="1" t="s">
        <v>4923</v>
      </c>
      <c r="AT549" s="1">
        <v>0</v>
      </c>
      <c r="AU549" s="1">
        <v>0</v>
      </c>
      <c r="AV549" s="1">
        <v>0</v>
      </c>
      <c r="AW549" s="1">
        <v>0</v>
      </c>
      <c r="AX549" s="1">
        <v>0</v>
      </c>
      <c r="AY549" s="1">
        <v>0</v>
      </c>
      <c r="AZ549" s="1">
        <v>1</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5" t="str">
        <f>HYPERLINK("http://www.d20pfsrd.com/magic/all-spells/s/symbol-of-death","Symbol of Death")</f>
        <v>Symbol of Death</v>
      </c>
      <c r="BT549" s="1">
        <v>550</v>
      </c>
      <c r="BU549" s="1">
        <v>5000</v>
      </c>
      <c r="BV549" s="1"/>
      <c r="BW549" s="1" t="s">
        <v>4924</v>
      </c>
      <c r="BX549" s="1"/>
      <c r="BY549" s="1"/>
      <c r="BZ549" s="1">
        <v>0</v>
      </c>
      <c r="CA549" s="1" t="s">
        <v>109</v>
      </c>
      <c r="CB549" s="1" t="s">
        <v>109</v>
      </c>
      <c r="CC549" s="1" t="s">
        <v>109</v>
      </c>
      <c r="CD549" s="1" t="s">
        <v>109</v>
      </c>
      <c r="CE549" s="1" t="s">
        <v>109</v>
      </c>
      <c r="CF549" s="1">
        <v>6</v>
      </c>
      <c r="CG549" s="1" t="s">
        <v>109</v>
      </c>
      <c r="CH549" s="1" t="s">
        <v>109</v>
      </c>
      <c r="CI549" s="1" t="s">
        <v>109</v>
      </c>
      <c r="CJ549" s="1" t="s">
        <v>109</v>
      </c>
      <c r="CK549" s="1"/>
      <c r="CL549" s="1">
        <v>0</v>
      </c>
      <c r="CM549" s="1">
        <v>0</v>
      </c>
      <c r="CN549" s="1">
        <v>0</v>
      </c>
    </row>
    <row r="550" spans="1:92" ht="14.25" customHeight="1" x14ac:dyDescent="0.15">
      <c r="A550" s="1" t="s">
        <v>4925</v>
      </c>
      <c r="B550" s="1" t="s">
        <v>308</v>
      </c>
      <c r="C550" s="1"/>
      <c r="D550" s="1" t="s">
        <v>4167</v>
      </c>
      <c r="E550" s="1" t="s">
        <v>4926</v>
      </c>
      <c r="F550" s="1" t="s">
        <v>395</v>
      </c>
      <c r="G550" s="1" t="s">
        <v>4927</v>
      </c>
      <c r="H550" s="1">
        <v>1</v>
      </c>
      <c r="I550" s="1" t="s">
        <v>4917</v>
      </c>
      <c r="J550" s="1"/>
      <c r="K550" s="1" t="s">
        <v>4918</v>
      </c>
      <c r="L550" s="1"/>
      <c r="M550" s="1" t="s">
        <v>211</v>
      </c>
      <c r="N550" s="1">
        <v>0</v>
      </c>
      <c r="O550" s="1">
        <v>0</v>
      </c>
      <c r="P550" s="1" t="s">
        <v>301</v>
      </c>
      <c r="Q550" s="1" t="s">
        <v>268</v>
      </c>
      <c r="R550" s="1" t="s">
        <v>4928</v>
      </c>
      <c r="S550" s="1" t="s">
        <v>4929</v>
      </c>
      <c r="T550" s="1" t="s">
        <v>107</v>
      </c>
      <c r="U550" s="1" t="s">
        <v>4930</v>
      </c>
      <c r="V550" s="1">
        <v>1</v>
      </c>
      <c r="W550" s="1">
        <v>1</v>
      </c>
      <c r="X550" s="1">
        <v>1</v>
      </c>
      <c r="Y550" s="1">
        <v>0</v>
      </c>
      <c r="Z550" s="1">
        <v>0</v>
      </c>
      <c r="AA550" s="1">
        <v>6</v>
      </c>
      <c r="AB550" s="1">
        <v>6</v>
      </c>
      <c r="AC550" s="1">
        <v>6</v>
      </c>
      <c r="AD550" s="1" t="s">
        <v>109</v>
      </c>
      <c r="AE550" s="1" t="s">
        <v>109</v>
      </c>
      <c r="AF550" s="1" t="s">
        <v>109</v>
      </c>
      <c r="AG550" s="1" t="s">
        <v>109</v>
      </c>
      <c r="AH550" s="1" t="s">
        <v>109</v>
      </c>
      <c r="AI550" s="1" t="s">
        <v>109</v>
      </c>
      <c r="AJ550" s="1">
        <v>6</v>
      </c>
      <c r="AK550" s="1" t="s">
        <v>109</v>
      </c>
      <c r="AL550" s="1">
        <v>6</v>
      </c>
      <c r="AM550" s="1" t="s">
        <v>109</v>
      </c>
      <c r="AN550" s="1" t="s">
        <v>109</v>
      </c>
      <c r="AO550" s="1" t="s">
        <v>109</v>
      </c>
      <c r="AP550" s="1"/>
      <c r="AQ550" s="1">
        <v>6</v>
      </c>
      <c r="AR550" s="1"/>
      <c r="AS550" s="1" t="s">
        <v>4931</v>
      </c>
      <c r="AT550" s="1">
        <v>0</v>
      </c>
      <c r="AU550" s="1">
        <v>0</v>
      </c>
      <c r="AV550" s="1">
        <v>0</v>
      </c>
      <c r="AW550" s="1">
        <v>0</v>
      </c>
      <c r="AX550" s="1">
        <v>0</v>
      </c>
      <c r="AY550" s="1">
        <v>0</v>
      </c>
      <c r="AZ550" s="1">
        <v>0</v>
      </c>
      <c r="BA550" s="1">
        <v>0</v>
      </c>
      <c r="BB550" s="1">
        <v>0</v>
      </c>
      <c r="BC550" s="1">
        <v>0</v>
      </c>
      <c r="BD550" s="1">
        <v>1</v>
      </c>
      <c r="BE550" s="1">
        <v>0</v>
      </c>
      <c r="BF550" s="1">
        <v>1</v>
      </c>
      <c r="BG550" s="1">
        <v>0</v>
      </c>
      <c r="BH550" s="1">
        <v>0</v>
      </c>
      <c r="BI550" s="1">
        <v>0</v>
      </c>
      <c r="BJ550" s="1">
        <v>0</v>
      </c>
      <c r="BK550" s="1">
        <v>0</v>
      </c>
      <c r="BL550" s="1">
        <v>0</v>
      </c>
      <c r="BM550" s="1">
        <v>1</v>
      </c>
      <c r="BN550" s="1">
        <v>0</v>
      </c>
      <c r="BO550" s="1">
        <v>0</v>
      </c>
      <c r="BP550" s="1">
        <v>0</v>
      </c>
      <c r="BQ550" s="1">
        <v>0</v>
      </c>
      <c r="BR550" s="1">
        <v>0</v>
      </c>
      <c r="BS550" s="5" t="str">
        <f>HYPERLINK("http://www.d20pfsrd.com/magic/all-spells/s/symbol-of-fear","Symbol of Fear")</f>
        <v>Symbol of Fear</v>
      </c>
      <c r="BT550" s="1">
        <v>551</v>
      </c>
      <c r="BU550" s="1">
        <v>1000</v>
      </c>
      <c r="BV550" s="1"/>
      <c r="BW550" s="1"/>
      <c r="BX550" s="1"/>
      <c r="BY550" s="1"/>
      <c r="BZ550" s="1">
        <v>0</v>
      </c>
      <c r="CA550" s="1" t="s">
        <v>109</v>
      </c>
      <c r="CB550" s="1" t="s">
        <v>109</v>
      </c>
      <c r="CC550" s="1" t="s">
        <v>109</v>
      </c>
      <c r="CD550" s="1" t="s">
        <v>109</v>
      </c>
      <c r="CE550" s="1" t="s">
        <v>109</v>
      </c>
      <c r="CF550" s="1">
        <v>4</v>
      </c>
      <c r="CG550" s="1" t="s">
        <v>109</v>
      </c>
      <c r="CH550" s="1" t="s">
        <v>109</v>
      </c>
      <c r="CI550" s="1" t="s">
        <v>109</v>
      </c>
      <c r="CJ550" s="1" t="s">
        <v>109</v>
      </c>
      <c r="CK550" s="1"/>
      <c r="CL550" s="1">
        <v>0</v>
      </c>
      <c r="CM550" s="1">
        <v>0</v>
      </c>
      <c r="CN550" s="1">
        <v>0</v>
      </c>
    </row>
    <row r="551" spans="1:92" ht="14.25" customHeight="1" x14ac:dyDescent="0.15">
      <c r="A551" s="1" t="s">
        <v>4932</v>
      </c>
      <c r="B551" s="1" t="s">
        <v>156</v>
      </c>
      <c r="C551" s="1" t="s">
        <v>157</v>
      </c>
      <c r="D551" s="1" t="s">
        <v>158</v>
      </c>
      <c r="E551" s="1" t="s">
        <v>4915</v>
      </c>
      <c r="F551" s="1" t="s">
        <v>395</v>
      </c>
      <c r="G551" s="1" t="s">
        <v>4933</v>
      </c>
      <c r="H551" s="1">
        <v>1</v>
      </c>
      <c r="I551" s="1" t="s">
        <v>4917</v>
      </c>
      <c r="J551" s="1"/>
      <c r="K551" s="1" t="s">
        <v>4918</v>
      </c>
      <c r="L551" s="1"/>
      <c r="M551" s="1" t="s">
        <v>211</v>
      </c>
      <c r="N551" s="1">
        <v>0</v>
      </c>
      <c r="O551" s="1">
        <v>0</v>
      </c>
      <c r="P551" s="1" t="s">
        <v>301</v>
      </c>
      <c r="Q551" s="1" t="s">
        <v>268</v>
      </c>
      <c r="R551" s="1" t="s">
        <v>4934</v>
      </c>
      <c r="S551" s="1" t="s">
        <v>4935</v>
      </c>
      <c r="T551" s="1" t="s">
        <v>107</v>
      </c>
      <c r="U551" s="1" t="s">
        <v>4936</v>
      </c>
      <c r="V551" s="1">
        <v>1</v>
      </c>
      <c r="W551" s="1">
        <v>1</v>
      </c>
      <c r="X551" s="1">
        <v>1</v>
      </c>
      <c r="Y551" s="1">
        <v>0</v>
      </c>
      <c r="Z551" s="1">
        <v>0</v>
      </c>
      <c r="AA551" s="1">
        <v>8</v>
      </c>
      <c r="AB551" s="1">
        <v>8</v>
      </c>
      <c r="AC551" s="1">
        <v>8</v>
      </c>
      <c r="AD551" s="1" t="s">
        <v>109</v>
      </c>
      <c r="AE551" s="1" t="s">
        <v>109</v>
      </c>
      <c r="AF551" s="1" t="s">
        <v>109</v>
      </c>
      <c r="AG551" s="1" t="s">
        <v>109</v>
      </c>
      <c r="AH551" s="1" t="s">
        <v>109</v>
      </c>
      <c r="AI551" s="1" t="s">
        <v>109</v>
      </c>
      <c r="AJ551" s="1">
        <v>8</v>
      </c>
      <c r="AK551" s="1" t="s">
        <v>109</v>
      </c>
      <c r="AL551" s="1">
        <v>8</v>
      </c>
      <c r="AM551" s="1" t="s">
        <v>109</v>
      </c>
      <c r="AN551" s="1" t="s">
        <v>109</v>
      </c>
      <c r="AO551" s="1" t="s">
        <v>109</v>
      </c>
      <c r="AP551" s="1"/>
      <c r="AQ551" s="1">
        <v>8</v>
      </c>
      <c r="AR551" s="1"/>
      <c r="AS551" s="1" t="s">
        <v>4937</v>
      </c>
      <c r="AT551" s="1">
        <v>0</v>
      </c>
      <c r="AU551" s="1">
        <v>0</v>
      </c>
      <c r="AV551" s="1">
        <v>0</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1</v>
      </c>
      <c r="BN551" s="1">
        <v>0</v>
      </c>
      <c r="BO551" s="1">
        <v>0</v>
      </c>
      <c r="BP551" s="1">
        <v>0</v>
      </c>
      <c r="BQ551" s="1">
        <v>0</v>
      </c>
      <c r="BR551" s="1">
        <v>0</v>
      </c>
      <c r="BS551" s="5" t="str">
        <f>HYPERLINK("http://www.d20pfsrd.com/magic/all-spells/s/symbol-of-insanity","Symbol of Insanity")</f>
        <v>Symbol of Insanity</v>
      </c>
      <c r="BT551" s="1">
        <v>552</v>
      </c>
      <c r="BU551" s="1">
        <v>5000</v>
      </c>
      <c r="BV551" s="1"/>
      <c r="BW551" s="1" t="s">
        <v>4938</v>
      </c>
      <c r="BX551" s="1"/>
      <c r="BY551" s="1"/>
      <c r="BZ551" s="1">
        <v>0</v>
      </c>
      <c r="CA551" s="1" t="s">
        <v>109</v>
      </c>
      <c r="CB551" s="1" t="s">
        <v>109</v>
      </c>
      <c r="CC551" s="1" t="s">
        <v>109</v>
      </c>
      <c r="CD551" s="1" t="s">
        <v>109</v>
      </c>
      <c r="CE551" s="1" t="s">
        <v>109</v>
      </c>
      <c r="CF551" s="1">
        <v>6</v>
      </c>
      <c r="CG551" s="1" t="s">
        <v>109</v>
      </c>
      <c r="CH551" s="1" t="s">
        <v>109</v>
      </c>
      <c r="CI551" s="1" t="s">
        <v>109</v>
      </c>
      <c r="CJ551" s="1" t="s">
        <v>109</v>
      </c>
      <c r="CK551" s="1"/>
      <c r="CL551" s="1">
        <v>0</v>
      </c>
      <c r="CM551" s="1">
        <v>0</v>
      </c>
      <c r="CN551" s="1">
        <v>0</v>
      </c>
    </row>
    <row r="552" spans="1:92" ht="14.25" customHeight="1" x14ac:dyDescent="0.15">
      <c r="A552" s="1" t="s">
        <v>4939</v>
      </c>
      <c r="B552" s="1" t="s">
        <v>308</v>
      </c>
      <c r="C552" s="1"/>
      <c r="D552" s="1" t="s">
        <v>4940</v>
      </c>
      <c r="E552" s="1" t="s">
        <v>4941</v>
      </c>
      <c r="F552" s="1" t="s">
        <v>395</v>
      </c>
      <c r="G552" s="1" t="s">
        <v>4927</v>
      </c>
      <c r="H552" s="1">
        <v>1</v>
      </c>
      <c r="I552" s="1" t="s">
        <v>4917</v>
      </c>
      <c r="J552" s="1"/>
      <c r="K552" s="1" t="s">
        <v>4918</v>
      </c>
      <c r="L552" s="1"/>
      <c r="M552" s="1" t="s">
        <v>211</v>
      </c>
      <c r="N552" s="1">
        <v>0</v>
      </c>
      <c r="O552" s="1">
        <v>0</v>
      </c>
      <c r="P552" s="1" t="s">
        <v>267</v>
      </c>
      <c r="Q552" s="1" t="s">
        <v>268</v>
      </c>
      <c r="R552" s="1" t="s">
        <v>4942</v>
      </c>
      <c r="S552" s="1" t="s">
        <v>4943</v>
      </c>
      <c r="T552" s="1" t="s">
        <v>107</v>
      </c>
      <c r="U552" s="1" t="s">
        <v>4944</v>
      </c>
      <c r="V552" s="1">
        <v>1</v>
      </c>
      <c r="W552" s="1">
        <v>1</v>
      </c>
      <c r="X552" s="1">
        <v>1</v>
      </c>
      <c r="Y552" s="1">
        <v>0</v>
      </c>
      <c r="Z552" s="1">
        <v>0</v>
      </c>
      <c r="AA552" s="1">
        <v>5</v>
      </c>
      <c r="AB552" s="1">
        <v>5</v>
      </c>
      <c r="AC552" s="1">
        <v>5</v>
      </c>
      <c r="AD552" s="1" t="s">
        <v>109</v>
      </c>
      <c r="AE552" s="1" t="s">
        <v>109</v>
      </c>
      <c r="AF552" s="1" t="s">
        <v>109</v>
      </c>
      <c r="AG552" s="1" t="s">
        <v>109</v>
      </c>
      <c r="AH552" s="1" t="s">
        <v>109</v>
      </c>
      <c r="AI552" s="1" t="s">
        <v>109</v>
      </c>
      <c r="AJ552" s="1">
        <v>5</v>
      </c>
      <c r="AK552" s="1" t="s">
        <v>109</v>
      </c>
      <c r="AL552" s="1">
        <v>5</v>
      </c>
      <c r="AM552" s="1" t="s">
        <v>109</v>
      </c>
      <c r="AN552" s="1" t="s">
        <v>109</v>
      </c>
      <c r="AO552" s="1" t="s">
        <v>109</v>
      </c>
      <c r="AP552" s="1"/>
      <c r="AQ552" s="1">
        <v>5</v>
      </c>
      <c r="AR552" s="1" t="s">
        <v>4945</v>
      </c>
      <c r="AS552" s="1" t="s">
        <v>4946</v>
      </c>
      <c r="AT552" s="1">
        <v>0</v>
      </c>
      <c r="AU552" s="1">
        <v>0</v>
      </c>
      <c r="AV552" s="1">
        <v>0</v>
      </c>
      <c r="AW552" s="1">
        <v>0</v>
      </c>
      <c r="AX552" s="1">
        <v>0</v>
      </c>
      <c r="AY552" s="1">
        <v>0</v>
      </c>
      <c r="AZ552" s="1">
        <v>0</v>
      </c>
      <c r="BA552" s="1">
        <v>0</v>
      </c>
      <c r="BB552" s="1">
        <v>0</v>
      </c>
      <c r="BC552" s="1">
        <v>0</v>
      </c>
      <c r="BD552" s="1">
        <v>0</v>
      </c>
      <c r="BE552" s="1">
        <v>1</v>
      </c>
      <c r="BF552" s="1">
        <v>0</v>
      </c>
      <c r="BG552" s="1">
        <v>0</v>
      </c>
      <c r="BH552" s="1">
        <v>0</v>
      </c>
      <c r="BI552" s="1">
        <v>0</v>
      </c>
      <c r="BJ552" s="1">
        <v>0</v>
      </c>
      <c r="BK552" s="1">
        <v>0</v>
      </c>
      <c r="BL552" s="1">
        <v>0</v>
      </c>
      <c r="BM552" s="1">
        <v>0</v>
      </c>
      <c r="BN552" s="1">
        <v>1</v>
      </c>
      <c r="BO552" s="1">
        <v>0</v>
      </c>
      <c r="BP552" s="1">
        <v>0</v>
      </c>
      <c r="BQ552" s="1">
        <v>0</v>
      </c>
      <c r="BR552" s="1">
        <v>0</v>
      </c>
      <c r="BS552" s="5" t="str">
        <f>HYPERLINK("http://www.d20pfsrd.com/magic/all-spells/s/symbol-of-pain","Symbol of Pain")</f>
        <v>Symbol of Pain</v>
      </c>
      <c r="BT552" s="1">
        <v>553</v>
      </c>
      <c r="BU552" s="1">
        <v>1000</v>
      </c>
      <c r="BV552" s="1"/>
      <c r="BW552" s="1" t="s">
        <v>4947</v>
      </c>
      <c r="BX552" s="1"/>
      <c r="BY552" s="1"/>
      <c r="BZ552" s="1">
        <v>0</v>
      </c>
      <c r="CA552" s="1" t="s">
        <v>109</v>
      </c>
      <c r="CB552" s="1" t="s">
        <v>109</v>
      </c>
      <c r="CC552" s="1" t="s">
        <v>109</v>
      </c>
      <c r="CD552" s="1" t="s">
        <v>109</v>
      </c>
      <c r="CE552" s="1">
        <v>5</v>
      </c>
      <c r="CF552" s="1">
        <v>4</v>
      </c>
      <c r="CG552" s="1" t="s">
        <v>109</v>
      </c>
      <c r="CH552" s="1" t="s">
        <v>109</v>
      </c>
      <c r="CI552" s="1" t="s">
        <v>109</v>
      </c>
      <c r="CJ552" s="1" t="s">
        <v>109</v>
      </c>
      <c r="CK552" s="1"/>
      <c r="CL552" s="1">
        <v>0</v>
      </c>
      <c r="CM552" s="1">
        <v>0</v>
      </c>
      <c r="CN552" s="1">
        <v>0</v>
      </c>
    </row>
    <row r="553" spans="1:92" ht="14.25" customHeight="1" x14ac:dyDescent="0.15">
      <c r="A553" s="1" t="s">
        <v>4948</v>
      </c>
      <c r="B553" s="1" t="s">
        <v>156</v>
      </c>
      <c r="C553" s="1" t="s">
        <v>834</v>
      </c>
      <c r="D553" s="1" t="s">
        <v>158</v>
      </c>
      <c r="E553" s="1" t="s">
        <v>4949</v>
      </c>
      <c r="F553" s="1" t="s">
        <v>395</v>
      </c>
      <c r="G553" s="1" t="s">
        <v>4933</v>
      </c>
      <c r="H553" s="1">
        <v>1</v>
      </c>
      <c r="I553" s="1" t="s">
        <v>4917</v>
      </c>
      <c r="J553" s="1"/>
      <c r="K553" s="1" t="s">
        <v>4918</v>
      </c>
      <c r="L553" s="1"/>
      <c r="M553" s="1" t="s">
        <v>211</v>
      </c>
      <c r="N553" s="1">
        <v>0</v>
      </c>
      <c r="O553" s="1">
        <v>0</v>
      </c>
      <c r="P553" s="1" t="s">
        <v>301</v>
      </c>
      <c r="Q553" s="1" t="s">
        <v>268</v>
      </c>
      <c r="R553" s="1" t="s">
        <v>4950</v>
      </c>
      <c r="S553" s="1" t="s">
        <v>4951</v>
      </c>
      <c r="T553" s="1" t="s">
        <v>107</v>
      </c>
      <c r="U553" s="1" t="s">
        <v>4952</v>
      </c>
      <c r="V553" s="1">
        <v>1</v>
      </c>
      <c r="W553" s="1">
        <v>1</v>
      </c>
      <c r="X553" s="1">
        <v>1</v>
      </c>
      <c r="Y553" s="1">
        <v>0</v>
      </c>
      <c r="Z553" s="1">
        <v>0</v>
      </c>
      <c r="AA553" s="1">
        <v>6</v>
      </c>
      <c r="AB553" s="1">
        <v>6</v>
      </c>
      <c r="AC553" s="1">
        <v>6</v>
      </c>
      <c r="AD553" s="1" t="s">
        <v>109</v>
      </c>
      <c r="AE553" s="1" t="s">
        <v>109</v>
      </c>
      <c r="AF553" s="1" t="s">
        <v>109</v>
      </c>
      <c r="AG553" s="1" t="s">
        <v>109</v>
      </c>
      <c r="AH553" s="1" t="s">
        <v>109</v>
      </c>
      <c r="AI553" s="1" t="s">
        <v>109</v>
      </c>
      <c r="AJ553" s="1">
        <v>6</v>
      </c>
      <c r="AK553" s="1" t="s">
        <v>109</v>
      </c>
      <c r="AL553" s="1">
        <v>6</v>
      </c>
      <c r="AM553" s="1" t="s">
        <v>109</v>
      </c>
      <c r="AN553" s="1" t="s">
        <v>109</v>
      </c>
      <c r="AO553" s="1" t="s">
        <v>109</v>
      </c>
      <c r="AP553" s="1"/>
      <c r="AQ553" s="1">
        <v>6</v>
      </c>
      <c r="AR553" s="1" t="s">
        <v>4953</v>
      </c>
      <c r="AS553" s="1" t="s">
        <v>4954</v>
      </c>
      <c r="AT553" s="1">
        <v>0</v>
      </c>
      <c r="AU553" s="1">
        <v>0</v>
      </c>
      <c r="AV553" s="1">
        <v>0</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1</v>
      </c>
      <c r="BN553" s="1">
        <v>0</v>
      </c>
      <c r="BO553" s="1">
        <v>0</v>
      </c>
      <c r="BP553" s="1">
        <v>0</v>
      </c>
      <c r="BQ553" s="1">
        <v>0</v>
      </c>
      <c r="BR553" s="1">
        <v>0</v>
      </c>
      <c r="BS553" s="5" t="str">
        <f>HYPERLINK("http://www.d20pfsrd.com/magic/all-spells/s/symbol-of-persuasion","Symbol of Persuasion")</f>
        <v>Symbol of Persuasion</v>
      </c>
      <c r="BT553" s="1">
        <v>554</v>
      </c>
      <c r="BU553" s="1">
        <v>5000</v>
      </c>
      <c r="BV553" s="1"/>
      <c r="BW553" s="1"/>
      <c r="BX553" s="1"/>
      <c r="BY553" s="1"/>
      <c r="BZ553" s="1">
        <v>0</v>
      </c>
      <c r="CA553" s="1" t="s">
        <v>109</v>
      </c>
      <c r="CB553" s="1" t="s">
        <v>109</v>
      </c>
      <c r="CC553" s="1" t="s">
        <v>109</v>
      </c>
      <c r="CD553" s="1" t="s">
        <v>109</v>
      </c>
      <c r="CE553" s="1">
        <v>6</v>
      </c>
      <c r="CF553" s="1">
        <v>4</v>
      </c>
      <c r="CG553" s="1" t="s">
        <v>109</v>
      </c>
      <c r="CH553" s="1" t="s">
        <v>109</v>
      </c>
      <c r="CI553" s="1" t="s">
        <v>109</v>
      </c>
      <c r="CJ553" s="1" t="s">
        <v>109</v>
      </c>
      <c r="CK553" s="1"/>
      <c r="CL553" s="1">
        <v>0</v>
      </c>
      <c r="CM553" s="1">
        <v>0</v>
      </c>
      <c r="CN553" s="1">
        <v>0</v>
      </c>
    </row>
    <row r="554" spans="1:92" ht="14.25" customHeight="1" x14ac:dyDescent="0.15">
      <c r="A554" s="1" t="s">
        <v>4955</v>
      </c>
      <c r="B554" s="1" t="s">
        <v>156</v>
      </c>
      <c r="C554" s="1" t="s">
        <v>157</v>
      </c>
      <c r="D554" s="1" t="s">
        <v>158</v>
      </c>
      <c r="E554" s="1" t="s">
        <v>4941</v>
      </c>
      <c r="F554" s="1" t="s">
        <v>395</v>
      </c>
      <c r="G554" s="1" t="s">
        <v>4927</v>
      </c>
      <c r="H554" s="1">
        <v>1</v>
      </c>
      <c r="I554" s="1" t="s">
        <v>4917</v>
      </c>
      <c r="J554" s="1"/>
      <c r="K554" s="1" t="s">
        <v>4918</v>
      </c>
      <c r="L554" s="1"/>
      <c r="M554" s="1" t="s">
        <v>211</v>
      </c>
      <c r="N554" s="1">
        <v>0</v>
      </c>
      <c r="O554" s="1">
        <v>0</v>
      </c>
      <c r="P554" s="1" t="s">
        <v>301</v>
      </c>
      <c r="Q554" s="1" t="s">
        <v>268</v>
      </c>
      <c r="R554" s="1" t="s">
        <v>4956</v>
      </c>
      <c r="S554" s="1" t="s">
        <v>4957</v>
      </c>
      <c r="T554" s="1" t="s">
        <v>107</v>
      </c>
      <c r="U554" s="1" t="s">
        <v>4958</v>
      </c>
      <c r="V554" s="1">
        <v>1</v>
      </c>
      <c r="W554" s="1">
        <v>1</v>
      </c>
      <c r="X554" s="1">
        <v>1</v>
      </c>
      <c r="Y554" s="1">
        <v>0</v>
      </c>
      <c r="Z554" s="1">
        <v>0</v>
      </c>
      <c r="AA554" s="1">
        <v>5</v>
      </c>
      <c r="AB554" s="1">
        <v>5</v>
      </c>
      <c r="AC554" s="1">
        <v>5</v>
      </c>
      <c r="AD554" s="1" t="s">
        <v>109</v>
      </c>
      <c r="AE554" s="1" t="s">
        <v>109</v>
      </c>
      <c r="AF554" s="1" t="s">
        <v>109</v>
      </c>
      <c r="AG554" s="1" t="s">
        <v>109</v>
      </c>
      <c r="AH554" s="1" t="s">
        <v>109</v>
      </c>
      <c r="AI554" s="1" t="s">
        <v>109</v>
      </c>
      <c r="AJ554" s="1">
        <v>5</v>
      </c>
      <c r="AK554" s="1" t="s">
        <v>109</v>
      </c>
      <c r="AL554" s="1">
        <v>5</v>
      </c>
      <c r="AM554" s="1" t="s">
        <v>109</v>
      </c>
      <c r="AN554" s="1" t="s">
        <v>109</v>
      </c>
      <c r="AO554" s="1" t="s">
        <v>109</v>
      </c>
      <c r="AP554" s="1"/>
      <c r="AQ554" s="1">
        <v>5</v>
      </c>
      <c r="AR554" s="1"/>
      <c r="AS554" s="1" t="s">
        <v>4959</v>
      </c>
      <c r="AT554" s="1">
        <v>0</v>
      </c>
      <c r="AU554" s="1">
        <v>0</v>
      </c>
      <c r="AV554" s="1">
        <v>0</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1</v>
      </c>
      <c r="BN554" s="1">
        <v>0</v>
      </c>
      <c r="BO554" s="1">
        <v>0</v>
      </c>
      <c r="BP554" s="1">
        <v>0</v>
      </c>
      <c r="BQ554" s="1">
        <v>0</v>
      </c>
      <c r="BR554" s="1">
        <v>0</v>
      </c>
      <c r="BS554" s="5" t="str">
        <f>HYPERLINK("http://www.d20pfsrd.com/magic/all-spells/s/symbol-of-sleep","Symbol of Sleep")</f>
        <v>Symbol of Sleep</v>
      </c>
      <c r="BT554" s="1">
        <v>555</v>
      </c>
      <c r="BU554" s="1">
        <v>1000</v>
      </c>
      <c r="BV554" s="1"/>
      <c r="BW554" s="1"/>
      <c r="BX554" s="1"/>
      <c r="BY554" s="1"/>
      <c r="BZ554" s="1">
        <v>0</v>
      </c>
      <c r="CA554" s="1" t="s">
        <v>109</v>
      </c>
      <c r="CB554" s="1" t="s">
        <v>109</v>
      </c>
      <c r="CC554" s="1" t="s">
        <v>109</v>
      </c>
      <c r="CD554" s="1" t="s">
        <v>109</v>
      </c>
      <c r="CE554" s="1">
        <v>5</v>
      </c>
      <c r="CF554" s="1">
        <v>4</v>
      </c>
      <c r="CG554" s="1" t="s">
        <v>109</v>
      </c>
      <c r="CH554" s="1" t="s">
        <v>109</v>
      </c>
      <c r="CI554" s="1" t="s">
        <v>109</v>
      </c>
      <c r="CJ554" s="1" t="s">
        <v>109</v>
      </c>
      <c r="CK554" s="1"/>
      <c r="CL554" s="1">
        <v>0</v>
      </c>
      <c r="CM554" s="1">
        <v>0</v>
      </c>
      <c r="CN554" s="1">
        <v>0</v>
      </c>
    </row>
    <row r="555" spans="1:92" ht="14.25" customHeight="1" x14ac:dyDescent="0.15">
      <c r="A555" s="1" t="s">
        <v>4960</v>
      </c>
      <c r="B555" s="1" t="s">
        <v>156</v>
      </c>
      <c r="C555" s="1" t="s">
        <v>157</v>
      </c>
      <c r="D555" s="1" t="s">
        <v>158</v>
      </c>
      <c r="E555" s="1" t="s">
        <v>4961</v>
      </c>
      <c r="F555" s="1" t="s">
        <v>395</v>
      </c>
      <c r="G555" s="1" t="s">
        <v>4933</v>
      </c>
      <c r="H555" s="1">
        <v>1</v>
      </c>
      <c r="I555" s="1" t="s">
        <v>4917</v>
      </c>
      <c r="J555" s="1"/>
      <c r="K555" s="1" t="s">
        <v>4918</v>
      </c>
      <c r="L555" s="1"/>
      <c r="M555" s="1" t="s">
        <v>211</v>
      </c>
      <c r="N555" s="1">
        <v>0</v>
      </c>
      <c r="O555" s="1">
        <v>0</v>
      </c>
      <c r="P555" s="1" t="s">
        <v>301</v>
      </c>
      <c r="Q555" s="1" t="s">
        <v>268</v>
      </c>
      <c r="R555" s="1" t="s">
        <v>4962</v>
      </c>
      <c r="S555" s="1" t="s">
        <v>4963</v>
      </c>
      <c r="T555" s="1" t="s">
        <v>107</v>
      </c>
      <c r="U555" s="1" t="s">
        <v>4964</v>
      </c>
      <c r="V555" s="1">
        <v>1</v>
      </c>
      <c r="W555" s="1">
        <v>1</v>
      </c>
      <c r="X555" s="1">
        <v>1</v>
      </c>
      <c r="Y555" s="1">
        <v>0</v>
      </c>
      <c r="Z555" s="1">
        <v>0</v>
      </c>
      <c r="AA555" s="1">
        <v>7</v>
      </c>
      <c r="AB555" s="1">
        <v>7</v>
      </c>
      <c r="AC555" s="1">
        <v>7</v>
      </c>
      <c r="AD555" s="1" t="s">
        <v>109</v>
      </c>
      <c r="AE555" s="1" t="s">
        <v>109</v>
      </c>
      <c r="AF555" s="1" t="s">
        <v>109</v>
      </c>
      <c r="AG555" s="1" t="s">
        <v>109</v>
      </c>
      <c r="AH555" s="1" t="s">
        <v>109</v>
      </c>
      <c r="AI555" s="1" t="s">
        <v>109</v>
      </c>
      <c r="AJ555" s="1">
        <v>7</v>
      </c>
      <c r="AK555" s="1" t="s">
        <v>109</v>
      </c>
      <c r="AL555" s="1">
        <v>7</v>
      </c>
      <c r="AM555" s="1" t="s">
        <v>109</v>
      </c>
      <c r="AN555" s="1" t="s">
        <v>109</v>
      </c>
      <c r="AO555" s="1" t="s">
        <v>109</v>
      </c>
      <c r="AP555" s="1"/>
      <c r="AQ555" s="1">
        <v>7</v>
      </c>
      <c r="AR555" s="1"/>
      <c r="AS555" s="1" t="s">
        <v>4965</v>
      </c>
      <c r="AT555" s="1">
        <v>0</v>
      </c>
      <c r="AU555" s="1">
        <v>0</v>
      </c>
      <c r="AV555" s="1">
        <v>0</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1</v>
      </c>
      <c r="BN555" s="1">
        <v>0</v>
      </c>
      <c r="BO555" s="1">
        <v>0</v>
      </c>
      <c r="BP555" s="1">
        <v>0</v>
      </c>
      <c r="BQ555" s="1">
        <v>0</v>
      </c>
      <c r="BR555" s="1">
        <v>0</v>
      </c>
      <c r="BS555" s="5" t="str">
        <f>HYPERLINK("http://www.d20pfsrd.com/magic/all-spells/s/symbol-of-stunning","Symbol of Stunning")</f>
        <v>Symbol of Stunning</v>
      </c>
      <c r="BT555" s="1">
        <v>556</v>
      </c>
      <c r="BU555" s="1">
        <v>5000</v>
      </c>
      <c r="BV555" s="1"/>
      <c r="BW555" s="1"/>
      <c r="BX555" s="1"/>
      <c r="BY555" s="1"/>
      <c r="BZ555" s="1">
        <v>0</v>
      </c>
      <c r="CA555" s="1" t="s">
        <v>109</v>
      </c>
      <c r="CB555" s="1" t="s">
        <v>109</v>
      </c>
      <c r="CC555" s="1" t="s">
        <v>109</v>
      </c>
      <c r="CD555" s="1" t="s">
        <v>109</v>
      </c>
      <c r="CE555" s="1" t="s">
        <v>109</v>
      </c>
      <c r="CF555" s="1">
        <v>5</v>
      </c>
      <c r="CG555" s="1" t="s">
        <v>109</v>
      </c>
      <c r="CH555" s="1" t="s">
        <v>109</v>
      </c>
      <c r="CI555" s="1" t="s">
        <v>109</v>
      </c>
      <c r="CJ555" s="1" t="s">
        <v>109</v>
      </c>
      <c r="CK555" s="1"/>
      <c r="CL555" s="1">
        <v>0</v>
      </c>
      <c r="CM555" s="1">
        <v>0</v>
      </c>
      <c r="CN555" s="1">
        <v>0</v>
      </c>
    </row>
    <row r="556" spans="1:92" ht="14.25" customHeight="1" x14ac:dyDescent="0.15">
      <c r="A556" s="1" t="s">
        <v>4966</v>
      </c>
      <c r="B556" s="1" t="s">
        <v>308</v>
      </c>
      <c r="C556" s="1"/>
      <c r="D556" s="1"/>
      <c r="E556" s="1" t="s">
        <v>4961</v>
      </c>
      <c r="F556" s="1" t="s">
        <v>395</v>
      </c>
      <c r="G556" s="1" t="s">
        <v>4933</v>
      </c>
      <c r="H556" s="1">
        <v>1</v>
      </c>
      <c r="I556" s="1" t="s">
        <v>4917</v>
      </c>
      <c r="J556" s="1"/>
      <c r="K556" s="1" t="s">
        <v>4918</v>
      </c>
      <c r="L556" s="1"/>
      <c r="M556" s="1" t="s">
        <v>211</v>
      </c>
      <c r="N556" s="1">
        <v>0</v>
      </c>
      <c r="O556" s="1">
        <v>0</v>
      </c>
      <c r="P556" s="1" t="s">
        <v>267</v>
      </c>
      <c r="Q556" s="1" t="s">
        <v>268</v>
      </c>
      <c r="R556" s="1" t="s">
        <v>4967</v>
      </c>
      <c r="S556" s="1" t="s">
        <v>4968</v>
      </c>
      <c r="T556" s="1" t="s">
        <v>107</v>
      </c>
      <c r="U556" s="1" t="s">
        <v>4969</v>
      </c>
      <c r="V556" s="1">
        <v>1</v>
      </c>
      <c r="W556" s="1">
        <v>1</v>
      </c>
      <c r="X556" s="1">
        <v>1</v>
      </c>
      <c r="Y556" s="1">
        <v>0</v>
      </c>
      <c r="Z556" s="1">
        <v>0</v>
      </c>
      <c r="AA556" s="1">
        <v>7</v>
      </c>
      <c r="AB556" s="1">
        <v>7</v>
      </c>
      <c r="AC556" s="1">
        <v>7</v>
      </c>
      <c r="AD556" s="1" t="s">
        <v>109</v>
      </c>
      <c r="AE556" s="1" t="s">
        <v>109</v>
      </c>
      <c r="AF556" s="1" t="s">
        <v>109</v>
      </c>
      <c r="AG556" s="1" t="s">
        <v>109</v>
      </c>
      <c r="AH556" s="1" t="s">
        <v>109</v>
      </c>
      <c r="AI556" s="1" t="s">
        <v>109</v>
      </c>
      <c r="AJ556" s="1">
        <v>7</v>
      </c>
      <c r="AK556" s="1" t="s">
        <v>109</v>
      </c>
      <c r="AL556" s="1">
        <v>7</v>
      </c>
      <c r="AM556" s="1" t="s">
        <v>109</v>
      </c>
      <c r="AN556" s="1" t="s">
        <v>109</v>
      </c>
      <c r="AO556" s="1" t="s">
        <v>109</v>
      </c>
      <c r="AP556" s="1"/>
      <c r="AQ556" s="1">
        <v>7</v>
      </c>
      <c r="AR556" s="1"/>
      <c r="AS556" s="1" t="s">
        <v>4970</v>
      </c>
      <c r="AT556" s="1">
        <v>0</v>
      </c>
      <c r="AU556" s="1">
        <v>0</v>
      </c>
      <c r="AV556" s="1">
        <v>0</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5" t="str">
        <f>HYPERLINK("http://www.d20pfsrd.com/magic/all-spells/s/symbol-of-weakness","Symbol of Weakness")</f>
        <v>Symbol of Weakness</v>
      </c>
      <c r="BT556" s="1">
        <v>557</v>
      </c>
      <c r="BU556" s="1">
        <v>5000</v>
      </c>
      <c r="BV556" s="1"/>
      <c r="BW556" s="1"/>
      <c r="BX556" s="1"/>
      <c r="BY556" s="1"/>
      <c r="BZ556" s="1">
        <v>0</v>
      </c>
      <c r="CA556" s="1" t="s">
        <v>109</v>
      </c>
      <c r="CB556" s="1" t="s">
        <v>109</v>
      </c>
      <c r="CC556" s="1" t="s">
        <v>109</v>
      </c>
      <c r="CD556" s="1" t="s">
        <v>109</v>
      </c>
      <c r="CE556" s="1" t="s">
        <v>109</v>
      </c>
      <c r="CF556" s="1">
        <v>5</v>
      </c>
      <c r="CG556" s="1" t="s">
        <v>109</v>
      </c>
      <c r="CH556" s="1" t="s">
        <v>109</v>
      </c>
      <c r="CI556" s="1" t="s">
        <v>109</v>
      </c>
      <c r="CJ556" s="1" t="s">
        <v>109</v>
      </c>
      <c r="CK556" s="1"/>
      <c r="CL556" s="1">
        <v>0</v>
      </c>
      <c r="CM556" s="1">
        <v>0</v>
      </c>
      <c r="CN556" s="1">
        <v>0</v>
      </c>
    </row>
    <row r="557" spans="1:92" ht="14.25" customHeight="1" x14ac:dyDescent="0.15">
      <c r="A557" s="1" t="s">
        <v>4971</v>
      </c>
      <c r="B557" s="1" t="s">
        <v>584</v>
      </c>
      <c r="C557" s="1"/>
      <c r="D557" s="1" t="s">
        <v>69</v>
      </c>
      <c r="E557" s="1" t="s">
        <v>4972</v>
      </c>
      <c r="F557" s="1" t="s">
        <v>395</v>
      </c>
      <c r="G557" s="1" t="s">
        <v>4973</v>
      </c>
      <c r="H557" s="1">
        <v>0</v>
      </c>
      <c r="I557" s="1" t="s">
        <v>161</v>
      </c>
      <c r="J557" s="1"/>
      <c r="K557" s="1"/>
      <c r="L557" s="1" t="s">
        <v>4974</v>
      </c>
      <c r="M557" s="1" t="s">
        <v>4975</v>
      </c>
      <c r="N557" s="1">
        <v>0</v>
      </c>
      <c r="O557" s="1">
        <v>0</v>
      </c>
      <c r="P557" s="1" t="s">
        <v>281</v>
      </c>
      <c r="Q557" s="1" t="s">
        <v>268</v>
      </c>
      <c r="R557" s="1" t="s">
        <v>4976</v>
      </c>
      <c r="S557" s="1" t="s">
        <v>4977</v>
      </c>
      <c r="T557" s="1" t="s">
        <v>107</v>
      </c>
      <c r="U557" s="1" t="s">
        <v>4978</v>
      </c>
      <c r="V557" s="1">
        <v>1</v>
      </c>
      <c r="W557" s="1">
        <v>1</v>
      </c>
      <c r="X557" s="1">
        <v>0</v>
      </c>
      <c r="Y557" s="1">
        <v>1</v>
      </c>
      <c r="Z557" s="1">
        <v>0</v>
      </c>
      <c r="AA557" s="1" t="s">
        <v>109</v>
      </c>
      <c r="AB557" s="1" t="s">
        <v>109</v>
      </c>
      <c r="AC557" s="1" t="s">
        <v>109</v>
      </c>
      <c r="AD557" s="1" t="s">
        <v>109</v>
      </c>
      <c r="AE557" s="1" t="s">
        <v>109</v>
      </c>
      <c r="AF557" s="1">
        <v>6</v>
      </c>
      <c r="AG557" s="1" t="s">
        <v>109</v>
      </c>
      <c r="AH557" s="1" t="s">
        <v>109</v>
      </c>
      <c r="AI557" s="1" t="s">
        <v>109</v>
      </c>
      <c r="AJ557" s="1" t="s">
        <v>109</v>
      </c>
      <c r="AK557" s="1" t="s">
        <v>109</v>
      </c>
      <c r="AL557" s="1" t="s">
        <v>109</v>
      </c>
      <c r="AM557" s="1" t="s">
        <v>109</v>
      </c>
      <c r="AN557" s="1" t="s">
        <v>109</v>
      </c>
      <c r="AO557" s="1" t="s">
        <v>109</v>
      </c>
      <c r="AP557" s="1"/>
      <c r="AQ557" s="1">
        <v>6</v>
      </c>
      <c r="AR557" s="1"/>
      <c r="AS557" s="1" t="s">
        <v>4979</v>
      </c>
      <c r="AT557" s="1">
        <v>0</v>
      </c>
      <c r="AU557" s="1">
        <v>0</v>
      </c>
      <c r="AV557" s="1">
        <v>0</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1</v>
      </c>
      <c r="BR557" s="1">
        <v>0</v>
      </c>
      <c r="BS557" s="5" t="str">
        <f>HYPERLINK("http://www.d20pfsrd.com/magic/all-spells/s/sympathetic-vibration","Sympathetic Vibration")</f>
        <v>Sympathetic Vibration</v>
      </c>
      <c r="BT557" s="1">
        <v>558</v>
      </c>
      <c r="BU557" s="1" t="s">
        <v>109</v>
      </c>
      <c r="BV557" s="1"/>
      <c r="BW557" s="1"/>
      <c r="BX557" s="1"/>
      <c r="BY557" s="1"/>
      <c r="BZ557" s="1">
        <v>0</v>
      </c>
      <c r="CA557" s="1" t="s">
        <v>109</v>
      </c>
      <c r="CB557" s="1" t="s">
        <v>109</v>
      </c>
      <c r="CC557" s="1" t="s">
        <v>109</v>
      </c>
      <c r="CD557" s="1" t="s">
        <v>109</v>
      </c>
      <c r="CE557" s="1" t="s">
        <v>109</v>
      </c>
      <c r="CF557" s="1" t="s">
        <v>109</v>
      </c>
      <c r="CG557" s="1" t="s">
        <v>109</v>
      </c>
      <c r="CH557" s="1" t="s">
        <v>109</v>
      </c>
      <c r="CI557" s="1" t="s">
        <v>109</v>
      </c>
      <c r="CJ557" s="1" t="s">
        <v>109</v>
      </c>
      <c r="CK557" s="1"/>
      <c r="CL557" s="1">
        <v>0</v>
      </c>
      <c r="CM557" s="1">
        <v>0</v>
      </c>
      <c r="CN557" s="1">
        <v>0</v>
      </c>
    </row>
    <row r="558" spans="1:92" ht="14.25" customHeight="1" x14ac:dyDescent="0.15">
      <c r="A558" s="1" t="s">
        <v>4980</v>
      </c>
      <c r="B558" s="1" t="s">
        <v>156</v>
      </c>
      <c r="C558" s="1" t="s">
        <v>157</v>
      </c>
      <c r="D558" s="1" t="s">
        <v>375</v>
      </c>
      <c r="E558" s="1" t="s">
        <v>4981</v>
      </c>
      <c r="F558" s="1" t="s">
        <v>377</v>
      </c>
      <c r="G558" s="1" t="s">
        <v>4982</v>
      </c>
      <c r="H558" s="1">
        <v>1</v>
      </c>
      <c r="I558" s="1" t="s">
        <v>142</v>
      </c>
      <c r="J558" s="1"/>
      <c r="K558" s="1"/>
      <c r="L558" s="1" t="s">
        <v>379</v>
      </c>
      <c r="M558" s="1" t="s">
        <v>246</v>
      </c>
      <c r="N558" s="1">
        <v>1</v>
      </c>
      <c r="O558" s="1">
        <v>0</v>
      </c>
      <c r="P558" s="1" t="s">
        <v>564</v>
      </c>
      <c r="Q558" s="1" t="s">
        <v>268</v>
      </c>
      <c r="R558" s="1" t="s">
        <v>4983</v>
      </c>
      <c r="S558" s="1" t="s">
        <v>4984</v>
      </c>
      <c r="T558" s="1" t="s">
        <v>107</v>
      </c>
      <c r="U558" s="1" t="s">
        <v>4985</v>
      </c>
      <c r="V558" s="1">
        <v>1</v>
      </c>
      <c r="W558" s="1">
        <v>1</v>
      </c>
      <c r="X558" s="1">
        <v>1</v>
      </c>
      <c r="Y558" s="1">
        <v>0</v>
      </c>
      <c r="Z558" s="1">
        <v>0</v>
      </c>
      <c r="AA558" s="1">
        <v>8</v>
      </c>
      <c r="AB558" s="1">
        <v>8</v>
      </c>
      <c r="AC558" s="1" t="s">
        <v>109</v>
      </c>
      <c r="AD558" s="1">
        <v>9</v>
      </c>
      <c r="AE558" s="1" t="s">
        <v>109</v>
      </c>
      <c r="AF558" s="1" t="s">
        <v>109</v>
      </c>
      <c r="AG558" s="1" t="s">
        <v>109</v>
      </c>
      <c r="AH558" s="1" t="s">
        <v>109</v>
      </c>
      <c r="AI558" s="1">
        <v>6</v>
      </c>
      <c r="AJ558" s="1">
        <v>8</v>
      </c>
      <c r="AK558" s="1" t="s">
        <v>109</v>
      </c>
      <c r="AL558" s="1" t="s">
        <v>109</v>
      </c>
      <c r="AM558" s="1" t="s">
        <v>109</v>
      </c>
      <c r="AN558" s="1" t="s">
        <v>109</v>
      </c>
      <c r="AO558" s="1" t="s">
        <v>109</v>
      </c>
      <c r="AP558" s="1"/>
      <c r="AQ558" s="1">
        <v>8</v>
      </c>
      <c r="AR558" s="1"/>
      <c r="AS558" s="1" t="s">
        <v>4986</v>
      </c>
      <c r="AT558" s="1">
        <v>0</v>
      </c>
      <c r="AU558" s="1">
        <v>0</v>
      </c>
      <c r="AV558" s="1">
        <v>0</v>
      </c>
      <c r="AW558" s="1">
        <v>0</v>
      </c>
      <c r="AX558" s="1">
        <v>0</v>
      </c>
      <c r="AY558" s="1">
        <v>0</v>
      </c>
      <c r="AZ558" s="1">
        <v>0</v>
      </c>
      <c r="BA558" s="1">
        <v>0</v>
      </c>
      <c r="BB558" s="1">
        <v>0</v>
      </c>
      <c r="BC558" s="1">
        <v>0</v>
      </c>
      <c r="BD558" s="1">
        <v>1</v>
      </c>
      <c r="BE558" s="1">
        <v>0</v>
      </c>
      <c r="BF558" s="1">
        <v>0</v>
      </c>
      <c r="BG558" s="1">
        <v>0</v>
      </c>
      <c r="BH558" s="1">
        <v>0</v>
      </c>
      <c r="BI558" s="1">
        <v>0</v>
      </c>
      <c r="BJ558" s="1">
        <v>0</v>
      </c>
      <c r="BK558" s="1">
        <v>0</v>
      </c>
      <c r="BL558" s="1">
        <v>0</v>
      </c>
      <c r="BM558" s="1">
        <v>1</v>
      </c>
      <c r="BN558" s="1">
        <v>0</v>
      </c>
      <c r="BO558" s="1">
        <v>0</v>
      </c>
      <c r="BP558" s="1">
        <v>0</v>
      </c>
      <c r="BQ558" s="1">
        <v>0</v>
      </c>
      <c r="BR558" s="1">
        <v>0</v>
      </c>
      <c r="BS558" s="5" t="str">
        <f>HYPERLINK("http://www.d20pfsrd.com/magic/all-spells/s/sympathy","Sympathy")</f>
        <v>Sympathy</v>
      </c>
      <c r="BT558" s="1">
        <v>559</v>
      </c>
      <c r="BU558" s="1">
        <v>1500</v>
      </c>
      <c r="BV558" s="1"/>
      <c r="BW558" s="1"/>
      <c r="BX558" s="1"/>
      <c r="BY558" s="1"/>
      <c r="BZ558" s="1">
        <v>0</v>
      </c>
      <c r="CA558" s="1" t="s">
        <v>109</v>
      </c>
      <c r="CB558" s="1" t="s">
        <v>109</v>
      </c>
      <c r="CC558" s="1">
        <v>8</v>
      </c>
      <c r="CD558" s="1" t="s">
        <v>109</v>
      </c>
      <c r="CE558" s="1" t="s">
        <v>109</v>
      </c>
      <c r="CF558" s="1">
        <v>6</v>
      </c>
      <c r="CG558" s="1" t="s">
        <v>109</v>
      </c>
      <c r="CH558" s="1" t="s">
        <v>109</v>
      </c>
      <c r="CI558" s="1" t="s">
        <v>109</v>
      </c>
      <c r="CJ558" s="1" t="s">
        <v>109</v>
      </c>
      <c r="CK558" s="1"/>
      <c r="CL558" s="1">
        <v>0</v>
      </c>
      <c r="CM558" s="1">
        <v>0</v>
      </c>
      <c r="CN558" s="1">
        <v>0</v>
      </c>
    </row>
    <row r="559" spans="1:92" ht="14.25" customHeight="1" x14ac:dyDescent="0.15">
      <c r="A559" s="1" t="s">
        <v>4987</v>
      </c>
      <c r="B559" s="1" t="s">
        <v>189</v>
      </c>
      <c r="C559" s="1"/>
      <c r="D559" s="1"/>
      <c r="E559" s="1" t="s">
        <v>4988</v>
      </c>
      <c r="F559" s="1" t="s">
        <v>98</v>
      </c>
      <c r="G559" s="1" t="s">
        <v>141</v>
      </c>
      <c r="H559" s="1">
        <v>0</v>
      </c>
      <c r="I559" s="1" t="s">
        <v>100</v>
      </c>
      <c r="J559" s="1"/>
      <c r="K559" s="1"/>
      <c r="L559" s="1" t="s">
        <v>4989</v>
      </c>
      <c r="M559" s="1" t="s">
        <v>4990</v>
      </c>
      <c r="N559" s="1">
        <v>0</v>
      </c>
      <c r="O559" s="1">
        <v>0</v>
      </c>
      <c r="P559" s="1" t="s">
        <v>4991</v>
      </c>
      <c r="Q559" s="1" t="s">
        <v>4992</v>
      </c>
      <c r="R559" s="1" t="s">
        <v>4993</v>
      </c>
      <c r="S559" s="1" t="s">
        <v>4994</v>
      </c>
      <c r="T559" s="1" t="s">
        <v>107</v>
      </c>
      <c r="U559" s="1" t="s">
        <v>4995</v>
      </c>
      <c r="V559" s="1">
        <v>1</v>
      </c>
      <c r="W559" s="1">
        <v>1</v>
      </c>
      <c r="X559" s="1">
        <v>0</v>
      </c>
      <c r="Y559" s="1">
        <v>0</v>
      </c>
      <c r="Z559" s="1">
        <v>0</v>
      </c>
      <c r="AA559" s="1">
        <v>5</v>
      </c>
      <c r="AB559" s="1">
        <v>5</v>
      </c>
      <c r="AC559" s="1" t="s">
        <v>109</v>
      </c>
      <c r="AD559" s="1" t="s">
        <v>109</v>
      </c>
      <c r="AE559" s="1" t="s">
        <v>109</v>
      </c>
      <c r="AF559" s="1" t="s">
        <v>109</v>
      </c>
      <c r="AG559" s="1" t="s">
        <v>109</v>
      </c>
      <c r="AH559" s="1" t="s">
        <v>109</v>
      </c>
      <c r="AI559" s="1" t="s">
        <v>109</v>
      </c>
      <c r="AJ559" s="1" t="s">
        <v>109</v>
      </c>
      <c r="AK559" s="1" t="s">
        <v>109</v>
      </c>
      <c r="AL559" s="1" t="s">
        <v>109</v>
      </c>
      <c r="AM559" s="1" t="s">
        <v>109</v>
      </c>
      <c r="AN559" s="1">
        <v>5</v>
      </c>
      <c r="AO559" s="1" t="s">
        <v>109</v>
      </c>
      <c r="AP559" s="1"/>
      <c r="AQ559" s="1">
        <v>5</v>
      </c>
      <c r="AR559" s="1"/>
      <c r="AS559" s="1" t="s">
        <v>4996</v>
      </c>
      <c r="AT559" s="1">
        <v>0</v>
      </c>
      <c r="AU559" s="1">
        <v>0</v>
      </c>
      <c r="AV559" s="1">
        <v>0</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5" t="str">
        <f>HYPERLINK("http://www.d20pfsrd.com/magic/all-spells/t/telekinesis","Telekinesis")</f>
        <v>Telekinesis</v>
      </c>
      <c r="BT559" s="1">
        <v>560</v>
      </c>
      <c r="BU559" s="1" t="s">
        <v>109</v>
      </c>
      <c r="BV559" s="1"/>
      <c r="BW559" s="1"/>
      <c r="BX559" s="1" t="s">
        <v>4997</v>
      </c>
      <c r="BY559" s="1"/>
      <c r="BZ559" s="1">
        <v>1</v>
      </c>
      <c r="CA559" s="1" t="s">
        <v>109</v>
      </c>
      <c r="CB559" s="1" t="s">
        <v>109</v>
      </c>
      <c r="CC559" s="1">
        <v>4</v>
      </c>
      <c r="CD559" s="1" t="s">
        <v>109</v>
      </c>
      <c r="CE559" s="1" t="s">
        <v>109</v>
      </c>
      <c r="CF559" s="1">
        <v>5</v>
      </c>
      <c r="CG559" s="1">
        <v>5</v>
      </c>
      <c r="CH559" s="1" t="s">
        <v>109</v>
      </c>
      <c r="CI559" s="1" t="s">
        <v>109</v>
      </c>
      <c r="CJ559" s="1" t="s">
        <v>109</v>
      </c>
      <c r="CK559" s="1"/>
      <c r="CL559" s="1">
        <v>0</v>
      </c>
      <c r="CM559" s="1">
        <v>0</v>
      </c>
      <c r="CN559" s="1">
        <v>0</v>
      </c>
    </row>
    <row r="560" spans="1:92" ht="14.25" customHeight="1" x14ac:dyDescent="0.15">
      <c r="A560" s="1" t="s">
        <v>4998</v>
      </c>
      <c r="B560" s="1" t="s">
        <v>584</v>
      </c>
      <c r="C560" s="1"/>
      <c r="D560" s="1" t="s">
        <v>60</v>
      </c>
      <c r="E560" s="1" t="s">
        <v>4999</v>
      </c>
      <c r="F560" s="1" t="s">
        <v>98</v>
      </c>
      <c r="G560" s="1" t="s">
        <v>5000</v>
      </c>
      <c r="H560" s="1">
        <v>0</v>
      </c>
      <c r="I560" s="1" t="s">
        <v>142</v>
      </c>
      <c r="J560" s="1"/>
      <c r="K560" s="1" t="s">
        <v>5001</v>
      </c>
      <c r="L560" s="1"/>
      <c r="M560" s="1" t="s">
        <v>164</v>
      </c>
      <c r="N560" s="1">
        <v>1</v>
      </c>
      <c r="O560" s="1">
        <v>0</v>
      </c>
      <c r="P560" s="1" t="s">
        <v>5002</v>
      </c>
      <c r="Q560" s="1" t="s">
        <v>630</v>
      </c>
      <c r="R560" s="1" t="s">
        <v>5003</v>
      </c>
      <c r="S560" s="1" t="s">
        <v>5004</v>
      </c>
      <c r="T560" s="1" t="s">
        <v>107</v>
      </c>
      <c r="U560" s="1" t="s">
        <v>5005</v>
      </c>
      <c r="V560" s="1">
        <v>1</v>
      </c>
      <c r="W560" s="1">
        <v>1</v>
      </c>
      <c r="X560" s="1">
        <v>1</v>
      </c>
      <c r="Y560" s="1">
        <v>0</v>
      </c>
      <c r="Z560" s="1">
        <v>0</v>
      </c>
      <c r="AA560" s="1">
        <v>8</v>
      </c>
      <c r="AB560" s="1">
        <v>8</v>
      </c>
      <c r="AC560" s="1" t="s">
        <v>109</v>
      </c>
      <c r="AD560" s="1" t="s">
        <v>109</v>
      </c>
      <c r="AE560" s="1" t="s">
        <v>109</v>
      </c>
      <c r="AF560" s="1" t="s">
        <v>109</v>
      </c>
      <c r="AG560" s="1" t="s">
        <v>109</v>
      </c>
      <c r="AH560" s="1" t="s">
        <v>109</v>
      </c>
      <c r="AI560" s="1" t="s">
        <v>109</v>
      </c>
      <c r="AJ560" s="1" t="s">
        <v>109</v>
      </c>
      <c r="AK560" s="1" t="s">
        <v>109</v>
      </c>
      <c r="AL560" s="1" t="s">
        <v>109</v>
      </c>
      <c r="AM560" s="1" t="s">
        <v>109</v>
      </c>
      <c r="AN560" s="1" t="s">
        <v>109</v>
      </c>
      <c r="AO560" s="1" t="s">
        <v>109</v>
      </c>
      <c r="AP560" s="1"/>
      <c r="AQ560" s="1">
        <v>8</v>
      </c>
      <c r="AR560" s="1"/>
      <c r="AS560" s="1" t="s">
        <v>5006</v>
      </c>
      <c r="AT560" s="1">
        <v>0</v>
      </c>
      <c r="AU560" s="1">
        <v>0</v>
      </c>
      <c r="AV560" s="1">
        <v>0</v>
      </c>
      <c r="AW560" s="1">
        <v>0</v>
      </c>
      <c r="AX560" s="1">
        <v>0</v>
      </c>
      <c r="AY560" s="1">
        <v>0</v>
      </c>
      <c r="AZ560" s="1">
        <v>0</v>
      </c>
      <c r="BA560" s="1">
        <v>0</v>
      </c>
      <c r="BB560" s="1">
        <v>0</v>
      </c>
      <c r="BC560" s="1">
        <v>0</v>
      </c>
      <c r="BD560" s="1">
        <v>0</v>
      </c>
      <c r="BE560" s="1">
        <v>0</v>
      </c>
      <c r="BF560" s="1">
        <v>0</v>
      </c>
      <c r="BG560" s="1">
        <v>0</v>
      </c>
      <c r="BH560" s="1">
        <v>1</v>
      </c>
      <c r="BI560" s="1">
        <v>0</v>
      </c>
      <c r="BJ560" s="1">
        <v>0</v>
      </c>
      <c r="BK560" s="1">
        <v>0</v>
      </c>
      <c r="BL560" s="1">
        <v>0</v>
      </c>
      <c r="BM560" s="1">
        <v>0</v>
      </c>
      <c r="BN560" s="1">
        <v>0</v>
      </c>
      <c r="BO560" s="1">
        <v>0</v>
      </c>
      <c r="BP560" s="1">
        <v>0</v>
      </c>
      <c r="BQ560" s="1">
        <v>0</v>
      </c>
      <c r="BR560" s="1">
        <v>0</v>
      </c>
      <c r="BS560" s="5" t="str">
        <f>HYPERLINK("http://www.d20pfsrd.com/magic/all-spells/t/telekinetic-sphere","Telekinetic Sphere")</f>
        <v>Telekinetic Sphere</v>
      </c>
      <c r="BT560" s="1">
        <v>561</v>
      </c>
      <c r="BU560" s="1" t="s">
        <v>109</v>
      </c>
      <c r="BV560" s="1"/>
      <c r="BW560" s="1"/>
      <c r="BX560" s="1"/>
      <c r="BY560" s="1"/>
      <c r="BZ560" s="1">
        <v>0</v>
      </c>
      <c r="CA560" s="1" t="s">
        <v>109</v>
      </c>
      <c r="CB560" s="1" t="s">
        <v>109</v>
      </c>
      <c r="CC560" s="1">
        <v>7</v>
      </c>
      <c r="CD560" s="1" t="s">
        <v>109</v>
      </c>
      <c r="CE560" s="1" t="s">
        <v>109</v>
      </c>
      <c r="CF560" s="1" t="s">
        <v>109</v>
      </c>
      <c r="CG560" s="1" t="s">
        <v>109</v>
      </c>
      <c r="CH560" s="1" t="s">
        <v>109</v>
      </c>
      <c r="CI560" s="1" t="s">
        <v>109</v>
      </c>
      <c r="CJ560" s="1" t="s">
        <v>109</v>
      </c>
      <c r="CK560" s="1"/>
      <c r="CL560" s="1">
        <v>0</v>
      </c>
      <c r="CM560" s="1">
        <v>0</v>
      </c>
      <c r="CN560" s="1">
        <v>0</v>
      </c>
    </row>
    <row r="561" spans="1:92" ht="14.25" customHeight="1" x14ac:dyDescent="0.15">
      <c r="A561" s="1" t="s">
        <v>5007</v>
      </c>
      <c r="B561" s="1" t="s">
        <v>254</v>
      </c>
      <c r="C561" s="1"/>
      <c r="D561" s="1"/>
      <c r="E561" s="1" t="s">
        <v>5008</v>
      </c>
      <c r="F561" s="1" t="s">
        <v>98</v>
      </c>
      <c r="G561" s="1" t="s">
        <v>5009</v>
      </c>
      <c r="H561" s="1">
        <v>0</v>
      </c>
      <c r="I561" s="1" t="s">
        <v>142</v>
      </c>
      <c r="J561" s="1"/>
      <c r="K561" s="1"/>
      <c r="L561" s="1" t="s">
        <v>5010</v>
      </c>
      <c r="M561" s="1" t="s">
        <v>194</v>
      </c>
      <c r="N561" s="1">
        <v>1</v>
      </c>
      <c r="O561" s="1">
        <v>0</v>
      </c>
      <c r="P561" s="1" t="s">
        <v>103</v>
      </c>
      <c r="Q561" s="1" t="s">
        <v>104</v>
      </c>
      <c r="R561" s="1" t="s">
        <v>5011</v>
      </c>
      <c r="S561" s="1" t="s">
        <v>5012</v>
      </c>
      <c r="T561" s="1" t="s">
        <v>107</v>
      </c>
      <c r="U561" s="1" t="s">
        <v>5013</v>
      </c>
      <c r="V561" s="1">
        <v>1</v>
      </c>
      <c r="W561" s="1">
        <v>1</v>
      </c>
      <c r="X561" s="1">
        <v>1</v>
      </c>
      <c r="Y561" s="1">
        <v>0</v>
      </c>
      <c r="Z561" s="1">
        <v>0</v>
      </c>
      <c r="AA561" s="1">
        <v>5</v>
      </c>
      <c r="AB561" s="1">
        <v>5</v>
      </c>
      <c r="AC561" s="1" t="s">
        <v>109</v>
      </c>
      <c r="AD561" s="1" t="s">
        <v>109</v>
      </c>
      <c r="AE561" s="1" t="s">
        <v>109</v>
      </c>
      <c r="AF561" s="1" t="s">
        <v>109</v>
      </c>
      <c r="AG561" s="1" t="s">
        <v>109</v>
      </c>
      <c r="AH561" s="1" t="s">
        <v>109</v>
      </c>
      <c r="AI561" s="1" t="s">
        <v>109</v>
      </c>
      <c r="AJ561" s="1">
        <v>5</v>
      </c>
      <c r="AK561" s="1">
        <v>5</v>
      </c>
      <c r="AL561" s="1" t="s">
        <v>109</v>
      </c>
      <c r="AM561" s="1" t="s">
        <v>109</v>
      </c>
      <c r="AN561" s="1" t="s">
        <v>109</v>
      </c>
      <c r="AO561" s="1" t="s">
        <v>109</v>
      </c>
      <c r="AP561" s="1"/>
      <c r="AQ561" s="1">
        <v>5</v>
      </c>
      <c r="AR561" s="1" t="s">
        <v>5014</v>
      </c>
      <c r="AS561" s="1" t="s">
        <v>5015</v>
      </c>
      <c r="AT561" s="1">
        <v>0</v>
      </c>
      <c r="AU561" s="1">
        <v>0</v>
      </c>
      <c r="AV561" s="1">
        <v>0</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5" t="str">
        <f>HYPERLINK("http://www.d20pfsrd.com/magic/all-spells/t/telepathic-bond","Telepathic Bond")</f>
        <v>Telepathic Bond</v>
      </c>
      <c r="BT561" s="1">
        <v>562</v>
      </c>
      <c r="BU561" s="1" t="s">
        <v>109</v>
      </c>
      <c r="BV561" s="1"/>
      <c r="BW561" s="1"/>
      <c r="BX561" s="1"/>
      <c r="BY561" s="1"/>
      <c r="BZ561" s="1">
        <v>0</v>
      </c>
      <c r="CA561" s="1" t="s">
        <v>109</v>
      </c>
      <c r="CB561" s="1" t="s">
        <v>109</v>
      </c>
      <c r="CC561" s="1">
        <v>4</v>
      </c>
      <c r="CD561" s="1" t="s">
        <v>109</v>
      </c>
      <c r="CE561" s="1">
        <v>4</v>
      </c>
      <c r="CF561" s="1" t="s">
        <v>109</v>
      </c>
      <c r="CG561" s="1">
        <v>5</v>
      </c>
      <c r="CH561" s="1" t="s">
        <v>109</v>
      </c>
      <c r="CI561" s="1" t="s">
        <v>109</v>
      </c>
      <c r="CJ561" s="1" t="s">
        <v>109</v>
      </c>
      <c r="CK561" s="1"/>
      <c r="CL561" s="1">
        <v>0</v>
      </c>
      <c r="CM561" s="1">
        <v>0</v>
      </c>
      <c r="CN561" s="1">
        <v>0</v>
      </c>
    </row>
    <row r="562" spans="1:92" ht="14.25" customHeight="1" x14ac:dyDescent="0.15">
      <c r="A562" s="1" t="s">
        <v>5016</v>
      </c>
      <c r="B562" s="1" t="s">
        <v>95</v>
      </c>
      <c r="C562" s="1" t="s">
        <v>1522</v>
      </c>
      <c r="D562" s="1"/>
      <c r="E562" s="1" t="s">
        <v>5017</v>
      </c>
      <c r="F562" s="1" t="s">
        <v>98</v>
      </c>
      <c r="G562" s="1" t="s">
        <v>333</v>
      </c>
      <c r="H562" s="1">
        <v>0</v>
      </c>
      <c r="I562" s="1" t="s">
        <v>5018</v>
      </c>
      <c r="J562" s="1"/>
      <c r="K562" s="1"/>
      <c r="L562" s="1" t="s">
        <v>1524</v>
      </c>
      <c r="M562" s="1" t="s">
        <v>144</v>
      </c>
      <c r="N562" s="1">
        <v>0</v>
      </c>
      <c r="O562" s="1">
        <v>0</v>
      </c>
      <c r="P562" s="1" t="s">
        <v>1525</v>
      </c>
      <c r="Q562" s="1" t="s">
        <v>1526</v>
      </c>
      <c r="R562" s="1" t="s">
        <v>5019</v>
      </c>
      <c r="S562" s="1" t="s">
        <v>5020</v>
      </c>
      <c r="T562" s="1" t="s">
        <v>107</v>
      </c>
      <c r="U562" s="1" t="s">
        <v>5021</v>
      </c>
      <c r="V562" s="1">
        <v>1</v>
      </c>
      <c r="W562" s="1">
        <v>0</v>
      </c>
      <c r="X562" s="1">
        <v>0</v>
      </c>
      <c r="Y562" s="1">
        <v>0</v>
      </c>
      <c r="Z562" s="1">
        <v>0</v>
      </c>
      <c r="AA562" s="1">
        <v>5</v>
      </c>
      <c r="AB562" s="1">
        <v>5</v>
      </c>
      <c r="AC562" s="1" t="s">
        <v>109</v>
      </c>
      <c r="AD562" s="1" t="s">
        <v>109</v>
      </c>
      <c r="AE562" s="1" t="s">
        <v>109</v>
      </c>
      <c r="AF562" s="1" t="s">
        <v>109</v>
      </c>
      <c r="AG562" s="1" t="s">
        <v>109</v>
      </c>
      <c r="AH562" s="1" t="s">
        <v>109</v>
      </c>
      <c r="AI562" s="1">
        <v>4</v>
      </c>
      <c r="AJ562" s="1">
        <v>5</v>
      </c>
      <c r="AK562" s="1" t="s">
        <v>109</v>
      </c>
      <c r="AL562" s="1" t="s">
        <v>109</v>
      </c>
      <c r="AM562" s="1" t="s">
        <v>109</v>
      </c>
      <c r="AN562" s="1">
        <v>5</v>
      </c>
      <c r="AO562" s="1" t="s">
        <v>109</v>
      </c>
      <c r="AP562" s="1"/>
      <c r="AQ562" s="1">
        <v>5</v>
      </c>
      <c r="AR562" s="1" t="s">
        <v>5022</v>
      </c>
      <c r="AS562" s="1" t="s">
        <v>5023</v>
      </c>
      <c r="AT562" s="1">
        <v>0</v>
      </c>
      <c r="AU562" s="1">
        <v>0</v>
      </c>
      <c r="AV562" s="1">
        <v>0</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5" t="str">
        <f>HYPERLINK("http://www.d20pfsrd.com/magic/all-spells/t/teleport","Teleport")</f>
        <v>Teleport</v>
      </c>
      <c r="BT562" s="1">
        <v>563</v>
      </c>
      <c r="BU562" s="1" t="s">
        <v>109</v>
      </c>
      <c r="BV562" s="1"/>
      <c r="BW562" s="1" t="s">
        <v>5024</v>
      </c>
      <c r="BX562" s="1"/>
      <c r="BY562" s="1"/>
      <c r="BZ562" s="1">
        <v>0</v>
      </c>
      <c r="CA562" s="1" t="s">
        <v>109</v>
      </c>
      <c r="CB562" s="1" t="s">
        <v>109</v>
      </c>
      <c r="CC562" s="1">
        <v>5</v>
      </c>
      <c r="CD562" s="1" t="s">
        <v>109</v>
      </c>
      <c r="CE562" s="1" t="s">
        <v>109</v>
      </c>
      <c r="CF562" s="1">
        <v>5</v>
      </c>
      <c r="CG562" s="1">
        <v>5</v>
      </c>
      <c r="CH562" s="1" t="s">
        <v>109</v>
      </c>
      <c r="CI562" s="1" t="s">
        <v>109</v>
      </c>
      <c r="CJ562" s="1" t="s">
        <v>109</v>
      </c>
      <c r="CK562" s="1"/>
      <c r="CL562" s="1">
        <v>0</v>
      </c>
      <c r="CM562" s="1">
        <v>0</v>
      </c>
      <c r="CN562" s="1">
        <v>0</v>
      </c>
    </row>
    <row r="563" spans="1:92" ht="14.25" customHeight="1" x14ac:dyDescent="0.15">
      <c r="A563" s="1" t="s">
        <v>5025</v>
      </c>
      <c r="B563" s="1" t="s">
        <v>95</v>
      </c>
      <c r="C563" s="1" t="s">
        <v>1522</v>
      </c>
      <c r="D563" s="1"/>
      <c r="E563" s="1" t="s">
        <v>5026</v>
      </c>
      <c r="F563" s="1" t="s">
        <v>98</v>
      </c>
      <c r="G563" s="1" t="s">
        <v>333</v>
      </c>
      <c r="H563" s="1">
        <v>0</v>
      </c>
      <c r="I563" s="1" t="s">
        <v>5018</v>
      </c>
      <c r="J563" s="1"/>
      <c r="K563" s="1"/>
      <c r="L563" s="1" t="s">
        <v>1524</v>
      </c>
      <c r="M563" s="1" t="s">
        <v>144</v>
      </c>
      <c r="N563" s="1">
        <v>0</v>
      </c>
      <c r="O563" s="1">
        <v>0</v>
      </c>
      <c r="P563" s="1" t="s">
        <v>1525</v>
      </c>
      <c r="Q563" s="1" t="s">
        <v>1526</v>
      </c>
      <c r="R563" s="1" t="s">
        <v>5027</v>
      </c>
      <c r="S563" s="1" t="s">
        <v>5028</v>
      </c>
      <c r="T563" s="1" t="s">
        <v>107</v>
      </c>
      <c r="U563" s="1" t="s">
        <v>5029</v>
      </c>
      <c r="V563" s="1">
        <v>1</v>
      </c>
      <c r="W563" s="1">
        <v>0</v>
      </c>
      <c r="X563" s="1">
        <v>0</v>
      </c>
      <c r="Y563" s="1">
        <v>0</v>
      </c>
      <c r="Z563" s="1">
        <v>0</v>
      </c>
      <c r="AA563" s="1">
        <v>7</v>
      </c>
      <c r="AB563" s="1">
        <v>7</v>
      </c>
      <c r="AC563" s="1" t="s">
        <v>109</v>
      </c>
      <c r="AD563" s="1" t="s">
        <v>109</v>
      </c>
      <c r="AE563" s="1" t="s">
        <v>109</v>
      </c>
      <c r="AF563" s="1" t="s">
        <v>109</v>
      </c>
      <c r="AG563" s="1" t="s">
        <v>109</v>
      </c>
      <c r="AH563" s="1" t="s">
        <v>109</v>
      </c>
      <c r="AI563" s="1">
        <v>5</v>
      </c>
      <c r="AJ563" s="1">
        <v>7</v>
      </c>
      <c r="AK563" s="1" t="s">
        <v>109</v>
      </c>
      <c r="AL563" s="1" t="s">
        <v>109</v>
      </c>
      <c r="AM563" s="1" t="s">
        <v>109</v>
      </c>
      <c r="AN563" s="1" t="s">
        <v>109</v>
      </c>
      <c r="AO563" s="1" t="s">
        <v>109</v>
      </c>
      <c r="AP563" s="1"/>
      <c r="AQ563" s="1">
        <v>7</v>
      </c>
      <c r="AR563" s="1" t="s">
        <v>5030</v>
      </c>
      <c r="AS563" s="1" t="s">
        <v>5031</v>
      </c>
      <c r="AT563" s="1">
        <v>0</v>
      </c>
      <c r="AU563" s="1">
        <v>0</v>
      </c>
      <c r="AV563" s="1">
        <v>0</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5" t="str">
        <f>HYPERLINK("http://www.d20pfsrd.com/magic/all-spells/t/teleport","Teleport, Greater")</f>
        <v>Teleport, Greater</v>
      </c>
      <c r="BT563" s="1">
        <v>564</v>
      </c>
      <c r="BU563" s="1" t="s">
        <v>109</v>
      </c>
      <c r="BV563" s="1" t="s">
        <v>5032</v>
      </c>
      <c r="BW563" s="1"/>
      <c r="BX563" s="1"/>
      <c r="BY563" s="1"/>
      <c r="BZ563" s="1">
        <v>0</v>
      </c>
      <c r="CA563" s="1" t="s">
        <v>109</v>
      </c>
      <c r="CB563" s="1" t="s">
        <v>109</v>
      </c>
      <c r="CC563" s="1">
        <v>7</v>
      </c>
      <c r="CD563" s="1" t="s">
        <v>109</v>
      </c>
      <c r="CE563" s="1" t="s">
        <v>109</v>
      </c>
      <c r="CF563" s="1" t="s">
        <v>109</v>
      </c>
      <c r="CG563" s="1" t="s">
        <v>109</v>
      </c>
      <c r="CH563" s="1" t="s">
        <v>109</v>
      </c>
      <c r="CI563" s="1" t="s">
        <v>109</v>
      </c>
      <c r="CJ563" s="1" t="s">
        <v>109</v>
      </c>
      <c r="CK563" s="1"/>
      <c r="CL563" s="1">
        <v>0</v>
      </c>
      <c r="CM563" s="1">
        <v>0</v>
      </c>
      <c r="CN563" s="1">
        <v>0</v>
      </c>
    </row>
    <row r="564" spans="1:92" ht="14.25" customHeight="1" x14ac:dyDescent="0.15">
      <c r="A564" s="1" t="s">
        <v>5033</v>
      </c>
      <c r="B564" s="1" t="s">
        <v>95</v>
      </c>
      <c r="C564" s="1" t="s">
        <v>1522</v>
      </c>
      <c r="D564" s="1"/>
      <c r="E564" s="1" t="s">
        <v>429</v>
      </c>
      <c r="F564" s="1" t="s">
        <v>98</v>
      </c>
      <c r="G564" s="1" t="s">
        <v>333</v>
      </c>
      <c r="H564" s="1">
        <v>0</v>
      </c>
      <c r="I564" s="1" t="s">
        <v>161</v>
      </c>
      <c r="J564" s="1"/>
      <c r="K564" s="1"/>
      <c r="L564" s="1" t="s">
        <v>5034</v>
      </c>
      <c r="M564" s="1" t="s">
        <v>144</v>
      </c>
      <c r="N564" s="1">
        <v>0</v>
      </c>
      <c r="O564" s="1">
        <v>0</v>
      </c>
      <c r="P564" s="1" t="s">
        <v>629</v>
      </c>
      <c r="Q564" s="1" t="s">
        <v>630</v>
      </c>
      <c r="R564" s="1" t="s">
        <v>5035</v>
      </c>
      <c r="S564" s="1" t="s">
        <v>5036</v>
      </c>
      <c r="T564" s="1" t="s">
        <v>107</v>
      </c>
      <c r="U564" s="1" t="s">
        <v>5037</v>
      </c>
      <c r="V564" s="1">
        <v>1</v>
      </c>
      <c r="W564" s="1">
        <v>0</v>
      </c>
      <c r="X564" s="1">
        <v>0</v>
      </c>
      <c r="Y564" s="1">
        <v>0</v>
      </c>
      <c r="Z564" s="1">
        <v>0</v>
      </c>
      <c r="AA564" s="1">
        <v>7</v>
      </c>
      <c r="AB564" s="1">
        <v>7</v>
      </c>
      <c r="AC564" s="1" t="s">
        <v>109</v>
      </c>
      <c r="AD564" s="1" t="s">
        <v>109</v>
      </c>
      <c r="AE564" s="1" t="s">
        <v>109</v>
      </c>
      <c r="AF564" s="1" t="s">
        <v>109</v>
      </c>
      <c r="AG564" s="1" t="s">
        <v>109</v>
      </c>
      <c r="AH564" s="1" t="s">
        <v>109</v>
      </c>
      <c r="AI564" s="1" t="s">
        <v>109</v>
      </c>
      <c r="AJ564" s="1">
        <v>7</v>
      </c>
      <c r="AK564" s="1" t="s">
        <v>109</v>
      </c>
      <c r="AL564" s="1" t="s">
        <v>109</v>
      </c>
      <c r="AM564" s="1" t="s">
        <v>109</v>
      </c>
      <c r="AN564" s="1" t="s">
        <v>109</v>
      </c>
      <c r="AO564" s="1" t="s">
        <v>109</v>
      </c>
      <c r="AP564" s="1"/>
      <c r="AQ564" s="1">
        <v>7</v>
      </c>
      <c r="AR564" s="1"/>
      <c r="AS564" s="1" t="s">
        <v>5038</v>
      </c>
      <c r="AT564" s="1">
        <v>0</v>
      </c>
      <c r="AU564" s="1">
        <v>0</v>
      </c>
      <c r="AV564" s="1">
        <v>0</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5" t="str">
        <f>HYPERLINK("http://www.d20pfsrd.com/magic/all-spells/t/teleport-object","Teleport Object")</f>
        <v>Teleport Object</v>
      </c>
      <c r="BT564" s="1">
        <v>565</v>
      </c>
      <c r="BU564" s="1" t="s">
        <v>109</v>
      </c>
      <c r="BV564" s="1"/>
      <c r="BW564" s="1"/>
      <c r="BX564" s="1"/>
      <c r="BY564" s="1"/>
      <c r="BZ564" s="1">
        <v>0</v>
      </c>
      <c r="CA564" s="1" t="s">
        <v>109</v>
      </c>
      <c r="CB564" s="1" t="s">
        <v>109</v>
      </c>
      <c r="CC564" s="1">
        <v>7</v>
      </c>
      <c r="CD564" s="1" t="s">
        <v>109</v>
      </c>
      <c r="CE564" s="1" t="s">
        <v>109</v>
      </c>
      <c r="CF564" s="1" t="s">
        <v>109</v>
      </c>
      <c r="CG564" s="1" t="s">
        <v>109</v>
      </c>
      <c r="CH564" s="1" t="s">
        <v>109</v>
      </c>
      <c r="CI564" s="1" t="s">
        <v>109</v>
      </c>
      <c r="CJ564" s="1" t="s">
        <v>109</v>
      </c>
      <c r="CK564" s="1"/>
      <c r="CL564" s="1">
        <v>0</v>
      </c>
      <c r="CM564" s="1">
        <v>0</v>
      </c>
      <c r="CN564" s="1">
        <v>0</v>
      </c>
    </row>
    <row r="565" spans="1:92" ht="14.25" customHeight="1" x14ac:dyDescent="0.15">
      <c r="A565" s="1" t="s">
        <v>5039</v>
      </c>
      <c r="B565" s="1" t="s">
        <v>95</v>
      </c>
      <c r="C565" s="1" t="s">
        <v>1522</v>
      </c>
      <c r="D565" s="1"/>
      <c r="E565" s="1" t="s">
        <v>1689</v>
      </c>
      <c r="F565" s="1" t="s">
        <v>395</v>
      </c>
      <c r="G565" s="1" t="s">
        <v>5040</v>
      </c>
      <c r="H565" s="1">
        <v>1</v>
      </c>
      <c r="I565" s="1" t="s">
        <v>925</v>
      </c>
      <c r="J565" s="1"/>
      <c r="K565" s="1" t="s">
        <v>5041</v>
      </c>
      <c r="L565" s="1"/>
      <c r="M565" s="1" t="s">
        <v>194</v>
      </c>
      <c r="N565" s="1">
        <v>1</v>
      </c>
      <c r="O565" s="1">
        <v>0</v>
      </c>
      <c r="P565" s="1" t="s">
        <v>103</v>
      </c>
      <c r="Q565" s="1" t="s">
        <v>268</v>
      </c>
      <c r="R565" s="1" t="s">
        <v>5042</v>
      </c>
      <c r="S565" s="1" t="s">
        <v>5043</v>
      </c>
      <c r="T565" s="1" t="s">
        <v>107</v>
      </c>
      <c r="U565" s="1" t="s">
        <v>5044</v>
      </c>
      <c r="V565" s="1">
        <v>1</v>
      </c>
      <c r="W565" s="1">
        <v>0</v>
      </c>
      <c r="X565" s="1">
        <v>1</v>
      </c>
      <c r="Y565" s="1">
        <v>0</v>
      </c>
      <c r="Z565" s="1">
        <v>0</v>
      </c>
      <c r="AA565" s="1">
        <v>9</v>
      </c>
      <c r="AB565" s="1">
        <v>9</v>
      </c>
      <c r="AC565" s="1" t="s">
        <v>109</v>
      </c>
      <c r="AD565" s="1" t="s">
        <v>109</v>
      </c>
      <c r="AE565" s="1" t="s">
        <v>109</v>
      </c>
      <c r="AF565" s="1" t="s">
        <v>109</v>
      </c>
      <c r="AG565" s="1" t="s">
        <v>109</v>
      </c>
      <c r="AH565" s="1" t="s">
        <v>109</v>
      </c>
      <c r="AI565" s="1">
        <v>6</v>
      </c>
      <c r="AJ565" s="1">
        <v>9</v>
      </c>
      <c r="AK565" s="1" t="s">
        <v>109</v>
      </c>
      <c r="AL565" s="1" t="s">
        <v>109</v>
      </c>
      <c r="AM565" s="1" t="s">
        <v>109</v>
      </c>
      <c r="AN565" s="1" t="s">
        <v>109</v>
      </c>
      <c r="AO565" s="1" t="s">
        <v>109</v>
      </c>
      <c r="AP565" s="1"/>
      <c r="AQ565" s="1">
        <v>9</v>
      </c>
      <c r="AR565" s="1" t="s">
        <v>5045</v>
      </c>
      <c r="AS565" s="1" t="s">
        <v>5046</v>
      </c>
      <c r="AT565" s="1">
        <v>0</v>
      </c>
      <c r="AU565" s="1">
        <v>0</v>
      </c>
      <c r="AV565" s="1">
        <v>0</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5" t="str">
        <f>HYPERLINK("http://www.d20pfsrd.com/magic/all-spells/t/teleportation-circle","Teleportation Circle")</f>
        <v>Teleportation Circle</v>
      </c>
      <c r="BT565" s="1">
        <v>566</v>
      </c>
      <c r="BU565" s="1">
        <v>1000</v>
      </c>
      <c r="BV565" s="1"/>
      <c r="BW565" s="1"/>
      <c r="BX565" s="1"/>
      <c r="BY565" s="1"/>
      <c r="BZ565" s="1">
        <v>0</v>
      </c>
      <c r="CA565" s="1" t="s">
        <v>109</v>
      </c>
      <c r="CB565" s="1" t="s">
        <v>109</v>
      </c>
      <c r="CC565" s="1">
        <v>9</v>
      </c>
      <c r="CD565" s="1" t="s">
        <v>109</v>
      </c>
      <c r="CE565" s="1" t="s">
        <v>109</v>
      </c>
      <c r="CF565" s="1" t="s">
        <v>109</v>
      </c>
      <c r="CG565" s="1" t="s">
        <v>109</v>
      </c>
      <c r="CH565" s="1" t="s">
        <v>109</v>
      </c>
      <c r="CI565" s="1" t="s">
        <v>109</v>
      </c>
      <c r="CJ565" s="1" t="s">
        <v>109</v>
      </c>
      <c r="CK565" s="1"/>
      <c r="CL565" s="1">
        <v>0</v>
      </c>
      <c r="CM565" s="1">
        <v>0</v>
      </c>
      <c r="CN565" s="1">
        <v>0</v>
      </c>
    </row>
    <row r="566" spans="1:92" ht="14.25" customHeight="1" x14ac:dyDescent="0.15">
      <c r="A566" s="1" t="s">
        <v>5047</v>
      </c>
      <c r="B566" s="1" t="s">
        <v>189</v>
      </c>
      <c r="C566" s="1"/>
      <c r="D566" s="1"/>
      <c r="E566" s="1" t="s">
        <v>904</v>
      </c>
      <c r="F566" s="1" t="s">
        <v>98</v>
      </c>
      <c r="G566" s="1" t="s">
        <v>5048</v>
      </c>
      <c r="H566" s="1">
        <v>1</v>
      </c>
      <c r="I566" s="1" t="s">
        <v>161</v>
      </c>
      <c r="J566" s="1"/>
      <c r="K566" s="1"/>
      <c r="L566" s="1" t="s">
        <v>506</v>
      </c>
      <c r="M566" s="1" t="s">
        <v>408</v>
      </c>
      <c r="N566" s="1">
        <v>0</v>
      </c>
      <c r="O566" s="1">
        <v>0</v>
      </c>
      <c r="P566" s="1" t="s">
        <v>267</v>
      </c>
      <c r="Q566" s="1" t="s">
        <v>268</v>
      </c>
      <c r="R566" s="1" t="s">
        <v>5049</v>
      </c>
      <c r="S566" s="1" t="s">
        <v>5050</v>
      </c>
      <c r="T566" s="1" t="s">
        <v>107</v>
      </c>
      <c r="U566" s="1" t="s">
        <v>5051</v>
      </c>
      <c r="V566" s="1">
        <v>1</v>
      </c>
      <c r="W566" s="1">
        <v>1</v>
      </c>
      <c r="X566" s="1">
        <v>1</v>
      </c>
      <c r="Y566" s="1">
        <v>0</v>
      </c>
      <c r="Z566" s="1">
        <v>0</v>
      </c>
      <c r="AA566" s="1">
        <v>8</v>
      </c>
      <c r="AB566" s="1">
        <v>8</v>
      </c>
      <c r="AC566" s="1" t="s">
        <v>109</v>
      </c>
      <c r="AD566" s="1" t="s">
        <v>109</v>
      </c>
      <c r="AE566" s="1" t="s">
        <v>109</v>
      </c>
      <c r="AF566" s="1" t="s">
        <v>109</v>
      </c>
      <c r="AG566" s="1" t="s">
        <v>109</v>
      </c>
      <c r="AH566" s="1" t="s">
        <v>109</v>
      </c>
      <c r="AI566" s="1" t="s">
        <v>109</v>
      </c>
      <c r="AJ566" s="1" t="s">
        <v>109</v>
      </c>
      <c r="AK566" s="1" t="s">
        <v>109</v>
      </c>
      <c r="AL566" s="1" t="s">
        <v>109</v>
      </c>
      <c r="AM566" s="1" t="s">
        <v>109</v>
      </c>
      <c r="AN566" s="1" t="s">
        <v>109</v>
      </c>
      <c r="AO566" s="1" t="s">
        <v>109</v>
      </c>
      <c r="AP566" s="1"/>
      <c r="AQ566" s="1">
        <v>8</v>
      </c>
      <c r="AR566" s="1"/>
      <c r="AS566" s="1" t="s">
        <v>5052</v>
      </c>
      <c r="AT566" s="1">
        <v>0</v>
      </c>
      <c r="AU566" s="1">
        <v>0</v>
      </c>
      <c r="AV566" s="1">
        <v>0</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5" t="str">
        <f>HYPERLINK("http://www.d20pfsrd.com/magic/all-spells/t/temporal-stasis","Temporal Stasis")</f>
        <v>Temporal Stasis</v>
      </c>
      <c r="BT566" s="1">
        <v>567</v>
      </c>
      <c r="BU566" s="1">
        <v>5000</v>
      </c>
      <c r="BV566" s="1"/>
      <c r="BW566" s="1" t="s">
        <v>5053</v>
      </c>
      <c r="BX566" s="1"/>
      <c r="BY566" s="1"/>
      <c r="BZ566" s="1">
        <v>0</v>
      </c>
      <c r="CA566" s="1" t="s">
        <v>109</v>
      </c>
      <c r="CB566" s="1" t="s">
        <v>109</v>
      </c>
      <c r="CC566" s="1">
        <v>8</v>
      </c>
      <c r="CD566" s="1" t="s">
        <v>109</v>
      </c>
      <c r="CE566" s="1" t="s">
        <v>109</v>
      </c>
      <c r="CF566" s="1" t="s">
        <v>109</v>
      </c>
      <c r="CG566" s="1" t="s">
        <v>109</v>
      </c>
      <c r="CH566" s="1" t="s">
        <v>109</v>
      </c>
      <c r="CI566" s="1" t="s">
        <v>109</v>
      </c>
      <c r="CJ566" s="1" t="s">
        <v>109</v>
      </c>
      <c r="CK566" s="1"/>
      <c r="CL566" s="1">
        <v>0</v>
      </c>
      <c r="CM566" s="1">
        <v>0</v>
      </c>
      <c r="CN566" s="1">
        <v>0</v>
      </c>
    </row>
    <row r="567" spans="1:92" ht="14.25" customHeight="1" x14ac:dyDescent="0.15">
      <c r="A567" s="1" t="s">
        <v>5054</v>
      </c>
      <c r="B567" s="1" t="s">
        <v>189</v>
      </c>
      <c r="C567" s="1"/>
      <c r="D567" s="1"/>
      <c r="E567" s="1" t="s">
        <v>1199</v>
      </c>
      <c r="F567" s="1" t="s">
        <v>98</v>
      </c>
      <c r="G567" s="1" t="s">
        <v>333</v>
      </c>
      <c r="H567" s="1">
        <v>0</v>
      </c>
      <c r="I567" s="1" t="s">
        <v>235</v>
      </c>
      <c r="J567" s="1"/>
      <c r="K567" s="1"/>
      <c r="L567" s="1" t="s">
        <v>236</v>
      </c>
      <c r="M567" s="1" t="s">
        <v>5055</v>
      </c>
      <c r="N567" s="1">
        <v>0</v>
      </c>
      <c r="O567" s="1">
        <v>0</v>
      </c>
      <c r="P567" s="1"/>
      <c r="Q567" s="1"/>
      <c r="R567" s="1" t="s">
        <v>5056</v>
      </c>
      <c r="S567" s="1" t="s">
        <v>5057</v>
      </c>
      <c r="T567" s="1" t="s">
        <v>107</v>
      </c>
      <c r="U567" s="1" t="s">
        <v>5058</v>
      </c>
      <c r="V567" s="1">
        <v>1</v>
      </c>
      <c r="W567" s="1">
        <v>0</v>
      </c>
      <c r="X567" s="1">
        <v>0</v>
      </c>
      <c r="Y567" s="1">
        <v>0</v>
      </c>
      <c r="Z567" s="1">
        <v>0</v>
      </c>
      <c r="AA567" s="1">
        <v>9</v>
      </c>
      <c r="AB567" s="1">
        <v>9</v>
      </c>
      <c r="AC567" s="1" t="s">
        <v>109</v>
      </c>
      <c r="AD567" s="1" t="s">
        <v>109</v>
      </c>
      <c r="AE567" s="1" t="s">
        <v>109</v>
      </c>
      <c r="AF567" s="1" t="s">
        <v>109</v>
      </c>
      <c r="AG567" s="1" t="s">
        <v>109</v>
      </c>
      <c r="AH567" s="1" t="s">
        <v>109</v>
      </c>
      <c r="AI567" s="1" t="s">
        <v>109</v>
      </c>
      <c r="AJ567" s="1" t="s">
        <v>109</v>
      </c>
      <c r="AK567" s="1" t="s">
        <v>109</v>
      </c>
      <c r="AL567" s="1" t="s">
        <v>109</v>
      </c>
      <c r="AM567" s="1" t="s">
        <v>109</v>
      </c>
      <c r="AN567" s="1" t="s">
        <v>109</v>
      </c>
      <c r="AO567" s="1" t="s">
        <v>109</v>
      </c>
      <c r="AP567" s="1"/>
      <c r="AQ567" s="1">
        <v>9</v>
      </c>
      <c r="AR567" s="1" t="s">
        <v>5059</v>
      </c>
      <c r="AS567" s="1" t="s">
        <v>5060</v>
      </c>
      <c r="AT567" s="1">
        <v>0</v>
      </c>
      <c r="AU567" s="1">
        <v>0</v>
      </c>
      <c r="AV567" s="1">
        <v>0</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5" t="str">
        <f>HYPERLINK("http://www.d20pfsrd.com/magic/all-spells/t/time-stop","Time Stop")</f>
        <v>Time Stop</v>
      </c>
      <c r="BT567" s="1">
        <v>568</v>
      </c>
      <c r="BU567" s="1" t="s">
        <v>109</v>
      </c>
      <c r="BV567" s="1"/>
      <c r="BW567" s="1" t="s">
        <v>5061</v>
      </c>
      <c r="BX567" s="1" t="s">
        <v>5062</v>
      </c>
      <c r="BY567" s="1" t="s">
        <v>5063</v>
      </c>
      <c r="BZ567" s="1">
        <v>1</v>
      </c>
      <c r="CA567" s="1" t="s">
        <v>109</v>
      </c>
      <c r="CB567" s="1" t="s">
        <v>109</v>
      </c>
      <c r="CC567" s="1">
        <v>9</v>
      </c>
      <c r="CD567" s="1" t="s">
        <v>109</v>
      </c>
      <c r="CE567" s="1" t="s">
        <v>109</v>
      </c>
      <c r="CF567" s="1" t="s">
        <v>109</v>
      </c>
      <c r="CG567" s="1" t="s">
        <v>109</v>
      </c>
      <c r="CH567" s="1" t="s">
        <v>109</v>
      </c>
      <c r="CI567" s="1" t="s">
        <v>109</v>
      </c>
      <c r="CJ567" s="1" t="s">
        <v>109</v>
      </c>
      <c r="CK567" s="1"/>
      <c r="CL567" s="1">
        <v>0</v>
      </c>
      <c r="CM567" s="1">
        <v>0</v>
      </c>
      <c r="CN567" s="1">
        <v>0</v>
      </c>
    </row>
    <row r="568" spans="1:92" ht="14.25" customHeight="1" x14ac:dyDescent="0.15">
      <c r="A568" s="1" t="s">
        <v>5064</v>
      </c>
      <c r="B568" s="1" t="s">
        <v>584</v>
      </c>
      <c r="C568" s="1"/>
      <c r="D568" s="1" t="s">
        <v>60</v>
      </c>
      <c r="E568" s="1" t="s">
        <v>5065</v>
      </c>
      <c r="F568" s="1" t="s">
        <v>98</v>
      </c>
      <c r="G568" s="1" t="s">
        <v>5066</v>
      </c>
      <c r="H568" s="1">
        <v>0</v>
      </c>
      <c r="I568" s="1" t="s">
        <v>915</v>
      </c>
      <c r="J568" s="1"/>
      <c r="K568" s="1" t="s">
        <v>5067</v>
      </c>
      <c r="L568" s="1"/>
      <c r="M568" s="1" t="s">
        <v>246</v>
      </c>
      <c r="N568" s="1">
        <v>1</v>
      </c>
      <c r="O568" s="1">
        <v>0</v>
      </c>
      <c r="P568" s="1" t="s">
        <v>103</v>
      </c>
      <c r="Q568" s="1" t="s">
        <v>104</v>
      </c>
      <c r="R568" s="1" t="s">
        <v>5068</v>
      </c>
      <c r="S568" s="1" t="s">
        <v>5069</v>
      </c>
      <c r="T568" s="1" t="s">
        <v>107</v>
      </c>
      <c r="U568" s="1" t="s">
        <v>5070</v>
      </c>
      <c r="V568" s="1">
        <v>1</v>
      </c>
      <c r="W568" s="1">
        <v>1</v>
      </c>
      <c r="X568" s="1">
        <v>1</v>
      </c>
      <c r="Y568" s="1">
        <v>0</v>
      </c>
      <c r="Z568" s="1">
        <v>0</v>
      </c>
      <c r="AA568" s="1">
        <v>3</v>
      </c>
      <c r="AB568" s="1">
        <v>3</v>
      </c>
      <c r="AC568" s="1" t="s">
        <v>109</v>
      </c>
      <c r="AD568" s="1" t="s">
        <v>109</v>
      </c>
      <c r="AE568" s="1" t="s">
        <v>109</v>
      </c>
      <c r="AF568" s="1">
        <v>3</v>
      </c>
      <c r="AG568" s="1" t="s">
        <v>109</v>
      </c>
      <c r="AH568" s="1" t="s">
        <v>109</v>
      </c>
      <c r="AI568" s="1" t="s">
        <v>109</v>
      </c>
      <c r="AJ568" s="1" t="s">
        <v>109</v>
      </c>
      <c r="AK568" s="1" t="s">
        <v>109</v>
      </c>
      <c r="AL568" s="1" t="s">
        <v>109</v>
      </c>
      <c r="AM568" s="1" t="s">
        <v>109</v>
      </c>
      <c r="AN568" s="1" t="s">
        <v>109</v>
      </c>
      <c r="AO568" s="1" t="s">
        <v>109</v>
      </c>
      <c r="AP568" s="1"/>
      <c r="AQ568" s="1">
        <v>3</v>
      </c>
      <c r="AR568" s="1"/>
      <c r="AS568" s="1" t="s">
        <v>5071</v>
      </c>
      <c r="AT568" s="1">
        <v>0</v>
      </c>
      <c r="AU568" s="1">
        <v>0</v>
      </c>
      <c r="AV568" s="1">
        <v>0</v>
      </c>
      <c r="AW568" s="1">
        <v>0</v>
      </c>
      <c r="AX568" s="1">
        <v>0</v>
      </c>
      <c r="AY568" s="1">
        <v>0</v>
      </c>
      <c r="AZ568" s="1">
        <v>0</v>
      </c>
      <c r="BA568" s="1">
        <v>0</v>
      </c>
      <c r="BB568" s="1">
        <v>0</v>
      </c>
      <c r="BC568" s="1">
        <v>0</v>
      </c>
      <c r="BD568" s="1">
        <v>0</v>
      </c>
      <c r="BE568" s="1">
        <v>0</v>
      </c>
      <c r="BF568" s="1">
        <v>0</v>
      </c>
      <c r="BG568" s="1">
        <v>0</v>
      </c>
      <c r="BH568" s="1">
        <v>1</v>
      </c>
      <c r="BI568" s="1">
        <v>0</v>
      </c>
      <c r="BJ568" s="1">
        <v>0</v>
      </c>
      <c r="BK568" s="1">
        <v>0</v>
      </c>
      <c r="BL568" s="1">
        <v>0</v>
      </c>
      <c r="BM568" s="1">
        <v>0</v>
      </c>
      <c r="BN568" s="1">
        <v>0</v>
      </c>
      <c r="BO568" s="1">
        <v>0</v>
      </c>
      <c r="BP568" s="1">
        <v>0</v>
      </c>
      <c r="BQ568" s="1">
        <v>0</v>
      </c>
      <c r="BR568" s="1">
        <v>0</v>
      </c>
      <c r="BS568" s="5" t="str">
        <f>HYPERLINK("http://www.d20pfsrd.com/magic/all-spells/t/tiny-hut","Tiny Hut")</f>
        <v>Tiny Hut</v>
      </c>
      <c r="BT568" s="1">
        <v>569</v>
      </c>
      <c r="BU568" s="1" t="s">
        <v>109</v>
      </c>
      <c r="BV568" s="1"/>
      <c r="BW568" s="1"/>
      <c r="BX568" s="1"/>
      <c r="BY568" s="1"/>
      <c r="BZ568" s="1">
        <v>0</v>
      </c>
      <c r="CA568" s="1" t="s">
        <v>109</v>
      </c>
      <c r="CB568" s="1" t="s">
        <v>109</v>
      </c>
      <c r="CC568" s="1" t="s">
        <v>109</v>
      </c>
      <c r="CD568" s="1" t="s">
        <v>109</v>
      </c>
      <c r="CE568" s="1" t="s">
        <v>109</v>
      </c>
      <c r="CF568" s="1">
        <v>3</v>
      </c>
      <c r="CG568" s="1" t="s">
        <v>109</v>
      </c>
      <c r="CH568" s="1" t="s">
        <v>109</v>
      </c>
      <c r="CI568" s="1" t="s">
        <v>109</v>
      </c>
      <c r="CJ568" s="1" t="s">
        <v>109</v>
      </c>
      <c r="CK568" s="1"/>
      <c r="CL568" s="1">
        <v>0</v>
      </c>
      <c r="CM568" s="1">
        <v>0</v>
      </c>
      <c r="CN568" s="1">
        <v>0</v>
      </c>
    </row>
    <row r="569" spans="1:92" ht="14.25" customHeight="1" x14ac:dyDescent="0.15">
      <c r="A569" s="1" t="s">
        <v>5072</v>
      </c>
      <c r="B569" s="1" t="s">
        <v>254</v>
      </c>
      <c r="C569" s="1"/>
      <c r="D569" s="1"/>
      <c r="E569" s="1" t="s">
        <v>5073</v>
      </c>
      <c r="F569" s="1" t="s">
        <v>98</v>
      </c>
      <c r="G569" s="1" t="s">
        <v>5074</v>
      </c>
      <c r="H569" s="1">
        <v>0</v>
      </c>
      <c r="I569" s="1" t="s">
        <v>161</v>
      </c>
      <c r="J569" s="1"/>
      <c r="K569" s="1"/>
      <c r="L569" s="1" t="s">
        <v>506</v>
      </c>
      <c r="M569" s="1" t="s">
        <v>194</v>
      </c>
      <c r="N569" s="1">
        <v>0</v>
      </c>
      <c r="O569" s="1">
        <v>0</v>
      </c>
      <c r="P569" s="1" t="s">
        <v>507</v>
      </c>
      <c r="Q569" s="1" t="s">
        <v>104</v>
      </c>
      <c r="R569" s="1" t="s">
        <v>5075</v>
      </c>
      <c r="S569" s="1" t="s">
        <v>5076</v>
      </c>
      <c r="T569" s="1" t="s">
        <v>107</v>
      </c>
      <c r="U569" s="1" t="s">
        <v>5077</v>
      </c>
      <c r="V569" s="1">
        <v>1</v>
      </c>
      <c r="W569" s="1">
        <v>0</v>
      </c>
      <c r="X569" s="1">
        <v>1</v>
      </c>
      <c r="Y569" s="1">
        <v>0</v>
      </c>
      <c r="Z569" s="1">
        <v>1</v>
      </c>
      <c r="AA569" s="1">
        <v>3</v>
      </c>
      <c r="AB569" s="1">
        <v>3</v>
      </c>
      <c r="AC569" s="1">
        <v>4</v>
      </c>
      <c r="AD569" s="1" t="s">
        <v>109</v>
      </c>
      <c r="AE569" s="1" t="s">
        <v>109</v>
      </c>
      <c r="AF569" s="1">
        <v>2</v>
      </c>
      <c r="AG569" s="1" t="s">
        <v>109</v>
      </c>
      <c r="AH569" s="1">
        <v>3</v>
      </c>
      <c r="AI569" s="1">
        <v>3</v>
      </c>
      <c r="AJ569" s="1">
        <v>3</v>
      </c>
      <c r="AK569" s="1">
        <v>2</v>
      </c>
      <c r="AL569" s="1">
        <v>4</v>
      </c>
      <c r="AM569" s="1" t="s">
        <v>109</v>
      </c>
      <c r="AN569" s="1" t="s">
        <v>109</v>
      </c>
      <c r="AO569" s="1">
        <v>3</v>
      </c>
      <c r="AP569" s="1"/>
      <c r="AQ569" s="1">
        <v>3</v>
      </c>
      <c r="AR569" s="1" t="s">
        <v>5078</v>
      </c>
      <c r="AS569" s="1" t="s">
        <v>5079</v>
      </c>
      <c r="AT569" s="1">
        <v>0</v>
      </c>
      <c r="AU569" s="1">
        <v>0</v>
      </c>
      <c r="AV569" s="1">
        <v>0</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5" t="str">
        <f>HYPERLINK("http://www.d20pfsrd.com/magic/all-spells/t/tongues","Tongues")</f>
        <v>Tongues</v>
      </c>
      <c r="BT569" s="1">
        <v>570</v>
      </c>
      <c r="BU569" s="1" t="s">
        <v>109</v>
      </c>
      <c r="BV569" s="1" t="s">
        <v>5080</v>
      </c>
      <c r="BW569" s="1"/>
      <c r="BX569" s="1"/>
      <c r="BY569" s="1"/>
      <c r="BZ569" s="1">
        <v>0</v>
      </c>
      <c r="CA569" s="1" t="s">
        <v>109</v>
      </c>
      <c r="CB569" s="1">
        <v>4</v>
      </c>
      <c r="CC569" s="1">
        <v>3</v>
      </c>
      <c r="CD569" s="1" t="s">
        <v>109</v>
      </c>
      <c r="CE569" s="1">
        <v>2</v>
      </c>
      <c r="CF569" s="1" t="s">
        <v>109</v>
      </c>
      <c r="CG569" s="1">
        <v>3</v>
      </c>
      <c r="CH569" s="1" t="s">
        <v>109</v>
      </c>
      <c r="CI569" s="1" t="s">
        <v>109</v>
      </c>
      <c r="CJ569" s="1" t="s">
        <v>109</v>
      </c>
      <c r="CK569" s="1"/>
      <c r="CL569" s="1">
        <v>0</v>
      </c>
      <c r="CM569" s="1">
        <v>0</v>
      </c>
      <c r="CN569" s="1">
        <v>0</v>
      </c>
    </row>
    <row r="570" spans="1:92" ht="14.25" customHeight="1" x14ac:dyDescent="0.15">
      <c r="A570" s="1" t="s">
        <v>5081</v>
      </c>
      <c r="B570" s="1" t="s">
        <v>308</v>
      </c>
      <c r="C570" s="1"/>
      <c r="D570" s="1"/>
      <c r="E570" s="1" t="s">
        <v>5082</v>
      </c>
      <c r="F570" s="1" t="s">
        <v>98</v>
      </c>
      <c r="G570" s="1" t="s">
        <v>3926</v>
      </c>
      <c r="H570" s="1">
        <v>0</v>
      </c>
      <c r="I570" s="1" t="s">
        <v>161</v>
      </c>
      <c r="J570" s="1"/>
      <c r="K570" s="1"/>
      <c r="L570" s="1" t="s">
        <v>506</v>
      </c>
      <c r="M570" s="1" t="s">
        <v>125</v>
      </c>
      <c r="N570" s="1">
        <v>0</v>
      </c>
      <c r="O570" s="1">
        <v>0</v>
      </c>
      <c r="P570" s="1" t="s">
        <v>267</v>
      </c>
      <c r="Q570" s="1" t="s">
        <v>268</v>
      </c>
      <c r="R570" s="1" t="s">
        <v>5083</v>
      </c>
      <c r="S570" s="1" t="s">
        <v>5084</v>
      </c>
      <c r="T570" s="1" t="s">
        <v>107</v>
      </c>
      <c r="U570" s="1" t="s">
        <v>5085</v>
      </c>
      <c r="V570" s="1">
        <v>1</v>
      </c>
      <c r="W570" s="1">
        <v>1</v>
      </c>
      <c r="X570" s="1">
        <v>1</v>
      </c>
      <c r="Y570" s="1">
        <v>0</v>
      </c>
      <c r="Z570" s="1">
        <v>0</v>
      </c>
      <c r="AA570" s="1">
        <v>0</v>
      </c>
      <c r="AB570" s="1">
        <v>0</v>
      </c>
      <c r="AC570" s="1" t="s">
        <v>109</v>
      </c>
      <c r="AD570" s="1" t="s">
        <v>109</v>
      </c>
      <c r="AE570" s="1" t="s">
        <v>109</v>
      </c>
      <c r="AF570" s="1" t="s">
        <v>109</v>
      </c>
      <c r="AG570" s="1" t="s">
        <v>109</v>
      </c>
      <c r="AH570" s="1" t="s">
        <v>109</v>
      </c>
      <c r="AI570" s="1" t="s">
        <v>109</v>
      </c>
      <c r="AJ570" s="1">
        <v>0</v>
      </c>
      <c r="AK570" s="1" t="s">
        <v>109</v>
      </c>
      <c r="AL570" s="1" t="s">
        <v>109</v>
      </c>
      <c r="AM570" s="1" t="s">
        <v>109</v>
      </c>
      <c r="AN570" s="1" t="s">
        <v>109</v>
      </c>
      <c r="AO570" s="1">
        <v>0</v>
      </c>
      <c r="AP570" s="1"/>
      <c r="AQ570" s="1">
        <v>0</v>
      </c>
      <c r="AR570" s="1"/>
      <c r="AS570" s="1" t="s">
        <v>5086</v>
      </c>
      <c r="AT570" s="1">
        <v>0</v>
      </c>
      <c r="AU570" s="1">
        <v>0</v>
      </c>
      <c r="AV570" s="1">
        <v>0</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5" t="str">
        <f>HYPERLINK("http://www.d20pfsrd.com/magic/all-spells/t/touch-of-fatigue","Touch of Fatigue")</f>
        <v>Touch of Fatigue</v>
      </c>
      <c r="BT570" s="1">
        <v>571</v>
      </c>
      <c r="BU570" s="1" t="s">
        <v>109</v>
      </c>
      <c r="BV570" s="1"/>
      <c r="BW570" s="1"/>
      <c r="BX570" s="1"/>
      <c r="BY570" s="1"/>
      <c r="BZ570" s="1">
        <v>0</v>
      </c>
      <c r="CA570" s="1" t="s">
        <v>109</v>
      </c>
      <c r="CB570" s="1">
        <v>0</v>
      </c>
      <c r="CC570" s="1" t="s">
        <v>109</v>
      </c>
      <c r="CD570" s="1" t="s">
        <v>109</v>
      </c>
      <c r="CE570" s="1">
        <v>0</v>
      </c>
      <c r="CF570" s="1">
        <v>0</v>
      </c>
      <c r="CG570" s="1" t="s">
        <v>109</v>
      </c>
      <c r="CH570" s="1" t="s">
        <v>109</v>
      </c>
      <c r="CI570" s="1" t="s">
        <v>109</v>
      </c>
      <c r="CJ570" s="1" t="s">
        <v>109</v>
      </c>
      <c r="CK570" s="1"/>
      <c r="CL570" s="1">
        <v>0</v>
      </c>
      <c r="CM570" s="1">
        <v>0</v>
      </c>
      <c r="CN570" s="1">
        <v>0</v>
      </c>
    </row>
    <row r="571" spans="1:92" ht="14.25" customHeight="1" x14ac:dyDescent="0.15">
      <c r="A571" s="1" t="s">
        <v>5087</v>
      </c>
      <c r="B571" s="1" t="s">
        <v>156</v>
      </c>
      <c r="C571" s="1" t="s">
        <v>157</v>
      </c>
      <c r="D571" s="1" t="s">
        <v>158</v>
      </c>
      <c r="E571" s="1" t="s">
        <v>5088</v>
      </c>
      <c r="F571" s="1" t="s">
        <v>98</v>
      </c>
      <c r="G571" s="1" t="s">
        <v>141</v>
      </c>
      <c r="H571" s="1">
        <v>0</v>
      </c>
      <c r="I571" s="1" t="s">
        <v>161</v>
      </c>
      <c r="J571" s="1"/>
      <c r="K571" s="1"/>
      <c r="L571" s="1" t="s">
        <v>162</v>
      </c>
      <c r="M571" s="1" t="s">
        <v>194</v>
      </c>
      <c r="N571" s="1">
        <v>0</v>
      </c>
      <c r="O571" s="1">
        <v>0</v>
      </c>
      <c r="P571" s="1" t="s">
        <v>103</v>
      </c>
      <c r="Q571" s="1" t="s">
        <v>268</v>
      </c>
      <c r="R571" s="1" t="s">
        <v>5089</v>
      </c>
      <c r="S571" s="1" t="s">
        <v>5090</v>
      </c>
      <c r="T571" s="1" t="s">
        <v>107</v>
      </c>
      <c r="U571" s="1" t="s">
        <v>5091</v>
      </c>
      <c r="V571" s="1">
        <v>1</v>
      </c>
      <c r="W571" s="1">
        <v>1</v>
      </c>
      <c r="X571" s="1">
        <v>0</v>
      </c>
      <c r="Y571" s="1">
        <v>0</v>
      </c>
      <c r="Z571" s="1">
        <v>0</v>
      </c>
      <c r="AA571" s="1">
        <v>2</v>
      </c>
      <c r="AB571" s="1">
        <v>2</v>
      </c>
      <c r="AC571" s="1" t="s">
        <v>109</v>
      </c>
      <c r="AD571" s="1" t="s">
        <v>109</v>
      </c>
      <c r="AE571" s="1" t="s">
        <v>109</v>
      </c>
      <c r="AF571" s="1" t="s">
        <v>109</v>
      </c>
      <c r="AG571" s="1" t="s">
        <v>109</v>
      </c>
      <c r="AH571" s="1" t="s">
        <v>109</v>
      </c>
      <c r="AI571" s="1" t="s">
        <v>109</v>
      </c>
      <c r="AJ571" s="1">
        <v>2</v>
      </c>
      <c r="AK571" s="1" t="s">
        <v>109</v>
      </c>
      <c r="AL571" s="1" t="s">
        <v>109</v>
      </c>
      <c r="AM571" s="1" t="s">
        <v>109</v>
      </c>
      <c r="AN571" s="1" t="s">
        <v>109</v>
      </c>
      <c r="AO571" s="1" t="s">
        <v>109</v>
      </c>
      <c r="AP571" s="1"/>
      <c r="AQ571" s="1">
        <v>2</v>
      </c>
      <c r="AR571" s="1" t="s">
        <v>5092</v>
      </c>
      <c r="AS571" s="1" t="s">
        <v>5093</v>
      </c>
      <c r="AT571" s="1">
        <v>0</v>
      </c>
      <c r="AU571" s="1">
        <v>0</v>
      </c>
      <c r="AV571" s="1">
        <v>0</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1</v>
      </c>
      <c r="BN571" s="1">
        <v>0</v>
      </c>
      <c r="BO571" s="1">
        <v>0</v>
      </c>
      <c r="BP571" s="1">
        <v>0</v>
      </c>
      <c r="BQ571" s="1">
        <v>0</v>
      </c>
      <c r="BR571" s="1">
        <v>0</v>
      </c>
      <c r="BS571" s="5" t="str">
        <f>HYPERLINK("http://www.d20pfsrd.com/magic/all-spells/t/touch-of-idiocy","Touch of Idiocy")</f>
        <v>Touch of Idiocy</v>
      </c>
      <c r="BT571" s="1">
        <v>572</v>
      </c>
      <c r="BU571" s="1" t="s">
        <v>109</v>
      </c>
      <c r="BV571" s="1" t="s">
        <v>5094</v>
      </c>
      <c r="BW571" s="1"/>
      <c r="BX571" s="1"/>
      <c r="BY571" s="1"/>
      <c r="BZ571" s="1">
        <v>0</v>
      </c>
      <c r="CA571" s="1">
        <v>2</v>
      </c>
      <c r="CB571" s="1" t="s">
        <v>109</v>
      </c>
      <c r="CC571" s="1">
        <v>2</v>
      </c>
      <c r="CD571" s="1" t="s">
        <v>109</v>
      </c>
      <c r="CE571" s="1">
        <v>2</v>
      </c>
      <c r="CF571" s="1" t="s">
        <v>109</v>
      </c>
      <c r="CG571" s="1">
        <v>2</v>
      </c>
      <c r="CH571" s="1" t="s">
        <v>109</v>
      </c>
      <c r="CI571" s="1" t="s">
        <v>109</v>
      </c>
      <c r="CJ571" s="1" t="s">
        <v>109</v>
      </c>
      <c r="CK571" s="1"/>
      <c r="CL571" s="1">
        <v>0</v>
      </c>
      <c r="CM571" s="1">
        <v>0</v>
      </c>
      <c r="CN571" s="1">
        <v>0</v>
      </c>
    </row>
    <row r="572" spans="1:92" ht="14.25" customHeight="1" x14ac:dyDescent="0.15">
      <c r="A572" s="1" t="s">
        <v>5095</v>
      </c>
      <c r="B572" s="1" t="s">
        <v>189</v>
      </c>
      <c r="C572" s="1"/>
      <c r="D572" s="1"/>
      <c r="E572" s="1" t="s">
        <v>5096</v>
      </c>
      <c r="F572" s="1" t="s">
        <v>98</v>
      </c>
      <c r="G572" s="1" t="s">
        <v>5097</v>
      </c>
      <c r="H572" s="1">
        <v>0</v>
      </c>
      <c r="I572" s="1" t="s">
        <v>235</v>
      </c>
      <c r="J572" s="1"/>
      <c r="K572" s="1"/>
      <c r="L572" s="1" t="s">
        <v>236</v>
      </c>
      <c r="M572" s="1" t="s">
        <v>125</v>
      </c>
      <c r="N572" s="1">
        <v>0</v>
      </c>
      <c r="O572" s="1">
        <v>0</v>
      </c>
      <c r="P572" s="1"/>
      <c r="Q572" s="1"/>
      <c r="R572" s="1" t="s">
        <v>5098</v>
      </c>
      <c r="S572" s="1" t="s">
        <v>5099</v>
      </c>
      <c r="T572" s="1" t="s">
        <v>107</v>
      </c>
      <c r="U572" s="1" t="s">
        <v>5100</v>
      </c>
      <c r="V572" s="1">
        <v>1</v>
      </c>
      <c r="W572" s="1">
        <v>1</v>
      </c>
      <c r="X572" s="1">
        <v>1</v>
      </c>
      <c r="Y572" s="1">
        <v>0</v>
      </c>
      <c r="Z572" s="1">
        <v>0</v>
      </c>
      <c r="AA572" s="1">
        <v>6</v>
      </c>
      <c r="AB572" s="1">
        <v>6</v>
      </c>
      <c r="AC572" s="1" t="s">
        <v>109</v>
      </c>
      <c r="AD572" s="1" t="s">
        <v>109</v>
      </c>
      <c r="AE572" s="1" t="s">
        <v>109</v>
      </c>
      <c r="AF572" s="1" t="s">
        <v>109</v>
      </c>
      <c r="AG572" s="1" t="s">
        <v>109</v>
      </c>
      <c r="AH572" s="1">
        <v>6</v>
      </c>
      <c r="AI572" s="1" t="s">
        <v>109</v>
      </c>
      <c r="AJ572" s="1">
        <v>6</v>
      </c>
      <c r="AK572" s="1" t="s">
        <v>109</v>
      </c>
      <c r="AL572" s="1" t="s">
        <v>109</v>
      </c>
      <c r="AM572" s="1" t="s">
        <v>109</v>
      </c>
      <c r="AN572" s="1">
        <v>6</v>
      </c>
      <c r="AO572" s="1" t="s">
        <v>109</v>
      </c>
      <c r="AP572" s="1"/>
      <c r="AQ572" s="1">
        <v>6</v>
      </c>
      <c r="AR572" s="1"/>
      <c r="AS572" s="1" t="s">
        <v>5101</v>
      </c>
      <c r="AT572" s="1">
        <v>0</v>
      </c>
      <c r="AU572" s="1">
        <v>0</v>
      </c>
      <c r="AV572" s="1">
        <v>0</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5" t="str">
        <f>HYPERLINK("http://www.d20pfsrd.com/magic/all-spells/t/transformation","Transformation")</f>
        <v>Transformation</v>
      </c>
      <c r="BT572" s="1">
        <v>573</v>
      </c>
      <c r="BU572" s="1" t="s">
        <v>109</v>
      </c>
      <c r="BV572" s="1" t="s">
        <v>5102</v>
      </c>
      <c r="BW572" s="1"/>
      <c r="BX572" s="1" t="s">
        <v>5103</v>
      </c>
      <c r="BY572" s="1"/>
      <c r="BZ572" s="1">
        <v>1</v>
      </c>
      <c r="CA572" s="1" t="s">
        <v>109</v>
      </c>
      <c r="CB572" s="1" t="s">
        <v>109</v>
      </c>
      <c r="CC572" s="1">
        <v>6</v>
      </c>
      <c r="CD572" s="1" t="s">
        <v>109</v>
      </c>
      <c r="CE572" s="1" t="s">
        <v>109</v>
      </c>
      <c r="CF572" s="1">
        <v>6</v>
      </c>
      <c r="CG572" s="1">
        <v>6</v>
      </c>
      <c r="CH572" s="1" t="s">
        <v>109</v>
      </c>
      <c r="CI572" s="1" t="s">
        <v>109</v>
      </c>
      <c r="CJ572" s="1" t="s">
        <v>109</v>
      </c>
      <c r="CK572" s="1"/>
      <c r="CL572" s="1">
        <v>0</v>
      </c>
      <c r="CM572" s="1">
        <v>0</v>
      </c>
      <c r="CN572" s="1">
        <v>0</v>
      </c>
    </row>
    <row r="573" spans="1:92" ht="14.25" customHeight="1" x14ac:dyDescent="0.15">
      <c r="A573" s="1" t="s">
        <v>5104</v>
      </c>
      <c r="B573" s="1" t="s">
        <v>189</v>
      </c>
      <c r="C573" s="1"/>
      <c r="D573" s="1"/>
      <c r="E573" s="1" t="s">
        <v>812</v>
      </c>
      <c r="F573" s="1" t="s">
        <v>98</v>
      </c>
      <c r="G573" s="1" t="s">
        <v>160</v>
      </c>
      <c r="H573" s="1">
        <v>0</v>
      </c>
      <c r="I573" s="1" t="s">
        <v>100</v>
      </c>
      <c r="J573" s="1" t="s">
        <v>5105</v>
      </c>
      <c r="K573" s="1"/>
      <c r="L573" s="1"/>
      <c r="M573" s="1" t="s">
        <v>144</v>
      </c>
      <c r="N573" s="1">
        <v>0</v>
      </c>
      <c r="O573" s="1">
        <v>0</v>
      </c>
      <c r="P573" s="1" t="s">
        <v>103</v>
      </c>
      <c r="Q573" s="1" t="s">
        <v>5106</v>
      </c>
      <c r="R573" s="1" t="s">
        <v>5107</v>
      </c>
      <c r="S573" s="1" t="s">
        <v>5108</v>
      </c>
      <c r="T573" s="1" t="s">
        <v>107</v>
      </c>
      <c r="U573" s="1" t="s">
        <v>5109</v>
      </c>
      <c r="V573" s="1">
        <v>1</v>
      </c>
      <c r="W573" s="1">
        <v>1</v>
      </c>
      <c r="X573" s="1">
        <v>0</v>
      </c>
      <c r="Y573" s="1">
        <v>0</v>
      </c>
      <c r="Z573" s="1">
        <v>1</v>
      </c>
      <c r="AA573" s="1" t="s">
        <v>109</v>
      </c>
      <c r="AB573" s="1" t="s">
        <v>109</v>
      </c>
      <c r="AC573" s="1" t="s">
        <v>109</v>
      </c>
      <c r="AD573" s="1">
        <v>7</v>
      </c>
      <c r="AE573" s="1" t="s">
        <v>109</v>
      </c>
      <c r="AF573" s="1" t="s">
        <v>109</v>
      </c>
      <c r="AG573" s="1" t="s">
        <v>109</v>
      </c>
      <c r="AH573" s="1" t="s">
        <v>109</v>
      </c>
      <c r="AI573" s="1" t="s">
        <v>109</v>
      </c>
      <c r="AJ573" s="1" t="s">
        <v>109</v>
      </c>
      <c r="AK573" s="1" t="s">
        <v>109</v>
      </c>
      <c r="AL573" s="1" t="s">
        <v>109</v>
      </c>
      <c r="AM573" s="1" t="s">
        <v>109</v>
      </c>
      <c r="AN573" s="1" t="s">
        <v>109</v>
      </c>
      <c r="AO573" s="1" t="s">
        <v>109</v>
      </c>
      <c r="AP573" s="1"/>
      <c r="AQ573" s="1">
        <v>7</v>
      </c>
      <c r="AR573" s="1"/>
      <c r="AS573" s="1" t="s">
        <v>5110</v>
      </c>
      <c r="AT573" s="1">
        <v>0</v>
      </c>
      <c r="AU573" s="1">
        <v>0</v>
      </c>
      <c r="AV573" s="1">
        <v>0</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5" t="str">
        <f>HYPERLINK("http://www.d20pfsrd.com/magic/all-spells/t/transmute-metal-to-wood","Transmute Metal to Wood")</f>
        <v>Transmute Metal to Wood</v>
      </c>
      <c r="BT573" s="1">
        <v>574</v>
      </c>
      <c r="BU573" s="1" t="s">
        <v>109</v>
      </c>
      <c r="BV573" s="1"/>
      <c r="BW573" s="1"/>
      <c r="BX573" s="1"/>
      <c r="BY573" s="1"/>
      <c r="BZ573" s="1">
        <v>0</v>
      </c>
      <c r="CA573" s="1" t="s">
        <v>109</v>
      </c>
      <c r="CB573" s="1" t="s">
        <v>109</v>
      </c>
      <c r="CC573" s="1" t="s">
        <v>109</v>
      </c>
      <c r="CD573" s="1" t="s">
        <v>109</v>
      </c>
      <c r="CE573" s="1" t="s">
        <v>109</v>
      </c>
      <c r="CF573" s="1" t="s">
        <v>109</v>
      </c>
      <c r="CG573" s="1" t="s">
        <v>109</v>
      </c>
      <c r="CH573" s="1" t="s">
        <v>109</v>
      </c>
      <c r="CI573" s="1" t="s">
        <v>109</v>
      </c>
      <c r="CJ573" s="1" t="s">
        <v>109</v>
      </c>
      <c r="CK573" s="1"/>
      <c r="CL573" s="1">
        <v>0</v>
      </c>
      <c r="CM573" s="1">
        <v>0</v>
      </c>
      <c r="CN573" s="1">
        <v>0</v>
      </c>
    </row>
    <row r="574" spans="1:92" ht="14.25" customHeight="1" x14ac:dyDescent="0.15">
      <c r="A574" s="1" t="s">
        <v>5111</v>
      </c>
      <c r="B574" s="1" t="s">
        <v>189</v>
      </c>
      <c r="C574" s="1"/>
      <c r="D574" s="1" t="s">
        <v>54</v>
      </c>
      <c r="E574" s="1" t="s">
        <v>5112</v>
      </c>
      <c r="F574" s="1" t="s">
        <v>98</v>
      </c>
      <c r="G574" s="1" t="s">
        <v>5113</v>
      </c>
      <c r="H574" s="1">
        <v>0</v>
      </c>
      <c r="I574" s="1" t="s">
        <v>122</v>
      </c>
      <c r="J574" s="1" t="s">
        <v>5114</v>
      </c>
      <c r="K574" s="1"/>
      <c r="L574" s="1"/>
      <c r="M574" s="1" t="s">
        <v>408</v>
      </c>
      <c r="N574" s="1">
        <v>0</v>
      </c>
      <c r="O574" s="1">
        <v>1</v>
      </c>
      <c r="P574" s="1" t="s">
        <v>211</v>
      </c>
      <c r="Q574" s="1" t="s">
        <v>104</v>
      </c>
      <c r="R574" s="1" t="s">
        <v>5115</v>
      </c>
      <c r="S574" s="1" t="s">
        <v>5116</v>
      </c>
      <c r="T574" s="1" t="s">
        <v>107</v>
      </c>
      <c r="U574" s="1" t="s">
        <v>5117</v>
      </c>
      <c r="V574" s="1">
        <v>1</v>
      </c>
      <c r="W574" s="1">
        <v>1</v>
      </c>
      <c r="X574" s="1">
        <v>1</v>
      </c>
      <c r="Y574" s="1">
        <v>0</v>
      </c>
      <c r="Z574" s="1">
        <v>1</v>
      </c>
      <c r="AA574" s="1">
        <v>5</v>
      </c>
      <c r="AB574" s="1">
        <v>5</v>
      </c>
      <c r="AC574" s="1" t="s">
        <v>109</v>
      </c>
      <c r="AD574" s="1">
        <v>5</v>
      </c>
      <c r="AE574" s="1" t="s">
        <v>109</v>
      </c>
      <c r="AF574" s="1" t="s">
        <v>109</v>
      </c>
      <c r="AG574" s="1" t="s">
        <v>109</v>
      </c>
      <c r="AH574" s="1" t="s">
        <v>109</v>
      </c>
      <c r="AI574" s="1" t="s">
        <v>109</v>
      </c>
      <c r="AJ574" s="1" t="s">
        <v>109</v>
      </c>
      <c r="AK574" s="1" t="s">
        <v>109</v>
      </c>
      <c r="AL574" s="1" t="s">
        <v>109</v>
      </c>
      <c r="AM574" s="1" t="s">
        <v>109</v>
      </c>
      <c r="AN574" s="1" t="s">
        <v>109</v>
      </c>
      <c r="AO574" s="1" t="s">
        <v>109</v>
      </c>
      <c r="AP574" s="1"/>
      <c r="AQ574" s="1">
        <v>5</v>
      </c>
      <c r="AR574" s="1"/>
      <c r="AS574" s="1" t="s">
        <v>5118</v>
      </c>
      <c r="AT574" s="1">
        <v>0</v>
      </c>
      <c r="AU574" s="1">
        <v>0</v>
      </c>
      <c r="AV574" s="1">
        <v>0</v>
      </c>
      <c r="AW574" s="1">
        <v>0</v>
      </c>
      <c r="AX574" s="1">
        <v>0</v>
      </c>
      <c r="AY574" s="1">
        <v>0</v>
      </c>
      <c r="AZ574" s="1">
        <v>0</v>
      </c>
      <c r="BA574" s="1">
        <v>0</v>
      </c>
      <c r="BB574" s="1">
        <v>1</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5" t="str">
        <f>HYPERLINK("http://www.d20pfsrd.com/magic/all-spells/t/transmute-mud-to-rock","Transmute Mud to Rock")</f>
        <v>Transmute Mud to Rock</v>
      </c>
      <c r="BT574" s="1">
        <v>575</v>
      </c>
      <c r="BU574" s="1" t="s">
        <v>109</v>
      </c>
      <c r="BV574" s="1"/>
      <c r="BW574" s="1"/>
      <c r="BX574" s="1"/>
      <c r="BY574" s="1"/>
      <c r="BZ574" s="1">
        <v>0</v>
      </c>
      <c r="CA574" s="1" t="s">
        <v>109</v>
      </c>
      <c r="CB574" s="1" t="s">
        <v>109</v>
      </c>
      <c r="CC574" s="1" t="s">
        <v>109</v>
      </c>
      <c r="CD574" s="1" t="s">
        <v>109</v>
      </c>
      <c r="CE574" s="1" t="s">
        <v>109</v>
      </c>
      <c r="CF574" s="1">
        <v>5</v>
      </c>
      <c r="CG574" s="1" t="s">
        <v>109</v>
      </c>
      <c r="CH574" s="1" t="s">
        <v>109</v>
      </c>
      <c r="CI574" s="1" t="s">
        <v>109</v>
      </c>
      <c r="CJ574" s="1">
        <v>5</v>
      </c>
      <c r="CK574" s="1"/>
      <c r="CL574" s="1">
        <v>0</v>
      </c>
      <c r="CM574" s="1">
        <v>0</v>
      </c>
      <c r="CN574" s="1">
        <v>0</v>
      </c>
    </row>
    <row r="575" spans="1:92" ht="14.25" customHeight="1" x14ac:dyDescent="0.15">
      <c r="A575" s="1" t="s">
        <v>5119</v>
      </c>
      <c r="B575" s="1" t="s">
        <v>189</v>
      </c>
      <c r="C575" s="1"/>
      <c r="D575" s="1" t="s">
        <v>54</v>
      </c>
      <c r="E575" s="1" t="s">
        <v>5112</v>
      </c>
      <c r="F575" s="1" t="s">
        <v>98</v>
      </c>
      <c r="G575" s="1" t="s">
        <v>5120</v>
      </c>
      <c r="H575" s="1">
        <v>0</v>
      </c>
      <c r="I575" s="1" t="s">
        <v>122</v>
      </c>
      <c r="J575" s="1" t="s">
        <v>5114</v>
      </c>
      <c r="K575" s="1"/>
      <c r="L575" s="1"/>
      <c r="M575" s="1" t="s">
        <v>3246</v>
      </c>
      <c r="N575" s="1">
        <v>0</v>
      </c>
      <c r="O575" s="1">
        <v>1</v>
      </c>
      <c r="P575" s="1" t="s">
        <v>211</v>
      </c>
      <c r="Q575" s="1" t="s">
        <v>104</v>
      </c>
      <c r="R575" s="1" t="s">
        <v>5121</v>
      </c>
      <c r="S575" s="1" t="s">
        <v>5122</v>
      </c>
      <c r="T575" s="1" t="s">
        <v>107</v>
      </c>
      <c r="U575" s="1" t="s">
        <v>5123</v>
      </c>
      <c r="V575" s="1">
        <v>1</v>
      </c>
      <c r="W575" s="1">
        <v>1</v>
      </c>
      <c r="X575" s="1">
        <v>1</v>
      </c>
      <c r="Y575" s="1">
        <v>0</v>
      </c>
      <c r="Z575" s="1">
        <v>1</v>
      </c>
      <c r="AA575" s="1">
        <v>5</v>
      </c>
      <c r="AB575" s="1">
        <v>5</v>
      </c>
      <c r="AC575" s="1" t="s">
        <v>109</v>
      </c>
      <c r="AD575" s="1">
        <v>5</v>
      </c>
      <c r="AE575" s="1" t="s">
        <v>109</v>
      </c>
      <c r="AF575" s="1" t="s">
        <v>109</v>
      </c>
      <c r="AG575" s="1" t="s">
        <v>109</v>
      </c>
      <c r="AH575" s="1" t="s">
        <v>109</v>
      </c>
      <c r="AI575" s="1" t="s">
        <v>109</v>
      </c>
      <c r="AJ575" s="1" t="s">
        <v>109</v>
      </c>
      <c r="AK575" s="1" t="s">
        <v>109</v>
      </c>
      <c r="AL575" s="1" t="s">
        <v>109</v>
      </c>
      <c r="AM575" s="1" t="s">
        <v>109</v>
      </c>
      <c r="AN575" s="1" t="s">
        <v>109</v>
      </c>
      <c r="AO575" s="1" t="s">
        <v>109</v>
      </c>
      <c r="AP575" s="1"/>
      <c r="AQ575" s="1">
        <v>5</v>
      </c>
      <c r="AR575" s="1"/>
      <c r="AS575" s="1" t="s">
        <v>5118</v>
      </c>
      <c r="AT575" s="1">
        <v>0</v>
      </c>
      <c r="AU575" s="1">
        <v>0</v>
      </c>
      <c r="AV575" s="1">
        <v>0</v>
      </c>
      <c r="AW575" s="1">
        <v>0</v>
      </c>
      <c r="AX575" s="1">
        <v>0</v>
      </c>
      <c r="AY575" s="1">
        <v>0</v>
      </c>
      <c r="AZ575" s="1">
        <v>0</v>
      </c>
      <c r="BA575" s="1">
        <v>0</v>
      </c>
      <c r="BB575" s="1">
        <v>1</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5" t="str">
        <f>HYPERLINK("http://www.d20pfsrd.com/magic/all-spells/t/transmute-rock-to-mud","Transmute Rock to Mud")</f>
        <v>Transmute Rock to Mud</v>
      </c>
      <c r="BT575" s="1">
        <v>576</v>
      </c>
      <c r="BU575" s="1" t="s">
        <v>109</v>
      </c>
      <c r="BV575" s="1" t="s">
        <v>5124</v>
      </c>
      <c r="BW575" s="1"/>
      <c r="BX575" s="1"/>
      <c r="BY575" s="1"/>
      <c r="BZ575" s="1">
        <v>0</v>
      </c>
      <c r="CA575" s="1" t="s">
        <v>109</v>
      </c>
      <c r="CB575" s="1" t="s">
        <v>109</v>
      </c>
      <c r="CC575" s="1" t="s">
        <v>109</v>
      </c>
      <c r="CD575" s="1" t="s">
        <v>109</v>
      </c>
      <c r="CE575" s="1" t="s">
        <v>109</v>
      </c>
      <c r="CF575" s="1">
        <v>5</v>
      </c>
      <c r="CG575" s="1" t="s">
        <v>109</v>
      </c>
      <c r="CH575" s="1" t="s">
        <v>109</v>
      </c>
      <c r="CI575" s="1" t="s">
        <v>109</v>
      </c>
      <c r="CJ575" s="1">
        <v>5</v>
      </c>
      <c r="CK575" s="1"/>
      <c r="CL575" s="1">
        <v>0</v>
      </c>
      <c r="CM575" s="1">
        <v>0</v>
      </c>
      <c r="CN575" s="1">
        <v>0</v>
      </c>
    </row>
    <row r="576" spans="1:92" ht="14.25" customHeight="1" x14ac:dyDescent="0.15">
      <c r="A576" s="1" t="s">
        <v>5125</v>
      </c>
      <c r="B576" s="1" t="s">
        <v>95</v>
      </c>
      <c r="C576" s="1" t="s">
        <v>1522</v>
      </c>
      <c r="D576" s="1"/>
      <c r="E576" s="1" t="s">
        <v>2984</v>
      </c>
      <c r="F576" s="1" t="s">
        <v>98</v>
      </c>
      <c r="G576" s="1" t="s">
        <v>141</v>
      </c>
      <c r="H576" s="1">
        <v>0</v>
      </c>
      <c r="I576" s="1" t="s">
        <v>397</v>
      </c>
      <c r="J576" s="1"/>
      <c r="K576" s="1"/>
      <c r="L576" s="1" t="s">
        <v>1524</v>
      </c>
      <c r="M576" s="1" t="s">
        <v>355</v>
      </c>
      <c r="N576" s="1">
        <v>0</v>
      </c>
      <c r="O576" s="1">
        <v>0</v>
      </c>
      <c r="P576" s="1" t="s">
        <v>103</v>
      </c>
      <c r="Q576" s="1" t="s">
        <v>104</v>
      </c>
      <c r="R576" s="1" t="s">
        <v>5126</v>
      </c>
      <c r="S576" s="1" t="s">
        <v>5127</v>
      </c>
      <c r="T576" s="1" t="s">
        <v>107</v>
      </c>
      <c r="U576" s="1" t="s">
        <v>5128</v>
      </c>
      <c r="V576" s="1">
        <v>1</v>
      </c>
      <c r="W576" s="1">
        <v>1</v>
      </c>
      <c r="X576" s="1">
        <v>0</v>
      </c>
      <c r="Y576" s="1">
        <v>0</v>
      </c>
      <c r="Z576" s="1">
        <v>0</v>
      </c>
      <c r="AA576" s="1" t="s">
        <v>109</v>
      </c>
      <c r="AB576" s="1" t="s">
        <v>109</v>
      </c>
      <c r="AC576" s="1" t="s">
        <v>109</v>
      </c>
      <c r="AD576" s="1">
        <v>6</v>
      </c>
      <c r="AE576" s="1" t="s">
        <v>109</v>
      </c>
      <c r="AF576" s="1" t="s">
        <v>109</v>
      </c>
      <c r="AG576" s="1" t="s">
        <v>109</v>
      </c>
      <c r="AH576" s="1" t="s">
        <v>109</v>
      </c>
      <c r="AI576" s="1" t="s">
        <v>109</v>
      </c>
      <c r="AJ576" s="1" t="s">
        <v>109</v>
      </c>
      <c r="AK576" s="1" t="s">
        <v>109</v>
      </c>
      <c r="AL576" s="1" t="s">
        <v>109</v>
      </c>
      <c r="AM576" s="1" t="s">
        <v>109</v>
      </c>
      <c r="AN576" s="1" t="s">
        <v>109</v>
      </c>
      <c r="AO576" s="1" t="s">
        <v>109</v>
      </c>
      <c r="AP576" s="1"/>
      <c r="AQ576" s="1">
        <v>6</v>
      </c>
      <c r="AR576" s="1"/>
      <c r="AS576" s="1" t="s">
        <v>5129</v>
      </c>
      <c r="AT576" s="1">
        <v>0</v>
      </c>
      <c r="AU576" s="1">
        <v>0</v>
      </c>
      <c r="AV576" s="1">
        <v>0</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5" t="str">
        <f>HYPERLINK("http://www.d20pfsrd.com/magic/all-spells/t/transport-via-plants","Transport via Plants")</f>
        <v>Transport via Plants</v>
      </c>
      <c r="BT576" s="1">
        <v>577</v>
      </c>
      <c r="BU576" s="1" t="s">
        <v>109</v>
      </c>
      <c r="BV576" s="1" t="s">
        <v>5130</v>
      </c>
      <c r="BW576" s="1"/>
      <c r="BX576" s="1"/>
      <c r="BY576" s="1"/>
      <c r="BZ576" s="1">
        <v>0</v>
      </c>
      <c r="CA576" s="1" t="s">
        <v>109</v>
      </c>
      <c r="CB576" s="1">
        <v>7</v>
      </c>
      <c r="CC576" s="1" t="s">
        <v>109</v>
      </c>
      <c r="CD576" s="1" t="s">
        <v>109</v>
      </c>
      <c r="CE576" s="1" t="s">
        <v>109</v>
      </c>
      <c r="CF576" s="1" t="s">
        <v>109</v>
      </c>
      <c r="CG576" s="1" t="s">
        <v>109</v>
      </c>
      <c r="CH576" s="1" t="s">
        <v>109</v>
      </c>
      <c r="CI576" s="1" t="s">
        <v>109</v>
      </c>
      <c r="CJ576" s="1">
        <v>6</v>
      </c>
      <c r="CK576" s="1"/>
      <c r="CL576" s="1">
        <v>0</v>
      </c>
      <c r="CM576" s="1">
        <v>0</v>
      </c>
      <c r="CN576" s="1">
        <v>0</v>
      </c>
    </row>
    <row r="577" spans="1:92" ht="14.25" customHeight="1" x14ac:dyDescent="0.15">
      <c r="A577" s="1" t="s">
        <v>5131</v>
      </c>
      <c r="B577" s="1" t="s">
        <v>95</v>
      </c>
      <c r="C577" s="1" t="s">
        <v>1179</v>
      </c>
      <c r="D577" s="1"/>
      <c r="E577" s="1" t="s">
        <v>3384</v>
      </c>
      <c r="F577" s="1" t="s">
        <v>5132</v>
      </c>
      <c r="G577" s="1" t="s">
        <v>5133</v>
      </c>
      <c r="H577" s="1">
        <v>1</v>
      </c>
      <c r="I577" s="1" t="s">
        <v>142</v>
      </c>
      <c r="J577" s="1"/>
      <c r="K577" s="1"/>
      <c r="L577" s="1" t="s">
        <v>1391</v>
      </c>
      <c r="M577" s="1" t="s">
        <v>3246</v>
      </c>
      <c r="N577" s="1">
        <v>0</v>
      </c>
      <c r="O577" s="1">
        <v>0</v>
      </c>
      <c r="P577" s="1" t="s">
        <v>211</v>
      </c>
      <c r="Q577" s="1" t="s">
        <v>4298</v>
      </c>
      <c r="R577" s="1" t="s">
        <v>5134</v>
      </c>
      <c r="S577" s="1" t="s">
        <v>5135</v>
      </c>
      <c r="T577" s="1" t="s">
        <v>107</v>
      </c>
      <c r="U577" s="1" t="s">
        <v>5136</v>
      </c>
      <c r="V577" s="1">
        <v>1</v>
      </c>
      <c r="W577" s="1">
        <v>1</v>
      </c>
      <c r="X577" s="1">
        <v>1</v>
      </c>
      <c r="Y577" s="1">
        <v>0</v>
      </c>
      <c r="Z577" s="1">
        <v>0</v>
      </c>
      <c r="AA577" s="1">
        <v>8</v>
      </c>
      <c r="AB577" s="1">
        <v>8</v>
      </c>
      <c r="AC577" s="1" t="s">
        <v>109</v>
      </c>
      <c r="AD577" s="1" t="s">
        <v>109</v>
      </c>
      <c r="AE577" s="1" t="s">
        <v>109</v>
      </c>
      <c r="AF577" s="1" t="s">
        <v>109</v>
      </c>
      <c r="AG577" s="1" t="s">
        <v>109</v>
      </c>
      <c r="AH577" s="1" t="s">
        <v>109</v>
      </c>
      <c r="AI577" s="1" t="s">
        <v>109</v>
      </c>
      <c r="AJ577" s="1">
        <v>8</v>
      </c>
      <c r="AK577" s="1" t="s">
        <v>109</v>
      </c>
      <c r="AL577" s="1" t="s">
        <v>109</v>
      </c>
      <c r="AM577" s="1" t="s">
        <v>109</v>
      </c>
      <c r="AN577" s="1" t="s">
        <v>109</v>
      </c>
      <c r="AO577" s="1" t="s">
        <v>109</v>
      </c>
      <c r="AP577" s="1"/>
      <c r="AQ577" s="1">
        <v>8</v>
      </c>
      <c r="AR577" s="1" t="s">
        <v>5137</v>
      </c>
      <c r="AS577" s="1" t="s">
        <v>5138</v>
      </c>
      <c r="AT577" s="1">
        <v>0</v>
      </c>
      <c r="AU577" s="1">
        <v>0</v>
      </c>
      <c r="AV577" s="1">
        <v>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5" t="str">
        <f>HYPERLINK("http://www.d20pfsrd.com/magic/all-spells/t/trap-the-soul","Trap the Soul")</f>
        <v>Trap the Soul</v>
      </c>
      <c r="BT577" s="1">
        <v>578</v>
      </c>
      <c r="BU577" s="1">
        <v>1000</v>
      </c>
      <c r="BV577" s="1" t="s">
        <v>5139</v>
      </c>
      <c r="BW577" s="1" t="s">
        <v>5140</v>
      </c>
      <c r="BX577" s="1"/>
      <c r="BY577" s="1"/>
      <c r="BZ577" s="1">
        <v>0</v>
      </c>
      <c r="CA577" s="1" t="s">
        <v>109</v>
      </c>
      <c r="CB577" s="1" t="s">
        <v>109</v>
      </c>
      <c r="CC577" s="1">
        <v>8</v>
      </c>
      <c r="CD577" s="1" t="s">
        <v>109</v>
      </c>
      <c r="CE577" s="1" t="s">
        <v>109</v>
      </c>
      <c r="CF577" s="1" t="s">
        <v>109</v>
      </c>
      <c r="CG577" s="1" t="s">
        <v>109</v>
      </c>
      <c r="CH577" s="1" t="s">
        <v>109</v>
      </c>
      <c r="CI577" s="1" t="s">
        <v>109</v>
      </c>
      <c r="CJ577" s="1" t="s">
        <v>109</v>
      </c>
      <c r="CK577" s="1"/>
      <c r="CL577" s="1">
        <v>0</v>
      </c>
      <c r="CM577" s="1">
        <v>0</v>
      </c>
      <c r="CN577" s="1">
        <v>0</v>
      </c>
    </row>
    <row r="578" spans="1:92" ht="14.25" customHeight="1" x14ac:dyDescent="0.15">
      <c r="A578" s="1" t="s">
        <v>5141</v>
      </c>
      <c r="B578" s="1" t="s">
        <v>189</v>
      </c>
      <c r="C578" s="1"/>
      <c r="D578" s="1"/>
      <c r="E578" s="1" t="s">
        <v>5142</v>
      </c>
      <c r="F578" s="1" t="s">
        <v>98</v>
      </c>
      <c r="G578" s="1" t="s">
        <v>160</v>
      </c>
      <c r="H578" s="1">
        <v>0</v>
      </c>
      <c r="I578" s="1" t="s">
        <v>235</v>
      </c>
      <c r="J578" s="1"/>
      <c r="K578" s="1"/>
      <c r="L578" s="1" t="s">
        <v>236</v>
      </c>
      <c r="M578" s="1" t="s">
        <v>289</v>
      </c>
      <c r="N578" s="1">
        <v>1</v>
      </c>
      <c r="O578" s="1">
        <v>0</v>
      </c>
      <c r="P578" s="1"/>
      <c r="Q578" s="1"/>
      <c r="R578" s="1" t="s">
        <v>5143</v>
      </c>
      <c r="S578" s="1" t="s">
        <v>5144</v>
      </c>
      <c r="T578" s="1" t="s">
        <v>107</v>
      </c>
      <c r="U578" s="1" t="s">
        <v>5145</v>
      </c>
      <c r="V578" s="1">
        <v>1</v>
      </c>
      <c r="W578" s="1">
        <v>1</v>
      </c>
      <c r="X578" s="1">
        <v>0</v>
      </c>
      <c r="Y578" s="1">
        <v>0</v>
      </c>
      <c r="Z578" s="1">
        <v>1</v>
      </c>
      <c r="AA578" s="1" t="s">
        <v>109</v>
      </c>
      <c r="AB578" s="1" t="s">
        <v>109</v>
      </c>
      <c r="AC578" s="1" t="s">
        <v>109</v>
      </c>
      <c r="AD578" s="1">
        <v>2</v>
      </c>
      <c r="AE578" s="1">
        <v>3</v>
      </c>
      <c r="AF578" s="1" t="s">
        <v>109</v>
      </c>
      <c r="AG578" s="1" t="s">
        <v>109</v>
      </c>
      <c r="AH578" s="1" t="s">
        <v>109</v>
      </c>
      <c r="AI578" s="1" t="s">
        <v>109</v>
      </c>
      <c r="AJ578" s="1" t="s">
        <v>109</v>
      </c>
      <c r="AK578" s="1" t="s">
        <v>109</v>
      </c>
      <c r="AL578" s="1" t="s">
        <v>109</v>
      </c>
      <c r="AM578" s="1" t="s">
        <v>109</v>
      </c>
      <c r="AN578" s="1" t="s">
        <v>109</v>
      </c>
      <c r="AO578" s="1" t="s">
        <v>109</v>
      </c>
      <c r="AP578" s="1"/>
      <c r="AQ578" s="1">
        <v>2</v>
      </c>
      <c r="AR578" s="1"/>
      <c r="AS578" s="1" t="s">
        <v>5146</v>
      </c>
      <c r="AT578" s="1">
        <v>0</v>
      </c>
      <c r="AU578" s="1">
        <v>0</v>
      </c>
      <c r="AV578" s="1">
        <v>0</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5" t="str">
        <f>HYPERLINK("http://www.d20pfsrd.com/magic/all-spells/t/tree-shape","Tree Shape")</f>
        <v>Tree Shape</v>
      </c>
      <c r="BT578" s="1">
        <v>579</v>
      </c>
      <c r="BU578" s="1" t="s">
        <v>109</v>
      </c>
      <c r="BV578" s="1"/>
      <c r="BW578" s="1"/>
      <c r="BX578" s="1"/>
      <c r="BY578" s="1"/>
      <c r="BZ578" s="1">
        <v>0</v>
      </c>
      <c r="CA578" s="1" t="s">
        <v>109</v>
      </c>
      <c r="CB578" s="1">
        <v>2</v>
      </c>
      <c r="CC578" s="1" t="s">
        <v>109</v>
      </c>
      <c r="CD578" s="1" t="s">
        <v>109</v>
      </c>
      <c r="CE578" s="1" t="s">
        <v>109</v>
      </c>
      <c r="CF578" s="1" t="s">
        <v>109</v>
      </c>
      <c r="CG578" s="1" t="s">
        <v>109</v>
      </c>
      <c r="CH578" s="1" t="s">
        <v>109</v>
      </c>
      <c r="CI578" s="1" t="s">
        <v>109</v>
      </c>
      <c r="CJ578" s="1">
        <v>2</v>
      </c>
      <c r="CK578" s="1"/>
      <c r="CL578" s="1">
        <v>0</v>
      </c>
      <c r="CM578" s="1">
        <v>0</v>
      </c>
      <c r="CN578" s="1">
        <v>0</v>
      </c>
    </row>
    <row r="579" spans="1:92" ht="14.25" customHeight="1" x14ac:dyDescent="0.15">
      <c r="A579" s="1" t="s">
        <v>5147</v>
      </c>
      <c r="B579" s="1" t="s">
        <v>95</v>
      </c>
      <c r="C579" s="1" t="s">
        <v>1522</v>
      </c>
      <c r="D579" s="1"/>
      <c r="E579" s="1" t="s">
        <v>5148</v>
      </c>
      <c r="F579" s="1" t="s">
        <v>98</v>
      </c>
      <c r="G579" s="1" t="s">
        <v>160</v>
      </c>
      <c r="H579" s="1">
        <v>0</v>
      </c>
      <c r="I579" s="1" t="s">
        <v>235</v>
      </c>
      <c r="J579" s="1"/>
      <c r="K579" s="1"/>
      <c r="L579" s="1" t="s">
        <v>236</v>
      </c>
      <c r="M579" s="1" t="s">
        <v>5149</v>
      </c>
      <c r="N579" s="1">
        <v>0</v>
      </c>
      <c r="O579" s="1">
        <v>0</v>
      </c>
      <c r="P579" s="1"/>
      <c r="Q579" s="1"/>
      <c r="R579" s="1" t="s">
        <v>5150</v>
      </c>
      <c r="S579" s="1" t="s">
        <v>5151</v>
      </c>
      <c r="T579" s="1" t="s">
        <v>107</v>
      </c>
      <c r="U579" s="1" t="s">
        <v>5152</v>
      </c>
      <c r="V579" s="1">
        <v>1</v>
      </c>
      <c r="W579" s="1">
        <v>1</v>
      </c>
      <c r="X579" s="1">
        <v>0</v>
      </c>
      <c r="Y579" s="1">
        <v>0</v>
      </c>
      <c r="Z579" s="1">
        <v>1</v>
      </c>
      <c r="AA579" s="1" t="s">
        <v>109</v>
      </c>
      <c r="AB579" s="1" t="s">
        <v>109</v>
      </c>
      <c r="AC579" s="1" t="s">
        <v>109</v>
      </c>
      <c r="AD579" s="1">
        <v>5</v>
      </c>
      <c r="AE579" s="1">
        <v>4</v>
      </c>
      <c r="AF579" s="1" t="s">
        <v>109</v>
      </c>
      <c r="AG579" s="1" t="s">
        <v>109</v>
      </c>
      <c r="AH579" s="1" t="s">
        <v>109</v>
      </c>
      <c r="AI579" s="1" t="s">
        <v>109</v>
      </c>
      <c r="AJ579" s="1" t="s">
        <v>109</v>
      </c>
      <c r="AK579" s="1" t="s">
        <v>109</v>
      </c>
      <c r="AL579" s="1" t="s">
        <v>109</v>
      </c>
      <c r="AM579" s="1" t="s">
        <v>109</v>
      </c>
      <c r="AN579" s="1" t="s">
        <v>109</v>
      </c>
      <c r="AO579" s="1" t="s">
        <v>109</v>
      </c>
      <c r="AP579" s="1"/>
      <c r="AQ579" s="1">
        <v>5</v>
      </c>
      <c r="AR579" s="1"/>
      <c r="AS579" s="1" t="s">
        <v>5153</v>
      </c>
      <c r="AT579" s="1">
        <v>0</v>
      </c>
      <c r="AU579" s="1">
        <v>0</v>
      </c>
      <c r="AV579" s="1">
        <v>0</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5" t="str">
        <f>HYPERLINK("http://www.d20pfsrd.com/magic/all-spells/t/tree-stride","Tree Stride")</f>
        <v>Tree Stride</v>
      </c>
      <c r="BT579" s="1">
        <v>580</v>
      </c>
      <c r="BU579" s="1" t="s">
        <v>109</v>
      </c>
      <c r="BV579" s="1" t="s">
        <v>5154</v>
      </c>
      <c r="BW579" s="1" t="s">
        <v>5155</v>
      </c>
      <c r="BX579" s="1"/>
      <c r="BY579" s="1"/>
      <c r="BZ579" s="1">
        <v>0</v>
      </c>
      <c r="CA579" s="1" t="s">
        <v>109</v>
      </c>
      <c r="CB579" s="1" t="s">
        <v>109</v>
      </c>
      <c r="CC579" s="1" t="s">
        <v>109</v>
      </c>
      <c r="CD579" s="1" t="s">
        <v>109</v>
      </c>
      <c r="CE579" s="1" t="s">
        <v>109</v>
      </c>
      <c r="CF579" s="1" t="s">
        <v>109</v>
      </c>
      <c r="CG579" s="1" t="s">
        <v>109</v>
      </c>
      <c r="CH579" s="1" t="s">
        <v>109</v>
      </c>
      <c r="CI579" s="1" t="s">
        <v>109</v>
      </c>
      <c r="CJ579" s="1">
        <v>4</v>
      </c>
      <c r="CK579" s="1"/>
      <c r="CL579" s="1">
        <v>0</v>
      </c>
      <c r="CM579" s="1">
        <v>0</v>
      </c>
      <c r="CN579" s="1">
        <v>0</v>
      </c>
    </row>
    <row r="580" spans="1:92" ht="14.25" customHeight="1" x14ac:dyDescent="0.15">
      <c r="A580" s="1" t="s">
        <v>5156</v>
      </c>
      <c r="B580" s="1" t="s">
        <v>95</v>
      </c>
      <c r="C580" s="1" t="s">
        <v>694</v>
      </c>
      <c r="D580" s="1"/>
      <c r="E580" s="1" t="s">
        <v>3320</v>
      </c>
      <c r="F580" s="1" t="s">
        <v>395</v>
      </c>
      <c r="G580" s="1" t="s">
        <v>5157</v>
      </c>
      <c r="H580" s="1">
        <v>1</v>
      </c>
      <c r="I580" s="1" t="s">
        <v>161</v>
      </c>
      <c r="J580" s="1"/>
      <c r="K580" s="1"/>
      <c r="L580" s="1" t="s">
        <v>3910</v>
      </c>
      <c r="M580" s="1" t="s">
        <v>144</v>
      </c>
      <c r="N580" s="1">
        <v>0</v>
      </c>
      <c r="O580" s="1">
        <v>0</v>
      </c>
      <c r="P580" s="1" t="s">
        <v>281</v>
      </c>
      <c r="Q580" s="1" t="s">
        <v>167</v>
      </c>
      <c r="R580" s="1" t="s">
        <v>5158</v>
      </c>
      <c r="S580" s="1" t="s">
        <v>5159</v>
      </c>
      <c r="T580" s="1" t="s">
        <v>107</v>
      </c>
      <c r="U580" s="1" t="s">
        <v>5160</v>
      </c>
      <c r="V580" s="1">
        <v>1</v>
      </c>
      <c r="W580" s="1">
        <v>1</v>
      </c>
      <c r="X580" s="1">
        <v>1</v>
      </c>
      <c r="Y580" s="1">
        <v>0</v>
      </c>
      <c r="Z580" s="1">
        <v>1</v>
      </c>
      <c r="AA580" s="1" t="s">
        <v>109</v>
      </c>
      <c r="AB580" s="1" t="s">
        <v>109</v>
      </c>
      <c r="AC580" s="1">
        <v>9</v>
      </c>
      <c r="AD580" s="1" t="s">
        <v>109</v>
      </c>
      <c r="AE580" s="1" t="s">
        <v>109</v>
      </c>
      <c r="AF580" s="1" t="s">
        <v>109</v>
      </c>
      <c r="AG580" s="1" t="s">
        <v>109</v>
      </c>
      <c r="AH580" s="1" t="s">
        <v>109</v>
      </c>
      <c r="AI580" s="1" t="s">
        <v>109</v>
      </c>
      <c r="AJ580" s="1" t="s">
        <v>109</v>
      </c>
      <c r="AK580" s="1" t="s">
        <v>109</v>
      </c>
      <c r="AL580" s="1">
        <v>9</v>
      </c>
      <c r="AM580" s="1" t="s">
        <v>109</v>
      </c>
      <c r="AN580" s="1" t="s">
        <v>109</v>
      </c>
      <c r="AO580" s="1" t="s">
        <v>109</v>
      </c>
      <c r="AP580" s="1"/>
      <c r="AQ580" s="1">
        <v>9</v>
      </c>
      <c r="AR580" s="1" t="s">
        <v>5161</v>
      </c>
      <c r="AS580" s="1" t="s">
        <v>5162</v>
      </c>
      <c r="AT580" s="1">
        <v>0</v>
      </c>
      <c r="AU580" s="1">
        <v>0</v>
      </c>
      <c r="AV580" s="1">
        <v>0</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5" t="str">
        <f>HYPERLINK("http://www.d20pfsrd.com/magic/all-spells/t/true-resurrection","True Resurrection")</f>
        <v>True Resurrection</v>
      </c>
      <c r="BT580" s="1">
        <v>581</v>
      </c>
      <c r="BU580" s="1">
        <v>25000</v>
      </c>
      <c r="BV580" s="1"/>
      <c r="BW580" s="1" t="s">
        <v>5163</v>
      </c>
      <c r="BX580" s="1"/>
      <c r="BY580" s="1"/>
      <c r="BZ580" s="1">
        <v>0</v>
      </c>
      <c r="CA580" s="1" t="s">
        <v>109</v>
      </c>
      <c r="CB580" s="1" t="s">
        <v>109</v>
      </c>
      <c r="CC580" s="1" t="s">
        <v>109</v>
      </c>
      <c r="CD580" s="1" t="s">
        <v>109</v>
      </c>
      <c r="CE580" s="1" t="s">
        <v>109</v>
      </c>
      <c r="CF580" s="1" t="s">
        <v>109</v>
      </c>
      <c r="CG580" s="1" t="s">
        <v>109</v>
      </c>
      <c r="CH580" s="1" t="s">
        <v>109</v>
      </c>
      <c r="CI580" s="1" t="s">
        <v>109</v>
      </c>
      <c r="CJ580" s="1" t="s">
        <v>109</v>
      </c>
      <c r="CK580" s="1"/>
      <c r="CL580" s="1">
        <v>0</v>
      </c>
      <c r="CM580" s="1">
        <v>0</v>
      </c>
      <c r="CN580" s="1">
        <v>0</v>
      </c>
    </row>
    <row r="581" spans="1:92" ht="14.25" customHeight="1" x14ac:dyDescent="0.15">
      <c r="A581" s="1" t="s">
        <v>5164</v>
      </c>
      <c r="B581" s="1" t="s">
        <v>254</v>
      </c>
      <c r="C581" s="1"/>
      <c r="D581" s="1"/>
      <c r="E581" s="1" t="s">
        <v>5165</v>
      </c>
      <c r="F581" s="1" t="s">
        <v>98</v>
      </c>
      <c r="G581" s="1" t="s">
        <v>5166</v>
      </c>
      <c r="H581" s="1">
        <v>1</v>
      </c>
      <c r="I581" s="1" t="s">
        <v>161</v>
      </c>
      <c r="J581" s="1"/>
      <c r="K581" s="1"/>
      <c r="L581" s="1" t="s">
        <v>506</v>
      </c>
      <c r="M581" s="1" t="s">
        <v>164</v>
      </c>
      <c r="N581" s="1">
        <v>0</v>
      </c>
      <c r="O581" s="1">
        <v>0</v>
      </c>
      <c r="P581" s="1" t="s">
        <v>507</v>
      </c>
      <c r="Q581" s="1" t="s">
        <v>167</v>
      </c>
      <c r="R581" s="1" t="s">
        <v>5167</v>
      </c>
      <c r="S581" s="1" t="s">
        <v>5168</v>
      </c>
      <c r="T581" s="1" t="s">
        <v>107</v>
      </c>
      <c r="U581" s="1" t="s">
        <v>5169</v>
      </c>
      <c r="V581" s="1">
        <v>1</v>
      </c>
      <c r="W581" s="1">
        <v>1</v>
      </c>
      <c r="X581" s="1">
        <v>1</v>
      </c>
      <c r="Y581" s="1">
        <v>0</v>
      </c>
      <c r="Z581" s="1">
        <v>0</v>
      </c>
      <c r="AA581" s="1">
        <v>6</v>
      </c>
      <c r="AB581" s="1">
        <v>6</v>
      </c>
      <c r="AC581" s="1">
        <v>5</v>
      </c>
      <c r="AD581" s="1">
        <v>7</v>
      </c>
      <c r="AE581" s="1" t="s">
        <v>109</v>
      </c>
      <c r="AF581" s="1" t="s">
        <v>109</v>
      </c>
      <c r="AG581" s="1" t="s">
        <v>109</v>
      </c>
      <c r="AH581" s="1">
        <v>6</v>
      </c>
      <c r="AI581" s="1">
        <v>5</v>
      </c>
      <c r="AJ581" s="1">
        <v>6</v>
      </c>
      <c r="AK581" s="1">
        <v>5</v>
      </c>
      <c r="AL581" s="1">
        <v>5</v>
      </c>
      <c r="AM581" s="1" t="s">
        <v>109</v>
      </c>
      <c r="AN581" s="1">
        <v>6</v>
      </c>
      <c r="AO581" s="1">
        <v>5</v>
      </c>
      <c r="AP581" s="1"/>
      <c r="AQ581" s="1">
        <v>6</v>
      </c>
      <c r="AR581" s="1" t="s">
        <v>5170</v>
      </c>
      <c r="AS581" s="1" t="s">
        <v>5171</v>
      </c>
      <c r="AT581" s="1">
        <v>0</v>
      </c>
      <c r="AU581" s="1">
        <v>0</v>
      </c>
      <c r="AV581" s="1">
        <v>0</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5" t="str">
        <f>HYPERLINK("http://www.d20pfsrd.com/magic/all-spells/t/true-seeing","True Seeing")</f>
        <v>True Seeing</v>
      </c>
      <c r="BT581" s="1">
        <v>582</v>
      </c>
      <c r="BU581" s="1">
        <v>250</v>
      </c>
      <c r="BV581" s="1" t="s">
        <v>5172</v>
      </c>
      <c r="BW581" s="1"/>
      <c r="BX581" s="1"/>
      <c r="BY581" s="1"/>
      <c r="BZ581" s="1">
        <v>0</v>
      </c>
      <c r="CA581" s="1" t="s">
        <v>109</v>
      </c>
      <c r="CB581" s="1">
        <v>5</v>
      </c>
      <c r="CC581" s="1">
        <v>5</v>
      </c>
      <c r="CD581" s="1" t="s">
        <v>109</v>
      </c>
      <c r="CE581" s="1">
        <v>6</v>
      </c>
      <c r="CF581" s="1">
        <v>5</v>
      </c>
      <c r="CG581" s="1">
        <v>6</v>
      </c>
      <c r="CH581" s="1" t="s">
        <v>109</v>
      </c>
      <c r="CI581" s="1" t="s">
        <v>109</v>
      </c>
      <c r="CJ581" s="1" t="s">
        <v>109</v>
      </c>
      <c r="CK581" s="1"/>
      <c r="CL581" s="1">
        <v>0</v>
      </c>
      <c r="CM581" s="1">
        <v>0</v>
      </c>
      <c r="CN581" s="1">
        <v>0</v>
      </c>
    </row>
    <row r="582" spans="1:92" ht="14.25" customHeight="1" x14ac:dyDescent="0.15">
      <c r="A582" s="1" t="s">
        <v>5173</v>
      </c>
      <c r="B582" s="1" t="s">
        <v>254</v>
      </c>
      <c r="C582" s="1"/>
      <c r="D582" s="1"/>
      <c r="E582" s="1" t="s">
        <v>5174</v>
      </c>
      <c r="F582" s="1" t="s">
        <v>98</v>
      </c>
      <c r="G582" s="1" t="s">
        <v>5175</v>
      </c>
      <c r="H582" s="1">
        <v>0</v>
      </c>
      <c r="I582" s="1" t="s">
        <v>235</v>
      </c>
      <c r="J582" s="1"/>
      <c r="K582" s="1"/>
      <c r="L582" s="1" t="s">
        <v>236</v>
      </c>
      <c r="M582" s="1" t="s">
        <v>211</v>
      </c>
      <c r="N582" s="1">
        <v>0</v>
      </c>
      <c r="O582" s="1">
        <v>0</v>
      </c>
      <c r="P582" s="1"/>
      <c r="Q582" s="1"/>
      <c r="R582" s="1" t="s">
        <v>5176</v>
      </c>
      <c r="S582" s="1" t="s">
        <v>5177</v>
      </c>
      <c r="T582" s="1" t="s">
        <v>107</v>
      </c>
      <c r="U582" s="1" t="s">
        <v>5178</v>
      </c>
      <c r="V582" s="1">
        <v>1</v>
      </c>
      <c r="W582" s="1">
        <v>0</v>
      </c>
      <c r="X582" s="1">
        <v>0</v>
      </c>
      <c r="Y582" s="1">
        <v>0</v>
      </c>
      <c r="Z582" s="1">
        <v>0</v>
      </c>
      <c r="AA582" s="1">
        <v>1</v>
      </c>
      <c r="AB582" s="1">
        <v>1</v>
      </c>
      <c r="AC582" s="1" t="s">
        <v>109</v>
      </c>
      <c r="AD582" s="1" t="s">
        <v>109</v>
      </c>
      <c r="AE582" s="1" t="s">
        <v>109</v>
      </c>
      <c r="AF582" s="1" t="s">
        <v>109</v>
      </c>
      <c r="AG582" s="1" t="s">
        <v>109</v>
      </c>
      <c r="AH582" s="1">
        <v>1</v>
      </c>
      <c r="AI582" s="1" t="s">
        <v>109</v>
      </c>
      <c r="AJ582" s="1" t="s">
        <v>109</v>
      </c>
      <c r="AK582" s="1">
        <v>1</v>
      </c>
      <c r="AL582" s="1" t="s">
        <v>109</v>
      </c>
      <c r="AM582" s="1" t="s">
        <v>109</v>
      </c>
      <c r="AN582" s="1">
        <v>1</v>
      </c>
      <c r="AO582" s="1" t="s">
        <v>109</v>
      </c>
      <c r="AP582" s="1"/>
      <c r="AQ582" s="1">
        <v>1</v>
      </c>
      <c r="AR582" s="1" t="s">
        <v>5179</v>
      </c>
      <c r="AS582" s="1" t="s">
        <v>5180</v>
      </c>
      <c r="AT582" s="1">
        <v>0</v>
      </c>
      <c r="AU582" s="1">
        <v>0</v>
      </c>
      <c r="AV582" s="1">
        <v>0</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5" t="str">
        <f>HYPERLINK("http://www.d20pfsrd.com/magic/all-spells/t/true-strike","True Strike")</f>
        <v>True Strike</v>
      </c>
      <c r="BT582" s="1">
        <v>583</v>
      </c>
      <c r="BU582" s="1" t="s">
        <v>109</v>
      </c>
      <c r="BV582" s="1" t="s">
        <v>5181</v>
      </c>
      <c r="BW582" s="1"/>
      <c r="BX582" s="1" t="s">
        <v>5182</v>
      </c>
      <c r="BY582" s="1" t="s">
        <v>5183</v>
      </c>
      <c r="BZ582" s="1">
        <v>1</v>
      </c>
      <c r="CA582" s="1">
        <v>1</v>
      </c>
      <c r="CB582" s="1" t="s">
        <v>109</v>
      </c>
      <c r="CC582" s="1">
        <v>1</v>
      </c>
      <c r="CD582" s="1" t="s">
        <v>109</v>
      </c>
      <c r="CE582" s="1" t="s">
        <v>109</v>
      </c>
      <c r="CF582" s="1" t="s">
        <v>109</v>
      </c>
      <c r="CG582" s="1" t="s">
        <v>109</v>
      </c>
      <c r="CH582" s="1" t="s">
        <v>109</v>
      </c>
      <c r="CI582" s="1" t="s">
        <v>109</v>
      </c>
      <c r="CJ582" s="1" t="s">
        <v>109</v>
      </c>
      <c r="CK582" s="1"/>
      <c r="CL582" s="1">
        <v>0</v>
      </c>
      <c r="CM582" s="1">
        <v>0</v>
      </c>
      <c r="CN582" s="1">
        <v>0</v>
      </c>
    </row>
    <row r="583" spans="1:92" ht="14.25" customHeight="1" x14ac:dyDescent="0.15">
      <c r="A583" s="1" t="s">
        <v>5184</v>
      </c>
      <c r="B583" s="1" t="s">
        <v>308</v>
      </c>
      <c r="C583" s="1"/>
      <c r="D583" s="1"/>
      <c r="E583" s="1" t="s">
        <v>5185</v>
      </c>
      <c r="F583" s="1" t="s">
        <v>98</v>
      </c>
      <c r="G583" s="1" t="s">
        <v>5186</v>
      </c>
      <c r="H583" s="1">
        <v>1</v>
      </c>
      <c r="I583" s="1" t="s">
        <v>122</v>
      </c>
      <c r="J583" s="1" t="s">
        <v>5187</v>
      </c>
      <c r="K583" s="1"/>
      <c r="L583" s="1"/>
      <c r="M583" s="1" t="s">
        <v>144</v>
      </c>
      <c r="N583" s="1">
        <v>0</v>
      </c>
      <c r="O583" s="1">
        <v>0</v>
      </c>
      <c r="P583" s="1" t="s">
        <v>301</v>
      </c>
      <c r="Q583" s="1" t="s">
        <v>268</v>
      </c>
      <c r="R583" s="1" t="s">
        <v>5188</v>
      </c>
      <c r="S583" s="1" t="s">
        <v>5189</v>
      </c>
      <c r="T583" s="1" t="s">
        <v>107</v>
      </c>
      <c r="U583" s="1" t="s">
        <v>5190</v>
      </c>
      <c r="V583" s="1">
        <v>1</v>
      </c>
      <c r="W583" s="1">
        <v>1</v>
      </c>
      <c r="X583" s="1">
        <v>1</v>
      </c>
      <c r="Y583" s="1">
        <v>0</v>
      </c>
      <c r="Z583" s="1">
        <v>1</v>
      </c>
      <c r="AA583" s="1">
        <v>6</v>
      </c>
      <c r="AB583" s="1">
        <v>6</v>
      </c>
      <c r="AC583" s="1">
        <v>6</v>
      </c>
      <c r="AD583" s="1" t="s">
        <v>109</v>
      </c>
      <c r="AE583" s="1" t="s">
        <v>109</v>
      </c>
      <c r="AF583" s="1" t="s">
        <v>109</v>
      </c>
      <c r="AG583" s="1" t="s">
        <v>109</v>
      </c>
      <c r="AH583" s="1" t="s">
        <v>109</v>
      </c>
      <c r="AI583" s="1" t="s">
        <v>109</v>
      </c>
      <c r="AJ583" s="1" t="s">
        <v>109</v>
      </c>
      <c r="AK583" s="1">
        <v>6</v>
      </c>
      <c r="AL583" s="1">
        <v>6</v>
      </c>
      <c r="AM583" s="1" t="s">
        <v>109</v>
      </c>
      <c r="AN583" s="1" t="s">
        <v>109</v>
      </c>
      <c r="AO583" s="1" t="s">
        <v>109</v>
      </c>
      <c r="AP583" s="1"/>
      <c r="AQ583" s="1">
        <v>6</v>
      </c>
      <c r="AR583" s="1" t="s">
        <v>5191</v>
      </c>
      <c r="AS583" s="1" t="s">
        <v>5192</v>
      </c>
      <c r="AT583" s="1">
        <v>0</v>
      </c>
      <c r="AU583" s="1">
        <v>0</v>
      </c>
      <c r="AV583" s="1">
        <v>0</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5" t="str">
        <f>HYPERLINK("http://www.d20pfsrd.com/magic/all-spells/u/undeath-to-death","Undeath to Death")</f>
        <v>Undeath to Death</v>
      </c>
      <c r="BT583" s="1">
        <v>584</v>
      </c>
      <c r="BU583" s="1">
        <v>500</v>
      </c>
      <c r="BV583" s="1" t="s">
        <v>5193</v>
      </c>
      <c r="BW583" s="1"/>
      <c r="BX583" s="1"/>
      <c r="BY583" s="1"/>
      <c r="BZ583" s="1">
        <v>0</v>
      </c>
      <c r="CA583" s="1" t="s">
        <v>109</v>
      </c>
      <c r="CB583" s="1" t="s">
        <v>109</v>
      </c>
      <c r="CC583" s="1" t="s">
        <v>109</v>
      </c>
      <c r="CD583" s="1" t="s">
        <v>109</v>
      </c>
      <c r="CE583" s="1" t="s">
        <v>109</v>
      </c>
      <c r="CF583" s="1" t="s">
        <v>109</v>
      </c>
      <c r="CG583" s="1">
        <v>6</v>
      </c>
      <c r="CH583" s="1" t="s">
        <v>109</v>
      </c>
      <c r="CI583" s="1" t="s">
        <v>109</v>
      </c>
      <c r="CJ583" s="1" t="s">
        <v>109</v>
      </c>
      <c r="CK583" s="1"/>
      <c r="CL583" s="1">
        <v>0</v>
      </c>
      <c r="CM583" s="1">
        <v>0</v>
      </c>
      <c r="CN583" s="1">
        <v>0</v>
      </c>
    </row>
    <row r="584" spans="1:92" ht="14.25" customHeight="1" x14ac:dyDescent="0.15">
      <c r="A584" s="1" t="s">
        <v>5194</v>
      </c>
      <c r="B584" s="1" t="s">
        <v>242</v>
      </c>
      <c r="C584" s="1"/>
      <c r="D584" s="1"/>
      <c r="E584" s="1" t="s">
        <v>5195</v>
      </c>
      <c r="F584" s="1" t="s">
        <v>98</v>
      </c>
      <c r="G584" s="1" t="s">
        <v>141</v>
      </c>
      <c r="H584" s="1">
        <v>0</v>
      </c>
      <c r="I584" s="1" t="s">
        <v>142</v>
      </c>
      <c r="J584" s="1"/>
      <c r="K584" s="1"/>
      <c r="L584" s="1" t="s">
        <v>1548</v>
      </c>
      <c r="M584" s="1" t="s">
        <v>465</v>
      </c>
      <c r="N584" s="1">
        <v>0</v>
      </c>
      <c r="O584" s="1">
        <v>0</v>
      </c>
      <c r="P584" s="1" t="s">
        <v>629</v>
      </c>
      <c r="Q584" s="1" t="s">
        <v>630</v>
      </c>
      <c r="R584" s="1" t="s">
        <v>5196</v>
      </c>
      <c r="S584" s="1" t="s">
        <v>5197</v>
      </c>
      <c r="T584" s="1" t="s">
        <v>107</v>
      </c>
      <c r="U584" s="1" t="s">
        <v>5198</v>
      </c>
      <c r="V584" s="1">
        <v>1</v>
      </c>
      <c r="W584" s="1">
        <v>1</v>
      </c>
      <c r="X584" s="1">
        <v>0</v>
      </c>
      <c r="Y584" s="1">
        <v>0</v>
      </c>
      <c r="Z584" s="1">
        <v>0</v>
      </c>
      <c r="AA584" s="1" t="s">
        <v>109</v>
      </c>
      <c r="AB584" s="1" t="s">
        <v>109</v>
      </c>
      <c r="AC584" s="1">
        <v>2</v>
      </c>
      <c r="AD584" s="1" t="s">
        <v>109</v>
      </c>
      <c r="AE584" s="1" t="s">
        <v>109</v>
      </c>
      <c r="AF584" s="1">
        <v>1</v>
      </c>
      <c r="AG584" s="1">
        <v>2</v>
      </c>
      <c r="AH584" s="1">
        <v>2</v>
      </c>
      <c r="AI584" s="1" t="s">
        <v>109</v>
      </c>
      <c r="AJ584" s="1" t="s">
        <v>109</v>
      </c>
      <c r="AK584" s="1">
        <v>2</v>
      </c>
      <c r="AL584" s="1">
        <v>2</v>
      </c>
      <c r="AM584" s="1">
        <v>2</v>
      </c>
      <c r="AN584" s="1" t="s">
        <v>109</v>
      </c>
      <c r="AO584" s="1" t="s">
        <v>109</v>
      </c>
      <c r="AP584" s="1"/>
      <c r="AQ584" s="1">
        <v>2</v>
      </c>
      <c r="AR584" s="1"/>
      <c r="AS584" s="1" t="s">
        <v>5199</v>
      </c>
      <c r="AT584" s="1">
        <v>0</v>
      </c>
      <c r="AU584" s="1">
        <v>0</v>
      </c>
      <c r="AV584" s="1">
        <v>0</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5" t="str">
        <f>HYPERLINK("http://www.d20pfsrd.com/magic/all-spells/u/undetectable-alignment","Undetectable Alignment")</f>
        <v>Undetectable Alignment</v>
      </c>
      <c r="BT584" s="1">
        <v>585</v>
      </c>
      <c r="BU584" s="1" t="s">
        <v>109</v>
      </c>
      <c r="BV584" s="1"/>
      <c r="BW584" s="1"/>
      <c r="BX584" s="1"/>
      <c r="BY584" s="1"/>
      <c r="BZ584" s="1">
        <v>0</v>
      </c>
      <c r="CA584" s="1" t="s">
        <v>109</v>
      </c>
      <c r="CB584" s="1" t="s">
        <v>109</v>
      </c>
      <c r="CC584" s="1">
        <v>2</v>
      </c>
      <c r="CD584" s="1" t="s">
        <v>109</v>
      </c>
      <c r="CE584" s="1">
        <v>1</v>
      </c>
      <c r="CF584" s="1" t="s">
        <v>109</v>
      </c>
      <c r="CG584" s="1" t="s">
        <v>109</v>
      </c>
      <c r="CH584" s="1" t="s">
        <v>109</v>
      </c>
      <c r="CI584" s="1" t="s">
        <v>109</v>
      </c>
      <c r="CJ584" s="1" t="s">
        <v>109</v>
      </c>
      <c r="CK584" s="1"/>
      <c r="CL584" s="1">
        <v>0</v>
      </c>
      <c r="CM584" s="1">
        <v>0</v>
      </c>
      <c r="CN584" s="1">
        <v>0</v>
      </c>
    </row>
    <row r="585" spans="1:92" ht="14.25" customHeight="1" x14ac:dyDescent="0.15">
      <c r="A585" s="1" t="s">
        <v>5200</v>
      </c>
      <c r="B585" s="1" t="s">
        <v>584</v>
      </c>
      <c r="C585" s="1"/>
      <c r="D585" s="1" t="s">
        <v>57</v>
      </c>
      <c r="E585" s="1" t="s">
        <v>447</v>
      </c>
      <c r="F585" s="1" t="s">
        <v>465</v>
      </c>
      <c r="G585" s="1" t="s">
        <v>5201</v>
      </c>
      <c r="H585" s="1">
        <v>1</v>
      </c>
      <c r="I585" s="1" t="s">
        <v>161</v>
      </c>
      <c r="J585" s="1" t="s">
        <v>2456</v>
      </c>
      <c r="K585" s="1"/>
      <c r="L585" s="1"/>
      <c r="M585" s="1" t="s">
        <v>144</v>
      </c>
      <c r="N585" s="1">
        <v>0</v>
      </c>
      <c r="O585" s="1">
        <v>0</v>
      </c>
      <c r="P585" s="1" t="s">
        <v>211</v>
      </c>
      <c r="Q585" s="1" t="s">
        <v>211</v>
      </c>
      <c r="R585" s="1" t="s">
        <v>5202</v>
      </c>
      <c r="S585" s="1" t="s">
        <v>5203</v>
      </c>
      <c r="T585" s="1" t="s">
        <v>107</v>
      </c>
      <c r="U585" s="1" t="s">
        <v>5204</v>
      </c>
      <c r="V585" s="1">
        <v>1</v>
      </c>
      <c r="W585" s="1">
        <v>1</v>
      </c>
      <c r="X585" s="1">
        <v>1</v>
      </c>
      <c r="Y585" s="1">
        <v>0</v>
      </c>
      <c r="Z585" s="1">
        <v>0</v>
      </c>
      <c r="AA585" s="1" t="s">
        <v>109</v>
      </c>
      <c r="AB585" s="1" t="s">
        <v>109</v>
      </c>
      <c r="AC585" s="1">
        <v>5</v>
      </c>
      <c r="AD585" s="1">
        <v>5</v>
      </c>
      <c r="AE585" s="1" t="s">
        <v>109</v>
      </c>
      <c r="AF585" s="1" t="s">
        <v>109</v>
      </c>
      <c r="AG585" s="1" t="s">
        <v>109</v>
      </c>
      <c r="AH585" s="1" t="s">
        <v>109</v>
      </c>
      <c r="AI585" s="1" t="s">
        <v>109</v>
      </c>
      <c r="AJ585" s="1" t="s">
        <v>109</v>
      </c>
      <c r="AK585" s="1">
        <v>5</v>
      </c>
      <c r="AL585" s="1">
        <v>5</v>
      </c>
      <c r="AM585" s="1" t="s">
        <v>109</v>
      </c>
      <c r="AN585" s="1" t="s">
        <v>109</v>
      </c>
      <c r="AO585" s="1" t="s">
        <v>109</v>
      </c>
      <c r="AP585" s="1"/>
      <c r="AQ585" s="1">
        <v>5</v>
      </c>
      <c r="AR585" s="1"/>
      <c r="AS585" s="1" t="s">
        <v>5205</v>
      </c>
      <c r="AT585" s="1">
        <v>0</v>
      </c>
      <c r="AU585" s="1">
        <v>0</v>
      </c>
      <c r="AV585" s="1">
        <v>0</v>
      </c>
      <c r="AW585" s="1">
        <v>0</v>
      </c>
      <c r="AX585" s="1">
        <v>0</v>
      </c>
      <c r="AY585" s="1">
        <v>0</v>
      </c>
      <c r="AZ585" s="1">
        <v>0</v>
      </c>
      <c r="BA585" s="1">
        <v>0</v>
      </c>
      <c r="BB585" s="1">
        <v>0</v>
      </c>
      <c r="BC585" s="1">
        <v>0</v>
      </c>
      <c r="BD585" s="1">
        <v>0</v>
      </c>
      <c r="BE585" s="1">
        <v>1</v>
      </c>
      <c r="BF585" s="1">
        <v>0</v>
      </c>
      <c r="BG585" s="1">
        <v>0</v>
      </c>
      <c r="BH585" s="1">
        <v>0</v>
      </c>
      <c r="BI585" s="1">
        <v>0</v>
      </c>
      <c r="BJ585" s="1">
        <v>0</v>
      </c>
      <c r="BK585" s="1">
        <v>0</v>
      </c>
      <c r="BL585" s="1">
        <v>0</v>
      </c>
      <c r="BM585" s="1">
        <v>0</v>
      </c>
      <c r="BN585" s="1">
        <v>0</v>
      </c>
      <c r="BO585" s="1">
        <v>0</v>
      </c>
      <c r="BP585" s="1">
        <v>0</v>
      </c>
      <c r="BQ585" s="1">
        <v>0</v>
      </c>
      <c r="BR585" s="1">
        <v>0</v>
      </c>
      <c r="BS585" s="5" t="str">
        <f>HYPERLINK("http://www.d20pfsrd.com/magic/all-spells/u/unhallow","Unhallow")</f>
        <v>Unhallow</v>
      </c>
      <c r="BT585" s="1">
        <v>586</v>
      </c>
      <c r="BU585" s="1">
        <v>1000</v>
      </c>
      <c r="BV585" s="1"/>
      <c r="BW585" s="1"/>
      <c r="BX585" s="1"/>
      <c r="BY585" s="1"/>
      <c r="BZ585" s="1">
        <v>0</v>
      </c>
      <c r="CA585" s="1" t="s">
        <v>109</v>
      </c>
      <c r="CB585" s="1" t="s">
        <v>109</v>
      </c>
      <c r="CC585" s="1" t="s">
        <v>109</v>
      </c>
      <c r="CD585" s="1" t="s">
        <v>109</v>
      </c>
      <c r="CE585" s="1" t="s">
        <v>109</v>
      </c>
      <c r="CF585" s="1" t="s">
        <v>109</v>
      </c>
      <c r="CG585" s="1" t="s">
        <v>109</v>
      </c>
      <c r="CH585" s="1" t="s">
        <v>109</v>
      </c>
      <c r="CI585" s="1" t="s">
        <v>109</v>
      </c>
      <c r="CJ585" s="1">
        <v>5</v>
      </c>
      <c r="CK585" s="1"/>
      <c r="CL585" s="1">
        <v>0</v>
      </c>
      <c r="CM585" s="1">
        <v>0</v>
      </c>
      <c r="CN585" s="1">
        <v>0</v>
      </c>
    </row>
    <row r="586" spans="1:92" ht="14.25" customHeight="1" x14ac:dyDescent="0.15">
      <c r="A586" s="1" t="s">
        <v>5206</v>
      </c>
      <c r="B586" s="1" t="s">
        <v>242</v>
      </c>
      <c r="C586" s="1"/>
      <c r="D586" s="1" t="s">
        <v>57</v>
      </c>
      <c r="E586" s="1" t="s">
        <v>913</v>
      </c>
      <c r="F586" s="1" t="s">
        <v>98</v>
      </c>
      <c r="G586" s="1" t="s">
        <v>914</v>
      </c>
      <c r="H586" s="1">
        <v>1</v>
      </c>
      <c r="I586" s="1" t="s">
        <v>915</v>
      </c>
      <c r="J586" s="1"/>
      <c r="K586" s="1"/>
      <c r="L586" s="1" t="s">
        <v>916</v>
      </c>
      <c r="M586" s="1" t="s">
        <v>125</v>
      </c>
      <c r="N586" s="1">
        <v>1</v>
      </c>
      <c r="O586" s="1">
        <v>0</v>
      </c>
      <c r="P586" s="1" t="s">
        <v>211</v>
      </c>
      <c r="Q586" s="1" t="s">
        <v>167</v>
      </c>
      <c r="R586" s="1" t="s">
        <v>5207</v>
      </c>
      <c r="S586" s="1" t="s">
        <v>5208</v>
      </c>
      <c r="T586" s="1" t="s">
        <v>107</v>
      </c>
      <c r="U586" s="1" t="s">
        <v>5209</v>
      </c>
      <c r="V586" s="1">
        <v>1</v>
      </c>
      <c r="W586" s="1">
        <v>1</v>
      </c>
      <c r="X586" s="1">
        <v>0</v>
      </c>
      <c r="Y586" s="1">
        <v>1</v>
      </c>
      <c r="Z586" s="1">
        <v>0</v>
      </c>
      <c r="AA586" s="1" t="s">
        <v>109</v>
      </c>
      <c r="AB586" s="1" t="s">
        <v>109</v>
      </c>
      <c r="AC586" s="1">
        <v>8</v>
      </c>
      <c r="AD586" s="1" t="s">
        <v>109</v>
      </c>
      <c r="AE586" s="1" t="s">
        <v>109</v>
      </c>
      <c r="AF586" s="1" t="s">
        <v>109</v>
      </c>
      <c r="AG586" s="1" t="s">
        <v>109</v>
      </c>
      <c r="AH586" s="1" t="s">
        <v>109</v>
      </c>
      <c r="AI586" s="1" t="s">
        <v>109</v>
      </c>
      <c r="AJ586" s="1" t="s">
        <v>109</v>
      </c>
      <c r="AK586" s="1" t="s">
        <v>109</v>
      </c>
      <c r="AL586" s="1">
        <v>8</v>
      </c>
      <c r="AM586" s="1" t="s">
        <v>109</v>
      </c>
      <c r="AN586" s="1" t="s">
        <v>109</v>
      </c>
      <c r="AO586" s="1" t="s">
        <v>109</v>
      </c>
      <c r="AP586" s="1"/>
      <c r="AQ586" s="1">
        <v>8</v>
      </c>
      <c r="AR586" s="1" t="s">
        <v>5210</v>
      </c>
      <c r="AS586" s="1" t="s">
        <v>5211</v>
      </c>
      <c r="AT586" s="1">
        <v>0</v>
      </c>
      <c r="AU586" s="1">
        <v>0</v>
      </c>
      <c r="AV586" s="1">
        <v>0</v>
      </c>
      <c r="AW586" s="1">
        <v>0</v>
      </c>
      <c r="AX586" s="1">
        <v>0</v>
      </c>
      <c r="AY586" s="1">
        <v>0</v>
      </c>
      <c r="AZ586" s="1">
        <v>0</v>
      </c>
      <c r="BA586" s="1">
        <v>0</v>
      </c>
      <c r="BB586" s="1">
        <v>0</v>
      </c>
      <c r="BC586" s="1">
        <v>0</v>
      </c>
      <c r="BD586" s="1">
        <v>0</v>
      </c>
      <c r="BE586" s="1">
        <v>1</v>
      </c>
      <c r="BF586" s="1">
        <v>0</v>
      </c>
      <c r="BG586" s="1">
        <v>0</v>
      </c>
      <c r="BH586" s="1">
        <v>0</v>
      </c>
      <c r="BI586" s="1">
        <v>0</v>
      </c>
      <c r="BJ586" s="1">
        <v>0</v>
      </c>
      <c r="BK586" s="1">
        <v>0</v>
      </c>
      <c r="BL586" s="1">
        <v>0</v>
      </c>
      <c r="BM586" s="1">
        <v>0</v>
      </c>
      <c r="BN586" s="1">
        <v>0</v>
      </c>
      <c r="BO586" s="1">
        <v>0</v>
      </c>
      <c r="BP586" s="1">
        <v>0</v>
      </c>
      <c r="BQ586" s="1">
        <v>0</v>
      </c>
      <c r="BR586" s="1">
        <v>0</v>
      </c>
      <c r="BS586" s="5" t="str">
        <f>HYPERLINK("http://www.d20pfsrd.com/magic/all-spells/u/unholy-aura","Unholy Aura")</f>
        <v>Unholy Aura</v>
      </c>
      <c r="BT586" s="1">
        <v>587</v>
      </c>
      <c r="BU586" s="1">
        <v>500</v>
      </c>
      <c r="BV586" s="1" t="s">
        <v>5212</v>
      </c>
      <c r="BW586" s="1"/>
      <c r="BX586" s="1"/>
      <c r="BY586" s="1"/>
      <c r="BZ586" s="1">
        <v>0</v>
      </c>
      <c r="CA586" s="1" t="s">
        <v>109</v>
      </c>
      <c r="CB586" s="1" t="s">
        <v>109</v>
      </c>
      <c r="CC586" s="1" t="s">
        <v>109</v>
      </c>
      <c r="CD586" s="1" t="s">
        <v>109</v>
      </c>
      <c r="CE586" s="1" t="s">
        <v>109</v>
      </c>
      <c r="CF586" s="1" t="s">
        <v>109</v>
      </c>
      <c r="CG586" s="1" t="s">
        <v>109</v>
      </c>
      <c r="CH586" s="1" t="s">
        <v>109</v>
      </c>
      <c r="CI586" s="1" t="s">
        <v>109</v>
      </c>
      <c r="CJ586" s="1" t="s">
        <v>109</v>
      </c>
      <c r="CK586" s="1"/>
      <c r="CL586" s="1">
        <v>0</v>
      </c>
      <c r="CM586" s="1">
        <v>0</v>
      </c>
      <c r="CN586" s="1">
        <v>0</v>
      </c>
    </row>
    <row r="587" spans="1:92" ht="14.25" customHeight="1" x14ac:dyDescent="0.15">
      <c r="A587" s="1" t="s">
        <v>5213</v>
      </c>
      <c r="B587" s="1" t="s">
        <v>584</v>
      </c>
      <c r="C587" s="1"/>
      <c r="D587" s="1" t="s">
        <v>57</v>
      </c>
      <c r="E587" s="1" t="s">
        <v>823</v>
      </c>
      <c r="F587" s="1" t="s">
        <v>98</v>
      </c>
      <c r="G587" s="1" t="s">
        <v>141</v>
      </c>
      <c r="H587" s="1">
        <v>0</v>
      </c>
      <c r="I587" s="1" t="s">
        <v>122</v>
      </c>
      <c r="J587" s="1" t="s">
        <v>573</v>
      </c>
      <c r="K587" s="1"/>
      <c r="L587" s="1"/>
      <c r="M587" s="1" t="s">
        <v>5214</v>
      </c>
      <c r="N587" s="1">
        <v>0</v>
      </c>
      <c r="O587" s="1">
        <v>0</v>
      </c>
      <c r="P587" s="1" t="s">
        <v>380</v>
      </c>
      <c r="Q587" s="1" t="s">
        <v>268</v>
      </c>
      <c r="R587" s="1" t="s">
        <v>5215</v>
      </c>
      <c r="S587" s="1" t="s">
        <v>5216</v>
      </c>
      <c r="T587" s="1" t="s">
        <v>107</v>
      </c>
      <c r="U587" s="1" t="s">
        <v>5217</v>
      </c>
      <c r="V587" s="1">
        <v>1</v>
      </c>
      <c r="W587" s="1">
        <v>1</v>
      </c>
      <c r="X587" s="1">
        <v>0</v>
      </c>
      <c r="Y587" s="1">
        <v>0</v>
      </c>
      <c r="Z587" s="1">
        <v>0</v>
      </c>
      <c r="AA587" s="1" t="s">
        <v>109</v>
      </c>
      <c r="AB587" s="1" t="s">
        <v>109</v>
      </c>
      <c r="AC587" s="1">
        <v>4</v>
      </c>
      <c r="AD587" s="1" t="s">
        <v>109</v>
      </c>
      <c r="AE587" s="1" t="s">
        <v>109</v>
      </c>
      <c r="AF587" s="1" t="s">
        <v>109</v>
      </c>
      <c r="AG587" s="1" t="s">
        <v>109</v>
      </c>
      <c r="AH587" s="1" t="s">
        <v>109</v>
      </c>
      <c r="AI587" s="1" t="s">
        <v>109</v>
      </c>
      <c r="AJ587" s="1" t="s">
        <v>109</v>
      </c>
      <c r="AK587" s="1">
        <v>4</v>
      </c>
      <c r="AL587" s="1">
        <v>4</v>
      </c>
      <c r="AM587" s="1" t="s">
        <v>109</v>
      </c>
      <c r="AN587" s="1" t="s">
        <v>109</v>
      </c>
      <c r="AO587" s="1" t="s">
        <v>109</v>
      </c>
      <c r="AP587" s="1"/>
      <c r="AQ587" s="1">
        <v>4</v>
      </c>
      <c r="AR587" s="1" t="s">
        <v>5218</v>
      </c>
      <c r="AS587" s="1" t="s">
        <v>5219</v>
      </c>
      <c r="AT587" s="1">
        <v>0</v>
      </c>
      <c r="AU587" s="1">
        <v>0</v>
      </c>
      <c r="AV587" s="1">
        <v>0</v>
      </c>
      <c r="AW587" s="1">
        <v>0</v>
      </c>
      <c r="AX587" s="1">
        <v>0</v>
      </c>
      <c r="AY587" s="1">
        <v>0</v>
      </c>
      <c r="AZ587" s="1">
        <v>0</v>
      </c>
      <c r="BA587" s="1">
        <v>0</v>
      </c>
      <c r="BB587" s="1">
        <v>0</v>
      </c>
      <c r="BC587" s="1">
        <v>0</v>
      </c>
      <c r="BD587" s="1">
        <v>0</v>
      </c>
      <c r="BE587" s="1">
        <v>1</v>
      </c>
      <c r="BF587" s="1">
        <v>0</v>
      </c>
      <c r="BG587" s="1">
        <v>0</v>
      </c>
      <c r="BH587" s="1">
        <v>0</v>
      </c>
      <c r="BI587" s="1">
        <v>0</v>
      </c>
      <c r="BJ587" s="1">
        <v>0</v>
      </c>
      <c r="BK587" s="1">
        <v>0</v>
      </c>
      <c r="BL587" s="1">
        <v>0</v>
      </c>
      <c r="BM587" s="1">
        <v>0</v>
      </c>
      <c r="BN587" s="1">
        <v>0</v>
      </c>
      <c r="BO587" s="1">
        <v>0</v>
      </c>
      <c r="BP587" s="1">
        <v>0</v>
      </c>
      <c r="BQ587" s="1">
        <v>0</v>
      </c>
      <c r="BR587" s="1">
        <v>0</v>
      </c>
      <c r="BS587" s="5" t="str">
        <f>HYPERLINK("http://www.d20pfsrd.com/magic/all-spells/u/unholy-blight","Unholy Blight")</f>
        <v>Unholy Blight</v>
      </c>
      <c r="BT587" s="1">
        <v>588</v>
      </c>
      <c r="BU587" s="1" t="s">
        <v>109</v>
      </c>
      <c r="BV587" s="1"/>
      <c r="BW587" s="1"/>
      <c r="BX587" s="1" t="s">
        <v>5220</v>
      </c>
      <c r="BY587" s="1"/>
      <c r="BZ587" s="1">
        <v>1</v>
      </c>
      <c r="CA587" s="1" t="s">
        <v>109</v>
      </c>
      <c r="CB587" s="1" t="s">
        <v>109</v>
      </c>
      <c r="CC587" s="1" t="s">
        <v>109</v>
      </c>
      <c r="CD587" s="1" t="s">
        <v>109</v>
      </c>
      <c r="CE587" s="1" t="s">
        <v>109</v>
      </c>
      <c r="CF587" s="1" t="s">
        <v>109</v>
      </c>
      <c r="CG587" s="1" t="s">
        <v>109</v>
      </c>
      <c r="CH587" s="1" t="s">
        <v>109</v>
      </c>
      <c r="CI587" s="1" t="s">
        <v>109</v>
      </c>
      <c r="CJ587" s="1" t="s">
        <v>109</v>
      </c>
      <c r="CK587" s="1"/>
      <c r="CL587" s="1">
        <v>0</v>
      </c>
      <c r="CM587" s="1">
        <v>0</v>
      </c>
      <c r="CN587" s="1">
        <v>0</v>
      </c>
    </row>
    <row r="588" spans="1:92" ht="14.25" customHeight="1" x14ac:dyDescent="0.15">
      <c r="A588" s="1" t="s">
        <v>5221</v>
      </c>
      <c r="B588" s="1" t="s">
        <v>95</v>
      </c>
      <c r="C588" s="1" t="s">
        <v>96</v>
      </c>
      <c r="D588" s="1"/>
      <c r="E588" s="1" t="s">
        <v>5222</v>
      </c>
      <c r="F588" s="1" t="s">
        <v>98</v>
      </c>
      <c r="G588" s="1" t="s">
        <v>5223</v>
      </c>
      <c r="H588" s="1">
        <v>0</v>
      </c>
      <c r="I588" s="1" t="s">
        <v>142</v>
      </c>
      <c r="J588" s="1"/>
      <c r="K588" s="1" t="s">
        <v>5224</v>
      </c>
      <c r="L588" s="1"/>
      <c r="M588" s="1" t="s">
        <v>289</v>
      </c>
      <c r="N588" s="1">
        <v>0</v>
      </c>
      <c r="O588" s="1">
        <v>0</v>
      </c>
      <c r="P588" s="1" t="s">
        <v>103</v>
      </c>
      <c r="Q588" s="1" t="s">
        <v>104</v>
      </c>
      <c r="R588" s="1" t="s">
        <v>5225</v>
      </c>
      <c r="S588" s="1" t="s">
        <v>5226</v>
      </c>
      <c r="T588" s="1" t="s">
        <v>107</v>
      </c>
      <c r="U588" s="1" t="s">
        <v>5227</v>
      </c>
      <c r="V588" s="1">
        <v>1</v>
      </c>
      <c r="W588" s="1">
        <v>1</v>
      </c>
      <c r="X588" s="1">
        <v>1</v>
      </c>
      <c r="Y588" s="1">
        <v>0</v>
      </c>
      <c r="Z588" s="1">
        <v>0</v>
      </c>
      <c r="AA588" s="1">
        <v>1</v>
      </c>
      <c r="AB588" s="1">
        <v>1</v>
      </c>
      <c r="AC588" s="1" t="s">
        <v>109</v>
      </c>
      <c r="AD588" s="1" t="s">
        <v>109</v>
      </c>
      <c r="AE588" s="1" t="s">
        <v>109</v>
      </c>
      <c r="AF588" s="1">
        <v>1</v>
      </c>
      <c r="AG588" s="1" t="s">
        <v>109</v>
      </c>
      <c r="AH588" s="1" t="s">
        <v>109</v>
      </c>
      <c r="AI588" s="1">
        <v>1</v>
      </c>
      <c r="AJ588" s="1">
        <v>1</v>
      </c>
      <c r="AK588" s="1" t="s">
        <v>109</v>
      </c>
      <c r="AL588" s="1" t="s">
        <v>109</v>
      </c>
      <c r="AM588" s="1" t="s">
        <v>109</v>
      </c>
      <c r="AN588" s="1">
        <v>1</v>
      </c>
      <c r="AO588" s="1" t="s">
        <v>109</v>
      </c>
      <c r="AP588" s="1"/>
      <c r="AQ588" s="1">
        <v>1</v>
      </c>
      <c r="AR588" s="1"/>
      <c r="AS588" s="1" t="s">
        <v>5228</v>
      </c>
      <c r="AT588" s="1">
        <v>0</v>
      </c>
      <c r="AU588" s="1">
        <v>0</v>
      </c>
      <c r="AV588" s="1">
        <v>0</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5" t="str">
        <f>HYPERLINK("http://www.d20pfsrd.com/magic/all-spells/u/unseen-servant","Unseen Servant")</f>
        <v>Unseen Servant</v>
      </c>
      <c r="BT588" s="1">
        <v>589</v>
      </c>
      <c r="BU588" s="1" t="s">
        <v>109</v>
      </c>
      <c r="BV588" s="1" t="s">
        <v>5229</v>
      </c>
      <c r="BW588" s="1"/>
      <c r="BX588" s="1"/>
      <c r="BY588" s="1"/>
      <c r="BZ588" s="1">
        <v>0</v>
      </c>
      <c r="CA588" s="1" t="s">
        <v>109</v>
      </c>
      <c r="CB588" s="1" t="s">
        <v>109</v>
      </c>
      <c r="CC588" s="1">
        <v>1</v>
      </c>
      <c r="CD588" s="1" t="s">
        <v>109</v>
      </c>
      <c r="CE588" s="1">
        <v>1</v>
      </c>
      <c r="CF588" s="1">
        <v>1</v>
      </c>
      <c r="CG588" s="1">
        <v>1</v>
      </c>
      <c r="CH588" s="1" t="s">
        <v>109</v>
      </c>
      <c r="CI588" s="1" t="s">
        <v>109</v>
      </c>
      <c r="CJ588" s="1" t="s">
        <v>109</v>
      </c>
      <c r="CK588" s="1"/>
      <c r="CL588" s="1">
        <v>0</v>
      </c>
      <c r="CM588" s="1">
        <v>0</v>
      </c>
      <c r="CN588" s="1">
        <v>0</v>
      </c>
    </row>
    <row r="589" spans="1:92" ht="14.25" customHeight="1" x14ac:dyDescent="0.15">
      <c r="A589" s="1" t="s">
        <v>5230</v>
      </c>
      <c r="B589" s="1" t="s">
        <v>308</v>
      </c>
      <c r="C589" s="1"/>
      <c r="D589" s="1"/>
      <c r="E589" s="1" t="s">
        <v>5231</v>
      </c>
      <c r="F589" s="1" t="s">
        <v>98</v>
      </c>
      <c r="G589" s="1" t="s">
        <v>141</v>
      </c>
      <c r="H589" s="1">
        <v>0</v>
      </c>
      <c r="I589" s="1" t="s">
        <v>161</v>
      </c>
      <c r="J589" s="1"/>
      <c r="K589" s="1"/>
      <c r="L589" s="1" t="s">
        <v>162</v>
      </c>
      <c r="M589" s="1" t="s">
        <v>5232</v>
      </c>
      <c r="N589" s="1">
        <v>0</v>
      </c>
      <c r="O589" s="1">
        <v>0</v>
      </c>
      <c r="P589" s="1" t="s">
        <v>103</v>
      </c>
      <c r="Q589" s="1" t="s">
        <v>268</v>
      </c>
      <c r="R589" s="1" t="s">
        <v>5233</v>
      </c>
      <c r="S589" s="1" t="s">
        <v>5234</v>
      </c>
      <c r="T589" s="1" t="s">
        <v>107</v>
      </c>
      <c r="U589" s="1" t="s">
        <v>5235</v>
      </c>
      <c r="V589" s="1">
        <v>1</v>
      </c>
      <c r="W589" s="1">
        <v>1</v>
      </c>
      <c r="X589" s="1">
        <v>0</v>
      </c>
      <c r="Y589" s="1">
        <v>0</v>
      </c>
      <c r="Z589" s="1">
        <v>0</v>
      </c>
      <c r="AA589" s="1">
        <v>3</v>
      </c>
      <c r="AB589" s="1">
        <v>3</v>
      </c>
      <c r="AC589" s="1" t="s">
        <v>109</v>
      </c>
      <c r="AD589" s="1" t="s">
        <v>109</v>
      </c>
      <c r="AE589" s="1" t="s">
        <v>109</v>
      </c>
      <c r="AF589" s="1" t="s">
        <v>109</v>
      </c>
      <c r="AG589" s="1" t="s">
        <v>109</v>
      </c>
      <c r="AH589" s="1" t="s">
        <v>109</v>
      </c>
      <c r="AI589" s="1" t="s">
        <v>109</v>
      </c>
      <c r="AJ589" s="1">
        <v>3</v>
      </c>
      <c r="AK589" s="1" t="s">
        <v>109</v>
      </c>
      <c r="AL589" s="1" t="s">
        <v>109</v>
      </c>
      <c r="AM589" s="1">
        <v>3</v>
      </c>
      <c r="AN589" s="1">
        <v>3</v>
      </c>
      <c r="AO589" s="1" t="s">
        <v>109</v>
      </c>
      <c r="AP589" s="1"/>
      <c r="AQ589" s="1">
        <v>3</v>
      </c>
      <c r="AR589" s="1" t="s">
        <v>5236</v>
      </c>
      <c r="AS589" s="1" t="s">
        <v>5237</v>
      </c>
      <c r="AT589" s="1">
        <v>0</v>
      </c>
      <c r="AU589" s="1">
        <v>0</v>
      </c>
      <c r="AV589" s="1">
        <v>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5" t="str">
        <f>HYPERLINK("http://www.d20pfsrd.com/magic/all-spells/v/vampiric-touch","Vampiric touch")</f>
        <v>Vampiric touch</v>
      </c>
      <c r="BT589" s="1">
        <v>590</v>
      </c>
      <c r="BU589" s="1" t="s">
        <v>109</v>
      </c>
      <c r="BV589" s="1" t="s">
        <v>5238</v>
      </c>
      <c r="BW589" s="1"/>
      <c r="BX589" s="1" t="s">
        <v>5239</v>
      </c>
      <c r="BY589" s="1"/>
      <c r="BZ589" s="1">
        <v>1</v>
      </c>
      <c r="CA589" s="1">
        <v>3</v>
      </c>
      <c r="CB589" s="1" t="s">
        <v>109</v>
      </c>
      <c r="CC589" s="1">
        <v>3</v>
      </c>
      <c r="CD589" s="1" t="s">
        <v>109</v>
      </c>
      <c r="CE589" s="1">
        <v>3</v>
      </c>
      <c r="CF589" s="1" t="s">
        <v>109</v>
      </c>
      <c r="CG589" s="1">
        <v>3</v>
      </c>
      <c r="CH589" s="1" t="s">
        <v>109</v>
      </c>
      <c r="CI589" s="1" t="s">
        <v>109</v>
      </c>
      <c r="CJ589" s="1" t="s">
        <v>109</v>
      </c>
      <c r="CK589" s="1"/>
      <c r="CL589" s="1">
        <v>0</v>
      </c>
      <c r="CM589" s="1">
        <v>0</v>
      </c>
      <c r="CN589" s="1">
        <v>0</v>
      </c>
    </row>
    <row r="590" spans="1:92" ht="14.25" customHeight="1" x14ac:dyDescent="0.15">
      <c r="A590" s="1" t="s">
        <v>5240</v>
      </c>
      <c r="B590" s="1" t="s">
        <v>674</v>
      </c>
      <c r="C590" s="1" t="s">
        <v>675</v>
      </c>
      <c r="D590" s="1"/>
      <c r="E590" s="1" t="s">
        <v>3792</v>
      </c>
      <c r="F590" s="1" t="s">
        <v>98</v>
      </c>
      <c r="G590" s="1" t="s">
        <v>141</v>
      </c>
      <c r="H590" s="1">
        <v>0</v>
      </c>
      <c r="I590" s="1" t="s">
        <v>100</v>
      </c>
      <c r="J590" s="1"/>
      <c r="K590" s="1"/>
      <c r="L590" s="1" t="s">
        <v>2511</v>
      </c>
      <c r="M590" s="1" t="s">
        <v>5241</v>
      </c>
      <c r="N590" s="1">
        <v>1</v>
      </c>
      <c r="O590" s="1">
        <v>0</v>
      </c>
      <c r="P590" s="1" t="s">
        <v>564</v>
      </c>
      <c r="Q590" s="1" t="s">
        <v>4298</v>
      </c>
      <c r="R590" s="1" t="s">
        <v>5242</v>
      </c>
      <c r="S590" s="1" t="s">
        <v>5243</v>
      </c>
      <c r="T590" s="1" t="s">
        <v>107</v>
      </c>
      <c r="U590" s="1" t="s">
        <v>5244</v>
      </c>
      <c r="V590" s="1">
        <v>1</v>
      </c>
      <c r="W590" s="1">
        <v>1</v>
      </c>
      <c r="X590" s="1">
        <v>0</v>
      </c>
      <c r="Y590" s="1">
        <v>0</v>
      </c>
      <c r="Z590" s="1">
        <v>0</v>
      </c>
      <c r="AA590" s="1">
        <v>6</v>
      </c>
      <c r="AB590" s="1">
        <v>6</v>
      </c>
      <c r="AC590" s="1" t="s">
        <v>109</v>
      </c>
      <c r="AD590" s="1" t="s">
        <v>109</v>
      </c>
      <c r="AE590" s="1" t="s">
        <v>109</v>
      </c>
      <c r="AF590" s="1">
        <v>6</v>
      </c>
      <c r="AG590" s="1" t="s">
        <v>109</v>
      </c>
      <c r="AH590" s="1" t="s">
        <v>109</v>
      </c>
      <c r="AI590" s="1" t="s">
        <v>109</v>
      </c>
      <c r="AJ590" s="1" t="s">
        <v>109</v>
      </c>
      <c r="AK590" s="1" t="s">
        <v>109</v>
      </c>
      <c r="AL590" s="1" t="s">
        <v>109</v>
      </c>
      <c r="AM590" s="1" t="s">
        <v>109</v>
      </c>
      <c r="AN590" s="1" t="s">
        <v>109</v>
      </c>
      <c r="AO590" s="1" t="s">
        <v>109</v>
      </c>
      <c r="AP590" s="1"/>
      <c r="AQ590" s="1">
        <v>6</v>
      </c>
      <c r="AR590" s="1" t="s">
        <v>5245</v>
      </c>
      <c r="AS590" s="1" t="s">
        <v>5246</v>
      </c>
      <c r="AT590" s="1">
        <v>0</v>
      </c>
      <c r="AU590" s="1">
        <v>0</v>
      </c>
      <c r="AV590" s="1">
        <v>0</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5" t="str">
        <f>HYPERLINK("http://www.d20pfsrd.com/magic/all-spells/v/veil","Veil")</f>
        <v>Veil</v>
      </c>
      <c r="BT590" s="1">
        <v>592</v>
      </c>
      <c r="BU590" s="1" t="s">
        <v>109</v>
      </c>
      <c r="BV590" s="1" t="s">
        <v>5247</v>
      </c>
      <c r="BW590" s="1"/>
      <c r="BX590" s="1"/>
      <c r="BY590" s="1"/>
      <c r="BZ590" s="1">
        <v>0</v>
      </c>
      <c r="CA590" s="1" t="s">
        <v>109</v>
      </c>
      <c r="CB590" s="1" t="s">
        <v>109</v>
      </c>
      <c r="CC590" s="1">
        <v>6</v>
      </c>
      <c r="CD590" s="1" t="s">
        <v>109</v>
      </c>
      <c r="CE590" s="1">
        <v>6</v>
      </c>
      <c r="CF590" s="1" t="s">
        <v>109</v>
      </c>
      <c r="CG590" s="1" t="s">
        <v>109</v>
      </c>
      <c r="CH590" s="1" t="s">
        <v>109</v>
      </c>
      <c r="CI590" s="1" t="s">
        <v>109</v>
      </c>
      <c r="CJ590" s="1" t="s">
        <v>109</v>
      </c>
      <c r="CK590" s="1"/>
      <c r="CL590" s="1">
        <v>0</v>
      </c>
      <c r="CM590" s="1">
        <v>0</v>
      </c>
      <c r="CN590" s="1">
        <v>0</v>
      </c>
    </row>
    <row r="591" spans="1:92" ht="14.25" customHeight="1" x14ac:dyDescent="0.15">
      <c r="A591" s="1" t="s">
        <v>5248</v>
      </c>
      <c r="B591" s="1" t="s">
        <v>674</v>
      </c>
      <c r="C591" s="1" t="s">
        <v>2300</v>
      </c>
      <c r="D591" s="1"/>
      <c r="E591" s="1" t="s">
        <v>5249</v>
      </c>
      <c r="F591" s="1" t="s">
        <v>98</v>
      </c>
      <c r="G591" s="1" t="s">
        <v>5250</v>
      </c>
      <c r="H591" s="1">
        <v>0</v>
      </c>
      <c r="I591" s="1" t="s">
        <v>142</v>
      </c>
      <c r="J591" s="1"/>
      <c r="K591" s="1" t="s">
        <v>5251</v>
      </c>
      <c r="L591" s="1"/>
      <c r="M591" s="1" t="s">
        <v>164</v>
      </c>
      <c r="N591" s="1">
        <v>1</v>
      </c>
      <c r="O591" s="1">
        <v>0</v>
      </c>
      <c r="P591" s="1" t="s">
        <v>2465</v>
      </c>
      <c r="Q591" s="1" t="s">
        <v>104</v>
      </c>
      <c r="R591" s="1" t="s">
        <v>5252</v>
      </c>
      <c r="S591" s="1" t="s">
        <v>5253</v>
      </c>
      <c r="T591" s="1" t="s">
        <v>107</v>
      </c>
      <c r="U591" s="1" t="s">
        <v>5254</v>
      </c>
      <c r="V591" s="1">
        <v>1</v>
      </c>
      <c r="W591" s="1">
        <v>0</v>
      </c>
      <c r="X591" s="1">
        <v>0</v>
      </c>
      <c r="Y591" s="1">
        <v>1</v>
      </c>
      <c r="Z591" s="1">
        <v>0</v>
      </c>
      <c r="AA591" s="1">
        <v>1</v>
      </c>
      <c r="AB591" s="1">
        <v>1</v>
      </c>
      <c r="AC591" s="1" t="s">
        <v>109</v>
      </c>
      <c r="AD591" s="1" t="s">
        <v>109</v>
      </c>
      <c r="AE591" s="1" t="s">
        <v>109</v>
      </c>
      <c r="AF591" s="1">
        <v>1</v>
      </c>
      <c r="AG591" s="1" t="s">
        <v>109</v>
      </c>
      <c r="AH591" s="1" t="s">
        <v>109</v>
      </c>
      <c r="AI591" s="1">
        <v>1</v>
      </c>
      <c r="AJ591" s="1" t="s">
        <v>109</v>
      </c>
      <c r="AK591" s="1" t="s">
        <v>109</v>
      </c>
      <c r="AL591" s="1" t="s">
        <v>109</v>
      </c>
      <c r="AM591" s="1" t="s">
        <v>109</v>
      </c>
      <c r="AN591" s="1" t="s">
        <v>109</v>
      </c>
      <c r="AO591" s="1" t="s">
        <v>109</v>
      </c>
      <c r="AP591" s="1"/>
      <c r="AQ591" s="1">
        <v>1</v>
      </c>
      <c r="AR591" s="1"/>
      <c r="AS591" s="1" t="s">
        <v>5255</v>
      </c>
      <c r="AT591" s="1">
        <v>0</v>
      </c>
      <c r="AU591" s="1">
        <v>0</v>
      </c>
      <c r="AV591" s="1">
        <v>0</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5" t="str">
        <f>HYPERLINK("http://www.d20pfsrd.com/magic/all-spells/v/ventriloquism","Ventriloquism")</f>
        <v>Ventriloquism</v>
      </c>
      <c r="BT591" s="1">
        <v>593</v>
      </c>
      <c r="BU591" s="1" t="s">
        <v>109</v>
      </c>
      <c r="BV591" s="1" t="s">
        <v>5256</v>
      </c>
      <c r="BW591" s="1" t="s">
        <v>5257</v>
      </c>
      <c r="BX591" s="1"/>
      <c r="BY591" s="1"/>
      <c r="BZ591" s="1">
        <v>0</v>
      </c>
      <c r="CA591" s="1" t="s">
        <v>109</v>
      </c>
      <c r="CB591" s="1" t="s">
        <v>109</v>
      </c>
      <c r="CC591" s="1">
        <v>1</v>
      </c>
      <c r="CD591" s="1" t="s">
        <v>109</v>
      </c>
      <c r="CE591" s="1">
        <v>1</v>
      </c>
      <c r="CF591" s="1" t="s">
        <v>109</v>
      </c>
      <c r="CG591" s="1">
        <v>1</v>
      </c>
      <c r="CH591" s="1" t="s">
        <v>109</v>
      </c>
      <c r="CI591" s="1" t="s">
        <v>109</v>
      </c>
      <c r="CJ591" s="1" t="s">
        <v>109</v>
      </c>
      <c r="CK591" s="1"/>
      <c r="CL591" s="1">
        <v>0</v>
      </c>
      <c r="CM591" s="1">
        <v>0</v>
      </c>
      <c r="CN591" s="1">
        <v>0</v>
      </c>
    </row>
    <row r="592" spans="1:92" ht="14.25" customHeight="1" x14ac:dyDescent="0.15">
      <c r="A592" s="1" t="s">
        <v>5258</v>
      </c>
      <c r="B592" s="1" t="s">
        <v>189</v>
      </c>
      <c r="C592" s="1"/>
      <c r="D592" s="1"/>
      <c r="E592" s="1" t="s">
        <v>5259</v>
      </c>
      <c r="F592" s="1" t="s">
        <v>98</v>
      </c>
      <c r="G592" s="1" t="s">
        <v>160</v>
      </c>
      <c r="H592" s="1">
        <v>0</v>
      </c>
      <c r="I592" s="1" t="s">
        <v>161</v>
      </c>
      <c r="J592" s="1"/>
      <c r="K592" s="1"/>
      <c r="L592" s="1" t="s">
        <v>506</v>
      </c>
      <c r="M592" s="1" t="s">
        <v>5260</v>
      </c>
      <c r="N592" s="1">
        <v>0</v>
      </c>
      <c r="O592" s="1">
        <v>0</v>
      </c>
      <c r="P592" s="1" t="s">
        <v>103</v>
      </c>
      <c r="Q592" s="1" t="s">
        <v>167</v>
      </c>
      <c r="R592" s="1" t="s">
        <v>5261</v>
      </c>
      <c r="S592" s="1" t="s">
        <v>5262</v>
      </c>
      <c r="T592" s="1" t="s">
        <v>107</v>
      </c>
      <c r="U592" s="1" t="s">
        <v>5263</v>
      </c>
      <c r="V592" s="1">
        <v>1</v>
      </c>
      <c r="W592" s="1">
        <v>1</v>
      </c>
      <c r="X592" s="1">
        <v>0</v>
      </c>
      <c r="Y592" s="1">
        <v>0</v>
      </c>
      <c r="Z592" s="1">
        <v>1</v>
      </c>
      <c r="AA592" s="1" t="s">
        <v>109</v>
      </c>
      <c r="AB592" s="1" t="s">
        <v>109</v>
      </c>
      <c r="AC592" s="1">
        <v>0</v>
      </c>
      <c r="AD592" s="1">
        <v>0</v>
      </c>
      <c r="AE592" s="1" t="s">
        <v>109</v>
      </c>
      <c r="AF592" s="1" t="s">
        <v>109</v>
      </c>
      <c r="AG592" s="1">
        <v>1</v>
      </c>
      <c r="AH592" s="1" t="s">
        <v>109</v>
      </c>
      <c r="AI592" s="1" t="s">
        <v>109</v>
      </c>
      <c r="AJ592" s="1" t="s">
        <v>109</v>
      </c>
      <c r="AK592" s="1">
        <v>0</v>
      </c>
      <c r="AL592" s="1">
        <v>0</v>
      </c>
      <c r="AM592" s="1" t="s">
        <v>109</v>
      </c>
      <c r="AN592" s="1" t="s">
        <v>109</v>
      </c>
      <c r="AO592" s="1" t="s">
        <v>109</v>
      </c>
      <c r="AP592" s="1"/>
      <c r="AQ592" s="1">
        <v>0</v>
      </c>
      <c r="AR592" s="1"/>
      <c r="AS592" s="1" t="s">
        <v>5264</v>
      </c>
      <c r="AT592" s="1">
        <v>0</v>
      </c>
      <c r="AU592" s="1">
        <v>0</v>
      </c>
      <c r="AV592" s="1">
        <v>0</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5" t="str">
        <f>HYPERLINK("http://www.d20pfsrd.com/magic/all-spells/v/virtue","Virtue")</f>
        <v>Virtue</v>
      </c>
      <c r="BT592" s="1">
        <v>594</v>
      </c>
      <c r="BU592" s="1" t="s">
        <v>109</v>
      </c>
      <c r="BV592" s="1"/>
      <c r="BW592" s="1"/>
      <c r="BX592" s="1"/>
      <c r="BY592" s="1"/>
      <c r="BZ592" s="1">
        <v>0</v>
      </c>
      <c r="CA592" s="1" t="s">
        <v>109</v>
      </c>
      <c r="CB592" s="1">
        <v>0</v>
      </c>
      <c r="CC592" s="1">
        <v>0</v>
      </c>
      <c r="CD592" s="1" t="s">
        <v>109</v>
      </c>
      <c r="CE592" s="1" t="s">
        <v>109</v>
      </c>
      <c r="CF592" s="1" t="s">
        <v>109</v>
      </c>
      <c r="CG592" s="1">
        <v>0</v>
      </c>
      <c r="CH592" s="1" t="s">
        <v>109</v>
      </c>
      <c r="CI592" s="1" t="s">
        <v>109</v>
      </c>
      <c r="CJ592" s="1">
        <v>0</v>
      </c>
      <c r="CK592" s="1"/>
      <c r="CL592" s="1">
        <v>0</v>
      </c>
      <c r="CM592" s="1">
        <v>0</v>
      </c>
      <c r="CN592" s="1">
        <v>0</v>
      </c>
    </row>
    <row r="593" spans="1:92" ht="14.25" customHeight="1" x14ac:dyDescent="0.15">
      <c r="A593" s="1" t="s">
        <v>5265</v>
      </c>
      <c r="B593" s="1" t="s">
        <v>254</v>
      </c>
      <c r="C593" s="1"/>
      <c r="D593" s="1"/>
      <c r="E593" s="1" t="s">
        <v>5266</v>
      </c>
      <c r="F593" s="1" t="s">
        <v>98</v>
      </c>
      <c r="G593" s="1" t="s">
        <v>2934</v>
      </c>
      <c r="H593" s="1">
        <v>1</v>
      </c>
      <c r="I593" s="1" t="s">
        <v>235</v>
      </c>
      <c r="J593" s="1"/>
      <c r="K593" s="1"/>
      <c r="L593" s="1" t="s">
        <v>236</v>
      </c>
      <c r="M593" s="1" t="s">
        <v>211</v>
      </c>
      <c r="N593" s="1">
        <v>0</v>
      </c>
      <c r="O593" s="1">
        <v>0</v>
      </c>
      <c r="P593" s="1"/>
      <c r="Q593" s="1"/>
      <c r="R593" s="1" t="s">
        <v>5267</v>
      </c>
      <c r="S593" s="1" t="s">
        <v>5268</v>
      </c>
      <c r="T593" s="1" t="s">
        <v>107</v>
      </c>
      <c r="U593" s="1" t="s">
        <v>5269</v>
      </c>
      <c r="V593" s="1">
        <v>1</v>
      </c>
      <c r="W593" s="1">
        <v>1</v>
      </c>
      <c r="X593" s="1">
        <v>1</v>
      </c>
      <c r="Y593" s="1">
        <v>1</v>
      </c>
      <c r="Z593" s="1">
        <v>0</v>
      </c>
      <c r="AA593" s="1">
        <v>7</v>
      </c>
      <c r="AB593" s="1">
        <v>7</v>
      </c>
      <c r="AC593" s="1" t="s">
        <v>109</v>
      </c>
      <c r="AD593" s="1" t="s">
        <v>109</v>
      </c>
      <c r="AE593" s="1" t="s">
        <v>109</v>
      </c>
      <c r="AF593" s="1" t="s">
        <v>109</v>
      </c>
      <c r="AG593" s="1" t="s">
        <v>109</v>
      </c>
      <c r="AH593" s="1" t="s">
        <v>109</v>
      </c>
      <c r="AI593" s="1" t="s">
        <v>109</v>
      </c>
      <c r="AJ593" s="1">
        <v>7</v>
      </c>
      <c r="AK593" s="1" t="s">
        <v>109</v>
      </c>
      <c r="AL593" s="1" t="s">
        <v>109</v>
      </c>
      <c r="AM593" s="1" t="s">
        <v>109</v>
      </c>
      <c r="AN593" s="1" t="s">
        <v>109</v>
      </c>
      <c r="AO593" s="1" t="s">
        <v>109</v>
      </c>
      <c r="AP593" s="1"/>
      <c r="AQ593" s="1">
        <v>7</v>
      </c>
      <c r="AR593" s="1"/>
      <c r="AS593" s="1" t="s">
        <v>5270</v>
      </c>
      <c r="AT593" s="1">
        <v>0</v>
      </c>
      <c r="AU593" s="1">
        <v>0</v>
      </c>
      <c r="AV593" s="1">
        <v>0</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5" t="str">
        <f>HYPERLINK("http://www.d20pfsrd.com/magic/all-spells/v/vision","Vision")</f>
        <v>Vision</v>
      </c>
      <c r="BT593" s="1">
        <v>595</v>
      </c>
      <c r="BU593" s="1">
        <v>250</v>
      </c>
      <c r="BV593" s="1" t="s">
        <v>5271</v>
      </c>
      <c r="BW593" s="1" t="s">
        <v>5272</v>
      </c>
      <c r="BX593" s="1"/>
      <c r="BY593" s="1"/>
      <c r="BZ593" s="1">
        <v>0</v>
      </c>
      <c r="CA593" s="1" t="s">
        <v>109</v>
      </c>
      <c r="CB593" s="1">
        <v>7</v>
      </c>
      <c r="CC593" s="1">
        <v>7</v>
      </c>
      <c r="CD593" s="1" t="s">
        <v>109</v>
      </c>
      <c r="CE593" s="1" t="s">
        <v>109</v>
      </c>
      <c r="CF593" s="1" t="s">
        <v>109</v>
      </c>
      <c r="CG593" s="1" t="s">
        <v>109</v>
      </c>
      <c r="CH593" s="1" t="s">
        <v>109</v>
      </c>
      <c r="CI593" s="1" t="s">
        <v>109</v>
      </c>
      <c r="CJ593" s="1" t="s">
        <v>109</v>
      </c>
      <c r="CK593" s="1"/>
      <c r="CL593" s="1">
        <v>0</v>
      </c>
      <c r="CM593" s="1">
        <v>0</v>
      </c>
      <c r="CN593" s="1">
        <v>0</v>
      </c>
    </row>
    <row r="594" spans="1:92" ht="14.25" customHeight="1" x14ac:dyDescent="0.15">
      <c r="A594" s="1" t="s">
        <v>5273</v>
      </c>
      <c r="B594" s="1" t="s">
        <v>308</v>
      </c>
      <c r="C594" s="1"/>
      <c r="D594" s="1" t="s">
        <v>5274</v>
      </c>
      <c r="E594" s="1" t="s">
        <v>5275</v>
      </c>
      <c r="F594" s="1" t="s">
        <v>98</v>
      </c>
      <c r="G594" s="1" t="s">
        <v>333</v>
      </c>
      <c r="H594" s="1">
        <v>0</v>
      </c>
      <c r="I594" s="1" t="s">
        <v>142</v>
      </c>
      <c r="J594" s="1"/>
      <c r="K594" s="1"/>
      <c r="L594" s="1" t="s">
        <v>5276</v>
      </c>
      <c r="M594" s="1" t="s">
        <v>144</v>
      </c>
      <c r="N594" s="1">
        <v>0</v>
      </c>
      <c r="O594" s="1">
        <v>0</v>
      </c>
      <c r="P594" s="1" t="s">
        <v>267</v>
      </c>
      <c r="Q594" s="1" t="s">
        <v>268</v>
      </c>
      <c r="R594" s="1" t="s">
        <v>5277</v>
      </c>
      <c r="S594" s="1" t="s">
        <v>5278</v>
      </c>
      <c r="T594" s="1" t="s">
        <v>107</v>
      </c>
      <c r="U594" s="1" t="s">
        <v>5279</v>
      </c>
      <c r="V594" s="1">
        <v>1</v>
      </c>
      <c r="W594" s="1">
        <v>0</v>
      </c>
      <c r="X594" s="1">
        <v>0</v>
      </c>
      <c r="Y594" s="1">
        <v>0</v>
      </c>
      <c r="Z594" s="1">
        <v>0</v>
      </c>
      <c r="AA594" s="1">
        <v>9</v>
      </c>
      <c r="AB594" s="1">
        <v>9</v>
      </c>
      <c r="AC594" s="1" t="s">
        <v>109</v>
      </c>
      <c r="AD594" s="1" t="s">
        <v>109</v>
      </c>
      <c r="AE594" s="1" t="s">
        <v>109</v>
      </c>
      <c r="AF594" s="1" t="s">
        <v>109</v>
      </c>
      <c r="AG594" s="1" t="s">
        <v>109</v>
      </c>
      <c r="AH594" s="1" t="s">
        <v>109</v>
      </c>
      <c r="AI594" s="1" t="s">
        <v>109</v>
      </c>
      <c r="AJ594" s="1">
        <v>9</v>
      </c>
      <c r="AK594" s="1" t="s">
        <v>109</v>
      </c>
      <c r="AL594" s="1" t="s">
        <v>109</v>
      </c>
      <c r="AM594" s="1" t="s">
        <v>109</v>
      </c>
      <c r="AN594" s="1" t="s">
        <v>109</v>
      </c>
      <c r="AO594" s="1" t="s">
        <v>109</v>
      </c>
      <c r="AP594" s="1"/>
      <c r="AQ594" s="1">
        <v>9</v>
      </c>
      <c r="AR594" s="1" t="s">
        <v>5280</v>
      </c>
      <c r="AS594" s="1" t="s">
        <v>5281</v>
      </c>
      <c r="AT594" s="1">
        <v>0</v>
      </c>
      <c r="AU594" s="1">
        <v>0</v>
      </c>
      <c r="AV594" s="1">
        <v>0</v>
      </c>
      <c r="AW594" s="1">
        <v>0</v>
      </c>
      <c r="AX594" s="1">
        <v>0</v>
      </c>
      <c r="AY594" s="1">
        <v>0</v>
      </c>
      <c r="AZ594" s="1">
        <v>1</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1</v>
      </c>
      <c r="BR594" s="1">
        <v>0</v>
      </c>
      <c r="BS594" s="5" t="str">
        <f>HYPERLINK("http://www.d20pfsrd.com/magic/all-spells/w/wail-of-the-banshee","Wail of the Banshee")</f>
        <v>Wail of the Banshee</v>
      </c>
      <c r="BT594" s="1">
        <v>596</v>
      </c>
      <c r="BU594" s="1" t="s">
        <v>109</v>
      </c>
      <c r="BV594" s="1" t="s">
        <v>5282</v>
      </c>
      <c r="BW594" s="1"/>
      <c r="BX594" s="1"/>
      <c r="BY594" s="1"/>
      <c r="BZ594" s="1">
        <v>0</v>
      </c>
      <c r="CA594" s="1" t="s">
        <v>109</v>
      </c>
      <c r="CB594" s="1">
        <v>9</v>
      </c>
      <c r="CC594" s="1">
        <v>9</v>
      </c>
      <c r="CD594" s="1" t="s">
        <v>109</v>
      </c>
      <c r="CE594" s="1" t="s">
        <v>109</v>
      </c>
      <c r="CF594" s="1" t="s">
        <v>109</v>
      </c>
      <c r="CG594" s="1" t="s">
        <v>109</v>
      </c>
      <c r="CH594" s="1" t="s">
        <v>109</v>
      </c>
      <c r="CI594" s="1" t="s">
        <v>109</v>
      </c>
      <c r="CJ594" s="1" t="s">
        <v>109</v>
      </c>
      <c r="CK594" s="1"/>
      <c r="CL594" s="1">
        <v>0</v>
      </c>
      <c r="CM594" s="1">
        <v>0</v>
      </c>
      <c r="CN594" s="1">
        <v>0</v>
      </c>
    </row>
    <row r="595" spans="1:92" ht="14.25" customHeight="1" x14ac:dyDescent="0.15">
      <c r="A595" s="1" t="s">
        <v>5283</v>
      </c>
      <c r="B595" s="1" t="s">
        <v>584</v>
      </c>
      <c r="C595" s="1"/>
      <c r="D595" s="1" t="s">
        <v>59</v>
      </c>
      <c r="E595" s="1" t="s">
        <v>5284</v>
      </c>
      <c r="F595" s="1" t="s">
        <v>98</v>
      </c>
      <c r="G595" s="1" t="s">
        <v>5285</v>
      </c>
      <c r="H595" s="1">
        <v>0</v>
      </c>
      <c r="I595" s="1" t="s">
        <v>122</v>
      </c>
      <c r="J595" s="1"/>
      <c r="K595" s="1" t="s">
        <v>5286</v>
      </c>
      <c r="L595" s="1"/>
      <c r="M595" s="1" t="s">
        <v>3019</v>
      </c>
      <c r="N595" s="1">
        <v>0</v>
      </c>
      <c r="O595" s="1">
        <v>0</v>
      </c>
      <c r="P595" s="1" t="s">
        <v>103</v>
      </c>
      <c r="Q595" s="1" t="s">
        <v>268</v>
      </c>
      <c r="R595" s="1" t="s">
        <v>5287</v>
      </c>
      <c r="S595" s="1" t="s">
        <v>5288</v>
      </c>
      <c r="T595" s="1" t="s">
        <v>107</v>
      </c>
      <c r="U595" s="1" t="s">
        <v>5289</v>
      </c>
      <c r="V595" s="1">
        <v>1</v>
      </c>
      <c r="W595" s="1">
        <v>1</v>
      </c>
      <c r="X595" s="1">
        <v>1</v>
      </c>
      <c r="Y595" s="1">
        <v>0</v>
      </c>
      <c r="Z595" s="1">
        <v>1</v>
      </c>
      <c r="AA595" s="1">
        <v>4</v>
      </c>
      <c r="AB595" s="1">
        <v>4</v>
      </c>
      <c r="AC595" s="1" t="s">
        <v>109</v>
      </c>
      <c r="AD595" s="1">
        <v>5</v>
      </c>
      <c r="AE595" s="1" t="s">
        <v>109</v>
      </c>
      <c r="AF595" s="1" t="s">
        <v>109</v>
      </c>
      <c r="AG595" s="1" t="s">
        <v>109</v>
      </c>
      <c r="AH595" s="1" t="s">
        <v>109</v>
      </c>
      <c r="AI595" s="1">
        <v>3</v>
      </c>
      <c r="AJ595" s="1" t="s">
        <v>109</v>
      </c>
      <c r="AK595" s="1" t="s">
        <v>109</v>
      </c>
      <c r="AL595" s="1" t="s">
        <v>109</v>
      </c>
      <c r="AM595" s="1" t="s">
        <v>109</v>
      </c>
      <c r="AN595" s="1">
        <v>4</v>
      </c>
      <c r="AO595" s="1">
        <v>4</v>
      </c>
      <c r="AP595" s="1"/>
      <c r="AQ595" s="1">
        <v>4</v>
      </c>
      <c r="AR595" s="1" t="s">
        <v>5290</v>
      </c>
      <c r="AS595" s="1" t="s">
        <v>5291</v>
      </c>
      <c r="AT595" s="1">
        <v>0</v>
      </c>
      <c r="AU595" s="1">
        <v>0</v>
      </c>
      <c r="AV595" s="1">
        <v>0</v>
      </c>
      <c r="AW595" s="1">
        <v>0</v>
      </c>
      <c r="AX595" s="1">
        <v>0</v>
      </c>
      <c r="AY595" s="1">
        <v>0</v>
      </c>
      <c r="AZ595" s="1">
        <v>0</v>
      </c>
      <c r="BA595" s="1">
        <v>0</v>
      </c>
      <c r="BB595" s="1">
        <v>0</v>
      </c>
      <c r="BC595" s="1">
        <v>0</v>
      </c>
      <c r="BD595" s="1">
        <v>0</v>
      </c>
      <c r="BE595" s="1">
        <v>0</v>
      </c>
      <c r="BF595" s="1">
        <v>0</v>
      </c>
      <c r="BG595" s="1">
        <v>1</v>
      </c>
      <c r="BH595" s="1">
        <v>0</v>
      </c>
      <c r="BI595" s="1">
        <v>0</v>
      </c>
      <c r="BJ595" s="1">
        <v>0</v>
      </c>
      <c r="BK595" s="1">
        <v>0</v>
      </c>
      <c r="BL595" s="1">
        <v>0</v>
      </c>
      <c r="BM595" s="1">
        <v>0</v>
      </c>
      <c r="BN595" s="1">
        <v>0</v>
      </c>
      <c r="BO595" s="1">
        <v>0</v>
      </c>
      <c r="BP595" s="1">
        <v>0</v>
      </c>
      <c r="BQ595" s="1">
        <v>0</v>
      </c>
      <c r="BR595" s="1">
        <v>0</v>
      </c>
      <c r="BS595" s="5" t="str">
        <f>HYPERLINK("http://www.d20pfsrd.com/magic/all-spells/w/wall-of-fire","Wall of Fire")</f>
        <v>Wall of Fire</v>
      </c>
      <c r="BT595" s="1">
        <v>597</v>
      </c>
      <c r="BU595" s="1" t="s">
        <v>109</v>
      </c>
      <c r="BV595" s="1" t="s">
        <v>5292</v>
      </c>
      <c r="BW595" s="1" t="s">
        <v>5293</v>
      </c>
      <c r="BX595" s="1" t="s">
        <v>5294</v>
      </c>
      <c r="BY595" s="1" t="s">
        <v>5295</v>
      </c>
      <c r="BZ595" s="1">
        <v>1</v>
      </c>
      <c r="CA595" s="1">
        <v>4</v>
      </c>
      <c r="CB595" s="1">
        <v>5</v>
      </c>
      <c r="CC595" s="1" t="s">
        <v>109</v>
      </c>
      <c r="CD595" s="1" t="s">
        <v>109</v>
      </c>
      <c r="CE595" s="1" t="s">
        <v>109</v>
      </c>
      <c r="CF595" s="1">
        <v>4</v>
      </c>
      <c r="CG595" s="1" t="s">
        <v>109</v>
      </c>
      <c r="CH595" s="1" t="s">
        <v>109</v>
      </c>
      <c r="CI595" s="1" t="s">
        <v>109</v>
      </c>
      <c r="CJ595" s="1">
        <v>5</v>
      </c>
      <c r="CK595" s="1"/>
      <c r="CL595" s="1">
        <v>0</v>
      </c>
      <c r="CM595" s="1">
        <v>0</v>
      </c>
      <c r="CN595" s="1">
        <v>0</v>
      </c>
    </row>
    <row r="596" spans="1:92" ht="14.25" customHeight="1" x14ac:dyDescent="0.15">
      <c r="A596" s="1" t="s">
        <v>5296</v>
      </c>
      <c r="B596" s="1" t="s">
        <v>584</v>
      </c>
      <c r="C596" s="1"/>
      <c r="D596" s="1" t="s">
        <v>60</v>
      </c>
      <c r="E596" s="1" t="s">
        <v>2830</v>
      </c>
      <c r="F596" s="1" t="s">
        <v>98</v>
      </c>
      <c r="G596" s="1" t="s">
        <v>5297</v>
      </c>
      <c r="H596" s="1">
        <v>0</v>
      </c>
      <c r="I596" s="1" t="s">
        <v>142</v>
      </c>
      <c r="J596" s="1"/>
      <c r="K596" s="1" t="s">
        <v>5298</v>
      </c>
      <c r="L596" s="1"/>
      <c r="M596" s="1" t="s">
        <v>5299</v>
      </c>
      <c r="N596" s="1">
        <v>1</v>
      </c>
      <c r="O596" s="1">
        <v>0</v>
      </c>
      <c r="P596" s="1" t="s">
        <v>103</v>
      </c>
      <c r="Q596" s="1" t="s">
        <v>104</v>
      </c>
      <c r="R596" s="1" t="s">
        <v>5300</v>
      </c>
      <c r="S596" s="1" t="s">
        <v>5301</v>
      </c>
      <c r="T596" s="1" t="s">
        <v>107</v>
      </c>
      <c r="U596" s="1" t="s">
        <v>5302</v>
      </c>
      <c r="V596" s="1">
        <v>1</v>
      </c>
      <c r="W596" s="1">
        <v>1</v>
      </c>
      <c r="X596" s="1">
        <v>1</v>
      </c>
      <c r="Y596" s="1">
        <v>0</v>
      </c>
      <c r="Z596" s="1">
        <v>0</v>
      </c>
      <c r="AA596" s="1">
        <v>5</v>
      </c>
      <c r="AB596" s="1">
        <v>5</v>
      </c>
      <c r="AC596" s="1" t="s">
        <v>109</v>
      </c>
      <c r="AD596" s="1" t="s">
        <v>109</v>
      </c>
      <c r="AE596" s="1" t="s">
        <v>109</v>
      </c>
      <c r="AF596" s="1" t="s">
        <v>109</v>
      </c>
      <c r="AG596" s="1" t="s">
        <v>109</v>
      </c>
      <c r="AH596" s="1" t="s">
        <v>109</v>
      </c>
      <c r="AI596" s="1" t="s">
        <v>109</v>
      </c>
      <c r="AJ596" s="1" t="s">
        <v>109</v>
      </c>
      <c r="AK596" s="1" t="s">
        <v>109</v>
      </c>
      <c r="AL596" s="1" t="s">
        <v>109</v>
      </c>
      <c r="AM596" s="1" t="s">
        <v>109</v>
      </c>
      <c r="AN596" s="1">
        <v>5</v>
      </c>
      <c r="AO596" s="1" t="s">
        <v>109</v>
      </c>
      <c r="AP596" s="1"/>
      <c r="AQ596" s="1">
        <v>5</v>
      </c>
      <c r="AR596" s="1" t="s">
        <v>5303</v>
      </c>
      <c r="AS596" s="1" t="s">
        <v>5304</v>
      </c>
      <c r="AT596" s="1">
        <v>0</v>
      </c>
      <c r="AU596" s="1">
        <v>0</v>
      </c>
      <c r="AV596" s="1">
        <v>0</v>
      </c>
      <c r="AW596" s="1">
        <v>0</v>
      </c>
      <c r="AX596" s="1">
        <v>0</v>
      </c>
      <c r="AY596" s="1">
        <v>0</v>
      </c>
      <c r="AZ596" s="1">
        <v>0</v>
      </c>
      <c r="BA596" s="1">
        <v>0</v>
      </c>
      <c r="BB596" s="1">
        <v>0</v>
      </c>
      <c r="BC596" s="1">
        <v>0</v>
      </c>
      <c r="BD596" s="1">
        <v>0</v>
      </c>
      <c r="BE596" s="1">
        <v>0</v>
      </c>
      <c r="BF596" s="1">
        <v>0</v>
      </c>
      <c r="BG596" s="1">
        <v>0</v>
      </c>
      <c r="BH596" s="1">
        <v>1</v>
      </c>
      <c r="BI596" s="1">
        <v>0</v>
      </c>
      <c r="BJ596" s="1">
        <v>0</v>
      </c>
      <c r="BK596" s="1">
        <v>0</v>
      </c>
      <c r="BL596" s="1">
        <v>0</v>
      </c>
      <c r="BM596" s="1">
        <v>0</v>
      </c>
      <c r="BN596" s="1">
        <v>0</v>
      </c>
      <c r="BO596" s="1">
        <v>0</v>
      </c>
      <c r="BP596" s="1">
        <v>0</v>
      </c>
      <c r="BQ596" s="1">
        <v>0</v>
      </c>
      <c r="BR596" s="1">
        <v>0</v>
      </c>
      <c r="BS596" s="5" t="str">
        <f>HYPERLINK("http://www.d20pfsrd.com/magic/all-spells/w/wall-of-force","Wall of Force")</f>
        <v>Wall of Force</v>
      </c>
      <c r="BT596" s="1">
        <v>598</v>
      </c>
      <c r="BU596" s="1" t="s">
        <v>109</v>
      </c>
      <c r="BV596" s="1"/>
      <c r="BW596" s="1"/>
      <c r="BX596" s="1" t="s">
        <v>5305</v>
      </c>
      <c r="BY596" s="1"/>
      <c r="BZ596" s="1">
        <v>1</v>
      </c>
      <c r="CA596" s="1" t="s">
        <v>109</v>
      </c>
      <c r="CB596" s="1" t="s">
        <v>109</v>
      </c>
      <c r="CC596" s="1">
        <v>5</v>
      </c>
      <c r="CD596" s="1" t="s">
        <v>109</v>
      </c>
      <c r="CE596" s="1" t="s">
        <v>109</v>
      </c>
      <c r="CF596" s="1">
        <v>5</v>
      </c>
      <c r="CG596" s="1" t="s">
        <v>109</v>
      </c>
      <c r="CH596" s="1" t="s">
        <v>109</v>
      </c>
      <c r="CI596" s="1" t="s">
        <v>109</v>
      </c>
      <c r="CJ596" s="1" t="s">
        <v>109</v>
      </c>
      <c r="CK596" s="1"/>
      <c r="CL596" s="1">
        <v>0</v>
      </c>
      <c r="CM596" s="1">
        <v>0</v>
      </c>
      <c r="CN596" s="1">
        <v>0</v>
      </c>
    </row>
    <row r="597" spans="1:92" ht="14.25" customHeight="1" x14ac:dyDescent="0.15">
      <c r="A597" s="1" t="s">
        <v>5306</v>
      </c>
      <c r="B597" s="1" t="s">
        <v>584</v>
      </c>
      <c r="C597" s="1"/>
      <c r="D597" s="1" t="s">
        <v>49</v>
      </c>
      <c r="E597" s="1" t="s">
        <v>5307</v>
      </c>
      <c r="F597" s="1" t="s">
        <v>98</v>
      </c>
      <c r="G597" s="1" t="s">
        <v>5308</v>
      </c>
      <c r="H597" s="1">
        <v>0</v>
      </c>
      <c r="I597" s="1" t="s">
        <v>122</v>
      </c>
      <c r="J597" s="1"/>
      <c r="K597" s="1" t="s">
        <v>5309</v>
      </c>
      <c r="L597" s="1"/>
      <c r="M597" s="1" t="s">
        <v>164</v>
      </c>
      <c r="N597" s="1">
        <v>0</v>
      </c>
      <c r="O597" s="1">
        <v>0</v>
      </c>
      <c r="P597" s="1" t="s">
        <v>5310</v>
      </c>
      <c r="Q597" s="1" t="s">
        <v>268</v>
      </c>
      <c r="R597" s="1" t="s">
        <v>5311</v>
      </c>
      <c r="S597" s="1" t="s">
        <v>5312</v>
      </c>
      <c r="T597" s="1" t="s">
        <v>107</v>
      </c>
      <c r="U597" s="1" t="s">
        <v>5313</v>
      </c>
      <c r="V597" s="1">
        <v>1</v>
      </c>
      <c r="W597" s="1">
        <v>1</v>
      </c>
      <c r="X597" s="1">
        <v>1</v>
      </c>
      <c r="Y597" s="1">
        <v>0</v>
      </c>
      <c r="Z597" s="1">
        <v>0</v>
      </c>
      <c r="AA597" s="1">
        <v>4</v>
      </c>
      <c r="AB597" s="1">
        <v>4</v>
      </c>
      <c r="AC597" s="1" t="s">
        <v>109</v>
      </c>
      <c r="AD597" s="1" t="s">
        <v>109</v>
      </c>
      <c r="AE597" s="1" t="s">
        <v>109</v>
      </c>
      <c r="AF597" s="1" t="s">
        <v>109</v>
      </c>
      <c r="AG597" s="1" t="s">
        <v>109</v>
      </c>
      <c r="AH597" s="1" t="s">
        <v>109</v>
      </c>
      <c r="AI597" s="1">
        <v>3</v>
      </c>
      <c r="AJ597" s="1" t="s">
        <v>109</v>
      </c>
      <c r="AK597" s="1" t="s">
        <v>109</v>
      </c>
      <c r="AL597" s="1" t="s">
        <v>109</v>
      </c>
      <c r="AM597" s="1" t="s">
        <v>109</v>
      </c>
      <c r="AN597" s="1">
        <v>4</v>
      </c>
      <c r="AO597" s="1" t="s">
        <v>109</v>
      </c>
      <c r="AP597" s="1"/>
      <c r="AQ597" s="1">
        <v>4</v>
      </c>
      <c r="AR597" s="1"/>
      <c r="AS597" s="1" t="s">
        <v>5314</v>
      </c>
      <c r="AT597" s="1">
        <v>0</v>
      </c>
      <c r="AU597" s="1">
        <v>0</v>
      </c>
      <c r="AV597" s="1">
        <v>0</v>
      </c>
      <c r="AW597" s="1">
        <v>1</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5" t="str">
        <f>HYPERLINK("http://www.d20pfsrd.com/magic/all-spells/w/wall-of-ice","Wall of Ice")</f>
        <v>Wall of Ice</v>
      </c>
      <c r="BT597" s="1">
        <v>599</v>
      </c>
      <c r="BU597" s="1" t="s">
        <v>109</v>
      </c>
      <c r="BV597" s="1" t="s">
        <v>5315</v>
      </c>
      <c r="BW597" s="1" t="s">
        <v>5316</v>
      </c>
      <c r="BX597" s="1" t="s">
        <v>5317</v>
      </c>
      <c r="BY597" s="1" t="s">
        <v>5318</v>
      </c>
      <c r="BZ597" s="1">
        <v>1</v>
      </c>
      <c r="CA597" s="1">
        <v>4</v>
      </c>
      <c r="CB597" s="1" t="s">
        <v>109</v>
      </c>
      <c r="CC597" s="1" t="s">
        <v>109</v>
      </c>
      <c r="CD597" s="1" t="s">
        <v>109</v>
      </c>
      <c r="CE597" s="1" t="s">
        <v>109</v>
      </c>
      <c r="CF597" s="1">
        <v>4</v>
      </c>
      <c r="CG597" s="1" t="s">
        <v>109</v>
      </c>
      <c r="CH597" s="1" t="s">
        <v>109</v>
      </c>
      <c r="CI597" s="1" t="s">
        <v>109</v>
      </c>
      <c r="CJ597" s="1" t="s">
        <v>109</v>
      </c>
      <c r="CK597" s="1"/>
      <c r="CL597" s="1">
        <v>0</v>
      </c>
      <c r="CM597" s="1">
        <v>0</v>
      </c>
      <c r="CN597" s="1">
        <v>0</v>
      </c>
    </row>
    <row r="598" spans="1:92" ht="14.25" customHeight="1" x14ac:dyDescent="0.15">
      <c r="A598" s="1" t="s">
        <v>5319</v>
      </c>
      <c r="B598" s="1" t="s">
        <v>95</v>
      </c>
      <c r="C598" s="1" t="s">
        <v>96</v>
      </c>
      <c r="D598" s="1"/>
      <c r="E598" s="1" t="s">
        <v>5320</v>
      </c>
      <c r="F598" s="1" t="s">
        <v>98</v>
      </c>
      <c r="G598" s="1" t="s">
        <v>5321</v>
      </c>
      <c r="H598" s="1">
        <v>1</v>
      </c>
      <c r="I598" s="1" t="s">
        <v>122</v>
      </c>
      <c r="J598" s="1"/>
      <c r="K598" s="1" t="s">
        <v>5322</v>
      </c>
      <c r="L598" s="1"/>
      <c r="M598" s="1" t="s">
        <v>144</v>
      </c>
      <c r="N598" s="1">
        <v>0</v>
      </c>
      <c r="O598" s="1">
        <v>0</v>
      </c>
      <c r="P598" s="1" t="s">
        <v>211</v>
      </c>
      <c r="Q598" s="1" t="s">
        <v>104</v>
      </c>
      <c r="R598" s="1" t="s">
        <v>5323</v>
      </c>
      <c r="S598" s="1" t="s">
        <v>5324</v>
      </c>
      <c r="T598" s="1" t="s">
        <v>107</v>
      </c>
      <c r="U598" s="1" t="s">
        <v>5325</v>
      </c>
      <c r="V598" s="1">
        <v>1</v>
      </c>
      <c r="W598" s="1">
        <v>1</v>
      </c>
      <c r="X598" s="1">
        <v>1</v>
      </c>
      <c r="Y598" s="1">
        <v>0</v>
      </c>
      <c r="Z598" s="1">
        <v>0</v>
      </c>
      <c r="AA598" s="1">
        <v>6</v>
      </c>
      <c r="AB598" s="1">
        <v>6</v>
      </c>
      <c r="AC598" s="1" t="s">
        <v>109</v>
      </c>
      <c r="AD598" s="1" t="s">
        <v>109</v>
      </c>
      <c r="AE598" s="1" t="s">
        <v>109</v>
      </c>
      <c r="AF598" s="1" t="s">
        <v>109</v>
      </c>
      <c r="AG598" s="1" t="s">
        <v>109</v>
      </c>
      <c r="AH598" s="1" t="s">
        <v>109</v>
      </c>
      <c r="AI598" s="1">
        <v>5</v>
      </c>
      <c r="AJ598" s="1" t="s">
        <v>109</v>
      </c>
      <c r="AK598" s="1" t="s">
        <v>109</v>
      </c>
      <c r="AL598" s="1" t="s">
        <v>109</v>
      </c>
      <c r="AM598" s="1" t="s">
        <v>109</v>
      </c>
      <c r="AN598" s="1">
        <v>6</v>
      </c>
      <c r="AO598" s="1" t="s">
        <v>109</v>
      </c>
      <c r="AP598" s="1"/>
      <c r="AQ598" s="1">
        <v>6</v>
      </c>
      <c r="AR598" s="1" t="s">
        <v>5326</v>
      </c>
      <c r="AS598" s="1" t="s">
        <v>5327</v>
      </c>
      <c r="AT598" s="1">
        <v>0</v>
      </c>
      <c r="AU598" s="1">
        <v>0</v>
      </c>
      <c r="AV598" s="1">
        <v>0</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5" t="str">
        <f>HYPERLINK("http://www.d20pfsrd.com/magic/all-spells/w/wall-of-iron","Wall of Iron")</f>
        <v>Wall of Iron</v>
      </c>
      <c r="BT598" s="1">
        <v>600</v>
      </c>
      <c r="BU598" s="1">
        <v>50</v>
      </c>
      <c r="BV598" s="1" t="s">
        <v>5328</v>
      </c>
      <c r="BW598" s="1"/>
      <c r="BX598" s="1"/>
      <c r="BY598" s="1"/>
      <c r="BZ598" s="1">
        <v>0</v>
      </c>
      <c r="CA598" s="1" t="s">
        <v>109</v>
      </c>
      <c r="CB598" s="1" t="s">
        <v>109</v>
      </c>
      <c r="CC598" s="1" t="s">
        <v>109</v>
      </c>
      <c r="CD598" s="1" t="s">
        <v>109</v>
      </c>
      <c r="CE598" s="1" t="s">
        <v>109</v>
      </c>
      <c r="CF598" s="1">
        <v>6</v>
      </c>
      <c r="CG598" s="1" t="s">
        <v>109</v>
      </c>
      <c r="CH598" s="1" t="s">
        <v>109</v>
      </c>
      <c r="CI598" s="1" t="s">
        <v>109</v>
      </c>
      <c r="CJ598" s="1" t="s">
        <v>109</v>
      </c>
      <c r="CK598" s="1"/>
      <c r="CL598" s="1">
        <v>0</v>
      </c>
      <c r="CM598" s="1">
        <v>0</v>
      </c>
      <c r="CN598" s="1">
        <v>0</v>
      </c>
    </row>
    <row r="599" spans="1:92" ht="14.25" customHeight="1" x14ac:dyDescent="0.15">
      <c r="A599" s="1" t="s">
        <v>5329</v>
      </c>
      <c r="B599" s="1" t="s">
        <v>95</v>
      </c>
      <c r="C599" s="1" t="s">
        <v>96</v>
      </c>
      <c r="D599" s="1"/>
      <c r="E599" s="1" t="s">
        <v>5330</v>
      </c>
      <c r="F599" s="1" t="s">
        <v>98</v>
      </c>
      <c r="G599" s="1" t="s">
        <v>141</v>
      </c>
      <c r="H599" s="1">
        <v>0</v>
      </c>
      <c r="I599" s="1" t="s">
        <v>122</v>
      </c>
      <c r="J599" s="1"/>
      <c r="K599" s="1" t="s">
        <v>5331</v>
      </c>
      <c r="L599" s="1"/>
      <c r="M599" s="1" t="s">
        <v>367</v>
      </c>
      <c r="N599" s="1">
        <v>1</v>
      </c>
      <c r="O599" s="1">
        <v>0</v>
      </c>
      <c r="P599" s="1" t="s">
        <v>103</v>
      </c>
      <c r="Q599" s="1" t="s">
        <v>104</v>
      </c>
      <c r="R599" s="1" t="s">
        <v>5332</v>
      </c>
      <c r="S599" s="1" t="s">
        <v>5333</v>
      </c>
      <c r="T599" s="1" t="s">
        <v>107</v>
      </c>
      <c r="U599" s="1" t="s">
        <v>5334</v>
      </c>
      <c r="V599" s="1">
        <v>1</v>
      </c>
      <c r="W599" s="1">
        <v>1</v>
      </c>
      <c r="X599" s="1">
        <v>0</v>
      </c>
      <c r="Y599" s="1">
        <v>0</v>
      </c>
      <c r="Z599" s="1">
        <v>0</v>
      </c>
      <c r="AA599" s="1" t="s">
        <v>109</v>
      </c>
      <c r="AB599" s="1" t="s">
        <v>109</v>
      </c>
      <c r="AC599" s="1" t="s">
        <v>109</v>
      </c>
      <c r="AD599" s="1">
        <v>5</v>
      </c>
      <c r="AE599" s="1" t="s">
        <v>109</v>
      </c>
      <c r="AF599" s="1" t="s">
        <v>109</v>
      </c>
      <c r="AG599" s="1" t="s">
        <v>109</v>
      </c>
      <c r="AH599" s="1" t="s">
        <v>109</v>
      </c>
      <c r="AI599" s="1" t="s">
        <v>109</v>
      </c>
      <c r="AJ599" s="1" t="s">
        <v>109</v>
      </c>
      <c r="AK599" s="1" t="s">
        <v>109</v>
      </c>
      <c r="AL599" s="1" t="s">
        <v>109</v>
      </c>
      <c r="AM599" s="1" t="s">
        <v>109</v>
      </c>
      <c r="AN599" s="1" t="s">
        <v>109</v>
      </c>
      <c r="AO599" s="1" t="s">
        <v>109</v>
      </c>
      <c r="AP599" s="1"/>
      <c r="AQ599" s="1">
        <v>5</v>
      </c>
      <c r="AR599" s="1" t="s">
        <v>5335</v>
      </c>
      <c r="AS599" s="1" t="s">
        <v>5336</v>
      </c>
      <c r="AT599" s="1">
        <v>0</v>
      </c>
      <c r="AU599" s="1">
        <v>0</v>
      </c>
      <c r="AV599" s="1">
        <v>0</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5" t="str">
        <f>HYPERLINK("http://www.d20pfsrd.com/magic/all-spells/w/wall-of-thorns","Wall of Thorns")</f>
        <v>Wall of Thorns</v>
      </c>
      <c r="BT599" s="1">
        <v>602</v>
      </c>
      <c r="BU599" s="1" t="s">
        <v>109</v>
      </c>
      <c r="BV599" s="1" t="s">
        <v>5337</v>
      </c>
      <c r="BW599" s="1" t="s">
        <v>5338</v>
      </c>
      <c r="BX599" s="1" t="s">
        <v>5339</v>
      </c>
      <c r="BY599" s="1" t="s">
        <v>5340</v>
      </c>
      <c r="BZ599" s="1">
        <v>1</v>
      </c>
      <c r="CA599" s="1" t="s">
        <v>109</v>
      </c>
      <c r="CB599" s="1">
        <v>5</v>
      </c>
      <c r="CC599" s="1" t="s">
        <v>109</v>
      </c>
      <c r="CD599" s="1" t="s">
        <v>109</v>
      </c>
      <c r="CE599" s="1" t="s">
        <v>109</v>
      </c>
      <c r="CF599" s="1" t="s">
        <v>109</v>
      </c>
      <c r="CG599" s="1" t="s">
        <v>109</v>
      </c>
      <c r="CH599" s="1" t="s">
        <v>109</v>
      </c>
      <c r="CI599" s="1" t="s">
        <v>109</v>
      </c>
      <c r="CJ599" s="1">
        <v>5</v>
      </c>
      <c r="CK599" s="1"/>
      <c r="CL599" s="1">
        <v>0</v>
      </c>
      <c r="CM599" s="1">
        <v>0</v>
      </c>
      <c r="CN599" s="1">
        <v>0</v>
      </c>
    </row>
    <row r="600" spans="1:92" ht="14.25" customHeight="1" x14ac:dyDescent="0.15">
      <c r="A600" s="1" t="s">
        <v>5341</v>
      </c>
      <c r="B600" s="1" t="s">
        <v>189</v>
      </c>
      <c r="C600" s="1"/>
      <c r="D600" s="1"/>
      <c r="E600" s="1" t="s">
        <v>5342</v>
      </c>
      <c r="F600" s="1" t="s">
        <v>98</v>
      </c>
      <c r="G600" s="1" t="s">
        <v>141</v>
      </c>
      <c r="H600" s="1">
        <v>0</v>
      </c>
      <c r="I600" s="1" t="s">
        <v>142</v>
      </c>
      <c r="J600" s="1"/>
      <c r="K600" s="1"/>
      <c r="L600" s="1" t="s">
        <v>5343</v>
      </c>
      <c r="M600" s="1" t="s">
        <v>144</v>
      </c>
      <c r="N600" s="1">
        <v>0</v>
      </c>
      <c r="O600" s="1">
        <v>0</v>
      </c>
      <c r="P600" s="1" t="s">
        <v>629</v>
      </c>
      <c r="Q600" s="1" t="s">
        <v>630</v>
      </c>
      <c r="R600" s="1" t="s">
        <v>5344</v>
      </c>
      <c r="S600" s="1" t="s">
        <v>5345</v>
      </c>
      <c r="T600" s="1" t="s">
        <v>107</v>
      </c>
      <c r="U600" s="1" t="s">
        <v>5346</v>
      </c>
      <c r="V600" s="1">
        <v>1</v>
      </c>
      <c r="W600" s="1">
        <v>1</v>
      </c>
      <c r="X600" s="1">
        <v>0</v>
      </c>
      <c r="Y600" s="1">
        <v>0</v>
      </c>
      <c r="Z600" s="1">
        <v>0</v>
      </c>
      <c r="AA600" s="1" t="s">
        <v>109</v>
      </c>
      <c r="AB600" s="1" t="s">
        <v>109</v>
      </c>
      <c r="AC600" s="1" t="s">
        <v>109</v>
      </c>
      <c r="AD600" s="1">
        <v>2</v>
      </c>
      <c r="AE600" s="1" t="s">
        <v>109</v>
      </c>
      <c r="AF600" s="1" t="s">
        <v>109</v>
      </c>
      <c r="AG600" s="1" t="s">
        <v>109</v>
      </c>
      <c r="AH600" s="1" t="s">
        <v>109</v>
      </c>
      <c r="AI600" s="1" t="s">
        <v>109</v>
      </c>
      <c r="AJ600" s="1" t="s">
        <v>109</v>
      </c>
      <c r="AK600" s="1" t="s">
        <v>109</v>
      </c>
      <c r="AL600" s="1" t="s">
        <v>109</v>
      </c>
      <c r="AM600" s="1" t="s">
        <v>109</v>
      </c>
      <c r="AN600" s="1" t="s">
        <v>109</v>
      </c>
      <c r="AO600" s="1" t="s">
        <v>109</v>
      </c>
      <c r="AP600" s="1"/>
      <c r="AQ600" s="1">
        <v>2</v>
      </c>
      <c r="AR600" s="1"/>
      <c r="AS600" s="1" t="s">
        <v>5347</v>
      </c>
      <c r="AT600" s="1">
        <v>0</v>
      </c>
      <c r="AU600" s="1">
        <v>0</v>
      </c>
      <c r="AV600" s="1">
        <v>0</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5" t="str">
        <f>HYPERLINK("http://www.d20pfsrd.com/magic/all-spells/w/warp-wood","Warp Wood")</f>
        <v>Warp Wood</v>
      </c>
      <c r="BT600" s="1">
        <v>603</v>
      </c>
      <c r="BU600" s="1" t="s">
        <v>109</v>
      </c>
      <c r="BV600" s="1"/>
      <c r="BW600" s="1"/>
      <c r="BX600" s="1"/>
      <c r="BY600" s="1"/>
      <c r="BZ600" s="1">
        <v>0</v>
      </c>
      <c r="CA600" s="1" t="s">
        <v>109</v>
      </c>
      <c r="CB600" s="1">
        <v>2</v>
      </c>
      <c r="CC600" s="1" t="s">
        <v>109</v>
      </c>
      <c r="CD600" s="1" t="s">
        <v>109</v>
      </c>
      <c r="CE600" s="1" t="s">
        <v>109</v>
      </c>
      <c r="CF600" s="1">
        <v>2</v>
      </c>
      <c r="CG600" s="1" t="s">
        <v>109</v>
      </c>
      <c r="CH600" s="1" t="s">
        <v>109</v>
      </c>
      <c r="CI600" s="1" t="s">
        <v>109</v>
      </c>
      <c r="CJ600" s="1">
        <v>2</v>
      </c>
      <c r="CK600" s="1"/>
      <c r="CL600" s="1">
        <v>0</v>
      </c>
      <c r="CM600" s="1">
        <v>0</v>
      </c>
      <c r="CN600" s="1">
        <v>0</v>
      </c>
    </row>
    <row r="601" spans="1:92" ht="14.25" customHeight="1" x14ac:dyDescent="0.15">
      <c r="A601" s="1" t="s">
        <v>5348</v>
      </c>
      <c r="B601" s="1" t="s">
        <v>189</v>
      </c>
      <c r="C601" s="1"/>
      <c r="D601" s="1"/>
      <c r="E601" s="1" t="s">
        <v>5349</v>
      </c>
      <c r="F601" s="1" t="s">
        <v>98</v>
      </c>
      <c r="G601" s="1" t="s">
        <v>5350</v>
      </c>
      <c r="H601" s="1">
        <v>0</v>
      </c>
      <c r="I601" s="1" t="s">
        <v>161</v>
      </c>
      <c r="J601" s="1"/>
      <c r="K601" s="1"/>
      <c r="L601" s="1" t="s">
        <v>5351</v>
      </c>
      <c r="M601" s="1" t="s">
        <v>5352</v>
      </c>
      <c r="N601" s="1">
        <v>0</v>
      </c>
      <c r="O601" s="1">
        <v>0</v>
      </c>
      <c r="P601" s="1" t="s">
        <v>507</v>
      </c>
      <c r="Q601" s="1" t="s">
        <v>167</v>
      </c>
      <c r="R601" s="1" t="s">
        <v>5353</v>
      </c>
      <c r="S601" s="1" t="s">
        <v>5354</v>
      </c>
      <c r="T601" s="1" t="s">
        <v>107</v>
      </c>
      <c r="U601" s="1" t="s">
        <v>5355</v>
      </c>
      <c r="V601" s="1">
        <v>1</v>
      </c>
      <c r="W601" s="1">
        <v>1</v>
      </c>
      <c r="X601" s="1">
        <v>1</v>
      </c>
      <c r="Y601" s="1">
        <v>0</v>
      </c>
      <c r="Z601" s="1">
        <v>1</v>
      </c>
      <c r="AA601" s="1">
        <v>3</v>
      </c>
      <c r="AB601" s="1">
        <v>3</v>
      </c>
      <c r="AC601" s="1">
        <v>3</v>
      </c>
      <c r="AD601" s="1">
        <v>3</v>
      </c>
      <c r="AE601" s="1" t="s">
        <v>109</v>
      </c>
      <c r="AF601" s="1" t="s">
        <v>109</v>
      </c>
      <c r="AG601" s="1" t="s">
        <v>109</v>
      </c>
      <c r="AH601" s="1">
        <v>3</v>
      </c>
      <c r="AI601" s="1">
        <v>3</v>
      </c>
      <c r="AJ601" s="1" t="s">
        <v>109</v>
      </c>
      <c r="AK601" s="1" t="s">
        <v>109</v>
      </c>
      <c r="AL601" s="1">
        <v>3</v>
      </c>
      <c r="AM601" s="1" t="s">
        <v>109</v>
      </c>
      <c r="AN601" s="1">
        <v>3</v>
      </c>
      <c r="AO601" s="1" t="s">
        <v>109</v>
      </c>
      <c r="AP601" s="1"/>
      <c r="AQ601" s="1">
        <v>3</v>
      </c>
      <c r="AR601" s="1" t="s">
        <v>5356</v>
      </c>
      <c r="AS601" s="1" t="s">
        <v>5357</v>
      </c>
      <c r="AT601" s="1">
        <v>0</v>
      </c>
      <c r="AU601" s="1">
        <v>0</v>
      </c>
      <c r="AV601" s="1">
        <v>0</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5" t="str">
        <f>HYPERLINK("http://www.d20pfsrd.com/magic/all-spells/w/water-breathing","Water Breathing")</f>
        <v>Water Breathing</v>
      </c>
      <c r="BT601" s="1">
        <v>604</v>
      </c>
      <c r="BU601" s="1" t="s">
        <v>109</v>
      </c>
      <c r="BV601" s="1"/>
      <c r="BW601" s="1" t="s">
        <v>1020</v>
      </c>
      <c r="BX601" s="1"/>
      <c r="BY601" s="1"/>
      <c r="BZ601" s="1">
        <v>0</v>
      </c>
      <c r="CA601" s="1">
        <v>3</v>
      </c>
      <c r="CB601" s="1">
        <v>3</v>
      </c>
      <c r="CC601" s="1">
        <v>3</v>
      </c>
      <c r="CD601" s="1" t="s">
        <v>109</v>
      </c>
      <c r="CE601" s="1" t="s">
        <v>109</v>
      </c>
      <c r="CF601" s="1" t="s">
        <v>109</v>
      </c>
      <c r="CG601" s="1" t="s">
        <v>109</v>
      </c>
      <c r="CH601" s="1" t="s">
        <v>109</v>
      </c>
      <c r="CI601" s="1" t="s">
        <v>109</v>
      </c>
      <c r="CJ601" s="1">
        <v>3</v>
      </c>
      <c r="CK601" s="1"/>
      <c r="CL601" s="1">
        <v>0</v>
      </c>
      <c r="CM601" s="1">
        <v>0</v>
      </c>
      <c r="CN601" s="1">
        <v>0</v>
      </c>
    </row>
    <row r="602" spans="1:92" ht="14.25" customHeight="1" x14ac:dyDescent="0.15">
      <c r="A602" s="1" t="s">
        <v>5358</v>
      </c>
      <c r="B602" s="1" t="s">
        <v>189</v>
      </c>
      <c r="C602" s="1"/>
      <c r="D602" s="1" t="s">
        <v>70</v>
      </c>
      <c r="E602" s="1" t="s">
        <v>5359</v>
      </c>
      <c r="F602" s="1" t="s">
        <v>98</v>
      </c>
      <c r="G602" s="1" t="s">
        <v>160</v>
      </c>
      <c r="H602" s="1">
        <v>0</v>
      </c>
      <c r="I602" s="1" t="s">
        <v>161</v>
      </c>
      <c r="J602" s="1"/>
      <c r="K602" s="1"/>
      <c r="L602" s="1" t="s">
        <v>2578</v>
      </c>
      <c r="M602" s="1" t="s">
        <v>194</v>
      </c>
      <c r="N602" s="1">
        <v>1</v>
      </c>
      <c r="O602" s="1">
        <v>0</v>
      </c>
      <c r="P602" s="1" t="s">
        <v>507</v>
      </c>
      <c r="Q602" s="1" t="s">
        <v>167</v>
      </c>
      <c r="R602" s="1" t="s">
        <v>5360</v>
      </c>
      <c r="S602" s="1" t="s">
        <v>5361</v>
      </c>
      <c r="T602" s="1" t="s">
        <v>107</v>
      </c>
      <c r="U602" s="1" t="s">
        <v>5362</v>
      </c>
      <c r="V602" s="1">
        <v>1</v>
      </c>
      <c r="W602" s="1">
        <v>1</v>
      </c>
      <c r="X602" s="1">
        <v>0</v>
      </c>
      <c r="Y602" s="1">
        <v>0</v>
      </c>
      <c r="Z602" s="1">
        <v>1</v>
      </c>
      <c r="AA602" s="1" t="s">
        <v>109</v>
      </c>
      <c r="AB602" s="1" t="s">
        <v>109</v>
      </c>
      <c r="AC602" s="1">
        <v>3</v>
      </c>
      <c r="AD602" s="1" t="s">
        <v>109</v>
      </c>
      <c r="AE602" s="1">
        <v>3</v>
      </c>
      <c r="AF602" s="1" t="s">
        <v>109</v>
      </c>
      <c r="AG602" s="1" t="s">
        <v>109</v>
      </c>
      <c r="AH602" s="1" t="s">
        <v>109</v>
      </c>
      <c r="AI602" s="1" t="s">
        <v>109</v>
      </c>
      <c r="AJ602" s="1">
        <v>3</v>
      </c>
      <c r="AK602" s="1" t="s">
        <v>109</v>
      </c>
      <c r="AL602" s="1">
        <v>3</v>
      </c>
      <c r="AM602" s="1" t="s">
        <v>109</v>
      </c>
      <c r="AN602" s="1" t="s">
        <v>109</v>
      </c>
      <c r="AO602" s="1" t="s">
        <v>109</v>
      </c>
      <c r="AP602" s="1"/>
      <c r="AQ602" s="1">
        <v>3</v>
      </c>
      <c r="AR602" s="1" t="s">
        <v>5363</v>
      </c>
      <c r="AS602" s="1" t="s">
        <v>5364</v>
      </c>
      <c r="AT602" s="1">
        <v>0</v>
      </c>
      <c r="AU602" s="1">
        <v>0</v>
      </c>
      <c r="AV602" s="1">
        <v>0</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1</v>
      </c>
      <c r="BS602" s="5" t="str">
        <f>HYPERLINK("http://www.d20pfsrd.com/magic/all-spells/w/water-walk","Water Walk")</f>
        <v>Water Walk</v>
      </c>
      <c r="BT602" s="1">
        <v>605</v>
      </c>
      <c r="BU602" s="1" t="s">
        <v>109</v>
      </c>
      <c r="BV602" s="1"/>
      <c r="BW602" s="1"/>
      <c r="BX602" s="1"/>
      <c r="BY602" s="1"/>
      <c r="BZ602" s="1">
        <v>0</v>
      </c>
      <c r="CA602" s="1" t="s">
        <v>109</v>
      </c>
      <c r="CB602" s="1">
        <v>3</v>
      </c>
      <c r="CC602" s="1">
        <v>3</v>
      </c>
      <c r="CD602" s="1" t="s">
        <v>109</v>
      </c>
      <c r="CE602" s="1" t="s">
        <v>109</v>
      </c>
      <c r="CF602" s="1" t="s">
        <v>109</v>
      </c>
      <c r="CG602" s="1" t="s">
        <v>109</v>
      </c>
      <c r="CH602" s="1" t="s">
        <v>109</v>
      </c>
      <c r="CI602" s="1" t="s">
        <v>109</v>
      </c>
      <c r="CJ602" s="1">
        <v>3</v>
      </c>
      <c r="CK602" s="1"/>
      <c r="CL602" s="1">
        <v>0</v>
      </c>
      <c r="CM602" s="1">
        <v>0</v>
      </c>
      <c r="CN602" s="1">
        <v>0</v>
      </c>
    </row>
    <row r="603" spans="1:92" ht="14.25" customHeight="1" x14ac:dyDescent="0.15">
      <c r="A603" s="1" t="s">
        <v>5365</v>
      </c>
      <c r="B603" s="1" t="s">
        <v>308</v>
      </c>
      <c r="C603" s="1"/>
      <c r="D603" s="1"/>
      <c r="E603" s="1" t="s">
        <v>2620</v>
      </c>
      <c r="F603" s="1" t="s">
        <v>98</v>
      </c>
      <c r="G603" s="1" t="s">
        <v>141</v>
      </c>
      <c r="H603" s="1">
        <v>0</v>
      </c>
      <c r="I603" s="1" t="s">
        <v>1016</v>
      </c>
      <c r="J603" s="1" t="s">
        <v>726</v>
      </c>
      <c r="K603" s="1"/>
      <c r="L603" s="1"/>
      <c r="M603" s="1" t="s">
        <v>144</v>
      </c>
      <c r="N603" s="1">
        <v>0</v>
      </c>
      <c r="O603" s="1">
        <v>0</v>
      </c>
      <c r="P603" s="1" t="s">
        <v>103</v>
      </c>
      <c r="Q603" s="1" t="s">
        <v>268</v>
      </c>
      <c r="R603" s="1" t="s">
        <v>5366</v>
      </c>
      <c r="S603" s="1" t="s">
        <v>5367</v>
      </c>
      <c r="T603" s="1" t="s">
        <v>107</v>
      </c>
      <c r="U603" s="1" t="s">
        <v>5368</v>
      </c>
      <c r="V603" s="1">
        <v>1</v>
      </c>
      <c r="W603" s="1">
        <v>1</v>
      </c>
      <c r="X603" s="1">
        <v>0</v>
      </c>
      <c r="Y603" s="1">
        <v>0</v>
      </c>
      <c r="Z603" s="1">
        <v>0</v>
      </c>
      <c r="AA603" s="1">
        <v>7</v>
      </c>
      <c r="AB603" s="1">
        <v>7</v>
      </c>
      <c r="AC603" s="1" t="s">
        <v>109</v>
      </c>
      <c r="AD603" s="1" t="s">
        <v>109</v>
      </c>
      <c r="AE603" s="1" t="s">
        <v>109</v>
      </c>
      <c r="AF603" s="1" t="s">
        <v>109</v>
      </c>
      <c r="AG603" s="1" t="s">
        <v>109</v>
      </c>
      <c r="AH603" s="1" t="s">
        <v>109</v>
      </c>
      <c r="AI603" s="1" t="s">
        <v>109</v>
      </c>
      <c r="AJ603" s="1">
        <v>7</v>
      </c>
      <c r="AK603" s="1" t="s">
        <v>109</v>
      </c>
      <c r="AL603" s="1" t="s">
        <v>109</v>
      </c>
      <c r="AM603" s="1" t="s">
        <v>109</v>
      </c>
      <c r="AN603" s="1" t="s">
        <v>109</v>
      </c>
      <c r="AO603" s="1" t="s">
        <v>109</v>
      </c>
      <c r="AP603" s="1"/>
      <c r="AQ603" s="1">
        <v>7</v>
      </c>
      <c r="AR603" s="1" t="s">
        <v>5369</v>
      </c>
      <c r="AS603" s="1" t="s">
        <v>5370</v>
      </c>
      <c r="AT603" s="1">
        <v>0</v>
      </c>
      <c r="AU603" s="1">
        <v>0</v>
      </c>
      <c r="AV603" s="1">
        <v>0</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5" t="str">
        <f>HYPERLINK("http://www.d20pfsrd.com/magic/all-spells/w/waves-of-exhaustion","Waves of Exhaustion")</f>
        <v>Waves of Exhaustion</v>
      </c>
      <c r="BT603" s="1">
        <v>606</v>
      </c>
      <c r="BU603" s="1" t="s">
        <v>109</v>
      </c>
      <c r="BV603" s="1" t="s">
        <v>5371</v>
      </c>
      <c r="BW603" s="1" t="s">
        <v>5372</v>
      </c>
      <c r="BX603" s="1"/>
      <c r="BY603" s="1"/>
      <c r="BZ603" s="1">
        <v>0</v>
      </c>
      <c r="CA603" s="1" t="s">
        <v>109</v>
      </c>
      <c r="CB603" s="1" t="s">
        <v>109</v>
      </c>
      <c r="CC603" s="1">
        <v>7</v>
      </c>
      <c r="CD603" s="1" t="s">
        <v>109</v>
      </c>
      <c r="CE603" s="1">
        <v>6</v>
      </c>
      <c r="CF603" s="1" t="s">
        <v>109</v>
      </c>
      <c r="CG603" s="1" t="s">
        <v>109</v>
      </c>
      <c r="CH603" s="1" t="s">
        <v>109</v>
      </c>
      <c r="CI603" s="1" t="s">
        <v>109</v>
      </c>
      <c r="CJ603" s="1" t="s">
        <v>109</v>
      </c>
      <c r="CK603" s="1"/>
      <c r="CL603" s="1">
        <v>0</v>
      </c>
      <c r="CM603" s="1">
        <v>0</v>
      </c>
      <c r="CN603" s="1">
        <v>0</v>
      </c>
    </row>
    <row r="604" spans="1:92" ht="14.25" customHeight="1" x14ac:dyDescent="0.15">
      <c r="A604" s="1" t="s">
        <v>5373</v>
      </c>
      <c r="B604" s="1" t="s">
        <v>308</v>
      </c>
      <c r="C604" s="1"/>
      <c r="D604" s="1"/>
      <c r="E604" s="1" t="s">
        <v>1975</v>
      </c>
      <c r="F604" s="1" t="s">
        <v>98</v>
      </c>
      <c r="G604" s="1" t="s">
        <v>141</v>
      </c>
      <c r="H604" s="1">
        <v>0</v>
      </c>
      <c r="I604" s="1" t="s">
        <v>1192</v>
      </c>
      <c r="J604" s="1" t="s">
        <v>726</v>
      </c>
      <c r="K604" s="1"/>
      <c r="L604" s="1"/>
      <c r="M604" s="1" t="s">
        <v>144</v>
      </c>
      <c r="N604" s="1">
        <v>0</v>
      </c>
      <c r="O604" s="1">
        <v>0</v>
      </c>
      <c r="P604" s="1" t="s">
        <v>103</v>
      </c>
      <c r="Q604" s="1" t="s">
        <v>268</v>
      </c>
      <c r="R604" s="1" t="s">
        <v>5374</v>
      </c>
      <c r="S604" s="1" t="s">
        <v>5375</v>
      </c>
      <c r="T604" s="1" t="s">
        <v>107</v>
      </c>
      <c r="U604" s="1" t="s">
        <v>5376</v>
      </c>
      <c r="V604" s="1">
        <v>1</v>
      </c>
      <c r="W604" s="1">
        <v>1</v>
      </c>
      <c r="X604" s="1">
        <v>0</v>
      </c>
      <c r="Y604" s="1">
        <v>0</v>
      </c>
      <c r="Z604" s="1">
        <v>0</v>
      </c>
      <c r="AA604" s="1">
        <v>5</v>
      </c>
      <c r="AB604" s="1">
        <v>5</v>
      </c>
      <c r="AC604" s="1" t="s">
        <v>109</v>
      </c>
      <c r="AD604" s="1" t="s">
        <v>109</v>
      </c>
      <c r="AE604" s="1" t="s">
        <v>109</v>
      </c>
      <c r="AF604" s="1" t="s">
        <v>109</v>
      </c>
      <c r="AG604" s="1" t="s">
        <v>109</v>
      </c>
      <c r="AH604" s="1" t="s">
        <v>109</v>
      </c>
      <c r="AI604" s="1" t="s">
        <v>109</v>
      </c>
      <c r="AJ604" s="1">
        <v>5</v>
      </c>
      <c r="AK604" s="1" t="s">
        <v>109</v>
      </c>
      <c r="AL604" s="1" t="s">
        <v>109</v>
      </c>
      <c r="AM604" s="1" t="s">
        <v>109</v>
      </c>
      <c r="AN604" s="1" t="s">
        <v>109</v>
      </c>
      <c r="AO604" s="1" t="s">
        <v>109</v>
      </c>
      <c r="AP604" s="1"/>
      <c r="AQ604" s="1">
        <v>5</v>
      </c>
      <c r="AR604" s="1" t="s">
        <v>5377</v>
      </c>
      <c r="AS604" s="1" t="s">
        <v>5378</v>
      </c>
      <c r="AT604" s="1">
        <v>0</v>
      </c>
      <c r="AU604" s="1">
        <v>0</v>
      </c>
      <c r="AV604" s="1">
        <v>0</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5" t="str">
        <f>HYPERLINK("http://www.d20pfsrd.com/magic/all-spells/w/waves-of-fatigue","Waves of Fatigue")</f>
        <v>Waves of Fatigue</v>
      </c>
      <c r="BT604" s="1">
        <v>607</v>
      </c>
      <c r="BU604" s="1" t="s">
        <v>109</v>
      </c>
      <c r="BV604" s="1" t="s">
        <v>5379</v>
      </c>
      <c r="BW604" s="1"/>
      <c r="BX604" s="1"/>
      <c r="BY604" s="1"/>
      <c r="BZ604" s="1">
        <v>0</v>
      </c>
      <c r="CA604" s="1" t="s">
        <v>109</v>
      </c>
      <c r="CB604" s="1" t="s">
        <v>109</v>
      </c>
      <c r="CC604" s="1">
        <v>5</v>
      </c>
      <c r="CD604" s="1" t="s">
        <v>109</v>
      </c>
      <c r="CE604" s="1">
        <v>5</v>
      </c>
      <c r="CF604" s="1" t="s">
        <v>109</v>
      </c>
      <c r="CG604" s="1">
        <v>5</v>
      </c>
      <c r="CH604" s="1" t="s">
        <v>109</v>
      </c>
      <c r="CI604" s="1" t="s">
        <v>109</v>
      </c>
      <c r="CJ604" s="1" t="s">
        <v>109</v>
      </c>
      <c r="CK604" s="1"/>
      <c r="CL604" s="1">
        <v>0</v>
      </c>
      <c r="CM604" s="1">
        <v>0</v>
      </c>
      <c r="CN604" s="1">
        <v>0</v>
      </c>
    </row>
    <row r="605" spans="1:92" ht="14.25" customHeight="1" x14ac:dyDescent="0.15">
      <c r="A605" s="1" t="s">
        <v>5380</v>
      </c>
      <c r="B605" s="1" t="s">
        <v>95</v>
      </c>
      <c r="C605" s="1" t="s">
        <v>96</v>
      </c>
      <c r="D605" s="1"/>
      <c r="E605" s="1" t="s">
        <v>5381</v>
      </c>
      <c r="F605" s="1" t="s">
        <v>98</v>
      </c>
      <c r="G605" s="1" t="s">
        <v>5382</v>
      </c>
      <c r="H605" s="1">
        <v>0</v>
      </c>
      <c r="I605" s="1" t="s">
        <v>122</v>
      </c>
      <c r="J605" s="1"/>
      <c r="K605" s="1" t="s">
        <v>5383</v>
      </c>
      <c r="L605" s="1"/>
      <c r="M605" s="1" t="s">
        <v>367</v>
      </c>
      <c r="N605" s="1">
        <v>1</v>
      </c>
      <c r="O605" s="1">
        <v>0</v>
      </c>
      <c r="P605" s="1" t="s">
        <v>5310</v>
      </c>
      <c r="Q605" s="1" t="s">
        <v>104</v>
      </c>
      <c r="R605" s="1" t="s">
        <v>5384</v>
      </c>
      <c r="S605" s="1" t="s">
        <v>5385</v>
      </c>
      <c r="T605" s="1" t="s">
        <v>107</v>
      </c>
      <c r="U605" s="1" t="s">
        <v>5386</v>
      </c>
      <c r="V605" s="1">
        <v>1</v>
      </c>
      <c r="W605" s="1">
        <v>1</v>
      </c>
      <c r="X605" s="1">
        <v>1</v>
      </c>
      <c r="Y605" s="1">
        <v>0</v>
      </c>
      <c r="Z605" s="1">
        <v>0</v>
      </c>
      <c r="AA605" s="1">
        <v>2</v>
      </c>
      <c r="AB605" s="1">
        <v>2</v>
      </c>
      <c r="AC605" s="1" t="s">
        <v>109</v>
      </c>
      <c r="AD605" s="1" t="s">
        <v>109</v>
      </c>
      <c r="AE605" s="1" t="s">
        <v>109</v>
      </c>
      <c r="AF605" s="1" t="s">
        <v>109</v>
      </c>
      <c r="AG605" s="1" t="s">
        <v>109</v>
      </c>
      <c r="AH605" s="1" t="s">
        <v>109</v>
      </c>
      <c r="AI605" s="1" t="s">
        <v>109</v>
      </c>
      <c r="AJ605" s="1">
        <v>2</v>
      </c>
      <c r="AK605" s="1" t="s">
        <v>109</v>
      </c>
      <c r="AL605" s="1" t="s">
        <v>109</v>
      </c>
      <c r="AM605" s="1" t="s">
        <v>109</v>
      </c>
      <c r="AN605" s="1">
        <v>2</v>
      </c>
      <c r="AO605" s="1">
        <v>2</v>
      </c>
      <c r="AP605" s="1"/>
      <c r="AQ605" s="1">
        <v>2</v>
      </c>
      <c r="AR605" s="1"/>
      <c r="AS605" s="1" t="s">
        <v>5387</v>
      </c>
      <c r="AT605" s="1">
        <v>0</v>
      </c>
      <c r="AU605" s="1">
        <v>0</v>
      </c>
      <c r="AV605" s="1">
        <v>0</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5" t="str">
        <f>HYPERLINK("http://www.d20pfsrd.com/magic/all-spells/w/web","Web")</f>
        <v>Web</v>
      </c>
      <c r="BT605" s="1">
        <v>608</v>
      </c>
      <c r="BU605" s="1" t="s">
        <v>109</v>
      </c>
      <c r="BV605" s="1"/>
      <c r="BW605" s="1"/>
      <c r="BX605" s="1" t="s">
        <v>5388</v>
      </c>
      <c r="BY605" s="1" t="s">
        <v>5389</v>
      </c>
      <c r="BZ605" s="1">
        <v>1</v>
      </c>
      <c r="CA605" s="1" t="s">
        <v>109</v>
      </c>
      <c r="CB605" s="1" t="s">
        <v>109</v>
      </c>
      <c r="CC605" s="1" t="s">
        <v>109</v>
      </c>
      <c r="CD605" s="1" t="s">
        <v>109</v>
      </c>
      <c r="CE605" s="1" t="s">
        <v>109</v>
      </c>
      <c r="CF605" s="1" t="s">
        <v>109</v>
      </c>
      <c r="CG605" s="1" t="s">
        <v>109</v>
      </c>
      <c r="CH605" s="1" t="s">
        <v>109</v>
      </c>
      <c r="CI605" s="1" t="s">
        <v>109</v>
      </c>
      <c r="CJ605" s="1" t="s">
        <v>109</v>
      </c>
      <c r="CK605" s="1"/>
      <c r="CL605" s="1">
        <v>0</v>
      </c>
      <c r="CM605" s="1">
        <v>0</v>
      </c>
      <c r="CN605" s="1">
        <v>0</v>
      </c>
    </row>
    <row r="606" spans="1:92" ht="14.25" customHeight="1" x14ac:dyDescent="0.15">
      <c r="A606" s="1" t="s">
        <v>5390</v>
      </c>
      <c r="B606" s="1" t="s">
        <v>674</v>
      </c>
      <c r="C606" s="1" t="s">
        <v>1715</v>
      </c>
      <c r="D606" s="1" t="s">
        <v>4167</v>
      </c>
      <c r="E606" s="1" t="s">
        <v>1199</v>
      </c>
      <c r="F606" s="1" t="s">
        <v>98</v>
      </c>
      <c r="G606" s="1" t="s">
        <v>141</v>
      </c>
      <c r="H606" s="1">
        <v>0</v>
      </c>
      <c r="I606" s="1" t="s">
        <v>122</v>
      </c>
      <c r="J606" s="1"/>
      <c r="K606" s="1"/>
      <c r="L606" s="1" t="s">
        <v>5391</v>
      </c>
      <c r="M606" s="1" t="s">
        <v>144</v>
      </c>
      <c r="N606" s="1">
        <v>0</v>
      </c>
      <c r="O606" s="1">
        <v>0</v>
      </c>
      <c r="P606" s="1" t="s">
        <v>3536</v>
      </c>
      <c r="Q606" s="1" t="s">
        <v>268</v>
      </c>
      <c r="R606" s="1" t="s">
        <v>5392</v>
      </c>
      <c r="S606" s="1" t="s">
        <v>5393</v>
      </c>
      <c r="T606" s="1" t="s">
        <v>107</v>
      </c>
      <c r="U606" s="1" t="s">
        <v>5394</v>
      </c>
      <c r="V606" s="1">
        <v>1</v>
      </c>
      <c r="W606" s="1">
        <v>1</v>
      </c>
      <c r="X606" s="1">
        <v>0</v>
      </c>
      <c r="Y606" s="1">
        <v>0</v>
      </c>
      <c r="Z606" s="1">
        <v>0</v>
      </c>
      <c r="AA606" s="1">
        <v>9</v>
      </c>
      <c r="AB606" s="1">
        <v>9</v>
      </c>
      <c r="AC606" s="1" t="s">
        <v>109</v>
      </c>
      <c r="AD606" s="1" t="s">
        <v>109</v>
      </c>
      <c r="AE606" s="1" t="s">
        <v>109</v>
      </c>
      <c r="AF606" s="1" t="s">
        <v>109</v>
      </c>
      <c r="AG606" s="1" t="s">
        <v>109</v>
      </c>
      <c r="AH606" s="1" t="s">
        <v>109</v>
      </c>
      <c r="AI606" s="1" t="s">
        <v>109</v>
      </c>
      <c r="AJ606" s="1" t="s">
        <v>109</v>
      </c>
      <c r="AK606" s="1" t="s">
        <v>109</v>
      </c>
      <c r="AL606" s="1" t="s">
        <v>109</v>
      </c>
      <c r="AM606" s="1" t="s">
        <v>109</v>
      </c>
      <c r="AN606" s="1" t="s">
        <v>109</v>
      </c>
      <c r="AO606" s="1" t="s">
        <v>109</v>
      </c>
      <c r="AP606" s="1"/>
      <c r="AQ606" s="1">
        <v>9</v>
      </c>
      <c r="AR606" s="1" t="s">
        <v>5395</v>
      </c>
      <c r="AS606" s="1" t="s">
        <v>5396</v>
      </c>
      <c r="AT606" s="1">
        <v>0</v>
      </c>
      <c r="AU606" s="1">
        <v>0</v>
      </c>
      <c r="AV606" s="1">
        <v>0</v>
      </c>
      <c r="AW606" s="1">
        <v>0</v>
      </c>
      <c r="AX606" s="1">
        <v>0</v>
      </c>
      <c r="AY606" s="1">
        <v>0</v>
      </c>
      <c r="AZ606" s="1">
        <v>0</v>
      </c>
      <c r="BA606" s="1">
        <v>0</v>
      </c>
      <c r="BB606" s="1">
        <v>0</v>
      </c>
      <c r="BC606" s="1">
        <v>0</v>
      </c>
      <c r="BD606" s="1">
        <v>1</v>
      </c>
      <c r="BE606" s="1">
        <v>0</v>
      </c>
      <c r="BF606" s="1">
        <v>1</v>
      </c>
      <c r="BG606" s="1">
        <v>0</v>
      </c>
      <c r="BH606" s="1">
        <v>0</v>
      </c>
      <c r="BI606" s="1">
        <v>0</v>
      </c>
      <c r="BJ606" s="1">
        <v>0</v>
      </c>
      <c r="BK606" s="1">
        <v>0</v>
      </c>
      <c r="BL606" s="1">
        <v>0</v>
      </c>
      <c r="BM606" s="1">
        <v>1</v>
      </c>
      <c r="BN606" s="1">
        <v>0</v>
      </c>
      <c r="BO606" s="1">
        <v>0</v>
      </c>
      <c r="BP606" s="1">
        <v>0</v>
      </c>
      <c r="BQ606" s="1">
        <v>0</v>
      </c>
      <c r="BR606" s="1">
        <v>0</v>
      </c>
      <c r="BS606" s="5" t="str">
        <f>HYPERLINK("http://www.d20pfsrd.com/magic/all-spells/w/weird","Weird")</f>
        <v>Weird</v>
      </c>
      <c r="BT606" s="1">
        <v>609</v>
      </c>
      <c r="BU606" s="1" t="s">
        <v>109</v>
      </c>
      <c r="BV606" s="1" t="s">
        <v>5397</v>
      </c>
      <c r="BW606" s="1" t="s">
        <v>5398</v>
      </c>
      <c r="BX606" s="1"/>
      <c r="BY606" s="1"/>
      <c r="BZ606" s="1">
        <v>0</v>
      </c>
      <c r="CA606" s="1" t="s">
        <v>109</v>
      </c>
      <c r="CB606" s="1" t="s">
        <v>109</v>
      </c>
      <c r="CC606" s="1">
        <v>9</v>
      </c>
      <c r="CD606" s="1" t="s">
        <v>109</v>
      </c>
      <c r="CE606" s="1" t="s">
        <v>109</v>
      </c>
      <c r="CF606" s="1" t="s">
        <v>109</v>
      </c>
      <c r="CG606" s="1" t="s">
        <v>109</v>
      </c>
      <c r="CH606" s="1" t="s">
        <v>109</v>
      </c>
      <c r="CI606" s="1" t="s">
        <v>109</v>
      </c>
      <c r="CJ606" s="1" t="s">
        <v>109</v>
      </c>
      <c r="CK606" s="1"/>
      <c r="CL606" s="1">
        <v>0</v>
      </c>
      <c r="CM606" s="1">
        <v>0</v>
      </c>
      <c r="CN606" s="1">
        <v>0</v>
      </c>
    </row>
    <row r="607" spans="1:92" ht="14.25" customHeight="1" x14ac:dyDescent="0.15">
      <c r="A607" s="1" t="s">
        <v>5399</v>
      </c>
      <c r="B607" s="1" t="s">
        <v>584</v>
      </c>
      <c r="C607" s="1"/>
      <c r="D607" s="1" t="s">
        <v>47</v>
      </c>
      <c r="E607" s="1" t="s">
        <v>287</v>
      </c>
      <c r="F607" s="1" t="s">
        <v>98</v>
      </c>
      <c r="G607" s="1" t="s">
        <v>160</v>
      </c>
      <c r="H607" s="1">
        <v>0</v>
      </c>
      <c r="I607" s="1" t="s">
        <v>100</v>
      </c>
      <c r="J607" s="1"/>
      <c r="K607" s="1" t="s">
        <v>5400</v>
      </c>
      <c r="L607" s="1"/>
      <c r="M607" s="1" t="s">
        <v>125</v>
      </c>
      <c r="N607" s="1">
        <v>1</v>
      </c>
      <c r="O607" s="1">
        <v>0</v>
      </c>
      <c r="P607" s="1" t="s">
        <v>5310</v>
      </c>
      <c r="Q607" s="1" t="s">
        <v>268</v>
      </c>
      <c r="R607" s="1" t="s">
        <v>5401</v>
      </c>
      <c r="S607" s="1" t="s">
        <v>5402</v>
      </c>
      <c r="T607" s="1" t="s">
        <v>107</v>
      </c>
      <c r="U607" s="1" t="s">
        <v>5403</v>
      </c>
      <c r="V607" s="1">
        <v>1</v>
      </c>
      <c r="W607" s="1">
        <v>1</v>
      </c>
      <c r="X607" s="1">
        <v>0</v>
      </c>
      <c r="Y607" s="1">
        <v>0</v>
      </c>
      <c r="Z607" s="1">
        <v>1</v>
      </c>
      <c r="AA607" s="1" t="s">
        <v>109</v>
      </c>
      <c r="AB607" s="1" t="s">
        <v>109</v>
      </c>
      <c r="AC607" s="1" t="s">
        <v>109</v>
      </c>
      <c r="AD607" s="1">
        <v>8</v>
      </c>
      <c r="AE607" s="1" t="s">
        <v>109</v>
      </c>
      <c r="AF607" s="1" t="s">
        <v>109</v>
      </c>
      <c r="AG607" s="1" t="s">
        <v>109</v>
      </c>
      <c r="AH607" s="1" t="s">
        <v>109</v>
      </c>
      <c r="AI607" s="1" t="s">
        <v>109</v>
      </c>
      <c r="AJ607" s="1" t="s">
        <v>109</v>
      </c>
      <c r="AK607" s="1" t="s">
        <v>109</v>
      </c>
      <c r="AL607" s="1" t="s">
        <v>109</v>
      </c>
      <c r="AM607" s="1" t="s">
        <v>109</v>
      </c>
      <c r="AN607" s="1" t="s">
        <v>109</v>
      </c>
      <c r="AO607" s="1" t="s">
        <v>109</v>
      </c>
      <c r="AP607" s="1"/>
      <c r="AQ607" s="1">
        <v>8</v>
      </c>
      <c r="AR607" s="1" t="s">
        <v>5404</v>
      </c>
      <c r="AS607" s="1" t="s">
        <v>5405</v>
      </c>
      <c r="AT607" s="1">
        <v>0</v>
      </c>
      <c r="AU607" s="1">
        <v>1</v>
      </c>
      <c r="AV607" s="1">
        <v>0</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5" t="str">
        <f>HYPERLINK("http://www.d20pfsrd.com/magic/all-spells/w/whirlwind","Whirlwind")</f>
        <v>Whirlwind</v>
      </c>
      <c r="BT607" s="1">
        <v>610</v>
      </c>
      <c r="BU607" s="1" t="s">
        <v>109</v>
      </c>
      <c r="BV607" s="1" t="s">
        <v>5406</v>
      </c>
      <c r="BW607" s="1" t="s">
        <v>5407</v>
      </c>
      <c r="BX607" s="1"/>
      <c r="BY607" s="1"/>
      <c r="BZ607" s="1">
        <v>0</v>
      </c>
      <c r="CA607" s="1" t="s">
        <v>109</v>
      </c>
      <c r="CB607" s="1">
        <v>8</v>
      </c>
      <c r="CC607" s="1" t="s">
        <v>109</v>
      </c>
      <c r="CD607" s="1" t="s">
        <v>109</v>
      </c>
      <c r="CE607" s="1" t="s">
        <v>109</v>
      </c>
      <c r="CF607" s="1" t="s">
        <v>109</v>
      </c>
      <c r="CG607" s="1" t="s">
        <v>109</v>
      </c>
      <c r="CH607" s="1" t="s">
        <v>109</v>
      </c>
      <c r="CI607" s="1" t="s">
        <v>109</v>
      </c>
      <c r="CJ607" s="1" t="s">
        <v>109</v>
      </c>
      <c r="CK607" s="1"/>
      <c r="CL607" s="1">
        <v>0</v>
      </c>
      <c r="CM607" s="1">
        <v>0</v>
      </c>
      <c r="CN607" s="1">
        <v>0</v>
      </c>
    </row>
    <row r="608" spans="1:92" ht="14.25" customHeight="1" x14ac:dyDescent="0.15">
      <c r="A608" s="1" t="s">
        <v>5408</v>
      </c>
      <c r="B608" s="1" t="s">
        <v>189</v>
      </c>
      <c r="C608" s="1"/>
      <c r="D608" s="1" t="s">
        <v>47</v>
      </c>
      <c r="E608" s="1" t="s">
        <v>5409</v>
      </c>
      <c r="F608" s="1" t="s">
        <v>98</v>
      </c>
      <c r="G608" s="1" t="s">
        <v>141</v>
      </c>
      <c r="H608" s="1">
        <v>0</v>
      </c>
      <c r="I608" s="1" t="s">
        <v>5410</v>
      </c>
      <c r="J608" s="1" t="s">
        <v>4562</v>
      </c>
      <c r="K608" s="1"/>
      <c r="L608" s="1"/>
      <c r="M608" s="1" t="s">
        <v>5411</v>
      </c>
      <c r="N608" s="1">
        <v>0</v>
      </c>
      <c r="O608" s="1">
        <v>0</v>
      </c>
      <c r="P608" s="1" t="s">
        <v>103</v>
      </c>
      <c r="Q608" s="1" t="s">
        <v>104</v>
      </c>
      <c r="R608" s="1" t="s">
        <v>5412</v>
      </c>
      <c r="S608" s="1" t="s">
        <v>5413</v>
      </c>
      <c r="T608" s="1" t="s">
        <v>107</v>
      </c>
      <c r="U608" s="1" t="s">
        <v>5414</v>
      </c>
      <c r="V608" s="1">
        <v>1</v>
      </c>
      <c r="W608" s="1">
        <v>1</v>
      </c>
      <c r="X608" s="1">
        <v>0</v>
      </c>
      <c r="Y608" s="1">
        <v>0</v>
      </c>
      <c r="Z608" s="1">
        <v>0</v>
      </c>
      <c r="AA608" s="1">
        <v>2</v>
      </c>
      <c r="AB608" s="1">
        <v>2</v>
      </c>
      <c r="AC608" s="1" t="s">
        <v>109</v>
      </c>
      <c r="AD608" s="1" t="s">
        <v>109</v>
      </c>
      <c r="AE608" s="1" t="s">
        <v>109</v>
      </c>
      <c r="AF608" s="1">
        <v>2</v>
      </c>
      <c r="AG608" s="1" t="s">
        <v>109</v>
      </c>
      <c r="AH608" s="1" t="s">
        <v>109</v>
      </c>
      <c r="AI608" s="1" t="s">
        <v>109</v>
      </c>
      <c r="AJ608" s="1" t="s">
        <v>109</v>
      </c>
      <c r="AK608" s="1">
        <v>2</v>
      </c>
      <c r="AL608" s="1" t="s">
        <v>109</v>
      </c>
      <c r="AM608" s="1" t="s">
        <v>109</v>
      </c>
      <c r="AN608" s="1" t="s">
        <v>109</v>
      </c>
      <c r="AO608" s="1" t="s">
        <v>109</v>
      </c>
      <c r="AP608" s="1"/>
      <c r="AQ608" s="1">
        <v>2</v>
      </c>
      <c r="AR608" s="1" t="s">
        <v>5415</v>
      </c>
      <c r="AS608" s="1" t="s">
        <v>5416</v>
      </c>
      <c r="AT608" s="1">
        <v>0</v>
      </c>
      <c r="AU608" s="1">
        <v>1</v>
      </c>
      <c r="AV608" s="1">
        <v>0</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5" t="str">
        <f>HYPERLINK("http://www.d20pfsrd.com/magic/all-spells/w/whispering-wind","Whispering Wind")</f>
        <v>Whispering Wind</v>
      </c>
      <c r="BT608" s="1">
        <v>611</v>
      </c>
      <c r="BU608" s="1" t="s">
        <v>109</v>
      </c>
      <c r="BV608" s="1"/>
      <c r="BW608" s="1"/>
      <c r="BX608" s="1"/>
      <c r="BY608" s="1"/>
      <c r="BZ608" s="1">
        <v>0</v>
      </c>
      <c r="CA608" s="1" t="s">
        <v>109</v>
      </c>
      <c r="CB608" s="1" t="s">
        <v>109</v>
      </c>
      <c r="CC608" s="1">
        <v>2</v>
      </c>
      <c r="CD608" s="1" t="s">
        <v>109</v>
      </c>
      <c r="CE608" s="1">
        <v>2</v>
      </c>
      <c r="CF608" s="1" t="s">
        <v>109</v>
      </c>
      <c r="CG608" s="1" t="s">
        <v>109</v>
      </c>
      <c r="CH608" s="1" t="s">
        <v>109</v>
      </c>
      <c r="CI608" s="1" t="s">
        <v>109</v>
      </c>
      <c r="CJ608" s="1" t="s">
        <v>109</v>
      </c>
      <c r="CK608" s="1"/>
      <c r="CL608" s="1">
        <v>0</v>
      </c>
      <c r="CM608" s="1">
        <v>0</v>
      </c>
      <c r="CN608" s="1">
        <v>0</v>
      </c>
    </row>
    <row r="609" spans="1:92" ht="14.25" customHeight="1" x14ac:dyDescent="0.15">
      <c r="A609" s="1" t="s">
        <v>5417</v>
      </c>
      <c r="B609" s="1" t="s">
        <v>189</v>
      </c>
      <c r="C609" s="1"/>
      <c r="D609" s="1" t="s">
        <v>47</v>
      </c>
      <c r="E609" s="1" t="s">
        <v>5418</v>
      </c>
      <c r="F609" s="1" t="s">
        <v>98</v>
      </c>
      <c r="G609" s="1" t="s">
        <v>160</v>
      </c>
      <c r="H609" s="1">
        <v>0</v>
      </c>
      <c r="I609" s="1" t="s">
        <v>161</v>
      </c>
      <c r="J609" s="1"/>
      <c r="K609" s="1"/>
      <c r="L609" s="1" t="s">
        <v>5419</v>
      </c>
      <c r="M609" s="1" t="s">
        <v>5420</v>
      </c>
      <c r="N609" s="1">
        <v>1</v>
      </c>
      <c r="O609" s="1">
        <v>0</v>
      </c>
      <c r="P609" s="1" t="s">
        <v>5421</v>
      </c>
      <c r="Q609" s="1" t="s">
        <v>5422</v>
      </c>
      <c r="R609" s="1" t="s">
        <v>5423</v>
      </c>
      <c r="S609" s="1" t="s">
        <v>5424</v>
      </c>
      <c r="T609" s="1" t="s">
        <v>107</v>
      </c>
      <c r="U609" s="1" t="s">
        <v>5425</v>
      </c>
      <c r="V609" s="1">
        <v>1</v>
      </c>
      <c r="W609" s="1">
        <v>1</v>
      </c>
      <c r="X609" s="1">
        <v>0</v>
      </c>
      <c r="Y609" s="1">
        <v>0</v>
      </c>
      <c r="Z609" s="1">
        <v>1</v>
      </c>
      <c r="AA609" s="1" t="s">
        <v>109</v>
      </c>
      <c r="AB609" s="1" t="s">
        <v>109</v>
      </c>
      <c r="AC609" s="1">
        <v>6</v>
      </c>
      <c r="AD609" s="1">
        <v>7</v>
      </c>
      <c r="AE609" s="1" t="s">
        <v>109</v>
      </c>
      <c r="AF609" s="1" t="s">
        <v>109</v>
      </c>
      <c r="AG609" s="1" t="s">
        <v>109</v>
      </c>
      <c r="AH609" s="1">
        <v>6</v>
      </c>
      <c r="AI609" s="1" t="s">
        <v>109</v>
      </c>
      <c r="AJ609" s="1" t="s">
        <v>109</v>
      </c>
      <c r="AK609" s="1" t="s">
        <v>109</v>
      </c>
      <c r="AL609" s="1">
        <v>6</v>
      </c>
      <c r="AM609" s="1" t="s">
        <v>109</v>
      </c>
      <c r="AN609" s="1" t="s">
        <v>109</v>
      </c>
      <c r="AO609" s="1" t="s">
        <v>109</v>
      </c>
      <c r="AP609" s="1"/>
      <c r="AQ609" s="1">
        <v>6</v>
      </c>
      <c r="AR609" s="1" t="s">
        <v>5426</v>
      </c>
      <c r="AS609" s="1" t="s">
        <v>5427</v>
      </c>
      <c r="AT609" s="1">
        <v>0</v>
      </c>
      <c r="AU609" s="1">
        <v>1</v>
      </c>
      <c r="AV609" s="1">
        <v>0</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5" t="str">
        <f>HYPERLINK("http://www.d20pfsrd.com/magic/all-spells/w/wind-walk","Wind Walk")</f>
        <v>Wind Walk</v>
      </c>
      <c r="BT609" s="1">
        <v>612</v>
      </c>
      <c r="BU609" s="1" t="s">
        <v>109</v>
      </c>
      <c r="BV609" s="1"/>
      <c r="BW609" s="1" t="s">
        <v>5428</v>
      </c>
      <c r="BX609" s="1"/>
      <c r="BY609" s="1"/>
      <c r="BZ609" s="1">
        <v>0</v>
      </c>
      <c r="CA609" s="1" t="s">
        <v>109</v>
      </c>
      <c r="CB609" s="1">
        <v>7</v>
      </c>
      <c r="CC609" s="1" t="s">
        <v>109</v>
      </c>
      <c r="CD609" s="1" t="s">
        <v>109</v>
      </c>
      <c r="CE609" s="1" t="s">
        <v>109</v>
      </c>
      <c r="CF609" s="1" t="s">
        <v>109</v>
      </c>
      <c r="CG609" s="1" t="s">
        <v>109</v>
      </c>
      <c r="CH609" s="1" t="s">
        <v>109</v>
      </c>
      <c r="CI609" s="1" t="s">
        <v>109</v>
      </c>
      <c r="CJ609" s="1" t="s">
        <v>109</v>
      </c>
      <c r="CK609" s="1"/>
      <c r="CL609" s="1">
        <v>0</v>
      </c>
      <c r="CM609" s="1">
        <v>0</v>
      </c>
      <c r="CN609" s="1">
        <v>0</v>
      </c>
    </row>
    <row r="610" spans="1:92" ht="14.25" customHeight="1" x14ac:dyDescent="0.15">
      <c r="A610" s="1" t="s">
        <v>5429</v>
      </c>
      <c r="B610" s="1" t="s">
        <v>584</v>
      </c>
      <c r="C610" s="1"/>
      <c r="D610" s="1" t="s">
        <v>47</v>
      </c>
      <c r="E610" s="1" t="s">
        <v>5430</v>
      </c>
      <c r="F610" s="1" t="s">
        <v>98</v>
      </c>
      <c r="G610" s="1" t="s">
        <v>5431</v>
      </c>
      <c r="H610" s="1">
        <v>0</v>
      </c>
      <c r="I610" s="1" t="s">
        <v>122</v>
      </c>
      <c r="J610" s="1"/>
      <c r="K610" s="1" t="s">
        <v>5432</v>
      </c>
      <c r="L610" s="1"/>
      <c r="M610" s="1" t="s">
        <v>125</v>
      </c>
      <c r="N610" s="1">
        <v>0</v>
      </c>
      <c r="O610" s="1">
        <v>0</v>
      </c>
      <c r="P610" s="1" t="s">
        <v>281</v>
      </c>
      <c r="Q610" s="1" t="s">
        <v>268</v>
      </c>
      <c r="R610" s="1" t="s">
        <v>5433</v>
      </c>
      <c r="S610" s="1" t="s">
        <v>5434</v>
      </c>
      <c r="T610" s="1" t="s">
        <v>107</v>
      </c>
      <c r="U610" s="1" t="s">
        <v>5435</v>
      </c>
      <c r="V610" s="1">
        <v>1</v>
      </c>
      <c r="W610" s="1">
        <v>1</v>
      </c>
      <c r="X610" s="1">
        <v>1</v>
      </c>
      <c r="Y610" s="1">
        <v>0</v>
      </c>
      <c r="Z610" s="1">
        <v>1</v>
      </c>
      <c r="AA610" s="1">
        <v>3</v>
      </c>
      <c r="AB610" s="1">
        <v>3</v>
      </c>
      <c r="AC610" s="1">
        <v>3</v>
      </c>
      <c r="AD610" s="1">
        <v>3</v>
      </c>
      <c r="AE610" s="1">
        <v>2</v>
      </c>
      <c r="AF610" s="1" t="s">
        <v>109</v>
      </c>
      <c r="AG610" s="1" t="s">
        <v>109</v>
      </c>
      <c r="AH610" s="1" t="s">
        <v>109</v>
      </c>
      <c r="AI610" s="1">
        <v>2</v>
      </c>
      <c r="AJ610" s="1" t="s">
        <v>109</v>
      </c>
      <c r="AK610" s="1" t="s">
        <v>109</v>
      </c>
      <c r="AL610" s="1">
        <v>3</v>
      </c>
      <c r="AM610" s="1" t="s">
        <v>109</v>
      </c>
      <c r="AN610" s="1">
        <v>3</v>
      </c>
      <c r="AO610" s="1" t="s">
        <v>109</v>
      </c>
      <c r="AP610" s="1"/>
      <c r="AQ610" s="1">
        <v>3</v>
      </c>
      <c r="AR610" s="1" t="s">
        <v>5436</v>
      </c>
      <c r="AS610" s="1" t="s">
        <v>5437</v>
      </c>
      <c r="AT610" s="1">
        <v>0</v>
      </c>
      <c r="AU610" s="1">
        <v>1</v>
      </c>
      <c r="AV610" s="1">
        <v>0</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5" t="str">
        <f>HYPERLINK("http://www.d20pfsrd.com/magic/all-spells/w/wind-wall","Wind Wall")</f>
        <v>Wind Wall</v>
      </c>
      <c r="BT610" s="1">
        <v>613</v>
      </c>
      <c r="BU610" s="1" t="s">
        <v>109</v>
      </c>
      <c r="BV610" s="1"/>
      <c r="BW610" s="1" t="s">
        <v>5438</v>
      </c>
      <c r="BX610" s="1"/>
      <c r="BY610" s="1"/>
      <c r="BZ610" s="1">
        <v>0</v>
      </c>
      <c r="CA610" s="1">
        <v>3</v>
      </c>
      <c r="CB610" s="1">
        <v>3</v>
      </c>
      <c r="CC610" s="1" t="s">
        <v>109</v>
      </c>
      <c r="CD610" s="1" t="s">
        <v>109</v>
      </c>
      <c r="CE610" s="1" t="s">
        <v>109</v>
      </c>
      <c r="CF610" s="1">
        <v>3</v>
      </c>
      <c r="CG610" s="1">
        <v>3</v>
      </c>
      <c r="CH610" s="1" t="s">
        <v>109</v>
      </c>
      <c r="CI610" s="1" t="s">
        <v>109</v>
      </c>
      <c r="CJ610" s="1">
        <v>2</v>
      </c>
      <c r="CK610" s="1"/>
      <c r="CL610" s="1">
        <v>0</v>
      </c>
      <c r="CM610" s="1">
        <v>0</v>
      </c>
      <c r="CN610" s="1">
        <v>0</v>
      </c>
    </row>
    <row r="611" spans="1:92" ht="14.25" customHeight="1" x14ac:dyDescent="0.15">
      <c r="A611" s="1" t="s">
        <v>5439</v>
      </c>
      <c r="B611" s="1" t="s">
        <v>415</v>
      </c>
      <c r="C611" s="1"/>
      <c r="D611" s="1"/>
      <c r="E611" s="1" t="s">
        <v>1199</v>
      </c>
      <c r="F611" s="1" t="s">
        <v>98</v>
      </c>
      <c r="G611" s="1" t="s">
        <v>5440</v>
      </c>
      <c r="H611" s="1">
        <v>1</v>
      </c>
      <c r="I611" s="1" t="s">
        <v>211</v>
      </c>
      <c r="J611" s="1" t="s">
        <v>211</v>
      </c>
      <c r="K611" s="1" t="s">
        <v>211</v>
      </c>
      <c r="L611" s="1" t="s">
        <v>211</v>
      </c>
      <c r="M611" s="1" t="s">
        <v>211</v>
      </c>
      <c r="N611" s="1">
        <v>0</v>
      </c>
      <c r="O611" s="1">
        <v>0</v>
      </c>
      <c r="P611" s="1" t="s">
        <v>281</v>
      </c>
      <c r="Q611" s="1" t="s">
        <v>268</v>
      </c>
      <c r="R611" s="1" t="s">
        <v>5441</v>
      </c>
      <c r="S611" s="1" t="s">
        <v>5442</v>
      </c>
      <c r="T611" s="1" t="s">
        <v>107</v>
      </c>
      <c r="U611" s="1" t="s">
        <v>5443</v>
      </c>
      <c r="V611" s="1">
        <v>1</v>
      </c>
      <c r="W611" s="1">
        <v>1</v>
      </c>
      <c r="X611" s="1">
        <v>1</v>
      </c>
      <c r="Y611" s="1">
        <v>0</v>
      </c>
      <c r="Z611" s="1">
        <v>0</v>
      </c>
      <c r="AA611" s="1">
        <v>9</v>
      </c>
      <c r="AB611" s="1">
        <v>9</v>
      </c>
      <c r="AC611" s="1" t="s">
        <v>109</v>
      </c>
      <c r="AD611" s="1" t="s">
        <v>109</v>
      </c>
      <c r="AE611" s="1" t="s">
        <v>109</v>
      </c>
      <c r="AF611" s="1" t="s">
        <v>109</v>
      </c>
      <c r="AG611" s="1" t="s">
        <v>109</v>
      </c>
      <c r="AH611" s="1" t="s">
        <v>109</v>
      </c>
      <c r="AI611" s="1" t="s">
        <v>109</v>
      </c>
      <c r="AJ611" s="1" t="s">
        <v>109</v>
      </c>
      <c r="AK611" s="1" t="s">
        <v>109</v>
      </c>
      <c r="AL611" s="1" t="s">
        <v>109</v>
      </c>
      <c r="AM611" s="1" t="s">
        <v>109</v>
      </c>
      <c r="AN611" s="1" t="s">
        <v>109</v>
      </c>
      <c r="AO611" s="1" t="s">
        <v>109</v>
      </c>
      <c r="AP611" s="1"/>
      <c r="AQ611" s="1">
        <v>9</v>
      </c>
      <c r="AR611" s="1"/>
      <c r="AS611" s="1" t="s">
        <v>5444</v>
      </c>
      <c r="AT611" s="1">
        <v>0</v>
      </c>
      <c r="AU611" s="1">
        <v>0</v>
      </c>
      <c r="AV611" s="1">
        <v>0</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5" t="str">
        <f>HYPERLINK("http://www.d20pfsrd.com/magic/all-spells/w/wish","Wish")</f>
        <v>Wish</v>
      </c>
      <c r="BT611" s="1">
        <v>614</v>
      </c>
      <c r="BU611" s="1">
        <v>25000</v>
      </c>
      <c r="BV611" s="1" t="s">
        <v>5445</v>
      </c>
      <c r="BW611" s="1"/>
      <c r="BX611" s="1"/>
      <c r="BY611" s="1"/>
      <c r="BZ611" s="1">
        <v>0</v>
      </c>
      <c r="CA611" s="1" t="s">
        <v>109</v>
      </c>
      <c r="CB611" s="1" t="s">
        <v>109</v>
      </c>
      <c r="CC611" s="1">
        <v>9</v>
      </c>
      <c r="CD611" s="1" t="s">
        <v>109</v>
      </c>
      <c r="CE611" s="1" t="s">
        <v>109</v>
      </c>
      <c r="CF611" s="1" t="s">
        <v>109</v>
      </c>
      <c r="CG611" s="1" t="s">
        <v>109</v>
      </c>
      <c r="CH611" s="1" t="s">
        <v>109</v>
      </c>
      <c r="CI611" s="1" t="s">
        <v>109</v>
      </c>
      <c r="CJ611" s="1" t="s">
        <v>109</v>
      </c>
      <c r="CK611" s="1"/>
      <c r="CL611" s="1">
        <v>0</v>
      </c>
      <c r="CM611" s="1">
        <v>0</v>
      </c>
      <c r="CN611" s="1">
        <v>0</v>
      </c>
    </row>
    <row r="612" spans="1:92" ht="14.25" customHeight="1" x14ac:dyDescent="0.15">
      <c r="A612" s="1" t="s">
        <v>5446</v>
      </c>
      <c r="B612" s="1" t="s">
        <v>189</v>
      </c>
      <c r="C612" s="1"/>
      <c r="D612" s="1"/>
      <c r="E612" s="1" t="s">
        <v>5342</v>
      </c>
      <c r="F612" s="1" t="s">
        <v>98</v>
      </c>
      <c r="G612" s="1" t="s">
        <v>160</v>
      </c>
      <c r="H612" s="1">
        <v>0</v>
      </c>
      <c r="I612" s="1" t="s">
        <v>161</v>
      </c>
      <c r="J612" s="1"/>
      <c r="K612" s="1"/>
      <c r="L612" s="1" t="s">
        <v>5447</v>
      </c>
      <c r="M612" s="1" t="s">
        <v>144</v>
      </c>
      <c r="N612" s="1">
        <v>0</v>
      </c>
      <c r="O612" s="1">
        <v>0</v>
      </c>
      <c r="P612" s="1" t="s">
        <v>629</v>
      </c>
      <c r="Q612" s="1" t="s">
        <v>630</v>
      </c>
      <c r="R612" s="1" t="s">
        <v>5448</v>
      </c>
      <c r="S612" s="1" t="s">
        <v>5449</v>
      </c>
      <c r="T612" s="1" t="s">
        <v>107</v>
      </c>
      <c r="U612" s="1" t="s">
        <v>5450</v>
      </c>
      <c r="V612" s="1">
        <v>1</v>
      </c>
      <c r="W612" s="1">
        <v>1</v>
      </c>
      <c r="X612" s="1">
        <v>0</v>
      </c>
      <c r="Y612" s="1">
        <v>0</v>
      </c>
      <c r="Z612" s="1">
        <v>1</v>
      </c>
      <c r="AA612" s="1" t="s">
        <v>109</v>
      </c>
      <c r="AB612" s="1" t="s">
        <v>109</v>
      </c>
      <c r="AC612" s="1" t="s">
        <v>109</v>
      </c>
      <c r="AD612" s="1">
        <v>2</v>
      </c>
      <c r="AE612" s="1" t="s">
        <v>109</v>
      </c>
      <c r="AF612" s="1" t="s">
        <v>109</v>
      </c>
      <c r="AG612" s="1" t="s">
        <v>109</v>
      </c>
      <c r="AH612" s="1" t="s">
        <v>109</v>
      </c>
      <c r="AI612" s="1" t="s">
        <v>109</v>
      </c>
      <c r="AJ612" s="1" t="s">
        <v>109</v>
      </c>
      <c r="AK612" s="1" t="s">
        <v>109</v>
      </c>
      <c r="AL612" s="1" t="s">
        <v>109</v>
      </c>
      <c r="AM612" s="1" t="s">
        <v>109</v>
      </c>
      <c r="AN612" s="1" t="s">
        <v>109</v>
      </c>
      <c r="AO612" s="1" t="s">
        <v>109</v>
      </c>
      <c r="AP612" s="1"/>
      <c r="AQ612" s="1">
        <v>2</v>
      </c>
      <c r="AR612" s="1" t="s">
        <v>5451</v>
      </c>
      <c r="AS612" s="1" t="s">
        <v>5452</v>
      </c>
      <c r="AT612" s="1">
        <v>0</v>
      </c>
      <c r="AU612" s="1">
        <v>0</v>
      </c>
      <c r="AV612" s="1">
        <v>0</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5" t="str">
        <f>HYPERLINK("http://www.d20pfsrd.com/magic/all-spells/w/wood-shape","Wood Shape")</f>
        <v>Wood Shape</v>
      </c>
      <c r="BT612" s="1">
        <v>615</v>
      </c>
      <c r="BU612" s="1" t="s">
        <v>109</v>
      </c>
      <c r="BV612" s="1"/>
      <c r="BW612" s="1"/>
      <c r="BX612" s="1"/>
      <c r="BY612" s="1"/>
      <c r="BZ612" s="1">
        <v>0</v>
      </c>
      <c r="CA612" s="1" t="s">
        <v>109</v>
      </c>
      <c r="CB612" s="1">
        <v>2</v>
      </c>
      <c r="CC612" s="1" t="s">
        <v>109</v>
      </c>
      <c r="CD612" s="1" t="s">
        <v>109</v>
      </c>
      <c r="CE612" s="1" t="s">
        <v>109</v>
      </c>
      <c r="CF612" s="1">
        <v>2</v>
      </c>
      <c r="CG612" s="1" t="s">
        <v>109</v>
      </c>
      <c r="CH612" s="1" t="s">
        <v>109</v>
      </c>
      <c r="CI612" s="1" t="s">
        <v>109</v>
      </c>
      <c r="CJ612" s="1">
        <v>2</v>
      </c>
      <c r="CK612" s="1"/>
      <c r="CL612" s="1">
        <v>0</v>
      </c>
      <c r="CM612" s="1">
        <v>0</v>
      </c>
      <c r="CN612" s="1">
        <v>0</v>
      </c>
    </row>
    <row r="613" spans="1:92" ht="14.25" customHeight="1" x14ac:dyDescent="0.15">
      <c r="A613" s="1" t="s">
        <v>5453</v>
      </c>
      <c r="B613" s="1" t="s">
        <v>95</v>
      </c>
      <c r="C613" s="1" t="s">
        <v>1522</v>
      </c>
      <c r="D613" s="1"/>
      <c r="E613" s="1" t="s">
        <v>5454</v>
      </c>
      <c r="F613" s="1" t="s">
        <v>98</v>
      </c>
      <c r="G613" s="1" t="s">
        <v>333</v>
      </c>
      <c r="H613" s="1">
        <v>0</v>
      </c>
      <c r="I613" s="1" t="s">
        <v>397</v>
      </c>
      <c r="J613" s="1"/>
      <c r="K613" s="1"/>
      <c r="L613" s="1" t="s">
        <v>5455</v>
      </c>
      <c r="M613" s="1" t="s">
        <v>144</v>
      </c>
      <c r="N613" s="1">
        <v>0</v>
      </c>
      <c r="O613" s="1">
        <v>0</v>
      </c>
      <c r="P613" s="1" t="s">
        <v>5456</v>
      </c>
      <c r="Q613" s="1" t="s">
        <v>5457</v>
      </c>
      <c r="R613" s="1" t="s">
        <v>5458</v>
      </c>
      <c r="S613" s="1" t="s">
        <v>5459</v>
      </c>
      <c r="T613" s="1" t="s">
        <v>107</v>
      </c>
      <c r="U613" s="1" t="s">
        <v>5460</v>
      </c>
      <c r="V613" s="1">
        <v>1</v>
      </c>
      <c r="W613" s="1">
        <v>0</v>
      </c>
      <c r="X613" s="1">
        <v>0</v>
      </c>
      <c r="Y613" s="1">
        <v>0</v>
      </c>
      <c r="Z613" s="1">
        <v>0</v>
      </c>
      <c r="AA613" s="1" t="s">
        <v>109</v>
      </c>
      <c r="AB613" s="1" t="s">
        <v>109</v>
      </c>
      <c r="AC613" s="1">
        <v>6</v>
      </c>
      <c r="AD613" s="1">
        <v>8</v>
      </c>
      <c r="AE613" s="1" t="s">
        <v>109</v>
      </c>
      <c r="AF613" s="1" t="s">
        <v>109</v>
      </c>
      <c r="AG613" s="1" t="s">
        <v>109</v>
      </c>
      <c r="AH613" s="1" t="s">
        <v>109</v>
      </c>
      <c r="AI613" s="1" t="s">
        <v>109</v>
      </c>
      <c r="AJ613" s="1" t="s">
        <v>109</v>
      </c>
      <c r="AK613" s="1" t="s">
        <v>109</v>
      </c>
      <c r="AL613" s="1">
        <v>6</v>
      </c>
      <c r="AM613" s="1" t="s">
        <v>109</v>
      </c>
      <c r="AN613" s="1" t="s">
        <v>109</v>
      </c>
      <c r="AO613" s="1" t="s">
        <v>109</v>
      </c>
      <c r="AP613" s="1"/>
      <c r="AQ613" s="1">
        <v>6</v>
      </c>
      <c r="AR613" s="1"/>
      <c r="AS613" s="1" t="s">
        <v>5461</v>
      </c>
      <c r="AT613" s="1">
        <v>0</v>
      </c>
      <c r="AU613" s="1">
        <v>0</v>
      </c>
      <c r="AV613" s="1">
        <v>0</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5" t="str">
        <f>HYPERLINK("http://www.d20pfsrd.com/magic/all-spells/w/word-of-recall","Word of Recall")</f>
        <v>Word of Recall</v>
      </c>
      <c r="BT613" s="1">
        <v>616</v>
      </c>
      <c r="BU613" s="1" t="s">
        <v>109</v>
      </c>
      <c r="BV613" s="1"/>
      <c r="BW613" s="1" t="s">
        <v>5462</v>
      </c>
      <c r="BX613" s="1"/>
      <c r="BY613" s="1"/>
      <c r="BZ613" s="1">
        <v>0</v>
      </c>
      <c r="CA613" s="1" t="s">
        <v>109</v>
      </c>
      <c r="CB613" s="1" t="s">
        <v>109</v>
      </c>
      <c r="CC613" s="1">
        <v>7</v>
      </c>
      <c r="CD613" s="1" t="s">
        <v>109</v>
      </c>
      <c r="CE613" s="1" t="s">
        <v>109</v>
      </c>
      <c r="CF613" s="1" t="s">
        <v>109</v>
      </c>
      <c r="CG613" s="1" t="s">
        <v>109</v>
      </c>
      <c r="CH613" s="1" t="s">
        <v>109</v>
      </c>
      <c r="CI613" s="1" t="s">
        <v>109</v>
      </c>
      <c r="CJ613" s="1" t="s">
        <v>109</v>
      </c>
      <c r="CK613" s="1"/>
      <c r="CL613" s="1">
        <v>0</v>
      </c>
      <c r="CM613" s="1">
        <v>0</v>
      </c>
      <c r="CN613" s="1">
        <v>0</v>
      </c>
    </row>
    <row r="614" spans="1:92" ht="14.25" customHeight="1" x14ac:dyDescent="0.15">
      <c r="A614" s="1" t="s">
        <v>5463</v>
      </c>
      <c r="B614" s="1" t="s">
        <v>584</v>
      </c>
      <c r="C614" s="1"/>
      <c r="D614" s="1" t="s">
        <v>5464</v>
      </c>
      <c r="E614" s="1" t="s">
        <v>599</v>
      </c>
      <c r="F614" s="1" t="s">
        <v>98</v>
      </c>
      <c r="G614" s="1" t="s">
        <v>333</v>
      </c>
      <c r="H614" s="1">
        <v>0</v>
      </c>
      <c r="I614" s="1" t="s">
        <v>600</v>
      </c>
      <c r="J614" s="1" t="s">
        <v>5465</v>
      </c>
      <c r="K614" s="1"/>
      <c r="L614" s="1"/>
      <c r="M614" s="1" t="s">
        <v>144</v>
      </c>
      <c r="N614" s="1">
        <v>0</v>
      </c>
      <c r="O614" s="1">
        <v>0</v>
      </c>
      <c r="P614" s="1" t="s">
        <v>258</v>
      </c>
      <c r="Q614" s="1" t="s">
        <v>268</v>
      </c>
      <c r="R614" s="1" t="s">
        <v>5466</v>
      </c>
      <c r="S614" s="1" t="s">
        <v>5467</v>
      </c>
      <c r="T614" s="1" t="s">
        <v>107</v>
      </c>
      <c r="U614" s="1" t="s">
        <v>5468</v>
      </c>
      <c r="V614" s="1">
        <v>1</v>
      </c>
      <c r="W614" s="1">
        <v>0</v>
      </c>
      <c r="X614" s="1">
        <v>0</v>
      </c>
      <c r="Y614" s="1">
        <v>0</v>
      </c>
      <c r="Z614" s="1">
        <v>0</v>
      </c>
      <c r="AA614" s="1" t="s">
        <v>109</v>
      </c>
      <c r="AB614" s="1" t="s">
        <v>109</v>
      </c>
      <c r="AC614" s="1">
        <v>7</v>
      </c>
      <c r="AD614" s="1" t="s">
        <v>109</v>
      </c>
      <c r="AE614" s="1" t="s">
        <v>109</v>
      </c>
      <c r="AF614" s="1" t="s">
        <v>109</v>
      </c>
      <c r="AG614" s="1" t="s">
        <v>109</v>
      </c>
      <c r="AH614" s="1" t="s">
        <v>109</v>
      </c>
      <c r="AI614" s="1" t="s">
        <v>109</v>
      </c>
      <c r="AJ614" s="1" t="s">
        <v>109</v>
      </c>
      <c r="AK614" s="1">
        <v>6</v>
      </c>
      <c r="AL614" s="1">
        <v>7</v>
      </c>
      <c r="AM614" s="1" t="s">
        <v>109</v>
      </c>
      <c r="AN614" s="1" t="s">
        <v>109</v>
      </c>
      <c r="AO614" s="1" t="s">
        <v>109</v>
      </c>
      <c r="AP614" s="1"/>
      <c r="AQ614" s="1">
        <v>7</v>
      </c>
      <c r="AR614" s="1" t="s">
        <v>5469</v>
      </c>
      <c r="AS614" s="1" t="s">
        <v>5470</v>
      </c>
      <c r="AT614" s="1">
        <v>0</v>
      </c>
      <c r="AU614" s="1">
        <v>0</v>
      </c>
      <c r="AV614" s="1">
        <v>1</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1</v>
      </c>
      <c r="BR614" s="1">
        <v>0</v>
      </c>
      <c r="BS614" s="5" t="str">
        <f>HYPERLINK("http://www.d20pfsrd.com/magic/all-spells/w/word-of-chaos","Word of Chaos")</f>
        <v>Word of Chaos</v>
      </c>
      <c r="BT614" s="1">
        <v>617</v>
      </c>
      <c r="BU614" s="1" t="s">
        <v>109</v>
      </c>
      <c r="BV614" s="1"/>
      <c r="BW614" s="1"/>
      <c r="BX614" s="1" t="s">
        <v>5471</v>
      </c>
      <c r="BY614" s="1"/>
      <c r="BZ614" s="1">
        <v>1</v>
      </c>
      <c r="CA614" s="1" t="s">
        <v>109</v>
      </c>
      <c r="CB614" s="1" t="s">
        <v>109</v>
      </c>
      <c r="CC614" s="1" t="s">
        <v>109</v>
      </c>
      <c r="CD614" s="1" t="s">
        <v>109</v>
      </c>
      <c r="CE614" s="1" t="s">
        <v>109</v>
      </c>
      <c r="CF614" s="1" t="s">
        <v>109</v>
      </c>
      <c r="CG614" s="1" t="s">
        <v>109</v>
      </c>
      <c r="CH614" s="1" t="s">
        <v>109</v>
      </c>
      <c r="CI614" s="1" t="s">
        <v>109</v>
      </c>
      <c r="CJ614" s="1" t="s">
        <v>109</v>
      </c>
      <c r="CK614" s="1"/>
      <c r="CL614" s="1">
        <v>0</v>
      </c>
      <c r="CM614" s="1">
        <v>0</v>
      </c>
      <c r="CN614" s="1">
        <v>0</v>
      </c>
    </row>
    <row r="615" spans="1:92" ht="14.25" customHeight="1" x14ac:dyDescent="0.15">
      <c r="A615" s="1" t="s">
        <v>5472</v>
      </c>
      <c r="B615" s="1" t="s">
        <v>674</v>
      </c>
      <c r="C615" s="1" t="s">
        <v>675</v>
      </c>
      <c r="D615" s="1"/>
      <c r="E615" s="1" t="s">
        <v>5473</v>
      </c>
      <c r="F615" s="1" t="s">
        <v>355</v>
      </c>
      <c r="G615" s="1" t="s">
        <v>141</v>
      </c>
      <c r="H615" s="1">
        <v>0</v>
      </c>
      <c r="I615" s="1" t="s">
        <v>235</v>
      </c>
      <c r="J615" s="1" t="s">
        <v>5474</v>
      </c>
      <c r="K615" s="1"/>
      <c r="L615" s="1"/>
      <c r="M615" s="1" t="s">
        <v>289</v>
      </c>
      <c r="N615" s="1">
        <v>1</v>
      </c>
      <c r="O615" s="1">
        <v>0</v>
      </c>
      <c r="P615" s="1"/>
      <c r="Q615" s="1"/>
      <c r="R615" s="1" t="s">
        <v>5475</v>
      </c>
      <c r="S615" s="1" t="s">
        <v>5476</v>
      </c>
      <c r="T615" s="1" t="s">
        <v>107</v>
      </c>
      <c r="U615" s="1" t="s">
        <v>5477</v>
      </c>
      <c r="V615" s="1">
        <v>1</v>
      </c>
      <c r="W615" s="1">
        <v>1</v>
      </c>
      <c r="X615" s="1">
        <v>0</v>
      </c>
      <c r="Y615" s="1">
        <v>0</v>
      </c>
      <c r="Z615" s="1">
        <v>0</v>
      </c>
      <c r="AA615" s="1" t="s">
        <v>109</v>
      </c>
      <c r="AB615" s="1" t="s">
        <v>109</v>
      </c>
      <c r="AC615" s="1" t="s">
        <v>109</v>
      </c>
      <c r="AD615" s="1" t="s">
        <v>109</v>
      </c>
      <c r="AE615" s="1" t="s">
        <v>109</v>
      </c>
      <c r="AF615" s="1">
        <v>4</v>
      </c>
      <c r="AG615" s="1" t="s">
        <v>109</v>
      </c>
      <c r="AH615" s="1" t="s">
        <v>109</v>
      </c>
      <c r="AI615" s="1" t="s">
        <v>109</v>
      </c>
      <c r="AJ615" s="1" t="s">
        <v>109</v>
      </c>
      <c r="AK615" s="1" t="s">
        <v>109</v>
      </c>
      <c r="AL615" s="1" t="s">
        <v>109</v>
      </c>
      <c r="AM615" s="1" t="s">
        <v>109</v>
      </c>
      <c r="AN615" s="1" t="s">
        <v>109</v>
      </c>
      <c r="AO615" s="1" t="s">
        <v>109</v>
      </c>
      <c r="AP615" s="1"/>
      <c r="AQ615" s="1">
        <v>4</v>
      </c>
      <c r="AR615" s="1" t="s">
        <v>5478</v>
      </c>
      <c r="AS615" s="1" t="s">
        <v>5479</v>
      </c>
      <c r="AT615" s="1">
        <v>0</v>
      </c>
      <c r="AU615" s="1">
        <v>0</v>
      </c>
      <c r="AV615" s="1">
        <v>0</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5" t="str">
        <f>HYPERLINK("http://www.d20pfsrd.com/magic/all-spells/z/zone-of-silence","Zone of Silence")</f>
        <v>Zone of Silence</v>
      </c>
      <c r="BT615" s="1">
        <v>618</v>
      </c>
      <c r="BU615" s="1" t="s">
        <v>109</v>
      </c>
      <c r="BV615" s="1"/>
      <c r="BW615" s="1"/>
      <c r="BX615" s="1"/>
      <c r="BY615" s="1"/>
      <c r="BZ615" s="1">
        <v>0</v>
      </c>
      <c r="CA615" s="1" t="s">
        <v>109</v>
      </c>
      <c r="CB615" s="1" t="s">
        <v>109</v>
      </c>
      <c r="CC615" s="1" t="s">
        <v>109</v>
      </c>
      <c r="CD615" s="1" t="s">
        <v>109</v>
      </c>
      <c r="CE615" s="1">
        <v>4</v>
      </c>
      <c r="CF615" s="1" t="s">
        <v>109</v>
      </c>
      <c r="CG615" s="1" t="s">
        <v>109</v>
      </c>
      <c r="CH615" s="1" t="s">
        <v>109</v>
      </c>
      <c r="CI615" s="1" t="s">
        <v>109</v>
      </c>
      <c r="CJ615" s="1" t="s">
        <v>109</v>
      </c>
      <c r="CK615" s="1"/>
      <c r="CL615" s="1">
        <v>0</v>
      </c>
      <c r="CM615" s="1">
        <v>0</v>
      </c>
      <c r="CN615" s="1">
        <v>0</v>
      </c>
    </row>
    <row r="616" spans="1:92" ht="14.25" customHeight="1" x14ac:dyDescent="0.15">
      <c r="A616" s="1" t="s">
        <v>5480</v>
      </c>
      <c r="B616" s="1" t="s">
        <v>156</v>
      </c>
      <c r="C616" s="1" t="s">
        <v>157</v>
      </c>
      <c r="D616" s="1" t="s">
        <v>158</v>
      </c>
      <c r="E616" s="1" t="s">
        <v>5481</v>
      </c>
      <c r="F616" s="1" t="s">
        <v>98</v>
      </c>
      <c r="G616" s="1" t="s">
        <v>160</v>
      </c>
      <c r="H616" s="1">
        <v>0</v>
      </c>
      <c r="I616" s="1" t="s">
        <v>142</v>
      </c>
      <c r="J616" s="1" t="s">
        <v>1045</v>
      </c>
      <c r="K616" s="1"/>
      <c r="L616" s="1"/>
      <c r="M616" s="1" t="s">
        <v>164</v>
      </c>
      <c r="N616" s="1">
        <v>0</v>
      </c>
      <c r="O616" s="1">
        <v>0</v>
      </c>
      <c r="P616" s="1" t="s">
        <v>301</v>
      </c>
      <c r="Q616" s="1" t="s">
        <v>268</v>
      </c>
      <c r="R616" s="1" t="s">
        <v>5482</v>
      </c>
      <c r="S616" s="1" t="s">
        <v>5483</v>
      </c>
      <c r="T616" s="1" t="s">
        <v>107</v>
      </c>
      <c r="U616" s="1" t="s">
        <v>5484</v>
      </c>
      <c r="V616" s="1">
        <v>1</v>
      </c>
      <c r="W616" s="1">
        <v>1</v>
      </c>
      <c r="X616" s="1">
        <v>0</v>
      </c>
      <c r="Y616" s="1">
        <v>0</v>
      </c>
      <c r="Z616" s="1">
        <v>1</v>
      </c>
      <c r="AA616" s="1" t="s">
        <v>109</v>
      </c>
      <c r="AB616" s="1" t="s">
        <v>109</v>
      </c>
      <c r="AC616" s="1">
        <v>2</v>
      </c>
      <c r="AD616" s="1" t="s">
        <v>109</v>
      </c>
      <c r="AE616" s="1" t="s">
        <v>109</v>
      </c>
      <c r="AF616" s="1" t="s">
        <v>109</v>
      </c>
      <c r="AG616" s="1">
        <v>2</v>
      </c>
      <c r="AH616" s="1" t="s">
        <v>109</v>
      </c>
      <c r="AI616" s="1" t="s">
        <v>109</v>
      </c>
      <c r="AJ616" s="1">
        <v>2</v>
      </c>
      <c r="AK616" s="1">
        <v>2</v>
      </c>
      <c r="AL616" s="1">
        <v>2</v>
      </c>
      <c r="AM616" s="1" t="s">
        <v>109</v>
      </c>
      <c r="AN616" s="1" t="s">
        <v>109</v>
      </c>
      <c r="AO616" s="1" t="s">
        <v>109</v>
      </c>
      <c r="AP616" s="1"/>
      <c r="AQ616" s="1">
        <v>2</v>
      </c>
      <c r="AR616" s="1" t="s">
        <v>5485</v>
      </c>
      <c r="AS616" s="1" t="s">
        <v>5486</v>
      </c>
      <c r="AT616" s="1">
        <v>0</v>
      </c>
      <c r="AU616" s="1">
        <v>0</v>
      </c>
      <c r="AV616" s="1">
        <v>0</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1</v>
      </c>
      <c r="BN616" s="1">
        <v>0</v>
      </c>
      <c r="BO616" s="1">
        <v>0</v>
      </c>
      <c r="BP616" s="1">
        <v>0</v>
      </c>
      <c r="BQ616" s="1">
        <v>0</v>
      </c>
      <c r="BR616" s="1">
        <v>0</v>
      </c>
      <c r="BS616" s="5" t="str">
        <f>HYPERLINK("http://www.d20pfsrd.com/magic/all-spells/z/zone-of-truth","Zone of Truth")</f>
        <v>Zone of Truth</v>
      </c>
      <c r="BT616" s="1">
        <v>619</v>
      </c>
      <c r="BU616" s="1" t="s">
        <v>109</v>
      </c>
      <c r="BV616" s="1"/>
      <c r="BW616" s="1"/>
      <c r="BX616" s="1"/>
      <c r="BY616" s="1"/>
      <c r="BZ616" s="1">
        <v>0</v>
      </c>
      <c r="CA616" s="1" t="s">
        <v>109</v>
      </c>
      <c r="CB616" s="1" t="s">
        <v>109</v>
      </c>
      <c r="CC616" s="1">
        <v>2</v>
      </c>
      <c r="CD616" s="1" t="s">
        <v>109</v>
      </c>
      <c r="CE616" s="1" t="s">
        <v>109</v>
      </c>
      <c r="CF616" s="1" t="s">
        <v>109</v>
      </c>
      <c r="CG616" s="1" t="s">
        <v>109</v>
      </c>
      <c r="CH616" s="1" t="s">
        <v>109</v>
      </c>
      <c r="CI616" s="1" t="s">
        <v>109</v>
      </c>
      <c r="CJ616" s="1" t="s">
        <v>109</v>
      </c>
      <c r="CK616" s="1"/>
      <c r="CL616" s="1">
        <v>0</v>
      </c>
      <c r="CM616" s="1">
        <v>0</v>
      </c>
      <c r="CN616" s="1">
        <v>0</v>
      </c>
    </row>
    <row r="617" spans="1:92" ht="14.25" customHeight="1" x14ac:dyDescent="0.15">
      <c r="A617" s="1" t="s">
        <v>5487</v>
      </c>
      <c r="B617" s="1" t="s">
        <v>95</v>
      </c>
      <c r="C617" s="1" t="s">
        <v>96</v>
      </c>
      <c r="D617" s="1" t="s">
        <v>54</v>
      </c>
      <c r="E617" s="1" t="s">
        <v>5488</v>
      </c>
      <c r="F617" s="1" t="s">
        <v>98</v>
      </c>
      <c r="G617" s="1" t="s">
        <v>5489</v>
      </c>
      <c r="H617" s="1">
        <v>0</v>
      </c>
      <c r="I617" s="1" t="s">
        <v>122</v>
      </c>
      <c r="J617" s="1"/>
      <c r="K617" s="1" t="s">
        <v>5490</v>
      </c>
      <c r="L617" s="1"/>
      <c r="M617" s="1" t="s">
        <v>144</v>
      </c>
      <c r="N617" s="1">
        <v>0</v>
      </c>
      <c r="O617" s="1">
        <v>0</v>
      </c>
      <c r="P617" s="1" t="s">
        <v>211</v>
      </c>
      <c r="Q617" s="1" t="s">
        <v>104</v>
      </c>
      <c r="R617" s="1" t="s">
        <v>5491</v>
      </c>
      <c r="S617" s="1" t="s">
        <v>5492</v>
      </c>
      <c r="T617" s="1" t="s">
        <v>107</v>
      </c>
      <c r="U617" s="1" t="s">
        <v>5493</v>
      </c>
      <c r="V617" s="1">
        <v>1</v>
      </c>
      <c r="W617" s="1">
        <v>1</v>
      </c>
      <c r="X617" s="1">
        <v>1</v>
      </c>
      <c r="Y617" s="1">
        <v>0</v>
      </c>
      <c r="Z617" s="1">
        <v>1</v>
      </c>
      <c r="AA617" s="1">
        <v>5</v>
      </c>
      <c r="AB617" s="1">
        <v>5</v>
      </c>
      <c r="AC617" s="1">
        <v>5</v>
      </c>
      <c r="AD617" s="1">
        <v>6</v>
      </c>
      <c r="AE617" s="1" t="s">
        <v>109</v>
      </c>
      <c r="AF617" s="1" t="s">
        <v>109</v>
      </c>
      <c r="AG617" s="1" t="s">
        <v>109</v>
      </c>
      <c r="AH617" s="1" t="s">
        <v>109</v>
      </c>
      <c r="AI617" s="1">
        <v>4</v>
      </c>
      <c r="AJ617" s="1" t="s">
        <v>109</v>
      </c>
      <c r="AK617" s="1" t="s">
        <v>109</v>
      </c>
      <c r="AL617" s="1">
        <v>5</v>
      </c>
      <c r="AM617" s="1" t="s">
        <v>109</v>
      </c>
      <c r="AN617" s="1">
        <v>5</v>
      </c>
      <c r="AO617" s="1">
        <v>5</v>
      </c>
      <c r="AP617" s="1"/>
      <c r="AQ617" s="1">
        <v>5</v>
      </c>
      <c r="AR617" s="1" t="s">
        <v>5494</v>
      </c>
      <c r="AS617" s="1" t="s">
        <v>5495</v>
      </c>
      <c r="AT617" s="1">
        <v>0</v>
      </c>
      <c r="AU617" s="1">
        <v>0</v>
      </c>
      <c r="AV617" s="1">
        <v>0</v>
      </c>
      <c r="AW617" s="1">
        <v>0</v>
      </c>
      <c r="AX617" s="1">
        <v>0</v>
      </c>
      <c r="AY617" s="1">
        <v>0</v>
      </c>
      <c r="AZ617" s="1">
        <v>0</v>
      </c>
      <c r="BA617" s="1">
        <v>0</v>
      </c>
      <c r="BB617" s="1">
        <v>1</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5" t="str">
        <f>HYPERLINK("http://www.d20pfsrd.com/magic/all-spells/w/wall-of-stone","Wall of Stone")</f>
        <v>Wall of Stone</v>
      </c>
      <c r="BT617" s="1">
        <v>620</v>
      </c>
      <c r="BU617" s="1" t="s">
        <v>109</v>
      </c>
      <c r="BV617" s="1" t="s">
        <v>5496</v>
      </c>
      <c r="BW617" s="1" t="s">
        <v>5497</v>
      </c>
      <c r="BX617" s="1" t="s">
        <v>5498</v>
      </c>
      <c r="BY617" s="1" t="s">
        <v>5499</v>
      </c>
      <c r="BZ617" s="1">
        <v>1</v>
      </c>
      <c r="CA617" s="1" t="s">
        <v>109</v>
      </c>
      <c r="CB617" s="1">
        <v>6</v>
      </c>
      <c r="CC617" s="1" t="s">
        <v>109</v>
      </c>
      <c r="CD617" s="1" t="s">
        <v>109</v>
      </c>
      <c r="CE617" s="1" t="s">
        <v>109</v>
      </c>
      <c r="CF617" s="1">
        <v>5</v>
      </c>
      <c r="CG617" s="1" t="s">
        <v>109</v>
      </c>
      <c r="CH617" s="1" t="s">
        <v>109</v>
      </c>
      <c r="CI617" s="1" t="s">
        <v>109</v>
      </c>
      <c r="CJ617" s="1">
        <v>6</v>
      </c>
      <c r="CK617" s="1"/>
      <c r="CL617" s="1">
        <v>0</v>
      </c>
      <c r="CM617" s="1">
        <v>0</v>
      </c>
      <c r="CN617" s="1">
        <v>0</v>
      </c>
    </row>
    <row r="618" spans="1:92" ht="14.25" customHeight="1" x14ac:dyDescent="0.15">
      <c r="A618" s="1" t="s">
        <v>5500</v>
      </c>
      <c r="B618" s="1" t="s">
        <v>584</v>
      </c>
      <c r="C618" s="1"/>
      <c r="D618" s="1" t="s">
        <v>57</v>
      </c>
      <c r="E618" s="1" t="s">
        <v>5501</v>
      </c>
      <c r="F618" s="1" t="s">
        <v>98</v>
      </c>
      <c r="G618" s="1" t="s">
        <v>141</v>
      </c>
      <c r="H618" s="1">
        <v>0</v>
      </c>
      <c r="I618" s="1" t="s">
        <v>142</v>
      </c>
      <c r="J618" s="1"/>
      <c r="K618" s="1"/>
      <c r="L618" s="1" t="s">
        <v>5502</v>
      </c>
      <c r="M618" s="1" t="s">
        <v>5503</v>
      </c>
      <c r="N618" s="1">
        <v>0</v>
      </c>
      <c r="O618" s="1">
        <v>0</v>
      </c>
      <c r="P618" s="1" t="s">
        <v>267</v>
      </c>
      <c r="Q618" s="1" t="s">
        <v>268</v>
      </c>
      <c r="R618" s="1" t="s">
        <v>5504</v>
      </c>
      <c r="S618" s="1" t="s">
        <v>5505</v>
      </c>
      <c r="T618" s="1" t="s">
        <v>5506</v>
      </c>
      <c r="U618" s="1" t="s">
        <v>5507</v>
      </c>
      <c r="V618" s="1">
        <v>1</v>
      </c>
      <c r="W618" s="1">
        <v>1</v>
      </c>
      <c r="X618" s="1">
        <v>0</v>
      </c>
      <c r="Y618" s="1">
        <v>0</v>
      </c>
      <c r="Z618" s="1">
        <v>0</v>
      </c>
      <c r="AA618" s="1">
        <v>4</v>
      </c>
      <c r="AB618" s="1">
        <v>4</v>
      </c>
      <c r="AC618" s="1">
        <v>3</v>
      </c>
      <c r="AD618" s="1" t="s">
        <v>109</v>
      </c>
      <c r="AE618" s="1" t="s">
        <v>109</v>
      </c>
      <c r="AF618" s="1" t="s">
        <v>109</v>
      </c>
      <c r="AG618" s="1" t="s">
        <v>109</v>
      </c>
      <c r="AH618" s="1" t="s">
        <v>109</v>
      </c>
      <c r="AI618" s="1" t="s">
        <v>109</v>
      </c>
      <c r="AJ618" s="1" t="s">
        <v>109</v>
      </c>
      <c r="AK618" s="1" t="s">
        <v>109</v>
      </c>
      <c r="AL618" s="1">
        <v>3</v>
      </c>
      <c r="AM618" s="1" t="s">
        <v>109</v>
      </c>
      <c r="AN618" s="1" t="s">
        <v>109</v>
      </c>
      <c r="AO618" s="1" t="s">
        <v>109</v>
      </c>
      <c r="AP618" s="1"/>
      <c r="AQ618" s="1">
        <v>4</v>
      </c>
      <c r="AR618" s="1" t="s">
        <v>5508</v>
      </c>
      <c r="AS618" s="1" t="s">
        <v>5509</v>
      </c>
      <c r="AT618" s="1">
        <v>0</v>
      </c>
      <c r="AU618" s="1">
        <v>0</v>
      </c>
      <c r="AV618" s="1">
        <v>0</v>
      </c>
      <c r="AW618" s="1">
        <v>0</v>
      </c>
      <c r="AX618" s="1">
        <v>0</v>
      </c>
      <c r="AY618" s="1">
        <v>0</v>
      </c>
      <c r="AZ618" s="1">
        <v>0</v>
      </c>
      <c r="BA618" s="1">
        <v>0</v>
      </c>
      <c r="BB618" s="1">
        <v>0</v>
      </c>
      <c r="BC618" s="1">
        <v>0</v>
      </c>
      <c r="BD618" s="1">
        <v>0</v>
      </c>
      <c r="BE618" s="1">
        <v>1</v>
      </c>
      <c r="BF618" s="1">
        <v>0</v>
      </c>
      <c r="BG618" s="1">
        <v>0</v>
      </c>
      <c r="BH618" s="1">
        <v>0</v>
      </c>
      <c r="BI618" s="1">
        <v>0</v>
      </c>
      <c r="BJ618" s="1">
        <v>0</v>
      </c>
      <c r="BK618" s="1">
        <v>0</v>
      </c>
      <c r="BL618" s="1">
        <v>0</v>
      </c>
      <c r="BM618" s="1">
        <v>0</v>
      </c>
      <c r="BN618" s="1">
        <v>0</v>
      </c>
      <c r="BO618" s="1">
        <v>0</v>
      </c>
      <c r="BP618" s="1">
        <v>0</v>
      </c>
      <c r="BQ618" s="1">
        <v>0</v>
      </c>
      <c r="BR618" s="1">
        <v>0</v>
      </c>
      <c r="BS618" s="5" t="str">
        <f>HYPERLINK("http://www.d20pfsrd.com/magic/all-spells/a/a/agonize","Agonize")</f>
        <v>Agonize</v>
      </c>
      <c r="BT618" s="1">
        <v>621</v>
      </c>
      <c r="BU618" s="1" t="s">
        <v>109</v>
      </c>
      <c r="BV618" s="1"/>
      <c r="BW618" s="1"/>
      <c r="BX618" s="1"/>
      <c r="BY618" s="1"/>
      <c r="BZ618" s="1">
        <v>0</v>
      </c>
      <c r="CA618" s="1" t="s">
        <v>109</v>
      </c>
      <c r="CB618" s="1" t="s">
        <v>109</v>
      </c>
      <c r="CC618" s="1">
        <v>4</v>
      </c>
      <c r="CD618" s="1" t="s">
        <v>109</v>
      </c>
      <c r="CE618" s="1" t="s">
        <v>109</v>
      </c>
      <c r="CF618" s="1">
        <v>3</v>
      </c>
      <c r="CG618" s="1" t="s">
        <v>109</v>
      </c>
      <c r="CH618" s="1" t="s">
        <v>109</v>
      </c>
      <c r="CI618" s="1" t="s">
        <v>109</v>
      </c>
      <c r="CJ618" s="1" t="s">
        <v>109</v>
      </c>
      <c r="CK618" s="1"/>
      <c r="CL618" s="1">
        <v>0</v>
      </c>
      <c r="CM618" s="1">
        <v>0</v>
      </c>
      <c r="CN618" s="1">
        <v>0</v>
      </c>
    </row>
    <row r="619" spans="1:92" ht="14.25" customHeight="1" x14ac:dyDescent="0.15">
      <c r="A619" s="1" t="s">
        <v>5510</v>
      </c>
      <c r="B619" s="1" t="s">
        <v>584</v>
      </c>
      <c r="C619" s="1"/>
      <c r="D619" s="1" t="s">
        <v>57</v>
      </c>
      <c r="E619" s="1" t="s">
        <v>5511</v>
      </c>
      <c r="F619" s="1" t="s">
        <v>98</v>
      </c>
      <c r="G619" s="1" t="s">
        <v>5512</v>
      </c>
      <c r="H619" s="1">
        <v>0</v>
      </c>
      <c r="I619" s="1" t="s">
        <v>142</v>
      </c>
      <c r="J619" s="1"/>
      <c r="K619" s="1" t="s">
        <v>1506</v>
      </c>
      <c r="L619" s="1"/>
      <c r="M619" s="1" t="s">
        <v>144</v>
      </c>
      <c r="N619" s="1">
        <v>0</v>
      </c>
      <c r="O619" s="1">
        <v>0</v>
      </c>
      <c r="P619" s="1" t="s">
        <v>5513</v>
      </c>
      <c r="Q619" s="1" t="s">
        <v>268</v>
      </c>
      <c r="R619" s="1" t="s">
        <v>5514</v>
      </c>
      <c r="S619" s="1" t="s">
        <v>5515</v>
      </c>
      <c r="T619" s="1" t="s">
        <v>5506</v>
      </c>
      <c r="U619" s="1" t="s">
        <v>5516</v>
      </c>
      <c r="V619" s="1">
        <v>1</v>
      </c>
      <c r="W619" s="1">
        <v>1</v>
      </c>
      <c r="X619" s="1">
        <v>0</v>
      </c>
      <c r="Y619" s="1">
        <v>0</v>
      </c>
      <c r="Z619" s="1">
        <v>1</v>
      </c>
      <c r="AA619" s="1">
        <v>6</v>
      </c>
      <c r="AB619" s="1">
        <v>6</v>
      </c>
      <c r="AC619" s="1">
        <v>6</v>
      </c>
      <c r="AD619" s="1" t="s">
        <v>109</v>
      </c>
      <c r="AE619" s="1" t="s">
        <v>109</v>
      </c>
      <c r="AF619" s="1" t="s">
        <v>109</v>
      </c>
      <c r="AG619" s="1" t="s">
        <v>109</v>
      </c>
      <c r="AH619" s="1" t="s">
        <v>109</v>
      </c>
      <c r="AI619" s="1" t="s">
        <v>109</v>
      </c>
      <c r="AJ619" s="1" t="s">
        <v>109</v>
      </c>
      <c r="AK619" s="1" t="s">
        <v>109</v>
      </c>
      <c r="AL619" s="1">
        <v>6</v>
      </c>
      <c r="AM619" s="1" t="s">
        <v>109</v>
      </c>
      <c r="AN619" s="1" t="s">
        <v>109</v>
      </c>
      <c r="AO619" s="1" t="s">
        <v>109</v>
      </c>
      <c r="AP619" s="1"/>
      <c r="AQ619" s="1">
        <v>6</v>
      </c>
      <c r="AR619" s="1"/>
      <c r="AS619" s="1"/>
      <c r="AT619" s="1">
        <v>0</v>
      </c>
      <c r="AU619" s="1">
        <v>0</v>
      </c>
      <c r="AV619" s="1">
        <v>0</v>
      </c>
      <c r="AW619" s="1">
        <v>0</v>
      </c>
      <c r="AX619" s="1">
        <v>0</v>
      </c>
      <c r="AY619" s="1">
        <v>0</v>
      </c>
      <c r="AZ619" s="1">
        <v>0</v>
      </c>
      <c r="BA619" s="1">
        <v>0</v>
      </c>
      <c r="BB619" s="1">
        <v>0</v>
      </c>
      <c r="BC619" s="1">
        <v>0</v>
      </c>
      <c r="BD619" s="1">
        <v>0</v>
      </c>
      <c r="BE619" s="1">
        <v>1</v>
      </c>
      <c r="BF619" s="1">
        <v>0</v>
      </c>
      <c r="BG619" s="1">
        <v>0</v>
      </c>
      <c r="BH619" s="1">
        <v>0</v>
      </c>
      <c r="BI619" s="1">
        <v>0</v>
      </c>
      <c r="BJ619" s="1">
        <v>0</v>
      </c>
      <c r="BK619" s="1">
        <v>0</v>
      </c>
      <c r="BL619" s="1">
        <v>0</v>
      </c>
      <c r="BM619" s="1">
        <v>0</v>
      </c>
      <c r="BN619" s="1">
        <v>0</v>
      </c>
      <c r="BO619" s="1">
        <v>0</v>
      </c>
      <c r="BP619" s="1">
        <v>0</v>
      </c>
      <c r="BQ619" s="1">
        <v>0</v>
      </c>
      <c r="BR619" s="1">
        <v>0</v>
      </c>
      <c r="BS619" s="5" t="str">
        <f>HYPERLINK("http://www.d20pfsrd.com/magic/all-spells/h/h/hellfire-ray","Hellfire Ray")</f>
        <v>Hellfire Ray</v>
      </c>
      <c r="BT619" s="1">
        <v>622</v>
      </c>
      <c r="BU619" s="1" t="s">
        <v>109</v>
      </c>
      <c r="BV619" s="1"/>
      <c r="BW619" s="1"/>
      <c r="BX619" s="1"/>
      <c r="BY619" s="1"/>
      <c r="BZ619" s="1">
        <v>0</v>
      </c>
      <c r="CA619" s="1" t="s">
        <v>109</v>
      </c>
      <c r="CB619" s="1" t="s">
        <v>109</v>
      </c>
      <c r="CC619" s="1" t="s">
        <v>109</v>
      </c>
      <c r="CD619" s="1" t="s">
        <v>109</v>
      </c>
      <c r="CE619" s="1" t="s">
        <v>109</v>
      </c>
      <c r="CF619" s="1" t="s">
        <v>109</v>
      </c>
      <c r="CG619" s="1" t="s">
        <v>109</v>
      </c>
      <c r="CH619" s="1" t="s">
        <v>109</v>
      </c>
      <c r="CI619" s="1" t="s">
        <v>109</v>
      </c>
      <c r="CJ619" s="1" t="s">
        <v>109</v>
      </c>
      <c r="CK619" s="1"/>
      <c r="CL619" s="1">
        <v>0</v>
      </c>
      <c r="CM619" s="1">
        <v>0</v>
      </c>
      <c r="CN619" s="1">
        <v>0</v>
      </c>
    </row>
    <row r="620" spans="1:92" ht="14.25" customHeight="1" x14ac:dyDescent="0.15">
      <c r="A620" s="1" t="s">
        <v>5517</v>
      </c>
      <c r="B620" s="1" t="s">
        <v>156</v>
      </c>
      <c r="C620" s="1" t="s">
        <v>834</v>
      </c>
      <c r="D620" s="1" t="s">
        <v>158</v>
      </c>
      <c r="E620" s="1" t="s">
        <v>5518</v>
      </c>
      <c r="F620" s="1" t="s">
        <v>277</v>
      </c>
      <c r="G620" s="1" t="s">
        <v>2264</v>
      </c>
      <c r="H620" s="1">
        <v>0</v>
      </c>
      <c r="I620" s="1" t="s">
        <v>142</v>
      </c>
      <c r="J620" s="1"/>
      <c r="K620" s="1"/>
      <c r="L620" s="1" t="s">
        <v>5519</v>
      </c>
      <c r="M620" s="1" t="s">
        <v>5520</v>
      </c>
      <c r="N620" s="1">
        <v>0</v>
      </c>
      <c r="O620" s="1">
        <v>0</v>
      </c>
      <c r="P620" s="1" t="s">
        <v>103</v>
      </c>
      <c r="Q620" s="1" t="s">
        <v>104</v>
      </c>
      <c r="R620" s="1" t="s">
        <v>5521</v>
      </c>
      <c r="S620" s="1" t="s">
        <v>5522</v>
      </c>
      <c r="T620" s="1" t="s">
        <v>5506</v>
      </c>
      <c r="U620" s="1" t="s">
        <v>5523</v>
      </c>
      <c r="V620" s="1">
        <v>1</v>
      </c>
      <c r="W620" s="1">
        <v>1</v>
      </c>
      <c r="X620" s="1">
        <v>1</v>
      </c>
      <c r="Y620" s="1">
        <v>0</v>
      </c>
      <c r="Z620" s="1">
        <v>0</v>
      </c>
      <c r="AA620" s="1">
        <v>4</v>
      </c>
      <c r="AB620" s="1">
        <v>4</v>
      </c>
      <c r="AC620" s="1">
        <v>4</v>
      </c>
      <c r="AD620" s="1" t="s">
        <v>109</v>
      </c>
      <c r="AE620" s="1" t="s">
        <v>109</v>
      </c>
      <c r="AF620" s="1" t="s">
        <v>109</v>
      </c>
      <c r="AG620" s="1" t="s">
        <v>109</v>
      </c>
      <c r="AH620" s="1" t="s">
        <v>109</v>
      </c>
      <c r="AI620" s="1" t="s">
        <v>109</v>
      </c>
      <c r="AJ620" s="1" t="s">
        <v>109</v>
      </c>
      <c r="AK620" s="1" t="s">
        <v>109</v>
      </c>
      <c r="AL620" s="1">
        <v>4</v>
      </c>
      <c r="AM620" s="1" t="s">
        <v>109</v>
      </c>
      <c r="AN620" s="1" t="s">
        <v>109</v>
      </c>
      <c r="AO620" s="1" t="s">
        <v>109</v>
      </c>
      <c r="AP620" s="1"/>
      <c r="AQ620" s="1">
        <v>4</v>
      </c>
      <c r="AR620" s="1"/>
      <c r="AS620" s="1"/>
      <c r="AT620" s="1">
        <v>0</v>
      </c>
      <c r="AU620" s="1">
        <v>0</v>
      </c>
      <c r="AV620" s="1">
        <v>0</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1</v>
      </c>
      <c r="BN620" s="1">
        <v>0</v>
      </c>
      <c r="BO620" s="1">
        <v>0</v>
      </c>
      <c r="BP620" s="1">
        <v>0</v>
      </c>
      <c r="BQ620" s="1">
        <v>0</v>
      </c>
      <c r="BR620" s="1">
        <v>0</v>
      </c>
      <c r="BS620" s="5" t="str">
        <f>HYPERLINK("http://www.d20pfsrd.com/magic/all-spells/s/s/sacrifice","Sacrifice")</f>
        <v>Sacrifice</v>
      </c>
      <c r="BT620" s="1">
        <v>624</v>
      </c>
      <c r="BU620" s="1" t="s">
        <v>109</v>
      </c>
      <c r="BV620" s="1"/>
      <c r="BW620" s="1"/>
      <c r="BX620" s="1"/>
      <c r="BY620" s="1"/>
      <c r="BZ620" s="1">
        <v>0</v>
      </c>
      <c r="CA620" s="1" t="s">
        <v>109</v>
      </c>
      <c r="CB620" s="1" t="s">
        <v>109</v>
      </c>
      <c r="CC620" s="1" t="s">
        <v>109</v>
      </c>
      <c r="CD620" s="1" t="s">
        <v>109</v>
      </c>
      <c r="CE620" s="1" t="s">
        <v>109</v>
      </c>
      <c r="CF620" s="1" t="s">
        <v>109</v>
      </c>
      <c r="CG620" s="1" t="s">
        <v>109</v>
      </c>
      <c r="CH620" s="1" t="s">
        <v>109</v>
      </c>
      <c r="CI620" s="1" t="s">
        <v>109</v>
      </c>
      <c r="CJ620" s="1" t="s">
        <v>109</v>
      </c>
      <c r="CK620" s="1"/>
      <c r="CL620" s="1">
        <v>0</v>
      </c>
      <c r="CM620" s="1">
        <v>0</v>
      </c>
      <c r="CN620" s="1">
        <v>0</v>
      </c>
    </row>
    <row r="621" spans="1:92" ht="14.25" customHeight="1" x14ac:dyDescent="0.15">
      <c r="A621" s="1" t="s">
        <v>5524</v>
      </c>
      <c r="B621" s="1" t="s">
        <v>189</v>
      </c>
      <c r="C621" s="1"/>
      <c r="D621" s="1" t="s">
        <v>59</v>
      </c>
      <c r="E621" s="1" t="s">
        <v>5525</v>
      </c>
      <c r="F621" s="1" t="s">
        <v>98</v>
      </c>
      <c r="G621" s="1" t="s">
        <v>141</v>
      </c>
      <c r="H621" s="1">
        <v>0</v>
      </c>
      <c r="I621" s="1" t="s">
        <v>5526</v>
      </c>
      <c r="J621" s="1"/>
      <c r="K621" s="1"/>
      <c r="L621" s="1" t="s">
        <v>5527</v>
      </c>
      <c r="M621" s="1" t="s">
        <v>5528</v>
      </c>
      <c r="N621" s="1">
        <v>0</v>
      </c>
      <c r="O621" s="1">
        <v>0</v>
      </c>
      <c r="P621" s="1" t="s">
        <v>5529</v>
      </c>
      <c r="Q621" s="1" t="s">
        <v>5530</v>
      </c>
      <c r="R621" s="1" t="s">
        <v>5531</v>
      </c>
      <c r="S621" s="1" t="s">
        <v>5532</v>
      </c>
      <c r="T621" s="1" t="s">
        <v>5533</v>
      </c>
      <c r="U621" s="1" t="s">
        <v>5534</v>
      </c>
      <c r="V621" s="1">
        <v>1</v>
      </c>
      <c r="W621" s="1">
        <v>1</v>
      </c>
      <c r="X621" s="1">
        <v>0</v>
      </c>
      <c r="Y621" s="1">
        <v>0</v>
      </c>
      <c r="Z621" s="1">
        <v>0</v>
      </c>
      <c r="AA621" s="1">
        <v>1</v>
      </c>
      <c r="AB621" s="1">
        <v>1</v>
      </c>
      <c r="AC621" s="1">
        <v>1</v>
      </c>
      <c r="AD621" s="1">
        <v>1</v>
      </c>
      <c r="AE621" s="1" t="s">
        <v>109</v>
      </c>
      <c r="AF621" s="1" t="s">
        <v>109</v>
      </c>
      <c r="AG621" s="1" t="s">
        <v>109</v>
      </c>
      <c r="AH621" s="1" t="s">
        <v>109</v>
      </c>
      <c r="AI621" s="1" t="s">
        <v>109</v>
      </c>
      <c r="AJ621" s="1" t="s">
        <v>109</v>
      </c>
      <c r="AK621" s="1" t="s">
        <v>109</v>
      </c>
      <c r="AL621" s="1">
        <v>1</v>
      </c>
      <c r="AM621" s="1" t="s">
        <v>109</v>
      </c>
      <c r="AN621" s="1" t="s">
        <v>109</v>
      </c>
      <c r="AO621" s="1" t="s">
        <v>109</v>
      </c>
      <c r="AP621" s="1"/>
      <c r="AQ621" s="1">
        <v>1</v>
      </c>
      <c r="AR621" s="1"/>
      <c r="AS621" s="1"/>
      <c r="AT621" s="1">
        <v>0</v>
      </c>
      <c r="AU621" s="1">
        <v>0</v>
      </c>
      <c r="AV621" s="1">
        <v>0</v>
      </c>
      <c r="AW621" s="1">
        <v>0</v>
      </c>
      <c r="AX621" s="1">
        <v>0</v>
      </c>
      <c r="AY621" s="1">
        <v>0</v>
      </c>
      <c r="AZ621" s="1">
        <v>0</v>
      </c>
      <c r="BA621" s="1">
        <v>0</v>
      </c>
      <c r="BB621" s="1">
        <v>0</v>
      </c>
      <c r="BC621" s="1">
        <v>0</v>
      </c>
      <c r="BD621" s="1">
        <v>0</v>
      </c>
      <c r="BE621" s="1">
        <v>0</v>
      </c>
      <c r="BF621" s="1">
        <v>0</v>
      </c>
      <c r="BG621" s="1">
        <v>1</v>
      </c>
      <c r="BH621" s="1">
        <v>0</v>
      </c>
      <c r="BI621" s="1">
        <v>0</v>
      </c>
      <c r="BJ621" s="1">
        <v>0</v>
      </c>
      <c r="BK621" s="1">
        <v>0</v>
      </c>
      <c r="BL621" s="1">
        <v>0</v>
      </c>
      <c r="BM621" s="1">
        <v>0</v>
      </c>
      <c r="BN621" s="1">
        <v>0</v>
      </c>
      <c r="BO621" s="1">
        <v>0</v>
      </c>
      <c r="BP621" s="1">
        <v>0</v>
      </c>
      <c r="BQ621" s="1">
        <v>0</v>
      </c>
      <c r="BR621" s="1">
        <v>0</v>
      </c>
      <c r="BS621" s="5" t="str">
        <f>HYPERLINK("http://www.d20pfsrd.com/magic/all-spells/b/b/burning-disarm","Burning Disarm")</f>
        <v>Burning Disarm</v>
      </c>
      <c r="BT621" s="1">
        <v>627</v>
      </c>
      <c r="BU621" s="1" t="s">
        <v>109</v>
      </c>
      <c r="BV621" s="1"/>
      <c r="BW621" s="1"/>
      <c r="BX621" s="1"/>
      <c r="BY621" s="1"/>
      <c r="BZ621" s="1">
        <v>0</v>
      </c>
      <c r="CA621" s="1" t="s">
        <v>109</v>
      </c>
      <c r="CB621" s="1" t="s">
        <v>109</v>
      </c>
      <c r="CC621" s="1" t="s">
        <v>109</v>
      </c>
      <c r="CD621" s="1" t="s">
        <v>109</v>
      </c>
      <c r="CE621" s="1" t="s">
        <v>109</v>
      </c>
      <c r="CF621" s="1" t="s">
        <v>109</v>
      </c>
      <c r="CG621" s="1" t="s">
        <v>109</v>
      </c>
      <c r="CH621" s="1" t="s">
        <v>109</v>
      </c>
      <c r="CI621" s="1" t="s">
        <v>109</v>
      </c>
      <c r="CJ621" s="1">
        <v>1</v>
      </c>
      <c r="CK621" s="1"/>
      <c r="CL621" s="1">
        <v>0</v>
      </c>
      <c r="CM621" s="1">
        <v>0</v>
      </c>
      <c r="CN621" s="1">
        <v>0</v>
      </c>
    </row>
    <row r="622" spans="1:92" ht="14.25" customHeight="1" x14ac:dyDescent="0.15">
      <c r="A622" s="1" t="s">
        <v>5535</v>
      </c>
      <c r="B622" s="1" t="s">
        <v>242</v>
      </c>
      <c r="C622" s="1"/>
      <c r="D622" s="1"/>
      <c r="E622" s="1" t="s">
        <v>5536</v>
      </c>
      <c r="F622" s="1" t="s">
        <v>1963</v>
      </c>
      <c r="G622" s="1" t="s">
        <v>333</v>
      </c>
      <c r="H622" s="1">
        <v>0</v>
      </c>
      <c r="I622" s="1" t="s">
        <v>5537</v>
      </c>
      <c r="J622" s="1"/>
      <c r="K622" s="1"/>
      <c r="L622" s="1" t="s">
        <v>5538</v>
      </c>
      <c r="M622" s="1" t="s">
        <v>144</v>
      </c>
      <c r="N622" s="1">
        <v>0</v>
      </c>
      <c r="O622" s="1">
        <v>0</v>
      </c>
      <c r="P622" s="1" t="s">
        <v>103</v>
      </c>
      <c r="Q622" s="1" t="s">
        <v>268</v>
      </c>
      <c r="R622" s="1" t="s">
        <v>5539</v>
      </c>
      <c r="S622" s="1" t="s">
        <v>5540</v>
      </c>
      <c r="T622" s="1" t="s">
        <v>5533</v>
      </c>
      <c r="U622" s="1" t="s">
        <v>5541</v>
      </c>
      <c r="V622" s="1">
        <v>1</v>
      </c>
      <c r="W622" s="1">
        <v>0</v>
      </c>
      <c r="X622" s="1">
        <v>0</v>
      </c>
      <c r="Y622" s="1">
        <v>0</v>
      </c>
      <c r="Z622" s="1">
        <v>0</v>
      </c>
      <c r="AA622" s="1">
        <v>3</v>
      </c>
      <c r="AB622" s="1">
        <v>3</v>
      </c>
      <c r="AC622" s="1" t="s">
        <v>109</v>
      </c>
      <c r="AD622" s="1" t="s">
        <v>109</v>
      </c>
      <c r="AE622" s="1" t="s">
        <v>109</v>
      </c>
      <c r="AF622" s="1" t="s">
        <v>109</v>
      </c>
      <c r="AG622" s="1" t="s">
        <v>109</v>
      </c>
      <c r="AH622" s="1" t="s">
        <v>109</v>
      </c>
      <c r="AI622" s="1" t="s">
        <v>109</v>
      </c>
      <c r="AJ622" s="1" t="s">
        <v>109</v>
      </c>
      <c r="AK622" s="1" t="s">
        <v>109</v>
      </c>
      <c r="AL622" s="1" t="s">
        <v>109</v>
      </c>
      <c r="AM622" s="1" t="s">
        <v>109</v>
      </c>
      <c r="AN622" s="1" t="s">
        <v>109</v>
      </c>
      <c r="AO622" s="1" t="s">
        <v>109</v>
      </c>
      <c r="AP622" s="1"/>
      <c r="AQ622" s="1">
        <v>3</v>
      </c>
      <c r="AR622" s="1"/>
      <c r="AS622" s="1"/>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5" t="str">
        <f>HYPERLINK("http://www.d20pfsrd.com/magic/all-spells/d/dweomer-retaliation","Dweomer Retaliation")</f>
        <v>Dweomer Retaliation</v>
      </c>
      <c r="BT622" s="1">
        <v>629</v>
      </c>
      <c r="BU622" s="1" t="s">
        <v>109</v>
      </c>
      <c r="BV622" s="1"/>
      <c r="BW622" s="1"/>
      <c r="BX622" s="1"/>
      <c r="BY622" s="1"/>
      <c r="BZ622" s="1">
        <v>0</v>
      </c>
      <c r="CA622" s="1" t="s">
        <v>109</v>
      </c>
      <c r="CB622" s="1" t="s">
        <v>109</v>
      </c>
      <c r="CC622" s="1" t="s">
        <v>109</v>
      </c>
      <c r="CD622" s="1" t="s">
        <v>109</v>
      </c>
      <c r="CE622" s="1" t="s">
        <v>109</v>
      </c>
      <c r="CF622" s="1" t="s">
        <v>109</v>
      </c>
      <c r="CG622" s="1" t="s">
        <v>109</v>
      </c>
      <c r="CH622" s="1" t="s">
        <v>109</v>
      </c>
      <c r="CI622" s="1" t="s">
        <v>109</v>
      </c>
      <c r="CJ622" s="1" t="s">
        <v>109</v>
      </c>
      <c r="CK622" s="1"/>
      <c r="CL622" s="1">
        <v>0</v>
      </c>
      <c r="CM622" s="1">
        <v>0</v>
      </c>
      <c r="CN622" s="1">
        <v>0</v>
      </c>
    </row>
    <row r="623" spans="1:92" ht="14.25" customHeight="1" x14ac:dyDescent="0.15">
      <c r="A623" s="1" t="s">
        <v>5542</v>
      </c>
      <c r="B623" s="1" t="s">
        <v>584</v>
      </c>
      <c r="C623" s="1"/>
      <c r="D623" s="1" t="s">
        <v>60</v>
      </c>
      <c r="E623" s="1" t="s">
        <v>5543</v>
      </c>
      <c r="F623" s="1" t="s">
        <v>1963</v>
      </c>
      <c r="G623" s="1" t="s">
        <v>333</v>
      </c>
      <c r="H623" s="1">
        <v>0</v>
      </c>
      <c r="I623" s="1" t="s">
        <v>5544</v>
      </c>
      <c r="J623" s="1"/>
      <c r="K623" s="1" t="s">
        <v>5545</v>
      </c>
      <c r="L623" s="1"/>
      <c r="M623" s="1" t="s">
        <v>125</v>
      </c>
      <c r="N623" s="1">
        <v>1</v>
      </c>
      <c r="O623" s="1">
        <v>0</v>
      </c>
      <c r="P623" s="1" t="s">
        <v>5546</v>
      </c>
      <c r="Q623" s="1" t="s">
        <v>5547</v>
      </c>
      <c r="R623" s="1" t="s">
        <v>5548</v>
      </c>
      <c r="S623" s="1" t="s">
        <v>5549</v>
      </c>
      <c r="T623" s="1" t="s">
        <v>5533</v>
      </c>
      <c r="U623" s="1" t="s">
        <v>5550</v>
      </c>
      <c r="V623" s="1">
        <v>1</v>
      </c>
      <c r="W623" s="1">
        <v>0</v>
      </c>
      <c r="X623" s="1">
        <v>0</v>
      </c>
      <c r="Y623" s="1">
        <v>0</v>
      </c>
      <c r="Z623" s="1">
        <v>0</v>
      </c>
      <c r="AA623" s="1">
        <v>4</v>
      </c>
      <c r="AB623" s="1">
        <v>4</v>
      </c>
      <c r="AC623" s="1" t="s">
        <v>109</v>
      </c>
      <c r="AD623" s="1" t="s">
        <v>109</v>
      </c>
      <c r="AE623" s="1" t="s">
        <v>109</v>
      </c>
      <c r="AF623" s="1" t="s">
        <v>109</v>
      </c>
      <c r="AG623" s="1" t="s">
        <v>109</v>
      </c>
      <c r="AH623" s="1" t="s">
        <v>109</v>
      </c>
      <c r="AI623" s="1" t="s">
        <v>109</v>
      </c>
      <c r="AJ623" s="1" t="s">
        <v>109</v>
      </c>
      <c r="AK623" s="1" t="s">
        <v>109</v>
      </c>
      <c r="AL623" s="1" t="s">
        <v>109</v>
      </c>
      <c r="AM623" s="1" t="s">
        <v>109</v>
      </c>
      <c r="AN623" s="1" t="s">
        <v>109</v>
      </c>
      <c r="AO623" s="1" t="s">
        <v>109</v>
      </c>
      <c r="AP623" s="1"/>
      <c r="AQ623" s="1">
        <v>4</v>
      </c>
      <c r="AR623" s="1"/>
      <c r="AS623" s="1"/>
      <c r="AT623" s="1">
        <v>0</v>
      </c>
      <c r="AU623" s="1">
        <v>0</v>
      </c>
      <c r="AV623" s="1">
        <v>0</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5" t="str">
        <f>HYPERLINK("http://www.d20pfsrd.com/magic/all-spells/e/e/emergency-force-sphere","Emergency Force Sphere")</f>
        <v>Emergency Force Sphere</v>
      </c>
      <c r="BT623" s="1">
        <v>630</v>
      </c>
      <c r="BU623" s="1" t="s">
        <v>109</v>
      </c>
      <c r="BV623" s="1"/>
      <c r="BW623" s="1"/>
      <c r="BX623" s="1"/>
      <c r="BY623" s="1"/>
      <c r="BZ623" s="1">
        <v>0</v>
      </c>
      <c r="CA623" s="1" t="s">
        <v>109</v>
      </c>
      <c r="CB623" s="1" t="s">
        <v>109</v>
      </c>
      <c r="CC623" s="1" t="s">
        <v>109</v>
      </c>
      <c r="CD623" s="1" t="s">
        <v>109</v>
      </c>
      <c r="CE623" s="1" t="s">
        <v>109</v>
      </c>
      <c r="CF623" s="1" t="s">
        <v>109</v>
      </c>
      <c r="CG623" s="1" t="s">
        <v>109</v>
      </c>
      <c r="CH623" s="1" t="s">
        <v>109</v>
      </c>
      <c r="CI623" s="1" t="s">
        <v>109</v>
      </c>
      <c r="CJ623" s="1" t="s">
        <v>109</v>
      </c>
      <c r="CK623" s="1"/>
      <c r="CL623" s="1">
        <v>0</v>
      </c>
      <c r="CM623" s="1">
        <v>0</v>
      </c>
      <c r="CN623" s="1">
        <v>0</v>
      </c>
    </row>
    <row r="624" spans="1:92" ht="14.25" customHeight="1" x14ac:dyDescent="0.15">
      <c r="A624" s="1" t="s">
        <v>5551</v>
      </c>
      <c r="B624" s="1" t="s">
        <v>95</v>
      </c>
      <c r="C624" s="1" t="s">
        <v>1522</v>
      </c>
      <c r="D624" s="1" t="s">
        <v>57</v>
      </c>
      <c r="E624" s="1" t="s">
        <v>5552</v>
      </c>
      <c r="F624" s="1" t="s">
        <v>98</v>
      </c>
      <c r="G624" s="1" t="s">
        <v>5553</v>
      </c>
      <c r="H624" s="1">
        <v>1</v>
      </c>
      <c r="I624" s="1" t="s">
        <v>122</v>
      </c>
      <c r="J624" s="1"/>
      <c r="K624" s="1"/>
      <c r="L624" s="1" t="s">
        <v>5554</v>
      </c>
      <c r="M624" s="1" t="s">
        <v>144</v>
      </c>
      <c r="N624" s="1">
        <v>0</v>
      </c>
      <c r="O624" s="1">
        <v>0</v>
      </c>
      <c r="P624" s="1" t="s">
        <v>507</v>
      </c>
      <c r="Q624" s="1" t="s">
        <v>167</v>
      </c>
      <c r="R624" s="1" t="s">
        <v>5555</v>
      </c>
      <c r="S624" s="1" t="s">
        <v>5556</v>
      </c>
      <c r="T624" s="1" t="s">
        <v>5533</v>
      </c>
      <c r="U624" s="1" t="s">
        <v>5557</v>
      </c>
      <c r="V624" s="1">
        <v>1</v>
      </c>
      <c r="W624" s="1">
        <v>1</v>
      </c>
      <c r="X624" s="1">
        <v>1</v>
      </c>
      <c r="Y624" s="1">
        <v>0</v>
      </c>
      <c r="Z624" s="1">
        <v>0</v>
      </c>
      <c r="AA624" s="1">
        <v>7</v>
      </c>
      <c r="AB624" s="1">
        <v>7</v>
      </c>
      <c r="AC624" s="1">
        <v>7</v>
      </c>
      <c r="AD624" s="1" t="s">
        <v>109</v>
      </c>
      <c r="AE624" s="1" t="s">
        <v>109</v>
      </c>
      <c r="AF624" s="1" t="s">
        <v>109</v>
      </c>
      <c r="AG624" s="1" t="s">
        <v>109</v>
      </c>
      <c r="AH624" s="1" t="s">
        <v>109</v>
      </c>
      <c r="AI624" s="1" t="s">
        <v>109</v>
      </c>
      <c r="AJ624" s="1" t="s">
        <v>109</v>
      </c>
      <c r="AK624" s="1" t="s">
        <v>109</v>
      </c>
      <c r="AL624" s="1">
        <v>7</v>
      </c>
      <c r="AM624" s="1" t="s">
        <v>109</v>
      </c>
      <c r="AN624" s="1" t="s">
        <v>109</v>
      </c>
      <c r="AO624" s="1" t="s">
        <v>109</v>
      </c>
      <c r="AP624" s="1"/>
      <c r="AQ624" s="1">
        <v>7</v>
      </c>
      <c r="AR624" s="1"/>
      <c r="AS624" s="1"/>
      <c r="AT624" s="1">
        <v>0</v>
      </c>
      <c r="AU624" s="1">
        <v>0</v>
      </c>
      <c r="AV624" s="1">
        <v>0</v>
      </c>
      <c r="AW624" s="1">
        <v>0</v>
      </c>
      <c r="AX624" s="1">
        <v>0</v>
      </c>
      <c r="AY624" s="1">
        <v>0</v>
      </c>
      <c r="AZ624" s="1">
        <v>0</v>
      </c>
      <c r="BA624" s="1">
        <v>0</v>
      </c>
      <c r="BB624" s="1">
        <v>0</v>
      </c>
      <c r="BC624" s="1">
        <v>0</v>
      </c>
      <c r="BD624" s="1">
        <v>0</v>
      </c>
      <c r="BE624" s="1">
        <v>1</v>
      </c>
      <c r="BF624" s="1">
        <v>0</v>
      </c>
      <c r="BG624" s="1">
        <v>0</v>
      </c>
      <c r="BH624" s="1">
        <v>0</v>
      </c>
      <c r="BI624" s="1">
        <v>0</v>
      </c>
      <c r="BJ624" s="1">
        <v>0</v>
      </c>
      <c r="BK624" s="1">
        <v>0</v>
      </c>
      <c r="BL624" s="1">
        <v>0</v>
      </c>
      <c r="BM624" s="1">
        <v>0</v>
      </c>
      <c r="BN624" s="1">
        <v>0</v>
      </c>
      <c r="BO624" s="1">
        <v>0</v>
      </c>
      <c r="BP624" s="1">
        <v>0</v>
      </c>
      <c r="BQ624" s="1">
        <v>0</v>
      </c>
      <c r="BR624" s="1">
        <v>0</v>
      </c>
      <c r="BS624" s="5" t="str">
        <f>HYPERLINK("http://www.d20pfsrd.com/magic/all-spells/s/s/signifier-s-rally","Signifer's Rally")</f>
        <v>Signifer's Rally</v>
      </c>
      <c r="BT624" s="1">
        <v>631</v>
      </c>
      <c r="BU624" s="1">
        <v>100</v>
      </c>
      <c r="BV624" s="1"/>
      <c r="BW624" s="1"/>
      <c r="BX624" s="1"/>
      <c r="BY624" s="1"/>
      <c r="BZ624" s="1">
        <v>0</v>
      </c>
      <c r="CA624" s="1" t="s">
        <v>109</v>
      </c>
      <c r="CB624" s="1" t="s">
        <v>109</v>
      </c>
      <c r="CC624" s="1" t="s">
        <v>109</v>
      </c>
      <c r="CD624" s="1" t="s">
        <v>109</v>
      </c>
      <c r="CE624" s="1" t="s">
        <v>109</v>
      </c>
      <c r="CF624" s="1" t="s">
        <v>109</v>
      </c>
      <c r="CG624" s="1" t="s">
        <v>109</v>
      </c>
      <c r="CH624" s="1" t="s">
        <v>109</v>
      </c>
      <c r="CI624" s="1" t="s">
        <v>109</v>
      </c>
      <c r="CJ624" s="1" t="s">
        <v>109</v>
      </c>
      <c r="CK624" s="1"/>
      <c r="CL624" s="1">
        <v>0</v>
      </c>
      <c r="CM624" s="1">
        <v>0</v>
      </c>
      <c r="CN624" s="1">
        <v>0</v>
      </c>
    </row>
    <row r="625" spans="1:92" ht="14.25" customHeight="1" x14ac:dyDescent="0.15">
      <c r="A625" s="1" t="s">
        <v>5558</v>
      </c>
      <c r="B625" s="1" t="s">
        <v>674</v>
      </c>
      <c r="C625" s="1" t="s">
        <v>68</v>
      </c>
      <c r="D625" s="1"/>
      <c r="E625" s="1" t="s">
        <v>5536</v>
      </c>
      <c r="F625" s="1" t="s">
        <v>395</v>
      </c>
      <c r="G625" s="1" t="s">
        <v>5559</v>
      </c>
      <c r="H625" s="1">
        <v>0</v>
      </c>
      <c r="I625" s="1" t="s">
        <v>925</v>
      </c>
      <c r="J625" s="1"/>
      <c r="K625" s="1" t="s">
        <v>5560</v>
      </c>
      <c r="L625" s="1"/>
      <c r="M625" s="1" t="s">
        <v>3042</v>
      </c>
      <c r="N625" s="1">
        <v>1</v>
      </c>
      <c r="O625" s="1">
        <v>0</v>
      </c>
      <c r="P625" s="1" t="s">
        <v>5546</v>
      </c>
      <c r="Q625" s="1" t="s">
        <v>5547</v>
      </c>
      <c r="R625" s="1" t="s">
        <v>5561</v>
      </c>
      <c r="S625" s="1" t="s">
        <v>5562</v>
      </c>
      <c r="T625" s="1" t="s">
        <v>5533</v>
      </c>
      <c r="U625" s="1" t="s">
        <v>5563</v>
      </c>
      <c r="V625" s="1">
        <v>1</v>
      </c>
      <c r="W625" s="1">
        <v>1</v>
      </c>
      <c r="X625" s="1">
        <v>1</v>
      </c>
      <c r="Y625" s="1">
        <v>0</v>
      </c>
      <c r="Z625" s="1">
        <v>0</v>
      </c>
      <c r="AA625" s="1">
        <v>3</v>
      </c>
      <c r="AB625" s="1">
        <v>3</v>
      </c>
      <c r="AC625" s="1" t="s">
        <v>109</v>
      </c>
      <c r="AD625" s="1" t="s">
        <v>109</v>
      </c>
      <c r="AE625" s="1" t="s">
        <v>109</v>
      </c>
      <c r="AF625" s="1" t="s">
        <v>109</v>
      </c>
      <c r="AG625" s="1" t="s">
        <v>109</v>
      </c>
      <c r="AH625" s="1" t="s">
        <v>109</v>
      </c>
      <c r="AI625" s="1" t="s">
        <v>109</v>
      </c>
      <c r="AJ625" s="1" t="s">
        <v>109</v>
      </c>
      <c r="AK625" s="1" t="s">
        <v>109</v>
      </c>
      <c r="AL625" s="1" t="s">
        <v>109</v>
      </c>
      <c r="AM625" s="1" t="s">
        <v>109</v>
      </c>
      <c r="AN625" s="1" t="s">
        <v>109</v>
      </c>
      <c r="AO625" s="1" t="s">
        <v>109</v>
      </c>
      <c r="AP625" s="1"/>
      <c r="AQ625" s="1">
        <v>3</v>
      </c>
      <c r="AR625" s="1"/>
      <c r="AS625" s="1"/>
      <c r="AT625" s="1">
        <v>0</v>
      </c>
      <c r="AU625" s="1">
        <v>0</v>
      </c>
      <c r="AV625" s="1">
        <v>0</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5" t="str">
        <f>HYPERLINK("http://www.d20pfsrd.com/magic/all-spells/t/t/twine-double","Twine Double")</f>
        <v>Twine Double</v>
      </c>
      <c r="BT625" s="1">
        <v>632</v>
      </c>
      <c r="BU625" s="1" t="s">
        <v>109</v>
      </c>
      <c r="BV625" s="1"/>
      <c r="BW625" s="1"/>
      <c r="BX625" s="1"/>
      <c r="BY625" s="1"/>
      <c r="BZ625" s="1">
        <v>0</v>
      </c>
      <c r="CA625" s="1" t="s">
        <v>109</v>
      </c>
      <c r="CB625" s="1" t="s">
        <v>109</v>
      </c>
      <c r="CC625" s="1" t="s">
        <v>109</v>
      </c>
      <c r="CD625" s="1" t="s">
        <v>109</v>
      </c>
      <c r="CE625" s="1" t="s">
        <v>109</v>
      </c>
      <c r="CF625" s="1" t="s">
        <v>109</v>
      </c>
      <c r="CG625" s="1" t="s">
        <v>109</v>
      </c>
      <c r="CH625" s="1" t="s">
        <v>109</v>
      </c>
      <c r="CI625" s="1" t="s">
        <v>109</v>
      </c>
      <c r="CJ625" s="1" t="s">
        <v>109</v>
      </c>
      <c r="CK625" s="1"/>
      <c r="CL625" s="1">
        <v>0</v>
      </c>
      <c r="CM625" s="1">
        <v>0</v>
      </c>
      <c r="CN625" s="1">
        <v>0</v>
      </c>
    </row>
    <row r="626" spans="1:92" ht="14.25" customHeight="1" x14ac:dyDescent="0.15">
      <c r="A626" s="1" t="s">
        <v>5564</v>
      </c>
      <c r="B626" s="1" t="s">
        <v>308</v>
      </c>
      <c r="C626" s="1"/>
      <c r="D626" s="1" t="s">
        <v>4167</v>
      </c>
      <c r="E626" s="1" t="s">
        <v>5565</v>
      </c>
      <c r="F626" s="1" t="s">
        <v>98</v>
      </c>
      <c r="G626" s="1" t="s">
        <v>5566</v>
      </c>
      <c r="H626" s="1">
        <v>0</v>
      </c>
      <c r="I626" s="1" t="s">
        <v>1192</v>
      </c>
      <c r="J626" s="1" t="s">
        <v>726</v>
      </c>
      <c r="K626" s="1"/>
      <c r="L626" s="1"/>
      <c r="M626" s="1" t="s">
        <v>5567</v>
      </c>
      <c r="N626" s="1">
        <v>0</v>
      </c>
      <c r="O626" s="1">
        <v>0</v>
      </c>
      <c r="P626" s="1" t="s">
        <v>380</v>
      </c>
      <c r="Q626" s="1" t="s">
        <v>268</v>
      </c>
      <c r="R626" s="1" t="s">
        <v>5568</v>
      </c>
      <c r="S626" s="1" t="s">
        <v>5569</v>
      </c>
      <c r="T626" s="1" t="s">
        <v>107</v>
      </c>
      <c r="U626" s="1" t="s">
        <v>5570</v>
      </c>
      <c r="V626" s="1">
        <v>1</v>
      </c>
      <c r="W626" s="1">
        <v>1</v>
      </c>
      <c r="X626" s="1">
        <v>1</v>
      </c>
      <c r="Y626" s="1">
        <v>0</v>
      </c>
      <c r="Z626" s="1">
        <v>0</v>
      </c>
      <c r="AA626" s="1">
        <v>4</v>
      </c>
      <c r="AB626" s="1">
        <v>4</v>
      </c>
      <c r="AC626" s="1" t="s">
        <v>109</v>
      </c>
      <c r="AD626" s="1" t="s">
        <v>109</v>
      </c>
      <c r="AE626" s="1" t="s">
        <v>109</v>
      </c>
      <c r="AF626" s="1">
        <v>3</v>
      </c>
      <c r="AG626" s="1" t="s">
        <v>109</v>
      </c>
      <c r="AH626" s="1" t="s">
        <v>109</v>
      </c>
      <c r="AI626" s="1" t="s">
        <v>109</v>
      </c>
      <c r="AJ626" s="1">
        <v>4</v>
      </c>
      <c r="AK626" s="1">
        <v>4</v>
      </c>
      <c r="AL626" s="1" t="s">
        <v>109</v>
      </c>
      <c r="AM626" s="1">
        <v>4</v>
      </c>
      <c r="AN626" s="1" t="s">
        <v>109</v>
      </c>
      <c r="AO626" s="1" t="s">
        <v>109</v>
      </c>
      <c r="AP626" s="1"/>
      <c r="AQ626" s="1">
        <v>4</v>
      </c>
      <c r="AR626" s="1" t="s">
        <v>5571</v>
      </c>
      <c r="AS626" s="1" t="s">
        <v>5572</v>
      </c>
      <c r="AT626" s="1">
        <v>0</v>
      </c>
      <c r="AU626" s="1">
        <v>0</v>
      </c>
      <c r="AV626" s="1">
        <v>0</v>
      </c>
      <c r="AW626" s="1">
        <v>0</v>
      </c>
      <c r="AX626" s="1">
        <v>0</v>
      </c>
      <c r="AY626" s="1">
        <v>0</v>
      </c>
      <c r="AZ626" s="1">
        <v>0</v>
      </c>
      <c r="BA626" s="1">
        <v>0</v>
      </c>
      <c r="BB626" s="1">
        <v>0</v>
      </c>
      <c r="BC626" s="1">
        <v>0</v>
      </c>
      <c r="BD626" s="1">
        <v>1</v>
      </c>
      <c r="BE626" s="1">
        <v>0</v>
      </c>
      <c r="BF626" s="1">
        <v>1</v>
      </c>
      <c r="BG626" s="1">
        <v>0</v>
      </c>
      <c r="BH626" s="1">
        <v>0</v>
      </c>
      <c r="BI626" s="1">
        <v>0</v>
      </c>
      <c r="BJ626" s="1">
        <v>0</v>
      </c>
      <c r="BK626" s="1">
        <v>0</v>
      </c>
      <c r="BL626" s="1">
        <v>0</v>
      </c>
      <c r="BM626" s="1">
        <v>1</v>
      </c>
      <c r="BN626" s="1">
        <v>0</v>
      </c>
      <c r="BO626" s="1">
        <v>0</v>
      </c>
      <c r="BP626" s="1">
        <v>0</v>
      </c>
      <c r="BQ626" s="1">
        <v>0</v>
      </c>
      <c r="BR626" s="1">
        <v>0</v>
      </c>
      <c r="BS626" s="5" t="str">
        <f>HYPERLINK("http://www.d20pfsrd.com/magic/all-spells/f/fear","Fear")</f>
        <v>Fear</v>
      </c>
      <c r="BT626" s="1">
        <v>633</v>
      </c>
      <c r="BU626" s="1" t="s">
        <v>109</v>
      </c>
      <c r="BV626" s="1" t="s">
        <v>5573</v>
      </c>
      <c r="BW626" s="1"/>
      <c r="BX626" s="1"/>
      <c r="BY626" s="1"/>
      <c r="BZ626" s="1">
        <v>0</v>
      </c>
      <c r="CA626" s="1">
        <v>4</v>
      </c>
      <c r="CB626" s="1">
        <v>4</v>
      </c>
      <c r="CC626" s="1">
        <v>4</v>
      </c>
      <c r="CD626" s="1" t="s">
        <v>109</v>
      </c>
      <c r="CE626" s="1">
        <v>3</v>
      </c>
      <c r="CF626" s="1">
        <v>4</v>
      </c>
      <c r="CG626" s="1">
        <v>4</v>
      </c>
      <c r="CH626" s="1" t="s">
        <v>109</v>
      </c>
      <c r="CI626" s="1" t="s">
        <v>109</v>
      </c>
      <c r="CJ626" s="1" t="s">
        <v>109</v>
      </c>
      <c r="CK626" s="1"/>
      <c r="CL626" s="1">
        <v>0</v>
      </c>
      <c r="CM626" s="1">
        <v>0</v>
      </c>
      <c r="CN626" s="1">
        <v>0</v>
      </c>
    </row>
    <row r="627" spans="1:92" ht="14.25" customHeight="1" x14ac:dyDescent="0.15">
      <c r="A627" s="1" t="s">
        <v>5574</v>
      </c>
      <c r="B627" s="1" t="s">
        <v>156</v>
      </c>
      <c r="C627" s="1" t="s">
        <v>157</v>
      </c>
      <c r="D627" s="1" t="s">
        <v>158</v>
      </c>
      <c r="E627" s="1" t="s">
        <v>5575</v>
      </c>
      <c r="F627" s="1" t="s">
        <v>98</v>
      </c>
      <c r="G627" s="1" t="s">
        <v>141</v>
      </c>
      <c r="H627" s="1">
        <v>0</v>
      </c>
      <c r="I627" s="1" t="s">
        <v>122</v>
      </c>
      <c r="J627" s="1"/>
      <c r="K627" s="1"/>
      <c r="L627" s="1" t="s">
        <v>844</v>
      </c>
      <c r="M627" s="1" t="s">
        <v>2598</v>
      </c>
      <c r="N627" s="1">
        <v>1</v>
      </c>
      <c r="O627" s="1">
        <v>0</v>
      </c>
      <c r="P627" s="1" t="s">
        <v>564</v>
      </c>
      <c r="Q627" s="1" t="s">
        <v>268</v>
      </c>
      <c r="R627" s="1" t="s">
        <v>5576</v>
      </c>
      <c r="S627" s="1" t="s">
        <v>5577</v>
      </c>
      <c r="T627" s="1" t="s">
        <v>107</v>
      </c>
      <c r="U627" s="1" t="s">
        <v>5578</v>
      </c>
      <c r="V627" s="1">
        <v>1</v>
      </c>
      <c r="W627" s="1">
        <v>1</v>
      </c>
      <c r="X627" s="1">
        <v>0</v>
      </c>
      <c r="Y627" s="1">
        <v>0</v>
      </c>
      <c r="Z627" s="1">
        <v>0</v>
      </c>
      <c r="AA627" s="1" t="s">
        <v>109</v>
      </c>
      <c r="AB627" s="1" t="s">
        <v>109</v>
      </c>
      <c r="AC627" s="1" t="s">
        <v>109</v>
      </c>
      <c r="AD627" s="1">
        <v>2</v>
      </c>
      <c r="AE627" s="1">
        <v>2</v>
      </c>
      <c r="AF627" s="1" t="s">
        <v>109</v>
      </c>
      <c r="AG627" s="1" t="s">
        <v>109</v>
      </c>
      <c r="AH627" s="1" t="s">
        <v>109</v>
      </c>
      <c r="AI627" s="1" t="s">
        <v>109</v>
      </c>
      <c r="AJ627" s="1" t="s">
        <v>109</v>
      </c>
      <c r="AK627" s="1" t="s">
        <v>109</v>
      </c>
      <c r="AL627" s="1" t="s">
        <v>109</v>
      </c>
      <c r="AM627" s="1" t="s">
        <v>109</v>
      </c>
      <c r="AN627" s="1" t="s">
        <v>109</v>
      </c>
      <c r="AO627" s="1" t="s">
        <v>109</v>
      </c>
      <c r="AP627" s="1"/>
      <c r="AQ627" s="1">
        <v>2</v>
      </c>
      <c r="AR627" s="1" t="s">
        <v>5579</v>
      </c>
      <c r="AS627" s="1" t="s">
        <v>5580</v>
      </c>
      <c r="AT627" s="1">
        <v>0</v>
      </c>
      <c r="AU627" s="1">
        <v>0</v>
      </c>
      <c r="AV627" s="1">
        <v>0</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1</v>
      </c>
      <c r="BN627" s="1">
        <v>0</v>
      </c>
      <c r="BO627" s="1">
        <v>0</v>
      </c>
      <c r="BP627" s="1">
        <v>0</v>
      </c>
      <c r="BQ627" s="1">
        <v>0</v>
      </c>
      <c r="BR627" s="1">
        <v>0</v>
      </c>
      <c r="BS627" s="5" t="str">
        <f>HYPERLINK("http://www.d20pfsrd.com/magic/all-spells/h/hold-animal","Hold Animal")</f>
        <v>Hold Animal</v>
      </c>
      <c r="BT627" s="1">
        <v>634</v>
      </c>
      <c r="BU627" s="1" t="s">
        <v>109</v>
      </c>
      <c r="BV627" s="1"/>
      <c r="BW627" s="1"/>
      <c r="BX627" s="1"/>
      <c r="BY627" s="1"/>
      <c r="BZ627" s="1">
        <v>0</v>
      </c>
      <c r="CA627" s="1" t="s">
        <v>109</v>
      </c>
      <c r="CB627" s="1" t="s">
        <v>109</v>
      </c>
      <c r="CC627" s="1">
        <v>2</v>
      </c>
      <c r="CD627" s="1" t="s">
        <v>109</v>
      </c>
      <c r="CE627" s="1">
        <v>2</v>
      </c>
      <c r="CF627" s="1" t="s">
        <v>109</v>
      </c>
      <c r="CG627" s="1" t="s">
        <v>109</v>
      </c>
      <c r="CH627" s="1" t="s">
        <v>109</v>
      </c>
      <c r="CI627" s="1" t="s">
        <v>109</v>
      </c>
      <c r="CJ627" s="1">
        <v>2</v>
      </c>
      <c r="CK627" s="1"/>
      <c r="CL627" s="1">
        <v>0</v>
      </c>
      <c r="CM627" s="1">
        <v>0</v>
      </c>
      <c r="CN627" s="1">
        <v>0</v>
      </c>
    </row>
    <row r="628" spans="1:92" ht="14.25" customHeight="1" x14ac:dyDescent="0.15">
      <c r="A628" s="1" t="s">
        <v>5581</v>
      </c>
      <c r="B628" s="1" t="s">
        <v>95</v>
      </c>
      <c r="C628" s="1" t="s">
        <v>1179</v>
      </c>
      <c r="D628" s="1"/>
      <c r="E628" s="1" t="s">
        <v>5582</v>
      </c>
      <c r="F628" s="1" t="s">
        <v>355</v>
      </c>
      <c r="G628" s="1" t="s">
        <v>160</v>
      </c>
      <c r="H628" s="1">
        <v>0</v>
      </c>
      <c r="I628" s="1" t="s">
        <v>100</v>
      </c>
      <c r="J628" s="1"/>
      <c r="K628" s="1" t="s">
        <v>5583</v>
      </c>
      <c r="L628" s="1"/>
      <c r="M628" s="1" t="s">
        <v>164</v>
      </c>
      <c r="N628" s="1">
        <v>0</v>
      </c>
      <c r="O628" s="1">
        <v>0</v>
      </c>
      <c r="P628" s="1" t="s">
        <v>103</v>
      </c>
      <c r="Q628" s="1" t="s">
        <v>104</v>
      </c>
      <c r="R628" s="1" t="s">
        <v>5584</v>
      </c>
      <c r="S628" s="1" t="s">
        <v>5585</v>
      </c>
      <c r="T628" s="1" t="s">
        <v>107</v>
      </c>
      <c r="U628" s="1" t="s">
        <v>5586</v>
      </c>
      <c r="V628" s="1">
        <v>1</v>
      </c>
      <c r="W628" s="1">
        <v>1</v>
      </c>
      <c r="X628" s="1">
        <v>0</v>
      </c>
      <c r="Y628" s="1">
        <v>0</v>
      </c>
      <c r="Z628" s="1">
        <v>1</v>
      </c>
      <c r="AA628" s="1" t="s">
        <v>109</v>
      </c>
      <c r="AB628" s="1" t="s">
        <v>109</v>
      </c>
      <c r="AC628" s="1">
        <v>5</v>
      </c>
      <c r="AD628" s="1">
        <v>5</v>
      </c>
      <c r="AE628" s="1" t="s">
        <v>109</v>
      </c>
      <c r="AF628" s="1" t="s">
        <v>109</v>
      </c>
      <c r="AG628" s="1" t="s">
        <v>109</v>
      </c>
      <c r="AH628" s="1" t="s">
        <v>109</v>
      </c>
      <c r="AI628" s="1">
        <v>4</v>
      </c>
      <c r="AJ628" s="1" t="s">
        <v>109</v>
      </c>
      <c r="AK628" s="1" t="s">
        <v>109</v>
      </c>
      <c r="AL628" s="1">
        <v>5</v>
      </c>
      <c r="AM628" s="1" t="s">
        <v>109</v>
      </c>
      <c r="AN628" s="1" t="s">
        <v>109</v>
      </c>
      <c r="AO628" s="1" t="s">
        <v>109</v>
      </c>
      <c r="AP628" s="1"/>
      <c r="AQ628" s="1">
        <v>5</v>
      </c>
      <c r="AR628" s="1" t="s">
        <v>5587</v>
      </c>
      <c r="AS628" s="1" t="s">
        <v>5588</v>
      </c>
      <c r="AT628" s="1">
        <v>0</v>
      </c>
      <c r="AU628" s="1">
        <v>0</v>
      </c>
      <c r="AV628" s="1">
        <v>0</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5" t="str">
        <f>HYPERLINK("http://www.d20pfsrd.com/magic/all-spells/i/insect-plague","Insect Plague")</f>
        <v>Insect Plague</v>
      </c>
      <c r="BT628" s="1">
        <v>635</v>
      </c>
      <c r="BU628" s="1" t="s">
        <v>109</v>
      </c>
      <c r="BV628" s="1" t="s">
        <v>5589</v>
      </c>
      <c r="BW628" s="1"/>
      <c r="BX628" s="1"/>
      <c r="BY628" s="1"/>
      <c r="BZ628" s="1">
        <v>0</v>
      </c>
      <c r="CA628" s="1" t="s">
        <v>109</v>
      </c>
      <c r="CB628" s="1">
        <v>5</v>
      </c>
      <c r="CC628" s="1" t="s">
        <v>109</v>
      </c>
      <c r="CD628" s="1" t="s">
        <v>109</v>
      </c>
      <c r="CE628" s="1" t="s">
        <v>109</v>
      </c>
      <c r="CF628" s="1" t="s">
        <v>109</v>
      </c>
      <c r="CG628" s="1" t="s">
        <v>109</v>
      </c>
      <c r="CH628" s="1" t="s">
        <v>109</v>
      </c>
      <c r="CI628" s="1" t="s">
        <v>109</v>
      </c>
      <c r="CJ628" s="1">
        <v>5</v>
      </c>
      <c r="CK628" s="1"/>
      <c r="CL628" s="1">
        <v>0</v>
      </c>
      <c r="CM628" s="1">
        <v>0</v>
      </c>
      <c r="CN628" s="1">
        <v>0</v>
      </c>
    </row>
    <row r="629" spans="1:92" ht="14.25" customHeight="1" x14ac:dyDescent="0.15">
      <c r="A629" s="1" t="s">
        <v>5590</v>
      </c>
      <c r="B629" s="1" t="s">
        <v>189</v>
      </c>
      <c r="C629" s="1" t="s">
        <v>231</v>
      </c>
      <c r="D629" s="1"/>
      <c r="E629" s="1" t="s">
        <v>5591</v>
      </c>
      <c r="F629" s="1" t="s">
        <v>98</v>
      </c>
      <c r="G629" s="1" t="s">
        <v>141</v>
      </c>
      <c r="H629" s="1">
        <v>0</v>
      </c>
      <c r="I629" s="1" t="s">
        <v>142</v>
      </c>
      <c r="J629" s="1"/>
      <c r="K629" s="1"/>
      <c r="L629" s="1" t="s">
        <v>1391</v>
      </c>
      <c r="M629" s="1" t="s">
        <v>408</v>
      </c>
      <c r="N629" s="1">
        <v>0</v>
      </c>
      <c r="O629" s="1">
        <v>0</v>
      </c>
      <c r="P629" s="1" t="s">
        <v>5592</v>
      </c>
      <c r="Q629" s="1" t="s">
        <v>268</v>
      </c>
      <c r="R629" s="1" t="s">
        <v>5593</v>
      </c>
      <c r="S629" s="1" t="s">
        <v>5594</v>
      </c>
      <c r="T629" s="1" t="s">
        <v>107</v>
      </c>
      <c r="U629" s="1" t="s">
        <v>5595</v>
      </c>
      <c r="V629" s="1">
        <v>1</v>
      </c>
      <c r="W629" s="1">
        <v>1</v>
      </c>
      <c r="X629" s="1">
        <v>0</v>
      </c>
      <c r="Y629" s="1">
        <v>0</v>
      </c>
      <c r="Z629" s="1">
        <v>0</v>
      </c>
      <c r="AA629" s="1">
        <v>5</v>
      </c>
      <c r="AB629" s="1">
        <v>5</v>
      </c>
      <c r="AC629" s="1" t="s">
        <v>109</v>
      </c>
      <c r="AD629" s="1">
        <v>5</v>
      </c>
      <c r="AE629" s="1" t="s">
        <v>109</v>
      </c>
      <c r="AF629" s="1" t="s">
        <v>109</v>
      </c>
      <c r="AG629" s="1" t="s">
        <v>109</v>
      </c>
      <c r="AH629" s="1" t="s">
        <v>109</v>
      </c>
      <c r="AI629" s="1">
        <v>4</v>
      </c>
      <c r="AJ629" s="1">
        <v>5</v>
      </c>
      <c r="AK629" s="1" t="s">
        <v>109</v>
      </c>
      <c r="AL629" s="1" t="s">
        <v>109</v>
      </c>
      <c r="AM629" s="1" t="s">
        <v>109</v>
      </c>
      <c r="AN629" s="1">
        <v>5</v>
      </c>
      <c r="AO629" s="1">
        <v>5</v>
      </c>
      <c r="AP629" s="1"/>
      <c r="AQ629" s="1">
        <v>5</v>
      </c>
      <c r="AR629" s="1"/>
      <c r="AS629" s="1" t="s">
        <v>5596</v>
      </c>
      <c r="AT629" s="1">
        <v>0</v>
      </c>
      <c r="AU629" s="1">
        <v>0</v>
      </c>
      <c r="AV629" s="1">
        <v>0</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5" t="str">
        <f>HYPERLINK("http://www.d20pfsrd.com/magic/all-spells/b/baleful-polymorph","Baleful Polymorph")</f>
        <v>Baleful Polymorph</v>
      </c>
      <c r="BT629" s="1">
        <v>636</v>
      </c>
      <c r="BU629" s="1" t="s">
        <v>109</v>
      </c>
      <c r="BV629" s="1"/>
      <c r="BW629" s="1"/>
      <c r="BX629" s="1" t="s">
        <v>5597</v>
      </c>
      <c r="BY629" s="1" t="s">
        <v>5598</v>
      </c>
      <c r="BZ629" s="1">
        <v>1</v>
      </c>
      <c r="CA629" s="1" t="s">
        <v>109</v>
      </c>
      <c r="CB629" s="1">
        <v>5</v>
      </c>
      <c r="CC629" s="1" t="s">
        <v>109</v>
      </c>
      <c r="CD629" s="1" t="s">
        <v>109</v>
      </c>
      <c r="CE629" s="1" t="s">
        <v>109</v>
      </c>
      <c r="CF629" s="1" t="s">
        <v>109</v>
      </c>
      <c r="CG629" s="1" t="s">
        <v>109</v>
      </c>
      <c r="CH629" s="1" t="s">
        <v>109</v>
      </c>
      <c r="CI629" s="1" t="s">
        <v>109</v>
      </c>
      <c r="CJ629" s="1">
        <v>5</v>
      </c>
      <c r="CK629" s="1"/>
      <c r="CL629" s="1">
        <v>0</v>
      </c>
      <c r="CM629" s="1">
        <v>0</v>
      </c>
      <c r="CN629" s="1">
        <v>0</v>
      </c>
    </row>
    <row r="630" spans="1:92" ht="14.25" customHeight="1" x14ac:dyDescent="0.15">
      <c r="A630" s="1" t="s">
        <v>5599</v>
      </c>
      <c r="B630" s="1" t="s">
        <v>254</v>
      </c>
      <c r="C630" s="1"/>
      <c r="D630" s="1"/>
      <c r="E630" s="1" t="s">
        <v>4229</v>
      </c>
      <c r="F630" s="1" t="s">
        <v>277</v>
      </c>
      <c r="G630" s="1" t="s">
        <v>3775</v>
      </c>
      <c r="H630" s="1">
        <v>0</v>
      </c>
      <c r="I630" s="1" t="s">
        <v>3776</v>
      </c>
      <c r="J630" s="1"/>
      <c r="K630" s="1" t="s">
        <v>3777</v>
      </c>
      <c r="L630" s="1"/>
      <c r="M630" s="1" t="s">
        <v>3778</v>
      </c>
      <c r="N630" s="1">
        <v>1</v>
      </c>
      <c r="O630" s="1">
        <v>0</v>
      </c>
      <c r="P630" s="1" t="s">
        <v>103</v>
      </c>
      <c r="Q630" s="1" t="s">
        <v>104</v>
      </c>
      <c r="R630" s="1" t="s">
        <v>5600</v>
      </c>
      <c r="S630" s="1" t="s">
        <v>5601</v>
      </c>
      <c r="T630" s="1" t="s">
        <v>107</v>
      </c>
      <c r="U630" s="1" t="s">
        <v>5602</v>
      </c>
      <c r="V630" s="1">
        <v>1</v>
      </c>
      <c r="W630" s="1">
        <v>1</v>
      </c>
      <c r="X630" s="1">
        <v>1</v>
      </c>
      <c r="Y630" s="1">
        <v>0</v>
      </c>
      <c r="Z630" s="1">
        <v>0</v>
      </c>
      <c r="AA630" s="1">
        <v>5</v>
      </c>
      <c r="AB630" s="1">
        <v>5</v>
      </c>
      <c r="AC630" s="1" t="s">
        <v>109</v>
      </c>
      <c r="AD630" s="1" t="s">
        <v>109</v>
      </c>
      <c r="AE630" s="1" t="s">
        <v>109</v>
      </c>
      <c r="AF630" s="1" t="s">
        <v>109</v>
      </c>
      <c r="AG630" s="1" t="s">
        <v>109</v>
      </c>
      <c r="AH630" s="1" t="s">
        <v>109</v>
      </c>
      <c r="AI630" s="1" t="s">
        <v>109</v>
      </c>
      <c r="AJ630" s="1">
        <v>5</v>
      </c>
      <c r="AK630" s="1" t="s">
        <v>109</v>
      </c>
      <c r="AL630" s="1" t="s">
        <v>109</v>
      </c>
      <c r="AM630" s="1" t="s">
        <v>109</v>
      </c>
      <c r="AN630" s="1" t="s">
        <v>109</v>
      </c>
      <c r="AO630" s="1" t="s">
        <v>109</v>
      </c>
      <c r="AP630" s="1"/>
      <c r="AQ630" s="1">
        <v>5</v>
      </c>
      <c r="AR630" s="1"/>
      <c r="AS630" s="1" t="s">
        <v>5603</v>
      </c>
      <c r="AT630" s="1">
        <v>0</v>
      </c>
      <c r="AU630" s="1">
        <v>0</v>
      </c>
      <c r="AV630" s="1">
        <v>0</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5" t="str">
        <f>HYPERLINK("http://www.d20pfsrd.com/magic/all-spells/p/prying-eyes","Prying Eyes")</f>
        <v>Prying Eyes</v>
      </c>
      <c r="BT630" s="1">
        <v>637</v>
      </c>
      <c r="BU630" s="1" t="s">
        <v>109</v>
      </c>
      <c r="BV630" s="1" t="s">
        <v>5604</v>
      </c>
      <c r="BW630" s="1"/>
      <c r="BX630" s="1"/>
      <c r="BY630" s="1"/>
      <c r="BZ630" s="1">
        <v>0</v>
      </c>
      <c r="CA630" s="1" t="s">
        <v>109</v>
      </c>
      <c r="CB630" s="1" t="s">
        <v>109</v>
      </c>
      <c r="CC630" s="1">
        <v>5</v>
      </c>
      <c r="CD630" s="1" t="s">
        <v>109</v>
      </c>
      <c r="CE630" s="1">
        <v>5</v>
      </c>
      <c r="CF630" s="1">
        <v>5</v>
      </c>
      <c r="CG630" s="1">
        <v>5</v>
      </c>
      <c r="CH630" s="1" t="s">
        <v>109</v>
      </c>
      <c r="CI630" s="1" t="s">
        <v>109</v>
      </c>
      <c r="CJ630" s="1" t="s">
        <v>109</v>
      </c>
      <c r="CK630" s="1"/>
      <c r="CL630" s="1">
        <v>0</v>
      </c>
      <c r="CM630" s="1">
        <v>0</v>
      </c>
      <c r="CN630" s="1">
        <v>0</v>
      </c>
    </row>
    <row r="631" spans="1:92" ht="14.25" customHeight="1" x14ac:dyDescent="0.15">
      <c r="A631" s="1" t="s">
        <v>5605</v>
      </c>
      <c r="B631" s="1" t="s">
        <v>95</v>
      </c>
      <c r="C631" s="1" t="s">
        <v>1179</v>
      </c>
      <c r="D631" s="1"/>
      <c r="E631" s="1" t="s">
        <v>429</v>
      </c>
      <c r="F631" s="1" t="s">
        <v>98</v>
      </c>
      <c r="G631" s="1" t="s">
        <v>5606</v>
      </c>
      <c r="H631" s="1">
        <v>1</v>
      </c>
      <c r="I631" s="1" t="s">
        <v>211</v>
      </c>
      <c r="J631" s="1"/>
      <c r="K631" s="1"/>
      <c r="L631" s="1" t="s">
        <v>5607</v>
      </c>
      <c r="M631" s="1" t="s">
        <v>1906</v>
      </c>
      <c r="N631" s="1">
        <v>0</v>
      </c>
      <c r="O631" s="1">
        <v>0</v>
      </c>
      <c r="P631" s="1" t="s">
        <v>103</v>
      </c>
      <c r="Q631" s="1" t="s">
        <v>104</v>
      </c>
      <c r="R631" s="1" t="s">
        <v>5608</v>
      </c>
      <c r="S631" s="1" t="s">
        <v>5609</v>
      </c>
      <c r="T631" s="1" t="s">
        <v>107</v>
      </c>
      <c r="U631" s="1" t="s">
        <v>5610</v>
      </c>
      <c r="V631" s="1">
        <v>1</v>
      </c>
      <c r="W631" s="1">
        <v>1</v>
      </c>
      <c r="X631" s="1">
        <v>1</v>
      </c>
      <c r="Y631" s="1">
        <v>0</v>
      </c>
      <c r="Z631" s="1">
        <v>0</v>
      </c>
      <c r="AA631" s="1">
        <v>7</v>
      </c>
      <c r="AB631" s="1">
        <v>7</v>
      </c>
      <c r="AC631" s="1" t="s">
        <v>109</v>
      </c>
      <c r="AD631" s="1" t="s">
        <v>109</v>
      </c>
      <c r="AE631" s="1" t="s">
        <v>109</v>
      </c>
      <c r="AF631" s="1" t="s">
        <v>109</v>
      </c>
      <c r="AG631" s="1" t="s">
        <v>109</v>
      </c>
      <c r="AH631" s="1" t="s">
        <v>109</v>
      </c>
      <c r="AI631" s="1" t="s">
        <v>109</v>
      </c>
      <c r="AJ631" s="1">
        <v>7</v>
      </c>
      <c r="AK631" s="1" t="s">
        <v>109</v>
      </c>
      <c r="AL631" s="1" t="s">
        <v>109</v>
      </c>
      <c r="AM631" s="1" t="s">
        <v>109</v>
      </c>
      <c r="AN631" s="1" t="s">
        <v>109</v>
      </c>
      <c r="AO631" s="1" t="s">
        <v>109</v>
      </c>
      <c r="AP631" s="1"/>
      <c r="AQ631" s="1">
        <v>7</v>
      </c>
      <c r="AR631" s="1" t="s">
        <v>5611</v>
      </c>
      <c r="AS631" s="1" t="s">
        <v>5612</v>
      </c>
      <c r="AT631" s="1">
        <v>0</v>
      </c>
      <c r="AU631" s="1">
        <v>0</v>
      </c>
      <c r="AV631" s="1">
        <v>0</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5" t="str">
        <f>HYPERLINK("http://www.d20pfsrd.com/magic/all-spells/i/instant-summons","Instant Summons")</f>
        <v>Instant Summons</v>
      </c>
      <c r="BT631" s="1">
        <v>638</v>
      </c>
      <c r="BU631" s="1">
        <v>1000</v>
      </c>
      <c r="BV631" s="1"/>
      <c r="BW631" s="1"/>
      <c r="BX631" s="1"/>
      <c r="BY631" s="1"/>
      <c r="BZ631" s="1">
        <v>0</v>
      </c>
      <c r="CA631" s="1" t="s">
        <v>109</v>
      </c>
      <c r="CB631" s="1" t="s">
        <v>109</v>
      </c>
      <c r="CC631" s="1">
        <v>7</v>
      </c>
      <c r="CD631" s="1" t="s">
        <v>109</v>
      </c>
      <c r="CE631" s="1" t="s">
        <v>109</v>
      </c>
      <c r="CF631" s="1" t="s">
        <v>109</v>
      </c>
      <c r="CG631" s="1" t="s">
        <v>109</v>
      </c>
      <c r="CH631" s="1" t="s">
        <v>109</v>
      </c>
      <c r="CI631" s="1" t="s">
        <v>109</v>
      </c>
      <c r="CJ631" s="1" t="s">
        <v>109</v>
      </c>
      <c r="CK631" s="1"/>
      <c r="CL631" s="1">
        <v>0</v>
      </c>
      <c r="CM631" s="1">
        <v>0</v>
      </c>
      <c r="CN631" s="1">
        <v>0</v>
      </c>
    </row>
    <row r="632" spans="1:92" ht="14.25" customHeight="1" x14ac:dyDescent="0.15">
      <c r="A632" s="1" t="s">
        <v>5613</v>
      </c>
      <c r="B632" s="1" t="s">
        <v>584</v>
      </c>
      <c r="C632" s="1"/>
      <c r="D632" s="1"/>
      <c r="E632" s="1" t="s">
        <v>5614</v>
      </c>
      <c r="F632" s="1" t="s">
        <v>395</v>
      </c>
      <c r="G632" s="1" t="s">
        <v>5615</v>
      </c>
      <c r="H632" s="1">
        <v>0</v>
      </c>
      <c r="I632" s="1" t="s">
        <v>161</v>
      </c>
      <c r="J632" s="1"/>
      <c r="K632" s="1"/>
      <c r="L632" s="1" t="s">
        <v>5616</v>
      </c>
      <c r="M632" s="1" t="s">
        <v>5617</v>
      </c>
      <c r="N632" s="1">
        <v>0</v>
      </c>
      <c r="O632" s="1">
        <v>0</v>
      </c>
      <c r="P632" s="1" t="s">
        <v>507</v>
      </c>
      <c r="Q632" s="1" t="s">
        <v>167</v>
      </c>
      <c r="R632" s="1" t="s">
        <v>5618</v>
      </c>
      <c r="S632" s="1" t="s">
        <v>5619</v>
      </c>
      <c r="T632" s="1" t="s">
        <v>5620</v>
      </c>
      <c r="U632" s="1" t="s">
        <v>5621</v>
      </c>
      <c r="V632" s="1">
        <v>1</v>
      </c>
      <c r="W632" s="1">
        <v>1</v>
      </c>
      <c r="X632" s="1">
        <v>0</v>
      </c>
      <c r="Y632" s="1">
        <v>0</v>
      </c>
      <c r="Z632" s="1">
        <v>0</v>
      </c>
      <c r="AA632" s="1" t="s">
        <v>109</v>
      </c>
      <c r="AB632" s="1" t="s">
        <v>109</v>
      </c>
      <c r="AC632" s="1">
        <v>5</v>
      </c>
      <c r="AD632" s="1" t="s">
        <v>109</v>
      </c>
      <c r="AE632" s="1" t="s">
        <v>109</v>
      </c>
      <c r="AF632" s="1" t="s">
        <v>109</v>
      </c>
      <c r="AG632" s="1" t="s">
        <v>109</v>
      </c>
      <c r="AH632" s="1" t="s">
        <v>109</v>
      </c>
      <c r="AI632" s="1" t="s">
        <v>109</v>
      </c>
      <c r="AJ632" s="1" t="s">
        <v>109</v>
      </c>
      <c r="AK632" s="1" t="s">
        <v>109</v>
      </c>
      <c r="AL632" s="1">
        <v>5</v>
      </c>
      <c r="AM632" s="1" t="s">
        <v>109</v>
      </c>
      <c r="AN632" s="1" t="s">
        <v>109</v>
      </c>
      <c r="AO632" s="1" t="s">
        <v>109</v>
      </c>
      <c r="AP632" s="1" t="s">
        <v>5622</v>
      </c>
      <c r="AQ632" s="1">
        <v>5</v>
      </c>
      <c r="AR632" s="1"/>
      <c r="AS632" s="1"/>
      <c r="AT632" s="1">
        <v>0</v>
      </c>
      <c r="AU632" s="1">
        <v>0</v>
      </c>
      <c r="AV632" s="1">
        <v>0</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5" t="str">
        <f>HYPERLINK("http://www.d20pfsrd.com/magic/all-spells/s/s/spellcasting-contract","Spellcasting Contract, Lesser")</f>
        <v>Spellcasting Contract, Lesser</v>
      </c>
      <c r="BT632" s="1">
        <v>641</v>
      </c>
      <c r="BU632" s="1" t="s">
        <v>109</v>
      </c>
      <c r="BV632" s="1"/>
      <c r="BW632" s="1"/>
      <c r="BX632" s="1"/>
      <c r="BY632" s="1"/>
      <c r="BZ632" s="1">
        <v>0</v>
      </c>
      <c r="CA632" s="1" t="s">
        <v>109</v>
      </c>
      <c r="CB632" s="1" t="s">
        <v>109</v>
      </c>
      <c r="CC632" s="1" t="s">
        <v>109</v>
      </c>
      <c r="CD632" s="1" t="s">
        <v>109</v>
      </c>
      <c r="CE632" s="1" t="s">
        <v>109</v>
      </c>
      <c r="CF632" s="1" t="s">
        <v>109</v>
      </c>
      <c r="CG632" s="1" t="s">
        <v>109</v>
      </c>
      <c r="CH632" s="1" t="s">
        <v>109</v>
      </c>
      <c r="CI632" s="1" t="s">
        <v>109</v>
      </c>
      <c r="CJ632" s="1" t="s">
        <v>109</v>
      </c>
      <c r="CK632" s="1"/>
      <c r="CL632" s="1">
        <v>0</v>
      </c>
      <c r="CM632" s="1">
        <v>0</v>
      </c>
      <c r="CN632" s="1">
        <v>0</v>
      </c>
    </row>
    <row r="633" spans="1:92" ht="14.25" customHeight="1" x14ac:dyDescent="0.15">
      <c r="A633" s="1" t="s">
        <v>5623</v>
      </c>
      <c r="B633" s="1" t="s">
        <v>584</v>
      </c>
      <c r="C633" s="1"/>
      <c r="D633" s="1"/>
      <c r="E633" s="1" t="s">
        <v>5624</v>
      </c>
      <c r="F633" s="1" t="s">
        <v>395</v>
      </c>
      <c r="G633" s="1" t="s">
        <v>5615</v>
      </c>
      <c r="H633" s="1">
        <v>0</v>
      </c>
      <c r="I633" s="1" t="s">
        <v>161</v>
      </c>
      <c r="J633" s="1"/>
      <c r="K633" s="1"/>
      <c r="L633" s="1" t="s">
        <v>5616</v>
      </c>
      <c r="M633" s="1" t="s">
        <v>5617</v>
      </c>
      <c r="N633" s="1">
        <v>0</v>
      </c>
      <c r="O633" s="1">
        <v>0</v>
      </c>
      <c r="P633" s="1" t="s">
        <v>507</v>
      </c>
      <c r="Q633" s="1" t="s">
        <v>167</v>
      </c>
      <c r="R633" s="1" t="s">
        <v>5625</v>
      </c>
      <c r="S633" s="1" t="s">
        <v>5626</v>
      </c>
      <c r="T633" s="1" t="s">
        <v>5620</v>
      </c>
      <c r="U633" s="1" t="s">
        <v>5627</v>
      </c>
      <c r="V633" s="1">
        <v>1</v>
      </c>
      <c r="W633" s="1">
        <v>1</v>
      </c>
      <c r="X633" s="1">
        <v>0</v>
      </c>
      <c r="Y633" s="1">
        <v>0</v>
      </c>
      <c r="Z633" s="1">
        <v>0</v>
      </c>
      <c r="AA633" s="1" t="s">
        <v>109</v>
      </c>
      <c r="AB633" s="1" t="s">
        <v>109</v>
      </c>
      <c r="AC633" s="1">
        <v>7</v>
      </c>
      <c r="AD633" s="1" t="s">
        <v>109</v>
      </c>
      <c r="AE633" s="1" t="s">
        <v>109</v>
      </c>
      <c r="AF633" s="1" t="s">
        <v>109</v>
      </c>
      <c r="AG633" s="1" t="s">
        <v>109</v>
      </c>
      <c r="AH633" s="1" t="s">
        <v>109</v>
      </c>
      <c r="AI633" s="1" t="s">
        <v>109</v>
      </c>
      <c r="AJ633" s="1" t="s">
        <v>109</v>
      </c>
      <c r="AK633" s="1" t="s">
        <v>109</v>
      </c>
      <c r="AL633" s="1">
        <v>7</v>
      </c>
      <c r="AM633" s="1" t="s">
        <v>109</v>
      </c>
      <c r="AN633" s="1" t="s">
        <v>109</v>
      </c>
      <c r="AO633" s="1" t="s">
        <v>109</v>
      </c>
      <c r="AP633" s="1" t="s">
        <v>5622</v>
      </c>
      <c r="AQ633" s="1">
        <v>7</v>
      </c>
      <c r="AR633" s="1"/>
      <c r="AS633" s="1"/>
      <c r="AT633" s="1">
        <v>0</v>
      </c>
      <c r="AU633" s="1">
        <v>0</v>
      </c>
      <c r="AV633" s="1">
        <v>0</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5" t="str">
        <f>HYPERLINK("http://www.d20pfsrd.com/magic/all-spells/s/s/spellcasting-contract","Spellcasting Contract")</f>
        <v>Spellcasting Contract</v>
      </c>
      <c r="BT633" s="1">
        <v>642</v>
      </c>
      <c r="BU633" s="1" t="s">
        <v>109</v>
      </c>
      <c r="BV633" s="1"/>
      <c r="BW633" s="1"/>
      <c r="BX633" s="1"/>
      <c r="BY633" s="1"/>
      <c r="BZ633" s="1">
        <v>0</v>
      </c>
      <c r="CA633" s="1" t="s">
        <v>109</v>
      </c>
      <c r="CB633" s="1" t="s">
        <v>109</v>
      </c>
      <c r="CC633" s="1" t="s">
        <v>109</v>
      </c>
      <c r="CD633" s="1" t="s">
        <v>109</v>
      </c>
      <c r="CE633" s="1" t="s">
        <v>109</v>
      </c>
      <c r="CF633" s="1" t="s">
        <v>109</v>
      </c>
      <c r="CG633" s="1" t="s">
        <v>109</v>
      </c>
      <c r="CH633" s="1" t="s">
        <v>109</v>
      </c>
      <c r="CI633" s="1" t="s">
        <v>109</v>
      </c>
      <c r="CJ633" s="1" t="s">
        <v>109</v>
      </c>
      <c r="CK633" s="1"/>
      <c r="CL633" s="1">
        <v>0</v>
      </c>
      <c r="CM633" s="1">
        <v>0</v>
      </c>
      <c r="CN633" s="1">
        <v>0</v>
      </c>
    </row>
    <row r="634" spans="1:92" ht="14.25" customHeight="1" x14ac:dyDescent="0.15">
      <c r="A634" s="1" t="s">
        <v>5628</v>
      </c>
      <c r="B634" s="1" t="s">
        <v>584</v>
      </c>
      <c r="C634" s="1"/>
      <c r="D634" s="1"/>
      <c r="E634" s="1" t="s">
        <v>3320</v>
      </c>
      <c r="F634" s="1" t="s">
        <v>395</v>
      </c>
      <c r="G634" s="1" t="s">
        <v>5615</v>
      </c>
      <c r="H634" s="1">
        <v>0</v>
      </c>
      <c r="I634" s="1" t="s">
        <v>161</v>
      </c>
      <c r="J634" s="1"/>
      <c r="K634" s="1"/>
      <c r="L634" s="1" t="s">
        <v>5616</v>
      </c>
      <c r="M634" s="1" t="s">
        <v>5617</v>
      </c>
      <c r="N634" s="1">
        <v>0</v>
      </c>
      <c r="O634" s="1">
        <v>0</v>
      </c>
      <c r="P634" s="1" t="s">
        <v>507</v>
      </c>
      <c r="Q634" s="1" t="s">
        <v>167</v>
      </c>
      <c r="R634" s="1" t="s">
        <v>5629</v>
      </c>
      <c r="S634" s="1" t="s">
        <v>5630</v>
      </c>
      <c r="T634" s="1" t="s">
        <v>5620</v>
      </c>
      <c r="U634" s="1" t="s">
        <v>5631</v>
      </c>
      <c r="V634" s="1">
        <v>1</v>
      </c>
      <c r="W634" s="1">
        <v>1</v>
      </c>
      <c r="X634" s="1">
        <v>0</v>
      </c>
      <c r="Y634" s="1">
        <v>0</v>
      </c>
      <c r="Z634" s="1">
        <v>0</v>
      </c>
      <c r="AA634" s="1" t="s">
        <v>109</v>
      </c>
      <c r="AB634" s="1" t="s">
        <v>109</v>
      </c>
      <c r="AC634" s="1">
        <v>9</v>
      </c>
      <c r="AD634" s="1" t="s">
        <v>109</v>
      </c>
      <c r="AE634" s="1" t="s">
        <v>109</v>
      </c>
      <c r="AF634" s="1" t="s">
        <v>109</v>
      </c>
      <c r="AG634" s="1" t="s">
        <v>109</v>
      </c>
      <c r="AH634" s="1" t="s">
        <v>109</v>
      </c>
      <c r="AI634" s="1" t="s">
        <v>109</v>
      </c>
      <c r="AJ634" s="1" t="s">
        <v>109</v>
      </c>
      <c r="AK634" s="1" t="s">
        <v>109</v>
      </c>
      <c r="AL634" s="1">
        <v>9</v>
      </c>
      <c r="AM634" s="1" t="s">
        <v>109</v>
      </c>
      <c r="AN634" s="1" t="s">
        <v>109</v>
      </c>
      <c r="AO634" s="1" t="s">
        <v>109</v>
      </c>
      <c r="AP634" s="1" t="s">
        <v>5622</v>
      </c>
      <c r="AQ634" s="1">
        <v>9</v>
      </c>
      <c r="AR634" s="1"/>
      <c r="AS634" s="1"/>
      <c r="AT634" s="1">
        <v>0</v>
      </c>
      <c r="AU634" s="1">
        <v>0</v>
      </c>
      <c r="AV634" s="1">
        <v>0</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5" t="str">
        <f>HYPERLINK("http://www.d20pfsrd.com/magic/all-spells/s/s/spellcasting-contract","Spellcasting Contract, Greater")</f>
        <v>Spellcasting Contract, Greater</v>
      </c>
      <c r="BT634" s="1">
        <v>643</v>
      </c>
      <c r="BU634" s="1" t="s">
        <v>109</v>
      </c>
      <c r="BV634" s="1"/>
      <c r="BW634" s="1"/>
      <c r="BX634" s="1"/>
      <c r="BY634" s="1"/>
      <c r="BZ634" s="1">
        <v>0</v>
      </c>
      <c r="CA634" s="1" t="s">
        <v>109</v>
      </c>
      <c r="CB634" s="1" t="s">
        <v>109</v>
      </c>
      <c r="CC634" s="1" t="s">
        <v>109</v>
      </c>
      <c r="CD634" s="1" t="s">
        <v>109</v>
      </c>
      <c r="CE634" s="1" t="s">
        <v>109</v>
      </c>
      <c r="CF634" s="1" t="s">
        <v>109</v>
      </c>
      <c r="CG634" s="1" t="s">
        <v>109</v>
      </c>
      <c r="CH634" s="1" t="s">
        <v>109</v>
      </c>
      <c r="CI634" s="1" t="s">
        <v>109</v>
      </c>
      <c r="CJ634" s="1" t="s">
        <v>109</v>
      </c>
      <c r="CK634" s="1"/>
      <c r="CL634" s="1">
        <v>0</v>
      </c>
      <c r="CM634" s="1">
        <v>0</v>
      </c>
      <c r="CN634" s="1">
        <v>0</v>
      </c>
    </row>
    <row r="635" spans="1:92" ht="14.25" customHeight="1" x14ac:dyDescent="0.15">
      <c r="A635" s="1" t="s">
        <v>5632</v>
      </c>
      <c r="B635" s="1" t="s">
        <v>254</v>
      </c>
      <c r="C635" s="1"/>
      <c r="D635" s="1"/>
      <c r="E635" s="1" t="s">
        <v>5633</v>
      </c>
      <c r="F635" s="1" t="s">
        <v>277</v>
      </c>
      <c r="G635" s="1" t="s">
        <v>5634</v>
      </c>
      <c r="H635" s="1">
        <v>0</v>
      </c>
      <c r="I635" s="1" t="s">
        <v>235</v>
      </c>
      <c r="J635" s="1"/>
      <c r="K635" s="1"/>
      <c r="L635" s="1" t="s">
        <v>236</v>
      </c>
      <c r="M635" s="1" t="s">
        <v>3042</v>
      </c>
      <c r="N635" s="1">
        <v>0</v>
      </c>
      <c r="O635" s="1">
        <v>0</v>
      </c>
      <c r="P635" s="1"/>
      <c r="Q635" s="1"/>
      <c r="R635" s="1" t="s">
        <v>5635</v>
      </c>
      <c r="S635" s="1" t="s">
        <v>5636</v>
      </c>
      <c r="T635" s="1" t="s">
        <v>5637</v>
      </c>
      <c r="U635" s="1" t="s">
        <v>5638</v>
      </c>
      <c r="V635" s="1">
        <v>1</v>
      </c>
      <c r="W635" s="1">
        <v>1</v>
      </c>
      <c r="X635" s="1">
        <v>0</v>
      </c>
      <c r="Y635" s="1">
        <v>0</v>
      </c>
      <c r="Z635" s="1">
        <v>1</v>
      </c>
      <c r="AA635" s="1" t="s">
        <v>109</v>
      </c>
      <c r="AB635" s="1" t="s">
        <v>109</v>
      </c>
      <c r="AC635" s="1">
        <v>2</v>
      </c>
      <c r="AD635" s="1" t="s">
        <v>109</v>
      </c>
      <c r="AE635" s="1" t="s">
        <v>109</v>
      </c>
      <c r="AF635" s="1">
        <v>2</v>
      </c>
      <c r="AG635" s="1" t="s">
        <v>109</v>
      </c>
      <c r="AH635" s="1" t="s">
        <v>109</v>
      </c>
      <c r="AI635" s="1" t="s">
        <v>109</v>
      </c>
      <c r="AJ635" s="1" t="s">
        <v>109</v>
      </c>
      <c r="AK635" s="1" t="s">
        <v>109</v>
      </c>
      <c r="AL635" s="1">
        <v>2</v>
      </c>
      <c r="AM635" s="1" t="s">
        <v>109</v>
      </c>
      <c r="AN635" s="1" t="s">
        <v>109</v>
      </c>
      <c r="AO635" s="1" t="s">
        <v>109</v>
      </c>
      <c r="AP635" s="1"/>
      <c r="AQ635" s="1">
        <v>2</v>
      </c>
      <c r="AR635" s="1"/>
      <c r="AS635" s="1"/>
      <c r="AT635" s="1">
        <v>0</v>
      </c>
      <c r="AU635" s="1">
        <v>0</v>
      </c>
      <c r="AV635" s="1">
        <v>0</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5" t="str">
        <f>HYPERLINK("http://www.d20pfsrd.com/magic/all-spells/a/a/ancestral-communion","Ancestral Communion")</f>
        <v>Ancestral Communion</v>
      </c>
      <c r="BT635" s="1">
        <v>644</v>
      </c>
      <c r="BU635" s="1" t="s">
        <v>109</v>
      </c>
      <c r="BV635" s="1"/>
      <c r="BW635" s="1"/>
      <c r="BX635" s="1"/>
      <c r="BY635" s="1"/>
      <c r="BZ635" s="1">
        <v>0</v>
      </c>
      <c r="CA635" s="1" t="s">
        <v>109</v>
      </c>
      <c r="CB635" s="1" t="s">
        <v>109</v>
      </c>
      <c r="CC635" s="1" t="s">
        <v>109</v>
      </c>
      <c r="CD635" s="1" t="s">
        <v>109</v>
      </c>
      <c r="CE635" s="1" t="s">
        <v>109</v>
      </c>
      <c r="CF635" s="1" t="s">
        <v>109</v>
      </c>
      <c r="CG635" s="1" t="s">
        <v>109</v>
      </c>
      <c r="CH635" s="1" t="s">
        <v>109</v>
      </c>
      <c r="CI635" s="1" t="s">
        <v>109</v>
      </c>
      <c r="CJ635" s="1" t="s">
        <v>109</v>
      </c>
      <c r="CK635" s="1"/>
      <c r="CL635" s="1">
        <v>0</v>
      </c>
      <c r="CM635" s="1">
        <v>0</v>
      </c>
      <c r="CN635" s="1">
        <v>0</v>
      </c>
    </row>
    <row r="636" spans="1:92" ht="14.25" customHeight="1" x14ac:dyDescent="0.15">
      <c r="A636" s="1" t="s">
        <v>5639</v>
      </c>
      <c r="B636" s="1" t="s">
        <v>95</v>
      </c>
      <c r="C636" s="1" t="s">
        <v>1179</v>
      </c>
      <c r="D636" s="1"/>
      <c r="E636" s="1" t="s">
        <v>5640</v>
      </c>
      <c r="F636" s="1" t="s">
        <v>98</v>
      </c>
      <c r="G636" s="1" t="s">
        <v>5634</v>
      </c>
      <c r="H636" s="1">
        <v>0</v>
      </c>
      <c r="I636" s="1" t="s">
        <v>235</v>
      </c>
      <c r="J636" s="1"/>
      <c r="K636" s="1" t="s">
        <v>5641</v>
      </c>
      <c r="L636" s="1"/>
      <c r="M636" s="1" t="s">
        <v>5642</v>
      </c>
      <c r="N636" s="1">
        <v>0</v>
      </c>
      <c r="O636" s="1">
        <v>0</v>
      </c>
      <c r="P636" s="1"/>
      <c r="Q636" s="1"/>
      <c r="R636" s="1" t="s">
        <v>5643</v>
      </c>
      <c r="S636" s="1" t="s">
        <v>5644</v>
      </c>
      <c r="T636" s="1" t="s">
        <v>5637</v>
      </c>
      <c r="U636" s="1" t="s">
        <v>5645</v>
      </c>
      <c r="V636" s="1">
        <v>1</v>
      </c>
      <c r="W636" s="1">
        <v>1</v>
      </c>
      <c r="X636" s="1">
        <v>0</v>
      </c>
      <c r="Y636" s="1">
        <v>0</v>
      </c>
      <c r="Z636" s="1">
        <v>1</v>
      </c>
      <c r="AA636" s="1" t="s">
        <v>109</v>
      </c>
      <c r="AB636" s="1" t="s">
        <v>109</v>
      </c>
      <c r="AC636" s="1">
        <v>4</v>
      </c>
      <c r="AD636" s="1" t="s">
        <v>109</v>
      </c>
      <c r="AE636" s="1" t="s">
        <v>109</v>
      </c>
      <c r="AF636" s="1">
        <v>4</v>
      </c>
      <c r="AG636" s="1" t="s">
        <v>109</v>
      </c>
      <c r="AH636" s="1" t="s">
        <v>109</v>
      </c>
      <c r="AI636" s="1" t="s">
        <v>109</v>
      </c>
      <c r="AJ636" s="1" t="s">
        <v>109</v>
      </c>
      <c r="AK636" s="1" t="s">
        <v>109</v>
      </c>
      <c r="AL636" s="1">
        <v>4</v>
      </c>
      <c r="AM636" s="1" t="s">
        <v>109</v>
      </c>
      <c r="AN636" s="1" t="s">
        <v>109</v>
      </c>
      <c r="AO636" s="1" t="s">
        <v>109</v>
      </c>
      <c r="AP636" s="1"/>
      <c r="AQ636" s="1">
        <v>4</v>
      </c>
      <c r="AR636" s="1"/>
      <c r="AS636" s="1"/>
      <c r="AT636" s="1">
        <v>0</v>
      </c>
      <c r="AU636" s="1">
        <v>0</v>
      </c>
      <c r="AV636" s="1">
        <v>0</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5" t="str">
        <f>HYPERLINK("http://www.d20pfsrd.com/magic/all-spells/a/a/ancestral-gift","Ancestral Gift")</f>
        <v>Ancestral Gift</v>
      </c>
      <c r="BT636" s="1">
        <v>645</v>
      </c>
      <c r="BU636" s="1" t="s">
        <v>109</v>
      </c>
      <c r="BV636" s="1"/>
      <c r="BW636" s="1"/>
      <c r="BX636" s="1"/>
      <c r="BY636" s="1"/>
      <c r="BZ636" s="1">
        <v>0</v>
      </c>
      <c r="CA636" s="1" t="s">
        <v>109</v>
      </c>
      <c r="CB636" s="1" t="s">
        <v>109</v>
      </c>
      <c r="CC636" s="1" t="s">
        <v>109</v>
      </c>
      <c r="CD636" s="1" t="s">
        <v>109</v>
      </c>
      <c r="CE636" s="1" t="s">
        <v>109</v>
      </c>
      <c r="CF636" s="1" t="s">
        <v>109</v>
      </c>
      <c r="CG636" s="1" t="s">
        <v>109</v>
      </c>
      <c r="CH636" s="1" t="s">
        <v>109</v>
      </c>
      <c r="CI636" s="1" t="s">
        <v>109</v>
      </c>
      <c r="CJ636" s="1" t="s">
        <v>109</v>
      </c>
      <c r="CK636" s="1"/>
      <c r="CL636" s="1">
        <v>0</v>
      </c>
      <c r="CM636" s="1">
        <v>0</v>
      </c>
      <c r="CN636" s="1">
        <v>0</v>
      </c>
    </row>
    <row r="637" spans="1:92" ht="14.25" customHeight="1" x14ac:dyDescent="0.15">
      <c r="A637" s="1" t="s">
        <v>5646</v>
      </c>
      <c r="B637" s="1" t="s">
        <v>95</v>
      </c>
      <c r="C637" s="1" t="s">
        <v>1179</v>
      </c>
      <c r="D637" s="1"/>
      <c r="E637" s="1" t="s">
        <v>5647</v>
      </c>
      <c r="F637" s="1" t="s">
        <v>98</v>
      </c>
      <c r="G637" s="1" t="s">
        <v>5634</v>
      </c>
      <c r="H637" s="1">
        <v>0</v>
      </c>
      <c r="I637" s="1" t="s">
        <v>122</v>
      </c>
      <c r="J637" s="1"/>
      <c r="K637" s="1" t="s">
        <v>5648</v>
      </c>
      <c r="L637" s="1"/>
      <c r="M637" s="1" t="s">
        <v>125</v>
      </c>
      <c r="N637" s="1">
        <v>1</v>
      </c>
      <c r="O637" s="1">
        <v>0</v>
      </c>
      <c r="P637" s="1" t="s">
        <v>103</v>
      </c>
      <c r="Q637" s="1" t="s">
        <v>268</v>
      </c>
      <c r="R637" s="1" t="s">
        <v>5649</v>
      </c>
      <c r="S637" s="1" t="s">
        <v>5650</v>
      </c>
      <c r="T637" s="1" t="s">
        <v>5637</v>
      </c>
      <c r="U637" s="1" t="s">
        <v>5651</v>
      </c>
      <c r="V637" s="1">
        <v>1</v>
      </c>
      <c r="W637" s="1">
        <v>1</v>
      </c>
      <c r="X637" s="1">
        <v>0</v>
      </c>
      <c r="Y637" s="1">
        <v>0</v>
      </c>
      <c r="Z637" s="1">
        <v>1</v>
      </c>
      <c r="AA637" s="1" t="s">
        <v>109</v>
      </c>
      <c r="AB637" s="1" t="s">
        <v>109</v>
      </c>
      <c r="AC637" s="1">
        <v>3</v>
      </c>
      <c r="AD637" s="1" t="s">
        <v>109</v>
      </c>
      <c r="AE637" s="1" t="s">
        <v>109</v>
      </c>
      <c r="AF637" s="1">
        <v>3</v>
      </c>
      <c r="AG637" s="1" t="s">
        <v>109</v>
      </c>
      <c r="AH637" s="1" t="s">
        <v>109</v>
      </c>
      <c r="AI637" s="1" t="s">
        <v>109</v>
      </c>
      <c r="AJ637" s="1" t="s">
        <v>109</v>
      </c>
      <c r="AK637" s="1" t="s">
        <v>109</v>
      </c>
      <c r="AL637" s="1">
        <v>3</v>
      </c>
      <c r="AM637" s="1" t="s">
        <v>109</v>
      </c>
      <c r="AN637" s="1" t="s">
        <v>109</v>
      </c>
      <c r="AO637" s="1" t="s">
        <v>109</v>
      </c>
      <c r="AP637" s="1"/>
      <c r="AQ637" s="1">
        <v>3</v>
      </c>
      <c r="AR637" s="1"/>
      <c r="AS637" s="1"/>
      <c r="AT637" s="1">
        <v>0</v>
      </c>
      <c r="AU637" s="1">
        <v>0</v>
      </c>
      <c r="AV637" s="1">
        <v>0</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5" t="str">
        <f>HYPERLINK("http://www.d20pfsrd.com/magic/all-spells/s/s/summon-ancestral-guardian","Summon Ancestral Guardian")</f>
        <v>Summon Ancestral Guardian</v>
      </c>
      <c r="BT637" s="1">
        <v>646</v>
      </c>
      <c r="BU637" s="1" t="s">
        <v>109</v>
      </c>
      <c r="BV637" s="1"/>
      <c r="BW637" s="1"/>
      <c r="BX637" s="1"/>
      <c r="BY637" s="1"/>
      <c r="BZ637" s="1">
        <v>0</v>
      </c>
      <c r="CA637" s="1" t="s">
        <v>109</v>
      </c>
      <c r="CB637" s="1" t="s">
        <v>109</v>
      </c>
      <c r="CC637" s="1" t="s">
        <v>109</v>
      </c>
      <c r="CD637" s="1" t="s">
        <v>109</v>
      </c>
      <c r="CE637" s="1" t="s">
        <v>109</v>
      </c>
      <c r="CF637" s="1" t="s">
        <v>109</v>
      </c>
      <c r="CG637" s="1" t="s">
        <v>109</v>
      </c>
      <c r="CH637" s="1" t="s">
        <v>109</v>
      </c>
      <c r="CI637" s="1" t="s">
        <v>109</v>
      </c>
      <c r="CJ637" s="1" t="s">
        <v>109</v>
      </c>
      <c r="CK637" s="1"/>
      <c r="CL637" s="1">
        <v>0</v>
      </c>
      <c r="CM637" s="1">
        <v>0</v>
      </c>
      <c r="CN637" s="1">
        <v>0</v>
      </c>
    </row>
    <row r="638" spans="1:92" ht="14.25" customHeight="1" x14ac:dyDescent="0.15">
      <c r="A638" s="1" t="s">
        <v>5652</v>
      </c>
      <c r="B638" s="1" t="s">
        <v>254</v>
      </c>
      <c r="C638" s="1"/>
      <c r="D638" s="1"/>
      <c r="E638" s="1" t="s">
        <v>5653</v>
      </c>
      <c r="F638" s="1" t="s">
        <v>98</v>
      </c>
      <c r="G638" s="1" t="s">
        <v>160</v>
      </c>
      <c r="H638" s="1">
        <v>0</v>
      </c>
      <c r="I638" s="1" t="s">
        <v>161</v>
      </c>
      <c r="J638" s="1"/>
      <c r="K638" s="1"/>
      <c r="L638" s="1" t="s">
        <v>506</v>
      </c>
      <c r="M638" s="1" t="s">
        <v>766</v>
      </c>
      <c r="N638" s="1">
        <v>1</v>
      </c>
      <c r="O638" s="1">
        <v>0</v>
      </c>
      <c r="P638" s="1" t="s">
        <v>507</v>
      </c>
      <c r="Q638" s="1" t="s">
        <v>167</v>
      </c>
      <c r="R638" s="1" t="s">
        <v>5654</v>
      </c>
      <c r="S638" s="1" t="s">
        <v>5655</v>
      </c>
      <c r="T638" s="1" t="s">
        <v>5637</v>
      </c>
      <c r="U638" s="1" t="s">
        <v>5656</v>
      </c>
      <c r="V638" s="1">
        <v>1</v>
      </c>
      <c r="W638" s="1">
        <v>1</v>
      </c>
      <c r="X638" s="1">
        <v>0</v>
      </c>
      <c r="Y638" s="1">
        <v>0</v>
      </c>
      <c r="Z638" s="1">
        <v>1</v>
      </c>
      <c r="AA638" s="1" t="s">
        <v>109</v>
      </c>
      <c r="AB638" s="1" t="s">
        <v>109</v>
      </c>
      <c r="AC638" s="1" t="s">
        <v>109</v>
      </c>
      <c r="AD638" s="1">
        <v>4</v>
      </c>
      <c r="AE638" s="1">
        <v>3</v>
      </c>
      <c r="AF638" s="1" t="s">
        <v>109</v>
      </c>
      <c r="AG638" s="1" t="s">
        <v>109</v>
      </c>
      <c r="AH638" s="1" t="s">
        <v>109</v>
      </c>
      <c r="AI638" s="1" t="s">
        <v>109</v>
      </c>
      <c r="AJ638" s="1" t="s">
        <v>109</v>
      </c>
      <c r="AK638" s="1" t="s">
        <v>109</v>
      </c>
      <c r="AL638" s="1" t="s">
        <v>109</v>
      </c>
      <c r="AM638" s="1" t="s">
        <v>109</v>
      </c>
      <c r="AN638" s="1" t="s">
        <v>109</v>
      </c>
      <c r="AO638" s="1" t="s">
        <v>109</v>
      </c>
      <c r="AP638" s="1"/>
      <c r="AQ638" s="1">
        <v>4</v>
      </c>
      <c r="AR638" s="1"/>
      <c r="AS638" s="1"/>
      <c r="AT638" s="1">
        <v>0</v>
      </c>
      <c r="AU638" s="1">
        <v>0</v>
      </c>
      <c r="AV638" s="1">
        <v>0</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5" t="str">
        <f>HYPERLINK("http://www.d20pfsrd.com/magic/all-spells/s/s/see-through-stone","See Through Stone")</f>
        <v>See Through Stone</v>
      </c>
      <c r="BT638" s="1">
        <v>647</v>
      </c>
      <c r="BU638" s="1" t="s">
        <v>109</v>
      </c>
      <c r="BV638" s="1"/>
      <c r="BW638" s="1"/>
      <c r="BX638" s="1"/>
      <c r="BY638" s="1"/>
      <c r="BZ638" s="1">
        <v>0</v>
      </c>
      <c r="CA638" s="1" t="s">
        <v>109</v>
      </c>
      <c r="CB638" s="1" t="s">
        <v>109</v>
      </c>
      <c r="CC638" s="1" t="s">
        <v>109</v>
      </c>
      <c r="CD638" s="1" t="s">
        <v>109</v>
      </c>
      <c r="CE638" s="1" t="s">
        <v>109</v>
      </c>
      <c r="CF638" s="1" t="s">
        <v>109</v>
      </c>
      <c r="CG638" s="1" t="s">
        <v>109</v>
      </c>
      <c r="CH638" s="1" t="s">
        <v>109</v>
      </c>
      <c r="CI638" s="1" t="s">
        <v>109</v>
      </c>
      <c r="CJ638" s="1">
        <v>3</v>
      </c>
      <c r="CK638" s="1"/>
      <c r="CL638" s="1">
        <v>0</v>
      </c>
      <c r="CM638" s="1">
        <v>0</v>
      </c>
      <c r="CN638" s="1">
        <v>0</v>
      </c>
    </row>
    <row r="639" spans="1:92" ht="14.25" customHeight="1" x14ac:dyDescent="0.15">
      <c r="A639" s="1" t="s">
        <v>5657</v>
      </c>
      <c r="B639" s="1" t="s">
        <v>189</v>
      </c>
      <c r="C639" s="1"/>
      <c r="D639" s="1"/>
      <c r="E639" s="1" t="s">
        <v>5536</v>
      </c>
      <c r="F639" s="1" t="s">
        <v>277</v>
      </c>
      <c r="G639" s="1" t="s">
        <v>5658</v>
      </c>
      <c r="H639" s="1">
        <v>0</v>
      </c>
      <c r="I639" s="1" t="s">
        <v>161</v>
      </c>
      <c r="J639" s="1"/>
      <c r="K639" s="1"/>
      <c r="L639" s="1" t="s">
        <v>639</v>
      </c>
      <c r="M639" s="1" t="s">
        <v>408</v>
      </c>
      <c r="N639" s="1">
        <v>0</v>
      </c>
      <c r="O639" s="1">
        <v>0</v>
      </c>
      <c r="P639" s="1" t="s">
        <v>103</v>
      </c>
      <c r="Q639" s="1" t="s">
        <v>104</v>
      </c>
      <c r="R639" s="1" t="s">
        <v>5659</v>
      </c>
      <c r="S639" s="1" t="s">
        <v>5660</v>
      </c>
      <c r="T639" s="1" t="s">
        <v>5637</v>
      </c>
      <c r="U639" s="1" t="s">
        <v>5661</v>
      </c>
      <c r="V639" s="1">
        <v>1</v>
      </c>
      <c r="W639" s="1">
        <v>1</v>
      </c>
      <c r="X639" s="1">
        <v>1</v>
      </c>
      <c r="Y639" s="1">
        <v>0</v>
      </c>
      <c r="Z639" s="1">
        <v>0</v>
      </c>
      <c r="AA639" s="1">
        <v>3</v>
      </c>
      <c r="AB639" s="1">
        <v>3</v>
      </c>
      <c r="AC639" s="1" t="s">
        <v>109</v>
      </c>
      <c r="AD639" s="1" t="s">
        <v>109</v>
      </c>
      <c r="AE639" s="1" t="s">
        <v>109</v>
      </c>
      <c r="AF639" s="1" t="s">
        <v>109</v>
      </c>
      <c r="AG639" s="1" t="s">
        <v>109</v>
      </c>
      <c r="AH639" s="1" t="s">
        <v>109</v>
      </c>
      <c r="AI639" s="1" t="s">
        <v>109</v>
      </c>
      <c r="AJ639" s="1" t="s">
        <v>109</v>
      </c>
      <c r="AK639" s="1" t="s">
        <v>109</v>
      </c>
      <c r="AL639" s="1" t="s">
        <v>109</v>
      </c>
      <c r="AM639" s="1" t="s">
        <v>109</v>
      </c>
      <c r="AN639" s="1" t="s">
        <v>109</v>
      </c>
      <c r="AO639" s="1" t="s">
        <v>109</v>
      </c>
      <c r="AP639" s="1"/>
      <c r="AQ639" s="1">
        <v>3</v>
      </c>
      <c r="AR639" s="1"/>
      <c r="AS639" s="1"/>
      <c r="AT639" s="1">
        <v>0</v>
      </c>
      <c r="AU639" s="1">
        <v>0</v>
      </c>
      <c r="AV639" s="1">
        <v>0</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5" t="str">
        <f>HYPERLINK("http://www.d20pfsrd.com/magic/all-spells/r/r/rune-of-durability","Rune of Durability")</f>
        <v>Rune of Durability</v>
      </c>
      <c r="BT639" s="1">
        <v>648</v>
      </c>
      <c r="BU639" s="1" t="s">
        <v>109</v>
      </c>
      <c r="BV639" s="1"/>
      <c r="BW639" s="1"/>
      <c r="BX639" s="1"/>
      <c r="BY639" s="1"/>
      <c r="BZ639" s="1">
        <v>0</v>
      </c>
      <c r="CA639" s="1" t="s">
        <v>109</v>
      </c>
      <c r="CB639" s="1" t="s">
        <v>109</v>
      </c>
      <c r="CC639" s="1" t="s">
        <v>109</v>
      </c>
      <c r="CD639" s="1" t="s">
        <v>109</v>
      </c>
      <c r="CE639" s="1" t="s">
        <v>109</v>
      </c>
      <c r="CF639" s="1" t="s">
        <v>109</v>
      </c>
      <c r="CG639" s="1" t="s">
        <v>109</v>
      </c>
      <c r="CH639" s="1" t="s">
        <v>109</v>
      </c>
      <c r="CI639" s="1" t="s">
        <v>109</v>
      </c>
      <c r="CJ639" s="1" t="s">
        <v>109</v>
      </c>
      <c r="CK639" s="1"/>
      <c r="CL639" s="1">
        <v>0</v>
      </c>
      <c r="CM639" s="1">
        <v>0</v>
      </c>
      <c r="CN639" s="1">
        <v>0</v>
      </c>
    </row>
    <row r="640" spans="1:92" ht="14.25" customHeight="1" x14ac:dyDescent="0.15">
      <c r="A640" s="1" t="s">
        <v>5662</v>
      </c>
      <c r="B640" s="1" t="s">
        <v>242</v>
      </c>
      <c r="C640" s="1"/>
      <c r="D640" s="1"/>
      <c r="E640" s="1" t="s">
        <v>5536</v>
      </c>
      <c r="F640" s="1" t="s">
        <v>377</v>
      </c>
      <c r="G640" s="1" t="s">
        <v>5663</v>
      </c>
      <c r="H640" s="1">
        <v>1</v>
      </c>
      <c r="I640" s="1" t="s">
        <v>161</v>
      </c>
      <c r="J640" s="1"/>
      <c r="K640" s="1"/>
      <c r="L640" s="1" t="s">
        <v>5664</v>
      </c>
      <c r="M640" s="1" t="s">
        <v>1906</v>
      </c>
      <c r="N640" s="1">
        <v>1</v>
      </c>
      <c r="O640" s="1">
        <v>0</v>
      </c>
      <c r="P640" s="1" t="s">
        <v>727</v>
      </c>
      <c r="Q640" s="1" t="s">
        <v>5665</v>
      </c>
      <c r="R640" s="1" t="s">
        <v>5666</v>
      </c>
      <c r="S640" s="1" t="s">
        <v>5667</v>
      </c>
      <c r="T640" s="1" t="s">
        <v>5637</v>
      </c>
      <c r="U640" s="1" t="s">
        <v>5668</v>
      </c>
      <c r="V640" s="1">
        <v>1</v>
      </c>
      <c r="W640" s="1">
        <v>1</v>
      </c>
      <c r="X640" s="1">
        <v>1</v>
      </c>
      <c r="Y640" s="1">
        <v>0</v>
      </c>
      <c r="Z640" s="1">
        <v>0</v>
      </c>
      <c r="AA640" s="1">
        <v>3</v>
      </c>
      <c r="AB640" s="1">
        <v>3</v>
      </c>
      <c r="AC640" s="1" t="s">
        <v>109</v>
      </c>
      <c r="AD640" s="1" t="s">
        <v>109</v>
      </c>
      <c r="AE640" s="1" t="s">
        <v>109</v>
      </c>
      <c r="AF640" s="1" t="s">
        <v>109</v>
      </c>
      <c r="AG640" s="1" t="s">
        <v>109</v>
      </c>
      <c r="AH640" s="1" t="s">
        <v>109</v>
      </c>
      <c r="AI640" s="1" t="s">
        <v>109</v>
      </c>
      <c r="AJ640" s="1" t="s">
        <v>109</v>
      </c>
      <c r="AK640" s="1" t="s">
        <v>109</v>
      </c>
      <c r="AL640" s="1" t="s">
        <v>109</v>
      </c>
      <c r="AM640" s="1" t="s">
        <v>109</v>
      </c>
      <c r="AN640" s="1" t="s">
        <v>109</v>
      </c>
      <c r="AO640" s="1" t="s">
        <v>109</v>
      </c>
      <c r="AP640" s="1"/>
      <c r="AQ640" s="1">
        <v>3</v>
      </c>
      <c r="AR640" s="1"/>
      <c r="AS640" s="1"/>
      <c r="AT640" s="1">
        <v>0</v>
      </c>
      <c r="AU640" s="1">
        <v>0</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5" t="str">
        <f>HYPERLINK("http://www.d20pfsrd.com/magic/all-spells/r/r/rune-of-warding","Rune of Warding")</f>
        <v>Rune of Warding</v>
      </c>
      <c r="BT640" s="1">
        <v>649</v>
      </c>
      <c r="BU640" s="1">
        <v>200</v>
      </c>
      <c r="BV640" s="1"/>
      <c r="BW640" s="1"/>
      <c r="BX640" s="1"/>
      <c r="BY640" s="1"/>
      <c r="BZ640" s="1">
        <v>0</v>
      </c>
      <c r="CA640" s="1" t="s">
        <v>109</v>
      </c>
      <c r="CB640" s="1" t="s">
        <v>109</v>
      </c>
      <c r="CC640" s="1" t="s">
        <v>109</v>
      </c>
      <c r="CD640" s="1" t="s">
        <v>109</v>
      </c>
      <c r="CE640" s="1" t="s">
        <v>109</v>
      </c>
      <c r="CF640" s="1" t="s">
        <v>109</v>
      </c>
      <c r="CG640" s="1" t="s">
        <v>109</v>
      </c>
      <c r="CH640" s="1" t="s">
        <v>109</v>
      </c>
      <c r="CI640" s="1" t="s">
        <v>109</v>
      </c>
      <c r="CJ640" s="1" t="s">
        <v>109</v>
      </c>
      <c r="CK640" s="1"/>
      <c r="CL640" s="1">
        <v>0</v>
      </c>
      <c r="CM640" s="1">
        <v>0</v>
      </c>
      <c r="CN640" s="1">
        <v>0</v>
      </c>
    </row>
    <row r="641" spans="1:92" ht="14.25" customHeight="1" x14ac:dyDescent="0.15">
      <c r="A641" s="1" t="s">
        <v>5669</v>
      </c>
      <c r="B641" s="1" t="s">
        <v>189</v>
      </c>
      <c r="C641" s="1"/>
      <c r="D641" s="1"/>
      <c r="E641" s="1" t="s">
        <v>5670</v>
      </c>
      <c r="F641" s="1" t="s">
        <v>1963</v>
      </c>
      <c r="G641" s="1" t="s">
        <v>333</v>
      </c>
      <c r="H641" s="1">
        <v>0</v>
      </c>
      <c r="I641" s="1" t="s">
        <v>142</v>
      </c>
      <c r="J641" s="1"/>
      <c r="K641" s="1"/>
      <c r="L641" s="1" t="s">
        <v>1391</v>
      </c>
      <c r="M641" s="1" t="s">
        <v>144</v>
      </c>
      <c r="N641" s="1">
        <v>0</v>
      </c>
      <c r="O641" s="1">
        <v>0</v>
      </c>
      <c r="P641" s="1" t="s">
        <v>507</v>
      </c>
      <c r="Q641" s="1" t="s">
        <v>167</v>
      </c>
      <c r="R641" s="1" t="s">
        <v>5671</v>
      </c>
      <c r="S641" s="1" t="s">
        <v>5672</v>
      </c>
      <c r="T641" s="1" t="s">
        <v>5673</v>
      </c>
      <c r="U641" s="1" t="s">
        <v>5674</v>
      </c>
      <c r="V641" s="1">
        <v>1</v>
      </c>
      <c r="W641" s="1">
        <v>0</v>
      </c>
      <c r="X641" s="1">
        <v>0</v>
      </c>
      <c r="Y641" s="1">
        <v>0</v>
      </c>
      <c r="Z641" s="1">
        <v>0</v>
      </c>
      <c r="AA641" s="1">
        <v>1</v>
      </c>
      <c r="AB641" s="1">
        <v>1</v>
      </c>
      <c r="AC641" s="1">
        <v>1</v>
      </c>
      <c r="AD641" s="1">
        <v>1</v>
      </c>
      <c r="AE641" s="1">
        <v>1</v>
      </c>
      <c r="AF641" s="1">
        <v>1</v>
      </c>
      <c r="AG641" s="1">
        <v>1</v>
      </c>
      <c r="AH641" s="1" t="s">
        <v>109</v>
      </c>
      <c r="AI641" s="1" t="s">
        <v>109</v>
      </c>
      <c r="AJ641" s="1" t="s">
        <v>109</v>
      </c>
      <c r="AK641" s="1" t="s">
        <v>109</v>
      </c>
      <c r="AL641" s="1">
        <v>1</v>
      </c>
      <c r="AM641" s="1" t="s">
        <v>109</v>
      </c>
      <c r="AN641" s="1" t="s">
        <v>109</v>
      </c>
      <c r="AO641" s="1" t="s">
        <v>109</v>
      </c>
      <c r="AP641" s="1"/>
      <c r="AQ641" s="1">
        <v>1</v>
      </c>
      <c r="AR641" s="1"/>
      <c r="AS641" s="1"/>
      <c r="AT641" s="1">
        <v>0</v>
      </c>
      <c r="AU641" s="1">
        <v>0</v>
      </c>
      <c r="AV641" s="1">
        <v>0</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5" t="str">
        <f>HYPERLINK("http://www.d20pfsrd.com/magic/all-spells/l/l/liberating-command","Liberating Comand")</f>
        <v>Liberating Comand</v>
      </c>
      <c r="BT641" s="1">
        <v>651</v>
      </c>
      <c r="BU641" s="1" t="s">
        <v>109</v>
      </c>
      <c r="BV641" s="1"/>
      <c r="BW641" s="1"/>
      <c r="BX641" s="1"/>
      <c r="BY641" s="1"/>
      <c r="BZ641" s="1">
        <v>0</v>
      </c>
      <c r="CA641" s="1" t="s">
        <v>109</v>
      </c>
      <c r="CB641" s="1" t="s">
        <v>109</v>
      </c>
      <c r="CC641" s="1" t="s">
        <v>109</v>
      </c>
      <c r="CD641" s="1" t="s">
        <v>109</v>
      </c>
      <c r="CE641" s="1" t="s">
        <v>109</v>
      </c>
      <c r="CF641" s="1" t="s">
        <v>109</v>
      </c>
      <c r="CG641" s="1" t="s">
        <v>109</v>
      </c>
      <c r="CH641" s="1" t="s">
        <v>109</v>
      </c>
      <c r="CI641" s="1" t="s">
        <v>109</v>
      </c>
      <c r="CJ641" s="1">
        <v>1</v>
      </c>
      <c r="CK641" s="1"/>
      <c r="CL641" s="1">
        <v>0</v>
      </c>
      <c r="CM641" s="1">
        <v>0</v>
      </c>
      <c r="CN641" s="1">
        <v>0</v>
      </c>
    </row>
    <row r="642" spans="1:92" ht="14.25" customHeight="1" x14ac:dyDescent="0.15">
      <c r="A642" s="1" t="s">
        <v>5675</v>
      </c>
      <c r="B642" s="1" t="s">
        <v>242</v>
      </c>
      <c r="C642" s="1"/>
      <c r="D642" s="1"/>
      <c r="E642" s="1" t="s">
        <v>5676</v>
      </c>
      <c r="F642" s="1" t="s">
        <v>98</v>
      </c>
      <c r="G642" s="1" t="s">
        <v>141</v>
      </c>
      <c r="H642" s="1">
        <v>0</v>
      </c>
      <c r="I642" s="1" t="s">
        <v>142</v>
      </c>
      <c r="J642" s="1"/>
      <c r="K642" s="1"/>
      <c r="L642" s="1" t="s">
        <v>5677</v>
      </c>
      <c r="M642" s="1" t="s">
        <v>1123</v>
      </c>
      <c r="N642" s="1">
        <v>0</v>
      </c>
      <c r="O642" s="1">
        <v>0</v>
      </c>
      <c r="P642" s="1" t="s">
        <v>507</v>
      </c>
      <c r="Q642" s="1" t="s">
        <v>167</v>
      </c>
      <c r="R642" s="1" t="s">
        <v>5678</v>
      </c>
      <c r="S642" s="1" t="s">
        <v>5679</v>
      </c>
      <c r="T642" s="1" t="s">
        <v>5673</v>
      </c>
      <c r="U642" s="1" t="s">
        <v>5680</v>
      </c>
      <c r="V642" s="1">
        <v>1</v>
      </c>
      <c r="W642" s="1">
        <v>1</v>
      </c>
      <c r="X642" s="1">
        <v>0</v>
      </c>
      <c r="Y642" s="1">
        <v>0</v>
      </c>
      <c r="Z642" s="1">
        <v>0</v>
      </c>
      <c r="AA642" s="1">
        <v>2</v>
      </c>
      <c r="AB642" s="1">
        <v>2</v>
      </c>
      <c r="AC642" s="1">
        <v>2</v>
      </c>
      <c r="AD642" s="1" t="s">
        <v>109</v>
      </c>
      <c r="AE642" s="1" t="s">
        <v>109</v>
      </c>
      <c r="AF642" s="1">
        <v>2</v>
      </c>
      <c r="AG642" s="1">
        <v>2</v>
      </c>
      <c r="AH642" s="1" t="s">
        <v>109</v>
      </c>
      <c r="AI642" s="1" t="s">
        <v>109</v>
      </c>
      <c r="AJ642" s="1" t="s">
        <v>109</v>
      </c>
      <c r="AK642" s="1" t="s">
        <v>109</v>
      </c>
      <c r="AL642" s="1">
        <v>2</v>
      </c>
      <c r="AM642" s="1" t="s">
        <v>109</v>
      </c>
      <c r="AN642" s="1" t="s">
        <v>109</v>
      </c>
      <c r="AO642" s="1" t="s">
        <v>109</v>
      </c>
      <c r="AP642" s="1"/>
      <c r="AQ642" s="1">
        <v>2</v>
      </c>
      <c r="AR642" s="1"/>
      <c r="AS642" s="1"/>
      <c r="AT642" s="1">
        <v>0</v>
      </c>
      <c r="AU642" s="1">
        <v>0</v>
      </c>
      <c r="AV642" s="1">
        <v>0</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5" t="str">
        <f>HYPERLINK("http://www.d20pfsrd.com/magic/all-spells/s/s/suppres-charms-and-compulsions","Suppress Charms and Compulsions")</f>
        <v>Suppress Charms and Compulsions</v>
      </c>
      <c r="BT642" s="1">
        <v>652</v>
      </c>
      <c r="BU642" s="1" t="s">
        <v>109</v>
      </c>
      <c r="BV642" s="1"/>
      <c r="BW642" s="1"/>
      <c r="BX642" s="1"/>
      <c r="BY642" s="1"/>
      <c r="BZ642" s="1">
        <v>0</v>
      </c>
      <c r="CA642" s="1" t="s">
        <v>109</v>
      </c>
      <c r="CB642" s="1" t="s">
        <v>109</v>
      </c>
      <c r="CC642" s="1" t="s">
        <v>109</v>
      </c>
      <c r="CD642" s="1" t="s">
        <v>109</v>
      </c>
      <c r="CE642" s="1" t="s">
        <v>109</v>
      </c>
      <c r="CF642" s="1" t="s">
        <v>109</v>
      </c>
      <c r="CG642" s="1" t="s">
        <v>109</v>
      </c>
      <c r="CH642" s="1" t="s">
        <v>109</v>
      </c>
      <c r="CI642" s="1" t="s">
        <v>109</v>
      </c>
      <c r="CJ642" s="1" t="s">
        <v>109</v>
      </c>
      <c r="CK642" s="1"/>
      <c r="CL642" s="1">
        <v>0</v>
      </c>
      <c r="CM642" s="1">
        <v>0</v>
      </c>
      <c r="CN642" s="1">
        <v>0</v>
      </c>
    </row>
    <row r="643" spans="1:92" ht="14.25" customHeight="1" x14ac:dyDescent="0.15">
      <c r="A643" s="1" t="s">
        <v>5681</v>
      </c>
      <c r="B643" s="1" t="s">
        <v>95</v>
      </c>
      <c r="C643" s="1" t="s">
        <v>96</v>
      </c>
      <c r="D643" s="1" t="s">
        <v>57</v>
      </c>
      <c r="E643" s="1" t="s">
        <v>5511</v>
      </c>
      <c r="F643" s="1" t="s">
        <v>395</v>
      </c>
      <c r="G643" s="1" t="s">
        <v>5682</v>
      </c>
      <c r="H643" s="1">
        <v>0</v>
      </c>
      <c r="I643" s="1" t="s">
        <v>161</v>
      </c>
      <c r="J643" s="1"/>
      <c r="K643" s="1" t="s">
        <v>5683</v>
      </c>
      <c r="L643" s="1"/>
      <c r="M643" s="1" t="s">
        <v>5684</v>
      </c>
      <c r="N643" s="1">
        <v>0</v>
      </c>
      <c r="O643" s="1">
        <v>0</v>
      </c>
      <c r="P643" s="1" t="s">
        <v>103</v>
      </c>
      <c r="Q643" s="1" t="s">
        <v>104</v>
      </c>
      <c r="R643" s="1" t="s">
        <v>5685</v>
      </c>
      <c r="S643" s="1" t="s">
        <v>5686</v>
      </c>
      <c r="T643" s="1" t="s">
        <v>5687</v>
      </c>
      <c r="U643" s="1" t="s">
        <v>5688</v>
      </c>
      <c r="V643" s="1">
        <v>1</v>
      </c>
      <c r="W643" s="1">
        <v>1</v>
      </c>
      <c r="X643" s="1">
        <v>1</v>
      </c>
      <c r="Y643" s="1">
        <v>0</v>
      </c>
      <c r="Z643" s="1">
        <v>0</v>
      </c>
      <c r="AA643" s="1">
        <v>6</v>
      </c>
      <c r="AB643" s="1">
        <v>6</v>
      </c>
      <c r="AC643" s="1">
        <v>6</v>
      </c>
      <c r="AD643" s="1" t="s">
        <v>109</v>
      </c>
      <c r="AE643" s="1" t="s">
        <v>109</v>
      </c>
      <c r="AF643" s="1" t="s">
        <v>109</v>
      </c>
      <c r="AG643" s="1" t="s">
        <v>109</v>
      </c>
      <c r="AH643" s="1" t="s">
        <v>109</v>
      </c>
      <c r="AI643" s="1" t="s">
        <v>109</v>
      </c>
      <c r="AJ643" s="1" t="s">
        <v>109</v>
      </c>
      <c r="AK643" s="1" t="s">
        <v>109</v>
      </c>
      <c r="AL643" s="1">
        <v>6</v>
      </c>
      <c r="AM643" s="1" t="s">
        <v>109</v>
      </c>
      <c r="AN643" s="1" t="s">
        <v>109</v>
      </c>
      <c r="AO643" s="1" t="s">
        <v>109</v>
      </c>
      <c r="AP643" s="1"/>
      <c r="AQ643" s="1">
        <v>6</v>
      </c>
      <c r="AR643" s="1"/>
      <c r="AS643" s="1"/>
      <c r="AT643" s="1">
        <v>0</v>
      </c>
      <c r="AU643" s="1">
        <v>0</v>
      </c>
      <c r="AV643" s="1">
        <v>0</v>
      </c>
      <c r="AW643" s="1">
        <v>0</v>
      </c>
      <c r="AX643" s="1">
        <v>0</v>
      </c>
      <c r="AY643" s="1">
        <v>0</v>
      </c>
      <c r="AZ643" s="1">
        <v>0</v>
      </c>
      <c r="BA643" s="1">
        <v>0</v>
      </c>
      <c r="BB643" s="1">
        <v>0</v>
      </c>
      <c r="BC643" s="1">
        <v>0</v>
      </c>
      <c r="BD643" s="1">
        <v>0</v>
      </c>
      <c r="BE643" s="1">
        <v>1</v>
      </c>
      <c r="BF643" s="1">
        <v>0</v>
      </c>
      <c r="BG643" s="1">
        <v>0</v>
      </c>
      <c r="BH643" s="1">
        <v>0</v>
      </c>
      <c r="BI643" s="1">
        <v>0</v>
      </c>
      <c r="BJ643" s="1">
        <v>0</v>
      </c>
      <c r="BK643" s="1">
        <v>0</v>
      </c>
      <c r="BL643" s="1">
        <v>0</v>
      </c>
      <c r="BM643" s="1">
        <v>0</v>
      </c>
      <c r="BN643" s="1">
        <v>0</v>
      </c>
      <c r="BO643" s="1">
        <v>0</v>
      </c>
      <c r="BP643" s="1">
        <v>0</v>
      </c>
      <c r="BQ643" s="1">
        <v>0</v>
      </c>
      <c r="BR643" s="1">
        <v>0</v>
      </c>
      <c r="BS643" s="5" t="str">
        <f>HYPERLINK("http://www.d20pfsrd.com/magic/all-spells/g/g/genius-avaricious","Genius Avaricious")</f>
        <v>Genius Avaricious</v>
      </c>
      <c r="BT643" s="1">
        <v>654</v>
      </c>
      <c r="BU643" s="1" t="s">
        <v>109</v>
      </c>
      <c r="BV643" s="1"/>
      <c r="BW643" s="1"/>
      <c r="BX643" s="1"/>
      <c r="BY643" s="1"/>
      <c r="BZ643" s="1">
        <v>0</v>
      </c>
      <c r="CA643" s="1" t="s">
        <v>109</v>
      </c>
      <c r="CB643" s="1" t="s">
        <v>109</v>
      </c>
      <c r="CC643" s="1" t="s">
        <v>109</v>
      </c>
      <c r="CD643" s="1" t="s">
        <v>109</v>
      </c>
      <c r="CE643" s="1" t="s">
        <v>109</v>
      </c>
      <c r="CF643" s="1" t="s">
        <v>109</v>
      </c>
      <c r="CG643" s="1" t="s">
        <v>109</v>
      </c>
      <c r="CH643" s="1" t="s">
        <v>109</v>
      </c>
      <c r="CI643" s="1" t="s">
        <v>109</v>
      </c>
      <c r="CJ643" s="1" t="s">
        <v>109</v>
      </c>
      <c r="CK643" s="1"/>
      <c r="CL643" s="1">
        <v>0</v>
      </c>
      <c r="CM643" s="1">
        <v>0</v>
      </c>
      <c r="CN643" s="1">
        <v>0</v>
      </c>
    </row>
    <row r="644" spans="1:92" ht="14.25" customHeight="1" x14ac:dyDescent="0.15">
      <c r="A644" s="1" t="s">
        <v>5689</v>
      </c>
      <c r="B644" s="1" t="s">
        <v>242</v>
      </c>
      <c r="C644" s="1"/>
      <c r="D644" s="1"/>
      <c r="E644" s="1" t="s">
        <v>5690</v>
      </c>
      <c r="F644" s="1" t="s">
        <v>98</v>
      </c>
      <c r="G644" s="1" t="s">
        <v>160</v>
      </c>
      <c r="H644" s="1">
        <v>0</v>
      </c>
      <c r="I644" s="1" t="s">
        <v>161</v>
      </c>
      <c r="J644" s="1"/>
      <c r="K644" s="1"/>
      <c r="L644" s="1" t="s">
        <v>506</v>
      </c>
      <c r="M644" s="1" t="s">
        <v>4715</v>
      </c>
      <c r="N644" s="1">
        <v>0</v>
      </c>
      <c r="O644" s="1">
        <v>0</v>
      </c>
      <c r="P644" s="1" t="s">
        <v>1382</v>
      </c>
      <c r="Q644" s="1" t="s">
        <v>167</v>
      </c>
      <c r="R644" s="1" t="s">
        <v>5691</v>
      </c>
      <c r="S644" s="1" t="s">
        <v>5692</v>
      </c>
      <c r="T644" s="1" t="s">
        <v>107</v>
      </c>
      <c r="U644" s="1" t="s">
        <v>5693</v>
      </c>
      <c r="V644" s="1">
        <v>1</v>
      </c>
      <c r="W644" s="1">
        <v>1</v>
      </c>
      <c r="X644" s="1">
        <v>0</v>
      </c>
      <c r="Y644" s="1">
        <v>0</v>
      </c>
      <c r="Z644" s="1">
        <v>1</v>
      </c>
      <c r="AA644" s="1">
        <v>3</v>
      </c>
      <c r="AB644" s="1">
        <v>3</v>
      </c>
      <c r="AC644" s="1">
        <v>3</v>
      </c>
      <c r="AD644" s="1">
        <v>3</v>
      </c>
      <c r="AE644" s="1">
        <v>2</v>
      </c>
      <c r="AF644" s="1" t="s">
        <v>109</v>
      </c>
      <c r="AG644" s="1" t="s">
        <v>109</v>
      </c>
      <c r="AH644" s="1">
        <v>3</v>
      </c>
      <c r="AI644" s="1">
        <v>3</v>
      </c>
      <c r="AJ644" s="1" t="s">
        <v>109</v>
      </c>
      <c r="AK644" s="1">
        <v>3</v>
      </c>
      <c r="AL644" s="1">
        <v>3</v>
      </c>
      <c r="AM644" s="1" t="s">
        <v>109</v>
      </c>
      <c r="AN644" s="1" t="s">
        <v>109</v>
      </c>
      <c r="AO644" s="1" t="s">
        <v>109</v>
      </c>
      <c r="AP644" s="1"/>
      <c r="AQ644" s="1">
        <v>3</v>
      </c>
      <c r="AR644" s="1" t="s">
        <v>5694</v>
      </c>
      <c r="AS644" s="1" t="s">
        <v>5695</v>
      </c>
      <c r="AT644" s="1">
        <v>0</v>
      </c>
      <c r="AU644" s="1">
        <v>0</v>
      </c>
      <c r="AV644" s="1">
        <v>0</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5" t="str">
        <f>HYPERLINK("http://www.d20pfsrd.com/magic/all-spells/p/protection-from-energy","Protection from Energy")</f>
        <v>Protection from Energy</v>
      </c>
      <c r="BT644" s="1">
        <v>655</v>
      </c>
      <c r="BU644" s="1" t="s">
        <v>109</v>
      </c>
      <c r="BV644" s="1" t="s">
        <v>5696</v>
      </c>
      <c r="BW644" s="1" t="s">
        <v>5697</v>
      </c>
      <c r="BX644" s="1"/>
      <c r="BY644" s="1"/>
      <c r="BZ644" s="1">
        <v>0</v>
      </c>
      <c r="CA644" s="1">
        <v>3</v>
      </c>
      <c r="CB644" s="1">
        <v>3</v>
      </c>
      <c r="CC644" s="1">
        <v>3</v>
      </c>
      <c r="CD644" s="1" t="s">
        <v>109</v>
      </c>
      <c r="CE644" s="1" t="s">
        <v>109</v>
      </c>
      <c r="CF644" s="1">
        <v>3</v>
      </c>
      <c r="CG644" s="1">
        <v>3</v>
      </c>
      <c r="CH644" s="1" t="s">
        <v>109</v>
      </c>
      <c r="CI644" s="1" t="s">
        <v>109</v>
      </c>
      <c r="CJ644" s="1">
        <v>2</v>
      </c>
      <c r="CK644" s="1"/>
      <c r="CL644" s="1">
        <v>0</v>
      </c>
      <c r="CM644" s="1">
        <v>0</v>
      </c>
      <c r="CN644" s="1">
        <v>0</v>
      </c>
    </row>
    <row r="645" spans="1:92" ht="14.25" customHeight="1" x14ac:dyDescent="0.15">
      <c r="A645" s="1" t="s">
        <v>5698</v>
      </c>
      <c r="B645" s="1" t="s">
        <v>95</v>
      </c>
      <c r="C645" s="1" t="s">
        <v>3570</v>
      </c>
      <c r="D645" s="1"/>
      <c r="E645" s="1" t="s">
        <v>5699</v>
      </c>
      <c r="F645" s="1" t="s">
        <v>5503</v>
      </c>
      <c r="G645" s="1" t="s">
        <v>141</v>
      </c>
      <c r="H645" s="1">
        <v>0</v>
      </c>
      <c r="I645" s="1" t="s">
        <v>100</v>
      </c>
      <c r="J645" s="1"/>
      <c r="K645" s="1"/>
      <c r="L645" s="1" t="s">
        <v>5700</v>
      </c>
      <c r="M645" s="1" t="s">
        <v>1906</v>
      </c>
      <c r="N645" s="1">
        <v>0</v>
      </c>
      <c r="O645" s="1">
        <v>0</v>
      </c>
      <c r="P645" s="1" t="s">
        <v>103</v>
      </c>
      <c r="Q645" s="1" t="s">
        <v>104</v>
      </c>
      <c r="R645" s="1" t="s">
        <v>5701</v>
      </c>
      <c r="S645" s="1" t="s">
        <v>5702</v>
      </c>
      <c r="T645" s="1" t="s">
        <v>5703</v>
      </c>
      <c r="U645" s="1" t="s">
        <v>5704</v>
      </c>
      <c r="V645" s="1">
        <v>1</v>
      </c>
      <c r="W645" s="1">
        <v>1</v>
      </c>
      <c r="X645" s="1">
        <v>0</v>
      </c>
      <c r="Y645" s="1">
        <v>0</v>
      </c>
      <c r="Z645" s="1">
        <v>0</v>
      </c>
      <c r="AA645" s="1">
        <v>2</v>
      </c>
      <c r="AB645" s="1">
        <v>2</v>
      </c>
      <c r="AC645" s="1" t="s">
        <v>109</v>
      </c>
      <c r="AD645" s="1" t="s">
        <v>109</v>
      </c>
      <c r="AE645" s="1" t="s">
        <v>109</v>
      </c>
      <c r="AF645" s="1">
        <v>2</v>
      </c>
      <c r="AG645" s="1" t="s">
        <v>109</v>
      </c>
      <c r="AH645" s="1" t="s">
        <v>109</v>
      </c>
      <c r="AI645" s="1" t="s">
        <v>109</v>
      </c>
      <c r="AJ645" s="1" t="s">
        <v>109</v>
      </c>
      <c r="AK645" s="1" t="s">
        <v>109</v>
      </c>
      <c r="AL645" s="1" t="s">
        <v>109</v>
      </c>
      <c r="AM645" s="1" t="s">
        <v>109</v>
      </c>
      <c r="AN645" s="1" t="s">
        <v>109</v>
      </c>
      <c r="AO645" s="1" t="s">
        <v>109</v>
      </c>
      <c r="AP645" s="1"/>
      <c r="AQ645" s="1">
        <v>2</v>
      </c>
      <c r="AR645" s="1"/>
      <c r="AS645" s="1"/>
      <c r="AT645" s="1">
        <v>0</v>
      </c>
      <c r="AU645" s="1">
        <v>0</v>
      </c>
      <c r="AV645" s="1">
        <v>0</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t="s">
        <v>109</v>
      </c>
      <c r="BT645" s="1">
        <v>657</v>
      </c>
      <c r="BU645" s="1" t="s">
        <v>109</v>
      </c>
      <c r="BV645" s="1"/>
      <c r="BW645" s="1"/>
      <c r="BX645" s="1"/>
      <c r="BY645" s="1"/>
      <c r="BZ645" s="1">
        <v>0</v>
      </c>
      <c r="CA645" s="1" t="s">
        <v>109</v>
      </c>
      <c r="CB645" s="1" t="s">
        <v>109</v>
      </c>
      <c r="CC645" s="1" t="s">
        <v>109</v>
      </c>
      <c r="CD645" s="1" t="s">
        <v>109</v>
      </c>
      <c r="CE645" s="1" t="s">
        <v>109</v>
      </c>
      <c r="CF645" s="1" t="s">
        <v>109</v>
      </c>
      <c r="CG645" s="1" t="s">
        <v>109</v>
      </c>
      <c r="CH645" s="1" t="s">
        <v>109</v>
      </c>
      <c r="CI645" s="1" t="s">
        <v>109</v>
      </c>
      <c r="CJ645" s="1" t="s">
        <v>109</v>
      </c>
      <c r="CK645" s="1"/>
      <c r="CL645" s="1">
        <v>0</v>
      </c>
      <c r="CM645" s="1">
        <v>0</v>
      </c>
      <c r="CN645" s="1">
        <v>0</v>
      </c>
    </row>
    <row r="646" spans="1:92" ht="14.25" customHeight="1" x14ac:dyDescent="0.15">
      <c r="A646" s="1" t="s">
        <v>5705</v>
      </c>
      <c r="B646" s="1" t="s">
        <v>254</v>
      </c>
      <c r="C646" s="1" t="s">
        <v>393</v>
      </c>
      <c r="D646" s="1"/>
      <c r="E646" s="1" t="s">
        <v>5536</v>
      </c>
      <c r="F646" s="1" t="s">
        <v>377</v>
      </c>
      <c r="G646" s="1" t="s">
        <v>5706</v>
      </c>
      <c r="H646" s="1">
        <v>1</v>
      </c>
      <c r="I646" s="1" t="s">
        <v>211</v>
      </c>
      <c r="J646" s="1"/>
      <c r="K646" s="1"/>
      <c r="L646" s="1"/>
      <c r="M646" s="1" t="s">
        <v>3042</v>
      </c>
      <c r="N646" s="1">
        <v>0</v>
      </c>
      <c r="O646" s="1">
        <v>0</v>
      </c>
      <c r="P646" s="1" t="s">
        <v>103</v>
      </c>
      <c r="Q646" s="1" t="s">
        <v>104</v>
      </c>
      <c r="R646" s="1" t="s">
        <v>5707</v>
      </c>
      <c r="S646" s="1" t="s">
        <v>5708</v>
      </c>
      <c r="T646" s="1" t="s">
        <v>5703</v>
      </c>
      <c r="U646" s="1" t="s">
        <v>5709</v>
      </c>
      <c r="V646" s="1">
        <v>1</v>
      </c>
      <c r="W646" s="1">
        <v>1</v>
      </c>
      <c r="X646" s="1">
        <v>0</v>
      </c>
      <c r="Y646" s="1">
        <v>0</v>
      </c>
      <c r="Z646" s="1">
        <v>0</v>
      </c>
      <c r="AA646" s="1">
        <v>3</v>
      </c>
      <c r="AB646" s="1">
        <v>3</v>
      </c>
      <c r="AC646" s="1" t="s">
        <v>109</v>
      </c>
      <c r="AD646" s="1" t="s">
        <v>109</v>
      </c>
      <c r="AE646" s="1" t="s">
        <v>109</v>
      </c>
      <c r="AF646" s="1" t="s">
        <v>109</v>
      </c>
      <c r="AG646" s="1" t="s">
        <v>109</v>
      </c>
      <c r="AH646" s="1" t="s">
        <v>109</v>
      </c>
      <c r="AI646" s="1" t="s">
        <v>109</v>
      </c>
      <c r="AJ646" s="1" t="s">
        <v>109</v>
      </c>
      <c r="AK646" s="1" t="s">
        <v>109</v>
      </c>
      <c r="AL646" s="1" t="s">
        <v>109</v>
      </c>
      <c r="AM646" s="1" t="s">
        <v>109</v>
      </c>
      <c r="AN646" s="1" t="s">
        <v>109</v>
      </c>
      <c r="AO646" s="1" t="s">
        <v>109</v>
      </c>
      <c r="AP646" s="1"/>
      <c r="AQ646" s="1">
        <v>3</v>
      </c>
      <c r="AR646" s="1"/>
      <c r="AS646" s="1"/>
      <c r="AT646" s="1">
        <v>0</v>
      </c>
      <c r="AU646" s="1">
        <v>0</v>
      </c>
      <c r="AV646" s="1">
        <v>0</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t="s">
        <v>109</v>
      </c>
      <c r="BT646" s="1">
        <v>658</v>
      </c>
      <c r="BU646" s="1">
        <v>50</v>
      </c>
      <c r="BV646" s="1"/>
      <c r="BW646" s="1"/>
      <c r="BX646" s="1"/>
      <c r="BY646" s="1"/>
      <c r="BZ646" s="1">
        <v>0</v>
      </c>
      <c r="CA646" s="1" t="s">
        <v>109</v>
      </c>
      <c r="CB646" s="1" t="s">
        <v>109</v>
      </c>
      <c r="CC646" s="1" t="s">
        <v>109</v>
      </c>
      <c r="CD646" s="1" t="s">
        <v>109</v>
      </c>
      <c r="CE646" s="1" t="s">
        <v>109</v>
      </c>
      <c r="CF646" s="1" t="s">
        <v>109</v>
      </c>
      <c r="CG646" s="1" t="s">
        <v>109</v>
      </c>
      <c r="CH646" s="1" t="s">
        <v>109</v>
      </c>
      <c r="CI646" s="1" t="s">
        <v>109</v>
      </c>
      <c r="CJ646" s="1" t="s">
        <v>109</v>
      </c>
      <c r="CK646" s="1"/>
      <c r="CL646" s="1">
        <v>0</v>
      </c>
      <c r="CM646" s="1">
        <v>0</v>
      </c>
      <c r="CN646" s="1">
        <v>0</v>
      </c>
    </row>
    <row r="647" spans="1:92" ht="14.25" customHeight="1" x14ac:dyDescent="0.15">
      <c r="A647" s="1" t="s">
        <v>5710</v>
      </c>
      <c r="B647" s="1" t="s">
        <v>674</v>
      </c>
      <c r="C647" s="1" t="s">
        <v>1715</v>
      </c>
      <c r="D647" s="1" t="s">
        <v>158</v>
      </c>
      <c r="E647" s="1" t="s">
        <v>5536</v>
      </c>
      <c r="F647" s="1" t="s">
        <v>98</v>
      </c>
      <c r="G647" s="1" t="s">
        <v>141</v>
      </c>
      <c r="H647" s="1">
        <v>0</v>
      </c>
      <c r="I647" s="1" t="s">
        <v>161</v>
      </c>
      <c r="J647" s="1"/>
      <c r="K647" s="1"/>
      <c r="L647" s="1" t="s">
        <v>639</v>
      </c>
      <c r="M647" s="1" t="s">
        <v>5711</v>
      </c>
      <c r="N647" s="1">
        <v>0</v>
      </c>
      <c r="O647" s="1">
        <v>0</v>
      </c>
      <c r="P647" s="1" t="s">
        <v>5712</v>
      </c>
      <c r="Q647" s="1" t="s">
        <v>268</v>
      </c>
      <c r="R647" s="1" t="s">
        <v>5713</v>
      </c>
      <c r="S647" s="1" t="s">
        <v>5714</v>
      </c>
      <c r="T647" s="1" t="s">
        <v>5715</v>
      </c>
      <c r="U647" s="1" t="s">
        <v>5716</v>
      </c>
      <c r="V647" s="1">
        <v>1</v>
      </c>
      <c r="W647" s="1">
        <v>1</v>
      </c>
      <c r="X647" s="1">
        <v>0</v>
      </c>
      <c r="Y647" s="1">
        <v>0</v>
      </c>
      <c r="Z647" s="1">
        <v>0</v>
      </c>
      <c r="AA647" s="1">
        <v>3</v>
      </c>
      <c r="AB647" s="1">
        <v>3</v>
      </c>
      <c r="AC647" s="1" t="s">
        <v>109</v>
      </c>
      <c r="AD647" s="1" t="s">
        <v>109</v>
      </c>
      <c r="AE647" s="1" t="s">
        <v>109</v>
      </c>
      <c r="AF647" s="1" t="s">
        <v>109</v>
      </c>
      <c r="AG647" s="1" t="s">
        <v>109</v>
      </c>
      <c r="AH647" s="1" t="s">
        <v>109</v>
      </c>
      <c r="AI647" s="1" t="s">
        <v>109</v>
      </c>
      <c r="AJ647" s="1" t="s">
        <v>109</v>
      </c>
      <c r="AK647" s="1" t="s">
        <v>109</v>
      </c>
      <c r="AL647" s="1" t="s">
        <v>109</v>
      </c>
      <c r="AM647" s="1" t="s">
        <v>109</v>
      </c>
      <c r="AN647" s="1" t="s">
        <v>109</v>
      </c>
      <c r="AO647" s="1" t="s">
        <v>109</v>
      </c>
      <c r="AP647" s="1"/>
      <c r="AQ647" s="1">
        <v>3</v>
      </c>
      <c r="AR647" s="1"/>
      <c r="AS647" s="1"/>
      <c r="AT647" s="1">
        <v>0</v>
      </c>
      <c r="AU647" s="1">
        <v>0</v>
      </c>
      <c r="AV647" s="1">
        <v>0</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1</v>
      </c>
      <c r="BN647" s="1">
        <v>0</v>
      </c>
      <c r="BO647" s="1">
        <v>0</v>
      </c>
      <c r="BP647" s="1">
        <v>0</v>
      </c>
      <c r="BQ647" s="1">
        <v>0</v>
      </c>
      <c r="BR647" s="1">
        <v>0</v>
      </c>
      <c r="BS647" s="5" t="str">
        <f>HYPERLINK("http://www.d20pfsrd.com/magic/all-spells/i/i/illusory-poison","Illusory Poison")</f>
        <v>Illusory Poison</v>
      </c>
      <c r="BT647" s="1">
        <v>659</v>
      </c>
      <c r="BU647" s="1" t="s">
        <v>109</v>
      </c>
      <c r="BV647" s="1"/>
      <c r="BW647" s="1"/>
      <c r="BX647" s="1"/>
      <c r="BY647" s="1"/>
      <c r="BZ647" s="1">
        <v>0</v>
      </c>
      <c r="CA647" s="1" t="s">
        <v>109</v>
      </c>
      <c r="CB647" s="1" t="s">
        <v>109</v>
      </c>
      <c r="CC647" s="1" t="s">
        <v>109</v>
      </c>
      <c r="CD647" s="1" t="s">
        <v>109</v>
      </c>
      <c r="CE647" s="1" t="s">
        <v>109</v>
      </c>
      <c r="CF647" s="1" t="s">
        <v>109</v>
      </c>
      <c r="CG647" s="1" t="s">
        <v>109</v>
      </c>
      <c r="CH647" s="1" t="s">
        <v>109</v>
      </c>
      <c r="CI647" s="1" t="s">
        <v>109</v>
      </c>
      <c r="CJ647" s="1" t="s">
        <v>109</v>
      </c>
      <c r="CK647" s="1"/>
      <c r="CL647" s="1">
        <v>0</v>
      </c>
      <c r="CM647" s="1">
        <v>0</v>
      </c>
      <c r="CN647" s="1">
        <v>0</v>
      </c>
    </row>
    <row r="648" spans="1:92" ht="14.25" customHeight="1" x14ac:dyDescent="0.15">
      <c r="A648" s="1" t="s">
        <v>5717</v>
      </c>
      <c r="B648" s="1" t="s">
        <v>189</v>
      </c>
      <c r="C648" s="1"/>
      <c r="D648" s="1"/>
      <c r="E648" s="1" t="s">
        <v>5536</v>
      </c>
      <c r="F648" s="1" t="s">
        <v>355</v>
      </c>
      <c r="G648" s="1" t="s">
        <v>141</v>
      </c>
      <c r="H648" s="1">
        <v>0</v>
      </c>
      <c r="I648" s="1" t="s">
        <v>235</v>
      </c>
      <c r="J648" s="1"/>
      <c r="K648" s="1"/>
      <c r="L648" s="1" t="s">
        <v>236</v>
      </c>
      <c r="M648" s="1" t="s">
        <v>5718</v>
      </c>
      <c r="N648" s="1">
        <v>0</v>
      </c>
      <c r="O648" s="1">
        <v>0</v>
      </c>
      <c r="P648" s="1"/>
      <c r="Q648" s="1"/>
      <c r="R648" s="1" t="s">
        <v>5719</v>
      </c>
      <c r="S648" s="1" t="s">
        <v>5720</v>
      </c>
      <c r="T648" s="1" t="s">
        <v>5721</v>
      </c>
      <c r="U648" s="1" t="s">
        <v>5722</v>
      </c>
      <c r="V648" s="1">
        <v>1</v>
      </c>
      <c r="W648" s="1">
        <v>1</v>
      </c>
      <c r="X648" s="1">
        <v>0</v>
      </c>
      <c r="Y648" s="1">
        <v>0</v>
      </c>
      <c r="Z648" s="1">
        <v>0</v>
      </c>
      <c r="AA648" s="1">
        <v>3</v>
      </c>
      <c r="AB648" s="1">
        <v>3</v>
      </c>
      <c r="AC648" s="1" t="s">
        <v>109</v>
      </c>
      <c r="AD648" s="1" t="s">
        <v>109</v>
      </c>
      <c r="AE648" s="1" t="s">
        <v>109</v>
      </c>
      <c r="AF648" s="1" t="s">
        <v>109</v>
      </c>
      <c r="AG648" s="1" t="s">
        <v>109</v>
      </c>
      <c r="AH648" s="1" t="s">
        <v>109</v>
      </c>
      <c r="AI648" s="1" t="s">
        <v>109</v>
      </c>
      <c r="AJ648" s="1" t="s">
        <v>109</v>
      </c>
      <c r="AK648" s="1" t="s">
        <v>109</v>
      </c>
      <c r="AL648" s="1" t="s">
        <v>109</v>
      </c>
      <c r="AM648" s="1" t="s">
        <v>109</v>
      </c>
      <c r="AN648" s="1" t="s">
        <v>109</v>
      </c>
      <c r="AO648" s="1" t="s">
        <v>109</v>
      </c>
      <c r="AP648" s="1"/>
      <c r="AQ648" s="1">
        <v>3</v>
      </c>
      <c r="AR648" s="1"/>
      <c r="AS648" s="1"/>
      <c r="AT648" s="1">
        <v>0</v>
      </c>
      <c r="AU648" s="1">
        <v>0</v>
      </c>
      <c r="AV648" s="1">
        <v>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t="s">
        <v>109</v>
      </c>
      <c r="BT648" s="1">
        <v>660</v>
      </c>
      <c r="BU648" s="1" t="s">
        <v>109</v>
      </c>
      <c r="BV648" s="1"/>
      <c r="BW648" s="1"/>
      <c r="BX648" s="1"/>
      <c r="BY648" s="1"/>
      <c r="BZ648" s="1">
        <v>0</v>
      </c>
      <c r="CA648" s="1" t="s">
        <v>109</v>
      </c>
      <c r="CB648" s="1" t="s">
        <v>109</v>
      </c>
      <c r="CC648" s="1" t="s">
        <v>109</v>
      </c>
      <c r="CD648" s="1" t="s">
        <v>109</v>
      </c>
      <c r="CE648" s="1" t="s">
        <v>109</v>
      </c>
      <c r="CF648" s="1" t="s">
        <v>109</v>
      </c>
      <c r="CG648" s="1" t="s">
        <v>109</v>
      </c>
      <c r="CH648" s="1" t="s">
        <v>109</v>
      </c>
      <c r="CI648" s="1" t="s">
        <v>109</v>
      </c>
      <c r="CJ648" s="1" t="s">
        <v>109</v>
      </c>
      <c r="CK648" s="1"/>
      <c r="CL648" s="1">
        <v>0</v>
      </c>
      <c r="CM648" s="1">
        <v>0</v>
      </c>
      <c r="CN648" s="1">
        <v>0</v>
      </c>
    </row>
    <row r="649" spans="1:92" ht="14.25" customHeight="1" x14ac:dyDescent="0.15">
      <c r="A649" s="1" t="s">
        <v>5723</v>
      </c>
      <c r="B649" s="1" t="s">
        <v>308</v>
      </c>
      <c r="C649" s="1"/>
      <c r="D649" s="1" t="s">
        <v>1327</v>
      </c>
      <c r="E649" s="1" t="s">
        <v>5724</v>
      </c>
      <c r="F649" s="1" t="s">
        <v>355</v>
      </c>
      <c r="G649" s="1" t="s">
        <v>5725</v>
      </c>
      <c r="H649" s="1">
        <v>1</v>
      </c>
      <c r="I649" s="1" t="s">
        <v>142</v>
      </c>
      <c r="J649" s="1"/>
      <c r="K649" s="1"/>
      <c r="L649" s="1" t="s">
        <v>5726</v>
      </c>
      <c r="M649" s="1" t="s">
        <v>5727</v>
      </c>
      <c r="N649" s="1">
        <v>0</v>
      </c>
      <c r="O649" s="1">
        <v>0</v>
      </c>
      <c r="P649" s="1" t="s">
        <v>2672</v>
      </c>
      <c r="Q649" s="1" t="s">
        <v>268</v>
      </c>
      <c r="R649" s="1" t="s">
        <v>5728</v>
      </c>
      <c r="S649" s="1" t="s">
        <v>5729</v>
      </c>
      <c r="T649" s="1" t="s">
        <v>5721</v>
      </c>
      <c r="U649" s="1" t="s">
        <v>5730</v>
      </c>
      <c r="V649" s="1">
        <v>1</v>
      </c>
      <c r="W649" s="1">
        <v>1</v>
      </c>
      <c r="X649" s="1">
        <v>1</v>
      </c>
      <c r="Y649" s="1">
        <v>0</v>
      </c>
      <c r="Z649" s="1">
        <v>0</v>
      </c>
      <c r="AA649" s="1">
        <v>9</v>
      </c>
      <c r="AB649" s="1">
        <v>9</v>
      </c>
      <c r="AC649" s="1">
        <v>9</v>
      </c>
      <c r="AD649" s="1" t="s">
        <v>109</v>
      </c>
      <c r="AE649" s="1" t="s">
        <v>109</v>
      </c>
      <c r="AF649" s="1" t="s">
        <v>109</v>
      </c>
      <c r="AG649" s="1" t="s">
        <v>109</v>
      </c>
      <c r="AH649" s="1" t="s">
        <v>109</v>
      </c>
      <c r="AI649" s="1" t="s">
        <v>109</v>
      </c>
      <c r="AJ649" s="1" t="s">
        <v>109</v>
      </c>
      <c r="AK649" s="1" t="s">
        <v>109</v>
      </c>
      <c r="AL649" s="1">
        <v>9</v>
      </c>
      <c r="AM649" s="1" t="s">
        <v>109</v>
      </c>
      <c r="AN649" s="1" t="s">
        <v>109</v>
      </c>
      <c r="AO649" s="1" t="s">
        <v>109</v>
      </c>
      <c r="AP649" s="1"/>
      <c r="AQ649" s="1">
        <v>9</v>
      </c>
      <c r="AR649" s="1"/>
      <c r="AS649" s="1"/>
      <c r="AT649" s="1">
        <v>0</v>
      </c>
      <c r="AU649" s="1">
        <v>0</v>
      </c>
      <c r="AV649" s="1">
        <v>0</v>
      </c>
      <c r="AW649" s="1">
        <v>0</v>
      </c>
      <c r="AX649" s="1">
        <v>0</v>
      </c>
      <c r="AY649" s="1">
        <v>0</v>
      </c>
      <c r="AZ649" s="1">
        <v>1</v>
      </c>
      <c r="BA649" s="1">
        <v>0</v>
      </c>
      <c r="BB649" s="1">
        <v>0</v>
      </c>
      <c r="BC649" s="1">
        <v>0</v>
      </c>
      <c r="BD649" s="1">
        <v>0</v>
      </c>
      <c r="BE649" s="1">
        <v>1</v>
      </c>
      <c r="BF649" s="1">
        <v>0</v>
      </c>
      <c r="BG649" s="1">
        <v>0</v>
      </c>
      <c r="BH649" s="1">
        <v>0</v>
      </c>
      <c r="BI649" s="1">
        <v>0</v>
      </c>
      <c r="BJ649" s="1">
        <v>0</v>
      </c>
      <c r="BK649" s="1">
        <v>0</v>
      </c>
      <c r="BL649" s="1">
        <v>0</v>
      </c>
      <c r="BM649" s="1">
        <v>0</v>
      </c>
      <c r="BN649" s="1">
        <v>0</v>
      </c>
      <c r="BO649" s="1">
        <v>0</v>
      </c>
      <c r="BP649" s="1">
        <v>0</v>
      </c>
      <c r="BQ649" s="1">
        <v>0</v>
      </c>
      <c r="BR649" s="1">
        <v>0</v>
      </c>
      <c r="BS649" s="1" t="s">
        <v>109</v>
      </c>
      <c r="BT649" s="1">
        <v>661</v>
      </c>
      <c r="BU649" s="1">
        <v>100</v>
      </c>
      <c r="BV649" s="1"/>
      <c r="BW649" s="1"/>
      <c r="BX649" s="1"/>
      <c r="BY649" s="1"/>
      <c r="BZ649" s="1">
        <v>0</v>
      </c>
      <c r="CA649" s="1" t="s">
        <v>109</v>
      </c>
      <c r="CB649" s="1" t="s">
        <v>109</v>
      </c>
      <c r="CC649" s="1" t="s">
        <v>109</v>
      </c>
      <c r="CD649" s="1" t="s">
        <v>109</v>
      </c>
      <c r="CE649" s="1" t="s">
        <v>109</v>
      </c>
      <c r="CF649" s="1" t="s">
        <v>109</v>
      </c>
      <c r="CG649" s="1" t="s">
        <v>109</v>
      </c>
      <c r="CH649" s="1" t="s">
        <v>109</v>
      </c>
      <c r="CI649" s="1" t="s">
        <v>109</v>
      </c>
      <c r="CJ649" s="1" t="s">
        <v>109</v>
      </c>
      <c r="CK649" s="1"/>
      <c r="CL649" s="1">
        <v>0</v>
      </c>
      <c r="CM649" s="1">
        <v>0</v>
      </c>
      <c r="CN649" s="1">
        <v>0</v>
      </c>
    </row>
    <row r="650" spans="1:92" ht="14.25" customHeight="1" x14ac:dyDescent="0.15">
      <c r="A650" s="1" t="s">
        <v>5731</v>
      </c>
      <c r="B650" s="1" t="s">
        <v>189</v>
      </c>
      <c r="C650" s="1"/>
      <c r="D650" s="1"/>
      <c r="E650" s="1" t="s">
        <v>5732</v>
      </c>
      <c r="F650" s="1" t="s">
        <v>98</v>
      </c>
      <c r="G650" s="1" t="s">
        <v>333</v>
      </c>
      <c r="H650" s="1">
        <v>0</v>
      </c>
      <c r="I650" s="1" t="s">
        <v>235</v>
      </c>
      <c r="J650" s="1"/>
      <c r="K650" s="1"/>
      <c r="L650" s="1" t="s">
        <v>236</v>
      </c>
      <c r="M650" s="1" t="s">
        <v>3042</v>
      </c>
      <c r="N650" s="1">
        <v>0</v>
      </c>
      <c r="O650" s="1">
        <v>0</v>
      </c>
      <c r="P650" s="1"/>
      <c r="Q650" s="1"/>
      <c r="R650" s="1" t="s">
        <v>5733</v>
      </c>
      <c r="S650" s="1" t="s">
        <v>5734</v>
      </c>
      <c r="T650" s="1" t="s">
        <v>5721</v>
      </c>
      <c r="U650" s="1" t="s">
        <v>5735</v>
      </c>
      <c r="V650" s="1">
        <v>1</v>
      </c>
      <c r="W650" s="1">
        <v>0</v>
      </c>
      <c r="X650" s="1">
        <v>0</v>
      </c>
      <c r="Y650" s="1">
        <v>0</v>
      </c>
      <c r="Z650" s="1">
        <v>0</v>
      </c>
      <c r="AA650" s="1">
        <v>1</v>
      </c>
      <c r="AB650" s="1">
        <v>1</v>
      </c>
      <c r="AC650" s="1" t="s">
        <v>109</v>
      </c>
      <c r="AD650" s="1" t="s">
        <v>109</v>
      </c>
      <c r="AE650" s="1" t="s">
        <v>109</v>
      </c>
      <c r="AF650" s="1">
        <v>1</v>
      </c>
      <c r="AG650" s="1" t="s">
        <v>109</v>
      </c>
      <c r="AH650" s="1" t="s">
        <v>109</v>
      </c>
      <c r="AI650" s="1" t="s">
        <v>109</v>
      </c>
      <c r="AJ650" s="1" t="s">
        <v>109</v>
      </c>
      <c r="AK650" s="1" t="s">
        <v>109</v>
      </c>
      <c r="AL650" s="1" t="s">
        <v>109</v>
      </c>
      <c r="AM650" s="1" t="s">
        <v>109</v>
      </c>
      <c r="AN650" s="1" t="s">
        <v>109</v>
      </c>
      <c r="AO650" s="1" t="s">
        <v>109</v>
      </c>
      <c r="AP650" s="1"/>
      <c r="AQ650" s="1">
        <v>1</v>
      </c>
      <c r="AR650" s="1"/>
      <c r="AS650" s="1"/>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t="s">
        <v>109</v>
      </c>
      <c r="BT650" s="1">
        <v>662</v>
      </c>
      <c r="BU650" s="1" t="s">
        <v>109</v>
      </c>
      <c r="BV650" s="1"/>
      <c r="BW650" s="1"/>
      <c r="BX650" s="1"/>
      <c r="BY650" s="1"/>
      <c r="BZ650" s="1">
        <v>0</v>
      </c>
      <c r="CA650" s="1" t="s">
        <v>109</v>
      </c>
      <c r="CB650" s="1" t="s">
        <v>109</v>
      </c>
      <c r="CC650" s="1" t="s">
        <v>109</v>
      </c>
      <c r="CD650" s="1" t="s">
        <v>109</v>
      </c>
      <c r="CE650" s="1" t="s">
        <v>109</v>
      </c>
      <c r="CF650" s="1" t="s">
        <v>109</v>
      </c>
      <c r="CG650" s="1" t="s">
        <v>109</v>
      </c>
      <c r="CH650" s="1" t="s">
        <v>109</v>
      </c>
      <c r="CI650" s="1" t="s">
        <v>109</v>
      </c>
      <c r="CJ650" s="1" t="s">
        <v>109</v>
      </c>
      <c r="CK650" s="1"/>
      <c r="CL650" s="1">
        <v>0</v>
      </c>
      <c r="CM650" s="1">
        <v>0</v>
      </c>
      <c r="CN650" s="1">
        <v>0</v>
      </c>
    </row>
    <row r="651" spans="1:92" ht="14.25" customHeight="1" x14ac:dyDescent="0.15">
      <c r="A651" s="1" t="s">
        <v>5736</v>
      </c>
      <c r="B651" s="1" t="s">
        <v>95</v>
      </c>
      <c r="C651" s="1" t="s">
        <v>1179</v>
      </c>
      <c r="D651" s="1" t="s">
        <v>211</v>
      </c>
      <c r="E651" s="1" t="s">
        <v>4876</v>
      </c>
      <c r="F651" s="1" t="s">
        <v>395</v>
      </c>
      <c r="G651" s="1" t="s">
        <v>160</v>
      </c>
      <c r="H651" s="1">
        <v>0</v>
      </c>
      <c r="I651" s="1" t="s">
        <v>5737</v>
      </c>
      <c r="J651" s="1"/>
      <c r="K651" s="1" t="s">
        <v>5738</v>
      </c>
      <c r="L651" s="1"/>
      <c r="M651" s="1" t="s">
        <v>5642</v>
      </c>
      <c r="N651" s="1">
        <v>1</v>
      </c>
      <c r="O651" s="1">
        <v>0</v>
      </c>
      <c r="P651" s="1" t="s">
        <v>103</v>
      </c>
      <c r="Q651" s="1" t="s">
        <v>104</v>
      </c>
      <c r="R651" s="1" t="s">
        <v>5739</v>
      </c>
      <c r="S651" s="1" t="s">
        <v>5740</v>
      </c>
      <c r="T651" s="1" t="s">
        <v>5721</v>
      </c>
      <c r="U651" s="1" t="s">
        <v>5741</v>
      </c>
      <c r="V651" s="1">
        <v>1</v>
      </c>
      <c r="W651" s="1">
        <v>1</v>
      </c>
      <c r="X651" s="1">
        <v>0</v>
      </c>
      <c r="Y651" s="1">
        <v>0</v>
      </c>
      <c r="Z651" s="1">
        <v>1</v>
      </c>
      <c r="AA651" s="1" t="s">
        <v>109</v>
      </c>
      <c r="AB651" s="1" t="s">
        <v>109</v>
      </c>
      <c r="AC651" s="1" t="s">
        <v>109</v>
      </c>
      <c r="AD651" s="1">
        <v>9</v>
      </c>
      <c r="AE651" s="1" t="s">
        <v>109</v>
      </c>
      <c r="AF651" s="1" t="s">
        <v>109</v>
      </c>
      <c r="AG651" s="1" t="s">
        <v>109</v>
      </c>
      <c r="AH651" s="1" t="s">
        <v>109</v>
      </c>
      <c r="AI651" s="1" t="s">
        <v>109</v>
      </c>
      <c r="AJ651" s="1" t="s">
        <v>109</v>
      </c>
      <c r="AK651" s="1" t="s">
        <v>109</v>
      </c>
      <c r="AL651" s="1" t="s">
        <v>109</v>
      </c>
      <c r="AM651" s="1" t="s">
        <v>109</v>
      </c>
      <c r="AN651" s="1" t="s">
        <v>109</v>
      </c>
      <c r="AO651" s="1" t="s">
        <v>109</v>
      </c>
      <c r="AP651" s="1"/>
      <c r="AQ651" s="1">
        <v>9</v>
      </c>
      <c r="AR651" s="1"/>
      <c r="AS651" s="1"/>
      <c r="AT651" s="1">
        <v>0</v>
      </c>
      <c r="AU651" s="1">
        <v>0</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t="s">
        <v>109</v>
      </c>
      <c r="BT651" s="1">
        <v>663</v>
      </c>
      <c r="BU651" s="1" t="s">
        <v>109</v>
      </c>
      <c r="BV651" s="1"/>
      <c r="BW651" s="1"/>
      <c r="BX651" s="1"/>
      <c r="BY651" s="1"/>
      <c r="BZ651" s="1">
        <v>0</v>
      </c>
      <c r="CA651" s="1" t="s">
        <v>109</v>
      </c>
      <c r="CB651" s="1" t="s">
        <v>109</v>
      </c>
      <c r="CC651" s="1" t="s">
        <v>109</v>
      </c>
      <c r="CD651" s="1" t="s">
        <v>109</v>
      </c>
      <c r="CE651" s="1" t="s">
        <v>109</v>
      </c>
      <c r="CF651" s="1" t="s">
        <v>109</v>
      </c>
      <c r="CG651" s="1" t="s">
        <v>109</v>
      </c>
      <c r="CH651" s="1" t="s">
        <v>109</v>
      </c>
      <c r="CI651" s="1" t="s">
        <v>109</v>
      </c>
      <c r="CJ651" s="1" t="s">
        <v>109</v>
      </c>
      <c r="CK651" s="1"/>
      <c r="CL651" s="1">
        <v>0</v>
      </c>
      <c r="CM651" s="1">
        <v>0</v>
      </c>
      <c r="CN651" s="1">
        <v>0</v>
      </c>
    </row>
    <row r="652" spans="1:92" ht="14.25" customHeight="1" x14ac:dyDescent="0.15">
      <c r="A652" s="1" t="s">
        <v>5742</v>
      </c>
      <c r="B652" s="1" t="s">
        <v>308</v>
      </c>
      <c r="C652" s="1"/>
      <c r="D652" s="1"/>
      <c r="E652" s="1" t="s">
        <v>4411</v>
      </c>
      <c r="F652" s="1" t="s">
        <v>98</v>
      </c>
      <c r="G652" s="1" t="s">
        <v>160</v>
      </c>
      <c r="H652" s="1">
        <v>0</v>
      </c>
      <c r="I652" s="1" t="s">
        <v>161</v>
      </c>
      <c r="J652" s="1"/>
      <c r="K652" s="1"/>
      <c r="L652" s="1" t="s">
        <v>506</v>
      </c>
      <c r="M652" s="1" t="s">
        <v>3042</v>
      </c>
      <c r="N652" s="1">
        <v>1</v>
      </c>
      <c r="O652" s="1">
        <v>0</v>
      </c>
      <c r="P652" s="1" t="s">
        <v>103</v>
      </c>
      <c r="Q652" s="1" t="s">
        <v>104</v>
      </c>
      <c r="R652" s="1" t="s">
        <v>5743</v>
      </c>
      <c r="S652" s="1" t="s">
        <v>5744</v>
      </c>
      <c r="T652" s="1" t="s">
        <v>5721</v>
      </c>
      <c r="U652" s="1" t="s">
        <v>5745</v>
      </c>
      <c r="V652" s="1">
        <v>1</v>
      </c>
      <c r="W652" s="1">
        <v>1</v>
      </c>
      <c r="X652" s="1">
        <v>0</v>
      </c>
      <c r="Y652" s="1">
        <v>0</v>
      </c>
      <c r="Z652" s="1">
        <v>1</v>
      </c>
      <c r="AA652" s="1" t="s">
        <v>109</v>
      </c>
      <c r="AB652" s="1" t="s">
        <v>109</v>
      </c>
      <c r="AC652" s="1" t="s">
        <v>109</v>
      </c>
      <c r="AD652" s="1">
        <v>1</v>
      </c>
      <c r="AE652" s="1" t="s">
        <v>109</v>
      </c>
      <c r="AF652" s="1" t="s">
        <v>109</v>
      </c>
      <c r="AG652" s="1" t="s">
        <v>109</v>
      </c>
      <c r="AH652" s="1" t="s">
        <v>109</v>
      </c>
      <c r="AI652" s="1" t="s">
        <v>109</v>
      </c>
      <c r="AJ652" s="1" t="s">
        <v>109</v>
      </c>
      <c r="AK652" s="1" t="s">
        <v>109</v>
      </c>
      <c r="AL652" s="1" t="s">
        <v>109</v>
      </c>
      <c r="AM652" s="1" t="s">
        <v>109</v>
      </c>
      <c r="AN652" s="1" t="s">
        <v>109</v>
      </c>
      <c r="AO652" s="1" t="s">
        <v>109</v>
      </c>
      <c r="AP652" s="1"/>
      <c r="AQ652" s="1">
        <v>1</v>
      </c>
      <c r="AR652" s="1"/>
      <c r="AS652" s="1"/>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t="s">
        <v>109</v>
      </c>
      <c r="BT652" s="1">
        <v>664</v>
      </c>
      <c r="BU652" s="1" t="s">
        <v>109</v>
      </c>
      <c r="BV652" s="1"/>
      <c r="BW652" s="1"/>
      <c r="BX652" s="1"/>
      <c r="BY652" s="1"/>
      <c r="BZ652" s="1">
        <v>0</v>
      </c>
      <c r="CA652" s="1" t="s">
        <v>109</v>
      </c>
      <c r="CB652" s="1" t="s">
        <v>109</v>
      </c>
      <c r="CC652" s="1" t="s">
        <v>109</v>
      </c>
      <c r="CD652" s="1" t="s">
        <v>109</v>
      </c>
      <c r="CE652" s="1" t="s">
        <v>109</v>
      </c>
      <c r="CF652" s="1" t="s">
        <v>109</v>
      </c>
      <c r="CG652" s="1" t="s">
        <v>109</v>
      </c>
      <c r="CH652" s="1" t="s">
        <v>109</v>
      </c>
      <c r="CI652" s="1" t="s">
        <v>109</v>
      </c>
      <c r="CJ652" s="1">
        <v>1</v>
      </c>
      <c r="CK652" s="1"/>
      <c r="CL652" s="1">
        <v>0</v>
      </c>
      <c r="CM652" s="1">
        <v>0</v>
      </c>
      <c r="CN652" s="1">
        <v>0</v>
      </c>
    </row>
    <row r="653" spans="1:92" ht="14.25" customHeight="1" x14ac:dyDescent="0.15">
      <c r="A653" s="1" t="s">
        <v>5746</v>
      </c>
      <c r="B653" s="1" t="s">
        <v>308</v>
      </c>
      <c r="C653" s="1"/>
      <c r="D653" s="1" t="s">
        <v>5747</v>
      </c>
      <c r="E653" s="1" t="s">
        <v>5748</v>
      </c>
      <c r="F653" s="1" t="s">
        <v>98</v>
      </c>
      <c r="G653" s="1" t="s">
        <v>333</v>
      </c>
      <c r="H653" s="1">
        <v>0</v>
      </c>
      <c r="I653" s="1" t="s">
        <v>5737</v>
      </c>
      <c r="J653" s="1"/>
      <c r="K653" s="1"/>
      <c r="L653" s="1" t="s">
        <v>1314</v>
      </c>
      <c r="M653" s="1" t="s">
        <v>355</v>
      </c>
      <c r="N653" s="1">
        <v>0</v>
      </c>
      <c r="O653" s="1">
        <v>0</v>
      </c>
      <c r="P653" s="1" t="s">
        <v>301</v>
      </c>
      <c r="Q653" s="1" t="s">
        <v>268</v>
      </c>
      <c r="R653" s="1" t="s">
        <v>5749</v>
      </c>
      <c r="S653" s="1" t="s">
        <v>5750</v>
      </c>
      <c r="T653" s="1" t="s">
        <v>5721</v>
      </c>
      <c r="U653" s="1" t="s">
        <v>5751</v>
      </c>
      <c r="V653" s="1">
        <v>1</v>
      </c>
      <c r="W653" s="1">
        <v>0</v>
      </c>
      <c r="X653" s="1">
        <v>0</v>
      </c>
      <c r="Y653" s="1">
        <v>0</v>
      </c>
      <c r="Z653" s="1">
        <v>0</v>
      </c>
      <c r="AA653" s="1">
        <v>0</v>
      </c>
      <c r="AB653" s="1">
        <v>0</v>
      </c>
      <c r="AC653" s="1">
        <v>0</v>
      </c>
      <c r="AD653" s="1" t="s">
        <v>109</v>
      </c>
      <c r="AE653" s="1" t="s">
        <v>109</v>
      </c>
      <c r="AF653" s="1">
        <v>1</v>
      </c>
      <c r="AG653" s="1" t="s">
        <v>109</v>
      </c>
      <c r="AH653" s="1" t="s">
        <v>109</v>
      </c>
      <c r="AI653" s="1" t="s">
        <v>109</v>
      </c>
      <c r="AJ653" s="1" t="s">
        <v>109</v>
      </c>
      <c r="AK653" s="1" t="s">
        <v>109</v>
      </c>
      <c r="AL653" s="1">
        <v>0</v>
      </c>
      <c r="AM653" s="1" t="s">
        <v>109</v>
      </c>
      <c r="AN653" s="1" t="s">
        <v>109</v>
      </c>
      <c r="AO653" s="1" t="s">
        <v>109</v>
      </c>
      <c r="AP653" s="1"/>
      <c r="AQ653" s="1">
        <v>0</v>
      </c>
      <c r="AR653" s="1"/>
      <c r="AS653" s="1"/>
      <c r="AT653" s="1">
        <v>0</v>
      </c>
      <c r="AU653" s="1">
        <v>0</v>
      </c>
      <c r="AV653" s="1">
        <v>0</v>
      </c>
      <c r="AW653" s="1">
        <v>0</v>
      </c>
      <c r="AX653" s="1">
        <v>0</v>
      </c>
      <c r="AY653" s="1">
        <v>0</v>
      </c>
      <c r="AZ653" s="1">
        <v>0</v>
      </c>
      <c r="BA653" s="1">
        <v>0</v>
      </c>
      <c r="BB653" s="1">
        <v>0</v>
      </c>
      <c r="BC653" s="1">
        <v>0</v>
      </c>
      <c r="BD653" s="1">
        <v>0</v>
      </c>
      <c r="BE653" s="1">
        <v>0</v>
      </c>
      <c r="BF653" s="1">
        <v>1</v>
      </c>
      <c r="BG653" s="1">
        <v>0</v>
      </c>
      <c r="BH653" s="1">
        <v>0</v>
      </c>
      <c r="BI653" s="1">
        <v>0</v>
      </c>
      <c r="BJ653" s="1">
        <v>0</v>
      </c>
      <c r="BK653" s="1">
        <v>0</v>
      </c>
      <c r="BL653" s="1">
        <v>0</v>
      </c>
      <c r="BM653" s="1">
        <v>1</v>
      </c>
      <c r="BN653" s="1">
        <v>0</v>
      </c>
      <c r="BO653" s="1">
        <v>0</v>
      </c>
      <c r="BP653" s="1">
        <v>0</v>
      </c>
      <c r="BQ653" s="1">
        <v>1</v>
      </c>
      <c r="BR653" s="1">
        <v>0</v>
      </c>
      <c r="BS653" s="1" t="s">
        <v>109</v>
      </c>
      <c r="BT653" s="1">
        <v>666</v>
      </c>
      <c r="BU653" s="1" t="s">
        <v>109</v>
      </c>
      <c r="BV653" s="1"/>
      <c r="BW653" s="1"/>
      <c r="BX653" s="1"/>
      <c r="BY653" s="1"/>
      <c r="BZ653" s="1">
        <v>0</v>
      </c>
      <c r="CA653" s="1" t="s">
        <v>109</v>
      </c>
      <c r="CB653" s="1" t="s">
        <v>109</v>
      </c>
      <c r="CC653" s="1" t="s">
        <v>109</v>
      </c>
      <c r="CD653" s="1" t="s">
        <v>109</v>
      </c>
      <c r="CE653" s="1" t="s">
        <v>109</v>
      </c>
      <c r="CF653" s="1" t="s">
        <v>109</v>
      </c>
      <c r="CG653" s="1" t="s">
        <v>109</v>
      </c>
      <c r="CH653" s="1" t="s">
        <v>109</v>
      </c>
      <c r="CI653" s="1" t="s">
        <v>109</v>
      </c>
      <c r="CJ653" s="1" t="s">
        <v>109</v>
      </c>
      <c r="CK653" s="1"/>
      <c r="CL653" s="1">
        <v>0</v>
      </c>
      <c r="CM653" s="1">
        <v>0</v>
      </c>
      <c r="CN653" s="1">
        <v>0</v>
      </c>
    </row>
    <row r="654" spans="1:92" ht="14.25" customHeight="1" x14ac:dyDescent="0.15">
      <c r="A654" s="1" t="s">
        <v>5752</v>
      </c>
      <c r="B654" s="1" t="s">
        <v>308</v>
      </c>
      <c r="C654" s="1"/>
      <c r="D654" s="1" t="s">
        <v>57</v>
      </c>
      <c r="E654" s="1" t="s">
        <v>5753</v>
      </c>
      <c r="F654" s="1" t="s">
        <v>98</v>
      </c>
      <c r="G654" s="1" t="s">
        <v>141</v>
      </c>
      <c r="H654" s="1">
        <v>0</v>
      </c>
      <c r="I654" s="1" t="s">
        <v>122</v>
      </c>
      <c r="J654" s="1"/>
      <c r="K654" s="1" t="s">
        <v>5754</v>
      </c>
      <c r="L654" s="1"/>
      <c r="M654" s="1" t="s">
        <v>4349</v>
      </c>
      <c r="N654" s="1">
        <v>1</v>
      </c>
      <c r="O654" s="1">
        <v>0</v>
      </c>
      <c r="P654" s="1" t="s">
        <v>103</v>
      </c>
      <c r="Q654" s="1" t="s">
        <v>104</v>
      </c>
      <c r="R654" s="1" t="s">
        <v>5755</v>
      </c>
      <c r="S654" s="1" t="s">
        <v>5756</v>
      </c>
      <c r="T654" s="1" t="s">
        <v>5721</v>
      </c>
      <c r="U654" s="1" t="s">
        <v>5757</v>
      </c>
      <c r="V654" s="1">
        <v>1</v>
      </c>
      <c r="W654" s="1">
        <v>1</v>
      </c>
      <c r="X654" s="1">
        <v>0</v>
      </c>
      <c r="Y654" s="1">
        <v>0</v>
      </c>
      <c r="Z654" s="1">
        <v>0</v>
      </c>
      <c r="AA654" s="1">
        <v>8</v>
      </c>
      <c r="AB654" s="1">
        <v>8</v>
      </c>
      <c r="AC654" s="1">
        <v>8</v>
      </c>
      <c r="AD654" s="1" t="s">
        <v>109</v>
      </c>
      <c r="AE654" s="1" t="s">
        <v>109</v>
      </c>
      <c r="AF654" s="1" t="s">
        <v>109</v>
      </c>
      <c r="AG654" s="1" t="s">
        <v>109</v>
      </c>
      <c r="AH654" s="1" t="s">
        <v>109</v>
      </c>
      <c r="AI654" s="1" t="s">
        <v>109</v>
      </c>
      <c r="AJ654" s="1" t="s">
        <v>109</v>
      </c>
      <c r="AK654" s="1" t="s">
        <v>109</v>
      </c>
      <c r="AL654" s="1">
        <v>8</v>
      </c>
      <c r="AM654" s="1" t="s">
        <v>109</v>
      </c>
      <c r="AN654" s="1" t="s">
        <v>109</v>
      </c>
      <c r="AO654" s="1" t="s">
        <v>109</v>
      </c>
      <c r="AP654" s="1"/>
      <c r="AQ654" s="1">
        <v>8</v>
      </c>
      <c r="AR654" s="1"/>
      <c r="AS654" s="1"/>
      <c r="AT654" s="1">
        <v>0</v>
      </c>
      <c r="AU654" s="1">
        <v>0</v>
      </c>
      <c r="AV654" s="1">
        <v>0</v>
      </c>
      <c r="AW654" s="1">
        <v>0</v>
      </c>
      <c r="AX654" s="1">
        <v>0</v>
      </c>
      <c r="AY654" s="1">
        <v>0</v>
      </c>
      <c r="AZ654" s="1">
        <v>0</v>
      </c>
      <c r="BA654" s="1">
        <v>0</v>
      </c>
      <c r="BB654" s="1">
        <v>0</v>
      </c>
      <c r="BC654" s="1">
        <v>0</v>
      </c>
      <c r="BD654" s="1">
        <v>0</v>
      </c>
      <c r="BE654" s="1">
        <v>1</v>
      </c>
      <c r="BF654" s="1">
        <v>0</v>
      </c>
      <c r="BG654" s="1">
        <v>0</v>
      </c>
      <c r="BH654" s="1">
        <v>0</v>
      </c>
      <c r="BI654" s="1">
        <v>0</v>
      </c>
      <c r="BJ654" s="1">
        <v>0</v>
      </c>
      <c r="BK654" s="1">
        <v>0</v>
      </c>
      <c r="BL654" s="1">
        <v>0</v>
      </c>
      <c r="BM654" s="1">
        <v>0</v>
      </c>
      <c r="BN654" s="1">
        <v>0</v>
      </c>
      <c r="BO654" s="1">
        <v>0</v>
      </c>
      <c r="BP654" s="1">
        <v>0</v>
      </c>
      <c r="BQ654" s="1">
        <v>0</v>
      </c>
      <c r="BR654" s="1">
        <v>0</v>
      </c>
      <c r="BS654" s="1" t="s">
        <v>109</v>
      </c>
      <c r="BT654" s="1">
        <v>667</v>
      </c>
      <c r="BU654" s="1" t="s">
        <v>109</v>
      </c>
      <c r="BV654" s="1"/>
      <c r="BW654" s="1"/>
      <c r="BX654" s="1"/>
      <c r="BY654" s="1"/>
      <c r="BZ654" s="1">
        <v>0</v>
      </c>
      <c r="CA654" s="1" t="s">
        <v>109</v>
      </c>
      <c r="CB654" s="1" t="s">
        <v>109</v>
      </c>
      <c r="CC654" s="1" t="s">
        <v>109</v>
      </c>
      <c r="CD654" s="1" t="s">
        <v>109</v>
      </c>
      <c r="CE654" s="1" t="s">
        <v>109</v>
      </c>
      <c r="CF654" s="1" t="s">
        <v>109</v>
      </c>
      <c r="CG654" s="1" t="s">
        <v>109</v>
      </c>
      <c r="CH654" s="1" t="s">
        <v>109</v>
      </c>
      <c r="CI654" s="1" t="s">
        <v>109</v>
      </c>
      <c r="CJ654" s="1" t="s">
        <v>109</v>
      </c>
      <c r="CK654" s="1"/>
      <c r="CL654" s="1">
        <v>0</v>
      </c>
      <c r="CM654" s="1">
        <v>0</v>
      </c>
      <c r="CN654" s="1">
        <v>0</v>
      </c>
    </row>
    <row r="655" spans="1:92" ht="14.25" customHeight="1" x14ac:dyDescent="0.15">
      <c r="A655" s="1" t="s">
        <v>5758</v>
      </c>
      <c r="B655" s="1" t="s">
        <v>189</v>
      </c>
      <c r="C655" s="1"/>
      <c r="D655" s="1"/>
      <c r="E655" s="1" t="s">
        <v>5759</v>
      </c>
      <c r="F655" s="1" t="s">
        <v>98</v>
      </c>
      <c r="G655" s="1" t="s">
        <v>141</v>
      </c>
      <c r="H655" s="1">
        <v>0</v>
      </c>
      <c r="I655" s="1" t="s">
        <v>161</v>
      </c>
      <c r="J655" s="1"/>
      <c r="K655" s="1"/>
      <c r="L655" s="1" t="s">
        <v>5760</v>
      </c>
      <c r="M655" s="1" t="s">
        <v>5642</v>
      </c>
      <c r="N655" s="1">
        <v>0</v>
      </c>
      <c r="O655" s="1">
        <v>0</v>
      </c>
      <c r="P655" s="1" t="s">
        <v>2092</v>
      </c>
      <c r="Q655" s="1" t="s">
        <v>104</v>
      </c>
      <c r="R655" s="1" t="s">
        <v>5761</v>
      </c>
      <c r="S655" s="1" t="s">
        <v>5762</v>
      </c>
      <c r="T655" s="1" t="s">
        <v>5721</v>
      </c>
      <c r="U655" s="1" t="s">
        <v>5763</v>
      </c>
      <c r="V655" s="1">
        <v>1</v>
      </c>
      <c r="W655" s="1">
        <v>1</v>
      </c>
      <c r="X655" s="1">
        <v>0</v>
      </c>
      <c r="Y655" s="1">
        <v>0</v>
      </c>
      <c r="Z655" s="1">
        <v>0</v>
      </c>
      <c r="AA655" s="1">
        <v>1</v>
      </c>
      <c r="AB655" s="1">
        <v>1</v>
      </c>
      <c r="AC655" s="1" t="s">
        <v>109</v>
      </c>
      <c r="AD655" s="1">
        <v>1</v>
      </c>
      <c r="AE655" s="1" t="s">
        <v>109</v>
      </c>
      <c r="AF655" s="1">
        <v>1</v>
      </c>
      <c r="AG655" s="1" t="s">
        <v>109</v>
      </c>
      <c r="AH655" s="1" t="s">
        <v>109</v>
      </c>
      <c r="AI655" s="1" t="s">
        <v>109</v>
      </c>
      <c r="AJ655" s="1" t="s">
        <v>109</v>
      </c>
      <c r="AK655" s="1" t="s">
        <v>109</v>
      </c>
      <c r="AL655" s="1" t="s">
        <v>109</v>
      </c>
      <c r="AM655" s="1" t="s">
        <v>109</v>
      </c>
      <c r="AN655" s="1" t="s">
        <v>109</v>
      </c>
      <c r="AO655" s="1" t="s">
        <v>109</v>
      </c>
      <c r="AP655" s="1"/>
      <c r="AQ655" s="1">
        <v>1</v>
      </c>
      <c r="AR655" s="1"/>
      <c r="AS655" s="1"/>
      <c r="AT655" s="1">
        <v>0</v>
      </c>
      <c r="AU655" s="1">
        <v>0</v>
      </c>
      <c r="AV655" s="1">
        <v>0</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t="s">
        <v>109</v>
      </c>
      <c r="BT655" s="1">
        <v>668</v>
      </c>
      <c r="BU655" s="1" t="s">
        <v>109</v>
      </c>
      <c r="BV655" s="1"/>
      <c r="BW655" s="1"/>
      <c r="BX655" s="1"/>
      <c r="BY655" s="1"/>
      <c r="BZ655" s="1">
        <v>0</v>
      </c>
      <c r="CA655" s="1" t="s">
        <v>109</v>
      </c>
      <c r="CB655" s="1" t="s">
        <v>109</v>
      </c>
      <c r="CC655" s="1" t="s">
        <v>109</v>
      </c>
      <c r="CD655" s="1" t="s">
        <v>109</v>
      </c>
      <c r="CE655" s="1" t="s">
        <v>109</v>
      </c>
      <c r="CF655" s="1" t="s">
        <v>109</v>
      </c>
      <c r="CG655" s="1" t="s">
        <v>109</v>
      </c>
      <c r="CH655" s="1" t="s">
        <v>109</v>
      </c>
      <c r="CI655" s="1" t="s">
        <v>109</v>
      </c>
      <c r="CJ655" s="1">
        <v>1</v>
      </c>
      <c r="CK655" s="1"/>
      <c r="CL655" s="1">
        <v>0</v>
      </c>
      <c r="CM655" s="1">
        <v>0</v>
      </c>
      <c r="CN655" s="1">
        <v>0</v>
      </c>
    </row>
    <row r="656" spans="1:92" ht="14.25" customHeight="1" x14ac:dyDescent="0.15">
      <c r="A656" s="1" t="s">
        <v>5764</v>
      </c>
      <c r="B656" s="1" t="s">
        <v>189</v>
      </c>
      <c r="C656" s="1"/>
      <c r="D656" s="1"/>
      <c r="E656" s="1" t="s">
        <v>5765</v>
      </c>
      <c r="F656" s="1" t="s">
        <v>98</v>
      </c>
      <c r="G656" s="1" t="s">
        <v>5766</v>
      </c>
      <c r="H656" s="1">
        <v>0</v>
      </c>
      <c r="I656" s="1" t="s">
        <v>161</v>
      </c>
      <c r="J656" s="1"/>
      <c r="K656" s="1"/>
      <c r="L656" s="1" t="s">
        <v>506</v>
      </c>
      <c r="M656" s="1" t="s">
        <v>5642</v>
      </c>
      <c r="N656" s="1">
        <v>0</v>
      </c>
      <c r="O656" s="1">
        <v>0</v>
      </c>
      <c r="P656" s="1" t="s">
        <v>507</v>
      </c>
      <c r="Q656" s="1" t="s">
        <v>268</v>
      </c>
      <c r="R656" s="1" t="s">
        <v>5767</v>
      </c>
      <c r="S656" s="1" t="s">
        <v>5768</v>
      </c>
      <c r="T656" s="1" t="s">
        <v>5769</v>
      </c>
      <c r="U656" s="1" t="s">
        <v>5770</v>
      </c>
      <c r="V656" s="1">
        <v>1</v>
      </c>
      <c r="W656" s="1">
        <v>1</v>
      </c>
      <c r="X656" s="1">
        <v>1</v>
      </c>
      <c r="Y656" s="1">
        <v>0</v>
      </c>
      <c r="Z656" s="1">
        <v>0</v>
      </c>
      <c r="AA656" s="1">
        <v>3</v>
      </c>
      <c r="AB656" s="1">
        <v>3</v>
      </c>
      <c r="AC656" s="1" t="s">
        <v>109</v>
      </c>
      <c r="AD656" s="1">
        <v>3</v>
      </c>
      <c r="AE656" s="1">
        <v>2</v>
      </c>
      <c r="AF656" s="1" t="s">
        <v>109</v>
      </c>
      <c r="AG656" s="1" t="s">
        <v>109</v>
      </c>
      <c r="AH656" s="1" t="s">
        <v>109</v>
      </c>
      <c r="AI656" s="1" t="s">
        <v>109</v>
      </c>
      <c r="AJ656" s="1" t="s">
        <v>109</v>
      </c>
      <c r="AK656" s="1" t="s">
        <v>109</v>
      </c>
      <c r="AL656" s="1" t="s">
        <v>109</v>
      </c>
      <c r="AM656" s="1" t="s">
        <v>109</v>
      </c>
      <c r="AN656" s="1" t="s">
        <v>109</v>
      </c>
      <c r="AO656" s="1" t="s">
        <v>109</v>
      </c>
      <c r="AP656" s="1"/>
      <c r="AQ656" s="1">
        <v>3</v>
      </c>
      <c r="AR656" s="1"/>
      <c r="AS656" s="1"/>
      <c r="AT656" s="1">
        <v>0</v>
      </c>
      <c r="AU656" s="1">
        <v>0</v>
      </c>
      <c r="AV656" s="1">
        <v>0</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5" t="str">
        <f>HYPERLINK("http://www.d20pfsrd.com/magic/all-spells/a/a/ape-walk","Ape Walk")</f>
        <v>Ape Walk</v>
      </c>
      <c r="BT656" s="1">
        <v>669</v>
      </c>
      <c r="BU656" s="1" t="s">
        <v>109</v>
      </c>
      <c r="BV656" s="1"/>
      <c r="BW656" s="1"/>
      <c r="BX656" s="1"/>
      <c r="BY656" s="1"/>
      <c r="BZ656" s="1">
        <v>0</v>
      </c>
      <c r="CA656" s="1" t="s">
        <v>109</v>
      </c>
      <c r="CB656" s="1" t="s">
        <v>109</v>
      </c>
      <c r="CC656" s="1" t="s">
        <v>109</v>
      </c>
      <c r="CD656" s="1" t="s">
        <v>109</v>
      </c>
      <c r="CE656" s="1" t="s">
        <v>109</v>
      </c>
      <c r="CF656" s="1" t="s">
        <v>109</v>
      </c>
      <c r="CG656" s="1" t="s">
        <v>109</v>
      </c>
      <c r="CH656" s="1" t="s">
        <v>109</v>
      </c>
      <c r="CI656" s="1" t="s">
        <v>109</v>
      </c>
      <c r="CJ656" s="1">
        <v>2</v>
      </c>
      <c r="CK656" s="1"/>
      <c r="CL656" s="1">
        <v>0</v>
      </c>
      <c r="CM656" s="1">
        <v>0</v>
      </c>
      <c r="CN656" s="1">
        <v>0</v>
      </c>
    </row>
    <row r="657" spans="1:92" ht="14.25" customHeight="1" x14ac:dyDescent="0.15">
      <c r="A657" s="1" t="s">
        <v>5771</v>
      </c>
      <c r="B657" s="1" t="s">
        <v>308</v>
      </c>
      <c r="C657" s="1"/>
      <c r="D657" s="1"/>
      <c r="E657" s="1" t="s">
        <v>5772</v>
      </c>
      <c r="F657" s="1" t="s">
        <v>98</v>
      </c>
      <c r="G657" s="1" t="s">
        <v>5773</v>
      </c>
      <c r="H657" s="1">
        <v>0</v>
      </c>
      <c r="I657" s="1" t="s">
        <v>142</v>
      </c>
      <c r="J657" s="1" t="s">
        <v>211</v>
      </c>
      <c r="K657" s="1"/>
      <c r="L657" s="1" t="s">
        <v>211</v>
      </c>
      <c r="M657" s="1" t="s">
        <v>144</v>
      </c>
      <c r="N657" s="1">
        <v>0</v>
      </c>
      <c r="O657" s="1">
        <v>0</v>
      </c>
      <c r="P657" s="1" t="s">
        <v>103</v>
      </c>
      <c r="Q657" s="1" t="s">
        <v>268</v>
      </c>
      <c r="R657" s="1" t="s">
        <v>5774</v>
      </c>
      <c r="S657" s="1" t="s">
        <v>5775</v>
      </c>
      <c r="T657" s="1" t="s">
        <v>5769</v>
      </c>
      <c r="U657" s="1" t="s">
        <v>5776</v>
      </c>
      <c r="V657" s="1">
        <v>1</v>
      </c>
      <c r="W657" s="1">
        <v>1</v>
      </c>
      <c r="X657" s="1">
        <v>1</v>
      </c>
      <c r="Y657" s="1">
        <v>0</v>
      </c>
      <c r="Z657" s="1">
        <v>0</v>
      </c>
      <c r="AA657" s="1">
        <v>2</v>
      </c>
      <c r="AB657" s="1">
        <v>2</v>
      </c>
      <c r="AC657" s="1" t="s">
        <v>109</v>
      </c>
      <c r="AD657" s="1">
        <v>2</v>
      </c>
      <c r="AE657" s="1">
        <v>1</v>
      </c>
      <c r="AF657" s="1" t="s">
        <v>109</v>
      </c>
      <c r="AG657" s="1" t="s">
        <v>109</v>
      </c>
      <c r="AH657" s="1" t="s">
        <v>109</v>
      </c>
      <c r="AI657" s="1" t="s">
        <v>109</v>
      </c>
      <c r="AJ657" s="1" t="s">
        <v>109</v>
      </c>
      <c r="AK657" s="1" t="s">
        <v>109</v>
      </c>
      <c r="AL657" s="1" t="s">
        <v>109</v>
      </c>
      <c r="AM657" s="1" t="s">
        <v>109</v>
      </c>
      <c r="AN657" s="1" t="s">
        <v>109</v>
      </c>
      <c r="AO657" s="1" t="s">
        <v>109</v>
      </c>
      <c r="AP657" s="1"/>
      <c r="AQ657" s="1">
        <v>2</v>
      </c>
      <c r="AR657" s="1" t="s">
        <v>5777</v>
      </c>
      <c r="AS657" s="1"/>
      <c r="AT657" s="1">
        <v>0</v>
      </c>
      <c r="AU657" s="1">
        <v>0</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5" t="str">
        <f>HYPERLINK("http://www.d20pfsrd.com/magic/all-spells/d/defoliate","Defoliate")</f>
        <v>Defoliate</v>
      </c>
      <c r="BT657" s="1">
        <v>670</v>
      </c>
      <c r="BU657" s="1" t="s">
        <v>109</v>
      </c>
      <c r="BV657" s="1"/>
      <c r="BW657" s="1"/>
      <c r="BX657" s="1"/>
      <c r="BY657" s="1"/>
      <c r="BZ657" s="1">
        <v>0</v>
      </c>
      <c r="CA657" s="1" t="s">
        <v>109</v>
      </c>
      <c r="CB657" s="1" t="s">
        <v>109</v>
      </c>
      <c r="CC657" s="1" t="s">
        <v>109</v>
      </c>
      <c r="CD657" s="1" t="s">
        <v>109</v>
      </c>
      <c r="CE657" s="1" t="s">
        <v>109</v>
      </c>
      <c r="CF657" s="1" t="s">
        <v>109</v>
      </c>
      <c r="CG657" s="1" t="s">
        <v>109</v>
      </c>
      <c r="CH657" s="1" t="s">
        <v>109</v>
      </c>
      <c r="CI657" s="1" t="s">
        <v>109</v>
      </c>
      <c r="CJ657" s="1">
        <v>1</v>
      </c>
      <c r="CK657" s="1"/>
      <c r="CL657" s="1">
        <v>0</v>
      </c>
      <c r="CM657" s="1">
        <v>0</v>
      </c>
      <c r="CN657" s="1">
        <v>0</v>
      </c>
    </row>
    <row r="658" spans="1:92" ht="14.25" customHeight="1" x14ac:dyDescent="0.15">
      <c r="A658" s="1" t="s">
        <v>5778</v>
      </c>
      <c r="B658" s="1" t="s">
        <v>584</v>
      </c>
      <c r="C658" s="1"/>
      <c r="D658" s="1" t="s">
        <v>59</v>
      </c>
      <c r="E658" s="1" t="s">
        <v>5779</v>
      </c>
      <c r="F658" s="1" t="s">
        <v>98</v>
      </c>
      <c r="G658" s="1" t="s">
        <v>3926</v>
      </c>
      <c r="H658" s="1">
        <v>0</v>
      </c>
      <c r="I658" s="1" t="s">
        <v>142</v>
      </c>
      <c r="J658" s="1"/>
      <c r="K658" s="1" t="s">
        <v>1506</v>
      </c>
      <c r="L658" s="1"/>
      <c r="M658" s="1" t="s">
        <v>3042</v>
      </c>
      <c r="N658" s="1">
        <v>0</v>
      </c>
      <c r="O658" s="1">
        <v>0</v>
      </c>
      <c r="P658" s="1" t="s">
        <v>5780</v>
      </c>
      <c r="Q658" s="1" t="s">
        <v>268</v>
      </c>
      <c r="R658" s="1" t="s">
        <v>5781</v>
      </c>
      <c r="S658" s="1" t="s">
        <v>5782</v>
      </c>
      <c r="T658" s="1" t="s">
        <v>5769</v>
      </c>
      <c r="U658" s="1" t="s">
        <v>5783</v>
      </c>
      <c r="V658" s="1">
        <v>1</v>
      </c>
      <c r="W658" s="1">
        <v>1</v>
      </c>
      <c r="X658" s="1">
        <v>1</v>
      </c>
      <c r="Y658" s="1">
        <v>0</v>
      </c>
      <c r="Z658" s="1">
        <v>0</v>
      </c>
      <c r="AA658" s="1">
        <v>3</v>
      </c>
      <c r="AB658" s="1">
        <v>3</v>
      </c>
      <c r="AC658" s="1" t="s">
        <v>109</v>
      </c>
      <c r="AD658" s="1">
        <v>3</v>
      </c>
      <c r="AE658" s="1" t="s">
        <v>109</v>
      </c>
      <c r="AF658" s="1" t="s">
        <v>109</v>
      </c>
      <c r="AG658" s="1" t="s">
        <v>109</v>
      </c>
      <c r="AH658" s="1" t="s">
        <v>109</v>
      </c>
      <c r="AI658" s="1" t="s">
        <v>109</v>
      </c>
      <c r="AJ658" s="1" t="s">
        <v>109</v>
      </c>
      <c r="AK658" s="1" t="s">
        <v>109</v>
      </c>
      <c r="AL658" s="1" t="s">
        <v>109</v>
      </c>
      <c r="AM658" s="1" t="s">
        <v>109</v>
      </c>
      <c r="AN658" s="1" t="s">
        <v>109</v>
      </c>
      <c r="AO658" s="1" t="s">
        <v>109</v>
      </c>
      <c r="AP658" s="1"/>
      <c r="AQ658" s="1">
        <v>3</v>
      </c>
      <c r="AR658" s="1"/>
      <c r="AS658" s="1"/>
      <c r="AT658" s="1">
        <v>0</v>
      </c>
      <c r="AU658" s="1">
        <v>0</v>
      </c>
      <c r="AV658" s="1">
        <v>0</v>
      </c>
      <c r="AW658" s="1">
        <v>0</v>
      </c>
      <c r="AX658" s="1">
        <v>0</v>
      </c>
      <c r="AY658" s="1">
        <v>0</v>
      </c>
      <c r="AZ658" s="1">
        <v>0</v>
      </c>
      <c r="BA658" s="1">
        <v>0</v>
      </c>
      <c r="BB658" s="1">
        <v>0</v>
      </c>
      <c r="BC658" s="1">
        <v>0</v>
      </c>
      <c r="BD658" s="1">
        <v>0</v>
      </c>
      <c r="BE658" s="1">
        <v>0</v>
      </c>
      <c r="BF658" s="1">
        <v>0</v>
      </c>
      <c r="BG658" s="1">
        <v>1</v>
      </c>
      <c r="BH658" s="1">
        <v>0</v>
      </c>
      <c r="BI658" s="1">
        <v>0</v>
      </c>
      <c r="BJ658" s="1">
        <v>0</v>
      </c>
      <c r="BK658" s="1">
        <v>0</v>
      </c>
      <c r="BL658" s="1">
        <v>0</v>
      </c>
      <c r="BM658" s="1">
        <v>0</v>
      </c>
      <c r="BN658" s="1">
        <v>0</v>
      </c>
      <c r="BO658" s="1">
        <v>0</v>
      </c>
      <c r="BP658" s="1">
        <v>0</v>
      </c>
      <c r="BQ658" s="1">
        <v>0</v>
      </c>
      <c r="BR658" s="1">
        <v>0</v>
      </c>
      <c r="BS658" s="5" t="str">
        <f>HYPERLINK("http://www.d20pfsrd.com/magic/all-spells/h/h/heatstroke","Heatstroke")</f>
        <v>Heatstroke</v>
      </c>
      <c r="BT658" s="1">
        <v>671</v>
      </c>
      <c r="BU658" s="1" t="s">
        <v>109</v>
      </c>
      <c r="BV658" s="1"/>
      <c r="BW658" s="1"/>
      <c r="BX658" s="1"/>
      <c r="BY658" s="1"/>
      <c r="BZ658" s="1">
        <v>0</v>
      </c>
      <c r="CA658" s="1" t="s">
        <v>109</v>
      </c>
      <c r="CB658" s="1" t="s">
        <v>109</v>
      </c>
      <c r="CC658" s="1" t="s">
        <v>109</v>
      </c>
      <c r="CD658" s="1" t="s">
        <v>109</v>
      </c>
      <c r="CE658" s="1" t="s">
        <v>109</v>
      </c>
      <c r="CF658" s="1" t="s">
        <v>109</v>
      </c>
      <c r="CG658" s="1" t="s">
        <v>109</v>
      </c>
      <c r="CH658" s="1" t="s">
        <v>109</v>
      </c>
      <c r="CI658" s="1" t="s">
        <v>109</v>
      </c>
      <c r="CJ658" s="1">
        <v>3</v>
      </c>
      <c r="CK658" s="1"/>
      <c r="CL658" s="1">
        <v>0</v>
      </c>
      <c r="CM658" s="1">
        <v>0</v>
      </c>
      <c r="CN658" s="1">
        <v>0</v>
      </c>
    </row>
    <row r="659" spans="1:92" ht="14.25" customHeight="1" x14ac:dyDescent="0.15">
      <c r="A659" s="1" t="s">
        <v>5784</v>
      </c>
      <c r="B659" s="1" t="s">
        <v>156</v>
      </c>
      <c r="C659" s="1"/>
      <c r="D659" s="1"/>
      <c r="E659" s="1" t="s">
        <v>5785</v>
      </c>
      <c r="F659" s="1" t="s">
        <v>98</v>
      </c>
      <c r="G659" s="1" t="s">
        <v>141</v>
      </c>
      <c r="H659" s="1">
        <v>0</v>
      </c>
      <c r="I659" s="1" t="s">
        <v>142</v>
      </c>
      <c r="J659" s="1"/>
      <c r="K659" s="1"/>
      <c r="L659" s="1" t="s">
        <v>4014</v>
      </c>
      <c r="M659" s="1" t="s">
        <v>1123</v>
      </c>
      <c r="N659" s="1">
        <v>0</v>
      </c>
      <c r="O659" s="1">
        <v>0</v>
      </c>
      <c r="P659" s="1" t="s">
        <v>507</v>
      </c>
      <c r="Q659" s="1" t="s">
        <v>167</v>
      </c>
      <c r="R659" s="1" t="s">
        <v>5786</v>
      </c>
      <c r="S659" s="1" t="s">
        <v>5787</v>
      </c>
      <c r="T659" s="1" t="s">
        <v>5788</v>
      </c>
      <c r="U659" s="1" t="s">
        <v>5789</v>
      </c>
      <c r="V659" s="1">
        <v>1</v>
      </c>
      <c r="W659" s="1">
        <v>1</v>
      </c>
      <c r="X659" s="1">
        <v>0</v>
      </c>
      <c r="Y659" s="1">
        <v>0</v>
      </c>
      <c r="Z659" s="1">
        <v>0</v>
      </c>
      <c r="AA659" s="1" t="s">
        <v>109</v>
      </c>
      <c r="AB659" s="1" t="s">
        <v>109</v>
      </c>
      <c r="AC659" s="1">
        <v>1</v>
      </c>
      <c r="AD659" s="1" t="s">
        <v>109</v>
      </c>
      <c r="AE659" s="1" t="s">
        <v>109</v>
      </c>
      <c r="AF659" s="1">
        <v>1</v>
      </c>
      <c r="AG659" s="1" t="s">
        <v>109</v>
      </c>
      <c r="AH659" s="1" t="s">
        <v>109</v>
      </c>
      <c r="AI659" s="1" t="s">
        <v>109</v>
      </c>
      <c r="AJ659" s="1" t="s">
        <v>109</v>
      </c>
      <c r="AK659" s="1" t="s">
        <v>109</v>
      </c>
      <c r="AL659" s="1">
        <v>1</v>
      </c>
      <c r="AM659" s="1" t="s">
        <v>109</v>
      </c>
      <c r="AN659" s="1" t="s">
        <v>109</v>
      </c>
      <c r="AO659" s="1" t="s">
        <v>109</v>
      </c>
      <c r="AP659" s="1"/>
      <c r="AQ659" s="1">
        <v>1</v>
      </c>
      <c r="AR659" s="1"/>
      <c r="AS659" s="1"/>
      <c r="AT659" s="1">
        <v>0</v>
      </c>
      <c r="AU659" s="1">
        <v>0</v>
      </c>
      <c r="AV659" s="1">
        <v>0</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v>
      </c>
      <c r="BM659" s="1">
        <v>0</v>
      </c>
      <c r="BN659" s="1">
        <v>0</v>
      </c>
      <c r="BO659" s="1">
        <v>0</v>
      </c>
      <c r="BP659" s="1">
        <v>0</v>
      </c>
      <c r="BQ659" s="1">
        <v>0</v>
      </c>
      <c r="BR659" s="1">
        <v>0</v>
      </c>
      <c r="BS659" s="1" t="s">
        <v>109</v>
      </c>
      <c r="BT659" s="1">
        <v>672</v>
      </c>
      <c r="BU659" s="1" t="s">
        <v>109</v>
      </c>
      <c r="BV659" s="1"/>
      <c r="BW659" s="1"/>
      <c r="BX659" s="1"/>
      <c r="BY659" s="1"/>
      <c r="BZ659" s="1">
        <v>0</v>
      </c>
      <c r="CA659" s="1" t="s">
        <v>109</v>
      </c>
      <c r="CB659" s="1" t="s">
        <v>109</v>
      </c>
      <c r="CC659" s="1" t="s">
        <v>109</v>
      </c>
      <c r="CD659" s="1" t="s">
        <v>109</v>
      </c>
      <c r="CE659" s="1" t="s">
        <v>109</v>
      </c>
      <c r="CF659" s="1" t="s">
        <v>109</v>
      </c>
      <c r="CG659" s="1" t="s">
        <v>109</v>
      </c>
      <c r="CH659" s="1" t="s">
        <v>109</v>
      </c>
      <c r="CI659" s="1" t="s">
        <v>109</v>
      </c>
      <c r="CJ659" s="1" t="s">
        <v>109</v>
      </c>
      <c r="CK659" s="1"/>
      <c r="CL659" s="1">
        <v>0</v>
      </c>
      <c r="CM659" s="1">
        <v>0</v>
      </c>
      <c r="CN659" s="1">
        <v>0</v>
      </c>
    </row>
    <row r="660" spans="1:92" ht="14.25" customHeight="1" x14ac:dyDescent="0.15">
      <c r="A660" s="1" t="s">
        <v>5790</v>
      </c>
      <c r="B660" s="1" t="s">
        <v>156</v>
      </c>
      <c r="C660" s="1" t="s">
        <v>157</v>
      </c>
      <c r="D660" s="1" t="s">
        <v>158</v>
      </c>
      <c r="E660" s="1" t="s">
        <v>5791</v>
      </c>
      <c r="F660" s="1" t="s">
        <v>98</v>
      </c>
      <c r="G660" s="1" t="s">
        <v>5792</v>
      </c>
      <c r="H660" s="1">
        <v>0</v>
      </c>
      <c r="I660" s="1" t="s">
        <v>5737</v>
      </c>
      <c r="J660" s="1"/>
      <c r="K660" s="1"/>
      <c r="L660" s="1" t="s">
        <v>5793</v>
      </c>
      <c r="M660" s="1" t="s">
        <v>125</v>
      </c>
      <c r="N660" s="1">
        <v>0</v>
      </c>
      <c r="O660" s="1">
        <v>0</v>
      </c>
      <c r="P660" s="1" t="s">
        <v>507</v>
      </c>
      <c r="Q660" s="1" t="s">
        <v>167</v>
      </c>
      <c r="R660" s="1" t="s">
        <v>5794</v>
      </c>
      <c r="S660" s="1" t="s">
        <v>5795</v>
      </c>
      <c r="T660" s="1" t="s">
        <v>5796</v>
      </c>
      <c r="U660" s="1" t="s">
        <v>5797</v>
      </c>
      <c r="V660" s="1">
        <v>1</v>
      </c>
      <c r="W660" s="1">
        <v>1</v>
      </c>
      <c r="X660" s="1">
        <v>1</v>
      </c>
      <c r="Y660" s="1">
        <v>0</v>
      </c>
      <c r="Z660" s="1">
        <v>0</v>
      </c>
      <c r="AA660" s="1">
        <v>3</v>
      </c>
      <c r="AB660" s="1">
        <v>3</v>
      </c>
      <c r="AC660" s="1">
        <v>3</v>
      </c>
      <c r="AD660" s="1" t="s">
        <v>109</v>
      </c>
      <c r="AE660" s="1" t="s">
        <v>109</v>
      </c>
      <c r="AF660" s="1">
        <v>2</v>
      </c>
      <c r="AG660" s="1" t="s">
        <v>109</v>
      </c>
      <c r="AH660" s="1" t="s">
        <v>109</v>
      </c>
      <c r="AI660" s="1" t="s">
        <v>109</v>
      </c>
      <c r="AJ660" s="1" t="s">
        <v>109</v>
      </c>
      <c r="AK660" s="1" t="s">
        <v>109</v>
      </c>
      <c r="AL660" s="1">
        <v>3</v>
      </c>
      <c r="AM660" s="1" t="s">
        <v>109</v>
      </c>
      <c r="AN660" s="1" t="s">
        <v>109</v>
      </c>
      <c r="AO660" s="1" t="s">
        <v>109</v>
      </c>
      <c r="AP660" s="1"/>
      <c r="AQ660" s="1">
        <v>3</v>
      </c>
      <c r="AR660" s="1"/>
      <c r="AS660" s="1"/>
      <c r="AT660" s="1">
        <v>0</v>
      </c>
      <c r="AU660" s="1">
        <v>0</v>
      </c>
      <c r="AV660" s="1">
        <v>0</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1</v>
      </c>
      <c r="BN660" s="1">
        <v>0</v>
      </c>
      <c r="BO660" s="1">
        <v>0</v>
      </c>
      <c r="BP660" s="1">
        <v>0</v>
      </c>
      <c r="BQ660" s="1">
        <v>0</v>
      </c>
      <c r="BR660" s="1">
        <v>0</v>
      </c>
      <c r="BS660" s="1" t="s">
        <v>109</v>
      </c>
      <c r="BT660" s="1">
        <v>673</v>
      </c>
      <c r="BU660" s="1" t="s">
        <v>109</v>
      </c>
      <c r="BV660" s="1"/>
      <c r="BW660" s="1"/>
      <c r="BX660" s="1"/>
      <c r="BY660" s="1"/>
      <c r="BZ660" s="1">
        <v>0</v>
      </c>
      <c r="CA660" s="1" t="s">
        <v>109</v>
      </c>
      <c r="CB660" s="1" t="s">
        <v>109</v>
      </c>
      <c r="CC660" s="1" t="s">
        <v>109</v>
      </c>
      <c r="CD660" s="1" t="s">
        <v>109</v>
      </c>
      <c r="CE660" s="1" t="s">
        <v>109</v>
      </c>
      <c r="CF660" s="1" t="s">
        <v>109</v>
      </c>
      <c r="CG660" s="1" t="s">
        <v>109</v>
      </c>
      <c r="CH660" s="1" t="s">
        <v>109</v>
      </c>
      <c r="CI660" s="1" t="s">
        <v>109</v>
      </c>
      <c r="CJ660" s="1" t="s">
        <v>109</v>
      </c>
      <c r="CK660" s="1"/>
      <c r="CL660" s="1">
        <v>0</v>
      </c>
      <c r="CM660" s="1">
        <v>0</v>
      </c>
      <c r="CN660" s="1">
        <v>0</v>
      </c>
    </row>
    <row r="661" spans="1:92" ht="14.25" customHeight="1" x14ac:dyDescent="0.15">
      <c r="A661" s="1" t="s">
        <v>5798</v>
      </c>
      <c r="B661" s="1" t="s">
        <v>242</v>
      </c>
      <c r="C661" s="1"/>
      <c r="D661" s="1"/>
      <c r="E661" s="1" t="s">
        <v>5799</v>
      </c>
      <c r="F661" s="1" t="s">
        <v>98</v>
      </c>
      <c r="G661" s="1" t="s">
        <v>160</v>
      </c>
      <c r="H661" s="1">
        <v>0</v>
      </c>
      <c r="I661" s="1" t="s">
        <v>161</v>
      </c>
      <c r="J661" s="1"/>
      <c r="K661" s="1"/>
      <c r="L661" s="1" t="s">
        <v>5800</v>
      </c>
      <c r="M661" s="1" t="s">
        <v>3042</v>
      </c>
      <c r="N661" s="1">
        <v>0</v>
      </c>
      <c r="O661" s="1">
        <v>0</v>
      </c>
      <c r="P661" s="1" t="s">
        <v>301</v>
      </c>
      <c r="Q661" s="1" t="s">
        <v>104</v>
      </c>
      <c r="R661" s="1" t="s">
        <v>5801</v>
      </c>
      <c r="S661" s="1" t="s">
        <v>5802</v>
      </c>
      <c r="T661" s="1" t="s">
        <v>5796</v>
      </c>
      <c r="U661" s="1" t="s">
        <v>5803</v>
      </c>
      <c r="V661" s="1">
        <v>1</v>
      </c>
      <c r="W661" s="1">
        <v>1</v>
      </c>
      <c r="X661" s="1">
        <v>0</v>
      </c>
      <c r="Y661" s="1">
        <v>0</v>
      </c>
      <c r="Z661" s="1">
        <v>1</v>
      </c>
      <c r="AA661" s="1" t="s">
        <v>109</v>
      </c>
      <c r="AB661" s="1" t="s">
        <v>109</v>
      </c>
      <c r="AC661" s="1">
        <v>1</v>
      </c>
      <c r="AD661" s="1" t="s">
        <v>109</v>
      </c>
      <c r="AE661" s="1" t="s">
        <v>109</v>
      </c>
      <c r="AF661" s="1" t="s">
        <v>109</v>
      </c>
      <c r="AG661" s="1" t="s">
        <v>109</v>
      </c>
      <c r="AH661" s="1" t="s">
        <v>109</v>
      </c>
      <c r="AI661" s="1" t="s">
        <v>109</v>
      </c>
      <c r="AJ661" s="1" t="s">
        <v>109</v>
      </c>
      <c r="AK661" s="1" t="s">
        <v>109</v>
      </c>
      <c r="AL661" s="1">
        <v>1</v>
      </c>
      <c r="AM661" s="1" t="s">
        <v>109</v>
      </c>
      <c r="AN661" s="1" t="s">
        <v>109</v>
      </c>
      <c r="AO661" s="1" t="s">
        <v>109</v>
      </c>
      <c r="AP661" s="1"/>
      <c r="AQ661" s="1">
        <v>1</v>
      </c>
      <c r="AR661" s="1"/>
      <c r="AS661" s="1"/>
      <c r="AT661" s="1">
        <v>0</v>
      </c>
      <c r="AU661" s="1">
        <v>0</v>
      </c>
      <c r="AV661" s="1">
        <v>0</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t="s">
        <v>109</v>
      </c>
      <c r="BT661" s="1">
        <v>676</v>
      </c>
      <c r="BU661" s="1" t="s">
        <v>109</v>
      </c>
      <c r="BV661" s="1"/>
      <c r="BW661" s="1"/>
      <c r="BX661" s="1"/>
      <c r="BY661" s="1"/>
      <c r="BZ661" s="1">
        <v>0</v>
      </c>
      <c r="CA661" s="1" t="s">
        <v>109</v>
      </c>
      <c r="CB661" s="1" t="s">
        <v>109</v>
      </c>
      <c r="CC661" s="1" t="s">
        <v>109</v>
      </c>
      <c r="CD661" s="1" t="s">
        <v>109</v>
      </c>
      <c r="CE661" s="1" t="s">
        <v>109</v>
      </c>
      <c r="CF661" s="1" t="s">
        <v>109</v>
      </c>
      <c r="CG661" s="1" t="s">
        <v>109</v>
      </c>
      <c r="CH661" s="1" t="s">
        <v>109</v>
      </c>
      <c r="CI661" s="1" t="s">
        <v>109</v>
      </c>
      <c r="CJ661" s="1" t="s">
        <v>109</v>
      </c>
      <c r="CK661" s="1"/>
      <c r="CL661" s="1">
        <v>0</v>
      </c>
      <c r="CM661" s="1">
        <v>0</v>
      </c>
      <c r="CN661" s="1">
        <v>0</v>
      </c>
    </row>
    <row r="662" spans="1:92" ht="14.25" customHeight="1" x14ac:dyDescent="0.15">
      <c r="A662" s="1" t="s">
        <v>5804</v>
      </c>
      <c r="B662" s="1" t="s">
        <v>189</v>
      </c>
      <c r="C662" s="1"/>
      <c r="D662" s="1"/>
      <c r="E662" s="1" t="s">
        <v>5805</v>
      </c>
      <c r="F662" s="1" t="s">
        <v>98</v>
      </c>
      <c r="G662" s="1" t="s">
        <v>141</v>
      </c>
      <c r="H662" s="1">
        <v>0</v>
      </c>
      <c r="I662" s="1" t="s">
        <v>161</v>
      </c>
      <c r="J662" s="1"/>
      <c r="K662" s="1"/>
      <c r="L662" s="1" t="s">
        <v>506</v>
      </c>
      <c r="M662" s="1" t="s">
        <v>2439</v>
      </c>
      <c r="N662" s="1">
        <v>0</v>
      </c>
      <c r="O662" s="1">
        <v>0</v>
      </c>
      <c r="P662" s="1" t="s">
        <v>507</v>
      </c>
      <c r="Q662" s="1" t="s">
        <v>268</v>
      </c>
      <c r="R662" s="1" t="s">
        <v>5806</v>
      </c>
      <c r="S662" s="1" t="s">
        <v>5807</v>
      </c>
      <c r="T662" s="1" t="s">
        <v>5796</v>
      </c>
      <c r="U662" s="1" t="s">
        <v>5808</v>
      </c>
      <c r="V662" s="1">
        <v>1</v>
      </c>
      <c r="W662" s="1">
        <v>1</v>
      </c>
      <c r="X662" s="1">
        <v>0</v>
      </c>
      <c r="Y662" s="1">
        <v>0</v>
      </c>
      <c r="Z662" s="1">
        <v>0</v>
      </c>
      <c r="AA662" s="1" t="s">
        <v>109</v>
      </c>
      <c r="AB662" s="1" t="s">
        <v>109</v>
      </c>
      <c r="AC662" s="1">
        <v>0</v>
      </c>
      <c r="AD662" s="1" t="s">
        <v>109</v>
      </c>
      <c r="AE662" s="1" t="s">
        <v>109</v>
      </c>
      <c r="AF662" s="1" t="s">
        <v>109</v>
      </c>
      <c r="AG662" s="1" t="s">
        <v>109</v>
      </c>
      <c r="AH662" s="1" t="s">
        <v>109</v>
      </c>
      <c r="AI662" s="1" t="s">
        <v>109</v>
      </c>
      <c r="AJ662" s="1" t="s">
        <v>109</v>
      </c>
      <c r="AK662" s="1" t="s">
        <v>109</v>
      </c>
      <c r="AL662" s="1">
        <v>0</v>
      </c>
      <c r="AM662" s="1" t="s">
        <v>109</v>
      </c>
      <c r="AN662" s="1" t="s">
        <v>109</v>
      </c>
      <c r="AO662" s="1" t="s">
        <v>109</v>
      </c>
      <c r="AP662" s="1"/>
      <c r="AQ662" s="1">
        <v>0</v>
      </c>
      <c r="AR662" s="1"/>
      <c r="AS662" s="1"/>
      <c r="AT662" s="1">
        <v>0</v>
      </c>
      <c r="AU662" s="1">
        <v>0</v>
      </c>
      <c r="AV662" s="1">
        <v>0</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t="s">
        <v>109</v>
      </c>
      <c r="BT662" s="1">
        <v>678</v>
      </c>
      <c r="BU662" s="1" t="s">
        <v>109</v>
      </c>
      <c r="BV662" s="1"/>
      <c r="BW662" s="1"/>
      <c r="BX662" s="1"/>
      <c r="BY662" s="1"/>
      <c r="BZ662" s="1">
        <v>0</v>
      </c>
      <c r="CA662" s="1" t="s">
        <v>109</v>
      </c>
      <c r="CB662" s="1" t="s">
        <v>109</v>
      </c>
      <c r="CC662" s="1" t="s">
        <v>109</v>
      </c>
      <c r="CD662" s="1" t="s">
        <v>109</v>
      </c>
      <c r="CE662" s="1" t="s">
        <v>109</v>
      </c>
      <c r="CF662" s="1" t="s">
        <v>109</v>
      </c>
      <c r="CG662" s="1" t="s">
        <v>109</v>
      </c>
      <c r="CH662" s="1" t="s">
        <v>109</v>
      </c>
      <c r="CI662" s="1" t="s">
        <v>109</v>
      </c>
      <c r="CJ662" s="1" t="s">
        <v>109</v>
      </c>
      <c r="CK662" s="1"/>
      <c r="CL662" s="1">
        <v>0</v>
      </c>
      <c r="CM662" s="1">
        <v>0</v>
      </c>
      <c r="CN662" s="1">
        <v>0</v>
      </c>
    </row>
    <row r="663" spans="1:92" ht="14.25" customHeight="1" x14ac:dyDescent="0.15">
      <c r="A663" s="1" t="s">
        <v>5809</v>
      </c>
      <c r="B663" s="1" t="s">
        <v>189</v>
      </c>
      <c r="C663" s="1"/>
      <c r="D663" s="1"/>
      <c r="E663" s="1" t="s">
        <v>5810</v>
      </c>
      <c r="F663" s="1" t="s">
        <v>98</v>
      </c>
      <c r="G663" s="1" t="s">
        <v>2345</v>
      </c>
      <c r="H663" s="1">
        <v>0</v>
      </c>
      <c r="I663" s="1" t="s">
        <v>161</v>
      </c>
      <c r="J663" s="1"/>
      <c r="K663" s="1"/>
      <c r="L663" s="1" t="s">
        <v>1285</v>
      </c>
      <c r="M663" s="1" t="s">
        <v>5811</v>
      </c>
      <c r="N663" s="1">
        <v>1</v>
      </c>
      <c r="O663" s="1">
        <v>0</v>
      </c>
      <c r="P663" s="1" t="s">
        <v>5812</v>
      </c>
      <c r="Q663" s="1" t="s">
        <v>104</v>
      </c>
      <c r="R663" s="1" t="s">
        <v>5813</v>
      </c>
      <c r="S663" s="1" t="s">
        <v>5814</v>
      </c>
      <c r="T663" s="1" t="s">
        <v>5815</v>
      </c>
      <c r="U663" s="1" t="s">
        <v>5816</v>
      </c>
      <c r="V663" s="1">
        <v>0</v>
      </c>
      <c r="W663" s="1">
        <v>1</v>
      </c>
      <c r="X663" s="1">
        <v>0</v>
      </c>
      <c r="Y663" s="1">
        <v>0</v>
      </c>
      <c r="Z663" s="1">
        <v>0</v>
      </c>
      <c r="AA663" s="1" t="s">
        <v>109</v>
      </c>
      <c r="AB663" s="1" t="s">
        <v>109</v>
      </c>
      <c r="AC663" s="1" t="s">
        <v>109</v>
      </c>
      <c r="AD663" s="1" t="s">
        <v>109</v>
      </c>
      <c r="AE663" s="1" t="s">
        <v>109</v>
      </c>
      <c r="AF663" s="1" t="s">
        <v>109</v>
      </c>
      <c r="AG663" s="1" t="s">
        <v>109</v>
      </c>
      <c r="AH663" s="1">
        <v>3</v>
      </c>
      <c r="AI663" s="1" t="s">
        <v>109</v>
      </c>
      <c r="AJ663" s="1" t="s">
        <v>109</v>
      </c>
      <c r="AK663" s="1" t="s">
        <v>109</v>
      </c>
      <c r="AL663" s="1" t="s">
        <v>109</v>
      </c>
      <c r="AM663" s="1" t="s">
        <v>109</v>
      </c>
      <c r="AN663" s="1" t="s">
        <v>109</v>
      </c>
      <c r="AO663" s="1" t="s">
        <v>109</v>
      </c>
      <c r="AP663" s="1"/>
      <c r="AQ663" s="1">
        <v>3</v>
      </c>
      <c r="AR663" s="1"/>
      <c r="AS663" s="1" t="s">
        <v>5817</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5" t="str">
        <f>HYPERLINK("http://www.d20pfsrd.com/magic/all-spells/a/absorbing-touch","Absorbing Touch")</f>
        <v>Absorbing Touch</v>
      </c>
      <c r="BT663" s="1">
        <v>679</v>
      </c>
      <c r="BU663" s="1" t="s">
        <v>109</v>
      </c>
      <c r="BV663" s="1"/>
      <c r="BW663" s="1"/>
      <c r="BX663" s="1"/>
      <c r="BY663" s="1"/>
      <c r="BZ663" s="1">
        <v>0</v>
      </c>
      <c r="CA663" s="1" t="s">
        <v>109</v>
      </c>
      <c r="CB663" s="1" t="s">
        <v>109</v>
      </c>
      <c r="CC663" s="1" t="s">
        <v>109</v>
      </c>
      <c r="CD663" s="1" t="s">
        <v>109</v>
      </c>
      <c r="CE663" s="1" t="s">
        <v>109</v>
      </c>
      <c r="CF663" s="1" t="s">
        <v>109</v>
      </c>
      <c r="CG663" s="1" t="s">
        <v>109</v>
      </c>
      <c r="CH663" s="1" t="s">
        <v>109</v>
      </c>
      <c r="CI663" s="1" t="s">
        <v>109</v>
      </c>
      <c r="CJ663" s="1" t="s">
        <v>109</v>
      </c>
      <c r="CK663" s="1"/>
      <c r="CL663" s="1">
        <v>0</v>
      </c>
      <c r="CM663" s="1">
        <v>0</v>
      </c>
      <c r="CN663" s="1">
        <v>0</v>
      </c>
    </row>
    <row r="664" spans="1:92" ht="14.25" customHeight="1" x14ac:dyDescent="0.15">
      <c r="A664" s="1" t="s">
        <v>5818</v>
      </c>
      <c r="B664" s="1" t="s">
        <v>189</v>
      </c>
      <c r="C664" s="1"/>
      <c r="D664" s="1" t="s">
        <v>67</v>
      </c>
      <c r="E664" s="1" t="s">
        <v>5819</v>
      </c>
      <c r="F664" s="1" t="s">
        <v>98</v>
      </c>
      <c r="G664" s="1" t="s">
        <v>5820</v>
      </c>
      <c r="H664" s="1">
        <v>0</v>
      </c>
      <c r="I664" s="1" t="s">
        <v>161</v>
      </c>
      <c r="J664" s="1"/>
      <c r="K664" s="1"/>
      <c r="L664" s="1" t="s">
        <v>506</v>
      </c>
      <c r="M664" s="1" t="s">
        <v>144</v>
      </c>
      <c r="N664" s="1">
        <v>0</v>
      </c>
      <c r="O664" s="1">
        <v>0</v>
      </c>
      <c r="P664" s="1" t="s">
        <v>267</v>
      </c>
      <c r="Q664" s="1" t="s">
        <v>268</v>
      </c>
      <c r="R664" s="1" t="s">
        <v>5821</v>
      </c>
      <c r="S664" s="1" t="s">
        <v>5822</v>
      </c>
      <c r="T664" s="1" t="s">
        <v>5815</v>
      </c>
      <c r="U664" s="1" t="s">
        <v>5823</v>
      </c>
      <c r="V664" s="1">
        <v>1</v>
      </c>
      <c r="W664" s="1">
        <v>1</v>
      </c>
      <c r="X664" s="1">
        <v>1</v>
      </c>
      <c r="Y664" s="1">
        <v>0</v>
      </c>
      <c r="Z664" s="1">
        <v>0</v>
      </c>
      <c r="AA664" s="1">
        <v>2</v>
      </c>
      <c r="AB664" s="1">
        <v>2</v>
      </c>
      <c r="AC664" s="1" t="s">
        <v>109</v>
      </c>
      <c r="AD664" s="1">
        <v>2</v>
      </c>
      <c r="AE664" s="1">
        <v>2</v>
      </c>
      <c r="AF664" s="1" t="s">
        <v>109</v>
      </c>
      <c r="AG664" s="1" t="s">
        <v>109</v>
      </c>
      <c r="AH664" s="1" t="s">
        <v>109</v>
      </c>
      <c r="AI664" s="1" t="s">
        <v>109</v>
      </c>
      <c r="AJ664" s="1" t="s">
        <v>109</v>
      </c>
      <c r="AK664" s="1" t="s">
        <v>109</v>
      </c>
      <c r="AL664" s="1" t="s">
        <v>109</v>
      </c>
      <c r="AM664" s="1" t="s">
        <v>109</v>
      </c>
      <c r="AN664" s="1" t="s">
        <v>109</v>
      </c>
      <c r="AO664" s="1" t="s">
        <v>109</v>
      </c>
      <c r="AP664" s="1"/>
      <c r="AQ664" s="1">
        <v>2</v>
      </c>
      <c r="AR664" s="1"/>
      <c r="AS664" s="1" t="s">
        <v>5824</v>
      </c>
      <c r="AT664" s="1">
        <v>0</v>
      </c>
      <c r="AU664" s="1">
        <v>0</v>
      </c>
      <c r="AV664" s="1">
        <v>0</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0</v>
      </c>
      <c r="BM664" s="1">
        <v>0</v>
      </c>
      <c r="BN664" s="1">
        <v>0</v>
      </c>
      <c r="BO664" s="1">
        <v>1</v>
      </c>
      <c r="BP664" s="1">
        <v>0</v>
      </c>
      <c r="BQ664" s="1">
        <v>0</v>
      </c>
      <c r="BR664" s="1">
        <v>0</v>
      </c>
      <c r="BS664" s="5" t="str">
        <f>HYPERLINK("http://www.d20pfsrd.com/magic/all-spells/a/accelerate-poison","Accelerate Poison")</f>
        <v>Accelerate Poison</v>
      </c>
      <c r="BT664" s="1">
        <v>680</v>
      </c>
      <c r="BU664" s="1" t="s">
        <v>109</v>
      </c>
      <c r="BV664" s="1"/>
      <c r="BW664" s="1" t="s">
        <v>977</v>
      </c>
      <c r="BX664" s="1"/>
      <c r="BY664" s="1"/>
      <c r="BZ664" s="1">
        <v>0</v>
      </c>
      <c r="CA664" s="1" t="s">
        <v>109</v>
      </c>
      <c r="CB664" s="1" t="s">
        <v>109</v>
      </c>
      <c r="CC664" s="1" t="s">
        <v>109</v>
      </c>
      <c r="CD664" s="1" t="s">
        <v>109</v>
      </c>
      <c r="CE664" s="1" t="s">
        <v>109</v>
      </c>
      <c r="CF664" s="1">
        <v>2</v>
      </c>
      <c r="CG664" s="1" t="s">
        <v>109</v>
      </c>
      <c r="CH664" s="1" t="s">
        <v>109</v>
      </c>
      <c r="CI664" s="1" t="s">
        <v>109</v>
      </c>
      <c r="CJ664" s="1">
        <v>2</v>
      </c>
      <c r="CK664" s="1"/>
      <c r="CL664" s="1">
        <v>0</v>
      </c>
      <c r="CM664" s="1">
        <v>0</v>
      </c>
      <c r="CN664" s="1">
        <v>0</v>
      </c>
    </row>
    <row r="665" spans="1:92" ht="14.25" customHeight="1" x14ac:dyDescent="0.15">
      <c r="A665" s="1" t="s">
        <v>5825</v>
      </c>
      <c r="B665" s="1" t="s">
        <v>95</v>
      </c>
      <c r="C665" s="1" t="s">
        <v>96</v>
      </c>
      <c r="D665" s="1" t="s">
        <v>46</v>
      </c>
      <c r="E665" s="1" t="s">
        <v>5826</v>
      </c>
      <c r="F665" s="1" t="s">
        <v>98</v>
      </c>
      <c r="G665" s="1" t="s">
        <v>5827</v>
      </c>
      <c r="H665" s="1">
        <v>1</v>
      </c>
      <c r="I665" s="1" t="s">
        <v>122</v>
      </c>
      <c r="J665" s="1"/>
      <c r="K665" s="1" t="s">
        <v>5828</v>
      </c>
      <c r="L665" s="1"/>
      <c r="M665" s="1" t="s">
        <v>5829</v>
      </c>
      <c r="N665" s="1">
        <v>0</v>
      </c>
      <c r="O665" s="1">
        <v>0</v>
      </c>
      <c r="P665" s="1" t="s">
        <v>5310</v>
      </c>
      <c r="Q665" s="1" t="s">
        <v>104</v>
      </c>
      <c r="R665" s="1" t="s">
        <v>5830</v>
      </c>
      <c r="S665" s="1" t="s">
        <v>5831</v>
      </c>
      <c r="T665" s="1" t="s">
        <v>5815</v>
      </c>
      <c r="U665" s="1" t="s">
        <v>5832</v>
      </c>
      <c r="V665" s="1">
        <v>1</v>
      </c>
      <c r="W665" s="1">
        <v>1</v>
      </c>
      <c r="X665" s="1">
        <v>1</v>
      </c>
      <c r="Y665" s="1">
        <v>0</v>
      </c>
      <c r="Z665" s="1">
        <v>0</v>
      </c>
      <c r="AA665" s="1">
        <v>4</v>
      </c>
      <c r="AB665" s="1">
        <v>4</v>
      </c>
      <c r="AC665" s="1" t="s">
        <v>109</v>
      </c>
      <c r="AD665" s="1" t="s">
        <v>109</v>
      </c>
      <c r="AE665" s="1" t="s">
        <v>109</v>
      </c>
      <c r="AF665" s="1" t="s">
        <v>109</v>
      </c>
      <c r="AG665" s="1" t="s">
        <v>109</v>
      </c>
      <c r="AH665" s="1" t="s">
        <v>109</v>
      </c>
      <c r="AI665" s="1">
        <v>4</v>
      </c>
      <c r="AJ665" s="1" t="s">
        <v>109</v>
      </c>
      <c r="AK665" s="1" t="s">
        <v>109</v>
      </c>
      <c r="AL665" s="1" t="s">
        <v>109</v>
      </c>
      <c r="AM665" s="1" t="s">
        <v>109</v>
      </c>
      <c r="AN665" s="1" t="s">
        <v>109</v>
      </c>
      <c r="AO665" s="1" t="s">
        <v>109</v>
      </c>
      <c r="AP665" s="1"/>
      <c r="AQ665" s="1">
        <v>4</v>
      </c>
      <c r="AR665" s="1"/>
      <c r="AS665" s="1" t="s">
        <v>5833</v>
      </c>
      <c r="AT665" s="1">
        <v>1</v>
      </c>
      <c r="AU665" s="1">
        <v>0</v>
      </c>
      <c r="AV665" s="1">
        <v>0</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5" t="str">
        <f>HYPERLINK("http://www.d20pfsrd.com/magic/all-spells/a/acid-pit","Acid Pit")</f>
        <v>Acid Pit</v>
      </c>
      <c r="BT665" s="1">
        <v>681</v>
      </c>
      <c r="BU665" s="1">
        <v>10</v>
      </c>
      <c r="BV665" s="1"/>
      <c r="BW665" s="1"/>
      <c r="BX665" s="1"/>
      <c r="BY665" s="1"/>
      <c r="BZ665" s="1">
        <v>0</v>
      </c>
      <c r="CA665" s="1" t="s">
        <v>109</v>
      </c>
      <c r="CB665" s="1" t="s">
        <v>109</v>
      </c>
      <c r="CC665" s="1" t="s">
        <v>109</v>
      </c>
      <c r="CD665" s="1" t="s">
        <v>109</v>
      </c>
      <c r="CE665" s="1" t="s">
        <v>109</v>
      </c>
      <c r="CF665" s="1" t="s">
        <v>109</v>
      </c>
      <c r="CG665" s="1" t="s">
        <v>109</v>
      </c>
      <c r="CH665" s="1" t="s">
        <v>109</v>
      </c>
      <c r="CI665" s="1" t="s">
        <v>109</v>
      </c>
      <c r="CJ665" s="1" t="s">
        <v>109</v>
      </c>
      <c r="CK665" s="1"/>
      <c r="CL665" s="1">
        <v>0</v>
      </c>
      <c r="CM665" s="1">
        <v>0</v>
      </c>
      <c r="CN665" s="1">
        <v>0</v>
      </c>
    </row>
    <row r="666" spans="1:92" ht="14.25" customHeight="1" x14ac:dyDescent="0.15">
      <c r="A666" s="1" t="s">
        <v>5834</v>
      </c>
      <c r="B666" s="1" t="s">
        <v>189</v>
      </c>
      <c r="C666" s="1"/>
      <c r="D666" s="1"/>
      <c r="E666" s="1" t="s">
        <v>5835</v>
      </c>
      <c r="F666" s="1" t="s">
        <v>98</v>
      </c>
      <c r="G666" s="1" t="s">
        <v>2345</v>
      </c>
      <c r="H666" s="1">
        <v>0</v>
      </c>
      <c r="I666" s="1" t="s">
        <v>235</v>
      </c>
      <c r="J666" s="1"/>
      <c r="K666" s="1"/>
      <c r="L666" s="1" t="s">
        <v>236</v>
      </c>
      <c r="M666" s="1" t="s">
        <v>355</v>
      </c>
      <c r="N666" s="1">
        <v>0</v>
      </c>
      <c r="O666" s="1">
        <v>0</v>
      </c>
      <c r="P666" s="1"/>
      <c r="Q666" s="1"/>
      <c r="R666" s="1" t="s">
        <v>5836</v>
      </c>
      <c r="S666" s="1" t="s">
        <v>5837</v>
      </c>
      <c r="T666" s="1" t="s">
        <v>5815</v>
      </c>
      <c r="U666" s="1" t="s">
        <v>5838</v>
      </c>
      <c r="V666" s="1">
        <v>0</v>
      </c>
      <c r="W666" s="1">
        <v>1</v>
      </c>
      <c r="X666" s="1">
        <v>0</v>
      </c>
      <c r="Y666" s="1">
        <v>0</v>
      </c>
      <c r="Z666" s="1">
        <v>0</v>
      </c>
      <c r="AA666" s="1" t="s">
        <v>109</v>
      </c>
      <c r="AB666" s="1" t="s">
        <v>109</v>
      </c>
      <c r="AC666" s="1" t="s">
        <v>109</v>
      </c>
      <c r="AD666" s="1" t="s">
        <v>109</v>
      </c>
      <c r="AE666" s="1" t="s">
        <v>109</v>
      </c>
      <c r="AF666" s="1" t="s">
        <v>109</v>
      </c>
      <c r="AG666" s="1" t="s">
        <v>109</v>
      </c>
      <c r="AH666" s="1">
        <v>2</v>
      </c>
      <c r="AI666" s="1" t="s">
        <v>109</v>
      </c>
      <c r="AJ666" s="1" t="s">
        <v>109</v>
      </c>
      <c r="AK666" s="1" t="s">
        <v>109</v>
      </c>
      <c r="AL666" s="1" t="s">
        <v>109</v>
      </c>
      <c r="AM666" s="1" t="s">
        <v>109</v>
      </c>
      <c r="AN666" s="1" t="s">
        <v>109</v>
      </c>
      <c r="AO666" s="1" t="s">
        <v>109</v>
      </c>
      <c r="AP666" s="1"/>
      <c r="AQ666" s="1">
        <v>2</v>
      </c>
      <c r="AR666" s="1"/>
      <c r="AS666" s="1" t="s">
        <v>5839</v>
      </c>
      <c r="AT666" s="1">
        <v>0</v>
      </c>
      <c r="AU666" s="1">
        <v>0</v>
      </c>
      <c r="AV666" s="1">
        <v>0</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5" t="str">
        <f>HYPERLINK("http://www.d20pfsrd.com/magic/all-spells/a/alchemical-allocation","Alchemical Allocation")</f>
        <v>Alchemical Allocation</v>
      </c>
      <c r="BT666" s="1">
        <v>682</v>
      </c>
      <c r="BU666" s="1" t="s">
        <v>109</v>
      </c>
      <c r="BV666" s="1"/>
      <c r="BW666" s="1"/>
      <c r="BX666" s="1"/>
      <c r="BY666" s="1"/>
      <c r="BZ666" s="1">
        <v>0</v>
      </c>
      <c r="CA666" s="1" t="s">
        <v>109</v>
      </c>
      <c r="CB666" s="1" t="s">
        <v>109</v>
      </c>
      <c r="CC666" s="1" t="s">
        <v>109</v>
      </c>
      <c r="CD666" s="1" t="s">
        <v>109</v>
      </c>
      <c r="CE666" s="1" t="s">
        <v>109</v>
      </c>
      <c r="CF666" s="1" t="s">
        <v>109</v>
      </c>
      <c r="CG666" s="1" t="s">
        <v>109</v>
      </c>
      <c r="CH666" s="1" t="s">
        <v>109</v>
      </c>
      <c r="CI666" s="1" t="s">
        <v>109</v>
      </c>
      <c r="CJ666" s="1" t="s">
        <v>109</v>
      </c>
      <c r="CK666" s="1"/>
      <c r="CL666" s="1">
        <v>0</v>
      </c>
      <c r="CM666" s="1">
        <v>0</v>
      </c>
      <c r="CN666" s="1">
        <v>0</v>
      </c>
    </row>
    <row r="667" spans="1:92" ht="14.25" customHeight="1" x14ac:dyDescent="0.15">
      <c r="A667" s="1" t="s">
        <v>5840</v>
      </c>
      <c r="B667" s="1" t="s">
        <v>189</v>
      </c>
      <c r="C667" s="1"/>
      <c r="D667" s="1"/>
      <c r="E667" s="1" t="s">
        <v>5841</v>
      </c>
      <c r="F667" s="1" t="s">
        <v>98</v>
      </c>
      <c r="G667" s="1" t="s">
        <v>5842</v>
      </c>
      <c r="H667" s="1">
        <v>0</v>
      </c>
      <c r="I667" s="1" t="s">
        <v>161</v>
      </c>
      <c r="J667" s="1"/>
      <c r="K667" s="1"/>
      <c r="L667" s="1" t="s">
        <v>5843</v>
      </c>
      <c r="M667" s="1" t="s">
        <v>144</v>
      </c>
      <c r="N667" s="1">
        <v>0</v>
      </c>
      <c r="O667" s="1">
        <v>0</v>
      </c>
      <c r="P667" s="1" t="s">
        <v>629</v>
      </c>
      <c r="Q667" s="1" t="s">
        <v>630</v>
      </c>
      <c r="R667" s="1" t="s">
        <v>5844</v>
      </c>
      <c r="S667" s="1" t="s">
        <v>5845</v>
      </c>
      <c r="T667" s="1" t="s">
        <v>5815</v>
      </c>
      <c r="U667" s="1" t="s">
        <v>5846</v>
      </c>
      <c r="V667" s="1">
        <v>1</v>
      </c>
      <c r="W667" s="1">
        <v>1</v>
      </c>
      <c r="X667" s="1">
        <v>1</v>
      </c>
      <c r="Y667" s="1">
        <v>0</v>
      </c>
      <c r="Z667" s="1">
        <v>0</v>
      </c>
      <c r="AA667" s="1" t="s">
        <v>109</v>
      </c>
      <c r="AB667" s="1" t="s">
        <v>109</v>
      </c>
      <c r="AC667" s="1" t="s">
        <v>109</v>
      </c>
      <c r="AD667" s="1" t="s">
        <v>109</v>
      </c>
      <c r="AE667" s="1">
        <v>2</v>
      </c>
      <c r="AF667" s="1" t="s">
        <v>109</v>
      </c>
      <c r="AG667" s="1" t="s">
        <v>109</v>
      </c>
      <c r="AH667" s="1" t="s">
        <v>109</v>
      </c>
      <c r="AI667" s="1" t="s">
        <v>109</v>
      </c>
      <c r="AJ667" s="1" t="s">
        <v>109</v>
      </c>
      <c r="AK667" s="1" t="s">
        <v>109</v>
      </c>
      <c r="AL667" s="1" t="s">
        <v>109</v>
      </c>
      <c r="AM667" s="1" t="s">
        <v>109</v>
      </c>
      <c r="AN667" s="1" t="s">
        <v>109</v>
      </c>
      <c r="AO667" s="1" t="s">
        <v>109</v>
      </c>
      <c r="AP667" s="1"/>
      <c r="AQ667" s="1">
        <v>2</v>
      </c>
      <c r="AR667" s="1"/>
      <c r="AS667" s="1" t="s">
        <v>5847</v>
      </c>
      <c r="AT667" s="1">
        <v>0</v>
      </c>
      <c r="AU667" s="1">
        <v>0</v>
      </c>
      <c r="AV667" s="1">
        <v>0</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5" t="str">
        <f>HYPERLINK("http://www.d20pfsrd.com/magic/all-spells/a/allfood","Allfood")</f>
        <v>Allfood</v>
      </c>
      <c r="BT667" s="1">
        <v>683</v>
      </c>
      <c r="BU667" s="1" t="s">
        <v>109</v>
      </c>
      <c r="BV667" s="1"/>
      <c r="BW667" s="1"/>
      <c r="BX667" s="1"/>
      <c r="BY667" s="1"/>
      <c r="BZ667" s="1">
        <v>0</v>
      </c>
      <c r="CA667" s="1" t="s">
        <v>109</v>
      </c>
      <c r="CB667" s="1" t="s">
        <v>109</v>
      </c>
      <c r="CC667" s="1" t="s">
        <v>109</v>
      </c>
      <c r="CD667" s="1" t="s">
        <v>109</v>
      </c>
      <c r="CE667" s="1" t="s">
        <v>109</v>
      </c>
      <c r="CF667" s="1" t="s">
        <v>109</v>
      </c>
      <c r="CG667" s="1" t="s">
        <v>109</v>
      </c>
      <c r="CH667" s="1" t="s">
        <v>109</v>
      </c>
      <c r="CI667" s="1" t="s">
        <v>109</v>
      </c>
      <c r="CJ667" s="1">
        <v>2</v>
      </c>
      <c r="CK667" s="1"/>
      <c r="CL667" s="1">
        <v>0</v>
      </c>
      <c r="CM667" s="1">
        <v>0</v>
      </c>
      <c r="CN667" s="1">
        <v>0</v>
      </c>
    </row>
    <row r="668" spans="1:92" ht="14.25" customHeight="1" x14ac:dyDescent="0.15">
      <c r="A668" s="1" t="s">
        <v>5848</v>
      </c>
      <c r="B668" s="1" t="s">
        <v>189</v>
      </c>
      <c r="C668" s="1"/>
      <c r="D668" s="1" t="s">
        <v>47</v>
      </c>
      <c r="E668" s="1" t="s">
        <v>5849</v>
      </c>
      <c r="F668" s="1" t="s">
        <v>277</v>
      </c>
      <c r="G668" s="1" t="s">
        <v>141</v>
      </c>
      <c r="H668" s="1">
        <v>0</v>
      </c>
      <c r="I668" s="1" t="s">
        <v>161</v>
      </c>
      <c r="J668" s="1" t="s">
        <v>5850</v>
      </c>
      <c r="K668" s="1"/>
      <c r="L668" s="1"/>
      <c r="M668" s="1" t="s">
        <v>289</v>
      </c>
      <c r="N668" s="1">
        <v>0</v>
      </c>
      <c r="O668" s="1">
        <v>0</v>
      </c>
      <c r="P668" s="1" t="s">
        <v>301</v>
      </c>
      <c r="Q668" s="1" t="s">
        <v>268</v>
      </c>
      <c r="R668" s="1" t="s">
        <v>5851</v>
      </c>
      <c r="S668" s="1" t="s">
        <v>5852</v>
      </c>
      <c r="T668" s="1" t="s">
        <v>5815</v>
      </c>
      <c r="U668" s="1" t="s">
        <v>5853</v>
      </c>
      <c r="V668" s="1">
        <v>1</v>
      </c>
      <c r="W668" s="1">
        <v>1</v>
      </c>
      <c r="X668" s="1">
        <v>0</v>
      </c>
      <c r="Y668" s="1">
        <v>0</v>
      </c>
      <c r="Z668" s="1">
        <v>0</v>
      </c>
      <c r="AA668" s="1">
        <v>1</v>
      </c>
      <c r="AB668" s="1">
        <v>1</v>
      </c>
      <c r="AC668" s="1" t="s">
        <v>109</v>
      </c>
      <c r="AD668" s="1">
        <v>1</v>
      </c>
      <c r="AE668" s="1" t="s">
        <v>109</v>
      </c>
      <c r="AF668" s="1" t="s">
        <v>109</v>
      </c>
      <c r="AG668" s="1" t="s">
        <v>109</v>
      </c>
      <c r="AH668" s="1" t="s">
        <v>109</v>
      </c>
      <c r="AI668" s="1" t="s">
        <v>109</v>
      </c>
      <c r="AJ668" s="1" t="s">
        <v>109</v>
      </c>
      <c r="AK668" s="1" t="s">
        <v>109</v>
      </c>
      <c r="AL668" s="1" t="s">
        <v>109</v>
      </c>
      <c r="AM668" s="1" t="s">
        <v>109</v>
      </c>
      <c r="AN668" s="1" t="s">
        <v>109</v>
      </c>
      <c r="AO668" s="1" t="s">
        <v>109</v>
      </c>
      <c r="AP668" s="1"/>
      <c r="AQ668" s="1">
        <v>1</v>
      </c>
      <c r="AR668" s="1"/>
      <c r="AS668" s="1" t="s">
        <v>5854</v>
      </c>
      <c r="AT668" s="1">
        <v>0</v>
      </c>
      <c r="AU668" s="1">
        <v>1</v>
      </c>
      <c r="AV668" s="1">
        <v>0</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5" t="str">
        <f>HYPERLINK("http://www.d20pfsrd.com/magic/all-spells/a/alter-winds","Alter Winds")</f>
        <v>Alter Winds</v>
      </c>
      <c r="BT668" s="1">
        <v>684</v>
      </c>
      <c r="BU668" s="1" t="s">
        <v>109</v>
      </c>
      <c r="BV668" s="1"/>
      <c r="BW668" s="1"/>
      <c r="BX668" s="1"/>
      <c r="BY668" s="1"/>
      <c r="BZ668" s="1">
        <v>0</v>
      </c>
      <c r="CA668" s="1" t="s">
        <v>109</v>
      </c>
      <c r="CB668" s="1" t="s">
        <v>109</v>
      </c>
      <c r="CC668" s="1" t="s">
        <v>109</v>
      </c>
      <c r="CD668" s="1" t="s">
        <v>109</v>
      </c>
      <c r="CE668" s="1" t="s">
        <v>109</v>
      </c>
      <c r="CF668" s="1">
        <v>1</v>
      </c>
      <c r="CG668" s="1">
        <v>1</v>
      </c>
      <c r="CH668" s="1" t="s">
        <v>109</v>
      </c>
      <c r="CI668" s="1" t="s">
        <v>109</v>
      </c>
      <c r="CJ668" s="1">
        <v>1</v>
      </c>
      <c r="CK668" s="1"/>
      <c r="CL668" s="1">
        <v>0</v>
      </c>
      <c r="CM668" s="1">
        <v>0</v>
      </c>
      <c r="CN668" s="1">
        <v>0</v>
      </c>
    </row>
    <row r="669" spans="1:92" ht="14.25" customHeight="1" x14ac:dyDescent="0.15">
      <c r="A669" s="1" t="s">
        <v>5855</v>
      </c>
      <c r="B669" s="1" t="s">
        <v>189</v>
      </c>
      <c r="C669" s="1"/>
      <c r="D669" s="1"/>
      <c r="E669" s="1" t="s">
        <v>5810</v>
      </c>
      <c r="F669" s="1" t="s">
        <v>98</v>
      </c>
      <c r="G669" s="1" t="s">
        <v>2345</v>
      </c>
      <c r="H669" s="1">
        <v>0</v>
      </c>
      <c r="I669" s="1" t="s">
        <v>235</v>
      </c>
      <c r="J669" s="1"/>
      <c r="K669" s="1"/>
      <c r="L669" s="1" t="s">
        <v>236</v>
      </c>
      <c r="M669" s="1" t="s">
        <v>125</v>
      </c>
      <c r="N669" s="1">
        <v>0</v>
      </c>
      <c r="O669" s="1">
        <v>0</v>
      </c>
      <c r="P669" s="1"/>
      <c r="Q669" s="1"/>
      <c r="R669" s="1" t="s">
        <v>5856</v>
      </c>
      <c r="S669" s="1" t="s">
        <v>5857</v>
      </c>
      <c r="T669" s="1" t="s">
        <v>5815</v>
      </c>
      <c r="U669" s="1" t="s">
        <v>5858</v>
      </c>
      <c r="V669" s="1">
        <v>0</v>
      </c>
      <c r="W669" s="1">
        <v>1</v>
      </c>
      <c r="X669" s="1">
        <v>0</v>
      </c>
      <c r="Y669" s="1">
        <v>0</v>
      </c>
      <c r="Z669" s="1">
        <v>0</v>
      </c>
      <c r="AA669" s="1" t="s">
        <v>109</v>
      </c>
      <c r="AB669" s="1" t="s">
        <v>109</v>
      </c>
      <c r="AC669" s="1" t="s">
        <v>109</v>
      </c>
      <c r="AD669" s="1" t="s">
        <v>109</v>
      </c>
      <c r="AE669" s="1" t="s">
        <v>109</v>
      </c>
      <c r="AF669" s="1" t="s">
        <v>109</v>
      </c>
      <c r="AG669" s="1" t="s">
        <v>109</v>
      </c>
      <c r="AH669" s="1">
        <v>3</v>
      </c>
      <c r="AI669" s="1" t="s">
        <v>109</v>
      </c>
      <c r="AJ669" s="1" t="s">
        <v>109</v>
      </c>
      <c r="AK669" s="1" t="s">
        <v>109</v>
      </c>
      <c r="AL669" s="1" t="s">
        <v>109</v>
      </c>
      <c r="AM669" s="1" t="s">
        <v>109</v>
      </c>
      <c r="AN669" s="1" t="s">
        <v>109</v>
      </c>
      <c r="AO669" s="1" t="s">
        <v>109</v>
      </c>
      <c r="AP669" s="1"/>
      <c r="AQ669" s="1">
        <v>3</v>
      </c>
      <c r="AR669" s="1"/>
      <c r="AS669" s="1" t="s">
        <v>5859</v>
      </c>
      <c r="AT669" s="1">
        <v>0</v>
      </c>
      <c r="AU669" s="1">
        <v>0</v>
      </c>
      <c r="AV669" s="1">
        <v>0</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5" t="str">
        <f>HYPERLINK("http://www.d20pfsrd.com/magic/all-spells/a/amplify-elixir","Amplify Elixir")</f>
        <v>Amplify Elixir</v>
      </c>
      <c r="BT669" s="1">
        <v>685</v>
      </c>
      <c r="BU669" s="1" t="s">
        <v>109</v>
      </c>
      <c r="BV669" s="1"/>
      <c r="BW669" s="1"/>
      <c r="BX669" s="1"/>
      <c r="BY669" s="1"/>
      <c r="BZ669" s="1">
        <v>0</v>
      </c>
      <c r="CA669" s="1" t="s">
        <v>109</v>
      </c>
      <c r="CB669" s="1" t="s">
        <v>109</v>
      </c>
      <c r="CC669" s="1" t="s">
        <v>109</v>
      </c>
      <c r="CD669" s="1" t="s">
        <v>109</v>
      </c>
      <c r="CE669" s="1" t="s">
        <v>109</v>
      </c>
      <c r="CF669" s="1" t="s">
        <v>109</v>
      </c>
      <c r="CG669" s="1" t="s">
        <v>109</v>
      </c>
      <c r="CH669" s="1" t="s">
        <v>109</v>
      </c>
      <c r="CI669" s="1" t="s">
        <v>109</v>
      </c>
      <c r="CJ669" s="1" t="s">
        <v>109</v>
      </c>
      <c r="CK669" s="1"/>
      <c r="CL669" s="1">
        <v>0</v>
      </c>
      <c r="CM669" s="1">
        <v>0</v>
      </c>
      <c r="CN669" s="1">
        <v>0</v>
      </c>
    </row>
    <row r="670" spans="1:92" ht="14.25" customHeight="1" x14ac:dyDescent="0.15">
      <c r="A670" s="1" t="s">
        <v>5860</v>
      </c>
      <c r="B670" s="1" t="s">
        <v>189</v>
      </c>
      <c r="C670" s="1"/>
      <c r="D670" s="1"/>
      <c r="E670" s="1" t="s">
        <v>5861</v>
      </c>
      <c r="F670" s="1" t="s">
        <v>98</v>
      </c>
      <c r="G670" s="1" t="s">
        <v>5862</v>
      </c>
      <c r="H670" s="1">
        <v>0</v>
      </c>
      <c r="I670" s="1" t="s">
        <v>161</v>
      </c>
      <c r="J670" s="1"/>
      <c r="K670" s="1"/>
      <c r="L670" s="1" t="s">
        <v>506</v>
      </c>
      <c r="M670" s="1" t="s">
        <v>246</v>
      </c>
      <c r="N670" s="1">
        <v>0</v>
      </c>
      <c r="O670" s="1">
        <v>0</v>
      </c>
      <c r="P670" s="1" t="s">
        <v>1382</v>
      </c>
      <c r="Q670" s="1" t="s">
        <v>167</v>
      </c>
      <c r="R670" s="1" t="s">
        <v>5863</v>
      </c>
      <c r="S670" s="1" t="s">
        <v>5864</v>
      </c>
      <c r="T670" s="1" t="s">
        <v>5815</v>
      </c>
      <c r="U670" s="1" t="s">
        <v>5865</v>
      </c>
      <c r="V670" s="1">
        <v>1</v>
      </c>
      <c r="W670" s="1">
        <v>1</v>
      </c>
      <c r="X670" s="1">
        <v>1</v>
      </c>
      <c r="Y670" s="1">
        <v>0</v>
      </c>
      <c r="Z670" s="1">
        <v>1</v>
      </c>
      <c r="AA670" s="1">
        <v>1</v>
      </c>
      <c r="AB670" s="1">
        <v>1</v>
      </c>
      <c r="AC670" s="1">
        <v>1</v>
      </c>
      <c r="AD670" s="1">
        <v>1</v>
      </c>
      <c r="AE670" s="1">
        <v>1</v>
      </c>
      <c r="AF670" s="1" t="s">
        <v>109</v>
      </c>
      <c r="AG670" s="1" t="s">
        <v>109</v>
      </c>
      <c r="AH670" s="1">
        <v>1</v>
      </c>
      <c r="AI670" s="1">
        <v>1</v>
      </c>
      <c r="AJ670" s="1" t="s">
        <v>109</v>
      </c>
      <c r="AK670" s="1" t="s">
        <v>109</v>
      </c>
      <c r="AL670" s="1">
        <v>1</v>
      </c>
      <c r="AM670" s="1" t="s">
        <v>109</v>
      </c>
      <c r="AN670" s="1" t="s">
        <v>109</v>
      </c>
      <c r="AO670" s="1" t="s">
        <v>109</v>
      </c>
      <c r="AP670" s="1"/>
      <c r="AQ670" s="1">
        <v>1</v>
      </c>
      <c r="AR670" s="1"/>
      <c r="AS670" s="1" t="s">
        <v>5866</v>
      </c>
      <c r="AT670" s="1">
        <v>0</v>
      </c>
      <c r="AU670" s="1">
        <v>0</v>
      </c>
      <c r="AV670" s="1">
        <v>0</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5" t="str">
        <f>HYPERLINK("http://www.d20pfsrd.com/magic/all-spells/a/ant-haul","Ant Haul")</f>
        <v>Ant Haul</v>
      </c>
      <c r="BT670" s="1">
        <v>686</v>
      </c>
      <c r="BU670" s="1" t="s">
        <v>109</v>
      </c>
      <c r="BV670" s="1"/>
      <c r="BW670" s="1"/>
      <c r="BX670" s="1"/>
      <c r="BY670" s="1"/>
      <c r="BZ670" s="1">
        <v>0</v>
      </c>
      <c r="CA670" s="1" t="s">
        <v>109</v>
      </c>
      <c r="CB670" s="1" t="s">
        <v>109</v>
      </c>
      <c r="CC670" s="1">
        <v>1</v>
      </c>
      <c r="CD670" s="1" t="s">
        <v>109</v>
      </c>
      <c r="CE670" s="1" t="s">
        <v>109</v>
      </c>
      <c r="CF670" s="1">
        <v>1</v>
      </c>
      <c r="CG670" s="1" t="s">
        <v>109</v>
      </c>
      <c r="CH670" s="1" t="s">
        <v>109</v>
      </c>
      <c r="CI670" s="1" t="s">
        <v>109</v>
      </c>
      <c r="CJ670" s="1">
        <v>1</v>
      </c>
      <c r="CK670" s="1"/>
      <c r="CL670" s="1">
        <v>0</v>
      </c>
      <c r="CM670" s="1">
        <v>0</v>
      </c>
      <c r="CN670" s="1">
        <v>0</v>
      </c>
    </row>
    <row r="671" spans="1:92" ht="14.25" customHeight="1" x14ac:dyDescent="0.15">
      <c r="A671" s="1" t="s">
        <v>5867</v>
      </c>
      <c r="B671" s="1" t="s">
        <v>95</v>
      </c>
      <c r="C671" s="1" t="s">
        <v>96</v>
      </c>
      <c r="D671" s="1" t="s">
        <v>70</v>
      </c>
      <c r="E671" s="1" t="s">
        <v>5868</v>
      </c>
      <c r="F671" s="1" t="s">
        <v>98</v>
      </c>
      <c r="G671" s="1" t="s">
        <v>5869</v>
      </c>
      <c r="H671" s="1">
        <v>0</v>
      </c>
      <c r="I671" s="1" t="s">
        <v>122</v>
      </c>
      <c r="J671" s="1"/>
      <c r="K671" s="1" t="s">
        <v>5870</v>
      </c>
      <c r="L671" s="1"/>
      <c r="M671" s="1" t="s">
        <v>125</v>
      </c>
      <c r="N671" s="1">
        <v>0</v>
      </c>
      <c r="O671" s="1">
        <v>0</v>
      </c>
      <c r="P671" s="1" t="s">
        <v>2092</v>
      </c>
      <c r="Q671" s="1" t="s">
        <v>104</v>
      </c>
      <c r="R671" s="1" t="s">
        <v>5871</v>
      </c>
      <c r="S671" s="1" t="s">
        <v>5872</v>
      </c>
      <c r="T671" s="1" t="s">
        <v>5815</v>
      </c>
      <c r="U671" s="1" t="s">
        <v>5873</v>
      </c>
      <c r="V671" s="1">
        <v>1</v>
      </c>
      <c r="W671" s="1">
        <v>1</v>
      </c>
      <c r="X671" s="1">
        <v>1</v>
      </c>
      <c r="Y671" s="1">
        <v>0</v>
      </c>
      <c r="Z671" s="1">
        <v>0</v>
      </c>
      <c r="AA671" s="1">
        <v>3</v>
      </c>
      <c r="AB671" s="1">
        <v>3</v>
      </c>
      <c r="AC671" s="1" t="s">
        <v>109</v>
      </c>
      <c r="AD671" s="1">
        <v>3</v>
      </c>
      <c r="AE671" s="1" t="s">
        <v>109</v>
      </c>
      <c r="AF671" s="1" t="s">
        <v>109</v>
      </c>
      <c r="AG671" s="1" t="s">
        <v>109</v>
      </c>
      <c r="AH671" s="1" t="s">
        <v>109</v>
      </c>
      <c r="AI671" s="1">
        <v>3</v>
      </c>
      <c r="AJ671" s="1" t="s">
        <v>109</v>
      </c>
      <c r="AK671" s="1" t="s">
        <v>109</v>
      </c>
      <c r="AL671" s="1" t="s">
        <v>109</v>
      </c>
      <c r="AM671" s="1" t="s">
        <v>109</v>
      </c>
      <c r="AN671" s="1">
        <v>3</v>
      </c>
      <c r="AO671" s="1" t="s">
        <v>109</v>
      </c>
      <c r="AP671" s="1"/>
      <c r="AQ671" s="1">
        <v>3</v>
      </c>
      <c r="AR671" s="1"/>
      <c r="AS671" s="1" t="s">
        <v>5874</v>
      </c>
      <c r="AT671" s="1">
        <v>0</v>
      </c>
      <c r="AU671" s="1">
        <v>0</v>
      </c>
      <c r="AV671" s="1">
        <v>0</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1</v>
      </c>
      <c r="BS671" s="1" t="s">
        <v>109</v>
      </c>
      <c r="BT671" s="1">
        <v>687</v>
      </c>
      <c r="BU671" s="1" t="s">
        <v>109</v>
      </c>
      <c r="BV671" s="1" t="s">
        <v>5875</v>
      </c>
      <c r="BW671" s="1"/>
      <c r="BX671" s="1"/>
      <c r="BY671" s="1"/>
      <c r="BZ671" s="1">
        <v>0</v>
      </c>
      <c r="CA671" s="1">
        <v>3</v>
      </c>
      <c r="CB671" s="1" t="s">
        <v>109</v>
      </c>
      <c r="CC671" s="1" t="s">
        <v>109</v>
      </c>
      <c r="CD671" s="1" t="s">
        <v>109</v>
      </c>
      <c r="CE671" s="1" t="s">
        <v>109</v>
      </c>
      <c r="CF671" s="1" t="s">
        <v>109</v>
      </c>
      <c r="CG671" s="1" t="s">
        <v>109</v>
      </c>
      <c r="CH671" s="1" t="s">
        <v>109</v>
      </c>
      <c r="CI671" s="1" t="s">
        <v>109</v>
      </c>
      <c r="CJ671" s="1">
        <v>3</v>
      </c>
      <c r="CK671" s="1"/>
      <c r="CL671" s="1">
        <v>0</v>
      </c>
      <c r="CM671" s="1">
        <v>0</v>
      </c>
      <c r="CN671" s="1">
        <v>0</v>
      </c>
    </row>
    <row r="672" spans="1:92" ht="14.25" customHeight="1" x14ac:dyDescent="0.15">
      <c r="A672" s="1" t="s">
        <v>5876</v>
      </c>
      <c r="B672" s="1" t="s">
        <v>584</v>
      </c>
      <c r="C672" s="1"/>
      <c r="D672" s="1"/>
      <c r="E672" s="1" t="s">
        <v>2403</v>
      </c>
      <c r="F672" s="1" t="s">
        <v>98</v>
      </c>
      <c r="G672" s="1" t="s">
        <v>5877</v>
      </c>
      <c r="H672" s="1">
        <v>0</v>
      </c>
      <c r="I672" s="1" t="s">
        <v>235</v>
      </c>
      <c r="J672" s="1" t="s">
        <v>4038</v>
      </c>
      <c r="K672" s="1"/>
      <c r="L672" s="1" t="s">
        <v>236</v>
      </c>
      <c r="M672" s="1" t="s">
        <v>125</v>
      </c>
      <c r="N672" s="1">
        <v>0</v>
      </c>
      <c r="O672" s="1">
        <v>0</v>
      </c>
      <c r="P672" s="1" t="s">
        <v>103</v>
      </c>
      <c r="Q672" s="1" t="s">
        <v>104</v>
      </c>
      <c r="R672" s="1" t="s">
        <v>5878</v>
      </c>
      <c r="S672" s="1" t="s">
        <v>5879</v>
      </c>
      <c r="T672" s="1" t="s">
        <v>5815</v>
      </c>
      <c r="U672" s="1" t="s">
        <v>5880</v>
      </c>
      <c r="V672" s="1">
        <v>1</v>
      </c>
      <c r="W672" s="1">
        <v>1</v>
      </c>
      <c r="X672" s="1">
        <v>1</v>
      </c>
      <c r="Y672" s="1">
        <v>0</v>
      </c>
      <c r="Z672" s="1">
        <v>0</v>
      </c>
      <c r="AA672" s="1" t="s">
        <v>109</v>
      </c>
      <c r="AB672" s="1" t="s">
        <v>109</v>
      </c>
      <c r="AC672" s="1" t="s">
        <v>109</v>
      </c>
      <c r="AD672" s="1" t="s">
        <v>109</v>
      </c>
      <c r="AE672" s="1" t="s">
        <v>109</v>
      </c>
      <c r="AF672" s="1">
        <v>3</v>
      </c>
      <c r="AG672" s="1" t="s">
        <v>109</v>
      </c>
      <c r="AH672" s="1" t="s">
        <v>109</v>
      </c>
      <c r="AI672" s="1" t="s">
        <v>109</v>
      </c>
      <c r="AJ672" s="1" t="s">
        <v>109</v>
      </c>
      <c r="AK672" s="1" t="s">
        <v>109</v>
      </c>
      <c r="AL672" s="1" t="s">
        <v>109</v>
      </c>
      <c r="AM672" s="1" t="s">
        <v>109</v>
      </c>
      <c r="AN672" s="1" t="s">
        <v>109</v>
      </c>
      <c r="AO672" s="1" t="s">
        <v>109</v>
      </c>
      <c r="AP672" s="1"/>
      <c r="AQ672" s="1">
        <v>3</v>
      </c>
      <c r="AR672" s="1"/>
      <c r="AS672" s="1" t="s">
        <v>5881</v>
      </c>
      <c r="AT672" s="1">
        <v>0</v>
      </c>
      <c r="AU672" s="1">
        <v>0</v>
      </c>
      <c r="AV672" s="1">
        <v>0</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5" t="str">
        <f>HYPERLINK("http://www.d20pfsrd.com/magic/all-spells/a/arcane-concordance","Arcane Concordance")</f>
        <v>Arcane Concordance</v>
      </c>
      <c r="BT672" s="1">
        <v>688</v>
      </c>
      <c r="BU672" s="1" t="s">
        <v>109</v>
      </c>
      <c r="BV672" s="1"/>
      <c r="BW672" s="1"/>
      <c r="BX672" s="1"/>
      <c r="BY672" s="1"/>
      <c r="BZ672" s="1">
        <v>0</v>
      </c>
      <c r="CA672" s="1" t="s">
        <v>109</v>
      </c>
      <c r="CB672" s="1" t="s">
        <v>109</v>
      </c>
      <c r="CC672" s="1" t="s">
        <v>109</v>
      </c>
      <c r="CD672" s="1" t="s">
        <v>109</v>
      </c>
      <c r="CE672" s="1" t="s">
        <v>109</v>
      </c>
      <c r="CF672" s="1" t="s">
        <v>109</v>
      </c>
      <c r="CG672" s="1" t="s">
        <v>109</v>
      </c>
      <c r="CH672" s="1" t="s">
        <v>109</v>
      </c>
      <c r="CI672" s="1" t="s">
        <v>109</v>
      </c>
      <c r="CJ672" s="1" t="s">
        <v>109</v>
      </c>
      <c r="CK672" s="1"/>
      <c r="CL672" s="1">
        <v>0</v>
      </c>
      <c r="CM672" s="1">
        <v>0</v>
      </c>
      <c r="CN672" s="1">
        <v>0</v>
      </c>
    </row>
    <row r="673" spans="1:92" ht="14.25" customHeight="1" x14ac:dyDescent="0.15">
      <c r="A673" s="1" t="s">
        <v>5882</v>
      </c>
      <c r="B673" s="1" t="s">
        <v>95</v>
      </c>
      <c r="C673" s="1" t="s">
        <v>96</v>
      </c>
      <c r="D673" s="1"/>
      <c r="E673" s="1" t="s">
        <v>5883</v>
      </c>
      <c r="F673" s="1" t="s">
        <v>98</v>
      </c>
      <c r="G673" s="1" t="s">
        <v>5884</v>
      </c>
      <c r="H673" s="1">
        <v>0</v>
      </c>
      <c r="I673" s="1" t="s">
        <v>100</v>
      </c>
      <c r="J673" s="1" t="s">
        <v>5885</v>
      </c>
      <c r="K673" s="1"/>
      <c r="L673" s="1"/>
      <c r="M673" s="1" t="s">
        <v>144</v>
      </c>
      <c r="N673" s="1">
        <v>0</v>
      </c>
      <c r="O673" s="1">
        <v>0</v>
      </c>
      <c r="P673" s="1" t="s">
        <v>103</v>
      </c>
      <c r="Q673" s="1" t="s">
        <v>268</v>
      </c>
      <c r="R673" s="1" t="s">
        <v>5886</v>
      </c>
      <c r="S673" s="1" t="s">
        <v>5887</v>
      </c>
      <c r="T673" s="1" t="s">
        <v>5815</v>
      </c>
      <c r="U673" s="1" t="s">
        <v>5888</v>
      </c>
      <c r="V673" s="1">
        <v>1</v>
      </c>
      <c r="W673" s="1">
        <v>1</v>
      </c>
      <c r="X673" s="1">
        <v>1</v>
      </c>
      <c r="Y673" s="1">
        <v>0</v>
      </c>
      <c r="Z673" s="1">
        <v>0</v>
      </c>
      <c r="AA673" s="1">
        <v>2</v>
      </c>
      <c r="AB673" s="1">
        <v>2</v>
      </c>
      <c r="AC673" s="1" t="s">
        <v>109</v>
      </c>
      <c r="AD673" s="1" t="s">
        <v>109</v>
      </c>
      <c r="AE673" s="1">
        <v>2</v>
      </c>
      <c r="AF673" s="1" t="s">
        <v>109</v>
      </c>
      <c r="AG673" s="1" t="s">
        <v>109</v>
      </c>
      <c r="AH673" s="1" t="s">
        <v>109</v>
      </c>
      <c r="AI673" s="1" t="s">
        <v>109</v>
      </c>
      <c r="AJ673" s="1" t="s">
        <v>109</v>
      </c>
      <c r="AK673" s="1" t="s">
        <v>109</v>
      </c>
      <c r="AL673" s="1" t="s">
        <v>109</v>
      </c>
      <c r="AM673" s="1" t="s">
        <v>109</v>
      </c>
      <c r="AN673" s="1" t="s">
        <v>109</v>
      </c>
      <c r="AO673" s="1" t="s">
        <v>109</v>
      </c>
      <c r="AP673" s="1"/>
      <c r="AQ673" s="1">
        <v>2</v>
      </c>
      <c r="AR673" s="1"/>
      <c r="AS673" s="1" t="s">
        <v>5889</v>
      </c>
      <c r="AT673" s="1">
        <v>0</v>
      </c>
      <c r="AU673" s="1">
        <v>0</v>
      </c>
      <c r="AV673" s="1">
        <v>0</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5" t="str">
        <f>HYPERLINK("http://www.d20pfsrd.com/magic/all-spells/a/arrow-eruption","Arrow Eruption")</f>
        <v>Arrow Eruption</v>
      </c>
      <c r="BT673" s="1">
        <v>689</v>
      </c>
      <c r="BU673" s="1" t="s">
        <v>109</v>
      </c>
      <c r="BV673" s="1"/>
      <c r="BW673" s="1"/>
      <c r="BX673" s="1"/>
      <c r="BY673" s="1"/>
      <c r="BZ673" s="1">
        <v>0</v>
      </c>
      <c r="CA673" s="1" t="s">
        <v>109</v>
      </c>
      <c r="CB673" s="1" t="s">
        <v>109</v>
      </c>
      <c r="CC673" s="1" t="s">
        <v>109</v>
      </c>
      <c r="CD673" s="1" t="s">
        <v>109</v>
      </c>
      <c r="CE673" s="1" t="s">
        <v>109</v>
      </c>
      <c r="CF673" s="1" t="s">
        <v>109</v>
      </c>
      <c r="CG673" s="1" t="s">
        <v>109</v>
      </c>
      <c r="CH673" s="1" t="s">
        <v>109</v>
      </c>
      <c r="CI673" s="1" t="s">
        <v>109</v>
      </c>
      <c r="CJ673" s="1">
        <v>2</v>
      </c>
      <c r="CK673" s="1"/>
      <c r="CL673" s="1">
        <v>0</v>
      </c>
      <c r="CM673" s="1">
        <v>0</v>
      </c>
      <c r="CN673" s="1">
        <v>0</v>
      </c>
    </row>
    <row r="674" spans="1:92" ht="14.25" customHeight="1" x14ac:dyDescent="0.15">
      <c r="A674" s="1" t="s">
        <v>5890</v>
      </c>
      <c r="B674" s="1" t="s">
        <v>189</v>
      </c>
      <c r="C674" s="1" t="s">
        <v>231</v>
      </c>
      <c r="D674" s="1"/>
      <c r="E674" s="1" t="s">
        <v>4840</v>
      </c>
      <c r="F674" s="1" t="s">
        <v>98</v>
      </c>
      <c r="G674" s="1" t="s">
        <v>160</v>
      </c>
      <c r="H674" s="1">
        <v>0</v>
      </c>
      <c r="I674" s="1" t="s">
        <v>235</v>
      </c>
      <c r="J674" s="1"/>
      <c r="K674" s="1"/>
      <c r="L674" s="1" t="s">
        <v>236</v>
      </c>
      <c r="M674" s="1" t="s">
        <v>3042</v>
      </c>
      <c r="N674" s="1">
        <v>0</v>
      </c>
      <c r="O674" s="1">
        <v>0</v>
      </c>
      <c r="P674" s="1"/>
      <c r="Q674" s="1"/>
      <c r="R674" s="1" t="s">
        <v>5891</v>
      </c>
      <c r="S674" s="1" t="s">
        <v>5892</v>
      </c>
      <c r="T674" s="1" t="s">
        <v>5815</v>
      </c>
      <c r="U674" s="1" t="s">
        <v>5893</v>
      </c>
      <c r="V674" s="1">
        <v>1</v>
      </c>
      <c r="W674" s="1">
        <v>1</v>
      </c>
      <c r="X674" s="1">
        <v>0</v>
      </c>
      <c r="Y674" s="1">
        <v>0</v>
      </c>
      <c r="Z674" s="1">
        <v>1</v>
      </c>
      <c r="AA674" s="1" t="s">
        <v>109</v>
      </c>
      <c r="AB674" s="1" t="s">
        <v>109</v>
      </c>
      <c r="AC674" s="1" t="s">
        <v>109</v>
      </c>
      <c r="AD674" s="1">
        <v>2</v>
      </c>
      <c r="AE674" s="1">
        <v>2</v>
      </c>
      <c r="AF674" s="1" t="s">
        <v>109</v>
      </c>
      <c r="AG674" s="1" t="s">
        <v>109</v>
      </c>
      <c r="AH674" s="1" t="s">
        <v>109</v>
      </c>
      <c r="AI674" s="1" t="s">
        <v>109</v>
      </c>
      <c r="AJ674" s="1" t="s">
        <v>109</v>
      </c>
      <c r="AK674" s="1" t="s">
        <v>109</v>
      </c>
      <c r="AL674" s="1" t="s">
        <v>109</v>
      </c>
      <c r="AM674" s="1" t="s">
        <v>109</v>
      </c>
      <c r="AN674" s="1" t="s">
        <v>109</v>
      </c>
      <c r="AO674" s="1" t="s">
        <v>109</v>
      </c>
      <c r="AP674" s="1"/>
      <c r="AQ674" s="1">
        <v>2</v>
      </c>
      <c r="AR674" s="1"/>
      <c r="AS674" s="1" t="s">
        <v>5894</v>
      </c>
      <c r="AT674" s="1">
        <v>0</v>
      </c>
      <c r="AU674" s="1">
        <v>0</v>
      </c>
      <c r="AV674" s="1">
        <v>0</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5" t="str">
        <f>HYPERLINK("http://www.d20pfsrd.com/magic/all-spells/a/aspect-of-the-bear","Aspect of the Bear")</f>
        <v>Aspect of the Bear</v>
      </c>
      <c r="BT674" s="1">
        <v>690</v>
      </c>
      <c r="BU674" s="1" t="s">
        <v>109</v>
      </c>
      <c r="BV674" s="1"/>
      <c r="BW674" s="1"/>
      <c r="BX674" s="1"/>
      <c r="BY674" s="1"/>
      <c r="BZ674" s="1">
        <v>0</v>
      </c>
      <c r="CA674" s="1" t="s">
        <v>109</v>
      </c>
      <c r="CB674" s="1" t="s">
        <v>109</v>
      </c>
      <c r="CC674" s="1" t="s">
        <v>109</v>
      </c>
      <c r="CD674" s="1" t="s">
        <v>109</v>
      </c>
      <c r="CE674" s="1" t="s">
        <v>109</v>
      </c>
      <c r="CF674" s="1" t="s">
        <v>109</v>
      </c>
      <c r="CG674" s="1" t="s">
        <v>109</v>
      </c>
      <c r="CH674" s="1" t="s">
        <v>109</v>
      </c>
      <c r="CI674" s="1" t="s">
        <v>109</v>
      </c>
      <c r="CJ674" s="1">
        <v>2</v>
      </c>
      <c r="CK674" s="1"/>
      <c r="CL674" s="1">
        <v>0</v>
      </c>
      <c r="CM674" s="1">
        <v>0</v>
      </c>
      <c r="CN674" s="1">
        <v>0</v>
      </c>
    </row>
    <row r="675" spans="1:92" ht="14.25" customHeight="1" x14ac:dyDescent="0.15">
      <c r="A675" s="1" t="s">
        <v>5895</v>
      </c>
      <c r="B675" s="1" t="s">
        <v>189</v>
      </c>
      <c r="C675" s="1" t="s">
        <v>231</v>
      </c>
      <c r="D675" s="1"/>
      <c r="E675" s="1" t="s">
        <v>3009</v>
      </c>
      <c r="F675" s="1" t="s">
        <v>98</v>
      </c>
      <c r="G675" s="1" t="s">
        <v>160</v>
      </c>
      <c r="H675" s="1">
        <v>0</v>
      </c>
      <c r="I675" s="1" t="s">
        <v>235</v>
      </c>
      <c r="J675" s="1"/>
      <c r="K675" s="1"/>
      <c r="L675" s="1" t="s">
        <v>236</v>
      </c>
      <c r="M675" s="1" t="s">
        <v>3042</v>
      </c>
      <c r="N675" s="1">
        <v>0</v>
      </c>
      <c r="O675" s="1">
        <v>0</v>
      </c>
      <c r="P675" s="1"/>
      <c r="Q675" s="1"/>
      <c r="R675" s="1" t="s">
        <v>5896</v>
      </c>
      <c r="S675" s="1" t="s">
        <v>5897</v>
      </c>
      <c r="T675" s="1" t="s">
        <v>5815</v>
      </c>
      <c r="U675" s="1" t="s">
        <v>5898</v>
      </c>
      <c r="V675" s="1">
        <v>1</v>
      </c>
      <c r="W675" s="1">
        <v>1</v>
      </c>
      <c r="X675" s="1">
        <v>0</v>
      </c>
      <c r="Y675" s="1">
        <v>0</v>
      </c>
      <c r="Z675" s="1">
        <v>1</v>
      </c>
      <c r="AA675" s="1" t="s">
        <v>109</v>
      </c>
      <c r="AB675" s="1" t="s">
        <v>109</v>
      </c>
      <c r="AC675" s="1" t="s">
        <v>109</v>
      </c>
      <c r="AD675" s="1">
        <v>1</v>
      </c>
      <c r="AE675" s="1">
        <v>1</v>
      </c>
      <c r="AF675" s="1" t="s">
        <v>109</v>
      </c>
      <c r="AG675" s="1" t="s">
        <v>109</v>
      </c>
      <c r="AH675" s="1" t="s">
        <v>109</v>
      </c>
      <c r="AI675" s="1" t="s">
        <v>109</v>
      </c>
      <c r="AJ675" s="1" t="s">
        <v>109</v>
      </c>
      <c r="AK675" s="1" t="s">
        <v>109</v>
      </c>
      <c r="AL675" s="1" t="s">
        <v>109</v>
      </c>
      <c r="AM675" s="1" t="s">
        <v>109</v>
      </c>
      <c r="AN675" s="1" t="s">
        <v>109</v>
      </c>
      <c r="AO675" s="1" t="s">
        <v>109</v>
      </c>
      <c r="AP675" s="1"/>
      <c r="AQ675" s="1">
        <v>1</v>
      </c>
      <c r="AR675" s="1"/>
      <c r="AS675" s="1" t="s">
        <v>5899</v>
      </c>
      <c r="AT675" s="1">
        <v>0</v>
      </c>
      <c r="AU675" s="1">
        <v>0</v>
      </c>
      <c r="AV675" s="1">
        <v>0</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5" t="str">
        <f>HYPERLINK("http://www.d20pfsrd.com/magic/all-spells/a/aspect-of-the-falcon","Aspect of the Falcon")</f>
        <v>Aspect of the Falcon</v>
      </c>
      <c r="BT675" s="1">
        <v>691</v>
      </c>
      <c r="BU675" s="1" t="s">
        <v>109</v>
      </c>
      <c r="BV675" s="1"/>
      <c r="BW675" s="1"/>
      <c r="BX675" s="1"/>
      <c r="BY675" s="1"/>
      <c r="BZ675" s="1">
        <v>0</v>
      </c>
      <c r="CA675" s="1" t="s">
        <v>109</v>
      </c>
      <c r="CB675" s="1" t="s">
        <v>109</v>
      </c>
      <c r="CC675" s="1" t="s">
        <v>109</v>
      </c>
      <c r="CD675" s="1" t="s">
        <v>109</v>
      </c>
      <c r="CE675" s="1" t="s">
        <v>109</v>
      </c>
      <c r="CF675" s="1" t="s">
        <v>109</v>
      </c>
      <c r="CG675" s="1" t="s">
        <v>109</v>
      </c>
      <c r="CH675" s="1" t="s">
        <v>109</v>
      </c>
      <c r="CI675" s="1" t="s">
        <v>109</v>
      </c>
      <c r="CJ675" s="1">
        <v>1</v>
      </c>
      <c r="CK675" s="1"/>
      <c r="CL675" s="1">
        <v>0</v>
      </c>
      <c r="CM675" s="1">
        <v>0</v>
      </c>
      <c r="CN675" s="1">
        <v>0</v>
      </c>
    </row>
    <row r="676" spans="1:92" ht="14.25" customHeight="1" x14ac:dyDescent="0.15">
      <c r="A676" s="1" t="s">
        <v>5900</v>
      </c>
      <c r="B676" s="1" t="s">
        <v>189</v>
      </c>
      <c r="C676" s="1" t="s">
        <v>231</v>
      </c>
      <c r="D676" s="1"/>
      <c r="E676" s="1" t="s">
        <v>5653</v>
      </c>
      <c r="F676" s="1" t="s">
        <v>98</v>
      </c>
      <c r="G676" s="1" t="s">
        <v>160</v>
      </c>
      <c r="H676" s="1">
        <v>0</v>
      </c>
      <c r="I676" s="1" t="s">
        <v>235</v>
      </c>
      <c r="J676" s="1"/>
      <c r="K676" s="1"/>
      <c r="L676" s="1" t="s">
        <v>236</v>
      </c>
      <c r="M676" s="1" t="s">
        <v>3042</v>
      </c>
      <c r="N676" s="1">
        <v>0</v>
      </c>
      <c r="O676" s="1">
        <v>0</v>
      </c>
      <c r="P676" s="1"/>
      <c r="Q676" s="1"/>
      <c r="R676" s="1" t="s">
        <v>5901</v>
      </c>
      <c r="S676" s="1" t="s">
        <v>5902</v>
      </c>
      <c r="T676" s="1" t="s">
        <v>5815</v>
      </c>
      <c r="U676" s="1" t="s">
        <v>5903</v>
      </c>
      <c r="V676" s="1">
        <v>1</v>
      </c>
      <c r="W676" s="1">
        <v>1</v>
      </c>
      <c r="X676" s="1">
        <v>0</v>
      </c>
      <c r="Y676" s="1">
        <v>0</v>
      </c>
      <c r="Z676" s="1">
        <v>1</v>
      </c>
      <c r="AA676" s="1" t="s">
        <v>109</v>
      </c>
      <c r="AB676" s="1" t="s">
        <v>109</v>
      </c>
      <c r="AC676" s="1" t="s">
        <v>109</v>
      </c>
      <c r="AD676" s="1">
        <v>4</v>
      </c>
      <c r="AE676" s="1">
        <v>3</v>
      </c>
      <c r="AF676" s="1" t="s">
        <v>109</v>
      </c>
      <c r="AG676" s="1" t="s">
        <v>109</v>
      </c>
      <c r="AH676" s="1" t="s">
        <v>109</v>
      </c>
      <c r="AI676" s="1" t="s">
        <v>109</v>
      </c>
      <c r="AJ676" s="1" t="s">
        <v>109</v>
      </c>
      <c r="AK676" s="1" t="s">
        <v>109</v>
      </c>
      <c r="AL676" s="1" t="s">
        <v>109</v>
      </c>
      <c r="AM676" s="1" t="s">
        <v>109</v>
      </c>
      <c r="AN676" s="1" t="s">
        <v>109</v>
      </c>
      <c r="AO676" s="1" t="s">
        <v>109</v>
      </c>
      <c r="AP676" s="1"/>
      <c r="AQ676" s="1">
        <v>4</v>
      </c>
      <c r="AR676" s="1"/>
      <c r="AS676" s="1" t="s">
        <v>5904</v>
      </c>
      <c r="AT676" s="1">
        <v>0</v>
      </c>
      <c r="AU676" s="1">
        <v>0</v>
      </c>
      <c r="AV676" s="1">
        <v>0</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5" t="str">
        <f>HYPERLINK("http://www.d20pfsrd.com/magic/all-spells/a/aspect-of-the-stag","Aspect of the Stag")</f>
        <v>Aspect of the Stag</v>
      </c>
      <c r="BT676" s="1">
        <v>692</v>
      </c>
      <c r="BU676" s="1" t="s">
        <v>109</v>
      </c>
      <c r="BV676" s="1"/>
      <c r="BW676" s="1"/>
      <c r="BX676" s="1"/>
      <c r="BY676" s="1"/>
      <c r="BZ676" s="1">
        <v>0</v>
      </c>
      <c r="CA676" s="1" t="s">
        <v>109</v>
      </c>
      <c r="CB676" s="1" t="s">
        <v>109</v>
      </c>
      <c r="CC676" s="1" t="s">
        <v>109</v>
      </c>
      <c r="CD676" s="1" t="s">
        <v>109</v>
      </c>
      <c r="CE676" s="1" t="s">
        <v>109</v>
      </c>
      <c r="CF676" s="1" t="s">
        <v>109</v>
      </c>
      <c r="CG676" s="1" t="s">
        <v>109</v>
      </c>
      <c r="CH676" s="1" t="s">
        <v>109</v>
      </c>
      <c r="CI676" s="1" t="s">
        <v>109</v>
      </c>
      <c r="CJ676" s="1">
        <v>3</v>
      </c>
      <c r="CK676" s="1"/>
      <c r="CL676" s="1">
        <v>0</v>
      </c>
      <c r="CM676" s="1">
        <v>0</v>
      </c>
      <c r="CN676" s="1">
        <v>0</v>
      </c>
    </row>
    <row r="677" spans="1:92" ht="14.25" customHeight="1" x14ac:dyDescent="0.15">
      <c r="A677" s="1" t="s">
        <v>5905</v>
      </c>
      <c r="B677" s="1" t="s">
        <v>189</v>
      </c>
      <c r="C677" s="1" t="s">
        <v>231</v>
      </c>
      <c r="D677" s="1"/>
      <c r="E677" s="1" t="s">
        <v>5148</v>
      </c>
      <c r="F677" s="1" t="s">
        <v>98</v>
      </c>
      <c r="G677" s="1" t="s">
        <v>160</v>
      </c>
      <c r="H677" s="1">
        <v>0</v>
      </c>
      <c r="I677" s="1" t="s">
        <v>235</v>
      </c>
      <c r="J677" s="1"/>
      <c r="K677" s="1"/>
      <c r="L677" s="1" t="s">
        <v>236</v>
      </c>
      <c r="M677" s="1" t="s">
        <v>3042</v>
      </c>
      <c r="N677" s="1">
        <v>0</v>
      </c>
      <c r="O677" s="1">
        <v>0</v>
      </c>
      <c r="P677" s="1"/>
      <c r="Q677" s="1"/>
      <c r="R677" s="1" t="s">
        <v>5906</v>
      </c>
      <c r="S677" s="1" t="s">
        <v>5907</v>
      </c>
      <c r="T677" s="1" t="s">
        <v>5815</v>
      </c>
      <c r="U677" s="1" t="s">
        <v>5908</v>
      </c>
      <c r="V677" s="1">
        <v>1</v>
      </c>
      <c r="W677" s="1">
        <v>1</v>
      </c>
      <c r="X677" s="1">
        <v>0</v>
      </c>
      <c r="Y677" s="1">
        <v>0</v>
      </c>
      <c r="Z677" s="1">
        <v>1</v>
      </c>
      <c r="AA677" s="1" t="s">
        <v>109</v>
      </c>
      <c r="AB677" s="1" t="s">
        <v>109</v>
      </c>
      <c r="AC677" s="1" t="s">
        <v>109</v>
      </c>
      <c r="AD677" s="1">
        <v>5</v>
      </c>
      <c r="AE677" s="1">
        <v>4</v>
      </c>
      <c r="AF677" s="1" t="s">
        <v>109</v>
      </c>
      <c r="AG677" s="1" t="s">
        <v>109</v>
      </c>
      <c r="AH677" s="1" t="s">
        <v>109</v>
      </c>
      <c r="AI677" s="1" t="s">
        <v>109</v>
      </c>
      <c r="AJ677" s="1" t="s">
        <v>109</v>
      </c>
      <c r="AK677" s="1" t="s">
        <v>109</v>
      </c>
      <c r="AL677" s="1" t="s">
        <v>109</v>
      </c>
      <c r="AM677" s="1" t="s">
        <v>109</v>
      </c>
      <c r="AN677" s="1" t="s">
        <v>109</v>
      </c>
      <c r="AO677" s="1" t="s">
        <v>109</v>
      </c>
      <c r="AP677" s="1"/>
      <c r="AQ677" s="1">
        <v>5</v>
      </c>
      <c r="AR677" s="1"/>
      <c r="AS677" s="1" t="s">
        <v>5909</v>
      </c>
      <c r="AT677" s="1">
        <v>0</v>
      </c>
      <c r="AU677" s="1">
        <v>0</v>
      </c>
      <c r="AV677" s="1">
        <v>0</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5" t="str">
        <f>HYPERLINK("http://www.d20pfsrd.com/magic/all-spells/a/aspect-of-the-wolf","Aspect of the Wolf")</f>
        <v>Aspect of the Wolf</v>
      </c>
      <c r="BT677" s="1">
        <v>693</v>
      </c>
      <c r="BU677" s="1" t="s">
        <v>109</v>
      </c>
      <c r="BV677" s="1"/>
      <c r="BW677" s="1" t="s">
        <v>5910</v>
      </c>
      <c r="BX677" s="1"/>
      <c r="BY677" s="1"/>
      <c r="BZ677" s="1">
        <v>0</v>
      </c>
      <c r="CA677" s="1" t="s">
        <v>109</v>
      </c>
      <c r="CB677" s="1" t="s">
        <v>109</v>
      </c>
      <c r="CC677" s="1" t="s">
        <v>109</v>
      </c>
      <c r="CD677" s="1" t="s">
        <v>109</v>
      </c>
      <c r="CE677" s="1" t="s">
        <v>109</v>
      </c>
      <c r="CF677" s="1" t="s">
        <v>109</v>
      </c>
      <c r="CG677" s="1" t="s">
        <v>109</v>
      </c>
      <c r="CH677" s="1" t="s">
        <v>109</v>
      </c>
      <c r="CI677" s="1" t="s">
        <v>109</v>
      </c>
      <c r="CJ677" s="1">
        <v>4</v>
      </c>
      <c r="CK677" s="1"/>
      <c r="CL677" s="1">
        <v>0</v>
      </c>
      <c r="CM677" s="1">
        <v>0</v>
      </c>
      <c r="CN677" s="1">
        <v>0</v>
      </c>
    </row>
    <row r="678" spans="1:92" ht="14.25" customHeight="1" x14ac:dyDescent="0.15">
      <c r="A678" s="1" t="s">
        <v>5911</v>
      </c>
      <c r="B678" s="1" t="s">
        <v>242</v>
      </c>
      <c r="C678" s="1"/>
      <c r="D678" s="1" t="s">
        <v>56</v>
      </c>
      <c r="E678" s="1" t="s">
        <v>5912</v>
      </c>
      <c r="F678" s="1" t="s">
        <v>98</v>
      </c>
      <c r="G678" s="1" t="s">
        <v>160</v>
      </c>
      <c r="H678" s="1">
        <v>0</v>
      </c>
      <c r="I678" s="1" t="s">
        <v>235</v>
      </c>
      <c r="J678" s="1" t="s">
        <v>4038</v>
      </c>
      <c r="K678" s="1"/>
      <c r="L678" s="1"/>
      <c r="M678" s="1" t="s">
        <v>5913</v>
      </c>
      <c r="N678" s="1">
        <v>0</v>
      </c>
      <c r="O678" s="1">
        <v>0</v>
      </c>
      <c r="P678" s="1" t="s">
        <v>507</v>
      </c>
      <c r="Q678" s="1" t="s">
        <v>167</v>
      </c>
      <c r="R678" s="1" t="s">
        <v>5914</v>
      </c>
      <c r="S678" s="1" t="s">
        <v>5915</v>
      </c>
      <c r="T678" s="1" t="s">
        <v>5815</v>
      </c>
      <c r="U678" s="1" t="s">
        <v>5916</v>
      </c>
      <c r="V678" s="1">
        <v>1</v>
      </c>
      <c r="W678" s="1">
        <v>1</v>
      </c>
      <c r="X678" s="1">
        <v>0</v>
      </c>
      <c r="Y678" s="1">
        <v>0</v>
      </c>
      <c r="Z678" s="1">
        <v>1</v>
      </c>
      <c r="AA678" s="1" t="s">
        <v>109</v>
      </c>
      <c r="AB678" s="1" t="s">
        <v>109</v>
      </c>
      <c r="AC678" s="1" t="s">
        <v>109</v>
      </c>
      <c r="AD678" s="1" t="s">
        <v>109</v>
      </c>
      <c r="AE678" s="1" t="s">
        <v>109</v>
      </c>
      <c r="AF678" s="1" t="s">
        <v>109</v>
      </c>
      <c r="AG678" s="1">
        <v>2</v>
      </c>
      <c r="AH678" s="1" t="s">
        <v>109</v>
      </c>
      <c r="AI678" s="1" t="s">
        <v>109</v>
      </c>
      <c r="AJ678" s="1" t="s">
        <v>109</v>
      </c>
      <c r="AK678" s="1" t="s">
        <v>109</v>
      </c>
      <c r="AL678" s="1" t="s">
        <v>109</v>
      </c>
      <c r="AM678" s="1" t="s">
        <v>109</v>
      </c>
      <c r="AN678" s="1" t="s">
        <v>109</v>
      </c>
      <c r="AO678" s="1" t="s">
        <v>109</v>
      </c>
      <c r="AP678" s="1"/>
      <c r="AQ678" s="1">
        <v>2</v>
      </c>
      <c r="AR678" s="1"/>
      <c r="AS678" s="1" t="s">
        <v>5917</v>
      </c>
      <c r="AT678" s="1">
        <v>0</v>
      </c>
      <c r="AU678" s="1">
        <v>0</v>
      </c>
      <c r="AV678" s="1">
        <v>0</v>
      </c>
      <c r="AW678" s="1">
        <v>0</v>
      </c>
      <c r="AX678" s="1">
        <v>0</v>
      </c>
      <c r="AY678" s="1">
        <v>0</v>
      </c>
      <c r="AZ678" s="1">
        <v>0</v>
      </c>
      <c r="BA678" s="1">
        <v>0</v>
      </c>
      <c r="BB678" s="1">
        <v>0</v>
      </c>
      <c r="BC678" s="1">
        <v>0</v>
      </c>
      <c r="BD678" s="1">
        <v>1</v>
      </c>
      <c r="BE678" s="1">
        <v>0</v>
      </c>
      <c r="BF678" s="1">
        <v>0</v>
      </c>
      <c r="BG678" s="1">
        <v>0</v>
      </c>
      <c r="BH678" s="1">
        <v>0</v>
      </c>
      <c r="BI678" s="1">
        <v>0</v>
      </c>
      <c r="BJ678" s="1">
        <v>0</v>
      </c>
      <c r="BK678" s="1">
        <v>0</v>
      </c>
      <c r="BL678" s="1">
        <v>0</v>
      </c>
      <c r="BM678" s="1">
        <v>0</v>
      </c>
      <c r="BN678" s="1">
        <v>0</v>
      </c>
      <c r="BO678" s="1">
        <v>0</v>
      </c>
      <c r="BP678" s="1">
        <v>0</v>
      </c>
      <c r="BQ678" s="1">
        <v>0</v>
      </c>
      <c r="BR678" s="1">
        <v>0</v>
      </c>
      <c r="BS678" s="5" t="str">
        <f>HYPERLINK("http://www.d20pfsrd.com/magic/all-spells/a/aura-of-greater-courage","Aura of Greater Courage")</f>
        <v>Aura of Greater Courage</v>
      </c>
      <c r="BT678" s="1">
        <v>694</v>
      </c>
      <c r="BU678" s="1" t="s">
        <v>109</v>
      </c>
      <c r="BV678" s="1"/>
      <c r="BW678" s="1"/>
      <c r="BX678" s="1"/>
      <c r="BY678" s="1"/>
      <c r="BZ678" s="1">
        <v>0</v>
      </c>
      <c r="CA678" s="1" t="s">
        <v>109</v>
      </c>
      <c r="CB678" s="1" t="s">
        <v>109</v>
      </c>
      <c r="CC678" s="1" t="s">
        <v>109</v>
      </c>
      <c r="CD678" s="1" t="s">
        <v>109</v>
      </c>
      <c r="CE678" s="1" t="s">
        <v>109</v>
      </c>
      <c r="CF678" s="1" t="s">
        <v>109</v>
      </c>
      <c r="CG678" s="1" t="s">
        <v>109</v>
      </c>
      <c r="CH678" s="1" t="s">
        <v>109</v>
      </c>
      <c r="CI678" s="1" t="s">
        <v>109</v>
      </c>
      <c r="CJ678" s="1" t="s">
        <v>109</v>
      </c>
      <c r="CK678" s="1"/>
      <c r="CL678" s="1">
        <v>0</v>
      </c>
      <c r="CM678" s="1">
        <v>0</v>
      </c>
      <c r="CN678" s="1">
        <v>0</v>
      </c>
    </row>
    <row r="679" spans="1:92" ht="14.25" customHeight="1" x14ac:dyDescent="0.15">
      <c r="A679" s="1" t="s">
        <v>5918</v>
      </c>
      <c r="B679" s="1" t="s">
        <v>584</v>
      </c>
      <c r="C679" s="1"/>
      <c r="D679" s="1" t="s">
        <v>5919</v>
      </c>
      <c r="E679" s="1" t="s">
        <v>5920</v>
      </c>
      <c r="F679" s="1" t="s">
        <v>98</v>
      </c>
      <c r="G679" s="1" t="s">
        <v>5921</v>
      </c>
      <c r="H679" s="1">
        <v>0</v>
      </c>
      <c r="I679" s="1" t="s">
        <v>122</v>
      </c>
      <c r="J679" s="1"/>
      <c r="K679" s="1" t="s">
        <v>5922</v>
      </c>
      <c r="L679" s="1"/>
      <c r="M679" s="1" t="s">
        <v>125</v>
      </c>
      <c r="N679" s="1">
        <v>0</v>
      </c>
      <c r="O679" s="1">
        <v>0</v>
      </c>
      <c r="P679" s="1" t="s">
        <v>2092</v>
      </c>
      <c r="Q679" s="1" t="s">
        <v>268</v>
      </c>
      <c r="R679" s="1" t="s">
        <v>5923</v>
      </c>
      <c r="S679" s="1" t="s">
        <v>5924</v>
      </c>
      <c r="T679" s="1" t="s">
        <v>5815</v>
      </c>
      <c r="U679" s="1" t="s">
        <v>5925</v>
      </c>
      <c r="V679" s="1">
        <v>1</v>
      </c>
      <c r="W679" s="1">
        <v>1</v>
      </c>
      <c r="X679" s="1">
        <v>1</v>
      </c>
      <c r="Y679" s="1">
        <v>0</v>
      </c>
      <c r="Z679" s="1">
        <v>1</v>
      </c>
      <c r="AA679" s="1">
        <v>4</v>
      </c>
      <c r="AB679" s="1">
        <v>4</v>
      </c>
      <c r="AC679" s="1" t="s">
        <v>109</v>
      </c>
      <c r="AD679" s="1">
        <v>4</v>
      </c>
      <c r="AE679" s="1" t="s">
        <v>109</v>
      </c>
      <c r="AF679" s="1" t="s">
        <v>109</v>
      </c>
      <c r="AG679" s="1" t="s">
        <v>109</v>
      </c>
      <c r="AH679" s="1" t="s">
        <v>109</v>
      </c>
      <c r="AI679" s="1" t="s">
        <v>109</v>
      </c>
      <c r="AJ679" s="1" t="s">
        <v>109</v>
      </c>
      <c r="AK679" s="1" t="s">
        <v>109</v>
      </c>
      <c r="AL679" s="1" t="s">
        <v>109</v>
      </c>
      <c r="AM679" s="1" t="s">
        <v>109</v>
      </c>
      <c r="AN679" s="1">
        <v>4</v>
      </c>
      <c r="AO679" s="1" t="s">
        <v>109</v>
      </c>
      <c r="AP679" s="1"/>
      <c r="AQ679" s="1">
        <v>4</v>
      </c>
      <c r="AR679" s="1"/>
      <c r="AS679" s="1" t="s">
        <v>5926</v>
      </c>
      <c r="AT679" s="1">
        <v>0</v>
      </c>
      <c r="AU679" s="1">
        <v>1</v>
      </c>
      <c r="AV679" s="1">
        <v>0</v>
      </c>
      <c r="AW679" s="1">
        <v>0</v>
      </c>
      <c r="AX679" s="1">
        <v>0</v>
      </c>
      <c r="AY679" s="1">
        <v>0</v>
      </c>
      <c r="AZ679" s="1">
        <v>0</v>
      </c>
      <c r="BA679" s="1">
        <v>0</v>
      </c>
      <c r="BB679" s="1">
        <v>0</v>
      </c>
      <c r="BC679" s="1">
        <v>1</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5" t="str">
        <f>HYPERLINK("http://www.d20pfsrd.com/magic/all-spells/b/ball-lightning","Ball Lightning")</f>
        <v>Ball Lightning</v>
      </c>
      <c r="BT679" s="1">
        <v>695</v>
      </c>
      <c r="BU679" s="1" t="s">
        <v>109</v>
      </c>
      <c r="BV679" s="1"/>
      <c r="BW679" s="1"/>
      <c r="BX679" s="1"/>
      <c r="BY679" s="1"/>
      <c r="BZ679" s="1">
        <v>0</v>
      </c>
      <c r="CA679" s="1">
        <v>4</v>
      </c>
      <c r="CB679" s="1">
        <v>4</v>
      </c>
      <c r="CC679" s="1" t="s">
        <v>109</v>
      </c>
      <c r="CD679" s="1" t="s">
        <v>109</v>
      </c>
      <c r="CE679" s="1" t="s">
        <v>109</v>
      </c>
      <c r="CF679" s="1">
        <v>4</v>
      </c>
      <c r="CG679" s="1" t="s">
        <v>109</v>
      </c>
      <c r="CH679" s="1" t="s">
        <v>109</v>
      </c>
      <c r="CI679" s="1" t="s">
        <v>109</v>
      </c>
      <c r="CJ679" s="1">
        <v>4</v>
      </c>
      <c r="CK679" s="1"/>
      <c r="CL679" s="1">
        <v>0</v>
      </c>
      <c r="CM679" s="1">
        <v>0</v>
      </c>
      <c r="CN679" s="1">
        <v>0</v>
      </c>
    </row>
    <row r="680" spans="1:92" ht="14.25" customHeight="1" x14ac:dyDescent="0.15">
      <c r="A680" s="1" t="s">
        <v>5927</v>
      </c>
      <c r="B680" s="1" t="s">
        <v>242</v>
      </c>
      <c r="C680" s="1"/>
      <c r="D680" s="1"/>
      <c r="E680" s="1" t="s">
        <v>5928</v>
      </c>
      <c r="F680" s="1" t="s">
        <v>98</v>
      </c>
      <c r="G680" s="1" t="s">
        <v>5929</v>
      </c>
      <c r="H680" s="1">
        <v>0</v>
      </c>
      <c r="I680" s="1" t="s">
        <v>161</v>
      </c>
      <c r="J680" s="1"/>
      <c r="K680" s="1"/>
      <c r="L680" s="1" t="s">
        <v>1548</v>
      </c>
      <c r="M680" s="1" t="s">
        <v>5930</v>
      </c>
      <c r="N680" s="1">
        <v>0</v>
      </c>
      <c r="O680" s="1">
        <v>0</v>
      </c>
      <c r="P680" s="1" t="s">
        <v>103</v>
      </c>
      <c r="Q680" s="1" t="s">
        <v>104</v>
      </c>
      <c r="R680" s="1" t="s">
        <v>5931</v>
      </c>
      <c r="S680" s="1" t="s">
        <v>5932</v>
      </c>
      <c r="T680" s="1" t="s">
        <v>5815</v>
      </c>
      <c r="U680" s="1" t="s">
        <v>5933</v>
      </c>
      <c r="V680" s="1">
        <v>1</v>
      </c>
      <c r="W680" s="1">
        <v>1</v>
      </c>
      <c r="X680" s="1">
        <v>1</v>
      </c>
      <c r="Y680" s="1">
        <v>0</v>
      </c>
      <c r="Z680" s="1">
        <v>0</v>
      </c>
      <c r="AA680" s="1" t="s">
        <v>109</v>
      </c>
      <c r="AB680" s="1" t="s">
        <v>109</v>
      </c>
      <c r="AC680" s="1" t="s">
        <v>109</v>
      </c>
      <c r="AD680" s="1" t="s">
        <v>109</v>
      </c>
      <c r="AE680" s="1" t="s">
        <v>109</v>
      </c>
      <c r="AF680" s="1" t="s">
        <v>109</v>
      </c>
      <c r="AG680" s="1" t="s">
        <v>109</v>
      </c>
      <c r="AH680" s="1" t="s">
        <v>109</v>
      </c>
      <c r="AI680" s="1" t="s">
        <v>109</v>
      </c>
      <c r="AJ680" s="1">
        <v>5</v>
      </c>
      <c r="AK680" s="1">
        <v>3</v>
      </c>
      <c r="AL680" s="1" t="s">
        <v>109</v>
      </c>
      <c r="AM680" s="1" t="s">
        <v>109</v>
      </c>
      <c r="AN680" s="1" t="s">
        <v>109</v>
      </c>
      <c r="AO680" s="1" t="s">
        <v>109</v>
      </c>
      <c r="AP680" s="1"/>
      <c r="AQ680" s="1" t="s">
        <v>109</v>
      </c>
      <c r="AR680" s="1" t="s">
        <v>5934</v>
      </c>
      <c r="AS680" s="1" t="s">
        <v>5935</v>
      </c>
      <c r="AT680" s="1">
        <v>0</v>
      </c>
      <c r="AU680" s="1">
        <v>0</v>
      </c>
      <c r="AV680" s="1">
        <v>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5" t="str">
        <f>HYPERLINK("http://www.d20pfsrd.com/magic/all-spells/b/banish-seeming","Banish Seeming")</f>
        <v>Banish Seeming</v>
      </c>
      <c r="BT680" s="1">
        <v>696</v>
      </c>
      <c r="BU680" s="1" t="s">
        <v>109</v>
      </c>
      <c r="BV680" s="1"/>
      <c r="BW680" s="1"/>
      <c r="BX680" s="1"/>
      <c r="BY680" s="1"/>
      <c r="BZ680" s="1">
        <v>0</v>
      </c>
      <c r="CA680" s="1" t="s">
        <v>109</v>
      </c>
      <c r="CB680" s="1" t="s">
        <v>109</v>
      </c>
      <c r="CC680" s="1">
        <v>5</v>
      </c>
      <c r="CD680" s="1" t="s">
        <v>109</v>
      </c>
      <c r="CE680" s="1" t="s">
        <v>109</v>
      </c>
      <c r="CF680" s="1" t="s">
        <v>109</v>
      </c>
      <c r="CG680" s="1" t="s">
        <v>109</v>
      </c>
      <c r="CH680" s="1" t="s">
        <v>109</v>
      </c>
      <c r="CI680" s="1" t="s">
        <v>109</v>
      </c>
      <c r="CJ680" s="1" t="s">
        <v>109</v>
      </c>
      <c r="CK680" s="1"/>
      <c r="CL680" s="1">
        <v>0</v>
      </c>
      <c r="CM680" s="1">
        <v>0</v>
      </c>
      <c r="CN680" s="1">
        <v>0</v>
      </c>
    </row>
    <row r="681" spans="1:92" ht="14.25" customHeight="1" x14ac:dyDescent="0.15">
      <c r="A681" s="1" t="s">
        <v>5936</v>
      </c>
      <c r="B681" s="1" t="s">
        <v>95</v>
      </c>
      <c r="C681" s="1" t="s">
        <v>1522</v>
      </c>
      <c r="D681" s="1"/>
      <c r="E681" s="1" t="s">
        <v>5937</v>
      </c>
      <c r="F681" s="1" t="s">
        <v>98</v>
      </c>
      <c r="G681" s="1" t="s">
        <v>5938</v>
      </c>
      <c r="H681" s="1">
        <v>0</v>
      </c>
      <c r="I681" s="1" t="s">
        <v>122</v>
      </c>
      <c r="J681" s="1"/>
      <c r="K681" s="1"/>
      <c r="L681" s="1" t="s">
        <v>5939</v>
      </c>
      <c r="M681" s="1" t="s">
        <v>144</v>
      </c>
      <c r="N681" s="1">
        <v>0</v>
      </c>
      <c r="O681" s="1">
        <v>0</v>
      </c>
      <c r="P681" s="1" t="s">
        <v>103</v>
      </c>
      <c r="Q681" s="1" t="s">
        <v>104</v>
      </c>
      <c r="R681" s="1" t="s">
        <v>5940</v>
      </c>
      <c r="S681" s="1" t="s">
        <v>5941</v>
      </c>
      <c r="T681" s="1" t="s">
        <v>5815</v>
      </c>
      <c r="U681" s="1" t="s">
        <v>5942</v>
      </c>
      <c r="V681" s="1">
        <v>1</v>
      </c>
      <c r="W681" s="1">
        <v>1</v>
      </c>
      <c r="X681" s="1">
        <v>1</v>
      </c>
      <c r="Y681" s="1">
        <v>0</v>
      </c>
      <c r="Z681" s="1">
        <v>0</v>
      </c>
      <c r="AA681" s="1" t="s">
        <v>109</v>
      </c>
      <c r="AB681" s="1" t="s">
        <v>109</v>
      </c>
      <c r="AC681" s="1" t="s">
        <v>109</v>
      </c>
      <c r="AD681" s="1" t="s">
        <v>109</v>
      </c>
      <c r="AE681" s="1" t="s">
        <v>109</v>
      </c>
      <c r="AF681" s="1">
        <v>5</v>
      </c>
      <c r="AG681" s="1" t="s">
        <v>109</v>
      </c>
      <c r="AH681" s="1" t="s">
        <v>109</v>
      </c>
      <c r="AI681" s="1" t="s">
        <v>109</v>
      </c>
      <c r="AJ681" s="1" t="s">
        <v>109</v>
      </c>
      <c r="AK681" s="1" t="s">
        <v>109</v>
      </c>
      <c r="AL681" s="1" t="s">
        <v>109</v>
      </c>
      <c r="AM681" s="1" t="s">
        <v>109</v>
      </c>
      <c r="AN681" s="1" t="s">
        <v>109</v>
      </c>
      <c r="AO681" s="1" t="s">
        <v>109</v>
      </c>
      <c r="AP681" s="1"/>
      <c r="AQ681" s="1">
        <v>5</v>
      </c>
      <c r="AR681" s="1"/>
      <c r="AS681" s="1" t="s">
        <v>5943</v>
      </c>
      <c r="AT681" s="1">
        <v>0</v>
      </c>
      <c r="AU681" s="1">
        <v>0</v>
      </c>
      <c r="AV681" s="1">
        <v>0</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0</v>
      </c>
      <c r="BP681" s="1">
        <v>0</v>
      </c>
      <c r="BQ681" s="1">
        <v>0</v>
      </c>
      <c r="BR681" s="1">
        <v>0</v>
      </c>
      <c r="BS681" s="5" t="str">
        <f>HYPERLINK("http://www.d20pfsrd.com/magic/all-spells/b/bard-s-escape","Bard's Escape")</f>
        <v>Bard's Escape</v>
      </c>
      <c r="BT681" s="1">
        <v>697</v>
      </c>
      <c r="BU681" s="1" t="s">
        <v>109</v>
      </c>
      <c r="BV681" s="1"/>
      <c r="BW681" s="1"/>
      <c r="BX681" s="1"/>
      <c r="BY681" s="1"/>
      <c r="BZ681" s="1">
        <v>0</v>
      </c>
      <c r="CA681" s="1" t="s">
        <v>109</v>
      </c>
      <c r="CB681" s="1" t="s">
        <v>109</v>
      </c>
      <c r="CC681" s="1" t="s">
        <v>109</v>
      </c>
      <c r="CD681" s="1" t="s">
        <v>109</v>
      </c>
      <c r="CE681" s="1" t="s">
        <v>109</v>
      </c>
      <c r="CF681" s="1" t="s">
        <v>109</v>
      </c>
      <c r="CG681" s="1" t="s">
        <v>109</v>
      </c>
      <c r="CH681" s="1" t="s">
        <v>109</v>
      </c>
      <c r="CI681" s="1" t="s">
        <v>109</v>
      </c>
      <c r="CJ681" s="1" t="s">
        <v>109</v>
      </c>
      <c r="CK681" s="1"/>
      <c r="CL681" s="1">
        <v>0</v>
      </c>
      <c r="CM681" s="1">
        <v>0</v>
      </c>
      <c r="CN681" s="1">
        <v>0</v>
      </c>
    </row>
    <row r="682" spans="1:92" ht="14.25" customHeight="1" x14ac:dyDescent="0.15">
      <c r="A682" s="1" t="s">
        <v>5944</v>
      </c>
      <c r="B682" s="1" t="s">
        <v>156</v>
      </c>
      <c r="C682" s="1" t="s">
        <v>157</v>
      </c>
      <c r="D682" s="1" t="s">
        <v>158</v>
      </c>
      <c r="E682" s="1" t="s">
        <v>5945</v>
      </c>
      <c r="F682" s="1" t="s">
        <v>98</v>
      </c>
      <c r="G682" s="1" t="s">
        <v>5946</v>
      </c>
      <c r="H682" s="1">
        <v>0</v>
      </c>
      <c r="I682" s="1" t="s">
        <v>5544</v>
      </c>
      <c r="J682" s="1"/>
      <c r="K682" s="1"/>
      <c r="L682" s="1" t="s">
        <v>1391</v>
      </c>
      <c r="M682" s="1" t="s">
        <v>355</v>
      </c>
      <c r="N682" s="1">
        <v>0</v>
      </c>
      <c r="O682" s="1">
        <v>0</v>
      </c>
      <c r="P682" s="1" t="s">
        <v>301</v>
      </c>
      <c r="Q682" s="1" t="s">
        <v>268</v>
      </c>
      <c r="R682" s="1" t="s">
        <v>5947</v>
      </c>
      <c r="S682" s="1" t="s">
        <v>5948</v>
      </c>
      <c r="T682" s="1" t="s">
        <v>5815</v>
      </c>
      <c r="U682" s="1" t="s">
        <v>5949</v>
      </c>
      <c r="V682" s="1">
        <v>1</v>
      </c>
      <c r="W682" s="1">
        <v>1</v>
      </c>
      <c r="X682" s="1">
        <v>0</v>
      </c>
      <c r="Y682" s="1">
        <v>0</v>
      </c>
      <c r="Z682" s="1">
        <v>0</v>
      </c>
      <c r="AA682" s="1" t="s">
        <v>109</v>
      </c>
      <c r="AB682" s="1" t="s">
        <v>109</v>
      </c>
      <c r="AC682" s="1" t="s">
        <v>109</v>
      </c>
      <c r="AD682" s="1" t="s">
        <v>109</v>
      </c>
      <c r="AE682" s="1" t="s">
        <v>109</v>
      </c>
      <c r="AF682" s="1">
        <v>1</v>
      </c>
      <c r="AG682" s="1" t="s">
        <v>109</v>
      </c>
      <c r="AH682" s="1" t="s">
        <v>109</v>
      </c>
      <c r="AI682" s="1" t="s">
        <v>109</v>
      </c>
      <c r="AJ682" s="1">
        <v>1</v>
      </c>
      <c r="AK682" s="1" t="s">
        <v>109</v>
      </c>
      <c r="AL682" s="1" t="s">
        <v>109</v>
      </c>
      <c r="AM682" s="1" t="s">
        <v>109</v>
      </c>
      <c r="AN682" s="1" t="s">
        <v>109</v>
      </c>
      <c r="AO682" s="1" t="s">
        <v>109</v>
      </c>
      <c r="AP682" s="1"/>
      <c r="AQ682" s="1">
        <v>1</v>
      </c>
      <c r="AR682" s="1"/>
      <c r="AS682" s="1" t="s">
        <v>5950</v>
      </c>
      <c r="AT682" s="1">
        <v>0</v>
      </c>
      <c r="AU682" s="1">
        <v>0</v>
      </c>
      <c r="AV682" s="1">
        <v>0</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1</v>
      </c>
      <c r="BN682" s="1">
        <v>0</v>
      </c>
      <c r="BO682" s="1">
        <v>0</v>
      </c>
      <c r="BP682" s="1">
        <v>0</v>
      </c>
      <c r="BQ682" s="1">
        <v>0</v>
      </c>
      <c r="BR682" s="1">
        <v>0</v>
      </c>
      <c r="BS682" s="5" t="str">
        <f>HYPERLINK("http://www.d20pfsrd.com/magic/all-spells/b/beguiling-gift","Beguiling Gift")</f>
        <v>Beguiling Gift</v>
      </c>
      <c r="BT682" s="1">
        <v>698</v>
      </c>
      <c r="BU682" s="1" t="s">
        <v>109</v>
      </c>
      <c r="BV682" s="1"/>
      <c r="BW682" s="1"/>
      <c r="BX682" s="1"/>
      <c r="BY682" s="1"/>
      <c r="BZ682" s="1">
        <v>0</v>
      </c>
      <c r="CA682" s="1" t="s">
        <v>109</v>
      </c>
      <c r="CB682" s="1" t="s">
        <v>109</v>
      </c>
      <c r="CC682" s="1">
        <v>1</v>
      </c>
      <c r="CD682" s="1" t="s">
        <v>109</v>
      </c>
      <c r="CE682" s="1">
        <v>1</v>
      </c>
      <c r="CF682" s="1" t="s">
        <v>109</v>
      </c>
      <c r="CG682" s="1" t="s">
        <v>109</v>
      </c>
      <c r="CH682" s="1" t="s">
        <v>109</v>
      </c>
      <c r="CI682" s="1" t="s">
        <v>109</v>
      </c>
      <c r="CJ682" s="1" t="s">
        <v>109</v>
      </c>
      <c r="CK682" s="1"/>
      <c r="CL682" s="1">
        <v>0</v>
      </c>
      <c r="CM682" s="1">
        <v>0</v>
      </c>
      <c r="CN682" s="1">
        <v>0</v>
      </c>
    </row>
    <row r="683" spans="1:92" ht="14.25" customHeight="1" x14ac:dyDescent="0.15">
      <c r="A683" s="1" t="s">
        <v>5951</v>
      </c>
      <c r="B683" s="1" t="s">
        <v>242</v>
      </c>
      <c r="C683" s="1"/>
      <c r="D683" s="1"/>
      <c r="E683" s="1" t="s">
        <v>5912</v>
      </c>
      <c r="F683" s="1" t="s">
        <v>98</v>
      </c>
      <c r="G683" s="1" t="s">
        <v>160</v>
      </c>
      <c r="H683" s="1">
        <v>0</v>
      </c>
      <c r="I683" s="1" t="s">
        <v>161</v>
      </c>
      <c r="J683" s="1"/>
      <c r="K683" s="1"/>
      <c r="L683" s="1" t="s">
        <v>5952</v>
      </c>
      <c r="M683" s="1" t="s">
        <v>3042</v>
      </c>
      <c r="N683" s="1">
        <v>0</v>
      </c>
      <c r="O683" s="1">
        <v>0</v>
      </c>
      <c r="P683" s="1" t="s">
        <v>5953</v>
      </c>
      <c r="Q683" s="1" t="s">
        <v>167</v>
      </c>
      <c r="R683" s="1" t="s">
        <v>5954</v>
      </c>
      <c r="S683" s="1" t="s">
        <v>5955</v>
      </c>
      <c r="T683" s="1" t="s">
        <v>5815</v>
      </c>
      <c r="U683" s="1" t="s">
        <v>5956</v>
      </c>
      <c r="V683" s="1">
        <v>1</v>
      </c>
      <c r="W683" s="1">
        <v>1</v>
      </c>
      <c r="X683" s="1">
        <v>0</v>
      </c>
      <c r="Y683" s="1">
        <v>0</v>
      </c>
      <c r="Z683" s="1">
        <v>1</v>
      </c>
      <c r="AA683" s="1" t="s">
        <v>109</v>
      </c>
      <c r="AB683" s="1" t="s">
        <v>109</v>
      </c>
      <c r="AC683" s="1" t="s">
        <v>109</v>
      </c>
      <c r="AD683" s="1" t="s">
        <v>109</v>
      </c>
      <c r="AE683" s="1" t="s">
        <v>109</v>
      </c>
      <c r="AF683" s="1" t="s">
        <v>109</v>
      </c>
      <c r="AG683" s="1">
        <v>2</v>
      </c>
      <c r="AH683" s="1" t="s">
        <v>109</v>
      </c>
      <c r="AI683" s="1" t="s">
        <v>109</v>
      </c>
      <c r="AJ683" s="1" t="s">
        <v>109</v>
      </c>
      <c r="AK683" s="1" t="s">
        <v>109</v>
      </c>
      <c r="AL683" s="1" t="s">
        <v>109</v>
      </c>
      <c r="AM683" s="1" t="s">
        <v>109</v>
      </c>
      <c r="AN683" s="1" t="s">
        <v>109</v>
      </c>
      <c r="AO683" s="1" t="s">
        <v>109</v>
      </c>
      <c r="AP683" s="1"/>
      <c r="AQ683" s="1">
        <v>2</v>
      </c>
      <c r="AR683" s="1"/>
      <c r="AS683" s="1" t="s">
        <v>5957</v>
      </c>
      <c r="AT683" s="1">
        <v>0</v>
      </c>
      <c r="AU683" s="1">
        <v>0</v>
      </c>
      <c r="AV683" s="1">
        <v>0</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5" t="str">
        <f>HYPERLINK("http://www.d20pfsrd.com/magic/all-spells/b/bestow-grace","Bestow Grace")</f>
        <v>Bestow Grace</v>
      </c>
      <c r="BT683" s="1">
        <v>699</v>
      </c>
      <c r="BU683" s="1" t="s">
        <v>109</v>
      </c>
      <c r="BV683" s="1"/>
      <c r="BW683" s="1"/>
      <c r="BX683" s="1"/>
      <c r="BY683" s="1"/>
      <c r="BZ683" s="1">
        <v>0</v>
      </c>
      <c r="CA683" s="1" t="s">
        <v>109</v>
      </c>
      <c r="CB683" s="1" t="s">
        <v>109</v>
      </c>
      <c r="CC683" s="1" t="s">
        <v>109</v>
      </c>
      <c r="CD683" s="1" t="s">
        <v>109</v>
      </c>
      <c r="CE683" s="1" t="s">
        <v>109</v>
      </c>
      <c r="CF683" s="1" t="s">
        <v>109</v>
      </c>
      <c r="CG683" s="1" t="s">
        <v>109</v>
      </c>
      <c r="CH683" s="1" t="s">
        <v>109</v>
      </c>
      <c r="CI683" s="1" t="s">
        <v>109</v>
      </c>
      <c r="CJ683" s="1" t="s">
        <v>109</v>
      </c>
      <c r="CK683" s="1"/>
      <c r="CL683" s="1">
        <v>0</v>
      </c>
      <c r="CM683" s="1">
        <v>0</v>
      </c>
      <c r="CN683" s="1">
        <v>0</v>
      </c>
    </row>
    <row r="684" spans="1:92" ht="14.25" customHeight="1" x14ac:dyDescent="0.15">
      <c r="A684" s="1" t="s">
        <v>5958</v>
      </c>
      <c r="B684" s="1" t="s">
        <v>95</v>
      </c>
      <c r="C684" s="1" t="s">
        <v>694</v>
      </c>
      <c r="D684" s="1" t="s">
        <v>5959</v>
      </c>
      <c r="E684" s="1" t="s">
        <v>2652</v>
      </c>
      <c r="F684" s="1" t="s">
        <v>5960</v>
      </c>
      <c r="G684" s="1" t="s">
        <v>333</v>
      </c>
      <c r="H684" s="1">
        <v>0</v>
      </c>
      <c r="I684" s="1"/>
      <c r="J684" s="1" t="s">
        <v>5961</v>
      </c>
      <c r="K684" s="1"/>
      <c r="L684" s="1"/>
      <c r="M684" s="1" t="s">
        <v>5930</v>
      </c>
      <c r="N684" s="1">
        <v>0</v>
      </c>
      <c r="O684" s="1">
        <v>0</v>
      </c>
      <c r="P684" s="1" t="s">
        <v>380</v>
      </c>
      <c r="Q684" s="1" t="s">
        <v>268</v>
      </c>
      <c r="R684" s="1" t="s">
        <v>5962</v>
      </c>
      <c r="S684" s="1" t="s">
        <v>5963</v>
      </c>
      <c r="T684" s="1" t="s">
        <v>5815</v>
      </c>
      <c r="U684" s="1" t="s">
        <v>5964</v>
      </c>
      <c r="V684" s="1">
        <v>1</v>
      </c>
      <c r="W684" s="1">
        <v>0</v>
      </c>
      <c r="X684" s="1">
        <v>0</v>
      </c>
      <c r="Y684" s="1">
        <v>0</v>
      </c>
      <c r="Z684" s="1">
        <v>0</v>
      </c>
      <c r="AA684" s="1" t="s">
        <v>109</v>
      </c>
      <c r="AB684" s="1" t="s">
        <v>109</v>
      </c>
      <c r="AC684" s="1" t="s">
        <v>109</v>
      </c>
      <c r="AD684" s="1" t="s">
        <v>109</v>
      </c>
      <c r="AE684" s="1" t="s">
        <v>109</v>
      </c>
      <c r="AF684" s="1" t="s">
        <v>109</v>
      </c>
      <c r="AG684" s="1">
        <v>4</v>
      </c>
      <c r="AH684" s="1" t="s">
        <v>109</v>
      </c>
      <c r="AI684" s="1" t="s">
        <v>109</v>
      </c>
      <c r="AJ684" s="1" t="s">
        <v>109</v>
      </c>
      <c r="AK684" s="1" t="s">
        <v>109</v>
      </c>
      <c r="AL684" s="1" t="s">
        <v>109</v>
      </c>
      <c r="AM684" s="1" t="s">
        <v>109</v>
      </c>
      <c r="AN684" s="1" t="s">
        <v>109</v>
      </c>
      <c r="AO684" s="1" t="s">
        <v>109</v>
      </c>
      <c r="AP684" s="1"/>
      <c r="AQ684" s="1">
        <v>4</v>
      </c>
      <c r="AR684" s="1"/>
      <c r="AS684" s="1" t="s">
        <v>5965</v>
      </c>
      <c r="AT684" s="1">
        <v>0</v>
      </c>
      <c r="AU684" s="1">
        <v>0</v>
      </c>
      <c r="AV684" s="1">
        <v>0</v>
      </c>
      <c r="AW684" s="1">
        <v>0</v>
      </c>
      <c r="AX684" s="1">
        <v>0</v>
      </c>
      <c r="AY684" s="1">
        <v>0</v>
      </c>
      <c r="AZ684" s="1">
        <v>0</v>
      </c>
      <c r="BA684" s="1">
        <v>0</v>
      </c>
      <c r="BB684" s="1">
        <v>0</v>
      </c>
      <c r="BC684" s="1">
        <v>0</v>
      </c>
      <c r="BD684" s="1">
        <v>0</v>
      </c>
      <c r="BE684" s="1">
        <v>0</v>
      </c>
      <c r="BF684" s="1">
        <v>0</v>
      </c>
      <c r="BG684" s="1">
        <v>0</v>
      </c>
      <c r="BH684" s="1">
        <v>0</v>
      </c>
      <c r="BI684" s="1">
        <v>1</v>
      </c>
      <c r="BJ684" s="1">
        <v>0</v>
      </c>
      <c r="BK684" s="1">
        <v>0</v>
      </c>
      <c r="BL684" s="1">
        <v>0</v>
      </c>
      <c r="BM684" s="1">
        <v>1</v>
      </c>
      <c r="BN684" s="1">
        <v>0</v>
      </c>
      <c r="BO684" s="1">
        <v>0</v>
      </c>
      <c r="BP684" s="1">
        <v>0</v>
      </c>
      <c r="BQ684" s="1">
        <v>0</v>
      </c>
      <c r="BR684" s="1">
        <v>0</v>
      </c>
      <c r="BS684" s="5" t="str">
        <f>HYPERLINK("http://www.d20pfsrd.com/magic/all-spells/b/blaze-of-glory","Blaze of Glory")</f>
        <v>Blaze of Glory</v>
      </c>
      <c r="BT684" s="1">
        <v>700</v>
      </c>
      <c r="BU684" s="1" t="s">
        <v>109</v>
      </c>
      <c r="BV684" s="1"/>
      <c r="BW684" s="1"/>
      <c r="BX684" s="1"/>
      <c r="BY684" s="1"/>
      <c r="BZ684" s="1">
        <v>0</v>
      </c>
      <c r="CA684" s="1" t="s">
        <v>109</v>
      </c>
      <c r="CB684" s="1" t="s">
        <v>109</v>
      </c>
      <c r="CC684" s="1" t="s">
        <v>109</v>
      </c>
      <c r="CD684" s="1" t="s">
        <v>109</v>
      </c>
      <c r="CE684" s="1" t="s">
        <v>109</v>
      </c>
      <c r="CF684" s="1" t="s">
        <v>109</v>
      </c>
      <c r="CG684" s="1" t="s">
        <v>109</v>
      </c>
      <c r="CH684" s="1" t="s">
        <v>109</v>
      </c>
      <c r="CI684" s="1" t="s">
        <v>109</v>
      </c>
      <c r="CJ684" s="1" t="s">
        <v>109</v>
      </c>
      <c r="CK684" s="1"/>
      <c r="CL684" s="1">
        <v>0</v>
      </c>
      <c r="CM684" s="1">
        <v>0</v>
      </c>
      <c r="CN684" s="1">
        <v>0</v>
      </c>
    </row>
    <row r="685" spans="1:92" ht="14.25" customHeight="1" x14ac:dyDescent="0.15">
      <c r="A685" s="1" t="s">
        <v>5966</v>
      </c>
      <c r="B685" s="1" t="s">
        <v>189</v>
      </c>
      <c r="C685" s="1"/>
      <c r="D685" s="1"/>
      <c r="E685" s="1" t="s">
        <v>5967</v>
      </c>
      <c r="F685" s="1" t="s">
        <v>98</v>
      </c>
      <c r="G685" s="1" t="s">
        <v>160</v>
      </c>
      <c r="H685" s="1">
        <v>0</v>
      </c>
      <c r="I685" s="1" t="s">
        <v>142</v>
      </c>
      <c r="J685" s="1"/>
      <c r="K685" s="1"/>
      <c r="L685" s="1" t="s">
        <v>716</v>
      </c>
      <c r="M685" s="1" t="s">
        <v>125</v>
      </c>
      <c r="N685" s="1">
        <v>0</v>
      </c>
      <c r="O685" s="1">
        <v>0</v>
      </c>
      <c r="P685" s="1" t="s">
        <v>1382</v>
      </c>
      <c r="Q685" s="1" t="s">
        <v>167</v>
      </c>
      <c r="R685" s="1" t="s">
        <v>5968</v>
      </c>
      <c r="S685" s="1" t="s">
        <v>5969</v>
      </c>
      <c r="T685" s="1" t="s">
        <v>5815</v>
      </c>
      <c r="U685" s="1" t="s">
        <v>5970</v>
      </c>
      <c r="V685" s="1">
        <v>1</v>
      </c>
      <c r="W685" s="1">
        <v>1</v>
      </c>
      <c r="X685" s="1">
        <v>0</v>
      </c>
      <c r="Y685" s="1">
        <v>0</v>
      </c>
      <c r="Z685" s="1">
        <v>1</v>
      </c>
      <c r="AA685" s="1" t="s">
        <v>109</v>
      </c>
      <c r="AB685" s="1" t="s">
        <v>109</v>
      </c>
      <c r="AC685" s="1">
        <v>4</v>
      </c>
      <c r="AD685" s="1" t="s">
        <v>109</v>
      </c>
      <c r="AE685" s="1" t="s">
        <v>109</v>
      </c>
      <c r="AF685" s="1" t="s">
        <v>109</v>
      </c>
      <c r="AG685" s="1" t="s">
        <v>109</v>
      </c>
      <c r="AH685" s="1" t="s">
        <v>109</v>
      </c>
      <c r="AI685" s="1" t="s">
        <v>109</v>
      </c>
      <c r="AJ685" s="1" t="s">
        <v>109</v>
      </c>
      <c r="AK685" s="1" t="s">
        <v>109</v>
      </c>
      <c r="AL685" s="1">
        <v>4</v>
      </c>
      <c r="AM685" s="1" t="s">
        <v>109</v>
      </c>
      <c r="AN685" s="1" t="s">
        <v>109</v>
      </c>
      <c r="AO685" s="1" t="s">
        <v>109</v>
      </c>
      <c r="AP685" s="1"/>
      <c r="AQ685" s="1">
        <v>4</v>
      </c>
      <c r="AR685" s="1"/>
      <c r="AS685" s="1" t="s">
        <v>5971</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5" t="str">
        <f>HYPERLINK("http://www.d20pfsrd.com/magic/all-spells/b/blessing-of-fervor","Blessing of Fervor")</f>
        <v>Blessing of Fervor</v>
      </c>
      <c r="BT685" s="1">
        <v>701</v>
      </c>
      <c r="BU685" s="1" t="s">
        <v>109</v>
      </c>
      <c r="BV685" s="1" t="s">
        <v>5972</v>
      </c>
      <c r="BW685" s="1" t="s">
        <v>5973</v>
      </c>
      <c r="BX685" s="1" t="s">
        <v>5974</v>
      </c>
      <c r="BY685" s="1"/>
      <c r="BZ685" s="1">
        <v>1</v>
      </c>
      <c r="CA685" s="1" t="s">
        <v>109</v>
      </c>
      <c r="CB685" s="1" t="s">
        <v>109</v>
      </c>
      <c r="CC685" s="1" t="s">
        <v>109</v>
      </c>
      <c r="CD685" s="1" t="s">
        <v>109</v>
      </c>
      <c r="CE685" s="1" t="s">
        <v>109</v>
      </c>
      <c r="CF685" s="1" t="s">
        <v>109</v>
      </c>
      <c r="CG685" s="1" t="s">
        <v>109</v>
      </c>
      <c r="CH685" s="1" t="s">
        <v>109</v>
      </c>
      <c r="CI685" s="1" t="s">
        <v>109</v>
      </c>
      <c r="CJ685" s="1" t="s">
        <v>109</v>
      </c>
      <c r="CK685" s="1"/>
      <c r="CL685" s="1">
        <v>0</v>
      </c>
      <c r="CM685" s="1">
        <v>0</v>
      </c>
      <c r="CN685" s="1">
        <v>0</v>
      </c>
    </row>
    <row r="686" spans="1:92" ht="14.25" customHeight="1" x14ac:dyDescent="0.15">
      <c r="A686" s="1" t="s">
        <v>5975</v>
      </c>
      <c r="B686" s="1" t="s">
        <v>189</v>
      </c>
      <c r="C686" s="1" t="s">
        <v>231</v>
      </c>
      <c r="D686" s="1"/>
      <c r="E686" s="1" t="s">
        <v>5148</v>
      </c>
      <c r="F686" s="1" t="s">
        <v>98</v>
      </c>
      <c r="G686" s="1" t="s">
        <v>160</v>
      </c>
      <c r="H686" s="1">
        <v>0</v>
      </c>
      <c r="I686" s="1" t="s">
        <v>161</v>
      </c>
      <c r="J686" s="1"/>
      <c r="K686" s="1"/>
      <c r="L686" s="1" t="s">
        <v>506</v>
      </c>
      <c r="M686" s="1" t="s">
        <v>125</v>
      </c>
      <c r="N686" s="1">
        <v>0</v>
      </c>
      <c r="O686" s="1">
        <v>0</v>
      </c>
      <c r="P686" s="1" t="s">
        <v>1382</v>
      </c>
      <c r="Q686" s="1" t="s">
        <v>167</v>
      </c>
      <c r="R686" s="1" t="s">
        <v>5976</v>
      </c>
      <c r="S686" s="1" t="s">
        <v>5977</v>
      </c>
      <c r="T686" s="1" t="s">
        <v>5815</v>
      </c>
      <c r="U686" s="1" t="s">
        <v>5978</v>
      </c>
      <c r="V686" s="1">
        <v>1</v>
      </c>
      <c r="W686" s="1">
        <v>1</v>
      </c>
      <c r="X686" s="1">
        <v>0</v>
      </c>
      <c r="Y686" s="1">
        <v>0</v>
      </c>
      <c r="Z686" s="1">
        <v>1</v>
      </c>
      <c r="AA686" s="1" t="s">
        <v>109</v>
      </c>
      <c r="AB686" s="1" t="s">
        <v>109</v>
      </c>
      <c r="AC686" s="1" t="s">
        <v>109</v>
      </c>
      <c r="AD686" s="1">
        <v>5</v>
      </c>
      <c r="AE686" s="1">
        <v>4</v>
      </c>
      <c r="AF686" s="1" t="s">
        <v>109</v>
      </c>
      <c r="AG686" s="1" t="s">
        <v>109</v>
      </c>
      <c r="AH686" s="1" t="s">
        <v>109</v>
      </c>
      <c r="AI686" s="1" t="s">
        <v>109</v>
      </c>
      <c r="AJ686" s="1" t="s">
        <v>109</v>
      </c>
      <c r="AK686" s="1" t="s">
        <v>109</v>
      </c>
      <c r="AL686" s="1" t="s">
        <v>109</v>
      </c>
      <c r="AM686" s="1" t="s">
        <v>109</v>
      </c>
      <c r="AN686" s="1" t="s">
        <v>109</v>
      </c>
      <c r="AO686" s="1" t="s">
        <v>109</v>
      </c>
      <c r="AP686" s="1"/>
      <c r="AQ686" s="1">
        <v>5</v>
      </c>
      <c r="AR686" s="1"/>
      <c r="AS686" s="1" t="s">
        <v>5979</v>
      </c>
      <c r="AT686" s="1">
        <v>0</v>
      </c>
      <c r="AU686" s="1">
        <v>0</v>
      </c>
      <c r="AV686" s="1">
        <v>0</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5" t="str">
        <f>HYPERLINK("http://www.d20pfsrd.com/magic/all-spells/b/blessing-of-the-salamander","Blessing of the Salamander")</f>
        <v>Blessing of the Salamander</v>
      </c>
      <c r="BT686" s="1">
        <v>702</v>
      </c>
      <c r="BU686" s="1" t="s">
        <v>109</v>
      </c>
      <c r="BV686" s="1"/>
      <c r="BW686" s="1"/>
      <c r="BX686" s="1"/>
      <c r="BY686" s="1"/>
      <c r="BZ686" s="1">
        <v>0</v>
      </c>
      <c r="CA686" s="1" t="s">
        <v>109</v>
      </c>
      <c r="CB686" s="1" t="s">
        <v>109</v>
      </c>
      <c r="CC686" s="1" t="s">
        <v>109</v>
      </c>
      <c r="CD686" s="1" t="s">
        <v>109</v>
      </c>
      <c r="CE686" s="1" t="s">
        <v>109</v>
      </c>
      <c r="CF686" s="1" t="s">
        <v>109</v>
      </c>
      <c r="CG686" s="1" t="s">
        <v>109</v>
      </c>
      <c r="CH686" s="1" t="s">
        <v>109</v>
      </c>
      <c r="CI686" s="1" t="s">
        <v>109</v>
      </c>
      <c r="CJ686" s="1">
        <v>4</v>
      </c>
      <c r="CK686" s="1"/>
      <c r="CL686" s="1">
        <v>0</v>
      </c>
      <c r="CM686" s="1">
        <v>0</v>
      </c>
      <c r="CN686" s="1">
        <v>0</v>
      </c>
    </row>
    <row r="687" spans="1:92" ht="14.25" customHeight="1" x14ac:dyDescent="0.15">
      <c r="A687" s="1" t="s">
        <v>5980</v>
      </c>
      <c r="B687" s="1" t="s">
        <v>254</v>
      </c>
      <c r="C687" s="1"/>
      <c r="D687" s="1"/>
      <c r="E687" s="1" t="s">
        <v>5981</v>
      </c>
      <c r="F687" s="1" t="s">
        <v>277</v>
      </c>
      <c r="G687" s="1" t="s">
        <v>5982</v>
      </c>
      <c r="H687" s="1">
        <v>0</v>
      </c>
      <c r="I687" s="1" t="s">
        <v>161</v>
      </c>
      <c r="J687" s="1"/>
      <c r="K687" s="1"/>
      <c r="L687" s="1" t="s">
        <v>5983</v>
      </c>
      <c r="M687" s="1" t="s">
        <v>144</v>
      </c>
      <c r="N687" s="1">
        <v>0</v>
      </c>
      <c r="O687" s="1">
        <v>0</v>
      </c>
      <c r="P687" s="1" t="s">
        <v>2475</v>
      </c>
      <c r="Q687" s="1" t="s">
        <v>104</v>
      </c>
      <c r="R687" s="1" t="s">
        <v>5984</v>
      </c>
      <c r="S687" s="1" t="s">
        <v>5985</v>
      </c>
      <c r="T687" s="1" t="s">
        <v>5815</v>
      </c>
      <c r="U687" s="1" t="s">
        <v>5986</v>
      </c>
      <c r="V687" s="1">
        <v>1</v>
      </c>
      <c r="W687" s="1">
        <v>1</v>
      </c>
      <c r="X687" s="1">
        <v>1</v>
      </c>
      <c r="Y687" s="1">
        <v>0</v>
      </c>
      <c r="Z687" s="1">
        <v>1</v>
      </c>
      <c r="AA687" s="1">
        <v>3</v>
      </c>
      <c r="AB687" s="1">
        <v>3</v>
      </c>
      <c r="AC687" s="1">
        <v>3</v>
      </c>
      <c r="AD687" s="1" t="s">
        <v>109</v>
      </c>
      <c r="AE687" s="1" t="s">
        <v>109</v>
      </c>
      <c r="AF687" s="1">
        <v>2</v>
      </c>
      <c r="AG687" s="1" t="s">
        <v>109</v>
      </c>
      <c r="AH687" s="1" t="s">
        <v>109</v>
      </c>
      <c r="AI687" s="1" t="s">
        <v>109</v>
      </c>
      <c r="AJ687" s="1" t="s">
        <v>109</v>
      </c>
      <c r="AK687" s="1">
        <v>3</v>
      </c>
      <c r="AL687" s="1">
        <v>3</v>
      </c>
      <c r="AM687" s="1" t="s">
        <v>109</v>
      </c>
      <c r="AN687" s="1" t="s">
        <v>109</v>
      </c>
      <c r="AO687" s="1" t="s">
        <v>109</v>
      </c>
      <c r="AP687" s="1"/>
      <c r="AQ687" s="1">
        <v>3</v>
      </c>
      <c r="AR687" s="1"/>
      <c r="AS687" s="1" t="s">
        <v>5987</v>
      </c>
      <c r="AT687" s="1">
        <v>0</v>
      </c>
      <c r="AU687" s="1">
        <v>0</v>
      </c>
      <c r="AV687" s="1">
        <v>0</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5" t="str">
        <f>HYPERLINK("http://www.d20pfsrd.com/magic/all-spells/b/blood-biography","Blood Biography")</f>
        <v>Blood Biography</v>
      </c>
      <c r="BT687" s="1">
        <v>703</v>
      </c>
      <c r="BU687" s="1" t="s">
        <v>109</v>
      </c>
      <c r="BV687" s="1"/>
      <c r="BW687" s="1" t="s">
        <v>5988</v>
      </c>
      <c r="BX687" s="1"/>
      <c r="BY687" s="1"/>
      <c r="BZ687" s="1">
        <v>0</v>
      </c>
      <c r="CA687" s="1">
        <v>3</v>
      </c>
      <c r="CB687" s="1" t="s">
        <v>109</v>
      </c>
      <c r="CC687" s="1">
        <v>3</v>
      </c>
      <c r="CD687" s="1" t="s">
        <v>109</v>
      </c>
      <c r="CE687" s="1" t="s">
        <v>109</v>
      </c>
      <c r="CF687" s="1">
        <v>2</v>
      </c>
      <c r="CG687" s="1" t="s">
        <v>109</v>
      </c>
      <c r="CH687" s="1" t="s">
        <v>109</v>
      </c>
      <c r="CI687" s="1" t="s">
        <v>109</v>
      </c>
      <c r="CJ687" s="1" t="s">
        <v>109</v>
      </c>
      <c r="CK687" s="1"/>
      <c r="CL687" s="1">
        <v>0</v>
      </c>
      <c r="CM687" s="1">
        <v>0</v>
      </c>
      <c r="CN687" s="1">
        <v>0</v>
      </c>
    </row>
    <row r="688" spans="1:92" ht="14.25" customHeight="1" x14ac:dyDescent="0.15">
      <c r="A688" s="1" t="s">
        <v>5989</v>
      </c>
      <c r="B688" s="1" t="s">
        <v>189</v>
      </c>
      <c r="C688" s="1"/>
      <c r="D688" s="1"/>
      <c r="E688" s="1" t="s">
        <v>5990</v>
      </c>
      <c r="F688" s="1" t="s">
        <v>98</v>
      </c>
      <c r="G688" s="1" t="s">
        <v>5991</v>
      </c>
      <c r="H688" s="1">
        <v>0</v>
      </c>
      <c r="I688" s="1" t="s">
        <v>235</v>
      </c>
      <c r="J688" s="1"/>
      <c r="K688" s="1"/>
      <c r="L688" s="1" t="s">
        <v>236</v>
      </c>
      <c r="M688" s="1" t="s">
        <v>289</v>
      </c>
      <c r="N688" s="1">
        <v>0</v>
      </c>
      <c r="O688" s="1">
        <v>0</v>
      </c>
      <c r="P688" s="1"/>
      <c r="Q688" s="1"/>
      <c r="R688" s="1" t="s">
        <v>5992</v>
      </c>
      <c r="S688" s="1" t="s">
        <v>5993</v>
      </c>
      <c r="T688" s="1" t="s">
        <v>5815</v>
      </c>
      <c r="U688" s="1" t="s">
        <v>5994</v>
      </c>
      <c r="V688" s="1">
        <v>1</v>
      </c>
      <c r="W688" s="1">
        <v>1</v>
      </c>
      <c r="X688" s="1">
        <v>1</v>
      </c>
      <c r="Y688" s="1">
        <v>0</v>
      </c>
      <c r="Z688" s="1">
        <v>0</v>
      </c>
      <c r="AA688" s="1" t="s">
        <v>109</v>
      </c>
      <c r="AB688" s="1" t="s">
        <v>109</v>
      </c>
      <c r="AC688" s="1" t="s">
        <v>109</v>
      </c>
      <c r="AD688" s="1" t="s">
        <v>109</v>
      </c>
      <c r="AE688" s="1">
        <v>2</v>
      </c>
      <c r="AF688" s="1" t="s">
        <v>109</v>
      </c>
      <c r="AG688" s="1" t="s">
        <v>109</v>
      </c>
      <c r="AH688" s="1">
        <v>3</v>
      </c>
      <c r="AI688" s="1" t="s">
        <v>109</v>
      </c>
      <c r="AJ688" s="1" t="s">
        <v>109</v>
      </c>
      <c r="AK688" s="1">
        <v>2</v>
      </c>
      <c r="AL688" s="1" t="s">
        <v>109</v>
      </c>
      <c r="AM688" s="1" t="s">
        <v>109</v>
      </c>
      <c r="AN688" s="1" t="s">
        <v>109</v>
      </c>
      <c r="AO688" s="1" t="s">
        <v>109</v>
      </c>
      <c r="AP688" s="1"/>
      <c r="AQ688" s="1">
        <v>2</v>
      </c>
      <c r="AR688" s="1"/>
      <c r="AS688" s="1" t="s">
        <v>5995</v>
      </c>
      <c r="AT688" s="1">
        <v>0</v>
      </c>
      <c r="AU688" s="1">
        <v>0</v>
      </c>
      <c r="AV688" s="1">
        <v>0</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5" t="str">
        <f>HYPERLINK("http://www.d20pfsrd.com/magic/all-spells/b/bloodhound","Bloodhound")</f>
        <v>Bloodhound</v>
      </c>
      <c r="BT688" s="1">
        <v>704</v>
      </c>
      <c r="BU688" s="1" t="s">
        <v>109</v>
      </c>
      <c r="BV688" s="1"/>
      <c r="BW688" s="1"/>
      <c r="BX688" s="1"/>
      <c r="BY688" s="1"/>
      <c r="BZ688" s="1">
        <v>0</v>
      </c>
      <c r="CA688" s="1" t="s">
        <v>109</v>
      </c>
      <c r="CB688" s="1" t="s">
        <v>109</v>
      </c>
      <c r="CC688" s="1" t="s">
        <v>109</v>
      </c>
      <c r="CD688" s="1" t="s">
        <v>109</v>
      </c>
      <c r="CE688" s="1" t="s">
        <v>109</v>
      </c>
      <c r="CF688" s="1">
        <v>3</v>
      </c>
      <c r="CG688" s="1" t="s">
        <v>109</v>
      </c>
      <c r="CH688" s="1" t="s">
        <v>109</v>
      </c>
      <c r="CI688" s="1" t="s">
        <v>109</v>
      </c>
      <c r="CJ688" s="1">
        <v>2</v>
      </c>
      <c r="CK688" s="1"/>
      <c r="CL688" s="1">
        <v>0</v>
      </c>
      <c r="CM688" s="1">
        <v>0</v>
      </c>
      <c r="CN688" s="1">
        <v>0</v>
      </c>
    </row>
    <row r="689" spans="1:92" ht="14.25" customHeight="1" x14ac:dyDescent="0.15">
      <c r="A689" s="1" t="s">
        <v>5996</v>
      </c>
      <c r="B689" s="1" t="s">
        <v>308</v>
      </c>
      <c r="C689" s="1"/>
      <c r="D689" s="1"/>
      <c r="E689" s="1" t="s">
        <v>5653</v>
      </c>
      <c r="F689" s="1" t="s">
        <v>98</v>
      </c>
      <c r="G689" s="1" t="s">
        <v>160</v>
      </c>
      <c r="H689" s="1">
        <v>0</v>
      </c>
      <c r="I689" s="1" t="s">
        <v>161</v>
      </c>
      <c r="J689" s="1"/>
      <c r="K689" s="1"/>
      <c r="L689" s="1" t="s">
        <v>162</v>
      </c>
      <c r="M689" s="1" t="s">
        <v>3042</v>
      </c>
      <c r="N689" s="1">
        <v>0</v>
      </c>
      <c r="O689" s="1">
        <v>0</v>
      </c>
      <c r="P689" s="1" t="s">
        <v>1382</v>
      </c>
      <c r="Q689" s="1" t="s">
        <v>167</v>
      </c>
      <c r="R689" s="1" t="s">
        <v>5997</v>
      </c>
      <c r="S689" s="1" t="s">
        <v>5998</v>
      </c>
      <c r="T689" s="1" t="s">
        <v>5815</v>
      </c>
      <c r="U689" s="1" t="s">
        <v>5999</v>
      </c>
      <c r="V689" s="1">
        <v>1</v>
      </c>
      <c r="W689" s="1">
        <v>1</v>
      </c>
      <c r="X689" s="1">
        <v>0</v>
      </c>
      <c r="Y689" s="1">
        <v>0</v>
      </c>
      <c r="Z689" s="1">
        <v>1</v>
      </c>
      <c r="AA689" s="1" t="s">
        <v>109</v>
      </c>
      <c r="AB689" s="1" t="s">
        <v>109</v>
      </c>
      <c r="AC689" s="1" t="s">
        <v>109</v>
      </c>
      <c r="AD689" s="1">
        <v>4</v>
      </c>
      <c r="AE689" s="1">
        <v>3</v>
      </c>
      <c r="AF689" s="1" t="s">
        <v>109</v>
      </c>
      <c r="AG689" s="1" t="s">
        <v>109</v>
      </c>
      <c r="AH689" s="1" t="s">
        <v>109</v>
      </c>
      <c r="AI689" s="1" t="s">
        <v>109</v>
      </c>
      <c r="AJ689" s="1" t="s">
        <v>109</v>
      </c>
      <c r="AK689" s="1" t="s">
        <v>109</v>
      </c>
      <c r="AL689" s="1" t="s">
        <v>109</v>
      </c>
      <c r="AM689" s="1" t="s">
        <v>109</v>
      </c>
      <c r="AN689" s="1" t="s">
        <v>109</v>
      </c>
      <c r="AO689" s="1" t="s">
        <v>109</v>
      </c>
      <c r="AP689" s="1"/>
      <c r="AQ689" s="1">
        <v>4</v>
      </c>
      <c r="AR689" s="1"/>
      <c r="AS689" s="1" t="s">
        <v>6000</v>
      </c>
      <c r="AT689" s="1">
        <v>0</v>
      </c>
      <c r="AU689" s="1">
        <v>0</v>
      </c>
      <c r="AV689" s="1">
        <v>0</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5" t="str">
        <f>HYPERLINK("http://www.d20pfsrd.com/magic/all-spells/b/bloody-claws","Bloody Claws")</f>
        <v>Bloody Claws</v>
      </c>
      <c r="BT689" s="1">
        <v>705</v>
      </c>
      <c r="BU689" s="1" t="s">
        <v>109</v>
      </c>
      <c r="BV689" s="1"/>
      <c r="BW689" s="1"/>
      <c r="BX689" s="1"/>
      <c r="BY689" s="1"/>
      <c r="BZ689" s="1">
        <v>0</v>
      </c>
      <c r="CA689" s="1" t="s">
        <v>109</v>
      </c>
      <c r="CB689" s="1" t="s">
        <v>109</v>
      </c>
      <c r="CC689" s="1" t="s">
        <v>109</v>
      </c>
      <c r="CD689" s="1" t="s">
        <v>109</v>
      </c>
      <c r="CE689" s="1" t="s">
        <v>109</v>
      </c>
      <c r="CF689" s="1" t="s">
        <v>109</v>
      </c>
      <c r="CG689" s="1" t="s">
        <v>109</v>
      </c>
      <c r="CH689" s="1" t="s">
        <v>109</v>
      </c>
      <c r="CI689" s="1" t="s">
        <v>109</v>
      </c>
      <c r="CJ689" s="1">
        <v>3</v>
      </c>
      <c r="CK689" s="1"/>
      <c r="CL689" s="1">
        <v>0</v>
      </c>
      <c r="CM689" s="1">
        <v>0</v>
      </c>
      <c r="CN689" s="1">
        <v>0</v>
      </c>
    </row>
    <row r="690" spans="1:92" ht="14.25" customHeight="1" x14ac:dyDescent="0.15">
      <c r="A690" s="1" t="s">
        <v>6001</v>
      </c>
      <c r="B690" s="1" t="s">
        <v>189</v>
      </c>
      <c r="C690" s="1"/>
      <c r="D690" s="1"/>
      <c r="E690" s="1" t="s">
        <v>6002</v>
      </c>
      <c r="F690" s="1" t="s">
        <v>98</v>
      </c>
      <c r="G690" s="1" t="s">
        <v>2345</v>
      </c>
      <c r="H690" s="1">
        <v>0</v>
      </c>
      <c r="I690" s="1" t="s">
        <v>235</v>
      </c>
      <c r="J690" s="1"/>
      <c r="K690" s="1"/>
      <c r="L690" s="1" t="s">
        <v>236</v>
      </c>
      <c r="M690" s="1" t="s">
        <v>125</v>
      </c>
      <c r="N690" s="1">
        <v>0</v>
      </c>
      <c r="O690" s="1">
        <v>0</v>
      </c>
      <c r="P690" s="1"/>
      <c r="Q690" s="1"/>
      <c r="R690" s="1" t="s">
        <v>6003</v>
      </c>
      <c r="S690" s="1" t="s">
        <v>6004</v>
      </c>
      <c r="T690" s="1" t="s">
        <v>5815</v>
      </c>
      <c r="U690" s="1" t="s">
        <v>6005</v>
      </c>
      <c r="V690" s="1">
        <v>0</v>
      </c>
      <c r="W690" s="1">
        <v>1</v>
      </c>
      <c r="X690" s="1">
        <v>0</v>
      </c>
      <c r="Y690" s="1">
        <v>0</v>
      </c>
      <c r="Z690" s="1">
        <v>0</v>
      </c>
      <c r="AA690" s="1" t="s">
        <v>109</v>
      </c>
      <c r="AB690" s="1" t="s">
        <v>109</v>
      </c>
      <c r="AC690" s="1" t="s">
        <v>109</v>
      </c>
      <c r="AD690" s="1" t="s">
        <v>109</v>
      </c>
      <c r="AE690" s="1" t="s">
        <v>109</v>
      </c>
      <c r="AF690" s="1" t="s">
        <v>109</v>
      </c>
      <c r="AG690" s="1" t="s">
        <v>109</v>
      </c>
      <c r="AH690" s="1">
        <v>1</v>
      </c>
      <c r="AI690" s="1" t="s">
        <v>109</v>
      </c>
      <c r="AJ690" s="1" t="s">
        <v>109</v>
      </c>
      <c r="AK690" s="1" t="s">
        <v>109</v>
      </c>
      <c r="AL690" s="1" t="s">
        <v>109</v>
      </c>
      <c r="AM690" s="1" t="s">
        <v>109</v>
      </c>
      <c r="AN690" s="1" t="s">
        <v>109</v>
      </c>
      <c r="AO690" s="1" t="s">
        <v>109</v>
      </c>
      <c r="AP690" s="1"/>
      <c r="AQ690" s="1">
        <v>1</v>
      </c>
      <c r="AR690" s="1"/>
      <c r="AS690" s="1" t="s">
        <v>6006</v>
      </c>
      <c r="AT690" s="1">
        <v>0</v>
      </c>
      <c r="AU690" s="1">
        <v>0</v>
      </c>
      <c r="AV690" s="1">
        <v>0</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5" t="str">
        <f>HYPERLINK("http://www.d20pfsrd.com/magic/all-spells/b/bomber-s-eye","Bomber's Eye")</f>
        <v>Bomber's Eye</v>
      </c>
      <c r="BT690" s="1">
        <v>706</v>
      </c>
      <c r="BU690" s="1" t="s">
        <v>109</v>
      </c>
      <c r="BV690" s="1"/>
      <c r="BW690" s="1"/>
      <c r="BX690" s="1"/>
      <c r="BY690" s="1"/>
      <c r="BZ690" s="1">
        <v>0</v>
      </c>
      <c r="CA690" s="1" t="s">
        <v>109</v>
      </c>
      <c r="CB690" s="1" t="s">
        <v>109</v>
      </c>
      <c r="CC690" s="1" t="s">
        <v>109</v>
      </c>
      <c r="CD690" s="1" t="s">
        <v>109</v>
      </c>
      <c r="CE690" s="1" t="s">
        <v>109</v>
      </c>
      <c r="CF690" s="1" t="s">
        <v>109</v>
      </c>
      <c r="CG690" s="1" t="s">
        <v>109</v>
      </c>
      <c r="CH690" s="1" t="s">
        <v>109</v>
      </c>
      <c r="CI690" s="1" t="s">
        <v>109</v>
      </c>
      <c r="CJ690" s="1" t="s">
        <v>109</v>
      </c>
      <c r="CK690" s="1"/>
      <c r="CL690" s="1">
        <v>0</v>
      </c>
      <c r="CM690" s="1">
        <v>0</v>
      </c>
      <c r="CN690" s="1">
        <v>0</v>
      </c>
    </row>
    <row r="691" spans="1:92" ht="14.25" customHeight="1" x14ac:dyDescent="0.15">
      <c r="A691" s="1" t="s">
        <v>6007</v>
      </c>
      <c r="B691" s="1" t="s">
        <v>584</v>
      </c>
      <c r="C691" s="1"/>
      <c r="D691" s="1"/>
      <c r="E691" s="1" t="s">
        <v>6008</v>
      </c>
      <c r="F691" s="1" t="s">
        <v>1963</v>
      </c>
      <c r="G691" s="1" t="s">
        <v>333</v>
      </c>
      <c r="H691" s="1">
        <v>0</v>
      </c>
      <c r="I691" s="1" t="s">
        <v>235</v>
      </c>
      <c r="J691" s="1"/>
      <c r="K691" s="1"/>
      <c r="L691" s="1" t="s">
        <v>236</v>
      </c>
      <c r="M691" s="1" t="s">
        <v>947</v>
      </c>
      <c r="N691" s="1">
        <v>0</v>
      </c>
      <c r="O691" s="1">
        <v>0</v>
      </c>
      <c r="P691" s="1"/>
      <c r="Q691" s="1"/>
      <c r="R691" s="1" t="s">
        <v>6009</v>
      </c>
      <c r="S691" s="1" t="s">
        <v>6010</v>
      </c>
      <c r="T691" s="1" t="s">
        <v>5815</v>
      </c>
      <c r="U691" s="1" t="s">
        <v>6011</v>
      </c>
      <c r="V691" s="1">
        <v>1</v>
      </c>
      <c r="W691" s="1">
        <v>0</v>
      </c>
      <c r="X691" s="1">
        <v>0</v>
      </c>
      <c r="Y691" s="1">
        <v>0</v>
      </c>
      <c r="Z691" s="1">
        <v>0</v>
      </c>
      <c r="AA691" s="1" t="s">
        <v>109</v>
      </c>
      <c r="AB691" s="1" t="s">
        <v>109</v>
      </c>
      <c r="AC691" s="1" t="s">
        <v>109</v>
      </c>
      <c r="AD691" s="1" t="s">
        <v>109</v>
      </c>
      <c r="AE691" s="1" t="s">
        <v>109</v>
      </c>
      <c r="AF691" s="1" t="s">
        <v>109</v>
      </c>
      <c r="AG691" s="1" t="s">
        <v>109</v>
      </c>
      <c r="AH691" s="1" t="s">
        <v>109</v>
      </c>
      <c r="AI691" s="1" t="s">
        <v>109</v>
      </c>
      <c r="AJ691" s="1" t="s">
        <v>109</v>
      </c>
      <c r="AK691" s="1" t="s">
        <v>109</v>
      </c>
      <c r="AL691" s="1">
        <v>3</v>
      </c>
      <c r="AM691" s="1" t="s">
        <v>109</v>
      </c>
      <c r="AN691" s="1" t="s">
        <v>109</v>
      </c>
      <c r="AO691" s="1" t="s">
        <v>109</v>
      </c>
      <c r="AP691" s="1"/>
      <c r="AQ691" s="1">
        <v>3</v>
      </c>
      <c r="AR691" s="1" t="s">
        <v>6012</v>
      </c>
      <c r="AS691" s="1" t="s">
        <v>6013</v>
      </c>
      <c r="AT691" s="1">
        <v>0</v>
      </c>
      <c r="AU691" s="1">
        <v>0</v>
      </c>
      <c r="AV691" s="1">
        <v>0</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5" t="str">
        <f>HYPERLINK("http://www.d20pfsrd.com/magic/all-spells/b/borrow-fortune","Borrow Fortune")</f>
        <v>Borrow Fortune</v>
      </c>
      <c r="BT691" s="1">
        <v>707</v>
      </c>
      <c r="BU691" s="1" t="s">
        <v>109</v>
      </c>
      <c r="BV691" s="1"/>
      <c r="BW691" s="1"/>
      <c r="BX691" s="1"/>
      <c r="BY691" s="1"/>
      <c r="BZ691" s="1">
        <v>0</v>
      </c>
      <c r="CA691" s="1" t="s">
        <v>109</v>
      </c>
      <c r="CB691" s="1" t="s">
        <v>109</v>
      </c>
      <c r="CC691" s="1">
        <v>3</v>
      </c>
      <c r="CD691" s="1" t="s">
        <v>109</v>
      </c>
      <c r="CE691" s="1" t="s">
        <v>109</v>
      </c>
      <c r="CF691" s="1" t="s">
        <v>109</v>
      </c>
      <c r="CG691" s="1" t="s">
        <v>109</v>
      </c>
      <c r="CH691" s="1" t="s">
        <v>109</v>
      </c>
      <c r="CI691" s="1" t="s">
        <v>109</v>
      </c>
      <c r="CJ691" s="1" t="s">
        <v>109</v>
      </c>
      <c r="CK691" s="1"/>
      <c r="CL691" s="1">
        <v>0</v>
      </c>
      <c r="CM691" s="1">
        <v>0</v>
      </c>
      <c r="CN691" s="1">
        <v>0</v>
      </c>
    </row>
    <row r="692" spans="1:92" ht="14.25" customHeight="1" x14ac:dyDescent="0.15">
      <c r="A692" s="1" t="s">
        <v>6014</v>
      </c>
      <c r="B692" s="1" t="s">
        <v>189</v>
      </c>
      <c r="C692" s="1"/>
      <c r="D692" s="1"/>
      <c r="E692" s="1" t="s">
        <v>6015</v>
      </c>
      <c r="F692" s="1" t="s">
        <v>98</v>
      </c>
      <c r="G692" s="1" t="s">
        <v>2345</v>
      </c>
      <c r="H692" s="1">
        <v>0</v>
      </c>
      <c r="I692" s="1" t="s">
        <v>161</v>
      </c>
      <c r="J692" s="1"/>
      <c r="K692" s="1"/>
      <c r="L692" s="1" t="s">
        <v>506</v>
      </c>
      <c r="M692" s="1" t="s">
        <v>6016</v>
      </c>
      <c r="N692" s="1">
        <v>0</v>
      </c>
      <c r="O692" s="1">
        <v>0</v>
      </c>
      <c r="P692" s="1" t="s">
        <v>507</v>
      </c>
      <c r="Q692" s="1" t="s">
        <v>167</v>
      </c>
      <c r="R692" s="1" t="s">
        <v>6017</v>
      </c>
      <c r="S692" s="1" t="s">
        <v>6018</v>
      </c>
      <c r="T692" s="1" t="s">
        <v>5815</v>
      </c>
      <c r="U692" s="1" t="s">
        <v>6019</v>
      </c>
      <c r="V692" s="1">
        <v>0</v>
      </c>
      <c r="W692" s="1">
        <v>1</v>
      </c>
      <c r="X692" s="1">
        <v>0</v>
      </c>
      <c r="Y692" s="1">
        <v>0</v>
      </c>
      <c r="Z692" s="1">
        <v>0</v>
      </c>
      <c r="AA692" s="1" t="s">
        <v>109</v>
      </c>
      <c r="AB692" s="1" t="s">
        <v>109</v>
      </c>
      <c r="AC692" s="1" t="s">
        <v>109</v>
      </c>
      <c r="AD692" s="1" t="s">
        <v>109</v>
      </c>
      <c r="AE692" s="1" t="s">
        <v>109</v>
      </c>
      <c r="AF692" s="1">
        <v>1</v>
      </c>
      <c r="AG692" s="1" t="s">
        <v>109</v>
      </c>
      <c r="AH692" s="1" t="s">
        <v>109</v>
      </c>
      <c r="AI692" s="1" t="s">
        <v>109</v>
      </c>
      <c r="AJ692" s="1" t="s">
        <v>109</v>
      </c>
      <c r="AK692" s="1" t="s">
        <v>109</v>
      </c>
      <c r="AL692" s="1" t="s">
        <v>109</v>
      </c>
      <c r="AM692" s="1" t="s">
        <v>109</v>
      </c>
      <c r="AN692" s="1" t="s">
        <v>109</v>
      </c>
      <c r="AO692" s="1" t="s">
        <v>109</v>
      </c>
      <c r="AP692" s="1"/>
      <c r="AQ692" s="1">
        <v>1</v>
      </c>
      <c r="AR692" s="1" t="s">
        <v>6020</v>
      </c>
      <c r="AS692" s="1" t="s">
        <v>6021</v>
      </c>
      <c r="AT692" s="1">
        <v>0</v>
      </c>
      <c r="AU692" s="1">
        <v>0</v>
      </c>
      <c r="AV692" s="1">
        <v>0</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5" t="str">
        <f>HYPERLINK("http://www.d20pfsrd.com/magic/all-spells/b/borrow-skill","Borrow Skill")</f>
        <v>Borrow Skill</v>
      </c>
      <c r="BT692" s="1">
        <v>708</v>
      </c>
      <c r="BU692" s="1" t="s">
        <v>109</v>
      </c>
      <c r="BV692" s="1"/>
      <c r="BW692" s="1"/>
      <c r="BX692" s="1"/>
      <c r="BY692" s="1"/>
      <c r="BZ692" s="1">
        <v>0</v>
      </c>
      <c r="CA692" s="1" t="s">
        <v>109</v>
      </c>
      <c r="CB692" s="1" t="s">
        <v>109</v>
      </c>
      <c r="CC692" s="1">
        <v>1</v>
      </c>
      <c r="CD692" s="1" t="s">
        <v>109</v>
      </c>
      <c r="CE692" s="1" t="s">
        <v>109</v>
      </c>
      <c r="CF692" s="1" t="s">
        <v>109</v>
      </c>
      <c r="CG692" s="1" t="s">
        <v>109</v>
      </c>
      <c r="CH692" s="1" t="s">
        <v>109</v>
      </c>
      <c r="CI692" s="1" t="s">
        <v>109</v>
      </c>
      <c r="CJ692" s="1" t="s">
        <v>109</v>
      </c>
      <c r="CK692" s="1"/>
      <c r="CL692" s="1">
        <v>0</v>
      </c>
      <c r="CM692" s="1">
        <v>0</v>
      </c>
      <c r="CN692" s="1">
        <v>0</v>
      </c>
    </row>
    <row r="693" spans="1:92" ht="14.25" customHeight="1" x14ac:dyDescent="0.15">
      <c r="A693" s="1" t="s">
        <v>6022</v>
      </c>
      <c r="B693" s="1" t="s">
        <v>95</v>
      </c>
      <c r="C693" s="1" t="s">
        <v>96</v>
      </c>
      <c r="D693" s="1"/>
      <c r="E693" s="1" t="s">
        <v>6023</v>
      </c>
      <c r="F693" s="1" t="s">
        <v>98</v>
      </c>
      <c r="G693" s="1" t="s">
        <v>160</v>
      </c>
      <c r="H693" s="1">
        <v>0</v>
      </c>
      <c r="I693" s="1" t="s">
        <v>235</v>
      </c>
      <c r="J693" s="1"/>
      <c r="K693" s="1"/>
      <c r="L693" s="1" t="s">
        <v>236</v>
      </c>
      <c r="M693" s="1" t="s">
        <v>125</v>
      </c>
      <c r="N693" s="1">
        <v>0</v>
      </c>
      <c r="O693" s="1">
        <v>0</v>
      </c>
      <c r="P693" s="1"/>
      <c r="Q693" s="1"/>
      <c r="R693" s="1" t="s">
        <v>6024</v>
      </c>
      <c r="S693" s="1" t="s">
        <v>6025</v>
      </c>
      <c r="T693" s="1" t="s">
        <v>5815</v>
      </c>
      <c r="U693" s="1" t="s">
        <v>6026</v>
      </c>
      <c r="V693" s="1">
        <v>1</v>
      </c>
      <c r="W693" s="1">
        <v>1</v>
      </c>
      <c r="X693" s="1">
        <v>0</v>
      </c>
      <c r="Y693" s="1">
        <v>0</v>
      </c>
      <c r="Z693" s="1">
        <v>1</v>
      </c>
      <c r="AA693" s="1" t="s">
        <v>109</v>
      </c>
      <c r="AB693" s="1" t="s">
        <v>109</v>
      </c>
      <c r="AC693" s="1" t="s">
        <v>109</v>
      </c>
      <c r="AD693" s="1" t="s">
        <v>109</v>
      </c>
      <c r="AE693" s="1">
        <v>4</v>
      </c>
      <c r="AF693" s="1" t="s">
        <v>109</v>
      </c>
      <c r="AG693" s="1" t="s">
        <v>109</v>
      </c>
      <c r="AH693" s="1" t="s">
        <v>109</v>
      </c>
      <c r="AI693" s="1" t="s">
        <v>109</v>
      </c>
      <c r="AJ693" s="1" t="s">
        <v>109</v>
      </c>
      <c r="AK693" s="1" t="s">
        <v>109</v>
      </c>
      <c r="AL693" s="1" t="s">
        <v>109</v>
      </c>
      <c r="AM693" s="1" t="s">
        <v>109</v>
      </c>
      <c r="AN693" s="1" t="s">
        <v>109</v>
      </c>
      <c r="AO693" s="1" t="s">
        <v>109</v>
      </c>
      <c r="AP693" s="1"/>
      <c r="AQ693" s="1">
        <v>4</v>
      </c>
      <c r="AR693" s="1"/>
      <c r="AS693" s="1" t="s">
        <v>6027</v>
      </c>
      <c r="AT693" s="1">
        <v>0</v>
      </c>
      <c r="AU693" s="1">
        <v>0</v>
      </c>
      <c r="AV693" s="1">
        <v>0</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5" t="str">
        <f>HYPERLINK("http://www.d20pfsrd.com/magic/all-spells/b/bow-spirit","Bow Spirit")</f>
        <v>Bow Spirit</v>
      </c>
      <c r="BT693" s="1">
        <v>709</v>
      </c>
      <c r="BU693" s="1" t="s">
        <v>109</v>
      </c>
      <c r="BV693" s="1"/>
      <c r="BW693" s="1"/>
      <c r="BX693" s="1"/>
      <c r="BY693" s="1"/>
      <c r="BZ693" s="1">
        <v>0</v>
      </c>
      <c r="CA693" s="1" t="s">
        <v>109</v>
      </c>
      <c r="CB693" s="1" t="s">
        <v>109</v>
      </c>
      <c r="CC693" s="1" t="s">
        <v>109</v>
      </c>
      <c r="CD693" s="1" t="s">
        <v>109</v>
      </c>
      <c r="CE693" s="1" t="s">
        <v>109</v>
      </c>
      <c r="CF693" s="1" t="s">
        <v>109</v>
      </c>
      <c r="CG693" s="1" t="s">
        <v>109</v>
      </c>
      <c r="CH693" s="1" t="s">
        <v>109</v>
      </c>
      <c r="CI693" s="1" t="s">
        <v>109</v>
      </c>
      <c r="CJ693" s="1">
        <v>4</v>
      </c>
      <c r="CK693" s="1"/>
      <c r="CL693" s="1">
        <v>0</v>
      </c>
      <c r="CM693" s="1">
        <v>0</v>
      </c>
      <c r="CN693" s="1">
        <v>0</v>
      </c>
    </row>
    <row r="694" spans="1:92" ht="14.25" customHeight="1" x14ac:dyDescent="0.15">
      <c r="A694" s="1" t="s">
        <v>6028</v>
      </c>
      <c r="B694" s="1" t="s">
        <v>189</v>
      </c>
      <c r="C694" s="1"/>
      <c r="D694" s="1" t="s">
        <v>50</v>
      </c>
      <c r="E694" s="1" t="s">
        <v>6029</v>
      </c>
      <c r="F694" s="1" t="s">
        <v>98</v>
      </c>
      <c r="G694" s="1" t="s">
        <v>160</v>
      </c>
      <c r="H694" s="1">
        <v>0</v>
      </c>
      <c r="I694" s="1" t="s">
        <v>161</v>
      </c>
      <c r="J694" s="1"/>
      <c r="K694" s="1"/>
      <c r="L694" s="1" t="s">
        <v>506</v>
      </c>
      <c r="M694" s="1" t="s">
        <v>280</v>
      </c>
      <c r="N694" s="1">
        <v>0</v>
      </c>
      <c r="O694" s="1">
        <v>0</v>
      </c>
      <c r="P694" s="1" t="s">
        <v>267</v>
      </c>
      <c r="Q694" s="1" t="s">
        <v>268</v>
      </c>
      <c r="R694" s="1" t="s">
        <v>6030</v>
      </c>
      <c r="S694" s="1" t="s">
        <v>6031</v>
      </c>
      <c r="T694" s="1" t="s">
        <v>5815</v>
      </c>
      <c r="U694" s="1" t="s">
        <v>6032</v>
      </c>
      <c r="V694" s="1">
        <v>1</v>
      </c>
      <c r="W694" s="1">
        <v>1</v>
      </c>
      <c r="X694" s="1">
        <v>0</v>
      </c>
      <c r="Y694" s="1">
        <v>0</v>
      </c>
      <c r="Z694" s="1">
        <v>1</v>
      </c>
      <c r="AA694" s="1" t="s">
        <v>109</v>
      </c>
      <c r="AB694" s="1" t="s">
        <v>109</v>
      </c>
      <c r="AC694" s="1" t="s">
        <v>109</v>
      </c>
      <c r="AD694" s="1" t="s">
        <v>109</v>
      </c>
      <c r="AE694" s="1" t="s">
        <v>109</v>
      </c>
      <c r="AF694" s="1" t="s">
        <v>109</v>
      </c>
      <c r="AG694" s="1" t="s">
        <v>109</v>
      </c>
      <c r="AH694" s="1" t="s">
        <v>109</v>
      </c>
      <c r="AI694" s="1" t="s">
        <v>109</v>
      </c>
      <c r="AJ694" s="1" t="s">
        <v>109</v>
      </c>
      <c r="AK694" s="1">
        <v>0</v>
      </c>
      <c r="AL694" s="1" t="s">
        <v>109</v>
      </c>
      <c r="AM694" s="1" t="s">
        <v>109</v>
      </c>
      <c r="AN694" s="1" t="s">
        <v>109</v>
      </c>
      <c r="AO694" s="1" t="s">
        <v>109</v>
      </c>
      <c r="AP694" s="1"/>
      <c r="AQ694" s="1">
        <v>0</v>
      </c>
      <c r="AR694" s="1"/>
      <c r="AS694" s="1" t="s">
        <v>6033</v>
      </c>
      <c r="AT694" s="1">
        <v>0</v>
      </c>
      <c r="AU694" s="1">
        <v>0</v>
      </c>
      <c r="AV694" s="1">
        <v>0</v>
      </c>
      <c r="AW694" s="1">
        <v>0</v>
      </c>
      <c r="AX694" s="1">
        <v>1</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5" t="str">
        <f>HYPERLINK("http://www.d20pfsrd.com/magic/all-spells/b/brand","Brand")</f>
        <v>Brand</v>
      </c>
      <c r="BT694" s="1">
        <v>710</v>
      </c>
      <c r="BU694" s="1" t="s">
        <v>109</v>
      </c>
      <c r="BV694" s="1"/>
      <c r="BW694" s="1"/>
      <c r="BX694" s="1"/>
      <c r="BY694" s="1"/>
      <c r="BZ694" s="1">
        <v>0</v>
      </c>
      <c r="CA694" s="1" t="s">
        <v>109</v>
      </c>
      <c r="CB694" s="1" t="s">
        <v>109</v>
      </c>
      <c r="CC694" s="1" t="s">
        <v>109</v>
      </c>
      <c r="CD694" s="1" t="s">
        <v>109</v>
      </c>
      <c r="CE694" s="1" t="s">
        <v>109</v>
      </c>
      <c r="CF694" s="1" t="s">
        <v>109</v>
      </c>
      <c r="CG694" s="1" t="s">
        <v>109</v>
      </c>
      <c r="CH694" s="1" t="s">
        <v>109</v>
      </c>
      <c r="CI694" s="1" t="s">
        <v>109</v>
      </c>
      <c r="CJ694" s="1" t="s">
        <v>109</v>
      </c>
      <c r="CK694" s="1"/>
      <c r="CL694" s="1">
        <v>0</v>
      </c>
      <c r="CM694" s="1">
        <v>0</v>
      </c>
      <c r="CN694" s="1">
        <v>0</v>
      </c>
    </row>
    <row r="695" spans="1:92" ht="14.25" customHeight="1" x14ac:dyDescent="0.15">
      <c r="A695" s="1" t="s">
        <v>6034</v>
      </c>
      <c r="B695" s="1" t="s">
        <v>189</v>
      </c>
      <c r="C695" s="1"/>
      <c r="D695" s="1" t="s">
        <v>50</v>
      </c>
      <c r="E695" s="1" t="s">
        <v>6035</v>
      </c>
      <c r="F695" s="1" t="s">
        <v>355</v>
      </c>
      <c r="G695" s="1" t="s">
        <v>160</v>
      </c>
      <c r="H695" s="1">
        <v>0</v>
      </c>
      <c r="I695" s="1" t="s">
        <v>161</v>
      </c>
      <c r="J695" s="1"/>
      <c r="K695" s="1"/>
      <c r="L695" s="1" t="s">
        <v>506</v>
      </c>
      <c r="M695" s="1" t="s">
        <v>408</v>
      </c>
      <c r="N695" s="1">
        <v>0</v>
      </c>
      <c r="O695" s="1">
        <v>0</v>
      </c>
      <c r="P695" s="1" t="s">
        <v>267</v>
      </c>
      <c r="Q695" s="1" t="s">
        <v>268</v>
      </c>
      <c r="R695" s="1" t="s">
        <v>6036</v>
      </c>
      <c r="S695" s="1" t="s">
        <v>6037</v>
      </c>
      <c r="T695" s="1" t="s">
        <v>5815</v>
      </c>
      <c r="U695" s="1" t="s">
        <v>6038</v>
      </c>
      <c r="V695" s="1">
        <v>1</v>
      </c>
      <c r="W695" s="1">
        <v>1</v>
      </c>
      <c r="X695" s="1">
        <v>0</v>
      </c>
      <c r="Y695" s="1">
        <v>0</v>
      </c>
      <c r="Z695" s="1">
        <v>1</v>
      </c>
      <c r="AA695" s="1" t="s">
        <v>109</v>
      </c>
      <c r="AB695" s="1" t="s">
        <v>109</v>
      </c>
      <c r="AC695" s="1" t="s">
        <v>109</v>
      </c>
      <c r="AD695" s="1" t="s">
        <v>109</v>
      </c>
      <c r="AE695" s="1" t="s">
        <v>109</v>
      </c>
      <c r="AF695" s="1" t="s">
        <v>109</v>
      </c>
      <c r="AG695" s="1" t="s">
        <v>109</v>
      </c>
      <c r="AH695" s="1" t="s">
        <v>109</v>
      </c>
      <c r="AI695" s="1" t="s">
        <v>109</v>
      </c>
      <c r="AJ695" s="1" t="s">
        <v>109</v>
      </c>
      <c r="AK695" s="1">
        <v>4</v>
      </c>
      <c r="AL695" s="1" t="s">
        <v>109</v>
      </c>
      <c r="AM695" s="1" t="s">
        <v>109</v>
      </c>
      <c r="AN695" s="1" t="s">
        <v>109</v>
      </c>
      <c r="AO695" s="1" t="s">
        <v>109</v>
      </c>
      <c r="AP695" s="1"/>
      <c r="AQ695" s="1">
        <v>4</v>
      </c>
      <c r="AR695" s="1"/>
      <c r="AS695" s="1" t="s">
        <v>6039</v>
      </c>
      <c r="AT695" s="1">
        <v>0</v>
      </c>
      <c r="AU695" s="1">
        <v>0</v>
      </c>
      <c r="AV695" s="1">
        <v>0</v>
      </c>
      <c r="AW695" s="1">
        <v>0</v>
      </c>
      <c r="AX695" s="1">
        <v>1</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5" t="str">
        <f>HYPERLINK("http://www.d20pfsrd.com/magic/all-spells/b/brand","Brand, Greater")</f>
        <v>Brand, Greater</v>
      </c>
      <c r="BT695" s="1">
        <v>711</v>
      </c>
      <c r="BU695" s="1" t="s">
        <v>109</v>
      </c>
      <c r="BV695" s="1"/>
      <c r="BW695" s="1"/>
      <c r="BX695" s="1"/>
      <c r="BY695" s="1"/>
      <c r="BZ695" s="1">
        <v>0</v>
      </c>
      <c r="CA695" s="1" t="s">
        <v>109</v>
      </c>
      <c r="CB695" s="1" t="s">
        <v>109</v>
      </c>
      <c r="CC695" s="1" t="s">
        <v>109</v>
      </c>
      <c r="CD695" s="1" t="s">
        <v>109</v>
      </c>
      <c r="CE695" s="1" t="s">
        <v>109</v>
      </c>
      <c r="CF695" s="1" t="s">
        <v>109</v>
      </c>
      <c r="CG695" s="1" t="s">
        <v>109</v>
      </c>
      <c r="CH695" s="1" t="s">
        <v>109</v>
      </c>
      <c r="CI695" s="1" t="s">
        <v>109</v>
      </c>
      <c r="CJ695" s="1" t="s">
        <v>109</v>
      </c>
      <c r="CK695" s="1"/>
      <c r="CL695" s="1">
        <v>0</v>
      </c>
      <c r="CM695" s="1">
        <v>0</v>
      </c>
      <c r="CN695" s="1">
        <v>0</v>
      </c>
    </row>
    <row r="696" spans="1:92" ht="14.25" customHeight="1" x14ac:dyDescent="0.15">
      <c r="A696" s="1" t="s">
        <v>6040</v>
      </c>
      <c r="B696" s="1" t="s">
        <v>189</v>
      </c>
      <c r="C696" s="1"/>
      <c r="D696" s="1"/>
      <c r="E696" s="1" t="s">
        <v>6041</v>
      </c>
      <c r="F696" s="1" t="s">
        <v>98</v>
      </c>
      <c r="G696" s="1" t="s">
        <v>6042</v>
      </c>
      <c r="H696" s="1">
        <v>0</v>
      </c>
      <c r="I696" s="1" t="s">
        <v>142</v>
      </c>
      <c r="J696" s="1"/>
      <c r="K696" s="1"/>
      <c r="L696" s="1" t="s">
        <v>6043</v>
      </c>
      <c r="M696" s="1" t="s">
        <v>144</v>
      </c>
      <c r="N696" s="1">
        <v>0</v>
      </c>
      <c r="O696" s="1">
        <v>0</v>
      </c>
      <c r="P696" s="1" t="s">
        <v>5812</v>
      </c>
      <c r="Q696" s="1" t="s">
        <v>630</v>
      </c>
      <c r="R696" s="1" t="s">
        <v>6044</v>
      </c>
      <c r="S696" s="1" t="s">
        <v>6045</v>
      </c>
      <c r="T696" s="1" t="s">
        <v>5815</v>
      </c>
      <c r="U696" s="1" t="s">
        <v>6046</v>
      </c>
      <c r="V696" s="1">
        <v>1</v>
      </c>
      <c r="W696" s="1">
        <v>1</v>
      </c>
      <c r="X696" s="1">
        <v>1</v>
      </c>
      <c r="Y696" s="1">
        <v>0</v>
      </c>
      <c r="Z696" s="1">
        <v>0</v>
      </c>
      <c r="AA696" s="1">
        <v>1</v>
      </c>
      <c r="AB696" s="1">
        <v>1</v>
      </c>
      <c r="AC696" s="1" t="s">
        <v>109</v>
      </c>
      <c r="AD696" s="1" t="s">
        <v>109</v>
      </c>
      <c r="AE696" s="1" t="s">
        <v>109</v>
      </c>
      <c r="AF696" s="1" t="s">
        <v>109</v>
      </c>
      <c r="AG696" s="1" t="s">
        <v>109</v>
      </c>
      <c r="AH696" s="1" t="s">
        <v>109</v>
      </c>
      <c r="AI696" s="1" t="s">
        <v>109</v>
      </c>
      <c r="AJ696" s="1" t="s">
        <v>109</v>
      </c>
      <c r="AK696" s="1" t="s">
        <v>109</v>
      </c>
      <c r="AL696" s="1" t="s">
        <v>109</v>
      </c>
      <c r="AM696" s="1" t="s">
        <v>109</v>
      </c>
      <c r="AN696" s="1" t="s">
        <v>109</v>
      </c>
      <c r="AO696" s="1" t="s">
        <v>109</v>
      </c>
      <c r="AP696" s="1"/>
      <c r="AQ696" s="1">
        <v>1</v>
      </c>
      <c r="AR696" s="1"/>
      <c r="AS696" s="1" t="s">
        <v>6047</v>
      </c>
      <c r="AT696" s="1">
        <v>0</v>
      </c>
      <c r="AU696" s="1">
        <v>0</v>
      </c>
      <c r="AV696" s="1">
        <v>0</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5" t="str">
        <f>HYPERLINK("http://www.d20pfsrd.com/magic/all-spells/b/break","Break")</f>
        <v>Break</v>
      </c>
      <c r="BT696" s="1">
        <v>712</v>
      </c>
      <c r="BU696" s="1" t="s">
        <v>109</v>
      </c>
      <c r="BV696" s="1"/>
      <c r="BW696" s="1"/>
      <c r="BX696" s="1" t="s">
        <v>6048</v>
      </c>
      <c r="BY696" s="1" t="s">
        <v>6049</v>
      </c>
      <c r="BZ696" s="1">
        <v>1</v>
      </c>
      <c r="CA696" s="1">
        <v>1</v>
      </c>
      <c r="CB696" s="1" t="s">
        <v>109</v>
      </c>
      <c r="CC696" s="1">
        <v>1</v>
      </c>
      <c r="CD696" s="1" t="s">
        <v>109</v>
      </c>
      <c r="CE696" s="1" t="s">
        <v>109</v>
      </c>
      <c r="CF696" s="1">
        <v>1</v>
      </c>
      <c r="CG696" s="1" t="s">
        <v>109</v>
      </c>
      <c r="CH696" s="1" t="s">
        <v>109</v>
      </c>
      <c r="CI696" s="1" t="s">
        <v>109</v>
      </c>
      <c r="CJ696" s="1" t="s">
        <v>109</v>
      </c>
      <c r="CK696" s="1"/>
      <c r="CL696" s="1">
        <v>0</v>
      </c>
      <c r="CM696" s="1">
        <v>0</v>
      </c>
      <c r="CN696" s="1">
        <v>0</v>
      </c>
    </row>
    <row r="697" spans="1:92" ht="14.25" customHeight="1" x14ac:dyDescent="0.15">
      <c r="A697" s="1" t="s">
        <v>6050</v>
      </c>
      <c r="B697" s="1" t="s">
        <v>584</v>
      </c>
      <c r="C697" s="1"/>
      <c r="D697" s="1" t="s">
        <v>3274</v>
      </c>
      <c r="E697" s="1" t="s">
        <v>6051</v>
      </c>
      <c r="F697" s="1" t="s">
        <v>98</v>
      </c>
      <c r="G697" s="1" t="s">
        <v>333</v>
      </c>
      <c r="H697" s="1">
        <v>0</v>
      </c>
      <c r="I697" s="1" t="s">
        <v>142</v>
      </c>
      <c r="J697" s="1"/>
      <c r="K697" s="1"/>
      <c r="L697" s="1" t="s">
        <v>563</v>
      </c>
      <c r="M697" s="1" t="s">
        <v>6052</v>
      </c>
      <c r="N697" s="1">
        <v>0</v>
      </c>
      <c r="O697" s="1">
        <v>0</v>
      </c>
      <c r="P697" s="1" t="s">
        <v>507</v>
      </c>
      <c r="Q697" s="1" t="s">
        <v>167</v>
      </c>
      <c r="R697" s="1" t="s">
        <v>6053</v>
      </c>
      <c r="S697" s="1" t="s">
        <v>6054</v>
      </c>
      <c r="T697" s="1" t="s">
        <v>5815</v>
      </c>
      <c r="U697" s="1" t="s">
        <v>6055</v>
      </c>
      <c r="V697" s="1">
        <v>1</v>
      </c>
      <c r="W697" s="1">
        <v>0</v>
      </c>
      <c r="X697" s="1">
        <v>0</v>
      </c>
      <c r="Y697" s="1">
        <v>0</v>
      </c>
      <c r="Z697" s="1">
        <v>0</v>
      </c>
      <c r="AA697" s="1" t="s">
        <v>109</v>
      </c>
      <c r="AB697" s="1" t="s">
        <v>109</v>
      </c>
      <c r="AC697" s="1" t="s">
        <v>109</v>
      </c>
      <c r="AD697" s="1" t="s">
        <v>109</v>
      </c>
      <c r="AE697" s="1" t="s">
        <v>109</v>
      </c>
      <c r="AF697" s="1">
        <v>6</v>
      </c>
      <c r="AG697" s="1" t="s">
        <v>109</v>
      </c>
      <c r="AH697" s="1" t="s">
        <v>109</v>
      </c>
      <c r="AI697" s="1" t="s">
        <v>109</v>
      </c>
      <c r="AJ697" s="1" t="s">
        <v>109</v>
      </c>
      <c r="AK697" s="1" t="s">
        <v>109</v>
      </c>
      <c r="AL697" s="1" t="s">
        <v>109</v>
      </c>
      <c r="AM697" s="1" t="s">
        <v>109</v>
      </c>
      <c r="AN697" s="1" t="s">
        <v>109</v>
      </c>
      <c r="AO697" s="1" t="s">
        <v>109</v>
      </c>
      <c r="AP697" s="1"/>
      <c r="AQ697" s="1">
        <v>6</v>
      </c>
      <c r="AR697" s="1" t="s">
        <v>6056</v>
      </c>
      <c r="AS697" s="1" t="s">
        <v>6057</v>
      </c>
      <c r="AT697" s="1">
        <v>0</v>
      </c>
      <c r="AU697" s="1">
        <v>0</v>
      </c>
      <c r="AV697" s="1">
        <v>0</v>
      </c>
      <c r="AW697" s="1">
        <v>0</v>
      </c>
      <c r="AX697" s="1">
        <v>0</v>
      </c>
      <c r="AY697" s="1">
        <v>0</v>
      </c>
      <c r="AZ697" s="1">
        <v>0</v>
      </c>
      <c r="BA697" s="1">
        <v>0</v>
      </c>
      <c r="BB697" s="1">
        <v>0</v>
      </c>
      <c r="BC697" s="1">
        <v>0</v>
      </c>
      <c r="BD697" s="1">
        <v>0</v>
      </c>
      <c r="BE697" s="1">
        <v>0</v>
      </c>
      <c r="BF697" s="1">
        <v>0</v>
      </c>
      <c r="BG697" s="1">
        <v>0</v>
      </c>
      <c r="BH697" s="1">
        <v>0</v>
      </c>
      <c r="BI697" s="1">
        <v>0</v>
      </c>
      <c r="BJ697" s="1">
        <v>1</v>
      </c>
      <c r="BK697" s="1">
        <v>0</v>
      </c>
      <c r="BL697" s="1">
        <v>0</v>
      </c>
      <c r="BM697" s="1">
        <v>0</v>
      </c>
      <c r="BN697" s="1">
        <v>0</v>
      </c>
      <c r="BO697" s="1">
        <v>0</v>
      </c>
      <c r="BP697" s="1">
        <v>0</v>
      </c>
      <c r="BQ697" s="1">
        <v>0</v>
      </c>
      <c r="BR697" s="1">
        <v>0</v>
      </c>
      <c r="BS697" s="5" t="str">
        <f>HYPERLINK("http://www.d20pfsrd.com/magic/all-spells/b/brilliant-inspiration","Brilliant Inspiration")</f>
        <v>Brilliant Inspiration</v>
      </c>
      <c r="BT697" s="1">
        <v>713</v>
      </c>
      <c r="BU697" s="1" t="s">
        <v>109</v>
      </c>
      <c r="BV697" s="1"/>
      <c r="BW697" s="1"/>
      <c r="BX697" s="1"/>
      <c r="BY697" s="1"/>
      <c r="BZ697" s="1">
        <v>0</v>
      </c>
      <c r="CA697" s="1" t="s">
        <v>109</v>
      </c>
      <c r="CB697" s="1" t="s">
        <v>109</v>
      </c>
      <c r="CC697" s="1">
        <v>8</v>
      </c>
      <c r="CD697" s="1" t="s">
        <v>109</v>
      </c>
      <c r="CE697" s="1" t="s">
        <v>109</v>
      </c>
      <c r="CF697" s="1" t="s">
        <v>109</v>
      </c>
      <c r="CG697" s="1" t="s">
        <v>109</v>
      </c>
      <c r="CH697" s="1" t="s">
        <v>109</v>
      </c>
      <c r="CI697" s="1" t="s">
        <v>109</v>
      </c>
      <c r="CJ697" s="1" t="s">
        <v>109</v>
      </c>
      <c r="CK697" s="1"/>
      <c r="CL697" s="1">
        <v>0</v>
      </c>
      <c r="CM697" s="1">
        <v>0</v>
      </c>
      <c r="CN697" s="1">
        <v>0</v>
      </c>
    </row>
    <row r="698" spans="1:92" ht="14.25" customHeight="1" x14ac:dyDescent="0.15">
      <c r="A698" s="1" t="s">
        <v>6058</v>
      </c>
      <c r="B698" s="1" t="s">
        <v>189</v>
      </c>
      <c r="C698" s="1"/>
      <c r="D698" s="1"/>
      <c r="E698" s="1" t="s">
        <v>4411</v>
      </c>
      <c r="F698" s="1" t="s">
        <v>98</v>
      </c>
      <c r="G698" s="1" t="s">
        <v>160</v>
      </c>
      <c r="H698" s="1">
        <v>0</v>
      </c>
      <c r="I698" s="1" t="s">
        <v>161</v>
      </c>
      <c r="J698" s="1"/>
      <c r="K698" s="1"/>
      <c r="L698" s="1" t="s">
        <v>1391</v>
      </c>
      <c r="M698" s="1" t="s">
        <v>3042</v>
      </c>
      <c r="N698" s="1">
        <v>0</v>
      </c>
      <c r="O698" s="1">
        <v>0</v>
      </c>
      <c r="P698" s="1" t="s">
        <v>1382</v>
      </c>
      <c r="Q698" s="1" t="s">
        <v>268</v>
      </c>
      <c r="R698" s="1" t="s">
        <v>6059</v>
      </c>
      <c r="S698" s="1" t="s">
        <v>6060</v>
      </c>
      <c r="T698" s="1" t="s">
        <v>5815</v>
      </c>
      <c r="U698" s="1" t="s">
        <v>6061</v>
      </c>
      <c r="V698" s="1">
        <v>1</v>
      </c>
      <c r="W698" s="1">
        <v>1</v>
      </c>
      <c r="X698" s="1">
        <v>0</v>
      </c>
      <c r="Y698" s="1">
        <v>0</v>
      </c>
      <c r="Z698" s="1">
        <v>1</v>
      </c>
      <c r="AA698" s="1" t="s">
        <v>109</v>
      </c>
      <c r="AB698" s="1" t="s">
        <v>109</v>
      </c>
      <c r="AC698" s="1" t="s">
        <v>109</v>
      </c>
      <c r="AD698" s="1">
        <v>1</v>
      </c>
      <c r="AE698" s="1" t="s">
        <v>109</v>
      </c>
      <c r="AF698" s="1" t="s">
        <v>109</v>
      </c>
      <c r="AG698" s="1" t="s">
        <v>109</v>
      </c>
      <c r="AH698" s="1" t="s">
        <v>109</v>
      </c>
      <c r="AI698" s="1" t="s">
        <v>109</v>
      </c>
      <c r="AJ698" s="1" t="s">
        <v>109</v>
      </c>
      <c r="AK698" s="1" t="s">
        <v>109</v>
      </c>
      <c r="AL698" s="1" t="s">
        <v>109</v>
      </c>
      <c r="AM698" s="1" t="s">
        <v>109</v>
      </c>
      <c r="AN698" s="1" t="s">
        <v>109</v>
      </c>
      <c r="AO698" s="1" t="s">
        <v>109</v>
      </c>
      <c r="AP698" s="1"/>
      <c r="AQ698" s="1">
        <v>1</v>
      </c>
      <c r="AR698" s="1"/>
      <c r="AS698" s="1" t="s">
        <v>6062</v>
      </c>
      <c r="AT698" s="1">
        <v>0</v>
      </c>
      <c r="AU698" s="1">
        <v>0</v>
      </c>
      <c r="AV698" s="1">
        <v>0</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5" t="str">
        <f>HYPERLINK("http://www.d20pfsrd.com/magic/all-spells/b/bristle","Bristle")</f>
        <v>Bristle</v>
      </c>
      <c r="BT698" s="1">
        <v>714</v>
      </c>
      <c r="BU698" s="1" t="s">
        <v>109</v>
      </c>
      <c r="BV698" s="1"/>
      <c r="BW698" s="1"/>
      <c r="BX698" s="1"/>
      <c r="BY698" s="1"/>
      <c r="BZ698" s="1">
        <v>0</v>
      </c>
      <c r="CA698" s="1" t="s">
        <v>109</v>
      </c>
      <c r="CB698" s="1" t="s">
        <v>109</v>
      </c>
      <c r="CC698" s="1" t="s">
        <v>109</v>
      </c>
      <c r="CD698" s="1" t="s">
        <v>109</v>
      </c>
      <c r="CE698" s="1" t="s">
        <v>109</v>
      </c>
      <c r="CF698" s="1" t="s">
        <v>109</v>
      </c>
      <c r="CG698" s="1" t="s">
        <v>109</v>
      </c>
      <c r="CH698" s="1" t="s">
        <v>109</v>
      </c>
      <c r="CI698" s="1" t="s">
        <v>109</v>
      </c>
      <c r="CJ698" s="1">
        <v>1</v>
      </c>
      <c r="CK698" s="1"/>
      <c r="CL698" s="1">
        <v>0</v>
      </c>
      <c r="CM698" s="1">
        <v>0</v>
      </c>
      <c r="CN698" s="1">
        <v>0</v>
      </c>
    </row>
    <row r="699" spans="1:92" ht="14.25" customHeight="1" x14ac:dyDescent="0.15">
      <c r="A699" s="1" t="s">
        <v>6063</v>
      </c>
      <c r="B699" s="1" t="s">
        <v>584</v>
      </c>
      <c r="C699" s="1"/>
      <c r="D699" s="1" t="s">
        <v>59</v>
      </c>
      <c r="E699" s="1" t="s">
        <v>6064</v>
      </c>
      <c r="F699" s="1" t="s">
        <v>98</v>
      </c>
      <c r="G699" s="1" t="s">
        <v>6065</v>
      </c>
      <c r="H699" s="1">
        <v>0</v>
      </c>
      <c r="I699" s="1" t="s">
        <v>235</v>
      </c>
      <c r="J699" s="1"/>
      <c r="K699" s="1"/>
      <c r="L699" s="1" t="s">
        <v>236</v>
      </c>
      <c r="M699" s="1" t="s">
        <v>125</v>
      </c>
      <c r="N699" s="1">
        <v>0</v>
      </c>
      <c r="O699" s="1">
        <v>0</v>
      </c>
      <c r="P699" s="1" t="s">
        <v>6066</v>
      </c>
      <c r="Q699" s="1" t="s">
        <v>268</v>
      </c>
      <c r="R699" s="1" t="s">
        <v>6067</v>
      </c>
      <c r="S699" s="1" t="s">
        <v>6068</v>
      </c>
      <c r="T699" s="1" t="s">
        <v>5815</v>
      </c>
      <c r="U699" s="1" t="s">
        <v>6069</v>
      </c>
      <c r="V699" s="1">
        <v>1</v>
      </c>
      <c r="W699" s="1">
        <v>1</v>
      </c>
      <c r="X699" s="1">
        <v>1</v>
      </c>
      <c r="Y699" s="1">
        <v>0</v>
      </c>
      <c r="Z699" s="1">
        <v>1</v>
      </c>
      <c r="AA699" s="1">
        <v>2</v>
      </c>
      <c r="AB699" s="1">
        <v>2</v>
      </c>
      <c r="AC699" s="1" t="s">
        <v>109</v>
      </c>
      <c r="AD699" s="1">
        <v>2</v>
      </c>
      <c r="AE699" s="1" t="s">
        <v>109</v>
      </c>
      <c r="AF699" s="1" t="s">
        <v>109</v>
      </c>
      <c r="AG699" s="1" t="s">
        <v>109</v>
      </c>
      <c r="AH699" s="1" t="s">
        <v>109</v>
      </c>
      <c r="AI699" s="1" t="s">
        <v>109</v>
      </c>
      <c r="AJ699" s="1">
        <v>2</v>
      </c>
      <c r="AK699" s="1" t="s">
        <v>109</v>
      </c>
      <c r="AL699" s="1" t="s">
        <v>109</v>
      </c>
      <c r="AM699" s="1" t="s">
        <v>109</v>
      </c>
      <c r="AN699" s="1">
        <v>2</v>
      </c>
      <c r="AO699" s="1" t="s">
        <v>109</v>
      </c>
      <c r="AP699" s="1"/>
      <c r="AQ699" s="1">
        <v>2</v>
      </c>
      <c r="AR699" s="1"/>
      <c r="AS699" s="1" t="s">
        <v>6070</v>
      </c>
      <c r="AT699" s="1">
        <v>0</v>
      </c>
      <c r="AU699" s="1">
        <v>0</v>
      </c>
      <c r="AV699" s="1">
        <v>0</v>
      </c>
      <c r="AW699" s="1">
        <v>0</v>
      </c>
      <c r="AX699" s="1">
        <v>0</v>
      </c>
      <c r="AY699" s="1">
        <v>0</v>
      </c>
      <c r="AZ699" s="1">
        <v>0</v>
      </c>
      <c r="BA699" s="1">
        <v>0</v>
      </c>
      <c r="BB699" s="1">
        <v>0</v>
      </c>
      <c r="BC699" s="1">
        <v>0</v>
      </c>
      <c r="BD699" s="1">
        <v>0</v>
      </c>
      <c r="BE699" s="1">
        <v>0</v>
      </c>
      <c r="BF699" s="1">
        <v>0</v>
      </c>
      <c r="BG699" s="1">
        <v>1</v>
      </c>
      <c r="BH699" s="1">
        <v>0</v>
      </c>
      <c r="BI699" s="1">
        <v>0</v>
      </c>
      <c r="BJ699" s="1">
        <v>0</v>
      </c>
      <c r="BK699" s="1">
        <v>0</v>
      </c>
      <c r="BL699" s="1">
        <v>0</v>
      </c>
      <c r="BM699" s="1">
        <v>0</v>
      </c>
      <c r="BN699" s="1">
        <v>0</v>
      </c>
      <c r="BO699" s="1">
        <v>0</v>
      </c>
      <c r="BP699" s="1">
        <v>0</v>
      </c>
      <c r="BQ699" s="1">
        <v>0</v>
      </c>
      <c r="BR699" s="1">
        <v>0</v>
      </c>
      <c r="BS699" s="5" t="str">
        <f>HYPERLINK("http://www.d20pfsrd.com/magic/all-spells/b/burning-gaze","Burning Gaze")</f>
        <v>Burning Gaze</v>
      </c>
      <c r="BT699" s="1">
        <v>715</v>
      </c>
      <c r="BU699" s="1" t="s">
        <v>109</v>
      </c>
      <c r="BV699" s="1"/>
      <c r="BW699" s="1" t="s">
        <v>6071</v>
      </c>
      <c r="BX699" s="1" t="s">
        <v>6072</v>
      </c>
      <c r="BY699" s="1" t="s">
        <v>6073</v>
      </c>
      <c r="BZ699" s="1">
        <v>1</v>
      </c>
      <c r="CA699" s="1">
        <v>2</v>
      </c>
      <c r="CB699" s="1">
        <v>2</v>
      </c>
      <c r="CC699" s="1" t="s">
        <v>109</v>
      </c>
      <c r="CD699" s="1" t="s">
        <v>109</v>
      </c>
      <c r="CE699" s="1">
        <v>2</v>
      </c>
      <c r="CF699" s="1">
        <v>2</v>
      </c>
      <c r="CG699" s="1" t="s">
        <v>109</v>
      </c>
      <c r="CH699" s="1" t="s">
        <v>109</v>
      </c>
      <c r="CI699" s="1" t="s">
        <v>109</v>
      </c>
      <c r="CJ699" s="1">
        <v>2</v>
      </c>
      <c r="CK699" s="1"/>
      <c r="CL699" s="1">
        <v>0</v>
      </c>
      <c r="CM699" s="1">
        <v>0</v>
      </c>
      <c r="CN699" s="1">
        <v>0</v>
      </c>
    </row>
    <row r="700" spans="1:92" ht="14.25" customHeight="1" x14ac:dyDescent="0.15">
      <c r="A700" s="1" t="s">
        <v>6074</v>
      </c>
      <c r="B700" s="1" t="s">
        <v>584</v>
      </c>
      <c r="C700" s="1"/>
      <c r="D700" s="1"/>
      <c r="E700" s="1" t="s">
        <v>6075</v>
      </c>
      <c r="F700" s="1" t="s">
        <v>98</v>
      </c>
      <c r="G700" s="1" t="s">
        <v>333</v>
      </c>
      <c r="H700" s="1">
        <v>0</v>
      </c>
      <c r="I700" s="1" t="s">
        <v>161</v>
      </c>
      <c r="J700" s="1"/>
      <c r="K700" s="1"/>
      <c r="L700" s="1" t="s">
        <v>6076</v>
      </c>
      <c r="M700" s="1" t="s">
        <v>144</v>
      </c>
      <c r="N700" s="1">
        <v>0</v>
      </c>
      <c r="O700" s="1">
        <v>0</v>
      </c>
      <c r="P700" s="1" t="s">
        <v>6077</v>
      </c>
      <c r="Q700" s="1" t="s">
        <v>268</v>
      </c>
      <c r="R700" s="1" t="s">
        <v>6078</v>
      </c>
      <c r="S700" s="1" t="s">
        <v>6079</v>
      </c>
      <c r="T700" s="1" t="s">
        <v>5815</v>
      </c>
      <c r="U700" s="1" t="s">
        <v>6080</v>
      </c>
      <c r="V700" s="1">
        <v>1</v>
      </c>
      <c r="W700" s="1">
        <v>0</v>
      </c>
      <c r="X700" s="1">
        <v>0</v>
      </c>
      <c r="Y700" s="1">
        <v>0</v>
      </c>
      <c r="Z700" s="1">
        <v>0</v>
      </c>
      <c r="AA700" s="1" t="s">
        <v>109</v>
      </c>
      <c r="AB700" s="1" t="s">
        <v>109</v>
      </c>
      <c r="AC700" s="1" t="s">
        <v>109</v>
      </c>
      <c r="AD700" s="1" t="s">
        <v>109</v>
      </c>
      <c r="AE700" s="1" t="s">
        <v>109</v>
      </c>
      <c r="AF700" s="1" t="s">
        <v>109</v>
      </c>
      <c r="AG700" s="1" t="s">
        <v>109</v>
      </c>
      <c r="AH700" s="1" t="s">
        <v>109</v>
      </c>
      <c r="AI700" s="1" t="s">
        <v>109</v>
      </c>
      <c r="AJ700" s="1" t="s">
        <v>109</v>
      </c>
      <c r="AK700" s="1">
        <v>1</v>
      </c>
      <c r="AL700" s="1" t="s">
        <v>109</v>
      </c>
      <c r="AM700" s="1" t="s">
        <v>109</v>
      </c>
      <c r="AN700" s="1" t="s">
        <v>109</v>
      </c>
      <c r="AO700" s="1" t="s">
        <v>109</v>
      </c>
      <c r="AP700" s="1"/>
      <c r="AQ700" s="1">
        <v>1</v>
      </c>
      <c r="AR700" s="1"/>
      <c r="AS700" s="1" t="s">
        <v>6081</v>
      </c>
      <c r="AT700" s="1">
        <v>0</v>
      </c>
      <c r="AU700" s="1">
        <v>0</v>
      </c>
      <c r="AV700" s="1">
        <v>0</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5" t="str">
        <f>HYPERLINK("http://www.d20pfsrd.com/magic/all-spells/b/burst-bonds","Burst Bonds")</f>
        <v>Burst Bonds</v>
      </c>
      <c r="BT700" s="1">
        <v>716</v>
      </c>
      <c r="BU700" s="1" t="s">
        <v>109</v>
      </c>
      <c r="BV700" s="1"/>
      <c r="BW700" s="1"/>
      <c r="BX700" s="1"/>
      <c r="BY700" s="1"/>
      <c r="BZ700" s="1">
        <v>0</v>
      </c>
      <c r="CA700" s="1" t="s">
        <v>109</v>
      </c>
      <c r="CB700" s="1" t="s">
        <v>109</v>
      </c>
      <c r="CC700" s="1" t="s">
        <v>109</v>
      </c>
      <c r="CD700" s="1" t="s">
        <v>109</v>
      </c>
      <c r="CE700" s="1" t="s">
        <v>109</v>
      </c>
      <c r="CF700" s="1" t="s">
        <v>109</v>
      </c>
      <c r="CG700" s="1" t="s">
        <v>109</v>
      </c>
      <c r="CH700" s="1" t="s">
        <v>109</v>
      </c>
      <c r="CI700" s="1" t="s">
        <v>109</v>
      </c>
      <c r="CJ700" s="1" t="s">
        <v>109</v>
      </c>
      <c r="CK700" s="1"/>
      <c r="CL700" s="1">
        <v>0</v>
      </c>
      <c r="CM700" s="1">
        <v>0</v>
      </c>
      <c r="CN700" s="1">
        <v>0</v>
      </c>
    </row>
    <row r="701" spans="1:92" ht="14.25" customHeight="1" x14ac:dyDescent="0.15">
      <c r="A701" s="1" t="s">
        <v>6082</v>
      </c>
      <c r="B701" s="1" t="s">
        <v>156</v>
      </c>
      <c r="C701" s="1" t="s">
        <v>157</v>
      </c>
      <c r="D701" s="1" t="s">
        <v>158</v>
      </c>
      <c r="E701" s="1" t="s">
        <v>6083</v>
      </c>
      <c r="F701" s="1" t="s">
        <v>98</v>
      </c>
      <c r="G701" s="1" t="s">
        <v>6084</v>
      </c>
      <c r="H701" s="1">
        <v>0</v>
      </c>
      <c r="I701" s="1" t="s">
        <v>142</v>
      </c>
      <c r="J701" s="1"/>
      <c r="K701" s="1"/>
      <c r="L701" s="1" t="s">
        <v>1391</v>
      </c>
      <c r="M701" s="1" t="s">
        <v>125</v>
      </c>
      <c r="N701" s="1">
        <v>0</v>
      </c>
      <c r="O701" s="1">
        <v>0</v>
      </c>
      <c r="P701" s="1" t="s">
        <v>301</v>
      </c>
      <c r="Q701" s="1" t="s">
        <v>268</v>
      </c>
      <c r="R701" s="1" t="s">
        <v>6085</v>
      </c>
      <c r="S701" s="1" t="s">
        <v>6086</v>
      </c>
      <c r="T701" s="1" t="s">
        <v>5815</v>
      </c>
      <c r="U701" s="1" t="s">
        <v>6087</v>
      </c>
      <c r="V701" s="1">
        <v>1</v>
      </c>
      <c r="W701" s="1">
        <v>1</v>
      </c>
      <c r="X701" s="1">
        <v>1</v>
      </c>
      <c r="Y701" s="1">
        <v>0</v>
      </c>
      <c r="Z701" s="1">
        <v>0</v>
      </c>
      <c r="AA701" s="1" t="s">
        <v>109</v>
      </c>
      <c r="AB701" s="1" t="s">
        <v>109</v>
      </c>
      <c r="AC701" s="1" t="s">
        <v>109</v>
      </c>
      <c r="AD701" s="1" t="s">
        <v>109</v>
      </c>
      <c r="AE701" s="1" t="s">
        <v>109</v>
      </c>
      <c r="AF701" s="1">
        <v>2</v>
      </c>
      <c r="AG701" s="1" t="s">
        <v>109</v>
      </c>
      <c r="AH701" s="1" t="s">
        <v>109</v>
      </c>
      <c r="AI701" s="1" t="s">
        <v>109</v>
      </c>
      <c r="AJ701" s="1" t="s">
        <v>109</v>
      </c>
      <c r="AK701" s="1" t="s">
        <v>109</v>
      </c>
      <c r="AL701" s="1" t="s">
        <v>109</v>
      </c>
      <c r="AM701" s="1" t="s">
        <v>109</v>
      </c>
      <c r="AN701" s="1" t="s">
        <v>109</v>
      </c>
      <c r="AO701" s="1" t="s">
        <v>109</v>
      </c>
      <c r="AP701" s="1"/>
      <c r="AQ701" s="1">
        <v>2</v>
      </c>
      <c r="AR701" s="1"/>
      <c r="AS701" s="1" t="s">
        <v>6088</v>
      </c>
      <c r="AT701" s="1">
        <v>0</v>
      </c>
      <c r="AU701" s="1">
        <v>0</v>
      </c>
      <c r="AV701" s="1">
        <v>0</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1</v>
      </c>
      <c r="BN701" s="1">
        <v>0</v>
      </c>
      <c r="BO701" s="1">
        <v>0</v>
      </c>
      <c r="BP701" s="1">
        <v>0</v>
      </c>
      <c r="BQ701" s="1">
        <v>0</v>
      </c>
      <c r="BR701" s="1">
        <v>0</v>
      </c>
      <c r="BS701" s="5" t="str">
        <f>HYPERLINK("http://www.d20pfsrd.com/magic/all-spells/c/cacophonous-call","Cacophonous Call")</f>
        <v>Cacophonous Call</v>
      </c>
      <c r="BT701" s="1">
        <v>717</v>
      </c>
      <c r="BU701" s="1" t="s">
        <v>109</v>
      </c>
      <c r="BV701" s="1"/>
      <c r="BW701" s="1"/>
      <c r="BX701" s="1"/>
      <c r="BY701" s="1"/>
      <c r="BZ701" s="1">
        <v>0</v>
      </c>
      <c r="CA701" s="1" t="s">
        <v>109</v>
      </c>
      <c r="CB701" s="1" t="s">
        <v>109</v>
      </c>
      <c r="CC701" s="1" t="s">
        <v>109</v>
      </c>
      <c r="CD701" s="1" t="s">
        <v>109</v>
      </c>
      <c r="CE701" s="1" t="s">
        <v>109</v>
      </c>
      <c r="CF701" s="1" t="s">
        <v>109</v>
      </c>
      <c r="CG701" s="1" t="s">
        <v>109</v>
      </c>
      <c r="CH701" s="1" t="s">
        <v>109</v>
      </c>
      <c r="CI701" s="1" t="s">
        <v>109</v>
      </c>
      <c r="CJ701" s="1" t="s">
        <v>109</v>
      </c>
      <c r="CK701" s="1"/>
      <c r="CL701" s="1">
        <v>0</v>
      </c>
      <c r="CM701" s="1">
        <v>0</v>
      </c>
      <c r="CN701" s="1">
        <v>0</v>
      </c>
    </row>
    <row r="702" spans="1:92" ht="14.25" customHeight="1" x14ac:dyDescent="0.15">
      <c r="A702" s="1" t="s">
        <v>6089</v>
      </c>
      <c r="B702" s="1" t="s">
        <v>156</v>
      </c>
      <c r="C702" s="1" t="s">
        <v>157</v>
      </c>
      <c r="D702" s="1" t="s">
        <v>158</v>
      </c>
      <c r="E702" s="1" t="s">
        <v>5937</v>
      </c>
      <c r="F702" s="1" t="s">
        <v>98</v>
      </c>
      <c r="G702" s="1" t="s">
        <v>6084</v>
      </c>
      <c r="H702" s="1">
        <v>0</v>
      </c>
      <c r="I702" s="1" t="s">
        <v>142</v>
      </c>
      <c r="J702" s="1"/>
      <c r="K702" s="1"/>
      <c r="L702" s="1" t="s">
        <v>6090</v>
      </c>
      <c r="M702" s="1" t="s">
        <v>125</v>
      </c>
      <c r="N702" s="1">
        <v>0</v>
      </c>
      <c r="O702" s="1">
        <v>0</v>
      </c>
      <c r="P702" s="1" t="s">
        <v>301</v>
      </c>
      <c r="Q702" s="1" t="s">
        <v>268</v>
      </c>
      <c r="R702" s="1" t="s">
        <v>6091</v>
      </c>
      <c r="S702" s="1" t="s">
        <v>6092</v>
      </c>
      <c r="T702" s="1" t="s">
        <v>5815</v>
      </c>
      <c r="U702" s="1" t="s">
        <v>6093</v>
      </c>
      <c r="V702" s="1">
        <v>1</v>
      </c>
      <c r="W702" s="1">
        <v>1</v>
      </c>
      <c r="X702" s="1">
        <v>1</v>
      </c>
      <c r="Y702" s="1">
        <v>0</v>
      </c>
      <c r="Z702" s="1">
        <v>0</v>
      </c>
      <c r="AA702" s="1" t="s">
        <v>109</v>
      </c>
      <c r="AB702" s="1" t="s">
        <v>109</v>
      </c>
      <c r="AC702" s="1" t="s">
        <v>109</v>
      </c>
      <c r="AD702" s="1" t="s">
        <v>109</v>
      </c>
      <c r="AE702" s="1" t="s">
        <v>109</v>
      </c>
      <c r="AF702" s="1">
        <v>5</v>
      </c>
      <c r="AG702" s="1" t="s">
        <v>109</v>
      </c>
      <c r="AH702" s="1" t="s">
        <v>109</v>
      </c>
      <c r="AI702" s="1" t="s">
        <v>109</v>
      </c>
      <c r="AJ702" s="1" t="s">
        <v>109</v>
      </c>
      <c r="AK702" s="1" t="s">
        <v>109</v>
      </c>
      <c r="AL702" s="1" t="s">
        <v>109</v>
      </c>
      <c r="AM702" s="1" t="s">
        <v>109</v>
      </c>
      <c r="AN702" s="1" t="s">
        <v>109</v>
      </c>
      <c r="AO702" s="1" t="s">
        <v>109</v>
      </c>
      <c r="AP702" s="1"/>
      <c r="AQ702" s="1">
        <v>5</v>
      </c>
      <c r="AR702" s="1"/>
      <c r="AS702" s="1" t="s">
        <v>6094</v>
      </c>
      <c r="AT702" s="1">
        <v>0</v>
      </c>
      <c r="AU702" s="1">
        <v>0</v>
      </c>
      <c r="AV702" s="1">
        <v>0</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1</v>
      </c>
      <c r="BN702" s="1">
        <v>0</v>
      </c>
      <c r="BO702" s="1">
        <v>0</v>
      </c>
      <c r="BP702" s="1">
        <v>0</v>
      </c>
      <c r="BQ702" s="1">
        <v>0</v>
      </c>
      <c r="BR702" s="1">
        <v>0</v>
      </c>
      <c r="BS702" s="5" t="str">
        <f>HYPERLINK("http://www.d20pfsrd.com/magic/all-spells/c/cacophonous-call","Cacophonous Call, Mass")</f>
        <v>Cacophonous Call, Mass</v>
      </c>
      <c r="BT702" s="1">
        <v>718</v>
      </c>
      <c r="BU702" s="1" t="s">
        <v>109</v>
      </c>
      <c r="BV702" s="1"/>
      <c r="BW702" s="1"/>
      <c r="BX702" s="1"/>
      <c r="BY702" s="1"/>
      <c r="BZ702" s="1">
        <v>0</v>
      </c>
      <c r="CA702" s="1" t="s">
        <v>109</v>
      </c>
      <c r="CB702" s="1" t="s">
        <v>109</v>
      </c>
      <c r="CC702" s="1" t="s">
        <v>109</v>
      </c>
      <c r="CD702" s="1" t="s">
        <v>109</v>
      </c>
      <c r="CE702" s="1" t="s">
        <v>109</v>
      </c>
      <c r="CF702" s="1" t="s">
        <v>109</v>
      </c>
      <c r="CG702" s="1" t="s">
        <v>109</v>
      </c>
      <c r="CH702" s="1" t="s">
        <v>109</v>
      </c>
      <c r="CI702" s="1" t="s">
        <v>109</v>
      </c>
      <c r="CJ702" s="1" t="s">
        <v>109</v>
      </c>
      <c r="CK702" s="1"/>
      <c r="CL702" s="1">
        <v>0</v>
      </c>
      <c r="CM702" s="1">
        <v>0</v>
      </c>
      <c r="CN702" s="1">
        <v>0</v>
      </c>
    </row>
    <row r="703" spans="1:92" ht="14.25" customHeight="1" x14ac:dyDescent="0.15">
      <c r="A703" s="1" t="s">
        <v>6095</v>
      </c>
      <c r="B703" s="1" t="s">
        <v>189</v>
      </c>
      <c r="C703" s="1"/>
      <c r="D703" s="1" t="s">
        <v>54</v>
      </c>
      <c r="E703" s="1" t="s">
        <v>6096</v>
      </c>
      <c r="F703" s="1" t="s">
        <v>98</v>
      </c>
      <c r="G703" s="1" t="s">
        <v>141</v>
      </c>
      <c r="H703" s="1">
        <v>0</v>
      </c>
      <c r="I703" s="1" t="s">
        <v>161</v>
      </c>
      <c r="J703" s="1"/>
      <c r="K703" s="1"/>
      <c r="L703" s="1" t="s">
        <v>6097</v>
      </c>
      <c r="M703" s="1" t="s">
        <v>125</v>
      </c>
      <c r="N703" s="1">
        <v>0</v>
      </c>
      <c r="O703" s="1">
        <v>0</v>
      </c>
      <c r="P703" s="1" t="s">
        <v>1410</v>
      </c>
      <c r="Q703" s="1" t="s">
        <v>268</v>
      </c>
      <c r="R703" s="1" t="s">
        <v>6098</v>
      </c>
      <c r="S703" s="1" t="s">
        <v>6099</v>
      </c>
      <c r="T703" s="1" t="s">
        <v>5815</v>
      </c>
      <c r="U703" s="1" t="s">
        <v>6100</v>
      </c>
      <c r="V703" s="1">
        <v>1</v>
      </c>
      <c r="W703" s="1">
        <v>1</v>
      </c>
      <c r="X703" s="1">
        <v>0</v>
      </c>
      <c r="Y703" s="1">
        <v>0</v>
      </c>
      <c r="Z703" s="1">
        <v>0</v>
      </c>
      <c r="AA703" s="1">
        <v>4</v>
      </c>
      <c r="AB703" s="1">
        <v>4</v>
      </c>
      <c r="AC703" s="1" t="s">
        <v>109</v>
      </c>
      <c r="AD703" s="1" t="s">
        <v>109</v>
      </c>
      <c r="AE703" s="1" t="s">
        <v>109</v>
      </c>
      <c r="AF703" s="1" t="s">
        <v>109</v>
      </c>
      <c r="AG703" s="1" t="s">
        <v>109</v>
      </c>
      <c r="AH703" s="1" t="s">
        <v>109</v>
      </c>
      <c r="AI703" s="1" t="s">
        <v>109</v>
      </c>
      <c r="AJ703" s="1" t="s">
        <v>109</v>
      </c>
      <c r="AK703" s="1" t="s">
        <v>109</v>
      </c>
      <c r="AL703" s="1" t="s">
        <v>109</v>
      </c>
      <c r="AM703" s="1" t="s">
        <v>109</v>
      </c>
      <c r="AN703" s="1" t="s">
        <v>109</v>
      </c>
      <c r="AO703" s="1" t="s">
        <v>109</v>
      </c>
      <c r="AP703" s="1"/>
      <c r="AQ703" s="1">
        <v>4</v>
      </c>
      <c r="AR703" s="1"/>
      <c r="AS703" s="1" t="s">
        <v>6101</v>
      </c>
      <c r="AT703" s="1">
        <v>0</v>
      </c>
      <c r="AU703" s="1">
        <v>0</v>
      </c>
      <c r="AV703" s="1">
        <v>0</v>
      </c>
      <c r="AW703" s="1">
        <v>0</v>
      </c>
      <c r="AX703" s="1">
        <v>0</v>
      </c>
      <c r="AY703" s="1">
        <v>0</v>
      </c>
      <c r="AZ703" s="1">
        <v>0</v>
      </c>
      <c r="BA703" s="1">
        <v>0</v>
      </c>
      <c r="BB703" s="1">
        <v>1</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5" t="str">
        <f>HYPERLINK("http://www.d20pfsrd.com/magic/all-spells/c/calcific-touch","Calcific Touch")</f>
        <v>Calcific Touch</v>
      </c>
      <c r="BT703" s="1">
        <v>719</v>
      </c>
      <c r="BU703" s="1" t="s">
        <v>109</v>
      </c>
      <c r="BV703" s="1"/>
      <c r="BW703" s="1"/>
      <c r="BX703" s="1"/>
      <c r="BY703" s="1"/>
      <c r="BZ703" s="1">
        <v>0</v>
      </c>
      <c r="CA703" s="1">
        <v>4</v>
      </c>
      <c r="CB703" s="1" t="s">
        <v>109</v>
      </c>
      <c r="CC703" s="1">
        <v>4</v>
      </c>
      <c r="CD703" s="1" t="s">
        <v>109</v>
      </c>
      <c r="CE703" s="1" t="s">
        <v>109</v>
      </c>
      <c r="CF703" s="1" t="s">
        <v>109</v>
      </c>
      <c r="CG703" s="1" t="s">
        <v>109</v>
      </c>
      <c r="CH703" s="1" t="s">
        <v>109</v>
      </c>
      <c r="CI703" s="1" t="s">
        <v>109</v>
      </c>
      <c r="CJ703" s="1" t="s">
        <v>109</v>
      </c>
      <c r="CK703" s="1"/>
      <c r="CL703" s="1">
        <v>0</v>
      </c>
      <c r="CM703" s="1">
        <v>0</v>
      </c>
      <c r="CN703" s="1">
        <v>0</v>
      </c>
    </row>
    <row r="704" spans="1:92" ht="14.25" customHeight="1" x14ac:dyDescent="0.15">
      <c r="A704" s="1" t="s">
        <v>6102</v>
      </c>
      <c r="B704" s="1" t="s">
        <v>156</v>
      </c>
      <c r="C704" s="1" t="s">
        <v>157</v>
      </c>
      <c r="D704" s="1" t="s">
        <v>158</v>
      </c>
      <c r="E704" s="1" t="s">
        <v>6103</v>
      </c>
      <c r="F704" s="1" t="s">
        <v>98</v>
      </c>
      <c r="G704" s="1" t="s">
        <v>160</v>
      </c>
      <c r="H704" s="1">
        <v>0</v>
      </c>
      <c r="I704" s="1" t="s">
        <v>6104</v>
      </c>
      <c r="J704" s="1"/>
      <c r="K704" s="1" t="s">
        <v>6105</v>
      </c>
      <c r="L704" s="1"/>
      <c r="M704" s="1" t="s">
        <v>815</v>
      </c>
      <c r="N704" s="1">
        <v>1</v>
      </c>
      <c r="O704" s="1">
        <v>0</v>
      </c>
      <c r="P704" s="1" t="s">
        <v>103</v>
      </c>
      <c r="Q704" s="1" t="s">
        <v>103</v>
      </c>
      <c r="R704" s="1" t="s">
        <v>6106</v>
      </c>
      <c r="S704" s="1" t="s">
        <v>6107</v>
      </c>
      <c r="T704" s="1" t="s">
        <v>5815</v>
      </c>
      <c r="U704" s="1" t="s">
        <v>6108</v>
      </c>
      <c r="V704" s="1">
        <v>1</v>
      </c>
      <c r="W704" s="1">
        <v>1</v>
      </c>
      <c r="X704" s="1">
        <v>0</v>
      </c>
      <c r="Y704" s="1">
        <v>0</v>
      </c>
      <c r="Z704" s="1">
        <v>1</v>
      </c>
      <c r="AA704" s="1" t="s">
        <v>109</v>
      </c>
      <c r="AB704" s="1" t="s">
        <v>109</v>
      </c>
      <c r="AC704" s="1" t="s">
        <v>109</v>
      </c>
      <c r="AD704" s="1">
        <v>1</v>
      </c>
      <c r="AE704" s="1">
        <v>1</v>
      </c>
      <c r="AF704" s="1" t="s">
        <v>109</v>
      </c>
      <c r="AG704" s="1" t="s">
        <v>109</v>
      </c>
      <c r="AH704" s="1" t="s">
        <v>109</v>
      </c>
      <c r="AI704" s="1" t="s">
        <v>109</v>
      </c>
      <c r="AJ704" s="1" t="s">
        <v>109</v>
      </c>
      <c r="AK704" s="1" t="s">
        <v>109</v>
      </c>
      <c r="AL704" s="1" t="s">
        <v>109</v>
      </c>
      <c r="AM704" s="1" t="s">
        <v>109</v>
      </c>
      <c r="AN704" s="1" t="s">
        <v>109</v>
      </c>
      <c r="AO704" s="1" t="s">
        <v>109</v>
      </c>
      <c r="AP704" s="1"/>
      <c r="AQ704" s="1">
        <v>1</v>
      </c>
      <c r="AR704" s="1"/>
      <c r="AS704" s="1" t="s">
        <v>6109</v>
      </c>
      <c r="AT704" s="1">
        <v>0</v>
      </c>
      <c r="AU704" s="1">
        <v>0</v>
      </c>
      <c r="AV704" s="1">
        <v>0</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1</v>
      </c>
      <c r="BN704" s="1">
        <v>0</v>
      </c>
      <c r="BO704" s="1">
        <v>0</v>
      </c>
      <c r="BP704" s="1">
        <v>0</v>
      </c>
      <c r="BQ704" s="1">
        <v>0</v>
      </c>
      <c r="BR704" s="1">
        <v>0</v>
      </c>
      <c r="BS704" s="5" t="str">
        <f>HYPERLINK("http://www.d20pfsrd.com/magic/all-spells/c/call-animal","Call Animal")</f>
        <v>Call Animal</v>
      </c>
      <c r="BT704" s="1">
        <v>720</v>
      </c>
      <c r="BU704" s="1" t="s">
        <v>109</v>
      </c>
      <c r="BV704" s="1"/>
      <c r="BW704" s="1"/>
      <c r="BX704" s="1" t="s">
        <v>6110</v>
      </c>
      <c r="BY704" s="1"/>
      <c r="BZ704" s="1">
        <v>1</v>
      </c>
      <c r="CA704" s="1" t="s">
        <v>109</v>
      </c>
      <c r="CB704" s="1" t="s">
        <v>109</v>
      </c>
      <c r="CC704" s="1" t="s">
        <v>109</v>
      </c>
      <c r="CD704" s="1" t="s">
        <v>109</v>
      </c>
      <c r="CE704" s="1">
        <v>1</v>
      </c>
      <c r="CF704" s="1" t="s">
        <v>109</v>
      </c>
      <c r="CG704" s="1" t="s">
        <v>109</v>
      </c>
      <c r="CH704" s="1" t="s">
        <v>109</v>
      </c>
      <c r="CI704" s="1" t="s">
        <v>109</v>
      </c>
      <c r="CJ704" s="1">
        <v>1</v>
      </c>
      <c r="CK704" s="1"/>
      <c r="CL704" s="1">
        <v>0</v>
      </c>
      <c r="CM704" s="1">
        <v>0</v>
      </c>
      <c r="CN704" s="1">
        <v>0</v>
      </c>
    </row>
    <row r="705" spans="1:92" ht="14.25" customHeight="1" x14ac:dyDescent="0.15">
      <c r="A705" s="1" t="s">
        <v>6111</v>
      </c>
      <c r="B705" s="1" t="s">
        <v>584</v>
      </c>
      <c r="C705" s="1"/>
      <c r="D705" s="1" t="s">
        <v>6112</v>
      </c>
      <c r="E705" s="1" t="s">
        <v>6113</v>
      </c>
      <c r="F705" s="1" t="s">
        <v>98</v>
      </c>
      <c r="G705" s="1" t="s">
        <v>6114</v>
      </c>
      <c r="H705" s="1">
        <v>0</v>
      </c>
      <c r="I705" s="1" t="s">
        <v>142</v>
      </c>
      <c r="J705" s="1"/>
      <c r="K705" s="1" t="s">
        <v>6115</v>
      </c>
      <c r="L705" s="1"/>
      <c r="M705" s="1" t="s">
        <v>6116</v>
      </c>
      <c r="N705" s="1">
        <v>1</v>
      </c>
      <c r="O705" s="1">
        <v>0</v>
      </c>
      <c r="P705" s="1" t="s">
        <v>103</v>
      </c>
      <c r="Q705" s="1" t="s">
        <v>268</v>
      </c>
      <c r="R705" s="1" t="s">
        <v>6117</v>
      </c>
      <c r="S705" s="1" t="s">
        <v>6118</v>
      </c>
      <c r="T705" s="1" t="s">
        <v>5815</v>
      </c>
      <c r="U705" s="1" t="s">
        <v>6119</v>
      </c>
      <c r="V705" s="1">
        <v>1</v>
      </c>
      <c r="W705" s="1">
        <v>1</v>
      </c>
      <c r="X705" s="1">
        <v>1</v>
      </c>
      <c r="Y705" s="1">
        <v>0</v>
      </c>
      <c r="Z705" s="1">
        <v>1</v>
      </c>
      <c r="AA705" s="1">
        <v>3</v>
      </c>
      <c r="AB705" s="1">
        <v>3</v>
      </c>
      <c r="AC705" s="1" t="s">
        <v>109</v>
      </c>
      <c r="AD705" s="1">
        <v>2</v>
      </c>
      <c r="AE705" s="1">
        <v>2</v>
      </c>
      <c r="AF705" s="1">
        <v>3</v>
      </c>
      <c r="AG705" s="1" t="s">
        <v>109</v>
      </c>
      <c r="AH705" s="1" t="s">
        <v>109</v>
      </c>
      <c r="AI705" s="1" t="s">
        <v>109</v>
      </c>
      <c r="AJ705" s="1" t="s">
        <v>109</v>
      </c>
      <c r="AK705" s="1" t="s">
        <v>109</v>
      </c>
      <c r="AL705" s="1" t="s">
        <v>109</v>
      </c>
      <c r="AM705" s="1" t="s">
        <v>109</v>
      </c>
      <c r="AN705" s="1" t="s">
        <v>109</v>
      </c>
      <c r="AO705" s="1" t="s">
        <v>109</v>
      </c>
      <c r="AP705" s="1"/>
      <c r="AQ705" s="1">
        <v>3</v>
      </c>
      <c r="AR705" s="1"/>
      <c r="AS705" s="1" t="s">
        <v>6120</v>
      </c>
      <c r="AT705" s="1">
        <v>0</v>
      </c>
      <c r="AU705" s="1">
        <v>0</v>
      </c>
      <c r="AV705" s="1">
        <v>0</v>
      </c>
      <c r="AW705" s="1">
        <v>0</v>
      </c>
      <c r="AX705" s="1">
        <v>0</v>
      </c>
      <c r="AY705" s="1">
        <v>0</v>
      </c>
      <c r="AZ705" s="1">
        <v>0</v>
      </c>
      <c r="BA705" s="1">
        <v>0</v>
      </c>
      <c r="BB705" s="1">
        <v>0</v>
      </c>
      <c r="BC705" s="1">
        <v>0</v>
      </c>
      <c r="BD705" s="1">
        <v>0</v>
      </c>
      <c r="BE705" s="1">
        <v>0</v>
      </c>
      <c r="BF705" s="1">
        <v>0</v>
      </c>
      <c r="BG705" s="1">
        <v>1</v>
      </c>
      <c r="BH705" s="1">
        <v>0</v>
      </c>
      <c r="BI705" s="1">
        <v>0</v>
      </c>
      <c r="BJ705" s="1">
        <v>0</v>
      </c>
      <c r="BK705" s="1">
        <v>0</v>
      </c>
      <c r="BL705" s="1">
        <v>1</v>
      </c>
      <c r="BM705" s="1">
        <v>0</v>
      </c>
      <c r="BN705" s="1">
        <v>0</v>
      </c>
      <c r="BO705" s="1">
        <v>0</v>
      </c>
      <c r="BP705" s="1">
        <v>0</v>
      </c>
      <c r="BQ705" s="1">
        <v>0</v>
      </c>
      <c r="BR705" s="1">
        <v>0</v>
      </c>
      <c r="BS705" s="5" t="str">
        <f>HYPERLINK("http://www.d20pfsrd.com/magic/all-spells/c/campfire-wall","Campfire Wall")</f>
        <v>Campfire Wall</v>
      </c>
      <c r="BT705" s="1">
        <v>721</v>
      </c>
      <c r="BU705" s="1" t="s">
        <v>109</v>
      </c>
      <c r="BV705" s="1"/>
      <c r="BW705" s="1"/>
      <c r="BX705" s="1"/>
      <c r="BY705" s="1"/>
      <c r="BZ705" s="1">
        <v>0</v>
      </c>
      <c r="CA705" s="1" t="s">
        <v>109</v>
      </c>
      <c r="CB705" s="1" t="s">
        <v>109</v>
      </c>
      <c r="CC705" s="1" t="s">
        <v>109</v>
      </c>
      <c r="CD705" s="1" t="s">
        <v>109</v>
      </c>
      <c r="CE705" s="1" t="s">
        <v>109</v>
      </c>
      <c r="CF705" s="1">
        <v>2</v>
      </c>
      <c r="CG705" s="1" t="s">
        <v>109</v>
      </c>
      <c r="CH705" s="1" t="s">
        <v>109</v>
      </c>
      <c r="CI705" s="1" t="s">
        <v>109</v>
      </c>
      <c r="CJ705" s="1">
        <v>2</v>
      </c>
      <c r="CK705" s="1"/>
      <c r="CL705" s="1">
        <v>0</v>
      </c>
      <c r="CM705" s="1">
        <v>0</v>
      </c>
      <c r="CN705" s="1">
        <v>0</v>
      </c>
    </row>
    <row r="706" spans="1:92" ht="14.25" customHeight="1" x14ac:dyDescent="0.15">
      <c r="A706" s="1" t="s">
        <v>6121</v>
      </c>
      <c r="B706" s="1" t="s">
        <v>242</v>
      </c>
      <c r="C706" s="1"/>
      <c r="D706" s="1"/>
      <c r="E706" s="1" t="s">
        <v>6122</v>
      </c>
      <c r="F706" s="1" t="s">
        <v>98</v>
      </c>
      <c r="G706" s="1" t="s">
        <v>160</v>
      </c>
      <c r="H706" s="1">
        <v>0</v>
      </c>
      <c r="I706" s="1" t="s">
        <v>161</v>
      </c>
      <c r="J706" s="1"/>
      <c r="K706" s="1"/>
      <c r="L706" s="1" t="s">
        <v>506</v>
      </c>
      <c r="M706" s="1" t="s">
        <v>144</v>
      </c>
      <c r="N706" s="1">
        <v>0</v>
      </c>
      <c r="O706" s="1">
        <v>0</v>
      </c>
      <c r="P706" s="1" t="s">
        <v>380</v>
      </c>
      <c r="Q706" s="1" t="s">
        <v>268</v>
      </c>
      <c r="R706" s="1" t="s">
        <v>6123</v>
      </c>
      <c r="S706" s="1" t="s">
        <v>6124</v>
      </c>
      <c r="T706" s="1" t="s">
        <v>5815</v>
      </c>
      <c r="U706" s="1" t="s">
        <v>6125</v>
      </c>
      <c r="V706" s="1">
        <v>1</v>
      </c>
      <c r="W706" s="1">
        <v>1</v>
      </c>
      <c r="X706" s="1">
        <v>0</v>
      </c>
      <c r="Y706" s="1">
        <v>0</v>
      </c>
      <c r="Z706" s="1">
        <v>1</v>
      </c>
      <c r="AA706" s="1" t="s">
        <v>109</v>
      </c>
      <c r="AB706" s="1" t="s">
        <v>109</v>
      </c>
      <c r="AC706" s="1" t="s">
        <v>109</v>
      </c>
      <c r="AD706" s="1" t="s">
        <v>109</v>
      </c>
      <c r="AE706" s="1" t="s">
        <v>109</v>
      </c>
      <c r="AF706" s="1" t="s">
        <v>109</v>
      </c>
      <c r="AG706" s="1" t="s">
        <v>109</v>
      </c>
      <c r="AH706" s="1" t="s">
        <v>109</v>
      </c>
      <c r="AI706" s="1" t="s">
        <v>109</v>
      </c>
      <c r="AJ706" s="1" t="s">
        <v>109</v>
      </c>
      <c r="AK706" s="1">
        <v>3</v>
      </c>
      <c r="AL706" s="1" t="s">
        <v>109</v>
      </c>
      <c r="AM706" s="1" t="s">
        <v>109</v>
      </c>
      <c r="AN706" s="1" t="s">
        <v>109</v>
      </c>
      <c r="AO706" s="1" t="s">
        <v>109</v>
      </c>
      <c r="AP706" s="1"/>
      <c r="AQ706" s="1">
        <v>3</v>
      </c>
      <c r="AR706" s="1"/>
      <c r="AS706" s="1" t="s">
        <v>6126</v>
      </c>
      <c r="AT706" s="1">
        <v>0</v>
      </c>
      <c r="AU706" s="1">
        <v>0</v>
      </c>
      <c r="AV706" s="1">
        <v>0</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5" t="str">
        <f>HYPERLINK("http://www.d20pfsrd.com/magic/all-spells/c/cast-out","Cast Out")</f>
        <v>Cast Out</v>
      </c>
      <c r="BT706" s="1">
        <v>722</v>
      </c>
      <c r="BU706" s="1" t="s">
        <v>109</v>
      </c>
      <c r="BV706" s="1"/>
      <c r="BW706" s="1"/>
      <c r="BX706" s="1"/>
      <c r="BY706" s="1"/>
      <c r="BZ706" s="1">
        <v>0</v>
      </c>
      <c r="CA706" s="1" t="s">
        <v>109</v>
      </c>
      <c r="CB706" s="1" t="s">
        <v>109</v>
      </c>
      <c r="CC706" s="1">
        <v>4</v>
      </c>
      <c r="CD706" s="1" t="s">
        <v>109</v>
      </c>
      <c r="CE706" s="1" t="s">
        <v>109</v>
      </c>
      <c r="CF706" s="1" t="s">
        <v>109</v>
      </c>
      <c r="CG706" s="1" t="s">
        <v>109</v>
      </c>
      <c r="CH706" s="1" t="s">
        <v>109</v>
      </c>
      <c r="CI706" s="1" t="s">
        <v>109</v>
      </c>
      <c r="CJ706" s="1" t="s">
        <v>109</v>
      </c>
      <c r="CK706" s="1"/>
      <c r="CL706" s="1">
        <v>0</v>
      </c>
      <c r="CM706" s="1">
        <v>0</v>
      </c>
      <c r="CN706" s="1">
        <v>0</v>
      </c>
    </row>
    <row r="707" spans="1:92" ht="14.25" customHeight="1" x14ac:dyDescent="0.15">
      <c r="A707" s="1" t="s">
        <v>6127</v>
      </c>
      <c r="B707" s="1" t="s">
        <v>156</v>
      </c>
      <c r="C707" s="1" t="s">
        <v>157</v>
      </c>
      <c r="D707" s="1" t="s">
        <v>6128</v>
      </c>
      <c r="E707" s="1" t="s">
        <v>6129</v>
      </c>
      <c r="F707" s="1" t="s">
        <v>98</v>
      </c>
      <c r="G707" s="1" t="s">
        <v>160</v>
      </c>
      <c r="H707" s="1">
        <v>0</v>
      </c>
      <c r="I707" s="1" t="s">
        <v>142</v>
      </c>
      <c r="J707" s="1"/>
      <c r="K707" s="1"/>
      <c r="L707" s="1" t="s">
        <v>563</v>
      </c>
      <c r="M707" s="1" t="s">
        <v>5567</v>
      </c>
      <c r="N707" s="1">
        <v>0</v>
      </c>
      <c r="O707" s="1">
        <v>0</v>
      </c>
      <c r="P707" s="1" t="s">
        <v>380</v>
      </c>
      <c r="Q707" s="1" t="s">
        <v>268</v>
      </c>
      <c r="R707" s="1" t="s">
        <v>6130</v>
      </c>
      <c r="S707" s="1" t="s">
        <v>6131</v>
      </c>
      <c r="T707" s="1" t="s">
        <v>5815</v>
      </c>
      <c r="U707" s="1" t="s">
        <v>6132</v>
      </c>
      <c r="V707" s="1">
        <v>1</v>
      </c>
      <c r="W707" s="1">
        <v>1</v>
      </c>
      <c r="X707" s="1">
        <v>0</v>
      </c>
      <c r="Y707" s="1">
        <v>0</v>
      </c>
      <c r="Z707" s="1">
        <v>1</v>
      </c>
      <c r="AA707" s="1" t="s">
        <v>109</v>
      </c>
      <c r="AB707" s="1" t="s">
        <v>109</v>
      </c>
      <c r="AC707" s="1" t="s">
        <v>109</v>
      </c>
      <c r="AD707" s="1" t="s">
        <v>109</v>
      </c>
      <c r="AE707" s="1" t="s">
        <v>109</v>
      </c>
      <c r="AF707" s="1" t="s">
        <v>109</v>
      </c>
      <c r="AG707" s="1" t="s">
        <v>109</v>
      </c>
      <c r="AH707" s="1" t="s">
        <v>109</v>
      </c>
      <c r="AI707" s="1" t="s">
        <v>109</v>
      </c>
      <c r="AJ707" s="1" t="s">
        <v>109</v>
      </c>
      <c r="AK707" s="1">
        <v>2</v>
      </c>
      <c r="AL707" s="1" t="s">
        <v>109</v>
      </c>
      <c r="AM707" s="1" t="s">
        <v>109</v>
      </c>
      <c r="AN707" s="1" t="s">
        <v>109</v>
      </c>
      <c r="AO707" s="1" t="s">
        <v>109</v>
      </c>
      <c r="AP707" s="1"/>
      <c r="AQ707" s="1">
        <v>2</v>
      </c>
      <c r="AR707" s="1" t="s">
        <v>6133</v>
      </c>
      <c r="AS707" s="1" t="s">
        <v>6134</v>
      </c>
      <c r="AT707" s="1">
        <v>0</v>
      </c>
      <c r="AU707" s="1">
        <v>0</v>
      </c>
      <c r="AV707" s="1">
        <v>0</v>
      </c>
      <c r="AW707" s="1">
        <v>0</v>
      </c>
      <c r="AX707" s="1">
        <v>0</v>
      </c>
      <c r="AY707" s="1">
        <v>0</v>
      </c>
      <c r="AZ707" s="1">
        <v>0</v>
      </c>
      <c r="BA707" s="1">
        <v>0</v>
      </c>
      <c r="BB707" s="1">
        <v>0</v>
      </c>
      <c r="BC707" s="1">
        <v>0</v>
      </c>
      <c r="BD707" s="1">
        <v>1</v>
      </c>
      <c r="BE707" s="1">
        <v>0</v>
      </c>
      <c r="BF707" s="1">
        <v>1</v>
      </c>
      <c r="BG707" s="1">
        <v>0</v>
      </c>
      <c r="BH707" s="1">
        <v>0</v>
      </c>
      <c r="BI707" s="1">
        <v>0</v>
      </c>
      <c r="BJ707" s="1">
        <v>1</v>
      </c>
      <c r="BK707" s="1">
        <v>0</v>
      </c>
      <c r="BL707" s="1">
        <v>0</v>
      </c>
      <c r="BM707" s="1">
        <v>1</v>
      </c>
      <c r="BN707" s="1">
        <v>0</v>
      </c>
      <c r="BO707" s="1">
        <v>0</v>
      </c>
      <c r="BP707" s="1">
        <v>0</v>
      </c>
      <c r="BQ707" s="1">
        <v>0</v>
      </c>
      <c r="BR707" s="1">
        <v>0</v>
      </c>
      <c r="BS707" s="5" t="str">
        <f>HYPERLINK("http://www.d20pfsrd.com/magic/all-spells/c/castigate","Castigate")</f>
        <v>Castigate</v>
      </c>
      <c r="BT707" s="1">
        <v>723</v>
      </c>
      <c r="BU707" s="1" t="s">
        <v>109</v>
      </c>
      <c r="BV707" s="1"/>
      <c r="BW707" s="1"/>
      <c r="BX707" s="1"/>
      <c r="BY707" s="1"/>
      <c r="BZ707" s="1">
        <v>0</v>
      </c>
      <c r="CA707" s="1" t="s">
        <v>109</v>
      </c>
      <c r="CB707" s="1" t="s">
        <v>109</v>
      </c>
      <c r="CC707" s="1" t="s">
        <v>109</v>
      </c>
      <c r="CD707" s="1" t="s">
        <v>109</v>
      </c>
      <c r="CE707" s="1">
        <v>2</v>
      </c>
      <c r="CF707" s="1" t="s">
        <v>109</v>
      </c>
      <c r="CG707" s="1" t="s">
        <v>109</v>
      </c>
      <c r="CH707" s="1" t="s">
        <v>109</v>
      </c>
      <c r="CI707" s="1" t="s">
        <v>109</v>
      </c>
      <c r="CJ707" s="1" t="s">
        <v>109</v>
      </c>
      <c r="CK707" s="1"/>
      <c r="CL707" s="1">
        <v>0</v>
      </c>
      <c r="CM707" s="1">
        <v>0</v>
      </c>
      <c r="CN707" s="1">
        <v>0</v>
      </c>
    </row>
    <row r="708" spans="1:92" ht="14.25" customHeight="1" x14ac:dyDescent="0.15">
      <c r="A708" s="1" t="s">
        <v>6135</v>
      </c>
      <c r="B708" s="1" t="s">
        <v>156</v>
      </c>
      <c r="C708" s="1" t="s">
        <v>157</v>
      </c>
      <c r="D708" s="1" t="s">
        <v>6128</v>
      </c>
      <c r="E708" s="1" t="s">
        <v>6136</v>
      </c>
      <c r="F708" s="1" t="s">
        <v>98</v>
      </c>
      <c r="G708" s="1" t="s">
        <v>160</v>
      </c>
      <c r="H708" s="1">
        <v>0</v>
      </c>
      <c r="I708" s="1" t="s">
        <v>122</v>
      </c>
      <c r="J708" s="1"/>
      <c r="K708" s="1"/>
      <c r="L708" s="1" t="s">
        <v>716</v>
      </c>
      <c r="M708" s="1" t="s">
        <v>5567</v>
      </c>
      <c r="N708" s="1">
        <v>0</v>
      </c>
      <c r="O708" s="1">
        <v>0</v>
      </c>
      <c r="P708" s="1" t="s">
        <v>380</v>
      </c>
      <c r="Q708" s="1" t="s">
        <v>268</v>
      </c>
      <c r="R708" s="1" t="s">
        <v>6137</v>
      </c>
      <c r="S708" s="1" t="s">
        <v>6138</v>
      </c>
      <c r="T708" s="1" t="s">
        <v>5815</v>
      </c>
      <c r="U708" s="1" t="s">
        <v>6139</v>
      </c>
      <c r="V708" s="1">
        <v>1</v>
      </c>
      <c r="W708" s="1">
        <v>1</v>
      </c>
      <c r="X708" s="1">
        <v>0</v>
      </c>
      <c r="Y708" s="1">
        <v>0</v>
      </c>
      <c r="Z708" s="1">
        <v>1</v>
      </c>
      <c r="AA708" s="1" t="s">
        <v>109</v>
      </c>
      <c r="AB708" s="1" t="s">
        <v>109</v>
      </c>
      <c r="AC708" s="1" t="s">
        <v>109</v>
      </c>
      <c r="AD708" s="1" t="s">
        <v>109</v>
      </c>
      <c r="AE708" s="1" t="s">
        <v>109</v>
      </c>
      <c r="AF708" s="1" t="s">
        <v>109</v>
      </c>
      <c r="AG708" s="1" t="s">
        <v>109</v>
      </c>
      <c r="AH708" s="1" t="s">
        <v>109</v>
      </c>
      <c r="AI708" s="1" t="s">
        <v>109</v>
      </c>
      <c r="AJ708" s="1" t="s">
        <v>109</v>
      </c>
      <c r="AK708" s="1">
        <v>5</v>
      </c>
      <c r="AL708" s="1" t="s">
        <v>109</v>
      </c>
      <c r="AM708" s="1" t="s">
        <v>109</v>
      </c>
      <c r="AN708" s="1" t="s">
        <v>109</v>
      </c>
      <c r="AO708" s="1" t="s">
        <v>109</v>
      </c>
      <c r="AP708" s="1"/>
      <c r="AQ708" s="1">
        <v>5</v>
      </c>
      <c r="AR708" s="1"/>
      <c r="AS708" s="1" t="s">
        <v>6140</v>
      </c>
      <c r="AT708" s="1">
        <v>0</v>
      </c>
      <c r="AU708" s="1">
        <v>0</v>
      </c>
      <c r="AV708" s="1">
        <v>0</v>
      </c>
      <c r="AW708" s="1">
        <v>0</v>
      </c>
      <c r="AX708" s="1">
        <v>0</v>
      </c>
      <c r="AY708" s="1">
        <v>0</v>
      </c>
      <c r="AZ708" s="1">
        <v>0</v>
      </c>
      <c r="BA708" s="1">
        <v>0</v>
      </c>
      <c r="BB708" s="1">
        <v>0</v>
      </c>
      <c r="BC708" s="1">
        <v>0</v>
      </c>
      <c r="BD708" s="1">
        <v>1</v>
      </c>
      <c r="BE708" s="1">
        <v>0</v>
      </c>
      <c r="BF708" s="1">
        <v>1</v>
      </c>
      <c r="BG708" s="1">
        <v>0</v>
      </c>
      <c r="BH708" s="1">
        <v>0</v>
      </c>
      <c r="BI708" s="1">
        <v>0</v>
      </c>
      <c r="BJ708" s="1">
        <v>1</v>
      </c>
      <c r="BK708" s="1">
        <v>0</v>
      </c>
      <c r="BL708" s="1">
        <v>0</v>
      </c>
      <c r="BM708" s="1">
        <v>1</v>
      </c>
      <c r="BN708" s="1">
        <v>0</v>
      </c>
      <c r="BO708" s="1">
        <v>0</v>
      </c>
      <c r="BP708" s="1">
        <v>0</v>
      </c>
      <c r="BQ708" s="1">
        <v>0</v>
      </c>
      <c r="BR708" s="1">
        <v>0</v>
      </c>
      <c r="BS708" s="5" t="str">
        <f>HYPERLINK("http://www.d20pfsrd.com/magic/all-spells/c/castigate","Castigate, Mass")</f>
        <v>Castigate, Mass</v>
      </c>
      <c r="BT708" s="1">
        <v>724</v>
      </c>
      <c r="BU708" s="1" t="s">
        <v>109</v>
      </c>
      <c r="BV708" s="1"/>
      <c r="BW708" s="1"/>
      <c r="BX708" s="1"/>
      <c r="BY708" s="1"/>
      <c r="BZ708" s="1">
        <v>0</v>
      </c>
      <c r="CA708" s="1" t="s">
        <v>109</v>
      </c>
      <c r="CB708" s="1" t="s">
        <v>109</v>
      </c>
      <c r="CC708" s="1" t="s">
        <v>109</v>
      </c>
      <c r="CD708" s="1" t="s">
        <v>109</v>
      </c>
      <c r="CE708" s="1">
        <v>5</v>
      </c>
      <c r="CF708" s="1" t="s">
        <v>109</v>
      </c>
      <c r="CG708" s="1" t="s">
        <v>109</v>
      </c>
      <c r="CH708" s="1" t="s">
        <v>109</v>
      </c>
      <c r="CI708" s="1" t="s">
        <v>109</v>
      </c>
      <c r="CJ708" s="1" t="s">
        <v>109</v>
      </c>
      <c r="CK708" s="1"/>
      <c r="CL708" s="1">
        <v>0</v>
      </c>
      <c r="CM708" s="1">
        <v>0</v>
      </c>
      <c r="CN708" s="1">
        <v>0</v>
      </c>
    </row>
    <row r="709" spans="1:92" ht="14.25" customHeight="1" x14ac:dyDescent="0.15">
      <c r="A709" s="1" t="s">
        <v>6141</v>
      </c>
      <c r="B709" s="1" t="s">
        <v>156</v>
      </c>
      <c r="C709" s="1" t="s">
        <v>157</v>
      </c>
      <c r="D709" s="1" t="s">
        <v>158</v>
      </c>
      <c r="E709" s="1" t="s">
        <v>638</v>
      </c>
      <c r="F709" s="1" t="s">
        <v>98</v>
      </c>
      <c r="G709" s="1" t="s">
        <v>6142</v>
      </c>
      <c r="H709" s="1">
        <v>0</v>
      </c>
      <c r="I709" s="1" t="s">
        <v>142</v>
      </c>
      <c r="J709" s="1"/>
      <c r="K709" s="1"/>
      <c r="L709" s="1" t="s">
        <v>6143</v>
      </c>
      <c r="M709" s="1" t="s">
        <v>6144</v>
      </c>
      <c r="N709" s="1">
        <v>1</v>
      </c>
      <c r="O709" s="1">
        <v>0</v>
      </c>
      <c r="P709" s="1" t="s">
        <v>301</v>
      </c>
      <c r="Q709" s="1" t="s">
        <v>268</v>
      </c>
      <c r="R709" s="1" t="s">
        <v>6145</v>
      </c>
      <c r="S709" s="1" t="s">
        <v>6146</v>
      </c>
      <c r="T709" s="1" t="s">
        <v>5815</v>
      </c>
      <c r="U709" s="1" t="s">
        <v>6147</v>
      </c>
      <c r="V709" s="1">
        <v>1</v>
      </c>
      <c r="W709" s="1">
        <v>0</v>
      </c>
      <c r="X709" s="1">
        <v>0</v>
      </c>
      <c r="Y709" s="1">
        <v>0</v>
      </c>
      <c r="Z709" s="1">
        <v>1</v>
      </c>
      <c r="AA709" s="1" t="s">
        <v>109</v>
      </c>
      <c r="AB709" s="1" t="s">
        <v>109</v>
      </c>
      <c r="AC709" s="1" t="s">
        <v>109</v>
      </c>
      <c r="AD709" s="1" t="s">
        <v>109</v>
      </c>
      <c r="AE709" s="1" t="s">
        <v>109</v>
      </c>
      <c r="AF709" s="1" t="s">
        <v>109</v>
      </c>
      <c r="AG709" s="1">
        <v>1</v>
      </c>
      <c r="AH709" s="1" t="s">
        <v>109</v>
      </c>
      <c r="AI709" s="1" t="s">
        <v>109</v>
      </c>
      <c r="AJ709" s="1" t="s">
        <v>109</v>
      </c>
      <c r="AK709" s="1" t="s">
        <v>109</v>
      </c>
      <c r="AL709" s="1" t="s">
        <v>109</v>
      </c>
      <c r="AM709" s="1" t="s">
        <v>109</v>
      </c>
      <c r="AN709" s="1" t="s">
        <v>109</v>
      </c>
      <c r="AO709" s="1" t="s">
        <v>109</v>
      </c>
      <c r="AP709" s="1"/>
      <c r="AQ709" s="1">
        <v>1</v>
      </c>
      <c r="AR709" s="1"/>
      <c r="AS709" s="1" t="s">
        <v>6148</v>
      </c>
      <c r="AT709" s="1">
        <v>0</v>
      </c>
      <c r="AU709" s="1">
        <v>0</v>
      </c>
      <c r="AV709" s="1">
        <v>0</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1</v>
      </c>
      <c r="BN709" s="1">
        <v>0</v>
      </c>
      <c r="BO709" s="1">
        <v>0</v>
      </c>
      <c r="BP709" s="1">
        <v>0</v>
      </c>
      <c r="BQ709" s="1">
        <v>0</v>
      </c>
      <c r="BR709" s="1">
        <v>0</v>
      </c>
      <c r="BS709" s="5" t="str">
        <f>HYPERLINK("http://www.d20pfsrd.com/magic/all-spells/c/challenge-evil","Challenge Evil")</f>
        <v>Challenge Evil</v>
      </c>
      <c r="BT709" s="1">
        <v>725</v>
      </c>
      <c r="BU709" s="1" t="s">
        <v>109</v>
      </c>
      <c r="BV709" s="1"/>
      <c r="BW709" s="1"/>
      <c r="BX709" s="1"/>
      <c r="BY709" s="1"/>
      <c r="BZ709" s="1">
        <v>0</v>
      </c>
      <c r="CA709" s="1" t="s">
        <v>109</v>
      </c>
      <c r="CB709" s="1" t="s">
        <v>109</v>
      </c>
      <c r="CC709" s="1" t="s">
        <v>109</v>
      </c>
      <c r="CD709" s="1" t="s">
        <v>109</v>
      </c>
      <c r="CE709" s="1" t="s">
        <v>109</v>
      </c>
      <c r="CF709" s="1" t="s">
        <v>109</v>
      </c>
      <c r="CG709" s="1" t="s">
        <v>109</v>
      </c>
      <c r="CH709" s="1" t="s">
        <v>109</v>
      </c>
      <c r="CI709" s="1" t="s">
        <v>109</v>
      </c>
      <c r="CJ709" s="1" t="s">
        <v>109</v>
      </c>
      <c r="CK709" s="1"/>
      <c r="CL709" s="1">
        <v>0</v>
      </c>
      <c r="CM709" s="1">
        <v>0</v>
      </c>
      <c r="CN709" s="1">
        <v>0</v>
      </c>
    </row>
    <row r="710" spans="1:92" ht="14.25" customHeight="1" x14ac:dyDescent="0.15">
      <c r="A710" s="1" t="s">
        <v>6149</v>
      </c>
      <c r="B710" s="1" t="s">
        <v>674</v>
      </c>
      <c r="C710" s="1" t="s">
        <v>675</v>
      </c>
      <c r="D710" s="1"/>
      <c r="E710" s="1" t="s">
        <v>5841</v>
      </c>
      <c r="F710" s="1" t="s">
        <v>98</v>
      </c>
      <c r="G710" s="1" t="s">
        <v>160</v>
      </c>
      <c r="H710" s="1">
        <v>0</v>
      </c>
      <c r="I710" s="1" t="s">
        <v>235</v>
      </c>
      <c r="J710" s="1"/>
      <c r="K710" s="1"/>
      <c r="L710" s="1" t="s">
        <v>236</v>
      </c>
      <c r="M710" s="1" t="s">
        <v>3042</v>
      </c>
      <c r="N710" s="1">
        <v>0</v>
      </c>
      <c r="O710" s="1">
        <v>0</v>
      </c>
      <c r="P710" s="1"/>
      <c r="Q710" s="1"/>
      <c r="R710" s="1" t="s">
        <v>6150</v>
      </c>
      <c r="S710" s="1" t="s">
        <v>6151</v>
      </c>
      <c r="T710" s="1" t="s">
        <v>5815</v>
      </c>
      <c r="U710" s="1" t="s">
        <v>6152</v>
      </c>
      <c r="V710" s="1">
        <v>1</v>
      </c>
      <c r="W710" s="1">
        <v>1</v>
      </c>
      <c r="X710" s="1">
        <v>0</v>
      </c>
      <c r="Y710" s="1">
        <v>0</v>
      </c>
      <c r="Z710" s="1">
        <v>1</v>
      </c>
      <c r="AA710" s="1" t="s">
        <v>109</v>
      </c>
      <c r="AB710" s="1" t="s">
        <v>109</v>
      </c>
      <c r="AC710" s="1" t="s">
        <v>109</v>
      </c>
      <c r="AD710" s="1" t="s">
        <v>109</v>
      </c>
      <c r="AE710" s="1">
        <v>2</v>
      </c>
      <c r="AF710" s="1" t="s">
        <v>109</v>
      </c>
      <c r="AG710" s="1" t="s">
        <v>109</v>
      </c>
      <c r="AH710" s="1" t="s">
        <v>109</v>
      </c>
      <c r="AI710" s="1" t="s">
        <v>109</v>
      </c>
      <c r="AJ710" s="1" t="s">
        <v>109</v>
      </c>
      <c r="AK710" s="1" t="s">
        <v>109</v>
      </c>
      <c r="AL710" s="1" t="s">
        <v>109</v>
      </c>
      <c r="AM710" s="1" t="s">
        <v>109</v>
      </c>
      <c r="AN710" s="1" t="s">
        <v>109</v>
      </c>
      <c r="AO710" s="1" t="s">
        <v>109</v>
      </c>
      <c r="AP710" s="1"/>
      <c r="AQ710" s="1">
        <v>2</v>
      </c>
      <c r="AR710" s="1"/>
      <c r="AS710" s="1" t="s">
        <v>6153</v>
      </c>
      <c r="AT710" s="1">
        <v>0</v>
      </c>
      <c r="AU710" s="1">
        <v>0</v>
      </c>
      <c r="AV710" s="1">
        <v>0</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5" t="str">
        <f>HYPERLINK("http://www.d20pfsrd.com/magic/all-spells/c/chameleon-stride","Chameleon Stride")</f>
        <v>Chameleon Stride</v>
      </c>
      <c r="BT710" s="1">
        <v>726</v>
      </c>
      <c r="BU710" s="1" t="s">
        <v>109</v>
      </c>
      <c r="BV710" s="1"/>
      <c r="BW710" s="1"/>
      <c r="BX710" s="1"/>
      <c r="BY710" s="1"/>
      <c r="BZ710" s="1">
        <v>0</v>
      </c>
      <c r="CA710" s="1" t="s">
        <v>109</v>
      </c>
      <c r="CB710" s="1" t="s">
        <v>109</v>
      </c>
      <c r="CC710" s="1" t="s">
        <v>109</v>
      </c>
      <c r="CD710" s="1" t="s">
        <v>109</v>
      </c>
      <c r="CE710" s="1" t="s">
        <v>109</v>
      </c>
      <c r="CF710" s="1" t="s">
        <v>109</v>
      </c>
      <c r="CG710" s="1" t="s">
        <v>109</v>
      </c>
      <c r="CH710" s="1" t="s">
        <v>109</v>
      </c>
      <c r="CI710" s="1" t="s">
        <v>109</v>
      </c>
      <c r="CJ710" s="1">
        <v>2</v>
      </c>
      <c r="CK710" s="1"/>
      <c r="CL710" s="1">
        <v>0</v>
      </c>
      <c r="CM710" s="1">
        <v>0</v>
      </c>
      <c r="CN710" s="1">
        <v>0</v>
      </c>
    </row>
    <row r="711" spans="1:92" ht="14.25" customHeight="1" x14ac:dyDescent="0.15">
      <c r="A711" s="1" t="s">
        <v>6154</v>
      </c>
      <c r="B711" s="1" t="s">
        <v>95</v>
      </c>
      <c r="C711" s="1" t="s">
        <v>96</v>
      </c>
      <c r="D711" s="1" t="s">
        <v>54</v>
      </c>
      <c r="E711" s="1" t="s">
        <v>6155</v>
      </c>
      <c r="F711" s="1" t="s">
        <v>98</v>
      </c>
      <c r="G711" s="1" t="s">
        <v>141</v>
      </c>
      <c r="H711" s="1">
        <v>0</v>
      </c>
      <c r="I711" s="1" t="s">
        <v>100</v>
      </c>
      <c r="J711" s="1"/>
      <c r="K711" s="1" t="s">
        <v>211</v>
      </c>
      <c r="L711" s="1"/>
      <c r="M711" s="1" t="s">
        <v>144</v>
      </c>
      <c r="N711" s="1">
        <v>0</v>
      </c>
      <c r="O711" s="1">
        <v>0</v>
      </c>
      <c r="P711" s="1" t="s">
        <v>6156</v>
      </c>
      <c r="Q711" s="1" t="s">
        <v>104</v>
      </c>
      <c r="R711" s="1" t="s">
        <v>6157</v>
      </c>
      <c r="S711" s="1" t="s">
        <v>6158</v>
      </c>
      <c r="T711" s="1" t="s">
        <v>5815</v>
      </c>
      <c r="U711" s="1" t="s">
        <v>6159</v>
      </c>
      <c r="V711" s="1">
        <v>1</v>
      </c>
      <c r="W711" s="1">
        <v>1</v>
      </c>
      <c r="X711" s="1">
        <v>0</v>
      </c>
      <c r="Y711" s="1">
        <v>0</v>
      </c>
      <c r="Z711" s="1">
        <v>0</v>
      </c>
      <c r="AA711" s="1">
        <v>9</v>
      </c>
      <c r="AB711" s="1">
        <v>9</v>
      </c>
      <c r="AC711" s="1" t="s">
        <v>109</v>
      </c>
      <c r="AD711" s="1">
        <v>9</v>
      </c>
      <c r="AE711" s="1" t="s">
        <v>109</v>
      </c>
      <c r="AF711" s="1" t="s">
        <v>109</v>
      </c>
      <c r="AG711" s="1" t="s">
        <v>109</v>
      </c>
      <c r="AH711" s="1" t="s">
        <v>109</v>
      </c>
      <c r="AI711" s="1" t="s">
        <v>109</v>
      </c>
      <c r="AJ711" s="1" t="s">
        <v>109</v>
      </c>
      <c r="AK711" s="1" t="s">
        <v>109</v>
      </c>
      <c r="AL711" s="1" t="s">
        <v>109</v>
      </c>
      <c r="AM711" s="1" t="s">
        <v>109</v>
      </c>
      <c r="AN711" s="1" t="s">
        <v>109</v>
      </c>
      <c r="AO711" s="1" t="s">
        <v>109</v>
      </c>
      <c r="AP711" s="1"/>
      <c r="AQ711" s="1">
        <v>9</v>
      </c>
      <c r="AR711" s="1" t="s">
        <v>6160</v>
      </c>
      <c r="AS711" s="1" t="s">
        <v>6161</v>
      </c>
      <c r="AT711" s="1">
        <v>0</v>
      </c>
      <c r="AU711" s="1">
        <v>0</v>
      </c>
      <c r="AV711" s="1">
        <v>0</v>
      </c>
      <c r="AW711" s="1">
        <v>0</v>
      </c>
      <c r="AX711" s="1">
        <v>0</v>
      </c>
      <c r="AY711" s="1">
        <v>0</v>
      </c>
      <c r="AZ711" s="1">
        <v>0</v>
      </c>
      <c r="BA711" s="1">
        <v>0</v>
      </c>
      <c r="BB711" s="1">
        <v>1</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5" t="str">
        <f>HYPERLINK("http://www.d20pfsrd.com/magic/all-spells/c/clashing-rocks","Clashing Rocks")</f>
        <v>Clashing Rocks</v>
      </c>
      <c r="BT711" s="1">
        <v>727</v>
      </c>
      <c r="BU711" s="1" t="s">
        <v>109</v>
      </c>
      <c r="BV711" s="1" t="s">
        <v>6162</v>
      </c>
      <c r="BW711" s="1" t="s">
        <v>6163</v>
      </c>
      <c r="BX711" s="1"/>
      <c r="BY711" s="1"/>
      <c r="BZ711" s="1">
        <v>0</v>
      </c>
      <c r="CA711" s="1" t="s">
        <v>109</v>
      </c>
      <c r="CB711" s="1" t="s">
        <v>109</v>
      </c>
      <c r="CC711" s="1" t="s">
        <v>109</v>
      </c>
      <c r="CD711" s="1" t="s">
        <v>109</v>
      </c>
      <c r="CE711" s="1" t="s">
        <v>109</v>
      </c>
      <c r="CF711" s="1" t="s">
        <v>109</v>
      </c>
      <c r="CG711" s="1" t="s">
        <v>109</v>
      </c>
      <c r="CH711" s="1" t="s">
        <v>109</v>
      </c>
      <c r="CI711" s="1" t="s">
        <v>109</v>
      </c>
      <c r="CJ711" s="1" t="s">
        <v>109</v>
      </c>
      <c r="CK711" s="1"/>
      <c r="CL711" s="1">
        <v>0</v>
      </c>
      <c r="CM711" s="1">
        <v>0</v>
      </c>
      <c r="CN711" s="1">
        <v>0</v>
      </c>
    </row>
    <row r="712" spans="1:92" ht="14.25" customHeight="1" x14ac:dyDescent="0.15">
      <c r="A712" s="1" t="s">
        <v>6164</v>
      </c>
      <c r="B712" s="1" t="s">
        <v>584</v>
      </c>
      <c r="C712" s="1"/>
      <c r="D712" s="1"/>
      <c r="E712" s="1" t="s">
        <v>6165</v>
      </c>
      <c r="F712" s="1" t="s">
        <v>98</v>
      </c>
      <c r="G712" s="1" t="s">
        <v>2570</v>
      </c>
      <c r="H712" s="1">
        <v>0</v>
      </c>
      <c r="I712" s="1" t="s">
        <v>235</v>
      </c>
      <c r="J712" s="1"/>
      <c r="K712" s="1"/>
      <c r="L712" s="1" t="s">
        <v>236</v>
      </c>
      <c r="M712" s="1" t="s">
        <v>144</v>
      </c>
      <c r="N712" s="1">
        <v>0</v>
      </c>
      <c r="O712" s="1">
        <v>0</v>
      </c>
      <c r="P712" s="1"/>
      <c r="Q712" s="1"/>
      <c r="R712" s="1" t="s">
        <v>6166</v>
      </c>
      <c r="S712" s="1" t="s">
        <v>6167</v>
      </c>
      <c r="T712" s="1" t="s">
        <v>5815</v>
      </c>
      <c r="U712" s="1" t="s">
        <v>6168</v>
      </c>
      <c r="V712" s="1">
        <v>0</v>
      </c>
      <c r="W712" s="1">
        <v>1</v>
      </c>
      <c r="X712" s="1">
        <v>0</v>
      </c>
      <c r="Y712" s="1">
        <v>0</v>
      </c>
      <c r="Z712" s="1">
        <v>1</v>
      </c>
      <c r="AA712" s="1" t="s">
        <v>109</v>
      </c>
      <c r="AB712" s="1" t="s">
        <v>109</v>
      </c>
      <c r="AC712" s="1">
        <v>5</v>
      </c>
      <c r="AD712" s="1" t="s">
        <v>109</v>
      </c>
      <c r="AE712" s="1" t="s">
        <v>109</v>
      </c>
      <c r="AF712" s="1" t="s">
        <v>109</v>
      </c>
      <c r="AG712" s="1" t="s">
        <v>109</v>
      </c>
      <c r="AH712" s="1" t="s">
        <v>109</v>
      </c>
      <c r="AI712" s="1" t="s">
        <v>109</v>
      </c>
      <c r="AJ712" s="1" t="s">
        <v>109</v>
      </c>
      <c r="AK712" s="1">
        <v>6</v>
      </c>
      <c r="AL712" s="1">
        <v>5</v>
      </c>
      <c r="AM712" s="1" t="s">
        <v>109</v>
      </c>
      <c r="AN712" s="1" t="s">
        <v>109</v>
      </c>
      <c r="AO712" s="1" t="s">
        <v>109</v>
      </c>
      <c r="AP712" s="1"/>
      <c r="AQ712" s="1">
        <v>5</v>
      </c>
      <c r="AR712" s="1" t="s">
        <v>6169</v>
      </c>
      <c r="AS712" s="1" t="s">
        <v>6170</v>
      </c>
      <c r="AT712" s="1">
        <v>0</v>
      </c>
      <c r="AU712" s="1">
        <v>0</v>
      </c>
      <c r="AV712" s="1">
        <v>0</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5" t="str">
        <f>HYPERLINK("http://www.d20pfsrd.com/magic/all-spells/c/cleanse","Cleanse")</f>
        <v>Cleanse</v>
      </c>
      <c r="BT712" s="1">
        <v>728</v>
      </c>
      <c r="BU712" s="1" t="s">
        <v>109</v>
      </c>
      <c r="BV712" s="1"/>
      <c r="BW712" s="1" t="s">
        <v>6171</v>
      </c>
      <c r="BX712" s="1"/>
      <c r="BY712" s="1"/>
      <c r="BZ712" s="1">
        <v>0</v>
      </c>
      <c r="CA712" s="1" t="s">
        <v>109</v>
      </c>
      <c r="CB712" s="1" t="s">
        <v>109</v>
      </c>
      <c r="CC712" s="1" t="s">
        <v>109</v>
      </c>
      <c r="CD712" s="1" t="s">
        <v>109</v>
      </c>
      <c r="CE712" s="1" t="s">
        <v>109</v>
      </c>
      <c r="CF712" s="1" t="s">
        <v>109</v>
      </c>
      <c r="CG712" s="1" t="s">
        <v>109</v>
      </c>
      <c r="CH712" s="1" t="s">
        <v>109</v>
      </c>
      <c r="CI712" s="1" t="s">
        <v>109</v>
      </c>
      <c r="CJ712" s="1" t="s">
        <v>109</v>
      </c>
      <c r="CK712" s="1"/>
      <c r="CL712" s="1">
        <v>0</v>
      </c>
      <c r="CM712" s="1">
        <v>0</v>
      </c>
      <c r="CN712" s="1">
        <v>0</v>
      </c>
    </row>
    <row r="713" spans="1:92" ht="14.25" customHeight="1" x14ac:dyDescent="0.15">
      <c r="A713" s="1" t="s">
        <v>6172</v>
      </c>
      <c r="B713" s="1" t="s">
        <v>156</v>
      </c>
      <c r="C713" s="1" t="s">
        <v>157</v>
      </c>
      <c r="D713" s="1" t="s">
        <v>158</v>
      </c>
      <c r="E713" s="1" t="s">
        <v>6173</v>
      </c>
      <c r="F713" s="1" t="s">
        <v>355</v>
      </c>
      <c r="G713" s="1" t="s">
        <v>6174</v>
      </c>
      <c r="H713" s="1">
        <v>0</v>
      </c>
      <c r="I713" s="1" t="s">
        <v>5544</v>
      </c>
      <c r="J713" s="1" t="s">
        <v>5474</v>
      </c>
      <c r="K713" s="1"/>
      <c r="L713" s="1"/>
      <c r="M713" s="1" t="s">
        <v>574</v>
      </c>
      <c r="N713" s="1">
        <v>1</v>
      </c>
      <c r="O713" s="1">
        <v>0</v>
      </c>
      <c r="P713" s="1" t="s">
        <v>301</v>
      </c>
      <c r="Q713" s="1" t="s">
        <v>268</v>
      </c>
      <c r="R713" s="1" t="s">
        <v>6175</v>
      </c>
      <c r="S713" s="1" t="s">
        <v>6176</v>
      </c>
      <c r="T713" s="1" t="s">
        <v>5815</v>
      </c>
      <c r="U713" s="1" t="s">
        <v>6177</v>
      </c>
      <c r="V713" s="1">
        <v>1</v>
      </c>
      <c r="W713" s="1">
        <v>1</v>
      </c>
      <c r="X713" s="1">
        <v>1</v>
      </c>
      <c r="Y713" s="1">
        <v>0</v>
      </c>
      <c r="Z713" s="1">
        <v>0</v>
      </c>
      <c r="AA713" s="1">
        <v>6</v>
      </c>
      <c r="AB713" s="1">
        <v>6</v>
      </c>
      <c r="AC713" s="1" t="s">
        <v>109</v>
      </c>
      <c r="AD713" s="1" t="s">
        <v>109</v>
      </c>
      <c r="AE713" s="1" t="s">
        <v>109</v>
      </c>
      <c r="AF713" s="1">
        <v>5</v>
      </c>
      <c r="AG713" s="1" t="s">
        <v>109</v>
      </c>
      <c r="AH713" s="1" t="s">
        <v>109</v>
      </c>
      <c r="AI713" s="1" t="s">
        <v>109</v>
      </c>
      <c r="AJ713" s="1">
        <v>6</v>
      </c>
      <c r="AK713" s="1" t="s">
        <v>109</v>
      </c>
      <c r="AL713" s="1" t="s">
        <v>109</v>
      </c>
      <c r="AM713" s="1" t="s">
        <v>109</v>
      </c>
      <c r="AN713" s="1" t="s">
        <v>109</v>
      </c>
      <c r="AO713" s="1" t="s">
        <v>109</v>
      </c>
      <c r="AP713" s="1"/>
      <c r="AQ713" s="1">
        <v>6</v>
      </c>
      <c r="AR713" s="1" t="s">
        <v>6178</v>
      </c>
      <c r="AS713" s="1" t="s">
        <v>6179</v>
      </c>
      <c r="AT713" s="1">
        <v>0</v>
      </c>
      <c r="AU713" s="1">
        <v>0</v>
      </c>
      <c r="AV713" s="1">
        <v>0</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1</v>
      </c>
      <c r="BN713" s="1">
        <v>0</v>
      </c>
      <c r="BO713" s="1">
        <v>0</v>
      </c>
      <c r="BP713" s="1">
        <v>0</v>
      </c>
      <c r="BQ713" s="1">
        <v>0</v>
      </c>
      <c r="BR713" s="1">
        <v>0</v>
      </c>
      <c r="BS713" s="5" t="str">
        <f>HYPERLINK("http://www.d20pfsrd.com/magic/all-spells/c/cloak-of-dreams","Cloak of Dreams")</f>
        <v>Cloak of Dreams</v>
      </c>
      <c r="BT713" s="1">
        <v>729</v>
      </c>
      <c r="BU713" s="1" t="s">
        <v>109</v>
      </c>
      <c r="BV713" s="1"/>
      <c r="BW713" s="1" t="s">
        <v>6180</v>
      </c>
      <c r="BX713" s="1"/>
      <c r="BY713" s="1"/>
      <c r="BZ713" s="1">
        <v>0</v>
      </c>
      <c r="CA713" s="1" t="s">
        <v>109</v>
      </c>
      <c r="CB713" s="1">
        <v>7</v>
      </c>
      <c r="CC713" s="1">
        <v>6</v>
      </c>
      <c r="CD713" s="1" t="s">
        <v>109</v>
      </c>
      <c r="CE713" s="1">
        <v>5</v>
      </c>
      <c r="CF713" s="1">
        <v>6</v>
      </c>
      <c r="CG713" s="1" t="s">
        <v>109</v>
      </c>
      <c r="CH713" s="1" t="s">
        <v>109</v>
      </c>
      <c r="CI713" s="1" t="s">
        <v>109</v>
      </c>
      <c r="CJ713" s="1" t="s">
        <v>109</v>
      </c>
      <c r="CK713" s="1"/>
      <c r="CL713" s="1">
        <v>0</v>
      </c>
      <c r="CM713" s="1">
        <v>0</v>
      </c>
      <c r="CN713" s="1">
        <v>0</v>
      </c>
    </row>
    <row r="714" spans="1:92" ht="14.25" customHeight="1" x14ac:dyDescent="0.15">
      <c r="A714" s="1" t="s">
        <v>6181</v>
      </c>
      <c r="B714" s="1" t="s">
        <v>242</v>
      </c>
      <c r="C714" s="1"/>
      <c r="D714" s="1"/>
      <c r="E714" s="1" t="s">
        <v>3009</v>
      </c>
      <c r="F714" s="1" t="s">
        <v>98</v>
      </c>
      <c r="G714" s="1" t="s">
        <v>6182</v>
      </c>
      <c r="H714" s="1">
        <v>0</v>
      </c>
      <c r="I714" s="1" t="s">
        <v>161</v>
      </c>
      <c r="J714" s="1"/>
      <c r="K714" s="1"/>
      <c r="L714" s="1" t="s">
        <v>6183</v>
      </c>
      <c r="M714" s="1" t="s">
        <v>815</v>
      </c>
      <c r="N714" s="1">
        <v>1</v>
      </c>
      <c r="O714" s="1">
        <v>0</v>
      </c>
      <c r="P714" s="1" t="s">
        <v>507</v>
      </c>
      <c r="Q714" s="1" t="s">
        <v>268</v>
      </c>
      <c r="R714" s="1" t="s">
        <v>6184</v>
      </c>
      <c r="S714" s="1" t="s">
        <v>6185</v>
      </c>
      <c r="T714" s="1" t="s">
        <v>5815</v>
      </c>
      <c r="U714" s="1" t="s">
        <v>6186</v>
      </c>
      <c r="V714" s="1">
        <v>1</v>
      </c>
      <c r="W714" s="1">
        <v>1</v>
      </c>
      <c r="X714" s="1">
        <v>1</v>
      </c>
      <c r="Y714" s="1">
        <v>0</v>
      </c>
      <c r="Z714" s="1">
        <v>0</v>
      </c>
      <c r="AA714" s="1" t="s">
        <v>109</v>
      </c>
      <c r="AB714" s="1" t="s">
        <v>109</v>
      </c>
      <c r="AC714" s="1" t="s">
        <v>109</v>
      </c>
      <c r="AD714" s="1">
        <v>1</v>
      </c>
      <c r="AE714" s="1">
        <v>1</v>
      </c>
      <c r="AF714" s="1" t="s">
        <v>109</v>
      </c>
      <c r="AG714" s="1" t="s">
        <v>109</v>
      </c>
      <c r="AH714" s="1" t="s">
        <v>109</v>
      </c>
      <c r="AI714" s="1" t="s">
        <v>109</v>
      </c>
      <c r="AJ714" s="1" t="s">
        <v>109</v>
      </c>
      <c r="AK714" s="1" t="s">
        <v>109</v>
      </c>
      <c r="AL714" s="1" t="s">
        <v>109</v>
      </c>
      <c r="AM714" s="1" t="s">
        <v>109</v>
      </c>
      <c r="AN714" s="1" t="s">
        <v>109</v>
      </c>
      <c r="AO714" s="1" t="s">
        <v>109</v>
      </c>
      <c r="AP714" s="1"/>
      <c r="AQ714" s="1">
        <v>1</v>
      </c>
      <c r="AR714" s="1"/>
      <c r="AS714" s="1" t="s">
        <v>6187</v>
      </c>
      <c r="AT714" s="1">
        <v>0</v>
      </c>
      <c r="AU714" s="1">
        <v>0</v>
      </c>
      <c r="AV714" s="1">
        <v>0</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5" t="str">
        <f>HYPERLINK("http://www.d20pfsrd.com/magic/all-spells/c/cloak-of-shade","Cloak of Shade")</f>
        <v>Cloak of Shade</v>
      </c>
      <c r="BT714" s="1">
        <v>730</v>
      </c>
      <c r="BU714" s="1" t="s">
        <v>109</v>
      </c>
      <c r="BV714" s="1"/>
      <c r="BW714" s="1"/>
      <c r="BX714" s="1"/>
      <c r="BY714" s="1"/>
      <c r="BZ714" s="1">
        <v>0</v>
      </c>
      <c r="CA714" s="1" t="s">
        <v>109</v>
      </c>
      <c r="CB714" s="1" t="s">
        <v>109</v>
      </c>
      <c r="CC714" s="1" t="s">
        <v>109</v>
      </c>
      <c r="CD714" s="1" t="s">
        <v>109</v>
      </c>
      <c r="CE714" s="1" t="s">
        <v>109</v>
      </c>
      <c r="CF714" s="1" t="s">
        <v>109</v>
      </c>
      <c r="CG714" s="1" t="s">
        <v>109</v>
      </c>
      <c r="CH714" s="1" t="s">
        <v>109</v>
      </c>
      <c r="CI714" s="1" t="s">
        <v>109</v>
      </c>
      <c r="CJ714" s="1">
        <v>1</v>
      </c>
      <c r="CK714" s="1"/>
      <c r="CL714" s="1">
        <v>0</v>
      </c>
      <c r="CM714" s="1">
        <v>0</v>
      </c>
      <c r="CN714" s="1">
        <v>0</v>
      </c>
    </row>
    <row r="715" spans="1:92" ht="14.25" customHeight="1" x14ac:dyDescent="0.15">
      <c r="A715" s="1" t="s">
        <v>6188</v>
      </c>
      <c r="B715" s="1" t="s">
        <v>242</v>
      </c>
      <c r="C715" s="1"/>
      <c r="D715" s="1" t="s">
        <v>47</v>
      </c>
      <c r="E715" s="1" t="s">
        <v>6189</v>
      </c>
      <c r="F715" s="1" t="s">
        <v>98</v>
      </c>
      <c r="G715" s="1" t="s">
        <v>141</v>
      </c>
      <c r="H715" s="1">
        <v>0</v>
      </c>
      <c r="I715" s="1" t="s">
        <v>142</v>
      </c>
      <c r="J715" s="1"/>
      <c r="K715" s="1"/>
      <c r="L715" s="1" t="s">
        <v>563</v>
      </c>
      <c r="M715" s="1" t="s">
        <v>3042</v>
      </c>
      <c r="N715" s="1">
        <v>0</v>
      </c>
      <c r="O715" s="1">
        <v>0</v>
      </c>
      <c r="P715" s="1" t="s">
        <v>1382</v>
      </c>
      <c r="Q715" s="1" t="s">
        <v>167</v>
      </c>
      <c r="R715" s="1" t="s">
        <v>6190</v>
      </c>
      <c r="S715" s="1" t="s">
        <v>6191</v>
      </c>
      <c r="T715" s="1" t="s">
        <v>5815</v>
      </c>
      <c r="U715" s="1" t="s">
        <v>6192</v>
      </c>
      <c r="V715" s="1">
        <v>1</v>
      </c>
      <c r="W715" s="1">
        <v>1</v>
      </c>
      <c r="X715" s="1">
        <v>0</v>
      </c>
      <c r="Y715" s="1">
        <v>0</v>
      </c>
      <c r="Z715" s="1">
        <v>0</v>
      </c>
      <c r="AA715" s="1">
        <v>3</v>
      </c>
      <c r="AB715" s="1">
        <v>3</v>
      </c>
      <c r="AC715" s="1" t="s">
        <v>109</v>
      </c>
      <c r="AD715" s="1">
        <v>3</v>
      </c>
      <c r="AE715" s="1">
        <v>3</v>
      </c>
      <c r="AF715" s="1" t="s">
        <v>109</v>
      </c>
      <c r="AG715" s="1" t="s">
        <v>109</v>
      </c>
      <c r="AH715" s="1" t="s">
        <v>109</v>
      </c>
      <c r="AI715" s="1" t="s">
        <v>109</v>
      </c>
      <c r="AJ715" s="1" t="s">
        <v>109</v>
      </c>
      <c r="AK715" s="1" t="s">
        <v>109</v>
      </c>
      <c r="AL715" s="1" t="s">
        <v>109</v>
      </c>
      <c r="AM715" s="1" t="s">
        <v>109</v>
      </c>
      <c r="AN715" s="1">
        <v>3</v>
      </c>
      <c r="AO715" s="1" t="s">
        <v>109</v>
      </c>
      <c r="AP715" s="1"/>
      <c r="AQ715" s="1">
        <v>3</v>
      </c>
      <c r="AR715" s="1"/>
      <c r="AS715" s="1" t="s">
        <v>6193</v>
      </c>
      <c r="AT715" s="1">
        <v>0</v>
      </c>
      <c r="AU715" s="1">
        <v>1</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5" t="str">
        <f>HYPERLINK("http://www.d20pfsrd.com/magic/all-spells/c/cloak-of-winds","Cloak of Winds")</f>
        <v>Cloak of Winds</v>
      </c>
      <c r="BT715" s="1">
        <v>731</v>
      </c>
      <c r="BU715" s="1" t="s">
        <v>109</v>
      </c>
      <c r="BV715" s="1"/>
      <c r="BW715" s="1"/>
      <c r="BX715" s="1"/>
      <c r="BY715" s="1"/>
      <c r="BZ715" s="1">
        <v>0</v>
      </c>
      <c r="CA715" s="1">
        <v>3</v>
      </c>
      <c r="CB715" s="1" t="s">
        <v>109</v>
      </c>
      <c r="CC715" s="1" t="s">
        <v>109</v>
      </c>
      <c r="CD715" s="1" t="s">
        <v>109</v>
      </c>
      <c r="CE715" s="1" t="s">
        <v>109</v>
      </c>
      <c r="CF715" s="1">
        <v>3</v>
      </c>
      <c r="CG715" s="1">
        <v>3</v>
      </c>
      <c r="CH715" s="1" t="s">
        <v>109</v>
      </c>
      <c r="CI715" s="1" t="s">
        <v>109</v>
      </c>
      <c r="CJ715" s="1">
        <v>3</v>
      </c>
      <c r="CK715" s="1"/>
      <c r="CL715" s="1">
        <v>0</v>
      </c>
      <c r="CM715" s="1">
        <v>0</v>
      </c>
      <c r="CN715" s="1">
        <v>0</v>
      </c>
    </row>
    <row r="716" spans="1:92" ht="14.25" customHeight="1" x14ac:dyDescent="0.15">
      <c r="A716" s="1" t="s">
        <v>6194</v>
      </c>
      <c r="B716" s="1" t="s">
        <v>156</v>
      </c>
      <c r="C716" s="1" t="s">
        <v>157</v>
      </c>
      <c r="D716" s="1" t="s">
        <v>954</v>
      </c>
      <c r="E716" s="1" t="s">
        <v>6195</v>
      </c>
      <c r="F716" s="1" t="s">
        <v>98</v>
      </c>
      <c r="G716" s="1" t="s">
        <v>160</v>
      </c>
      <c r="H716" s="1">
        <v>0</v>
      </c>
      <c r="I716" s="1" t="s">
        <v>142</v>
      </c>
      <c r="J716" s="1"/>
      <c r="K716" s="1"/>
      <c r="L716" s="1" t="s">
        <v>1391</v>
      </c>
      <c r="M716" s="1" t="s">
        <v>355</v>
      </c>
      <c r="N716" s="1">
        <v>0</v>
      </c>
      <c r="O716" s="1">
        <v>0</v>
      </c>
      <c r="P716" s="1" t="s">
        <v>826</v>
      </c>
      <c r="Q716" s="1" t="s">
        <v>268</v>
      </c>
      <c r="R716" s="1" t="s">
        <v>6196</v>
      </c>
      <c r="S716" s="1" t="s">
        <v>6197</v>
      </c>
      <c r="T716" s="1" t="s">
        <v>5815</v>
      </c>
      <c r="U716" s="1" t="s">
        <v>6198</v>
      </c>
      <c r="V716" s="1">
        <v>1</v>
      </c>
      <c r="W716" s="1">
        <v>1</v>
      </c>
      <c r="X716" s="1">
        <v>0</v>
      </c>
      <c r="Y716" s="1">
        <v>0</v>
      </c>
      <c r="Z716" s="1">
        <v>1</v>
      </c>
      <c r="AA716" s="1" t="s">
        <v>109</v>
      </c>
      <c r="AB716" s="1" t="s">
        <v>109</v>
      </c>
      <c r="AC716" s="1" t="s">
        <v>109</v>
      </c>
      <c r="AD716" s="1" t="s">
        <v>109</v>
      </c>
      <c r="AE716" s="1" t="s">
        <v>109</v>
      </c>
      <c r="AF716" s="1" t="s">
        <v>109</v>
      </c>
      <c r="AG716" s="1" t="s">
        <v>109</v>
      </c>
      <c r="AH716" s="1" t="s">
        <v>109</v>
      </c>
      <c r="AI716" s="1" t="s">
        <v>109</v>
      </c>
      <c r="AJ716" s="1" t="s">
        <v>109</v>
      </c>
      <c r="AK716" s="1">
        <v>2</v>
      </c>
      <c r="AL716" s="1" t="s">
        <v>109</v>
      </c>
      <c r="AM716" s="1" t="s">
        <v>109</v>
      </c>
      <c r="AN716" s="1" t="s">
        <v>109</v>
      </c>
      <c r="AO716" s="1" t="s">
        <v>109</v>
      </c>
      <c r="AP716" s="1"/>
      <c r="AQ716" s="1">
        <v>2</v>
      </c>
      <c r="AR716" s="1"/>
      <c r="AS716" s="1" t="s">
        <v>6199</v>
      </c>
      <c r="AT716" s="1">
        <v>0</v>
      </c>
      <c r="AU716" s="1">
        <v>0</v>
      </c>
      <c r="AV716" s="1">
        <v>0</v>
      </c>
      <c r="AW716" s="1">
        <v>0</v>
      </c>
      <c r="AX716" s="1">
        <v>0</v>
      </c>
      <c r="AY716" s="1">
        <v>0</v>
      </c>
      <c r="AZ716" s="1">
        <v>0</v>
      </c>
      <c r="BA716" s="1">
        <v>0</v>
      </c>
      <c r="BB716" s="1">
        <v>0</v>
      </c>
      <c r="BC716" s="1">
        <v>0</v>
      </c>
      <c r="BD716" s="1">
        <v>0</v>
      </c>
      <c r="BE716" s="1">
        <v>0</v>
      </c>
      <c r="BF716" s="1">
        <v>0</v>
      </c>
      <c r="BG716" s="1">
        <v>0</v>
      </c>
      <c r="BH716" s="1">
        <v>0</v>
      </c>
      <c r="BI716" s="1">
        <v>0</v>
      </c>
      <c r="BJ716" s="1">
        <v>1</v>
      </c>
      <c r="BK716" s="1">
        <v>0</v>
      </c>
      <c r="BL716" s="1">
        <v>0</v>
      </c>
      <c r="BM716" s="1">
        <v>1</v>
      </c>
      <c r="BN716" s="1">
        <v>0</v>
      </c>
      <c r="BO716" s="1">
        <v>0</v>
      </c>
      <c r="BP716" s="1">
        <v>0</v>
      </c>
      <c r="BQ716" s="1">
        <v>0</v>
      </c>
      <c r="BR716" s="1">
        <v>0</v>
      </c>
      <c r="BS716" s="5" t="str">
        <f>HYPERLINK("http://www.d20pfsrd.com/magic/all-spells/c/confess","Confess")</f>
        <v>Confess</v>
      </c>
      <c r="BT716" s="1">
        <v>732</v>
      </c>
      <c r="BU716" s="1" t="s">
        <v>109</v>
      </c>
      <c r="BV716" s="1"/>
      <c r="BW716" s="1"/>
      <c r="BX716" s="1"/>
      <c r="BY716" s="1"/>
      <c r="BZ716" s="1">
        <v>0</v>
      </c>
      <c r="CA716" s="1" t="s">
        <v>109</v>
      </c>
      <c r="CB716" s="1" t="s">
        <v>109</v>
      </c>
      <c r="CC716" s="1">
        <v>2</v>
      </c>
      <c r="CD716" s="1" t="s">
        <v>109</v>
      </c>
      <c r="CE716" s="1">
        <v>2</v>
      </c>
      <c r="CF716" s="1" t="s">
        <v>109</v>
      </c>
      <c r="CG716" s="1" t="s">
        <v>109</v>
      </c>
      <c r="CH716" s="1" t="s">
        <v>109</v>
      </c>
      <c r="CI716" s="1" t="s">
        <v>109</v>
      </c>
      <c r="CJ716" s="1" t="s">
        <v>109</v>
      </c>
      <c r="CK716" s="1"/>
      <c r="CL716" s="1">
        <v>0</v>
      </c>
      <c r="CM716" s="1">
        <v>0</v>
      </c>
      <c r="CN716" s="1">
        <v>0</v>
      </c>
    </row>
    <row r="717" spans="1:92" ht="14.25" customHeight="1" x14ac:dyDescent="0.15">
      <c r="A717" s="1" t="s">
        <v>6200</v>
      </c>
      <c r="B717" s="1" t="s">
        <v>584</v>
      </c>
      <c r="C717" s="1"/>
      <c r="D717" s="1" t="s">
        <v>59</v>
      </c>
      <c r="E717" s="1" t="s">
        <v>2238</v>
      </c>
      <c r="F717" s="1" t="s">
        <v>98</v>
      </c>
      <c r="G717" s="1" t="s">
        <v>141</v>
      </c>
      <c r="H717" s="1">
        <v>0</v>
      </c>
      <c r="I717" s="1" t="s">
        <v>142</v>
      </c>
      <c r="J717" s="1"/>
      <c r="K717" s="1"/>
      <c r="L717" s="1" t="s">
        <v>6201</v>
      </c>
      <c r="M717" s="1" t="s">
        <v>1984</v>
      </c>
      <c r="N717" s="1">
        <v>0</v>
      </c>
      <c r="O717" s="1">
        <v>0</v>
      </c>
      <c r="P717" s="1" t="s">
        <v>103</v>
      </c>
      <c r="Q717" s="1" t="s">
        <v>268</v>
      </c>
      <c r="R717" s="1" t="s">
        <v>6202</v>
      </c>
      <c r="S717" s="1" t="s">
        <v>6203</v>
      </c>
      <c r="T717" s="1" t="s">
        <v>5815</v>
      </c>
      <c r="U717" s="1" t="s">
        <v>6204</v>
      </c>
      <c r="V717" s="1">
        <v>1</v>
      </c>
      <c r="W717" s="1">
        <v>1</v>
      </c>
      <c r="X717" s="1">
        <v>0</v>
      </c>
      <c r="Y717" s="1">
        <v>0</v>
      </c>
      <c r="Z717" s="1">
        <v>0</v>
      </c>
      <c r="AA717" s="1">
        <v>6</v>
      </c>
      <c r="AB717" s="1">
        <v>6</v>
      </c>
      <c r="AC717" s="1" t="s">
        <v>109</v>
      </c>
      <c r="AD717" s="1" t="s">
        <v>109</v>
      </c>
      <c r="AE717" s="1" t="s">
        <v>109</v>
      </c>
      <c r="AF717" s="1" t="s">
        <v>109</v>
      </c>
      <c r="AG717" s="1" t="s">
        <v>109</v>
      </c>
      <c r="AH717" s="1" t="s">
        <v>109</v>
      </c>
      <c r="AI717" s="1" t="s">
        <v>109</v>
      </c>
      <c r="AJ717" s="1" t="s">
        <v>109</v>
      </c>
      <c r="AK717" s="1" t="s">
        <v>109</v>
      </c>
      <c r="AL717" s="1" t="s">
        <v>109</v>
      </c>
      <c r="AM717" s="1" t="s">
        <v>109</v>
      </c>
      <c r="AN717" s="1">
        <v>6</v>
      </c>
      <c r="AO717" s="1" t="s">
        <v>109</v>
      </c>
      <c r="AP717" s="1"/>
      <c r="AQ717" s="1">
        <v>6</v>
      </c>
      <c r="AR717" s="1"/>
      <c r="AS717" s="1" t="s">
        <v>6205</v>
      </c>
      <c r="AT717" s="1">
        <v>0</v>
      </c>
      <c r="AU717" s="1">
        <v>0</v>
      </c>
      <c r="AV717" s="1">
        <v>0</v>
      </c>
      <c r="AW717" s="1">
        <v>0</v>
      </c>
      <c r="AX717" s="1">
        <v>0</v>
      </c>
      <c r="AY717" s="1">
        <v>0</v>
      </c>
      <c r="AZ717" s="1">
        <v>0</v>
      </c>
      <c r="BA717" s="1">
        <v>0</v>
      </c>
      <c r="BB717" s="1">
        <v>0</v>
      </c>
      <c r="BC717" s="1">
        <v>0</v>
      </c>
      <c r="BD717" s="1">
        <v>0</v>
      </c>
      <c r="BE717" s="1">
        <v>0</v>
      </c>
      <c r="BF717" s="1">
        <v>0</v>
      </c>
      <c r="BG717" s="1">
        <v>1</v>
      </c>
      <c r="BH717" s="1">
        <v>0</v>
      </c>
      <c r="BI717" s="1">
        <v>0</v>
      </c>
      <c r="BJ717" s="1">
        <v>0</v>
      </c>
      <c r="BK717" s="1">
        <v>0</v>
      </c>
      <c r="BL717" s="1">
        <v>0</v>
      </c>
      <c r="BM717" s="1">
        <v>0</v>
      </c>
      <c r="BN717" s="1">
        <v>0</v>
      </c>
      <c r="BO717" s="1">
        <v>0</v>
      </c>
      <c r="BP717" s="1">
        <v>0</v>
      </c>
      <c r="BQ717" s="1">
        <v>0</v>
      </c>
      <c r="BR717" s="1">
        <v>0</v>
      </c>
      <c r="BS717" s="5" t="str">
        <f>HYPERLINK("http://www.d20pfsrd.com/magic/all-spells/c/contagious-flame","Contagious Flame")</f>
        <v>Contagious Flame</v>
      </c>
      <c r="BT717" s="1">
        <v>733</v>
      </c>
      <c r="BU717" s="1" t="s">
        <v>109</v>
      </c>
      <c r="BV717" s="1"/>
      <c r="BW717" s="1"/>
      <c r="BX717" s="1"/>
      <c r="BY717" s="1"/>
      <c r="BZ717" s="1">
        <v>0</v>
      </c>
      <c r="CA717" s="1" t="s">
        <v>109</v>
      </c>
      <c r="CB717" s="1" t="s">
        <v>109</v>
      </c>
      <c r="CC717" s="1" t="s">
        <v>109</v>
      </c>
      <c r="CD717" s="1" t="s">
        <v>109</v>
      </c>
      <c r="CE717" s="1" t="s">
        <v>109</v>
      </c>
      <c r="CF717" s="1">
        <v>6</v>
      </c>
      <c r="CG717" s="1" t="s">
        <v>109</v>
      </c>
      <c r="CH717" s="1" t="s">
        <v>109</v>
      </c>
      <c r="CI717" s="1" t="s">
        <v>109</v>
      </c>
      <c r="CJ717" s="1" t="s">
        <v>109</v>
      </c>
      <c r="CK717" s="1"/>
      <c r="CL717" s="1">
        <v>0</v>
      </c>
      <c r="CM717" s="1">
        <v>0</v>
      </c>
      <c r="CN717" s="1">
        <v>0</v>
      </c>
    </row>
    <row r="718" spans="1:92" ht="14.25" customHeight="1" x14ac:dyDescent="0.15">
      <c r="A718" s="1" t="s">
        <v>6206</v>
      </c>
      <c r="B718" s="1" t="s">
        <v>254</v>
      </c>
      <c r="C718" s="1"/>
      <c r="D718" s="1"/>
      <c r="E718" s="1" t="s">
        <v>6207</v>
      </c>
      <c r="F718" s="1" t="s">
        <v>98</v>
      </c>
      <c r="G718" s="1" t="s">
        <v>141</v>
      </c>
      <c r="H718" s="1">
        <v>0</v>
      </c>
      <c r="I718" s="1" t="s">
        <v>142</v>
      </c>
      <c r="J718" s="1"/>
      <c r="K718" s="1"/>
      <c r="L718" s="1" t="s">
        <v>6208</v>
      </c>
      <c r="M718" s="1" t="s">
        <v>3042</v>
      </c>
      <c r="N718" s="1">
        <v>0</v>
      </c>
      <c r="O718" s="1">
        <v>0</v>
      </c>
      <c r="P718" s="1" t="s">
        <v>103</v>
      </c>
      <c r="Q718" s="1" t="s">
        <v>104</v>
      </c>
      <c r="R718" s="1" t="s">
        <v>6209</v>
      </c>
      <c r="S718" s="1" t="s">
        <v>6210</v>
      </c>
      <c r="T718" s="1" t="s">
        <v>5815</v>
      </c>
      <c r="U718" s="1" t="s">
        <v>6211</v>
      </c>
      <c r="V718" s="1">
        <v>1</v>
      </c>
      <c r="W718" s="1">
        <v>1</v>
      </c>
      <c r="X718" s="1">
        <v>0</v>
      </c>
      <c r="Y718" s="1">
        <v>0</v>
      </c>
      <c r="Z718" s="1">
        <v>0</v>
      </c>
      <c r="AA718" s="1" t="s">
        <v>109</v>
      </c>
      <c r="AB718" s="1" t="s">
        <v>109</v>
      </c>
      <c r="AC718" s="1" t="s">
        <v>109</v>
      </c>
      <c r="AD718" s="1" t="s">
        <v>109</v>
      </c>
      <c r="AE718" s="1" t="s">
        <v>109</v>
      </c>
      <c r="AF718" s="1">
        <v>3</v>
      </c>
      <c r="AG718" s="1" t="s">
        <v>109</v>
      </c>
      <c r="AH718" s="1" t="s">
        <v>109</v>
      </c>
      <c r="AI718" s="1" t="s">
        <v>109</v>
      </c>
      <c r="AJ718" s="1" t="s">
        <v>109</v>
      </c>
      <c r="AK718" s="1">
        <v>3</v>
      </c>
      <c r="AL718" s="1" t="s">
        <v>109</v>
      </c>
      <c r="AM718" s="1" t="s">
        <v>109</v>
      </c>
      <c r="AN718" s="1" t="s">
        <v>109</v>
      </c>
      <c r="AO718" s="1" t="s">
        <v>109</v>
      </c>
      <c r="AP718" s="1"/>
      <c r="AQ718" s="1">
        <v>3</v>
      </c>
      <c r="AR718" s="1" t="s">
        <v>6212</v>
      </c>
      <c r="AS718" s="1" t="s">
        <v>6213</v>
      </c>
      <c r="AT718" s="1">
        <v>0</v>
      </c>
      <c r="AU718" s="1">
        <v>0</v>
      </c>
      <c r="AV718" s="1">
        <v>0</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5" t="str">
        <f>HYPERLINK("http://www.d20pfsrd.com/magic/all-spells/c/coordinated-effort","Coordinated Effort")</f>
        <v>Coordinated Effort</v>
      </c>
      <c r="BT718" s="1">
        <v>734</v>
      </c>
      <c r="BU718" s="1" t="s">
        <v>109</v>
      </c>
      <c r="BV718" s="1"/>
      <c r="BW718" s="1"/>
      <c r="BX718" s="1"/>
      <c r="BY718" s="1"/>
      <c r="BZ718" s="1">
        <v>0</v>
      </c>
      <c r="CA718" s="1" t="s">
        <v>109</v>
      </c>
      <c r="CB718" s="1" t="s">
        <v>109</v>
      </c>
      <c r="CC718" s="1">
        <v>4</v>
      </c>
      <c r="CD718" s="1" t="s">
        <v>109</v>
      </c>
      <c r="CE718" s="1" t="s">
        <v>109</v>
      </c>
      <c r="CF718" s="1" t="s">
        <v>109</v>
      </c>
      <c r="CG718" s="1" t="s">
        <v>109</v>
      </c>
      <c r="CH718" s="1" t="s">
        <v>109</v>
      </c>
      <c r="CI718" s="1" t="s">
        <v>109</v>
      </c>
      <c r="CJ718" s="1" t="s">
        <v>109</v>
      </c>
      <c r="CK718" s="1"/>
      <c r="CL718" s="1">
        <v>0</v>
      </c>
      <c r="CM718" s="1">
        <v>0</v>
      </c>
      <c r="CN718" s="1">
        <v>0</v>
      </c>
    </row>
    <row r="719" spans="1:92" ht="14.25" customHeight="1" x14ac:dyDescent="0.15">
      <c r="A719" s="1" t="s">
        <v>6214</v>
      </c>
      <c r="B719" s="1" t="s">
        <v>242</v>
      </c>
      <c r="C719" s="1"/>
      <c r="D719" s="1" t="s">
        <v>6215</v>
      </c>
      <c r="E719" s="1" t="s">
        <v>6216</v>
      </c>
      <c r="F719" s="1" t="s">
        <v>98</v>
      </c>
      <c r="G719" s="1" t="s">
        <v>160</v>
      </c>
      <c r="H719" s="1">
        <v>0</v>
      </c>
      <c r="I719" s="1" t="s">
        <v>161</v>
      </c>
      <c r="J719" s="1"/>
      <c r="K719" s="1"/>
      <c r="L719" s="1" t="s">
        <v>506</v>
      </c>
      <c r="M719" s="1" t="s">
        <v>5642</v>
      </c>
      <c r="N719" s="1">
        <v>0</v>
      </c>
      <c r="O719" s="1">
        <v>0</v>
      </c>
      <c r="P719" s="1" t="s">
        <v>1382</v>
      </c>
      <c r="Q719" s="1" t="s">
        <v>167</v>
      </c>
      <c r="R719" s="1" t="s">
        <v>6217</v>
      </c>
      <c r="S719" s="1" t="s">
        <v>6218</v>
      </c>
      <c r="T719" s="1" t="s">
        <v>5815</v>
      </c>
      <c r="U719" s="1" t="s">
        <v>6219</v>
      </c>
      <c r="V719" s="1">
        <v>1</v>
      </c>
      <c r="W719" s="1">
        <v>1</v>
      </c>
      <c r="X719" s="1">
        <v>0</v>
      </c>
      <c r="Y719" s="1">
        <v>0</v>
      </c>
      <c r="Z719" s="1">
        <v>1</v>
      </c>
      <c r="AA719" s="1" t="s">
        <v>109</v>
      </c>
      <c r="AB719" s="1" t="s">
        <v>109</v>
      </c>
      <c r="AC719" s="1" t="s">
        <v>109</v>
      </c>
      <c r="AD719" s="1" t="s">
        <v>109</v>
      </c>
      <c r="AE719" s="1" t="s">
        <v>109</v>
      </c>
      <c r="AF719" s="1" t="s">
        <v>109</v>
      </c>
      <c r="AG719" s="1">
        <v>2</v>
      </c>
      <c r="AH719" s="1" t="s">
        <v>109</v>
      </c>
      <c r="AI719" s="1" t="s">
        <v>109</v>
      </c>
      <c r="AJ719" s="1" t="s">
        <v>109</v>
      </c>
      <c r="AK719" s="1">
        <v>2</v>
      </c>
      <c r="AL719" s="1" t="s">
        <v>109</v>
      </c>
      <c r="AM719" s="1">
        <v>2</v>
      </c>
      <c r="AN719" s="1" t="s">
        <v>109</v>
      </c>
      <c r="AO719" s="1" t="s">
        <v>109</v>
      </c>
      <c r="AP719" s="1"/>
      <c r="AQ719" s="1">
        <v>2</v>
      </c>
      <c r="AR719" s="1"/>
      <c r="AS719" s="1" t="s">
        <v>6220</v>
      </c>
      <c r="AT719" s="1">
        <v>0</v>
      </c>
      <c r="AU719" s="1">
        <v>0</v>
      </c>
      <c r="AV719" s="1">
        <v>1</v>
      </c>
      <c r="AW719" s="1">
        <v>0</v>
      </c>
      <c r="AX719" s="1">
        <v>0</v>
      </c>
      <c r="AY719" s="1">
        <v>0</v>
      </c>
      <c r="AZ719" s="1">
        <v>0</v>
      </c>
      <c r="BA719" s="1">
        <v>0</v>
      </c>
      <c r="BB719" s="1">
        <v>0</v>
      </c>
      <c r="BC719" s="1">
        <v>0</v>
      </c>
      <c r="BD719" s="1">
        <v>0</v>
      </c>
      <c r="BE719" s="1">
        <v>1</v>
      </c>
      <c r="BF719" s="1">
        <v>0</v>
      </c>
      <c r="BG719" s="1">
        <v>0</v>
      </c>
      <c r="BH719" s="1">
        <v>0</v>
      </c>
      <c r="BI719" s="1">
        <v>1</v>
      </c>
      <c r="BJ719" s="1">
        <v>0</v>
      </c>
      <c r="BK719" s="1">
        <v>1</v>
      </c>
      <c r="BL719" s="1">
        <v>0</v>
      </c>
      <c r="BM719" s="1">
        <v>0</v>
      </c>
      <c r="BN719" s="1">
        <v>0</v>
      </c>
      <c r="BO719" s="1">
        <v>0</v>
      </c>
      <c r="BP719" s="1">
        <v>0</v>
      </c>
      <c r="BQ719" s="1">
        <v>0</v>
      </c>
      <c r="BR719" s="1">
        <v>0</v>
      </c>
      <c r="BS719" s="5" t="str">
        <f>HYPERLINK("http://www.d20pfsrd.com/magic/all-spells/c/corruption-resistance","Corruption Resistance")</f>
        <v>Corruption Resistance</v>
      </c>
      <c r="BT719" s="1">
        <v>735</v>
      </c>
      <c r="BU719" s="1" t="s">
        <v>109</v>
      </c>
      <c r="BV719" s="1"/>
      <c r="BW719" s="1"/>
      <c r="BX719" s="1"/>
      <c r="BY719" s="1"/>
      <c r="BZ719" s="1">
        <v>0</v>
      </c>
      <c r="CA719" s="1" t="s">
        <v>109</v>
      </c>
      <c r="CB719" s="1" t="s">
        <v>109</v>
      </c>
      <c r="CC719" s="1" t="s">
        <v>109</v>
      </c>
      <c r="CD719" s="1" t="s">
        <v>109</v>
      </c>
      <c r="CE719" s="1" t="s">
        <v>109</v>
      </c>
      <c r="CF719" s="1" t="s">
        <v>109</v>
      </c>
      <c r="CG719" s="1" t="s">
        <v>109</v>
      </c>
      <c r="CH719" s="1" t="s">
        <v>109</v>
      </c>
      <c r="CI719" s="1" t="s">
        <v>109</v>
      </c>
      <c r="CJ719" s="1" t="s">
        <v>109</v>
      </c>
      <c r="CK719" s="1"/>
      <c r="CL719" s="1">
        <v>0</v>
      </c>
      <c r="CM719" s="1">
        <v>0</v>
      </c>
      <c r="CN719" s="1">
        <v>0</v>
      </c>
    </row>
    <row r="720" spans="1:92" ht="14.25" customHeight="1" x14ac:dyDescent="0.15">
      <c r="A720" s="1" t="s">
        <v>6221</v>
      </c>
      <c r="B720" s="1" t="s">
        <v>156</v>
      </c>
      <c r="C720" s="1" t="s">
        <v>157</v>
      </c>
      <c r="D720" s="1" t="s">
        <v>158</v>
      </c>
      <c r="E720" s="1" t="s">
        <v>6035</v>
      </c>
      <c r="F720" s="1" t="s">
        <v>98</v>
      </c>
      <c r="G720" s="1" t="s">
        <v>160</v>
      </c>
      <c r="H720" s="1">
        <v>0</v>
      </c>
      <c r="I720" s="1" t="s">
        <v>142</v>
      </c>
      <c r="J720" s="1"/>
      <c r="K720" s="1"/>
      <c r="L720" s="1" t="s">
        <v>563</v>
      </c>
      <c r="M720" s="1" t="s">
        <v>574</v>
      </c>
      <c r="N720" s="1">
        <v>1</v>
      </c>
      <c r="O720" s="1">
        <v>0</v>
      </c>
      <c r="P720" s="1" t="s">
        <v>380</v>
      </c>
      <c r="Q720" s="1" t="s">
        <v>268</v>
      </c>
      <c r="R720" s="1" t="s">
        <v>6222</v>
      </c>
      <c r="S720" s="1" t="s">
        <v>6223</v>
      </c>
      <c r="T720" s="1" t="s">
        <v>5815</v>
      </c>
      <c r="U720" s="1" t="s">
        <v>6224</v>
      </c>
      <c r="V720" s="1">
        <v>1</v>
      </c>
      <c r="W720" s="1">
        <v>1</v>
      </c>
      <c r="X720" s="1">
        <v>0</v>
      </c>
      <c r="Y720" s="1">
        <v>0</v>
      </c>
      <c r="Z720" s="1">
        <v>1</v>
      </c>
      <c r="AA720" s="1" t="s">
        <v>109</v>
      </c>
      <c r="AB720" s="1" t="s">
        <v>109</v>
      </c>
      <c r="AC720" s="1" t="s">
        <v>109</v>
      </c>
      <c r="AD720" s="1" t="s">
        <v>109</v>
      </c>
      <c r="AE720" s="1" t="s">
        <v>109</v>
      </c>
      <c r="AF720" s="1" t="s">
        <v>109</v>
      </c>
      <c r="AG720" s="1" t="s">
        <v>109</v>
      </c>
      <c r="AH720" s="1" t="s">
        <v>109</v>
      </c>
      <c r="AI720" s="1" t="s">
        <v>109</v>
      </c>
      <c r="AJ720" s="1" t="s">
        <v>109</v>
      </c>
      <c r="AK720" s="1">
        <v>4</v>
      </c>
      <c r="AL720" s="1" t="s">
        <v>109</v>
      </c>
      <c r="AM720" s="1" t="s">
        <v>109</v>
      </c>
      <c r="AN720" s="1" t="s">
        <v>109</v>
      </c>
      <c r="AO720" s="1" t="s">
        <v>109</v>
      </c>
      <c r="AP720" s="1"/>
      <c r="AQ720" s="1">
        <v>4</v>
      </c>
      <c r="AR720" s="1"/>
      <c r="AS720" s="1" t="s">
        <v>6225</v>
      </c>
      <c r="AT720" s="1">
        <v>0</v>
      </c>
      <c r="AU720" s="1">
        <v>0</v>
      </c>
      <c r="AV720" s="1">
        <v>0</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1</v>
      </c>
      <c r="BN720" s="1">
        <v>0</v>
      </c>
      <c r="BO720" s="1">
        <v>0</v>
      </c>
      <c r="BP720" s="1">
        <v>0</v>
      </c>
      <c r="BQ720" s="1">
        <v>0</v>
      </c>
      <c r="BR720" s="1">
        <v>0</v>
      </c>
      <c r="BS720" s="5" t="str">
        <f>HYPERLINK("http://www.d20pfsrd.com/magic/all-spells/c/coward-s-lament","Coward's Lament")</f>
        <v>Coward's Lament</v>
      </c>
      <c r="BT720" s="1">
        <v>736</v>
      </c>
      <c r="BU720" s="1" t="s">
        <v>109</v>
      </c>
      <c r="BV720" s="1"/>
      <c r="BW720" s="1"/>
      <c r="BX720" s="1"/>
      <c r="BY720" s="1"/>
      <c r="BZ720" s="1">
        <v>0</v>
      </c>
      <c r="CA720" s="1" t="s">
        <v>109</v>
      </c>
      <c r="CB720" s="1" t="s">
        <v>109</v>
      </c>
      <c r="CC720" s="1" t="s">
        <v>109</v>
      </c>
      <c r="CD720" s="1" t="s">
        <v>109</v>
      </c>
      <c r="CE720" s="1" t="s">
        <v>109</v>
      </c>
      <c r="CF720" s="1" t="s">
        <v>109</v>
      </c>
      <c r="CG720" s="1" t="s">
        <v>109</v>
      </c>
      <c r="CH720" s="1" t="s">
        <v>109</v>
      </c>
      <c r="CI720" s="1" t="s">
        <v>109</v>
      </c>
      <c r="CJ720" s="1" t="s">
        <v>109</v>
      </c>
      <c r="CK720" s="1"/>
      <c r="CL720" s="1">
        <v>0</v>
      </c>
      <c r="CM720" s="1">
        <v>0</v>
      </c>
      <c r="CN720" s="1">
        <v>0</v>
      </c>
    </row>
    <row r="721" spans="1:92" ht="14.25" customHeight="1" x14ac:dyDescent="0.15">
      <c r="A721" s="1" t="s">
        <v>6226</v>
      </c>
      <c r="B721" s="1" t="s">
        <v>189</v>
      </c>
      <c r="C721" s="1"/>
      <c r="D721" s="1" t="s">
        <v>50</v>
      </c>
      <c r="E721" s="1" t="s">
        <v>6227</v>
      </c>
      <c r="F721" s="1" t="s">
        <v>98</v>
      </c>
      <c r="G721" s="1" t="s">
        <v>6228</v>
      </c>
      <c r="H721" s="1">
        <v>0</v>
      </c>
      <c r="I721" s="1" t="s">
        <v>142</v>
      </c>
      <c r="J721" s="1"/>
      <c r="K721" s="1"/>
      <c r="L721" s="1" t="s">
        <v>1391</v>
      </c>
      <c r="M721" s="1" t="s">
        <v>5811</v>
      </c>
      <c r="N721" s="1">
        <v>1</v>
      </c>
      <c r="O721" s="1">
        <v>0</v>
      </c>
      <c r="P721" s="1" t="s">
        <v>301</v>
      </c>
      <c r="Q721" s="1" t="s">
        <v>268</v>
      </c>
      <c r="R721" s="1" t="s">
        <v>6229</v>
      </c>
      <c r="S721" s="1" t="s">
        <v>6230</v>
      </c>
      <c r="T721" s="1" t="s">
        <v>5815</v>
      </c>
      <c r="U721" s="1" t="s">
        <v>6231</v>
      </c>
      <c r="V721" s="1">
        <v>1</v>
      </c>
      <c r="W721" s="1">
        <v>1</v>
      </c>
      <c r="X721" s="1">
        <v>1</v>
      </c>
      <c r="Y721" s="1">
        <v>0</v>
      </c>
      <c r="Z721" s="1">
        <v>0</v>
      </c>
      <c r="AA721" s="1">
        <v>1</v>
      </c>
      <c r="AB721" s="1">
        <v>1</v>
      </c>
      <c r="AC721" s="1" t="s">
        <v>109</v>
      </c>
      <c r="AD721" s="1" t="s">
        <v>109</v>
      </c>
      <c r="AE721" s="1" t="s">
        <v>109</v>
      </c>
      <c r="AF721" s="1" t="s">
        <v>109</v>
      </c>
      <c r="AG721" s="1" t="s">
        <v>109</v>
      </c>
      <c r="AH721" s="1" t="s">
        <v>109</v>
      </c>
      <c r="AI721" s="1" t="s">
        <v>109</v>
      </c>
      <c r="AJ721" s="1" t="s">
        <v>109</v>
      </c>
      <c r="AK721" s="1" t="s">
        <v>109</v>
      </c>
      <c r="AL721" s="1" t="s">
        <v>109</v>
      </c>
      <c r="AM721" s="1" t="s">
        <v>109</v>
      </c>
      <c r="AN721" s="1" t="s">
        <v>109</v>
      </c>
      <c r="AO721" s="1" t="s">
        <v>109</v>
      </c>
      <c r="AP721" s="1"/>
      <c r="AQ721" s="1">
        <v>1</v>
      </c>
      <c r="AR721" s="1"/>
      <c r="AS721" s="1" t="s">
        <v>6232</v>
      </c>
      <c r="AT721" s="1">
        <v>0</v>
      </c>
      <c r="AU721" s="1">
        <v>0</v>
      </c>
      <c r="AV721" s="1">
        <v>0</v>
      </c>
      <c r="AW721" s="1">
        <v>0</v>
      </c>
      <c r="AX721" s="1">
        <v>1</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5" t="str">
        <f>HYPERLINK("http://www.d20pfsrd.com/magic/all-spells/c/crafter-s-curse","Crafter's Curse")</f>
        <v>Crafter's Curse</v>
      </c>
      <c r="BT721" s="1">
        <v>737</v>
      </c>
      <c r="BU721" s="1" t="s">
        <v>109</v>
      </c>
      <c r="BV721" s="1"/>
      <c r="BW721" s="1"/>
      <c r="BX721" s="1"/>
      <c r="BY721" s="1"/>
      <c r="BZ721" s="1">
        <v>0</v>
      </c>
      <c r="CA721" s="1" t="s">
        <v>109</v>
      </c>
      <c r="CB721" s="1" t="s">
        <v>109</v>
      </c>
      <c r="CC721" s="1" t="s">
        <v>109</v>
      </c>
      <c r="CD721" s="1" t="s">
        <v>109</v>
      </c>
      <c r="CE721" s="1" t="s">
        <v>109</v>
      </c>
      <c r="CF721" s="1">
        <v>1</v>
      </c>
      <c r="CG721" s="1" t="s">
        <v>109</v>
      </c>
      <c r="CH721" s="1" t="s">
        <v>109</v>
      </c>
      <c r="CI721" s="1" t="s">
        <v>109</v>
      </c>
      <c r="CJ721" s="1" t="s">
        <v>109</v>
      </c>
      <c r="CK721" s="1"/>
      <c r="CL721" s="1">
        <v>0</v>
      </c>
      <c r="CM721" s="1">
        <v>0</v>
      </c>
      <c r="CN721" s="1">
        <v>0</v>
      </c>
    </row>
    <row r="722" spans="1:92" ht="14.25" customHeight="1" x14ac:dyDescent="0.15">
      <c r="A722" s="1" t="s">
        <v>6233</v>
      </c>
      <c r="B722" s="1" t="s">
        <v>189</v>
      </c>
      <c r="C722" s="1"/>
      <c r="D722" s="1"/>
      <c r="E722" s="1" t="s">
        <v>6234</v>
      </c>
      <c r="F722" s="1" t="s">
        <v>98</v>
      </c>
      <c r="G722" s="1" t="s">
        <v>6235</v>
      </c>
      <c r="H722" s="1">
        <v>0</v>
      </c>
      <c r="I722" s="1" t="s">
        <v>142</v>
      </c>
      <c r="J722" s="1"/>
      <c r="K722" s="1"/>
      <c r="L722" s="1" t="s">
        <v>1391</v>
      </c>
      <c r="M722" s="1" t="s">
        <v>6236</v>
      </c>
      <c r="N722" s="1">
        <v>1</v>
      </c>
      <c r="O722" s="1">
        <v>0</v>
      </c>
      <c r="P722" s="1" t="s">
        <v>507</v>
      </c>
      <c r="Q722" s="1" t="s">
        <v>167</v>
      </c>
      <c r="R722" s="1" t="s">
        <v>6237</v>
      </c>
      <c r="S722" s="1" t="s">
        <v>6238</v>
      </c>
      <c r="T722" s="1" t="s">
        <v>5815</v>
      </c>
      <c r="U722" s="1" t="s">
        <v>6239</v>
      </c>
      <c r="V722" s="1">
        <v>1</v>
      </c>
      <c r="W722" s="1">
        <v>1</v>
      </c>
      <c r="X722" s="1">
        <v>0</v>
      </c>
      <c r="Y722" s="1">
        <v>0</v>
      </c>
      <c r="Z722" s="1">
        <v>0</v>
      </c>
      <c r="AA722" s="1">
        <v>1</v>
      </c>
      <c r="AB722" s="1">
        <v>1</v>
      </c>
      <c r="AC722" s="1" t="s">
        <v>109</v>
      </c>
      <c r="AD722" s="1" t="s">
        <v>109</v>
      </c>
      <c r="AE722" s="1" t="s">
        <v>109</v>
      </c>
      <c r="AF722" s="1" t="s">
        <v>109</v>
      </c>
      <c r="AG722" s="1" t="s">
        <v>109</v>
      </c>
      <c r="AH722" s="1">
        <v>1</v>
      </c>
      <c r="AI722" s="1" t="s">
        <v>109</v>
      </c>
      <c r="AJ722" s="1" t="s">
        <v>109</v>
      </c>
      <c r="AK722" s="1" t="s">
        <v>109</v>
      </c>
      <c r="AL722" s="1" t="s">
        <v>109</v>
      </c>
      <c r="AM722" s="1" t="s">
        <v>109</v>
      </c>
      <c r="AN722" s="1" t="s">
        <v>109</v>
      </c>
      <c r="AO722" s="1" t="s">
        <v>109</v>
      </c>
      <c r="AP722" s="1"/>
      <c r="AQ722" s="1">
        <v>1</v>
      </c>
      <c r="AR722" s="1" t="s">
        <v>6240</v>
      </c>
      <c r="AS722" s="1" t="s">
        <v>6241</v>
      </c>
      <c r="AT722" s="1">
        <v>0</v>
      </c>
      <c r="AU722" s="1">
        <v>0</v>
      </c>
      <c r="AV722" s="1">
        <v>0</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5" t="str">
        <f>HYPERLINK("http://www.d20pfsrd.com/magic/all-spells/c/crafter-s-fortune","Crafter's Fortune")</f>
        <v>Crafter's Fortune</v>
      </c>
      <c r="BT722" s="1">
        <v>738</v>
      </c>
      <c r="BU722" s="1" t="s">
        <v>109</v>
      </c>
      <c r="BV722" s="1"/>
      <c r="BW722" s="1"/>
      <c r="BX722" s="1"/>
      <c r="BY722" s="1"/>
      <c r="BZ722" s="1">
        <v>0</v>
      </c>
      <c r="CA722" s="1" t="s">
        <v>109</v>
      </c>
      <c r="CB722" s="1" t="s">
        <v>109</v>
      </c>
      <c r="CC722" s="1" t="s">
        <v>109</v>
      </c>
      <c r="CD722" s="1" t="s">
        <v>109</v>
      </c>
      <c r="CE722" s="1" t="s">
        <v>109</v>
      </c>
      <c r="CF722" s="1">
        <v>1</v>
      </c>
      <c r="CG722" s="1" t="s">
        <v>109</v>
      </c>
      <c r="CH722" s="1" t="s">
        <v>109</v>
      </c>
      <c r="CI722" s="1" t="s">
        <v>109</v>
      </c>
      <c r="CJ722" s="1" t="s">
        <v>109</v>
      </c>
      <c r="CK722" s="1"/>
      <c r="CL722" s="1">
        <v>0</v>
      </c>
      <c r="CM722" s="1">
        <v>0</v>
      </c>
      <c r="CN722" s="1">
        <v>0</v>
      </c>
    </row>
    <row r="723" spans="1:92" ht="14.25" customHeight="1" x14ac:dyDescent="0.15">
      <c r="A723" s="1" t="s">
        <v>6242</v>
      </c>
      <c r="B723" s="1" t="s">
        <v>95</v>
      </c>
      <c r="C723" s="1" t="s">
        <v>96</v>
      </c>
      <c r="D723" s="1"/>
      <c r="E723" s="1" t="s">
        <v>6243</v>
      </c>
      <c r="F723" s="1" t="s">
        <v>98</v>
      </c>
      <c r="G723" s="1" t="s">
        <v>6244</v>
      </c>
      <c r="H723" s="1">
        <v>1</v>
      </c>
      <c r="I723" s="1" t="s">
        <v>122</v>
      </c>
      <c r="J723" s="1"/>
      <c r="K723" s="1" t="s">
        <v>5828</v>
      </c>
      <c r="L723" s="1"/>
      <c r="M723" s="1" t="s">
        <v>5829</v>
      </c>
      <c r="N723" s="1">
        <v>0</v>
      </c>
      <c r="O723" s="1">
        <v>0</v>
      </c>
      <c r="P723" s="1" t="s">
        <v>2092</v>
      </c>
      <c r="Q723" s="1" t="s">
        <v>104</v>
      </c>
      <c r="R723" s="1" t="s">
        <v>6245</v>
      </c>
      <c r="S723" s="1" t="s">
        <v>6246</v>
      </c>
      <c r="T723" s="1" t="s">
        <v>5815</v>
      </c>
      <c r="U723" s="1" t="s">
        <v>6247</v>
      </c>
      <c r="V723" s="1">
        <v>1</v>
      </c>
      <c r="W723" s="1">
        <v>1</v>
      </c>
      <c r="X723" s="1">
        <v>0</v>
      </c>
      <c r="Y723" s="1">
        <v>0</v>
      </c>
      <c r="Z723" s="1">
        <v>0</v>
      </c>
      <c r="AA723" s="1">
        <v>2</v>
      </c>
      <c r="AB723" s="1">
        <v>2</v>
      </c>
      <c r="AC723" s="1" t="s">
        <v>109</v>
      </c>
      <c r="AD723" s="1" t="s">
        <v>109</v>
      </c>
      <c r="AE723" s="1" t="s">
        <v>109</v>
      </c>
      <c r="AF723" s="1" t="s">
        <v>109</v>
      </c>
      <c r="AG723" s="1" t="s">
        <v>109</v>
      </c>
      <c r="AH723" s="1" t="s">
        <v>109</v>
      </c>
      <c r="AI723" s="1">
        <v>2</v>
      </c>
      <c r="AJ723" s="1" t="s">
        <v>109</v>
      </c>
      <c r="AK723" s="1" t="s">
        <v>109</v>
      </c>
      <c r="AL723" s="1" t="s">
        <v>109</v>
      </c>
      <c r="AM723" s="1" t="s">
        <v>109</v>
      </c>
      <c r="AN723" s="1" t="s">
        <v>109</v>
      </c>
      <c r="AO723" s="1" t="s">
        <v>109</v>
      </c>
      <c r="AP723" s="1"/>
      <c r="AQ723" s="1">
        <v>2</v>
      </c>
      <c r="AR723" s="1" t="s">
        <v>6248</v>
      </c>
      <c r="AS723" s="1" t="s">
        <v>6249</v>
      </c>
      <c r="AT723" s="1">
        <v>0</v>
      </c>
      <c r="AU723" s="1">
        <v>0</v>
      </c>
      <c r="AV723" s="1">
        <v>0</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5" t="str">
        <f>HYPERLINK("http://www.d20pfsrd.com/magic/all-spells/c/create-pit","Create Pit")</f>
        <v>Create Pit</v>
      </c>
      <c r="BT723" s="1">
        <v>739</v>
      </c>
      <c r="BU723" s="1">
        <v>10</v>
      </c>
      <c r="BV723" s="1" t="s">
        <v>6250</v>
      </c>
      <c r="BW723" s="1"/>
      <c r="BX723" s="1"/>
      <c r="BY723" s="1"/>
      <c r="BZ723" s="1">
        <v>0</v>
      </c>
      <c r="CA723" s="1" t="s">
        <v>109</v>
      </c>
      <c r="CB723" s="1" t="s">
        <v>109</v>
      </c>
      <c r="CC723" s="1" t="s">
        <v>109</v>
      </c>
      <c r="CD723" s="1" t="s">
        <v>109</v>
      </c>
      <c r="CE723" s="1" t="s">
        <v>109</v>
      </c>
      <c r="CF723" s="1" t="s">
        <v>109</v>
      </c>
      <c r="CG723" s="1" t="s">
        <v>109</v>
      </c>
      <c r="CH723" s="1" t="s">
        <v>109</v>
      </c>
      <c r="CI723" s="1" t="s">
        <v>109</v>
      </c>
      <c r="CJ723" s="1" t="s">
        <v>109</v>
      </c>
      <c r="CK723" s="1"/>
      <c r="CL723" s="1">
        <v>0</v>
      </c>
      <c r="CM723" s="1">
        <v>0</v>
      </c>
      <c r="CN723" s="1">
        <v>0</v>
      </c>
    </row>
    <row r="724" spans="1:92" ht="14.25" customHeight="1" x14ac:dyDescent="0.15">
      <c r="A724" s="1" t="s">
        <v>6251</v>
      </c>
      <c r="B724" s="1" t="s">
        <v>254</v>
      </c>
      <c r="C724" s="1"/>
      <c r="D724" s="1"/>
      <c r="E724" s="1" t="s">
        <v>6252</v>
      </c>
      <c r="F724" s="1" t="s">
        <v>377</v>
      </c>
      <c r="G724" s="1" t="s">
        <v>6253</v>
      </c>
      <c r="H724" s="1">
        <v>1</v>
      </c>
      <c r="I724" s="1" t="s">
        <v>161</v>
      </c>
      <c r="J724" s="1"/>
      <c r="K724" s="1"/>
      <c r="L724" s="1" t="s">
        <v>4576</v>
      </c>
      <c r="M724" s="1" t="s">
        <v>144</v>
      </c>
      <c r="N724" s="1">
        <v>0</v>
      </c>
      <c r="O724" s="1">
        <v>0</v>
      </c>
      <c r="P724" s="1" t="s">
        <v>103</v>
      </c>
      <c r="Q724" s="1" t="s">
        <v>104</v>
      </c>
      <c r="R724" s="1" t="s">
        <v>6254</v>
      </c>
      <c r="S724" s="1" t="s">
        <v>6255</v>
      </c>
      <c r="T724" s="1" t="s">
        <v>5815</v>
      </c>
      <c r="U724" s="1" t="s">
        <v>6256</v>
      </c>
      <c r="V724" s="1">
        <v>1</v>
      </c>
      <c r="W724" s="1">
        <v>1</v>
      </c>
      <c r="X724" s="1">
        <v>1</v>
      </c>
      <c r="Y724" s="1">
        <v>0</v>
      </c>
      <c r="Z724" s="1">
        <v>0</v>
      </c>
      <c r="AA724" s="1">
        <v>2</v>
      </c>
      <c r="AB724" s="1">
        <v>2</v>
      </c>
      <c r="AC724" s="1" t="s">
        <v>109</v>
      </c>
      <c r="AD724" s="1">
        <v>3</v>
      </c>
      <c r="AE724" s="1">
        <v>2</v>
      </c>
      <c r="AF724" s="1">
        <v>2</v>
      </c>
      <c r="AG724" s="1" t="s">
        <v>109</v>
      </c>
      <c r="AH724" s="1" t="s">
        <v>109</v>
      </c>
      <c r="AI724" s="1" t="s">
        <v>109</v>
      </c>
      <c r="AJ724" s="1" t="s">
        <v>109</v>
      </c>
      <c r="AK724" s="1" t="s">
        <v>109</v>
      </c>
      <c r="AL724" s="1" t="s">
        <v>109</v>
      </c>
      <c r="AM724" s="1" t="s">
        <v>109</v>
      </c>
      <c r="AN724" s="1" t="s">
        <v>109</v>
      </c>
      <c r="AO724" s="1" t="s">
        <v>109</v>
      </c>
      <c r="AP724" s="1"/>
      <c r="AQ724" s="1">
        <v>2</v>
      </c>
      <c r="AR724" s="1"/>
      <c r="AS724" s="1" t="s">
        <v>6257</v>
      </c>
      <c r="AT724" s="1">
        <v>0</v>
      </c>
      <c r="AU724" s="1">
        <v>0</v>
      </c>
      <c r="AV724" s="1">
        <v>0</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5" t="str">
        <f>HYPERLINK("http://www.d20pfsrd.com/magic/all-spells/c/create-treasure-map","Create Treasure Map")</f>
        <v>Create Treasure Map</v>
      </c>
      <c r="BT724" s="1">
        <v>740</v>
      </c>
      <c r="BU724" s="1">
        <v>100</v>
      </c>
      <c r="BV724" s="1"/>
      <c r="BW724" s="1"/>
      <c r="BX724" s="1"/>
      <c r="BY724" s="1"/>
      <c r="BZ724" s="1">
        <v>0</v>
      </c>
      <c r="CA724" s="1" t="s">
        <v>109</v>
      </c>
      <c r="CB724" s="1" t="s">
        <v>109</v>
      </c>
      <c r="CC724" s="1">
        <v>2</v>
      </c>
      <c r="CD724" s="1" t="s">
        <v>109</v>
      </c>
      <c r="CE724" s="1" t="s">
        <v>109</v>
      </c>
      <c r="CF724" s="1">
        <v>2</v>
      </c>
      <c r="CG724" s="1" t="s">
        <v>109</v>
      </c>
      <c r="CH724" s="1" t="s">
        <v>109</v>
      </c>
      <c r="CI724" s="1" t="s">
        <v>109</v>
      </c>
      <c r="CJ724" s="1">
        <v>2</v>
      </c>
      <c r="CK724" s="1"/>
      <c r="CL724" s="1">
        <v>0</v>
      </c>
      <c r="CM724" s="1">
        <v>0</v>
      </c>
      <c r="CN724" s="1">
        <v>0</v>
      </c>
    </row>
    <row r="725" spans="1:92" ht="14.25" customHeight="1" x14ac:dyDescent="0.15">
      <c r="A725" s="1" t="s">
        <v>6258</v>
      </c>
      <c r="B725" s="1" t="s">
        <v>189</v>
      </c>
      <c r="C725" s="1"/>
      <c r="D725" s="1"/>
      <c r="E725" s="1" t="s">
        <v>6259</v>
      </c>
      <c r="F725" s="1" t="s">
        <v>98</v>
      </c>
      <c r="G725" s="1" t="s">
        <v>6260</v>
      </c>
      <c r="H725" s="1">
        <v>0</v>
      </c>
      <c r="I725" s="1" t="s">
        <v>142</v>
      </c>
      <c r="J725" s="1"/>
      <c r="K725" s="1"/>
      <c r="L725" s="1" t="s">
        <v>1391</v>
      </c>
      <c r="M725" s="1" t="s">
        <v>5811</v>
      </c>
      <c r="N725" s="1">
        <v>1</v>
      </c>
      <c r="O725" s="1">
        <v>0</v>
      </c>
      <c r="P725" s="1" t="s">
        <v>267</v>
      </c>
      <c r="Q725" s="1" t="s">
        <v>268</v>
      </c>
      <c r="R725" s="1" t="s">
        <v>6261</v>
      </c>
      <c r="S725" s="1" t="s">
        <v>6262</v>
      </c>
      <c r="T725" s="1" t="s">
        <v>5815</v>
      </c>
      <c r="U725" s="1" t="s">
        <v>6263</v>
      </c>
      <c r="V725" s="1">
        <v>1</v>
      </c>
      <c r="W725" s="1">
        <v>1</v>
      </c>
      <c r="X725" s="1">
        <v>1</v>
      </c>
      <c r="Y725" s="1">
        <v>0</v>
      </c>
      <c r="Z725" s="1">
        <v>0</v>
      </c>
      <c r="AA725" s="1" t="s">
        <v>109</v>
      </c>
      <c r="AB725" s="1" t="s">
        <v>109</v>
      </c>
      <c r="AC725" s="1" t="s">
        <v>109</v>
      </c>
      <c r="AD725" s="1">
        <v>3</v>
      </c>
      <c r="AE725" s="1" t="s">
        <v>109</v>
      </c>
      <c r="AF725" s="1" t="s">
        <v>109</v>
      </c>
      <c r="AG725" s="1" t="s">
        <v>109</v>
      </c>
      <c r="AH725" s="1" t="s">
        <v>109</v>
      </c>
      <c r="AI725" s="1" t="s">
        <v>109</v>
      </c>
      <c r="AJ725" s="1">
        <v>3</v>
      </c>
      <c r="AK725" s="1" t="s">
        <v>109</v>
      </c>
      <c r="AL725" s="1" t="s">
        <v>109</v>
      </c>
      <c r="AM725" s="1" t="s">
        <v>109</v>
      </c>
      <c r="AN725" s="1" t="s">
        <v>109</v>
      </c>
      <c r="AO725" s="1" t="s">
        <v>109</v>
      </c>
      <c r="AP725" s="1"/>
      <c r="AQ725" s="1">
        <v>3</v>
      </c>
      <c r="AR725" s="1"/>
      <c r="AS725" s="1" t="s">
        <v>6264</v>
      </c>
      <c r="AT725" s="1">
        <v>0</v>
      </c>
      <c r="AU725" s="1">
        <v>0</v>
      </c>
      <c r="AV725" s="1">
        <v>0</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5" t="str">
        <f>HYPERLINK("http://www.d20pfsrd.com/magic/all-spells/c/cup-of-dust","Cup of Dust")</f>
        <v>Cup of Dust</v>
      </c>
      <c r="BT725" s="1">
        <v>741</v>
      </c>
      <c r="BU725" s="1" t="s">
        <v>109</v>
      </c>
      <c r="BV725" s="1"/>
      <c r="BW725" s="1"/>
      <c r="BX725" s="1" t="s">
        <v>6265</v>
      </c>
      <c r="BY725" s="1"/>
      <c r="BZ725" s="1">
        <v>1</v>
      </c>
      <c r="CA725" s="1" t="s">
        <v>109</v>
      </c>
      <c r="CB725" s="1" t="s">
        <v>109</v>
      </c>
      <c r="CC725" s="1">
        <v>3</v>
      </c>
      <c r="CD725" s="1" t="s">
        <v>109</v>
      </c>
      <c r="CE725" s="1">
        <v>3</v>
      </c>
      <c r="CF725" s="1">
        <v>3</v>
      </c>
      <c r="CG725" s="1" t="s">
        <v>109</v>
      </c>
      <c r="CH725" s="1" t="s">
        <v>109</v>
      </c>
      <c r="CI725" s="1" t="s">
        <v>109</v>
      </c>
      <c r="CJ725" s="1">
        <v>3</v>
      </c>
      <c r="CK725" s="1"/>
      <c r="CL725" s="1">
        <v>0</v>
      </c>
      <c r="CM725" s="1">
        <v>0</v>
      </c>
      <c r="CN725" s="1">
        <v>0</v>
      </c>
    </row>
    <row r="726" spans="1:92" ht="14.25" customHeight="1" x14ac:dyDescent="0.15">
      <c r="A726" s="1" t="s">
        <v>6266</v>
      </c>
      <c r="B726" s="1" t="s">
        <v>189</v>
      </c>
      <c r="C726" s="1"/>
      <c r="D726" s="1" t="s">
        <v>6112</v>
      </c>
      <c r="E726" s="1" t="s">
        <v>6267</v>
      </c>
      <c r="F726" s="1" t="s">
        <v>98</v>
      </c>
      <c r="G726" s="1" t="s">
        <v>6268</v>
      </c>
      <c r="H726" s="1">
        <v>0</v>
      </c>
      <c r="I726" s="1" t="s">
        <v>161</v>
      </c>
      <c r="J726" s="1"/>
      <c r="K726" s="1" t="s">
        <v>6269</v>
      </c>
      <c r="L726" s="1"/>
      <c r="M726" s="1" t="s">
        <v>815</v>
      </c>
      <c r="N726" s="1">
        <v>1</v>
      </c>
      <c r="O726" s="1">
        <v>0</v>
      </c>
      <c r="P726" s="1" t="s">
        <v>103</v>
      </c>
      <c r="Q726" s="1" t="s">
        <v>104</v>
      </c>
      <c r="R726" s="1" t="s">
        <v>6270</v>
      </c>
      <c r="S726" s="1" t="s">
        <v>6271</v>
      </c>
      <c r="T726" s="1" t="s">
        <v>5815</v>
      </c>
      <c r="U726" s="1" t="s">
        <v>6272</v>
      </c>
      <c r="V726" s="1">
        <v>1</v>
      </c>
      <c r="W726" s="1">
        <v>1</v>
      </c>
      <c r="X726" s="1">
        <v>0</v>
      </c>
      <c r="Y726" s="1">
        <v>0</v>
      </c>
      <c r="Z726" s="1">
        <v>0</v>
      </c>
      <c r="AA726" s="1">
        <v>1</v>
      </c>
      <c r="AB726" s="1">
        <v>1</v>
      </c>
      <c r="AC726" s="1">
        <v>1</v>
      </c>
      <c r="AD726" s="1" t="s">
        <v>109</v>
      </c>
      <c r="AE726" s="1">
        <v>1</v>
      </c>
      <c r="AF726" s="1">
        <v>1</v>
      </c>
      <c r="AG726" s="1" t="s">
        <v>109</v>
      </c>
      <c r="AH726" s="1" t="s">
        <v>109</v>
      </c>
      <c r="AI726" s="1" t="s">
        <v>109</v>
      </c>
      <c r="AJ726" s="1">
        <v>1</v>
      </c>
      <c r="AK726" s="1" t="s">
        <v>109</v>
      </c>
      <c r="AL726" s="1">
        <v>1</v>
      </c>
      <c r="AM726" s="1" t="s">
        <v>109</v>
      </c>
      <c r="AN726" s="1" t="s">
        <v>109</v>
      </c>
      <c r="AO726" s="1" t="s">
        <v>109</v>
      </c>
      <c r="AP726" s="1"/>
      <c r="AQ726" s="1">
        <v>1</v>
      </c>
      <c r="AR726" s="1"/>
      <c r="AS726" s="1" t="s">
        <v>6273</v>
      </c>
      <c r="AT726" s="1">
        <v>0</v>
      </c>
      <c r="AU726" s="1">
        <v>0</v>
      </c>
      <c r="AV726" s="1">
        <v>0</v>
      </c>
      <c r="AW726" s="1">
        <v>0</v>
      </c>
      <c r="AX726" s="1">
        <v>0</v>
      </c>
      <c r="AY726" s="1">
        <v>0</v>
      </c>
      <c r="AZ726" s="1">
        <v>0</v>
      </c>
      <c r="BA726" s="1">
        <v>0</v>
      </c>
      <c r="BB726" s="1">
        <v>0</v>
      </c>
      <c r="BC726" s="1">
        <v>0</v>
      </c>
      <c r="BD726" s="1">
        <v>0</v>
      </c>
      <c r="BE726" s="1">
        <v>0</v>
      </c>
      <c r="BF726" s="1">
        <v>0</v>
      </c>
      <c r="BG726" s="1">
        <v>1</v>
      </c>
      <c r="BH726" s="1">
        <v>0</v>
      </c>
      <c r="BI726" s="1">
        <v>0</v>
      </c>
      <c r="BJ726" s="1">
        <v>0</v>
      </c>
      <c r="BK726" s="1">
        <v>0</v>
      </c>
      <c r="BL726" s="1">
        <v>1</v>
      </c>
      <c r="BM726" s="1">
        <v>0</v>
      </c>
      <c r="BN726" s="1">
        <v>0</v>
      </c>
      <c r="BO726" s="1">
        <v>0</v>
      </c>
      <c r="BP726" s="1">
        <v>0</v>
      </c>
      <c r="BQ726" s="1">
        <v>0</v>
      </c>
      <c r="BR726" s="1">
        <v>0</v>
      </c>
      <c r="BS726" s="1" t="s">
        <v>109</v>
      </c>
      <c r="BT726" s="1">
        <v>742</v>
      </c>
      <c r="BU726" s="1" t="s">
        <v>109</v>
      </c>
      <c r="BV726" s="1"/>
      <c r="BW726" s="1" t="s">
        <v>6274</v>
      </c>
      <c r="BX726" s="1"/>
      <c r="BY726" s="1"/>
      <c r="BZ726" s="1">
        <v>0</v>
      </c>
      <c r="CA726" s="1" t="s">
        <v>109</v>
      </c>
      <c r="CB726" s="1">
        <v>1</v>
      </c>
      <c r="CC726" s="1" t="s">
        <v>109</v>
      </c>
      <c r="CD726" s="1" t="s">
        <v>109</v>
      </c>
      <c r="CE726" s="1" t="s">
        <v>109</v>
      </c>
      <c r="CF726" s="1" t="s">
        <v>109</v>
      </c>
      <c r="CG726" s="1" t="s">
        <v>109</v>
      </c>
      <c r="CH726" s="1" t="s">
        <v>109</v>
      </c>
      <c r="CI726" s="1" t="s">
        <v>109</v>
      </c>
      <c r="CJ726" s="1">
        <v>1</v>
      </c>
      <c r="CK726" s="1"/>
      <c r="CL726" s="1">
        <v>0</v>
      </c>
      <c r="CM726" s="1">
        <v>0</v>
      </c>
      <c r="CN726" s="1">
        <v>0</v>
      </c>
    </row>
    <row r="727" spans="1:92" ht="14.25" customHeight="1" x14ac:dyDescent="0.15">
      <c r="A727" s="1" t="s">
        <v>6275</v>
      </c>
      <c r="B727" s="1" t="s">
        <v>584</v>
      </c>
      <c r="C727" s="1"/>
      <c r="D727" s="1" t="s">
        <v>69</v>
      </c>
      <c r="E727" s="1" t="s">
        <v>4972</v>
      </c>
      <c r="F727" s="1" t="s">
        <v>98</v>
      </c>
      <c r="G727" s="1" t="s">
        <v>141</v>
      </c>
      <c r="H727" s="1">
        <v>0</v>
      </c>
      <c r="I727" s="1" t="s">
        <v>142</v>
      </c>
      <c r="J727" s="1"/>
      <c r="K727" s="1"/>
      <c r="L727" s="1" t="s">
        <v>6276</v>
      </c>
      <c r="M727" s="1" t="s">
        <v>144</v>
      </c>
      <c r="N727" s="1">
        <v>0</v>
      </c>
      <c r="O727" s="1">
        <v>0</v>
      </c>
      <c r="P727" s="1" t="s">
        <v>1410</v>
      </c>
      <c r="Q727" s="1" t="s">
        <v>268</v>
      </c>
      <c r="R727" s="1" t="s">
        <v>6277</v>
      </c>
      <c r="S727" s="1" t="s">
        <v>6278</v>
      </c>
      <c r="T727" s="1" t="s">
        <v>5815</v>
      </c>
      <c r="U727" s="1" t="s">
        <v>6279</v>
      </c>
      <c r="V727" s="1">
        <v>1</v>
      </c>
      <c r="W727" s="1">
        <v>1</v>
      </c>
      <c r="X727" s="1">
        <v>0</v>
      </c>
      <c r="Y727" s="1">
        <v>0</v>
      </c>
      <c r="Z727" s="1">
        <v>0</v>
      </c>
      <c r="AA727" s="1" t="s">
        <v>109</v>
      </c>
      <c r="AB727" s="1" t="s">
        <v>109</v>
      </c>
      <c r="AC727" s="1" t="s">
        <v>109</v>
      </c>
      <c r="AD727" s="1" t="s">
        <v>109</v>
      </c>
      <c r="AE727" s="1" t="s">
        <v>109</v>
      </c>
      <c r="AF727" s="1">
        <v>6</v>
      </c>
      <c r="AG727" s="1" t="s">
        <v>109</v>
      </c>
      <c r="AH727" s="1" t="s">
        <v>109</v>
      </c>
      <c r="AI727" s="1" t="s">
        <v>109</v>
      </c>
      <c r="AJ727" s="1" t="s">
        <v>109</v>
      </c>
      <c r="AK727" s="1" t="s">
        <v>109</v>
      </c>
      <c r="AL727" s="1" t="s">
        <v>109</v>
      </c>
      <c r="AM727" s="1" t="s">
        <v>109</v>
      </c>
      <c r="AN727" s="1" t="s">
        <v>109</v>
      </c>
      <c r="AO727" s="1" t="s">
        <v>109</v>
      </c>
      <c r="AP727" s="1"/>
      <c r="AQ727" s="1">
        <v>6</v>
      </c>
      <c r="AR727" s="1"/>
      <c r="AS727" s="1" t="s">
        <v>6280</v>
      </c>
      <c r="AT727" s="1">
        <v>0</v>
      </c>
      <c r="AU727" s="1">
        <v>0</v>
      </c>
      <c r="AV727" s="1">
        <v>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1</v>
      </c>
      <c r="BR727" s="1">
        <v>0</v>
      </c>
      <c r="BS727" s="5" t="str">
        <f>HYPERLINK("http://www.d20pfsrd.com/magic/all-spells/d/deadly-finale","Deadly Finale")</f>
        <v>Deadly Finale</v>
      </c>
      <c r="BT727" s="1">
        <v>743</v>
      </c>
      <c r="BU727" s="1" t="s">
        <v>109</v>
      </c>
      <c r="BV727" s="1"/>
      <c r="BW727" s="1"/>
      <c r="BX727" s="1"/>
      <c r="BY727" s="1"/>
      <c r="BZ727" s="1">
        <v>0</v>
      </c>
      <c r="CA727" s="1" t="s">
        <v>109</v>
      </c>
      <c r="CB727" s="1" t="s">
        <v>109</v>
      </c>
      <c r="CC727" s="1" t="s">
        <v>109</v>
      </c>
      <c r="CD727" s="1" t="s">
        <v>109</v>
      </c>
      <c r="CE727" s="1" t="s">
        <v>109</v>
      </c>
      <c r="CF727" s="1" t="s">
        <v>109</v>
      </c>
      <c r="CG727" s="1" t="s">
        <v>109</v>
      </c>
      <c r="CH727" s="1" t="s">
        <v>109</v>
      </c>
      <c r="CI727" s="1" t="s">
        <v>109</v>
      </c>
      <c r="CJ727" s="1" t="s">
        <v>109</v>
      </c>
      <c r="CK727" s="1"/>
      <c r="CL727" s="1">
        <v>0</v>
      </c>
      <c r="CM727" s="1">
        <v>0</v>
      </c>
      <c r="CN727" s="1">
        <v>0</v>
      </c>
    </row>
    <row r="728" spans="1:92" ht="14.25" customHeight="1" x14ac:dyDescent="0.15">
      <c r="A728" s="1" t="s">
        <v>6281</v>
      </c>
      <c r="B728" s="1" t="s">
        <v>584</v>
      </c>
      <c r="C728" s="1"/>
      <c r="D728" s="1" t="s">
        <v>69</v>
      </c>
      <c r="E728" s="1" t="s">
        <v>5937</v>
      </c>
      <c r="F728" s="1" t="s">
        <v>98</v>
      </c>
      <c r="G728" s="1" t="s">
        <v>141</v>
      </c>
      <c r="H728" s="1">
        <v>0</v>
      </c>
      <c r="I728" s="1" t="s">
        <v>142</v>
      </c>
      <c r="J728" s="1"/>
      <c r="K728" s="1"/>
      <c r="L728" s="1" t="s">
        <v>6282</v>
      </c>
      <c r="M728" s="1" t="s">
        <v>144</v>
      </c>
      <c r="N728" s="1">
        <v>0</v>
      </c>
      <c r="O728" s="1">
        <v>0</v>
      </c>
      <c r="P728" s="1" t="s">
        <v>103</v>
      </c>
      <c r="Q728" s="1" t="s">
        <v>104</v>
      </c>
      <c r="R728" s="1" t="s">
        <v>6283</v>
      </c>
      <c r="S728" s="1" t="s">
        <v>6284</v>
      </c>
      <c r="T728" s="1" t="s">
        <v>5815</v>
      </c>
      <c r="U728" s="1" t="s">
        <v>6285</v>
      </c>
      <c r="V728" s="1">
        <v>1</v>
      </c>
      <c r="W728" s="1">
        <v>1</v>
      </c>
      <c r="X728" s="1">
        <v>0</v>
      </c>
      <c r="Y728" s="1">
        <v>0</v>
      </c>
      <c r="Z728" s="1">
        <v>0</v>
      </c>
      <c r="AA728" s="1" t="s">
        <v>109</v>
      </c>
      <c r="AB728" s="1" t="s">
        <v>109</v>
      </c>
      <c r="AC728" s="1" t="s">
        <v>109</v>
      </c>
      <c r="AD728" s="1" t="s">
        <v>109</v>
      </c>
      <c r="AE728" s="1" t="s">
        <v>109</v>
      </c>
      <c r="AF728" s="1">
        <v>5</v>
      </c>
      <c r="AG728" s="1" t="s">
        <v>109</v>
      </c>
      <c r="AH728" s="1" t="s">
        <v>109</v>
      </c>
      <c r="AI728" s="1" t="s">
        <v>109</v>
      </c>
      <c r="AJ728" s="1" t="s">
        <v>109</v>
      </c>
      <c r="AK728" s="1" t="s">
        <v>109</v>
      </c>
      <c r="AL728" s="1" t="s">
        <v>109</v>
      </c>
      <c r="AM728" s="1" t="s">
        <v>109</v>
      </c>
      <c r="AN728" s="1" t="s">
        <v>109</v>
      </c>
      <c r="AO728" s="1" t="s">
        <v>109</v>
      </c>
      <c r="AP728" s="1"/>
      <c r="AQ728" s="1">
        <v>5</v>
      </c>
      <c r="AR728" s="1"/>
      <c r="AS728" s="1" t="s">
        <v>6286</v>
      </c>
      <c r="AT728" s="1">
        <v>0</v>
      </c>
      <c r="AU728" s="1">
        <v>0</v>
      </c>
      <c r="AV728" s="1">
        <v>0</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1</v>
      </c>
      <c r="BR728" s="1">
        <v>0</v>
      </c>
      <c r="BS728" s="5" t="str">
        <f>HYPERLINK("http://www.d20pfsrd.com/magic/all-spells/d/deafening-song-bolt","Deafening Song Bolt")</f>
        <v>Deafening Song Bolt</v>
      </c>
      <c r="BT728" s="1">
        <v>744</v>
      </c>
      <c r="BU728" s="1" t="s">
        <v>109</v>
      </c>
      <c r="BV728" s="1"/>
      <c r="BW728" s="1"/>
      <c r="BX728" s="1"/>
      <c r="BY728" s="1"/>
      <c r="BZ728" s="1">
        <v>0</v>
      </c>
      <c r="CA728" s="1" t="s">
        <v>109</v>
      </c>
      <c r="CB728" s="1" t="s">
        <v>109</v>
      </c>
      <c r="CC728" s="1" t="s">
        <v>109</v>
      </c>
      <c r="CD728" s="1" t="s">
        <v>109</v>
      </c>
      <c r="CE728" s="1" t="s">
        <v>109</v>
      </c>
      <c r="CF728" s="1" t="s">
        <v>109</v>
      </c>
      <c r="CG728" s="1" t="s">
        <v>109</v>
      </c>
      <c r="CH728" s="1" t="s">
        <v>109</v>
      </c>
      <c r="CI728" s="1" t="s">
        <v>109</v>
      </c>
      <c r="CJ728" s="1" t="s">
        <v>109</v>
      </c>
      <c r="CK728" s="1"/>
      <c r="CL728" s="1">
        <v>0</v>
      </c>
      <c r="CM728" s="1">
        <v>0</v>
      </c>
      <c r="CN728" s="1">
        <v>0</v>
      </c>
    </row>
    <row r="729" spans="1:92" ht="14.25" customHeight="1" x14ac:dyDescent="0.15">
      <c r="A729" s="1" t="s">
        <v>6287</v>
      </c>
      <c r="B729" s="1" t="s">
        <v>242</v>
      </c>
      <c r="C729" s="1"/>
      <c r="D729" s="1" t="s">
        <v>57</v>
      </c>
      <c r="E729" s="1" t="s">
        <v>6288</v>
      </c>
      <c r="F729" s="1" t="s">
        <v>98</v>
      </c>
      <c r="G729" s="1" t="s">
        <v>141</v>
      </c>
      <c r="H729" s="1">
        <v>0</v>
      </c>
      <c r="I729" s="1" t="s">
        <v>161</v>
      </c>
      <c r="J729" s="1"/>
      <c r="K729" s="1"/>
      <c r="L729" s="1" t="s">
        <v>6289</v>
      </c>
      <c r="M729" s="1" t="s">
        <v>3042</v>
      </c>
      <c r="N729" s="1">
        <v>0</v>
      </c>
      <c r="O729" s="1">
        <v>0</v>
      </c>
      <c r="P729" s="1" t="s">
        <v>215</v>
      </c>
      <c r="Q729" s="1" t="s">
        <v>216</v>
      </c>
      <c r="R729" s="1" t="s">
        <v>6290</v>
      </c>
      <c r="S729" s="1" t="s">
        <v>6291</v>
      </c>
      <c r="T729" s="1" t="s">
        <v>5815</v>
      </c>
      <c r="U729" s="1" t="s">
        <v>6292</v>
      </c>
      <c r="V729" s="1">
        <v>1</v>
      </c>
      <c r="W729" s="1">
        <v>1</v>
      </c>
      <c r="X729" s="1">
        <v>0</v>
      </c>
      <c r="Y729" s="1">
        <v>0</v>
      </c>
      <c r="Z729" s="1">
        <v>0</v>
      </c>
      <c r="AA729" s="1" t="s">
        <v>109</v>
      </c>
      <c r="AB729" s="1" t="s">
        <v>109</v>
      </c>
      <c r="AC729" s="1" t="s">
        <v>109</v>
      </c>
      <c r="AD729" s="1" t="s">
        <v>109</v>
      </c>
      <c r="AE729" s="1" t="s">
        <v>109</v>
      </c>
      <c r="AF729" s="1" t="s">
        <v>109</v>
      </c>
      <c r="AG729" s="1" t="s">
        <v>109</v>
      </c>
      <c r="AH729" s="1" t="s">
        <v>109</v>
      </c>
      <c r="AI729" s="1" t="s">
        <v>109</v>
      </c>
      <c r="AJ729" s="1" t="s">
        <v>109</v>
      </c>
      <c r="AK729" s="1">
        <v>4</v>
      </c>
      <c r="AL729" s="1" t="s">
        <v>109</v>
      </c>
      <c r="AM729" s="1">
        <v>3</v>
      </c>
      <c r="AN729" s="1" t="s">
        <v>109</v>
      </c>
      <c r="AO729" s="1" t="s">
        <v>109</v>
      </c>
      <c r="AP729" s="1"/>
      <c r="AQ729" s="1" t="s">
        <v>109</v>
      </c>
      <c r="AR729" s="1"/>
      <c r="AS729" s="1" t="s">
        <v>6293</v>
      </c>
      <c r="AT729" s="1">
        <v>0</v>
      </c>
      <c r="AU729" s="1">
        <v>0</v>
      </c>
      <c r="AV729" s="1">
        <v>0</v>
      </c>
      <c r="AW729" s="1">
        <v>0</v>
      </c>
      <c r="AX729" s="1">
        <v>0</v>
      </c>
      <c r="AY729" s="1">
        <v>0</v>
      </c>
      <c r="AZ729" s="1">
        <v>0</v>
      </c>
      <c r="BA729" s="1">
        <v>0</v>
      </c>
      <c r="BB729" s="1">
        <v>0</v>
      </c>
      <c r="BC729" s="1">
        <v>0</v>
      </c>
      <c r="BD729" s="1">
        <v>0</v>
      </c>
      <c r="BE729" s="1">
        <v>1</v>
      </c>
      <c r="BF729" s="1">
        <v>0</v>
      </c>
      <c r="BG729" s="1">
        <v>0</v>
      </c>
      <c r="BH729" s="1">
        <v>0</v>
      </c>
      <c r="BI729" s="1">
        <v>0</v>
      </c>
      <c r="BJ729" s="1">
        <v>0</v>
      </c>
      <c r="BK729" s="1">
        <v>0</v>
      </c>
      <c r="BL729" s="1">
        <v>0</v>
      </c>
      <c r="BM729" s="1">
        <v>0</v>
      </c>
      <c r="BN729" s="1">
        <v>0</v>
      </c>
      <c r="BO729" s="1">
        <v>0</v>
      </c>
      <c r="BP729" s="1">
        <v>0</v>
      </c>
      <c r="BQ729" s="1">
        <v>0</v>
      </c>
      <c r="BR729" s="1">
        <v>0</v>
      </c>
      <c r="BS729" s="5" t="str">
        <f>HYPERLINK("http://www.d20pfsrd.com/magic/all-spells/d/defile-armor","Defile Armor")</f>
        <v>Defile Armor</v>
      </c>
      <c r="BT729" s="1">
        <v>745</v>
      </c>
      <c r="BU729" s="1" t="s">
        <v>109</v>
      </c>
      <c r="BV729" s="1"/>
      <c r="BW729" s="1"/>
      <c r="BX729" s="1" t="s">
        <v>6294</v>
      </c>
      <c r="BY729" s="1" t="s">
        <v>6295</v>
      </c>
      <c r="BZ729" s="1">
        <v>1</v>
      </c>
      <c r="CA729" s="1" t="s">
        <v>109</v>
      </c>
      <c r="CB729" s="1" t="s">
        <v>109</v>
      </c>
      <c r="CC729" s="1" t="s">
        <v>109</v>
      </c>
      <c r="CD729" s="1" t="s">
        <v>109</v>
      </c>
      <c r="CE729" s="1" t="s">
        <v>109</v>
      </c>
      <c r="CF729" s="1" t="s">
        <v>109</v>
      </c>
      <c r="CG729" s="1" t="s">
        <v>109</v>
      </c>
      <c r="CH729" s="1" t="s">
        <v>109</v>
      </c>
      <c r="CI729" s="1" t="s">
        <v>109</v>
      </c>
      <c r="CJ729" s="1" t="s">
        <v>109</v>
      </c>
      <c r="CK729" s="1"/>
      <c r="CL729" s="1">
        <v>0</v>
      </c>
      <c r="CM729" s="1">
        <v>0</v>
      </c>
      <c r="CN729" s="1">
        <v>0</v>
      </c>
    </row>
    <row r="730" spans="1:92" ht="14.25" customHeight="1" x14ac:dyDescent="0.15">
      <c r="A730" s="1" t="s">
        <v>6296</v>
      </c>
      <c r="B730" s="1" t="s">
        <v>242</v>
      </c>
      <c r="C730" s="1"/>
      <c r="D730" s="1" t="s">
        <v>60</v>
      </c>
      <c r="E730" s="1" t="s">
        <v>2156</v>
      </c>
      <c r="F730" s="1" t="s">
        <v>98</v>
      </c>
      <c r="G730" s="1" t="s">
        <v>6297</v>
      </c>
      <c r="H730" s="1">
        <v>0</v>
      </c>
      <c r="I730" s="1" t="s">
        <v>235</v>
      </c>
      <c r="J730" s="1"/>
      <c r="K730" s="1"/>
      <c r="L730" s="1" t="s">
        <v>236</v>
      </c>
      <c r="M730" s="1" t="s">
        <v>125</v>
      </c>
      <c r="N730" s="1">
        <v>0</v>
      </c>
      <c r="O730" s="1">
        <v>0</v>
      </c>
      <c r="P730" s="1"/>
      <c r="Q730" s="1"/>
      <c r="R730" s="1" t="s">
        <v>6298</v>
      </c>
      <c r="S730" s="1" t="s">
        <v>6299</v>
      </c>
      <c r="T730" s="1" t="s">
        <v>5815</v>
      </c>
      <c r="U730" s="1" t="s">
        <v>6300</v>
      </c>
      <c r="V730" s="1">
        <v>1</v>
      </c>
      <c r="W730" s="1">
        <v>1</v>
      </c>
      <c r="X730" s="1">
        <v>1</v>
      </c>
      <c r="Y730" s="1">
        <v>0</v>
      </c>
      <c r="Z730" s="1">
        <v>0</v>
      </c>
      <c r="AA730" s="1">
        <v>7</v>
      </c>
      <c r="AB730" s="1">
        <v>7</v>
      </c>
      <c r="AC730" s="1" t="s">
        <v>109</v>
      </c>
      <c r="AD730" s="1" t="s">
        <v>109</v>
      </c>
      <c r="AE730" s="1" t="s">
        <v>109</v>
      </c>
      <c r="AF730" s="1" t="s">
        <v>109</v>
      </c>
      <c r="AG730" s="1" t="s">
        <v>109</v>
      </c>
      <c r="AH730" s="1" t="s">
        <v>109</v>
      </c>
      <c r="AI730" s="1" t="s">
        <v>109</v>
      </c>
      <c r="AJ730" s="1" t="s">
        <v>109</v>
      </c>
      <c r="AK730" s="1" t="s">
        <v>109</v>
      </c>
      <c r="AL730" s="1" t="s">
        <v>109</v>
      </c>
      <c r="AM730" s="1" t="s">
        <v>109</v>
      </c>
      <c r="AN730" s="1" t="s">
        <v>109</v>
      </c>
      <c r="AO730" s="1" t="s">
        <v>109</v>
      </c>
      <c r="AP730" s="1"/>
      <c r="AQ730" s="1">
        <v>7</v>
      </c>
      <c r="AR730" s="1" t="s">
        <v>6301</v>
      </c>
      <c r="AS730" s="1" t="s">
        <v>6302</v>
      </c>
      <c r="AT730" s="1">
        <v>0</v>
      </c>
      <c r="AU730" s="1">
        <v>0</v>
      </c>
      <c r="AV730" s="1">
        <v>0</v>
      </c>
      <c r="AW730" s="1">
        <v>0</v>
      </c>
      <c r="AX730" s="1">
        <v>0</v>
      </c>
      <c r="AY730" s="1">
        <v>0</v>
      </c>
      <c r="AZ730" s="1">
        <v>0</v>
      </c>
      <c r="BA730" s="1">
        <v>0</v>
      </c>
      <c r="BB730" s="1">
        <v>0</v>
      </c>
      <c r="BC730" s="1">
        <v>0</v>
      </c>
      <c r="BD730" s="1">
        <v>0</v>
      </c>
      <c r="BE730" s="1">
        <v>0</v>
      </c>
      <c r="BF730" s="1">
        <v>0</v>
      </c>
      <c r="BG730" s="1">
        <v>0</v>
      </c>
      <c r="BH730" s="1">
        <v>1</v>
      </c>
      <c r="BI730" s="1">
        <v>0</v>
      </c>
      <c r="BJ730" s="1">
        <v>0</v>
      </c>
      <c r="BK730" s="1">
        <v>0</v>
      </c>
      <c r="BL730" s="1">
        <v>0</v>
      </c>
      <c r="BM730" s="1">
        <v>0</v>
      </c>
      <c r="BN730" s="1">
        <v>0</v>
      </c>
      <c r="BO730" s="1">
        <v>0</v>
      </c>
      <c r="BP730" s="1">
        <v>0</v>
      </c>
      <c r="BQ730" s="1">
        <v>0</v>
      </c>
      <c r="BR730" s="1">
        <v>0</v>
      </c>
      <c r="BS730" s="5" t="str">
        <f>HYPERLINK("http://www.d20pfsrd.com/magic/all-spells/d/deflection","Deflection")</f>
        <v>Deflection</v>
      </c>
      <c r="BT730" s="1">
        <v>746</v>
      </c>
      <c r="BU730" s="1" t="s">
        <v>109</v>
      </c>
      <c r="BV730" s="1"/>
      <c r="BW730" s="1"/>
      <c r="BX730" s="1"/>
      <c r="BY730" s="1"/>
      <c r="BZ730" s="1">
        <v>0</v>
      </c>
      <c r="CA730" s="1" t="s">
        <v>109</v>
      </c>
      <c r="CB730" s="1" t="s">
        <v>109</v>
      </c>
      <c r="CC730" s="1">
        <v>7</v>
      </c>
      <c r="CD730" s="1" t="s">
        <v>109</v>
      </c>
      <c r="CE730" s="1" t="s">
        <v>109</v>
      </c>
      <c r="CF730" s="1" t="s">
        <v>109</v>
      </c>
      <c r="CG730" s="1" t="s">
        <v>109</v>
      </c>
      <c r="CH730" s="1" t="s">
        <v>109</v>
      </c>
      <c r="CI730" s="1" t="s">
        <v>109</v>
      </c>
      <c r="CJ730" s="1" t="s">
        <v>109</v>
      </c>
      <c r="CK730" s="1"/>
      <c r="CL730" s="1">
        <v>0</v>
      </c>
      <c r="CM730" s="1">
        <v>0</v>
      </c>
      <c r="CN730" s="1">
        <v>0</v>
      </c>
    </row>
    <row r="731" spans="1:92" ht="14.25" customHeight="1" x14ac:dyDescent="0.15">
      <c r="A731" s="1" t="s">
        <v>6303</v>
      </c>
      <c r="B731" s="1" t="s">
        <v>189</v>
      </c>
      <c r="C731" s="1"/>
      <c r="D731" s="1"/>
      <c r="E731" s="1" t="s">
        <v>6304</v>
      </c>
      <c r="F731" s="1" t="s">
        <v>98</v>
      </c>
      <c r="G731" s="1" t="s">
        <v>2345</v>
      </c>
      <c r="H731" s="1">
        <v>0</v>
      </c>
      <c r="I731" s="1" t="s">
        <v>235</v>
      </c>
      <c r="J731" s="1"/>
      <c r="K731" s="1"/>
      <c r="L731" s="1" t="s">
        <v>236</v>
      </c>
      <c r="M731" s="1" t="s">
        <v>1075</v>
      </c>
      <c r="N731" s="1">
        <v>1</v>
      </c>
      <c r="O731" s="1">
        <v>0</v>
      </c>
      <c r="P731" s="1"/>
      <c r="Q731" s="1"/>
      <c r="R731" s="1" t="s">
        <v>6305</v>
      </c>
      <c r="S731" s="1" t="s">
        <v>6306</v>
      </c>
      <c r="T731" s="1" t="s">
        <v>5815</v>
      </c>
      <c r="U731" s="1" t="s">
        <v>6307</v>
      </c>
      <c r="V731" s="1">
        <v>0</v>
      </c>
      <c r="W731" s="1">
        <v>1</v>
      </c>
      <c r="X731" s="1">
        <v>0</v>
      </c>
      <c r="Y731" s="1">
        <v>0</v>
      </c>
      <c r="Z731" s="1">
        <v>0</v>
      </c>
      <c r="AA731" s="1" t="s">
        <v>109</v>
      </c>
      <c r="AB731" s="1" t="s">
        <v>109</v>
      </c>
      <c r="AC731" s="1" t="s">
        <v>109</v>
      </c>
      <c r="AD731" s="1" t="s">
        <v>109</v>
      </c>
      <c r="AE731" s="1" t="s">
        <v>109</v>
      </c>
      <c r="AF731" s="1" t="s">
        <v>109</v>
      </c>
      <c r="AG731" s="1" t="s">
        <v>109</v>
      </c>
      <c r="AH731" s="1">
        <v>5</v>
      </c>
      <c r="AI731" s="1" t="s">
        <v>109</v>
      </c>
      <c r="AJ731" s="1" t="s">
        <v>109</v>
      </c>
      <c r="AK731" s="1" t="s">
        <v>109</v>
      </c>
      <c r="AL731" s="1" t="s">
        <v>109</v>
      </c>
      <c r="AM731" s="1" t="s">
        <v>109</v>
      </c>
      <c r="AN731" s="1" t="s">
        <v>109</v>
      </c>
      <c r="AO731" s="1" t="s">
        <v>109</v>
      </c>
      <c r="AP731" s="1"/>
      <c r="AQ731" s="1">
        <v>5</v>
      </c>
      <c r="AR731" s="1"/>
      <c r="AS731" s="1" t="s">
        <v>6308</v>
      </c>
      <c r="AT731" s="1">
        <v>0</v>
      </c>
      <c r="AU731" s="1">
        <v>0</v>
      </c>
      <c r="AV731" s="1">
        <v>0</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5" t="str">
        <f>HYPERLINK("http://www.d20pfsrd.com/magic/all-spells/d/delayed-consumption","Delayed Consumption")</f>
        <v>Delayed Consumption</v>
      </c>
      <c r="BT731" s="1">
        <v>747</v>
      </c>
      <c r="BU731" s="1" t="s">
        <v>109</v>
      </c>
      <c r="BV731" s="1"/>
      <c r="BW731" s="1"/>
      <c r="BX731" s="1"/>
      <c r="BY731" s="1"/>
      <c r="BZ731" s="1">
        <v>0</v>
      </c>
      <c r="CA731" s="1" t="s">
        <v>109</v>
      </c>
      <c r="CB731" s="1" t="s">
        <v>109</v>
      </c>
      <c r="CC731" s="1" t="s">
        <v>109</v>
      </c>
      <c r="CD731" s="1" t="s">
        <v>109</v>
      </c>
      <c r="CE731" s="1" t="s">
        <v>109</v>
      </c>
      <c r="CF731" s="1" t="s">
        <v>109</v>
      </c>
      <c r="CG731" s="1" t="s">
        <v>109</v>
      </c>
      <c r="CH731" s="1" t="s">
        <v>109</v>
      </c>
      <c r="CI731" s="1" t="s">
        <v>109</v>
      </c>
      <c r="CJ731" s="1" t="s">
        <v>109</v>
      </c>
      <c r="CK731" s="1"/>
      <c r="CL731" s="1">
        <v>0</v>
      </c>
      <c r="CM731" s="1">
        <v>0</v>
      </c>
      <c r="CN731" s="1">
        <v>0</v>
      </c>
    </row>
    <row r="732" spans="1:92" ht="14.25" customHeight="1" x14ac:dyDescent="0.15">
      <c r="A732" s="1" t="s">
        <v>6309</v>
      </c>
      <c r="B732" s="1" t="s">
        <v>156</v>
      </c>
      <c r="C732" s="1" t="s">
        <v>157</v>
      </c>
      <c r="D732" s="1" t="s">
        <v>954</v>
      </c>
      <c r="E732" s="1" t="s">
        <v>6310</v>
      </c>
      <c r="F732" s="1" t="s">
        <v>98</v>
      </c>
      <c r="G732" s="1" t="s">
        <v>333</v>
      </c>
      <c r="H732" s="1">
        <v>0</v>
      </c>
      <c r="I732" s="1" t="s">
        <v>142</v>
      </c>
      <c r="J732" s="1" t="s">
        <v>5885</v>
      </c>
      <c r="K732" s="1"/>
      <c r="L732" s="1"/>
      <c r="M732" s="1" t="s">
        <v>289</v>
      </c>
      <c r="N732" s="1">
        <v>0</v>
      </c>
      <c r="O732" s="1">
        <v>0</v>
      </c>
      <c r="P732" s="1" t="s">
        <v>301</v>
      </c>
      <c r="Q732" s="1" t="s">
        <v>268</v>
      </c>
      <c r="R732" s="1" t="s">
        <v>6311</v>
      </c>
      <c r="S732" s="1" t="s">
        <v>6312</v>
      </c>
      <c r="T732" s="1" t="s">
        <v>5815</v>
      </c>
      <c r="U732" s="1" t="s">
        <v>6313</v>
      </c>
      <c r="V732" s="1">
        <v>1</v>
      </c>
      <c r="W732" s="1">
        <v>0</v>
      </c>
      <c r="X732" s="1">
        <v>0</v>
      </c>
      <c r="Y732" s="1">
        <v>0</v>
      </c>
      <c r="Z732" s="1">
        <v>0</v>
      </c>
      <c r="AA732" s="1" t="s">
        <v>109</v>
      </c>
      <c r="AB732" s="1" t="s">
        <v>109</v>
      </c>
      <c r="AC732" s="1" t="s">
        <v>109</v>
      </c>
      <c r="AD732" s="1" t="s">
        <v>109</v>
      </c>
      <c r="AE732" s="1" t="s">
        <v>109</v>
      </c>
      <c r="AF732" s="1">
        <v>4</v>
      </c>
      <c r="AG732" s="1" t="s">
        <v>109</v>
      </c>
      <c r="AH732" s="1" t="s">
        <v>109</v>
      </c>
      <c r="AI732" s="1" t="s">
        <v>109</v>
      </c>
      <c r="AJ732" s="1" t="s">
        <v>109</v>
      </c>
      <c r="AK732" s="1">
        <v>4</v>
      </c>
      <c r="AL732" s="1" t="s">
        <v>109</v>
      </c>
      <c r="AM732" s="1" t="s">
        <v>109</v>
      </c>
      <c r="AN732" s="1" t="s">
        <v>109</v>
      </c>
      <c r="AO732" s="1" t="s">
        <v>109</v>
      </c>
      <c r="AP732" s="1"/>
      <c r="AQ732" s="1">
        <v>4</v>
      </c>
      <c r="AR732" s="1"/>
      <c r="AS732" s="1" t="s">
        <v>6314</v>
      </c>
      <c r="AT732" s="1">
        <v>0</v>
      </c>
      <c r="AU732" s="1">
        <v>0</v>
      </c>
      <c r="AV732" s="1">
        <v>0</v>
      </c>
      <c r="AW732" s="1">
        <v>0</v>
      </c>
      <c r="AX732" s="1">
        <v>0</v>
      </c>
      <c r="AY732" s="1">
        <v>0</v>
      </c>
      <c r="AZ732" s="1">
        <v>0</v>
      </c>
      <c r="BA732" s="1">
        <v>0</v>
      </c>
      <c r="BB732" s="1">
        <v>0</v>
      </c>
      <c r="BC732" s="1">
        <v>0</v>
      </c>
      <c r="BD732" s="1">
        <v>0</v>
      </c>
      <c r="BE732" s="1">
        <v>0</v>
      </c>
      <c r="BF732" s="1">
        <v>0</v>
      </c>
      <c r="BG732" s="1">
        <v>0</v>
      </c>
      <c r="BH732" s="1">
        <v>0</v>
      </c>
      <c r="BI732" s="1">
        <v>0</v>
      </c>
      <c r="BJ732" s="1">
        <v>1</v>
      </c>
      <c r="BK732" s="1">
        <v>0</v>
      </c>
      <c r="BL732" s="1">
        <v>0</v>
      </c>
      <c r="BM732" s="1">
        <v>1</v>
      </c>
      <c r="BN732" s="1">
        <v>0</v>
      </c>
      <c r="BO732" s="1">
        <v>0</v>
      </c>
      <c r="BP732" s="1">
        <v>0</v>
      </c>
      <c r="BQ732" s="1">
        <v>0</v>
      </c>
      <c r="BR732" s="1">
        <v>0</v>
      </c>
      <c r="BS732" s="5" t="str">
        <f>HYPERLINK("http://www.d20pfsrd.com/magic/all-spells/d/denounce","Denounce")</f>
        <v>Denounce</v>
      </c>
      <c r="BT732" s="1">
        <v>748</v>
      </c>
      <c r="BU732" s="1" t="s">
        <v>109</v>
      </c>
      <c r="BV732" s="1"/>
      <c r="BW732" s="1"/>
      <c r="BX732" s="1"/>
      <c r="BY732" s="1"/>
      <c r="BZ732" s="1">
        <v>0</v>
      </c>
      <c r="CA732" s="1" t="s">
        <v>109</v>
      </c>
      <c r="CB732" s="1" t="s">
        <v>109</v>
      </c>
      <c r="CC732" s="1">
        <v>5</v>
      </c>
      <c r="CD732" s="1" t="s">
        <v>109</v>
      </c>
      <c r="CE732" s="1">
        <v>4</v>
      </c>
      <c r="CF732" s="1" t="s">
        <v>109</v>
      </c>
      <c r="CG732" s="1" t="s">
        <v>109</v>
      </c>
      <c r="CH732" s="1" t="s">
        <v>109</v>
      </c>
      <c r="CI732" s="1" t="s">
        <v>109</v>
      </c>
      <c r="CJ732" s="1" t="s">
        <v>109</v>
      </c>
      <c r="CK732" s="1"/>
      <c r="CL732" s="1">
        <v>0</v>
      </c>
      <c r="CM732" s="1">
        <v>0</v>
      </c>
      <c r="CN732" s="1">
        <v>0</v>
      </c>
    </row>
    <row r="733" spans="1:92" ht="14.25" customHeight="1" x14ac:dyDescent="0.15">
      <c r="A733" s="1" t="s">
        <v>6315</v>
      </c>
      <c r="B733" s="1" t="s">
        <v>254</v>
      </c>
      <c r="C733" s="1"/>
      <c r="D733" s="1"/>
      <c r="E733" s="1" t="s">
        <v>6316</v>
      </c>
      <c r="F733" s="1" t="s">
        <v>98</v>
      </c>
      <c r="G733" s="1" t="s">
        <v>141</v>
      </c>
      <c r="H733" s="1">
        <v>0</v>
      </c>
      <c r="I733" s="1" t="s">
        <v>100</v>
      </c>
      <c r="J733" s="1" t="s">
        <v>1346</v>
      </c>
      <c r="K733" s="1"/>
      <c r="L733" s="1"/>
      <c r="M733" s="1" t="s">
        <v>6317</v>
      </c>
      <c r="N733" s="1">
        <v>1</v>
      </c>
      <c r="O733" s="1">
        <v>0</v>
      </c>
      <c r="P733" s="1" t="s">
        <v>103</v>
      </c>
      <c r="Q733" s="1" t="s">
        <v>104</v>
      </c>
      <c r="R733" s="1" t="s">
        <v>6318</v>
      </c>
      <c r="S733" s="1" t="s">
        <v>6319</v>
      </c>
      <c r="T733" s="1" t="s">
        <v>5815</v>
      </c>
      <c r="U733" s="1" t="s">
        <v>6320</v>
      </c>
      <c r="V733" s="1">
        <v>1</v>
      </c>
      <c r="W733" s="1">
        <v>1</v>
      </c>
      <c r="X733" s="1">
        <v>0</v>
      </c>
      <c r="Y733" s="1">
        <v>0</v>
      </c>
      <c r="Z733" s="1">
        <v>0</v>
      </c>
      <c r="AA733" s="1" t="s">
        <v>109</v>
      </c>
      <c r="AB733" s="1" t="s">
        <v>109</v>
      </c>
      <c r="AC733" s="1" t="s">
        <v>109</v>
      </c>
      <c r="AD733" s="1">
        <v>1</v>
      </c>
      <c r="AE733" s="1">
        <v>1</v>
      </c>
      <c r="AF733" s="1" t="s">
        <v>109</v>
      </c>
      <c r="AG733" s="1" t="s">
        <v>109</v>
      </c>
      <c r="AH733" s="1" t="s">
        <v>109</v>
      </c>
      <c r="AI733" s="1" t="s">
        <v>109</v>
      </c>
      <c r="AJ733" s="1" t="s">
        <v>109</v>
      </c>
      <c r="AK733" s="1" t="s">
        <v>109</v>
      </c>
      <c r="AL733" s="1" t="s">
        <v>109</v>
      </c>
      <c r="AM733" s="1" t="s">
        <v>109</v>
      </c>
      <c r="AN733" s="1" t="s">
        <v>109</v>
      </c>
      <c r="AO733" s="1" t="s">
        <v>109</v>
      </c>
      <c r="AP733" s="1"/>
      <c r="AQ733" s="1">
        <v>1</v>
      </c>
      <c r="AR733" s="1"/>
      <c r="AS733" s="1" t="s">
        <v>6321</v>
      </c>
      <c r="AT733" s="1">
        <v>0</v>
      </c>
      <c r="AU733" s="1">
        <v>0</v>
      </c>
      <c r="AV733" s="1">
        <v>0</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5" t="str">
        <f>HYPERLINK("http://www.d20pfsrd.com/magic/all-spells/d/detect-aberration","Detect Aberration")</f>
        <v>Detect Aberration</v>
      </c>
      <c r="BT733" s="1">
        <v>749</v>
      </c>
      <c r="BU733" s="1" t="s">
        <v>109</v>
      </c>
      <c r="BV733" s="1"/>
      <c r="BW733" s="1"/>
      <c r="BX733" s="1"/>
      <c r="BY733" s="1"/>
      <c r="BZ733" s="1">
        <v>0</v>
      </c>
      <c r="CA733" s="1" t="s">
        <v>109</v>
      </c>
      <c r="CB733" s="1" t="s">
        <v>109</v>
      </c>
      <c r="CC733" s="1">
        <v>1</v>
      </c>
      <c r="CD733" s="1" t="s">
        <v>109</v>
      </c>
      <c r="CE733" s="1" t="s">
        <v>109</v>
      </c>
      <c r="CF733" s="1" t="s">
        <v>109</v>
      </c>
      <c r="CG733" s="1" t="s">
        <v>109</v>
      </c>
      <c r="CH733" s="1" t="s">
        <v>109</v>
      </c>
      <c r="CI733" s="1" t="s">
        <v>109</v>
      </c>
      <c r="CJ733" s="1">
        <v>1</v>
      </c>
      <c r="CK733" s="1"/>
      <c r="CL733" s="1">
        <v>0</v>
      </c>
      <c r="CM733" s="1">
        <v>0</v>
      </c>
      <c r="CN733" s="1">
        <v>0</v>
      </c>
    </row>
    <row r="734" spans="1:92" ht="14.25" customHeight="1" x14ac:dyDescent="0.15">
      <c r="A734" s="1" t="s">
        <v>6322</v>
      </c>
      <c r="B734" s="1" t="s">
        <v>584</v>
      </c>
      <c r="C734" s="1"/>
      <c r="D734" s="1" t="s">
        <v>6323</v>
      </c>
      <c r="E734" s="1" t="s">
        <v>6324</v>
      </c>
      <c r="F734" s="1" t="s">
        <v>98</v>
      </c>
      <c r="G734" s="1" t="s">
        <v>6325</v>
      </c>
      <c r="H734" s="1">
        <v>1</v>
      </c>
      <c r="I734" s="1" t="s">
        <v>1192</v>
      </c>
      <c r="J734" s="1" t="s">
        <v>6326</v>
      </c>
      <c r="K734" s="1"/>
      <c r="L734" s="1"/>
      <c r="M734" s="1" t="s">
        <v>6327</v>
      </c>
      <c r="N734" s="1">
        <v>0</v>
      </c>
      <c r="O734" s="1">
        <v>0</v>
      </c>
      <c r="P734" s="1" t="s">
        <v>727</v>
      </c>
      <c r="Q734" s="1" t="s">
        <v>268</v>
      </c>
      <c r="R734" s="1" t="s">
        <v>6328</v>
      </c>
      <c r="S734" s="1" t="s">
        <v>6329</v>
      </c>
      <c r="T734" s="1" t="s">
        <v>5815</v>
      </c>
      <c r="U734" s="1" t="s">
        <v>6330</v>
      </c>
      <c r="V734" s="1">
        <v>1</v>
      </c>
      <c r="W734" s="1">
        <v>1</v>
      </c>
      <c r="X734" s="1">
        <v>1</v>
      </c>
      <c r="Y734" s="1">
        <v>0</v>
      </c>
      <c r="Z734" s="1">
        <v>0</v>
      </c>
      <c r="AA734" s="1">
        <v>4</v>
      </c>
      <c r="AB734" s="1">
        <v>4</v>
      </c>
      <c r="AC734" s="1" t="s">
        <v>109</v>
      </c>
      <c r="AD734" s="1" t="s">
        <v>109</v>
      </c>
      <c r="AE734" s="1" t="s">
        <v>109</v>
      </c>
      <c r="AF734" s="1" t="s">
        <v>109</v>
      </c>
      <c r="AG734" s="1" t="s">
        <v>109</v>
      </c>
      <c r="AH734" s="1">
        <v>4</v>
      </c>
      <c r="AI734" s="1" t="s">
        <v>109</v>
      </c>
      <c r="AJ734" s="1" t="s">
        <v>109</v>
      </c>
      <c r="AK734" s="1" t="s">
        <v>109</v>
      </c>
      <c r="AL734" s="1" t="s">
        <v>109</v>
      </c>
      <c r="AM734" s="1" t="s">
        <v>109</v>
      </c>
      <c r="AN734" s="1">
        <v>4</v>
      </c>
      <c r="AO734" s="1" t="s">
        <v>109</v>
      </c>
      <c r="AP734" s="1"/>
      <c r="AQ734" s="1">
        <v>4</v>
      </c>
      <c r="AR734" s="1"/>
      <c r="AS734" s="1" t="s">
        <v>6331</v>
      </c>
      <c r="AT734" s="1">
        <v>1</v>
      </c>
      <c r="AU734" s="1">
        <v>0</v>
      </c>
      <c r="AV734" s="1">
        <v>0</v>
      </c>
      <c r="AW734" s="1">
        <v>1</v>
      </c>
      <c r="AX734" s="1">
        <v>0</v>
      </c>
      <c r="AY734" s="1">
        <v>0</v>
      </c>
      <c r="AZ734" s="1">
        <v>0</v>
      </c>
      <c r="BA734" s="1">
        <v>0</v>
      </c>
      <c r="BB734" s="1">
        <v>0</v>
      </c>
      <c r="BC734" s="1">
        <v>1</v>
      </c>
      <c r="BD734" s="1">
        <v>0</v>
      </c>
      <c r="BE734" s="1">
        <v>0</v>
      </c>
      <c r="BF734" s="1">
        <v>0</v>
      </c>
      <c r="BG734" s="1">
        <v>1</v>
      </c>
      <c r="BH734" s="1">
        <v>0</v>
      </c>
      <c r="BI734" s="1">
        <v>0</v>
      </c>
      <c r="BJ734" s="1">
        <v>0</v>
      </c>
      <c r="BK734" s="1">
        <v>0</v>
      </c>
      <c r="BL734" s="1">
        <v>0</v>
      </c>
      <c r="BM734" s="1">
        <v>0</v>
      </c>
      <c r="BN734" s="1">
        <v>0</v>
      </c>
      <c r="BO734" s="1">
        <v>0</v>
      </c>
      <c r="BP734" s="1">
        <v>0</v>
      </c>
      <c r="BQ734" s="1">
        <v>0</v>
      </c>
      <c r="BR734" s="1">
        <v>0</v>
      </c>
      <c r="BS734" s="5" t="str">
        <f>HYPERLINK("http://www.d20pfsrd.com/magic/all-spells/d/detonate","Detonate")</f>
        <v>Detonate</v>
      </c>
      <c r="BT734" s="1">
        <v>750</v>
      </c>
      <c r="BU734" s="1">
        <v>50</v>
      </c>
      <c r="BV734" s="1"/>
      <c r="BW734" s="1"/>
      <c r="BX734" s="1"/>
      <c r="BY734" s="1"/>
      <c r="BZ734" s="1">
        <v>0</v>
      </c>
      <c r="CA734" s="1">
        <v>4</v>
      </c>
      <c r="CB734" s="1" t="s">
        <v>109</v>
      </c>
      <c r="CC734" s="1" t="s">
        <v>109</v>
      </c>
      <c r="CD734" s="1" t="s">
        <v>109</v>
      </c>
      <c r="CE734" s="1" t="s">
        <v>109</v>
      </c>
      <c r="CF734" s="1" t="s">
        <v>109</v>
      </c>
      <c r="CG734" s="1" t="s">
        <v>109</v>
      </c>
      <c r="CH734" s="1" t="s">
        <v>109</v>
      </c>
      <c r="CI734" s="1" t="s">
        <v>109</v>
      </c>
      <c r="CJ734" s="1" t="s">
        <v>109</v>
      </c>
      <c r="CK734" s="1"/>
      <c r="CL734" s="1">
        <v>0</v>
      </c>
      <c r="CM734" s="1">
        <v>0</v>
      </c>
      <c r="CN734" s="1">
        <v>0</v>
      </c>
    </row>
    <row r="735" spans="1:92" ht="14.25" customHeight="1" x14ac:dyDescent="0.15">
      <c r="A735" s="1" t="s">
        <v>6332</v>
      </c>
      <c r="B735" s="1" t="s">
        <v>189</v>
      </c>
      <c r="C735" s="1"/>
      <c r="D735" s="1"/>
      <c r="E735" s="1" t="s">
        <v>6333</v>
      </c>
      <c r="F735" s="1" t="s">
        <v>98</v>
      </c>
      <c r="G735" s="1" t="s">
        <v>6334</v>
      </c>
      <c r="H735" s="1">
        <v>0</v>
      </c>
      <c r="I735" s="1" t="s">
        <v>142</v>
      </c>
      <c r="J735" s="1"/>
      <c r="K735" s="1"/>
      <c r="L735" s="1" t="s">
        <v>6335</v>
      </c>
      <c r="M735" s="1" t="s">
        <v>125</v>
      </c>
      <c r="N735" s="1">
        <v>0</v>
      </c>
      <c r="O735" s="1">
        <v>0</v>
      </c>
      <c r="P735" s="1" t="s">
        <v>301</v>
      </c>
      <c r="Q735" s="1" t="s">
        <v>268</v>
      </c>
      <c r="R735" s="1" t="s">
        <v>6336</v>
      </c>
      <c r="S735" s="1" t="s">
        <v>6337</v>
      </c>
      <c r="T735" s="1" t="s">
        <v>5815</v>
      </c>
      <c r="U735" s="1" t="s">
        <v>6338</v>
      </c>
      <c r="V735" s="1">
        <v>1</v>
      </c>
      <c r="W735" s="1">
        <v>1</v>
      </c>
      <c r="X735" s="1">
        <v>1</v>
      </c>
      <c r="Y735" s="1">
        <v>0</v>
      </c>
      <c r="Z735" s="1">
        <v>0</v>
      </c>
      <c r="AA735" s="1">
        <v>3</v>
      </c>
      <c r="AB735" s="1">
        <v>3</v>
      </c>
      <c r="AC735" s="1" t="s">
        <v>109</v>
      </c>
      <c r="AD735" s="1" t="s">
        <v>109</v>
      </c>
      <c r="AE735" s="1" t="s">
        <v>109</v>
      </c>
      <c r="AF735" s="1" t="s">
        <v>109</v>
      </c>
      <c r="AG735" s="1" t="s">
        <v>109</v>
      </c>
      <c r="AH735" s="1" t="s">
        <v>109</v>
      </c>
      <c r="AI735" s="1">
        <v>3</v>
      </c>
      <c r="AJ735" s="1" t="s">
        <v>109</v>
      </c>
      <c r="AK735" s="1" t="s">
        <v>109</v>
      </c>
      <c r="AL735" s="1" t="s">
        <v>109</v>
      </c>
      <c r="AM735" s="1" t="s">
        <v>109</v>
      </c>
      <c r="AN735" s="1" t="s">
        <v>109</v>
      </c>
      <c r="AO735" s="1" t="s">
        <v>109</v>
      </c>
      <c r="AP735" s="1"/>
      <c r="AQ735" s="1">
        <v>3</v>
      </c>
      <c r="AR735" s="1"/>
      <c r="AS735" s="1" t="s">
        <v>6339</v>
      </c>
      <c r="AT735" s="1">
        <v>0</v>
      </c>
      <c r="AU735" s="1">
        <v>0</v>
      </c>
      <c r="AV735" s="1">
        <v>0</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5" t="str">
        <f>HYPERLINK("http://www.d20pfsrd.com/magic/all-spells/d/devolution","Devolution")</f>
        <v>Devolution</v>
      </c>
      <c r="BT735" s="1">
        <v>751</v>
      </c>
      <c r="BU735" s="1" t="s">
        <v>109</v>
      </c>
      <c r="BV735" s="1"/>
      <c r="BW735" s="1"/>
      <c r="BX735" s="1" t="s">
        <v>6340</v>
      </c>
      <c r="BY735" s="1"/>
      <c r="BZ735" s="1">
        <v>1</v>
      </c>
      <c r="CA735" s="1" t="s">
        <v>109</v>
      </c>
      <c r="CB735" s="1" t="s">
        <v>109</v>
      </c>
      <c r="CC735" s="1">
        <v>3</v>
      </c>
      <c r="CD735" s="1" t="s">
        <v>109</v>
      </c>
      <c r="CE735" s="1" t="s">
        <v>109</v>
      </c>
      <c r="CF735" s="1" t="s">
        <v>109</v>
      </c>
      <c r="CG735" s="1" t="s">
        <v>109</v>
      </c>
      <c r="CH735" s="1" t="s">
        <v>109</v>
      </c>
      <c r="CI735" s="1" t="s">
        <v>109</v>
      </c>
      <c r="CJ735" s="1" t="s">
        <v>109</v>
      </c>
      <c r="CK735" s="1"/>
      <c r="CL735" s="1">
        <v>0</v>
      </c>
      <c r="CM735" s="1">
        <v>0</v>
      </c>
      <c r="CN735" s="1">
        <v>0</v>
      </c>
    </row>
    <row r="736" spans="1:92" ht="14.25" customHeight="1" x14ac:dyDescent="0.15">
      <c r="A736" s="1" t="s">
        <v>6341</v>
      </c>
      <c r="B736" s="1" t="s">
        <v>584</v>
      </c>
      <c r="C736" s="1"/>
      <c r="D736" s="1" t="s">
        <v>69</v>
      </c>
      <c r="E736" s="1" t="s">
        <v>6342</v>
      </c>
      <c r="F736" s="1" t="s">
        <v>98</v>
      </c>
      <c r="G736" s="1" t="s">
        <v>141</v>
      </c>
      <c r="H736" s="1">
        <v>0</v>
      </c>
      <c r="I736" s="1" t="s">
        <v>6343</v>
      </c>
      <c r="J736" s="1" t="s">
        <v>211</v>
      </c>
      <c r="K736" s="1"/>
      <c r="L736" s="1"/>
      <c r="M736" s="1" t="s">
        <v>144</v>
      </c>
      <c r="N736" s="1">
        <v>0</v>
      </c>
      <c r="O736" s="1">
        <v>0</v>
      </c>
      <c r="P736" s="1" t="s">
        <v>103</v>
      </c>
      <c r="Q736" s="1" t="s">
        <v>268</v>
      </c>
      <c r="R736" s="1" t="s">
        <v>6344</v>
      </c>
      <c r="S736" s="1" t="s">
        <v>6345</v>
      </c>
      <c r="T736" s="1" t="s">
        <v>5815</v>
      </c>
      <c r="U736" s="1" t="s">
        <v>6346</v>
      </c>
      <c r="V736" s="1">
        <v>1</v>
      </c>
      <c r="W736" s="1">
        <v>1</v>
      </c>
      <c r="X736" s="1">
        <v>0</v>
      </c>
      <c r="Y736" s="1">
        <v>0</v>
      </c>
      <c r="Z736" s="1">
        <v>0</v>
      </c>
      <c r="AA736" s="1" t="s">
        <v>109</v>
      </c>
      <c r="AB736" s="1" t="s">
        <v>109</v>
      </c>
      <c r="AC736" s="1" t="s">
        <v>109</v>
      </c>
      <c r="AD736" s="1" t="s">
        <v>109</v>
      </c>
      <c r="AE736" s="1" t="s">
        <v>109</v>
      </c>
      <c r="AF736" s="1">
        <v>4</v>
      </c>
      <c r="AG736" s="1" t="s">
        <v>109</v>
      </c>
      <c r="AH736" s="1" t="s">
        <v>109</v>
      </c>
      <c r="AI736" s="1" t="s">
        <v>109</v>
      </c>
      <c r="AJ736" s="1" t="s">
        <v>109</v>
      </c>
      <c r="AK736" s="1" t="s">
        <v>109</v>
      </c>
      <c r="AL736" s="1" t="s">
        <v>109</v>
      </c>
      <c r="AM736" s="1" t="s">
        <v>109</v>
      </c>
      <c r="AN736" s="1" t="s">
        <v>109</v>
      </c>
      <c r="AO736" s="1" t="s">
        <v>109</v>
      </c>
      <c r="AP736" s="1"/>
      <c r="AQ736" s="1">
        <v>4</v>
      </c>
      <c r="AR736" s="1"/>
      <c r="AS736" s="1" t="s">
        <v>6347</v>
      </c>
      <c r="AT736" s="1">
        <v>0</v>
      </c>
      <c r="AU736" s="1">
        <v>0</v>
      </c>
      <c r="AV736" s="1">
        <v>0</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1</v>
      </c>
      <c r="BR736" s="1">
        <v>0</v>
      </c>
      <c r="BS736" s="5" t="str">
        <f>HYPERLINK("http://www.d20pfsrd.com/magic/all-spells/d/discordant-blast","Discordant Blast")</f>
        <v>Discordant Blast</v>
      </c>
      <c r="BT736" s="1">
        <v>752</v>
      </c>
      <c r="BU736" s="1" t="s">
        <v>109</v>
      </c>
      <c r="BV736" s="1"/>
      <c r="BW736" s="1"/>
      <c r="BX736" s="1" t="s">
        <v>6348</v>
      </c>
      <c r="BY736" s="1"/>
      <c r="BZ736" s="1">
        <v>1</v>
      </c>
      <c r="CA736" s="1" t="s">
        <v>109</v>
      </c>
      <c r="CB736" s="1" t="s">
        <v>109</v>
      </c>
      <c r="CC736" s="1" t="s">
        <v>109</v>
      </c>
      <c r="CD736" s="1" t="s">
        <v>109</v>
      </c>
      <c r="CE736" s="1" t="s">
        <v>109</v>
      </c>
      <c r="CF736" s="1" t="s">
        <v>109</v>
      </c>
      <c r="CG736" s="1" t="s">
        <v>109</v>
      </c>
      <c r="CH736" s="1" t="s">
        <v>109</v>
      </c>
      <c r="CI736" s="1" t="s">
        <v>109</v>
      </c>
      <c r="CJ736" s="1" t="s">
        <v>109</v>
      </c>
      <c r="CK736" s="1"/>
      <c r="CL736" s="1">
        <v>0</v>
      </c>
      <c r="CM736" s="1">
        <v>0</v>
      </c>
      <c r="CN736" s="1">
        <v>0</v>
      </c>
    </row>
    <row r="737" spans="1:92" ht="14.25" customHeight="1" x14ac:dyDescent="0.15">
      <c r="A737" s="1" t="s">
        <v>6349</v>
      </c>
      <c r="B737" s="1" t="s">
        <v>308</v>
      </c>
      <c r="C737" s="1"/>
      <c r="D737" s="1"/>
      <c r="E737" s="1" t="s">
        <v>2519</v>
      </c>
      <c r="F737" s="1" t="s">
        <v>98</v>
      </c>
      <c r="G737" s="1" t="s">
        <v>141</v>
      </c>
      <c r="H737" s="1">
        <v>0</v>
      </c>
      <c r="I737" s="1" t="s">
        <v>161</v>
      </c>
      <c r="J737" s="1"/>
      <c r="K737" s="1"/>
      <c r="L737" s="1" t="s">
        <v>162</v>
      </c>
      <c r="M737" s="1" t="s">
        <v>125</v>
      </c>
      <c r="N737" s="1">
        <v>0</v>
      </c>
      <c r="O737" s="1">
        <v>0</v>
      </c>
      <c r="P737" s="1" t="s">
        <v>1382</v>
      </c>
      <c r="Q737" s="1" t="s">
        <v>167</v>
      </c>
      <c r="R737" s="1" t="s">
        <v>6350</v>
      </c>
      <c r="S737" s="1" t="s">
        <v>6351</v>
      </c>
      <c r="T737" s="1" t="s">
        <v>5815</v>
      </c>
      <c r="U737" s="1" t="s">
        <v>6352</v>
      </c>
      <c r="V737" s="1">
        <v>1</v>
      </c>
      <c r="W737" s="1">
        <v>1</v>
      </c>
      <c r="X737" s="1">
        <v>0</v>
      </c>
      <c r="Y737" s="1">
        <v>0</v>
      </c>
      <c r="Z737" s="1">
        <v>0</v>
      </c>
      <c r="AA737" s="1" t="s">
        <v>109</v>
      </c>
      <c r="AB737" s="1" t="s">
        <v>109</v>
      </c>
      <c r="AC737" s="1" t="s">
        <v>109</v>
      </c>
      <c r="AD737" s="1" t="s">
        <v>109</v>
      </c>
      <c r="AE737" s="1" t="s">
        <v>109</v>
      </c>
      <c r="AF737" s="1" t="s">
        <v>109</v>
      </c>
      <c r="AG737" s="1">
        <v>3</v>
      </c>
      <c r="AH737" s="1" t="s">
        <v>109</v>
      </c>
      <c r="AI737" s="1" t="s">
        <v>109</v>
      </c>
      <c r="AJ737" s="1" t="s">
        <v>109</v>
      </c>
      <c r="AK737" s="1" t="s">
        <v>109</v>
      </c>
      <c r="AL737" s="1" t="s">
        <v>109</v>
      </c>
      <c r="AM737" s="1" t="s">
        <v>109</v>
      </c>
      <c r="AN737" s="1" t="s">
        <v>109</v>
      </c>
      <c r="AO737" s="1" t="s">
        <v>109</v>
      </c>
      <c r="AP737" s="1"/>
      <c r="AQ737" s="1">
        <v>3</v>
      </c>
      <c r="AR737" s="1"/>
      <c r="AS737" s="1" t="s">
        <v>6353</v>
      </c>
      <c r="AT737" s="1">
        <v>0</v>
      </c>
      <c r="AU737" s="1">
        <v>0</v>
      </c>
      <c r="AV737" s="1">
        <v>0</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5" t="str">
        <f>HYPERLINK("http://www.d20pfsrd.com/magic/all-spells/d/divine-transfer","Divine Transfer")</f>
        <v>Divine Transfer</v>
      </c>
      <c r="BT737" s="1">
        <v>753</v>
      </c>
      <c r="BU737" s="1" t="s">
        <v>109</v>
      </c>
      <c r="BV737" s="1"/>
      <c r="BW737" s="1"/>
      <c r="BX737" s="1"/>
      <c r="BY737" s="1"/>
      <c r="BZ737" s="1">
        <v>0</v>
      </c>
      <c r="CA737" s="1" t="s">
        <v>109</v>
      </c>
      <c r="CB737" s="1" t="s">
        <v>109</v>
      </c>
      <c r="CC737" s="1" t="s">
        <v>109</v>
      </c>
      <c r="CD737" s="1" t="s">
        <v>109</v>
      </c>
      <c r="CE737" s="1" t="s">
        <v>109</v>
      </c>
      <c r="CF737" s="1" t="s">
        <v>109</v>
      </c>
      <c r="CG737" s="1" t="s">
        <v>109</v>
      </c>
      <c r="CH737" s="1" t="s">
        <v>109</v>
      </c>
      <c r="CI737" s="1" t="s">
        <v>109</v>
      </c>
      <c r="CJ737" s="1" t="s">
        <v>109</v>
      </c>
      <c r="CK737" s="1"/>
      <c r="CL737" s="1">
        <v>0</v>
      </c>
      <c r="CM737" s="1">
        <v>0</v>
      </c>
      <c r="CN737" s="1">
        <v>0</v>
      </c>
    </row>
    <row r="738" spans="1:92" ht="14.25" customHeight="1" x14ac:dyDescent="0.15">
      <c r="A738" s="1" t="s">
        <v>6354</v>
      </c>
      <c r="B738" s="1" t="s">
        <v>189</v>
      </c>
      <c r="C738" s="1"/>
      <c r="D738" s="1" t="s">
        <v>6215</v>
      </c>
      <c r="E738" s="1" t="s">
        <v>6355</v>
      </c>
      <c r="F738" s="1" t="s">
        <v>98</v>
      </c>
      <c r="G738" s="1" t="s">
        <v>141</v>
      </c>
      <c r="H738" s="1">
        <v>0</v>
      </c>
      <c r="I738" s="1" t="s">
        <v>235</v>
      </c>
      <c r="J738" s="1"/>
      <c r="K738" s="1"/>
      <c r="L738" s="1" t="s">
        <v>236</v>
      </c>
      <c r="M738" s="1" t="s">
        <v>574</v>
      </c>
      <c r="N738" s="1">
        <v>1</v>
      </c>
      <c r="O738" s="1">
        <v>0</v>
      </c>
      <c r="P738" s="1"/>
      <c r="Q738" s="1"/>
      <c r="R738" s="1" t="s">
        <v>6356</v>
      </c>
      <c r="S738" s="1" t="s">
        <v>6357</v>
      </c>
      <c r="T738" s="1" t="s">
        <v>5815</v>
      </c>
      <c r="U738" s="1" t="s">
        <v>6358</v>
      </c>
      <c r="V738" s="1">
        <v>1</v>
      </c>
      <c r="W738" s="1">
        <v>1</v>
      </c>
      <c r="X738" s="1">
        <v>0</v>
      </c>
      <c r="Y738" s="1">
        <v>0</v>
      </c>
      <c r="Z738" s="1">
        <v>0</v>
      </c>
      <c r="AA738" s="1" t="s">
        <v>109</v>
      </c>
      <c r="AB738" s="1" t="s">
        <v>109</v>
      </c>
      <c r="AC738" s="1" t="s">
        <v>109</v>
      </c>
      <c r="AD738" s="1" t="s">
        <v>109</v>
      </c>
      <c r="AE738" s="1" t="s">
        <v>109</v>
      </c>
      <c r="AF738" s="1" t="s">
        <v>109</v>
      </c>
      <c r="AG738" s="1" t="s">
        <v>109</v>
      </c>
      <c r="AH738" s="1" t="s">
        <v>109</v>
      </c>
      <c r="AI738" s="1" t="s">
        <v>109</v>
      </c>
      <c r="AJ738" s="1" t="s">
        <v>109</v>
      </c>
      <c r="AK738" s="1" t="s">
        <v>109</v>
      </c>
      <c r="AL738" s="1">
        <v>8</v>
      </c>
      <c r="AM738" s="1" t="s">
        <v>109</v>
      </c>
      <c r="AN738" s="1" t="s">
        <v>109</v>
      </c>
      <c r="AO738" s="1" t="s">
        <v>109</v>
      </c>
      <c r="AP738" s="1"/>
      <c r="AQ738" s="1">
        <v>8</v>
      </c>
      <c r="AR738" s="1"/>
      <c r="AS738" s="1" t="s">
        <v>6359</v>
      </c>
      <c r="AT738" s="1">
        <v>0</v>
      </c>
      <c r="AU738" s="1">
        <v>0</v>
      </c>
      <c r="AV738" s="1">
        <v>1</v>
      </c>
      <c r="AW738" s="1">
        <v>0</v>
      </c>
      <c r="AX738" s="1">
        <v>0</v>
      </c>
      <c r="AY738" s="1">
        <v>0</v>
      </c>
      <c r="AZ738" s="1">
        <v>0</v>
      </c>
      <c r="BA738" s="1">
        <v>0</v>
      </c>
      <c r="BB738" s="1">
        <v>0</v>
      </c>
      <c r="BC738" s="1">
        <v>0</v>
      </c>
      <c r="BD738" s="1">
        <v>0</v>
      </c>
      <c r="BE738" s="1">
        <v>1</v>
      </c>
      <c r="BF738" s="1">
        <v>0</v>
      </c>
      <c r="BG738" s="1">
        <v>0</v>
      </c>
      <c r="BH738" s="1">
        <v>0</v>
      </c>
      <c r="BI738" s="1">
        <v>1</v>
      </c>
      <c r="BJ738" s="1">
        <v>0</v>
      </c>
      <c r="BK738" s="1">
        <v>1</v>
      </c>
      <c r="BL738" s="1">
        <v>0</v>
      </c>
      <c r="BM738" s="1">
        <v>0</v>
      </c>
      <c r="BN738" s="1">
        <v>0</v>
      </c>
      <c r="BO738" s="1">
        <v>0</v>
      </c>
      <c r="BP738" s="1">
        <v>0</v>
      </c>
      <c r="BQ738" s="1">
        <v>0</v>
      </c>
      <c r="BR738" s="1">
        <v>0</v>
      </c>
      <c r="BS738" s="1" t="s">
        <v>109</v>
      </c>
      <c r="BT738" s="1">
        <v>754</v>
      </c>
      <c r="BU738" s="1" t="s">
        <v>109</v>
      </c>
      <c r="BV738" s="1"/>
      <c r="BW738" s="1"/>
      <c r="BX738" s="1"/>
      <c r="BY738" s="1"/>
      <c r="BZ738" s="1">
        <v>0</v>
      </c>
      <c r="CA738" s="1" t="s">
        <v>109</v>
      </c>
      <c r="CB738" s="1" t="s">
        <v>109</v>
      </c>
      <c r="CC738" s="1" t="s">
        <v>109</v>
      </c>
      <c r="CD738" s="1" t="s">
        <v>109</v>
      </c>
      <c r="CE738" s="1" t="s">
        <v>109</v>
      </c>
      <c r="CF738" s="1" t="s">
        <v>109</v>
      </c>
      <c r="CG738" s="1" t="s">
        <v>109</v>
      </c>
      <c r="CH738" s="1" t="s">
        <v>109</v>
      </c>
      <c r="CI738" s="1" t="s">
        <v>109</v>
      </c>
      <c r="CJ738" s="1" t="s">
        <v>109</v>
      </c>
      <c r="CK738" s="1"/>
      <c r="CL738" s="1">
        <v>0</v>
      </c>
      <c r="CM738" s="1">
        <v>0</v>
      </c>
      <c r="CN738" s="1">
        <v>0</v>
      </c>
    </row>
    <row r="739" spans="1:92" ht="14.25" customHeight="1" x14ac:dyDescent="0.15">
      <c r="A739" s="1" t="s">
        <v>6360</v>
      </c>
      <c r="B739" s="1" t="s">
        <v>584</v>
      </c>
      <c r="C739" s="1"/>
      <c r="D739" s="1" t="s">
        <v>6323</v>
      </c>
      <c r="E739" s="1" t="s">
        <v>6361</v>
      </c>
      <c r="F739" s="1" t="s">
        <v>98</v>
      </c>
      <c r="G739" s="1" t="s">
        <v>6362</v>
      </c>
      <c r="H739" s="1">
        <v>0</v>
      </c>
      <c r="I739" s="1" t="s">
        <v>161</v>
      </c>
      <c r="J739" s="1"/>
      <c r="K739" s="1"/>
      <c r="L739" s="1" t="s">
        <v>506</v>
      </c>
      <c r="M739" s="1" t="s">
        <v>6363</v>
      </c>
      <c r="N739" s="1">
        <v>0</v>
      </c>
      <c r="O739" s="1">
        <v>0</v>
      </c>
      <c r="P739" s="1" t="s">
        <v>1382</v>
      </c>
      <c r="Q739" s="1" t="s">
        <v>167</v>
      </c>
      <c r="R739" s="1" t="s">
        <v>6364</v>
      </c>
      <c r="S739" s="1" t="s">
        <v>6365</v>
      </c>
      <c r="T739" s="1" t="s">
        <v>5815</v>
      </c>
      <c r="U739" s="1" t="s">
        <v>6366</v>
      </c>
      <c r="V739" s="1">
        <v>1</v>
      </c>
      <c r="W739" s="1">
        <v>1</v>
      </c>
      <c r="X739" s="1">
        <v>1</v>
      </c>
      <c r="Y739" s="1">
        <v>0</v>
      </c>
      <c r="Z739" s="1">
        <v>0</v>
      </c>
      <c r="AA739" s="1">
        <v>3</v>
      </c>
      <c r="AB739" s="1">
        <v>3</v>
      </c>
      <c r="AC739" s="1" t="s">
        <v>109</v>
      </c>
      <c r="AD739" s="1" t="s">
        <v>109</v>
      </c>
      <c r="AE739" s="1" t="s">
        <v>109</v>
      </c>
      <c r="AF739" s="1" t="s">
        <v>109</v>
      </c>
      <c r="AG739" s="1" t="s">
        <v>109</v>
      </c>
      <c r="AH739" s="1">
        <v>3</v>
      </c>
      <c r="AI739" s="1" t="s">
        <v>109</v>
      </c>
      <c r="AJ739" s="1" t="s">
        <v>109</v>
      </c>
      <c r="AK739" s="1" t="s">
        <v>109</v>
      </c>
      <c r="AL739" s="1" t="s">
        <v>109</v>
      </c>
      <c r="AM739" s="1" t="s">
        <v>109</v>
      </c>
      <c r="AN739" s="1" t="s">
        <v>109</v>
      </c>
      <c r="AO739" s="1" t="s">
        <v>109</v>
      </c>
      <c r="AP739" s="1"/>
      <c r="AQ739" s="1">
        <v>3</v>
      </c>
      <c r="AR739" s="1" t="s">
        <v>6367</v>
      </c>
      <c r="AS739" s="1" t="s">
        <v>6368</v>
      </c>
      <c r="AT739" s="1">
        <v>1</v>
      </c>
      <c r="AU739" s="1">
        <v>0</v>
      </c>
      <c r="AV739" s="1">
        <v>0</v>
      </c>
      <c r="AW739" s="1">
        <v>1</v>
      </c>
      <c r="AX739" s="1">
        <v>0</v>
      </c>
      <c r="AY739" s="1">
        <v>0</v>
      </c>
      <c r="AZ739" s="1">
        <v>0</v>
      </c>
      <c r="BA739" s="1">
        <v>0</v>
      </c>
      <c r="BB739" s="1">
        <v>0</v>
      </c>
      <c r="BC739" s="1">
        <v>1</v>
      </c>
      <c r="BD739" s="1">
        <v>0</v>
      </c>
      <c r="BE739" s="1">
        <v>0</v>
      </c>
      <c r="BF739" s="1">
        <v>0</v>
      </c>
      <c r="BG739" s="1">
        <v>1</v>
      </c>
      <c r="BH739" s="1">
        <v>0</v>
      </c>
      <c r="BI739" s="1">
        <v>0</v>
      </c>
      <c r="BJ739" s="1">
        <v>0</v>
      </c>
      <c r="BK739" s="1">
        <v>0</v>
      </c>
      <c r="BL739" s="1">
        <v>0</v>
      </c>
      <c r="BM739" s="1">
        <v>0</v>
      </c>
      <c r="BN739" s="1">
        <v>0</v>
      </c>
      <c r="BO739" s="1">
        <v>0</v>
      </c>
      <c r="BP739" s="1">
        <v>0</v>
      </c>
      <c r="BQ739" s="1">
        <v>0</v>
      </c>
      <c r="BR739" s="1">
        <v>0</v>
      </c>
      <c r="BS739" s="5" t="str">
        <f>HYPERLINK("http://www.d20pfsrd.com/magic/all-spells/d/draconic-reservoir","Draconic Reservoir")</f>
        <v>Draconic Reservoir</v>
      </c>
      <c r="BT739" s="1">
        <v>755</v>
      </c>
      <c r="BU739" s="1" t="s">
        <v>109</v>
      </c>
      <c r="BV739" s="1"/>
      <c r="BW739" s="1"/>
      <c r="BX739" s="1" t="s">
        <v>6369</v>
      </c>
      <c r="BY739" s="1" t="s">
        <v>6370</v>
      </c>
      <c r="BZ739" s="1">
        <v>1</v>
      </c>
      <c r="CA739" s="1">
        <v>3</v>
      </c>
      <c r="CB739" s="1" t="s">
        <v>109</v>
      </c>
      <c r="CC739" s="1" t="s">
        <v>109</v>
      </c>
      <c r="CD739" s="1" t="s">
        <v>109</v>
      </c>
      <c r="CE739" s="1" t="s">
        <v>109</v>
      </c>
      <c r="CF739" s="1" t="s">
        <v>109</v>
      </c>
      <c r="CG739" s="1" t="s">
        <v>109</v>
      </c>
      <c r="CH739" s="1" t="s">
        <v>109</v>
      </c>
      <c r="CI739" s="1" t="s">
        <v>109</v>
      </c>
      <c r="CJ739" s="1" t="s">
        <v>109</v>
      </c>
      <c r="CK739" s="1"/>
      <c r="CL739" s="1">
        <v>0</v>
      </c>
      <c r="CM739" s="1">
        <v>0</v>
      </c>
      <c r="CN739" s="1">
        <v>0</v>
      </c>
    </row>
    <row r="740" spans="1:92" ht="14.25" customHeight="1" x14ac:dyDescent="0.15">
      <c r="A740" s="1" t="s">
        <v>6371</v>
      </c>
      <c r="B740" s="1" t="s">
        <v>584</v>
      </c>
      <c r="C740" s="1"/>
      <c r="D740" s="1" t="s">
        <v>6323</v>
      </c>
      <c r="E740" s="1" t="s">
        <v>6372</v>
      </c>
      <c r="F740" s="1" t="s">
        <v>98</v>
      </c>
      <c r="G740" s="1" t="s">
        <v>6373</v>
      </c>
      <c r="H740" s="1">
        <v>0</v>
      </c>
      <c r="I740" s="1" t="s">
        <v>6374</v>
      </c>
      <c r="J740" s="1" t="s">
        <v>6375</v>
      </c>
      <c r="K740" s="1"/>
      <c r="L740" s="1"/>
      <c r="M740" s="1" t="s">
        <v>144</v>
      </c>
      <c r="N740" s="1">
        <v>0</v>
      </c>
      <c r="O740" s="1">
        <v>0</v>
      </c>
      <c r="P740" s="1" t="s">
        <v>727</v>
      </c>
      <c r="Q740" s="1" t="s">
        <v>268</v>
      </c>
      <c r="R740" s="1" t="s">
        <v>6376</v>
      </c>
      <c r="S740" s="1" t="s">
        <v>6377</v>
      </c>
      <c r="T740" s="1" t="s">
        <v>5815</v>
      </c>
      <c r="U740" s="1" t="s">
        <v>6378</v>
      </c>
      <c r="V740" s="1">
        <v>1</v>
      </c>
      <c r="W740" s="1">
        <v>1</v>
      </c>
      <c r="X740" s="1">
        <v>1</v>
      </c>
      <c r="Y740" s="1">
        <v>0</v>
      </c>
      <c r="Z740" s="1">
        <v>0</v>
      </c>
      <c r="AA740" s="1">
        <v>4</v>
      </c>
      <c r="AB740" s="1">
        <v>4</v>
      </c>
      <c r="AC740" s="1" t="s">
        <v>109</v>
      </c>
      <c r="AD740" s="1" t="s">
        <v>109</v>
      </c>
      <c r="AE740" s="1" t="s">
        <v>109</v>
      </c>
      <c r="AF740" s="1" t="s">
        <v>109</v>
      </c>
      <c r="AG740" s="1" t="s">
        <v>109</v>
      </c>
      <c r="AH740" s="1">
        <v>4</v>
      </c>
      <c r="AI740" s="1" t="s">
        <v>109</v>
      </c>
      <c r="AJ740" s="1" t="s">
        <v>109</v>
      </c>
      <c r="AK740" s="1" t="s">
        <v>109</v>
      </c>
      <c r="AL740" s="1" t="s">
        <v>109</v>
      </c>
      <c r="AM740" s="1" t="s">
        <v>109</v>
      </c>
      <c r="AN740" s="1" t="s">
        <v>109</v>
      </c>
      <c r="AO740" s="1" t="s">
        <v>109</v>
      </c>
      <c r="AP740" s="1"/>
      <c r="AQ740" s="1">
        <v>4</v>
      </c>
      <c r="AR740" s="1" t="s">
        <v>6379</v>
      </c>
      <c r="AS740" s="1" t="s">
        <v>6380</v>
      </c>
      <c r="AT740" s="1">
        <v>1</v>
      </c>
      <c r="AU740" s="1">
        <v>0</v>
      </c>
      <c r="AV740" s="1">
        <v>0</v>
      </c>
      <c r="AW740" s="1">
        <v>1</v>
      </c>
      <c r="AX740" s="1">
        <v>0</v>
      </c>
      <c r="AY740" s="1">
        <v>0</v>
      </c>
      <c r="AZ740" s="1">
        <v>0</v>
      </c>
      <c r="BA740" s="1">
        <v>0</v>
      </c>
      <c r="BB740" s="1">
        <v>0</v>
      </c>
      <c r="BC740" s="1">
        <v>1</v>
      </c>
      <c r="BD740" s="1">
        <v>0</v>
      </c>
      <c r="BE740" s="1">
        <v>0</v>
      </c>
      <c r="BF740" s="1">
        <v>0</v>
      </c>
      <c r="BG740" s="1">
        <v>1</v>
      </c>
      <c r="BH740" s="1">
        <v>0</v>
      </c>
      <c r="BI740" s="1">
        <v>0</v>
      </c>
      <c r="BJ740" s="1">
        <v>0</v>
      </c>
      <c r="BK740" s="1">
        <v>0</v>
      </c>
      <c r="BL740" s="1">
        <v>0</v>
      </c>
      <c r="BM740" s="1">
        <v>0</v>
      </c>
      <c r="BN740" s="1">
        <v>0</v>
      </c>
      <c r="BO740" s="1">
        <v>0</v>
      </c>
      <c r="BP740" s="1">
        <v>0</v>
      </c>
      <c r="BQ740" s="1">
        <v>0</v>
      </c>
      <c r="BR740" s="1">
        <v>0</v>
      </c>
      <c r="BS740" s="5" t="str">
        <f>HYPERLINK("http://www.d20pfsrd.com/magic/all-spells/d/dragon-s-breath","Dragon's Breath")</f>
        <v>Dragon's Breath</v>
      </c>
      <c r="BT740" s="1">
        <v>756</v>
      </c>
      <c r="BU740" s="1" t="s">
        <v>109</v>
      </c>
      <c r="BV740" s="1" t="s">
        <v>6381</v>
      </c>
      <c r="BW740" s="1"/>
      <c r="BX740" s="1" t="s">
        <v>6382</v>
      </c>
      <c r="BY740" s="1"/>
      <c r="BZ740" s="1">
        <v>1</v>
      </c>
      <c r="CA740" s="1">
        <v>4</v>
      </c>
      <c r="CB740" s="1" t="s">
        <v>109</v>
      </c>
      <c r="CC740" s="1" t="s">
        <v>109</v>
      </c>
      <c r="CD740" s="1" t="s">
        <v>109</v>
      </c>
      <c r="CE740" s="1" t="s">
        <v>109</v>
      </c>
      <c r="CF740" s="1" t="s">
        <v>109</v>
      </c>
      <c r="CG740" s="1" t="s">
        <v>109</v>
      </c>
      <c r="CH740" s="1" t="s">
        <v>109</v>
      </c>
      <c r="CI740" s="1" t="s">
        <v>109</v>
      </c>
      <c r="CJ740" s="1" t="s">
        <v>109</v>
      </c>
      <c r="CK740" s="1"/>
      <c r="CL740" s="1">
        <v>0</v>
      </c>
      <c r="CM740" s="1">
        <v>0</v>
      </c>
      <c r="CN740" s="1">
        <v>0</v>
      </c>
    </row>
    <row r="741" spans="1:92" ht="14.25" customHeight="1" x14ac:dyDescent="0.15">
      <c r="A741" s="1" t="s">
        <v>6383</v>
      </c>
      <c r="B741" s="1" t="s">
        <v>95</v>
      </c>
      <c r="C741" s="1"/>
      <c r="D741" s="1" t="s">
        <v>51</v>
      </c>
      <c r="E741" s="1" t="s">
        <v>6384</v>
      </c>
      <c r="F741" s="1" t="s">
        <v>98</v>
      </c>
      <c r="G741" s="1" t="s">
        <v>6385</v>
      </c>
      <c r="H741" s="1">
        <v>0</v>
      </c>
      <c r="I741" s="1" t="s">
        <v>122</v>
      </c>
      <c r="J741" s="1"/>
      <c r="K741" s="1"/>
      <c r="L741" s="1" t="s">
        <v>6386</v>
      </c>
      <c r="M741" s="1" t="s">
        <v>144</v>
      </c>
      <c r="N741" s="1">
        <v>0</v>
      </c>
      <c r="O741" s="1">
        <v>0</v>
      </c>
      <c r="P741" s="1" t="s">
        <v>6387</v>
      </c>
      <c r="Q741" s="1" t="s">
        <v>104</v>
      </c>
      <c r="R741" s="1" t="s">
        <v>6388</v>
      </c>
      <c r="S741" s="1" t="s">
        <v>6389</v>
      </c>
      <c r="T741" s="1" t="s">
        <v>5815</v>
      </c>
      <c r="U741" s="1" t="s">
        <v>6390</v>
      </c>
      <c r="V741" s="1">
        <v>1</v>
      </c>
      <c r="W741" s="1">
        <v>1</v>
      </c>
      <c r="X741" s="1">
        <v>1</v>
      </c>
      <c r="Y741" s="1">
        <v>0</v>
      </c>
      <c r="Z741" s="1">
        <v>0</v>
      </c>
      <c r="AA741" s="1">
        <v>2</v>
      </c>
      <c r="AB741" s="1">
        <v>2</v>
      </c>
      <c r="AC741" s="1" t="s">
        <v>109</v>
      </c>
      <c r="AD741" s="1" t="s">
        <v>109</v>
      </c>
      <c r="AE741" s="1" t="s">
        <v>109</v>
      </c>
      <c r="AF741" s="1">
        <v>2</v>
      </c>
      <c r="AG741" s="1" t="s">
        <v>109</v>
      </c>
      <c r="AH741" s="1" t="s">
        <v>109</v>
      </c>
      <c r="AI741" s="1" t="s">
        <v>109</v>
      </c>
      <c r="AJ741" s="1" t="s">
        <v>109</v>
      </c>
      <c r="AK741" s="1" t="s">
        <v>109</v>
      </c>
      <c r="AL741" s="1" t="s">
        <v>109</v>
      </c>
      <c r="AM741" s="1" t="s">
        <v>109</v>
      </c>
      <c r="AN741" s="1" t="s">
        <v>109</v>
      </c>
      <c r="AO741" s="1" t="s">
        <v>109</v>
      </c>
      <c r="AP741" s="1"/>
      <c r="AQ741" s="1">
        <v>2</v>
      </c>
      <c r="AR741" s="1"/>
      <c r="AS741" s="1" t="s">
        <v>6391</v>
      </c>
      <c r="AT741" s="1">
        <v>0</v>
      </c>
      <c r="AU741" s="1">
        <v>0</v>
      </c>
      <c r="AV741" s="1">
        <v>0</v>
      </c>
      <c r="AW741" s="1">
        <v>0</v>
      </c>
      <c r="AX741" s="1">
        <v>0</v>
      </c>
      <c r="AY741" s="1">
        <v>1</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5" t="str">
        <f>HYPERLINK("http://www.d20pfsrd.com/magic/all-spells/d/dust-of-twilight","Dust of Twilight")</f>
        <v>Dust of Twilight</v>
      </c>
      <c r="BT741" s="1">
        <v>757</v>
      </c>
      <c r="BU741" s="1" t="s">
        <v>109</v>
      </c>
      <c r="BV741" s="1"/>
      <c r="BW741" s="1" t="s">
        <v>6392</v>
      </c>
      <c r="BX741" s="1" t="s">
        <v>6393</v>
      </c>
      <c r="BY741" s="1" t="s">
        <v>6394</v>
      </c>
      <c r="BZ741" s="1">
        <v>1</v>
      </c>
      <c r="CA741" s="1">
        <v>2</v>
      </c>
      <c r="CB741" s="1" t="s">
        <v>109</v>
      </c>
      <c r="CC741" s="1" t="s">
        <v>109</v>
      </c>
      <c r="CD741" s="1" t="s">
        <v>109</v>
      </c>
      <c r="CE741" s="1" t="s">
        <v>109</v>
      </c>
      <c r="CF741" s="1" t="s">
        <v>109</v>
      </c>
      <c r="CG741" s="1" t="s">
        <v>109</v>
      </c>
      <c r="CH741" s="1" t="s">
        <v>109</v>
      </c>
      <c r="CI741" s="1" t="s">
        <v>109</v>
      </c>
      <c r="CJ741" s="1" t="s">
        <v>109</v>
      </c>
      <c r="CK741" s="1"/>
      <c r="CL741" s="1">
        <v>0</v>
      </c>
      <c r="CM741" s="1">
        <v>0</v>
      </c>
      <c r="CN741" s="1">
        <v>0</v>
      </c>
    </row>
    <row r="742" spans="1:92" ht="14.25" customHeight="1" x14ac:dyDescent="0.15">
      <c r="A742" s="1" t="s">
        <v>6395</v>
      </c>
      <c r="B742" s="1" t="s">
        <v>254</v>
      </c>
      <c r="C742" s="1"/>
      <c r="D742" s="1"/>
      <c r="E742" s="1" t="s">
        <v>6396</v>
      </c>
      <c r="F742" s="1" t="s">
        <v>277</v>
      </c>
      <c r="G742" s="1" t="s">
        <v>160</v>
      </c>
      <c r="H742" s="1">
        <v>0</v>
      </c>
      <c r="I742" s="1" t="s">
        <v>100</v>
      </c>
      <c r="J742" s="1"/>
      <c r="K742" s="1" t="s">
        <v>398</v>
      </c>
      <c r="L742" s="1"/>
      <c r="M742" s="1" t="s">
        <v>6144</v>
      </c>
      <c r="N742" s="1">
        <v>1</v>
      </c>
      <c r="O742" s="1">
        <v>0</v>
      </c>
      <c r="P742" s="1" t="s">
        <v>103</v>
      </c>
      <c r="Q742" s="1" t="s">
        <v>104</v>
      </c>
      <c r="R742" s="1" t="s">
        <v>6397</v>
      </c>
      <c r="S742" s="1" t="s">
        <v>6398</v>
      </c>
      <c r="T742" s="1" t="s">
        <v>5815</v>
      </c>
      <c r="U742" s="1" t="s">
        <v>6399</v>
      </c>
      <c r="V742" s="1">
        <v>1</v>
      </c>
      <c r="W742" s="1">
        <v>1</v>
      </c>
      <c r="X742" s="1">
        <v>0</v>
      </c>
      <c r="Y742" s="1">
        <v>0</v>
      </c>
      <c r="Z742" s="1">
        <v>1</v>
      </c>
      <c r="AA742" s="1" t="s">
        <v>109</v>
      </c>
      <c r="AB742" s="1" t="s">
        <v>109</v>
      </c>
      <c r="AC742" s="1" t="s">
        <v>109</v>
      </c>
      <c r="AD742" s="1">
        <v>2</v>
      </c>
      <c r="AE742" s="1">
        <v>2</v>
      </c>
      <c r="AF742" s="1" t="s">
        <v>109</v>
      </c>
      <c r="AG742" s="1" t="s">
        <v>109</v>
      </c>
      <c r="AH742" s="1" t="s">
        <v>109</v>
      </c>
      <c r="AI742" s="1" t="s">
        <v>109</v>
      </c>
      <c r="AJ742" s="1" t="s">
        <v>109</v>
      </c>
      <c r="AK742" s="1" t="s">
        <v>109</v>
      </c>
      <c r="AL742" s="1" t="s">
        <v>109</v>
      </c>
      <c r="AM742" s="1" t="s">
        <v>109</v>
      </c>
      <c r="AN742" s="1" t="s">
        <v>109</v>
      </c>
      <c r="AO742" s="1" t="s">
        <v>109</v>
      </c>
      <c r="AP742" s="1"/>
      <c r="AQ742" s="1">
        <v>2</v>
      </c>
      <c r="AR742" s="1"/>
      <c r="AS742" s="1" t="s">
        <v>6400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5" t="str">
        <f>HYPERLINK("http://www.d20pfsrd.com/magic/all-spells/e/eagle-eye","Eagle Eye")</f>
        <v>Eagle Eye</v>
      </c>
      <c r="BT742" s="1">
        <v>758</v>
      </c>
      <c r="BU742" s="1" t="s">
        <v>109</v>
      </c>
      <c r="BV742" s="1"/>
      <c r="BW742" s="1"/>
      <c r="BX742" s="1"/>
      <c r="BY742" s="1"/>
      <c r="BZ742" s="1">
        <v>0</v>
      </c>
      <c r="CA742" s="1" t="s">
        <v>109</v>
      </c>
      <c r="CB742" s="1">
        <v>2</v>
      </c>
      <c r="CC742" s="1">
        <v>2</v>
      </c>
      <c r="CD742" s="1" t="s">
        <v>109</v>
      </c>
      <c r="CE742" s="1" t="s">
        <v>109</v>
      </c>
      <c r="CF742" s="1" t="s">
        <v>109</v>
      </c>
      <c r="CG742" s="1" t="s">
        <v>109</v>
      </c>
      <c r="CH742" s="1" t="s">
        <v>109</v>
      </c>
      <c r="CI742" s="1" t="s">
        <v>109</v>
      </c>
      <c r="CJ742" s="1">
        <v>2</v>
      </c>
      <c r="CK742" s="1"/>
      <c r="CL742" s="1">
        <v>0</v>
      </c>
      <c r="CM742" s="1">
        <v>0</v>
      </c>
      <c r="CN742" s="1">
        <v>0</v>
      </c>
    </row>
    <row r="743" spans="1:92" ht="14.25" customHeight="1" x14ac:dyDescent="0.15">
      <c r="A743" s="1" t="s">
        <v>6401</v>
      </c>
      <c r="B743" s="1" t="s">
        <v>584</v>
      </c>
      <c r="C743" s="1"/>
      <c r="D743" s="1" t="s">
        <v>6323</v>
      </c>
      <c r="E743" s="1" t="s">
        <v>6402</v>
      </c>
      <c r="F743" s="1" t="s">
        <v>98</v>
      </c>
      <c r="G743" s="1" t="s">
        <v>141</v>
      </c>
      <c r="H743" s="1">
        <v>0</v>
      </c>
      <c r="I743" s="1" t="s">
        <v>235</v>
      </c>
      <c r="J743" s="1"/>
      <c r="K743" s="1"/>
      <c r="L743" s="1" t="s">
        <v>236</v>
      </c>
      <c r="M743" s="1" t="s">
        <v>574</v>
      </c>
      <c r="N743" s="1">
        <v>1</v>
      </c>
      <c r="O743" s="1">
        <v>0</v>
      </c>
      <c r="P743" s="1" t="s">
        <v>2045</v>
      </c>
      <c r="Q743" s="1" t="s">
        <v>268</v>
      </c>
      <c r="R743" s="1" t="s">
        <v>6403</v>
      </c>
      <c r="S743" s="1" t="s">
        <v>6404</v>
      </c>
      <c r="T743" s="1" t="s">
        <v>5815</v>
      </c>
      <c r="U743" s="1" t="s">
        <v>6405</v>
      </c>
      <c r="V743" s="1">
        <v>1</v>
      </c>
      <c r="W743" s="1">
        <v>1</v>
      </c>
      <c r="X743" s="1">
        <v>0</v>
      </c>
      <c r="Y743" s="1">
        <v>0</v>
      </c>
      <c r="Z743" s="1">
        <v>0</v>
      </c>
      <c r="AA743" s="1">
        <v>3</v>
      </c>
      <c r="AB743" s="1">
        <v>3</v>
      </c>
      <c r="AC743" s="1" t="s">
        <v>109</v>
      </c>
      <c r="AD743" s="1" t="s">
        <v>109</v>
      </c>
      <c r="AE743" s="1" t="s">
        <v>109</v>
      </c>
      <c r="AF743" s="1" t="s">
        <v>109</v>
      </c>
      <c r="AG743" s="1" t="s">
        <v>109</v>
      </c>
      <c r="AH743" s="1">
        <v>3</v>
      </c>
      <c r="AI743" s="1" t="s">
        <v>109</v>
      </c>
      <c r="AJ743" s="1" t="s">
        <v>109</v>
      </c>
      <c r="AK743" s="1" t="s">
        <v>109</v>
      </c>
      <c r="AL743" s="1" t="s">
        <v>109</v>
      </c>
      <c r="AM743" s="1" t="s">
        <v>109</v>
      </c>
      <c r="AN743" s="1">
        <v>3</v>
      </c>
      <c r="AO743" s="1" t="s">
        <v>109</v>
      </c>
      <c r="AP743" s="1"/>
      <c r="AQ743" s="1">
        <v>3</v>
      </c>
      <c r="AR743" s="1"/>
      <c r="AS743" s="1" t="s">
        <v>6406</v>
      </c>
      <c r="AT743" s="1">
        <v>1</v>
      </c>
      <c r="AU743" s="1">
        <v>0</v>
      </c>
      <c r="AV743" s="1">
        <v>0</v>
      </c>
      <c r="AW743" s="1">
        <v>1</v>
      </c>
      <c r="AX743" s="1">
        <v>0</v>
      </c>
      <c r="AY743" s="1">
        <v>0</v>
      </c>
      <c r="AZ743" s="1">
        <v>0</v>
      </c>
      <c r="BA743" s="1">
        <v>0</v>
      </c>
      <c r="BB743" s="1">
        <v>0</v>
      </c>
      <c r="BC743" s="1">
        <v>1</v>
      </c>
      <c r="BD743" s="1">
        <v>0</v>
      </c>
      <c r="BE743" s="1">
        <v>0</v>
      </c>
      <c r="BF743" s="1">
        <v>0</v>
      </c>
      <c r="BG743" s="1">
        <v>1</v>
      </c>
      <c r="BH743" s="1">
        <v>0</v>
      </c>
      <c r="BI743" s="1">
        <v>0</v>
      </c>
      <c r="BJ743" s="1">
        <v>0</v>
      </c>
      <c r="BK743" s="1">
        <v>0</v>
      </c>
      <c r="BL743" s="1">
        <v>0</v>
      </c>
      <c r="BM743" s="1">
        <v>0</v>
      </c>
      <c r="BN743" s="1">
        <v>0</v>
      </c>
      <c r="BO743" s="1">
        <v>0</v>
      </c>
      <c r="BP743" s="1">
        <v>0</v>
      </c>
      <c r="BQ743" s="1">
        <v>0</v>
      </c>
      <c r="BR743" s="1">
        <v>0</v>
      </c>
      <c r="BS743" s="5" t="str">
        <f>HYPERLINK("http://www.d20pfsrd.com/magic/all-spells/e/elemental-aura","Elemental Aura")</f>
        <v>Elemental Aura</v>
      </c>
      <c r="BT743" s="1">
        <v>759</v>
      </c>
      <c r="BU743" s="1" t="s">
        <v>109</v>
      </c>
      <c r="BV743" s="1" t="s">
        <v>6407</v>
      </c>
      <c r="BW743" s="1"/>
      <c r="BX743" s="1"/>
      <c r="BY743" s="1"/>
      <c r="BZ743" s="1">
        <v>0</v>
      </c>
      <c r="CA743" s="1">
        <v>3</v>
      </c>
      <c r="CB743" s="1" t="s">
        <v>109</v>
      </c>
      <c r="CC743" s="1" t="s">
        <v>109</v>
      </c>
      <c r="CD743" s="1" t="s">
        <v>109</v>
      </c>
      <c r="CE743" s="1" t="s">
        <v>109</v>
      </c>
      <c r="CF743" s="1" t="s">
        <v>109</v>
      </c>
      <c r="CG743" s="1" t="s">
        <v>109</v>
      </c>
      <c r="CH743" s="1" t="s">
        <v>109</v>
      </c>
      <c r="CI743" s="1" t="s">
        <v>109</v>
      </c>
      <c r="CJ743" s="1" t="s">
        <v>109</v>
      </c>
      <c r="CK743" s="1"/>
      <c r="CL743" s="1">
        <v>0</v>
      </c>
      <c r="CM743" s="1">
        <v>0</v>
      </c>
      <c r="CN743" s="1">
        <v>0</v>
      </c>
    </row>
    <row r="744" spans="1:92" ht="14.25" customHeight="1" x14ac:dyDescent="0.15">
      <c r="A744" s="1" t="s">
        <v>6408</v>
      </c>
      <c r="B744" s="1" t="s">
        <v>254</v>
      </c>
      <c r="C744" s="1"/>
      <c r="D744" s="1" t="s">
        <v>6409</v>
      </c>
      <c r="E744" s="1" t="s">
        <v>6410</v>
      </c>
      <c r="F744" s="1" t="s">
        <v>98</v>
      </c>
      <c r="G744" s="1" t="s">
        <v>5658</v>
      </c>
      <c r="H744" s="1">
        <v>0</v>
      </c>
      <c r="I744" s="1" t="s">
        <v>235</v>
      </c>
      <c r="J744" s="1"/>
      <c r="K744" s="1"/>
      <c r="L744" s="1" t="s">
        <v>236</v>
      </c>
      <c r="M744" s="1" t="s">
        <v>3042</v>
      </c>
      <c r="N744" s="1">
        <v>0</v>
      </c>
      <c r="O744" s="1">
        <v>0</v>
      </c>
      <c r="P744" s="1"/>
      <c r="Q744" s="1"/>
      <c r="R744" s="1" t="s">
        <v>6411</v>
      </c>
      <c r="S744" s="1" t="s">
        <v>6412</v>
      </c>
      <c r="T744" s="1" t="s">
        <v>5815</v>
      </c>
      <c r="U744" s="1" t="s">
        <v>6413</v>
      </c>
      <c r="V744" s="1">
        <v>1</v>
      </c>
      <c r="W744" s="1">
        <v>1</v>
      </c>
      <c r="X744" s="1">
        <v>1</v>
      </c>
      <c r="Y744" s="1">
        <v>0</v>
      </c>
      <c r="Z744" s="1">
        <v>0</v>
      </c>
      <c r="AA744" s="1">
        <v>2</v>
      </c>
      <c r="AB744" s="1">
        <v>2</v>
      </c>
      <c r="AC744" s="1">
        <v>3</v>
      </c>
      <c r="AD744" s="1">
        <v>2</v>
      </c>
      <c r="AE744" s="1" t="s">
        <v>109</v>
      </c>
      <c r="AF744" s="1">
        <v>3</v>
      </c>
      <c r="AG744" s="1" t="s">
        <v>109</v>
      </c>
      <c r="AH744" s="1" t="s">
        <v>109</v>
      </c>
      <c r="AI744" s="1" t="s">
        <v>109</v>
      </c>
      <c r="AJ744" s="1" t="s">
        <v>109</v>
      </c>
      <c r="AK744" s="1" t="s">
        <v>109</v>
      </c>
      <c r="AL744" s="1">
        <v>3</v>
      </c>
      <c r="AM744" s="1" t="s">
        <v>109</v>
      </c>
      <c r="AN744" s="1" t="s">
        <v>109</v>
      </c>
      <c r="AO744" s="1" t="s">
        <v>109</v>
      </c>
      <c r="AP744" s="1"/>
      <c r="AQ744" s="1">
        <v>2</v>
      </c>
      <c r="AR744" s="1"/>
      <c r="AS744" s="1" t="s">
        <v>6414</v>
      </c>
      <c r="AT744" s="1">
        <v>0</v>
      </c>
      <c r="AU744" s="1">
        <v>1</v>
      </c>
      <c r="AV744" s="1">
        <v>0</v>
      </c>
      <c r="AW744" s="1">
        <v>0</v>
      </c>
      <c r="AX744" s="1">
        <v>0</v>
      </c>
      <c r="AY744" s="1">
        <v>0</v>
      </c>
      <c r="AZ744" s="1">
        <v>0</v>
      </c>
      <c r="BA744" s="1">
        <v>0</v>
      </c>
      <c r="BB744" s="1">
        <v>1</v>
      </c>
      <c r="BC744" s="1">
        <v>0</v>
      </c>
      <c r="BD744" s="1">
        <v>0</v>
      </c>
      <c r="BE744" s="1">
        <v>0</v>
      </c>
      <c r="BF744" s="1">
        <v>0</v>
      </c>
      <c r="BG744" s="1">
        <v>1</v>
      </c>
      <c r="BH744" s="1">
        <v>0</v>
      </c>
      <c r="BI744" s="1">
        <v>0</v>
      </c>
      <c r="BJ744" s="1">
        <v>0</v>
      </c>
      <c r="BK744" s="1">
        <v>0</v>
      </c>
      <c r="BL744" s="1">
        <v>0</v>
      </c>
      <c r="BM744" s="1">
        <v>0</v>
      </c>
      <c r="BN744" s="1">
        <v>0</v>
      </c>
      <c r="BO744" s="1">
        <v>0</v>
      </c>
      <c r="BP744" s="1">
        <v>0</v>
      </c>
      <c r="BQ744" s="1">
        <v>0</v>
      </c>
      <c r="BR744" s="1">
        <v>1</v>
      </c>
      <c r="BS744" s="5" t="str">
        <f>HYPERLINK("http://www.d20pfsrd.com/magic/all-spells/e/elemental-speech","Elemental Speech")</f>
        <v>Elemental Speech</v>
      </c>
      <c r="BT744" s="1">
        <v>760</v>
      </c>
      <c r="BU744" s="1" t="s">
        <v>109</v>
      </c>
      <c r="BV744" s="1"/>
      <c r="BW744" s="1"/>
      <c r="BX744" s="1"/>
      <c r="BY744" s="1"/>
      <c r="BZ744" s="1">
        <v>0</v>
      </c>
      <c r="CA744" s="1" t="s">
        <v>109</v>
      </c>
      <c r="CB744" s="1" t="s">
        <v>109</v>
      </c>
      <c r="CC744" s="1" t="s">
        <v>109</v>
      </c>
      <c r="CD744" s="1" t="s">
        <v>109</v>
      </c>
      <c r="CE744" s="1">
        <v>3</v>
      </c>
      <c r="CF744" s="1" t="s">
        <v>109</v>
      </c>
      <c r="CG744" s="1" t="s">
        <v>109</v>
      </c>
      <c r="CH744" s="1" t="s">
        <v>109</v>
      </c>
      <c r="CI744" s="1" t="s">
        <v>109</v>
      </c>
      <c r="CJ744" s="1">
        <v>2</v>
      </c>
      <c r="CK744" s="1"/>
      <c r="CL744" s="1">
        <v>0</v>
      </c>
      <c r="CM744" s="1">
        <v>0</v>
      </c>
      <c r="CN744" s="1">
        <v>0</v>
      </c>
    </row>
    <row r="745" spans="1:92" ht="14.25" customHeight="1" x14ac:dyDescent="0.15">
      <c r="A745" s="1" t="s">
        <v>6415</v>
      </c>
      <c r="B745" s="1" t="s">
        <v>584</v>
      </c>
      <c r="C745" s="1"/>
      <c r="D745" s="1" t="s">
        <v>6323</v>
      </c>
      <c r="E745" s="1" t="s">
        <v>6416</v>
      </c>
      <c r="F745" s="1" t="s">
        <v>98</v>
      </c>
      <c r="G745" s="1" t="s">
        <v>6417</v>
      </c>
      <c r="H745" s="1">
        <v>0</v>
      </c>
      <c r="I745" s="1" t="s">
        <v>235</v>
      </c>
      <c r="J745" s="1"/>
      <c r="K745" s="1"/>
      <c r="L745" s="1" t="s">
        <v>236</v>
      </c>
      <c r="M745" s="1" t="s">
        <v>574</v>
      </c>
      <c r="N745" s="1">
        <v>1</v>
      </c>
      <c r="O745" s="1">
        <v>0</v>
      </c>
      <c r="P745" s="1" t="s">
        <v>211</v>
      </c>
      <c r="Q745" s="1" t="s">
        <v>104</v>
      </c>
      <c r="R745" s="1" t="s">
        <v>6418</v>
      </c>
      <c r="S745" s="1" t="s">
        <v>6419</v>
      </c>
      <c r="T745" s="1" t="s">
        <v>5815</v>
      </c>
      <c r="U745" s="1" t="s">
        <v>6420</v>
      </c>
      <c r="V745" s="1">
        <v>1</v>
      </c>
      <c r="W745" s="1">
        <v>1</v>
      </c>
      <c r="X745" s="1">
        <v>1</v>
      </c>
      <c r="Y745" s="1">
        <v>0</v>
      </c>
      <c r="Z745" s="1">
        <v>0</v>
      </c>
      <c r="AA745" s="1">
        <v>2</v>
      </c>
      <c r="AB745" s="1">
        <v>2</v>
      </c>
      <c r="AC745" s="1" t="s">
        <v>109</v>
      </c>
      <c r="AD745" s="1" t="s">
        <v>109</v>
      </c>
      <c r="AE745" s="1" t="s">
        <v>109</v>
      </c>
      <c r="AF745" s="1" t="s">
        <v>109</v>
      </c>
      <c r="AG745" s="1" t="s">
        <v>109</v>
      </c>
      <c r="AH745" s="1">
        <v>2</v>
      </c>
      <c r="AI745" s="1" t="s">
        <v>109</v>
      </c>
      <c r="AJ745" s="1" t="s">
        <v>109</v>
      </c>
      <c r="AK745" s="1" t="s">
        <v>109</v>
      </c>
      <c r="AL745" s="1" t="s">
        <v>109</v>
      </c>
      <c r="AM745" s="1" t="s">
        <v>109</v>
      </c>
      <c r="AN745" s="1">
        <v>2</v>
      </c>
      <c r="AO745" s="1" t="s">
        <v>109</v>
      </c>
      <c r="AP745" s="1"/>
      <c r="AQ745" s="1">
        <v>2</v>
      </c>
      <c r="AR745" s="1"/>
      <c r="AS745" s="1" t="s">
        <v>6421</v>
      </c>
      <c r="AT745" s="1">
        <v>1</v>
      </c>
      <c r="AU745" s="1">
        <v>0</v>
      </c>
      <c r="AV745" s="1">
        <v>0</v>
      </c>
      <c r="AW745" s="1">
        <v>1</v>
      </c>
      <c r="AX745" s="1">
        <v>0</v>
      </c>
      <c r="AY745" s="1">
        <v>0</v>
      </c>
      <c r="AZ745" s="1">
        <v>0</v>
      </c>
      <c r="BA745" s="1">
        <v>0</v>
      </c>
      <c r="BB745" s="1">
        <v>0</v>
      </c>
      <c r="BC745" s="1">
        <v>1</v>
      </c>
      <c r="BD745" s="1">
        <v>0</v>
      </c>
      <c r="BE745" s="1">
        <v>0</v>
      </c>
      <c r="BF745" s="1">
        <v>0</v>
      </c>
      <c r="BG745" s="1">
        <v>1</v>
      </c>
      <c r="BH745" s="1">
        <v>0</v>
      </c>
      <c r="BI745" s="1">
        <v>0</v>
      </c>
      <c r="BJ745" s="1">
        <v>0</v>
      </c>
      <c r="BK745" s="1">
        <v>0</v>
      </c>
      <c r="BL745" s="1">
        <v>0</v>
      </c>
      <c r="BM745" s="1">
        <v>0</v>
      </c>
      <c r="BN745" s="1">
        <v>0</v>
      </c>
      <c r="BO745" s="1">
        <v>0</v>
      </c>
      <c r="BP745" s="1">
        <v>0</v>
      </c>
      <c r="BQ745" s="1">
        <v>0</v>
      </c>
      <c r="BR745" s="1">
        <v>0</v>
      </c>
      <c r="BS745" s="5" t="str">
        <f>HYPERLINK("http://www.d20pfsrd.com/magic/all-spells/e/elemental-touch","Elemental Touch")</f>
        <v>Elemental Touch</v>
      </c>
      <c r="BT745" s="1">
        <v>761</v>
      </c>
      <c r="BU745" s="1" t="s">
        <v>109</v>
      </c>
      <c r="BV745" s="1"/>
      <c r="BW745" s="1"/>
      <c r="BX745" s="1"/>
      <c r="BY745" s="1"/>
      <c r="BZ745" s="1">
        <v>0</v>
      </c>
      <c r="CA745" s="1">
        <v>2</v>
      </c>
      <c r="CB745" s="1" t="s">
        <v>109</v>
      </c>
      <c r="CC745" s="1" t="s">
        <v>109</v>
      </c>
      <c r="CD745" s="1" t="s">
        <v>109</v>
      </c>
      <c r="CE745" s="1" t="s">
        <v>109</v>
      </c>
      <c r="CF745" s="1" t="s">
        <v>109</v>
      </c>
      <c r="CG745" s="1" t="s">
        <v>109</v>
      </c>
      <c r="CH745" s="1" t="s">
        <v>109</v>
      </c>
      <c r="CI745" s="1" t="s">
        <v>109</v>
      </c>
      <c r="CJ745" s="1" t="s">
        <v>109</v>
      </c>
      <c r="CK745" s="1"/>
      <c r="CL745" s="1">
        <v>0</v>
      </c>
      <c r="CM745" s="1">
        <v>0</v>
      </c>
      <c r="CN745" s="1">
        <v>0</v>
      </c>
    </row>
    <row r="746" spans="1:92" ht="14.25" customHeight="1" x14ac:dyDescent="0.15">
      <c r="A746" s="1" t="s">
        <v>6422</v>
      </c>
      <c r="B746" s="1" t="s">
        <v>189</v>
      </c>
      <c r="C746" s="1"/>
      <c r="D746" s="1"/>
      <c r="E746" s="1" t="s">
        <v>6423</v>
      </c>
      <c r="F746" s="1" t="s">
        <v>98</v>
      </c>
      <c r="G746" s="1" t="s">
        <v>6424</v>
      </c>
      <c r="H746" s="1">
        <v>1</v>
      </c>
      <c r="I746" s="1" t="s">
        <v>235</v>
      </c>
      <c r="J746" s="1"/>
      <c r="K746" s="1"/>
      <c r="L746" s="1" t="s">
        <v>236</v>
      </c>
      <c r="M746" s="1" t="s">
        <v>6425</v>
      </c>
      <c r="N746" s="1">
        <v>0</v>
      </c>
      <c r="O746" s="1">
        <v>0</v>
      </c>
      <c r="P746" s="1"/>
      <c r="Q746" s="1"/>
      <c r="R746" s="1" t="s">
        <v>6426</v>
      </c>
      <c r="S746" s="1" t="s">
        <v>6427</v>
      </c>
      <c r="T746" s="1" t="s">
        <v>5815</v>
      </c>
      <c r="U746" s="1" t="s">
        <v>6428</v>
      </c>
      <c r="V746" s="1">
        <v>1</v>
      </c>
      <c r="W746" s="1">
        <v>1</v>
      </c>
      <c r="X746" s="1">
        <v>1</v>
      </c>
      <c r="Y746" s="1">
        <v>0</v>
      </c>
      <c r="Z746" s="1">
        <v>0</v>
      </c>
      <c r="AA746" s="1" t="s">
        <v>109</v>
      </c>
      <c r="AB746" s="1" t="s">
        <v>109</v>
      </c>
      <c r="AC746" s="1" t="s">
        <v>109</v>
      </c>
      <c r="AD746" s="1" t="s">
        <v>109</v>
      </c>
      <c r="AE746" s="1" t="s">
        <v>109</v>
      </c>
      <c r="AF746" s="1" t="s">
        <v>109</v>
      </c>
      <c r="AG746" s="1" t="s">
        <v>109</v>
      </c>
      <c r="AH746" s="1">
        <v>5</v>
      </c>
      <c r="AI746" s="1" t="s">
        <v>109</v>
      </c>
      <c r="AJ746" s="1" t="s">
        <v>109</v>
      </c>
      <c r="AK746" s="1" t="s">
        <v>109</v>
      </c>
      <c r="AL746" s="1" t="s">
        <v>109</v>
      </c>
      <c r="AM746" s="1" t="s">
        <v>109</v>
      </c>
      <c r="AN746" s="1" t="s">
        <v>109</v>
      </c>
      <c r="AO746" s="1" t="s">
        <v>109</v>
      </c>
      <c r="AP746" s="1"/>
      <c r="AQ746" s="1">
        <v>5</v>
      </c>
      <c r="AR746" s="1"/>
      <c r="AS746" s="1" t="s">
        <v>6429</v>
      </c>
      <c r="AT746" s="1">
        <v>0</v>
      </c>
      <c r="AU746" s="1">
        <v>0</v>
      </c>
      <c r="AV746" s="1">
        <v>0</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0</v>
      </c>
      <c r="BN746" s="1">
        <v>0</v>
      </c>
      <c r="BO746" s="1">
        <v>0</v>
      </c>
      <c r="BP746" s="1">
        <v>0</v>
      </c>
      <c r="BQ746" s="1">
        <v>0</v>
      </c>
      <c r="BR746" s="1">
        <v>0</v>
      </c>
      <c r="BS746" s="5" t="str">
        <f>HYPERLINK("http://www.d20pfsrd.com/magic/all-spells/e/elude-time","Elude Time")</f>
        <v>Elude Time</v>
      </c>
      <c r="BT746" s="1">
        <v>762</v>
      </c>
      <c r="BU746" s="1">
        <v>500</v>
      </c>
      <c r="BV746" s="1"/>
      <c r="BW746" s="1"/>
      <c r="BX746" s="1"/>
      <c r="BY746" s="1"/>
      <c r="BZ746" s="1">
        <v>0</v>
      </c>
      <c r="CA746" s="1" t="s">
        <v>109</v>
      </c>
      <c r="CB746" s="1" t="s">
        <v>109</v>
      </c>
      <c r="CC746" s="1">
        <v>7</v>
      </c>
      <c r="CD746" s="1" t="s">
        <v>109</v>
      </c>
      <c r="CE746" s="1" t="s">
        <v>109</v>
      </c>
      <c r="CF746" s="1" t="s">
        <v>109</v>
      </c>
      <c r="CG746" s="1" t="s">
        <v>109</v>
      </c>
      <c r="CH746" s="1" t="s">
        <v>109</v>
      </c>
      <c r="CI746" s="1" t="s">
        <v>109</v>
      </c>
      <c r="CJ746" s="1" t="s">
        <v>109</v>
      </c>
      <c r="CK746" s="1"/>
      <c r="CL746" s="1">
        <v>0</v>
      </c>
      <c r="CM746" s="1">
        <v>0</v>
      </c>
      <c r="CN746" s="1">
        <v>0</v>
      </c>
    </row>
    <row r="747" spans="1:92" ht="14.25" customHeight="1" x14ac:dyDescent="0.15">
      <c r="A747" s="1" t="s">
        <v>6430</v>
      </c>
      <c r="B747" s="1" t="s">
        <v>189</v>
      </c>
      <c r="C747" s="1"/>
      <c r="D747" s="1"/>
      <c r="E747" s="1" t="s">
        <v>6431</v>
      </c>
      <c r="F747" s="1" t="s">
        <v>98</v>
      </c>
      <c r="G747" s="1" t="s">
        <v>6432</v>
      </c>
      <c r="H747" s="1">
        <v>0</v>
      </c>
      <c r="I747" s="1" t="s">
        <v>100</v>
      </c>
      <c r="J747" s="1"/>
      <c r="K747" s="1"/>
      <c r="L747" s="1" t="s">
        <v>1391</v>
      </c>
      <c r="M747" s="1" t="s">
        <v>574</v>
      </c>
      <c r="N747" s="1">
        <v>1</v>
      </c>
      <c r="O747" s="1">
        <v>0</v>
      </c>
      <c r="P747" s="1" t="s">
        <v>1410</v>
      </c>
      <c r="Q747" s="1" t="s">
        <v>268</v>
      </c>
      <c r="R747" s="1" t="s">
        <v>6433</v>
      </c>
      <c r="S747" s="1" t="s">
        <v>6434</v>
      </c>
      <c r="T747" s="1" t="s">
        <v>5815</v>
      </c>
      <c r="U747" s="1" t="s">
        <v>6435</v>
      </c>
      <c r="V747" s="1">
        <v>1</v>
      </c>
      <c r="W747" s="1">
        <v>1</v>
      </c>
      <c r="X747" s="1">
        <v>1</v>
      </c>
      <c r="Y747" s="1">
        <v>0</v>
      </c>
      <c r="Z747" s="1">
        <v>0</v>
      </c>
      <c r="AA747" s="1">
        <v>6</v>
      </c>
      <c r="AB747" s="1">
        <v>6</v>
      </c>
      <c r="AC747" s="1" t="s">
        <v>109</v>
      </c>
      <c r="AD747" s="1" t="s">
        <v>109</v>
      </c>
      <c r="AE747" s="1" t="s">
        <v>109</v>
      </c>
      <c r="AF747" s="1" t="s">
        <v>109</v>
      </c>
      <c r="AG747" s="1" t="s">
        <v>109</v>
      </c>
      <c r="AH747" s="1" t="s">
        <v>109</v>
      </c>
      <c r="AI747" s="1" t="s">
        <v>109</v>
      </c>
      <c r="AJ747" s="1" t="s">
        <v>109</v>
      </c>
      <c r="AK747" s="1" t="s">
        <v>109</v>
      </c>
      <c r="AL747" s="1" t="s">
        <v>109</v>
      </c>
      <c r="AM747" s="1" t="s">
        <v>109</v>
      </c>
      <c r="AN747" s="1" t="s">
        <v>109</v>
      </c>
      <c r="AO747" s="1" t="s">
        <v>109</v>
      </c>
      <c r="AP747" s="1"/>
      <c r="AQ747" s="1">
        <v>6</v>
      </c>
      <c r="AR747" s="1"/>
      <c r="AS747" s="1" t="s">
        <v>6436</v>
      </c>
      <c r="AT747" s="1">
        <v>0</v>
      </c>
      <c r="AU747" s="1">
        <v>0</v>
      </c>
      <c r="AV747" s="1">
        <v>0</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5" t="str">
        <f>HYPERLINK("http://www.d20pfsrd.com/magic/all-spells/e/enemy-hammer","Enemy Hammer")</f>
        <v>Enemy Hammer</v>
      </c>
      <c r="BT747" s="1">
        <v>763</v>
      </c>
      <c r="BU747" s="1" t="s">
        <v>109</v>
      </c>
      <c r="BV747" s="1"/>
      <c r="BW747" s="1"/>
      <c r="BX747" s="1" t="s">
        <v>6437</v>
      </c>
      <c r="BY747" s="1" t="s">
        <v>6438</v>
      </c>
      <c r="BZ747" s="1">
        <v>1</v>
      </c>
      <c r="CA747" s="1" t="s">
        <v>109</v>
      </c>
      <c r="CB747" s="1" t="s">
        <v>109</v>
      </c>
      <c r="CC747" s="1">
        <v>6</v>
      </c>
      <c r="CD747" s="1" t="s">
        <v>109</v>
      </c>
      <c r="CE747" s="1" t="s">
        <v>109</v>
      </c>
      <c r="CF747" s="1">
        <v>6</v>
      </c>
      <c r="CG747" s="1">
        <v>6</v>
      </c>
      <c r="CH747" s="1" t="s">
        <v>109</v>
      </c>
      <c r="CI747" s="1" t="s">
        <v>109</v>
      </c>
      <c r="CJ747" s="1" t="s">
        <v>109</v>
      </c>
      <c r="CK747" s="1"/>
      <c r="CL747" s="1">
        <v>0</v>
      </c>
      <c r="CM747" s="1">
        <v>0</v>
      </c>
      <c r="CN747" s="1">
        <v>0</v>
      </c>
    </row>
    <row r="748" spans="1:92" ht="14.25" customHeight="1" x14ac:dyDescent="0.15">
      <c r="A748" s="1" t="s">
        <v>6439</v>
      </c>
      <c r="B748" s="1" t="s">
        <v>189</v>
      </c>
      <c r="C748" s="1"/>
      <c r="D748" s="1"/>
      <c r="E748" s="1" t="s">
        <v>6440</v>
      </c>
      <c r="F748" s="1" t="s">
        <v>98</v>
      </c>
      <c r="G748" s="1" t="s">
        <v>6441</v>
      </c>
      <c r="H748" s="1">
        <v>0</v>
      </c>
      <c r="I748" s="1" t="s">
        <v>6442</v>
      </c>
      <c r="J748" s="1"/>
      <c r="K748" s="1" t="s">
        <v>6443</v>
      </c>
      <c r="L748" s="1"/>
      <c r="M748" s="1" t="s">
        <v>300</v>
      </c>
      <c r="N748" s="1">
        <v>0</v>
      </c>
      <c r="O748" s="1">
        <v>0</v>
      </c>
      <c r="P748" s="1" t="s">
        <v>103</v>
      </c>
      <c r="Q748" s="1" t="s">
        <v>104</v>
      </c>
      <c r="R748" s="1" t="s">
        <v>6444</v>
      </c>
      <c r="S748" s="1" t="s">
        <v>6445</v>
      </c>
      <c r="T748" s="1" t="s">
        <v>5815</v>
      </c>
      <c r="U748" s="1" t="s">
        <v>6446</v>
      </c>
      <c r="V748" s="1">
        <v>1</v>
      </c>
      <c r="W748" s="1">
        <v>1</v>
      </c>
      <c r="X748" s="1">
        <v>1</v>
      </c>
      <c r="Y748" s="1">
        <v>0</v>
      </c>
      <c r="Z748" s="1">
        <v>1</v>
      </c>
      <c r="AA748" s="1">
        <v>3</v>
      </c>
      <c r="AB748" s="1">
        <v>3</v>
      </c>
      <c r="AC748" s="1">
        <v>3</v>
      </c>
      <c r="AD748" s="1" t="s">
        <v>109</v>
      </c>
      <c r="AE748" s="1" t="s">
        <v>109</v>
      </c>
      <c r="AF748" s="1">
        <v>2</v>
      </c>
      <c r="AG748" s="1" t="s">
        <v>109</v>
      </c>
      <c r="AH748" s="1" t="s">
        <v>109</v>
      </c>
      <c r="AI748" s="1" t="s">
        <v>109</v>
      </c>
      <c r="AJ748" s="1" t="s">
        <v>109</v>
      </c>
      <c r="AK748" s="1" t="s">
        <v>109</v>
      </c>
      <c r="AL748" s="1">
        <v>3</v>
      </c>
      <c r="AM748" s="1" t="s">
        <v>109</v>
      </c>
      <c r="AN748" s="1" t="s">
        <v>109</v>
      </c>
      <c r="AO748" s="1" t="s">
        <v>109</v>
      </c>
      <c r="AP748" s="1"/>
      <c r="AQ748" s="1">
        <v>3</v>
      </c>
      <c r="AR748" s="1" t="s">
        <v>6447</v>
      </c>
      <c r="AS748" s="1" t="s">
        <v>6448</v>
      </c>
      <c r="AT748" s="1">
        <v>0</v>
      </c>
      <c r="AU748" s="1">
        <v>0</v>
      </c>
      <c r="AV748" s="1">
        <v>0</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5" t="str">
        <f>HYPERLINK("http://www.d20pfsrd.com/magic/all-spells/e/enter-image","Enter Image")</f>
        <v>Enter Image</v>
      </c>
      <c r="BT748" s="1">
        <v>764</v>
      </c>
      <c r="BU748" s="1" t="s">
        <v>109</v>
      </c>
      <c r="BV748" s="1"/>
      <c r="BW748" s="1"/>
      <c r="BX748" s="1"/>
      <c r="BY748" s="1"/>
      <c r="BZ748" s="1">
        <v>0</v>
      </c>
      <c r="CA748" s="1" t="s">
        <v>109</v>
      </c>
      <c r="CB748" s="1" t="s">
        <v>109</v>
      </c>
      <c r="CC748" s="1">
        <v>3</v>
      </c>
      <c r="CD748" s="1" t="s">
        <v>109</v>
      </c>
      <c r="CE748" s="1">
        <v>2</v>
      </c>
      <c r="CF748" s="1">
        <v>2</v>
      </c>
      <c r="CG748" s="1" t="s">
        <v>109</v>
      </c>
      <c r="CH748" s="1" t="s">
        <v>109</v>
      </c>
      <c r="CI748" s="1" t="s">
        <v>109</v>
      </c>
      <c r="CJ748" s="1" t="s">
        <v>109</v>
      </c>
      <c r="CK748" s="1"/>
      <c r="CL748" s="1">
        <v>0</v>
      </c>
      <c r="CM748" s="1">
        <v>0</v>
      </c>
      <c r="CN748" s="1">
        <v>0</v>
      </c>
    </row>
    <row r="749" spans="1:92" ht="14.25" customHeight="1" x14ac:dyDescent="0.15">
      <c r="A749" s="1" t="s">
        <v>6449</v>
      </c>
      <c r="B749" s="1" t="s">
        <v>156</v>
      </c>
      <c r="C749" s="1" t="s">
        <v>157</v>
      </c>
      <c r="D749" s="1" t="s">
        <v>375</v>
      </c>
      <c r="E749" s="1" t="s">
        <v>6450</v>
      </c>
      <c r="F749" s="1" t="s">
        <v>98</v>
      </c>
      <c r="G749" s="1" t="s">
        <v>6451</v>
      </c>
      <c r="H749" s="1">
        <v>0</v>
      </c>
      <c r="I749" s="1" t="s">
        <v>161</v>
      </c>
      <c r="J749" s="1"/>
      <c r="K749" s="1"/>
      <c r="L749" s="1" t="s">
        <v>506</v>
      </c>
      <c r="M749" s="1" t="s">
        <v>125</v>
      </c>
      <c r="N749" s="1">
        <v>0</v>
      </c>
      <c r="O749" s="1">
        <v>0</v>
      </c>
      <c r="P749" s="1" t="s">
        <v>6452</v>
      </c>
      <c r="Q749" s="1" t="s">
        <v>268</v>
      </c>
      <c r="R749" s="1" t="s">
        <v>6453</v>
      </c>
      <c r="S749" s="1" t="s">
        <v>6454</v>
      </c>
      <c r="T749" s="1" t="s">
        <v>5815</v>
      </c>
      <c r="U749" s="1" t="s">
        <v>6455</v>
      </c>
      <c r="V749" s="1">
        <v>1</v>
      </c>
      <c r="W749" s="1">
        <v>1</v>
      </c>
      <c r="X749" s="1">
        <v>1</v>
      </c>
      <c r="Y749" s="1">
        <v>0</v>
      </c>
      <c r="Z749" s="1">
        <v>1</v>
      </c>
      <c r="AA749" s="1">
        <v>8</v>
      </c>
      <c r="AB749" s="1">
        <v>8</v>
      </c>
      <c r="AC749" s="1">
        <v>8</v>
      </c>
      <c r="AD749" s="1">
        <v>8</v>
      </c>
      <c r="AE749" s="1" t="s">
        <v>109</v>
      </c>
      <c r="AF749" s="1">
        <v>6</v>
      </c>
      <c r="AG749" s="1" t="s">
        <v>109</v>
      </c>
      <c r="AH749" s="1" t="s">
        <v>109</v>
      </c>
      <c r="AI749" s="1" t="s">
        <v>109</v>
      </c>
      <c r="AJ749" s="1" t="s">
        <v>109</v>
      </c>
      <c r="AK749" s="1" t="s">
        <v>109</v>
      </c>
      <c r="AL749" s="1">
        <v>8</v>
      </c>
      <c r="AM749" s="1" t="s">
        <v>109</v>
      </c>
      <c r="AN749" s="1" t="s">
        <v>109</v>
      </c>
      <c r="AO749" s="1" t="s">
        <v>109</v>
      </c>
      <c r="AP749" s="1"/>
      <c r="AQ749" s="1">
        <v>8</v>
      </c>
      <c r="AR749" s="1" t="s">
        <v>6456</v>
      </c>
      <c r="AS749" s="1" t="s">
        <v>6457</v>
      </c>
      <c r="AT749" s="1">
        <v>0</v>
      </c>
      <c r="AU749" s="1">
        <v>0</v>
      </c>
      <c r="AV749" s="1">
        <v>0</v>
      </c>
      <c r="AW749" s="1">
        <v>0</v>
      </c>
      <c r="AX749" s="1">
        <v>0</v>
      </c>
      <c r="AY749" s="1">
        <v>0</v>
      </c>
      <c r="AZ749" s="1">
        <v>0</v>
      </c>
      <c r="BA749" s="1">
        <v>0</v>
      </c>
      <c r="BB749" s="1">
        <v>0</v>
      </c>
      <c r="BC749" s="1">
        <v>0</v>
      </c>
      <c r="BD749" s="1">
        <v>1</v>
      </c>
      <c r="BE749" s="1">
        <v>0</v>
      </c>
      <c r="BF749" s="1">
        <v>0</v>
      </c>
      <c r="BG749" s="1">
        <v>0</v>
      </c>
      <c r="BH749" s="1">
        <v>0</v>
      </c>
      <c r="BI749" s="1">
        <v>0</v>
      </c>
      <c r="BJ749" s="1">
        <v>0</v>
      </c>
      <c r="BK749" s="1">
        <v>0</v>
      </c>
      <c r="BL749" s="1">
        <v>0</v>
      </c>
      <c r="BM749" s="1">
        <v>1</v>
      </c>
      <c r="BN749" s="1">
        <v>0</v>
      </c>
      <c r="BO749" s="1">
        <v>0</v>
      </c>
      <c r="BP749" s="1">
        <v>0</v>
      </c>
      <c r="BQ749" s="1">
        <v>0</v>
      </c>
      <c r="BR749" s="1">
        <v>0</v>
      </c>
      <c r="BS749" s="5" t="str">
        <f>HYPERLINK("http://www.d20pfsrd.com/magic/all-spells/e/euphoric-tranquility","Euphoric Tranquility")</f>
        <v>Euphoric Tranquility</v>
      </c>
      <c r="BT749" s="1">
        <v>765</v>
      </c>
      <c r="BU749" s="1" t="s">
        <v>109</v>
      </c>
      <c r="BV749" s="1"/>
      <c r="BW749" s="1" t="s">
        <v>6458</v>
      </c>
      <c r="BX749" s="1"/>
      <c r="BY749" s="1"/>
      <c r="BZ749" s="1">
        <v>0</v>
      </c>
      <c r="CA749" s="1" t="s">
        <v>109</v>
      </c>
      <c r="CB749" s="1" t="s">
        <v>109</v>
      </c>
      <c r="CC749" s="1">
        <v>8</v>
      </c>
      <c r="CD749" s="1" t="s">
        <v>109</v>
      </c>
      <c r="CE749" s="1">
        <v>6</v>
      </c>
      <c r="CF749" s="1" t="s">
        <v>109</v>
      </c>
      <c r="CG749" s="1" t="s">
        <v>109</v>
      </c>
      <c r="CH749" s="1" t="s">
        <v>109</v>
      </c>
      <c r="CI749" s="1" t="s">
        <v>109</v>
      </c>
      <c r="CJ749" s="1" t="s">
        <v>109</v>
      </c>
      <c r="CK749" s="1"/>
      <c r="CL749" s="1">
        <v>0</v>
      </c>
      <c r="CM749" s="1">
        <v>0</v>
      </c>
      <c r="CN749" s="1">
        <v>0</v>
      </c>
    </row>
    <row r="750" spans="1:92" ht="14.25" customHeight="1" x14ac:dyDescent="0.15">
      <c r="A750" s="1" t="s">
        <v>6459</v>
      </c>
      <c r="B750" s="1" t="s">
        <v>189</v>
      </c>
      <c r="C750" s="1"/>
      <c r="D750" s="1"/>
      <c r="E750" s="1" t="s">
        <v>6460</v>
      </c>
      <c r="F750" s="1" t="s">
        <v>98</v>
      </c>
      <c r="G750" s="1" t="s">
        <v>6334</v>
      </c>
      <c r="H750" s="1">
        <v>0</v>
      </c>
      <c r="I750" s="1" t="s">
        <v>161</v>
      </c>
      <c r="J750" s="1"/>
      <c r="K750" s="1"/>
      <c r="L750" s="1" t="s">
        <v>6461</v>
      </c>
      <c r="M750" s="1" t="s">
        <v>3042</v>
      </c>
      <c r="N750" s="1">
        <v>0</v>
      </c>
      <c r="O750" s="1">
        <v>0</v>
      </c>
      <c r="P750" s="1" t="s">
        <v>507</v>
      </c>
      <c r="Q750" s="1" t="s">
        <v>104</v>
      </c>
      <c r="R750" s="1" t="s">
        <v>6462</v>
      </c>
      <c r="S750" s="1" t="s">
        <v>6463</v>
      </c>
      <c r="T750" s="1" t="s">
        <v>5815</v>
      </c>
      <c r="U750" s="1" t="s">
        <v>6464</v>
      </c>
      <c r="V750" s="1">
        <v>1</v>
      </c>
      <c r="W750" s="1">
        <v>1</v>
      </c>
      <c r="X750" s="1">
        <v>1</v>
      </c>
      <c r="Y750" s="1">
        <v>0</v>
      </c>
      <c r="Z750" s="1">
        <v>0</v>
      </c>
      <c r="AA750" s="1" t="s">
        <v>109</v>
      </c>
      <c r="AB750" s="1" t="s">
        <v>109</v>
      </c>
      <c r="AC750" s="1" t="s">
        <v>109</v>
      </c>
      <c r="AD750" s="1" t="s">
        <v>109</v>
      </c>
      <c r="AE750" s="1" t="s">
        <v>109</v>
      </c>
      <c r="AF750" s="1" t="s">
        <v>109</v>
      </c>
      <c r="AG750" s="1" t="s">
        <v>109</v>
      </c>
      <c r="AH750" s="1" t="s">
        <v>109</v>
      </c>
      <c r="AI750" s="1">
        <v>2</v>
      </c>
      <c r="AJ750" s="1" t="s">
        <v>109</v>
      </c>
      <c r="AK750" s="1" t="s">
        <v>109</v>
      </c>
      <c r="AL750" s="1" t="s">
        <v>109</v>
      </c>
      <c r="AM750" s="1" t="s">
        <v>109</v>
      </c>
      <c r="AN750" s="1" t="s">
        <v>109</v>
      </c>
      <c r="AO750" s="1" t="s">
        <v>109</v>
      </c>
      <c r="AP750" s="1"/>
      <c r="AQ750" s="1">
        <v>2</v>
      </c>
      <c r="AR750" s="1"/>
      <c r="AS750" s="1" t="s">
        <v>6465</v>
      </c>
      <c r="AT750" s="1">
        <v>0</v>
      </c>
      <c r="AU750" s="1">
        <v>0</v>
      </c>
      <c r="AV750" s="1">
        <v>0</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5" t="str">
        <f>HYPERLINK("http://www.d20pfsrd.com/magic/all-spells/e/evolution-surge,-leser","Evolution Surge, Leser")</f>
        <v>Evolution Surge, Leser</v>
      </c>
      <c r="BT750" s="1">
        <v>766</v>
      </c>
      <c r="BU750" s="1" t="s">
        <v>109</v>
      </c>
      <c r="BV750" s="1"/>
      <c r="BW750" s="1"/>
      <c r="BX750" s="1"/>
      <c r="BY750" s="1"/>
      <c r="BZ750" s="1">
        <v>0</v>
      </c>
      <c r="CA750" s="1" t="s">
        <v>109</v>
      </c>
      <c r="CB750" s="1" t="s">
        <v>109</v>
      </c>
      <c r="CC750" s="1" t="s">
        <v>109</v>
      </c>
      <c r="CD750" s="1" t="s">
        <v>109</v>
      </c>
      <c r="CE750" s="1" t="s">
        <v>109</v>
      </c>
      <c r="CF750" s="1" t="s">
        <v>109</v>
      </c>
      <c r="CG750" s="1" t="s">
        <v>109</v>
      </c>
      <c r="CH750" s="1" t="s">
        <v>109</v>
      </c>
      <c r="CI750" s="1" t="s">
        <v>109</v>
      </c>
      <c r="CJ750" s="1" t="s">
        <v>109</v>
      </c>
      <c r="CK750" s="1"/>
      <c r="CL750" s="1">
        <v>0</v>
      </c>
      <c r="CM750" s="1">
        <v>0</v>
      </c>
      <c r="CN750" s="1">
        <v>0</v>
      </c>
    </row>
    <row r="751" spans="1:92" ht="14.25" customHeight="1" x14ac:dyDescent="0.15">
      <c r="A751" s="1" t="s">
        <v>6466</v>
      </c>
      <c r="B751" s="1" t="s">
        <v>189</v>
      </c>
      <c r="C751" s="1"/>
      <c r="D751" s="1"/>
      <c r="E751" s="1" t="s">
        <v>6467</v>
      </c>
      <c r="F751" s="1" t="s">
        <v>98</v>
      </c>
      <c r="G751" s="1" t="s">
        <v>6334</v>
      </c>
      <c r="H751" s="1">
        <v>0</v>
      </c>
      <c r="I751" s="1" t="s">
        <v>161</v>
      </c>
      <c r="J751" s="1"/>
      <c r="K751" s="1"/>
      <c r="L751" s="1" t="s">
        <v>6461</v>
      </c>
      <c r="M751" s="1" t="s">
        <v>3042</v>
      </c>
      <c r="N751" s="1">
        <v>0</v>
      </c>
      <c r="O751" s="1">
        <v>0</v>
      </c>
      <c r="P751" s="1" t="s">
        <v>507</v>
      </c>
      <c r="Q751" s="1" t="s">
        <v>104</v>
      </c>
      <c r="R751" s="1" t="s">
        <v>6468</v>
      </c>
      <c r="S751" s="1" t="s">
        <v>6469</v>
      </c>
      <c r="T751" s="1" t="s">
        <v>5815</v>
      </c>
      <c r="U751" s="1" t="s">
        <v>6470</v>
      </c>
      <c r="V751" s="1">
        <v>1</v>
      </c>
      <c r="W751" s="1">
        <v>1</v>
      </c>
      <c r="X751" s="1">
        <v>1</v>
      </c>
      <c r="Y751" s="1">
        <v>0</v>
      </c>
      <c r="Z751" s="1">
        <v>0</v>
      </c>
      <c r="AA751" s="1" t="s">
        <v>109</v>
      </c>
      <c r="AB751" s="1" t="s">
        <v>109</v>
      </c>
      <c r="AC751" s="1" t="s">
        <v>109</v>
      </c>
      <c r="AD751" s="1" t="s">
        <v>109</v>
      </c>
      <c r="AE751" s="1" t="s">
        <v>109</v>
      </c>
      <c r="AF751" s="1" t="s">
        <v>109</v>
      </c>
      <c r="AG751" s="1" t="s">
        <v>109</v>
      </c>
      <c r="AH751" s="1" t="s">
        <v>109</v>
      </c>
      <c r="AI751" s="1">
        <v>3</v>
      </c>
      <c r="AJ751" s="1" t="s">
        <v>109</v>
      </c>
      <c r="AK751" s="1" t="s">
        <v>109</v>
      </c>
      <c r="AL751" s="1" t="s">
        <v>109</v>
      </c>
      <c r="AM751" s="1" t="s">
        <v>109</v>
      </c>
      <c r="AN751" s="1" t="s">
        <v>109</v>
      </c>
      <c r="AO751" s="1" t="s">
        <v>109</v>
      </c>
      <c r="AP751" s="1"/>
      <c r="AQ751" s="1">
        <v>3</v>
      </c>
      <c r="AR751" s="1"/>
      <c r="AS751" s="1" t="s">
        <v>6471</v>
      </c>
      <c r="AT751" s="1">
        <v>0</v>
      </c>
      <c r="AU751" s="1">
        <v>0</v>
      </c>
      <c r="AV751" s="1">
        <v>0</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5" t="str">
        <f>HYPERLINK("http://www.d20pfsrd.com/magic/all-spells/e/evolution-surge","Evolution Surge")</f>
        <v>Evolution Surge</v>
      </c>
      <c r="BT751" s="1">
        <v>767</v>
      </c>
      <c r="BU751" s="1" t="s">
        <v>109</v>
      </c>
      <c r="BV751" s="1"/>
      <c r="BW751" s="1"/>
      <c r="BX751" s="1"/>
      <c r="BY751" s="1"/>
      <c r="BZ751" s="1">
        <v>0</v>
      </c>
      <c r="CA751" s="1" t="s">
        <v>109</v>
      </c>
      <c r="CB751" s="1" t="s">
        <v>109</v>
      </c>
      <c r="CC751" s="1" t="s">
        <v>109</v>
      </c>
      <c r="CD751" s="1" t="s">
        <v>109</v>
      </c>
      <c r="CE751" s="1" t="s">
        <v>109</v>
      </c>
      <c r="CF751" s="1" t="s">
        <v>109</v>
      </c>
      <c r="CG751" s="1" t="s">
        <v>109</v>
      </c>
      <c r="CH751" s="1" t="s">
        <v>109</v>
      </c>
      <c r="CI751" s="1" t="s">
        <v>109</v>
      </c>
      <c r="CJ751" s="1" t="s">
        <v>109</v>
      </c>
      <c r="CK751" s="1"/>
      <c r="CL751" s="1">
        <v>0</v>
      </c>
      <c r="CM751" s="1">
        <v>0</v>
      </c>
      <c r="CN751" s="1">
        <v>0</v>
      </c>
    </row>
    <row r="752" spans="1:92" ht="14.25" customHeight="1" x14ac:dyDescent="0.15">
      <c r="A752" s="1" t="s">
        <v>6472</v>
      </c>
      <c r="B752" s="1" t="s">
        <v>189</v>
      </c>
      <c r="C752" s="1"/>
      <c r="D752" s="1"/>
      <c r="E752" s="1" t="s">
        <v>6473</v>
      </c>
      <c r="F752" s="1" t="s">
        <v>98</v>
      </c>
      <c r="G752" s="1" t="s">
        <v>6334</v>
      </c>
      <c r="H752" s="1">
        <v>0</v>
      </c>
      <c r="I752" s="1" t="s">
        <v>161</v>
      </c>
      <c r="J752" s="1"/>
      <c r="K752" s="1"/>
      <c r="L752" s="1" t="s">
        <v>6461</v>
      </c>
      <c r="M752" s="1" t="s">
        <v>3042</v>
      </c>
      <c r="N752" s="1">
        <v>0</v>
      </c>
      <c r="O752" s="1">
        <v>0</v>
      </c>
      <c r="P752" s="1" t="s">
        <v>507</v>
      </c>
      <c r="Q752" s="1" t="s">
        <v>104</v>
      </c>
      <c r="R752" s="1" t="s">
        <v>6474</v>
      </c>
      <c r="S752" s="1" t="s">
        <v>6475</v>
      </c>
      <c r="T752" s="1" t="s">
        <v>5815</v>
      </c>
      <c r="U752" s="1" t="s">
        <v>6476</v>
      </c>
      <c r="V752" s="1">
        <v>1</v>
      </c>
      <c r="W752" s="1">
        <v>1</v>
      </c>
      <c r="X752" s="1">
        <v>1</v>
      </c>
      <c r="Y752" s="1">
        <v>0</v>
      </c>
      <c r="Z752" s="1">
        <v>0</v>
      </c>
      <c r="AA752" s="1" t="s">
        <v>109</v>
      </c>
      <c r="AB752" s="1" t="s">
        <v>109</v>
      </c>
      <c r="AC752" s="1" t="s">
        <v>109</v>
      </c>
      <c r="AD752" s="1" t="s">
        <v>109</v>
      </c>
      <c r="AE752" s="1" t="s">
        <v>109</v>
      </c>
      <c r="AF752" s="1" t="s">
        <v>109</v>
      </c>
      <c r="AG752" s="1" t="s">
        <v>109</v>
      </c>
      <c r="AH752" s="1" t="s">
        <v>109</v>
      </c>
      <c r="AI752" s="1">
        <v>4</v>
      </c>
      <c r="AJ752" s="1" t="s">
        <v>109</v>
      </c>
      <c r="AK752" s="1" t="s">
        <v>109</v>
      </c>
      <c r="AL752" s="1" t="s">
        <v>109</v>
      </c>
      <c r="AM752" s="1" t="s">
        <v>109</v>
      </c>
      <c r="AN752" s="1" t="s">
        <v>109</v>
      </c>
      <c r="AO752" s="1" t="s">
        <v>109</v>
      </c>
      <c r="AP752" s="1"/>
      <c r="AQ752" s="1">
        <v>4</v>
      </c>
      <c r="AR752" s="1"/>
      <c r="AS752" s="1" t="s">
        <v>6477</v>
      </c>
      <c r="AT752" s="1">
        <v>0</v>
      </c>
      <c r="AU752" s="1">
        <v>0</v>
      </c>
      <c r="AV752" s="1">
        <v>0</v>
      </c>
      <c r="AW752" s="1">
        <v>0</v>
      </c>
      <c r="AX752" s="1">
        <v>0</v>
      </c>
      <c r="AY752" s="1">
        <v>0</v>
      </c>
      <c r="AZ752" s="1">
        <v>0</v>
      </c>
      <c r="BA752" s="1">
        <v>0</v>
      </c>
      <c r="BB752" s="1">
        <v>0</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5" t="str">
        <f>HYPERLINK("http://www.d20pfsrd.com/magic/all-spells/e/evolution-surge,-greater","Evolution Surge, Greater")</f>
        <v>Evolution Surge, Greater</v>
      </c>
      <c r="BT752" s="1">
        <v>768</v>
      </c>
      <c r="BU752" s="1" t="s">
        <v>109</v>
      </c>
      <c r="BV752" s="1"/>
      <c r="BW752" s="1"/>
      <c r="BX752" s="1"/>
      <c r="BY752" s="1"/>
      <c r="BZ752" s="1">
        <v>0</v>
      </c>
      <c r="CA752" s="1" t="s">
        <v>109</v>
      </c>
      <c r="CB752" s="1" t="s">
        <v>109</v>
      </c>
      <c r="CC752" s="1" t="s">
        <v>109</v>
      </c>
      <c r="CD752" s="1" t="s">
        <v>109</v>
      </c>
      <c r="CE752" s="1" t="s">
        <v>109</v>
      </c>
      <c r="CF752" s="1" t="s">
        <v>109</v>
      </c>
      <c r="CG752" s="1" t="s">
        <v>109</v>
      </c>
      <c r="CH752" s="1" t="s">
        <v>109</v>
      </c>
      <c r="CI752" s="1" t="s">
        <v>109</v>
      </c>
      <c r="CJ752" s="1" t="s">
        <v>109</v>
      </c>
      <c r="CK752" s="1"/>
      <c r="CL752" s="1">
        <v>0</v>
      </c>
      <c r="CM752" s="1">
        <v>0</v>
      </c>
      <c r="CN752" s="1">
        <v>0</v>
      </c>
    </row>
    <row r="753" spans="1:92" ht="14.25" customHeight="1" x14ac:dyDescent="0.15">
      <c r="A753" s="1" t="s">
        <v>6478</v>
      </c>
      <c r="B753" s="1" t="s">
        <v>189</v>
      </c>
      <c r="C753" s="1"/>
      <c r="D753" s="1" t="s">
        <v>54</v>
      </c>
      <c r="E753" s="1" t="s">
        <v>6479</v>
      </c>
      <c r="F753" s="1" t="s">
        <v>98</v>
      </c>
      <c r="G753" s="1" t="s">
        <v>6480</v>
      </c>
      <c r="H753" s="1">
        <v>0</v>
      </c>
      <c r="I753" s="1" t="s">
        <v>142</v>
      </c>
      <c r="J753" s="1" t="s">
        <v>6481</v>
      </c>
      <c r="K753" s="1"/>
      <c r="L753" s="1"/>
      <c r="M753" s="1" t="s">
        <v>144</v>
      </c>
      <c r="N753" s="1">
        <v>0</v>
      </c>
      <c r="O753" s="1">
        <v>0</v>
      </c>
      <c r="P753" s="1" t="s">
        <v>211</v>
      </c>
      <c r="Q753" s="1" t="s">
        <v>104</v>
      </c>
      <c r="R753" s="1" t="s">
        <v>6482</v>
      </c>
      <c r="S753" s="1" t="s">
        <v>6483</v>
      </c>
      <c r="T753" s="1" t="s">
        <v>5815</v>
      </c>
      <c r="U753" s="1" t="s">
        <v>6484</v>
      </c>
      <c r="V753" s="1">
        <v>1</v>
      </c>
      <c r="W753" s="1">
        <v>1</v>
      </c>
      <c r="X753" s="1">
        <v>1</v>
      </c>
      <c r="Y753" s="1">
        <v>0</v>
      </c>
      <c r="Z753" s="1">
        <v>0</v>
      </c>
      <c r="AA753" s="1">
        <v>1</v>
      </c>
      <c r="AB753" s="1">
        <v>1</v>
      </c>
      <c r="AC753" s="1" t="s">
        <v>109</v>
      </c>
      <c r="AD753" s="1">
        <v>1</v>
      </c>
      <c r="AE753" s="1" t="s">
        <v>109</v>
      </c>
      <c r="AF753" s="1" t="s">
        <v>109</v>
      </c>
      <c r="AG753" s="1" t="s">
        <v>109</v>
      </c>
      <c r="AH753" s="1" t="s">
        <v>109</v>
      </c>
      <c r="AI753" s="1" t="s">
        <v>109</v>
      </c>
      <c r="AJ753" s="1" t="s">
        <v>109</v>
      </c>
      <c r="AK753" s="1" t="s">
        <v>109</v>
      </c>
      <c r="AL753" s="1" t="s">
        <v>109</v>
      </c>
      <c r="AM753" s="1" t="s">
        <v>109</v>
      </c>
      <c r="AN753" s="1" t="s">
        <v>109</v>
      </c>
      <c r="AO753" s="1" t="s">
        <v>109</v>
      </c>
      <c r="AP753" s="1"/>
      <c r="AQ753" s="1">
        <v>1</v>
      </c>
      <c r="AR753" s="1"/>
      <c r="AS753" s="1" t="s">
        <v>6485</v>
      </c>
      <c r="AT753" s="1">
        <v>0</v>
      </c>
      <c r="AU753" s="1">
        <v>0</v>
      </c>
      <c r="AV753" s="1">
        <v>0</v>
      </c>
      <c r="AW753" s="1">
        <v>0</v>
      </c>
      <c r="AX753" s="1">
        <v>0</v>
      </c>
      <c r="AY753" s="1">
        <v>0</v>
      </c>
      <c r="AZ753" s="1">
        <v>0</v>
      </c>
      <c r="BA753" s="1">
        <v>0</v>
      </c>
      <c r="BB753" s="1">
        <v>1</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5" t="str">
        <f>HYPERLINK("http://www.d20pfsrd.com/magic/all-spells/e/expeditious-excavation","Expeditious Excavation")</f>
        <v>Expeditious Excavation</v>
      </c>
      <c r="BT753" s="1">
        <v>769</v>
      </c>
      <c r="BU753" s="1" t="s">
        <v>109</v>
      </c>
      <c r="BV753" s="1" t="s">
        <v>6486</v>
      </c>
      <c r="BW753" s="1"/>
      <c r="BX753" s="1"/>
      <c r="BY753" s="1"/>
      <c r="BZ753" s="1">
        <v>0</v>
      </c>
      <c r="CA753" s="1" t="s">
        <v>109</v>
      </c>
      <c r="CB753" s="1" t="s">
        <v>109</v>
      </c>
      <c r="CC753" s="1" t="s">
        <v>109</v>
      </c>
      <c r="CD753" s="1" t="s">
        <v>109</v>
      </c>
      <c r="CE753" s="1" t="s">
        <v>109</v>
      </c>
      <c r="CF753" s="1" t="s">
        <v>109</v>
      </c>
      <c r="CG753" s="1" t="s">
        <v>109</v>
      </c>
      <c r="CH753" s="1" t="s">
        <v>109</v>
      </c>
      <c r="CI753" s="1" t="s">
        <v>109</v>
      </c>
      <c r="CJ753" s="1">
        <v>1</v>
      </c>
      <c r="CK753" s="1"/>
      <c r="CL753" s="1">
        <v>0</v>
      </c>
      <c r="CM753" s="1">
        <v>0</v>
      </c>
      <c r="CN753" s="1">
        <v>0</v>
      </c>
    </row>
    <row r="754" spans="1:92" ht="14.25" customHeight="1" x14ac:dyDescent="0.15">
      <c r="A754" s="1" t="s">
        <v>6487</v>
      </c>
      <c r="B754" s="1" t="s">
        <v>242</v>
      </c>
      <c r="C754" s="1"/>
      <c r="D754" s="1"/>
      <c r="E754" s="1" t="s">
        <v>1101</v>
      </c>
      <c r="F754" s="1" t="s">
        <v>98</v>
      </c>
      <c r="G754" s="1" t="s">
        <v>6488</v>
      </c>
      <c r="H754" s="1">
        <v>0</v>
      </c>
      <c r="I754" s="1" t="s">
        <v>122</v>
      </c>
      <c r="J754" s="1" t="s">
        <v>824</v>
      </c>
      <c r="K754" s="1"/>
      <c r="L754" s="1"/>
      <c r="M754" s="1" t="s">
        <v>144</v>
      </c>
      <c r="N754" s="1">
        <v>0</v>
      </c>
      <c r="O754" s="1">
        <v>0</v>
      </c>
      <c r="P754" s="1" t="s">
        <v>301</v>
      </c>
      <c r="Q754" s="1" t="s">
        <v>268</v>
      </c>
      <c r="R754" s="1" t="s">
        <v>6489</v>
      </c>
      <c r="S754" s="1" t="s">
        <v>6490</v>
      </c>
      <c r="T754" s="1" t="s">
        <v>5815</v>
      </c>
      <c r="U754" s="1" t="s">
        <v>6491</v>
      </c>
      <c r="V754" s="1">
        <v>1</v>
      </c>
      <c r="W754" s="1">
        <v>1</v>
      </c>
      <c r="X754" s="1">
        <v>1</v>
      </c>
      <c r="Y754" s="1">
        <v>0</v>
      </c>
      <c r="Z754" s="1">
        <v>0</v>
      </c>
      <c r="AA754" s="1">
        <v>7</v>
      </c>
      <c r="AB754" s="1">
        <v>7</v>
      </c>
      <c r="AC754" s="1" t="s">
        <v>109</v>
      </c>
      <c r="AD754" s="1" t="s">
        <v>109</v>
      </c>
      <c r="AE754" s="1" t="s">
        <v>109</v>
      </c>
      <c r="AF754" s="1" t="s">
        <v>109</v>
      </c>
      <c r="AG754" s="1" t="s">
        <v>109</v>
      </c>
      <c r="AH754" s="1" t="s">
        <v>109</v>
      </c>
      <c r="AI754" s="1" t="s">
        <v>109</v>
      </c>
      <c r="AJ754" s="1" t="s">
        <v>109</v>
      </c>
      <c r="AK754" s="1" t="s">
        <v>109</v>
      </c>
      <c r="AL754" s="1" t="s">
        <v>109</v>
      </c>
      <c r="AM754" s="1" t="s">
        <v>109</v>
      </c>
      <c r="AN754" s="1" t="s">
        <v>109</v>
      </c>
      <c r="AO754" s="1" t="s">
        <v>109</v>
      </c>
      <c r="AP754" s="1"/>
      <c r="AQ754" s="1">
        <v>7</v>
      </c>
      <c r="AR754" s="1"/>
      <c r="AS754" s="1" t="s">
        <v>6492</v>
      </c>
      <c r="AT754" s="1">
        <v>0</v>
      </c>
      <c r="AU754" s="1">
        <v>0</v>
      </c>
      <c r="AV754" s="1">
        <v>0</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5" t="str">
        <f>HYPERLINK("http://www.d20pfsrd.com/magic/all-spells/e/expend","Expend")</f>
        <v>Expend</v>
      </c>
      <c r="BT754" s="1">
        <v>770</v>
      </c>
      <c r="BU754" s="1" t="s">
        <v>109</v>
      </c>
      <c r="BV754" s="1"/>
      <c r="BW754" s="1" t="s">
        <v>6493</v>
      </c>
      <c r="BX754" s="1"/>
      <c r="BY754" s="1"/>
      <c r="BZ754" s="1">
        <v>0</v>
      </c>
      <c r="CA754" s="1" t="s">
        <v>109</v>
      </c>
      <c r="CB754" s="1" t="s">
        <v>109</v>
      </c>
      <c r="CC754" s="1" t="s">
        <v>109</v>
      </c>
      <c r="CD754" s="1" t="s">
        <v>109</v>
      </c>
      <c r="CE754" s="1" t="s">
        <v>109</v>
      </c>
      <c r="CF754" s="1" t="s">
        <v>109</v>
      </c>
      <c r="CG754" s="1" t="s">
        <v>109</v>
      </c>
      <c r="CH754" s="1" t="s">
        <v>109</v>
      </c>
      <c r="CI754" s="1" t="s">
        <v>109</v>
      </c>
      <c r="CJ754" s="1" t="s">
        <v>109</v>
      </c>
      <c r="CK754" s="1"/>
      <c r="CL754" s="1">
        <v>0</v>
      </c>
      <c r="CM754" s="1">
        <v>0</v>
      </c>
      <c r="CN754" s="1">
        <v>0</v>
      </c>
    </row>
    <row r="755" spans="1:92" ht="14.25" customHeight="1" x14ac:dyDescent="0.15">
      <c r="A755" s="1" t="s">
        <v>6494</v>
      </c>
      <c r="B755" s="1" t="s">
        <v>189</v>
      </c>
      <c r="C755" s="1"/>
      <c r="D755" s="1"/>
      <c r="E755" s="1" t="s">
        <v>6495</v>
      </c>
      <c r="F755" s="1" t="s">
        <v>98</v>
      </c>
      <c r="G755" s="1" t="s">
        <v>6496</v>
      </c>
      <c r="H755" s="1">
        <v>0</v>
      </c>
      <c r="I755" s="1" t="s">
        <v>6497</v>
      </c>
      <c r="J755" s="1"/>
      <c r="K755" s="1"/>
      <c r="L755" s="1" t="s">
        <v>1391</v>
      </c>
      <c r="M755" s="1" t="s">
        <v>6498</v>
      </c>
      <c r="N755" s="1">
        <v>1</v>
      </c>
      <c r="O755" s="1">
        <v>0</v>
      </c>
      <c r="P755" s="1" t="s">
        <v>267</v>
      </c>
      <c r="Q755" s="1" t="s">
        <v>268</v>
      </c>
      <c r="R755" s="1" t="s">
        <v>6499</v>
      </c>
      <c r="S755" s="1" t="s">
        <v>6500</v>
      </c>
      <c r="T755" s="1" t="s">
        <v>5815</v>
      </c>
      <c r="U755" s="1" t="s">
        <v>6501</v>
      </c>
      <c r="V755" s="1">
        <v>1</v>
      </c>
      <c r="W755" s="1">
        <v>1</v>
      </c>
      <c r="X755" s="1">
        <v>1</v>
      </c>
      <c r="Y755" s="1">
        <v>0</v>
      </c>
      <c r="Z755" s="1">
        <v>0</v>
      </c>
      <c r="AA755" s="1" t="s">
        <v>109</v>
      </c>
      <c r="AB755" s="1" t="s">
        <v>109</v>
      </c>
      <c r="AC755" s="1" t="s">
        <v>109</v>
      </c>
      <c r="AD755" s="1">
        <v>2</v>
      </c>
      <c r="AE755" s="1" t="s">
        <v>109</v>
      </c>
      <c r="AF755" s="1" t="s">
        <v>109</v>
      </c>
      <c r="AG755" s="1" t="s">
        <v>109</v>
      </c>
      <c r="AH755" s="1" t="s">
        <v>109</v>
      </c>
      <c r="AI755" s="1" t="s">
        <v>109</v>
      </c>
      <c r="AJ755" s="1">
        <v>2</v>
      </c>
      <c r="AK755" s="1" t="s">
        <v>109</v>
      </c>
      <c r="AL755" s="1" t="s">
        <v>109</v>
      </c>
      <c r="AM755" s="1" t="s">
        <v>109</v>
      </c>
      <c r="AN755" s="1" t="s">
        <v>109</v>
      </c>
      <c r="AO755" s="1" t="s">
        <v>109</v>
      </c>
      <c r="AP755" s="1"/>
      <c r="AQ755" s="1">
        <v>2</v>
      </c>
      <c r="AR755" s="1"/>
      <c r="AS755" s="1" t="s">
        <v>6502</v>
      </c>
      <c r="AT755" s="1">
        <v>0</v>
      </c>
      <c r="AU755" s="1">
        <v>0</v>
      </c>
      <c r="AV755" s="1">
        <v>0</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5" t="str">
        <f>HYPERLINK("http://www.d20pfsrd.com/magic/all-spells/f/feast-of-ashes","Feast of Ashes")</f>
        <v>Feast of Ashes</v>
      </c>
      <c r="BT755" s="1">
        <v>771</v>
      </c>
      <c r="BU755" s="1" t="s">
        <v>109</v>
      </c>
      <c r="BV755" s="1" t="s">
        <v>6503</v>
      </c>
      <c r="BW755" s="1"/>
      <c r="BX755" s="1" t="s">
        <v>6504</v>
      </c>
      <c r="BY755" s="1"/>
      <c r="BZ755" s="1">
        <v>1</v>
      </c>
      <c r="CA755" s="1" t="s">
        <v>109</v>
      </c>
      <c r="CB755" s="1" t="s">
        <v>109</v>
      </c>
      <c r="CC755" s="1">
        <v>2</v>
      </c>
      <c r="CD755" s="1" t="s">
        <v>109</v>
      </c>
      <c r="CE755" s="1" t="s">
        <v>109</v>
      </c>
      <c r="CF755" s="1">
        <v>2</v>
      </c>
      <c r="CG755" s="1" t="s">
        <v>109</v>
      </c>
      <c r="CH755" s="1" t="s">
        <v>109</v>
      </c>
      <c r="CI755" s="1" t="s">
        <v>109</v>
      </c>
      <c r="CJ755" s="1">
        <v>2</v>
      </c>
      <c r="CK755" s="1"/>
      <c r="CL755" s="1">
        <v>0</v>
      </c>
      <c r="CM755" s="1">
        <v>0</v>
      </c>
      <c r="CN755" s="1">
        <v>0</v>
      </c>
    </row>
    <row r="756" spans="1:92" ht="14.25" customHeight="1" x14ac:dyDescent="0.15">
      <c r="A756" s="1" t="s">
        <v>6505</v>
      </c>
      <c r="B756" s="1" t="s">
        <v>189</v>
      </c>
      <c r="C756" s="1"/>
      <c r="D756" s="1"/>
      <c r="E756" s="1" t="s">
        <v>6506</v>
      </c>
      <c r="F756" s="1" t="s">
        <v>98</v>
      </c>
      <c r="G756" s="1" t="s">
        <v>141</v>
      </c>
      <c r="H756" s="1">
        <v>0</v>
      </c>
      <c r="I756" s="1" t="s">
        <v>142</v>
      </c>
      <c r="J756" s="1"/>
      <c r="K756" s="1"/>
      <c r="L756" s="1" t="s">
        <v>1391</v>
      </c>
      <c r="M756" s="1" t="s">
        <v>5642</v>
      </c>
      <c r="N756" s="1">
        <v>0</v>
      </c>
      <c r="O756" s="1">
        <v>0</v>
      </c>
      <c r="P756" s="1" t="s">
        <v>1382</v>
      </c>
      <c r="Q756" s="1" t="s">
        <v>268</v>
      </c>
      <c r="R756" s="1" t="s">
        <v>6507</v>
      </c>
      <c r="S756" s="1" t="s">
        <v>6508</v>
      </c>
      <c r="T756" s="1" t="s">
        <v>5815</v>
      </c>
      <c r="U756" s="1" t="s">
        <v>6509</v>
      </c>
      <c r="V756" s="1">
        <v>1</v>
      </c>
      <c r="W756" s="1">
        <v>1</v>
      </c>
      <c r="X756" s="1">
        <v>0</v>
      </c>
      <c r="Y756" s="1">
        <v>0</v>
      </c>
      <c r="Z756" s="1">
        <v>0</v>
      </c>
      <c r="AA756" s="1" t="s">
        <v>109</v>
      </c>
      <c r="AB756" s="1" t="s">
        <v>109</v>
      </c>
      <c r="AC756" s="1" t="s">
        <v>109</v>
      </c>
      <c r="AD756" s="1">
        <v>1</v>
      </c>
      <c r="AE756" s="1">
        <v>1</v>
      </c>
      <c r="AF756" s="1">
        <v>1</v>
      </c>
      <c r="AG756" s="1" t="s">
        <v>109</v>
      </c>
      <c r="AH756" s="1" t="s">
        <v>109</v>
      </c>
      <c r="AI756" s="1" t="s">
        <v>109</v>
      </c>
      <c r="AJ756" s="1" t="s">
        <v>109</v>
      </c>
      <c r="AK756" s="1" t="s">
        <v>109</v>
      </c>
      <c r="AL756" s="1" t="s">
        <v>109</v>
      </c>
      <c r="AM756" s="1" t="s">
        <v>109</v>
      </c>
      <c r="AN756" s="1" t="s">
        <v>109</v>
      </c>
      <c r="AO756" s="1" t="s">
        <v>109</v>
      </c>
      <c r="AP756" s="1"/>
      <c r="AQ756" s="1">
        <v>1</v>
      </c>
      <c r="AR756" s="1"/>
      <c r="AS756" s="1" t="s">
        <v>6510</v>
      </c>
      <c r="AT756" s="1">
        <v>0</v>
      </c>
      <c r="AU756" s="1">
        <v>0</v>
      </c>
      <c r="AV756" s="1">
        <v>0</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5" t="str">
        <f>HYPERLINK("http://www.d20pfsrd.com/magic/all-spells/f/feather-step","Feather Step")</f>
        <v>Feather Step</v>
      </c>
      <c r="BT756" s="1">
        <v>772</v>
      </c>
      <c r="BU756" s="1" t="s">
        <v>109</v>
      </c>
      <c r="BV756" s="1"/>
      <c r="BW756" s="1"/>
      <c r="BX756" s="1"/>
      <c r="BY756" s="1"/>
      <c r="BZ756" s="1">
        <v>0</v>
      </c>
      <c r="CA756" s="1" t="s">
        <v>109</v>
      </c>
      <c r="CB756" s="1" t="s">
        <v>109</v>
      </c>
      <c r="CC756" s="1">
        <v>1</v>
      </c>
      <c r="CD756" s="1" t="s">
        <v>109</v>
      </c>
      <c r="CE756" s="1" t="s">
        <v>109</v>
      </c>
      <c r="CF756" s="1" t="s">
        <v>109</v>
      </c>
      <c r="CG756" s="1" t="s">
        <v>109</v>
      </c>
      <c r="CH756" s="1" t="s">
        <v>109</v>
      </c>
      <c r="CI756" s="1" t="s">
        <v>109</v>
      </c>
      <c r="CJ756" s="1">
        <v>1</v>
      </c>
      <c r="CK756" s="1"/>
      <c r="CL756" s="1">
        <v>0</v>
      </c>
      <c r="CM756" s="1">
        <v>0</v>
      </c>
      <c r="CN756" s="1">
        <v>0</v>
      </c>
    </row>
    <row r="757" spans="1:92" ht="14.25" customHeight="1" x14ac:dyDescent="0.15">
      <c r="A757" s="1" t="s">
        <v>6511</v>
      </c>
      <c r="B757" s="1" t="s">
        <v>189</v>
      </c>
      <c r="C757" s="1"/>
      <c r="D757" s="1"/>
      <c r="E757" s="1" t="s">
        <v>6512</v>
      </c>
      <c r="F757" s="1" t="s">
        <v>98</v>
      </c>
      <c r="G757" s="1" t="s">
        <v>141</v>
      </c>
      <c r="H757" s="1">
        <v>0</v>
      </c>
      <c r="I757" s="1" t="s">
        <v>142</v>
      </c>
      <c r="J757" s="1"/>
      <c r="K757" s="1"/>
      <c r="L757" s="1" t="s">
        <v>716</v>
      </c>
      <c r="M757" s="1" t="s">
        <v>5642</v>
      </c>
      <c r="N757" s="1">
        <v>0</v>
      </c>
      <c r="O757" s="1">
        <v>0</v>
      </c>
      <c r="P757" s="1" t="s">
        <v>1382</v>
      </c>
      <c r="Q757" s="1" t="s">
        <v>268</v>
      </c>
      <c r="R757" s="1" t="s">
        <v>6513</v>
      </c>
      <c r="S757" s="1" t="s">
        <v>6514</v>
      </c>
      <c r="T757" s="1" t="s">
        <v>5815</v>
      </c>
      <c r="U757" s="1" t="s">
        <v>6515</v>
      </c>
      <c r="V757" s="1">
        <v>1</v>
      </c>
      <c r="W757" s="1">
        <v>1</v>
      </c>
      <c r="X757" s="1">
        <v>0</v>
      </c>
      <c r="Y757" s="1">
        <v>0</v>
      </c>
      <c r="Z757" s="1">
        <v>0</v>
      </c>
      <c r="AA757" s="1" t="s">
        <v>109</v>
      </c>
      <c r="AB757" s="1" t="s">
        <v>109</v>
      </c>
      <c r="AC757" s="1" t="s">
        <v>109</v>
      </c>
      <c r="AD757" s="1">
        <v>3</v>
      </c>
      <c r="AE757" s="1">
        <v>3</v>
      </c>
      <c r="AF757" s="1">
        <v>3</v>
      </c>
      <c r="AG757" s="1" t="s">
        <v>109</v>
      </c>
      <c r="AH757" s="1" t="s">
        <v>109</v>
      </c>
      <c r="AI757" s="1" t="s">
        <v>109</v>
      </c>
      <c r="AJ757" s="1" t="s">
        <v>109</v>
      </c>
      <c r="AK757" s="1" t="s">
        <v>109</v>
      </c>
      <c r="AL757" s="1" t="s">
        <v>109</v>
      </c>
      <c r="AM757" s="1" t="s">
        <v>109</v>
      </c>
      <c r="AN757" s="1" t="s">
        <v>109</v>
      </c>
      <c r="AO757" s="1" t="s">
        <v>109</v>
      </c>
      <c r="AP757" s="1"/>
      <c r="AQ757" s="1">
        <v>3</v>
      </c>
      <c r="AR757" s="1"/>
      <c r="AS757" s="1" t="s">
        <v>6516</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5" t="str">
        <f>HYPERLINK("http://www.d20pfsrd.com/magic/all-spells/f/feather-step,-mass","Feather Step, Mass")</f>
        <v>Feather Step, Mass</v>
      </c>
      <c r="BT757" s="1">
        <v>773</v>
      </c>
      <c r="BU757" s="1" t="s">
        <v>109</v>
      </c>
      <c r="BV757" s="1"/>
      <c r="BW757" s="1"/>
      <c r="BX757" s="1"/>
      <c r="BY757" s="1"/>
      <c r="BZ757" s="1">
        <v>0</v>
      </c>
      <c r="CA757" s="1" t="s">
        <v>109</v>
      </c>
      <c r="CB757" s="1" t="s">
        <v>109</v>
      </c>
      <c r="CC757" s="1">
        <v>3</v>
      </c>
      <c r="CD757" s="1" t="s">
        <v>109</v>
      </c>
      <c r="CE757" s="1" t="s">
        <v>109</v>
      </c>
      <c r="CF757" s="1" t="s">
        <v>109</v>
      </c>
      <c r="CG757" s="1" t="s">
        <v>109</v>
      </c>
      <c r="CH757" s="1" t="s">
        <v>109</v>
      </c>
      <c r="CI757" s="1" t="s">
        <v>109</v>
      </c>
      <c r="CJ757" s="1">
        <v>3</v>
      </c>
      <c r="CK757" s="1"/>
      <c r="CL757" s="1">
        <v>0</v>
      </c>
      <c r="CM757" s="1">
        <v>0</v>
      </c>
      <c r="CN757" s="1">
        <v>0</v>
      </c>
    </row>
    <row r="758" spans="1:92" ht="14.25" customHeight="1" x14ac:dyDescent="0.15">
      <c r="A758" s="1" t="s">
        <v>6517</v>
      </c>
      <c r="B758" s="1" t="s">
        <v>308</v>
      </c>
      <c r="C758" s="1"/>
      <c r="D758" s="1"/>
      <c r="E758" s="1" t="s">
        <v>6518</v>
      </c>
      <c r="F758" s="1" t="s">
        <v>98</v>
      </c>
      <c r="G758" s="1" t="s">
        <v>6519</v>
      </c>
      <c r="H758" s="1">
        <v>0</v>
      </c>
      <c r="I758" s="1" t="s">
        <v>142</v>
      </c>
      <c r="J758" s="1"/>
      <c r="K758" s="1"/>
      <c r="L758" s="1" t="s">
        <v>563</v>
      </c>
      <c r="M758" s="1" t="s">
        <v>5567</v>
      </c>
      <c r="N758" s="1">
        <v>0</v>
      </c>
      <c r="O758" s="1">
        <v>0</v>
      </c>
      <c r="P758" s="1" t="s">
        <v>1410</v>
      </c>
      <c r="Q758" s="1" t="s">
        <v>268</v>
      </c>
      <c r="R758" s="1" t="s">
        <v>6520</v>
      </c>
      <c r="S758" s="1" t="s">
        <v>6521</v>
      </c>
      <c r="T758" s="1" t="s">
        <v>5815</v>
      </c>
      <c r="U758" s="1" t="s">
        <v>6522</v>
      </c>
      <c r="V758" s="1">
        <v>1</v>
      </c>
      <c r="W758" s="1">
        <v>1</v>
      </c>
      <c r="X758" s="1">
        <v>1</v>
      </c>
      <c r="Y758" s="1">
        <v>0</v>
      </c>
      <c r="Z758" s="1">
        <v>0</v>
      </c>
      <c r="AA758" s="1" t="s">
        <v>109</v>
      </c>
      <c r="AB758" s="1" t="s">
        <v>109</v>
      </c>
      <c r="AC758" s="1" t="s">
        <v>109</v>
      </c>
      <c r="AD758" s="1" t="s">
        <v>109</v>
      </c>
      <c r="AE758" s="1" t="s">
        <v>109</v>
      </c>
      <c r="AF758" s="1" t="s">
        <v>109</v>
      </c>
      <c r="AG758" s="1" t="s">
        <v>109</v>
      </c>
      <c r="AH758" s="1" t="s">
        <v>109</v>
      </c>
      <c r="AI758" s="1" t="s">
        <v>109</v>
      </c>
      <c r="AJ758" s="1">
        <v>2</v>
      </c>
      <c r="AK758" s="1">
        <v>3</v>
      </c>
      <c r="AL758" s="1" t="s">
        <v>109</v>
      </c>
      <c r="AM758" s="1" t="s">
        <v>109</v>
      </c>
      <c r="AN758" s="1" t="s">
        <v>109</v>
      </c>
      <c r="AO758" s="1" t="s">
        <v>109</v>
      </c>
      <c r="AP758" s="1"/>
      <c r="AQ758" s="1" t="s">
        <v>109</v>
      </c>
      <c r="AR758" s="1"/>
      <c r="AS758" s="1" t="s">
        <v>6523</v>
      </c>
      <c r="AT758" s="1">
        <v>0</v>
      </c>
      <c r="AU758" s="1">
        <v>0</v>
      </c>
      <c r="AV758" s="1">
        <v>0</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5" t="str">
        <f>HYPERLINK("http://www.d20pfsrd.com/magic/all-spells/f/fester","Fester")</f>
        <v>Fester</v>
      </c>
      <c r="BT758" s="1">
        <v>774</v>
      </c>
      <c r="BU758" s="1" t="s">
        <v>109</v>
      </c>
      <c r="BV758" s="1"/>
      <c r="BW758" s="1"/>
      <c r="BX758" s="1"/>
      <c r="BY758" s="1"/>
      <c r="BZ758" s="1">
        <v>0</v>
      </c>
      <c r="CA758" s="1" t="s">
        <v>109</v>
      </c>
      <c r="CB758" s="1" t="s">
        <v>109</v>
      </c>
      <c r="CC758" s="1" t="s">
        <v>109</v>
      </c>
      <c r="CD758" s="1" t="s">
        <v>109</v>
      </c>
      <c r="CE758" s="1" t="s">
        <v>109</v>
      </c>
      <c r="CF758" s="1" t="s">
        <v>109</v>
      </c>
      <c r="CG758" s="1" t="s">
        <v>109</v>
      </c>
      <c r="CH758" s="1" t="s">
        <v>109</v>
      </c>
      <c r="CI758" s="1" t="s">
        <v>109</v>
      </c>
      <c r="CJ758" s="1" t="s">
        <v>109</v>
      </c>
      <c r="CK758" s="1"/>
      <c r="CL758" s="1">
        <v>0</v>
      </c>
      <c r="CM758" s="1">
        <v>0</v>
      </c>
      <c r="CN758" s="1">
        <v>0</v>
      </c>
    </row>
    <row r="759" spans="1:92" ht="14.25" customHeight="1" x14ac:dyDescent="0.15">
      <c r="A759" s="1" t="s">
        <v>6524</v>
      </c>
      <c r="B759" s="1" t="s">
        <v>308</v>
      </c>
      <c r="C759" s="1"/>
      <c r="D759" s="1"/>
      <c r="E759" s="1" t="s">
        <v>6525</v>
      </c>
      <c r="F759" s="1" t="s">
        <v>98</v>
      </c>
      <c r="G759" s="1" t="s">
        <v>6519</v>
      </c>
      <c r="H759" s="1">
        <v>0</v>
      </c>
      <c r="I759" s="1" t="s">
        <v>142</v>
      </c>
      <c r="J759" s="1"/>
      <c r="K759" s="1"/>
      <c r="L759" s="1" t="s">
        <v>716</v>
      </c>
      <c r="M759" s="1" t="s">
        <v>5567</v>
      </c>
      <c r="N759" s="1">
        <v>0</v>
      </c>
      <c r="O759" s="1">
        <v>0</v>
      </c>
      <c r="P759" s="1" t="s">
        <v>1410</v>
      </c>
      <c r="Q759" s="1" t="s">
        <v>268</v>
      </c>
      <c r="R759" s="1" t="s">
        <v>6526</v>
      </c>
      <c r="S759" s="1" t="s">
        <v>6527</v>
      </c>
      <c r="T759" s="1" t="s">
        <v>5815</v>
      </c>
      <c r="U759" s="1" t="s">
        <v>6528</v>
      </c>
      <c r="V759" s="1">
        <v>1</v>
      </c>
      <c r="W759" s="1">
        <v>1</v>
      </c>
      <c r="X759" s="1">
        <v>1</v>
      </c>
      <c r="Y759" s="1">
        <v>0</v>
      </c>
      <c r="Z759" s="1">
        <v>0</v>
      </c>
      <c r="AA759" s="1" t="s">
        <v>109</v>
      </c>
      <c r="AB759" s="1" t="s">
        <v>109</v>
      </c>
      <c r="AC759" s="1" t="s">
        <v>109</v>
      </c>
      <c r="AD759" s="1" t="s">
        <v>109</v>
      </c>
      <c r="AE759" s="1" t="s">
        <v>109</v>
      </c>
      <c r="AF759" s="1" t="s">
        <v>109</v>
      </c>
      <c r="AG759" s="1" t="s">
        <v>109</v>
      </c>
      <c r="AH759" s="1" t="s">
        <v>109</v>
      </c>
      <c r="AI759" s="1" t="s">
        <v>109</v>
      </c>
      <c r="AJ759" s="1">
        <v>6</v>
      </c>
      <c r="AK759" s="1">
        <v>6</v>
      </c>
      <c r="AL759" s="1" t="s">
        <v>109</v>
      </c>
      <c r="AM759" s="1" t="s">
        <v>109</v>
      </c>
      <c r="AN759" s="1" t="s">
        <v>109</v>
      </c>
      <c r="AO759" s="1" t="s">
        <v>109</v>
      </c>
      <c r="AP759" s="1"/>
      <c r="AQ759" s="1">
        <v>6</v>
      </c>
      <c r="AR759" s="1"/>
      <c r="AS759" s="1" t="s">
        <v>6529</v>
      </c>
      <c r="AT759" s="1">
        <v>0</v>
      </c>
      <c r="AU759" s="1">
        <v>0</v>
      </c>
      <c r="AV759" s="1">
        <v>0</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5" t="str">
        <f>HYPERLINK("http://www.d20pfsrd.com/magic/all-spells/f/fester,-mass","Fester, Mass")</f>
        <v>Fester, Mass</v>
      </c>
      <c r="BT759" s="1">
        <v>775</v>
      </c>
      <c r="BU759" s="1" t="s">
        <v>109</v>
      </c>
      <c r="BV759" s="1"/>
      <c r="BW759" s="1"/>
      <c r="BX759" s="1"/>
      <c r="BY759" s="1"/>
      <c r="BZ759" s="1">
        <v>0</v>
      </c>
      <c r="CA759" s="1" t="s">
        <v>109</v>
      </c>
      <c r="CB759" s="1" t="s">
        <v>109</v>
      </c>
      <c r="CC759" s="1" t="s">
        <v>109</v>
      </c>
      <c r="CD759" s="1" t="s">
        <v>109</v>
      </c>
      <c r="CE759" s="1" t="s">
        <v>109</v>
      </c>
      <c r="CF759" s="1" t="s">
        <v>109</v>
      </c>
      <c r="CG759" s="1" t="s">
        <v>109</v>
      </c>
      <c r="CH759" s="1" t="s">
        <v>109</v>
      </c>
      <c r="CI759" s="1" t="s">
        <v>109</v>
      </c>
      <c r="CJ759" s="1" t="s">
        <v>109</v>
      </c>
      <c r="CK759" s="1"/>
      <c r="CL759" s="1">
        <v>0</v>
      </c>
      <c r="CM759" s="1">
        <v>0</v>
      </c>
      <c r="CN759" s="1">
        <v>0</v>
      </c>
    </row>
    <row r="760" spans="1:92" ht="14.25" customHeight="1" x14ac:dyDescent="0.15">
      <c r="A760" s="1" t="s">
        <v>6530</v>
      </c>
      <c r="B760" s="1" t="s">
        <v>189</v>
      </c>
      <c r="C760" s="1"/>
      <c r="D760" s="1" t="s">
        <v>59</v>
      </c>
      <c r="E760" s="1" t="s">
        <v>3283</v>
      </c>
      <c r="F760" s="1" t="s">
        <v>98</v>
      </c>
      <c r="G760" s="1" t="s">
        <v>333</v>
      </c>
      <c r="H760" s="1">
        <v>0</v>
      </c>
      <c r="I760" s="1" t="s">
        <v>235</v>
      </c>
      <c r="J760" s="1"/>
      <c r="K760" s="1"/>
      <c r="L760" s="1" t="s">
        <v>236</v>
      </c>
      <c r="M760" s="1" t="s">
        <v>3042</v>
      </c>
      <c r="N760" s="1">
        <v>0</v>
      </c>
      <c r="O760" s="1">
        <v>0</v>
      </c>
      <c r="P760" s="1"/>
      <c r="Q760" s="1"/>
      <c r="R760" s="1" t="s">
        <v>6531</v>
      </c>
      <c r="S760" s="1" t="s">
        <v>6532</v>
      </c>
      <c r="T760" s="1" t="s">
        <v>5815</v>
      </c>
      <c r="U760" s="1" t="s">
        <v>6533</v>
      </c>
      <c r="V760" s="1">
        <v>1</v>
      </c>
      <c r="W760" s="1">
        <v>0</v>
      </c>
      <c r="X760" s="1">
        <v>0</v>
      </c>
      <c r="Y760" s="1">
        <v>0</v>
      </c>
      <c r="Z760" s="1">
        <v>0</v>
      </c>
      <c r="AA760" s="1">
        <v>9</v>
      </c>
      <c r="AB760" s="1">
        <v>9</v>
      </c>
      <c r="AC760" s="1" t="s">
        <v>109</v>
      </c>
      <c r="AD760" s="1" t="s">
        <v>109</v>
      </c>
      <c r="AE760" s="1" t="s">
        <v>109</v>
      </c>
      <c r="AF760" s="1" t="s">
        <v>109</v>
      </c>
      <c r="AG760" s="1" t="s">
        <v>109</v>
      </c>
      <c r="AH760" s="1" t="s">
        <v>109</v>
      </c>
      <c r="AI760" s="1" t="s">
        <v>109</v>
      </c>
      <c r="AJ760" s="1" t="s">
        <v>109</v>
      </c>
      <c r="AK760" s="1" t="s">
        <v>109</v>
      </c>
      <c r="AL760" s="1" t="s">
        <v>109</v>
      </c>
      <c r="AM760" s="1" t="s">
        <v>109</v>
      </c>
      <c r="AN760" s="1" t="s">
        <v>109</v>
      </c>
      <c r="AO760" s="1" t="s">
        <v>109</v>
      </c>
      <c r="AP760" s="1"/>
      <c r="AQ760" s="1">
        <v>9</v>
      </c>
      <c r="AR760" s="1" t="s">
        <v>6534</v>
      </c>
      <c r="AS760" s="1" t="s">
        <v>6535</v>
      </c>
      <c r="AT760" s="1">
        <v>0</v>
      </c>
      <c r="AU760" s="1">
        <v>0</v>
      </c>
      <c r="AV760" s="1">
        <v>0</v>
      </c>
      <c r="AW760" s="1">
        <v>0</v>
      </c>
      <c r="AX760" s="1">
        <v>0</v>
      </c>
      <c r="AY760" s="1">
        <v>0</v>
      </c>
      <c r="AZ760" s="1">
        <v>0</v>
      </c>
      <c r="BA760" s="1">
        <v>0</v>
      </c>
      <c r="BB760" s="1">
        <v>0</v>
      </c>
      <c r="BC760" s="1">
        <v>0</v>
      </c>
      <c r="BD760" s="1">
        <v>0</v>
      </c>
      <c r="BE760" s="1">
        <v>0</v>
      </c>
      <c r="BF760" s="1">
        <v>0</v>
      </c>
      <c r="BG760" s="1">
        <v>1</v>
      </c>
      <c r="BH760" s="1">
        <v>0</v>
      </c>
      <c r="BI760" s="1">
        <v>0</v>
      </c>
      <c r="BJ760" s="1">
        <v>0</v>
      </c>
      <c r="BK760" s="1">
        <v>0</v>
      </c>
      <c r="BL760" s="1">
        <v>0</v>
      </c>
      <c r="BM760" s="1">
        <v>0</v>
      </c>
      <c r="BN760" s="1">
        <v>0</v>
      </c>
      <c r="BO760" s="1">
        <v>0</v>
      </c>
      <c r="BP760" s="1">
        <v>0</v>
      </c>
      <c r="BQ760" s="1">
        <v>0</v>
      </c>
      <c r="BR760" s="1">
        <v>0</v>
      </c>
      <c r="BS760" s="5" t="str">
        <f>HYPERLINK("http://www.d20pfsrd.com/magic/all-spells/f/fiery-body","Fiery Body")</f>
        <v>Fiery Body</v>
      </c>
      <c r="BT760" s="1">
        <v>776</v>
      </c>
      <c r="BU760" s="1" t="s">
        <v>109</v>
      </c>
      <c r="BV760" s="1"/>
      <c r="BW760" s="1" t="s">
        <v>6536</v>
      </c>
      <c r="BX760" s="1"/>
      <c r="BY760" s="1"/>
      <c r="BZ760" s="1">
        <v>0</v>
      </c>
      <c r="CA760" s="1" t="s">
        <v>109</v>
      </c>
      <c r="CB760" s="1" t="s">
        <v>109</v>
      </c>
      <c r="CC760" s="1" t="s">
        <v>109</v>
      </c>
      <c r="CD760" s="1" t="s">
        <v>109</v>
      </c>
      <c r="CE760" s="1" t="s">
        <v>109</v>
      </c>
      <c r="CF760" s="1" t="s">
        <v>109</v>
      </c>
      <c r="CG760" s="1" t="s">
        <v>109</v>
      </c>
      <c r="CH760" s="1" t="s">
        <v>109</v>
      </c>
      <c r="CI760" s="1" t="s">
        <v>109</v>
      </c>
      <c r="CJ760" s="1" t="s">
        <v>109</v>
      </c>
      <c r="CK760" s="1"/>
      <c r="CL760" s="1">
        <v>0</v>
      </c>
      <c r="CM760" s="1">
        <v>0</v>
      </c>
      <c r="CN760" s="1">
        <v>0</v>
      </c>
    </row>
    <row r="761" spans="1:92" ht="14.25" customHeight="1" x14ac:dyDescent="0.15">
      <c r="A761" s="1" t="s">
        <v>6537</v>
      </c>
      <c r="B761" s="1" t="s">
        <v>584</v>
      </c>
      <c r="C761" s="1"/>
      <c r="D761" s="1" t="s">
        <v>59</v>
      </c>
      <c r="E761" s="1" t="s">
        <v>6416</v>
      </c>
      <c r="F761" s="1" t="s">
        <v>98</v>
      </c>
      <c r="G761" s="1" t="s">
        <v>6538</v>
      </c>
      <c r="H761" s="1">
        <v>0</v>
      </c>
      <c r="I761" s="1" t="s">
        <v>725</v>
      </c>
      <c r="J761" s="1" t="s">
        <v>726</v>
      </c>
      <c r="K761" s="1"/>
      <c r="L761" s="1"/>
      <c r="M761" s="1" t="s">
        <v>6539</v>
      </c>
      <c r="N761" s="1">
        <v>0</v>
      </c>
      <c r="O761" s="1">
        <v>0</v>
      </c>
      <c r="P761" s="1" t="s">
        <v>2045</v>
      </c>
      <c r="Q761" s="1" t="s">
        <v>268</v>
      </c>
      <c r="R761" s="1" t="s">
        <v>6540</v>
      </c>
      <c r="S761" s="1" t="s">
        <v>6541</v>
      </c>
      <c r="T761" s="1" t="s">
        <v>5815</v>
      </c>
      <c r="U761" s="1" t="s">
        <v>6542</v>
      </c>
      <c r="V761" s="1">
        <v>1</v>
      </c>
      <c r="W761" s="1">
        <v>1</v>
      </c>
      <c r="X761" s="1">
        <v>1</v>
      </c>
      <c r="Y761" s="1">
        <v>0</v>
      </c>
      <c r="Z761" s="1">
        <v>0</v>
      </c>
      <c r="AA761" s="1">
        <v>2</v>
      </c>
      <c r="AB761" s="1">
        <v>2</v>
      </c>
      <c r="AC761" s="1" t="s">
        <v>109</v>
      </c>
      <c r="AD761" s="1" t="s">
        <v>109</v>
      </c>
      <c r="AE761" s="1" t="s">
        <v>109</v>
      </c>
      <c r="AF761" s="1" t="s">
        <v>109</v>
      </c>
      <c r="AG761" s="1" t="s">
        <v>109</v>
      </c>
      <c r="AH761" s="1">
        <v>2</v>
      </c>
      <c r="AI761" s="1" t="s">
        <v>109</v>
      </c>
      <c r="AJ761" s="1" t="s">
        <v>109</v>
      </c>
      <c r="AK761" s="1" t="s">
        <v>109</v>
      </c>
      <c r="AL761" s="1" t="s">
        <v>109</v>
      </c>
      <c r="AM761" s="1" t="s">
        <v>109</v>
      </c>
      <c r="AN761" s="1">
        <v>2</v>
      </c>
      <c r="AO761" s="1" t="s">
        <v>109</v>
      </c>
      <c r="AP761" s="1"/>
      <c r="AQ761" s="1">
        <v>2</v>
      </c>
      <c r="AR761" s="1"/>
      <c r="AS761" s="1" t="s">
        <v>6543</v>
      </c>
      <c r="AT761" s="1">
        <v>0</v>
      </c>
      <c r="AU761" s="1">
        <v>0</v>
      </c>
      <c r="AV761" s="1">
        <v>0</v>
      </c>
      <c r="AW761" s="1">
        <v>0</v>
      </c>
      <c r="AX761" s="1">
        <v>0</v>
      </c>
      <c r="AY761" s="1">
        <v>0</v>
      </c>
      <c r="AZ761" s="1">
        <v>0</v>
      </c>
      <c r="BA761" s="1">
        <v>0</v>
      </c>
      <c r="BB761" s="1">
        <v>0</v>
      </c>
      <c r="BC761" s="1">
        <v>0</v>
      </c>
      <c r="BD761" s="1">
        <v>0</v>
      </c>
      <c r="BE761" s="1">
        <v>0</v>
      </c>
      <c r="BF761" s="1">
        <v>0</v>
      </c>
      <c r="BG761" s="1">
        <v>1</v>
      </c>
      <c r="BH761" s="1">
        <v>0</v>
      </c>
      <c r="BI761" s="1">
        <v>0</v>
      </c>
      <c r="BJ761" s="1">
        <v>0</v>
      </c>
      <c r="BK761" s="1">
        <v>0</v>
      </c>
      <c r="BL761" s="1">
        <v>0</v>
      </c>
      <c r="BM761" s="1">
        <v>0</v>
      </c>
      <c r="BN761" s="1">
        <v>0</v>
      </c>
      <c r="BO761" s="1">
        <v>0</v>
      </c>
      <c r="BP761" s="1">
        <v>0</v>
      </c>
      <c r="BQ761" s="1">
        <v>0</v>
      </c>
      <c r="BR761" s="1">
        <v>0</v>
      </c>
      <c r="BS761" s="5" t="str">
        <f>HYPERLINK("http://www.d20pfsrd.com/magic/all-spells/f/fire-breath","Fire Breath")</f>
        <v>Fire Breath</v>
      </c>
      <c r="BT761" s="1">
        <v>777</v>
      </c>
      <c r="BU761" s="1" t="s">
        <v>109</v>
      </c>
      <c r="BV761" s="1"/>
      <c r="BW761" s="1"/>
      <c r="BX761" s="1"/>
      <c r="BY761" s="1"/>
      <c r="BZ761" s="1">
        <v>0</v>
      </c>
      <c r="CA761" s="1">
        <v>2</v>
      </c>
      <c r="CB761" s="1" t="s">
        <v>109</v>
      </c>
      <c r="CC761" s="1" t="s">
        <v>109</v>
      </c>
      <c r="CD761" s="1" t="s">
        <v>109</v>
      </c>
      <c r="CE761" s="1" t="s">
        <v>109</v>
      </c>
      <c r="CF761" s="1" t="s">
        <v>109</v>
      </c>
      <c r="CG761" s="1" t="s">
        <v>109</v>
      </c>
      <c r="CH761" s="1" t="s">
        <v>109</v>
      </c>
      <c r="CI761" s="1" t="s">
        <v>109</v>
      </c>
      <c r="CJ761" s="1" t="s">
        <v>109</v>
      </c>
      <c r="CK761" s="1"/>
      <c r="CL761" s="1">
        <v>0</v>
      </c>
      <c r="CM761" s="1">
        <v>0</v>
      </c>
      <c r="CN761" s="1">
        <v>0</v>
      </c>
    </row>
    <row r="762" spans="1:92" ht="14.25" customHeight="1" x14ac:dyDescent="0.15">
      <c r="A762" s="1" t="s">
        <v>6544</v>
      </c>
      <c r="B762" s="1" t="s">
        <v>584</v>
      </c>
      <c r="C762" s="1"/>
      <c r="D762" s="1"/>
      <c r="E762" s="1" t="s">
        <v>5912</v>
      </c>
      <c r="F762" s="1" t="s">
        <v>6545</v>
      </c>
      <c r="G762" s="1" t="s">
        <v>141</v>
      </c>
      <c r="H762" s="1">
        <v>0</v>
      </c>
      <c r="I762" s="1" t="s">
        <v>6546</v>
      </c>
      <c r="J762" s="1"/>
      <c r="K762" s="1"/>
      <c r="L762" s="1" t="s">
        <v>1391</v>
      </c>
      <c r="M762" s="1" t="s">
        <v>125</v>
      </c>
      <c r="N762" s="1">
        <v>0</v>
      </c>
      <c r="O762" s="1">
        <v>0</v>
      </c>
      <c r="P762" s="1" t="s">
        <v>4647</v>
      </c>
      <c r="Q762" s="1" t="s">
        <v>268</v>
      </c>
      <c r="R762" s="1" t="s">
        <v>6547</v>
      </c>
      <c r="S762" s="1" t="s">
        <v>6548</v>
      </c>
      <c r="T762" s="1" t="s">
        <v>5815</v>
      </c>
      <c r="U762" s="1" t="s">
        <v>6549</v>
      </c>
      <c r="V762" s="1">
        <v>1</v>
      </c>
      <c r="W762" s="1">
        <v>1</v>
      </c>
      <c r="X762" s="1">
        <v>0</v>
      </c>
      <c r="Y762" s="1">
        <v>0</v>
      </c>
      <c r="Z762" s="1">
        <v>0</v>
      </c>
      <c r="AA762" s="1" t="s">
        <v>109</v>
      </c>
      <c r="AB762" s="1" t="s">
        <v>109</v>
      </c>
      <c r="AC762" s="1" t="s">
        <v>109</v>
      </c>
      <c r="AD762" s="1" t="s">
        <v>109</v>
      </c>
      <c r="AE762" s="1" t="s">
        <v>109</v>
      </c>
      <c r="AF762" s="1" t="s">
        <v>109</v>
      </c>
      <c r="AG762" s="1">
        <v>2</v>
      </c>
      <c r="AH762" s="1" t="s">
        <v>109</v>
      </c>
      <c r="AI762" s="1" t="s">
        <v>109</v>
      </c>
      <c r="AJ762" s="1" t="s">
        <v>109</v>
      </c>
      <c r="AK762" s="1" t="s">
        <v>109</v>
      </c>
      <c r="AL762" s="1" t="s">
        <v>109</v>
      </c>
      <c r="AM762" s="1" t="s">
        <v>109</v>
      </c>
      <c r="AN762" s="1" t="s">
        <v>109</v>
      </c>
      <c r="AO762" s="1" t="s">
        <v>109</v>
      </c>
      <c r="AP762" s="1"/>
      <c r="AQ762" s="1">
        <v>2</v>
      </c>
      <c r="AR762" s="1"/>
      <c r="AS762" s="1" t="s">
        <v>6550</v>
      </c>
      <c r="AT762" s="1">
        <v>0</v>
      </c>
      <c r="AU762" s="1">
        <v>0</v>
      </c>
      <c r="AV762" s="1">
        <v>0</v>
      </c>
      <c r="AW762" s="1">
        <v>0</v>
      </c>
      <c r="AX762" s="1">
        <v>0</v>
      </c>
      <c r="AY762" s="1">
        <v>0</v>
      </c>
      <c r="AZ762" s="1">
        <v>0</v>
      </c>
      <c r="BA762" s="1">
        <v>0</v>
      </c>
      <c r="BB762" s="1">
        <v>0</v>
      </c>
      <c r="BC762" s="1">
        <v>0</v>
      </c>
      <c r="BD762" s="1">
        <v>0</v>
      </c>
      <c r="BE762" s="1">
        <v>0</v>
      </c>
      <c r="BF762" s="1">
        <v>0</v>
      </c>
      <c r="BG762" s="1">
        <v>0</v>
      </c>
      <c r="BH762" s="1">
        <v>0</v>
      </c>
      <c r="BI762" s="1">
        <v>0</v>
      </c>
      <c r="BJ762" s="1">
        <v>0</v>
      </c>
      <c r="BK762" s="1">
        <v>0</v>
      </c>
      <c r="BL762" s="1">
        <v>0</v>
      </c>
      <c r="BM762" s="1">
        <v>0</v>
      </c>
      <c r="BN762" s="1">
        <v>0</v>
      </c>
      <c r="BO762" s="1">
        <v>0</v>
      </c>
      <c r="BP762" s="1">
        <v>0</v>
      </c>
      <c r="BQ762" s="1">
        <v>0</v>
      </c>
      <c r="BR762" s="1">
        <v>0</v>
      </c>
      <c r="BS762" s="5" t="str">
        <f>HYPERLINK("http://www.d20pfsrd.com/magic/all-spells/f/fire-of-entanglement","Fire of Entanglement")</f>
        <v>Fire of Entanglement</v>
      </c>
      <c r="BT762" s="1">
        <v>778</v>
      </c>
      <c r="BU762" s="1" t="s">
        <v>109</v>
      </c>
      <c r="BV762" s="1"/>
      <c r="BW762" s="1"/>
      <c r="BX762" s="1"/>
      <c r="BY762" s="1"/>
      <c r="BZ762" s="1">
        <v>0</v>
      </c>
      <c r="CA762" s="1" t="s">
        <v>109</v>
      </c>
      <c r="CB762" s="1" t="s">
        <v>109</v>
      </c>
      <c r="CC762" s="1" t="s">
        <v>109</v>
      </c>
      <c r="CD762" s="1" t="s">
        <v>109</v>
      </c>
      <c r="CE762" s="1" t="s">
        <v>109</v>
      </c>
      <c r="CF762" s="1" t="s">
        <v>109</v>
      </c>
      <c r="CG762" s="1" t="s">
        <v>109</v>
      </c>
      <c r="CH762" s="1" t="s">
        <v>109</v>
      </c>
      <c r="CI762" s="1" t="s">
        <v>109</v>
      </c>
      <c r="CJ762" s="1" t="s">
        <v>109</v>
      </c>
      <c r="CK762" s="1"/>
      <c r="CL762" s="1">
        <v>0</v>
      </c>
      <c r="CM762" s="1">
        <v>0</v>
      </c>
      <c r="CN762" s="1">
        <v>0</v>
      </c>
    </row>
    <row r="763" spans="1:92" ht="14.25" customHeight="1" x14ac:dyDescent="0.15">
      <c r="A763" s="1" t="s">
        <v>6551</v>
      </c>
      <c r="B763" s="1" t="s">
        <v>584</v>
      </c>
      <c r="C763" s="1"/>
      <c r="D763" s="1"/>
      <c r="E763" s="1" t="s">
        <v>2519</v>
      </c>
      <c r="F763" s="1" t="s">
        <v>6545</v>
      </c>
      <c r="G763" s="1" t="s">
        <v>141</v>
      </c>
      <c r="H763" s="1">
        <v>0</v>
      </c>
      <c r="I763" s="1" t="s">
        <v>6546</v>
      </c>
      <c r="J763" s="1"/>
      <c r="K763" s="1"/>
      <c r="L763" s="1" t="s">
        <v>1391</v>
      </c>
      <c r="M763" s="1" t="s">
        <v>125</v>
      </c>
      <c r="N763" s="1">
        <v>0</v>
      </c>
      <c r="O763" s="1">
        <v>0</v>
      </c>
      <c r="P763" s="1" t="s">
        <v>380</v>
      </c>
      <c r="Q763" s="1" t="s">
        <v>268</v>
      </c>
      <c r="R763" s="1" t="s">
        <v>6552</v>
      </c>
      <c r="S763" s="1" t="s">
        <v>6553</v>
      </c>
      <c r="T763" s="1" t="s">
        <v>5815</v>
      </c>
      <c r="U763" s="1" t="s">
        <v>6554</v>
      </c>
      <c r="V763" s="1">
        <v>1</v>
      </c>
      <c r="W763" s="1">
        <v>1</v>
      </c>
      <c r="X763" s="1">
        <v>0</v>
      </c>
      <c r="Y763" s="1">
        <v>0</v>
      </c>
      <c r="Z763" s="1">
        <v>0</v>
      </c>
      <c r="AA763" s="1" t="s">
        <v>109</v>
      </c>
      <c r="AB763" s="1" t="s">
        <v>109</v>
      </c>
      <c r="AC763" s="1" t="s">
        <v>109</v>
      </c>
      <c r="AD763" s="1" t="s">
        <v>109</v>
      </c>
      <c r="AE763" s="1" t="s">
        <v>109</v>
      </c>
      <c r="AF763" s="1" t="s">
        <v>109</v>
      </c>
      <c r="AG763" s="1">
        <v>3</v>
      </c>
      <c r="AH763" s="1" t="s">
        <v>109</v>
      </c>
      <c r="AI763" s="1" t="s">
        <v>109</v>
      </c>
      <c r="AJ763" s="1" t="s">
        <v>109</v>
      </c>
      <c r="AK763" s="1" t="s">
        <v>109</v>
      </c>
      <c r="AL763" s="1" t="s">
        <v>109</v>
      </c>
      <c r="AM763" s="1" t="s">
        <v>109</v>
      </c>
      <c r="AN763" s="1" t="s">
        <v>109</v>
      </c>
      <c r="AO763" s="1" t="s">
        <v>109</v>
      </c>
      <c r="AP763" s="1"/>
      <c r="AQ763" s="1">
        <v>3</v>
      </c>
      <c r="AR763" s="1"/>
      <c r="AS763" s="1" t="s">
        <v>6555</v>
      </c>
      <c r="AT763" s="1">
        <v>0</v>
      </c>
      <c r="AU763" s="1">
        <v>0</v>
      </c>
      <c r="AV763" s="1">
        <v>0</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0</v>
      </c>
      <c r="BO763" s="1">
        <v>0</v>
      </c>
      <c r="BP763" s="1">
        <v>0</v>
      </c>
      <c r="BQ763" s="1">
        <v>0</v>
      </c>
      <c r="BR763" s="1">
        <v>0</v>
      </c>
      <c r="BS763" s="5" t="str">
        <f>HYPERLINK("http://www.d20pfsrd.com/magic/all-spells/f/fire-of-judgment","Fire of Judgment")</f>
        <v>Fire of Judgment</v>
      </c>
      <c r="BT763" s="1">
        <v>779</v>
      </c>
      <c r="BU763" s="1" t="s">
        <v>109</v>
      </c>
      <c r="BV763" s="1"/>
      <c r="BW763" s="1"/>
      <c r="BX763" s="1"/>
      <c r="BY763" s="1"/>
      <c r="BZ763" s="1">
        <v>0</v>
      </c>
      <c r="CA763" s="1" t="s">
        <v>109</v>
      </c>
      <c r="CB763" s="1" t="s">
        <v>109</v>
      </c>
      <c r="CC763" s="1" t="s">
        <v>109</v>
      </c>
      <c r="CD763" s="1" t="s">
        <v>109</v>
      </c>
      <c r="CE763" s="1" t="s">
        <v>109</v>
      </c>
      <c r="CF763" s="1" t="s">
        <v>109</v>
      </c>
      <c r="CG763" s="1" t="s">
        <v>109</v>
      </c>
      <c r="CH763" s="1" t="s">
        <v>109</v>
      </c>
      <c r="CI763" s="1" t="s">
        <v>109</v>
      </c>
      <c r="CJ763" s="1" t="s">
        <v>109</v>
      </c>
      <c r="CK763" s="1"/>
      <c r="CL763" s="1">
        <v>0</v>
      </c>
      <c r="CM763" s="1">
        <v>0</v>
      </c>
      <c r="CN763" s="1">
        <v>0</v>
      </c>
    </row>
    <row r="764" spans="1:92" ht="14.25" customHeight="1" x14ac:dyDescent="0.15">
      <c r="A764" s="1" t="s">
        <v>6556</v>
      </c>
      <c r="B764" s="1" t="s">
        <v>584</v>
      </c>
      <c r="C764" s="1"/>
      <c r="D764" s="1" t="s">
        <v>59</v>
      </c>
      <c r="E764" s="1" t="s">
        <v>2652</v>
      </c>
      <c r="F764" s="1" t="s">
        <v>6545</v>
      </c>
      <c r="G764" s="1" t="s">
        <v>141</v>
      </c>
      <c r="H764" s="1">
        <v>0</v>
      </c>
      <c r="I764" s="1" t="s">
        <v>6546</v>
      </c>
      <c r="J764" s="1"/>
      <c r="K764" s="1"/>
      <c r="L764" s="1" t="s">
        <v>1391</v>
      </c>
      <c r="M764" s="1" t="s">
        <v>211</v>
      </c>
      <c r="N764" s="1">
        <v>0</v>
      </c>
      <c r="O764" s="1">
        <v>0</v>
      </c>
      <c r="P764" s="1" t="s">
        <v>103</v>
      </c>
      <c r="Q764" s="1" t="s">
        <v>104</v>
      </c>
      <c r="R764" s="1" t="s">
        <v>6557</v>
      </c>
      <c r="S764" s="1" t="s">
        <v>6558</v>
      </c>
      <c r="T764" s="1" t="s">
        <v>5815</v>
      </c>
      <c r="U764" s="1" t="s">
        <v>6559</v>
      </c>
      <c r="V764" s="1">
        <v>1</v>
      </c>
      <c r="W764" s="1">
        <v>1</v>
      </c>
      <c r="X764" s="1">
        <v>0</v>
      </c>
      <c r="Y764" s="1">
        <v>0</v>
      </c>
      <c r="Z764" s="1">
        <v>0</v>
      </c>
      <c r="AA764" s="1" t="s">
        <v>109</v>
      </c>
      <c r="AB764" s="1" t="s">
        <v>109</v>
      </c>
      <c r="AC764" s="1" t="s">
        <v>109</v>
      </c>
      <c r="AD764" s="1" t="s">
        <v>109</v>
      </c>
      <c r="AE764" s="1" t="s">
        <v>109</v>
      </c>
      <c r="AF764" s="1" t="s">
        <v>109</v>
      </c>
      <c r="AG764" s="1">
        <v>4</v>
      </c>
      <c r="AH764" s="1" t="s">
        <v>109</v>
      </c>
      <c r="AI764" s="1" t="s">
        <v>109</v>
      </c>
      <c r="AJ764" s="1" t="s">
        <v>109</v>
      </c>
      <c r="AK764" s="1" t="s">
        <v>109</v>
      </c>
      <c r="AL764" s="1" t="s">
        <v>109</v>
      </c>
      <c r="AM764" s="1" t="s">
        <v>109</v>
      </c>
      <c r="AN764" s="1" t="s">
        <v>109</v>
      </c>
      <c r="AO764" s="1" t="s">
        <v>109</v>
      </c>
      <c r="AP764" s="1"/>
      <c r="AQ764" s="1">
        <v>4</v>
      </c>
      <c r="AR764" s="1"/>
      <c r="AS764" s="1" t="s">
        <v>6560</v>
      </c>
      <c r="AT764" s="1">
        <v>0</v>
      </c>
      <c r="AU764" s="1">
        <v>0</v>
      </c>
      <c r="AV764" s="1">
        <v>0</v>
      </c>
      <c r="AW764" s="1">
        <v>0</v>
      </c>
      <c r="AX764" s="1">
        <v>0</v>
      </c>
      <c r="AY764" s="1">
        <v>0</v>
      </c>
      <c r="AZ764" s="1">
        <v>0</v>
      </c>
      <c r="BA764" s="1">
        <v>0</v>
      </c>
      <c r="BB764" s="1">
        <v>0</v>
      </c>
      <c r="BC764" s="1">
        <v>0</v>
      </c>
      <c r="BD764" s="1">
        <v>0</v>
      </c>
      <c r="BE764" s="1">
        <v>0</v>
      </c>
      <c r="BF764" s="1">
        <v>0</v>
      </c>
      <c r="BG764" s="1">
        <v>1</v>
      </c>
      <c r="BH764" s="1">
        <v>0</v>
      </c>
      <c r="BI764" s="1">
        <v>0</v>
      </c>
      <c r="BJ764" s="1">
        <v>0</v>
      </c>
      <c r="BK764" s="1">
        <v>0</v>
      </c>
      <c r="BL764" s="1">
        <v>0</v>
      </c>
      <c r="BM764" s="1">
        <v>0</v>
      </c>
      <c r="BN764" s="1">
        <v>0</v>
      </c>
      <c r="BO764" s="1">
        <v>0</v>
      </c>
      <c r="BP764" s="1">
        <v>0</v>
      </c>
      <c r="BQ764" s="1">
        <v>0</v>
      </c>
      <c r="BR764" s="1">
        <v>0</v>
      </c>
      <c r="BS764" s="5" t="str">
        <f>HYPERLINK("http://www.d20pfsrd.com/magic/all-spells/f/fire-of-vengeance","Fire of Vengeance")</f>
        <v>Fire of Vengeance</v>
      </c>
      <c r="BT764" s="1">
        <v>780</v>
      </c>
      <c r="BU764" s="1" t="s">
        <v>109</v>
      </c>
      <c r="BV764" s="1"/>
      <c r="BW764" s="1"/>
      <c r="BX764" s="1"/>
      <c r="BY764" s="1"/>
      <c r="BZ764" s="1">
        <v>0</v>
      </c>
      <c r="CA764" s="1" t="s">
        <v>109</v>
      </c>
      <c r="CB764" s="1" t="s">
        <v>109</v>
      </c>
      <c r="CC764" s="1" t="s">
        <v>109</v>
      </c>
      <c r="CD764" s="1" t="s">
        <v>109</v>
      </c>
      <c r="CE764" s="1" t="s">
        <v>109</v>
      </c>
      <c r="CF764" s="1" t="s">
        <v>109</v>
      </c>
      <c r="CG764" s="1" t="s">
        <v>109</v>
      </c>
      <c r="CH764" s="1" t="s">
        <v>109</v>
      </c>
      <c r="CI764" s="1" t="s">
        <v>109</v>
      </c>
      <c r="CJ764" s="1" t="s">
        <v>109</v>
      </c>
      <c r="CK764" s="1"/>
      <c r="CL764" s="1">
        <v>0</v>
      </c>
      <c r="CM764" s="1">
        <v>0</v>
      </c>
      <c r="CN764" s="1">
        <v>0</v>
      </c>
    </row>
    <row r="765" spans="1:92" ht="14.25" customHeight="1" x14ac:dyDescent="0.15">
      <c r="A765" s="1" t="s">
        <v>6561</v>
      </c>
      <c r="B765" s="1" t="s">
        <v>584</v>
      </c>
      <c r="C765" s="1"/>
      <c r="D765" s="1" t="s">
        <v>59</v>
      </c>
      <c r="E765" s="1" t="s">
        <v>6562</v>
      </c>
      <c r="F765" s="1" t="s">
        <v>98</v>
      </c>
      <c r="G765" s="1" t="s">
        <v>6563</v>
      </c>
      <c r="H765" s="1">
        <v>0</v>
      </c>
      <c r="I765" s="1" t="s">
        <v>1016</v>
      </c>
      <c r="J765" s="1" t="s">
        <v>211</v>
      </c>
      <c r="K765" s="1"/>
      <c r="L765" s="1"/>
      <c r="M765" s="1" t="s">
        <v>144</v>
      </c>
      <c r="N765" s="1">
        <v>0</v>
      </c>
      <c r="O765" s="1">
        <v>0</v>
      </c>
      <c r="P765" s="1" t="s">
        <v>727</v>
      </c>
      <c r="Q765" s="1" t="s">
        <v>268</v>
      </c>
      <c r="R765" s="1" t="s">
        <v>6564</v>
      </c>
      <c r="S765" s="1" t="s">
        <v>6565</v>
      </c>
      <c r="T765" s="1" t="s">
        <v>5815</v>
      </c>
      <c r="U765" s="1" t="s">
        <v>6566</v>
      </c>
      <c r="V765" s="1">
        <v>1</v>
      </c>
      <c r="W765" s="1">
        <v>1</v>
      </c>
      <c r="X765" s="1">
        <v>1</v>
      </c>
      <c r="Y765" s="1">
        <v>0</v>
      </c>
      <c r="Z765" s="1">
        <v>0</v>
      </c>
      <c r="AA765" s="1">
        <v>5</v>
      </c>
      <c r="AB765" s="1">
        <v>5</v>
      </c>
      <c r="AC765" s="1" t="s">
        <v>109</v>
      </c>
      <c r="AD765" s="1">
        <v>5</v>
      </c>
      <c r="AE765" s="1" t="s">
        <v>109</v>
      </c>
      <c r="AF765" s="1" t="s">
        <v>109</v>
      </c>
      <c r="AG765" s="1" t="s">
        <v>109</v>
      </c>
      <c r="AH765" s="1" t="s">
        <v>109</v>
      </c>
      <c r="AI765" s="1" t="s">
        <v>109</v>
      </c>
      <c r="AJ765" s="1" t="s">
        <v>109</v>
      </c>
      <c r="AK765" s="1" t="s">
        <v>109</v>
      </c>
      <c r="AL765" s="1" t="s">
        <v>109</v>
      </c>
      <c r="AM765" s="1" t="s">
        <v>109</v>
      </c>
      <c r="AN765" s="1">
        <v>5</v>
      </c>
      <c r="AO765" s="1" t="s">
        <v>109</v>
      </c>
      <c r="AP765" s="1"/>
      <c r="AQ765" s="1">
        <v>5</v>
      </c>
      <c r="AR765" s="1"/>
      <c r="AS765" s="1" t="s">
        <v>6567</v>
      </c>
      <c r="AT765" s="1">
        <v>0</v>
      </c>
      <c r="AU765" s="1">
        <v>0</v>
      </c>
      <c r="AV765" s="1">
        <v>0</v>
      </c>
      <c r="AW765" s="1">
        <v>0</v>
      </c>
      <c r="AX765" s="1">
        <v>0</v>
      </c>
      <c r="AY765" s="1">
        <v>0</v>
      </c>
      <c r="AZ765" s="1">
        <v>0</v>
      </c>
      <c r="BA765" s="1">
        <v>0</v>
      </c>
      <c r="BB765" s="1">
        <v>0</v>
      </c>
      <c r="BC765" s="1">
        <v>0</v>
      </c>
      <c r="BD765" s="1">
        <v>0</v>
      </c>
      <c r="BE765" s="1">
        <v>0</v>
      </c>
      <c r="BF765" s="1">
        <v>0</v>
      </c>
      <c r="BG765" s="1">
        <v>1</v>
      </c>
      <c r="BH765" s="1">
        <v>0</v>
      </c>
      <c r="BI765" s="1">
        <v>0</v>
      </c>
      <c r="BJ765" s="1">
        <v>0</v>
      </c>
      <c r="BK765" s="1">
        <v>0</v>
      </c>
      <c r="BL765" s="1">
        <v>0</v>
      </c>
      <c r="BM765" s="1">
        <v>0</v>
      </c>
      <c r="BN765" s="1">
        <v>0</v>
      </c>
      <c r="BO765" s="1">
        <v>0</v>
      </c>
      <c r="BP765" s="1">
        <v>0</v>
      </c>
      <c r="BQ765" s="1">
        <v>0</v>
      </c>
      <c r="BR765" s="1">
        <v>0</v>
      </c>
      <c r="BS765" s="5" t="str">
        <f>HYPERLINK("http://www.d20pfsrd.com/magic/all-spells/f/fire-snake","Fire Snake")</f>
        <v>Fire Snake</v>
      </c>
      <c r="BT765" s="1">
        <v>781</v>
      </c>
      <c r="BU765" s="1" t="s">
        <v>109</v>
      </c>
      <c r="BV765" s="1"/>
      <c r="BW765" s="1" t="s">
        <v>6568</v>
      </c>
      <c r="BX765" s="1" t="s">
        <v>6569</v>
      </c>
      <c r="BY765" s="1" t="s">
        <v>6570</v>
      </c>
      <c r="BZ765" s="1">
        <v>1</v>
      </c>
      <c r="CA765" s="1" t="s">
        <v>109</v>
      </c>
      <c r="CB765" s="1" t="s">
        <v>109</v>
      </c>
      <c r="CC765" s="1" t="s">
        <v>109</v>
      </c>
      <c r="CD765" s="1" t="s">
        <v>109</v>
      </c>
      <c r="CE765" s="1" t="s">
        <v>109</v>
      </c>
      <c r="CF765" s="1">
        <v>5</v>
      </c>
      <c r="CG765" s="1" t="s">
        <v>109</v>
      </c>
      <c r="CH765" s="1" t="s">
        <v>109</v>
      </c>
      <c r="CI765" s="1" t="s">
        <v>109</v>
      </c>
      <c r="CJ765" s="1">
        <v>5</v>
      </c>
      <c r="CK765" s="1"/>
      <c r="CL765" s="1">
        <v>0</v>
      </c>
      <c r="CM765" s="1">
        <v>0</v>
      </c>
      <c r="CN765" s="1">
        <v>0</v>
      </c>
    </row>
    <row r="766" spans="1:92" ht="14.25" customHeight="1" x14ac:dyDescent="0.15">
      <c r="A766" s="1" t="s">
        <v>6571</v>
      </c>
      <c r="B766" s="1" t="s">
        <v>189</v>
      </c>
      <c r="C766" s="1"/>
      <c r="D766" s="1" t="s">
        <v>59</v>
      </c>
      <c r="E766" s="1" t="s">
        <v>1101</v>
      </c>
      <c r="F766" s="1" t="s">
        <v>98</v>
      </c>
      <c r="G766" s="1" t="s">
        <v>141</v>
      </c>
      <c r="H766" s="1">
        <v>0</v>
      </c>
      <c r="I766" s="1" t="s">
        <v>142</v>
      </c>
      <c r="J766" s="1"/>
      <c r="K766" s="1"/>
      <c r="L766" s="1" t="s">
        <v>6572</v>
      </c>
      <c r="M766" s="1" t="s">
        <v>125</v>
      </c>
      <c r="N766" s="1">
        <v>0</v>
      </c>
      <c r="O766" s="1">
        <v>0</v>
      </c>
      <c r="P766" s="1" t="s">
        <v>6573</v>
      </c>
      <c r="Q766" s="1" t="s">
        <v>167</v>
      </c>
      <c r="R766" s="1" t="s">
        <v>6574</v>
      </c>
      <c r="S766" s="1" t="s">
        <v>6575</v>
      </c>
      <c r="T766" s="1" t="s">
        <v>5815</v>
      </c>
      <c r="U766" s="1" t="s">
        <v>6576</v>
      </c>
      <c r="V766" s="1">
        <v>1</v>
      </c>
      <c r="W766" s="1">
        <v>1</v>
      </c>
      <c r="X766" s="1">
        <v>0</v>
      </c>
      <c r="Y766" s="1">
        <v>0</v>
      </c>
      <c r="Z766" s="1">
        <v>0</v>
      </c>
      <c r="AA766" s="1">
        <v>7</v>
      </c>
      <c r="AB766" s="1">
        <v>7</v>
      </c>
      <c r="AC766" s="1" t="s">
        <v>109</v>
      </c>
      <c r="AD766" s="1" t="s">
        <v>109</v>
      </c>
      <c r="AE766" s="1" t="s">
        <v>109</v>
      </c>
      <c r="AF766" s="1" t="s">
        <v>109</v>
      </c>
      <c r="AG766" s="1" t="s">
        <v>109</v>
      </c>
      <c r="AH766" s="1" t="s">
        <v>109</v>
      </c>
      <c r="AI766" s="1" t="s">
        <v>109</v>
      </c>
      <c r="AJ766" s="1" t="s">
        <v>109</v>
      </c>
      <c r="AK766" s="1" t="s">
        <v>109</v>
      </c>
      <c r="AL766" s="1" t="s">
        <v>109</v>
      </c>
      <c r="AM766" s="1" t="s">
        <v>109</v>
      </c>
      <c r="AN766" s="1" t="s">
        <v>109</v>
      </c>
      <c r="AO766" s="1" t="s">
        <v>109</v>
      </c>
      <c r="AP766" s="1"/>
      <c r="AQ766" s="1">
        <v>7</v>
      </c>
      <c r="AR766" s="1"/>
      <c r="AS766" s="1" t="s">
        <v>6577</v>
      </c>
      <c r="AT766" s="1">
        <v>0</v>
      </c>
      <c r="AU766" s="1">
        <v>0</v>
      </c>
      <c r="AV766" s="1">
        <v>0</v>
      </c>
      <c r="AW766" s="1">
        <v>0</v>
      </c>
      <c r="AX766" s="1">
        <v>0</v>
      </c>
      <c r="AY766" s="1">
        <v>0</v>
      </c>
      <c r="AZ766" s="1">
        <v>0</v>
      </c>
      <c r="BA766" s="1">
        <v>0</v>
      </c>
      <c r="BB766" s="1">
        <v>0</v>
      </c>
      <c r="BC766" s="1">
        <v>0</v>
      </c>
      <c r="BD766" s="1">
        <v>0</v>
      </c>
      <c r="BE766" s="1">
        <v>0</v>
      </c>
      <c r="BF766" s="1">
        <v>0</v>
      </c>
      <c r="BG766" s="1">
        <v>1</v>
      </c>
      <c r="BH766" s="1">
        <v>0</v>
      </c>
      <c r="BI766" s="1">
        <v>0</v>
      </c>
      <c r="BJ766" s="1">
        <v>0</v>
      </c>
      <c r="BK766" s="1">
        <v>0</v>
      </c>
      <c r="BL766" s="1">
        <v>0</v>
      </c>
      <c r="BM766" s="1">
        <v>0</v>
      </c>
      <c r="BN766" s="1">
        <v>0</v>
      </c>
      <c r="BO766" s="1">
        <v>0</v>
      </c>
      <c r="BP766" s="1">
        <v>0</v>
      </c>
      <c r="BQ766" s="1">
        <v>0</v>
      </c>
      <c r="BR766" s="1">
        <v>0</v>
      </c>
      <c r="BS766" s="5" t="str">
        <f>HYPERLINK("http://www.d20pfsrd.com/magic/all-spells/f/firebrand","Firebrand")</f>
        <v>Firebrand</v>
      </c>
      <c r="BT766" s="1">
        <v>782</v>
      </c>
      <c r="BU766" s="1" t="s">
        <v>109</v>
      </c>
      <c r="BV766" s="1"/>
      <c r="BW766" s="1"/>
      <c r="BX766" s="1"/>
      <c r="BY766" s="1"/>
      <c r="BZ766" s="1">
        <v>0</v>
      </c>
      <c r="CA766" s="1" t="s">
        <v>109</v>
      </c>
      <c r="CB766" s="1" t="s">
        <v>109</v>
      </c>
      <c r="CC766" s="1" t="s">
        <v>109</v>
      </c>
      <c r="CD766" s="1" t="s">
        <v>109</v>
      </c>
      <c r="CE766" s="1" t="s">
        <v>109</v>
      </c>
      <c r="CF766" s="1" t="s">
        <v>109</v>
      </c>
      <c r="CG766" s="1" t="s">
        <v>109</v>
      </c>
      <c r="CH766" s="1" t="s">
        <v>109</v>
      </c>
      <c r="CI766" s="1" t="s">
        <v>109</v>
      </c>
      <c r="CJ766" s="1" t="s">
        <v>109</v>
      </c>
      <c r="CK766" s="1"/>
      <c r="CL766" s="1">
        <v>0</v>
      </c>
      <c r="CM766" s="1">
        <v>0</v>
      </c>
      <c r="CN766" s="1">
        <v>0</v>
      </c>
    </row>
    <row r="767" spans="1:92" ht="14.25" customHeight="1" x14ac:dyDescent="0.15">
      <c r="A767" s="1" t="s">
        <v>6578</v>
      </c>
      <c r="B767" s="1" t="s">
        <v>189</v>
      </c>
      <c r="C767" s="1"/>
      <c r="D767" s="1" t="s">
        <v>59</v>
      </c>
      <c r="E767" s="1" t="s">
        <v>6579</v>
      </c>
      <c r="F767" s="1" t="s">
        <v>98</v>
      </c>
      <c r="G767" s="1" t="s">
        <v>3868</v>
      </c>
      <c r="H767" s="1">
        <v>0</v>
      </c>
      <c r="I767" s="1" t="s">
        <v>100</v>
      </c>
      <c r="J767" s="1"/>
      <c r="K767" s="1"/>
      <c r="L767" s="1" t="s">
        <v>6580</v>
      </c>
      <c r="M767" s="1" t="s">
        <v>144</v>
      </c>
      <c r="N767" s="1">
        <v>0</v>
      </c>
      <c r="O767" s="1">
        <v>0</v>
      </c>
      <c r="P767" s="1" t="s">
        <v>6581</v>
      </c>
      <c r="Q767" s="1" t="s">
        <v>104</v>
      </c>
      <c r="R767" s="1" t="s">
        <v>6582</v>
      </c>
      <c r="S767" s="1" t="s">
        <v>6583</v>
      </c>
      <c r="T767" s="1" t="s">
        <v>5815</v>
      </c>
      <c r="U767" s="1" t="s">
        <v>6584</v>
      </c>
      <c r="V767" s="1">
        <v>1</v>
      </c>
      <c r="W767" s="1">
        <v>1</v>
      </c>
      <c r="X767" s="1">
        <v>1</v>
      </c>
      <c r="Y767" s="1">
        <v>0</v>
      </c>
      <c r="Z767" s="1">
        <v>0</v>
      </c>
      <c r="AA767" s="1">
        <v>4</v>
      </c>
      <c r="AB767" s="1">
        <v>4</v>
      </c>
      <c r="AC767" s="1" t="s">
        <v>109</v>
      </c>
      <c r="AD767" s="1" t="s">
        <v>109</v>
      </c>
      <c r="AE767" s="1" t="s">
        <v>109</v>
      </c>
      <c r="AF767" s="1" t="s">
        <v>109</v>
      </c>
      <c r="AG767" s="1" t="s">
        <v>109</v>
      </c>
      <c r="AH767" s="1" t="s">
        <v>109</v>
      </c>
      <c r="AI767" s="1" t="s">
        <v>109</v>
      </c>
      <c r="AJ767" s="1" t="s">
        <v>109</v>
      </c>
      <c r="AK767" s="1" t="s">
        <v>109</v>
      </c>
      <c r="AL767" s="1" t="s">
        <v>109</v>
      </c>
      <c r="AM767" s="1" t="s">
        <v>109</v>
      </c>
      <c r="AN767" s="1">
        <v>4</v>
      </c>
      <c r="AO767" s="1" t="s">
        <v>109</v>
      </c>
      <c r="AP767" s="1"/>
      <c r="AQ767" s="1">
        <v>4</v>
      </c>
      <c r="AR767" s="1"/>
      <c r="AS767" s="1" t="s">
        <v>6585</v>
      </c>
      <c r="AT767" s="1">
        <v>0</v>
      </c>
      <c r="AU767" s="1">
        <v>0</v>
      </c>
      <c r="AV767" s="1">
        <v>0</v>
      </c>
      <c r="AW767" s="1">
        <v>0</v>
      </c>
      <c r="AX767" s="1">
        <v>0</v>
      </c>
      <c r="AY767" s="1">
        <v>0</v>
      </c>
      <c r="AZ767" s="1">
        <v>0</v>
      </c>
      <c r="BA767" s="1">
        <v>0</v>
      </c>
      <c r="BB767" s="1">
        <v>0</v>
      </c>
      <c r="BC767" s="1">
        <v>0</v>
      </c>
      <c r="BD767" s="1">
        <v>0</v>
      </c>
      <c r="BE767" s="1">
        <v>0</v>
      </c>
      <c r="BF767" s="1">
        <v>0</v>
      </c>
      <c r="BG767" s="1">
        <v>1</v>
      </c>
      <c r="BH767" s="1">
        <v>0</v>
      </c>
      <c r="BI767" s="1">
        <v>0</v>
      </c>
      <c r="BJ767" s="1">
        <v>0</v>
      </c>
      <c r="BK767" s="1">
        <v>0</v>
      </c>
      <c r="BL767" s="1">
        <v>0</v>
      </c>
      <c r="BM767" s="1">
        <v>0</v>
      </c>
      <c r="BN767" s="1">
        <v>0</v>
      </c>
      <c r="BO767" s="1">
        <v>0</v>
      </c>
      <c r="BP767" s="1">
        <v>0</v>
      </c>
      <c r="BQ767" s="1">
        <v>0</v>
      </c>
      <c r="BR767" s="1">
        <v>0</v>
      </c>
      <c r="BS767" s="5" t="str">
        <f>HYPERLINK("http://www.d20pfsrd.com/magic/all-spells/f/firefall","Firefall")</f>
        <v>Firefall</v>
      </c>
      <c r="BT767" s="1">
        <v>783</v>
      </c>
      <c r="BU767" s="1" t="s">
        <v>109</v>
      </c>
      <c r="BV767" s="1"/>
      <c r="BW767" s="1"/>
      <c r="BX767" s="1"/>
      <c r="BY767" s="1"/>
      <c r="BZ767" s="1">
        <v>0</v>
      </c>
      <c r="CA767" s="1">
        <v>4</v>
      </c>
      <c r="CB767" s="1" t="s">
        <v>109</v>
      </c>
      <c r="CC767" s="1" t="s">
        <v>109</v>
      </c>
      <c r="CD767" s="1" t="s">
        <v>109</v>
      </c>
      <c r="CE767" s="1" t="s">
        <v>109</v>
      </c>
      <c r="CF767" s="1" t="s">
        <v>109</v>
      </c>
      <c r="CG767" s="1" t="s">
        <v>109</v>
      </c>
      <c r="CH767" s="1" t="s">
        <v>109</v>
      </c>
      <c r="CI767" s="1" t="s">
        <v>109</v>
      </c>
      <c r="CJ767" s="1" t="s">
        <v>109</v>
      </c>
      <c r="CK767" s="1"/>
      <c r="CL767" s="1">
        <v>0</v>
      </c>
      <c r="CM767" s="1">
        <v>0</v>
      </c>
      <c r="CN767" s="1">
        <v>0</v>
      </c>
    </row>
    <row r="768" spans="1:92" ht="14.25" customHeight="1" x14ac:dyDescent="0.15">
      <c r="A768" s="1" t="s">
        <v>6586</v>
      </c>
      <c r="B768" s="1" t="s">
        <v>189</v>
      </c>
      <c r="C768" s="1"/>
      <c r="D768" s="1" t="s">
        <v>59</v>
      </c>
      <c r="E768" s="1" t="s">
        <v>6587</v>
      </c>
      <c r="F768" s="1" t="s">
        <v>98</v>
      </c>
      <c r="G768" s="1" t="s">
        <v>333</v>
      </c>
      <c r="H768" s="1">
        <v>0</v>
      </c>
      <c r="I768" s="1" t="s">
        <v>161</v>
      </c>
      <c r="J768" s="1"/>
      <c r="K768" s="1"/>
      <c r="L768" s="1" t="s">
        <v>639</v>
      </c>
      <c r="M768" s="1" t="s">
        <v>125</v>
      </c>
      <c r="N768" s="1">
        <v>0</v>
      </c>
      <c r="O768" s="1">
        <v>0</v>
      </c>
      <c r="P768" s="1" t="s">
        <v>6588</v>
      </c>
      <c r="Q768" s="1" t="s">
        <v>6589</v>
      </c>
      <c r="R768" s="1" t="s">
        <v>6590</v>
      </c>
      <c r="S768" s="1" t="s">
        <v>6591</v>
      </c>
      <c r="T768" s="1" t="s">
        <v>5815</v>
      </c>
      <c r="U768" s="1" t="s">
        <v>6592</v>
      </c>
      <c r="V768" s="1">
        <v>1</v>
      </c>
      <c r="W768" s="1">
        <v>0</v>
      </c>
      <c r="X768" s="1">
        <v>0</v>
      </c>
      <c r="Y768" s="1">
        <v>0</v>
      </c>
      <c r="Z768" s="1">
        <v>0</v>
      </c>
      <c r="AA768" s="1" t="s">
        <v>109</v>
      </c>
      <c r="AB768" s="1" t="s">
        <v>109</v>
      </c>
      <c r="AC768" s="1" t="s">
        <v>109</v>
      </c>
      <c r="AD768" s="1" t="s">
        <v>109</v>
      </c>
      <c r="AE768" s="1" t="s">
        <v>109</v>
      </c>
      <c r="AF768" s="1" t="s">
        <v>109</v>
      </c>
      <c r="AG768" s="1" t="s">
        <v>109</v>
      </c>
      <c r="AH768" s="1" t="s">
        <v>109</v>
      </c>
      <c r="AI768" s="1" t="s">
        <v>109</v>
      </c>
      <c r="AJ768" s="1" t="s">
        <v>109</v>
      </c>
      <c r="AK768" s="1">
        <v>2</v>
      </c>
      <c r="AL768" s="1" t="s">
        <v>109</v>
      </c>
      <c r="AM768" s="1" t="s">
        <v>109</v>
      </c>
      <c r="AN768" s="1" t="s">
        <v>109</v>
      </c>
      <c r="AO768" s="1" t="s">
        <v>109</v>
      </c>
      <c r="AP768" s="1"/>
      <c r="AQ768" s="1">
        <v>2</v>
      </c>
      <c r="AR768" s="1"/>
      <c r="AS768" s="1" t="s">
        <v>6593</v>
      </c>
      <c r="AT768" s="1">
        <v>0</v>
      </c>
      <c r="AU768" s="1">
        <v>0</v>
      </c>
      <c r="AV768" s="1">
        <v>0</v>
      </c>
      <c r="AW768" s="1">
        <v>0</v>
      </c>
      <c r="AX768" s="1">
        <v>0</v>
      </c>
      <c r="AY768" s="1">
        <v>0</v>
      </c>
      <c r="AZ768" s="1">
        <v>0</v>
      </c>
      <c r="BA768" s="1">
        <v>0</v>
      </c>
      <c r="BB768" s="1">
        <v>0</v>
      </c>
      <c r="BC768" s="1">
        <v>0</v>
      </c>
      <c r="BD768" s="1">
        <v>0</v>
      </c>
      <c r="BE768" s="1">
        <v>0</v>
      </c>
      <c r="BF768" s="1">
        <v>0</v>
      </c>
      <c r="BG768" s="1">
        <v>1</v>
      </c>
      <c r="BH768" s="1">
        <v>0</v>
      </c>
      <c r="BI768" s="1">
        <v>0</v>
      </c>
      <c r="BJ768" s="1">
        <v>0</v>
      </c>
      <c r="BK768" s="1">
        <v>0</v>
      </c>
      <c r="BL768" s="1">
        <v>0</v>
      </c>
      <c r="BM768" s="1">
        <v>0</v>
      </c>
      <c r="BN768" s="1">
        <v>0</v>
      </c>
      <c r="BO768" s="1">
        <v>0</v>
      </c>
      <c r="BP768" s="1">
        <v>0</v>
      </c>
      <c r="BQ768" s="1">
        <v>0</v>
      </c>
      <c r="BR768" s="1">
        <v>0</v>
      </c>
      <c r="BS768" s="1" t="s">
        <v>109</v>
      </c>
      <c r="BT768" s="1">
        <v>784</v>
      </c>
      <c r="BU768" s="1" t="s">
        <v>109</v>
      </c>
      <c r="BV768" s="1"/>
      <c r="BW768" s="1"/>
      <c r="BX768" s="1" t="s">
        <v>6594</v>
      </c>
      <c r="BY768" s="1"/>
      <c r="BZ768" s="1">
        <v>1</v>
      </c>
      <c r="CA768" s="1" t="s">
        <v>109</v>
      </c>
      <c r="CB768" s="1" t="s">
        <v>109</v>
      </c>
      <c r="CC768" s="1" t="s">
        <v>109</v>
      </c>
      <c r="CD768" s="1" t="s">
        <v>109</v>
      </c>
      <c r="CE768" s="1" t="s">
        <v>109</v>
      </c>
      <c r="CF768" s="1" t="s">
        <v>109</v>
      </c>
      <c r="CG768" s="1" t="s">
        <v>109</v>
      </c>
      <c r="CH768" s="1" t="s">
        <v>109</v>
      </c>
      <c r="CI768" s="1" t="s">
        <v>109</v>
      </c>
      <c r="CJ768" s="1" t="s">
        <v>109</v>
      </c>
      <c r="CK768" s="1"/>
      <c r="CL768" s="1">
        <v>0</v>
      </c>
      <c r="CM768" s="1">
        <v>0</v>
      </c>
      <c r="CN768" s="1">
        <v>0</v>
      </c>
    </row>
    <row r="769" spans="1:92" ht="14.25" customHeight="1" x14ac:dyDescent="0.15">
      <c r="A769" s="1" t="s">
        <v>6595</v>
      </c>
      <c r="B769" s="1" t="s">
        <v>584</v>
      </c>
      <c r="C769" s="1" t="s">
        <v>64</v>
      </c>
      <c r="D769" s="1"/>
      <c r="E769" s="1" t="s">
        <v>6596</v>
      </c>
      <c r="F769" s="1" t="s">
        <v>98</v>
      </c>
      <c r="G769" s="1" t="s">
        <v>333</v>
      </c>
      <c r="H769" s="1">
        <v>0</v>
      </c>
      <c r="I769" s="1" t="s">
        <v>142</v>
      </c>
      <c r="J769" s="1"/>
      <c r="K769" s="1" t="s">
        <v>6597</v>
      </c>
      <c r="L769" s="1"/>
      <c r="M769" s="1" t="s">
        <v>144</v>
      </c>
      <c r="N769" s="1">
        <v>0</v>
      </c>
      <c r="O769" s="1">
        <v>0</v>
      </c>
      <c r="P769" s="1" t="s">
        <v>267</v>
      </c>
      <c r="Q769" s="1" t="s">
        <v>268</v>
      </c>
      <c r="R769" s="1" t="s">
        <v>6598</v>
      </c>
      <c r="S769" s="1" t="s">
        <v>6599</v>
      </c>
      <c r="T769" s="1" t="s">
        <v>5815</v>
      </c>
      <c r="U769" s="1" t="s">
        <v>6600</v>
      </c>
      <c r="V769" s="1">
        <v>1</v>
      </c>
      <c r="W769" s="1">
        <v>0</v>
      </c>
      <c r="X769" s="1">
        <v>0</v>
      </c>
      <c r="Y769" s="1">
        <v>0</v>
      </c>
      <c r="Z769" s="1">
        <v>0</v>
      </c>
      <c r="AA769" s="1">
        <v>1</v>
      </c>
      <c r="AB769" s="1">
        <v>1</v>
      </c>
      <c r="AC769" s="1" t="s">
        <v>109</v>
      </c>
      <c r="AD769" s="1">
        <v>1</v>
      </c>
      <c r="AE769" s="1" t="s">
        <v>109</v>
      </c>
      <c r="AF769" s="1">
        <v>1</v>
      </c>
      <c r="AG769" s="1" t="s">
        <v>109</v>
      </c>
      <c r="AH769" s="1" t="s">
        <v>109</v>
      </c>
      <c r="AI769" s="1" t="s">
        <v>109</v>
      </c>
      <c r="AJ769" s="1" t="s">
        <v>109</v>
      </c>
      <c r="AK769" s="1" t="s">
        <v>109</v>
      </c>
      <c r="AL769" s="1" t="s">
        <v>109</v>
      </c>
      <c r="AM769" s="1" t="s">
        <v>109</v>
      </c>
      <c r="AN769" s="1">
        <v>1</v>
      </c>
      <c r="AO769" s="1" t="s">
        <v>109</v>
      </c>
      <c r="AP769" s="1"/>
      <c r="AQ769" s="1">
        <v>1</v>
      </c>
      <c r="AR769" s="1"/>
      <c r="AS769" s="1" t="s">
        <v>6601</v>
      </c>
      <c r="AT769" s="1">
        <v>0</v>
      </c>
      <c r="AU769" s="1">
        <v>0</v>
      </c>
      <c r="AV769" s="1">
        <v>0</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5" t="str">
        <f>HYPERLINK("http://www.d20pfsrd.com/magic/all-spells/f/flare-burst","Flare Burst")</f>
        <v>Flare Burst</v>
      </c>
      <c r="BT769" s="1">
        <v>785</v>
      </c>
      <c r="BU769" s="1" t="s">
        <v>109</v>
      </c>
      <c r="BV769" s="1"/>
      <c r="BW769" s="1"/>
      <c r="BX769" s="1"/>
      <c r="BY769" s="1"/>
      <c r="BZ769" s="1">
        <v>0</v>
      </c>
      <c r="CA769" s="1">
        <v>1</v>
      </c>
      <c r="CB769" s="1" t="s">
        <v>109</v>
      </c>
      <c r="CC769" s="1">
        <v>1</v>
      </c>
      <c r="CD769" s="1" t="s">
        <v>109</v>
      </c>
      <c r="CE769" s="1" t="s">
        <v>109</v>
      </c>
      <c r="CF769" s="1" t="s">
        <v>109</v>
      </c>
      <c r="CG769" s="1" t="s">
        <v>109</v>
      </c>
      <c r="CH769" s="1" t="s">
        <v>109</v>
      </c>
      <c r="CI769" s="1" t="s">
        <v>109</v>
      </c>
      <c r="CJ769" s="1">
        <v>1</v>
      </c>
      <c r="CK769" s="1"/>
      <c r="CL769" s="1">
        <v>0</v>
      </c>
      <c r="CM769" s="1">
        <v>0</v>
      </c>
      <c r="CN769" s="1">
        <v>0</v>
      </c>
    </row>
    <row r="770" spans="1:92" ht="14.25" customHeight="1" x14ac:dyDescent="0.15">
      <c r="A770" s="1" t="s">
        <v>6602</v>
      </c>
      <c r="B770" s="1" t="s">
        <v>189</v>
      </c>
      <c r="C770" s="1"/>
      <c r="D770" s="1" t="s">
        <v>70</v>
      </c>
      <c r="E770" s="1" t="s">
        <v>6603</v>
      </c>
      <c r="F770" s="1" t="s">
        <v>98</v>
      </c>
      <c r="G770" s="1" t="s">
        <v>6604</v>
      </c>
      <c r="H770" s="1">
        <v>0</v>
      </c>
      <c r="I770" s="1" t="s">
        <v>235</v>
      </c>
      <c r="J770" s="1"/>
      <c r="K770" s="1"/>
      <c r="L770" s="1" t="s">
        <v>236</v>
      </c>
      <c r="M770" s="1" t="s">
        <v>3042</v>
      </c>
      <c r="N770" s="1">
        <v>0</v>
      </c>
      <c r="O770" s="1">
        <v>0</v>
      </c>
      <c r="P770" s="1"/>
      <c r="Q770" s="1"/>
      <c r="R770" s="1" t="s">
        <v>6605</v>
      </c>
      <c r="S770" s="1" t="s">
        <v>6606</v>
      </c>
      <c r="T770" s="1" t="s">
        <v>5815</v>
      </c>
      <c r="U770" s="1" t="s">
        <v>6607</v>
      </c>
      <c r="V770" s="1">
        <v>0</v>
      </c>
      <c r="W770" s="1">
        <v>1</v>
      </c>
      <c r="X770" s="1">
        <v>1</v>
      </c>
      <c r="Y770" s="1">
        <v>0</v>
      </c>
      <c r="Z770" s="1">
        <v>0</v>
      </c>
      <c r="AA770" s="1">
        <v>6</v>
      </c>
      <c r="AB770" s="1">
        <v>6</v>
      </c>
      <c r="AC770" s="1" t="s">
        <v>109</v>
      </c>
      <c r="AD770" s="1" t="s">
        <v>109</v>
      </c>
      <c r="AE770" s="1" t="s">
        <v>109</v>
      </c>
      <c r="AF770" s="1" t="s">
        <v>109</v>
      </c>
      <c r="AG770" s="1" t="s">
        <v>109</v>
      </c>
      <c r="AH770" s="1">
        <v>4</v>
      </c>
      <c r="AI770" s="1" t="s">
        <v>109</v>
      </c>
      <c r="AJ770" s="1" t="s">
        <v>109</v>
      </c>
      <c r="AK770" s="1" t="s">
        <v>109</v>
      </c>
      <c r="AL770" s="1" t="s">
        <v>109</v>
      </c>
      <c r="AM770" s="1" t="s">
        <v>109</v>
      </c>
      <c r="AN770" s="1" t="s">
        <v>109</v>
      </c>
      <c r="AO770" s="1" t="s">
        <v>109</v>
      </c>
      <c r="AP770" s="1"/>
      <c r="AQ770" s="1">
        <v>6</v>
      </c>
      <c r="AR770" s="1" t="s">
        <v>6608</v>
      </c>
      <c r="AS770" s="1" t="s">
        <v>6609</v>
      </c>
      <c r="AT770" s="1">
        <v>0</v>
      </c>
      <c r="AU770" s="1">
        <v>0</v>
      </c>
      <c r="AV770" s="1">
        <v>0</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1</v>
      </c>
      <c r="BS770" s="5" t="str">
        <f>HYPERLINK("http://www.d20pfsrd.com/magic/all-spells/f/fluid-form","Fluid Form")</f>
        <v>Fluid Form</v>
      </c>
      <c r="BT770" s="1">
        <v>786</v>
      </c>
      <c r="BU770" s="1" t="s">
        <v>109</v>
      </c>
      <c r="BV770" s="1" t="s">
        <v>6610</v>
      </c>
      <c r="BW770" s="1"/>
      <c r="BX770" s="1"/>
      <c r="BY770" s="1"/>
      <c r="BZ770" s="1">
        <v>0</v>
      </c>
      <c r="CA770" s="1" t="s">
        <v>109</v>
      </c>
      <c r="CB770" s="1" t="s">
        <v>109</v>
      </c>
      <c r="CC770" s="1">
        <v>6</v>
      </c>
      <c r="CD770" s="1" t="s">
        <v>109</v>
      </c>
      <c r="CE770" s="1" t="s">
        <v>109</v>
      </c>
      <c r="CF770" s="1" t="s">
        <v>109</v>
      </c>
      <c r="CG770" s="1" t="s">
        <v>109</v>
      </c>
      <c r="CH770" s="1" t="s">
        <v>109</v>
      </c>
      <c r="CI770" s="1" t="s">
        <v>109</v>
      </c>
      <c r="CJ770" s="1" t="s">
        <v>109</v>
      </c>
      <c r="CK770" s="1"/>
      <c r="CL770" s="1">
        <v>0</v>
      </c>
      <c r="CM770" s="1">
        <v>0</v>
      </c>
      <c r="CN770" s="1">
        <v>0</v>
      </c>
    </row>
    <row r="771" spans="1:92" ht="14.25" customHeight="1" x14ac:dyDescent="0.15">
      <c r="A771" s="1" t="s">
        <v>6611</v>
      </c>
      <c r="B771" s="1" t="s">
        <v>189</v>
      </c>
      <c r="C771" s="1"/>
      <c r="D771" s="1"/>
      <c r="E771" s="1" t="s">
        <v>2156</v>
      </c>
      <c r="F771" s="1" t="s">
        <v>98</v>
      </c>
      <c r="G771" s="1" t="s">
        <v>2125</v>
      </c>
      <c r="H771" s="1">
        <v>0</v>
      </c>
      <c r="I771" s="1" t="s">
        <v>142</v>
      </c>
      <c r="J771" s="1"/>
      <c r="K771" s="1"/>
      <c r="L771" s="1" t="s">
        <v>716</v>
      </c>
      <c r="M771" s="1" t="s">
        <v>5642</v>
      </c>
      <c r="N771" s="1">
        <v>0</v>
      </c>
      <c r="O771" s="1">
        <v>0</v>
      </c>
      <c r="P771" s="1" t="s">
        <v>507</v>
      </c>
      <c r="Q771" s="1" t="s">
        <v>167</v>
      </c>
      <c r="R771" s="1" t="s">
        <v>6612</v>
      </c>
      <c r="S771" s="1" t="s">
        <v>6613</v>
      </c>
      <c r="T771" s="1" t="s">
        <v>5815</v>
      </c>
      <c r="U771" s="1" t="s">
        <v>6614</v>
      </c>
      <c r="V771" s="1">
        <v>1</v>
      </c>
      <c r="W771" s="1">
        <v>1</v>
      </c>
      <c r="X771" s="1">
        <v>0</v>
      </c>
      <c r="Y771" s="1">
        <v>0</v>
      </c>
      <c r="Z771" s="1">
        <v>0</v>
      </c>
      <c r="AA771" s="1">
        <v>7</v>
      </c>
      <c r="AB771" s="1">
        <v>7</v>
      </c>
      <c r="AC771" s="1" t="s">
        <v>109</v>
      </c>
      <c r="AD771" s="1" t="s">
        <v>109</v>
      </c>
      <c r="AE771" s="1" t="s">
        <v>109</v>
      </c>
      <c r="AF771" s="1" t="s">
        <v>109</v>
      </c>
      <c r="AG771" s="1" t="s">
        <v>109</v>
      </c>
      <c r="AH771" s="1" t="s">
        <v>109</v>
      </c>
      <c r="AI771" s="1" t="s">
        <v>109</v>
      </c>
      <c r="AJ771" s="1" t="s">
        <v>109</v>
      </c>
      <c r="AK771" s="1" t="s">
        <v>109</v>
      </c>
      <c r="AL771" s="1" t="s">
        <v>109</v>
      </c>
      <c r="AM771" s="1" t="s">
        <v>109</v>
      </c>
      <c r="AN771" s="1" t="s">
        <v>109</v>
      </c>
      <c r="AO771" s="1" t="s">
        <v>109</v>
      </c>
      <c r="AP771" s="1"/>
      <c r="AQ771" s="1">
        <v>7</v>
      </c>
      <c r="AR771" s="1" t="s">
        <v>6615</v>
      </c>
      <c r="AS771" s="1" t="s">
        <v>6616</v>
      </c>
      <c r="AT771" s="1">
        <v>0</v>
      </c>
      <c r="AU771" s="1">
        <v>0</v>
      </c>
      <c r="AV771" s="1">
        <v>0</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5" t="str">
        <f>HYPERLINK("http://www.d20pfsrd.com/magic/all-spells/f/fly,-mass","Fly, Mass")</f>
        <v>Fly, Mass</v>
      </c>
      <c r="BT771" s="1">
        <v>787</v>
      </c>
      <c r="BU771" s="1" t="s">
        <v>109</v>
      </c>
      <c r="BV771" s="1"/>
      <c r="BW771" s="1"/>
      <c r="BX771" s="1"/>
      <c r="BY771" s="1"/>
      <c r="BZ771" s="1">
        <v>0</v>
      </c>
      <c r="CA771" s="1" t="s">
        <v>109</v>
      </c>
      <c r="CB771" s="1" t="s">
        <v>109</v>
      </c>
      <c r="CC771" s="1">
        <v>7</v>
      </c>
      <c r="CD771" s="1" t="s">
        <v>109</v>
      </c>
      <c r="CE771" s="1" t="s">
        <v>109</v>
      </c>
      <c r="CF771" s="1" t="s">
        <v>109</v>
      </c>
      <c r="CG771" s="1" t="s">
        <v>109</v>
      </c>
      <c r="CH771" s="1" t="s">
        <v>109</v>
      </c>
      <c r="CI771" s="1" t="s">
        <v>109</v>
      </c>
      <c r="CJ771" s="1" t="s">
        <v>109</v>
      </c>
      <c r="CK771" s="1"/>
      <c r="CL771" s="1">
        <v>0</v>
      </c>
      <c r="CM771" s="1">
        <v>0</v>
      </c>
      <c r="CN771" s="1">
        <v>0</v>
      </c>
    </row>
    <row r="772" spans="1:92" ht="14.25" customHeight="1" x14ac:dyDescent="0.15">
      <c r="A772" s="1" t="s">
        <v>6617</v>
      </c>
      <c r="B772" s="1" t="s">
        <v>156</v>
      </c>
      <c r="C772" s="1" t="s">
        <v>157</v>
      </c>
      <c r="D772" s="1" t="s">
        <v>158</v>
      </c>
      <c r="E772" s="1" t="s">
        <v>6618</v>
      </c>
      <c r="F772" s="1" t="s">
        <v>1963</v>
      </c>
      <c r="G772" s="1" t="s">
        <v>141</v>
      </c>
      <c r="H772" s="1">
        <v>0</v>
      </c>
      <c r="I772" s="1" t="s">
        <v>122</v>
      </c>
      <c r="J772" s="1"/>
      <c r="K772" s="1"/>
      <c r="L772" s="1" t="s">
        <v>563</v>
      </c>
      <c r="M772" s="1" t="s">
        <v>355</v>
      </c>
      <c r="N772" s="1">
        <v>0</v>
      </c>
      <c r="O772" s="1">
        <v>0</v>
      </c>
      <c r="P772" s="1" t="s">
        <v>301</v>
      </c>
      <c r="Q772" s="1" t="s">
        <v>268</v>
      </c>
      <c r="R772" s="1" t="s">
        <v>6619</v>
      </c>
      <c r="S772" s="1" t="s">
        <v>6620</v>
      </c>
      <c r="T772" s="1" t="s">
        <v>5815</v>
      </c>
      <c r="U772" s="1" t="s">
        <v>6621</v>
      </c>
      <c r="V772" s="1">
        <v>1</v>
      </c>
      <c r="W772" s="1">
        <v>1</v>
      </c>
      <c r="X772" s="1">
        <v>0</v>
      </c>
      <c r="Y772" s="1">
        <v>0</v>
      </c>
      <c r="Z772" s="1">
        <v>0</v>
      </c>
      <c r="AA772" s="1" t="s">
        <v>109</v>
      </c>
      <c r="AB772" s="1" t="s">
        <v>109</v>
      </c>
      <c r="AC772" s="1" t="s">
        <v>109</v>
      </c>
      <c r="AD772" s="1" t="s">
        <v>109</v>
      </c>
      <c r="AE772" s="1" t="s">
        <v>109</v>
      </c>
      <c r="AF772" s="1">
        <v>5</v>
      </c>
      <c r="AG772" s="1" t="s">
        <v>109</v>
      </c>
      <c r="AH772" s="1" t="s">
        <v>109</v>
      </c>
      <c r="AI772" s="1" t="s">
        <v>109</v>
      </c>
      <c r="AJ772" s="1" t="s">
        <v>109</v>
      </c>
      <c r="AK772" s="1" t="s">
        <v>109</v>
      </c>
      <c r="AL772" s="1" t="s">
        <v>109</v>
      </c>
      <c r="AM772" s="1" t="s">
        <v>109</v>
      </c>
      <c r="AN772" s="1" t="s">
        <v>109</v>
      </c>
      <c r="AO772" s="1" t="s">
        <v>109</v>
      </c>
      <c r="AP772" s="1"/>
      <c r="AQ772" s="1">
        <v>5</v>
      </c>
      <c r="AR772" s="1"/>
      <c r="AS772" s="1" t="s">
        <v>6622</v>
      </c>
      <c r="AT772" s="1">
        <v>0</v>
      </c>
      <c r="AU772" s="1">
        <v>0</v>
      </c>
      <c r="AV772" s="1">
        <v>0</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1</v>
      </c>
      <c r="BN772" s="1">
        <v>0</v>
      </c>
      <c r="BO772" s="1">
        <v>0</v>
      </c>
      <c r="BP772" s="1">
        <v>0</v>
      </c>
      <c r="BQ772" s="1">
        <v>0</v>
      </c>
      <c r="BR772" s="1">
        <v>0</v>
      </c>
      <c r="BS772" s="5" t="str">
        <f>HYPERLINK("http://www.d20pfsrd.com/magic/all-spells/f/foe-to-friend","Foe to Friend")</f>
        <v>Foe to Friend</v>
      </c>
      <c r="BT772" s="1">
        <v>788</v>
      </c>
      <c r="BU772" s="1" t="s">
        <v>109</v>
      </c>
      <c r="BV772" s="1"/>
      <c r="BW772" s="1"/>
      <c r="BX772" s="1"/>
      <c r="BY772" s="1"/>
      <c r="BZ772" s="1">
        <v>0</v>
      </c>
      <c r="CA772" s="1" t="s">
        <v>109</v>
      </c>
      <c r="CB772" s="1" t="s">
        <v>109</v>
      </c>
      <c r="CC772" s="1">
        <v>7</v>
      </c>
      <c r="CD772" s="1" t="s">
        <v>109</v>
      </c>
      <c r="CE772" s="1">
        <v>5</v>
      </c>
      <c r="CF772" s="1" t="s">
        <v>109</v>
      </c>
      <c r="CG772" s="1" t="s">
        <v>109</v>
      </c>
      <c r="CH772" s="1" t="s">
        <v>109</v>
      </c>
      <c r="CI772" s="1" t="s">
        <v>109</v>
      </c>
      <c r="CJ772" s="1" t="s">
        <v>109</v>
      </c>
      <c r="CK772" s="1"/>
      <c r="CL772" s="1">
        <v>0</v>
      </c>
      <c r="CM772" s="1">
        <v>0</v>
      </c>
      <c r="CN772" s="1">
        <v>0</v>
      </c>
    </row>
    <row r="773" spans="1:92" ht="14.25" customHeight="1" x14ac:dyDescent="0.15">
      <c r="A773" s="1" t="s">
        <v>6623</v>
      </c>
      <c r="B773" s="1" t="s">
        <v>254</v>
      </c>
      <c r="C773" s="1"/>
      <c r="D773" s="1" t="s">
        <v>6215</v>
      </c>
      <c r="E773" s="1" t="s">
        <v>6624</v>
      </c>
      <c r="F773" s="1" t="s">
        <v>98</v>
      </c>
      <c r="G773" s="1" t="s">
        <v>160</v>
      </c>
      <c r="H773" s="1">
        <v>0</v>
      </c>
      <c r="I773" s="1" t="s">
        <v>235</v>
      </c>
      <c r="J773" s="1"/>
      <c r="K773" s="1"/>
      <c r="L773" s="1" t="s">
        <v>236</v>
      </c>
      <c r="M773" s="1" t="s">
        <v>6625</v>
      </c>
      <c r="N773" s="1">
        <v>1</v>
      </c>
      <c r="O773" s="1">
        <v>0</v>
      </c>
      <c r="P773" s="1"/>
      <c r="Q773" s="1"/>
      <c r="R773" s="1" t="s">
        <v>6626</v>
      </c>
      <c r="S773" s="1" t="s">
        <v>6627</v>
      </c>
      <c r="T773" s="1" t="s">
        <v>5815</v>
      </c>
      <c r="U773" s="1" t="s">
        <v>6628</v>
      </c>
      <c r="V773" s="1">
        <v>1</v>
      </c>
      <c r="W773" s="1">
        <v>1</v>
      </c>
      <c r="X773" s="1">
        <v>0</v>
      </c>
      <c r="Y773" s="1">
        <v>0</v>
      </c>
      <c r="Z773" s="1">
        <v>1</v>
      </c>
      <c r="AA773" s="1" t="s">
        <v>109</v>
      </c>
      <c r="AB773" s="1" t="s">
        <v>109</v>
      </c>
      <c r="AC773" s="1" t="s">
        <v>109</v>
      </c>
      <c r="AD773" s="1" t="s">
        <v>109</v>
      </c>
      <c r="AE773" s="1" t="s">
        <v>109</v>
      </c>
      <c r="AF773" s="1" t="s">
        <v>109</v>
      </c>
      <c r="AG773" s="1" t="s">
        <v>109</v>
      </c>
      <c r="AH773" s="1" t="s">
        <v>109</v>
      </c>
      <c r="AI773" s="1" t="s">
        <v>109</v>
      </c>
      <c r="AJ773" s="1" t="s">
        <v>109</v>
      </c>
      <c r="AK773" s="1">
        <v>2</v>
      </c>
      <c r="AL773" s="1" t="s">
        <v>109</v>
      </c>
      <c r="AM773" s="1" t="s">
        <v>109</v>
      </c>
      <c r="AN773" s="1" t="s">
        <v>109</v>
      </c>
      <c r="AO773" s="1" t="s">
        <v>109</v>
      </c>
      <c r="AP773" s="1"/>
      <c r="AQ773" s="1">
        <v>2</v>
      </c>
      <c r="AR773" s="1"/>
      <c r="AS773" s="1" t="s">
        <v>6629</v>
      </c>
      <c r="AT773" s="1">
        <v>0</v>
      </c>
      <c r="AU773" s="1">
        <v>0</v>
      </c>
      <c r="AV773" s="1">
        <v>1</v>
      </c>
      <c r="AW773" s="1">
        <v>0</v>
      </c>
      <c r="AX773" s="1">
        <v>0</v>
      </c>
      <c r="AY773" s="1">
        <v>0</v>
      </c>
      <c r="AZ773" s="1">
        <v>0</v>
      </c>
      <c r="BA773" s="1">
        <v>0</v>
      </c>
      <c r="BB773" s="1">
        <v>0</v>
      </c>
      <c r="BC773" s="1">
        <v>0</v>
      </c>
      <c r="BD773" s="1">
        <v>0</v>
      </c>
      <c r="BE773" s="1">
        <v>1</v>
      </c>
      <c r="BF773" s="1">
        <v>0</v>
      </c>
      <c r="BG773" s="1">
        <v>0</v>
      </c>
      <c r="BH773" s="1">
        <v>0</v>
      </c>
      <c r="BI773" s="1">
        <v>1</v>
      </c>
      <c r="BJ773" s="1">
        <v>0</v>
      </c>
      <c r="BK773" s="1">
        <v>1</v>
      </c>
      <c r="BL773" s="1">
        <v>0</v>
      </c>
      <c r="BM773" s="1">
        <v>0</v>
      </c>
      <c r="BN773" s="1">
        <v>0</v>
      </c>
      <c r="BO773" s="1">
        <v>0</v>
      </c>
      <c r="BP773" s="1">
        <v>0</v>
      </c>
      <c r="BQ773" s="1">
        <v>0</v>
      </c>
      <c r="BR773" s="1">
        <v>0</v>
      </c>
      <c r="BS773" s="5" t="str">
        <f>HYPERLINK("http://www.d20pfsrd.com/magic/all-spells/f/follow-aura","Follow Aura")</f>
        <v>Follow Aura</v>
      </c>
      <c r="BT773" s="1">
        <v>789</v>
      </c>
      <c r="BU773" s="1" t="s">
        <v>109</v>
      </c>
      <c r="BV773" s="1"/>
      <c r="BW773" s="1"/>
      <c r="BX773" s="1"/>
      <c r="BY773" s="1"/>
      <c r="BZ773" s="1">
        <v>0</v>
      </c>
      <c r="CA773" s="1" t="s">
        <v>109</v>
      </c>
      <c r="CB773" s="1" t="s">
        <v>109</v>
      </c>
      <c r="CC773" s="1" t="s">
        <v>109</v>
      </c>
      <c r="CD773" s="1" t="s">
        <v>109</v>
      </c>
      <c r="CE773" s="1" t="s">
        <v>109</v>
      </c>
      <c r="CF773" s="1">
        <v>3</v>
      </c>
      <c r="CG773" s="1" t="s">
        <v>109</v>
      </c>
      <c r="CH773" s="1" t="s">
        <v>109</v>
      </c>
      <c r="CI773" s="1" t="s">
        <v>109</v>
      </c>
      <c r="CJ773" s="1" t="s">
        <v>109</v>
      </c>
      <c r="CK773" s="1"/>
      <c r="CL773" s="1">
        <v>0</v>
      </c>
      <c r="CM773" s="1">
        <v>0</v>
      </c>
      <c r="CN773" s="1">
        <v>0</v>
      </c>
    </row>
    <row r="774" spans="1:92" ht="14.25" customHeight="1" x14ac:dyDescent="0.15">
      <c r="A774" s="1" t="s">
        <v>6630</v>
      </c>
      <c r="B774" s="1" t="s">
        <v>242</v>
      </c>
      <c r="C774" s="1"/>
      <c r="D774" s="1" t="s">
        <v>158</v>
      </c>
      <c r="E774" s="1" t="s">
        <v>6051</v>
      </c>
      <c r="F774" s="1" t="s">
        <v>98</v>
      </c>
      <c r="G774" s="1" t="s">
        <v>6631</v>
      </c>
      <c r="H774" s="1">
        <v>0</v>
      </c>
      <c r="I774" s="1" t="s">
        <v>356</v>
      </c>
      <c r="J774" s="1" t="s">
        <v>6632</v>
      </c>
      <c r="K774" s="1"/>
      <c r="L774" s="1"/>
      <c r="M774" s="1" t="s">
        <v>300</v>
      </c>
      <c r="N774" s="1">
        <v>0</v>
      </c>
      <c r="O774" s="1">
        <v>0</v>
      </c>
      <c r="P774" s="1" t="s">
        <v>380</v>
      </c>
      <c r="Q774" s="1" t="s">
        <v>268</v>
      </c>
      <c r="R774" s="1" t="s">
        <v>6633</v>
      </c>
      <c r="S774" s="1" t="s">
        <v>6634</v>
      </c>
      <c r="T774" s="1" t="s">
        <v>5815</v>
      </c>
      <c r="U774" s="1" t="s">
        <v>6635</v>
      </c>
      <c r="V774" s="1">
        <v>1</v>
      </c>
      <c r="W774" s="1">
        <v>1</v>
      </c>
      <c r="X774" s="1">
        <v>1</v>
      </c>
      <c r="Y774" s="1">
        <v>0</v>
      </c>
      <c r="Z774" s="1">
        <v>0</v>
      </c>
      <c r="AA774" s="1" t="s">
        <v>109</v>
      </c>
      <c r="AB774" s="1" t="s">
        <v>109</v>
      </c>
      <c r="AC774" s="1" t="s">
        <v>109</v>
      </c>
      <c r="AD774" s="1" t="s">
        <v>109</v>
      </c>
      <c r="AE774" s="1" t="s">
        <v>109</v>
      </c>
      <c r="AF774" s="1">
        <v>6</v>
      </c>
      <c r="AG774" s="1" t="s">
        <v>109</v>
      </c>
      <c r="AH774" s="1" t="s">
        <v>109</v>
      </c>
      <c r="AI774" s="1" t="s">
        <v>109</v>
      </c>
      <c r="AJ774" s="1" t="s">
        <v>109</v>
      </c>
      <c r="AK774" s="1" t="s">
        <v>109</v>
      </c>
      <c r="AL774" s="1" t="s">
        <v>109</v>
      </c>
      <c r="AM774" s="1" t="s">
        <v>109</v>
      </c>
      <c r="AN774" s="1" t="s">
        <v>109</v>
      </c>
      <c r="AO774" s="1" t="s">
        <v>109</v>
      </c>
      <c r="AP774" s="1"/>
      <c r="AQ774" s="1">
        <v>6</v>
      </c>
      <c r="AR774" s="1"/>
      <c r="AS774" s="1" t="s">
        <v>6636</v>
      </c>
      <c r="AT774" s="1">
        <v>0</v>
      </c>
      <c r="AU774" s="1">
        <v>0</v>
      </c>
      <c r="AV774" s="1">
        <v>0</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1</v>
      </c>
      <c r="BN774" s="1">
        <v>0</v>
      </c>
      <c r="BO774" s="1">
        <v>0</v>
      </c>
      <c r="BP774" s="1">
        <v>0</v>
      </c>
      <c r="BQ774" s="1">
        <v>0</v>
      </c>
      <c r="BR774" s="1">
        <v>0</v>
      </c>
      <c r="BS774" s="5" t="str">
        <f>HYPERLINK("http://www.d20pfsrd.com/magic/all-spells/f/fool-s-forbiddance","Fool's Forbiddance")</f>
        <v>Fool's Forbiddance</v>
      </c>
      <c r="BT774" s="1">
        <v>790</v>
      </c>
      <c r="BU774" s="1" t="s">
        <v>109</v>
      </c>
      <c r="BV774" s="1"/>
      <c r="BW774" s="1"/>
      <c r="BX774" s="1"/>
      <c r="BY774" s="1"/>
      <c r="BZ774" s="1">
        <v>0</v>
      </c>
      <c r="CA774" s="1" t="s">
        <v>109</v>
      </c>
      <c r="CB774" s="1" t="s">
        <v>109</v>
      </c>
      <c r="CC774" s="1">
        <v>8</v>
      </c>
      <c r="CD774" s="1" t="s">
        <v>109</v>
      </c>
      <c r="CE774" s="1" t="s">
        <v>109</v>
      </c>
      <c r="CF774" s="1" t="s">
        <v>109</v>
      </c>
      <c r="CG774" s="1" t="s">
        <v>109</v>
      </c>
      <c r="CH774" s="1" t="s">
        <v>109</v>
      </c>
      <c r="CI774" s="1" t="s">
        <v>109</v>
      </c>
      <c r="CJ774" s="1" t="s">
        <v>109</v>
      </c>
      <c r="CK774" s="1"/>
      <c r="CL774" s="1">
        <v>0</v>
      </c>
      <c r="CM774" s="1">
        <v>0</v>
      </c>
      <c r="CN774" s="1">
        <v>0</v>
      </c>
    </row>
    <row r="775" spans="1:92" ht="14.25" customHeight="1" x14ac:dyDescent="0.15">
      <c r="A775" s="1" t="s">
        <v>6637</v>
      </c>
      <c r="B775" s="1" t="s">
        <v>156</v>
      </c>
      <c r="C775" s="1" t="s">
        <v>157</v>
      </c>
      <c r="D775" s="1" t="s">
        <v>375</v>
      </c>
      <c r="E775" s="1" t="s">
        <v>6638</v>
      </c>
      <c r="F775" s="1" t="s">
        <v>98</v>
      </c>
      <c r="G775" s="1" t="s">
        <v>160</v>
      </c>
      <c r="H775" s="1">
        <v>0</v>
      </c>
      <c r="I775" s="1" t="s">
        <v>142</v>
      </c>
      <c r="J775" s="1"/>
      <c r="K775" s="1"/>
      <c r="L775" s="1" t="s">
        <v>6639</v>
      </c>
      <c r="M775" s="1" t="s">
        <v>125</v>
      </c>
      <c r="N775" s="1">
        <v>0</v>
      </c>
      <c r="O775" s="1">
        <v>0</v>
      </c>
      <c r="P775" s="1" t="s">
        <v>301</v>
      </c>
      <c r="Q775" s="1" t="s">
        <v>268</v>
      </c>
      <c r="R775" s="1" t="s">
        <v>6640</v>
      </c>
      <c r="S775" s="1" t="s">
        <v>6641</v>
      </c>
      <c r="T775" s="1" t="s">
        <v>5815</v>
      </c>
      <c r="U775" s="1" t="s">
        <v>6642</v>
      </c>
      <c r="V775" s="1">
        <v>1</v>
      </c>
      <c r="W775" s="1">
        <v>1</v>
      </c>
      <c r="X775" s="1">
        <v>0</v>
      </c>
      <c r="Y775" s="1">
        <v>0</v>
      </c>
      <c r="Z775" s="1">
        <v>1</v>
      </c>
      <c r="AA775" s="1" t="s">
        <v>109</v>
      </c>
      <c r="AB775" s="1" t="s">
        <v>109</v>
      </c>
      <c r="AC775" s="1" t="s">
        <v>109</v>
      </c>
      <c r="AD775" s="1" t="s">
        <v>109</v>
      </c>
      <c r="AE775" s="1" t="s">
        <v>109</v>
      </c>
      <c r="AF775" s="1" t="s">
        <v>109</v>
      </c>
      <c r="AG775" s="1">
        <v>4</v>
      </c>
      <c r="AH775" s="1" t="s">
        <v>109</v>
      </c>
      <c r="AI775" s="1" t="s">
        <v>109</v>
      </c>
      <c r="AJ775" s="1" t="s">
        <v>109</v>
      </c>
      <c r="AK775" s="1">
        <v>4</v>
      </c>
      <c r="AL775" s="1" t="s">
        <v>109</v>
      </c>
      <c r="AM775" s="1" t="s">
        <v>109</v>
      </c>
      <c r="AN775" s="1" t="s">
        <v>109</v>
      </c>
      <c r="AO775" s="1" t="s">
        <v>109</v>
      </c>
      <c r="AP775" s="1"/>
      <c r="AQ775" s="1">
        <v>4</v>
      </c>
      <c r="AR775" s="1" t="s">
        <v>6643</v>
      </c>
      <c r="AS775" s="1" t="s">
        <v>6644</v>
      </c>
      <c r="AT775" s="1">
        <v>0</v>
      </c>
      <c r="AU775" s="1">
        <v>0</v>
      </c>
      <c r="AV775" s="1">
        <v>0</v>
      </c>
      <c r="AW775" s="1">
        <v>0</v>
      </c>
      <c r="AX775" s="1">
        <v>0</v>
      </c>
      <c r="AY775" s="1">
        <v>0</v>
      </c>
      <c r="AZ775" s="1">
        <v>0</v>
      </c>
      <c r="BA775" s="1">
        <v>0</v>
      </c>
      <c r="BB775" s="1">
        <v>0</v>
      </c>
      <c r="BC775" s="1">
        <v>0</v>
      </c>
      <c r="BD775" s="1">
        <v>1</v>
      </c>
      <c r="BE775" s="1">
        <v>0</v>
      </c>
      <c r="BF775" s="1">
        <v>0</v>
      </c>
      <c r="BG775" s="1">
        <v>0</v>
      </c>
      <c r="BH775" s="1">
        <v>0</v>
      </c>
      <c r="BI775" s="1">
        <v>0</v>
      </c>
      <c r="BJ775" s="1">
        <v>0</v>
      </c>
      <c r="BK775" s="1">
        <v>0</v>
      </c>
      <c r="BL775" s="1">
        <v>0</v>
      </c>
      <c r="BM775" s="1">
        <v>1</v>
      </c>
      <c r="BN775" s="1">
        <v>0</v>
      </c>
      <c r="BO775" s="1">
        <v>0</v>
      </c>
      <c r="BP775" s="1">
        <v>0</v>
      </c>
      <c r="BQ775" s="1">
        <v>0</v>
      </c>
      <c r="BR775" s="1">
        <v>0</v>
      </c>
      <c r="BS775" s="5" t="str">
        <f>HYPERLINK("http://www.d20pfsrd.com/magic/all-spells/f/forced-repentance","Forced Repentance")</f>
        <v>Forced Repentance</v>
      </c>
      <c r="BT775" s="1">
        <v>791</v>
      </c>
      <c r="BU775" s="1" t="s">
        <v>109</v>
      </c>
      <c r="BV775" s="1"/>
      <c r="BW775" s="1"/>
      <c r="BX775" s="1"/>
      <c r="BY775" s="1"/>
      <c r="BZ775" s="1">
        <v>0</v>
      </c>
      <c r="CA775" s="1" t="s">
        <v>109</v>
      </c>
      <c r="CB775" s="1" t="s">
        <v>109</v>
      </c>
      <c r="CC775" s="1" t="s">
        <v>109</v>
      </c>
      <c r="CD775" s="1" t="s">
        <v>109</v>
      </c>
      <c r="CE775" s="1" t="s">
        <v>109</v>
      </c>
      <c r="CF775" s="1" t="s">
        <v>109</v>
      </c>
      <c r="CG775" s="1" t="s">
        <v>109</v>
      </c>
      <c r="CH775" s="1" t="s">
        <v>109</v>
      </c>
      <c r="CI775" s="1" t="s">
        <v>109</v>
      </c>
      <c r="CJ775" s="1" t="s">
        <v>109</v>
      </c>
      <c r="CK775" s="1"/>
      <c r="CL775" s="1">
        <v>0</v>
      </c>
      <c r="CM775" s="1">
        <v>0</v>
      </c>
      <c r="CN775" s="1">
        <v>0</v>
      </c>
    </row>
    <row r="776" spans="1:92" ht="14.25" customHeight="1" x14ac:dyDescent="0.15">
      <c r="A776" s="1" t="s">
        <v>6645</v>
      </c>
      <c r="B776" s="1" t="s">
        <v>156</v>
      </c>
      <c r="C776" s="1" t="s">
        <v>157</v>
      </c>
      <c r="D776" s="1" t="s">
        <v>297</v>
      </c>
      <c r="E776" s="1" t="s">
        <v>5937</v>
      </c>
      <c r="F776" s="1" t="s">
        <v>98</v>
      </c>
      <c r="G776" s="1" t="s">
        <v>333</v>
      </c>
      <c r="H776" s="1">
        <v>0</v>
      </c>
      <c r="I776" s="1"/>
      <c r="J776" s="1" t="s">
        <v>6646</v>
      </c>
      <c r="K776" s="1"/>
      <c r="L776" s="1" t="s">
        <v>6647</v>
      </c>
      <c r="M776" s="1" t="s">
        <v>6648</v>
      </c>
      <c r="N776" s="1">
        <v>0</v>
      </c>
      <c r="O776" s="1">
        <v>0</v>
      </c>
      <c r="P776" s="1" t="s">
        <v>826</v>
      </c>
      <c r="Q776" s="1" t="s">
        <v>268</v>
      </c>
      <c r="R776" s="1" t="s">
        <v>6649</v>
      </c>
      <c r="S776" s="1" t="s">
        <v>6650</v>
      </c>
      <c r="T776" s="1" t="s">
        <v>5815</v>
      </c>
      <c r="U776" s="1" t="s">
        <v>6651</v>
      </c>
      <c r="V776" s="1">
        <v>1</v>
      </c>
      <c r="W776" s="1">
        <v>0</v>
      </c>
      <c r="X776" s="1">
        <v>0</v>
      </c>
      <c r="Y776" s="1">
        <v>0</v>
      </c>
      <c r="Z776" s="1">
        <v>0</v>
      </c>
      <c r="AA776" s="1" t="s">
        <v>109</v>
      </c>
      <c r="AB776" s="1" t="s">
        <v>109</v>
      </c>
      <c r="AC776" s="1" t="s">
        <v>109</v>
      </c>
      <c r="AD776" s="1" t="s">
        <v>109</v>
      </c>
      <c r="AE776" s="1" t="s">
        <v>109</v>
      </c>
      <c r="AF776" s="1">
        <v>5</v>
      </c>
      <c r="AG776" s="1" t="s">
        <v>109</v>
      </c>
      <c r="AH776" s="1" t="s">
        <v>109</v>
      </c>
      <c r="AI776" s="1" t="s">
        <v>109</v>
      </c>
      <c r="AJ776" s="1" t="s">
        <v>109</v>
      </c>
      <c r="AK776" s="1" t="s">
        <v>109</v>
      </c>
      <c r="AL776" s="1" t="s">
        <v>109</v>
      </c>
      <c r="AM776" s="1" t="s">
        <v>109</v>
      </c>
      <c r="AN776" s="1" t="s">
        <v>109</v>
      </c>
      <c r="AO776" s="1" t="s">
        <v>109</v>
      </c>
      <c r="AP776" s="1"/>
      <c r="AQ776" s="1">
        <v>5</v>
      </c>
      <c r="AR776" s="1"/>
      <c r="AS776" s="1" t="s">
        <v>6652</v>
      </c>
      <c r="AT776" s="1">
        <v>0</v>
      </c>
      <c r="AU776" s="1">
        <v>0</v>
      </c>
      <c r="AV776" s="1">
        <v>0</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1</v>
      </c>
      <c r="BN776" s="1">
        <v>0</v>
      </c>
      <c r="BO776" s="1">
        <v>0</v>
      </c>
      <c r="BP776" s="1">
        <v>0</v>
      </c>
      <c r="BQ776" s="1">
        <v>1</v>
      </c>
      <c r="BR776" s="1">
        <v>0</v>
      </c>
      <c r="BS776" s="5" t="str">
        <f>HYPERLINK("http://www.d20pfsrd.com/magic/all-spells/f/frozen-note","Frozen Note")</f>
        <v>Frozen Note</v>
      </c>
      <c r="BT776" s="1">
        <v>792</v>
      </c>
      <c r="BU776" s="1" t="s">
        <v>109</v>
      </c>
      <c r="BV776" s="1"/>
      <c r="BW776" s="1"/>
      <c r="BX776" s="1"/>
      <c r="BY776" s="1"/>
      <c r="BZ776" s="1">
        <v>0</v>
      </c>
      <c r="CA776" s="1" t="s">
        <v>109</v>
      </c>
      <c r="CB776" s="1" t="s">
        <v>109</v>
      </c>
      <c r="CC776" s="1" t="s">
        <v>109</v>
      </c>
      <c r="CD776" s="1" t="s">
        <v>109</v>
      </c>
      <c r="CE776" s="1" t="s">
        <v>109</v>
      </c>
      <c r="CF776" s="1" t="s">
        <v>109</v>
      </c>
      <c r="CG776" s="1" t="s">
        <v>109</v>
      </c>
      <c r="CH776" s="1" t="s">
        <v>109</v>
      </c>
      <c r="CI776" s="1" t="s">
        <v>109</v>
      </c>
      <c r="CJ776" s="1" t="s">
        <v>109</v>
      </c>
      <c r="CK776" s="1"/>
      <c r="CL776" s="1">
        <v>0</v>
      </c>
      <c r="CM776" s="1">
        <v>0</v>
      </c>
      <c r="CN776" s="1">
        <v>0</v>
      </c>
    </row>
    <row r="777" spans="1:92" ht="14.25" customHeight="1" x14ac:dyDescent="0.15">
      <c r="A777" s="1" t="s">
        <v>6653</v>
      </c>
      <c r="B777" s="1" t="s">
        <v>254</v>
      </c>
      <c r="C777" s="1"/>
      <c r="D777" s="1"/>
      <c r="E777" s="1" t="s">
        <v>6083</v>
      </c>
      <c r="F777" s="1" t="s">
        <v>1963</v>
      </c>
      <c r="G777" s="1" t="s">
        <v>333</v>
      </c>
      <c r="H777" s="1">
        <v>0</v>
      </c>
      <c r="I777" s="1" t="s">
        <v>142</v>
      </c>
      <c r="J777" s="1"/>
      <c r="K777" s="1"/>
      <c r="L777" s="1" t="s">
        <v>563</v>
      </c>
      <c r="M777" s="1" t="s">
        <v>144</v>
      </c>
      <c r="N777" s="1">
        <v>0</v>
      </c>
      <c r="O777" s="1">
        <v>0</v>
      </c>
      <c r="P777" s="1" t="s">
        <v>507</v>
      </c>
      <c r="Q777" s="1" t="s">
        <v>268</v>
      </c>
      <c r="R777" s="1" t="s">
        <v>6654</v>
      </c>
      <c r="S777" s="1" t="s">
        <v>6655</v>
      </c>
      <c r="T777" s="1" t="s">
        <v>5815</v>
      </c>
      <c r="U777" s="1" t="s">
        <v>6656</v>
      </c>
      <c r="V777" s="1">
        <v>1</v>
      </c>
      <c r="W777" s="1">
        <v>0</v>
      </c>
      <c r="X777" s="1">
        <v>0</v>
      </c>
      <c r="Y777" s="1">
        <v>0</v>
      </c>
      <c r="Z777" s="1">
        <v>0</v>
      </c>
      <c r="AA777" s="1" t="s">
        <v>109</v>
      </c>
      <c r="AB777" s="1" t="s">
        <v>109</v>
      </c>
      <c r="AC777" s="1" t="s">
        <v>109</v>
      </c>
      <c r="AD777" s="1" t="s">
        <v>109</v>
      </c>
      <c r="AE777" s="1" t="s">
        <v>109</v>
      </c>
      <c r="AF777" s="1">
        <v>2</v>
      </c>
      <c r="AG777" s="1" t="s">
        <v>109</v>
      </c>
      <c r="AH777" s="1" t="s">
        <v>109</v>
      </c>
      <c r="AI777" s="1" t="s">
        <v>109</v>
      </c>
      <c r="AJ777" s="1" t="s">
        <v>109</v>
      </c>
      <c r="AK777" s="1" t="s">
        <v>109</v>
      </c>
      <c r="AL777" s="1" t="s">
        <v>109</v>
      </c>
      <c r="AM777" s="1" t="s">
        <v>109</v>
      </c>
      <c r="AN777" s="1" t="s">
        <v>109</v>
      </c>
      <c r="AO777" s="1" t="s">
        <v>109</v>
      </c>
      <c r="AP777" s="1"/>
      <c r="AQ777" s="1">
        <v>2</v>
      </c>
      <c r="AR777" s="1"/>
      <c r="AS777" s="1" t="s">
        <v>6657</v>
      </c>
      <c r="AT777" s="1">
        <v>0</v>
      </c>
      <c r="AU777" s="1">
        <v>0</v>
      </c>
      <c r="AV777" s="1">
        <v>0</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0</v>
      </c>
      <c r="BQ777" s="1">
        <v>0</v>
      </c>
      <c r="BR777" s="1">
        <v>0</v>
      </c>
      <c r="BS777" s="5" t="str">
        <f>HYPERLINK("http://www.d20pfsrd.com/magic/all-spells/g/gallant-inspiration","Gallant Inspiration")</f>
        <v>Gallant Inspiration</v>
      </c>
      <c r="BT777" s="1">
        <v>793</v>
      </c>
      <c r="BU777" s="1" t="s">
        <v>109</v>
      </c>
      <c r="BV777" s="1"/>
      <c r="BW777" s="1"/>
      <c r="BX777" s="1"/>
      <c r="BY777" s="1"/>
      <c r="BZ777" s="1">
        <v>0</v>
      </c>
      <c r="CA777" s="1" t="s">
        <v>109</v>
      </c>
      <c r="CB777" s="1" t="s">
        <v>109</v>
      </c>
      <c r="CC777" s="1" t="s">
        <v>109</v>
      </c>
      <c r="CD777" s="1" t="s">
        <v>109</v>
      </c>
      <c r="CE777" s="1" t="s">
        <v>109</v>
      </c>
      <c r="CF777" s="1" t="s">
        <v>109</v>
      </c>
      <c r="CG777" s="1" t="s">
        <v>109</v>
      </c>
      <c r="CH777" s="1" t="s">
        <v>109</v>
      </c>
      <c r="CI777" s="1" t="s">
        <v>109</v>
      </c>
      <c r="CJ777" s="1" t="s">
        <v>109</v>
      </c>
      <c r="CK777" s="1"/>
      <c r="CL777" s="1">
        <v>0</v>
      </c>
      <c r="CM777" s="1">
        <v>0</v>
      </c>
      <c r="CN777" s="1">
        <v>0</v>
      </c>
    </row>
    <row r="778" spans="1:92" ht="14.25" customHeight="1" x14ac:dyDescent="0.15">
      <c r="A778" s="1" t="s">
        <v>6658</v>
      </c>
      <c r="B778" s="1" t="s">
        <v>95</v>
      </c>
      <c r="C778" s="1" t="s">
        <v>1522</v>
      </c>
      <c r="D778" s="1"/>
      <c r="E778" s="1" t="s">
        <v>6659</v>
      </c>
      <c r="F778" s="1" t="s">
        <v>277</v>
      </c>
      <c r="G778" s="1" t="s">
        <v>6660</v>
      </c>
      <c r="H778" s="1">
        <v>0</v>
      </c>
      <c r="I778" s="1" t="s">
        <v>397</v>
      </c>
      <c r="J778" s="1"/>
      <c r="K778" s="1"/>
      <c r="L778" s="1" t="s">
        <v>6661</v>
      </c>
      <c r="M778" s="1" t="s">
        <v>289</v>
      </c>
      <c r="N778" s="1">
        <v>0</v>
      </c>
      <c r="O778" s="1">
        <v>0</v>
      </c>
      <c r="P778" s="1" t="s">
        <v>103</v>
      </c>
      <c r="Q778" s="1" t="s">
        <v>104</v>
      </c>
      <c r="R778" s="1" t="s">
        <v>6662</v>
      </c>
      <c r="S778" s="1" t="s">
        <v>6663</v>
      </c>
      <c r="T778" s="1" t="s">
        <v>5815</v>
      </c>
      <c r="U778" s="1" t="s">
        <v>6664</v>
      </c>
      <c r="V778" s="1">
        <v>1</v>
      </c>
      <c r="W778" s="1">
        <v>1</v>
      </c>
      <c r="X778" s="1">
        <v>1</v>
      </c>
      <c r="Y778" s="1">
        <v>0</v>
      </c>
      <c r="Z778" s="1">
        <v>0</v>
      </c>
      <c r="AA778" s="1">
        <v>6</v>
      </c>
      <c r="AB778" s="1">
        <v>6</v>
      </c>
      <c r="AC778" s="1" t="s">
        <v>109</v>
      </c>
      <c r="AD778" s="1" t="s">
        <v>109</v>
      </c>
      <c r="AE778" s="1" t="s">
        <v>109</v>
      </c>
      <c r="AF778" s="1">
        <v>6</v>
      </c>
      <c r="AG778" s="1" t="s">
        <v>109</v>
      </c>
      <c r="AH778" s="1" t="s">
        <v>109</v>
      </c>
      <c r="AI778" s="1" t="s">
        <v>109</v>
      </c>
      <c r="AJ778" s="1" t="s">
        <v>109</v>
      </c>
      <c r="AK778" s="1" t="s">
        <v>109</v>
      </c>
      <c r="AL778" s="1" t="s">
        <v>109</v>
      </c>
      <c r="AM778" s="1" t="s">
        <v>109</v>
      </c>
      <c r="AN778" s="1" t="s">
        <v>109</v>
      </c>
      <c r="AO778" s="1" t="s">
        <v>109</v>
      </c>
      <c r="AP778" s="1"/>
      <c r="AQ778" s="1">
        <v>6</v>
      </c>
      <c r="AR778" s="1"/>
      <c r="AS778" s="1" t="s">
        <v>6665</v>
      </c>
      <c r="AT778" s="1">
        <v>0</v>
      </c>
      <c r="AU778" s="1">
        <v>0</v>
      </c>
      <c r="AV778" s="1">
        <v>0</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0</v>
      </c>
      <c r="BO778" s="1">
        <v>0</v>
      </c>
      <c r="BP778" s="1">
        <v>0</v>
      </c>
      <c r="BQ778" s="1">
        <v>0</v>
      </c>
      <c r="BR778" s="1">
        <v>0</v>
      </c>
      <c r="BS778" s="5" t="str">
        <f>HYPERLINK("http://www.d20pfsrd.com/magic/all-spells/g/getaway","Getaway")</f>
        <v>Getaway</v>
      </c>
      <c r="BT778" s="1">
        <v>794</v>
      </c>
      <c r="BU778" s="1" t="s">
        <v>109</v>
      </c>
      <c r="BV778" s="1"/>
      <c r="BW778" s="1"/>
      <c r="BX778" s="1"/>
      <c r="BY778" s="1"/>
      <c r="BZ778" s="1">
        <v>0</v>
      </c>
      <c r="CA778" s="1" t="s">
        <v>109</v>
      </c>
      <c r="CB778" s="1" t="s">
        <v>109</v>
      </c>
      <c r="CC778" s="1">
        <v>6</v>
      </c>
      <c r="CD778" s="1" t="s">
        <v>109</v>
      </c>
      <c r="CE778" s="1">
        <v>6</v>
      </c>
      <c r="CF778" s="1">
        <v>6</v>
      </c>
      <c r="CG778" s="1">
        <v>6</v>
      </c>
      <c r="CH778" s="1" t="s">
        <v>109</v>
      </c>
      <c r="CI778" s="1" t="s">
        <v>109</v>
      </c>
      <c r="CJ778" s="1" t="s">
        <v>109</v>
      </c>
      <c r="CK778" s="1"/>
      <c r="CL778" s="1">
        <v>0</v>
      </c>
      <c r="CM778" s="1">
        <v>0</v>
      </c>
      <c r="CN778" s="1">
        <v>0</v>
      </c>
    </row>
    <row r="779" spans="1:92" ht="14.25" customHeight="1" x14ac:dyDescent="0.15">
      <c r="A779" s="1" t="s">
        <v>6666</v>
      </c>
      <c r="B779" s="1" t="s">
        <v>95</v>
      </c>
      <c r="C779" s="1" t="s">
        <v>96</v>
      </c>
      <c r="D779" s="1" t="s">
        <v>6667</v>
      </c>
      <c r="E779" s="1" t="s">
        <v>6668</v>
      </c>
      <c r="F779" s="1" t="s">
        <v>98</v>
      </c>
      <c r="G779" s="1" t="s">
        <v>6669</v>
      </c>
      <c r="H779" s="1">
        <v>0</v>
      </c>
      <c r="I779" s="1" t="s">
        <v>100</v>
      </c>
      <c r="J779" s="1"/>
      <c r="K779" s="1" t="s">
        <v>6670</v>
      </c>
      <c r="L779" s="1"/>
      <c r="M779" s="1" t="s">
        <v>3019</v>
      </c>
      <c r="N779" s="1">
        <v>0</v>
      </c>
      <c r="O779" s="1">
        <v>0</v>
      </c>
      <c r="P779" s="1" t="s">
        <v>6671</v>
      </c>
      <c r="Q779" s="1" t="s">
        <v>104</v>
      </c>
      <c r="R779" s="1" t="s">
        <v>6672</v>
      </c>
      <c r="S779" s="1" t="s">
        <v>6673</v>
      </c>
      <c r="T779" s="1" t="s">
        <v>5815</v>
      </c>
      <c r="U779" s="1" t="s">
        <v>6674</v>
      </c>
      <c r="V779" s="1">
        <v>1</v>
      </c>
      <c r="W779" s="1">
        <v>1</v>
      </c>
      <c r="X779" s="1">
        <v>1</v>
      </c>
      <c r="Y779" s="1">
        <v>0</v>
      </c>
      <c r="Z779" s="1">
        <v>1</v>
      </c>
      <c r="AA779" s="1">
        <v>5</v>
      </c>
      <c r="AB779" s="1">
        <v>5</v>
      </c>
      <c r="AC779" s="1" t="s">
        <v>109</v>
      </c>
      <c r="AD779" s="1">
        <v>4</v>
      </c>
      <c r="AE779" s="1" t="s">
        <v>109</v>
      </c>
      <c r="AF779" s="1" t="s">
        <v>109</v>
      </c>
      <c r="AG779" s="1" t="s">
        <v>109</v>
      </c>
      <c r="AH779" s="1" t="s">
        <v>109</v>
      </c>
      <c r="AI779" s="1" t="s">
        <v>109</v>
      </c>
      <c r="AJ779" s="1" t="s">
        <v>109</v>
      </c>
      <c r="AK779" s="1" t="s">
        <v>109</v>
      </c>
      <c r="AL779" s="1" t="s">
        <v>109</v>
      </c>
      <c r="AM779" s="1" t="s">
        <v>109</v>
      </c>
      <c r="AN779" s="1">
        <v>5</v>
      </c>
      <c r="AO779" s="1" t="s">
        <v>109</v>
      </c>
      <c r="AP779" s="1"/>
      <c r="AQ779" s="1">
        <v>5</v>
      </c>
      <c r="AR779" s="1"/>
      <c r="AS779" s="1" t="s">
        <v>6675</v>
      </c>
      <c r="AT779" s="1">
        <v>0</v>
      </c>
      <c r="AU779" s="1">
        <v>0</v>
      </c>
      <c r="AV779" s="1">
        <v>0</v>
      </c>
      <c r="AW779" s="1">
        <v>0</v>
      </c>
      <c r="AX779" s="1">
        <v>0</v>
      </c>
      <c r="AY779" s="1">
        <v>0</v>
      </c>
      <c r="AZ779" s="1">
        <v>0</v>
      </c>
      <c r="BA779" s="1">
        <v>0</v>
      </c>
      <c r="BB779" s="1">
        <v>0</v>
      </c>
      <c r="BC779" s="1">
        <v>0</v>
      </c>
      <c r="BD779" s="1">
        <v>0</v>
      </c>
      <c r="BE779" s="1">
        <v>0</v>
      </c>
      <c r="BF779" s="1">
        <v>0</v>
      </c>
      <c r="BG779" s="1">
        <v>1</v>
      </c>
      <c r="BH779" s="1">
        <v>0</v>
      </c>
      <c r="BI779" s="1">
        <v>0</v>
      </c>
      <c r="BJ779" s="1">
        <v>0</v>
      </c>
      <c r="BK779" s="1">
        <v>0</v>
      </c>
      <c r="BL779" s="1">
        <v>0</v>
      </c>
      <c r="BM779" s="1">
        <v>0</v>
      </c>
      <c r="BN779" s="1">
        <v>0</v>
      </c>
      <c r="BO779" s="1">
        <v>0</v>
      </c>
      <c r="BP779" s="1">
        <v>0</v>
      </c>
      <c r="BQ779" s="1">
        <v>0</v>
      </c>
      <c r="BR779" s="1">
        <v>1</v>
      </c>
      <c r="BS779" s="5" t="str">
        <f>HYPERLINK("http://www.d20pfsrd.com/magic/all-spells/g/geyser","Geyser")</f>
        <v>Geyser</v>
      </c>
      <c r="BT779" s="1">
        <v>795</v>
      </c>
      <c r="BU779" s="1" t="s">
        <v>109</v>
      </c>
      <c r="BV779" s="1" t="s">
        <v>6676</v>
      </c>
      <c r="BW779" s="1" t="s">
        <v>6677</v>
      </c>
      <c r="BX779" s="1"/>
      <c r="BY779" s="1"/>
      <c r="BZ779" s="1">
        <v>0</v>
      </c>
      <c r="CA779" s="1" t="s">
        <v>109</v>
      </c>
      <c r="CB779" s="1" t="s">
        <v>109</v>
      </c>
      <c r="CC779" s="1" t="s">
        <v>109</v>
      </c>
      <c r="CD779" s="1" t="s">
        <v>109</v>
      </c>
      <c r="CE779" s="1" t="s">
        <v>109</v>
      </c>
      <c r="CF779" s="1" t="s">
        <v>109</v>
      </c>
      <c r="CG779" s="1" t="s">
        <v>109</v>
      </c>
      <c r="CH779" s="1" t="s">
        <v>109</v>
      </c>
      <c r="CI779" s="1" t="s">
        <v>109</v>
      </c>
      <c r="CJ779" s="1">
        <v>4</v>
      </c>
      <c r="CK779" s="1"/>
      <c r="CL779" s="1">
        <v>0</v>
      </c>
      <c r="CM779" s="1">
        <v>0</v>
      </c>
      <c r="CN779" s="1">
        <v>0</v>
      </c>
    </row>
    <row r="780" spans="1:92" ht="14.25" customHeight="1" x14ac:dyDescent="0.15">
      <c r="A780" s="1" t="s">
        <v>6678</v>
      </c>
      <c r="B780" s="1" t="s">
        <v>189</v>
      </c>
      <c r="C780" s="1"/>
      <c r="D780" s="1"/>
      <c r="E780" s="1" t="s">
        <v>6679</v>
      </c>
      <c r="F780" s="1" t="s">
        <v>98</v>
      </c>
      <c r="G780" s="1" t="s">
        <v>6680</v>
      </c>
      <c r="H780" s="1">
        <v>0</v>
      </c>
      <c r="I780" s="1" t="s">
        <v>142</v>
      </c>
      <c r="J780" s="1"/>
      <c r="K780" s="1"/>
      <c r="L780" s="1" t="s">
        <v>6681</v>
      </c>
      <c r="M780" s="1" t="s">
        <v>125</v>
      </c>
      <c r="N780" s="1">
        <v>0</v>
      </c>
      <c r="O780" s="1">
        <v>0</v>
      </c>
      <c r="P780" s="1" t="s">
        <v>301</v>
      </c>
      <c r="Q780" s="1" t="s">
        <v>268</v>
      </c>
      <c r="R780" s="1" t="s">
        <v>6682</v>
      </c>
      <c r="S780" s="1" t="s">
        <v>6683</v>
      </c>
      <c r="T780" s="1" t="s">
        <v>5815</v>
      </c>
      <c r="U780" s="1" t="s">
        <v>6684</v>
      </c>
      <c r="V780" s="1">
        <v>1</v>
      </c>
      <c r="W780" s="1">
        <v>1</v>
      </c>
      <c r="X780" s="1">
        <v>1</v>
      </c>
      <c r="Y780" s="1">
        <v>0</v>
      </c>
      <c r="Z780" s="1">
        <v>1</v>
      </c>
      <c r="AA780" s="1" t="s">
        <v>109</v>
      </c>
      <c r="AB780" s="1" t="s">
        <v>109</v>
      </c>
      <c r="AC780" s="1">
        <v>2</v>
      </c>
      <c r="AD780" s="1" t="s">
        <v>109</v>
      </c>
      <c r="AE780" s="1" t="s">
        <v>109</v>
      </c>
      <c r="AF780" s="1">
        <v>2</v>
      </c>
      <c r="AG780" s="1">
        <v>1</v>
      </c>
      <c r="AH780" s="1" t="s">
        <v>109</v>
      </c>
      <c r="AI780" s="1" t="s">
        <v>109</v>
      </c>
      <c r="AJ780" s="1" t="s">
        <v>109</v>
      </c>
      <c r="AK780" s="1">
        <v>2</v>
      </c>
      <c r="AL780" s="1">
        <v>2</v>
      </c>
      <c r="AM780" s="1" t="s">
        <v>109</v>
      </c>
      <c r="AN780" s="1" t="s">
        <v>109</v>
      </c>
      <c r="AO780" s="1" t="s">
        <v>109</v>
      </c>
      <c r="AP780" s="1"/>
      <c r="AQ780" s="1">
        <v>2</v>
      </c>
      <c r="AR780" s="1"/>
      <c r="AS780" s="1" t="s">
        <v>6685</v>
      </c>
      <c r="AT780" s="1">
        <v>0</v>
      </c>
      <c r="AU780" s="1">
        <v>0</v>
      </c>
      <c r="AV780" s="1">
        <v>0</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t="s">
        <v>109</v>
      </c>
      <c r="BT780" s="1">
        <v>796</v>
      </c>
      <c r="BU780" s="1" t="s">
        <v>109</v>
      </c>
      <c r="BV780" s="1"/>
      <c r="BW780" s="1" t="s">
        <v>6686</v>
      </c>
      <c r="BX780" s="1"/>
      <c r="BY780" s="1"/>
      <c r="BZ780" s="1">
        <v>0</v>
      </c>
      <c r="CA780" s="1" t="s">
        <v>109</v>
      </c>
      <c r="CB780" s="1">
        <v>2</v>
      </c>
      <c r="CC780" s="1" t="s">
        <v>109</v>
      </c>
      <c r="CD780" s="1" t="s">
        <v>109</v>
      </c>
      <c r="CE780" s="1" t="s">
        <v>109</v>
      </c>
      <c r="CF780" s="1">
        <v>2</v>
      </c>
      <c r="CG780" s="1" t="s">
        <v>109</v>
      </c>
      <c r="CH780" s="1" t="s">
        <v>109</v>
      </c>
      <c r="CI780" s="1" t="s">
        <v>109</v>
      </c>
      <c r="CJ780" s="1" t="s">
        <v>109</v>
      </c>
      <c r="CK780" s="1"/>
      <c r="CL780" s="1">
        <v>0</v>
      </c>
      <c r="CM780" s="1">
        <v>0</v>
      </c>
      <c r="CN780" s="1">
        <v>0</v>
      </c>
    </row>
    <row r="781" spans="1:92" ht="14.25" customHeight="1" x14ac:dyDescent="0.15">
      <c r="A781" s="1" t="s">
        <v>6687</v>
      </c>
      <c r="B781" s="1" t="s">
        <v>189</v>
      </c>
      <c r="C781" s="1"/>
      <c r="D781" s="1"/>
      <c r="E781" s="1" t="s">
        <v>6688</v>
      </c>
      <c r="F781" s="1" t="s">
        <v>98</v>
      </c>
      <c r="G781" s="1" t="s">
        <v>6680</v>
      </c>
      <c r="H781" s="1">
        <v>0</v>
      </c>
      <c r="I781" s="1" t="s">
        <v>142</v>
      </c>
      <c r="J781" s="1"/>
      <c r="K781" s="1"/>
      <c r="L781" s="1" t="s">
        <v>6689</v>
      </c>
      <c r="M781" s="1" t="s">
        <v>125</v>
      </c>
      <c r="N781" s="1">
        <v>0</v>
      </c>
      <c r="O781" s="1">
        <v>0</v>
      </c>
      <c r="P781" s="1" t="s">
        <v>301</v>
      </c>
      <c r="Q781" s="1" t="s">
        <v>268</v>
      </c>
      <c r="R781" s="1" t="s">
        <v>6690</v>
      </c>
      <c r="S781" s="1" t="s">
        <v>6691</v>
      </c>
      <c r="T781" s="1" t="s">
        <v>5815</v>
      </c>
      <c r="U781" s="1" t="s">
        <v>6692</v>
      </c>
      <c r="V781" s="1">
        <v>1</v>
      </c>
      <c r="W781" s="1">
        <v>1</v>
      </c>
      <c r="X781" s="1">
        <v>1</v>
      </c>
      <c r="Y781" s="1">
        <v>0</v>
      </c>
      <c r="Z781" s="1">
        <v>1</v>
      </c>
      <c r="AA781" s="1" t="s">
        <v>109</v>
      </c>
      <c r="AB781" s="1" t="s">
        <v>109</v>
      </c>
      <c r="AC781" s="1">
        <v>5</v>
      </c>
      <c r="AD781" s="1" t="s">
        <v>109</v>
      </c>
      <c r="AE781" s="1" t="s">
        <v>109</v>
      </c>
      <c r="AF781" s="1">
        <v>4</v>
      </c>
      <c r="AG781" s="1">
        <v>3</v>
      </c>
      <c r="AH781" s="1" t="s">
        <v>109</v>
      </c>
      <c r="AI781" s="1" t="s">
        <v>109</v>
      </c>
      <c r="AJ781" s="1" t="s">
        <v>109</v>
      </c>
      <c r="AK781" s="1">
        <v>5</v>
      </c>
      <c r="AL781" s="1">
        <v>5</v>
      </c>
      <c r="AM781" s="1" t="s">
        <v>109</v>
      </c>
      <c r="AN781" s="1" t="s">
        <v>109</v>
      </c>
      <c r="AO781" s="1" t="s">
        <v>109</v>
      </c>
      <c r="AP781" s="1"/>
      <c r="AQ781" s="1">
        <v>5</v>
      </c>
      <c r="AR781" s="1"/>
      <c r="AS781" s="1" t="s">
        <v>6693</v>
      </c>
      <c r="AT781" s="1">
        <v>0</v>
      </c>
      <c r="AU781" s="1">
        <v>0</v>
      </c>
      <c r="AV781" s="1">
        <v>0</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t="s">
        <v>109</v>
      </c>
      <c r="BT781" s="1">
        <v>797</v>
      </c>
      <c r="BU781" s="1" t="s">
        <v>109</v>
      </c>
      <c r="BV781" s="1"/>
      <c r="BW781" s="1" t="s">
        <v>6694</v>
      </c>
      <c r="BX781" s="1"/>
      <c r="BY781" s="1"/>
      <c r="BZ781" s="1">
        <v>0</v>
      </c>
      <c r="CA781" s="1" t="s">
        <v>109</v>
      </c>
      <c r="CB781" s="1">
        <v>5</v>
      </c>
      <c r="CC781" s="1" t="s">
        <v>109</v>
      </c>
      <c r="CD781" s="1" t="s">
        <v>109</v>
      </c>
      <c r="CE781" s="1" t="s">
        <v>109</v>
      </c>
      <c r="CF781" s="1">
        <v>5</v>
      </c>
      <c r="CG781" s="1" t="s">
        <v>109</v>
      </c>
      <c r="CH781" s="1" t="s">
        <v>109</v>
      </c>
      <c r="CI781" s="1" t="s">
        <v>109</v>
      </c>
      <c r="CJ781" s="1" t="s">
        <v>109</v>
      </c>
      <c r="CK781" s="1"/>
      <c r="CL781" s="1">
        <v>0</v>
      </c>
      <c r="CM781" s="1">
        <v>0</v>
      </c>
      <c r="CN781" s="1">
        <v>0</v>
      </c>
    </row>
    <row r="782" spans="1:92" ht="14.25" customHeight="1" x14ac:dyDescent="0.15">
      <c r="A782" s="1" t="s">
        <v>6695</v>
      </c>
      <c r="B782" s="1" t="s">
        <v>189</v>
      </c>
      <c r="C782" s="1"/>
      <c r="D782" s="1"/>
      <c r="E782" s="1" t="s">
        <v>6696</v>
      </c>
      <c r="F782" s="1" t="s">
        <v>98</v>
      </c>
      <c r="G782" s="1" t="s">
        <v>6697</v>
      </c>
      <c r="H782" s="1">
        <v>0</v>
      </c>
      <c r="I782" s="1" t="s">
        <v>235</v>
      </c>
      <c r="J782" s="1"/>
      <c r="K782" s="1"/>
      <c r="L782" s="1" t="s">
        <v>236</v>
      </c>
      <c r="M782" s="1" t="s">
        <v>6698</v>
      </c>
      <c r="N782" s="1">
        <v>1</v>
      </c>
      <c r="O782" s="1">
        <v>0</v>
      </c>
      <c r="P782" s="1"/>
      <c r="Q782" s="1"/>
      <c r="R782" s="1" t="s">
        <v>6699</v>
      </c>
      <c r="S782" s="1" t="s">
        <v>6700</v>
      </c>
      <c r="T782" s="1" t="s">
        <v>5815</v>
      </c>
      <c r="U782" s="1" t="s">
        <v>6701</v>
      </c>
      <c r="V782" s="1">
        <v>1</v>
      </c>
      <c r="W782" s="1">
        <v>1</v>
      </c>
      <c r="X782" s="1">
        <v>1</v>
      </c>
      <c r="Y782" s="1">
        <v>0</v>
      </c>
      <c r="Z782" s="1">
        <v>1</v>
      </c>
      <c r="AA782" s="1">
        <v>2</v>
      </c>
      <c r="AB782" s="1">
        <v>2</v>
      </c>
      <c r="AC782" s="1" t="s">
        <v>109</v>
      </c>
      <c r="AD782" s="1">
        <v>2</v>
      </c>
      <c r="AE782" s="1">
        <v>1</v>
      </c>
      <c r="AF782" s="1" t="s">
        <v>109</v>
      </c>
      <c r="AG782" s="1" t="s">
        <v>109</v>
      </c>
      <c r="AH782" s="1" t="s">
        <v>109</v>
      </c>
      <c r="AI782" s="1">
        <v>2</v>
      </c>
      <c r="AJ782" s="1">
        <v>2</v>
      </c>
      <c r="AK782" s="1" t="s">
        <v>109</v>
      </c>
      <c r="AL782" s="1" t="s">
        <v>109</v>
      </c>
      <c r="AM782" s="1" t="s">
        <v>109</v>
      </c>
      <c r="AN782" s="1" t="s">
        <v>109</v>
      </c>
      <c r="AO782" s="1" t="s">
        <v>109</v>
      </c>
      <c r="AP782" s="1"/>
      <c r="AQ782" s="1">
        <v>2</v>
      </c>
      <c r="AR782" s="1"/>
      <c r="AS782" s="1" t="s">
        <v>6702</v>
      </c>
      <c r="AT782" s="1">
        <v>0</v>
      </c>
      <c r="AU782" s="1">
        <v>0</v>
      </c>
      <c r="AV782" s="1">
        <v>0</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0</v>
      </c>
      <c r="BQ782" s="1">
        <v>0</v>
      </c>
      <c r="BR782" s="1">
        <v>0</v>
      </c>
      <c r="BS782" s="5" t="str">
        <f>HYPERLINK("http://www.d20pfsrd.com/magic/all-spells/g/glide","Glide")</f>
        <v>Glide</v>
      </c>
      <c r="BT782" s="1">
        <v>798</v>
      </c>
      <c r="BU782" s="1" t="s">
        <v>109</v>
      </c>
      <c r="BV782" s="1"/>
      <c r="BW782" s="1"/>
      <c r="BX782" s="1"/>
      <c r="BY782" s="1"/>
      <c r="BZ782" s="1">
        <v>0</v>
      </c>
      <c r="CA782" s="1" t="s">
        <v>109</v>
      </c>
      <c r="CB782" s="1">
        <v>2</v>
      </c>
      <c r="CC782" s="1">
        <v>2</v>
      </c>
      <c r="CD782" s="1" t="s">
        <v>109</v>
      </c>
      <c r="CE782" s="1" t="s">
        <v>109</v>
      </c>
      <c r="CF782" s="1">
        <v>2</v>
      </c>
      <c r="CG782" s="1" t="s">
        <v>109</v>
      </c>
      <c r="CH782" s="1" t="s">
        <v>109</v>
      </c>
      <c r="CI782" s="1" t="s">
        <v>109</v>
      </c>
      <c r="CJ782" s="1">
        <v>1</v>
      </c>
      <c r="CK782" s="1"/>
      <c r="CL782" s="1">
        <v>0</v>
      </c>
      <c r="CM782" s="1">
        <v>0</v>
      </c>
      <c r="CN782" s="1">
        <v>0</v>
      </c>
    </row>
    <row r="783" spans="1:92" ht="14.25" customHeight="1" x14ac:dyDescent="0.15">
      <c r="A783" s="1" t="s">
        <v>6703</v>
      </c>
      <c r="B783" s="1" t="s">
        <v>242</v>
      </c>
      <c r="C783" s="1"/>
      <c r="D783" s="1"/>
      <c r="E783" s="1" t="s">
        <v>6704</v>
      </c>
      <c r="F783" s="1" t="s">
        <v>6545</v>
      </c>
      <c r="G783" s="1" t="s">
        <v>333</v>
      </c>
      <c r="H783" s="1">
        <v>0</v>
      </c>
      <c r="I783" s="1" t="s">
        <v>235</v>
      </c>
      <c r="J783" s="1"/>
      <c r="K783" s="1"/>
      <c r="L783" s="1" t="s">
        <v>236</v>
      </c>
      <c r="M783" s="1" t="s">
        <v>211</v>
      </c>
      <c r="N783" s="1">
        <v>0</v>
      </c>
      <c r="O783" s="1">
        <v>0</v>
      </c>
      <c r="P783" s="1"/>
      <c r="Q783" s="1"/>
      <c r="R783" s="1" t="s">
        <v>6705</v>
      </c>
      <c r="S783" s="1" t="s">
        <v>6706</v>
      </c>
      <c r="T783" s="1" t="s">
        <v>5815</v>
      </c>
      <c r="U783" s="1" t="s">
        <v>6707</v>
      </c>
      <c r="V783" s="1">
        <v>1</v>
      </c>
      <c r="W783" s="1">
        <v>0</v>
      </c>
      <c r="X783" s="1">
        <v>0</v>
      </c>
      <c r="Y783" s="1">
        <v>0</v>
      </c>
      <c r="Z783" s="1">
        <v>0</v>
      </c>
      <c r="AA783" s="1" t="s">
        <v>109</v>
      </c>
      <c r="AB783" s="1" t="s">
        <v>109</v>
      </c>
      <c r="AC783" s="1">
        <v>2</v>
      </c>
      <c r="AD783" s="1" t="s">
        <v>109</v>
      </c>
      <c r="AE783" s="1" t="s">
        <v>109</v>
      </c>
      <c r="AF783" s="1" t="s">
        <v>109</v>
      </c>
      <c r="AG783" s="1">
        <v>1</v>
      </c>
      <c r="AH783" s="1" t="s">
        <v>109</v>
      </c>
      <c r="AI783" s="1" t="s">
        <v>109</v>
      </c>
      <c r="AJ783" s="1" t="s">
        <v>109</v>
      </c>
      <c r="AK783" s="1" t="s">
        <v>109</v>
      </c>
      <c r="AL783" s="1">
        <v>2</v>
      </c>
      <c r="AM783" s="1" t="s">
        <v>109</v>
      </c>
      <c r="AN783" s="1" t="s">
        <v>109</v>
      </c>
      <c r="AO783" s="1" t="s">
        <v>109</v>
      </c>
      <c r="AP783" s="1"/>
      <c r="AQ783" s="1">
        <v>2</v>
      </c>
      <c r="AR783" s="1"/>
      <c r="AS783" s="1" t="s">
        <v>6708</v>
      </c>
      <c r="AT783" s="1">
        <v>0</v>
      </c>
      <c r="AU783" s="1">
        <v>0</v>
      </c>
      <c r="AV783" s="1">
        <v>0</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5" t="str">
        <f>HYPERLINK("http://www.d20pfsrd.com/magic/all-spells/g/grace","Grace")</f>
        <v>Grace</v>
      </c>
      <c r="BT783" s="1">
        <v>799</v>
      </c>
      <c r="BU783" s="1" t="s">
        <v>109</v>
      </c>
      <c r="BV783" s="1"/>
      <c r="BW783" s="1"/>
      <c r="BX783" s="1"/>
      <c r="BY783" s="1"/>
      <c r="BZ783" s="1">
        <v>0</v>
      </c>
      <c r="CA783" s="1" t="s">
        <v>109</v>
      </c>
      <c r="CB783" s="1" t="s">
        <v>109</v>
      </c>
      <c r="CC783" s="1" t="s">
        <v>109</v>
      </c>
      <c r="CD783" s="1" t="s">
        <v>109</v>
      </c>
      <c r="CE783" s="1" t="s">
        <v>109</v>
      </c>
      <c r="CF783" s="1" t="s">
        <v>109</v>
      </c>
      <c r="CG783" s="1" t="s">
        <v>109</v>
      </c>
      <c r="CH783" s="1" t="s">
        <v>109</v>
      </c>
      <c r="CI783" s="1" t="s">
        <v>109</v>
      </c>
      <c r="CJ783" s="1" t="s">
        <v>109</v>
      </c>
      <c r="CK783" s="1"/>
      <c r="CL783" s="1">
        <v>0</v>
      </c>
      <c r="CM783" s="1">
        <v>0</v>
      </c>
      <c r="CN783" s="1">
        <v>0</v>
      </c>
    </row>
    <row r="784" spans="1:92" ht="14.25" customHeight="1" x14ac:dyDescent="0.15">
      <c r="A784" s="1" t="s">
        <v>6709</v>
      </c>
      <c r="B784" s="1" t="s">
        <v>189</v>
      </c>
      <c r="C784" s="1"/>
      <c r="D784" s="1"/>
      <c r="E784" s="1" t="s">
        <v>6710</v>
      </c>
      <c r="F784" s="1" t="s">
        <v>98</v>
      </c>
      <c r="G784" s="1" t="s">
        <v>141</v>
      </c>
      <c r="H784" s="1">
        <v>0</v>
      </c>
      <c r="I784" s="1" t="s">
        <v>235</v>
      </c>
      <c r="J784" s="1"/>
      <c r="K784" s="1"/>
      <c r="L784" s="1" t="s">
        <v>236</v>
      </c>
      <c r="M784" s="1" t="s">
        <v>6144</v>
      </c>
      <c r="N784" s="1">
        <v>1</v>
      </c>
      <c r="O784" s="1">
        <v>0</v>
      </c>
      <c r="P784" s="1"/>
      <c r="Q784" s="1"/>
      <c r="R784" s="1" t="s">
        <v>6711</v>
      </c>
      <c r="S784" s="1" t="s">
        <v>6712</v>
      </c>
      <c r="T784" s="1" t="s">
        <v>5815</v>
      </c>
      <c r="U784" s="1" t="s">
        <v>6713</v>
      </c>
      <c r="V784" s="1">
        <v>1</v>
      </c>
      <c r="W784" s="1">
        <v>1</v>
      </c>
      <c r="X784" s="1">
        <v>0</v>
      </c>
      <c r="Y784" s="1">
        <v>0</v>
      </c>
      <c r="Z784" s="1">
        <v>0</v>
      </c>
      <c r="AA784" s="1">
        <v>1</v>
      </c>
      <c r="AB784" s="1">
        <v>1</v>
      </c>
      <c r="AC784" s="1" t="s">
        <v>109</v>
      </c>
      <c r="AD784" s="1" t="s">
        <v>109</v>
      </c>
      <c r="AE784" s="1">
        <v>1</v>
      </c>
      <c r="AF784" s="1" t="s">
        <v>109</v>
      </c>
      <c r="AG784" s="1" t="s">
        <v>109</v>
      </c>
      <c r="AH784" s="1" t="s">
        <v>109</v>
      </c>
      <c r="AI784" s="1" t="s">
        <v>109</v>
      </c>
      <c r="AJ784" s="1" t="s">
        <v>109</v>
      </c>
      <c r="AK784" s="1" t="s">
        <v>109</v>
      </c>
      <c r="AL784" s="1" t="s">
        <v>109</v>
      </c>
      <c r="AM784" s="1" t="s">
        <v>109</v>
      </c>
      <c r="AN784" s="1" t="s">
        <v>109</v>
      </c>
      <c r="AO784" s="1" t="s">
        <v>109</v>
      </c>
      <c r="AP784" s="1"/>
      <c r="AQ784" s="1">
        <v>1</v>
      </c>
      <c r="AR784" s="1"/>
      <c r="AS784" s="1" t="s">
        <v>6714</v>
      </c>
      <c r="AT784" s="1">
        <v>0</v>
      </c>
      <c r="AU784" s="1">
        <v>0</v>
      </c>
      <c r="AV784" s="1">
        <v>0</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5" t="str">
        <f>HYPERLINK("http://www.d20pfsrd.com/magic/all-spells/g/gravity-bow","Gravity Bow")</f>
        <v>Gravity Bow</v>
      </c>
      <c r="BT784" s="1">
        <v>800</v>
      </c>
      <c r="BU784" s="1" t="s">
        <v>109</v>
      </c>
      <c r="BV784" s="1"/>
      <c r="BW784" s="1"/>
      <c r="BX784" s="1"/>
      <c r="BY784" s="1"/>
      <c r="BZ784" s="1">
        <v>0</v>
      </c>
      <c r="CA784" s="1" t="s">
        <v>109</v>
      </c>
      <c r="CB784" s="1" t="s">
        <v>109</v>
      </c>
      <c r="CC784" s="1" t="s">
        <v>109</v>
      </c>
      <c r="CD784" s="1" t="s">
        <v>109</v>
      </c>
      <c r="CE784" s="1" t="s">
        <v>109</v>
      </c>
      <c r="CF784" s="1">
        <v>1</v>
      </c>
      <c r="CG784" s="1" t="s">
        <v>109</v>
      </c>
      <c r="CH784" s="1" t="s">
        <v>109</v>
      </c>
      <c r="CI784" s="1" t="s">
        <v>109</v>
      </c>
      <c r="CJ784" s="1">
        <v>1</v>
      </c>
      <c r="CK784" s="1"/>
      <c r="CL784" s="1">
        <v>0</v>
      </c>
      <c r="CM784" s="1">
        <v>0</v>
      </c>
      <c r="CN784" s="1">
        <v>0</v>
      </c>
    </row>
    <row r="785" spans="1:92" ht="14.25" customHeight="1" x14ac:dyDescent="0.15">
      <c r="A785" s="1" t="s">
        <v>6715</v>
      </c>
      <c r="B785" s="1" t="s">
        <v>95</v>
      </c>
      <c r="C785" s="1" t="s">
        <v>96</v>
      </c>
      <c r="D785" s="1"/>
      <c r="E785" s="1" t="s">
        <v>6716</v>
      </c>
      <c r="F785" s="1" t="s">
        <v>395</v>
      </c>
      <c r="G785" s="1" t="s">
        <v>6717</v>
      </c>
      <c r="H785" s="1">
        <v>0</v>
      </c>
      <c r="I785" s="1" t="s">
        <v>142</v>
      </c>
      <c r="J785" s="1"/>
      <c r="K785" s="1" t="s">
        <v>6718</v>
      </c>
      <c r="L785" s="1"/>
      <c r="M785" s="1" t="s">
        <v>6719</v>
      </c>
      <c r="N785" s="1">
        <v>1</v>
      </c>
      <c r="O785" s="1">
        <v>0</v>
      </c>
      <c r="P785" s="1" t="s">
        <v>103</v>
      </c>
      <c r="Q785" s="1" t="s">
        <v>104</v>
      </c>
      <c r="R785" s="1" t="s">
        <v>6720</v>
      </c>
      <c r="S785" s="1" t="s">
        <v>6721</v>
      </c>
      <c r="T785" s="1" t="s">
        <v>5815</v>
      </c>
      <c r="U785" s="1" t="s">
        <v>6722</v>
      </c>
      <c r="V785" s="1">
        <v>1</v>
      </c>
      <c r="W785" s="1">
        <v>1</v>
      </c>
      <c r="X785" s="1">
        <v>1</v>
      </c>
      <c r="Y785" s="1">
        <v>0</v>
      </c>
      <c r="Z785" s="1">
        <v>1</v>
      </c>
      <c r="AA785" s="1" t="s">
        <v>109</v>
      </c>
      <c r="AB785" s="1" t="s">
        <v>109</v>
      </c>
      <c r="AC785" s="1" t="s">
        <v>109</v>
      </c>
      <c r="AD785" s="1">
        <v>4</v>
      </c>
      <c r="AE785" s="1">
        <v>4</v>
      </c>
      <c r="AF785" s="1" t="s">
        <v>109</v>
      </c>
      <c r="AG785" s="1" t="s">
        <v>109</v>
      </c>
      <c r="AH785" s="1" t="s">
        <v>109</v>
      </c>
      <c r="AI785" s="1" t="s">
        <v>109</v>
      </c>
      <c r="AJ785" s="1" t="s">
        <v>109</v>
      </c>
      <c r="AK785" s="1" t="s">
        <v>109</v>
      </c>
      <c r="AL785" s="1" t="s">
        <v>109</v>
      </c>
      <c r="AM785" s="1" t="s">
        <v>109</v>
      </c>
      <c r="AN785" s="1" t="s">
        <v>109</v>
      </c>
      <c r="AO785" s="1" t="s">
        <v>109</v>
      </c>
      <c r="AP785" s="1"/>
      <c r="AQ785" s="1">
        <v>4</v>
      </c>
      <c r="AR785" s="1"/>
      <c r="AS785" s="1" t="s">
        <v>6723</v>
      </c>
      <c r="AT785" s="1">
        <v>0</v>
      </c>
      <c r="AU785" s="1">
        <v>0</v>
      </c>
      <c r="AV785" s="1">
        <v>0</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5" t="str">
        <f>HYPERLINK("http://www.d20pfsrd.com/magic/all-spells/g/grove-of-respite","Grove of Respite")</f>
        <v>Grove of Respite</v>
      </c>
      <c r="BT785" s="1">
        <v>801</v>
      </c>
      <c r="BU785" s="1" t="s">
        <v>109</v>
      </c>
      <c r="BV785" s="1"/>
      <c r="BW785" s="1" t="s">
        <v>1097</v>
      </c>
      <c r="BX785" s="1"/>
      <c r="BY785" s="1"/>
      <c r="BZ785" s="1">
        <v>0</v>
      </c>
      <c r="CA785" s="1" t="s">
        <v>109</v>
      </c>
      <c r="CB785" s="1">
        <v>5</v>
      </c>
      <c r="CC785" s="1" t="s">
        <v>109</v>
      </c>
      <c r="CD785" s="1" t="s">
        <v>109</v>
      </c>
      <c r="CE785" s="1" t="s">
        <v>109</v>
      </c>
      <c r="CF785" s="1" t="s">
        <v>109</v>
      </c>
      <c r="CG785" s="1" t="s">
        <v>109</v>
      </c>
      <c r="CH785" s="1" t="s">
        <v>109</v>
      </c>
      <c r="CI785" s="1" t="s">
        <v>109</v>
      </c>
      <c r="CJ785" s="1">
        <v>4</v>
      </c>
      <c r="CK785" s="1"/>
      <c r="CL785" s="1">
        <v>0</v>
      </c>
      <c r="CM785" s="1">
        <v>0</v>
      </c>
      <c r="CN785" s="1">
        <v>0</v>
      </c>
    </row>
    <row r="786" spans="1:92" ht="14.25" customHeight="1" x14ac:dyDescent="0.15">
      <c r="A786" s="1" t="s">
        <v>6724</v>
      </c>
      <c r="B786" s="1" t="s">
        <v>254</v>
      </c>
      <c r="C786" s="1"/>
      <c r="D786" s="1"/>
      <c r="E786" s="1" t="s">
        <v>6725</v>
      </c>
      <c r="F786" s="1" t="s">
        <v>277</v>
      </c>
      <c r="G786" s="1" t="s">
        <v>6726</v>
      </c>
      <c r="H786" s="1">
        <v>0</v>
      </c>
      <c r="I786" s="1" t="s">
        <v>235</v>
      </c>
      <c r="J786" s="1"/>
      <c r="K786" s="1"/>
      <c r="L786" s="1" t="s">
        <v>236</v>
      </c>
      <c r="M786" s="1" t="s">
        <v>5811</v>
      </c>
      <c r="N786" s="1">
        <v>1</v>
      </c>
      <c r="O786" s="1">
        <v>0</v>
      </c>
      <c r="P786" s="1"/>
      <c r="Q786" s="1"/>
      <c r="R786" s="1" t="s">
        <v>6727</v>
      </c>
      <c r="S786" s="1" t="s">
        <v>6728</v>
      </c>
      <c r="T786" s="1" t="s">
        <v>5815</v>
      </c>
      <c r="U786" s="1" t="s">
        <v>6729</v>
      </c>
      <c r="V786" s="1">
        <v>1</v>
      </c>
      <c r="W786" s="1">
        <v>1</v>
      </c>
      <c r="X786" s="1">
        <v>1</v>
      </c>
      <c r="Y786" s="1">
        <v>0</v>
      </c>
      <c r="Z786" s="1">
        <v>0</v>
      </c>
      <c r="AA786" s="1" t="s">
        <v>109</v>
      </c>
      <c r="AB786" s="1" t="s">
        <v>109</v>
      </c>
      <c r="AC786" s="1">
        <v>3</v>
      </c>
      <c r="AD786" s="1" t="s">
        <v>109</v>
      </c>
      <c r="AE786" s="1">
        <v>2</v>
      </c>
      <c r="AF786" s="1" t="s">
        <v>109</v>
      </c>
      <c r="AG786" s="1" t="s">
        <v>109</v>
      </c>
      <c r="AH786" s="1" t="s">
        <v>109</v>
      </c>
      <c r="AI786" s="1" t="s">
        <v>109</v>
      </c>
      <c r="AJ786" s="1">
        <v>3</v>
      </c>
      <c r="AK786" s="1" t="s">
        <v>109</v>
      </c>
      <c r="AL786" s="1">
        <v>3</v>
      </c>
      <c r="AM786" s="1" t="s">
        <v>109</v>
      </c>
      <c r="AN786" s="1" t="s">
        <v>109</v>
      </c>
      <c r="AO786" s="1" t="s">
        <v>109</v>
      </c>
      <c r="AP786" s="1"/>
      <c r="AQ786" s="1">
        <v>3</v>
      </c>
      <c r="AR786" s="1"/>
      <c r="AS786" s="1" t="s">
        <v>6730</v>
      </c>
      <c r="AT786" s="1">
        <v>0</v>
      </c>
      <c r="AU786" s="1">
        <v>0</v>
      </c>
      <c r="AV786" s="1">
        <v>0</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5" t="str">
        <f>HYPERLINK("http://www.d20pfsrd.com/magic/all-spells/g/guiding-star","Guiding Star")</f>
        <v>Guiding Star</v>
      </c>
      <c r="BT786" s="1">
        <v>802</v>
      </c>
      <c r="BU786" s="1" t="s">
        <v>109</v>
      </c>
      <c r="BV786" s="1"/>
      <c r="BW786" s="1" t="s">
        <v>6731</v>
      </c>
      <c r="BX786" s="1"/>
      <c r="BY786" s="1"/>
      <c r="BZ786" s="1">
        <v>0</v>
      </c>
      <c r="CA786" s="1" t="s">
        <v>109</v>
      </c>
      <c r="CB786" s="1">
        <v>2</v>
      </c>
      <c r="CC786" s="1">
        <v>3</v>
      </c>
      <c r="CD786" s="1" t="s">
        <v>109</v>
      </c>
      <c r="CE786" s="1" t="s">
        <v>109</v>
      </c>
      <c r="CF786" s="1" t="s">
        <v>109</v>
      </c>
      <c r="CG786" s="1" t="s">
        <v>109</v>
      </c>
      <c r="CH786" s="1" t="s">
        <v>109</v>
      </c>
      <c r="CI786" s="1" t="s">
        <v>109</v>
      </c>
      <c r="CJ786" s="1">
        <v>2</v>
      </c>
      <c r="CK786" s="1"/>
      <c r="CL786" s="1">
        <v>0</v>
      </c>
      <c r="CM786" s="1">
        <v>0</v>
      </c>
      <c r="CN786" s="1">
        <v>0</v>
      </c>
    </row>
    <row r="787" spans="1:92" ht="14.25" customHeight="1" x14ac:dyDescent="0.15">
      <c r="A787" s="1" t="s">
        <v>6732</v>
      </c>
      <c r="B787" s="1" t="s">
        <v>156</v>
      </c>
      <c r="C787" s="1" t="s">
        <v>157</v>
      </c>
      <c r="D787" s="1" t="s">
        <v>158</v>
      </c>
      <c r="E787" s="1" t="s">
        <v>6342</v>
      </c>
      <c r="F787" s="1" t="s">
        <v>98</v>
      </c>
      <c r="G787" s="1" t="s">
        <v>141</v>
      </c>
      <c r="H787" s="1">
        <v>0</v>
      </c>
      <c r="I787" s="1" t="s">
        <v>142</v>
      </c>
      <c r="J787" s="1"/>
      <c r="K787" s="1"/>
      <c r="L787" s="1" t="s">
        <v>1391</v>
      </c>
      <c r="M787" s="1" t="s">
        <v>144</v>
      </c>
      <c r="N787" s="1">
        <v>0</v>
      </c>
      <c r="O787" s="1">
        <v>0</v>
      </c>
      <c r="P787" s="1" t="s">
        <v>507</v>
      </c>
      <c r="Q787" s="1" t="s">
        <v>167</v>
      </c>
      <c r="R787" s="1" t="s">
        <v>6733</v>
      </c>
      <c r="S787" s="1" t="s">
        <v>6734</v>
      </c>
      <c r="T787" s="1" t="s">
        <v>5815</v>
      </c>
      <c r="U787" s="1" t="s">
        <v>6735</v>
      </c>
      <c r="V787" s="1">
        <v>1</v>
      </c>
      <c r="W787" s="1">
        <v>1</v>
      </c>
      <c r="X787" s="1">
        <v>0</v>
      </c>
      <c r="Y787" s="1">
        <v>0</v>
      </c>
      <c r="Z787" s="1">
        <v>0</v>
      </c>
      <c r="AA787" s="1" t="s">
        <v>109</v>
      </c>
      <c r="AB787" s="1" t="s">
        <v>109</v>
      </c>
      <c r="AC787" s="1" t="s">
        <v>109</v>
      </c>
      <c r="AD787" s="1" t="s">
        <v>109</v>
      </c>
      <c r="AE787" s="1" t="s">
        <v>109</v>
      </c>
      <c r="AF787" s="1">
        <v>4</v>
      </c>
      <c r="AG787" s="1" t="s">
        <v>109</v>
      </c>
      <c r="AH787" s="1" t="s">
        <v>109</v>
      </c>
      <c r="AI787" s="1" t="s">
        <v>109</v>
      </c>
      <c r="AJ787" s="1" t="s">
        <v>109</v>
      </c>
      <c r="AK787" s="1" t="s">
        <v>109</v>
      </c>
      <c r="AL787" s="1" t="s">
        <v>109</v>
      </c>
      <c r="AM787" s="1" t="s">
        <v>109</v>
      </c>
      <c r="AN787" s="1" t="s">
        <v>109</v>
      </c>
      <c r="AO787" s="1" t="s">
        <v>109</v>
      </c>
      <c r="AP787" s="1"/>
      <c r="AQ787" s="1">
        <v>4</v>
      </c>
      <c r="AR787" s="1"/>
      <c r="AS787" s="1" t="s">
        <v>6736</v>
      </c>
      <c r="AT787" s="1">
        <v>0</v>
      </c>
      <c r="AU787" s="1">
        <v>0</v>
      </c>
      <c r="AV787" s="1">
        <v>0</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1</v>
      </c>
      <c r="BN787" s="1">
        <v>0</v>
      </c>
      <c r="BO787" s="1">
        <v>0</v>
      </c>
      <c r="BP787" s="1">
        <v>0</v>
      </c>
      <c r="BQ787" s="1">
        <v>0</v>
      </c>
      <c r="BR787" s="1">
        <v>0</v>
      </c>
      <c r="BS787" s="5" t="str">
        <f>HYPERLINK("http://www.d20pfsrd.com/magic/all-spells/h/heroic-finale","Heroic Finale")</f>
        <v>Heroic Finale</v>
      </c>
      <c r="BT787" s="1">
        <v>803</v>
      </c>
      <c r="BU787" s="1" t="s">
        <v>109</v>
      </c>
      <c r="BV787" s="1"/>
      <c r="BW787" s="1"/>
      <c r="BX787" s="1"/>
      <c r="BY787" s="1"/>
      <c r="BZ787" s="1">
        <v>0</v>
      </c>
      <c r="CA787" s="1" t="s">
        <v>109</v>
      </c>
      <c r="CB787" s="1" t="s">
        <v>109</v>
      </c>
      <c r="CC787" s="1" t="s">
        <v>109</v>
      </c>
      <c r="CD787" s="1" t="s">
        <v>109</v>
      </c>
      <c r="CE787" s="1" t="s">
        <v>109</v>
      </c>
      <c r="CF787" s="1" t="s">
        <v>109</v>
      </c>
      <c r="CG787" s="1" t="s">
        <v>109</v>
      </c>
      <c r="CH787" s="1" t="s">
        <v>109</v>
      </c>
      <c r="CI787" s="1" t="s">
        <v>109</v>
      </c>
      <c r="CJ787" s="1" t="s">
        <v>109</v>
      </c>
      <c r="CK787" s="1"/>
      <c r="CL787" s="1">
        <v>0</v>
      </c>
      <c r="CM787" s="1">
        <v>0</v>
      </c>
      <c r="CN787" s="1">
        <v>0</v>
      </c>
    </row>
    <row r="788" spans="1:92" ht="14.25" customHeight="1" x14ac:dyDescent="0.15">
      <c r="A788" s="1" t="s">
        <v>6737</v>
      </c>
      <c r="B788" s="1" t="s">
        <v>95</v>
      </c>
      <c r="C788" s="1" t="s">
        <v>694</v>
      </c>
      <c r="D788" s="1"/>
      <c r="E788" s="1" t="s">
        <v>638</v>
      </c>
      <c r="F788" s="1" t="s">
        <v>1963</v>
      </c>
      <c r="G788" s="1" t="s">
        <v>333</v>
      </c>
      <c r="H788" s="1">
        <v>0</v>
      </c>
      <c r="I788" s="1" t="s">
        <v>235</v>
      </c>
      <c r="J788" s="1"/>
      <c r="K788" s="1"/>
      <c r="L788" s="1" t="s">
        <v>236</v>
      </c>
      <c r="M788" s="1" t="s">
        <v>144</v>
      </c>
      <c r="N788" s="1">
        <v>0</v>
      </c>
      <c r="O788" s="1">
        <v>0</v>
      </c>
      <c r="P788" s="1"/>
      <c r="Q788" s="1"/>
      <c r="R788" s="1" t="s">
        <v>6738</v>
      </c>
      <c r="S788" s="1" t="s">
        <v>6739</v>
      </c>
      <c r="T788" s="1" t="s">
        <v>5815</v>
      </c>
      <c r="U788" s="1" t="s">
        <v>6740</v>
      </c>
      <c r="V788" s="1">
        <v>1</v>
      </c>
      <c r="W788" s="1">
        <v>0</v>
      </c>
      <c r="X788" s="1">
        <v>0</v>
      </c>
      <c r="Y788" s="1">
        <v>0</v>
      </c>
      <c r="Z788" s="1">
        <v>0</v>
      </c>
      <c r="AA788" s="1" t="s">
        <v>109</v>
      </c>
      <c r="AB788" s="1" t="s">
        <v>109</v>
      </c>
      <c r="AC788" s="1" t="s">
        <v>109</v>
      </c>
      <c r="AD788" s="1" t="s">
        <v>109</v>
      </c>
      <c r="AE788" s="1" t="s">
        <v>109</v>
      </c>
      <c r="AF788" s="1" t="s">
        <v>109</v>
      </c>
      <c r="AG788" s="1">
        <v>1</v>
      </c>
      <c r="AH788" s="1" t="s">
        <v>109</v>
      </c>
      <c r="AI788" s="1" t="s">
        <v>109</v>
      </c>
      <c r="AJ788" s="1" t="s">
        <v>109</v>
      </c>
      <c r="AK788" s="1" t="s">
        <v>109</v>
      </c>
      <c r="AL788" s="1" t="s">
        <v>109</v>
      </c>
      <c r="AM788" s="1" t="s">
        <v>109</v>
      </c>
      <c r="AN788" s="1" t="s">
        <v>109</v>
      </c>
      <c r="AO788" s="1" t="s">
        <v>109</v>
      </c>
      <c r="AP788" s="1"/>
      <c r="AQ788" s="1">
        <v>1</v>
      </c>
      <c r="AR788" s="1"/>
      <c r="AS788" s="1" t="s">
        <v>6741</v>
      </c>
      <c r="AT788" s="1">
        <v>0</v>
      </c>
      <c r="AU788" s="1">
        <v>0</v>
      </c>
      <c r="AV788" s="1">
        <v>0</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5" t="str">
        <f>HYPERLINK("http://www.d20pfsrd.com/magic/all-spells/h/hero-s-defiance","Hero's Defiance")</f>
        <v>Hero's Defiance</v>
      </c>
      <c r="BT788" s="1">
        <v>804</v>
      </c>
      <c r="BU788" s="1" t="s">
        <v>109</v>
      </c>
      <c r="BV788" s="1"/>
      <c r="BW788" s="1"/>
      <c r="BX788" s="1"/>
      <c r="BY788" s="1"/>
      <c r="BZ788" s="1">
        <v>0</v>
      </c>
      <c r="CA788" s="1" t="s">
        <v>109</v>
      </c>
      <c r="CB788" s="1" t="s">
        <v>109</v>
      </c>
      <c r="CC788" s="1" t="s">
        <v>109</v>
      </c>
      <c r="CD788" s="1" t="s">
        <v>109</v>
      </c>
      <c r="CE788" s="1" t="s">
        <v>109</v>
      </c>
      <c r="CF788" s="1" t="s">
        <v>109</v>
      </c>
      <c r="CG788" s="1" t="s">
        <v>109</v>
      </c>
      <c r="CH788" s="1" t="s">
        <v>109</v>
      </c>
      <c r="CI788" s="1" t="s">
        <v>109</v>
      </c>
      <c r="CJ788" s="1" t="s">
        <v>109</v>
      </c>
      <c r="CK788" s="1"/>
      <c r="CL788" s="1">
        <v>0</v>
      </c>
      <c r="CM788" s="1">
        <v>0</v>
      </c>
      <c r="CN788" s="1">
        <v>0</v>
      </c>
    </row>
    <row r="789" spans="1:92" ht="14.25" customHeight="1" x14ac:dyDescent="0.15">
      <c r="A789" s="1" t="s">
        <v>6742</v>
      </c>
      <c r="B789" s="1" t="s">
        <v>189</v>
      </c>
      <c r="C789" s="1"/>
      <c r="D789" s="1" t="s">
        <v>3274</v>
      </c>
      <c r="E789" s="1" t="s">
        <v>6743</v>
      </c>
      <c r="F789" s="1" t="s">
        <v>98</v>
      </c>
      <c r="G789" s="1" t="s">
        <v>6744</v>
      </c>
      <c r="H789" s="1">
        <v>0</v>
      </c>
      <c r="I789" s="1" t="s">
        <v>142</v>
      </c>
      <c r="J789" s="1"/>
      <c r="K789" s="1"/>
      <c r="L789" s="1" t="s">
        <v>6745</v>
      </c>
      <c r="M789" s="1" t="s">
        <v>6625</v>
      </c>
      <c r="N789" s="1">
        <v>1</v>
      </c>
      <c r="O789" s="1">
        <v>0</v>
      </c>
      <c r="P789" s="1" t="s">
        <v>507</v>
      </c>
      <c r="Q789" s="1" t="s">
        <v>268</v>
      </c>
      <c r="R789" s="1" t="s">
        <v>6746</v>
      </c>
      <c r="S789" s="1" t="s">
        <v>6747</v>
      </c>
      <c r="T789" s="1" t="s">
        <v>5815</v>
      </c>
      <c r="U789" s="1" t="s">
        <v>6748</v>
      </c>
      <c r="V789" s="1">
        <v>1</v>
      </c>
      <c r="W789" s="1">
        <v>1</v>
      </c>
      <c r="X789" s="1">
        <v>1</v>
      </c>
      <c r="Y789" s="1">
        <v>0</v>
      </c>
      <c r="Z789" s="1">
        <v>1</v>
      </c>
      <c r="AA789" s="1" t="s">
        <v>109</v>
      </c>
      <c r="AB789" s="1" t="s">
        <v>109</v>
      </c>
      <c r="AC789" s="1" t="s">
        <v>109</v>
      </c>
      <c r="AD789" s="1" t="s">
        <v>109</v>
      </c>
      <c r="AE789" s="1" t="s">
        <v>109</v>
      </c>
      <c r="AF789" s="1">
        <v>2</v>
      </c>
      <c r="AG789" s="1" t="s">
        <v>109</v>
      </c>
      <c r="AH789" s="1" t="s">
        <v>109</v>
      </c>
      <c r="AI789" s="1" t="s">
        <v>109</v>
      </c>
      <c r="AJ789" s="1">
        <v>2</v>
      </c>
      <c r="AK789" s="1">
        <v>3</v>
      </c>
      <c r="AL789" s="1" t="s">
        <v>109</v>
      </c>
      <c r="AM789" s="1" t="s">
        <v>109</v>
      </c>
      <c r="AN789" s="1" t="s">
        <v>109</v>
      </c>
      <c r="AO789" s="1" t="s">
        <v>109</v>
      </c>
      <c r="AP789" s="1"/>
      <c r="AQ789" s="1">
        <v>2</v>
      </c>
      <c r="AR789" s="1"/>
      <c r="AS789" s="1" t="s">
        <v>6749</v>
      </c>
      <c r="AT789" s="1">
        <v>0</v>
      </c>
      <c r="AU789" s="1">
        <v>0</v>
      </c>
      <c r="AV789" s="1">
        <v>0</v>
      </c>
      <c r="AW789" s="1">
        <v>0</v>
      </c>
      <c r="AX789" s="1">
        <v>0</v>
      </c>
      <c r="AY789" s="1">
        <v>0</v>
      </c>
      <c r="AZ789" s="1">
        <v>0</v>
      </c>
      <c r="BA789" s="1">
        <v>0</v>
      </c>
      <c r="BB789" s="1">
        <v>0</v>
      </c>
      <c r="BC789" s="1">
        <v>0</v>
      </c>
      <c r="BD789" s="1">
        <v>0</v>
      </c>
      <c r="BE789" s="1">
        <v>0</v>
      </c>
      <c r="BF789" s="1">
        <v>0</v>
      </c>
      <c r="BG789" s="1">
        <v>0</v>
      </c>
      <c r="BH789" s="1">
        <v>0</v>
      </c>
      <c r="BI789" s="1">
        <v>0</v>
      </c>
      <c r="BJ789" s="1">
        <v>1</v>
      </c>
      <c r="BK789" s="1">
        <v>0</v>
      </c>
      <c r="BL789" s="1">
        <v>0</v>
      </c>
      <c r="BM789" s="1">
        <v>0</v>
      </c>
      <c r="BN789" s="1">
        <v>0</v>
      </c>
      <c r="BO789" s="1">
        <v>0</v>
      </c>
      <c r="BP789" s="1">
        <v>0</v>
      </c>
      <c r="BQ789" s="1">
        <v>0</v>
      </c>
      <c r="BR789" s="1">
        <v>0</v>
      </c>
      <c r="BS789" s="5" t="str">
        <f>HYPERLINK("http://www.d20pfsrd.com/magic/all-spells/h/hidden-speech","Hidden Speech")</f>
        <v>Hidden Speech</v>
      </c>
      <c r="BT789" s="1">
        <v>805</v>
      </c>
      <c r="BU789" s="1" t="s">
        <v>109</v>
      </c>
      <c r="BV789" s="1"/>
      <c r="BW789" s="1"/>
      <c r="BX789" s="1"/>
      <c r="BY789" s="1"/>
      <c r="BZ789" s="1">
        <v>0</v>
      </c>
      <c r="CA789" s="1" t="s">
        <v>109</v>
      </c>
      <c r="CB789" s="1" t="s">
        <v>109</v>
      </c>
      <c r="CC789" s="1">
        <v>2</v>
      </c>
      <c r="CD789" s="1" t="s">
        <v>109</v>
      </c>
      <c r="CE789" s="1">
        <v>2</v>
      </c>
      <c r="CF789" s="1" t="s">
        <v>109</v>
      </c>
      <c r="CG789" s="1" t="s">
        <v>109</v>
      </c>
      <c r="CH789" s="1" t="s">
        <v>109</v>
      </c>
      <c r="CI789" s="1" t="s">
        <v>109</v>
      </c>
      <c r="CJ789" s="1" t="s">
        <v>109</v>
      </c>
      <c r="CK789" s="1"/>
      <c r="CL789" s="1">
        <v>0</v>
      </c>
      <c r="CM789" s="1">
        <v>0</v>
      </c>
      <c r="CN789" s="1">
        <v>0</v>
      </c>
    </row>
    <row r="790" spans="1:92" ht="14.25" customHeight="1" x14ac:dyDescent="0.15">
      <c r="A790" s="1" t="s">
        <v>6750</v>
      </c>
      <c r="B790" s="1" t="s">
        <v>674</v>
      </c>
      <c r="C790" s="1" t="s">
        <v>675</v>
      </c>
      <c r="D790" s="1"/>
      <c r="E790" s="1" t="s">
        <v>4518</v>
      </c>
      <c r="F790" s="1" t="s">
        <v>395</v>
      </c>
      <c r="G790" s="1" t="s">
        <v>6751</v>
      </c>
      <c r="H790" s="1">
        <v>0</v>
      </c>
      <c r="I790" s="1" t="s">
        <v>142</v>
      </c>
      <c r="J790" s="1" t="s">
        <v>6752</v>
      </c>
      <c r="K790" s="1"/>
      <c r="L790" s="1"/>
      <c r="M790" s="1" t="s">
        <v>6719</v>
      </c>
      <c r="N790" s="1">
        <v>1</v>
      </c>
      <c r="O790" s="1">
        <v>0</v>
      </c>
      <c r="P790" s="1" t="s">
        <v>2465</v>
      </c>
      <c r="Q790" s="1" t="s">
        <v>104</v>
      </c>
      <c r="R790" s="1" t="s">
        <v>6753</v>
      </c>
      <c r="S790" s="1" t="s">
        <v>6754</v>
      </c>
      <c r="T790" s="1" t="s">
        <v>5815</v>
      </c>
      <c r="U790" s="1" t="s">
        <v>6755</v>
      </c>
      <c r="V790" s="1">
        <v>1</v>
      </c>
      <c r="W790" s="1">
        <v>1</v>
      </c>
      <c r="X790" s="1">
        <v>1</v>
      </c>
      <c r="Y790" s="1">
        <v>0</v>
      </c>
      <c r="Z790" s="1">
        <v>0</v>
      </c>
      <c r="AA790" s="1" t="s">
        <v>109</v>
      </c>
      <c r="AB790" s="1" t="s">
        <v>109</v>
      </c>
      <c r="AC790" s="1" t="s">
        <v>109</v>
      </c>
      <c r="AD790" s="1">
        <v>3</v>
      </c>
      <c r="AE790" s="1">
        <v>2</v>
      </c>
      <c r="AF790" s="1" t="s">
        <v>109</v>
      </c>
      <c r="AG790" s="1" t="s">
        <v>109</v>
      </c>
      <c r="AH790" s="1" t="s">
        <v>109</v>
      </c>
      <c r="AI790" s="1" t="s">
        <v>109</v>
      </c>
      <c r="AJ790" s="1" t="s">
        <v>109</v>
      </c>
      <c r="AK790" s="1" t="s">
        <v>109</v>
      </c>
      <c r="AL790" s="1" t="s">
        <v>109</v>
      </c>
      <c r="AM790" s="1" t="s">
        <v>109</v>
      </c>
      <c r="AN790" s="1" t="s">
        <v>109</v>
      </c>
      <c r="AO790" s="1" t="s">
        <v>109</v>
      </c>
      <c r="AP790" s="1"/>
      <c r="AQ790" s="1">
        <v>3</v>
      </c>
      <c r="AR790" s="1"/>
      <c r="AS790" s="1" t="s">
        <v>6756</v>
      </c>
      <c r="AT790" s="1">
        <v>0</v>
      </c>
      <c r="AU790" s="1">
        <v>0</v>
      </c>
      <c r="AV790" s="1">
        <v>0</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5" t="str">
        <f>HYPERLINK("http://www.d20pfsrd.com/magic/all-spells/h/hide-campsite","Hide Campsite")</f>
        <v>Hide Campsite</v>
      </c>
      <c r="BT790" s="1">
        <v>806</v>
      </c>
      <c r="BU790" s="1" t="s">
        <v>109</v>
      </c>
      <c r="BV790" s="1"/>
      <c r="BW790" s="1"/>
      <c r="BX790" s="1"/>
      <c r="BY790" s="1"/>
      <c r="BZ790" s="1">
        <v>0</v>
      </c>
      <c r="CA790" s="1" t="s">
        <v>109</v>
      </c>
      <c r="CB790" s="1" t="s">
        <v>109</v>
      </c>
      <c r="CC790" s="1" t="s">
        <v>109</v>
      </c>
      <c r="CD790" s="1" t="s">
        <v>109</v>
      </c>
      <c r="CE790" s="1" t="s">
        <v>109</v>
      </c>
      <c r="CF790" s="1" t="s">
        <v>109</v>
      </c>
      <c r="CG790" s="1" t="s">
        <v>109</v>
      </c>
      <c r="CH790" s="1" t="s">
        <v>109</v>
      </c>
      <c r="CI790" s="1" t="s">
        <v>109</v>
      </c>
      <c r="CJ790" s="1">
        <v>2</v>
      </c>
      <c r="CK790" s="1"/>
      <c r="CL790" s="1">
        <v>0</v>
      </c>
      <c r="CM790" s="1">
        <v>0</v>
      </c>
      <c r="CN790" s="1">
        <v>0</v>
      </c>
    </row>
    <row r="791" spans="1:92" ht="14.25" customHeight="1" x14ac:dyDescent="0.15">
      <c r="A791" s="1" t="s">
        <v>6757</v>
      </c>
      <c r="B791" s="1" t="s">
        <v>584</v>
      </c>
      <c r="C791" s="1"/>
      <c r="D791" s="1" t="s">
        <v>61</v>
      </c>
      <c r="E791" s="1" t="s">
        <v>2519</v>
      </c>
      <c r="F791" s="1" t="s">
        <v>98</v>
      </c>
      <c r="G791" s="1" t="s">
        <v>141</v>
      </c>
      <c r="H791" s="1">
        <v>0</v>
      </c>
      <c r="I791" s="1" t="s">
        <v>1192</v>
      </c>
      <c r="J791" s="1" t="s">
        <v>726</v>
      </c>
      <c r="K791" s="1"/>
      <c r="L791" s="1"/>
      <c r="M791" s="1" t="s">
        <v>144</v>
      </c>
      <c r="N791" s="1">
        <v>0</v>
      </c>
      <c r="O791" s="1">
        <v>0</v>
      </c>
      <c r="P791" s="1" t="s">
        <v>3667</v>
      </c>
      <c r="Q791" s="1" t="s">
        <v>268</v>
      </c>
      <c r="R791" s="1" t="s">
        <v>6758</v>
      </c>
      <c r="S791" s="1" t="s">
        <v>6759</v>
      </c>
      <c r="T791" s="1" t="s">
        <v>5815</v>
      </c>
      <c r="U791" s="1" t="s">
        <v>6760</v>
      </c>
      <c r="V791" s="1">
        <v>1</v>
      </c>
      <c r="W791" s="1">
        <v>1</v>
      </c>
      <c r="X791" s="1">
        <v>0</v>
      </c>
      <c r="Y791" s="1">
        <v>0</v>
      </c>
      <c r="Z791" s="1">
        <v>0</v>
      </c>
      <c r="AA791" s="1" t="s">
        <v>109</v>
      </c>
      <c r="AB791" s="1" t="s">
        <v>109</v>
      </c>
      <c r="AC791" s="1" t="s">
        <v>109</v>
      </c>
      <c r="AD791" s="1" t="s">
        <v>109</v>
      </c>
      <c r="AE791" s="1" t="s">
        <v>109</v>
      </c>
      <c r="AF791" s="1" t="s">
        <v>109</v>
      </c>
      <c r="AG791" s="1">
        <v>3</v>
      </c>
      <c r="AH791" s="1" t="s">
        <v>109</v>
      </c>
      <c r="AI791" s="1" t="s">
        <v>109</v>
      </c>
      <c r="AJ791" s="1" t="s">
        <v>109</v>
      </c>
      <c r="AK791" s="1" t="s">
        <v>109</v>
      </c>
      <c r="AL791" s="1" t="s">
        <v>109</v>
      </c>
      <c r="AM791" s="1" t="s">
        <v>109</v>
      </c>
      <c r="AN791" s="1" t="s">
        <v>109</v>
      </c>
      <c r="AO791" s="1" t="s">
        <v>109</v>
      </c>
      <c r="AP791" s="1"/>
      <c r="AQ791" s="1">
        <v>3</v>
      </c>
      <c r="AR791" s="1"/>
      <c r="AS791" s="1" t="s">
        <v>6761</v>
      </c>
      <c r="AT791" s="1">
        <v>0</v>
      </c>
      <c r="AU791" s="1">
        <v>0</v>
      </c>
      <c r="AV791" s="1">
        <v>0</v>
      </c>
      <c r="AW791" s="1">
        <v>0</v>
      </c>
      <c r="AX791" s="1">
        <v>0</v>
      </c>
      <c r="AY791" s="1">
        <v>0</v>
      </c>
      <c r="AZ791" s="1">
        <v>0</v>
      </c>
      <c r="BA791" s="1">
        <v>0</v>
      </c>
      <c r="BB791" s="1">
        <v>0</v>
      </c>
      <c r="BC791" s="1">
        <v>0</v>
      </c>
      <c r="BD791" s="1">
        <v>0</v>
      </c>
      <c r="BE791" s="1">
        <v>0</v>
      </c>
      <c r="BF791" s="1">
        <v>0</v>
      </c>
      <c r="BG791" s="1">
        <v>0</v>
      </c>
      <c r="BH791" s="1">
        <v>0</v>
      </c>
      <c r="BI791" s="1">
        <v>1</v>
      </c>
      <c r="BJ791" s="1">
        <v>0</v>
      </c>
      <c r="BK791" s="1">
        <v>0</v>
      </c>
      <c r="BL791" s="1">
        <v>0</v>
      </c>
      <c r="BM791" s="1">
        <v>0</v>
      </c>
      <c r="BN791" s="1">
        <v>0</v>
      </c>
      <c r="BO791" s="1">
        <v>0</v>
      </c>
      <c r="BP791" s="1">
        <v>0</v>
      </c>
      <c r="BQ791" s="1">
        <v>0</v>
      </c>
      <c r="BR791" s="1">
        <v>0</v>
      </c>
      <c r="BS791" s="5" t="str">
        <f>HYPERLINK("http://www.d20pfsrd.com/magic/all-spells/h/holy-whisper","Holy Whisper")</f>
        <v>Holy Whisper</v>
      </c>
      <c r="BT791" s="1">
        <v>807</v>
      </c>
      <c r="BU791" s="1" t="s">
        <v>109</v>
      </c>
      <c r="BV791" s="1"/>
      <c r="BW791" s="1"/>
      <c r="BX791" s="1"/>
      <c r="BY791" s="1"/>
      <c r="BZ791" s="1">
        <v>0</v>
      </c>
      <c r="CA791" s="1" t="s">
        <v>109</v>
      </c>
      <c r="CB791" s="1" t="s">
        <v>109</v>
      </c>
      <c r="CC791" s="1" t="s">
        <v>109</v>
      </c>
      <c r="CD791" s="1" t="s">
        <v>109</v>
      </c>
      <c r="CE791" s="1" t="s">
        <v>109</v>
      </c>
      <c r="CF791" s="1" t="s">
        <v>109</v>
      </c>
      <c r="CG791" s="1" t="s">
        <v>109</v>
      </c>
      <c r="CH791" s="1" t="s">
        <v>109</v>
      </c>
      <c r="CI791" s="1" t="s">
        <v>109</v>
      </c>
      <c r="CJ791" s="1" t="s">
        <v>109</v>
      </c>
      <c r="CK791" s="1"/>
      <c r="CL791" s="1">
        <v>0</v>
      </c>
      <c r="CM791" s="1">
        <v>0</v>
      </c>
      <c r="CN791" s="1">
        <v>0</v>
      </c>
    </row>
    <row r="792" spans="1:92" ht="14.25" customHeight="1" x14ac:dyDescent="0.15">
      <c r="A792" s="1" t="s">
        <v>6762</v>
      </c>
      <c r="B792" s="1" t="s">
        <v>189</v>
      </c>
      <c r="C792" s="1"/>
      <c r="D792" s="1"/>
      <c r="E792" s="1" t="s">
        <v>6763</v>
      </c>
      <c r="F792" s="1" t="s">
        <v>98</v>
      </c>
      <c r="G792" s="1" t="s">
        <v>6764</v>
      </c>
      <c r="H792" s="1">
        <v>0</v>
      </c>
      <c r="I792" s="1" t="s">
        <v>235</v>
      </c>
      <c r="J792" s="1"/>
      <c r="K792" s="1"/>
      <c r="L792" s="1" t="s">
        <v>236</v>
      </c>
      <c r="M792" s="1" t="s">
        <v>5642</v>
      </c>
      <c r="N792" s="1">
        <v>0</v>
      </c>
      <c r="O792" s="1">
        <v>0</v>
      </c>
      <c r="P792" s="1"/>
      <c r="Q792" s="1"/>
      <c r="R792" s="1" t="s">
        <v>6765</v>
      </c>
      <c r="S792" s="1" t="s">
        <v>6766</v>
      </c>
      <c r="T792" s="1" t="s">
        <v>5815</v>
      </c>
      <c r="U792" s="1" t="s">
        <v>6767</v>
      </c>
      <c r="V792" s="1">
        <v>1</v>
      </c>
      <c r="W792" s="1">
        <v>0</v>
      </c>
      <c r="X792" s="1">
        <v>1</v>
      </c>
      <c r="Y792" s="1">
        <v>0</v>
      </c>
      <c r="Z792" s="1">
        <v>1</v>
      </c>
      <c r="AA792" s="1" t="s">
        <v>109</v>
      </c>
      <c r="AB792" s="1" t="s">
        <v>109</v>
      </c>
      <c r="AC792" s="1" t="s">
        <v>109</v>
      </c>
      <c r="AD792" s="1" t="s">
        <v>109</v>
      </c>
      <c r="AE792" s="1" t="s">
        <v>109</v>
      </c>
      <c r="AF792" s="1">
        <v>2</v>
      </c>
      <c r="AG792" s="1">
        <v>1</v>
      </c>
      <c r="AH792" s="1" t="s">
        <v>109</v>
      </c>
      <c r="AI792" s="1" t="s">
        <v>109</v>
      </c>
      <c r="AJ792" s="1" t="s">
        <v>109</v>
      </c>
      <c r="AK792" s="1">
        <v>2</v>
      </c>
      <c r="AL792" s="1" t="s">
        <v>109</v>
      </c>
      <c r="AM792" s="1" t="s">
        <v>109</v>
      </c>
      <c r="AN792" s="1" t="s">
        <v>109</v>
      </c>
      <c r="AO792" s="1" t="s">
        <v>109</v>
      </c>
      <c r="AP792" s="1"/>
      <c r="AQ792" s="1">
        <v>2</v>
      </c>
      <c r="AR792" s="1"/>
      <c r="AS792" s="1" t="s">
        <v>6768</v>
      </c>
      <c r="AT792" s="1">
        <v>0</v>
      </c>
      <c r="AU792" s="1">
        <v>0</v>
      </c>
      <c r="AV792" s="1">
        <v>0</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5" t="str">
        <f>HYPERLINK("http://www.d20pfsrd.com/magic/all-spells/h/honeyed-tongue","Honeyed Tongue")</f>
        <v>Honeyed Tongue</v>
      </c>
      <c r="BT792" s="1">
        <v>808</v>
      </c>
      <c r="BU792" s="1" t="s">
        <v>109</v>
      </c>
      <c r="BV792" s="1"/>
      <c r="BW792" s="1"/>
      <c r="BX792" s="1"/>
      <c r="BY792" s="1"/>
      <c r="BZ792" s="1">
        <v>0</v>
      </c>
      <c r="CA792" s="1" t="s">
        <v>109</v>
      </c>
      <c r="CB792" s="1" t="s">
        <v>109</v>
      </c>
      <c r="CC792" s="1" t="s">
        <v>109</v>
      </c>
      <c r="CD792" s="1" t="s">
        <v>109</v>
      </c>
      <c r="CE792" s="1">
        <v>2</v>
      </c>
      <c r="CF792" s="1" t="s">
        <v>109</v>
      </c>
      <c r="CG792" s="1" t="s">
        <v>109</v>
      </c>
      <c r="CH792" s="1" t="s">
        <v>109</v>
      </c>
      <c r="CI792" s="1" t="s">
        <v>109</v>
      </c>
      <c r="CJ792" s="1" t="s">
        <v>109</v>
      </c>
      <c r="CK792" s="1"/>
      <c r="CL792" s="1">
        <v>0</v>
      </c>
      <c r="CM792" s="1">
        <v>0</v>
      </c>
      <c r="CN792" s="1">
        <v>0</v>
      </c>
    </row>
    <row r="793" spans="1:92" ht="14.25" customHeight="1" x14ac:dyDescent="0.15">
      <c r="A793" s="1" t="s">
        <v>6769</v>
      </c>
      <c r="B793" s="1" t="s">
        <v>95</v>
      </c>
      <c r="C793" s="1" t="s">
        <v>96</v>
      </c>
      <c r="D793" s="1"/>
      <c r="E793" s="1" t="s">
        <v>6770</v>
      </c>
      <c r="F793" s="1" t="s">
        <v>98</v>
      </c>
      <c r="G793" s="1" t="s">
        <v>6244</v>
      </c>
      <c r="H793" s="1">
        <v>1</v>
      </c>
      <c r="I793" s="1" t="s">
        <v>122</v>
      </c>
      <c r="J793" s="1"/>
      <c r="K793" s="1" t="s">
        <v>5828</v>
      </c>
      <c r="L793" s="1"/>
      <c r="M793" s="1" t="s">
        <v>5829</v>
      </c>
      <c r="N793" s="1">
        <v>0</v>
      </c>
      <c r="O793" s="1">
        <v>0</v>
      </c>
      <c r="P793" s="1" t="s">
        <v>6771</v>
      </c>
      <c r="Q793" s="1" t="s">
        <v>104</v>
      </c>
      <c r="R793" s="1" t="s">
        <v>6772</v>
      </c>
      <c r="S793" s="1" t="s">
        <v>6773</v>
      </c>
      <c r="T793" s="1" t="s">
        <v>5815</v>
      </c>
      <c r="U793" s="1" t="s">
        <v>6774</v>
      </c>
      <c r="V793" s="1">
        <v>1</v>
      </c>
      <c r="W793" s="1">
        <v>1</v>
      </c>
      <c r="X793" s="1">
        <v>0</v>
      </c>
      <c r="Y793" s="1">
        <v>0</v>
      </c>
      <c r="Z793" s="1">
        <v>0</v>
      </c>
      <c r="AA793" s="1">
        <v>5</v>
      </c>
      <c r="AB793" s="1">
        <v>5</v>
      </c>
      <c r="AC793" s="1" t="s">
        <v>109</v>
      </c>
      <c r="AD793" s="1" t="s">
        <v>109</v>
      </c>
      <c r="AE793" s="1" t="s">
        <v>109</v>
      </c>
      <c r="AF793" s="1" t="s">
        <v>109</v>
      </c>
      <c r="AG793" s="1" t="s">
        <v>109</v>
      </c>
      <c r="AH793" s="1" t="s">
        <v>109</v>
      </c>
      <c r="AI793" s="1">
        <v>5</v>
      </c>
      <c r="AJ793" s="1" t="s">
        <v>109</v>
      </c>
      <c r="AK793" s="1" t="s">
        <v>109</v>
      </c>
      <c r="AL793" s="1" t="s">
        <v>109</v>
      </c>
      <c r="AM793" s="1" t="s">
        <v>109</v>
      </c>
      <c r="AN793" s="1" t="s">
        <v>109</v>
      </c>
      <c r="AO793" s="1" t="s">
        <v>109</v>
      </c>
      <c r="AP793" s="1"/>
      <c r="AQ793" s="1">
        <v>5</v>
      </c>
      <c r="AR793" s="1" t="s">
        <v>6775</v>
      </c>
      <c r="AS793" s="1" t="s">
        <v>6776</v>
      </c>
      <c r="AT793" s="1">
        <v>0</v>
      </c>
      <c r="AU793" s="1">
        <v>0</v>
      </c>
      <c r="AV793" s="1">
        <v>0</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v>
      </c>
      <c r="BP793" s="1">
        <v>0</v>
      </c>
      <c r="BQ793" s="1">
        <v>0</v>
      </c>
      <c r="BR793" s="1">
        <v>0</v>
      </c>
      <c r="BS793" s="5" t="str">
        <f>HYPERLINK("http://www.d20pfsrd.com/magic/all-spells/h/hungry-pit","Hungry Pit")</f>
        <v>Hungry Pit</v>
      </c>
      <c r="BT793" s="1">
        <v>809</v>
      </c>
      <c r="BU793" s="1">
        <v>10</v>
      </c>
      <c r="BV793" s="1"/>
      <c r="BW793" s="1"/>
      <c r="BX793" s="1"/>
      <c r="BY793" s="1"/>
      <c r="BZ793" s="1">
        <v>0</v>
      </c>
      <c r="CA793" s="1" t="s">
        <v>109</v>
      </c>
      <c r="CB793" s="1" t="s">
        <v>109</v>
      </c>
      <c r="CC793" s="1" t="s">
        <v>109</v>
      </c>
      <c r="CD793" s="1" t="s">
        <v>109</v>
      </c>
      <c r="CE793" s="1" t="s">
        <v>109</v>
      </c>
      <c r="CF793" s="1" t="s">
        <v>109</v>
      </c>
      <c r="CG793" s="1" t="s">
        <v>109</v>
      </c>
      <c r="CH793" s="1" t="s">
        <v>109</v>
      </c>
      <c r="CI793" s="1" t="s">
        <v>109</v>
      </c>
      <c r="CJ793" s="1" t="s">
        <v>109</v>
      </c>
      <c r="CK793" s="1"/>
      <c r="CL793" s="1">
        <v>0</v>
      </c>
      <c r="CM793" s="1">
        <v>0</v>
      </c>
      <c r="CN793" s="1">
        <v>0</v>
      </c>
    </row>
    <row r="794" spans="1:92" ht="14.25" customHeight="1" x14ac:dyDescent="0.15">
      <c r="A794" s="1" t="s">
        <v>6777</v>
      </c>
      <c r="B794" s="1" t="s">
        <v>584</v>
      </c>
      <c r="C794" s="1"/>
      <c r="D794" s="1" t="s">
        <v>70</v>
      </c>
      <c r="E794" s="1" t="s">
        <v>6778</v>
      </c>
      <c r="F794" s="1" t="s">
        <v>98</v>
      </c>
      <c r="G794" s="1" t="s">
        <v>141</v>
      </c>
      <c r="H794" s="1">
        <v>0</v>
      </c>
      <c r="I794" s="1" t="s">
        <v>142</v>
      </c>
      <c r="J794" s="1"/>
      <c r="K794" s="1"/>
      <c r="L794" s="1" t="s">
        <v>1548</v>
      </c>
      <c r="M794" s="1" t="s">
        <v>144</v>
      </c>
      <c r="N794" s="1">
        <v>0</v>
      </c>
      <c r="O794" s="1">
        <v>0</v>
      </c>
      <c r="P794" s="1" t="s">
        <v>103</v>
      </c>
      <c r="Q794" s="1" t="s">
        <v>268</v>
      </c>
      <c r="R794" s="1" t="s">
        <v>6779</v>
      </c>
      <c r="S794" s="1" t="s">
        <v>6780</v>
      </c>
      <c r="T794" s="1" t="s">
        <v>5815</v>
      </c>
      <c r="U794" s="1" t="s">
        <v>6781</v>
      </c>
      <c r="V794" s="1">
        <v>1</v>
      </c>
      <c r="W794" s="1">
        <v>1</v>
      </c>
      <c r="X794" s="1">
        <v>0</v>
      </c>
      <c r="Y794" s="1">
        <v>0</v>
      </c>
      <c r="Z794" s="1">
        <v>0</v>
      </c>
      <c r="AA794" s="1">
        <v>1</v>
      </c>
      <c r="AB794" s="1">
        <v>1</v>
      </c>
      <c r="AC794" s="1" t="s">
        <v>109</v>
      </c>
      <c r="AD794" s="1">
        <v>1</v>
      </c>
      <c r="AE794" s="1" t="s">
        <v>109</v>
      </c>
      <c r="AF794" s="1" t="s">
        <v>109</v>
      </c>
      <c r="AG794" s="1" t="s">
        <v>109</v>
      </c>
      <c r="AH794" s="1" t="s">
        <v>109</v>
      </c>
      <c r="AI794" s="1" t="s">
        <v>109</v>
      </c>
      <c r="AJ794" s="1" t="s">
        <v>109</v>
      </c>
      <c r="AK794" s="1" t="s">
        <v>109</v>
      </c>
      <c r="AL794" s="1" t="s">
        <v>109</v>
      </c>
      <c r="AM794" s="1" t="s">
        <v>109</v>
      </c>
      <c r="AN794" s="1">
        <v>1</v>
      </c>
      <c r="AO794" s="1" t="s">
        <v>109</v>
      </c>
      <c r="AP794" s="1"/>
      <c r="AQ794" s="1">
        <v>1</v>
      </c>
      <c r="AR794" s="1" t="s">
        <v>6782</v>
      </c>
      <c r="AS794" s="1" t="s">
        <v>6783</v>
      </c>
      <c r="AT794" s="1">
        <v>0</v>
      </c>
      <c r="AU794" s="1">
        <v>0</v>
      </c>
      <c r="AV794" s="1">
        <v>0</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1</v>
      </c>
      <c r="BS794" s="5" t="str">
        <f>HYPERLINK("http://www.d20pfsrd.com/magic/all-spells/h/hydraulic-push","Hydraulic Push")</f>
        <v>Hydraulic Push</v>
      </c>
      <c r="BT794" s="1">
        <v>810</v>
      </c>
      <c r="BU794" s="1" t="s">
        <v>109</v>
      </c>
      <c r="BV794" s="1" t="s">
        <v>6784</v>
      </c>
      <c r="BW794" s="1"/>
      <c r="BX794" s="1" t="s">
        <v>6785</v>
      </c>
      <c r="BY794" s="1"/>
      <c r="BZ794" s="1">
        <v>1</v>
      </c>
      <c r="CA794" s="1">
        <v>1</v>
      </c>
      <c r="CB794" s="1">
        <v>1</v>
      </c>
      <c r="CC794" s="1" t="s">
        <v>109</v>
      </c>
      <c r="CD794" s="1" t="s">
        <v>109</v>
      </c>
      <c r="CE794" s="1" t="s">
        <v>109</v>
      </c>
      <c r="CF794" s="1" t="s">
        <v>109</v>
      </c>
      <c r="CG794" s="1" t="s">
        <v>109</v>
      </c>
      <c r="CH794" s="1" t="s">
        <v>109</v>
      </c>
      <c r="CI794" s="1" t="s">
        <v>109</v>
      </c>
      <c r="CJ794" s="1">
        <v>1</v>
      </c>
      <c r="CK794" s="1"/>
      <c r="CL794" s="1">
        <v>0</v>
      </c>
      <c r="CM794" s="1">
        <v>0</v>
      </c>
      <c r="CN794" s="1">
        <v>0</v>
      </c>
    </row>
    <row r="795" spans="1:92" ht="14.25" customHeight="1" x14ac:dyDescent="0.15">
      <c r="A795" s="1" t="s">
        <v>6786</v>
      </c>
      <c r="B795" s="1" t="s">
        <v>584</v>
      </c>
      <c r="C795" s="1"/>
      <c r="D795" s="1" t="s">
        <v>70</v>
      </c>
      <c r="E795" s="1" t="s">
        <v>6787</v>
      </c>
      <c r="F795" s="1" t="s">
        <v>98</v>
      </c>
      <c r="G795" s="1" t="s">
        <v>141</v>
      </c>
      <c r="H795" s="1">
        <v>0</v>
      </c>
      <c r="I795" s="1" t="s">
        <v>1016</v>
      </c>
      <c r="J795" s="1" t="s">
        <v>6788</v>
      </c>
      <c r="K795" s="1"/>
      <c r="L795" s="1"/>
      <c r="M795" s="1" t="s">
        <v>144</v>
      </c>
      <c r="N795" s="1">
        <v>0</v>
      </c>
      <c r="O795" s="1">
        <v>0</v>
      </c>
      <c r="P795" s="1" t="s">
        <v>103</v>
      </c>
      <c r="Q795" s="1" t="s">
        <v>268</v>
      </c>
      <c r="R795" s="1" t="s">
        <v>6789</v>
      </c>
      <c r="S795" s="1" t="s">
        <v>6790</v>
      </c>
      <c r="T795" s="1" t="s">
        <v>5815</v>
      </c>
      <c r="U795" s="1" t="s">
        <v>6791</v>
      </c>
      <c r="V795" s="1">
        <v>1</v>
      </c>
      <c r="W795" s="1">
        <v>1</v>
      </c>
      <c r="X795" s="1">
        <v>0</v>
      </c>
      <c r="Y795" s="1">
        <v>0</v>
      </c>
      <c r="Z795" s="1">
        <v>0</v>
      </c>
      <c r="AA795" s="1">
        <v>3</v>
      </c>
      <c r="AB795" s="1">
        <v>3</v>
      </c>
      <c r="AC795" s="1" t="s">
        <v>109</v>
      </c>
      <c r="AD795" s="1">
        <v>3</v>
      </c>
      <c r="AE795" s="1" t="s">
        <v>109</v>
      </c>
      <c r="AF795" s="1" t="s">
        <v>109</v>
      </c>
      <c r="AG795" s="1" t="s">
        <v>109</v>
      </c>
      <c r="AH795" s="1" t="s">
        <v>109</v>
      </c>
      <c r="AI795" s="1" t="s">
        <v>109</v>
      </c>
      <c r="AJ795" s="1" t="s">
        <v>109</v>
      </c>
      <c r="AK795" s="1" t="s">
        <v>109</v>
      </c>
      <c r="AL795" s="1" t="s">
        <v>109</v>
      </c>
      <c r="AM795" s="1" t="s">
        <v>109</v>
      </c>
      <c r="AN795" s="1">
        <v>3</v>
      </c>
      <c r="AO795" s="1" t="s">
        <v>109</v>
      </c>
      <c r="AP795" s="1"/>
      <c r="AQ795" s="1">
        <v>3</v>
      </c>
      <c r="AR795" s="1"/>
      <c r="AS795" s="1" t="s">
        <v>6792</v>
      </c>
      <c r="AT795" s="1">
        <v>0</v>
      </c>
      <c r="AU795" s="1">
        <v>0</v>
      </c>
      <c r="AV795" s="1">
        <v>0</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1</v>
      </c>
      <c r="BS795" s="5" t="str">
        <f>HYPERLINK("http://www.d20pfsrd.com/magic/all-spells/h/hydraulic-torrent","Hydraulic Torrent")</f>
        <v>Hydraulic Torrent</v>
      </c>
      <c r="BT795" s="1">
        <v>811</v>
      </c>
      <c r="BU795" s="1" t="s">
        <v>109</v>
      </c>
      <c r="BV795" s="1"/>
      <c r="BW795" s="1"/>
      <c r="BX795" s="1" t="s">
        <v>6793</v>
      </c>
      <c r="BY795" s="1" t="s">
        <v>6794</v>
      </c>
      <c r="BZ795" s="1">
        <v>1</v>
      </c>
      <c r="CA795" s="1">
        <v>3</v>
      </c>
      <c r="CB795" s="1" t="s">
        <v>109</v>
      </c>
      <c r="CC795" s="1" t="s">
        <v>109</v>
      </c>
      <c r="CD795" s="1" t="s">
        <v>109</v>
      </c>
      <c r="CE795" s="1" t="s">
        <v>109</v>
      </c>
      <c r="CF795" s="1" t="s">
        <v>109</v>
      </c>
      <c r="CG795" s="1" t="s">
        <v>109</v>
      </c>
      <c r="CH795" s="1" t="s">
        <v>109</v>
      </c>
      <c r="CI795" s="1" t="s">
        <v>109</v>
      </c>
      <c r="CJ795" s="1">
        <v>3</v>
      </c>
      <c r="CK795" s="1"/>
      <c r="CL795" s="1">
        <v>0</v>
      </c>
      <c r="CM795" s="1">
        <v>0</v>
      </c>
      <c r="CN795" s="1">
        <v>0</v>
      </c>
    </row>
    <row r="796" spans="1:92" ht="14.25" customHeight="1" x14ac:dyDescent="0.15">
      <c r="A796" s="1" t="s">
        <v>6795</v>
      </c>
      <c r="B796" s="1" t="s">
        <v>156</v>
      </c>
      <c r="C796" s="1" t="s">
        <v>157</v>
      </c>
      <c r="D796" s="1" t="s">
        <v>158</v>
      </c>
      <c r="E796" s="1" t="s">
        <v>6796</v>
      </c>
      <c r="F796" s="1" t="s">
        <v>98</v>
      </c>
      <c r="G796" s="1" t="s">
        <v>6797</v>
      </c>
      <c r="H796" s="1">
        <v>0</v>
      </c>
      <c r="I796" s="1" t="s">
        <v>142</v>
      </c>
      <c r="J796" s="1"/>
      <c r="K796" s="1"/>
      <c r="L796" s="1" t="s">
        <v>1391</v>
      </c>
      <c r="M796" s="1" t="s">
        <v>6798</v>
      </c>
      <c r="N796" s="1">
        <v>0</v>
      </c>
      <c r="O796" s="1">
        <v>0</v>
      </c>
      <c r="P796" s="1" t="s">
        <v>103</v>
      </c>
      <c r="Q796" s="1" t="s">
        <v>268</v>
      </c>
      <c r="R796" s="1" t="s">
        <v>6799</v>
      </c>
      <c r="S796" s="1" t="s">
        <v>6800</v>
      </c>
      <c r="T796" s="1" t="s">
        <v>5815</v>
      </c>
      <c r="U796" s="1" t="s">
        <v>6801</v>
      </c>
      <c r="V796" s="1">
        <v>1</v>
      </c>
      <c r="W796" s="1">
        <v>1</v>
      </c>
      <c r="X796" s="1">
        <v>1</v>
      </c>
      <c r="Y796" s="1">
        <v>0</v>
      </c>
      <c r="Z796" s="1">
        <v>0</v>
      </c>
      <c r="AA796" s="1" t="s">
        <v>109</v>
      </c>
      <c r="AB796" s="1" t="s">
        <v>109</v>
      </c>
      <c r="AC796" s="1" t="s">
        <v>109</v>
      </c>
      <c r="AD796" s="1" t="s">
        <v>109</v>
      </c>
      <c r="AE796" s="1" t="s">
        <v>109</v>
      </c>
      <c r="AF796" s="1" t="s">
        <v>109</v>
      </c>
      <c r="AG796" s="1" t="s">
        <v>109</v>
      </c>
      <c r="AH796" s="1" t="s">
        <v>109</v>
      </c>
      <c r="AI796" s="1" t="s">
        <v>109</v>
      </c>
      <c r="AJ796" s="1">
        <v>1</v>
      </c>
      <c r="AK796" s="1" t="s">
        <v>109</v>
      </c>
      <c r="AL796" s="1" t="s">
        <v>109</v>
      </c>
      <c r="AM796" s="1" t="s">
        <v>109</v>
      </c>
      <c r="AN796" s="1" t="s">
        <v>109</v>
      </c>
      <c r="AO796" s="1" t="s">
        <v>109</v>
      </c>
      <c r="AP796" s="1"/>
      <c r="AQ796" s="1">
        <v>1</v>
      </c>
      <c r="AR796" s="1"/>
      <c r="AS796" s="1" t="s">
        <v>6802</v>
      </c>
      <c r="AT796" s="1">
        <v>0</v>
      </c>
      <c r="AU796" s="1">
        <v>0</v>
      </c>
      <c r="AV796" s="1">
        <v>0</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1</v>
      </c>
      <c r="BN796" s="1">
        <v>0</v>
      </c>
      <c r="BO796" s="1">
        <v>0</v>
      </c>
      <c r="BP796" s="1">
        <v>0</v>
      </c>
      <c r="BQ796" s="1">
        <v>0</v>
      </c>
      <c r="BR796" s="1">
        <v>0</v>
      </c>
      <c r="BS796" s="5" t="str">
        <f>HYPERLINK("http://www.d20pfsrd.com/magic/all-spells/i/ill-omen","Ill Omen")</f>
        <v>Ill Omen</v>
      </c>
      <c r="BT796" s="1">
        <v>812</v>
      </c>
      <c r="BU796" s="1" t="s">
        <v>109</v>
      </c>
      <c r="BV796" s="1" t="s">
        <v>6803</v>
      </c>
      <c r="BW796" s="1"/>
      <c r="BX796" s="1" t="s">
        <v>6804</v>
      </c>
      <c r="BY796" s="1" t="s">
        <v>6805</v>
      </c>
      <c r="BZ796" s="1">
        <v>1</v>
      </c>
      <c r="CA796" s="1" t="s">
        <v>109</v>
      </c>
      <c r="CB796" s="1" t="s">
        <v>109</v>
      </c>
      <c r="CC796" s="1">
        <v>1</v>
      </c>
      <c r="CD796" s="1" t="s">
        <v>109</v>
      </c>
      <c r="CE796" s="1">
        <v>1</v>
      </c>
      <c r="CF796" s="1" t="s">
        <v>109</v>
      </c>
      <c r="CG796" s="1" t="s">
        <v>109</v>
      </c>
      <c r="CH796" s="1" t="s">
        <v>109</v>
      </c>
      <c r="CI796" s="1" t="s">
        <v>109</v>
      </c>
      <c r="CJ796" s="1" t="s">
        <v>109</v>
      </c>
      <c r="CK796" s="1"/>
      <c r="CL796" s="1">
        <v>0</v>
      </c>
      <c r="CM796" s="1">
        <v>0</v>
      </c>
      <c r="CN796" s="1">
        <v>0</v>
      </c>
    </row>
    <row r="797" spans="1:92" ht="14.25" customHeight="1" x14ac:dyDescent="0.15">
      <c r="A797" s="1" t="s">
        <v>6806</v>
      </c>
      <c r="B797" s="1" t="s">
        <v>189</v>
      </c>
      <c r="C797" s="1"/>
      <c r="D797" s="1"/>
      <c r="E797" s="1" t="s">
        <v>6807</v>
      </c>
      <c r="F797" s="1" t="s">
        <v>98</v>
      </c>
      <c r="G797" s="1" t="s">
        <v>141</v>
      </c>
      <c r="H797" s="1">
        <v>0</v>
      </c>
      <c r="I797" s="1" t="s">
        <v>235</v>
      </c>
      <c r="J797" s="1"/>
      <c r="K797" s="1"/>
      <c r="L797" s="1" t="s">
        <v>236</v>
      </c>
      <c r="M797" s="1" t="s">
        <v>6144</v>
      </c>
      <c r="N797" s="1">
        <v>1</v>
      </c>
      <c r="O797" s="1">
        <v>0</v>
      </c>
      <c r="P797" s="1"/>
      <c r="Q797" s="1"/>
      <c r="R797" s="1" t="s">
        <v>6808</v>
      </c>
      <c r="S797" s="1" t="s">
        <v>6809</v>
      </c>
      <c r="T797" s="1" t="s">
        <v>5815</v>
      </c>
      <c r="U797" s="1" t="s">
        <v>6810</v>
      </c>
      <c r="V797" s="1">
        <v>1</v>
      </c>
      <c r="W797" s="1">
        <v>1</v>
      </c>
      <c r="X797" s="1">
        <v>0</v>
      </c>
      <c r="Y797" s="1">
        <v>0</v>
      </c>
      <c r="Z797" s="1">
        <v>0</v>
      </c>
      <c r="AA797" s="1" t="s">
        <v>109</v>
      </c>
      <c r="AB797" s="1" t="s">
        <v>109</v>
      </c>
      <c r="AC797" s="1" t="s">
        <v>109</v>
      </c>
      <c r="AD797" s="1" t="s">
        <v>109</v>
      </c>
      <c r="AE797" s="1" t="s">
        <v>109</v>
      </c>
      <c r="AF797" s="1">
        <v>1</v>
      </c>
      <c r="AG797" s="1" t="s">
        <v>109</v>
      </c>
      <c r="AH797" s="1" t="s">
        <v>109</v>
      </c>
      <c r="AI797" s="1" t="s">
        <v>109</v>
      </c>
      <c r="AJ797" s="1" t="s">
        <v>109</v>
      </c>
      <c r="AK797" s="1" t="s">
        <v>109</v>
      </c>
      <c r="AL797" s="1" t="s">
        <v>109</v>
      </c>
      <c r="AM797" s="1" t="s">
        <v>109</v>
      </c>
      <c r="AN797" s="1" t="s">
        <v>109</v>
      </c>
      <c r="AO797" s="1" t="s">
        <v>109</v>
      </c>
      <c r="AP797" s="1"/>
      <c r="AQ797" s="1">
        <v>1</v>
      </c>
      <c r="AR797" s="1"/>
      <c r="AS797" s="1" t="s">
        <v>6811</v>
      </c>
      <c r="AT797" s="1">
        <v>0</v>
      </c>
      <c r="AU797" s="1">
        <v>0</v>
      </c>
      <c r="AV797" s="1">
        <v>0</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5" t="str">
        <f>HYPERLINK("http://www.d20pfsrd.com/magic/all-spells/i/innocence","Innocence")</f>
        <v>Innocence</v>
      </c>
      <c r="BT797" s="1">
        <v>813</v>
      </c>
      <c r="BU797" s="1" t="s">
        <v>109</v>
      </c>
      <c r="BV797" s="1"/>
      <c r="BW797" s="1"/>
      <c r="BX797" s="1"/>
      <c r="BY797" s="1"/>
      <c r="BZ797" s="1">
        <v>0</v>
      </c>
      <c r="CA797" s="1" t="s">
        <v>109</v>
      </c>
      <c r="CB797" s="1" t="s">
        <v>109</v>
      </c>
      <c r="CC797" s="1" t="s">
        <v>109</v>
      </c>
      <c r="CD797" s="1" t="s">
        <v>109</v>
      </c>
      <c r="CE797" s="1">
        <v>1</v>
      </c>
      <c r="CF797" s="1" t="s">
        <v>109</v>
      </c>
      <c r="CG797" s="1" t="s">
        <v>109</v>
      </c>
      <c r="CH797" s="1" t="s">
        <v>109</v>
      </c>
      <c r="CI797" s="1" t="s">
        <v>109</v>
      </c>
      <c r="CJ797" s="1" t="s">
        <v>109</v>
      </c>
      <c r="CK797" s="1"/>
      <c r="CL797" s="1">
        <v>0</v>
      </c>
      <c r="CM797" s="1">
        <v>0</v>
      </c>
      <c r="CN797" s="1">
        <v>0</v>
      </c>
    </row>
    <row r="798" spans="1:92" ht="14.25" customHeight="1" x14ac:dyDescent="0.15">
      <c r="A798" s="1" t="s">
        <v>6812</v>
      </c>
      <c r="B798" s="1" t="s">
        <v>95</v>
      </c>
      <c r="C798" s="1" t="s">
        <v>96</v>
      </c>
      <c r="D798" s="1" t="s">
        <v>60</v>
      </c>
      <c r="E798" s="1" t="s">
        <v>6813</v>
      </c>
      <c r="F798" s="1" t="s">
        <v>98</v>
      </c>
      <c r="G798" s="1" t="s">
        <v>160</v>
      </c>
      <c r="H798" s="1">
        <v>0</v>
      </c>
      <c r="I798" s="1" t="s">
        <v>235</v>
      </c>
      <c r="J798" s="1"/>
      <c r="K798" s="1"/>
      <c r="L798" s="1" t="s">
        <v>236</v>
      </c>
      <c r="M798" s="1" t="s">
        <v>6144</v>
      </c>
      <c r="N798" s="1">
        <v>1</v>
      </c>
      <c r="O798" s="1">
        <v>0</v>
      </c>
      <c r="P798" s="1"/>
      <c r="Q798" s="1"/>
      <c r="R798" s="1" t="s">
        <v>6814</v>
      </c>
      <c r="S798" s="1" t="s">
        <v>6815</v>
      </c>
      <c r="T798" s="1" t="s">
        <v>5815</v>
      </c>
      <c r="U798" s="1" t="s">
        <v>6816</v>
      </c>
      <c r="V798" s="1">
        <v>1</v>
      </c>
      <c r="W798" s="1">
        <v>1</v>
      </c>
      <c r="X798" s="1">
        <v>0</v>
      </c>
      <c r="Y798" s="1">
        <v>0</v>
      </c>
      <c r="Z798" s="1">
        <v>1</v>
      </c>
      <c r="AA798" s="1" t="s">
        <v>109</v>
      </c>
      <c r="AB798" s="1" t="s">
        <v>109</v>
      </c>
      <c r="AC798" s="1">
        <v>2</v>
      </c>
      <c r="AD798" s="1" t="s">
        <v>109</v>
      </c>
      <c r="AE798" s="1" t="s">
        <v>109</v>
      </c>
      <c r="AF798" s="1" t="s">
        <v>109</v>
      </c>
      <c r="AG798" s="1">
        <v>2</v>
      </c>
      <c r="AH798" s="1" t="s">
        <v>109</v>
      </c>
      <c r="AI798" s="1" t="s">
        <v>109</v>
      </c>
      <c r="AJ798" s="1" t="s">
        <v>109</v>
      </c>
      <c r="AK798" s="1" t="s">
        <v>109</v>
      </c>
      <c r="AL798" s="1">
        <v>2</v>
      </c>
      <c r="AM798" s="1" t="s">
        <v>109</v>
      </c>
      <c r="AN798" s="1" t="s">
        <v>109</v>
      </c>
      <c r="AO798" s="1" t="s">
        <v>109</v>
      </c>
      <c r="AP798" s="1"/>
      <c r="AQ798" s="1">
        <v>2</v>
      </c>
      <c r="AR798" s="1"/>
      <c r="AS798" s="1" t="s">
        <v>6817</v>
      </c>
      <c r="AT798" s="1">
        <v>0</v>
      </c>
      <c r="AU798" s="1">
        <v>0</v>
      </c>
      <c r="AV798" s="1">
        <v>0</v>
      </c>
      <c r="AW798" s="1">
        <v>0</v>
      </c>
      <c r="AX798" s="1">
        <v>0</v>
      </c>
      <c r="AY798" s="1">
        <v>0</v>
      </c>
      <c r="AZ798" s="1">
        <v>0</v>
      </c>
      <c r="BA798" s="1">
        <v>0</v>
      </c>
      <c r="BB798" s="1">
        <v>0</v>
      </c>
      <c r="BC798" s="1">
        <v>0</v>
      </c>
      <c r="BD798" s="1">
        <v>0</v>
      </c>
      <c r="BE798" s="1">
        <v>0</v>
      </c>
      <c r="BF798" s="1">
        <v>0</v>
      </c>
      <c r="BG798" s="1">
        <v>0</v>
      </c>
      <c r="BH798" s="1">
        <v>1</v>
      </c>
      <c r="BI798" s="1">
        <v>0</v>
      </c>
      <c r="BJ798" s="1">
        <v>0</v>
      </c>
      <c r="BK798" s="1">
        <v>0</v>
      </c>
      <c r="BL798" s="1">
        <v>0</v>
      </c>
      <c r="BM798" s="1">
        <v>0</v>
      </c>
      <c r="BN798" s="1">
        <v>0</v>
      </c>
      <c r="BO798" s="1">
        <v>0</v>
      </c>
      <c r="BP798" s="1">
        <v>0</v>
      </c>
      <c r="BQ798" s="1">
        <v>0</v>
      </c>
      <c r="BR798" s="1">
        <v>0</v>
      </c>
      <c r="BS798" s="5" t="str">
        <f>HYPERLINK("http://www.d20pfsrd.com/magic/all-spells/i/instant-armor","Instant Armor")</f>
        <v>Instant Armor</v>
      </c>
      <c r="BT798" s="1">
        <v>814</v>
      </c>
      <c r="BU798" s="1" t="s">
        <v>109</v>
      </c>
      <c r="BV798" s="1"/>
      <c r="BW798" s="1"/>
      <c r="BX798" s="1"/>
      <c r="BY798" s="1"/>
      <c r="BZ798" s="1">
        <v>0</v>
      </c>
      <c r="CA798" s="1" t="s">
        <v>109</v>
      </c>
      <c r="CB798" s="1" t="s">
        <v>109</v>
      </c>
      <c r="CC798" s="1">
        <v>2</v>
      </c>
      <c r="CD798" s="1" t="s">
        <v>109</v>
      </c>
      <c r="CE798" s="1" t="s">
        <v>109</v>
      </c>
      <c r="CF798" s="1" t="s">
        <v>109</v>
      </c>
      <c r="CG798" s="1" t="s">
        <v>109</v>
      </c>
      <c r="CH798" s="1" t="s">
        <v>109</v>
      </c>
      <c r="CI798" s="1" t="s">
        <v>109</v>
      </c>
      <c r="CJ798" s="1" t="s">
        <v>109</v>
      </c>
      <c r="CK798" s="1"/>
      <c r="CL798" s="1">
        <v>0</v>
      </c>
      <c r="CM798" s="1">
        <v>0</v>
      </c>
      <c r="CN798" s="1">
        <v>0</v>
      </c>
    </row>
    <row r="799" spans="1:92" ht="14.25" customHeight="1" x14ac:dyDescent="0.15">
      <c r="A799" s="1" t="s">
        <v>6818</v>
      </c>
      <c r="B799" s="1" t="s">
        <v>156</v>
      </c>
      <c r="C799" s="1"/>
      <c r="D799" s="1"/>
      <c r="E799" s="1" t="s">
        <v>6819</v>
      </c>
      <c r="F799" s="1" t="s">
        <v>6545</v>
      </c>
      <c r="G799" s="1" t="s">
        <v>141</v>
      </c>
      <c r="H799" s="1">
        <v>0</v>
      </c>
      <c r="I799" s="1" t="s">
        <v>142</v>
      </c>
      <c r="J799" s="1"/>
      <c r="K799" s="1"/>
      <c r="L799" s="1" t="s">
        <v>6820</v>
      </c>
      <c r="M799" s="1" t="s">
        <v>3042</v>
      </c>
      <c r="N799" s="1">
        <v>0</v>
      </c>
      <c r="O799" s="1">
        <v>0</v>
      </c>
      <c r="P799" s="1" t="s">
        <v>103</v>
      </c>
      <c r="Q799" s="1" t="s">
        <v>104</v>
      </c>
      <c r="R799" s="1" t="s">
        <v>6821</v>
      </c>
      <c r="S799" s="1" t="s">
        <v>6822</v>
      </c>
      <c r="T799" s="1" t="s">
        <v>5815</v>
      </c>
      <c r="U799" s="1" t="s">
        <v>6823</v>
      </c>
      <c r="V799" s="1">
        <v>1</v>
      </c>
      <c r="W799" s="1">
        <v>1</v>
      </c>
      <c r="X799" s="1">
        <v>0</v>
      </c>
      <c r="Y799" s="1">
        <v>0</v>
      </c>
      <c r="Z799" s="1">
        <v>0</v>
      </c>
      <c r="AA799" s="1" t="s">
        <v>109</v>
      </c>
      <c r="AB799" s="1" t="s">
        <v>109</v>
      </c>
      <c r="AC799" s="1" t="s">
        <v>109</v>
      </c>
      <c r="AD799" s="1" t="s">
        <v>109</v>
      </c>
      <c r="AE799" s="1">
        <v>3</v>
      </c>
      <c r="AF799" s="1" t="s">
        <v>109</v>
      </c>
      <c r="AG799" s="1" t="s">
        <v>109</v>
      </c>
      <c r="AH799" s="1" t="s">
        <v>109</v>
      </c>
      <c r="AI799" s="1" t="s">
        <v>109</v>
      </c>
      <c r="AJ799" s="1" t="s">
        <v>109</v>
      </c>
      <c r="AK799" s="1" t="s">
        <v>109</v>
      </c>
      <c r="AL799" s="1" t="s">
        <v>109</v>
      </c>
      <c r="AM799" s="1" t="s">
        <v>109</v>
      </c>
      <c r="AN799" s="1" t="s">
        <v>109</v>
      </c>
      <c r="AO799" s="1" t="s">
        <v>109</v>
      </c>
      <c r="AP799" s="1"/>
      <c r="AQ799" s="1">
        <v>3</v>
      </c>
      <c r="AR799" s="1"/>
      <c r="AS799" s="1" t="s">
        <v>6824</v>
      </c>
      <c r="AT799" s="1">
        <v>0</v>
      </c>
      <c r="AU799" s="1">
        <v>0</v>
      </c>
      <c r="AV799" s="1">
        <v>0</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5" t="str">
        <f>HYPERLINK("http://www.d20pfsrd.com/magic/all-spells/i/instant-enemy","Instant Enemy")</f>
        <v>Instant Enemy</v>
      </c>
      <c r="BT799" s="1">
        <v>815</v>
      </c>
      <c r="BU799" s="1" t="s">
        <v>109</v>
      </c>
      <c r="BV799" s="1"/>
      <c r="BW799" s="1"/>
      <c r="BX799" s="1"/>
      <c r="BY799" s="1"/>
      <c r="BZ799" s="1">
        <v>0</v>
      </c>
      <c r="CA799" s="1" t="s">
        <v>109</v>
      </c>
      <c r="CB799" s="1" t="s">
        <v>109</v>
      </c>
      <c r="CC799" s="1" t="s">
        <v>109</v>
      </c>
      <c r="CD799" s="1" t="s">
        <v>109</v>
      </c>
      <c r="CE799" s="1" t="s">
        <v>109</v>
      </c>
      <c r="CF799" s="1" t="s">
        <v>109</v>
      </c>
      <c r="CG799" s="1" t="s">
        <v>109</v>
      </c>
      <c r="CH799" s="1" t="s">
        <v>109</v>
      </c>
      <c r="CI799" s="1" t="s">
        <v>109</v>
      </c>
      <c r="CJ799" s="1">
        <v>3</v>
      </c>
      <c r="CK799" s="1"/>
      <c r="CL799" s="1">
        <v>0</v>
      </c>
      <c r="CM799" s="1">
        <v>0</v>
      </c>
      <c r="CN799" s="1">
        <v>0</v>
      </c>
    </row>
    <row r="800" spans="1:92" ht="14.25" customHeight="1" x14ac:dyDescent="0.15">
      <c r="A800" s="1" t="s">
        <v>6825</v>
      </c>
      <c r="B800" s="1" t="s">
        <v>674</v>
      </c>
      <c r="C800" s="1"/>
      <c r="D800" s="1" t="s">
        <v>2300</v>
      </c>
      <c r="E800" s="1" t="s">
        <v>1036</v>
      </c>
      <c r="F800" s="1" t="s">
        <v>98</v>
      </c>
      <c r="G800" s="1" t="s">
        <v>333</v>
      </c>
      <c r="H800" s="1">
        <v>0</v>
      </c>
      <c r="I800" s="1" t="s">
        <v>161</v>
      </c>
      <c r="J800" s="1"/>
      <c r="K800" s="1"/>
      <c r="L800" s="1" t="s">
        <v>506</v>
      </c>
      <c r="M800" s="1" t="s">
        <v>6625</v>
      </c>
      <c r="N800" s="1">
        <v>1</v>
      </c>
      <c r="O800" s="1">
        <v>0</v>
      </c>
      <c r="P800" s="1" t="s">
        <v>507</v>
      </c>
      <c r="Q800" s="1" t="s">
        <v>167</v>
      </c>
      <c r="R800" s="1" t="s">
        <v>6826</v>
      </c>
      <c r="S800" s="1" t="s">
        <v>6827</v>
      </c>
      <c r="T800" s="1" t="s">
        <v>5815</v>
      </c>
      <c r="U800" s="1" t="s">
        <v>6828</v>
      </c>
      <c r="V800" s="1">
        <v>1</v>
      </c>
      <c r="W800" s="1">
        <v>0</v>
      </c>
      <c r="X800" s="1">
        <v>0</v>
      </c>
      <c r="Y800" s="1">
        <v>0</v>
      </c>
      <c r="Z800" s="1">
        <v>0</v>
      </c>
      <c r="AA800" s="1" t="s">
        <v>109</v>
      </c>
      <c r="AB800" s="1" t="s">
        <v>109</v>
      </c>
      <c r="AC800" s="1" t="s">
        <v>109</v>
      </c>
      <c r="AD800" s="1" t="s">
        <v>109</v>
      </c>
      <c r="AE800" s="1" t="s">
        <v>109</v>
      </c>
      <c r="AF800" s="1">
        <v>1</v>
      </c>
      <c r="AG800" s="1" t="s">
        <v>109</v>
      </c>
      <c r="AH800" s="1" t="s">
        <v>109</v>
      </c>
      <c r="AI800" s="1" t="s">
        <v>109</v>
      </c>
      <c r="AJ800" s="1" t="s">
        <v>109</v>
      </c>
      <c r="AK800" s="1" t="s">
        <v>109</v>
      </c>
      <c r="AL800" s="1" t="s">
        <v>109</v>
      </c>
      <c r="AM800" s="1" t="s">
        <v>109</v>
      </c>
      <c r="AN800" s="1" t="s">
        <v>109</v>
      </c>
      <c r="AO800" s="1" t="s">
        <v>109</v>
      </c>
      <c r="AP800" s="1"/>
      <c r="AQ800" s="1">
        <v>1</v>
      </c>
      <c r="AR800" s="1"/>
      <c r="AS800" s="1" t="s">
        <v>6829</v>
      </c>
      <c r="AT800" s="1">
        <v>0</v>
      </c>
      <c r="AU800" s="1">
        <v>0</v>
      </c>
      <c r="AV800" s="1">
        <v>0</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5" t="str">
        <f>HYPERLINK("http://www.d20pfsrd.com/magic/all-spells/i/invigorate","Invigorate")</f>
        <v>Invigorate</v>
      </c>
      <c r="BT800" s="1">
        <v>816</v>
      </c>
      <c r="BU800" s="1" t="s">
        <v>109</v>
      </c>
      <c r="BV800" s="1"/>
      <c r="BW800" s="1"/>
      <c r="BX800" s="1"/>
      <c r="BY800" s="1"/>
      <c r="BZ800" s="1">
        <v>0</v>
      </c>
      <c r="CA800" s="1" t="s">
        <v>109</v>
      </c>
      <c r="CB800" s="1" t="s">
        <v>109</v>
      </c>
      <c r="CC800" s="1">
        <v>1</v>
      </c>
      <c r="CD800" s="1" t="s">
        <v>109</v>
      </c>
      <c r="CE800" s="1">
        <v>1</v>
      </c>
      <c r="CF800" s="1" t="s">
        <v>109</v>
      </c>
      <c r="CG800" s="1" t="s">
        <v>109</v>
      </c>
      <c r="CH800" s="1" t="s">
        <v>109</v>
      </c>
      <c r="CI800" s="1" t="s">
        <v>109</v>
      </c>
      <c r="CJ800" s="1" t="s">
        <v>109</v>
      </c>
      <c r="CK800" s="1"/>
      <c r="CL800" s="1">
        <v>0</v>
      </c>
      <c r="CM800" s="1">
        <v>0</v>
      </c>
      <c r="CN800" s="1">
        <v>0</v>
      </c>
    </row>
    <row r="801" spans="1:92" ht="14.25" customHeight="1" x14ac:dyDescent="0.15">
      <c r="A801" s="1" t="s">
        <v>6830</v>
      </c>
      <c r="B801" s="1" t="s">
        <v>674</v>
      </c>
      <c r="C801" s="1"/>
      <c r="D801" s="1" t="s">
        <v>2300</v>
      </c>
      <c r="E801" s="1" t="s">
        <v>6831</v>
      </c>
      <c r="F801" s="1" t="s">
        <v>98</v>
      </c>
      <c r="G801" s="1" t="s">
        <v>333</v>
      </c>
      <c r="H801" s="1">
        <v>0</v>
      </c>
      <c r="I801" s="1" t="s">
        <v>161</v>
      </c>
      <c r="J801" s="1"/>
      <c r="K801" s="1"/>
      <c r="L801" s="1" t="s">
        <v>6832</v>
      </c>
      <c r="M801" s="1" t="s">
        <v>6625</v>
      </c>
      <c r="N801" s="1">
        <v>1</v>
      </c>
      <c r="O801" s="1">
        <v>0</v>
      </c>
      <c r="P801" s="1" t="s">
        <v>507</v>
      </c>
      <c r="Q801" s="1" t="s">
        <v>167</v>
      </c>
      <c r="R801" s="1" t="s">
        <v>6833</v>
      </c>
      <c r="S801" s="1" t="s">
        <v>6834</v>
      </c>
      <c r="T801" s="1" t="s">
        <v>5815</v>
      </c>
      <c r="U801" s="1" t="s">
        <v>6835</v>
      </c>
      <c r="V801" s="1">
        <v>1</v>
      </c>
      <c r="W801" s="1">
        <v>0</v>
      </c>
      <c r="X801" s="1">
        <v>0</v>
      </c>
      <c r="Y801" s="1">
        <v>0</v>
      </c>
      <c r="Z801" s="1">
        <v>0</v>
      </c>
      <c r="AA801" s="1" t="s">
        <v>109</v>
      </c>
      <c r="AB801" s="1" t="s">
        <v>109</v>
      </c>
      <c r="AC801" s="1" t="s">
        <v>109</v>
      </c>
      <c r="AD801" s="1" t="s">
        <v>109</v>
      </c>
      <c r="AE801" s="1" t="s">
        <v>109</v>
      </c>
      <c r="AF801" s="1">
        <v>3</v>
      </c>
      <c r="AG801" s="1" t="s">
        <v>109</v>
      </c>
      <c r="AH801" s="1" t="s">
        <v>109</v>
      </c>
      <c r="AI801" s="1" t="s">
        <v>109</v>
      </c>
      <c r="AJ801" s="1" t="s">
        <v>109</v>
      </c>
      <c r="AK801" s="1" t="s">
        <v>109</v>
      </c>
      <c r="AL801" s="1" t="s">
        <v>109</v>
      </c>
      <c r="AM801" s="1" t="s">
        <v>109</v>
      </c>
      <c r="AN801" s="1" t="s">
        <v>109</v>
      </c>
      <c r="AO801" s="1" t="s">
        <v>109</v>
      </c>
      <c r="AP801" s="1"/>
      <c r="AQ801" s="1">
        <v>3</v>
      </c>
      <c r="AR801" s="1"/>
      <c r="AS801" s="1" t="s">
        <v>6836</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5" t="str">
        <f>HYPERLINK("http://www.d20pfsrd.com/magic/all-spells/i/invigorate,-mass","Invigorate, Mass")</f>
        <v>Invigorate, Mass</v>
      </c>
      <c r="BT801" s="1">
        <v>817</v>
      </c>
      <c r="BU801" s="1" t="s">
        <v>109</v>
      </c>
      <c r="BV801" s="1"/>
      <c r="BW801" s="1"/>
      <c r="BX801" s="1"/>
      <c r="BY801" s="1"/>
      <c r="BZ801" s="1">
        <v>0</v>
      </c>
      <c r="CA801" s="1" t="s">
        <v>109</v>
      </c>
      <c r="CB801" s="1" t="s">
        <v>109</v>
      </c>
      <c r="CC801" s="1">
        <v>4</v>
      </c>
      <c r="CD801" s="1" t="s">
        <v>109</v>
      </c>
      <c r="CE801" s="1">
        <v>3</v>
      </c>
      <c r="CF801" s="1" t="s">
        <v>109</v>
      </c>
      <c r="CG801" s="1" t="s">
        <v>109</v>
      </c>
      <c r="CH801" s="1" t="s">
        <v>109</v>
      </c>
      <c r="CI801" s="1" t="s">
        <v>109</v>
      </c>
      <c r="CJ801" s="1" t="s">
        <v>109</v>
      </c>
      <c r="CK801" s="1"/>
      <c r="CL801" s="1">
        <v>0</v>
      </c>
      <c r="CM801" s="1">
        <v>0</v>
      </c>
      <c r="CN801" s="1">
        <v>0</v>
      </c>
    </row>
    <row r="802" spans="1:92" ht="14.25" customHeight="1" x14ac:dyDescent="0.15">
      <c r="A802" s="1" t="s">
        <v>6837</v>
      </c>
      <c r="B802" s="1" t="s">
        <v>95</v>
      </c>
      <c r="C802" s="1" t="s">
        <v>1522</v>
      </c>
      <c r="D802" s="1"/>
      <c r="E802" s="1" t="s">
        <v>2344</v>
      </c>
      <c r="F802" s="1" t="s">
        <v>98</v>
      </c>
      <c r="G802" s="1" t="s">
        <v>141</v>
      </c>
      <c r="H802" s="1">
        <v>0</v>
      </c>
      <c r="I802" s="1" t="s">
        <v>161</v>
      </c>
      <c r="J802" s="1"/>
      <c r="K802" s="1"/>
      <c r="L802" s="1" t="s">
        <v>563</v>
      </c>
      <c r="M802" s="1" t="s">
        <v>6838</v>
      </c>
      <c r="N802" s="1">
        <v>0</v>
      </c>
      <c r="O802" s="1">
        <v>0</v>
      </c>
      <c r="P802" s="1" t="s">
        <v>301</v>
      </c>
      <c r="Q802" s="1" t="s">
        <v>268</v>
      </c>
      <c r="R802" s="1" t="s">
        <v>6839</v>
      </c>
      <c r="S802" s="1" t="s">
        <v>6840</v>
      </c>
      <c r="T802" s="1" t="s">
        <v>5815</v>
      </c>
      <c r="U802" s="1" t="s">
        <v>6841</v>
      </c>
      <c r="V802" s="1">
        <v>1</v>
      </c>
      <c r="W802" s="1">
        <v>1</v>
      </c>
      <c r="X802" s="1">
        <v>0</v>
      </c>
      <c r="Y802" s="1">
        <v>0</v>
      </c>
      <c r="Z802" s="1">
        <v>0</v>
      </c>
      <c r="AA802" s="1" t="s">
        <v>109</v>
      </c>
      <c r="AB802" s="1" t="s">
        <v>109</v>
      </c>
      <c r="AC802" s="1" t="s">
        <v>109</v>
      </c>
      <c r="AD802" s="1" t="s">
        <v>109</v>
      </c>
      <c r="AE802" s="1" t="s">
        <v>109</v>
      </c>
      <c r="AF802" s="1">
        <v>3</v>
      </c>
      <c r="AG802" s="1" t="s">
        <v>109</v>
      </c>
      <c r="AH802" s="1" t="s">
        <v>109</v>
      </c>
      <c r="AI802" s="1" t="s">
        <v>109</v>
      </c>
      <c r="AJ802" s="1" t="s">
        <v>109</v>
      </c>
      <c r="AK802" s="1" t="s">
        <v>109</v>
      </c>
      <c r="AL802" s="1" t="s">
        <v>109</v>
      </c>
      <c r="AM802" s="1" t="s">
        <v>109</v>
      </c>
      <c r="AN802" s="1" t="s">
        <v>109</v>
      </c>
      <c r="AO802" s="1" t="s">
        <v>109</v>
      </c>
      <c r="AP802" s="1"/>
      <c r="AQ802" s="1">
        <v>3</v>
      </c>
      <c r="AR802" s="1"/>
      <c r="AS802" s="1" t="s">
        <v>6842</v>
      </c>
      <c r="AT802" s="1">
        <v>0</v>
      </c>
      <c r="AU802" s="1">
        <v>0</v>
      </c>
      <c r="AV802" s="1">
        <v>0</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5" t="str">
        <f>HYPERLINK("http://www.d20pfsrd.com/magic/all-spells/j/jester-s-jaunt","Jester's Jaunt")</f>
        <v>Jester's Jaunt</v>
      </c>
      <c r="BT802" s="1">
        <v>818</v>
      </c>
      <c r="BU802" s="1" t="s">
        <v>109</v>
      </c>
      <c r="BV802" s="1"/>
      <c r="BW802" s="1"/>
      <c r="BX802" s="1"/>
      <c r="BY802" s="1"/>
      <c r="BZ802" s="1">
        <v>0</v>
      </c>
      <c r="CA802" s="1" t="s">
        <v>109</v>
      </c>
      <c r="CB802" s="1" t="s">
        <v>109</v>
      </c>
      <c r="CC802" s="1" t="s">
        <v>109</v>
      </c>
      <c r="CD802" s="1" t="s">
        <v>109</v>
      </c>
      <c r="CE802" s="1">
        <v>3</v>
      </c>
      <c r="CF802" s="1" t="s">
        <v>109</v>
      </c>
      <c r="CG802" s="1" t="s">
        <v>109</v>
      </c>
      <c r="CH802" s="1" t="s">
        <v>109</v>
      </c>
      <c r="CI802" s="1" t="s">
        <v>109</v>
      </c>
      <c r="CJ802" s="1" t="s">
        <v>109</v>
      </c>
      <c r="CK802" s="1"/>
      <c r="CL802" s="1">
        <v>0</v>
      </c>
      <c r="CM802" s="1">
        <v>0</v>
      </c>
      <c r="CN802" s="1">
        <v>0</v>
      </c>
    </row>
    <row r="803" spans="1:92" ht="14.25" customHeight="1" x14ac:dyDescent="0.15">
      <c r="A803" s="1" t="s">
        <v>6843</v>
      </c>
      <c r="B803" s="1" t="s">
        <v>189</v>
      </c>
      <c r="C803" s="1"/>
      <c r="D803" s="1"/>
      <c r="E803" s="1" t="s">
        <v>6844</v>
      </c>
      <c r="F803" s="1" t="s">
        <v>98</v>
      </c>
      <c r="G803" s="1" t="s">
        <v>6845</v>
      </c>
      <c r="H803" s="1">
        <v>0</v>
      </c>
      <c r="I803" s="1" t="s">
        <v>161</v>
      </c>
      <c r="J803" s="1"/>
      <c r="K803" s="1"/>
      <c r="L803" s="1" t="s">
        <v>506</v>
      </c>
      <c r="M803" s="1" t="s">
        <v>6144</v>
      </c>
      <c r="N803" s="1">
        <v>1</v>
      </c>
      <c r="O803" s="1">
        <v>0</v>
      </c>
      <c r="P803" s="1" t="s">
        <v>507</v>
      </c>
      <c r="Q803" s="1" t="s">
        <v>167</v>
      </c>
      <c r="R803" s="1" t="s">
        <v>6846</v>
      </c>
      <c r="S803" s="1" t="s">
        <v>6847</v>
      </c>
      <c r="T803" s="1" t="s">
        <v>5815</v>
      </c>
      <c r="U803" s="1" t="s">
        <v>6848</v>
      </c>
      <c r="V803" s="1">
        <v>1</v>
      </c>
      <c r="W803" s="1">
        <v>0</v>
      </c>
      <c r="X803" s="1">
        <v>1</v>
      </c>
      <c r="Y803" s="1">
        <v>0</v>
      </c>
      <c r="Z803" s="1">
        <v>1</v>
      </c>
      <c r="AA803" s="1" t="s">
        <v>109</v>
      </c>
      <c r="AB803" s="1" t="s">
        <v>109</v>
      </c>
      <c r="AC803" s="1" t="s">
        <v>109</v>
      </c>
      <c r="AD803" s="1">
        <v>1</v>
      </c>
      <c r="AE803" s="1">
        <v>1</v>
      </c>
      <c r="AF803" s="1" t="s">
        <v>109</v>
      </c>
      <c r="AG803" s="1" t="s">
        <v>109</v>
      </c>
      <c r="AH803" s="1">
        <v>1</v>
      </c>
      <c r="AI803" s="1" t="s">
        <v>109</v>
      </c>
      <c r="AJ803" s="1" t="s">
        <v>109</v>
      </c>
      <c r="AK803" s="1" t="s">
        <v>109</v>
      </c>
      <c r="AL803" s="1" t="s">
        <v>109</v>
      </c>
      <c r="AM803" s="1" t="s">
        <v>109</v>
      </c>
      <c r="AN803" s="1" t="s">
        <v>109</v>
      </c>
      <c r="AO803" s="1" t="s">
        <v>109</v>
      </c>
      <c r="AP803" s="1"/>
      <c r="AQ803" s="1">
        <v>1</v>
      </c>
      <c r="AR803" s="1"/>
      <c r="AS803" s="1" t="s">
        <v>6849</v>
      </c>
      <c r="AT803" s="1">
        <v>0</v>
      </c>
      <c r="AU803" s="1">
        <v>0</v>
      </c>
      <c r="AV803" s="1">
        <v>0</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5" t="str">
        <f>HYPERLINK("http://www.d20pfsrd.com/magic/all-spells/k/keen-senses","Keen Senses")</f>
        <v>Keen Senses</v>
      </c>
      <c r="BT803" s="1">
        <v>819</v>
      </c>
      <c r="BU803" s="1" t="s">
        <v>109</v>
      </c>
      <c r="BV803" s="1"/>
      <c r="BW803" s="1"/>
      <c r="BX803" s="1"/>
      <c r="BY803" s="1"/>
      <c r="BZ803" s="1">
        <v>0</v>
      </c>
      <c r="CA803" s="1" t="s">
        <v>109</v>
      </c>
      <c r="CB803" s="1" t="s">
        <v>109</v>
      </c>
      <c r="CC803" s="1" t="s">
        <v>109</v>
      </c>
      <c r="CD803" s="1" t="s">
        <v>109</v>
      </c>
      <c r="CE803" s="1" t="s">
        <v>109</v>
      </c>
      <c r="CF803" s="1">
        <v>1</v>
      </c>
      <c r="CG803" s="1" t="s">
        <v>109</v>
      </c>
      <c r="CH803" s="1" t="s">
        <v>109</v>
      </c>
      <c r="CI803" s="1" t="s">
        <v>109</v>
      </c>
      <c r="CJ803" s="1">
        <v>1</v>
      </c>
      <c r="CK803" s="1"/>
      <c r="CL803" s="1">
        <v>0</v>
      </c>
      <c r="CM803" s="1">
        <v>0</v>
      </c>
      <c r="CN803" s="1">
        <v>0</v>
      </c>
    </row>
    <row r="804" spans="1:92" ht="14.25" customHeight="1" x14ac:dyDescent="0.15">
      <c r="A804" s="1" t="s">
        <v>6850</v>
      </c>
      <c r="B804" s="1" t="s">
        <v>95</v>
      </c>
      <c r="C804" s="1" t="s">
        <v>1522</v>
      </c>
      <c r="D804" s="1"/>
      <c r="E804" s="1" t="s">
        <v>2652</v>
      </c>
      <c r="F804" s="1" t="s">
        <v>98</v>
      </c>
      <c r="G804" s="1" t="s">
        <v>160</v>
      </c>
      <c r="H804" s="1">
        <v>0</v>
      </c>
      <c r="I804" s="1" t="s">
        <v>142</v>
      </c>
      <c r="J804" s="1"/>
      <c r="K804" s="1"/>
      <c r="L804" s="1" t="s">
        <v>1391</v>
      </c>
      <c r="M804" s="1" t="s">
        <v>144</v>
      </c>
      <c r="N804" s="1">
        <v>0</v>
      </c>
      <c r="O804" s="1">
        <v>0</v>
      </c>
      <c r="P804" s="1" t="s">
        <v>507</v>
      </c>
      <c r="Q804" s="1" t="s">
        <v>167</v>
      </c>
      <c r="R804" s="1" t="s">
        <v>6851</v>
      </c>
      <c r="S804" s="1" t="s">
        <v>6852</v>
      </c>
      <c r="T804" s="1" t="s">
        <v>5815</v>
      </c>
      <c r="U804" s="1" t="s">
        <v>6853</v>
      </c>
      <c r="V804" s="1">
        <v>1</v>
      </c>
      <c r="W804" s="1">
        <v>1</v>
      </c>
      <c r="X804" s="1">
        <v>0</v>
      </c>
      <c r="Y804" s="1">
        <v>0</v>
      </c>
      <c r="Z804" s="1">
        <v>1</v>
      </c>
      <c r="AA804" s="1" t="s">
        <v>109</v>
      </c>
      <c r="AB804" s="1" t="s">
        <v>109</v>
      </c>
      <c r="AC804" s="1" t="s">
        <v>109</v>
      </c>
      <c r="AD804" s="1" t="s">
        <v>109</v>
      </c>
      <c r="AE804" s="1" t="s">
        <v>109</v>
      </c>
      <c r="AF804" s="1" t="s">
        <v>109</v>
      </c>
      <c r="AG804" s="1">
        <v>4</v>
      </c>
      <c r="AH804" s="1" t="s">
        <v>109</v>
      </c>
      <c r="AI804" s="1" t="s">
        <v>109</v>
      </c>
      <c r="AJ804" s="1" t="s">
        <v>109</v>
      </c>
      <c r="AK804" s="1" t="s">
        <v>109</v>
      </c>
      <c r="AL804" s="1" t="s">
        <v>109</v>
      </c>
      <c r="AM804" s="1" t="s">
        <v>109</v>
      </c>
      <c r="AN804" s="1" t="s">
        <v>109</v>
      </c>
      <c r="AO804" s="1" t="s">
        <v>109</v>
      </c>
      <c r="AP804" s="1"/>
      <c r="AQ804" s="1">
        <v>4</v>
      </c>
      <c r="AR804" s="1"/>
      <c r="AS804" s="1" t="s">
        <v>6854</v>
      </c>
      <c r="AT804" s="1">
        <v>0</v>
      </c>
      <c r="AU804" s="1">
        <v>0</v>
      </c>
      <c r="AV804" s="1">
        <v>0</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5" t="str">
        <f>HYPERLINK("http://www.d20pfsrd.com/magic/all-spells/k/king-s-castle","King's Castle")</f>
        <v>King's Castle</v>
      </c>
      <c r="BT804" s="1">
        <v>820</v>
      </c>
      <c r="BU804" s="1" t="s">
        <v>109</v>
      </c>
      <c r="BV804" s="1"/>
      <c r="BW804" s="1"/>
      <c r="BX804" s="1"/>
      <c r="BY804" s="1"/>
      <c r="BZ804" s="1">
        <v>0</v>
      </c>
      <c r="CA804" s="1" t="s">
        <v>109</v>
      </c>
      <c r="CB804" s="1" t="s">
        <v>109</v>
      </c>
      <c r="CC804" s="1" t="s">
        <v>109</v>
      </c>
      <c r="CD804" s="1" t="s">
        <v>109</v>
      </c>
      <c r="CE804" s="1" t="s">
        <v>109</v>
      </c>
      <c r="CF804" s="1" t="s">
        <v>109</v>
      </c>
      <c r="CG804" s="1" t="s">
        <v>109</v>
      </c>
      <c r="CH804" s="1" t="s">
        <v>109</v>
      </c>
      <c r="CI804" s="1" t="s">
        <v>109</v>
      </c>
      <c r="CJ804" s="1" t="s">
        <v>109</v>
      </c>
      <c r="CK804" s="1"/>
      <c r="CL804" s="1">
        <v>0</v>
      </c>
      <c r="CM804" s="1">
        <v>0</v>
      </c>
      <c r="CN804" s="1">
        <v>0</v>
      </c>
    </row>
    <row r="805" spans="1:92" ht="14.25" customHeight="1" x14ac:dyDescent="0.15">
      <c r="A805" s="1" t="s">
        <v>6855</v>
      </c>
      <c r="B805" s="1" t="s">
        <v>156</v>
      </c>
      <c r="C805" s="1" t="s">
        <v>157</v>
      </c>
      <c r="D805" s="1" t="s">
        <v>158</v>
      </c>
      <c r="E805" s="1" t="s">
        <v>638</v>
      </c>
      <c r="F805" s="1" t="s">
        <v>98</v>
      </c>
      <c r="G805" s="1" t="s">
        <v>6142</v>
      </c>
      <c r="H805" s="1">
        <v>0</v>
      </c>
      <c r="I805" s="1" t="s">
        <v>142</v>
      </c>
      <c r="J805" s="1"/>
      <c r="K805" s="1"/>
      <c r="L805" s="1" t="s">
        <v>1391</v>
      </c>
      <c r="M805" s="1" t="s">
        <v>355</v>
      </c>
      <c r="N805" s="1">
        <v>0</v>
      </c>
      <c r="O805" s="1">
        <v>0</v>
      </c>
      <c r="P805" s="1" t="s">
        <v>301</v>
      </c>
      <c r="Q805" s="1" t="s">
        <v>268</v>
      </c>
      <c r="R805" s="1" t="s">
        <v>6856</v>
      </c>
      <c r="S805" s="1" t="s">
        <v>6857</v>
      </c>
      <c r="T805" s="1" t="s">
        <v>5815</v>
      </c>
      <c r="U805" s="1" t="s">
        <v>6858</v>
      </c>
      <c r="V805" s="1">
        <v>1</v>
      </c>
      <c r="W805" s="1">
        <v>0</v>
      </c>
      <c r="X805" s="1">
        <v>0</v>
      </c>
      <c r="Y805" s="1">
        <v>0</v>
      </c>
      <c r="Z805" s="1">
        <v>1</v>
      </c>
      <c r="AA805" s="1" t="s">
        <v>109</v>
      </c>
      <c r="AB805" s="1" t="s">
        <v>109</v>
      </c>
      <c r="AC805" s="1" t="s">
        <v>109</v>
      </c>
      <c r="AD805" s="1" t="s">
        <v>109</v>
      </c>
      <c r="AE805" s="1" t="s">
        <v>109</v>
      </c>
      <c r="AF805" s="1" t="s">
        <v>109</v>
      </c>
      <c r="AG805" s="1">
        <v>1</v>
      </c>
      <c r="AH805" s="1" t="s">
        <v>109</v>
      </c>
      <c r="AI805" s="1" t="s">
        <v>109</v>
      </c>
      <c r="AJ805" s="1" t="s">
        <v>109</v>
      </c>
      <c r="AK805" s="1" t="s">
        <v>109</v>
      </c>
      <c r="AL805" s="1" t="s">
        <v>109</v>
      </c>
      <c r="AM805" s="1" t="s">
        <v>109</v>
      </c>
      <c r="AN805" s="1" t="s">
        <v>109</v>
      </c>
      <c r="AO805" s="1" t="s">
        <v>109</v>
      </c>
      <c r="AP805" s="1"/>
      <c r="AQ805" s="1">
        <v>1</v>
      </c>
      <c r="AR805" s="1"/>
      <c r="AS805" s="1" t="s">
        <v>6859</v>
      </c>
      <c r="AT805" s="1">
        <v>0</v>
      </c>
      <c r="AU805" s="1">
        <v>0</v>
      </c>
      <c r="AV805" s="1">
        <v>0</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1</v>
      </c>
      <c r="BN805" s="1">
        <v>0</v>
      </c>
      <c r="BO805" s="1">
        <v>0</v>
      </c>
      <c r="BP805" s="1">
        <v>0</v>
      </c>
      <c r="BQ805" s="1">
        <v>0</v>
      </c>
      <c r="BR805" s="1">
        <v>0</v>
      </c>
      <c r="BS805" s="5" t="str">
        <f>HYPERLINK("http://www.d20pfsrd.com/magic/all-spells/k/knight-s-calling","Knight's Calling")</f>
        <v>Knight's Calling</v>
      </c>
      <c r="BT805" s="1">
        <v>821</v>
      </c>
      <c r="BU805" s="1" t="s">
        <v>109</v>
      </c>
      <c r="BV805" s="1"/>
      <c r="BW805" s="1"/>
      <c r="BX805" s="1"/>
      <c r="BY805" s="1"/>
      <c r="BZ805" s="1">
        <v>0</v>
      </c>
      <c r="CA805" s="1" t="s">
        <v>109</v>
      </c>
      <c r="CB805" s="1" t="s">
        <v>109</v>
      </c>
      <c r="CC805" s="1" t="s">
        <v>109</v>
      </c>
      <c r="CD805" s="1" t="s">
        <v>109</v>
      </c>
      <c r="CE805" s="1" t="s">
        <v>109</v>
      </c>
      <c r="CF805" s="1" t="s">
        <v>109</v>
      </c>
      <c r="CG805" s="1" t="s">
        <v>109</v>
      </c>
      <c r="CH805" s="1" t="s">
        <v>109</v>
      </c>
      <c r="CI805" s="1" t="s">
        <v>109</v>
      </c>
      <c r="CJ805" s="1" t="s">
        <v>109</v>
      </c>
      <c r="CK805" s="1"/>
      <c r="CL805" s="1">
        <v>0</v>
      </c>
      <c r="CM805" s="1">
        <v>0</v>
      </c>
      <c r="CN805" s="1">
        <v>0</v>
      </c>
    </row>
    <row r="806" spans="1:92" ht="14.25" customHeight="1" x14ac:dyDescent="0.15">
      <c r="A806" s="1" t="s">
        <v>6860</v>
      </c>
      <c r="B806" s="1" t="s">
        <v>189</v>
      </c>
      <c r="C806" s="1"/>
      <c r="D806" s="1"/>
      <c r="E806" s="1" t="s">
        <v>6861</v>
      </c>
      <c r="F806" s="1" t="s">
        <v>98</v>
      </c>
      <c r="G806" s="1" t="s">
        <v>141</v>
      </c>
      <c r="H806" s="1">
        <v>0</v>
      </c>
      <c r="I806" s="1" t="s">
        <v>235</v>
      </c>
      <c r="J806" s="1"/>
      <c r="K806" s="1"/>
      <c r="L806" s="1" t="s">
        <v>161</v>
      </c>
      <c r="M806" s="1" t="s">
        <v>6144</v>
      </c>
      <c r="N806" s="1">
        <v>1</v>
      </c>
      <c r="O806" s="1">
        <v>0</v>
      </c>
      <c r="P806" s="1"/>
      <c r="Q806" s="1"/>
      <c r="R806" s="1" t="s">
        <v>6862</v>
      </c>
      <c r="S806" s="1" t="s">
        <v>6863</v>
      </c>
      <c r="T806" s="1" t="s">
        <v>5815</v>
      </c>
      <c r="U806" s="1" t="s">
        <v>6864</v>
      </c>
      <c r="V806" s="1">
        <v>1</v>
      </c>
      <c r="W806" s="1">
        <v>1</v>
      </c>
      <c r="X806" s="1">
        <v>0</v>
      </c>
      <c r="Y806" s="1">
        <v>0</v>
      </c>
      <c r="Z806" s="1">
        <v>0</v>
      </c>
      <c r="AA806" s="1" t="s">
        <v>109</v>
      </c>
      <c r="AB806" s="1" t="s">
        <v>109</v>
      </c>
      <c r="AC806" s="1" t="s">
        <v>109</v>
      </c>
      <c r="AD806" s="1" t="s">
        <v>109</v>
      </c>
      <c r="AE806" s="1">
        <v>1</v>
      </c>
      <c r="AF806" s="1" t="s">
        <v>109</v>
      </c>
      <c r="AG806" s="1" t="s">
        <v>109</v>
      </c>
      <c r="AH806" s="1" t="s">
        <v>109</v>
      </c>
      <c r="AI806" s="1" t="s">
        <v>109</v>
      </c>
      <c r="AJ806" s="1" t="s">
        <v>109</v>
      </c>
      <c r="AK806" s="1" t="s">
        <v>109</v>
      </c>
      <c r="AL806" s="1" t="s">
        <v>109</v>
      </c>
      <c r="AM806" s="1" t="s">
        <v>109</v>
      </c>
      <c r="AN806" s="1" t="s">
        <v>109</v>
      </c>
      <c r="AO806" s="1" t="s">
        <v>109</v>
      </c>
      <c r="AP806" s="1"/>
      <c r="AQ806" s="1">
        <v>1</v>
      </c>
      <c r="AR806" s="1"/>
      <c r="AS806" s="1" t="s">
        <v>6865</v>
      </c>
      <c r="AT806" s="1">
        <v>0</v>
      </c>
      <c r="AU806" s="1">
        <v>0</v>
      </c>
      <c r="AV806" s="1">
        <v>0</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5" t="str">
        <f>HYPERLINK("http://www.d20pfsrd.com/magic/all-spells/l/lead-blades","Lead Blades")</f>
        <v>Lead Blades</v>
      </c>
      <c r="BT806" s="1">
        <v>822</v>
      </c>
      <c r="BU806" s="1" t="s">
        <v>109</v>
      </c>
      <c r="BV806" s="1"/>
      <c r="BW806" s="1"/>
      <c r="BX806" s="1"/>
      <c r="BY806" s="1"/>
      <c r="BZ806" s="1">
        <v>0</v>
      </c>
      <c r="CA806" s="1" t="s">
        <v>109</v>
      </c>
      <c r="CB806" s="1" t="s">
        <v>109</v>
      </c>
      <c r="CC806" s="1" t="s">
        <v>109</v>
      </c>
      <c r="CD806" s="1" t="s">
        <v>109</v>
      </c>
      <c r="CE806" s="1" t="s">
        <v>109</v>
      </c>
      <c r="CF806" s="1">
        <v>1</v>
      </c>
      <c r="CG806" s="1" t="s">
        <v>109</v>
      </c>
      <c r="CH806" s="1" t="s">
        <v>109</v>
      </c>
      <c r="CI806" s="1" t="s">
        <v>109</v>
      </c>
      <c r="CJ806" s="1">
        <v>1</v>
      </c>
      <c r="CK806" s="1"/>
      <c r="CL806" s="1">
        <v>0</v>
      </c>
      <c r="CM806" s="1">
        <v>0</v>
      </c>
      <c r="CN806" s="1">
        <v>0</v>
      </c>
    </row>
    <row r="807" spans="1:92" ht="14.25" customHeight="1" x14ac:dyDescent="0.15">
      <c r="A807" s="1" t="s">
        <v>6866</v>
      </c>
      <c r="B807" s="1" t="s">
        <v>242</v>
      </c>
      <c r="C807" s="1"/>
      <c r="D807" s="1"/>
      <c r="E807" s="1" t="s">
        <v>6867</v>
      </c>
      <c r="F807" s="1" t="s">
        <v>98</v>
      </c>
      <c r="G807" s="1" t="s">
        <v>6868</v>
      </c>
      <c r="H807" s="1">
        <v>0</v>
      </c>
      <c r="I807" s="1" t="s">
        <v>161</v>
      </c>
      <c r="J807" s="1"/>
      <c r="K807" s="1"/>
      <c r="L807" s="1" t="s">
        <v>6832</v>
      </c>
      <c r="M807" s="1" t="s">
        <v>5352</v>
      </c>
      <c r="N807" s="1">
        <v>0</v>
      </c>
      <c r="O807" s="1">
        <v>0</v>
      </c>
      <c r="P807" s="1" t="s">
        <v>507</v>
      </c>
      <c r="Q807" s="1" t="s">
        <v>167</v>
      </c>
      <c r="R807" s="1" t="s">
        <v>6869</v>
      </c>
      <c r="S807" s="1" t="s">
        <v>6870</v>
      </c>
      <c r="T807" s="1" t="s">
        <v>5815</v>
      </c>
      <c r="U807" s="1" t="s">
        <v>6871</v>
      </c>
      <c r="V807" s="1">
        <v>1</v>
      </c>
      <c r="W807" s="1">
        <v>1</v>
      </c>
      <c r="X807" s="1">
        <v>1</v>
      </c>
      <c r="Y807" s="1">
        <v>0</v>
      </c>
      <c r="Z807" s="1">
        <v>1</v>
      </c>
      <c r="AA807" s="1">
        <v>5</v>
      </c>
      <c r="AB807" s="1">
        <v>5</v>
      </c>
      <c r="AC807" s="1">
        <v>5</v>
      </c>
      <c r="AD807" s="1">
        <v>4</v>
      </c>
      <c r="AE807" s="1">
        <v>3</v>
      </c>
      <c r="AF807" s="1" t="s">
        <v>109</v>
      </c>
      <c r="AG807" s="1" t="s">
        <v>109</v>
      </c>
      <c r="AH807" s="1" t="s">
        <v>109</v>
      </c>
      <c r="AI807" s="1" t="s">
        <v>109</v>
      </c>
      <c r="AJ807" s="1" t="s">
        <v>109</v>
      </c>
      <c r="AK807" s="1" t="s">
        <v>109</v>
      </c>
      <c r="AL807" s="1">
        <v>5</v>
      </c>
      <c r="AM807" s="1" t="s">
        <v>109</v>
      </c>
      <c r="AN807" s="1" t="s">
        <v>109</v>
      </c>
      <c r="AO807" s="1" t="s">
        <v>109</v>
      </c>
      <c r="AP807" s="1"/>
      <c r="AQ807" s="1">
        <v>5</v>
      </c>
      <c r="AR807" s="1"/>
      <c r="AS807" s="1" t="s">
        <v>6872</v>
      </c>
      <c r="AT807" s="1">
        <v>0</v>
      </c>
      <c r="AU807" s="1">
        <v>0</v>
      </c>
      <c r="AV807" s="1">
        <v>0</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5" t="str">
        <f>HYPERLINK("http://www.d20pfsrd.com/magic/all-spells/l/life-bubble","Life Bubble")</f>
        <v>Life Bubble</v>
      </c>
      <c r="BT807" s="1">
        <v>823</v>
      </c>
      <c r="BU807" s="1" t="s">
        <v>109</v>
      </c>
      <c r="BV807" s="1"/>
      <c r="BW807" s="1"/>
      <c r="BX807" s="1"/>
      <c r="BY807" s="1"/>
      <c r="BZ807" s="1">
        <v>0</v>
      </c>
      <c r="CA807" s="1" t="s">
        <v>109</v>
      </c>
      <c r="CB807" s="1" t="s">
        <v>109</v>
      </c>
      <c r="CC807" s="1">
        <v>5</v>
      </c>
      <c r="CD807" s="1" t="s">
        <v>109</v>
      </c>
      <c r="CE807" s="1" t="s">
        <v>109</v>
      </c>
      <c r="CF807" s="1">
        <v>4</v>
      </c>
      <c r="CG807" s="1" t="s">
        <v>109</v>
      </c>
      <c r="CH807" s="1" t="s">
        <v>109</v>
      </c>
      <c r="CI807" s="1" t="s">
        <v>109</v>
      </c>
      <c r="CJ807" s="1">
        <v>3</v>
      </c>
      <c r="CK807" s="1"/>
      <c r="CL807" s="1">
        <v>0</v>
      </c>
      <c r="CM807" s="1">
        <v>0</v>
      </c>
      <c r="CN807" s="1">
        <v>0</v>
      </c>
    </row>
    <row r="808" spans="1:92" ht="14.25" customHeight="1" x14ac:dyDescent="0.15">
      <c r="A808" s="1" t="s">
        <v>6873</v>
      </c>
      <c r="B808" s="1" t="s">
        <v>584</v>
      </c>
      <c r="C808" s="1"/>
      <c r="D808" s="1" t="s">
        <v>6874</v>
      </c>
      <c r="E808" s="1" t="s">
        <v>5912</v>
      </c>
      <c r="F808" s="1" t="s">
        <v>98</v>
      </c>
      <c r="G808" s="1" t="s">
        <v>141</v>
      </c>
      <c r="H808" s="1">
        <v>0</v>
      </c>
      <c r="I808" s="1" t="s">
        <v>235</v>
      </c>
      <c r="J808" s="1"/>
      <c r="K808" s="1" t="s">
        <v>6875</v>
      </c>
      <c r="L808" s="1"/>
      <c r="M808" s="1" t="s">
        <v>6876</v>
      </c>
      <c r="N808" s="1">
        <v>1</v>
      </c>
      <c r="O808" s="1">
        <v>0</v>
      </c>
      <c r="P808" s="1"/>
      <c r="Q808" s="1"/>
      <c r="R808" s="1" t="s">
        <v>6877</v>
      </c>
      <c r="S808" s="1" t="s">
        <v>6878</v>
      </c>
      <c r="T808" s="1" t="s">
        <v>5815</v>
      </c>
      <c r="U808" s="1" t="s">
        <v>6879</v>
      </c>
      <c r="V808" s="1">
        <v>1</v>
      </c>
      <c r="W808" s="1">
        <v>1</v>
      </c>
      <c r="X808" s="1">
        <v>0</v>
      </c>
      <c r="Y808" s="1">
        <v>0</v>
      </c>
      <c r="Z808" s="1">
        <v>0</v>
      </c>
      <c r="AA808" s="1" t="s">
        <v>109</v>
      </c>
      <c r="AB808" s="1" t="s">
        <v>109</v>
      </c>
      <c r="AC808" s="1" t="s">
        <v>109</v>
      </c>
      <c r="AD808" s="1" t="s">
        <v>109</v>
      </c>
      <c r="AE808" s="1" t="s">
        <v>109</v>
      </c>
      <c r="AF808" s="1" t="s">
        <v>109</v>
      </c>
      <c r="AG808" s="1">
        <v>2</v>
      </c>
      <c r="AH808" s="1" t="s">
        <v>109</v>
      </c>
      <c r="AI808" s="1" t="s">
        <v>109</v>
      </c>
      <c r="AJ808" s="1" t="s">
        <v>109</v>
      </c>
      <c r="AK808" s="1" t="s">
        <v>109</v>
      </c>
      <c r="AL808" s="1" t="s">
        <v>109</v>
      </c>
      <c r="AM808" s="1" t="s">
        <v>109</v>
      </c>
      <c r="AN808" s="1" t="s">
        <v>109</v>
      </c>
      <c r="AO808" s="1" t="s">
        <v>109</v>
      </c>
      <c r="AP808" s="1"/>
      <c r="AQ808" s="1">
        <v>2</v>
      </c>
      <c r="AR808" s="1"/>
      <c r="AS808" s="1" t="s">
        <v>6880</v>
      </c>
      <c r="AT808" s="1">
        <v>0</v>
      </c>
      <c r="AU808" s="1">
        <v>0</v>
      </c>
      <c r="AV808" s="1">
        <v>0</v>
      </c>
      <c r="AW808" s="1">
        <v>0</v>
      </c>
      <c r="AX808" s="1">
        <v>0</v>
      </c>
      <c r="AY808" s="1">
        <v>0</v>
      </c>
      <c r="AZ808" s="1">
        <v>0</v>
      </c>
      <c r="BA808" s="1">
        <v>0</v>
      </c>
      <c r="BB808" s="1">
        <v>0</v>
      </c>
      <c r="BC808" s="1">
        <v>0</v>
      </c>
      <c r="BD808" s="1">
        <v>0</v>
      </c>
      <c r="BE808" s="1">
        <v>0</v>
      </c>
      <c r="BF808" s="1">
        <v>0</v>
      </c>
      <c r="BG808" s="1">
        <v>0</v>
      </c>
      <c r="BH808" s="1">
        <v>0</v>
      </c>
      <c r="BI808" s="1">
        <v>1</v>
      </c>
      <c r="BJ808" s="1">
        <v>0</v>
      </c>
      <c r="BK808" s="1">
        <v>0</v>
      </c>
      <c r="BL808" s="1">
        <v>1</v>
      </c>
      <c r="BM808" s="1">
        <v>0</v>
      </c>
      <c r="BN808" s="1">
        <v>0</v>
      </c>
      <c r="BO808" s="1">
        <v>0</v>
      </c>
      <c r="BP808" s="1">
        <v>0</v>
      </c>
      <c r="BQ808" s="1">
        <v>0</v>
      </c>
      <c r="BR808" s="1">
        <v>0</v>
      </c>
      <c r="BS808" s="5" t="str">
        <f>HYPERLINK("http://www.d20pfsrd.com/magic/all-spells/l/light-lance","Light Lance")</f>
        <v>Light Lance</v>
      </c>
      <c r="BT808" s="1">
        <v>824</v>
      </c>
      <c r="BU808" s="1" t="s">
        <v>109</v>
      </c>
      <c r="BV808" s="1"/>
      <c r="BW808" s="1"/>
      <c r="BX808" s="1"/>
      <c r="BY808" s="1"/>
      <c r="BZ808" s="1">
        <v>0</v>
      </c>
      <c r="CA808" s="1" t="s">
        <v>109</v>
      </c>
      <c r="CB808" s="1" t="s">
        <v>109</v>
      </c>
      <c r="CC808" s="1" t="s">
        <v>109</v>
      </c>
      <c r="CD808" s="1" t="s">
        <v>109</v>
      </c>
      <c r="CE808" s="1" t="s">
        <v>109</v>
      </c>
      <c r="CF808" s="1" t="s">
        <v>109</v>
      </c>
      <c r="CG808" s="1" t="s">
        <v>109</v>
      </c>
      <c r="CH808" s="1" t="s">
        <v>109</v>
      </c>
      <c r="CI808" s="1" t="s">
        <v>109</v>
      </c>
      <c r="CJ808" s="1" t="s">
        <v>109</v>
      </c>
      <c r="CK808" s="1"/>
      <c r="CL808" s="1">
        <v>0</v>
      </c>
      <c r="CM808" s="1">
        <v>0</v>
      </c>
      <c r="CN808" s="1">
        <v>0</v>
      </c>
    </row>
    <row r="809" spans="1:92" ht="14.25" customHeight="1" x14ac:dyDescent="0.15">
      <c r="A809" s="1" t="s">
        <v>6881</v>
      </c>
      <c r="B809" s="1" t="s">
        <v>189</v>
      </c>
      <c r="C809" s="1"/>
      <c r="D809" s="1"/>
      <c r="E809" s="1" t="s">
        <v>3879</v>
      </c>
      <c r="F809" s="1" t="s">
        <v>98</v>
      </c>
      <c r="G809" s="1" t="s">
        <v>6882</v>
      </c>
      <c r="H809" s="1">
        <v>0</v>
      </c>
      <c r="I809" s="1" t="s">
        <v>100</v>
      </c>
      <c r="J809" s="1"/>
      <c r="K809" s="1" t="s">
        <v>6883</v>
      </c>
      <c r="L809" s="1"/>
      <c r="M809" s="1" t="s">
        <v>6884</v>
      </c>
      <c r="N809" s="1">
        <v>1</v>
      </c>
      <c r="O809" s="1">
        <v>0</v>
      </c>
      <c r="P809" s="1" t="s">
        <v>103</v>
      </c>
      <c r="Q809" s="1" t="s">
        <v>104</v>
      </c>
      <c r="R809" s="1" t="s">
        <v>6885</v>
      </c>
      <c r="S809" s="1" t="s">
        <v>6886</v>
      </c>
      <c r="T809" s="1" t="s">
        <v>5815</v>
      </c>
      <c r="U809" s="1" t="s">
        <v>6887</v>
      </c>
      <c r="V809" s="1">
        <v>1</v>
      </c>
      <c r="W809" s="1">
        <v>1</v>
      </c>
      <c r="X809" s="1">
        <v>1</v>
      </c>
      <c r="Y809" s="1">
        <v>0</v>
      </c>
      <c r="Z809" s="1">
        <v>0</v>
      </c>
      <c r="AA809" s="1" t="s">
        <v>109</v>
      </c>
      <c r="AB809" s="1" t="s">
        <v>109</v>
      </c>
      <c r="AC809" s="1" t="s">
        <v>109</v>
      </c>
      <c r="AD809" s="1">
        <v>3</v>
      </c>
      <c r="AE809" s="1" t="s">
        <v>109</v>
      </c>
      <c r="AF809" s="1" t="s">
        <v>109</v>
      </c>
      <c r="AG809" s="1" t="s">
        <v>109</v>
      </c>
      <c r="AH809" s="1" t="s">
        <v>109</v>
      </c>
      <c r="AI809" s="1" t="s">
        <v>109</v>
      </c>
      <c r="AJ809" s="1" t="s">
        <v>109</v>
      </c>
      <c r="AK809" s="1" t="s">
        <v>109</v>
      </c>
      <c r="AL809" s="1" t="s">
        <v>109</v>
      </c>
      <c r="AM809" s="1" t="s">
        <v>109</v>
      </c>
      <c r="AN809" s="1" t="s">
        <v>109</v>
      </c>
      <c r="AO809" s="1" t="s">
        <v>109</v>
      </c>
      <c r="AP809" s="1"/>
      <c r="AQ809" s="1">
        <v>3</v>
      </c>
      <c r="AR809" s="1"/>
      <c r="AS809" s="1" t="s">
        <v>6888</v>
      </c>
      <c r="AT809" s="1">
        <v>0</v>
      </c>
      <c r="AU809" s="1">
        <v>0</v>
      </c>
      <c r="AV809" s="1">
        <v>0</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5" t="str">
        <f>HYPERLINK("http://www.d20pfsrd.com/magic/all-spells/l/lily-pad-stride","Lily Pad Stride")</f>
        <v>Lily Pad Stride</v>
      </c>
      <c r="BT809" s="1">
        <v>825</v>
      </c>
      <c r="BU809" s="1" t="s">
        <v>109</v>
      </c>
      <c r="BV809" s="1"/>
      <c r="BW809" s="1" t="s">
        <v>4050</v>
      </c>
      <c r="BX809" s="1"/>
      <c r="BY809" s="1"/>
      <c r="BZ809" s="1">
        <v>0</v>
      </c>
      <c r="CA809" s="1" t="s">
        <v>109</v>
      </c>
      <c r="CB809" s="1" t="s">
        <v>109</v>
      </c>
      <c r="CC809" s="1" t="s">
        <v>109</v>
      </c>
      <c r="CD809" s="1" t="s">
        <v>109</v>
      </c>
      <c r="CE809" s="1" t="s">
        <v>109</v>
      </c>
      <c r="CF809" s="1" t="s">
        <v>109</v>
      </c>
      <c r="CG809" s="1" t="s">
        <v>109</v>
      </c>
      <c r="CH809" s="1" t="s">
        <v>109</v>
      </c>
      <c r="CI809" s="1" t="s">
        <v>109</v>
      </c>
      <c r="CJ809" s="1">
        <v>3</v>
      </c>
      <c r="CK809" s="1"/>
      <c r="CL809" s="1">
        <v>0</v>
      </c>
      <c r="CM809" s="1">
        <v>0</v>
      </c>
      <c r="CN809" s="1">
        <v>0</v>
      </c>
    </row>
    <row r="810" spans="1:92" ht="14.25" customHeight="1" x14ac:dyDescent="0.15">
      <c r="A810" s="1" t="s">
        <v>6889</v>
      </c>
      <c r="B810" s="1" t="s">
        <v>189</v>
      </c>
      <c r="C810" s="1"/>
      <c r="D810" s="1"/>
      <c r="E810" s="1" t="s">
        <v>4840</v>
      </c>
      <c r="F810" s="1" t="s">
        <v>98</v>
      </c>
      <c r="G810" s="1" t="s">
        <v>6890</v>
      </c>
      <c r="H810" s="1">
        <v>0</v>
      </c>
      <c r="I810" s="1" t="s">
        <v>161</v>
      </c>
      <c r="J810" s="1"/>
      <c r="K810" s="1"/>
      <c r="L810" s="1" t="s">
        <v>506</v>
      </c>
      <c r="M810" s="1" t="s">
        <v>125</v>
      </c>
      <c r="N810" s="1">
        <v>0</v>
      </c>
      <c r="O810" s="1">
        <v>0</v>
      </c>
      <c r="P810" s="1" t="s">
        <v>1382</v>
      </c>
      <c r="Q810" s="1" t="s">
        <v>167</v>
      </c>
      <c r="R810" s="1" t="s">
        <v>6891</v>
      </c>
      <c r="S810" s="1" t="s">
        <v>6892</v>
      </c>
      <c r="T810" s="1" t="s">
        <v>5815</v>
      </c>
      <c r="U810" s="1" t="s">
        <v>6893</v>
      </c>
      <c r="V810" s="1">
        <v>1</v>
      </c>
      <c r="W810" s="1">
        <v>1</v>
      </c>
      <c r="X810" s="1">
        <v>1</v>
      </c>
      <c r="Y810" s="1">
        <v>0</v>
      </c>
      <c r="Z810" s="1">
        <v>0</v>
      </c>
      <c r="AA810" s="1" t="s">
        <v>109</v>
      </c>
      <c r="AB810" s="1" t="s">
        <v>109</v>
      </c>
      <c r="AC810" s="1" t="s">
        <v>109</v>
      </c>
      <c r="AD810" s="1">
        <v>2</v>
      </c>
      <c r="AE810" s="1">
        <v>2</v>
      </c>
      <c r="AF810" s="1" t="s">
        <v>109</v>
      </c>
      <c r="AG810" s="1" t="s">
        <v>109</v>
      </c>
      <c r="AH810" s="1" t="s">
        <v>109</v>
      </c>
      <c r="AI810" s="1" t="s">
        <v>109</v>
      </c>
      <c r="AJ810" s="1" t="s">
        <v>109</v>
      </c>
      <c r="AK810" s="1" t="s">
        <v>109</v>
      </c>
      <c r="AL810" s="1" t="s">
        <v>109</v>
      </c>
      <c r="AM810" s="1" t="s">
        <v>109</v>
      </c>
      <c r="AN810" s="1" t="s">
        <v>109</v>
      </c>
      <c r="AO810" s="1" t="s">
        <v>109</v>
      </c>
      <c r="AP810" s="1"/>
      <c r="AQ810" s="1">
        <v>2</v>
      </c>
      <c r="AR810" s="1"/>
      <c r="AS810" s="1" t="s">
        <v>6894</v>
      </c>
      <c r="AT810" s="1">
        <v>0</v>
      </c>
      <c r="AU810" s="1">
        <v>0</v>
      </c>
      <c r="AV810" s="1">
        <v>0</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5" t="str">
        <f>HYPERLINK("http://www.d20pfsrd.com/magic/all-spells/l/lockjaw","Lockjaw")</f>
        <v>Lockjaw</v>
      </c>
      <c r="BT810" s="1">
        <v>826</v>
      </c>
      <c r="BU810" s="1" t="s">
        <v>109</v>
      </c>
      <c r="BV810" s="1"/>
      <c r="BW810" s="1"/>
      <c r="BX810" s="1"/>
      <c r="BY810" s="1"/>
      <c r="BZ810" s="1">
        <v>0</v>
      </c>
      <c r="CA810" s="1" t="s">
        <v>109</v>
      </c>
      <c r="CB810" s="1" t="s">
        <v>109</v>
      </c>
      <c r="CC810" s="1" t="s">
        <v>109</v>
      </c>
      <c r="CD810" s="1" t="s">
        <v>109</v>
      </c>
      <c r="CE810" s="1" t="s">
        <v>109</v>
      </c>
      <c r="CF810" s="1" t="s">
        <v>109</v>
      </c>
      <c r="CG810" s="1" t="s">
        <v>109</v>
      </c>
      <c r="CH810" s="1" t="s">
        <v>109</v>
      </c>
      <c r="CI810" s="1" t="s">
        <v>109</v>
      </c>
      <c r="CJ810" s="1">
        <v>2</v>
      </c>
      <c r="CK810" s="1"/>
      <c r="CL810" s="1">
        <v>0</v>
      </c>
      <c r="CM810" s="1">
        <v>0</v>
      </c>
      <c r="CN810" s="1">
        <v>0</v>
      </c>
    </row>
    <row r="811" spans="1:92" ht="14.25" customHeight="1" x14ac:dyDescent="0.15">
      <c r="A811" s="1" t="s">
        <v>6895</v>
      </c>
      <c r="B811" s="1" t="s">
        <v>242</v>
      </c>
      <c r="C811" s="1"/>
      <c r="D811" s="1" t="s">
        <v>158</v>
      </c>
      <c r="E811" s="1" t="s">
        <v>2519</v>
      </c>
      <c r="F811" s="1" t="s">
        <v>98</v>
      </c>
      <c r="G811" s="1" t="s">
        <v>141</v>
      </c>
      <c r="H811" s="1">
        <v>0</v>
      </c>
      <c r="I811" s="1" t="s">
        <v>142</v>
      </c>
      <c r="J811" s="1"/>
      <c r="K811" s="1"/>
      <c r="L811" s="1" t="s">
        <v>6896</v>
      </c>
      <c r="M811" s="1" t="s">
        <v>125</v>
      </c>
      <c r="N811" s="1">
        <v>0</v>
      </c>
      <c r="O811" s="1">
        <v>0</v>
      </c>
      <c r="P811" s="1" t="s">
        <v>564</v>
      </c>
      <c r="Q811" s="1" t="s">
        <v>268</v>
      </c>
      <c r="R811" s="1" t="s">
        <v>6897</v>
      </c>
      <c r="S811" s="1" t="s">
        <v>6898</v>
      </c>
      <c r="T811" s="1" t="s">
        <v>5815</v>
      </c>
      <c r="U811" s="1" t="s">
        <v>6899</v>
      </c>
      <c r="V811" s="1">
        <v>1</v>
      </c>
      <c r="W811" s="1">
        <v>1</v>
      </c>
      <c r="X811" s="1">
        <v>0</v>
      </c>
      <c r="Y811" s="1">
        <v>0</v>
      </c>
      <c r="Z811" s="1">
        <v>0</v>
      </c>
      <c r="AA811" s="1" t="s">
        <v>109</v>
      </c>
      <c r="AB811" s="1" t="s">
        <v>109</v>
      </c>
      <c r="AC811" s="1" t="s">
        <v>109</v>
      </c>
      <c r="AD811" s="1" t="s">
        <v>109</v>
      </c>
      <c r="AE811" s="1" t="s">
        <v>109</v>
      </c>
      <c r="AF811" s="1" t="s">
        <v>109</v>
      </c>
      <c r="AG811" s="1">
        <v>3</v>
      </c>
      <c r="AH811" s="1" t="s">
        <v>109</v>
      </c>
      <c r="AI811" s="1" t="s">
        <v>109</v>
      </c>
      <c r="AJ811" s="1" t="s">
        <v>109</v>
      </c>
      <c r="AK811" s="1" t="s">
        <v>109</v>
      </c>
      <c r="AL811" s="1" t="s">
        <v>109</v>
      </c>
      <c r="AM811" s="1" t="s">
        <v>109</v>
      </c>
      <c r="AN811" s="1" t="s">
        <v>109</v>
      </c>
      <c r="AO811" s="1" t="s">
        <v>109</v>
      </c>
      <c r="AP811" s="1"/>
      <c r="AQ811" s="1">
        <v>3</v>
      </c>
      <c r="AR811" s="1"/>
      <c r="AS811" s="1" t="s">
        <v>6900</v>
      </c>
      <c r="AT811" s="1">
        <v>0</v>
      </c>
      <c r="AU811" s="1">
        <v>0</v>
      </c>
      <c r="AV811" s="1">
        <v>0</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1</v>
      </c>
      <c r="BN811" s="1">
        <v>0</v>
      </c>
      <c r="BO811" s="1">
        <v>0</v>
      </c>
      <c r="BP811" s="1">
        <v>0</v>
      </c>
      <c r="BQ811" s="1">
        <v>0</v>
      </c>
      <c r="BR811" s="1">
        <v>0</v>
      </c>
      <c r="BS811" s="5" t="str">
        <f>HYPERLINK("http://www.d20pfsrd.com/magic/all-spells/m/marks-of-forbiddance","Marks Of Forbiddance")</f>
        <v>Marks Of Forbiddance</v>
      </c>
      <c r="BT811" s="1">
        <v>827</v>
      </c>
      <c r="BU811" s="1" t="s">
        <v>109</v>
      </c>
      <c r="BV811" s="1"/>
      <c r="BW811" s="1"/>
      <c r="BX811" s="1"/>
      <c r="BY811" s="1"/>
      <c r="BZ811" s="1">
        <v>0</v>
      </c>
      <c r="CA811" s="1" t="s">
        <v>109</v>
      </c>
      <c r="CB811" s="1" t="s">
        <v>109</v>
      </c>
      <c r="CC811" s="1" t="s">
        <v>109</v>
      </c>
      <c r="CD811" s="1" t="s">
        <v>109</v>
      </c>
      <c r="CE811" s="1" t="s">
        <v>109</v>
      </c>
      <c r="CF811" s="1" t="s">
        <v>109</v>
      </c>
      <c r="CG811" s="1" t="s">
        <v>109</v>
      </c>
      <c r="CH811" s="1" t="s">
        <v>109</v>
      </c>
      <c r="CI811" s="1" t="s">
        <v>109</v>
      </c>
      <c r="CJ811" s="1" t="s">
        <v>109</v>
      </c>
      <c r="CK811" s="1"/>
      <c r="CL811" s="1">
        <v>0</v>
      </c>
      <c r="CM811" s="1">
        <v>0</v>
      </c>
      <c r="CN811" s="1">
        <v>0</v>
      </c>
    </row>
    <row r="812" spans="1:92" ht="14.25" customHeight="1" x14ac:dyDescent="0.15">
      <c r="A812" s="1" t="s">
        <v>6901</v>
      </c>
      <c r="B812" s="1" t="s">
        <v>674</v>
      </c>
      <c r="C812" s="1" t="s">
        <v>675</v>
      </c>
      <c r="D812" s="1"/>
      <c r="E812" s="1" t="s">
        <v>6902</v>
      </c>
      <c r="F812" s="1" t="s">
        <v>98</v>
      </c>
      <c r="G812" s="1" t="s">
        <v>6903</v>
      </c>
      <c r="H812" s="1">
        <v>0</v>
      </c>
      <c r="I812" s="1" t="s">
        <v>161</v>
      </c>
      <c r="J812" s="1"/>
      <c r="K812" s="1"/>
      <c r="L812" s="1" t="s">
        <v>3434</v>
      </c>
      <c r="M812" s="1" t="s">
        <v>5811</v>
      </c>
      <c r="N812" s="1">
        <v>1</v>
      </c>
      <c r="O812" s="1">
        <v>0</v>
      </c>
      <c r="P812" s="1" t="s">
        <v>281</v>
      </c>
      <c r="Q812" s="1" t="s">
        <v>104</v>
      </c>
      <c r="R812" s="1" t="s">
        <v>6904</v>
      </c>
      <c r="S812" s="1" t="s">
        <v>6905</v>
      </c>
      <c r="T812" s="1" t="s">
        <v>5815</v>
      </c>
      <c r="U812" s="1" t="s">
        <v>6906</v>
      </c>
      <c r="V812" s="1">
        <v>1</v>
      </c>
      <c r="W812" s="1">
        <v>1</v>
      </c>
      <c r="X812" s="1">
        <v>1</v>
      </c>
      <c r="Y812" s="1">
        <v>0</v>
      </c>
      <c r="Z812" s="1">
        <v>0</v>
      </c>
      <c r="AA812" s="1" t="s">
        <v>109</v>
      </c>
      <c r="AB812" s="1" t="s">
        <v>109</v>
      </c>
      <c r="AC812" s="1" t="s">
        <v>109</v>
      </c>
      <c r="AD812" s="1" t="s">
        <v>109</v>
      </c>
      <c r="AE812" s="1" t="s">
        <v>109</v>
      </c>
      <c r="AF812" s="1" t="s">
        <v>109</v>
      </c>
      <c r="AG812" s="1" t="s">
        <v>109</v>
      </c>
      <c r="AH812" s="1" t="s">
        <v>109</v>
      </c>
      <c r="AI812" s="1" t="s">
        <v>109</v>
      </c>
      <c r="AJ812" s="1">
        <v>1</v>
      </c>
      <c r="AK812" s="1" t="s">
        <v>109</v>
      </c>
      <c r="AL812" s="1" t="s">
        <v>109</v>
      </c>
      <c r="AM812" s="1" t="s">
        <v>109</v>
      </c>
      <c r="AN812" s="1" t="s">
        <v>109</v>
      </c>
      <c r="AO812" s="1" t="s">
        <v>109</v>
      </c>
      <c r="AP812" s="1"/>
      <c r="AQ812" s="1">
        <v>1</v>
      </c>
      <c r="AR812" s="1"/>
      <c r="AS812" s="1" t="s">
        <v>6907</v>
      </c>
      <c r="AT812" s="1">
        <v>0</v>
      </c>
      <c r="AU812" s="1">
        <v>0</v>
      </c>
      <c r="AV812" s="1">
        <v>0</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5" t="str">
        <f>HYPERLINK("http://www.d20pfsrd.com/magic/all-spells/m/mask-dweomer","Mask Dweomer")</f>
        <v>Mask Dweomer</v>
      </c>
      <c r="BT812" s="1">
        <v>828</v>
      </c>
      <c r="BU812" s="1" t="s">
        <v>109</v>
      </c>
      <c r="BV812" s="1"/>
      <c r="BW812" s="1"/>
      <c r="BX812" s="1"/>
      <c r="BY812" s="1"/>
      <c r="BZ812" s="1">
        <v>0</v>
      </c>
      <c r="CA812" s="1" t="s">
        <v>109</v>
      </c>
      <c r="CB812" s="1" t="s">
        <v>109</v>
      </c>
      <c r="CC812" s="1">
        <v>1</v>
      </c>
      <c r="CD812" s="1" t="s">
        <v>109</v>
      </c>
      <c r="CE812" s="1" t="s">
        <v>109</v>
      </c>
      <c r="CF812" s="1">
        <v>1</v>
      </c>
      <c r="CG812" s="1" t="s">
        <v>109</v>
      </c>
      <c r="CH812" s="1" t="s">
        <v>109</v>
      </c>
      <c r="CI812" s="1" t="s">
        <v>109</v>
      </c>
      <c r="CJ812" s="1" t="s">
        <v>109</v>
      </c>
      <c r="CK812" s="1"/>
      <c r="CL812" s="1">
        <v>0</v>
      </c>
      <c r="CM812" s="1">
        <v>0</v>
      </c>
      <c r="CN812" s="1">
        <v>0</v>
      </c>
    </row>
    <row r="813" spans="1:92" ht="14.25" customHeight="1" x14ac:dyDescent="0.15">
      <c r="A813" s="1" t="s">
        <v>6908</v>
      </c>
      <c r="B813" s="1" t="s">
        <v>156</v>
      </c>
      <c r="C813" s="1"/>
      <c r="D813" s="1" t="s">
        <v>158</v>
      </c>
      <c r="E813" s="1" t="s">
        <v>6909</v>
      </c>
      <c r="F813" s="1" t="s">
        <v>98</v>
      </c>
      <c r="G813" s="1" t="s">
        <v>141</v>
      </c>
      <c r="H813" s="1">
        <v>0</v>
      </c>
      <c r="I813" s="1" t="s">
        <v>142</v>
      </c>
      <c r="J813" s="1"/>
      <c r="K813" s="1"/>
      <c r="L813" s="1" t="s">
        <v>563</v>
      </c>
      <c r="M813" s="1" t="s">
        <v>144</v>
      </c>
      <c r="N813" s="1">
        <v>0</v>
      </c>
      <c r="O813" s="1">
        <v>0</v>
      </c>
      <c r="P813" s="1" t="s">
        <v>301</v>
      </c>
      <c r="Q813" s="1" t="s">
        <v>268</v>
      </c>
      <c r="R813" s="1" t="s">
        <v>6910</v>
      </c>
      <c r="S813" s="1" t="s">
        <v>6911</v>
      </c>
      <c r="T813" s="1" t="s">
        <v>5815</v>
      </c>
      <c r="U813" s="1" t="s">
        <v>6912</v>
      </c>
      <c r="V813" s="1">
        <v>1</v>
      </c>
      <c r="W813" s="1">
        <v>1</v>
      </c>
      <c r="X813" s="1">
        <v>0</v>
      </c>
      <c r="Y813" s="1">
        <v>0</v>
      </c>
      <c r="Z813" s="1">
        <v>0</v>
      </c>
      <c r="AA813" s="1">
        <v>1</v>
      </c>
      <c r="AB813" s="1">
        <v>1</v>
      </c>
      <c r="AC813" s="1" t="s">
        <v>109</v>
      </c>
      <c r="AD813" s="1" t="s">
        <v>109</v>
      </c>
      <c r="AE813" s="1" t="s">
        <v>109</v>
      </c>
      <c r="AF813" s="1">
        <v>1</v>
      </c>
      <c r="AG813" s="1" t="s">
        <v>109</v>
      </c>
      <c r="AH813" s="1" t="s">
        <v>109</v>
      </c>
      <c r="AI813" s="1" t="s">
        <v>109</v>
      </c>
      <c r="AJ813" s="1" t="s">
        <v>109</v>
      </c>
      <c r="AK813" s="1" t="s">
        <v>109</v>
      </c>
      <c r="AL813" s="1" t="s">
        <v>109</v>
      </c>
      <c r="AM813" s="1" t="s">
        <v>109</v>
      </c>
      <c r="AN813" s="1" t="s">
        <v>109</v>
      </c>
      <c r="AO813" s="1" t="s">
        <v>109</v>
      </c>
      <c r="AP813" s="1"/>
      <c r="AQ813" s="1">
        <v>1</v>
      </c>
      <c r="AR813" s="1" t="s">
        <v>6913</v>
      </c>
      <c r="AS813" s="1" t="s">
        <v>6914</v>
      </c>
      <c r="AT813" s="1">
        <v>0</v>
      </c>
      <c r="AU813" s="1">
        <v>0</v>
      </c>
      <c r="AV813" s="1">
        <v>0</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1</v>
      </c>
      <c r="BN813" s="1">
        <v>0</v>
      </c>
      <c r="BO813" s="1">
        <v>0</v>
      </c>
      <c r="BP813" s="1">
        <v>0</v>
      </c>
      <c r="BQ813" s="1">
        <v>0</v>
      </c>
      <c r="BR813" s="1">
        <v>0</v>
      </c>
      <c r="BS813" s="5" t="str">
        <f>HYPERLINK("http://www.d20pfsrd.com/magic/all-spells/m/memory-lapse","Memory Lapse")</f>
        <v>Memory Lapse</v>
      </c>
      <c r="BT813" s="1">
        <v>829</v>
      </c>
      <c r="BU813" s="1" t="s">
        <v>109</v>
      </c>
      <c r="BV813" s="1"/>
      <c r="BW813" s="1" t="s">
        <v>6915</v>
      </c>
      <c r="BX813" s="1"/>
      <c r="BY813" s="1"/>
      <c r="BZ813" s="1">
        <v>0</v>
      </c>
      <c r="CA813" s="1" t="s">
        <v>109</v>
      </c>
      <c r="CB813" s="1" t="s">
        <v>109</v>
      </c>
      <c r="CC813" s="1" t="s">
        <v>109</v>
      </c>
      <c r="CD813" s="1" t="s">
        <v>109</v>
      </c>
      <c r="CE813" s="1">
        <v>1</v>
      </c>
      <c r="CF813" s="1">
        <v>1</v>
      </c>
      <c r="CG813" s="1" t="s">
        <v>109</v>
      </c>
      <c r="CH813" s="1" t="s">
        <v>109</v>
      </c>
      <c r="CI813" s="1" t="s">
        <v>109</v>
      </c>
      <c r="CJ813" s="1" t="s">
        <v>109</v>
      </c>
      <c r="CK813" s="1"/>
      <c r="CL813" s="1">
        <v>0</v>
      </c>
      <c r="CM813" s="1">
        <v>0</v>
      </c>
      <c r="CN813" s="1">
        <v>0</v>
      </c>
    </row>
    <row r="814" spans="1:92" ht="14.25" customHeight="1" x14ac:dyDescent="0.15">
      <c r="A814" s="1" t="s">
        <v>6916</v>
      </c>
      <c r="B814" s="1" t="s">
        <v>156</v>
      </c>
      <c r="C814" s="1" t="s">
        <v>157</v>
      </c>
      <c r="D814" s="1" t="s">
        <v>375</v>
      </c>
      <c r="E814" s="1" t="s">
        <v>6917</v>
      </c>
      <c r="F814" s="1" t="s">
        <v>98</v>
      </c>
      <c r="G814" s="1" t="s">
        <v>6918</v>
      </c>
      <c r="H814" s="1">
        <v>0</v>
      </c>
      <c r="I814" s="1" t="s">
        <v>122</v>
      </c>
      <c r="J814" s="1"/>
      <c r="K814" s="1"/>
      <c r="L814" s="1" t="s">
        <v>836</v>
      </c>
      <c r="M814" s="1" t="s">
        <v>125</v>
      </c>
      <c r="N814" s="1">
        <v>0</v>
      </c>
      <c r="O814" s="1">
        <v>0</v>
      </c>
      <c r="P814" s="1" t="s">
        <v>301</v>
      </c>
      <c r="Q814" s="1" t="s">
        <v>268</v>
      </c>
      <c r="R814" s="1" t="s">
        <v>6919</v>
      </c>
      <c r="S814" s="1" t="s">
        <v>6920</v>
      </c>
      <c r="T814" s="1" t="s">
        <v>5815</v>
      </c>
      <c r="U814" s="1" t="s">
        <v>6921</v>
      </c>
      <c r="V814" s="1">
        <v>1</v>
      </c>
      <c r="W814" s="1">
        <v>1</v>
      </c>
      <c r="X814" s="1">
        <v>1</v>
      </c>
      <c r="Y814" s="1">
        <v>0</v>
      </c>
      <c r="Z814" s="1">
        <v>0</v>
      </c>
      <c r="AA814" s="1">
        <v>4</v>
      </c>
      <c r="AB814" s="1">
        <v>4</v>
      </c>
      <c r="AC814" s="1" t="s">
        <v>109</v>
      </c>
      <c r="AD814" s="1">
        <v>4</v>
      </c>
      <c r="AE814" s="1" t="s">
        <v>109</v>
      </c>
      <c r="AF814" s="1" t="s">
        <v>109</v>
      </c>
      <c r="AG814" s="1" t="s">
        <v>109</v>
      </c>
      <c r="AH814" s="1" t="s">
        <v>109</v>
      </c>
      <c r="AI814" s="1" t="s">
        <v>109</v>
      </c>
      <c r="AJ814" s="1">
        <v>4</v>
      </c>
      <c r="AK814" s="1" t="s">
        <v>109</v>
      </c>
      <c r="AL814" s="1" t="s">
        <v>109</v>
      </c>
      <c r="AM814" s="1" t="s">
        <v>109</v>
      </c>
      <c r="AN814" s="1" t="s">
        <v>109</v>
      </c>
      <c r="AO814" s="1" t="s">
        <v>109</v>
      </c>
      <c r="AP814" s="1"/>
      <c r="AQ814" s="1">
        <v>4</v>
      </c>
      <c r="AR814" s="1" t="s">
        <v>6922</v>
      </c>
      <c r="AS814" s="1" t="s">
        <v>6923</v>
      </c>
      <c r="AT814" s="1">
        <v>0</v>
      </c>
      <c r="AU814" s="1">
        <v>0</v>
      </c>
      <c r="AV814" s="1">
        <v>0</v>
      </c>
      <c r="AW814" s="1">
        <v>0</v>
      </c>
      <c r="AX814" s="1">
        <v>0</v>
      </c>
      <c r="AY814" s="1">
        <v>0</v>
      </c>
      <c r="AZ814" s="1">
        <v>0</v>
      </c>
      <c r="BA814" s="1">
        <v>0</v>
      </c>
      <c r="BB814" s="1">
        <v>0</v>
      </c>
      <c r="BC814" s="1">
        <v>0</v>
      </c>
      <c r="BD814" s="1">
        <v>1</v>
      </c>
      <c r="BE814" s="1">
        <v>0</v>
      </c>
      <c r="BF814" s="1">
        <v>0</v>
      </c>
      <c r="BG814" s="1">
        <v>0</v>
      </c>
      <c r="BH814" s="1">
        <v>0</v>
      </c>
      <c r="BI814" s="1">
        <v>0</v>
      </c>
      <c r="BJ814" s="1">
        <v>0</v>
      </c>
      <c r="BK814" s="1">
        <v>0</v>
      </c>
      <c r="BL814" s="1">
        <v>0</v>
      </c>
      <c r="BM814" s="1">
        <v>1</v>
      </c>
      <c r="BN814" s="1">
        <v>0</v>
      </c>
      <c r="BO814" s="1">
        <v>0</v>
      </c>
      <c r="BP814" s="1">
        <v>0</v>
      </c>
      <c r="BQ814" s="1">
        <v>0</v>
      </c>
      <c r="BR814" s="1">
        <v>0</v>
      </c>
      <c r="BS814" s="5" t="str">
        <f>HYPERLINK("http://www.d20pfsrd.com/magic/all-spells/m/moonstruck","Moonstruck")</f>
        <v>Moonstruck</v>
      </c>
      <c r="BT814" s="1">
        <v>830</v>
      </c>
      <c r="BU814" s="1" t="s">
        <v>109</v>
      </c>
      <c r="BV814" s="1"/>
      <c r="BW814" s="1" t="s">
        <v>6924</v>
      </c>
      <c r="BX814" s="1"/>
      <c r="BY814" s="1"/>
      <c r="BZ814" s="1">
        <v>0</v>
      </c>
      <c r="CA814" s="1">
        <v>4</v>
      </c>
      <c r="CB814" s="1" t="s">
        <v>109</v>
      </c>
      <c r="CC814" s="1">
        <v>4</v>
      </c>
      <c r="CD814" s="1" t="s">
        <v>109</v>
      </c>
      <c r="CE814" s="1" t="s">
        <v>109</v>
      </c>
      <c r="CF814" s="1" t="s">
        <v>109</v>
      </c>
      <c r="CG814" s="1" t="s">
        <v>109</v>
      </c>
      <c r="CH814" s="1" t="s">
        <v>109</v>
      </c>
      <c r="CI814" s="1" t="s">
        <v>109</v>
      </c>
      <c r="CJ814" s="1">
        <v>4</v>
      </c>
      <c r="CK814" s="1"/>
      <c r="CL814" s="1">
        <v>0</v>
      </c>
      <c r="CM814" s="1">
        <v>0</v>
      </c>
      <c r="CN814" s="1">
        <v>0</v>
      </c>
    </row>
    <row r="815" spans="1:92" ht="14.25" customHeight="1" x14ac:dyDescent="0.15">
      <c r="A815" s="1" t="s">
        <v>6925</v>
      </c>
      <c r="B815" s="1" t="s">
        <v>308</v>
      </c>
      <c r="C815" s="1"/>
      <c r="D815" s="1"/>
      <c r="E815" s="1" t="s">
        <v>2376</v>
      </c>
      <c r="F815" s="1" t="s">
        <v>277</v>
      </c>
      <c r="G815" s="1" t="s">
        <v>6926</v>
      </c>
      <c r="H815" s="1">
        <v>1</v>
      </c>
      <c r="I815" s="1" t="s">
        <v>1192</v>
      </c>
      <c r="J815" s="1" t="s">
        <v>6927</v>
      </c>
      <c r="K815" s="1"/>
      <c r="L815" s="1"/>
      <c r="M815" s="1" t="s">
        <v>3444</v>
      </c>
      <c r="N815" s="1">
        <v>0</v>
      </c>
      <c r="O815" s="1">
        <v>0</v>
      </c>
      <c r="P815" s="1" t="s">
        <v>507</v>
      </c>
      <c r="Q815" s="1" t="s">
        <v>167</v>
      </c>
      <c r="R815" s="1" t="s">
        <v>6928</v>
      </c>
      <c r="S815" s="1" t="s">
        <v>6929</v>
      </c>
      <c r="T815" s="1" t="s">
        <v>5815</v>
      </c>
      <c r="U815" s="1" t="s">
        <v>6930</v>
      </c>
      <c r="V815" s="1">
        <v>1</v>
      </c>
      <c r="W815" s="1">
        <v>1</v>
      </c>
      <c r="X815" s="1">
        <v>1</v>
      </c>
      <c r="Y815" s="1">
        <v>0</v>
      </c>
      <c r="Z815" s="1">
        <v>0</v>
      </c>
      <c r="AA815" s="1" t="s">
        <v>109</v>
      </c>
      <c r="AB815" s="1" t="s">
        <v>109</v>
      </c>
      <c r="AC815" s="1">
        <v>3</v>
      </c>
      <c r="AD815" s="1" t="s">
        <v>109</v>
      </c>
      <c r="AE815" s="1" t="s">
        <v>109</v>
      </c>
      <c r="AF815" s="1" t="s">
        <v>109</v>
      </c>
      <c r="AG815" s="1" t="s">
        <v>109</v>
      </c>
      <c r="AH815" s="1" t="s">
        <v>109</v>
      </c>
      <c r="AI815" s="1" t="s">
        <v>109</v>
      </c>
      <c r="AJ815" s="1" t="s">
        <v>109</v>
      </c>
      <c r="AK815" s="1" t="s">
        <v>109</v>
      </c>
      <c r="AL815" s="1">
        <v>3</v>
      </c>
      <c r="AM815" s="1" t="s">
        <v>109</v>
      </c>
      <c r="AN815" s="1" t="s">
        <v>109</v>
      </c>
      <c r="AO815" s="1" t="s">
        <v>109</v>
      </c>
      <c r="AP815" s="1"/>
      <c r="AQ815" s="1">
        <v>3</v>
      </c>
      <c r="AR815" s="1"/>
      <c r="AS815" s="1" t="s">
        <v>6931</v>
      </c>
      <c r="AT815" s="1">
        <v>0</v>
      </c>
      <c r="AU815" s="1">
        <v>0</v>
      </c>
      <c r="AV815" s="1">
        <v>0</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5" t="str">
        <f>HYPERLINK("http://www.d20pfsrd.com/magic/all-spells/n/nap-stack","Nap Stack")</f>
        <v>Nap Stack</v>
      </c>
      <c r="BT815" s="1">
        <v>831</v>
      </c>
      <c r="BU815" s="1">
        <v>100</v>
      </c>
      <c r="BV815" s="1"/>
      <c r="BW815" s="1"/>
      <c r="BX815" s="1"/>
      <c r="BY815" s="1"/>
      <c r="BZ815" s="1">
        <v>0</v>
      </c>
      <c r="CA815" s="1" t="s">
        <v>109</v>
      </c>
      <c r="CB815" s="1" t="s">
        <v>109</v>
      </c>
      <c r="CC815" s="1" t="s">
        <v>109</v>
      </c>
      <c r="CD815" s="1" t="s">
        <v>109</v>
      </c>
      <c r="CE815" s="1" t="s">
        <v>109</v>
      </c>
      <c r="CF815" s="1" t="s">
        <v>109</v>
      </c>
      <c r="CG815" s="1" t="s">
        <v>109</v>
      </c>
      <c r="CH815" s="1" t="s">
        <v>109</v>
      </c>
      <c r="CI815" s="1" t="s">
        <v>109</v>
      </c>
      <c r="CJ815" s="1" t="s">
        <v>109</v>
      </c>
      <c r="CK815" s="1"/>
      <c r="CL815" s="1">
        <v>0</v>
      </c>
      <c r="CM815" s="1">
        <v>0</v>
      </c>
      <c r="CN815" s="1">
        <v>0</v>
      </c>
    </row>
    <row r="816" spans="1:92" ht="14.25" customHeight="1" x14ac:dyDescent="0.15">
      <c r="A816" s="1" t="s">
        <v>6932</v>
      </c>
      <c r="B816" s="1" t="s">
        <v>189</v>
      </c>
      <c r="C816" s="1"/>
      <c r="D816" s="1"/>
      <c r="E816" s="1" t="s">
        <v>4527</v>
      </c>
      <c r="F816" s="1" t="s">
        <v>98</v>
      </c>
      <c r="G816" s="1" t="s">
        <v>6933</v>
      </c>
      <c r="H816" s="1">
        <v>0</v>
      </c>
      <c r="I816" s="1" t="s">
        <v>161</v>
      </c>
      <c r="J816" s="1"/>
      <c r="K816" s="1"/>
      <c r="L816" s="1" t="s">
        <v>506</v>
      </c>
      <c r="M816" s="1" t="s">
        <v>125</v>
      </c>
      <c r="N816" s="1">
        <v>0</v>
      </c>
      <c r="O816" s="1">
        <v>0</v>
      </c>
      <c r="P816" s="1" t="s">
        <v>507</v>
      </c>
      <c r="Q816" s="1" t="s">
        <v>167</v>
      </c>
      <c r="R816" s="1" t="s">
        <v>6934</v>
      </c>
      <c r="S816" s="1" t="s">
        <v>6935</v>
      </c>
      <c r="T816" s="1" t="s">
        <v>5815</v>
      </c>
      <c r="U816" s="1" t="s">
        <v>6936</v>
      </c>
      <c r="V816" s="1">
        <v>1</v>
      </c>
      <c r="W816" s="1">
        <v>1</v>
      </c>
      <c r="X816" s="1">
        <v>1</v>
      </c>
      <c r="Y816" s="1">
        <v>0</v>
      </c>
      <c r="Z816" s="1">
        <v>0</v>
      </c>
      <c r="AA816" s="1" t="s">
        <v>109</v>
      </c>
      <c r="AB816" s="1" t="s">
        <v>109</v>
      </c>
      <c r="AC816" s="1" t="s">
        <v>109</v>
      </c>
      <c r="AD816" s="1">
        <v>2</v>
      </c>
      <c r="AE816" s="1" t="s">
        <v>109</v>
      </c>
      <c r="AF816" s="1" t="s">
        <v>109</v>
      </c>
      <c r="AG816" s="1" t="s">
        <v>109</v>
      </c>
      <c r="AH816" s="1" t="s">
        <v>109</v>
      </c>
      <c r="AI816" s="1" t="s">
        <v>109</v>
      </c>
      <c r="AJ816" s="1" t="s">
        <v>109</v>
      </c>
      <c r="AK816" s="1" t="s">
        <v>109</v>
      </c>
      <c r="AL816" s="1" t="s">
        <v>109</v>
      </c>
      <c r="AM816" s="1" t="s">
        <v>109</v>
      </c>
      <c r="AN816" s="1" t="s">
        <v>109</v>
      </c>
      <c r="AO816" s="1" t="s">
        <v>109</v>
      </c>
      <c r="AP816" s="1"/>
      <c r="AQ816" s="1">
        <v>2</v>
      </c>
      <c r="AR816" s="1"/>
      <c r="AS816" s="1" t="s">
        <v>6937</v>
      </c>
      <c r="AT816" s="1">
        <v>0</v>
      </c>
      <c r="AU816" s="1">
        <v>0</v>
      </c>
      <c r="AV816" s="1">
        <v>0</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5" t="str">
        <f>HYPERLINK("http://www.d20pfsrd.com/magic/all-spells/n/natural-rhythm","Natural Rhythm")</f>
        <v>Natural Rhythm</v>
      </c>
      <c r="BT816" s="1">
        <v>832</v>
      </c>
      <c r="BU816" s="1" t="s">
        <v>109</v>
      </c>
      <c r="BV816" s="1"/>
      <c r="BW816" s="1"/>
      <c r="BX816" s="1"/>
      <c r="BY816" s="1"/>
      <c r="BZ816" s="1">
        <v>0</v>
      </c>
      <c r="CA816" s="1" t="s">
        <v>109</v>
      </c>
      <c r="CB816" s="1" t="s">
        <v>109</v>
      </c>
      <c r="CC816" s="1" t="s">
        <v>109</v>
      </c>
      <c r="CD816" s="1" t="s">
        <v>109</v>
      </c>
      <c r="CE816" s="1" t="s">
        <v>109</v>
      </c>
      <c r="CF816" s="1" t="s">
        <v>109</v>
      </c>
      <c r="CG816" s="1" t="s">
        <v>109</v>
      </c>
      <c r="CH816" s="1" t="s">
        <v>109</v>
      </c>
      <c r="CI816" s="1" t="s">
        <v>109</v>
      </c>
      <c r="CJ816" s="1">
        <v>2</v>
      </c>
      <c r="CK816" s="1"/>
      <c r="CL816" s="1">
        <v>0</v>
      </c>
      <c r="CM816" s="1">
        <v>0</v>
      </c>
      <c r="CN816" s="1">
        <v>0</v>
      </c>
    </row>
    <row r="817" spans="1:92" ht="14.25" customHeight="1" x14ac:dyDescent="0.15">
      <c r="A817" s="1" t="s">
        <v>6938</v>
      </c>
      <c r="B817" s="1" t="s">
        <v>189</v>
      </c>
      <c r="C817" s="1"/>
      <c r="D817" s="1" t="s">
        <v>50</v>
      </c>
      <c r="E817" s="1" t="s">
        <v>6939</v>
      </c>
      <c r="F817" s="1" t="s">
        <v>98</v>
      </c>
      <c r="G817" s="1" t="s">
        <v>160</v>
      </c>
      <c r="H817" s="1">
        <v>0</v>
      </c>
      <c r="I817" s="1" t="s">
        <v>161</v>
      </c>
      <c r="J817" s="1"/>
      <c r="K817" s="1"/>
      <c r="L817" s="1" t="s">
        <v>506</v>
      </c>
      <c r="M817" s="1" t="s">
        <v>408</v>
      </c>
      <c r="N817" s="1">
        <v>0</v>
      </c>
      <c r="O817" s="1">
        <v>0</v>
      </c>
      <c r="P817" s="1" t="s">
        <v>301</v>
      </c>
      <c r="Q817" s="1" t="s">
        <v>268</v>
      </c>
      <c r="R817" s="1" t="s">
        <v>6940</v>
      </c>
      <c r="S817" s="1" t="s">
        <v>6941</v>
      </c>
      <c r="T817" s="1" t="s">
        <v>5815</v>
      </c>
      <c r="U817" s="1" t="s">
        <v>6942</v>
      </c>
      <c r="V817" s="1">
        <v>1</v>
      </c>
      <c r="W817" s="1">
        <v>1</v>
      </c>
      <c r="X817" s="1">
        <v>0</v>
      </c>
      <c r="Y817" s="1">
        <v>0</v>
      </c>
      <c r="Z817" s="1">
        <v>1</v>
      </c>
      <c r="AA817" s="1" t="s">
        <v>109</v>
      </c>
      <c r="AB817" s="1" t="s">
        <v>109</v>
      </c>
      <c r="AC817" s="1" t="s">
        <v>109</v>
      </c>
      <c r="AD817" s="1">
        <v>3</v>
      </c>
      <c r="AE817" s="1" t="s">
        <v>109</v>
      </c>
      <c r="AF817" s="1" t="s">
        <v>109</v>
      </c>
      <c r="AG817" s="1" t="s">
        <v>109</v>
      </c>
      <c r="AH817" s="1" t="s">
        <v>109</v>
      </c>
      <c r="AI817" s="1" t="s">
        <v>109</v>
      </c>
      <c r="AJ817" s="1">
        <v>3</v>
      </c>
      <c r="AK817" s="1" t="s">
        <v>109</v>
      </c>
      <c r="AL817" s="1" t="s">
        <v>109</v>
      </c>
      <c r="AM817" s="1" t="s">
        <v>109</v>
      </c>
      <c r="AN817" s="1" t="s">
        <v>109</v>
      </c>
      <c r="AO817" s="1" t="s">
        <v>109</v>
      </c>
      <c r="AP817" s="1"/>
      <c r="AQ817" s="1">
        <v>3</v>
      </c>
      <c r="AR817" s="1"/>
      <c r="AS817" s="1" t="s">
        <v>6943</v>
      </c>
      <c r="AT817" s="1">
        <v>0</v>
      </c>
      <c r="AU817" s="1">
        <v>0</v>
      </c>
      <c r="AV817" s="1">
        <v>0</v>
      </c>
      <c r="AW817" s="1">
        <v>0</v>
      </c>
      <c r="AX817" s="1">
        <v>1</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5" t="str">
        <f>HYPERLINK("http://www.d20pfsrd.com/magic/all-spells/n/nature-s-exile","Nature's Exile")</f>
        <v>Nature's Exile</v>
      </c>
      <c r="BT817" s="1">
        <v>833</v>
      </c>
      <c r="BU817" s="1" t="s">
        <v>109</v>
      </c>
      <c r="BV817" s="1"/>
      <c r="BW817" s="1"/>
      <c r="BX817" s="1"/>
      <c r="BY817" s="1"/>
      <c r="BZ817" s="1">
        <v>0</v>
      </c>
      <c r="CA817" s="1" t="s">
        <v>109</v>
      </c>
      <c r="CB817" s="1" t="s">
        <v>109</v>
      </c>
      <c r="CC817" s="1" t="s">
        <v>109</v>
      </c>
      <c r="CD817" s="1" t="s">
        <v>109</v>
      </c>
      <c r="CE817" s="1" t="s">
        <v>109</v>
      </c>
      <c r="CF817" s="1" t="s">
        <v>109</v>
      </c>
      <c r="CG817" s="1" t="s">
        <v>109</v>
      </c>
      <c r="CH817" s="1" t="s">
        <v>109</v>
      </c>
      <c r="CI817" s="1" t="s">
        <v>109</v>
      </c>
      <c r="CJ817" s="1">
        <v>3</v>
      </c>
      <c r="CK817" s="1"/>
      <c r="CL817" s="1">
        <v>0</v>
      </c>
      <c r="CM817" s="1">
        <v>0</v>
      </c>
      <c r="CN817" s="1">
        <v>0</v>
      </c>
    </row>
    <row r="818" spans="1:92" ht="14.25" customHeight="1" x14ac:dyDescent="0.15">
      <c r="A818" s="1" t="s">
        <v>6944</v>
      </c>
      <c r="B818" s="1" t="s">
        <v>189</v>
      </c>
      <c r="C818" s="1"/>
      <c r="D818" s="1"/>
      <c r="E818" s="1" t="s">
        <v>6844</v>
      </c>
      <c r="F818" s="1" t="s">
        <v>98</v>
      </c>
      <c r="G818" s="1" t="s">
        <v>6945</v>
      </c>
      <c r="H818" s="1">
        <v>0</v>
      </c>
      <c r="I818" s="1" t="s">
        <v>142</v>
      </c>
      <c r="J818" s="1"/>
      <c r="K818" s="1"/>
      <c r="L818" s="1" t="s">
        <v>6946</v>
      </c>
      <c r="M818" s="1" t="s">
        <v>815</v>
      </c>
      <c r="N818" s="1">
        <v>1</v>
      </c>
      <c r="O818" s="1">
        <v>0</v>
      </c>
      <c r="P818" s="1" t="s">
        <v>267</v>
      </c>
      <c r="Q818" s="1" t="s">
        <v>268</v>
      </c>
      <c r="R818" s="1" t="s">
        <v>6947</v>
      </c>
      <c r="S818" s="1" t="s">
        <v>6948</v>
      </c>
      <c r="T818" s="1" t="s">
        <v>5815</v>
      </c>
      <c r="U818" s="1" t="s">
        <v>6949</v>
      </c>
      <c r="V818" s="1">
        <v>1</v>
      </c>
      <c r="W818" s="1">
        <v>1</v>
      </c>
      <c r="X818" s="1">
        <v>1</v>
      </c>
      <c r="Y818" s="1">
        <v>0</v>
      </c>
      <c r="Z818" s="1">
        <v>1</v>
      </c>
      <c r="AA818" s="1" t="s">
        <v>109</v>
      </c>
      <c r="AB818" s="1" t="s">
        <v>109</v>
      </c>
      <c r="AC818" s="1" t="s">
        <v>109</v>
      </c>
      <c r="AD818" s="1">
        <v>1</v>
      </c>
      <c r="AE818" s="1">
        <v>1</v>
      </c>
      <c r="AF818" s="1" t="s">
        <v>109</v>
      </c>
      <c r="AG818" s="1" t="s">
        <v>109</v>
      </c>
      <c r="AH818" s="1">
        <v>1</v>
      </c>
      <c r="AI818" s="1" t="s">
        <v>109</v>
      </c>
      <c r="AJ818" s="1" t="s">
        <v>109</v>
      </c>
      <c r="AK818" s="1" t="s">
        <v>109</v>
      </c>
      <c r="AL818" s="1" t="s">
        <v>109</v>
      </c>
      <c r="AM818" s="1" t="s">
        <v>109</v>
      </c>
      <c r="AN818" s="1" t="s">
        <v>109</v>
      </c>
      <c r="AO818" s="1" t="s">
        <v>109</v>
      </c>
      <c r="AP818" s="1"/>
      <c r="AQ818" s="1">
        <v>1</v>
      </c>
      <c r="AR818" s="1"/>
      <c r="AS818" s="1" t="s">
        <v>6950</v>
      </c>
      <c r="AT818" s="1">
        <v>0</v>
      </c>
      <c r="AU818" s="1">
        <v>0</v>
      </c>
      <c r="AV818" s="1">
        <v>0</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5" t="str">
        <f>HYPERLINK("http://www.d20pfsrd.com/magic/all-spells/n/negate-aroma","Negate Aroma")</f>
        <v>Negate Aroma</v>
      </c>
      <c r="BT818" s="1">
        <v>834</v>
      </c>
      <c r="BU818" s="1" t="s">
        <v>109</v>
      </c>
      <c r="BV818" s="1"/>
      <c r="BW818" s="1"/>
      <c r="BX818" s="1"/>
      <c r="BY818" s="1"/>
      <c r="BZ818" s="1">
        <v>0</v>
      </c>
      <c r="CA818" s="1" t="s">
        <v>109</v>
      </c>
      <c r="CB818" s="1" t="s">
        <v>109</v>
      </c>
      <c r="CC818" s="1" t="s">
        <v>109</v>
      </c>
      <c r="CD818" s="1" t="s">
        <v>109</v>
      </c>
      <c r="CE818" s="1" t="s">
        <v>109</v>
      </c>
      <c r="CF818" s="1">
        <v>1</v>
      </c>
      <c r="CG818" s="1" t="s">
        <v>109</v>
      </c>
      <c r="CH818" s="1" t="s">
        <v>109</v>
      </c>
      <c r="CI818" s="1" t="s">
        <v>109</v>
      </c>
      <c r="CJ818" s="1">
        <v>1</v>
      </c>
      <c r="CK818" s="1"/>
      <c r="CL818" s="1">
        <v>0</v>
      </c>
      <c r="CM818" s="1">
        <v>0</v>
      </c>
      <c r="CN818" s="1">
        <v>0</v>
      </c>
    </row>
    <row r="819" spans="1:92" ht="14.25" customHeight="1" x14ac:dyDescent="0.15">
      <c r="A819" s="1" t="s">
        <v>6951</v>
      </c>
      <c r="B819" s="1" t="s">
        <v>242</v>
      </c>
      <c r="C819" s="1"/>
      <c r="D819" s="1"/>
      <c r="E819" s="1" t="s">
        <v>2652</v>
      </c>
      <c r="F819" s="1" t="s">
        <v>98</v>
      </c>
      <c r="G819" s="1" t="s">
        <v>141</v>
      </c>
      <c r="H819" s="1">
        <v>0</v>
      </c>
      <c r="I819" s="1" t="s">
        <v>235</v>
      </c>
      <c r="J819" s="1"/>
      <c r="K819" s="1"/>
      <c r="L819" s="1" t="s">
        <v>236</v>
      </c>
      <c r="M819" s="1" t="s">
        <v>125</v>
      </c>
      <c r="N819" s="1">
        <v>0</v>
      </c>
      <c r="O819" s="1">
        <v>0</v>
      </c>
      <c r="P819" s="1"/>
      <c r="Q819" s="1"/>
      <c r="R819" s="1" t="s">
        <v>6952</v>
      </c>
      <c r="S819" s="1" t="s">
        <v>6953</v>
      </c>
      <c r="T819" s="1" t="s">
        <v>5815</v>
      </c>
      <c r="U819" s="1" t="s">
        <v>6954</v>
      </c>
      <c r="V819" s="1">
        <v>1</v>
      </c>
      <c r="W819" s="1">
        <v>1</v>
      </c>
      <c r="X819" s="1">
        <v>0</v>
      </c>
      <c r="Y819" s="1">
        <v>0</v>
      </c>
      <c r="Z819" s="1">
        <v>0</v>
      </c>
      <c r="AA819" s="1" t="s">
        <v>109</v>
      </c>
      <c r="AB819" s="1" t="s">
        <v>109</v>
      </c>
      <c r="AC819" s="1" t="s">
        <v>109</v>
      </c>
      <c r="AD819" s="1" t="s">
        <v>109</v>
      </c>
      <c r="AE819" s="1" t="s">
        <v>109</v>
      </c>
      <c r="AF819" s="1" t="s">
        <v>109</v>
      </c>
      <c r="AG819" s="1">
        <v>4</v>
      </c>
      <c r="AH819" s="1" t="s">
        <v>109</v>
      </c>
      <c r="AI819" s="1" t="s">
        <v>109</v>
      </c>
      <c r="AJ819" s="1" t="s">
        <v>109</v>
      </c>
      <c r="AK819" s="1" t="s">
        <v>109</v>
      </c>
      <c r="AL819" s="1" t="s">
        <v>109</v>
      </c>
      <c r="AM819" s="1" t="s">
        <v>109</v>
      </c>
      <c r="AN819" s="1" t="s">
        <v>109</v>
      </c>
      <c r="AO819" s="1" t="s">
        <v>109</v>
      </c>
      <c r="AP819" s="1"/>
      <c r="AQ819" s="1">
        <v>4</v>
      </c>
      <c r="AR819" s="1"/>
      <c r="AS819" s="1" t="s">
        <v>6955</v>
      </c>
      <c r="AT819" s="1">
        <v>0</v>
      </c>
      <c r="AU819" s="1">
        <v>0</v>
      </c>
      <c r="AV819" s="1">
        <v>0</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5" t="str">
        <f>HYPERLINK("http://www.d20pfsrd.com/magic/all-spells/o/oath-of-peace","Oath of Peace")</f>
        <v>Oath of Peace</v>
      </c>
      <c r="BT819" s="1">
        <v>835</v>
      </c>
      <c r="BU819" s="1" t="s">
        <v>109</v>
      </c>
      <c r="BV819" s="1"/>
      <c r="BW819" s="1"/>
      <c r="BX819" s="1" t="s">
        <v>6956</v>
      </c>
      <c r="BY819" s="1"/>
      <c r="BZ819" s="1">
        <v>1</v>
      </c>
      <c r="CA819" s="1" t="s">
        <v>109</v>
      </c>
      <c r="CB819" s="1" t="s">
        <v>109</v>
      </c>
      <c r="CC819" s="1" t="s">
        <v>109</v>
      </c>
      <c r="CD819" s="1" t="s">
        <v>109</v>
      </c>
      <c r="CE819" s="1" t="s">
        <v>109</v>
      </c>
      <c r="CF819" s="1" t="s">
        <v>109</v>
      </c>
      <c r="CG819" s="1" t="s">
        <v>109</v>
      </c>
      <c r="CH819" s="1" t="s">
        <v>109</v>
      </c>
      <c r="CI819" s="1" t="s">
        <v>109</v>
      </c>
      <c r="CJ819" s="1" t="s">
        <v>109</v>
      </c>
      <c r="CK819" s="1"/>
      <c r="CL819" s="1">
        <v>0</v>
      </c>
      <c r="CM819" s="1">
        <v>0</v>
      </c>
      <c r="CN819" s="1">
        <v>0</v>
      </c>
    </row>
    <row r="820" spans="1:92" ht="14.25" customHeight="1" x14ac:dyDescent="0.15">
      <c r="A820" s="1" t="s">
        <v>6957</v>
      </c>
      <c r="B820" s="1" t="s">
        <v>308</v>
      </c>
      <c r="C820" s="1"/>
      <c r="D820" s="1" t="s">
        <v>50</v>
      </c>
      <c r="E820" s="1" t="s">
        <v>6958</v>
      </c>
      <c r="F820" s="1" t="s">
        <v>98</v>
      </c>
      <c r="G820" s="1" t="s">
        <v>333</v>
      </c>
      <c r="H820" s="1">
        <v>0</v>
      </c>
      <c r="I820" s="1" t="s">
        <v>122</v>
      </c>
      <c r="J820" s="1"/>
      <c r="K820" s="1"/>
      <c r="L820" s="1" t="s">
        <v>1391</v>
      </c>
      <c r="M820" s="1" t="s">
        <v>3042</v>
      </c>
      <c r="N820" s="1">
        <v>0</v>
      </c>
      <c r="O820" s="1">
        <v>0</v>
      </c>
      <c r="P820" s="1" t="s">
        <v>301</v>
      </c>
      <c r="Q820" s="1" t="s">
        <v>268</v>
      </c>
      <c r="R820" s="1" t="s">
        <v>6959</v>
      </c>
      <c r="S820" s="1" t="s">
        <v>6960</v>
      </c>
      <c r="T820" s="1" t="s">
        <v>5815</v>
      </c>
      <c r="U820" s="1" t="s">
        <v>6961</v>
      </c>
      <c r="V820" s="1">
        <v>1</v>
      </c>
      <c r="W820" s="1">
        <v>0</v>
      </c>
      <c r="X820" s="1">
        <v>0</v>
      </c>
      <c r="Y820" s="1">
        <v>0</v>
      </c>
      <c r="Z820" s="1">
        <v>0</v>
      </c>
      <c r="AA820" s="1" t="s">
        <v>109</v>
      </c>
      <c r="AB820" s="1" t="s">
        <v>109</v>
      </c>
      <c r="AC820" s="1" t="s">
        <v>109</v>
      </c>
      <c r="AD820" s="1" t="s">
        <v>109</v>
      </c>
      <c r="AE820" s="1" t="s">
        <v>109</v>
      </c>
      <c r="AF820" s="1" t="s">
        <v>109</v>
      </c>
      <c r="AG820" s="1" t="s">
        <v>109</v>
      </c>
      <c r="AH820" s="1" t="s">
        <v>109</v>
      </c>
      <c r="AI820" s="1" t="s">
        <v>109</v>
      </c>
      <c r="AJ820" s="1" t="s">
        <v>109</v>
      </c>
      <c r="AK820" s="1" t="s">
        <v>109</v>
      </c>
      <c r="AL820" s="1">
        <v>2</v>
      </c>
      <c r="AM820" s="1" t="s">
        <v>109</v>
      </c>
      <c r="AN820" s="1" t="s">
        <v>109</v>
      </c>
      <c r="AO820" s="1" t="s">
        <v>109</v>
      </c>
      <c r="AP820" s="1"/>
      <c r="AQ820" s="1">
        <v>2</v>
      </c>
      <c r="AR820" s="1"/>
      <c r="AS820" s="1" t="s">
        <v>6962</v>
      </c>
      <c r="AT820" s="1">
        <v>0</v>
      </c>
      <c r="AU820" s="1">
        <v>0</v>
      </c>
      <c r="AV820" s="1">
        <v>0</v>
      </c>
      <c r="AW820" s="1">
        <v>0</v>
      </c>
      <c r="AX820" s="1">
        <v>1</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5" t="str">
        <f>HYPERLINK("http://www.d20pfsrd.com/magic/all-spells/o/oracle-s-burden","Oracle's Burden")</f>
        <v>Oracle's Burden</v>
      </c>
      <c r="BT820" s="1">
        <v>836</v>
      </c>
      <c r="BU820" s="1" t="s">
        <v>109</v>
      </c>
      <c r="BV820" s="1"/>
      <c r="BW820" s="1"/>
      <c r="BX820" s="1"/>
      <c r="BY820" s="1"/>
      <c r="BZ820" s="1">
        <v>0</v>
      </c>
      <c r="CA820" s="1" t="s">
        <v>109</v>
      </c>
      <c r="CB820" s="1" t="s">
        <v>109</v>
      </c>
      <c r="CC820" s="1" t="s">
        <v>109</v>
      </c>
      <c r="CD820" s="1" t="s">
        <v>109</v>
      </c>
      <c r="CE820" s="1" t="s">
        <v>109</v>
      </c>
      <c r="CF820" s="1" t="s">
        <v>109</v>
      </c>
      <c r="CG820" s="1" t="s">
        <v>109</v>
      </c>
      <c r="CH820" s="1" t="s">
        <v>109</v>
      </c>
      <c r="CI820" s="1" t="s">
        <v>109</v>
      </c>
      <c r="CJ820" s="1" t="s">
        <v>109</v>
      </c>
      <c r="CK820" s="1"/>
      <c r="CL820" s="1">
        <v>0</v>
      </c>
      <c r="CM820" s="1">
        <v>0</v>
      </c>
      <c r="CN820" s="1">
        <v>0</v>
      </c>
    </row>
    <row r="821" spans="1:92" ht="14.25" customHeight="1" x14ac:dyDescent="0.15">
      <c r="A821" s="1" t="s">
        <v>6963</v>
      </c>
      <c r="B821" s="1" t="s">
        <v>584</v>
      </c>
      <c r="C821" s="1"/>
      <c r="D821" s="1" t="s">
        <v>4940</v>
      </c>
      <c r="E821" s="1" t="s">
        <v>6964</v>
      </c>
      <c r="F821" s="1" t="s">
        <v>98</v>
      </c>
      <c r="G821" s="1" t="s">
        <v>141</v>
      </c>
      <c r="H821" s="1">
        <v>0</v>
      </c>
      <c r="I821" s="1" t="s">
        <v>142</v>
      </c>
      <c r="J821" s="1"/>
      <c r="K821" s="1"/>
      <c r="L821" s="1" t="s">
        <v>563</v>
      </c>
      <c r="M821" s="1" t="s">
        <v>574</v>
      </c>
      <c r="N821" s="1">
        <v>1</v>
      </c>
      <c r="O821" s="1">
        <v>0</v>
      </c>
      <c r="P821" s="1" t="s">
        <v>267</v>
      </c>
      <c r="Q821" s="1" t="s">
        <v>268</v>
      </c>
      <c r="R821" s="1" t="s">
        <v>6965</v>
      </c>
      <c r="S821" s="1" t="s">
        <v>6966</v>
      </c>
      <c r="T821" s="1" t="s">
        <v>5815</v>
      </c>
      <c r="U821" s="1" t="s">
        <v>6967</v>
      </c>
      <c r="V821" s="1">
        <v>1</v>
      </c>
      <c r="W821" s="1">
        <v>1</v>
      </c>
      <c r="X821" s="1">
        <v>0</v>
      </c>
      <c r="Y821" s="1">
        <v>0</v>
      </c>
      <c r="Z821" s="1">
        <v>0</v>
      </c>
      <c r="AA821" s="1">
        <v>3</v>
      </c>
      <c r="AB821" s="1">
        <v>3</v>
      </c>
      <c r="AC821" s="1" t="s">
        <v>109</v>
      </c>
      <c r="AD821" s="1" t="s">
        <v>109</v>
      </c>
      <c r="AE821" s="1" t="s">
        <v>109</v>
      </c>
      <c r="AF821" s="1" t="s">
        <v>109</v>
      </c>
      <c r="AG821" s="1" t="s">
        <v>109</v>
      </c>
      <c r="AH821" s="1" t="s">
        <v>109</v>
      </c>
      <c r="AI821" s="1" t="s">
        <v>109</v>
      </c>
      <c r="AJ821" s="1">
        <v>3</v>
      </c>
      <c r="AK821" s="1" t="s">
        <v>109</v>
      </c>
      <c r="AL821" s="1" t="s">
        <v>109</v>
      </c>
      <c r="AM821" s="1" t="s">
        <v>109</v>
      </c>
      <c r="AN821" s="1" t="s">
        <v>109</v>
      </c>
      <c r="AO821" s="1" t="s">
        <v>109</v>
      </c>
      <c r="AP821" s="1"/>
      <c r="AQ821" s="1">
        <v>3</v>
      </c>
      <c r="AR821" s="1" t="s">
        <v>6968</v>
      </c>
      <c r="AS821" s="1" t="s">
        <v>6969</v>
      </c>
      <c r="AT821" s="1">
        <v>0</v>
      </c>
      <c r="AU821" s="1">
        <v>0</v>
      </c>
      <c r="AV821" s="1">
        <v>0</v>
      </c>
      <c r="AW821" s="1">
        <v>0</v>
      </c>
      <c r="AX821" s="1">
        <v>0</v>
      </c>
      <c r="AY821" s="1">
        <v>0</v>
      </c>
      <c r="AZ821" s="1">
        <v>0</v>
      </c>
      <c r="BA821" s="1">
        <v>0</v>
      </c>
      <c r="BB821" s="1">
        <v>0</v>
      </c>
      <c r="BC821" s="1">
        <v>0</v>
      </c>
      <c r="BD821" s="1">
        <v>0</v>
      </c>
      <c r="BE821" s="1">
        <v>1</v>
      </c>
      <c r="BF821" s="1">
        <v>0</v>
      </c>
      <c r="BG821" s="1">
        <v>0</v>
      </c>
      <c r="BH821" s="1">
        <v>0</v>
      </c>
      <c r="BI821" s="1">
        <v>0</v>
      </c>
      <c r="BJ821" s="1">
        <v>0</v>
      </c>
      <c r="BK821" s="1">
        <v>0</v>
      </c>
      <c r="BL821" s="1">
        <v>0</v>
      </c>
      <c r="BM821" s="1">
        <v>0</v>
      </c>
      <c r="BN821" s="1">
        <v>1</v>
      </c>
      <c r="BO821" s="1">
        <v>0</v>
      </c>
      <c r="BP821" s="1">
        <v>0</v>
      </c>
      <c r="BQ821" s="1">
        <v>0</v>
      </c>
      <c r="BR821" s="1">
        <v>0</v>
      </c>
      <c r="BS821" s="5" t="str">
        <f>HYPERLINK("http://www.d20pfsrd.com/magic/all-spells/p/pain-strike","Pain Strike")</f>
        <v>Pain Strike</v>
      </c>
      <c r="BT821" s="1">
        <v>837</v>
      </c>
      <c r="BU821" s="1" t="s">
        <v>109</v>
      </c>
      <c r="BV821" s="1"/>
      <c r="BW821" s="1" t="s">
        <v>6970</v>
      </c>
      <c r="BX821" s="1"/>
      <c r="BY821" s="1"/>
      <c r="BZ821" s="1">
        <v>0</v>
      </c>
      <c r="CA821" s="1">
        <v>3</v>
      </c>
      <c r="CB821" s="1" t="s">
        <v>109</v>
      </c>
      <c r="CC821" s="1">
        <v>2</v>
      </c>
      <c r="CD821" s="1" t="s">
        <v>109</v>
      </c>
      <c r="CE821" s="1" t="s">
        <v>109</v>
      </c>
      <c r="CF821" s="1" t="s">
        <v>109</v>
      </c>
      <c r="CG821" s="1">
        <v>3</v>
      </c>
      <c r="CH821" s="1" t="s">
        <v>109</v>
      </c>
      <c r="CI821" s="1" t="s">
        <v>109</v>
      </c>
      <c r="CJ821" s="1" t="s">
        <v>109</v>
      </c>
      <c r="CK821" s="1"/>
      <c r="CL821" s="1">
        <v>0</v>
      </c>
      <c r="CM821" s="1">
        <v>0</v>
      </c>
      <c r="CN821" s="1">
        <v>0</v>
      </c>
    </row>
    <row r="822" spans="1:92" ht="14.25" customHeight="1" x14ac:dyDescent="0.15">
      <c r="A822" s="1" t="s">
        <v>6971</v>
      </c>
      <c r="B822" s="1" t="s">
        <v>584</v>
      </c>
      <c r="C822" s="1"/>
      <c r="D822" s="1" t="s">
        <v>4940</v>
      </c>
      <c r="E822" s="1" t="s">
        <v>6972</v>
      </c>
      <c r="F822" s="1" t="s">
        <v>98</v>
      </c>
      <c r="G822" s="1" t="s">
        <v>141</v>
      </c>
      <c r="H822" s="1">
        <v>0</v>
      </c>
      <c r="I822" s="1" t="s">
        <v>142</v>
      </c>
      <c r="J822" s="1"/>
      <c r="K822" s="1"/>
      <c r="L822" s="1" t="s">
        <v>6973</v>
      </c>
      <c r="M822" s="1" t="s">
        <v>574</v>
      </c>
      <c r="N822" s="1">
        <v>1</v>
      </c>
      <c r="O822" s="1">
        <v>0</v>
      </c>
      <c r="P822" s="1" t="s">
        <v>267</v>
      </c>
      <c r="Q822" s="1" t="s">
        <v>268</v>
      </c>
      <c r="R822" s="1" t="s">
        <v>6974</v>
      </c>
      <c r="S822" s="1" t="s">
        <v>6975</v>
      </c>
      <c r="T822" s="1" t="s">
        <v>5815</v>
      </c>
      <c r="U822" s="1" t="s">
        <v>6976</v>
      </c>
      <c r="V822" s="1">
        <v>1</v>
      </c>
      <c r="W822" s="1">
        <v>1</v>
      </c>
      <c r="X822" s="1">
        <v>0</v>
      </c>
      <c r="Y822" s="1">
        <v>0</v>
      </c>
      <c r="Z822" s="1">
        <v>0</v>
      </c>
      <c r="AA822" s="1">
        <v>5</v>
      </c>
      <c r="AB822" s="1">
        <v>5</v>
      </c>
      <c r="AC822" s="1" t="s">
        <v>109</v>
      </c>
      <c r="AD822" s="1" t="s">
        <v>109</v>
      </c>
      <c r="AE822" s="1" t="s">
        <v>109</v>
      </c>
      <c r="AF822" s="1" t="s">
        <v>109</v>
      </c>
      <c r="AG822" s="1" t="s">
        <v>109</v>
      </c>
      <c r="AH822" s="1" t="s">
        <v>109</v>
      </c>
      <c r="AI822" s="1" t="s">
        <v>109</v>
      </c>
      <c r="AJ822" s="1">
        <v>5</v>
      </c>
      <c r="AK822" s="1" t="s">
        <v>109</v>
      </c>
      <c r="AL822" s="1" t="s">
        <v>109</v>
      </c>
      <c r="AM822" s="1" t="s">
        <v>109</v>
      </c>
      <c r="AN822" s="1" t="s">
        <v>109</v>
      </c>
      <c r="AO822" s="1" t="s">
        <v>109</v>
      </c>
      <c r="AP822" s="1"/>
      <c r="AQ822" s="1">
        <v>5</v>
      </c>
      <c r="AR822" s="1"/>
      <c r="AS822" s="1" t="s">
        <v>6977</v>
      </c>
      <c r="AT822" s="1">
        <v>0</v>
      </c>
      <c r="AU822" s="1">
        <v>0</v>
      </c>
      <c r="AV822" s="1">
        <v>0</v>
      </c>
      <c r="AW822" s="1">
        <v>0</v>
      </c>
      <c r="AX822" s="1">
        <v>0</v>
      </c>
      <c r="AY822" s="1">
        <v>0</v>
      </c>
      <c r="AZ822" s="1">
        <v>0</v>
      </c>
      <c r="BA822" s="1">
        <v>0</v>
      </c>
      <c r="BB822" s="1">
        <v>0</v>
      </c>
      <c r="BC822" s="1">
        <v>0</v>
      </c>
      <c r="BD822" s="1">
        <v>0</v>
      </c>
      <c r="BE822" s="1">
        <v>1</v>
      </c>
      <c r="BF822" s="1">
        <v>0</v>
      </c>
      <c r="BG822" s="1">
        <v>0</v>
      </c>
      <c r="BH822" s="1">
        <v>0</v>
      </c>
      <c r="BI822" s="1">
        <v>0</v>
      </c>
      <c r="BJ822" s="1">
        <v>0</v>
      </c>
      <c r="BK822" s="1">
        <v>0</v>
      </c>
      <c r="BL822" s="1">
        <v>0</v>
      </c>
      <c r="BM822" s="1">
        <v>0</v>
      </c>
      <c r="BN822" s="1">
        <v>1</v>
      </c>
      <c r="BO822" s="1">
        <v>0</v>
      </c>
      <c r="BP822" s="1">
        <v>0</v>
      </c>
      <c r="BQ822" s="1">
        <v>0</v>
      </c>
      <c r="BR822" s="1">
        <v>0</v>
      </c>
      <c r="BS822" s="5" t="str">
        <f>HYPERLINK("http://www.d20pfsrd.com/magic/all-spells/p/pain-strike,-mass","Pain Strike, Mass")</f>
        <v>Pain Strike, Mass</v>
      </c>
      <c r="BT822" s="1">
        <v>838</v>
      </c>
      <c r="BU822" s="1" t="s">
        <v>109</v>
      </c>
      <c r="BV822" s="1"/>
      <c r="BW822" s="1" t="s">
        <v>6978</v>
      </c>
      <c r="BX822" s="1"/>
      <c r="BY822" s="1"/>
      <c r="BZ822" s="1">
        <v>0</v>
      </c>
      <c r="CA822" s="1" t="s">
        <v>109</v>
      </c>
      <c r="CB822" s="1" t="s">
        <v>109</v>
      </c>
      <c r="CC822" s="1">
        <v>4</v>
      </c>
      <c r="CD822" s="1" t="s">
        <v>109</v>
      </c>
      <c r="CE822" s="1" t="s">
        <v>109</v>
      </c>
      <c r="CF822" s="1" t="s">
        <v>109</v>
      </c>
      <c r="CG822" s="1">
        <v>5</v>
      </c>
      <c r="CH822" s="1" t="s">
        <v>109</v>
      </c>
      <c r="CI822" s="1" t="s">
        <v>109</v>
      </c>
      <c r="CJ822" s="1" t="s">
        <v>109</v>
      </c>
      <c r="CK822" s="1"/>
      <c r="CL822" s="1">
        <v>0</v>
      </c>
      <c r="CM822" s="1">
        <v>0</v>
      </c>
      <c r="CN822" s="1">
        <v>0</v>
      </c>
    </row>
    <row r="823" spans="1:92" ht="14.25" customHeight="1" x14ac:dyDescent="0.15">
      <c r="A823" s="1" t="s">
        <v>6979</v>
      </c>
      <c r="B823" s="1" t="s">
        <v>242</v>
      </c>
      <c r="C823" s="1"/>
      <c r="D823" s="1"/>
      <c r="E823" s="1" t="s">
        <v>5912</v>
      </c>
      <c r="F823" s="1" t="s">
        <v>1963</v>
      </c>
      <c r="G823" s="1" t="s">
        <v>6142</v>
      </c>
      <c r="H823" s="1">
        <v>0</v>
      </c>
      <c r="I823" s="1" t="s">
        <v>142</v>
      </c>
      <c r="J823" s="1"/>
      <c r="K823" s="1"/>
      <c r="L823" s="1" t="s">
        <v>1391</v>
      </c>
      <c r="M823" s="1" t="s">
        <v>144</v>
      </c>
      <c r="N823" s="1">
        <v>0</v>
      </c>
      <c r="O823" s="1">
        <v>0</v>
      </c>
      <c r="P823" s="1" t="s">
        <v>1382</v>
      </c>
      <c r="Q823" s="1" t="s">
        <v>167</v>
      </c>
      <c r="R823" s="1" t="s">
        <v>6980</v>
      </c>
      <c r="S823" s="1" t="s">
        <v>6981</v>
      </c>
      <c r="T823" s="1" t="s">
        <v>5815</v>
      </c>
      <c r="U823" s="1" t="s">
        <v>6982</v>
      </c>
      <c r="V823" s="1">
        <v>1</v>
      </c>
      <c r="W823" s="1">
        <v>0</v>
      </c>
      <c r="X823" s="1">
        <v>0</v>
      </c>
      <c r="Y823" s="1">
        <v>0</v>
      </c>
      <c r="Z823" s="1">
        <v>1</v>
      </c>
      <c r="AA823" s="1" t="s">
        <v>109</v>
      </c>
      <c r="AB823" s="1" t="s">
        <v>109</v>
      </c>
      <c r="AC823" s="1" t="s">
        <v>109</v>
      </c>
      <c r="AD823" s="1" t="s">
        <v>109</v>
      </c>
      <c r="AE823" s="1" t="s">
        <v>109</v>
      </c>
      <c r="AF823" s="1" t="s">
        <v>109</v>
      </c>
      <c r="AG823" s="1">
        <v>2</v>
      </c>
      <c r="AH823" s="1" t="s">
        <v>109</v>
      </c>
      <c r="AI823" s="1" t="s">
        <v>109</v>
      </c>
      <c r="AJ823" s="1" t="s">
        <v>109</v>
      </c>
      <c r="AK823" s="1" t="s">
        <v>109</v>
      </c>
      <c r="AL823" s="1" t="s">
        <v>109</v>
      </c>
      <c r="AM823" s="1" t="s">
        <v>109</v>
      </c>
      <c r="AN823" s="1" t="s">
        <v>109</v>
      </c>
      <c r="AO823" s="1" t="s">
        <v>109</v>
      </c>
      <c r="AP823" s="1"/>
      <c r="AQ823" s="1">
        <v>2</v>
      </c>
      <c r="AR823" s="1"/>
      <c r="AS823" s="1" t="s">
        <v>6983</v>
      </c>
      <c r="AT823" s="1">
        <v>0</v>
      </c>
      <c r="AU823" s="1">
        <v>0</v>
      </c>
      <c r="AV823" s="1">
        <v>0</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5" t="str">
        <f>HYPERLINK("http://www.d20pfsrd.com/magic/all-spells/p/paladin-s-sacrifice","Paladin's Sacrifice")</f>
        <v>Paladin's Sacrifice</v>
      </c>
      <c r="BT823" s="1">
        <v>839</v>
      </c>
      <c r="BU823" s="1" t="s">
        <v>109</v>
      </c>
      <c r="BV823" s="1"/>
      <c r="BW823" s="1"/>
      <c r="BX823" s="1"/>
      <c r="BY823" s="1"/>
      <c r="BZ823" s="1">
        <v>0</v>
      </c>
      <c r="CA823" s="1" t="s">
        <v>109</v>
      </c>
      <c r="CB823" s="1" t="s">
        <v>109</v>
      </c>
      <c r="CC823" s="1" t="s">
        <v>109</v>
      </c>
      <c r="CD823" s="1" t="s">
        <v>109</v>
      </c>
      <c r="CE823" s="1" t="s">
        <v>109</v>
      </c>
      <c r="CF823" s="1" t="s">
        <v>109</v>
      </c>
      <c r="CG823" s="1" t="s">
        <v>109</v>
      </c>
      <c r="CH823" s="1" t="s">
        <v>109</v>
      </c>
      <c r="CI823" s="1" t="s">
        <v>109</v>
      </c>
      <c r="CJ823" s="1" t="s">
        <v>109</v>
      </c>
      <c r="CK823" s="1"/>
      <c r="CL823" s="1">
        <v>0</v>
      </c>
      <c r="CM823" s="1">
        <v>0</v>
      </c>
      <c r="CN823" s="1">
        <v>0</v>
      </c>
    </row>
    <row r="824" spans="1:92" ht="14.25" customHeight="1" x14ac:dyDescent="0.15">
      <c r="A824" s="1" t="s">
        <v>6984</v>
      </c>
      <c r="B824" s="1" t="s">
        <v>674</v>
      </c>
      <c r="C824" s="1" t="s">
        <v>1715</v>
      </c>
      <c r="D824" s="1" t="s">
        <v>4167</v>
      </c>
      <c r="E824" s="1" t="s">
        <v>6985</v>
      </c>
      <c r="F824" s="1" t="s">
        <v>98</v>
      </c>
      <c r="G824" s="1" t="s">
        <v>141</v>
      </c>
      <c r="H824" s="1">
        <v>0</v>
      </c>
      <c r="I824" s="1" t="s">
        <v>6986</v>
      </c>
      <c r="J824" s="1"/>
      <c r="K824" s="1"/>
      <c r="L824" s="1" t="s">
        <v>6987</v>
      </c>
      <c r="M824" s="1" t="s">
        <v>144</v>
      </c>
      <c r="N824" s="1">
        <v>0</v>
      </c>
      <c r="O824" s="1">
        <v>0</v>
      </c>
      <c r="P824" s="1" t="s">
        <v>6988</v>
      </c>
      <c r="Q824" s="1" t="s">
        <v>268</v>
      </c>
      <c r="R824" s="1" t="s">
        <v>6989</v>
      </c>
      <c r="S824" s="1" t="s">
        <v>6990</v>
      </c>
      <c r="T824" s="1" t="s">
        <v>5815</v>
      </c>
      <c r="U824" s="1" t="s">
        <v>6991</v>
      </c>
      <c r="V824" s="1">
        <v>1</v>
      </c>
      <c r="W824" s="1">
        <v>1</v>
      </c>
      <c r="X824" s="1">
        <v>0</v>
      </c>
      <c r="Y824" s="1">
        <v>0</v>
      </c>
      <c r="Z824" s="1">
        <v>0</v>
      </c>
      <c r="AA824" s="1">
        <v>7</v>
      </c>
      <c r="AB824" s="1">
        <v>7</v>
      </c>
      <c r="AC824" s="1" t="s">
        <v>109</v>
      </c>
      <c r="AD824" s="1" t="s">
        <v>109</v>
      </c>
      <c r="AE824" s="1" t="s">
        <v>109</v>
      </c>
      <c r="AF824" s="1" t="s">
        <v>109</v>
      </c>
      <c r="AG824" s="1" t="s">
        <v>109</v>
      </c>
      <c r="AH824" s="1" t="s">
        <v>109</v>
      </c>
      <c r="AI824" s="1" t="s">
        <v>109</v>
      </c>
      <c r="AJ824" s="1" t="s">
        <v>109</v>
      </c>
      <c r="AK824" s="1" t="s">
        <v>109</v>
      </c>
      <c r="AL824" s="1" t="s">
        <v>109</v>
      </c>
      <c r="AM824" s="1" t="s">
        <v>109</v>
      </c>
      <c r="AN824" s="1" t="s">
        <v>109</v>
      </c>
      <c r="AO824" s="1" t="s">
        <v>109</v>
      </c>
      <c r="AP824" s="1"/>
      <c r="AQ824" s="1">
        <v>7</v>
      </c>
      <c r="AR824" s="1"/>
      <c r="AS824" s="1" t="s">
        <v>6992</v>
      </c>
      <c r="AT824" s="1">
        <v>0</v>
      </c>
      <c r="AU824" s="1">
        <v>0</v>
      </c>
      <c r="AV824" s="1">
        <v>0</v>
      </c>
      <c r="AW824" s="1">
        <v>0</v>
      </c>
      <c r="AX824" s="1">
        <v>0</v>
      </c>
      <c r="AY824" s="1">
        <v>0</v>
      </c>
      <c r="AZ824" s="1">
        <v>0</v>
      </c>
      <c r="BA824" s="1">
        <v>0</v>
      </c>
      <c r="BB824" s="1">
        <v>0</v>
      </c>
      <c r="BC824" s="1">
        <v>0</v>
      </c>
      <c r="BD824" s="1">
        <v>1</v>
      </c>
      <c r="BE824" s="1">
        <v>0</v>
      </c>
      <c r="BF824" s="1">
        <v>1</v>
      </c>
      <c r="BG824" s="1">
        <v>0</v>
      </c>
      <c r="BH824" s="1">
        <v>0</v>
      </c>
      <c r="BI824" s="1">
        <v>0</v>
      </c>
      <c r="BJ824" s="1">
        <v>0</v>
      </c>
      <c r="BK824" s="1">
        <v>0</v>
      </c>
      <c r="BL824" s="1">
        <v>0</v>
      </c>
      <c r="BM824" s="1">
        <v>1</v>
      </c>
      <c r="BN824" s="1">
        <v>0</v>
      </c>
      <c r="BO824" s="1">
        <v>0</v>
      </c>
      <c r="BP824" s="1">
        <v>0</v>
      </c>
      <c r="BQ824" s="1">
        <v>0</v>
      </c>
      <c r="BR824" s="1">
        <v>0</v>
      </c>
      <c r="BS824" s="5" t="str">
        <f>HYPERLINK("http://www.d20pfsrd.com/magic/all-spells/p/phantasmal-revenge","Phantasmal Revenge")</f>
        <v>Phantasmal Revenge</v>
      </c>
      <c r="BT824" s="1">
        <v>840</v>
      </c>
      <c r="BU824" s="1" t="s">
        <v>109</v>
      </c>
      <c r="BV824" s="1"/>
      <c r="BW824" s="1" t="s">
        <v>6993</v>
      </c>
      <c r="BX824" s="1"/>
      <c r="BY824" s="1"/>
      <c r="BZ824" s="1">
        <v>0</v>
      </c>
      <c r="CA824" s="1" t="s">
        <v>109</v>
      </c>
      <c r="CB824" s="1" t="s">
        <v>109</v>
      </c>
      <c r="CC824" s="1">
        <v>7</v>
      </c>
      <c r="CD824" s="1" t="s">
        <v>109</v>
      </c>
      <c r="CE824" s="1">
        <v>6</v>
      </c>
      <c r="CF824" s="1" t="s">
        <v>109</v>
      </c>
      <c r="CG824" s="1" t="s">
        <v>109</v>
      </c>
      <c r="CH824" s="1" t="s">
        <v>109</v>
      </c>
      <c r="CI824" s="1" t="s">
        <v>109</v>
      </c>
      <c r="CJ824" s="1" t="s">
        <v>109</v>
      </c>
      <c r="CK824" s="1"/>
      <c r="CL824" s="1">
        <v>0</v>
      </c>
      <c r="CM824" s="1">
        <v>0</v>
      </c>
      <c r="CN824" s="1">
        <v>0</v>
      </c>
    </row>
    <row r="825" spans="1:92" ht="14.25" customHeight="1" x14ac:dyDescent="0.15">
      <c r="A825" s="1" t="s">
        <v>6994</v>
      </c>
      <c r="B825" s="1" t="s">
        <v>674</v>
      </c>
      <c r="C825" s="1" t="s">
        <v>1715</v>
      </c>
      <c r="D825" s="1" t="s">
        <v>158</v>
      </c>
      <c r="E825" s="1" t="s">
        <v>6995</v>
      </c>
      <c r="F825" s="1" t="s">
        <v>98</v>
      </c>
      <c r="G825" s="1" t="s">
        <v>141</v>
      </c>
      <c r="H825" s="1">
        <v>0</v>
      </c>
      <c r="I825" s="1" t="s">
        <v>122</v>
      </c>
      <c r="J825" s="1"/>
      <c r="K825" s="1"/>
      <c r="L825" s="1" t="s">
        <v>6996</v>
      </c>
      <c r="M825" s="1" t="s">
        <v>574</v>
      </c>
      <c r="N825" s="1">
        <v>1</v>
      </c>
      <c r="O825" s="1">
        <v>0</v>
      </c>
      <c r="P825" s="1" t="s">
        <v>3536</v>
      </c>
      <c r="Q825" s="1" t="s">
        <v>268</v>
      </c>
      <c r="R825" s="1" t="s">
        <v>6997</v>
      </c>
      <c r="S825" s="1" t="s">
        <v>6998</v>
      </c>
      <c r="T825" s="1" t="s">
        <v>5815</v>
      </c>
      <c r="U825" s="1" t="s">
        <v>6999</v>
      </c>
      <c r="V825" s="1">
        <v>1</v>
      </c>
      <c r="W825" s="1">
        <v>1</v>
      </c>
      <c r="X825" s="1">
        <v>0</v>
      </c>
      <c r="Y825" s="1">
        <v>0</v>
      </c>
      <c r="Z825" s="1">
        <v>0</v>
      </c>
      <c r="AA825" s="1">
        <v>5</v>
      </c>
      <c r="AB825" s="1">
        <v>5</v>
      </c>
      <c r="AC825" s="1" t="s">
        <v>109</v>
      </c>
      <c r="AD825" s="1" t="s">
        <v>109</v>
      </c>
      <c r="AE825" s="1" t="s">
        <v>109</v>
      </c>
      <c r="AF825" s="1">
        <v>5</v>
      </c>
      <c r="AG825" s="1" t="s">
        <v>109</v>
      </c>
      <c r="AH825" s="1" t="s">
        <v>109</v>
      </c>
      <c r="AI825" s="1" t="s">
        <v>109</v>
      </c>
      <c r="AJ825" s="1" t="s">
        <v>109</v>
      </c>
      <c r="AK825" s="1" t="s">
        <v>109</v>
      </c>
      <c r="AL825" s="1" t="s">
        <v>109</v>
      </c>
      <c r="AM825" s="1" t="s">
        <v>109</v>
      </c>
      <c r="AN825" s="1" t="s">
        <v>109</v>
      </c>
      <c r="AO825" s="1" t="s">
        <v>109</v>
      </c>
      <c r="AP825" s="1"/>
      <c r="AQ825" s="1">
        <v>5</v>
      </c>
      <c r="AR825" s="1" t="s">
        <v>7000</v>
      </c>
      <c r="AS825" s="1" t="s">
        <v>7001</v>
      </c>
      <c r="AT825" s="1">
        <v>0</v>
      </c>
      <c r="AU825" s="1">
        <v>0</v>
      </c>
      <c r="AV825" s="1">
        <v>0</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1</v>
      </c>
      <c r="BN825" s="1">
        <v>0</v>
      </c>
      <c r="BO825" s="1">
        <v>0</v>
      </c>
      <c r="BP825" s="1">
        <v>0</v>
      </c>
      <c r="BQ825" s="1">
        <v>0</v>
      </c>
      <c r="BR825" s="1">
        <v>0</v>
      </c>
      <c r="BS825" s="5" t="str">
        <f>HYPERLINK("http://www.d20pfsrd.com/magic/all-spells/p/phantasmal-web","Phantasmal Web")</f>
        <v>Phantasmal Web</v>
      </c>
      <c r="BT825" s="1">
        <v>841</v>
      </c>
      <c r="BU825" s="1" t="s">
        <v>109</v>
      </c>
      <c r="BV825" s="1"/>
      <c r="BW825" s="1"/>
      <c r="BX825" s="1"/>
      <c r="BY825" s="1"/>
      <c r="BZ825" s="1">
        <v>0</v>
      </c>
      <c r="CA825" s="1" t="s">
        <v>109</v>
      </c>
      <c r="CB825" s="1" t="s">
        <v>109</v>
      </c>
      <c r="CC825" s="1">
        <v>5</v>
      </c>
      <c r="CD825" s="1" t="s">
        <v>109</v>
      </c>
      <c r="CE825" s="1">
        <v>5</v>
      </c>
      <c r="CF825" s="1" t="s">
        <v>109</v>
      </c>
      <c r="CG825" s="1">
        <v>5</v>
      </c>
      <c r="CH825" s="1" t="s">
        <v>109</v>
      </c>
      <c r="CI825" s="1" t="s">
        <v>109</v>
      </c>
      <c r="CJ825" s="1" t="s">
        <v>109</v>
      </c>
      <c r="CK825" s="1"/>
      <c r="CL825" s="1">
        <v>0</v>
      </c>
      <c r="CM825" s="1">
        <v>0</v>
      </c>
      <c r="CN825" s="1">
        <v>0</v>
      </c>
    </row>
    <row r="826" spans="1:92" ht="14.25" customHeight="1" x14ac:dyDescent="0.15">
      <c r="A826" s="1" t="s">
        <v>7002</v>
      </c>
      <c r="B826" s="1" t="s">
        <v>156</v>
      </c>
      <c r="C826" s="1" t="s">
        <v>157</v>
      </c>
      <c r="D826" s="1" t="s">
        <v>297</v>
      </c>
      <c r="E826" s="1" t="s">
        <v>4972</v>
      </c>
      <c r="F826" s="1" t="s">
        <v>98</v>
      </c>
      <c r="G826" s="1" t="s">
        <v>7003</v>
      </c>
      <c r="H826" s="1">
        <v>0</v>
      </c>
      <c r="I826" s="1" t="s">
        <v>7004</v>
      </c>
      <c r="J826" s="1" t="s">
        <v>7005</v>
      </c>
      <c r="K826" s="1"/>
      <c r="L826" s="1"/>
      <c r="M826" s="1" t="s">
        <v>3019</v>
      </c>
      <c r="N826" s="1">
        <v>0</v>
      </c>
      <c r="O826" s="1">
        <v>0</v>
      </c>
      <c r="P826" s="1" t="s">
        <v>826</v>
      </c>
      <c r="Q826" s="1" t="s">
        <v>268</v>
      </c>
      <c r="R826" s="1" t="s">
        <v>7006</v>
      </c>
      <c r="S826" s="1" t="s">
        <v>7007</v>
      </c>
      <c r="T826" s="1" t="s">
        <v>5815</v>
      </c>
      <c r="U826" s="1" t="s">
        <v>7008</v>
      </c>
      <c r="V826" s="1">
        <v>1</v>
      </c>
      <c r="W826" s="1">
        <v>0</v>
      </c>
      <c r="X826" s="1">
        <v>0</v>
      </c>
      <c r="Y826" s="1">
        <v>0</v>
      </c>
      <c r="Z826" s="1">
        <v>0</v>
      </c>
      <c r="AA826" s="1" t="s">
        <v>109</v>
      </c>
      <c r="AB826" s="1" t="s">
        <v>109</v>
      </c>
      <c r="AC826" s="1" t="s">
        <v>109</v>
      </c>
      <c r="AD826" s="1" t="s">
        <v>109</v>
      </c>
      <c r="AE826" s="1" t="s">
        <v>109</v>
      </c>
      <c r="AF826" s="1">
        <v>6</v>
      </c>
      <c r="AG826" s="1" t="s">
        <v>109</v>
      </c>
      <c r="AH826" s="1" t="s">
        <v>109</v>
      </c>
      <c r="AI826" s="1" t="s">
        <v>109</v>
      </c>
      <c r="AJ826" s="1" t="s">
        <v>109</v>
      </c>
      <c r="AK826" s="1" t="s">
        <v>109</v>
      </c>
      <c r="AL826" s="1" t="s">
        <v>109</v>
      </c>
      <c r="AM826" s="1" t="s">
        <v>109</v>
      </c>
      <c r="AN826" s="1" t="s">
        <v>109</v>
      </c>
      <c r="AO826" s="1" t="s">
        <v>109</v>
      </c>
      <c r="AP826" s="1"/>
      <c r="AQ826" s="1">
        <v>6</v>
      </c>
      <c r="AR826" s="1"/>
      <c r="AS826" s="1" t="s">
        <v>7009</v>
      </c>
      <c r="AT826" s="1">
        <v>0</v>
      </c>
      <c r="AU826" s="1">
        <v>0</v>
      </c>
      <c r="AV826" s="1">
        <v>0</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1</v>
      </c>
      <c r="BN826" s="1">
        <v>0</v>
      </c>
      <c r="BO826" s="1">
        <v>0</v>
      </c>
      <c r="BP826" s="1">
        <v>0</v>
      </c>
      <c r="BQ826" s="1">
        <v>1</v>
      </c>
      <c r="BR826" s="1">
        <v>0</v>
      </c>
      <c r="BS826" s="5" t="str">
        <f>HYPERLINK("http://www.d20pfsrd.com/magic/all-spells/p/pied-piping","Pied Piping")</f>
        <v>Pied Piping</v>
      </c>
      <c r="BT826" s="1">
        <v>842</v>
      </c>
      <c r="BU826" s="1" t="s">
        <v>109</v>
      </c>
      <c r="BV826" s="1"/>
      <c r="BW826" s="1"/>
      <c r="BX826" s="1"/>
      <c r="BY826" s="1"/>
      <c r="BZ826" s="1">
        <v>0</v>
      </c>
      <c r="CA826" s="1" t="s">
        <v>109</v>
      </c>
      <c r="CB826" s="1" t="s">
        <v>109</v>
      </c>
      <c r="CC826" s="1" t="s">
        <v>109</v>
      </c>
      <c r="CD826" s="1" t="s">
        <v>109</v>
      </c>
      <c r="CE826" s="1" t="s">
        <v>109</v>
      </c>
      <c r="CF826" s="1" t="s">
        <v>109</v>
      </c>
      <c r="CG826" s="1" t="s">
        <v>109</v>
      </c>
      <c r="CH826" s="1" t="s">
        <v>109</v>
      </c>
      <c r="CI826" s="1" t="s">
        <v>109</v>
      </c>
      <c r="CJ826" s="1" t="s">
        <v>109</v>
      </c>
      <c r="CK826" s="1"/>
      <c r="CL826" s="1">
        <v>0</v>
      </c>
      <c r="CM826" s="1">
        <v>0</v>
      </c>
      <c r="CN826" s="1">
        <v>0</v>
      </c>
    </row>
    <row r="827" spans="1:92" ht="14.25" customHeight="1" x14ac:dyDescent="0.15">
      <c r="A827" s="1" t="s">
        <v>7010</v>
      </c>
      <c r="B827" s="1" t="s">
        <v>95</v>
      </c>
      <c r="C827" s="1" t="s">
        <v>694</v>
      </c>
      <c r="D827" s="1" t="s">
        <v>64</v>
      </c>
      <c r="E827" s="1" t="s">
        <v>5614</v>
      </c>
      <c r="F827" s="1" t="s">
        <v>98</v>
      </c>
      <c r="G827" s="1" t="s">
        <v>160</v>
      </c>
      <c r="H827" s="1">
        <v>0</v>
      </c>
      <c r="I827" s="1" t="s">
        <v>122</v>
      </c>
      <c r="J827" s="1"/>
      <c r="K827" s="1" t="s">
        <v>7011</v>
      </c>
      <c r="L827" s="1"/>
      <c r="M827" s="1" t="s">
        <v>125</v>
      </c>
      <c r="N827" s="1">
        <v>0</v>
      </c>
      <c r="O827" s="1">
        <v>0</v>
      </c>
      <c r="P827" s="1" t="s">
        <v>103</v>
      </c>
      <c r="Q827" s="1" t="s">
        <v>104</v>
      </c>
      <c r="R827" s="1" t="s">
        <v>7012</v>
      </c>
      <c r="S827" s="1" t="s">
        <v>7013</v>
      </c>
      <c r="T827" s="1" t="s">
        <v>5815</v>
      </c>
      <c r="U827" s="1" t="s">
        <v>7014</v>
      </c>
      <c r="V827" s="1">
        <v>1</v>
      </c>
      <c r="W827" s="1">
        <v>1</v>
      </c>
      <c r="X827" s="1">
        <v>0</v>
      </c>
      <c r="Y827" s="1">
        <v>0</v>
      </c>
      <c r="Z827" s="1">
        <v>1</v>
      </c>
      <c r="AA827" s="1" t="s">
        <v>109</v>
      </c>
      <c r="AB827" s="1" t="s">
        <v>109</v>
      </c>
      <c r="AC827" s="1">
        <v>5</v>
      </c>
      <c r="AD827" s="1" t="s">
        <v>109</v>
      </c>
      <c r="AE827" s="1" t="s">
        <v>109</v>
      </c>
      <c r="AF827" s="1" t="s">
        <v>109</v>
      </c>
      <c r="AG827" s="1" t="s">
        <v>109</v>
      </c>
      <c r="AH827" s="1" t="s">
        <v>109</v>
      </c>
      <c r="AI827" s="1" t="s">
        <v>109</v>
      </c>
      <c r="AJ827" s="1" t="s">
        <v>109</v>
      </c>
      <c r="AK827" s="1" t="s">
        <v>109</v>
      </c>
      <c r="AL827" s="1">
        <v>5</v>
      </c>
      <c r="AM827" s="1" t="s">
        <v>109</v>
      </c>
      <c r="AN827" s="1" t="s">
        <v>109</v>
      </c>
      <c r="AO827" s="1" t="s">
        <v>109</v>
      </c>
      <c r="AP827" s="1"/>
      <c r="AQ827" s="1">
        <v>5</v>
      </c>
      <c r="AR827" s="1"/>
      <c r="AS827" s="1" t="s">
        <v>7015</v>
      </c>
      <c r="AT827" s="1">
        <v>0</v>
      </c>
      <c r="AU827" s="1">
        <v>0</v>
      </c>
      <c r="AV827" s="1">
        <v>0</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1</v>
      </c>
      <c r="BM827" s="1">
        <v>0</v>
      </c>
      <c r="BN827" s="1">
        <v>0</v>
      </c>
      <c r="BO827" s="1">
        <v>0</v>
      </c>
      <c r="BP827" s="1">
        <v>0</v>
      </c>
      <c r="BQ827" s="1">
        <v>0</v>
      </c>
      <c r="BR827" s="1">
        <v>0</v>
      </c>
      <c r="BS827" s="5" t="str">
        <f>HYPERLINK("http://www.d20pfsrd.com/magic/all-spells/p/pillar-of-life","Pillar of Life")</f>
        <v>Pillar of Life</v>
      </c>
      <c r="BT827" s="1">
        <v>843</v>
      </c>
      <c r="BU827" s="1" t="s">
        <v>109</v>
      </c>
      <c r="BV827" s="1"/>
      <c r="BW827" s="1" t="s">
        <v>7016</v>
      </c>
      <c r="BX827" s="1" t="s">
        <v>7017</v>
      </c>
      <c r="BY827" s="1"/>
      <c r="BZ827" s="1">
        <v>1</v>
      </c>
      <c r="CA827" s="1" t="s">
        <v>109</v>
      </c>
      <c r="CB827" s="1" t="s">
        <v>109</v>
      </c>
      <c r="CC827" s="1" t="s">
        <v>109</v>
      </c>
      <c r="CD827" s="1" t="s">
        <v>109</v>
      </c>
      <c r="CE827" s="1" t="s">
        <v>109</v>
      </c>
      <c r="CF827" s="1" t="s">
        <v>109</v>
      </c>
      <c r="CG827" s="1" t="s">
        <v>109</v>
      </c>
      <c r="CH827" s="1" t="s">
        <v>109</v>
      </c>
      <c r="CI827" s="1" t="s">
        <v>109</v>
      </c>
      <c r="CJ827" s="1" t="s">
        <v>109</v>
      </c>
      <c r="CK827" s="1"/>
      <c r="CL827" s="1">
        <v>0</v>
      </c>
      <c r="CM827" s="1">
        <v>0</v>
      </c>
      <c r="CN827" s="1">
        <v>0</v>
      </c>
    </row>
    <row r="828" spans="1:92" ht="14.25" customHeight="1" x14ac:dyDescent="0.15">
      <c r="A828" s="1" t="s">
        <v>7018</v>
      </c>
      <c r="B828" s="1" t="s">
        <v>189</v>
      </c>
      <c r="C828" s="1"/>
      <c r="D828" s="1"/>
      <c r="E828" s="1" t="s">
        <v>7019</v>
      </c>
      <c r="F828" s="1" t="s">
        <v>98</v>
      </c>
      <c r="G828" s="1" t="s">
        <v>333</v>
      </c>
      <c r="H828" s="1">
        <v>0</v>
      </c>
      <c r="I828" s="1" t="s">
        <v>235</v>
      </c>
      <c r="J828" s="1"/>
      <c r="K828" s="1"/>
      <c r="L828" s="1" t="s">
        <v>236</v>
      </c>
      <c r="M828" s="1" t="s">
        <v>815</v>
      </c>
      <c r="N828" s="1">
        <v>1</v>
      </c>
      <c r="O828" s="1">
        <v>0</v>
      </c>
      <c r="P828" s="1"/>
      <c r="Q828" s="1"/>
      <c r="R828" s="1" t="s">
        <v>7020</v>
      </c>
      <c r="S828" s="1" t="s">
        <v>7021</v>
      </c>
      <c r="T828" s="1" t="s">
        <v>5815</v>
      </c>
      <c r="U828" s="1" t="s">
        <v>7022</v>
      </c>
      <c r="V828" s="1">
        <v>1</v>
      </c>
      <c r="W828" s="1">
        <v>0</v>
      </c>
      <c r="X828" s="1">
        <v>0</v>
      </c>
      <c r="Y828" s="1">
        <v>0</v>
      </c>
      <c r="Z828" s="1">
        <v>0</v>
      </c>
      <c r="AA828" s="1">
        <v>5</v>
      </c>
      <c r="AB828" s="1">
        <v>5</v>
      </c>
      <c r="AC828" s="1">
        <v>4</v>
      </c>
      <c r="AD828" s="1" t="s">
        <v>109</v>
      </c>
      <c r="AE828" s="1" t="s">
        <v>109</v>
      </c>
      <c r="AF828" s="1" t="s">
        <v>109</v>
      </c>
      <c r="AG828" s="1" t="s">
        <v>109</v>
      </c>
      <c r="AH828" s="1">
        <v>5</v>
      </c>
      <c r="AI828" s="1">
        <v>5</v>
      </c>
      <c r="AJ828" s="1" t="s">
        <v>109</v>
      </c>
      <c r="AK828" s="1" t="s">
        <v>109</v>
      </c>
      <c r="AL828" s="1">
        <v>4</v>
      </c>
      <c r="AM828" s="1" t="s">
        <v>109</v>
      </c>
      <c r="AN828" s="1" t="s">
        <v>109</v>
      </c>
      <c r="AO828" s="1" t="s">
        <v>109</v>
      </c>
      <c r="AP828" s="1"/>
      <c r="AQ828" s="1">
        <v>5</v>
      </c>
      <c r="AR828" s="1"/>
      <c r="AS828" s="1" t="s">
        <v>7023</v>
      </c>
      <c r="AT828" s="1">
        <v>0</v>
      </c>
      <c r="AU828" s="1">
        <v>0</v>
      </c>
      <c r="AV828" s="1">
        <v>0</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5" t="str">
        <f>HYPERLINK("http://www.d20pfsrd.com/magic/all-spells/p/planar-adaptation","Planar Adaptation")</f>
        <v>Planar Adaptation</v>
      </c>
      <c r="BT828" s="1">
        <v>844</v>
      </c>
      <c r="BU828" s="1" t="s">
        <v>109</v>
      </c>
      <c r="BV828" s="1"/>
      <c r="BW828" s="1"/>
      <c r="BX828" s="1"/>
      <c r="BY828" s="1"/>
      <c r="BZ828" s="1">
        <v>0</v>
      </c>
      <c r="CA828" s="1" t="s">
        <v>109</v>
      </c>
      <c r="CB828" s="1" t="s">
        <v>109</v>
      </c>
      <c r="CC828" s="1">
        <v>4</v>
      </c>
      <c r="CD828" s="1" t="s">
        <v>109</v>
      </c>
      <c r="CE828" s="1" t="s">
        <v>109</v>
      </c>
      <c r="CF828" s="1">
        <v>4</v>
      </c>
      <c r="CG828" s="1">
        <v>5</v>
      </c>
      <c r="CH828" s="1" t="s">
        <v>109</v>
      </c>
      <c r="CI828" s="1" t="s">
        <v>109</v>
      </c>
      <c r="CJ828" s="1" t="s">
        <v>109</v>
      </c>
      <c r="CK828" s="1"/>
      <c r="CL828" s="1">
        <v>0</v>
      </c>
      <c r="CM828" s="1">
        <v>0</v>
      </c>
      <c r="CN828" s="1">
        <v>0</v>
      </c>
    </row>
    <row r="829" spans="1:92" ht="14.25" customHeight="1" x14ac:dyDescent="0.15">
      <c r="A829" s="1" t="s">
        <v>7024</v>
      </c>
      <c r="B829" s="1" t="s">
        <v>189</v>
      </c>
      <c r="C829" s="1"/>
      <c r="D829" s="1"/>
      <c r="E829" s="1" t="s">
        <v>7025</v>
      </c>
      <c r="F829" s="1" t="s">
        <v>98</v>
      </c>
      <c r="G829" s="1" t="s">
        <v>141</v>
      </c>
      <c r="H829" s="1">
        <v>0</v>
      </c>
      <c r="I829" s="1" t="s">
        <v>142</v>
      </c>
      <c r="J829" s="1"/>
      <c r="K829" s="1"/>
      <c r="L829" s="1" t="s">
        <v>716</v>
      </c>
      <c r="M829" s="1" t="s">
        <v>815</v>
      </c>
      <c r="N829" s="1">
        <v>1</v>
      </c>
      <c r="O829" s="1">
        <v>0</v>
      </c>
      <c r="P829" s="1" t="s">
        <v>507</v>
      </c>
      <c r="Q829" s="1" t="s">
        <v>167</v>
      </c>
      <c r="R829" s="1" t="s">
        <v>7026</v>
      </c>
      <c r="S829" s="1" t="s">
        <v>7027</v>
      </c>
      <c r="T829" s="1" t="s">
        <v>5815</v>
      </c>
      <c r="U829" s="1" t="s">
        <v>7028</v>
      </c>
      <c r="V829" s="1">
        <v>1</v>
      </c>
      <c r="W829" s="1">
        <v>1</v>
      </c>
      <c r="X829" s="1">
        <v>0</v>
      </c>
      <c r="Y829" s="1">
        <v>0</v>
      </c>
      <c r="Z829" s="1">
        <v>0</v>
      </c>
      <c r="AA829" s="1">
        <v>7</v>
      </c>
      <c r="AB829" s="1">
        <v>7</v>
      </c>
      <c r="AC829" s="1">
        <v>6</v>
      </c>
      <c r="AD829" s="1" t="s">
        <v>109</v>
      </c>
      <c r="AE829" s="1" t="s">
        <v>109</v>
      </c>
      <c r="AF829" s="1" t="s">
        <v>109</v>
      </c>
      <c r="AG829" s="1" t="s">
        <v>109</v>
      </c>
      <c r="AH829" s="1" t="s">
        <v>109</v>
      </c>
      <c r="AI829" s="1">
        <v>6</v>
      </c>
      <c r="AJ829" s="1" t="s">
        <v>109</v>
      </c>
      <c r="AK829" s="1" t="s">
        <v>109</v>
      </c>
      <c r="AL829" s="1">
        <v>6</v>
      </c>
      <c r="AM829" s="1" t="s">
        <v>109</v>
      </c>
      <c r="AN829" s="1" t="s">
        <v>109</v>
      </c>
      <c r="AO829" s="1" t="s">
        <v>109</v>
      </c>
      <c r="AP829" s="1"/>
      <c r="AQ829" s="1">
        <v>7</v>
      </c>
      <c r="AR829" s="1"/>
      <c r="AS829" s="1" t="s">
        <v>7029</v>
      </c>
      <c r="AT829" s="1">
        <v>0</v>
      </c>
      <c r="AU829" s="1">
        <v>0</v>
      </c>
      <c r="AV829" s="1">
        <v>0</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5" t="str">
        <f>HYPERLINK("http://www.d20pfsrd.com/magic/all-spells/p/planar-adaptation&lt;-mass","Planar Adaptation&lt; Mass")</f>
        <v>Planar Adaptation&lt; Mass</v>
      </c>
      <c r="BT829" s="1">
        <v>845</v>
      </c>
      <c r="BU829" s="1" t="s">
        <v>109</v>
      </c>
      <c r="BV829" s="1"/>
      <c r="BW829" s="1"/>
      <c r="BX829" s="1"/>
      <c r="BY829" s="1"/>
      <c r="BZ829" s="1">
        <v>0</v>
      </c>
      <c r="CA829" s="1" t="s">
        <v>109</v>
      </c>
      <c r="CB829" s="1" t="s">
        <v>109</v>
      </c>
      <c r="CC829" s="1">
        <v>6</v>
      </c>
      <c r="CD829" s="1" t="s">
        <v>109</v>
      </c>
      <c r="CE829" s="1" t="s">
        <v>109</v>
      </c>
      <c r="CF829" s="1">
        <v>6</v>
      </c>
      <c r="CG829" s="1" t="s">
        <v>109</v>
      </c>
      <c r="CH829" s="1" t="s">
        <v>109</v>
      </c>
      <c r="CI829" s="1" t="s">
        <v>109</v>
      </c>
      <c r="CJ829" s="1" t="s">
        <v>109</v>
      </c>
      <c r="CK829" s="1"/>
      <c r="CL829" s="1">
        <v>0</v>
      </c>
      <c r="CM829" s="1">
        <v>0</v>
      </c>
      <c r="CN829" s="1">
        <v>0</v>
      </c>
    </row>
    <row r="830" spans="1:92" ht="14.25" customHeight="1" x14ac:dyDescent="0.15">
      <c r="A830" s="1" t="s">
        <v>7030</v>
      </c>
      <c r="B830" s="1" t="s">
        <v>308</v>
      </c>
      <c r="C830" s="1"/>
      <c r="D830" s="1"/>
      <c r="E830" s="1" t="s">
        <v>7031</v>
      </c>
      <c r="F830" s="1" t="s">
        <v>98</v>
      </c>
      <c r="G830" s="1" t="s">
        <v>7032</v>
      </c>
      <c r="H830" s="1">
        <v>0</v>
      </c>
      <c r="I830" s="1" t="s">
        <v>142</v>
      </c>
      <c r="J830" s="1"/>
      <c r="K830" s="1"/>
      <c r="L830" s="1" t="s">
        <v>1391</v>
      </c>
      <c r="M830" s="1" t="s">
        <v>3042</v>
      </c>
      <c r="N830" s="1">
        <v>0</v>
      </c>
      <c r="O830" s="1">
        <v>0</v>
      </c>
      <c r="P830" s="1" t="s">
        <v>267</v>
      </c>
      <c r="Q830" s="1" t="s">
        <v>268</v>
      </c>
      <c r="R830" s="1" t="s">
        <v>7033</v>
      </c>
      <c r="S830" s="1" t="s">
        <v>7034</v>
      </c>
      <c r="T830" s="1" t="s">
        <v>5815</v>
      </c>
      <c r="U830" s="1" t="s">
        <v>7035</v>
      </c>
      <c r="V830" s="1">
        <v>1</v>
      </c>
      <c r="W830" s="1">
        <v>1</v>
      </c>
      <c r="X830" s="1">
        <v>1</v>
      </c>
      <c r="Y830" s="1">
        <v>0</v>
      </c>
      <c r="Z830" s="1">
        <v>0</v>
      </c>
      <c r="AA830" s="1" t="s">
        <v>109</v>
      </c>
      <c r="AB830" s="1" t="s">
        <v>109</v>
      </c>
      <c r="AC830" s="1" t="s">
        <v>109</v>
      </c>
      <c r="AD830" s="1">
        <v>2</v>
      </c>
      <c r="AE830" s="1" t="s">
        <v>109</v>
      </c>
      <c r="AF830" s="1" t="s">
        <v>109</v>
      </c>
      <c r="AG830" s="1" t="s">
        <v>109</v>
      </c>
      <c r="AH830" s="1" t="s">
        <v>109</v>
      </c>
      <c r="AI830" s="1" t="s">
        <v>109</v>
      </c>
      <c r="AJ830" s="1">
        <v>2</v>
      </c>
      <c r="AK830" s="1" t="s">
        <v>109</v>
      </c>
      <c r="AL830" s="1" t="s">
        <v>109</v>
      </c>
      <c r="AM830" s="1" t="s">
        <v>109</v>
      </c>
      <c r="AN830" s="1" t="s">
        <v>109</v>
      </c>
      <c r="AO830" s="1" t="s">
        <v>109</v>
      </c>
      <c r="AP830" s="1"/>
      <c r="AQ830" s="1">
        <v>2</v>
      </c>
      <c r="AR830" s="1"/>
      <c r="AS830" s="1" t="s">
        <v>7036</v>
      </c>
      <c r="AT830" s="1">
        <v>0</v>
      </c>
      <c r="AU830" s="1">
        <v>0</v>
      </c>
      <c r="AV830" s="1">
        <v>0</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5" t="str">
        <f>HYPERLINK("http://www.d20pfsrd.com/magic/all-spells/p/pox-pustules","Pox Pustules")</f>
        <v>Pox Pustules</v>
      </c>
      <c r="BT830" s="1">
        <v>846</v>
      </c>
      <c r="BU830" s="1" t="s">
        <v>109</v>
      </c>
      <c r="BV830" s="1"/>
      <c r="BW830" s="1"/>
      <c r="BX830" s="1" t="s">
        <v>7037</v>
      </c>
      <c r="BY830" s="1"/>
      <c r="BZ830" s="1">
        <v>1</v>
      </c>
      <c r="CA830" s="1" t="s">
        <v>109</v>
      </c>
      <c r="CB830" s="1" t="s">
        <v>109</v>
      </c>
      <c r="CC830" s="1" t="s">
        <v>109</v>
      </c>
      <c r="CD830" s="1" t="s">
        <v>109</v>
      </c>
      <c r="CE830" s="1" t="s">
        <v>109</v>
      </c>
      <c r="CF830" s="1" t="s">
        <v>109</v>
      </c>
      <c r="CG830" s="1" t="s">
        <v>109</v>
      </c>
      <c r="CH830" s="1" t="s">
        <v>109</v>
      </c>
      <c r="CI830" s="1" t="s">
        <v>109</v>
      </c>
      <c r="CJ830" s="1">
        <v>2</v>
      </c>
      <c r="CK830" s="1"/>
      <c r="CL830" s="1">
        <v>0</v>
      </c>
      <c r="CM830" s="1">
        <v>0</v>
      </c>
      <c r="CN830" s="1">
        <v>0</v>
      </c>
    </row>
    <row r="831" spans="1:92" ht="14.25" customHeight="1" x14ac:dyDescent="0.15">
      <c r="A831" s="1" t="s">
        <v>7038</v>
      </c>
      <c r="B831" s="1" t="s">
        <v>95</v>
      </c>
      <c r="C831" s="1" t="s">
        <v>96</v>
      </c>
      <c r="D831" s="1"/>
      <c r="E831" s="1" t="s">
        <v>5841</v>
      </c>
      <c r="F831" s="1" t="s">
        <v>98</v>
      </c>
      <c r="G831" s="1" t="s">
        <v>160</v>
      </c>
      <c r="H831" s="1">
        <v>0</v>
      </c>
      <c r="I831" s="1" t="s">
        <v>235</v>
      </c>
      <c r="J831" s="1"/>
      <c r="K831" s="1"/>
      <c r="L831" s="1" t="s">
        <v>236</v>
      </c>
      <c r="M831" s="1" t="s">
        <v>125</v>
      </c>
      <c r="N831" s="1">
        <v>0</v>
      </c>
      <c r="O831" s="1">
        <v>0</v>
      </c>
      <c r="P831" s="1"/>
      <c r="Q831" s="1"/>
      <c r="R831" s="1" t="s">
        <v>7039</v>
      </c>
      <c r="S831" s="1" t="s">
        <v>7040</v>
      </c>
      <c r="T831" s="1" t="s">
        <v>5815</v>
      </c>
      <c r="U831" s="1" t="s">
        <v>7041</v>
      </c>
      <c r="V831" s="1">
        <v>1</v>
      </c>
      <c r="W831" s="1">
        <v>1</v>
      </c>
      <c r="X831" s="1">
        <v>0</v>
      </c>
      <c r="Y831" s="1">
        <v>0</v>
      </c>
      <c r="Z831" s="1">
        <v>1</v>
      </c>
      <c r="AA831" s="1" t="s">
        <v>109</v>
      </c>
      <c r="AB831" s="1" t="s">
        <v>109</v>
      </c>
      <c r="AC831" s="1" t="s">
        <v>109</v>
      </c>
      <c r="AD831" s="1" t="s">
        <v>109</v>
      </c>
      <c r="AE831" s="1">
        <v>2</v>
      </c>
      <c r="AF831" s="1" t="s">
        <v>109</v>
      </c>
      <c r="AG831" s="1" t="s">
        <v>109</v>
      </c>
      <c r="AH831" s="1" t="s">
        <v>109</v>
      </c>
      <c r="AI831" s="1" t="s">
        <v>109</v>
      </c>
      <c r="AJ831" s="1" t="s">
        <v>109</v>
      </c>
      <c r="AK831" s="1" t="s">
        <v>109</v>
      </c>
      <c r="AL831" s="1" t="s">
        <v>109</v>
      </c>
      <c r="AM831" s="1" t="s">
        <v>109</v>
      </c>
      <c r="AN831" s="1" t="s">
        <v>109</v>
      </c>
      <c r="AO831" s="1" t="s">
        <v>109</v>
      </c>
      <c r="AP831" s="1"/>
      <c r="AQ831" s="1">
        <v>2</v>
      </c>
      <c r="AR831" s="1"/>
      <c r="AS831" s="1" t="s">
        <v>7042</v>
      </c>
      <c r="AT831" s="1">
        <v>0</v>
      </c>
      <c r="AU831" s="1">
        <v>0</v>
      </c>
      <c r="AV831" s="1">
        <v>0</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5" t="str">
        <f>HYPERLINK("http://www.d20pfsrd.com/magic/all-spells/p/protective-spirit","Protective Spirit")</f>
        <v>Protective Spirit</v>
      </c>
      <c r="BT831" s="1">
        <v>847</v>
      </c>
      <c r="BU831" s="1" t="s">
        <v>109</v>
      </c>
      <c r="BV831" s="1"/>
      <c r="BW831" s="1"/>
      <c r="BX831" s="1"/>
      <c r="BY831" s="1"/>
      <c r="BZ831" s="1">
        <v>0</v>
      </c>
      <c r="CA831" s="1" t="s">
        <v>109</v>
      </c>
      <c r="CB831" s="1" t="s">
        <v>109</v>
      </c>
      <c r="CC831" s="1" t="s">
        <v>109</v>
      </c>
      <c r="CD831" s="1" t="s">
        <v>109</v>
      </c>
      <c r="CE831" s="1" t="s">
        <v>109</v>
      </c>
      <c r="CF831" s="1" t="s">
        <v>109</v>
      </c>
      <c r="CG831" s="1" t="s">
        <v>109</v>
      </c>
      <c r="CH831" s="1" t="s">
        <v>109</v>
      </c>
      <c r="CI831" s="1" t="s">
        <v>109</v>
      </c>
      <c r="CJ831" s="1">
        <v>2</v>
      </c>
      <c r="CK831" s="1"/>
      <c r="CL831" s="1">
        <v>0</v>
      </c>
      <c r="CM831" s="1">
        <v>0</v>
      </c>
      <c r="CN831" s="1">
        <v>0</v>
      </c>
    </row>
    <row r="832" spans="1:92" ht="14.25" customHeight="1" x14ac:dyDescent="0.15">
      <c r="A832" s="1" t="s">
        <v>7043</v>
      </c>
      <c r="B832" s="1" t="s">
        <v>95</v>
      </c>
      <c r="C832" s="1" t="s">
        <v>694</v>
      </c>
      <c r="D832" s="1"/>
      <c r="E832" s="1" t="s">
        <v>2403</v>
      </c>
      <c r="F832" s="1" t="s">
        <v>98</v>
      </c>
      <c r="G832" s="1" t="s">
        <v>141</v>
      </c>
      <c r="H832" s="1">
        <v>0</v>
      </c>
      <c r="I832" s="1" t="s">
        <v>142</v>
      </c>
      <c r="J832" s="1"/>
      <c r="K832" s="1"/>
      <c r="L832" s="1" t="s">
        <v>563</v>
      </c>
      <c r="M832" s="1" t="s">
        <v>144</v>
      </c>
      <c r="N832" s="1">
        <v>0</v>
      </c>
      <c r="O832" s="1">
        <v>0</v>
      </c>
      <c r="P832" s="1" t="s">
        <v>507</v>
      </c>
      <c r="Q832" s="1" t="s">
        <v>167</v>
      </c>
      <c r="R832" s="1" t="s">
        <v>7044</v>
      </c>
      <c r="S832" s="1" t="s">
        <v>7045</v>
      </c>
      <c r="T832" s="1" t="s">
        <v>5815</v>
      </c>
      <c r="U832" s="1" t="s">
        <v>7046</v>
      </c>
      <c r="V832" s="1">
        <v>1</v>
      </c>
      <c r="W832" s="1">
        <v>1</v>
      </c>
      <c r="X832" s="1">
        <v>0</v>
      </c>
      <c r="Y832" s="1">
        <v>0</v>
      </c>
      <c r="Z832" s="1">
        <v>0</v>
      </c>
      <c r="AA832" s="1" t="s">
        <v>109</v>
      </c>
      <c r="AB832" s="1" t="s">
        <v>109</v>
      </c>
      <c r="AC832" s="1" t="s">
        <v>109</v>
      </c>
      <c r="AD832" s="1" t="s">
        <v>109</v>
      </c>
      <c r="AE832" s="1" t="s">
        <v>109</v>
      </c>
      <c r="AF832" s="1">
        <v>3</v>
      </c>
      <c r="AG832" s="1" t="s">
        <v>109</v>
      </c>
      <c r="AH832" s="1" t="s">
        <v>109</v>
      </c>
      <c r="AI832" s="1" t="s">
        <v>109</v>
      </c>
      <c r="AJ832" s="1" t="s">
        <v>109</v>
      </c>
      <c r="AK832" s="1" t="s">
        <v>109</v>
      </c>
      <c r="AL832" s="1" t="s">
        <v>109</v>
      </c>
      <c r="AM832" s="1" t="s">
        <v>109</v>
      </c>
      <c r="AN832" s="1" t="s">
        <v>109</v>
      </c>
      <c r="AO832" s="1" t="s">
        <v>109</v>
      </c>
      <c r="AP832" s="1"/>
      <c r="AQ832" s="1">
        <v>3</v>
      </c>
      <c r="AR832" s="1"/>
      <c r="AS832" s="1" t="s">
        <v>7047</v>
      </c>
      <c r="AT832" s="1">
        <v>0</v>
      </c>
      <c r="AU832" s="1">
        <v>0</v>
      </c>
      <c r="AV832" s="1">
        <v>0</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5" t="str">
        <f>HYPERLINK("http://www.d20pfsrd.com/magic/all-spells/p/purging-finale","Purging Finale")</f>
        <v>Purging Finale</v>
      </c>
      <c r="BT832" s="1">
        <v>848</v>
      </c>
      <c r="BU832" s="1" t="s">
        <v>109</v>
      </c>
      <c r="BV832" s="1"/>
      <c r="BW832" s="1"/>
      <c r="BX832" s="1"/>
      <c r="BY832" s="1"/>
      <c r="BZ832" s="1">
        <v>0</v>
      </c>
      <c r="CA832" s="1" t="s">
        <v>109</v>
      </c>
      <c r="CB832" s="1" t="s">
        <v>109</v>
      </c>
      <c r="CC832" s="1" t="s">
        <v>109</v>
      </c>
      <c r="CD832" s="1" t="s">
        <v>109</v>
      </c>
      <c r="CE832" s="1" t="s">
        <v>109</v>
      </c>
      <c r="CF832" s="1" t="s">
        <v>109</v>
      </c>
      <c r="CG832" s="1" t="s">
        <v>109</v>
      </c>
      <c r="CH832" s="1" t="s">
        <v>109</v>
      </c>
      <c r="CI832" s="1" t="s">
        <v>109</v>
      </c>
      <c r="CJ832" s="1" t="s">
        <v>109</v>
      </c>
      <c r="CK832" s="1"/>
      <c r="CL832" s="1">
        <v>0</v>
      </c>
      <c r="CM832" s="1">
        <v>0</v>
      </c>
      <c r="CN832" s="1">
        <v>0</v>
      </c>
    </row>
    <row r="833" spans="1:92" ht="14.25" customHeight="1" x14ac:dyDescent="0.15">
      <c r="A833" s="1" t="s">
        <v>7048</v>
      </c>
      <c r="B833" s="1" t="s">
        <v>95</v>
      </c>
      <c r="C833" s="1" t="s">
        <v>694</v>
      </c>
      <c r="D833" s="1"/>
      <c r="E833" s="1" t="s">
        <v>6473</v>
      </c>
      <c r="F833" s="1" t="s">
        <v>98</v>
      </c>
      <c r="G833" s="1" t="s">
        <v>7049</v>
      </c>
      <c r="H833" s="1">
        <v>0</v>
      </c>
      <c r="I833" s="1" t="s">
        <v>235</v>
      </c>
      <c r="J833" s="1"/>
      <c r="K833" s="1"/>
      <c r="L833" s="1" t="s">
        <v>236</v>
      </c>
      <c r="M833" s="1" t="s">
        <v>277</v>
      </c>
      <c r="N833" s="1">
        <v>0</v>
      </c>
      <c r="O833" s="1">
        <v>0</v>
      </c>
      <c r="P833" s="1"/>
      <c r="Q833" s="1"/>
      <c r="R833" s="1" t="s">
        <v>7050</v>
      </c>
      <c r="S833" s="1" t="s">
        <v>7051</v>
      </c>
      <c r="T833" s="1" t="s">
        <v>5815</v>
      </c>
      <c r="U833" s="1" t="s">
        <v>7052</v>
      </c>
      <c r="V833" s="1">
        <v>1</v>
      </c>
      <c r="W833" s="1">
        <v>1</v>
      </c>
      <c r="X833" s="1">
        <v>1</v>
      </c>
      <c r="Y833" s="1">
        <v>0</v>
      </c>
      <c r="Z833" s="1">
        <v>0</v>
      </c>
      <c r="AA833" s="1" t="s">
        <v>109</v>
      </c>
      <c r="AB833" s="1" t="s">
        <v>109</v>
      </c>
      <c r="AC833" s="1" t="s">
        <v>109</v>
      </c>
      <c r="AD833" s="1" t="s">
        <v>109</v>
      </c>
      <c r="AE833" s="1" t="s">
        <v>109</v>
      </c>
      <c r="AF833" s="1" t="s">
        <v>109</v>
      </c>
      <c r="AG833" s="1" t="s">
        <v>109</v>
      </c>
      <c r="AH833" s="1" t="s">
        <v>109</v>
      </c>
      <c r="AI833" s="1">
        <v>4</v>
      </c>
      <c r="AJ833" s="1" t="s">
        <v>109</v>
      </c>
      <c r="AK833" s="1" t="s">
        <v>109</v>
      </c>
      <c r="AL833" s="1" t="s">
        <v>109</v>
      </c>
      <c r="AM833" s="1" t="s">
        <v>109</v>
      </c>
      <c r="AN833" s="1" t="s">
        <v>109</v>
      </c>
      <c r="AO833" s="1" t="s">
        <v>109</v>
      </c>
      <c r="AP833" s="1"/>
      <c r="AQ833" s="1">
        <v>4</v>
      </c>
      <c r="AR833" s="1"/>
      <c r="AS833" s="1" t="s">
        <v>7053</v>
      </c>
      <c r="AT833" s="1">
        <v>0</v>
      </c>
      <c r="AU833" s="1">
        <v>0</v>
      </c>
      <c r="AV833" s="1">
        <v>0</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5" t="str">
        <f>HYPERLINK("http://www.d20pfsrd.com/magic/all-spells/p/purified-calling","Purified Calling")</f>
        <v>Purified Calling</v>
      </c>
      <c r="BT833" s="1">
        <v>849</v>
      </c>
      <c r="BU833" s="1" t="s">
        <v>109</v>
      </c>
      <c r="BV833" s="1"/>
      <c r="BW833" s="1"/>
      <c r="BX833" s="1"/>
      <c r="BY833" s="1"/>
      <c r="BZ833" s="1">
        <v>0</v>
      </c>
      <c r="CA833" s="1" t="s">
        <v>109</v>
      </c>
      <c r="CB833" s="1" t="s">
        <v>109</v>
      </c>
      <c r="CC833" s="1" t="s">
        <v>109</v>
      </c>
      <c r="CD833" s="1" t="s">
        <v>109</v>
      </c>
      <c r="CE833" s="1" t="s">
        <v>109</v>
      </c>
      <c r="CF833" s="1" t="s">
        <v>109</v>
      </c>
      <c r="CG833" s="1" t="s">
        <v>109</v>
      </c>
      <c r="CH833" s="1" t="s">
        <v>109</v>
      </c>
      <c r="CI833" s="1" t="s">
        <v>109</v>
      </c>
      <c r="CJ833" s="1" t="s">
        <v>109</v>
      </c>
      <c r="CK833" s="1"/>
      <c r="CL833" s="1">
        <v>0</v>
      </c>
      <c r="CM833" s="1">
        <v>0</v>
      </c>
      <c r="CN833" s="1">
        <v>0</v>
      </c>
    </row>
    <row r="834" spans="1:92" ht="14.25" customHeight="1" x14ac:dyDescent="0.15">
      <c r="A834" s="1" t="s">
        <v>7054</v>
      </c>
      <c r="B834" s="1" t="s">
        <v>189</v>
      </c>
      <c r="C834" s="1"/>
      <c r="D834" s="1" t="s">
        <v>67</v>
      </c>
      <c r="E834" s="1" t="s">
        <v>7055</v>
      </c>
      <c r="F834" s="1" t="s">
        <v>98</v>
      </c>
      <c r="G834" s="1" t="s">
        <v>141</v>
      </c>
      <c r="H834" s="1">
        <v>0</v>
      </c>
      <c r="I834" s="1" t="s">
        <v>356</v>
      </c>
      <c r="J834" s="1"/>
      <c r="K834" s="1"/>
      <c r="L834" s="1" t="s">
        <v>7056</v>
      </c>
      <c r="M834" s="1" t="s">
        <v>144</v>
      </c>
      <c r="N834" s="1">
        <v>0</v>
      </c>
      <c r="O834" s="1">
        <v>0</v>
      </c>
      <c r="P834" s="1" t="s">
        <v>629</v>
      </c>
      <c r="Q834" s="1" t="s">
        <v>630</v>
      </c>
      <c r="R834" s="1" t="s">
        <v>7057</v>
      </c>
      <c r="S834" s="1" t="s">
        <v>7058</v>
      </c>
      <c r="T834" s="1" t="s">
        <v>5815</v>
      </c>
      <c r="U834" s="1" t="s">
        <v>7059</v>
      </c>
      <c r="V834" s="1">
        <v>1</v>
      </c>
      <c r="W834" s="1">
        <v>1</v>
      </c>
      <c r="X834" s="1">
        <v>0</v>
      </c>
      <c r="Y834" s="1">
        <v>0</v>
      </c>
      <c r="Z834" s="1">
        <v>0</v>
      </c>
      <c r="AA834" s="1" t="s">
        <v>109</v>
      </c>
      <c r="AB834" s="1" t="s">
        <v>109</v>
      </c>
      <c r="AC834" s="1" t="s">
        <v>109</v>
      </c>
      <c r="AD834" s="1" t="s">
        <v>109</v>
      </c>
      <c r="AE834" s="1" t="s">
        <v>109</v>
      </c>
      <c r="AF834" s="1" t="s">
        <v>109</v>
      </c>
      <c r="AG834" s="1" t="s">
        <v>109</v>
      </c>
      <c r="AH834" s="1" t="s">
        <v>109</v>
      </c>
      <c r="AI834" s="1" t="s">
        <v>109</v>
      </c>
      <c r="AJ834" s="1">
        <v>0</v>
      </c>
      <c r="AK834" s="1" t="s">
        <v>109</v>
      </c>
      <c r="AL834" s="1" t="s">
        <v>109</v>
      </c>
      <c r="AM834" s="1" t="s">
        <v>109</v>
      </c>
      <c r="AN834" s="1" t="s">
        <v>109</v>
      </c>
      <c r="AO834" s="1" t="s">
        <v>109</v>
      </c>
      <c r="AP834" s="1"/>
      <c r="AQ834" s="1">
        <v>0</v>
      </c>
      <c r="AR834" s="1"/>
      <c r="AS834" s="1" t="s">
        <v>7060</v>
      </c>
      <c r="AT834" s="1">
        <v>0</v>
      </c>
      <c r="AU834" s="1">
        <v>0</v>
      </c>
      <c r="AV834" s="1">
        <v>0</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1</v>
      </c>
      <c r="BP834" s="1">
        <v>0</v>
      </c>
      <c r="BQ834" s="1">
        <v>0</v>
      </c>
      <c r="BR834" s="1">
        <v>0</v>
      </c>
      <c r="BS834" s="5" t="str">
        <f>HYPERLINK("http://www.d20pfsrd.com/magic/all-spells/p/putrefy-food-and-drink","Putrefy Food and Drink")</f>
        <v>Putrefy Food and Drink</v>
      </c>
      <c r="BT834" s="1">
        <v>850</v>
      </c>
      <c r="BU834" s="1" t="s">
        <v>109</v>
      </c>
      <c r="BV834" s="1"/>
      <c r="BW834" s="1"/>
      <c r="BX834" s="1"/>
      <c r="BY834" s="1"/>
      <c r="BZ834" s="1">
        <v>0</v>
      </c>
      <c r="CA834" s="1" t="s">
        <v>109</v>
      </c>
      <c r="CB834" s="1" t="s">
        <v>109</v>
      </c>
      <c r="CC834" s="1" t="s">
        <v>109</v>
      </c>
      <c r="CD834" s="1" t="s">
        <v>109</v>
      </c>
      <c r="CE834" s="1" t="s">
        <v>109</v>
      </c>
      <c r="CF834" s="1" t="s">
        <v>109</v>
      </c>
      <c r="CG834" s="1" t="s">
        <v>109</v>
      </c>
      <c r="CH834" s="1" t="s">
        <v>109</v>
      </c>
      <c r="CI834" s="1" t="s">
        <v>109</v>
      </c>
      <c r="CJ834" s="1" t="s">
        <v>109</v>
      </c>
      <c r="CK834" s="1"/>
      <c r="CL834" s="1">
        <v>0</v>
      </c>
      <c r="CM834" s="1">
        <v>0</v>
      </c>
      <c r="CN834" s="1">
        <v>0</v>
      </c>
    </row>
    <row r="835" spans="1:92" ht="14.25" customHeight="1" x14ac:dyDescent="0.15">
      <c r="A835" s="1" t="s">
        <v>7061</v>
      </c>
      <c r="B835" s="1" t="s">
        <v>156</v>
      </c>
      <c r="C835" s="1" t="s">
        <v>157</v>
      </c>
      <c r="D835" s="1" t="s">
        <v>7062</v>
      </c>
      <c r="E835" s="1" t="s">
        <v>638</v>
      </c>
      <c r="F835" s="1" t="s">
        <v>98</v>
      </c>
      <c r="G835" s="1" t="s">
        <v>160</v>
      </c>
      <c r="H835" s="1">
        <v>0</v>
      </c>
      <c r="I835" s="1" t="s">
        <v>5544</v>
      </c>
      <c r="J835" s="1" t="s">
        <v>7063</v>
      </c>
      <c r="K835" s="1"/>
      <c r="L835" s="1"/>
      <c r="M835" s="1" t="s">
        <v>6144</v>
      </c>
      <c r="N835" s="1">
        <v>1</v>
      </c>
      <c r="O835" s="1">
        <v>0</v>
      </c>
      <c r="P835" s="1" t="s">
        <v>507</v>
      </c>
      <c r="Q835" s="1" t="s">
        <v>167</v>
      </c>
      <c r="R835" s="1" t="s">
        <v>7064</v>
      </c>
      <c r="S835" s="1" t="s">
        <v>7065</v>
      </c>
      <c r="T835" s="1" t="s">
        <v>5815</v>
      </c>
      <c r="U835" s="1" t="s">
        <v>7066</v>
      </c>
      <c r="V835" s="1">
        <v>1</v>
      </c>
      <c r="W835" s="1">
        <v>1</v>
      </c>
      <c r="X835" s="1">
        <v>0</v>
      </c>
      <c r="Y835" s="1">
        <v>0</v>
      </c>
      <c r="Z835" s="1">
        <v>1</v>
      </c>
      <c r="AA835" s="1" t="s">
        <v>109</v>
      </c>
      <c r="AB835" s="1" t="s">
        <v>109</v>
      </c>
      <c r="AC835" s="1" t="s">
        <v>109</v>
      </c>
      <c r="AD835" s="1" t="s">
        <v>109</v>
      </c>
      <c r="AE835" s="1" t="s">
        <v>109</v>
      </c>
      <c r="AF835" s="1" t="s">
        <v>109</v>
      </c>
      <c r="AG835" s="1">
        <v>1</v>
      </c>
      <c r="AH835" s="1" t="s">
        <v>109</v>
      </c>
      <c r="AI835" s="1" t="s">
        <v>109</v>
      </c>
      <c r="AJ835" s="1" t="s">
        <v>109</v>
      </c>
      <c r="AK835" s="1" t="s">
        <v>109</v>
      </c>
      <c r="AL835" s="1" t="s">
        <v>109</v>
      </c>
      <c r="AM835" s="1" t="s">
        <v>109</v>
      </c>
      <c r="AN835" s="1" t="s">
        <v>109</v>
      </c>
      <c r="AO835" s="1" t="s">
        <v>109</v>
      </c>
      <c r="AP835" s="1"/>
      <c r="AQ835" s="1">
        <v>1</v>
      </c>
      <c r="AR835" s="1"/>
      <c r="AS835" s="1" t="s">
        <v>7067</v>
      </c>
      <c r="AT835" s="1">
        <v>0</v>
      </c>
      <c r="AU835" s="1">
        <v>0</v>
      </c>
      <c r="AV835" s="1">
        <v>0</v>
      </c>
      <c r="AW835" s="1">
        <v>0</v>
      </c>
      <c r="AX835" s="1">
        <v>0</v>
      </c>
      <c r="AY835" s="1">
        <v>0</v>
      </c>
      <c r="AZ835" s="1">
        <v>0</v>
      </c>
      <c r="BA835" s="1">
        <v>0</v>
      </c>
      <c r="BB835" s="1">
        <v>0</v>
      </c>
      <c r="BC835" s="1">
        <v>0</v>
      </c>
      <c r="BD835" s="1">
        <v>1</v>
      </c>
      <c r="BE835" s="1">
        <v>0</v>
      </c>
      <c r="BF835" s="1">
        <v>0</v>
      </c>
      <c r="BG835" s="1">
        <v>0</v>
      </c>
      <c r="BH835" s="1">
        <v>0</v>
      </c>
      <c r="BI835" s="1">
        <v>1</v>
      </c>
      <c r="BJ835" s="1">
        <v>0</v>
      </c>
      <c r="BK835" s="1">
        <v>0</v>
      </c>
      <c r="BL835" s="1">
        <v>0</v>
      </c>
      <c r="BM835" s="1">
        <v>1</v>
      </c>
      <c r="BN835" s="1">
        <v>0</v>
      </c>
      <c r="BO835" s="1">
        <v>0</v>
      </c>
      <c r="BP835" s="1">
        <v>0</v>
      </c>
      <c r="BQ835" s="1">
        <v>0</v>
      </c>
      <c r="BR835" s="1">
        <v>0</v>
      </c>
      <c r="BS835" s="5" t="str">
        <f>HYPERLINK("http://www.d20pfsrd.com/magic/all-spells/r/rally-point","Rally Point")</f>
        <v>Rally Point</v>
      </c>
      <c r="BT835" s="1">
        <v>851</v>
      </c>
      <c r="BU835" s="1" t="s">
        <v>109</v>
      </c>
      <c r="BV835" s="1"/>
      <c r="BW835" s="1"/>
      <c r="BX835" s="1"/>
      <c r="BY835" s="1"/>
      <c r="BZ835" s="1">
        <v>0</v>
      </c>
      <c r="CA835" s="1" t="s">
        <v>109</v>
      </c>
      <c r="CB835" s="1" t="s">
        <v>109</v>
      </c>
      <c r="CC835" s="1" t="s">
        <v>109</v>
      </c>
      <c r="CD835" s="1" t="s">
        <v>109</v>
      </c>
      <c r="CE835" s="1" t="s">
        <v>109</v>
      </c>
      <c r="CF835" s="1" t="s">
        <v>109</v>
      </c>
      <c r="CG835" s="1" t="s">
        <v>109</v>
      </c>
      <c r="CH835" s="1" t="s">
        <v>109</v>
      </c>
      <c r="CI835" s="1" t="s">
        <v>109</v>
      </c>
      <c r="CJ835" s="1" t="s">
        <v>109</v>
      </c>
      <c r="CK835" s="1"/>
      <c r="CL835" s="1">
        <v>0</v>
      </c>
      <c r="CM835" s="1">
        <v>0</v>
      </c>
      <c r="CN835" s="1">
        <v>0</v>
      </c>
    </row>
    <row r="836" spans="1:92" ht="14.25" customHeight="1" x14ac:dyDescent="0.15">
      <c r="A836" s="1" t="s">
        <v>7068</v>
      </c>
      <c r="B836" s="1" t="s">
        <v>584</v>
      </c>
      <c r="C836" s="1"/>
      <c r="D836" s="1" t="s">
        <v>69</v>
      </c>
      <c r="E836" s="1" t="s">
        <v>6035</v>
      </c>
      <c r="F836" s="1" t="s">
        <v>98</v>
      </c>
      <c r="G836" s="1" t="s">
        <v>160</v>
      </c>
      <c r="H836" s="1">
        <v>0</v>
      </c>
      <c r="I836" s="1" t="s">
        <v>915</v>
      </c>
      <c r="J836" s="1" t="s">
        <v>7069</v>
      </c>
      <c r="K836" s="1"/>
      <c r="L836" s="1"/>
      <c r="M836" s="1" t="s">
        <v>144</v>
      </c>
      <c r="N836" s="1">
        <v>0</v>
      </c>
      <c r="O836" s="1">
        <v>0</v>
      </c>
      <c r="P836" s="1" t="s">
        <v>1410</v>
      </c>
      <c r="Q836" s="1" t="s">
        <v>268</v>
      </c>
      <c r="R836" s="1" t="s">
        <v>7070</v>
      </c>
      <c r="S836" s="1" t="s">
        <v>7071</v>
      </c>
      <c r="T836" s="1" t="s">
        <v>5815</v>
      </c>
      <c r="U836" s="1" t="s">
        <v>7072</v>
      </c>
      <c r="V836" s="1">
        <v>1</v>
      </c>
      <c r="W836" s="1">
        <v>1</v>
      </c>
      <c r="X836" s="1">
        <v>0</v>
      </c>
      <c r="Y836" s="1">
        <v>0</v>
      </c>
      <c r="Z836" s="1">
        <v>1</v>
      </c>
      <c r="AA836" s="1" t="s">
        <v>109</v>
      </c>
      <c r="AB836" s="1" t="s">
        <v>109</v>
      </c>
      <c r="AC836" s="1" t="s">
        <v>109</v>
      </c>
      <c r="AD836" s="1" t="s">
        <v>109</v>
      </c>
      <c r="AE836" s="1" t="s">
        <v>109</v>
      </c>
      <c r="AF836" s="1" t="s">
        <v>109</v>
      </c>
      <c r="AG836" s="1" t="s">
        <v>109</v>
      </c>
      <c r="AH836" s="1" t="s">
        <v>109</v>
      </c>
      <c r="AI836" s="1" t="s">
        <v>109</v>
      </c>
      <c r="AJ836" s="1" t="s">
        <v>109</v>
      </c>
      <c r="AK836" s="1">
        <v>4</v>
      </c>
      <c r="AL836" s="1" t="s">
        <v>109</v>
      </c>
      <c r="AM836" s="1" t="s">
        <v>109</v>
      </c>
      <c r="AN836" s="1" t="s">
        <v>109</v>
      </c>
      <c r="AO836" s="1" t="s">
        <v>109</v>
      </c>
      <c r="AP836" s="1"/>
      <c r="AQ836" s="1">
        <v>4</v>
      </c>
      <c r="AR836" s="1" t="s">
        <v>7073</v>
      </c>
      <c r="AS836" s="1" t="s">
        <v>7074</v>
      </c>
      <c r="AT836" s="1">
        <v>0</v>
      </c>
      <c r="AU836" s="1">
        <v>0</v>
      </c>
      <c r="AV836" s="1">
        <v>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1</v>
      </c>
      <c r="BR836" s="1">
        <v>0</v>
      </c>
      <c r="BS836" s="5" t="str">
        <f>HYPERLINK("http://www.d20pfsrd.com/magic/all-spells/r/rebuke","Rebuke")</f>
        <v>Rebuke</v>
      </c>
      <c r="BT836" s="1">
        <v>853</v>
      </c>
      <c r="BU836" s="1" t="s">
        <v>109</v>
      </c>
      <c r="BV836" s="1"/>
      <c r="BW836" s="1"/>
      <c r="BX836" s="1"/>
      <c r="BY836" s="1"/>
      <c r="BZ836" s="1">
        <v>0</v>
      </c>
      <c r="CA836" s="1" t="s">
        <v>109</v>
      </c>
      <c r="CB836" s="1" t="s">
        <v>109</v>
      </c>
      <c r="CC836" s="1" t="s">
        <v>109</v>
      </c>
      <c r="CD836" s="1" t="s">
        <v>109</v>
      </c>
      <c r="CE836" s="1" t="s">
        <v>109</v>
      </c>
      <c r="CF836" s="1" t="s">
        <v>109</v>
      </c>
      <c r="CG836" s="1" t="s">
        <v>109</v>
      </c>
      <c r="CH836" s="1" t="s">
        <v>109</v>
      </c>
      <c r="CI836" s="1" t="s">
        <v>109</v>
      </c>
      <c r="CJ836" s="1" t="s">
        <v>109</v>
      </c>
      <c r="CK836" s="1"/>
      <c r="CL836" s="1">
        <v>0</v>
      </c>
      <c r="CM836" s="1">
        <v>0</v>
      </c>
      <c r="CN836" s="1">
        <v>0</v>
      </c>
    </row>
    <row r="837" spans="1:92" ht="14.25" customHeight="1" x14ac:dyDescent="0.15">
      <c r="A837" s="1" t="s">
        <v>7075</v>
      </c>
      <c r="B837" s="1" t="s">
        <v>95</v>
      </c>
      <c r="C837" s="1" t="s">
        <v>96</v>
      </c>
      <c r="D837" s="1" t="s">
        <v>54</v>
      </c>
      <c r="E837" s="1" t="s">
        <v>7076</v>
      </c>
      <c r="F837" s="1" t="s">
        <v>98</v>
      </c>
      <c r="G837" s="1" t="s">
        <v>7077</v>
      </c>
      <c r="H837" s="1">
        <v>0</v>
      </c>
      <c r="I837" s="1" t="s">
        <v>122</v>
      </c>
      <c r="J837" s="1"/>
      <c r="K837" s="1" t="s">
        <v>7078</v>
      </c>
      <c r="L837" s="1"/>
      <c r="M837" s="1" t="s">
        <v>144</v>
      </c>
      <c r="N837" s="1">
        <v>0</v>
      </c>
      <c r="O837" s="1">
        <v>0</v>
      </c>
      <c r="P837" s="1" t="s">
        <v>103</v>
      </c>
      <c r="Q837" s="1" t="s">
        <v>104</v>
      </c>
      <c r="R837" s="1" t="s">
        <v>7079</v>
      </c>
      <c r="S837" s="1" t="s">
        <v>7080</v>
      </c>
      <c r="T837" s="1" t="s">
        <v>5815</v>
      </c>
      <c r="U837" s="1" t="s">
        <v>7081</v>
      </c>
      <c r="V837" s="1">
        <v>1</v>
      </c>
      <c r="W837" s="1">
        <v>1</v>
      </c>
      <c r="X837" s="1">
        <v>1</v>
      </c>
      <c r="Y837" s="1">
        <v>0</v>
      </c>
      <c r="Z837" s="1">
        <v>0</v>
      </c>
      <c r="AA837" s="1">
        <v>7</v>
      </c>
      <c r="AB837" s="1">
        <v>7</v>
      </c>
      <c r="AC837" s="1" t="s">
        <v>109</v>
      </c>
      <c r="AD837" s="1">
        <v>7</v>
      </c>
      <c r="AE837" s="1" t="s">
        <v>109</v>
      </c>
      <c r="AF837" s="1" t="s">
        <v>109</v>
      </c>
      <c r="AG837" s="1" t="s">
        <v>109</v>
      </c>
      <c r="AH837" s="1" t="s">
        <v>109</v>
      </c>
      <c r="AI837" s="1" t="s">
        <v>109</v>
      </c>
      <c r="AJ837" s="1" t="s">
        <v>109</v>
      </c>
      <c r="AK837" s="1" t="s">
        <v>109</v>
      </c>
      <c r="AL837" s="1" t="s">
        <v>109</v>
      </c>
      <c r="AM837" s="1" t="s">
        <v>109</v>
      </c>
      <c r="AN837" s="1" t="s">
        <v>109</v>
      </c>
      <c r="AO837" s="1" t="s">
        <v>109</v>
      </c>
      <c r="AP837" s="1"/>
      <c r="AQ837" s="1">
        <v>7</v>
      </c>
      <c r="AR837" s="1"/>
      <c r="AS837" s="1" t="s">
        <v>7082</v>
      </c>
      <c r="AT837" s="1">
        <v>0</v>
      </c>
      <c r="AU837" s="1">
        <v>0</v>
      </c>
      <c r="AV837" s="1">
        <v>0</v>
      </c>
      <c r="AW837" s="1">
        <v>0</v>
      </c>
      <c r="AX837" s="1">
        <v>0</v>
      </c>
      <c r="AY837" s="1">
        <v>0</v>
      </c>
      <c r="AZ837" s="1">
        <v>0</v>
      </c>
      <c r="BA837" s="1">
        <v>0</v>
      </c>
      <c r="BB837" s="1">
        <v>1</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5" t="str">
        <f>HYPERLINK("http://www.d20pfsrd.com/magic/all-spells/r/rampart","Rampart")</f>
        <v>Rampart</v>
      </c>
      <c r="BT837" s="1">
        <v>854</v>
      </c>
      <c r="BU837" s="1" t="s">
        <v>109</v>
      </c>
      <c r="BV837" s="1"/>
      <c r="BW837" s="1"/>
      <c r="BX837" s="1"/>
      <c r="BY837" s="1"/>
      <c r="BZ837" s="1">
        <v>0</v>
      </c>
      <c r="CA837" s="1" t="s">
        <v>109</v>
      </c>
      <c r="CB837" s="1" t="s">
        <v>109</v>
      </c>
      <c r="CC837" s="1" t="s">
        <v>109</v>
      </c>
      <c r="CD837" s="1" t="s">
        <v>109</v>
      </c>
      <c r="CE837" s="1" t="s">
        <v>109</v>
      </c>
      <c r="CF837" s="1" t="s">
        <v>109</v>
      </c>
      <c r="CG837" s="1" t="s">
        <v>109</v>
      </c>
      <c r="CH837" s="1" t="s">
        <v>109</v>
      </c>
      <c r="CI837" s="1" t="s">
        <v>109</v>
      </c>
      <c r="CJ837" s="1" t="s">
        <v>109</v>
      </c>
      <c r="CK837" s="1"/>
      <c r="CL837" s="1">
        <v>0</v>
      </c>
      <c r="CM837" s="1">
        <v>0</v>
      </c>
      <c r="CN837" s="1">
        <v>0</v>
      </c>
    </row>
    <row r="838" spans="1:92" ht="14.25" customHeight="1" x14ac:dyDescent="0.15">
      <c r="A838" s="1" t="s">
        <v>7083</v>
      </c>
      <c r="B838" s="1" t="s">
        <v>95</v>
      </c>
      <c r="C838" s="1" t="s">
        <v>694</v>
      </c>
      <c r="D838" s="1"/>
      <c r="E838" s="1" t="s">
        <v>7084</v>
      </c>
      <c r="F838" s="1" t="s">
        <v>98</v>
      </c>
      <c r="G838" s="1" t="s">
        <v>7085</v>
      </c>
      <c r="H838" s="1">
        <v>0</v>
      </c>
      <c r="I838" s="1" t="s">
        <v>161</v>
      </c>
      <c r="J838" s="1"/>
      <c r="K838" s="1"/>
      <c r="L838" s="1" t="s">
        <v>7086</v>
      </c>
      <c r="M838" s="1" t="s">
        <v>144</v>
      </c>
      <c r="N838" s="1">
        <v>0</v>
      </c>
      <c r="O838" s="1">
        <v>0</v>
      </c>
      <c r="P838" s="1" t="s">
        <v>103</v>
      </c>
      <c r="Q838" s="1" t="s">
        <v>104</v>
      </c>
      <c r="R838" s="1" t="s">
        <v>7087</v>
      </c>
      <c r="S838" s="1" t="s">
        <v>7088</v>
      </c>
      <c r="T838" s="1" t="s">
        <v>5815</v>
      </c>
      <c r="U838" s="1" t="s">
        <v>7089</v>
      </c>
      <c r="V838" s="1">
        <v>1</v>
      </c>
      <c r="W838" s="1">
        <v>1</v>
      </c>
      <c r="X838" s="1">
        <v>1</v>
      </c>
      <c r="Y838" s="1">
        <v>0</v>
      </c>
      <c r="Z838" s="1">
        <v>0</v>
      </c>
      <c r="AA838" s="1" t="s">
        <v>109</v>
      </c>
      <c r="AB838" s="1" t="s">
        <v>109</v>
      </c>
      <c r="AC838" s="1" t="s">
        <v>109</v>
      </c>
      <c r="AD838" s="1" t="s">
        <v>109</v>
      </c>
      <c r="AE838" s="1" t="s">
        <v>109</v>
      </c>
      <c r="AF838" s="1" t="s">
        <v>109</v>
      </c>
      <c r="AG838" s="1" t="s">
        <v>109</v>
      </c>
      <c r="AH838" s="1" t="s">
        <v>109</v>
      </c>
      <c r="AI838" s="1">
        <v>1</v>
      </c>
      <c r="AJ838" s="1" t="s">
        <v>109</v>
      </c>
      <c r="AK838" s="1" t="s">
        <v>109</v>
      </c>
      <c r="AL838" s="1" t="s">
        <v>109</v>
      </c>
      <c r="AM838" s="1" t="s">
        <v>109</v>
      </c>
      <c r="AN838" s="1" t="s">
        <v>109</v>
      </c>
      <c r="AO838" s="1" t="s">
        <v>109</v>
      </c>
      <c r="AP838" s="1"/>
      <c r="AQ838" s="1">
        <v>1</v>
      </c>
      <c r="AR838" s="1"/>
      <c r="AS838" s="1" t="s">
        <v>7090</v>
      </c>
      <c r="AT838" s="1">
        <v>0</v>
      </c>
      <c r="AU838" s="1">
        <v>0</v>
      </c>
      <c r="AV838" s="1">
        <v>0</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5" t="str">
        <f>HYPERLINK("http://www.d20pfsrd.com/magic/all-spells/r/rejuvenate-eidolon,-lesser","Rejuvenate Eidolon, Lesser")</f>
        <v>Rejuvenate Eidolon, Lesser</v>
      </c>
      <c r="BT838" s="1">
        <v>855</v>
      </c>
      <c r="BU838" s="1" t="s">
        <v>109</v>
      </c>
      <c r="BV838" s="1"/>
      <c r="BW838" s="1"/>
      <c r="BX838" s="1"/>
      <c r="BY838" s="1"/>
      <c r="BZ838" s="1">
        <v>0</v>
      </c>
      <c r="CA838" s="1" t="s">
        <v>109</v>
      </c>
      <c r="CB838" s="1" t="s">
        <v>109</v>
      </c>
      <c r="CC838" s="1" t="s">
        <v>109</v>
      </c>
      <c r="CD838" s="1" t="s">
        <v>109</v>
      </c>
      <c r="CE838" s="1" t="s">
        <v>109</v>
      </c>
      <c r="CF838" s="1" t="s">
        <v>109</v>
      </c>
      <c r="CG838" s="1" t="s">
        <v>109</v>
      </c>
      <c r="CH838" s="1" t="s">
        <v>109</v>
      </c>
      <c r="CI838" s="1" t="s">
        <v>109</v>
      </c>
      <c r="CJ838" s="1" t="s">
        <v>109</v>
      </c>
      <c r="CK838" s="1"/>
      <c r="CL838" s="1">
        <v>0</v>
      </c>
      <c r="CM838" s="1">
        <v>0</v>
      </c>
      <c r="CN838" s="1">
        <v>0</v>
      </c>
    </row>
    <row r="839" spans="1:92" ht="14.25" customHeight="1" x14ac:dyDescent="0.15">
      <c r="A839" s="1" t="s">
        <v>7091</v>
      </c>
      <c r="B839" s="1" t="s">
        <v>95</v>
      </c>
      <c r="C839" s="1" t="s">
        <v>694</v>
      </c>
      <c r="D839" s="1"/>
      <c r="E839" s="1" t="s">
        <v>6467</v>
      </c>
      <c r="F839" s="1" t="s">
        <v>98</v>
      </c>
      <c r="G839" s="1" t="s">
        <v>7085</v>
      </c>
      <c r="H839" s="1">
        <v>0</v>
      </c>
      <c r="I839" s="1" t="s">
        <v>161</v>
      </c>
      <c r="J839" s="1"/>
      <c r="K839" s="1"/>
      <c r="L839" s="1" t="s">
        <v>7086</v>
      </c>
      <c r="M839" s="1" t="s">
        <v>144</v>
      </c>
      <c r="N839" s="1">
        <v>0</v>
      </c>
      <c r="O839" s="1">
        <v>0</v>
      </c>
      <c r="P839" s="1" t="s">
        <v>103</v>
      </c>
      <c r="Q839" s="1" t="s">
        <v>104</v>
      </c>
      <c r="R839" s="1" t="s">
        <v>7092</v>
      </c>
      <c r="S839" s="1" t="s">
        <v>7093</v>
      </c>
      <c r="T839" s="1" t="s">
        <v>5815</v>
      </c>
      <c r="U839" s="1" t="s">
        <v>7094</v>
      </c>
      <c r="V839" s="1">
        <v>1</v>
      </c>
      <c r="W839" s="1">
        <v>1</v>
      </c>
      <c r="X839" s="1">
        <v>1</v>
      </c>
      <c r="Y839" s="1">
        <v>0</v>
      </c>
      <c r="Z839" s="1">
        <v>0</v>
      </c>
      <c r="AA839" s="1" t="s">
        <v>109</v>
      </c>
      <c r="AB839" s="1" t="s">
        <v>109</v>
      </c>
      <c r="AC839" s="1" t="s">
        <v>109</v>
      </c>
      <c r="AD839" s="1" t="s">
        <v>109</v>
      </c>
      <c r="AE839" s="1" t="s">
        <v>109</v>
      </c>
      <c r="AF839" s="1" t="s">
        <v>109</v>
      </c>
      <c r="AG839" s="1" t="s">
        <v>109</v>
      </c>
      <c r="AH839" s="1" t="s">
        <v>109</v>
      </c>
      <c r="AI839" s="1">
        <v>3</v>
      </c>
      <c r="AJ839" s="1" t="s">
        <v>109</v>
      </c>
      <c r="AK839" s="1" t="s">
        <v>109</v>
      </c>
      <c r="AL839" s="1" t="s">
        <v>109</v>
      </c>
      <c r="AM839" s="1" t="s">
        <v>109</v>
      </c>
      <c r="AN839" s="1" t="s">
        <v>109</v>
      </c>
      <c r="AO839" s="1" t="s">
        <v>109</v>
      </c>
      <c r="AP839" s="1"/>
      <c r="AQ839" s="1">
        <v>3</v>
      </c>
      <c r="AR839" s="1"/>
      <c r="AS839" s="1" t="s">
        <v>7095</v>
      </c>
      <c r="AT839" s="1">
        <v>0</v>
      </c>
      <c r="AU839" s="1">
        <v>0</v>
      </c>
      <c r="AV839" s="1">
        <v>0</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5" t="str">
        <f>HYPERLINK("http://www.d20pfsrd.com/magic/all-spells/r/rejuvenate-eidolon","Rejuvenate Eidolon")</f>
        <v>Rejuvenate Eidolon</v>
      </c>
      <c r="BT839" s="1">
        <v>856</v>
      </c>
      <c r="BU839" s="1" t="s">
        <v>109</v>
      </c>
      <c r="BV839" s="1"/>
      <c r="BW839" s="1"/>
      <c r="BX839" s="1"/>
      <c r="BY839" s="1"/>
      <c r="BZ839" s="1">
        <v>0</v>
      </c>
      <c r="CA839" s="1" t="s">
        <v>109</v>
      </c>
      <c r="CB839" s="1" t="s">
        <v>109</v>
      </c>
      <c r="CC839" s="1" t="s">
        <v>109</v>
      </c>
      <c r="CD839" s="1" t="s">
        <v>109</v>
      </c>
      <c r="CE839" s="1" t="s">
        <v>109</v>
      </c>
      <c r="CF839" s="1" t="s">
        <v>109</v>
      </c>
      <c r="CG839" s="1" t="s">
        <v>109</v>
      </c>
      <c r="CH839" s="1" t="s">
        <v>109</v>
      </c>
      <c r="CI839" s="1" t="s">
        <v>109</v>
      </c>
      <c r="CJ839" s="1" t="s">
        <v>109</v>
      </c>
      <c r="CK839" s="1"/>
      <c r="CL839" s="1">
        <v>0</v>
      </c>
      <c r="CM839" s="1">
        <v>0</v>
      </c>
      <c r="CN839" s="1">
        <v>0</v>
      </c>
    </row>
    <row r="840" spans="1:92" ht="14.25" customHeight="1" x14ac:dyDescent="0.15">
      <c r="A840" s="1" t="s">
        <v>7096</v>
      </c>
      <c r="B840" s="1" t="s">
        <v>95</v>
      </c>
      <c r="C840" s="1" t="s">
        <v>694</v>
      </c>
      <c r="D840" s="1"/>
      <c r="E840" s="1" t="s">
        <v>7097</v>
      </c>
      <c r="F840" s="1" t="s">
        <v>98</v>
      </c>
      <c r="G840" s="1" t="s">
        <v>7085</v>
      </c>
      <c r="H840" s="1">
        <v>0</v>
      </c>
      <c r="I840" s="1" t="s">
        <v>161</v>
      </c>
      <c r="J840" s="1"/>
      <c r="K840" s="1"/>
      <c r="L840" s="1" t="s">
        <v>7086</v>
      </c>
      <c r="M840" s="1" t="s">
        <v>144</v>
      </c>
      <c r="N840" s="1">
        <v>0</v>
      </c>
      <c r="O840" s="1">
        <v>0</v>
      </c>
      <c r="P840" s="1" t="s">
        <v>103</v>
      </c>
      <c r="Q840" s="1" t="s">
        <v>104</v>
      </c>
      <c r="R840" s="1" t="s">
        <v>7098</v>
      </c>
      <c r="S840" s="1" t="s">
        <v>7099</v>
      </c>
      <c r="T840" s="1" t="s">
        <v>5815</v>
      </c>
      <c r="U840" s="1" t="s">
        <v>7100</v>
      </c>
      <c r="V840" s="1">
        <v>1</v>
      </c>
      <c r="W840" s="1">
        <v>1</v>
      </c>
      <c r="X840" s="1">
        <v>1</v>
      </c>
      <c r="Y840" s="1">
        <v>0</v>
      </c>
      <c r="Z840" s="1">
        <v>0</v>
      </c>
      <c r="AA840" s="1" t="s">
        <v>109</v>
      </c>
      <c r="AB840" s="1" t="s">
        <v>109</v>
      </c>
      <c r="AC840" s="1" t="s">
        <v>109</v>
      </c>
      <c r="AD840" s="1" t="s">
        <v>109</v>
      </c>
      <c r="AE840" s="1" t="s">
        <v>109</v>
      </c>
      <c r="AF840" s="1" t="s">
        <v>109</v>
      </c>
      <c r="AG840" s="1" t="s">
        <v>109</v>
      </c>
      <c r="AH840" s="1" t="s">
        <v>109</v>
      </c>
      <c r="AI840" s="1">
        <v>5</v>
      </c>
      <c r="AJ840" s="1" t="s">
        <v>109</v>
      </c>
      <c r="AK840" s="1" t="s">
        <v>109</v>
      </c>
      <c r="AL840" s="1" t="s">
        <v>109</v>
      </c>
      <c r="AM840" s="1" t="s">
        <v>109</v>
      </c>
      <c r="AN840" s="1" t="s">
        <v>109</v>
      </c>
      <c r="AO840" s="1" t="s">
        <v>109</v>
      </c>
      <c r="AP840" s="1"/>
      <c r="AQ840" s="1">
        <v>5</v>
      </c>
      <c r="AR840" s="1"/>
      <c r="AS840" s="1" t="s">
        <v>7101</v>
      </c>
      <c r="AT840" s="1">
        <v>0</v>
      </c>
      <c r="AU840" s="1">
        <v>0</v>
      </c>
      <c r="AV840" s="1">
        <v>0</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5" t="str">
        <f>HYPERLINK("http://www.d20pfsrd.com/magic/all-spells/r/rejuvenate-eidolon,-greater","Rejuvenate Eidolon, Greater")</f>
        <v>Rejuvenate Eidolon, Greater</v>
      </c>
      <c r="BT840" s="1">
        <v>857</v>
      </c>
      <c r="BU840" s="1" t="s">
        <v>109</v>
      </c>
      <c r="BV840" s="1"/>
      <c r="BW840" s="1"/>
      <c r="BX840" s="1"/>
      <c r="BY840" s="1"/>
      <c r="BZ840" s="1">
        <v>0</v>
      </c>
      <c r="CA840" s="1" t="s">
        <v>109</v>
      </c>
      <c r="CB840" s="1" t="s">
        <v>109</v>
      </c>
      <c r="CC840" s="1" t="s">
        <v>109</v>
      </c>
      <c r="CD840" s="1" t="s">
        <v>109</v>
      </c>
      <c r="CE840" s="1" t="s">
        <v>109</v>
      </c>
      <c r="CF840" s="1" t="s">
        <v>109</v>
      </c>
      <c r="CG840" s="1" t="s">
        <v>109</v>
      </c>
      <c r="CH840" s="1" t="s">
        <v>109</v>
      </c>
      <c r="CI840" s="1" t="s">
        <v>109</v>
      </c>
      <c r="CJ840" s="1" t="s">
        <v>109</v>
      </c>
      <c r="CK840" s="1"/>
      <c r="CL840" s="1">
        <v>0</v>
      </c>
      <c r="CM840" s="1">
        <v>0</v>
      </c>
      <c r="CN840" s="1">
        <v>0</v>
      </c>
    </row>
    <row r="841" spans="1:92" ht="14.25" customHeight="1" x14ac:dyDescent="0.15">
      <c r="A841" s="1" t="s">
        <v>7102</v>
      </c>
      <c r="B841" s="1" t="s">
        <v>584</v>
      </c>
      <c r="C841" s="1"/>
      <c r="D841" s="1" t="s">
        <v>69</v>
      </c>
      <c r="E841" s="1" t="s">
        <v>7103</v>
      </c>
      <c r="F841" s="1" t="s">
        <v>6545</v>
      </c>
      <c r="G841" s="1" t="s">
        <v>333</v>
      </c>
      <c r="H841" s="1">
        <v>0</v>
      </c>
      <c r="I841" s="1" t="s">
        <v>235</v>
      </c>
      <c r="J841" s="1"/>
      <c r="K841" s="1"/>
      <c r="L841" s="1" t="s">
        <v>236</v>
      </c>
      <c r="M841" s="1" t="s">
        <v>125</v>
      </c>
      <c r="N841" s="1">
        <v>0</v>
      </c>
      <c r="O841" s="1">
        <v>0</v>
      </c>
      <c r="P841" s="1" t="s">
        <v>934</v>
      </c>
      <c r="Q841" s="1" t="s">
        <v>104</v>
      </c>
      <c r="R841" s="1" t="s">
        <v>7104</v>
      </c>
      <c r="S841" s="1" t="s">
        <v>7105</v>
      </c>
      <c r="T841" s="1" t="s">
        <v>5815</v>
      </c>
      <c r="U841" s="1" t="s">
        <v>7106</v>
      </c>
      <c r="V841" s="1">
        <v>1</v>
      </c>
      <c r="W841" s="1">
        <v>0</v>
      </c>
      <c r="X841" s="1">
        <v>0</v>
      </c>
      <c r="Y841" s="1">
        <v>0</v>
      </c>
      <c r="Z841" s="1">
        <v>0</v>
      </c>
      <c r="AA841" s="1" t="s">
        <v>109</v>
      </c>
      <c r="AB841" s="1" t="s">
        <v>109</v>
      </c>
      <c r="AC841" s="1" t="s">
        <v>109</v>
      </c>
      <c r="AD841" s="1" t="s">
        <v>109</v>
      </c>
      <c r="AE841" s="1" t="s">
        <v>109</v>
      </c>
      <c r="AF841" s="1" t="s">
        <v>109</v>
      </c>
      <c r="AG841" s="1">
        <v>4</v>
      </c>
      <c r="AH841" s="1" t="s">
        <v>109</v>
      </c>
      <c r="AI841" s="1" t="s">
        <v>109</v>
      </c>
      <c r="AJ841" s="1" t="s">
        <v>109</v>
      </c>
      <c r="AK841" s="1">
        <v>5</v>
      </c>
      <c r="AL841" s="1" t="s">
        <v>109</v>
      </c>
      <c r="AM841" s="1">
        <v>4</v>
      </c>
      <c r="AN841" s="1" t="s">
        <v>109</v>
      </c>
      <c r="AO841" s="1" t="s">
        <v>109</v>
      </c>
      <c r="AP841" s="1"/>
      <c r="AQ841" s="1">
        <v>4</v>
      </c>
      <c r="AR841" s="1"/>
      <c r="AS841" s="1" t="s">
        <v>7107</v>
      </c>
      <c r="AT841" s="1">
        <v>0</v>
      </c>
      <c r="AU841" s="1">
        <v>0</v>
      </c>
      <c r="AV841" s="1">
        <v>0</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1</v>
      </c>
      <c r="BR841" s="1">
        <v>0</v>
      </c>
      <c r="BS841" s="5" t="str">
        <f>HYPERLINK("http://www.d20pfsrd.com/magic/all-spells/r/resounding-blow","Resounding Blow")</f>
        <v>Resounding Blow</v>
      </c>
      <c r="BT841" s="1">
        <v>858</v>
      </c>
      <c r="BU841" s="1" t="s">
        <v>109</v>
      </c>
      <c r="BV841" s="1"/>
      <c r="BW841" s="1"/>
      <c r="BX841" s="1"/>
      <c r="BY841" s="1"/>
      <c r="BZ841" s="1">
        <v>0</v>
      </c>
      <c r="CA841" s="1" t="s">
        <v>109</v>
      </c>
      <c r="CB841" s="1" t="s">
        <v>109</v>
      </c>
      <c r="CC841" s="1" t="s">
        <v>109</v>
      </c>
      <c r="CD841" s="1" t="s">
        <v>109</v>
      </c>
      <c r="CE841" s="1" t="s">
        <v>109</v>
      </c>
      <c r="CF841" s="1" t="s">
        <v>109</v>
      </c>
      <c r="CG841" s="1" t="s">
        <v>109</v>
      </c>
      <c r="CH841" s="1" t="s">
        <v>109</v>
      </c>
      <c r="CI841" s="1" t="s">
        <v>109</v>
      </c>
      <c r="CJ841" s="1" t="s">
        <v>109</v>
      </c>
      <c r="CK841" s="1"/>
      <c r="CL841" s="1">
        <v>0</v>
      </c>
      <c r="CM841" s="1">
        <v>0</v>
      </c>
      <c r="CN841" s="1">
        <v>0</v>
      </c>
    </row>
    <row r="842" spans="1:92" ht="14.25" customHeight="1" x14ac:dyDescent="0.15">
      <c r="A842" s="1" t="s">
        <v>7108</v>
      </c>
      <c r="B842" s="1" t="s">
        <v>308</v>
      </c>
      <c r="C842" s="1"/>
      <c r="D842" s="1" t="s">
        <v>50</v>
      </c>
      <c r="E842" s="1" t="s">
        <v>7109</v>
      </c>
      <c r="F842" s="1" t="s">
        <v>355</v>
      </c>
      <c r="G842" s="1" t="s">
        <v>7110</v>
      </c>
      <c r="H842" s="1">
        <v>0</v>
      </c>
      <c r="I842" s="1" t="s">
        <v>161</v>
      </c>
      <c r="J842" s="1"/>
      <c r="K842" s="1"/>
      <c r="L842" s="1" t="s">
        <v>7111</v>
      </c>
      <c r="M842" s="1" t="s">
        <v>408</v>
      </c>
      <c r="N842" s="1">
        <v>0</v>
      </c>
      <c r="O842" s="1">
        <v>0</v>
      </c>
      <c r="P842" s="1" t="s">
        <v>103</v>
      </c>
      <c r="Q842" s="1" t="s">
        <v>104</v>
      </c>
      <c r="R842" s="1" t="s">
        <v>7112</v>
      </c>
      <c r="S842" s="1" t="s">
        <v>7113</v>
      </c>
      <c r="T842" s="1" t="s">
        <v>5815</v>
      </c>
      <c r="U842" s="1" t="s">
        <v>7114</v>
      </c>
      <c r="V842" s="1">
        <v>1</v>
      </c>
      <c r="W842" s="1">
        <v>1</v>
      </c>
      <c r="X842" s="1">
        <v>1</v>
      </c>
      <c r="Y842" s="1">
        <v>0</v>
      </c>
      <c r="Z842" s="1">
        <v>1</v>
      </c>
      <c r="AA842" s="1" t="s">
        <v>109</v>
      </c>
      <c r="AB842" s="1" t="s">
        <v>109</v>
      </c>
      <c r="AC842" s="1">
        <v>4</v>
      </c>
      <c r="AD842" s="1">
        <v>5</v>
      </c>
      <c r="AE842" s="1" t="s">
        <v>109</v>
      </c>
      <c r="AF842" s="1" t="s">
        <v>109</v>
      </c>
      <c r="AG842" s="1" t="s">
        <v>109</v>
      </c>
      <c r="AH842" s="1" t="s">
        <v>109</v>
      </c>
      <c r="AI842" s="1" t="s">
        <v>109</v>
      </c>
      <c r="AJ842" s="1">
        <v>5</v>
      </c>
      <c r="AK842" s="1" t="s">
        <v>109</v>
      </c>
      <c r="AL842" s="1">
        <v>4</v>
      </c>
      <c r="AM842" s="1" t="s">
        <v>109</v>
      </c>
      <c r="AN842" s="1" t="s">
        <v>109</v>
      </c>
      <c r="AO842" s="1" t="s">
        <v>109</v>
      </c>
      <c r="AP842" s="1"/>
      <c r="AQ842" s="1">
        <v>4</v>
      </c>
      <c r="AR842" s="1" t="s">
        <v>181</v>
      </c>
      <c r="AS842" s="1" t="s">
        <v>7115</v>
      </c>
      <c r="AT842" s="1">
        <v>0</v>
      </c>
      <c r="AU842" s="1">
        <v>0</v>
      </c>
      <c r="AV842" s="1">
        <v>0</v>
      </c>
      <c r="AW842" s="1">
        <v>0</v>
      </c>
      <c r="AX842" s="1">
        <v>1</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0</v>
      </c>
      <c r="BR842" s="1">
        <v>0</v>
      </c>
      <c r="BS842" s="5" t="str">
        <f>HYPERLINK("http://www.d20pfsrd.com/magic/all-spells/r/rest-eternal","Rest Eternal")</f>
        <v>Rest Eternal</v>
      </c>
      <c r="BT842" s="1">
        <v>859</v>
      </c>
      <c r="BU842" s="1" t="s">
        <v>109</v>
      </c>
      <c r="BV842" s="1"/>
      <c r="BW842" s="1" t="s">
        <v>1168</v>
      </c>
      <c r="BX842" s="1"/>
      <c r="BY842" s="1"/>
      <c r="BZ842" s="1">
        <v>0</v>
      </c>
      <c r="CA842" s="1" t="s">
        <v>109</v>
      </c>
      <c r="CB842" s="1">
        <v>5</v>
      </c>
      <c r="CC842" s="1" t="s">
        <v>109</v>
      </c>
      <c r="CD842" s="1" t="s">
        <v>109</v>
      </c>
      <c r="CE842" s="1" t="s">
        <v>109</v>
      </c>
      <c r="CF842" s="1" t="s">
        <v>109</v>
      </c>
      <c r="CG842" s="1" t="s">
        <v>109</v>
      </c>
      <c r="CH842" s="1" t="s">
        <v>109</v>
      </c>
      <c r="CI842" s="1" t="s">
        <v>109</v>
      </c>
      <c r="CJ842" s="1">
        <v>5</v>
      </c>
      <c r="CK842" s="1"/>
      <c r="CL842" s="1">
        <v>0</v>
      </c>
      <c r="CM842" s="1">
        <v>0</v>
      </c>
      <c r="CN842" s="1">
        <v>0</v>
      </c>
    </row>
    <row r="843" spans="1:92" ht="14.25" customHeight="1" x14ac:dyDescent="0.15">
      <c r="A843" s="1" t="s">
        <v>7116</v>
      </c>
      <c r="B843" s="1" t="s">
        <v>308</v>
      </c>
      <c r="C843" s="1"/>
      <c r="D843" s="1"/>
      <c r="E843" s="1" t="s">
        <v>7117</v>
      </c>
      <c r="F843" s="1" t="s">
        <v>395</v>
      </c>
      <c r="G843" s="1" t="s">
        <v>7118</v>
      </c>
      <c r="H843" s="1">
        <v>0</v>
      </c>
      <c r="I843" s="1" t="s">
        <v>142</v>
      </c>
      <c r="J843" s="1"/>
      <c r="K843" s="1"/>
      <c r="L843" s="1" t="s">
        <v>716</v>
      </c>
      <c r="M843" s="1" t="s">
        <v>7119</v>
      </c>
      <c r="N843" s="1">
        <v>0</v>
      </c>
      <c r="O843" s="1">
        <v>0</v>
      </c>
      <c r="P843" s="1" t="s">
        <v>1382</v>
      </c>
      <c r="Q843" s="1" t="s">
        <v>167</v>
      </c>
      <c r="R843" s="1" t="s">
        <v>7120</v>
      </c>
      <c r="S843" s="1" t="s">
        <v>7121</v>
      </c>
      <c r="T843" s="1" t="s">
        <v>5815</v>
      </c>
      <c r="U843" s="1" t="s">
        <v>7122</v>
      </c>
      <c r="V843" s="1">
        <v>1</v>
      </c>
      <c r="W843" s="1">
        <v>1</v>
      </c>
      <c r="X843" s="1">
        <v>1</v>
      </c>
      <c r="Y843" s="1">
        <v>0</v>
      </c>
      <c r="Z843" s="1">
        <v>0</v>
      </c>
      <c r="AA843" s="1" t="s">
        <v>109</v>
      </c>
      <c r="AB843" s="1" t="s">
        <v>109</v>
      </c>
      <c r="AC843" s="1" t="s">
        <v>109</v>
      </c>
      <c r="AD843" s="1" t="s">
        <v>109</v>
      </c>
      <c r="AE843" s="1" t="s">
        <v>109</v>
      </c>
      <c r="AF843" s="1">
        <v>1</v>
      </c>
      <c r="AG843" s="1" t="s">
        <v>109</v>
      </c>
      <c r="AH843" s="1" t="s">
        <v>109</v>
      </c>
      <c r="AI843" s="1" t="s">
        <v>109</v>
      </c>
      <c r="AJ843" s="1" t="s">
        <v>109</v>
      </c>
      <c r="AK843" s="1" t="s">
        <v>109</v>
      </c>
      <c r="AL843" s="1" t="s">
        <v>109</v>
      </c>
      <c r="AM843" s="1" t="s">
        <v>109</v>
      </c>
      <c r="AN843" s="1" t="s">
        <v>109</v>
      </c>
      <c r="AO843" s="1" t="s">
        <v>109</v>
      </c>
      <c r="AP843" s="1"/>
      <c r="AQ843" s="1">
        <v>1</v>
      </c>
      <c r="AR843" s="1"/>
      <c r="AS843" s="1" t="s">
        <v>7123</v>
      </c>
      <c r="AT843" s="1">
        <v>0</v>
      </c>
      <c r="AU843" s="1">
        <v>0</v>
      </c>
      <c r="AV843" s="1">
        <v>0</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5" t="str">
        <f>HYPERLINK("http://www.d20pfsrd.com/magic/all-spells/r/restful-sleep","Restful Sleep")</f>
        <v>Restful Sleep</v>
      </c>
      <c r="BT843" s="1">
        <v>860</v>
      </c>
      <c r="BU843" s="1" t="s">
        <v>109</v>
      </c>
      <c r="BV843" s="1"/>
      <c r="BW843" s="1"/>
      <c r="BX843" s="1"/>
      <c r="BY843" s="1"/>
      <c r="BZ843" s="1">
        <v>0</v>
      </c>
      <c r="CA843" s="1" t="s">
        <v>109</v>
      </c>
      <c r="CB843" s="1" t="s">
        <v>109</v>
      </c>
      <c r="CC843" s="1" t="s">
        <v>109</v>
      </c>
      <c r="CD843" s="1" t="s">
        <v>109</v>
      </c>
      <c r="CE843" s="1" t="s">
        <v>109</v>
      </c>
      <c r="CF843" s="1" t="s">
        <v>109</v>
      </c>
      <c r="CG843" s="1" t="s">
        <v>109</v>
      </c>
      <c r="CH843" s="1" t="s">
        <v>109</v>
      </c>
      <c r="CI843" s="1" t="s">
        <v>109</v>
      </c>
      <c r="CJ843" s="1" t="s">
        <v>109</v>
      </c>
      <c r="CK843" s="1"/>
      <c r="CL843" s="1">
        <v>0</v>
      </c>
      <c r="CM843" s="1">
        <v>0</v>
      </c>
      <c r="CN843" s="1">
        <v>0</v>
      </c>
    </row>
    <row r="844" spans="1:92" ht="14.25" customHeight="1" x14ac:dyDescent="0.15">
      <c r="A844" s="1" t="s">
        <v>7124</v>
      </c>
      <c r="B844" s="1" t="s">
        <v>95</v>
      </c>
      <c r="C844" s="1" t="s">
        <v>694</v>
      </c>
      <c r="D844" s="1"/>
      <c r="E844" s="1" t="s">
        <v>6304</v>
      </c>
      <c r="F844" s="1" t="s">
        <v>98</v>
      </c>
      <c r="G844" s="1" t="s">
        <v>7125</v>
      </c>
      <c r="H844" s="1">
        <v>1</v>
      </c>
      <c r="I844" s="1" t="s">
        <v>235</v>
      </c>
      <c r="J844" s="1"/>
      <c r="K844" s="1"/>
      <c r="L844" s="1" t="s">
        <v>236</v>
      </c>
      <c r="M844" s="1" t="s">
        <v>7126</v>
      </c>
      <c r="N844" s="1">
        <v>0</v>
      </c>
      <c r="O844" s="1">
        <v>0</v>
      </c>
      <c r="P844" s="1"/>
      <c r="Q844" s="1"/>
      <c r="R844" s="1" t="s">
        <v>7127</v>
      </c>
      <c r="S844" s="1" t="s">
        <v>7128</v>
      </c>
      <c r="T844" s="1" t="s">
        <v>5815</v>
      </c>
      <c r="U844" s="1" t="s">
        <v>7129</v>
      </c>
      <c r="V844" s="1">
        <v>1</v>
      </c>
      <c r="W844" s="1">
        <v>1</v>
      </c>
      <c r="X844" s="1">
        <v>1</v>
      </c>
      <c r="Y844" s="1">
        <v>0</v>
      </c>
      <c r="Z844" s="1">
        <v>0</v>
      </c>
      <c r="AA844" s="1" t="s">
        <v>109</v>
      </c>
      <c r="AB844" s="1" t="s">
        <v>109</v>
      </c>
      <c r="AC844" s="1" t="s">
        <v>109</v>
      </c>
      <c r="AD844" s="1" t="s">
        <v>109</v>
      </c>
      <c r="AE844" s="1" t="s">
        <v>109</v>
      </c>
      <c r="AF844" s="1" t="s">
        <v>109</v>
      </c>
      <c r="AG844" s="1" t="s">
        <v>109</v>
      </c>
      <c r="AH844" s="1">
        <v>5</v>
      </c>
      <c r="AI844" s="1" t="s">
        <v>109</v>
      </c>
      <c r="AJ844" s="1" t="s">
        <v>109</v>
      </c>
      <c r="AK844" s="1" t="s">
        <v>109</v>
      </c>
      <c r="AL844" s="1" t="s">
        <v>109</v>
      </c>
      <c r="AM844" s="1" t="s">
        <v>109</v>
      </c>
      <c r="AN844" s="1" t="s">
        <v>109</v>
      </c>
      <c r="AO844" s="1" t="s">
        <v>109</v>
      </c>
      <c r="AP844" s="1"/>
      <c r="AQ844" s="1">
        <v>5</v>
      </c>
      <c r="AR844" s="1"/>
      <c r="AS844" s="1" t="s">
        <v>7130</v>
      </c>
      <c r="AT844" s="1">
        <v>0</v>
      </c>
      <c r="AU844" s="1">
        <v>0</v>
      </c>
      <c r="AV844" s="1">
        <v>0</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5" t="str">
        <f>HYPERLINK("http://www.d20pfsrd.com/magic/all-spells/r/resurgent-transformation","Resurgent Transformation")</f>
        <v>Resurgent Transformation</v>
      </c>
      <c r="BT844" s="1">
        <v>861</v>
      </c>
      <c r="BU844" s="1">
        <v>100</v>
      </c>
      <c r="BV844" s="1"/>
      <c r="BW844" s="1"/>
      <c r="BX844" s="1"/>
      <c r="BY844" s="1"/>
      <c r="BZ844" s="1">
        <v>0</v>
      </c>
      <c r="CA844" s="1" t="s">
        <v>109</v>
      </c>
      <c r="CB844" s="1" t="s">
        <v>109</v>
      </c>
      <c r="CC844" s="1" t="s">
        <v>109</v>
      </c>
      <c r="CD844" s="1" t="s">
        <v>109</v>
      </c>
      <c r="CE844" s="1" t="s">
        <v>109</v>
      </c>
      <c r="CF844" s="1" t="s">
        <v>109</v>
      </c>
      <c r="CG844" s="1" t="s">
        <v>109</v>
      </c>
      <c r="CH844" s="1" t="s">
        <v>109</v>
      </c>
      <c r="CI844" s="1" t="s">
        <v>109</v>
      </c>
      <c r="CJ844" s="1" t="s">
        <v>109</v>
      </c>
      <c r="CK844" s="1"/>
      <c r="CL844" s="1">
        <v>0</v>
      </c>
      <c r="CM844" s="1">
        <v>0</v>
      </c>
      <c r="CN844" s="1">
        <v>0</v>
      </c>
    </row>
    <row r="845" spans="1:92" ht="14.25" customHeight="1" x14ac:dyDescent="0.15">
      <c r="A845" s="1" t="s">
        <v>7131</v>
      </c>
      <c r="B845" s="1" t="s">
        <v>308</v>
      </c>
      <c r="C845" s="1"/>
      <c r="D845" s="1" t="s">
        <v>4940</v>
      </c>
      <c r="E845" s="1" t="s">
        <v>7132</v>
      </c>
      <c r="F845" s="1" t="s">
        <v>98</v>
      </c>
      <c r="G845" s="1" t="s">
        <v>333</v>
      </c>
      <c r="H845" s="1">
        <v>0</v>
      </c>
      <c r="I845" s="1" t="s">
        <v>142</v>
      </c>
      <c r="J845" s="1"/>
      <c r="K845" s="1"/>
      <c r="L845" s="1" t="s">
        <v>7133</v>
      </c>
      <c r="M845" s="1" t="s">
        <v>125</v>
      </c>
      <c r="N845" s="1">
        <v>0</v>
      </c>
      <c r="O845" s="1">
        <v>0</v>
      </c>
      <c r="P845" s="1" t="s">
        <v>1410</v>
      </c>
      <c r="Q845" s="1" t="s">
        <v>268</v>
      </c>
      <c r="R845" s="1" t="s">
        <v>7134</v>
      </c>
      <c r="S845" s="1" t="s">
        <v>7135</v>
      </c>
      <c r="T845" s="1" t="s">
        <v>5815</v>
      </c>
      <c r="U845" s="1" t="s">
        <v>7136</v>
      </c>
      <c r="V845" s="1">
        <v>1</v>
      </c>
      <c r="W845" s="1">
        <v>0</v>
      </c>
      <c r="X845" s="1">
        <v>0</v>
      </c>
      <c r="Y845" s="1">
        <v>0</v>
      </c>
      <c r="Z845" s="1">
        <v>0</v>
      </c>
      <c r="AA845" s="1" t="s">
        <v>109</v>
      </c>
      <c r="AB845" s="1" t="s">
        <v>109</v>
      </c>
      <c r="AC845" s="1" t="s">
        <v>109</v>
      </c>
      <c r="AD845" s="1" t="s">
        <v>109</v>
      </c>
      <c r="AE845" s="1" t="s">
        <v>109</v>
      </c>
      <c r="AF845" s="1" t="s">
        <v>109</v>
      </c>
      <c r="AG845" s="1" t="s">
        <v>109</v>
      </c>
      <c r="AH845" s="1" t="s">
        <v>109</v>
      </c>
      <c r="AI845" s="1" t="s">
        <v>109</v>
      </c>
      <c r="AJ845" s="1" t="s">
        <v>109</v>
      </c>
      <c r="AK845" s="1">
        <v>3</v>
      </c>
      <c r="AL845" s="1" t="s">
        <v>109</v>
      </c>
      <c r="AM845" s="1" t="s">
        <v>109</v>
      </c>
      <c r="AN845" s="1" t="s">
        <v>109</v>
      </c>
      <c r="AO845" s="1" t="s">
        <v>109</v>
      </c>
      <c r="AP845" s="1"/>
      <c r="AQ845" s="1">
        <v>3</v>
      </c>
      <c r="AR845" s="1"/>
      <c r="AS845" s="1" t="s">
        <v>7137</v>
      </c>
      <c r="AT845" s="1">
        <v>0</v>
      </c>
      <c r="AU845" s="1">
        <v>0</v>
      </c>
      <c r="AV845" s="1">
        <v>0</v>
      </c>
      <c r="AW845" s="1">
        <v>0</v>
      </c>
      <c r="AX845" s="1">
        <v>0</v>
      </c>
      <c r="AY845" s="1">
        <v>0</v>
      </c>
      <c r="AZ845" s="1">
        <v>0</v>
      </c>
      <c r="BA845" s="1">
        <v>0</v>
      </c>
      <c r="BB845" s="1">
        <v>0</v>
      </c>
      <c r="BC845" s="1">
        <v>0</v>
      </c>
      <c r="BD845" s="1">
        <v>0</v>
      </c>
      <c r="BE845" s="1">
        <v>1</v>
      </c>
      <c r="BF845" s="1">
        <v>0</v>
      </c>
      <c r="BG845" s="1">
        <v>0</v>
      </c>
      <c r="BH845" s="1">
        <v>0</v>
      </c>
      <c r="BI845" s="1">
        <v>0</v>
      </c>
      <c r="BJ845" s="1">
        <v>0</v>
      </c>
      <c r="BK845" s="1">
        <v>0</v>
      </c>
      <c r="BL845" s="1">
        <v>0</v>
      </c>
      <c r="BM845" s="1">
        <v>0</v>
      </c>
      <c r="BN845" s="1">
        <v>1</v>
      </c>
      <c r="BO845" s="1">
        <v>0</v>
      </c>
      <c r="BP845" s="1">
        <v>0</v>
      </c>
      <c r="BQ845" s="1">
        <v>0</v>
      </c>
      <c r="BR845" s="1">
        <v>0</v>
      </c>
      <c r="BS845" s="5" t="str">
        <f>HYPERLINK("http://www.d20pfsrd.com/magic/all-spells/r/retribution","Retribution")</f>
        <v>Retribution</v>
      </c>
      <c r="BT845" s="1">
        <v>862</v>
      </c>
      <c r="BU845" s="1" t="s">
        <v>109</v>
      </c>
      <c r="BV845" s="1"/>
      <c r="BW845" s="1"/>
      <c r="BX845" s="1"/>
      <c r="BY845" s="1"/>
      <c r="BZ845" s="1">
        <v>0</v>
      </c>
      <c r="CA845" s="1" t="s">
        <v>109</v>
      </c>
      <c r="CB845" s="1" t="s">
        <v>109</v>
      </c>
      <c r="CC845" s="1" t="s">
        <v>109</v>
      </c>
      <c r="CD845" s="1" t="s">
        <v>109</v>
      </c>
      <c r="CE845" s="1" t="s">
        <v>109</v>
      </c>
      <c r="CF845" s="1" t="s">
        <v>109</v>
      </c>
      <c r="CG845" s="1" t="s">
        <v>109</v>
      </c>
      <c r="CH845" s="1" t="s">
        <v>109</v>
      </c>
      <c r="CI845" s="1" t="s">
        <v>109</v>
      </c>
      <c r="CJ845" s="1" t="s">
        <v>109</v>
      </c>
      <c r="CK845" s="1"/>
      <c r="CL845" s="1">
        <v>0</v>
      </c>
      <c r="CM845" s="1">
        <v>0</v>
      </c>
      <c r="CN845" s="1">
        <v>0</v>
      </c>
    </row>
    <row r="846" spans="1:92" ht="14.25" customHeight="1" x14ac:dyDescent="0.15">
      <c r="A846" s="1" t="s">
        <v>7138</v>
      </c>
      <c r="B846" s="1" t="s">
        <v>95</v>
      </c>
      <c r="C846" s="1" t="s">
        <v>694</v>
      </c>
      <c r="D846" s="1"/>
      <c r="E846" s="1" t="s">
        <v>2403</v>
      </c>
      <c r="F846" s="1" t="s">
        <v>6545</v>
      </c>
      <c r="G846" s="1" t="s">
        <v>141</v>
      </c>
      <c r="H846" s="1">
        <v>0</v>
      </c>
      <c r="I846" s="1" t="s">
        <v>915</v>
      </c>
      <c r="J846" s="1" t="s">
        <v>7139</v>
      </c>
      <c r="K846" s="1"/>
      <c r="L846" s="1"/>
      <c r="M846" s="1" t="s">
        <v>144</v>
      </c>
      <c r="N846" s="1">
        <v>0</v>
      </c>
      <c r="O846" s="1">
        <v>0</v>
      </c>
      <c r="P846" s="1" t="s">
        <v>7140</v>
      </c>
      <c r="Q846" s="1" t="s">
        <v>167</v>
      </c>
      <c r="R846" s="1" t="s">
        <v>7141</v>
      </c>
      <c r="S846" s="1" t="s">
        <v>7142</v>
      </c>
      <c r="T846" s="1" t="s">
        <v>5815</v>
      </c>
      <c r="U846" s="1" t="s">
        <v>7143</v>
      </c>
      <c r="V846" s="1">
        <v>1</v>
      </c>
      <c r="W846" s="1">
        <v>1</v>
      </c>
      <c r="X846" s="1">
        <v>0</v>
      </c>
      <c r="Y846" s="1">
        <v>0</v>
      </c>
      <c r="Z846" s="1">
        <v>0</v>
      </c>
      <c r="AA846" s="1" t="s">
        <v>109</v>
      </c>
      <c r="AB846" s="1" t="s">
        <v>109</v>
      </c>
      <c r="AC846" s="1" t="s">
        <v>109</v>
      </c>
      <c r="AD846" s="1" t="s">
        <v>109</v>
      </c>
      <c r="AE846" s="1" t="s">
        <v>109</v>
      </c>
      <c r="AF846" s="1">
        <v>3</v>
      </c>
      <c r="AG846" s="1" t="s">
        <v>109</v>
      </c>
      <c r="AH846" s="1" t="s">
        <v>109</v>
      </c>
      <c r="AI846" s="1" t="s">
        <v>109</v>
      </c>
      <c r="AJ846" s="1" t="s">
        <v>109</v>
      </c>
      <c r="AK846" s="1" t="s">
        <v>109</v>
      </c>
      <c r="AL846" s="1" t="s">
        <v>109</v>
      </c>
      <c r="AM846" s="1" t="s">
        <v>109</v>
      </c>
      <c r="AN846" s="1" t="s">
        <v>109</v>
      </c>
      <c r="AO846" s="1" t="s">
        <v>109</v>
      </c>
      <c r="AP846" s="1"/>
      <c r="AQ846" s="1">
        <v>3</v>
      </c>
      <c r="AR846" s="1"/>
      <c r="AS846" s="1" t="s">
        <v>7144</v>
      </c>
      <c r="AT846" s="1">
        <v>0</v>
      </c>
      <c r="AU846" s="1">
        <v>0</v>
      </c>
      <c r="AV846" s="1">
        <v>0</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5" t="str">
        <f>HYPERLINK("http://www.d20pfsrd.com/magic/all-spells/r/reviving-finale","Reviving Finale")</f>
        <v>Reviving Finale</v>
      </c>
      <c r="BT846" s="1">
        <v>863</v>
      </c>
      <c r="BU846" s="1" t="s">
        <v>109</v>
      </c>
      <c r="BV846" s="1"/>
      <c r="BW846" s="1"/>
      <c r="BX846" s="1"/>
      <c r="BY846" s="1"/>
      <c r="BZ846" s="1">
        <v>0</v>
      </c>
      <c r="CA846" s="1" t="s">
        <v>109</v>
      </c>
      <c r="CB846" s="1" t="s">
        <v>109</v>
      </c>
      <c r="CC846" s="1" t="s">
        <v>109</v>
      </c>
      <c r="CD846" s="1" t="s">
        <v>109</v>
      </c>
      <c r="CE846" s="1" t="s">
        <v>109</v>
      </c>
      <c r="CF846" s="1" t="s">
        <v>109</v>
      </c>
      <c r="CG846" s="1" t="s">
        <v>109</v>
      </c>
      <c r="CH846" s="1" t="s">
        <v>109</v>
      </c>
      <c r="CI846" s="1" t="s">
        <v>109</v>
      </c>
      <c r="CJ846" s="1" t="s">
        <v>109</v>
      </c>
      <c r="CK846" s="1"/>
      <c r="CL846" s="1">
        <v>0</v>
      </c>
      <c r="CM846" s="1">
        <v>0</v>
      </c>
      <c r="CN846" s="1">
        <v>0</v>
      </c>
    </row>
    <row r="847" spans="1:92" ht="14.25" customHeight="1" x14ac:dyDescent="0.15">
      <c r="A847" s="1" t="s">
        <v>7145</v>
      </c>
      <c r="B847" s="1" t="s">
        <v>156</v>
      </c>
      <c r="C847" s="1" t="s">
        <v>157</v>
      </c>
      <c r="D847" s="1" t="s">
        <v>158</v>
      </c>
      <c r="E847" s="1" t="s">
        <v>7146</v>
      </c>
      <c r="F847" s="1" t="s">
        <v>98</v>
      </c>
      <c r="G847" s="1" t="s">
        <v>160</v>
      </c>
      <c r="H847" s="1">
        <v>0</v>
      </c>
      <c r="I847" s="1" t="s">
        <v>161</v>
      </c>
      <c r="J847" s="1"/>
      <c r="K847" s="1"/>
      <c r="L847" s="1" t="s">
        <v>506</v>
      </c>
      <c r="M847" s="1" t="s">
        <v>125</v>
      </c>
      <c r="N847" s="1">
        <v>0</v>
      </c>
      <c r="O847" s="1">
        <v>0</v>
      </c>
      <c r="P847" s="1" t="s">
        <v>507</v>
      </c>
      <c r="Q847" s="1" t="s">
        <v>167</v>
      </c>
      <c r="R847" s="1" t="s">
        <v>7147</v>
      </c>
      <c r="S847" s="1" t="s">
        <v>7148</v>
      </c>
      <c r="T847" s="1" t="s">
        <v>5815</v>
      </c>
      <c r="U847" s="1" t="s">
        <v>7149</v>
      </c>
      <c r="V847" s="1">
        <v>1</v>
      </c>
      <c r="W847" s="1">
        <v>1</v>
      </c>
      <c r="X847" s="1">
        <v>0</v>
      </c>
      <c r="Y847" s="1">
        <v>0</v>
      </c>
      <c r="Z847" s="1">
        <v>1</v>
      </c>
      <c r="AA847" s="1" t="s">
        <v>109</v>
      </c>
      <c r="AB847" s="1" t="s">
        <v>109</v>
      </c>
      <c r="AC847" s="1" t="s">
        <v>109</v>
      </c>
      <c r="AD847" s="1" t="s">
        <v>109</v>
      </c>
      <c r="AE847" s="1" t="s">
        <v>109</v>
      </c>
      <c r="AF847" s="1" t="s">
        <v>109</v>
      </c>
      <c r="AG847" s="1">
        <v>2</v>
      </c>
      <c r="AH847" s="1" t="s">
        <v>109</v>
      </c>
      <c r="AI847" s="1" t="s">
        <v>109</v>
      </c>
      <c r="AJ847" s="1" t="s">
        <v>109</v>
      </c>
      <c r="AK847" s="1">
        <v>3</v>
      </c>
      <c r="AL847" s="1" t="s">
        <v>109</v>
      </c>
      <c r="AM847" s="1" t="s">
        <v>109</v>
      </c>
      <c r="AN847" s="1" t="s">
        <v>109</v>
      </c>
      <c r="AO847" s="1" t="s">
        <v>109</v>
      </c>
      <c r="AP847" s="1"/>
      <c r="AQ847" s="1">
        <v>2</v>
      </c>
      <c r="AR847" s="1"/>
      <c r="AS847" s="1" t="s">
        <v>7150</v>
      </c>
      <c r="AT847" s="1">
        <v>0</v>
      </c>
      <c r="AU847" s="1">
        <v>0</v>
      </c>
      <c r="AV847" s="1">
        <v>0</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1</v>
      </c>
      <c r="BN847" s="1">
        <v>0</v>
      </c>
      <c r="BO847" s="1">
        <v>0</v>
      </c>
      <c r="BP847" s="1">
        <v>0</v>
      </c>
      <c r="BQ847" s="1">
        <v>0</v>
      </c>
      <c r="BR847" s="1">
        <v>0</v>
      </c>
      <c r="BS847" s="5" t="str">
        <f>HYPERLINK("http://www.d20pfsrd.com/magic/all-spells/r/righteous-vigor","Righteous Vigor")</f>
        <v>Righteous Vigor</v>
      </c>
      <c r="BT847" s="1">
        <v>864</v>
      </c>
      <c r="BU847" s="1" t="s">
        <v>109</v>
      </c>
      <c r="BV847" s="1"/>
      <c r="BW847" s="1"/>
      <c r="BX847" s="1"/>
      <c r="BY847" s="1"/>
      <c r="BZ847" s="1">
        <v>0</v>
      </c>
      <c r="CA847" s="1" t="s">
        <v>109</v>
      </c>
      <c r="CB847" s="1" t="s">
        <v>109</v>
      </c>
      <c r="CC847" s="1" t="s">
        <v>109</v>
      </c>
      <c r="CD847" s="1" t="s">
        <v>109</v>
      </c>
      <c r="CE847" s="1" t="s">
        <v>109</v>
      </c>
      <c r="CF847" s="1" t="s">
        <v>109</v>
      </c>
      <c r="CG847" s="1" t="s">
        <v>109</v>
      </c>
      <c r="CH847" s="1" t="s">
        <v>109</v>
      </c>
      <c r="CI847" s="1" t="s">
        <v>109</v>
      </c>
      <c r="CJ847" s="1" t="s">
        <v>109</v>
      </c>
      <c r="CK847" s="1"/>
      <c r="CL847" s="1">
        <v>0</v>
      </c>
      <c r="CM847" s="1">
        <v>0</v>
      </c>
      <c r="CN847" s="1">
        <v>0</v>
      </c>
    </row>
    <row r="848" spans="1:92" ht="14.25" customHeight="1" x14ac:dyDescent="0.15">
      <c r="A848" s="1" t="s">
        <v>7151</v>
      </c>
      <c r="B848" s="1" t="s">
        <v>584</v>
      </c>
      <c r="C848" s="1"/>
      <c r="D848" s="1" t="s">
        <v>47</v>
      </c>
      <c r="E848" s="1" t="s">
        <v>7152</v>
      </c>
      <c r="F848" s="1" t="s">
        <v>98</v>
      </c>
      <c r="G848" s="1" t="s">
        <v>141</v>
      </c>
      <c r="H848" s="1">
        <v>0</v>
      </c>
      <c r="I848" s="1" t="s">
        <v>2962</v>
      </c>
      <c r="J848" s="1" t="s">
        <v>2963</v>
      </c>
      <c r="K848" s="1"/>
      <c r="L848" s="1"/>
      <c r="M848" s="1" t="s">
        <v>125</v>
      </c>
      <c r="N848" s="1">
        <v>0</v>
      </c>
      <c r="O848" s="1">
        <v>0</v>
      </c>
      <c r="P848" s="1" t="s">
        <v>1410</v>
      </c>
      <c r="Q848" s="1" t="s">
        <v>268</v>
      </c>
      <c r="R848" s="1" t="s">
        <v>7153</v>
      </c>
      <c r="S848" s="1" t="s">
        <v>7154</v>
      </c>
      <c r="T848" s="1" t="s">
        <v>5815</v>
      </c>
      <c r="U848" s="1" t="s">
        <v>7155</v>
      </c>
      <c r="V848" s="1">
        <v>1</v>
      </c>
      <c r="W848" s="1">
        <v>1</v>
      </c>
      <c r="X848" s="1">
        <v>0</v>
      </c>
      <c r="Y848" s="1">
        <v>0</v>
      </c>
      <c r="Z848" s="1">
        <v>0</v>
      </c>
      <c r="AA848" s="1">
        <v>4</v>
      </c>
      <c r="AB848" s="1">
        <v>4</v>
      </c>
      <c r="AC848" s="1" t="s">
        <v>109</v>
      </c>
      <c r="AD848" s="1">
        <v>4</v>
      </c>
      <c r="AE848" s="1" t="s">
        <v>109</v>
      </c>
      <c r="AF848" s="1" t="s">
        <v>109</v>
      </c>
      <c r="AG848" s="1" t="s">
        <v>109</v>
      </c>
      <c r="AH848" s="1" t="s">
        <v>109</v>
      </c>
      <c r="AI848" s="1" t="s">
        <v>109</v>
      </c>
      <c r="AJ848" s="1" t="s">
        <v>109</v>
      </c>
      <c r="AK848" s="1" t="s">
        <v>109</v>
      </c>
      <c r="AL848" s="1" t="s">
        <v>109</v>
      </c>
      <c r="AM848" s="1" t="s">
        <v>109</v>
      </c>
      <c r="AN848" s="1">
        <v>4</v>
      </c>
      <c r="AO848" s="1" t="s">
        <v>109</v>
      </c>
      <c r="AP848" s="1"/>
      <c r="AQ848" s="1">
        <v>4</v>
      </c>
      <c r="AR848" s="1"/>
      <c r="AS848" s="1" t="s">
        <v>7156</v>
      </c>
      <c r="AT848" s="1">
        <v>0</v>
      </c>
      <c r="AU848" s="1">
        <v>1</v>
      </c>
      <c r="AV848" s="1">
        <v>0</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5" t="str">
        <f>HYPERLINK("http://www.d20pfsrd.com/magic/all-spells/r/river-of-wind","River of Wind")</f>
        <v>River of Wind</v>
      </c>
      <c r="BT848" s="1">
        <v>865</v>
      </c>
      <c r="BU848" s="1" t="s">
        <v>109</v>
      </c>
      <c r="BV848" s="1"/>
      <c r="BW848" s="1"/>
      <c r="BX848" s="1"/>
      <c r="BY848" s="1"/>
      <c r="BZ848" s="1">
        <v>0</v>
      </c>
      <c r="CA848" s="1">
        <v>4</v>
      </c>
      <c r="CB848" s="1" t="s">
        <v>109</v>
      </c>
      <c r="CC848" s="1" t="s">
        <v>109</v>
      </c>
      <c r="CD848" s="1" t="s">
        <v>109</v>
      </c>
      <c r="CE848" s="1" t="s">
        <v>109</v>
      </c>
      <c r="CF848" s="1">
        <v>4</v>
      </c>
      <c r="CG848" s="1" t="s">
        <v>109</v>
      </c>
      <c r="CH848" s="1" t="s">
        <v>109</v>
      </c>
      <c r="CI848" s="1" t="s">
        <v>109</v>
      </c>
      <c r="CJ848" s="1">
        <v>4</v>
      </c>
      <c r="CK848" s="1"/>
      <c r="CL848" s="1">
        <v>0</v>
      </c>
      <c r="CM848" s="1">
        <v>0</v>
      </c>
      <c r="CN848" s="1">
        <v>0</v>
      </c>
    </row>
    <row r="849" spans="1:92" ht="14.25" customHeight="1" x14ac:dyDescent="0.15">
      <c r="A849" s="1" t="s">
        <v>7157</v>
      </c>
      <c r="B849" s="1" t="s">
        <v>95</v>
      </c>
      <c r="C849" s="1" t="s">
        <v>694</v>
      </c>
      <c r="D849" s="1"/>
      <c r="E849" s="1" t="s">
        <v>7158</v>
      </c>
      <c r="F849" s="1" t="s">
        <v>355</v>
      </c>
      <c r="G849" s="1" t="s">
        <v>7159</v>
      </c>
      <c r="H849" s="1">
        <v>1</v>
      </c>
      <c r="I849" s="1" t="s">
        <v>1887</v>
      </c>
      <c r="J849" s="1"/>
      <c r="K849" s="1"/>
      <c r="L849" s="1" t="s">
        <v>506</v>
      </c>
      <c r="M849" s="1" t="s">
        <v>6625</v>
      </c>
      <c r="N849" s="1">
        <v>1</v>
      </c>
      <c r="O849" s="1">
        <v>0</v>
      </c>
      <c r="P849" s="1" t="s">
        <v>507</v>
      </c>
      <c r="Q849" s="1" t="s">
        <v>167</v>
      </c>
      <c r="R849" s="1" t="s">
        <v>7160</v>
      </c>
      <c r="S849" s="1" t="s">
        <v>7161</v>
      </c>
      <c r="T849" s="1" t="s">
        <v>5815</v>
      </c>
      <c r="U849" s="1" t="s">
        <v>7162</v>
      </c>
      <c r="V849" s="1">
        <v>1</v>
      </c>
      <c r="W849" s="1">
        <v>1</v>
      </c>
      <c r="X849" s="1">
        <v>0</v>
      </c>
      <c r="Y849" s="1">
        <v>0</v>
      </c>
      <c r="Z849" s="1">
        <v>0</v>
      </c>
      <c r="AA849" s="1" t="s">
        <v>109</v>
      </c>
      <c r="AB849" s="1" t="s">
        <v>109</v>
      </c>
      <c r="AC849" s="1">
        <v>3</v>
      </c>
      <c r="AD849" s="1" t="s">
        <v>109</v>
      </c>
      <c r="AE849" s="1" t="s">
        <v>109</v>
      </c>
      <c r="AF849" s="1" t="s">
        <v>109</v>
      </c>
      <c r="AG849" s="1">
        <v>2</v>
      </c>
      <c r="AH849" s="1" t="s">
        <v>109</v>
      </c>
      <c r="AI849" s="1" t="s">
        <v>109</v>
      </c>
      <c r="AJ849" s="1" t="s">
        <v>109</v>
      </c>
      <c r="AK849" s="1">
        <v>2</v>
      </c>
      <c r="AL849" s="1">
        <v>3</v>
      </c>
      <c r="AM849" s="1" t="s">
        <v>109</v>
      </c>
      <c r="AN849" s="1" t="s">
        <v>109</v>
      </c>
      <c r="AO849" s="1" t="s">
        <v>109</v>
      </c>
      <c r="AP849" s="1"/>
      <c r="AQ849" s="1">
        <v>3</v>
      </c>
      <c r="AR849" s="1"/>
      <c r="AS849" s="1" t="s">
        <v>7163</v>
      </c>
      <c r="AT849" s="1">
        <v>0</v>
      </c>
      <c r="AU849" s="1">
        <v>0</v>
      </c>
      <c r="AV849" s="1">
        <v>0</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5" t="str">
        <f>HYPERLINK("http://www.d20pfsrd.com/magic/all-spells/s/sacred-bond","Sacred Bond")</f>
        <v>Sacred Bond</v>
      </c>
      <c r="BT849" s="1">
        <v>866</v>
      </c>
      <c r="BU849" s="1">
        <v>100</v>
      </c>
      <c r="BV849" s="1"/>
      <c r="BW849" s="1"/>
      <c r="BX849" s="1" t="s">
        <v>7164</v>
      </c>
      <c r="BY849" s="1" t="s">
        <v>7165</v>
      </c>
      <c r="BZ849" s="1">
        <v>1</v>
      </c>
      <c r="CA849" s="1" t="s">
        <v>109</v>
      </c>
      <c r="CB849" s="1" t="s">
        <v>109</v>
      </c>
      <c r="CC849" s="1" t="s">
        <v>109</v>
      </c>
      <c r="CD849" s="1" t="s">
        <v>109</v>
      </c>
      <c r="CE849" s="1" t="s">
        <v>109</v>
      </c>
      <c r="CF849" s="1" t="s">
        <v>109</v>
      </c>
      <c r="CG849" s="1" t="s">
        <v>109</v>
      </c>
      <c r="CH849" s="1" t="s">
        <v>109</v>
      </c>
      <c r="CI849" s="1" t="s">
        <v>109</v>
      </c>
      <c r="CJ849" s="1" t="s">
        <v>109</v>
      </c>
      <c r="CK849" s="1"/>
      <c r="CL849" s="1">
        <v>0</v>
      </c>
      <c r="CM849" s="1">
        <v>0</v>
      </c>
      <c r="CN849" s="1">
        <v>0</v>
      </c>
    </row>
    <row r="850" spans="1:92" ht="14.25" customHeight="1" x14ac:dyDescent="0.15">
      <c r="A850" s="1" t="s">
        <v>7166</v>
      </c>
      <c r="B850" s="1" t="s">
        <v>242</v>
      </c>
      <c r="C850" s="1"/>
      <c r="D850" s="1"/>
      <c r="E850" s="1" t="s">
        <v>2652</v>
      </c>
      <c r="F850" s="1" t="s">
        <v>98</v>
      </c>
      <c r="G850" s="1" t="s">
        <v>160</v>
      </c>
      <c r="H850" s="1">
        <v>0</v>
      </c>
      <c r="I850" s="1" t="s">
        <v>161</v>
      </c>
      <c r="J850" s="1"/>
      <c r="K850" s="1"/>
      <c r="L850" s="1" t="s">
        <v>506</v>
      </c>
      <c r="M850" s="1" t="s">
        <v>3042</v>
      </c>
      <c r="N850" s="1">
        <v>0</v>
      </c>
      <c r="O850" s="1">
        <v>0</v>
      </c>
      <c r="P850" s="1" t="s">
        <v>1382</v>
      </c>
      <c r="Q850" s="1" t="s">
        <v>167</v>
      </c>
      <c r="R850" s="1" t="s">
        <v>7167</v>
      </c>
      <c r="S850" s="1" t="s">
        <v>7168</v>
      </c>
      <c r="T850" s="1" t="s">
        <v>5815</v>
      </c>
      <c r="U850" s="1" t="s">
        <v>7169</v>
      </c>
      <c r="V850" s="1">
        <v>1</v>
      </c>
      <c r="W850" s="1">
        <v>1</v>
      </c>
      <c r="X850" s="1">
        <v>0</v>
      </c>
      <c r="Y850" s="1">
        <v>0</v>
      </c>
      <c r="Z850" s="1">
        <v>1</v>
      </c>
      <c r="AA850" s="1" t="s">
        <v>109</v>
      </c>
      <c r="AB850" s="1" t="s">
        <v>109</v>
      </c>
      <c r="AC850" s="1" t="s">
        <v>109</v>
      </c>
      <c r="AD850" s="1" t="s">
        <v>109</v>
      </c>
      <c r="AE850" s="1" t="s">
        <v>109</v>
      </c>
      <c r="AF850" s="1" t="s">
        <v>109</v>
      </c>
      <c r="AG850" s="1">
        <v>4</v>
      </c>
      <c r="AH850" s="1" t="s">
        <v>109</v>
      </c>
      <c r="AI850" s="1" t="s">
        <v>109</v>
      </c>
      <c r="AJ850" s="1" t="s">
        <v>109</v>
      </c>
      <c r="AK850" s="1" t="s">
        <v>109</v>
      </c>
      <c r="AL850" s="1" t="s">
        <v>109</v>
      </c>
      <c r="AM850" s="1" t="s">
        <v>109</v>
      </c>
      <c r="AN850" s="1" t="s">
        <v>109</v>
      </c>
      <c r="AO850" s="1" t="s">
        <v>109</v>
      </c>
      <c r="AP850" s="1"/>
      <c r="AQ850" s="1">
        <v>4</v>
      </c>
      <c r="AR850" s="1" t="s">
        <v>7170</v>
      </c>
      <c r="AS850" s="1" t="s">
        <v>7171</v>
      </c>
      <c r="AT850" s="1">
        <v>0</v>
      </c>
      <c r="AU850" s="1">
        <v>0</v>
      </c>
      <c r="AV850" s="1">
        <v>0</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5" t="str">
        <f>HYPERLINK("http://www.d20pfsrd.com/magic/all-spells/s/sacrificial-oath","Sacrificial Oath")</f>
        <v>Sacrificial Oath</v>
      </c>
      <c r="BT850" s="1">
        <v>867</v>
      </c>
      <c r="BU850" s="1" t="s">
        <v>109</v>
      </c>
      <c r="BV850" s="1"/>
      <c r="BW850" s="1"/>
      <c r="BX850" s="1"/>
      <c r="BY850" s="1"/>
      <c r="BZ850" s="1">
        <v>0</v>
      </c>
      <c r="CA850" s="1" t="s">
        <v>109</v>
      </c>
      <c r="CB850" s="1" t="s">
        <v>109</v>
      </c>
      <c r="CC850" s="1" t="s">
        <v>109</v>
      </c>
      <c r="CD850" s="1" t="s">
        <v>109</v>
      </c>
      <c r="CE850" s="1" t="s">
        <v>109</v>
      </c>
      <c r="CF850" s="1" t="s">
        <v>109</v>
      </c>
      <c r="CG850" s="1" t="s">
        <v>109</v>
      </c>
      <c r="CH850" s="1" t="s">
        <v>109</v>
      </c>
      <c r="CI850" s="1" t="s">
        <v>109</v>
      </c>
      <c r="CJ850" s="1" t="s">
        <v>109</v>
      </c>
      <c r="CK850" s="1"/>
      <c r="CL850" s="1">
        <v>0</v>
      </c>
      <c r="CM850" s="1">
        <v>0</v>
      </c>
      <c r="CN850" s="1">
        <v>0</v>
      </c>
    </row>
    <row r="851" spans="1:92" ht="14.25" customHeight="1" x14ac:dyDescent="0.15">
      <c r="A851" s="1" t="s">
        <v>7172</v>
      </c>
      <c r="B851" s="1" t="s">
        <v>189</v>
      </c>
      <c r="C851" s="1"/>
      <c r="D851" s="1"/>
      <c r="E851" s="1" t="s">
        <v>5912</v>
      </c>
      <c r="F851" s="1" t="s">
        <v>98</v>
      </c>
      <c r="G851" s="1" t="s">
        <v>160</v>
      </c>
      <c r="H851" s="1">
        <v>0</v>
      </c>
      <c r="I851" s="1" t="s">
        <v>235</v>
      </c>
      <c r="J851" s="1"/>
      <c r="K851" s="1"/>
      <c r="L851" s="1" t="s">
        <v>7173</v>
      </c>
      <c r="M851" s="1" t="s">
        <v>7174</v>
      </c>
      <c r="N851" s="1">
        <v>1</v>
      </c>
      <c r="O851" s="1">
        <v>0</v>
      </c>
      <c r="P851" s="1"/>
      <c r="Q851" s="1"/>
      <c r="R851" s="1" t="s">
        <v>7175</v>
      </c>
      <c r="S851" s="1" t="s">
        <v>7176</v>
      </c>
      <c r="T851" s="1" t="s">
        <v>5815</v>
      </c>
      <c r="U851" s="1" t="s">
        <v>7177</v>
      </c>
      <c r="V851" s="1">
        <v>1</v>
      </c>
      <c r="W851" s="1">
        <v>1</v>
      </c>
      <c r="X851" s="1">
        <v>0</v>
      </c>
      <c r="Y851" s="1">
        <v>0</v>
      </c>
      <c r="Z851" s="1">
        <v>1</v>
      </c>
      <c r="AA851" s="1" t="s">
        <v>109</v>
      </c>
      <c r="AB851" s="1" t="s">
        <v>109</v>
      </c>
      <c r="AC851" s="1" t="s">
        <v>109</v>
      </c>
      <c r="AD851" s="1" t="s">
        <v>109</v>
      </c>
      <c r="AE851" s="1" t="s">
        <v>109</v>
      </c>
      <c r="AF851" s="1" t="s">
        <v>109</v>
      </c>
      <c r="AG851" s="1">
        <v>2</v>
      </c>
      <c r="AH851" s="1" t="s">
        <v>109</v>
      </c>
      <c r="AI851" s="1" t="s">
        <v>109</v>
      </c>
      <c r="AJ851" s="1" t="s">
        <v>109</v>
      </c>
      <c r="AK851" s="1" t="s">
        <v>109</v>
      </c>
      <c r="AL851" s="1" t="s">
        <v>109</v>
      </c>
      <c r="AM851" s="1" t="s">
        <v>109</v>
      </c>
      <c r="AN851" s="1" t="s">
        <v>109</v>
      </c>
      <c r="AO851" s="1" t="s">
        <v>109</v>
      </c>
      <c r="AP851" s="1"/>
      <c r="AQ851" s="1">
        <v>2</v>
      </c>
      <c r="AR851" s="1"/>
      <c r="AS851" s="1" t="s">
        <v>7178</v>
      </c>
      <c r="AT851" s="1">
        <v>0</v>
      </c>
      <c r="AU851" s="1">
        <v>0</v>
      </c>
      <c r="AV851" s="1">
        <v>0</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5" t="str">
        <f>HYPERLINK("http://www.d20pfsrd.com/magic/all-spells/s/saddle-surge","Saddle Surge")</f>
        <v>Saddle Surge</v>
      </c>
      <c r="BT851" s="1">
        <v>868</v>
      </c>
      <c r="BU851" s="1" t="s">
        <v>109</v>
      </c>
      <c r="BV851" s="1"/>
      <c r="BW851" s="1"/>
      <c r="BX851" s="1"/>
      <c r="BY851" s="1"/>
      <c r="BZ851" s="1">
        <v>0</v>
      </c>
      <c r="CA851" s="1" t="s">
        <v>109</v>
      </c>
      <c r="CB851" s="1" t="s">
        <v>109</v>
      </c>
      <c r="CC851" s="1" t="s">
        <v>109</v>
      </c>
      <c r="CD851" s="1" t="s">
        <v>109</v>
      </c>
      <c r="CE851" s="1" t="s">
        <v>109</v>
      </c>
      <c r="CF851" s="1" t="s">
        <v>109</v>
      </c>
      <c r="CG851" s="1" t="s">
        <v>109</v>
      </c>
      <c r="CH851" s="1" t="s">
        <v>109</v>
      </c>
      <c r="CI851" s="1" t="s">
        <v>109</v>
      </c>
      <c r="CJ851" s="1" t="s">
        <v>109</v>
      </c>
      <c r="CK851" s="1"/>
      <c r="CL851" s="1">
        <v>0</v>
      </c>
      <c r="CM851" s="1">
        <v>0</v>
      </c>
      <c r="CN851" s="1">
        <v>0</v>
      </c>
    </row>
    <row r="852" spans="1:92" ht="14.25" customHeight="1" x14ac:dyDescent="0.15">
      <c r="A852" s="1" t="s">
        <v>7179</v>
      </c>
      <c r="B852" s="1" t="s">
        <v>242</v>
      </c>
      <c r="C852" s="1"/>
      <c r="D852" s="1" t="s">
        <v>61</v>
      </c>
      <c r="E852" s="1" t="s">
        <v>7180</v>
      </c>
      <c r="F852" s="1" t="s">
        <v>98</v>
      </c>
      <c r="G852" s="1" t="s">
        <v>141</v>
      </c>
      <c r="H852" s="1">
        <v>0</v>
      </c>
      <c r="I852" s="1" t="s">
        <v>161</v>
      </c>
      <c r="J852" s="1"/>
      <c r="K852" s="1"/>
      <c r="L852" s="1" t="s">
        <v>6289</v>
      </c>
      <c r="M852" s="1" t="s">
        <v>3042</v>
      </c>
      <c r="N852" s="1">
        <v>0</v>
      </c>
      <c r="O852" s="1">
        <v>0</v>
      </c>
      <c r="P852" s="1" t="s">
        <v>215</v>
      </c>
      <c r="Q852" s="1" t="s">
        <v>216</v>
      </c>
      <c r="R852" s="1" t="s">
        <v>7181</v>
      </c>
      <c r="S852" s="1" t="s">
        <v>7182</v>
      </c>
      <c r="T852" s="1" t="s">
        <v>5815</v>
      </c>
      <c r="U852" s="1" t="s">
        <v>7183</v>
      </c>
      <c r="V852" s="1">
        <v>1</v>
      </c>
      <c r="W852" s="1">
        <v>1</v>
      </c>
      <c r="X852" s="1">
        <v>0</v>
      </c>
      <c r="Y852" s="1">
        <v>0</v>
      </c>
      <c r="Z852" s="1">
        <v>0</v>
      </c>
      <c r="AA852" s="1" t="s">
        <v>109</v>
      </c>
      <c r="AB852" s="1" t="s">
        <v>109</v>
      </c>
      <c r="AC852" s="1" t="s">
        <v>109</v>
      </c>
      <c r="AD852" s="1" t="s">
        <v>109</v>
      </c>
      <c r="AE852" s="1" t="s">
        <v>109</v>
      </c>
      <c r="AF852" s="1" t="s">
        <v>109</v>
      </c>
      <c r="AG852" s="1">
        <v>3</v>
      </c>
      <c r="AH852" s="1" t="s">
        <v>109</v>
      </c>
      <c r="AI852" s="1" t="s">
        <v>109</v>
      </c>
      <c r="AJ852" s="1" t="s">
        <v>109</v>
      </c>
      <c r="AK852" s="1">
        <v>4</v>
      </c>
      <c r="AL852" s="1" t="s">
        <v>109</v>
      </c>
      <c r="AM852" s="1" t="s">
        <v>109</v>
      </c>
      <c r="AN852" s="1" t="s">
        <v>109</v>
      </c>
      <c r="AO852" s="1" t="s">
        <v>109</v>
      </c>
      <c r="AP852" s="1"/>
      <c r="AQ852" s="1">
        <v>3</v>
      </c>
      <c r="AR852" s="1"/>
      <c r="AS852" s="1" t="s">
        <v>7184</v>
      </c>
      <c r="AT852" s="1">
        <v>0</v>
      </c>
      <c r="AU852" s="1">
        <v>0</v>
      </c>
      <c r="AV852" s="1">
        <v>0</v>
      </c>
      <c r="AW852" s="1">
        <v>0</v>
      </c>
      <c r="AX852" s="1">
        <v>0</v>
      </c>
      <c r="AY852" s="1">
        <v>0</v>
      </c>
      <c r="AZ852" s="1">
        <v>0</v>
      </c>
      <c r="BA852" s="1">
        <v>0</v>
      </c>
      <c r="BB852" s="1">
        <v>0</v>
      </c>
      <c r="BC852" s="1">
        <v>0</v>
      </c>
      <c r="BD852" s="1">
        <v>0</v>
      </c>
      <c r="BE852" s="1">
        <v>0</v>
      </c>
      <c r="BF852" s="1">
        <v>0</v>
      </c>
      <c r="BG852" s="1">
        <v>0</v>
      </c>
      <c r="BH852" s="1">
        <v>0</v>
      </c>
      <c r="BI852" s="1">
        <v>1</v>
      </c>
      <c r="BJ852" s="1">
        <v>0</v>
      </c>
      <c r="BK852" s="1">
        <v>0</v>
      </c>
      <c r="BL852" s="1">
        <v>0</v>
      </c>
      <c r="BM852" s="1">
        <v>0</v>
      </c>
      <c r="BN852" s="1">
        <v>0</v>
      </c>
      <c r="BO852" s="1">
        <v>0</v>
      </c>
      <c r="BP852" s="1">
        <v>0</v>
      </c>
      <c r="BQ852" s="1">
        <v>0</v>
      </c>
      <c r="BR852" s="1">
        <v>0</v>
      </c>
      <c r="BS852" s="5" t="str">
        <f>HYPERLINK("http://www.d20pfsrd.com/magic/all-spells/s/sanctify-armor","Sanctify Armor")</f>
        <v>Sanctify Armor</v>
      </c>
      <c r="BT852" s="1">
        <v>869</v>
      </c>
      <c r="BU852" s="1" t="s">
        <v>109</v>
      </c>
      <c r="BV852" s="1"/>
      <c r="BW852" s="1"/>
      <c r="BX852" s="1" t="s">
        <v>7185</v>
      </c>
      <c r="BY852" s="1" t="s">
        <v>7186</v>
      </c>
      <c r="BZ852" s="1">
        <v>1</v>
      </c>
      <c r="CA852" s="1" t="s">
        <v>109</v>
      </c>
      <c r="CB852" s="1" t="s">
        <v>109</v>
      </c>
      <c r="CC852" s="1" t="s">
        <v>109</v>
      </c>
      <c r="CD852" s="1" t="s">
        <v>109</v>
      </c>
      <c r="CE852" s="1" t="s">
        <v>109</v>
      </c>
      <c r="CF852" s="1" t="s">
        <v>109</v>
      </c>
      <c r="CG852" s="1" t="s">
        <v>109</v>
      </c>
      <c r="CH852" s="1" t="s">
        <v>109</v>
      </c>
      <c r="CI852" s="1" t="s">
        <v>109</v>
      </c>
      <c r="CJ852" s="1" t="s">
        <v>109</v>
      </c>
      <c r="CK852" s="1"/>
      <c r="CL852" s="1">
        <v>0</v>
      </c>
      <c r="CM852" s="1">
        <v>0</v>
      </c>
      <c r="CN852" s="1">
        <v>0</v>
      </c>
    </row>
    <row r="853" spans="1:92" ht="14.25" customHeight="1" x14ac:dyDescent="0.15">
      <c r="A853" s="1" t="s">
        <v>7187</v>
      </c>
      <c r="B853" s="1" t="s">
        <v>584</v>
      </c>
      <c r="C853" s="1"/>
      <c r="D853" s="1" t="s">
        <v>158</v>
      </c>
      <c r="E853" s="1" t="s">
        <v>7117</v>
      </c>
      <c r="F853" s="1" t="s">
        <v>1963</v>
      </c>
      <c r="G853" s="1" t="s">
        <v>141</v>
      </c>
      <c r="H853" s="1">
        <v>0</v>
      </c>
      <c r="I853" s="1" t="s">
        <v>142</v>
      </c>
      <c r="J853" s="1"/>
      <c r="K853" s="1"/>
      <c r="L853" s="1" t="s">
        <v>563</v>
      </c>
      <c r="M853" s="1" t="s">
        <v>144</v>
      </c>
      <c r="N853" s="1">
        <v>0</v>
      </c>
      <c r="O853" s="1">
        <v>0</v>
      </c>
      <c r="P853" s="1" t="s">
        <v>507</v>
      </c>
      <c r="Q853" s="1" t="s">
        <v>167</v>
      </c>
      <c r="R853" s="1" t="s">
        <v>7188</v>
      </c>
      <c r="S853" s="1" t="s">
        <v>7189</v>
      </c>
      <c r="T853" s="1" t="s">
        <v>5815</v>
      </c>
      <c r="U853" s="1" t="s">
        <v>7190</v>
      </c>
      <c r="V853" s="1">
        <v>1</v>
      </c>
      <c r="W853" s="1">
        <v>1</v>
      </c>
      <c r="X853" s="1">
        <v>0</v>
      </c>
      <c r="Y853" s="1">
        <v>0</v>
      </c>
      <c r="Z853" s="1">
        <v>0</v>
      </c>
      <c r="AA853" s="1" t="s">
        <v>109</v>
      </c>
      <c r="AB853" s="1" t="s">
        <v>109</v>
      </c>
      <c r="AC853" s="1" t="s">
        <v>109</v>
      </c>
      <c r="AD853" s="1" t="s">
        <v>109</v>
      </c>
      <c r="AE853" s="1" t="s">
        <v>109</v>
      </c>
      <c r="AF853" s="1">
        <v>1</v>
      </c>
      <c r="AG853" s="1" t="s">
        <v>109</v>
      </c>
      <c r="AH853" s="1" t="s">
        <v>109</v>
      </c>
      <c r="AI853" s="1" t="s">
        <v>109</v>
      </c>
      <c r="AJ853" s="1" t="s">
        <v>109</v>
      </c>
      <c r="AK853" s="1" t="s">
        <v>109</v>
      </c>
      <c r="AL853" s="1" t="s">
        <v>109</v>
      </c>
      <c r="AM853" s="1" t="s">
        <v>109</v>
      </c>
      <c r="AN853" s="1" t="s">
        <v>109</v>
      </c>
      <c r="AO853" s="1" t="s">
        <v>109</v>
      </c>
      <c r="AP853" s="1"/>
      <c r="AQ853" s="1">
        <v>1</v>
      </c>
      <c r="AR853" s="1"/>
      <c r="AS853" s="1" t="s">
        <v>7191</v>
      </c>
      <c r="AT853" s="1">
        <v>0</v>
      </c>
      <c r="AU853" s="1">
        <v>0</v>
      </c>
      <c r="AV853" s="1">
        <v>0</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1</v>
      </c>
      <c r="BN853" s="1">
        <v>0</v>
      </c>
      <c r="BO853" s="1">
        <v>0</v>
      </c>
      <c r="BP853" s="1">
        <v>0</v>
      </c>
      <c r="BQ853" s="1">
        <v>0</v>
      </c>
      <c r="BR853" s="1">
        <v>0</v>
      </c>
      <c r="BS853" s="5" t="str">
        <f>HYPERLINK("http://www.d20pfsrd.com/magic/all-spells/s/saving-finale","Saving Finale")</f>
        <v>Saving Finale</v>
      </c>
      <c r="BT853" s="1">
        <v>870</v>
      </c>
      <c r="BU853" s="1" t="s">
        <v>109</v>
      </c>
      <c r="BV853" s="1"/>
      <c r="BW853" s="1"/>
      <c r="BX853" s="1" t="s">
        <v>7192</v>
      </c>
      <c r="BY853" s="1"/>
      <c r="BZ853" s="1">
        <v>1</v>
      </c>
      <c r="CA853" s="1" t="s">
        <v>109</v>
      </c>
      <c r="CB853" s="1" t="s">
        <v>109</v>
      </c>
      <c r="CC853" s="1" t="s">
        <v>109</v>
      </c>
      <c r="CD853" s="1" t="s">
        <v>109</v>
      </c>
      <c r="CE853" s="1" t="s">
        <v>109</v>
      </c>
      <c r="CF853" s="1" t="s">
        <v>109</v>
      </c>
      <c r="CG853" s="1" t="s">
        <v>109</v>
      </c>
      <c r="CH853" s="1" t="s">
        <v>109</v>
      </c>
      <c r="CI853" s="1" t="s">
        <v>109</v>
      </c>
      <c r="CJ853" s="1" t="s">
        <v>109</v>
      </c>
      <c r="CK853" s="1"/>
      <c r="CL853" s="1">
        <v>0</v>
      </c>
      <c r="CM853" s="1">
        <v>0</v>
      </c>
      <c r="CN853" s="1">
        <v>0</v>
      </c>
    </row>
    <row r="854" spans="1:92" ht="14.25" customHeight="1" x14ac:dyDescent="0.15">
      <c r="A854" s="1" t="s">
        <v>7193</v>
      </c>
      <c r="B854" s="1" t="s">
        <v>189</v>
      </c>
      <c r="C854" s="1"/>
      <c r="D854" s="1"/>
      <c r="E854" s="1" t="s">
        <v>4527</v>
      </c>
      <c r="F854" s="1" t="s">
        <v>98</v>
      </c>
      <c r="G854" s="1" t="s">
        <v>7194</v>
      </c>
      <c r="H854" s="1">
        <v>0</v>
      </c>
      <c r="I854" s="1" t="s">
        <v>142</v>
      </c>
      <c r="J854" s="1"/>
      <c r="K854" s="1"/>
      <c r="L854" s="1" t="s">
        <v>716</v>
      </c>
      <c r="M854" s="1" t="s">
        <v>289</v>
      </c>
      <c r="N854" s="1">
        <v>0</v>
      </c>
      <c r="O854" s="1">
        <v>0</v>
      </c>
      <c r="P854" s="1" t="s">
        <v>1382</v>
      </c>
      <c r="Q854" s="1" t="s">
        <v>167</v>
      </c>
      <c r="R854" s="1" t="s">
        <v>7195</v>
      </c>
      <c r="S854" s="1" t="s">
        <v>7196</v>
      </c>
      <c r="T854" s="1" t="s">
        <v>5815</v>
      </c>
      <c r="U854" s="1" t="s">
        <v>7197</v>
      </c>
      <c r="V854" s="1">
        <v>1</v>
      </c>
      <c r="W854" s="1">
        <v>1</v>
      </c>
      <c r="X854" s="1">
        <v>1</v>
      </c>
      <c r="Y854" s="1">
        <v>0</v>
      </c>
      <c r="Z854" s="1">
        <v>0</v>
      </c>
      <c r="AA854" s="1" t="s">
        <v>109</v>
      </c>
      <c r="AB854" s="1" t="s">
        <v>109</v>
      </c>
      <c r="AC854" s="1" t="s">
        <v>109</v>
      </c>
      <c r="AD854" s="1">
        <v>2</v>
      </c>
      <c r="AE854" s="1" t="s">
        <v>109</v>
      </c>
      <c r="AF854" s="1" t="s">
        <v>109</v>
      </c>
      <c r="AG854" s="1" t="s">
        <v>109</v>
      </c>
      <c r="AH854" s="1" t="s">
        <v>109</v>
      </c>
      <c r="AI854" s="1" t="s">
        <v>109</v>
      </c>
      <c r="AJ854" s="1" t="s">
        <v>109</v>
      </c>
      <c r="AK854" s="1" t="s">
        <v>109</v>
      </c>
      <c r="AL854" s="1" t="s">
        <v>109</v>
      </c>
      <c r="AM854" s="1" t="s">
        <v>109</v>
      </c>
      <c r="AN854" s="1" t="s">
        <v>109</v>
      </c>
      <c r="AO854" s="1" t="s">
        <v>109</v>
      </c>
      <c r="AP854" s="1"/>
      <c r="AQ854" s="1">
        <v>2</v>
      </c>
      <c r="AR854" s="1"/>
      <c r="AS854" s="1" t="s">
        <v>7198</v>
      </c>
      <c r="AT854" s="1">
        <v>0</v>
      </c>
      <c r="AU854" s="1">
        <v>0</v>
      </c>
      <c r="AV854" s="1">
        <v>0</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5" t="str">
        <f>HYPERLINK("http://www.d20pfsrd.com/magic/all-spells/s/scent-trail","Scent Trail")</f>
        <v>Scent Trail</v>
      </c>
      <c r="BT854" s="1">
        <v>871</v>
      </c>
      <c r="BU854" s="1" t="s">
        <v>109</v>
      </c>
      <c r="BV854" s="1"/>
      <c r="BW854" s="1"/>
      <c r="BX854" s="1"/>
      <c r="BY854" s="1"/>
      <c r="BZ854" s="1">
        <v>0</v>
      </c>
      <c r="CA854" s="1" t="s">
        <v>109</v>
      </c>
      <c r="CB854" s="1" t="s">
        <v>109</v>
      </c>
      <c r="CC854" s="1" t="s">
        <v>109</v>
      </c>
      <c r="CD854" s="1" t="s">
        <v>109</v>
      </c>
      <c r="CE854" s="1" t="s">
        <v>109</v>
      </c>
      <c r="CF854" s="1" t="s">
        <v>109</v>
      </c>
      <c r="CG854" s="1" t="s">
        <v>109</v>
      </c>
      <c r="CH854" s="1" t="s">
        <v>109</v>
      </c>
      <c r="CI854" s="1" t="s">
        <v>109</v>
      </c>
      <c r="CJ854" s="1">
        <v>2</v>
      </c>
      <c r="CK854" s="1"/>
      <c r="CL854" s="1">
        <v>0</v>
      </c>
      <c r="CM854" s="1">
        <v>0</v>
      </c>
      <c r="CN854" s="1">
        <v>0</v>
      </c>
    </row>
    <row r="855" spans="1:92" ht="14.25" customHeight="1" x14ac:dyDescent="0.15">
      <c r="A855" s="1" t="s">
        <v>7199</v>
      </c>
      <c r="B855" s="1" t="s">
        <v>584</v>
      </c>
      <c r="C855" s="1"/>
      <c r="D855" s="1" t="s">
        <v>69</v>
      </c>
      <c r="E855" s="1" t="s">
        <v>7200</v>
      </c>
      <c r="F855" s="1" t="s">
        <v>98</v>
      </c>
      <c r="G855" s="1" t="s">
        <v>333</v>
      </c>
      <c r="H855" s="1">
        <v>0</v>
      </c>
      <c r="I855" s="1" t="s">
        <v>1192</v>
      </c>
      <c r="J855" s="1" t="s">
        <v>6326</v>
      </c>
      <c r="K855" s="1"/>
      <c r="L855" s="1"/>
      <c r="M855" s="1" t="s">
        <v>144</v>
      </c>
      <c r="N855" s="1">
        <v>0</v>
      </c>
      <c r="O855" s="1">
        <v>0</v>
      </c>
      <c r="P855" s="1" t="s">
        <v>267</v>
      </c>
      <c r="Q855" s="1" t="s">
        <v>268</v>
      </c>
      <c r="R855" s="1" t="s">
        <v>7201</v>
      </c>
      <c r="S855" s="1" t="s">
        <v>7202</v>
      </c>
      <c r="T855" s="1" t="s">
        <v>5815</v>
      </c>
      <c r="U855" s="1" t="s">
        <v>7203</v>
      </c>
      <c r="V855" s="1">
        <v>1</v>
      </c>
      <c r="W855" s="1">
        <v>0</v>
      </c>
      <c r="X855" s="1">
        <v>0</v>
      </c>
      <c r="Y855" s="1">
        <v>0</v>
      </c>
      <c r="Z855" s="1">
        <v>0</v>
      </c>
      <c r="AA855" s="1" t="s">
        <v>109</v>
      </c>
      <c r="AB855" s="1" t="s">
        <v>109</v>
      </c>
      <c r="AC855" s="1" t="s">
        <v>109</v>
      </c>
      <c r="AD855" s="1" t="s">
        <v>109</v>
      </c>
      <c r="AE855" s="1" t="s">
        <v>109</v>
      </c>
      <c r="AF855" s="1" t="s">
        <v>109</v>
      </c>
      <c r="AG855" s="1" t="s">
        <v>109</v>
      </c>
      <c r="AH855" s="1" t="s">
        <v>109</v>
      </c>
      <c r="AI855" s="1" t="s">
        <v>109</v>
      </c>
      <c r="AJ855" s="1">
        <v>3</v>
      </c>
      <c r="AK855" s="1" t="s">
        <v>109</v>
      </c>
      <c r="AL855" s="1" t="s">
        <v>109</v>
      </c>
      <c r="AM855" s="1" t="s">
        <v>109</v>
      </c>
      <c r="AN855" s="1" t="s">
        <v>109</v>
      </c>
      <c r="AO855" s="1" t="s">
        <v>109</v>
      </c>
      <c r="AP855" s="1"/>
      <c r="AQ855" s="1">
        <v>3</v>
      </c>
      <c r="AR855" s="1"/>
      <c r="AS855" s="1" t="s">
        <v>7204</v>
      </c>
      <c r="AT855" s="1">
        <v>0</v>
      </c>
      <c r="AU855" s="1">
        <v>0</v>
      </c>
      <c r="AV855" s="1">
        <v>0</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1</v>
      </c>
      <c r="BR855" s="1">
        <v>0</v>
      </c>
      <c r="BS855" s="5" t="str">
        <f>HYPERLINK("http://www.d20pfsrd.com/magic/all-spells/s/screech","Screech")</f>
        <v>Screech</v>
      </c>
      <c r="BT855" s="1">
        <v>872</v>
      </c>
      <c r="BU855" s="1" t="s">
        <v>109</v>
      </c>
      <c r="BV855" s="1"/>
      <c r="BW855" s="1"/>
      <c r="BX855" s="1"/>
      <c r="BY855" s="1"/>
      <c r="BZ855" s="1">
        <v>0</v>
      </c>
      <c r="CA855" s="1" t="s">
        <v>109</v>
      </c>
      <c r="CB855" s="1" t="s">
        <v>109</v>
      </c>
      <c r="CC855" s="1" t="s">
        <v>109</v>
      </c>
      <c r="CD855" s="1" t="s">
        <v>109</v>
      </c>
      <c r="CE855" s="1" t="s">
        <v>109</v>
      </c>
      <c r="CF855" s="1" t="s">
        <v>109</v>
      </c>
      <c r="CG855" s="1" t="s">
        <v>109</v>
      </c>
      <c r="CH855" s="1" t="s">
        <v>109</v>
      </c>
      <c r="CI855" s="1" t="s">
        <v>109</v>
      </c>
      <c r="CJ855" s="1" t="s">
        <v>109</v>
      </c>
      <c r="CK855" s="1"/>
      <c r="CL855" s="1">
        <v>0</v>
      </c>
      <c r="CM855" s="1">
        <v>0</v>
      </c>
      <c r="CN855" s="1">
        <v>0</v>
      </c>
    </row>
    <row r="856" spans="1:92" ht="14.25" customHeight="1" x14ac:dyDescent="0.15">
      <c r="A856" s="1" t="s">
        <v>7205</v>
      </c>
      <c r="B856" s="1" t="s">
        <v>308</v>
      </c>
      <c r="C856" s="1"/>
      <c r="D856" s="1"/>
      <c r="E856" s="1" t="s">
        <v>6227</v>
      </c>
      <c r="F856" s="1" t="s">
        <v>98</v>
      </c>
      <c r="G856" s="1" t="s">
        <v>7206</v>
      </c>
      <c r="H856" s="1">
        <v>0</v>
      </c>
      <c r="I856" s="1" t="s">
        <v>161</v>
      </c>
      <c r="J856" s="1"/>
      <c r="K856" s="1"/>
      <c r="L856" s="1" t="s">
        <v>7111</v>
      </c>
      <c r="M856" s="1" t="s">
        <v>144</v>
      </c>
      <c r="N856" s="1">
        <v>0</v>
      </c>
      <c r="O856" s="1">
        <v>0</v>
      </c>
      <c r="P856" s="1" t="s">
        <v>826</v>
      </c>
      <c r="Q856" s="1" t="s">
        <v>104</v>
      </c>
      <c r="R856" s="1" t="s">
        <v>7207</v>
      </c>
      <c r="S856" s="1" t="s">
        <v>7208</v>
      </c>
      <c r="T856" s="1" t="s">
        <v>5815</v>
      </c>
      <c r="U856" s="1" t="s">
        <v>7209</v>
      </c>
      <c r="V856" s="1">
        <v>1</v>
      </c>
      <c r="W856" s="1">
        <v>1</v>
      </c>
      <c r="X856" s="1">
        <v>1</v>
      </c>
      <c r="Y856" s="1">
        <v>0</v>
      </c>
      <c r="Z856" s="1">
        <v>0</v>
      </c>
      <c r="AA856" s="1">
        <v>1</v>
      </c>
      <c r="AB856" s="1">
        <v>1</v>
      </c>
      <c r="AC856" s="1" t="s">
        <v>109</v>
      </c>
      <c r="AD856" s="1" t="s">
        <v>109</v>
      </c>
      <c r="AE856" s="1" t="s">
        <v>109</v>
      </c>
      <c r="AF856" s="1" t="s">
        <v>109</v>
      </c>
      <c r="AG856" s="1" t="s">
        <v>109</v>
      </c>
      <c r="AH856" s="1" t="s">
        <v>109</v>
      </c>
      <c r="AI856" s="1" t="s">
        <v>109</v>
      </c>
      <c r="AJ856" s="1" t="s">
        <v>109</v>
      </c>
      <c r="AK856" s="1" t="s">
        <v>109</v>
      </c>
      <c r="AL856" s="1" t="s">
        <v>109</v>
      </c>
      <c r="AM856" s="1" t="s">
        <v>109</v>
      </c>
      <c r="AN856" s="1" t="s">
        <v>109</v>
      </c>
      <c r="AO856" s="1" t="s">
        <v>109</v>
      </c>
      <c r="AP856" s="1"/>
      <c r="AQ856" s="1">
        <v>1</v>
      </c>
      <c r="AR856" s="1"/>
      <c r="AS856" s="1" t="s">
        <v>7210</v>
      </c>
      <c r="AT856" s="1">
        <v>0</v>
      </c>
      <c r="AU856" s="1">
        <v>0</v>
      </c>
      <c r="AV856" s="1">
        <v>0</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5" t="str">
        <f>HYPERLINK("http://www.d20pfsrd.com/magic/all-spells/s/sculpt-corpse","Sculpt Corpse")</f>
        <v>Sculpt Corpse</v>
      </c>
      <c r="BT856" s="1">
        <v>873</v>
      </c>
      <c r="BU856" s="1" t="s">
        <v>109</v>
      </c>
      <c r="BV856" s="1"/>
      <c r="BW856" s="1"/>
      <c r="BX856" s="1"/>
      <c r="BY856" s="1"/>
      <c r="BZ856" s="1">
        <v>0</v>
      </c>
      <c r="CA856" s="1" t="s">
        <v>109</v>
      </c>
      <c r="CB856" s="1" t="s">
        <v>109</v>
      </c>
      <c r="CC856" s="1" t="s">
        <v>109</v>
      </c>
      <c r="CD856" s="1" t="s">
        <v>109</v>
      </c>
      <c r="CE856" s="1" t="s">
        <v>109</v>
      </c>
      <c r="CF856" s="1">
        <v>1</v>
      </c>
      <c r="CG856" s="1" t="s">
        <v>109</v>
      </c>
      <c r="CH856" s="1" t="s">
        <v>109</v>
      </c>
      <c r="CI856" s="1" t="s">
        <v>109</v>
      </c>
      <c r="CJ856" s="1" t="s">
        <v>109</v>
      </c>
      <c r="CK856" s="1"/>
      <c r="CL856" s="1">
        <v>0</v>
      </c>
      <c r="CM856" s="1">
        <v>0</v>
      </c>
      <c r="CN856" s="1">
        <v>0</v>
      </c>
    </row>
    <row r="857" spans="1:92" ht="14.25" customHeight="1" x14ac:dyDescent="0.15">
      <c r="A857" s="1" t="s">
        <v>7211</v>
      </c>
      <c r="B857" s="1" t="s">
        <v>95</v>
      </c>
      <c r="C857" s="1" t="s">
        <v>96</v>
      </c>
      <c r="D857" s="1" t="s">
        <v>70</v>
      </c>
      <c r="E857" s="1" t="s">
        <v>7212</v>
      </c>
      <c r="F857" s="1" t="s">
        <v>98</v>
      </c>
      <c r="G857" s="1" t="s">
        <v>7213</v>
      </c>
      <c r="H857" s="1">
        <v>0</v>
      </c>
      <c r="I857" s="1" t="s">
        <v>235</v>
      </c>
      <c r="J857" s="1"/>
      <c r="K857" s="1"/>
      <c r="L857" s="1" t="s">
        <v>236</v>
      </c>
      <c r="M857" s="1" t="s">
        <v>3042</v>
      </c>
      <c r="N857" s="1">
        <v>0</v>
      </c>
      <c r="O857" s="1">
        <v>0</v>
      </c>
      <c r="P857" s="1"/>
      <c r="Q857" s="1"/>
      <c r="R857" s="1" t="s">
        <v>7214</v>
      </c>
      <c r="S857" s="1" t="s">
        <v>7215</v>
      </c>
      <c r="T857" s="1" t="s">
        <v>5815</v>
      </c>
      <c r="U857" s="1" t="s">
        <v>7216</v>
      </c>
      <c r="V857" s="1">
        <v>1</v>
      </c>
      <c r="W857" s="1">
        <v>1</v>
      </c>
      <c r="X857" s="1">
        <v>1</v>
      </c>
      <c r="Y857" s="1">
        <v>0</v>
      </c>
      <c r="Z857" s="1">
        <v>0</v>
      </c>
      <c r="AA857" s="1">
        <v>8</v>
      </c>
      <c r="AB857" s="1">
        <v>8</v>
      </c>
      <c r="AC857" s="1" t="s">
        <v>109</v>
      </c>
      <c r="AD857" s="1">
        <v>8</v>
      </c>
      <c r="AE857" s="1" t="s">
        <v>109</v>
      </c>
      <c r="AF857" s="1" t="s">
        <v>109</v>
      </c>
      <c r="AG857" s="1" t="s">
        <v>109</v>
      </c>
      <c r="AH857" s="1" t="s">
        <v>109</v>
      </c>
      <c r="AI857" s="1" t="s">
        <v>109</v>
      </c>
      <c r="AJ857" s="1" t="s">
        <v>109</v>
      </c>
      <c r="AK857" s="1" t="s">
        <v>109</v>
      </c>
      <c r="AL857" s="1" t="s">
        <v>109</v>
      </c>
      <c r="AM857" s="1" t="s">
        <v>109</v>
      </c>
      <c r="AN857" s="1" t="s">
        <v>109</v>
      </c>
      <c r="AO857" s="1" t="s">
        <v>109</v>
      </c>
      <c r="AP857" s="1"/>
      <c r="AQ857" s="1">
        <v>8</v>
      </c>
      <c r="AR857" s="1"/>
      <c r="AS857" s="1" t="s">
        <v>7217</v>
      </c>
      <c r="AT857" s="1">
        <v>0</v>
      </c>
      <c r="AU857" s="1">
        <v>0</v>
      </c>
      <c r="AV857" s="1">
        <v>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1</v>
      </c>
      <c r="BS857" s="5" t="str">
        <f>HYPERLINK("http://www.d20pfsrd.com/magic/all-spells/s/seamantle","Seamantle")</f>
        <v>Seamantle</v>
      </c>
      <c r="BT857" s="1">
        <v>874</v>
      </c>
      <c r="BU857" s="1" t="s">
        <v>109</v>
      </c>
      <c r="BV857" s="1" t="s">
        <v>7218</v>
      </c>
      <c r="BW857" s="1" t="s">
        <v>7219</v>
      </c>
      <c r="BX857" s="1"/>
      <c r="BY857" s="1"/>
      <c r="BZ857" s="1">
        <v>0</v>
      </c>
      <c r="CA857" s="1" t="s">
        <v>109</v>
      </c>
      <c r="CB857" s="1" t="s">
        <v>109</v>
      </c>
      <c r="CC857" s="1" t="s">
        <v>109</v>
      </c>
      <c r="CD857" s="1" t="s">
        <v>109</v>
      </c>
      <c r="CE857" s="1" t="s">
        <v>109</v>
      </c>
      <c r="CF857" s="1" t="s">
        <v>109</v>
      </c>
      <c r="CG857" s="1" t="s">
        <v>109</v>
      </c>
      <c r="CH857" s="1" t="s">
        <v>109</v>
      </c>
      <c r="CI857" s="1" t="s">
        <v>109</v>
      </c>
      <c r="CJ857" s="1" t="s">
        <v>109</v>
      </c>
      <c r="CK857" s="1"/>
      <c r="CL857" s="1">
        <v>0</v>
      </c>
      <c r="CM857" s="1">
        <v>0</v>
      </c>
      <c r="CN857" s="1">
        <v>0</v>
      </c>
    </row>
    <row r="858" spans="1:92" ht="14.25" customHeight="1" x14ac:dyDescent="0.15">
      <c r="A858" s="1" t="s">
        <v>7220</v>
      </c>
      <c r="B858" s="1" t="s">
        <v>254</v>
      </c>
      <c r="C858" s="1"/>
      <c r="D858" s="1" t="s">
        <v>158</v>
      </c>
      <c r="E858" s="1" t="s">
        <v>7221</v>
      </c>
      <c r="F858" s="1" t="s">
        <v>98</v>
      </c>
      <c r="G858" s="1" t="s">
        <v>7222</v>
      </c>
      <c r="H858" s="1">
        <v>0</v>
      </c>
      <c r="I858" s="1" t="s">
        <v>600</v>
      </c>
      <c r="J858" s="1" t="s">
        <v>1458</v>
      </c>
      <c r="K858" s="1"/>
      <c r="L858" s="1"/>
      <c r="M858" s="1" t="s">
        <v>7223</v>
      </c>
      <c r="N858" s="1">
        <v>0</v>
      </c>
      <c r="O858" s="1">
        <v>0</v>
      </c>
      <c r="P858" s="1" t="s">
        <v>301</v>
      </c>
      <c r="Q858" s="1" t="s">
        <v>104</v>
      </c>
      <c r="R858" s="1" t="s">
        <v>7224</v>
      </c>
      <c r="S858" s="1" t="s">
        <v>7225</v>
      </c>
      <c r="T858" s="1" t="s">
        <v>5815</v>
      </c>
      <c r="U858" s="1" t="s">
        <v>7226</v>
      </c>
      <c r="V858" s="1">
        <v>1</v>
      </c>
      <c r="W858" s="1">
        <v>1</v>
      </c>
      <c r="X858" s="1">
        <v>1</v>
      </c>
      <c r="Y858" s="1">
        <v>0</v>
      </c>
      <c r="Z858" s="1">
        <v>0</v>
      </c>
      <c r="AA858" s="1">
        <v>3</v>
      </c>
      <c r="AB858" s="1">
        <v>3</v>
      </c>
      <c r="AC858" s="1" t="s">
        <v>109</v>
      </c>
      <c r="AD858" s="1" t="s">
        <v>109</v>
      </c>
      <c r="AE858" s="1" t="s">
        <v>109</v>
      </c>
      <c r="AF858" s="1">
        <v>3</v>
      </c>
      <c r="AG858" s="1" t="s">
        <v>109</v>
      </c>
      <c r="AH858" s="1">
        <v>3</v>
      </c>
      <c r="AI858" s="1">
        <v>3</v>
      </c>
      <c r="AJ858" s="1">
        <v>3</v>
      </c>
      <c r="AK858" s="1">
        <v>3</v>
      </c>
      <c r="AL858" s="1" t="s">
        <v>109</v>
      </c>
      <c r="AM858" s="1" t="s">
        <v>109</v>
      </c>
      <c r="AN858" s="1" t="s">
        <v>109</v>
      </c>
      <c r="AO858" s="1" t="s">
        <v>109</v>
      </c>
      <c r="AP858" s="1"/>
      <c r="AQ858" s="1">
        <v>3</v>
      </c>
      <c r="AR858" s="1" t="s">
        <v>7227</v>
      </c>
      <c r="AS858" s="1" t="s">
        <v>7228</v>
      </c>
      <c r="AT858" s="1">
        <v>0</v>
      </c>
      <c r="AU858" s="1">
        <v>0</v>
      </c>
      <c r="AV858" s="1">
        <v>0</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1</v>
      </c>
      <c r="BN858" s="1">
        <v>0</v>
      </c>
      <c r="BO858" s="1">
        <v>0</v>
      </c>
      <c r="BP858" s="1">
        <v>0</v>
      </c>
      <c r="BQ858" s="1">
        <v>0</v>
      </c>
      <c r="BR858" s="1">
        <v>0</v>
      </c>
      <c r="BS858" s="5" t="str">
        <f>HYPERLINK("http://www.d20pfsrd.com/magic/all-spells/s/seek-thoughts","Seek Thoughts")</f>
        <v>Seek Thoughts</v>
      </c>
      <c r="BT858" s="1">
        <v>875</v>
      </c>
      <c r="BU858" s="1" t="s">
        <v>109</v>
      </c>
      <c r="BV858" s="1"/>
      <c r="BW858" s="1"/>
      <c r="BX858" s="1"/>
      <c r="BY858" s="1"/>
      <c r="BZ858" s="1">
        <v>0</v>
      </c>
      <c r="CA858" s="1" t="s">
        <v>109</v>
      </c>
      <c r="CB858" s="1" t="s">
        <v>109</v>
      </c>
      <c r="CC858" s="1">
        <v>2</v>
      </c>
      <c r="CD858" s="1" t="s">
        <v>109</v>
      </c>
      <c r="CE858" s="1">
        <v>3</v>
      </c>
      <c r="CF858" s="1">
        <v>3</v>
      </c>
      <c r="CG858" s="1">
        <v>3</v>
      </c>
      <c r="CH858" s="1" t="s">
        <v>109</v>
      </c>
      <c r="CI858" s="1" t="s">
        <v>109</v>
      </c>
      <c r="CJ858" s="1" t="s">
        <v>109</v>
      </c>
      <c r="CK858" s="1"/>
      <c r="CL858" s="1">
        <v>0</v>
      </c>
      <c r="CM858" s="1">
        <v>0</v>
      </c>
      <c r="CN858" s="1">
        <v>0</v>
      </c>
    </row>
    <row r="859" spans="1:92" ht="14.25" customHeight="1" x14ac:dyDescent="0.15">
      <c r="A859" s="1" t="s">
        <v>7229</v>
      </c>
      <c r="B859" s="1" t="s">
        <v>254</v>
      </c>
      <c r="C859" s="1"/>
      <c r="D859" s="1"/>
      <c r="E859" s="1" t="s">
        <v>7230</v>
      </c>
      <c r="F859" s="1" t="s">
        <v>98</v>
      </c>
      <c r="G859" s="1" t="s">
        <v>7231</v>
      </c>
      <c r="H859" s="1">
        <v>0</v>
      </c>
      <c r="I859" s="1" t="s">
        <v>161</v>
      </c>
      <c r="J859" s="1"/>
      <c r="K859" s="1"/>
      <c r="L859" s="1" t="s">
        <v>506</v>
      </c>
      <c r="M859" s="1" t="s">
        <v>465</v>
      </c>
      <c r="N859" s="1">
        <v>0</v>
      </c>
      <c r="O859" s="1">
        <v>0</v>
      </c>
      <c r="P859" s="1" t="s">
        <v>507</v>
      </c>
      <c r="Q859" s="1" t="s">
        <v>167</v>
      </c>
      <c r="R859" s="1" t="s">
        <v>7232</v>
      </c>
      <c r="S859" s="1" t="s">
        <v>7233</v>
      </c>
      <c r="T859" s="1" t="s">
        <v>5815</v>
      </c>
      <c r="U859" s="1" t="s">
        <v>7234</v>
      </c>
      <c r="V859" s="1">
        <v>1</v>
      </c>
      <c r="W859" s="1">
        <v>1</v>
      </c>
      <c r="X859" s="1">
        <v>1</v>
      </c>
      <c r="Y859" s="1">
        <v>0</v>
      </c>
      <c r="Z859" s="1">
        <v>0</v>
      </c>
      <c r="AA859" s="1">
        <v>2</v>
      </c>
      <c r="AB859" s="1">
        <v>2</v>
      </c>
      <c r="AC859" s="1">
        <v>2</v>
      </c>
      <c r="AD859" s="1">
        <v>2</v>
      </c>
      <c r="AE859" s="1" t="s">
        <v>109</v>
      </c>
      <c r="AF859" s="1">
        <v>1</v>
      </c>
      <c r="AG859" s="1" t="s">
        <v>109</v>
      </c>
      <c r="AH859" s="1" t="s">
        <v>109</v>
      </c>
      <c r="AI859" s="1" t="s">
        <v>109</v>
      </c>
      <c r="AJ859" s="1" t="s">
        <v>109</v>
      </c>
      <c r="AK859" s="1" t="s">
        <v>109</v>
      </c>
      <c r="AL859" s="1">
        <v>2</v>
      </c>
      <c r="AM859" s="1" t="s">
        <v>109</v>
      </c>
      <c r="AN859" s="1" t="s">
        <v>109</v>
      </c>
      <c r="AO859" s="1" t="s">
        <v>109</v>
      </c>
      <c r="AP859" s="1"/>
      <c r="AQ859" s="1">
        <v>2</v>
      </c>
      <c r="AR859" s="1" t="s">
        <v>7235</v>
      </c>
      <c r="AS859" s="1" t="s">
        <v>7236</v>
      </c>
      <c r="AT859" s="1">
        <v>0</v>
      </c>
      <c r="AU859" s="1">
        <v>0</v>
      </c>
      <c r="AV859" s="1">
        <v>0</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5" t="str">
        <f>HYPERLINK("http://www.d20pfsrd.com/magic/all-spells/s/share-language","Share Language")</f>
        <v>Share Language</v>
      </c>
      <c r="BT859" s="1">
        <v>877</v>
      </c>
      <c r="BU859" s="1" t="s">
        <v>109</v>
      </c>
      <c r="BV859" s="1"/>
      <c r="BW859" s="1"/>
      <c r="BX859" s="1"/>
      <c r="BY859" s="1"/>
      <c r="BZ859" s="1">
        <v>0</v>
      </c>
      <c r="CA859" s="1" t="s">
        <v>109</v>
      </c>
      <c r="CB859" s="1" t="s">
        <v>109</v>
      </c>
      <c r="CC859" s="1">
        <v>1</v>
      </c>
      <c r="CD859" s="1" t="s">
        <v>109</v>
      </c>
      <c r="CE859" s="1">
        <v>1</v>
      </c>
      <c r="CF859" s="1">
        <v>2</v>
      </c>
      <c r="CG859" s="1" t="s">
        <v>109</v>
      </c>
      <c r="CH859" s="1" t="s">
        <v>109</v>
      </c>
      <c r="CI859" s="1" t="s">
        <v>109</v>
      </c>
      <c r="CJ859" s="1">
        <v>2</v>
      </c>
      <c r="CK859" s="1"/>
      <c r="CL859" s="1">
        <v>0</v>
      </c>
      <c r="CM859" s="1">
        <v>0</v>
      </c>
      <c r="CN859" s="1">
        <v>0</v>
      </c>
    </row>
    <row r="860" spans="1:92" ht="14.25" customHeight="1" x14ac:dyDescent="0.15">
      <c r="A860" s="1" t="s">
        <v>7237</v>
      </c>
      <c r="B860" s="1" t="s">
        <v>308</v>
      </c>
      <c r="C860" s="1"/>
      <c r="D860" s="1" t="s">
        <v>57</v>
      </c>
      <c r="E860" s="1" t="s">
        <v>5543</v>
      </c>
      <c r="F860" s="1" t="s">
        <v>277</v>
      </c>
      <c r="G860" s="1" t="s">
        <v>2345</v>
      </c>
      <c r="H860" s="1">
        <v>0</v>
      </c>
      <c r="I860" s="1" t="s">
        <v>235</v>
      </c>
      <c r="J860" s="1"/>
      <c r="K860" s="1"/>
      <c r="L860" s="1" t="s">
        <v>236</v>
      </c>
      <c r="M860" s="1" t="s">
        <v>815</v>
      </c>
      <c r="N860" s="1">
        <v>1</v>
      </c>
      <c r="O860" s="1">
        <v>0</v>
      </c>
      <c r="P860" s="1"/>
      <c r="Q860" s="1"/>
      <c r="R860" s="1" t="s">
        <v>7238</v>
      </c>
      <c r="S860" s="1" t="s">
        <v>7239</v>
      </c>
      <c r="T860" s="1" t="s">
        <v>5815</v>
      </c>
      <c r="U860" s="1" t="s">
        <v>7240</v>
      </c>
      <c r="V860" s="1">
        <v>0</v>
      </c>
      <c r="W860" s="1">
        <v>1</v>
      </c>
      <c r="X860" s="1">
        <v>0</v>
      </c>
      <c r="Y860" s="1">
        <v>0</v>
      </c>
      <c r="Z860" s="1">
        <v>0</v>
      </c>
      <c r="AA860" s="1">
        <v>4</v>
      </c>
      <c r="AB860" s="1">
        <v>4</v>
      </c>
      <c r="AC860" s="1" t="s">
        <v>109</v>
      </c>
      <c r="AD860" s="1" t="s">
        <v>109</v>
      </c>
      <c r="AE860" s="1" t="s">
        <v>109</v>
      </c>
      <c r="AF860" s="1" t="s">
        <v>109</v>
      </c>
      <c r="AG860" s="1" t="s">
        <v>109</v>
      </c>
      <c r="AH860" s="1" t="s">
        <v>109</v>
      </c>
      <c r="AI860" s="1" t="s">
        <v>109</v>
      </c>
      <c r="AJ860" s="1" t="s">
        <v>109</v>
      </c>
      <c r="AK860" s="1" t="s">
        <v>109</v>
      </c>
      <c r="AL860" s="1" t="s">
        <v>109</v>
      </c>
      <c r="AM860" s="1" t="s">
        <v>109</v>
      </c>
      <c r="AN860" s="1" t="s">
        <v>109</v>
      </c>
      <c r="AO860" s="1" t="s">
        <v>109</v>
      </c>
      <c r="AP860" s="1"/>
      <c r="AQ860" s="1">
        <v>4</v>
      </c>
      <c r="AR860" s="1"/>
      <c r="AS860" s="1" t="s">
        <v>7241</v>
      </c>
      <c r="AT860" s="1">
        <v>0</v>
      </c>
      <c r="AU860" s="1">
        <v>0</v>
      </c>
      <c r="AV860" s="1">
        <v>0</v>
      </c>
      <c r="AW860" s="1">
        <v>0</v>
      </c>
      <c r="AX860" s="1">
        <v>0</v>
      </c>
      <c r="AY860" s="1">
        <v>0</v>
      </c>
      <c r="AZ860" s="1">
        <v>0</v>
      </c>
      <c r="BA860" s="1">
        <v>0</v>
      </c>
      <c r="BB860" s="1">
        <v>0</v>
      </c>
      <c r="BC860" s="1">
        <v>0</v>
      </c>
      <c r="BD860" s="1">
        <v>0</v>
      </c>
      <c r="BE860" s="1">
        <v>1</v>
      </c>
      <c r="BF860" s="1">
        <v>0</v>
      </c>
      <c r="BG860" s="1">
        <v>0</v>
      </c>
      <c r="BH860" s="1">
        <v>0</v>
      </c>
      <c r="BI860" s="1">
        <v>0</v>
      </c>
      <c r="BJ860" s="1">
        <v>0</v>
      </c>
      <c r="BK860" s="1">
        <v>0</v>
      </c>
      <c r="BL860" s="1">
        <v>0</v>
      </c>
      <c r="BM860" s="1">
        <v>0</v>
      </c>
      <c r="BN860" s="1">
        <v>0</v>
      </c>
      <c r="BO860" s="1">
        <v>0</v>
      </c>
      <c r="BP860" s="1">
        <v>0</v>
      </c>
      <c r="BQ860" s="1">
        <v>0</v>
      </c>
      <c r="BR860" s="1">
        <v>0</v>
      </c>
      <c r="BS860" s="5" t="str">
        <f>HYPERLINK("http://www.d20pfsrd.com/magic/all-spells/s/shadow-projection","Shadow Projection")</f>
        <v>Shadow Projection</v>
      </c>
      <c r="BT860" s="1">
        <v>878</v>
      </c>
      <c r="BU860" s="1" t="s">
        <v>109</v>
      </c>
      <c r="BV860" s="1"/>
      <c r="BW860" s="1"/>
      <c r="BX860" s="1"/>
      <c r="BY860" s="1"/>
      <c r="BZ860" s="1">
        <v>0</v>
      </c>
      <c r="CA860" s="1" t="s">
        <v>109</v>
      </c>
      <c r="CB860" s="1" t="s">
        <v>109</v>
      </c>
      <c r="CC860" s="1" t="s">
        <v>109</v>
      </c>
      <c r="CD860" s="1" t="s">
        <v>109</v>
      </c>
      <c r="CE860" s="1" t="s">
        <v>109</v>
      </c>
      <c r="CF860" s="1" t="s">
        <v>109</v>
      </c>
      <c r="CG860" s="1" t="s">
        <v>109</v>
      </c>
      <c r="CH860" s="1" t="s">
        <v>109</v>
      </c>
      <c r="CI860" s="1" t="s">
        <v>109</v>
      </c>
      <c r="CJ860" s="1" t="s">
        <v>109</v>
      </c>
      <c r="CK860" s="1"/>
      <c r="CL860" s="1">
        <v>0</v>
      </c>
      <c r="CM860" s="1">
        <v>0</v>
      </c>
      <c r="CN860" s="1">
        <v>0</v>
      </c>
    </row>
    <row r="861" spans="1:92" ht="14.25" customHeight="1" x14ac:dyDescent="0.15">
      <c r="A861" s="1" t="s">
        <v>7242</v>
      </c>
      <c r="B861" s="1" t="s">
        <v>254</v>
      </c>
      <c r="C861" s="1" t="s">
        <v>393</v>
      </c>
      <c r="D861" s="1"/>
      <c r="E861" s="1" t="s">
        <v>7243</v>
      </c>
      <c r="F861" s="1" t="s">
        <v>5503</v>
      </c>
      <c r="G861" s="1" t="s">
        <v>7244</v>
      </c>
      <c r="H861" s="1">
        <v>0</v>
      </c>
      <c r="I861" s="1" t="s">
        <v>100</v>
      </c>
      <c r="J861" s="1"/>
      <c r="K861" s="1"/>
      <c r="L861" s="1" t="s">
        <v>7245</v>
      </c>
      <c r="M861" s="1" t="s">
        <v>6144</v>
      </c>
      <c r="N861" s="1">
        <v>1</v>
      </c>
      <c r="O861" s="1">
        <v>0</v>
      </c>
      <c r="P861" s="1" t="s">
        <v>507</v>
      </c>
      <c r="Q861" s="1" t="s">
        <v>167</v>
      </c>
      <c r="R861" s="1" t="s">
        <v>7246</v>
      </c>
      <c r="S861" s="1" t="s">
        <v>7247</v>
      </c>
      <c r="T861" s="1" t="s">
        <v>5815</v>
      </c>
      <c r="U861" s="1" t="s">
        <v>7248</v>
      </c>
      <c r="V861" s="1">
        <v>1</v>
      </c>
      <c r="W861" s="1">
        <v>1</v>
      </c>
      <c r="X861" s="1">
        <v>1</v>
      </c>
      <c r="Y861" s="1">
        <v>0</v>
      </c>
      <c r="Z861" s="1">
        <v>0</v>
      </c>
      <c r="AA861" s="1">
        <v>4</v>
      </c>
      <c r="AB861" s="1">
        <v>4</v>
      </c>
      <c r="AC861" s="1" t="s">
        <v>109</v>
      </c>
      <c r="AD861" s="1" t="s">
        <v>109</v>
      </c>
      <c r="AE861" s="1" t="s">
        <v>109</v>
      </c>
      <c r="AF861" s="1" t="s">
        <v>109</v>
      </c>
      <c r="AG861" s="1" t="s">
        <v>109</v>
      </c>
      <c r="AH861" s="1" t="s">
        <v>109</v>
      </c>
      <c r="AI861" s="1" t="s">
        <v>109</v>
      </c>
      <c r="AJ861" s="1">
        <v>3</v>
      </c>
      <c r="AK861" s="1" t="s">
        <v>109</v>
      </c>
      <c r="AL861" s="1" t="s">
        <v>109</v>
      </c>
      <c r="AM861" s="1" t="s">
        <v>109</v>
      </c>
      <c r="AN861" s="1" t="s">
        <v>109</v>
      </c>
      <c r="AO861" s="1" t="s">
        <v>109</v>
      </c>
      <c r="AP861" s="1"/>
      <c r="AQ861" s="1">
        <v>4</v>
      </c>
      <c r="AR861" s="1"/>
      <c r="AS861" s="1" t="s">
        <v>7249</v>
      </c>
      <c r="AT861" s="1">
        <v>0</v>
      </c>
      <c r="AU861" s="1">
        <v>0</v>
      </c>
      <c r="AV861" s="1">
        <v>0</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5" t="str">
        <f>HYPERLINK("http://www.d20pfsrd.com/magic/all-spells/s/share-senses","Share Senses")</f>
        <v>Share Senses</v>
      </c>
      <c r="BT861" s="1">
        <v>879</v>
      </c>
      <c r="BU861" s="1" t="s">
        <v>109</v>
      </c>
      <c r="BV861" s="1"/>
      <c r="BW861" s="1"/>
      <c r="BX861" s="1"/>
      <c r="BY861" s="1"/>
      <c r="BZ861" s="1">
        <v>0</v>
      </c>
      <c r="CA861" s="1" t="s">
        <v>109</v>
      </c>
      <c r="CB861" s="1" t="s">
        <v>109</v>
      </c>
      <c r="CC861" s="1">
        <v>3</v>
      </c>
      <c r="CD861" s="1" t="s">
        <v>109</v>
      </c>
      <c r="CE861" s="1" t="s">
        <v>109</v>
      </c>
      <c r="CF861" s="1" t="s">
        <v>109</v>
      </c>
      <c r="CG861" s="1" t="s">
        <v>109</v>
      </c>
      <c r="CH861" s="1" t="s">
        <v>109</v>
      </c>
      <c r="CI861" s="1" t="s">
        <v>109</v>
      </c>
      <c r="CJ861" s="1" t="s">
        <v>109</v>
      </c>
      <c r="CK861" s="1"/>
      <c r="CL861" s="1">
        <v>0</v>
      </c>
      <c r="CM861" s="1">
        <v>0</v>
      </c>
      <c r="CN861" s="1">
        <v>0</v>
      </c>
    </row>
    <row r="862" spans="1:92" ht="14.25" customHeight="1" x14ac:dyDescent="0.15">
      <c r="A862" s="1" t="s">
        <v>7250</v>
      </c>
      <c r="B862" s="1" t="s">
        <v>189</v>
      </c>
      <c r="C862" s="1"/>
      <c r="D862" s="1" t="s">
        <v>54</v>
      </c>
      <c r="E862" s="1" t="s">
        <v>5779</v>
      </c>
      <c r="F862" s="1" t="s">
        <v>98</v>
      </c>
      <c r="G862" s="1" t="s">
        <v>7251</v>
      </c>
      <c r="H862" s="1">
        <v>0</v>
      </c>
      <c r="I862" s="1" t="s">
        <v>122</v>
      </c>
      <c r="J862" s="1" t="s">
        <v>7252</v>
      </c>
      <c r="K862" s="1"/>
      <c r="L862" s="1"/>
      <c r="M862" s="1" t="s">
        <v>574</v>
      </c>
      <c r="N862" s="1">
        <v>1</v>
      </c>
      <c r="O862" s="1">
        <v>0</v>
      </c>
      <c r="P862" s="1" t="s">
        <v>5310</v>
      </c>
      <c r="Q862" s="1" t="s">
        <v>104</v>
      </c>
      <c r="R862" s="1" t="s">
        <v>7253</v>
      </c>
      <c r="S862" s="1" t="s">
        <v>7254</v>
      </c>
      <c r="T862" s="1" t="s">
        <v>5815</v>
      </c>
      <c r="U862" s="1" t="s">
        <v>7255</v>
      </c>
      <c r="V862" s="1">
        <v>1</v>
      </c>
      <c r="W862" s="1">
        <v>1</v>
      </c>
      <c r="X862" s="1">
        <v>1</v>
      </c>
      <c r="Y862" s="1">
        <v>0</v>
      </c>
      <c r="Z862" s="1">
        <v>0</v>
      </c>
      <c r="AA862" s="1">
        <v>3</v>
      </c>
      <c r="AB862" s="1">
        <v>3</v>
      </c>
      <c r="AC862" s="1" t="s">
        <v>109</v>
      </c>
      <c r="AD862" s="1">
        <v>3</v>
      </c>
      <c r="AE862" s="1" t="s">
        <v>109</v>
      </c>
      <c r="AF862" s="1" t="s">
        <v>109</v>
      </c>
      <c r="AG862" s="1" t="s">
        <v>109</v>
      </c>
      <c r="AH862" s="1" t="s">
        <v>109</v>
      </c>
      <c r="AI862" s="1" t="s">
        <v>109</v>
      </c>
      <c r="AJ862" s="1" t="s">
        <v>109</v>
      </c>
      <c r="AK862" s="1" t="s">
        <v>109</v>
      </c>
      <c r="AL862" s="1" t="s">
        <v>109</v>
      </c>
      <c r="AM862" s="1" t="s">
        <v>109</v>
      </c>
      <c r="AN862" s="1" t="s">
        <v>109</v>
      </c>
      <c r="AO862" s="1" t="s">
        <v>109</v>
      </c>
      <c r="AP862" s="1"/>
      <c r="AQ862" s="1">
        <v>3</v>
      </c>
      <c r="AR862" s="1"/>
      <c r="AS862" s="1" t="s">
        <v>7256</v>
      </c>
      <c r="AT862" s="1">
        <v>0</v>
      </c>
      <c r="AU862" s="1">
        <v>0</v>
      </c>
      <c r="AV862" s="1">
        <v>0</v>
      </c>
      <c r="AW862" s="1">
        <v>0</v>
      </c>
      <c r="AX862" s="1">
        <v>0</v>
      </c>
      <c r="AY862" s="1">
        <v>0</v>
      </c>
      <c r="AZ862" s="1">
        <v>0</v>
      </c>
      <c r="BA862" s="1">
        <v>0</v>
      </c>
      <c r="BB862" s="1">
        <v>1</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5" t="str">
        <f>HYPERLINK("http://www.d20pfsrd.com/magic/all-spells/s/shifting-sand","Shifting Sand")</f>
        <v>Shifting Sand</v>
      </c>
      <c r="BT862" s="1">
        <v>880</v>
      </c>
      <c r="BU862" s="1" t="s">
        <v>109</v>
      </c>
      <c r="BV862" s="1" t="s">
        <v>7257</v>
      </c>
      <c r="BW862" s="1"/>
      <c r="BX862" s="1"/>
      <c r="BY862" s="1"/>
      <c r="BZ862" s="1">
        <v>0</v>
      </c>
      <c r="CA862" s="1" t="s">
        <v>109</v>
      </c>
      <c r="CB862" s="1" t="s">
        <v>109</v>
      </c>
      <c r="CC862" s="1" t="s">
        <v>109</v>
      </c>
      <c r="CD862" s="1" t="s">
        <v>109</v>
      </c>
      <c r="CE862" s="1" t="s">
        <v>109</v>
      </c>
      <c r="CF862" s="1" t="s">
        <v>109</v>
      </c>
      <c r="CG862" s="1" t="s">
        <v>109</v>
      </c>
      <c r="CH862" s="1" t="s">
        <v>109</v>
      </c>
      <c r="CI862" s="1" t="s">
        <v>109</v>
      </c>
      <c r="CJ862" s="1">
        <v>3</v>
      </c>
      <c r="CK862" s="1"/>
      <c r="CL862" s="1">
        <v>0</v>
      </c>
      <c r="CM862" s="1">
        <v>0</v>
      </c>
      <c r="CN862" s="1">
        <v>0</v>
      </c>
    </row>
    <row r="863" spans="1:92" ht="14.25" customHeight="1" x14ac:dyDescent="0.15">
      <c r="A863" s="1" t="s">
        <v>7258</v>
      </c>
      <c r="B863" s="1" t="s">
        <v>156</v>
      </c>
      <c r="C863" s="1" t="s">
        <v>157</v>
      </c>
      <c r="D863" s="1" t="s">
        <v>375</v>
      </c>
      <c r="E863" s="1" t="s">
        <v>6035</v>
      </c>
      <c r="F863" s="1" t="s">
        <v>98</v>
      </c>
      <c r="G863" s="1" t="s">
        <v>7259</v>
      </c>
      <c r="H863" s="1">
        <v>0</v>
      </c>
      <c r="I863" s="1" t="s">
        <v>142</v>
      </c>
      <c r="J863" s="1"/>
      <c r="K863" s="1"/>
      <c r="L863" s="1" t="s">
        <v>7260</v>
      </c>
      <c r="M863" s="1" t="s">
        <v>277</v>
      </c>
      <c r="N863" s="1">
        <v>0</v>
      </c>
      <c r="O863" s="1">
        <v>0</v>
      </c>
      <c r="P863" s="1" t="s">
        <v>507</v>
      </c>
      <c r="Q863" s="1" t="s">
        <v>167</v>
      </c>
      <c r="R863" s="1" t="s">
        <v>7261</v>
      </c>
      <c r="S863" s="1" t="s">
        <v>7262</v>
      </c>
      <c r="T863" s="1" t="s">
        <v>5815</v>
      </c>
      <c r="U863" s="1" t="s">
        <v>7263</v>
      </c>
      <c r="V863" s="1">
        <v>1</v>
      </c>
      <c r="W863" s="1">
        <v>1</v>
      </c>
      <c r="X863" s="1">
        <v>1</v>
      </c>
      <c r="Y863" s="1">
        <v>0</v>
      </c>
      <c r="Z863" s="1">
        <v>0</v>
      </c>
      <c r="AA863" s="1" t="s">
        <v>109</v>
      </c>
      <c r="AB863" s="1" t="s">
        <v>109</v>
      </c>
      <c r="AC863" s="1" t="s">
        <v>109</v>
      </c>
      <c r="AD863" s="1" t="s">
        <v>109</v>
      </c>
      <c r="AE863" s="1" t="s">
        <v>109</v>
      </c>
      <c r="AF863" s="1" t="s">
        <v>109</v>
      </c>
      <c r="AG863" s="1" t="s">
        <v>109</v>
      </c>
      <c r="AH863" s="1" t="s">
        <v>109</v>
      </c>
      <c r="AI863" s="1" t="s">
        <v>109</v>
      </c>
      <c r="AJ863" s="1" t="s">
        <v>109</v>
      </c>
      <c r="AK863" s="1">
        <v>4</v>
      </c>
      <c r="AL863" s="1" t="s">
        <v>109</v>
      </c>
      <c r="AM863" s="1" t="s">
        <v>109</v>
      </c>
      <c r="AN863" s="1" t="s">
        <v>109</v>
      </c>
      <c r="AO863" s="1" t="s">
        <v>109</v>
      </c>
      <c r="AP863" s="1"/>
      <c r="AQ863" s="1">
        <v>4</v>
      </c>
      <c r="AR863" s="1"/>
      <c r="AS863" s="1" t="s">
        <v>7264</v>
      </c>
      <c r="AT863" s="1">
        <v>0</v>
      </c>
      <c r="AU863" s="1">
        <v>0</v>
      </c>
      <c r="AV863" s="1">
        <v>0</v>
      </c>
      <c r="AW863" s="1">
        <v>0</v>
      </c>
      <c r="AX863" s="1">
        <v>0</v>
      </c>
      <c r="AY863" s="1">
        <v>0</v>
      </c>
      <c r="AZ863" s="1">
        <v>0</v>
      </c>
      <c r="BA863" s="1">
        <v>0</v>
      </c>
      <c r="BB863" s="1">
        <v>0</v>
      </c>
      <c r="BC863" s="1">
        <v>0</v>
      </c>
      <c r="BD863" s="1">
        <v>1</v>
      </c>
      <c r="BE863" s="1">
        <v>0</v>
      </c>
      <c r="BF863" s="1">
        <v>0</v>
      </c>
      <c r="BG863" s="1">
        <v>0</v>
      </c>
      <c r="BH863" s="1">
        <v>0</v>
      </c>
      <c r="BI863" s="1">
        <v>0</v>
      </c>
      <c r="BJ863" s="1">
        <v>0</v>
      </c>
      <c r="BK863" s="1">
        <v>0</v>
      </c>
      <c r="BL863" s="1">
        <v>0</v>
      </c>
      <c r="BM863" s="1">
        <v>1</v>
      </c>
      <c r="BN863" s="1">
        <v>0</v>
      </c>
      <c r="BO863" s="1">
        <v>0</v>
      </c>
      <c r="BP863" s="1">
        <v>0</v>
      </c>
      <c r="BQ863" s="1">
        <v>0</v>
      </c>
      <c r="BR863" s="1">
        <v>0</v>
      </c>
      <c r="BS863" s="5" t="str">
        <f>HYPERLINK("http://www.d20pfsrd.com/magic/all-spells/s/shared-wrath","Shared Wrath")</f>
        <v>Shared Wrath</v>
      </c>
      <c r="BT863" s="1">
        <v>881</v>
      </c>
      <c r="BU863" s="1" t="s">
        <v>109</v>
      </c>
      <c r="BV863" s="1"/>
      <c r="BW863" s="1"/>
      <c r="BX863" s="1"/>
      <c r="BY863" s="1"/>
      <c r="BZ863" s="1">
        <v>0</v>
      </c>
      <c r="CA863" s="1" t="s">
        <v>109</v>
      </c>
      <c r="CB863" s="1" t="s">
        <v>109</v>
      </c>
      <c r="CC863" s="1" t="s">
        <v>109</v>
      </c>
      <c r="CD863" s="1" t="s">
        <v>109</v>
      </c>
      <c r="CE863" s="1" t="s">
        <v>109</v>
      </c>
      <c r="CF863" s="1" t="s">
        <v>109</v>
      </c>
      <c r="CG863" s="1" t="s">
        <v>109</v>
      </c>
      <c r="CH863" s="1" t="s">
        <v>109</v>
      </c>
      <c r="CI863" s="1" t="s">
        <v>109</v>
      </c>
      <c r="CJ863" s="1" t="s">
        <v>109</v>
      </c>
      <c r="CK863" s="1"/>
      <c r="CL863" s="1">
        <v>0</v>
      </c>
      <c r="CM863" s="1">
        <v>0</v>
      </c>
      <c r="CN863" s="1">
        <v>0</v>
      </c>
    </row>
    <row r="864" spans="1:92" ht="14.25" customHeight="1" x14ac:dyDescent="0.15">
      <c r="A864" s="1" t="s">
        <v>7265</v>
      </c>
      <c r="B864" s="1" t="s">
        <v>254</v>
      </c>
      <c r="C864" s="1"/>
      <c r="D864" s="1"/>
      <c r="E864" s="1" t="s">
        <v>7266</v>
      </c>
      <c r="F864" s="1" t="s">
        <v>98</v>
      </c>
      <c r="G864" s="1" t="s">
        <v>141</v>
      </c>
      <c r="H864" s="1">
        <v>0</v>
      </c>
      <c r="I864" s="1" t="s">
        <v>1192</v>
      </c>
      <c r="J864" s="1" t="s">
        <v>7267</v>
      </c>
      <c r="K864" s="1"/>
      <c r="L864" s="1"/>
      <c r="M864" s="1" t="s">
        <v>144</v>
      </c>
      <c r="N864" s="1">
        <v>0</v>
      </c>
      <c r="O864" s="1">
        <v>0</v>
      </c>
      <c r="P864" s="1" t="s">
        <v>103</v>
      </c>
      <c r="Q864" s="1" t="s">
        <v>104</v>
      </c>
      <c r="R864" s="1" t="s">
        <v>7268</v>
      </c>
      <c r="S864" s="1" t="s">
        <v>7269</v>
      </c>
      <c r="T864" s="1" t="s">
        <v>5815</v>
      </c>
      <c r="U864" s="1" t="s">
        <v>7270</v>
      </c>
      <c r="V864" s="1">
        <v>1</v>
      </c>
      <c r="W864" s="1">
        <v>1</v>
      </c>
      <c r="X864" s="1">
        <v>0</v>
      </c>
      <c r="Y864" s="1">
        <v>0</v>
      </c>
      <c r="Z864" s="1">
        <v>0</v>
      </c>
      <c r="AA864" s="1" t="s">
        <v>109</v>
      </c>
      <c r="AB864" s="1" t="s">
        <v>109</v>
      </c>
      <c r="AC864" s="1" t="s">
        <v>109</v>
      </c>
      <c r="AD864" s="1" t="s">
        <v>109</v>
      </c>
      <c r="AE864" s="1" t="s">
        <v>109</v>
      </c>
      <c r="AF864" s="1">
        <v>0</v>
      </c>
      <c r="AG864" s="1" t="s">
        <v>109</v>
      </c>
      <c r="AH864" s="1" t="s">
        <v>109</v>
      </c>
      <c r="AI864" s="1" t="s">
        <v>109</v>
      </c>
      <c r="AJ864" s="1" t="s">
        <v>109</v>
      </c>
      <c r="AK864" s="1">
        <v>0</v>
      </c>
      <c r="AL864" s="1" t="s">
        <v>109</v>
      </c>
      <c r="AM864" s="1" t="s">
        <v>109</v>
      </c>
      <c r="AN864" s="1" t="s">
        <v>109</v>
      </c>
      <c r="AO864" s="1" t="s">
        <v>109</v>
      </c>
      <c r="AP864" s="1"/>
      <c r="AQ864" s="1">
        <v>0</v>
      </c>
      <c r="AR864" s="1"/>
      <c r="AS864" s="1" t="s">
        <v>7271</v>
      </c>
      <c r="AT864" s="1">
        <v>0</v>
      </c>
      <c r="AU864" s="1">
        <v>0</v>
      </c>
      <c r="AV864" s="1">
        <v>0</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5" t="str">
        <f>HYPERLINK("http://www.d20pfsrd.com/magic/all-spells/s/sift","Sift")</f>
        <v>Sift</v>
      </c>
      <c r="BT864" s="1">
        <v>882</v>
      </c>
      <c r="BU864" s="1" t="s">
        <v>109</v>
      </c>
      <c r="BV864" s="1"/>
      <c r="BW864" s="1"/>
      <c r="BX864" s="1"/>
      <c r="BY864" s="1"/>
      <c r="BZ864" s="1">
        <v>0</v>
      </c>
      <c r="CA864" s="1" t="s">
        <v>109</v>
      </c>
      <c r="CB864" s="1" t="s">
        <v>109</v>
      </c>
      <c r="CC864" s="1">
        <v>0</v>
      </c>
      <c r="CD864" s="1" t="s">
        <v>109</v>
      </c>
      <c r="CE864" s="1" t="s">
        <v>109</v>
      </c>
      <c r="CF864" s="1">
        <v>0</v>
      </c>
      <c r="CG864" s="1" t="s">
        <v>109</v>
      </c>
      <c r="CH864" s="1" t="s">
        <v>109</v>
      </c>
      <c r="CI864" s="1" t="s">
        <v>109</v>
      </c>
      <c r="CJ864" s="1" t="s">
        <v>109</v>
      </c>
      <c r="CK864" s="1"/>
      <c r="CL864" s="1">
        <v>0</v>
      </c>
      <c r="CM864" s="1">
        <v>0</v>
      </c>
      <c r="CN864" s="1">
        <v>0</v>
      </c>
    </row>
    <row r="865" spans="1:92" ht="14.25" customHeight="1" x14ac:dyDescent="0.15">
      <c r="A865" s="1" t="s">
        <v>7272</v>
      </c>
      <c r="B865" s="1" t="s">
        <v>584</v>
      </c>
      <c r="C865" s="1"/>
      <c r="D865" s="1" t="s">
        <v>7273</v>
      </c>
      <c r="E865" s="1" t="s">
        <v>7274</v>
      </c>
      <c r="F865" s="1" t="s">
        <v>98</v>
      </c>
      <c r="G865" s="1" t="s">
        <v>7275</v>
      </c>
      <c r="H865" s="1">
        <v>0</v>
      </c>
      <c r="I865" s="1" t="s">
        <v>122</v>
      </c>
      <c r="J865" s="1" t="s">
        <v>7276</v>
      </c>
      <c r="K865" s="1"/>
      <c r="L865" s="1"/>
      <c r="M865" s="1" t="s">
        <v>574</v>
      </c>
      <c r="N865" s="1">
        <v>1</v>
      </c>
      <c r="O865" s="1">
        <v>0</v>
      </c>
      <c r="P865" s="1" t="s">
        <v>5780</v>
      </c>
      <c r="Q865" s="1" t="s">
        <v>268</v>
      </c>
      <c r="R865" s="1" t="s">
        <v>7277</v>
      </c>
      <c r="S865" s="1" t="s">
        <v>7278</v>
      </c>
      <c r="T865" s="1" t="s">
        <v>5815</v>
      </c>
      <c r="U865" s="1" t="s">
        <v>7279</v>
      </c>
      <c r="V865" s="1">
        <v>1</v>
      </c>
      <c r="W865" s="1">
        <v>1</v>
      </c>
      <c r="X865" s="1">
        <v>1</v>
      </c>
      <c r="Y865" s="1">
        <v>0</v>
      </c>
      <c r="Z865" s="1">
        <v>1</v>
      </c>
      <c r="AA865" s="1">
        <v>6</v>
      </c>
      <c r="AB865" s="1">
        <v>6</v>
      </c>
      <c r="AC865" s="1" t="s">
        <v>109</v>
      </c>
      <c r="AD865" s="1">
        <v>6</v>
      </c>
      <c r="AE865" s="1" t="s">
        <v>109</v>
      </c>
      <c r="AF865" s="1" t="s">
        <v>109</v>
      </c>
      <c r="AG865" s="1" t="s">
        <v>109</v>
      </c>
      <c r="AH865" s="1" t="s">
        <v>109</v>
      </c>
      <c r="AI865" s="1" t="s">
        <v>109</v>
      </c>
      <c r="AJ865" s="1" t="s">
        <v>109</v>
      </c>
      <c r="AK865" s="1" t="s">
        <v>109</v>
      </c>
      <c r="AL865" s="1" t="s">
        <v>109</v>
      </c>
      <c r="AM865" s="1" t="s">
        <v>109</v>
      </c>
      <c r="AN865" s="1">
        <v>6</v>
      </c>
      <c r="AO865" s="1" t="s">
        <v>109</v>
      </c>
      <c r="AP865" s="1"/>
      <c r="AQ865" s="1">
        <v>6</v>
      </c>
      <c r="AR865" s="1" t="s">
        <v>744</v>
      </c>
      <c r="AS865" s="1" t="s">
        <v>7280</v>
      </c>
      <c r="AT865" s="1">
        <v>0</v>
      </c>
      <c r="AU865" s="1">
        <v>1</v>
      </c>
      <c r="AV865" s="1">
        <v>0</v>
      </c>
      <c r="AW865" s="1">
        <v>0</v>
      </c>
      <c r="AX865" s="1">
        <v>0</v>
      </c>
      <c r="AY865" s="1">
        <v>0</v>
      </c>
      <c r="AZ865" s="1">
        <v>0</v>
      </c>
      <c r="BA865" s="1">
        <v>0</v>
      </c>
      <c r="BB865" s="1">
        <v>0</v>
      </c>
      <c r="BC865" s="1">
        <v>0</v>
      </c>
      <c r="BD865" s="1">
        <v>0</v>
      </c>
      <c r="BE865" s="1">
        <v>0</v>
      </c>
      <c r="BF865" s="1">
        <v>0</v>
      </c>
      <c r="BG865" s="1">
        <v>1</v>
      </c>
      <c r="BH865" s="1">
        <v>0</v>
      </c>
      <c r="BI865" s="1">
        <v>0</v>
      </c>
      <c r="BJ865" s="1">
        <v>0</v>
      </c>
      <c r="BK865" s="1">
        <v>0</v>
      </c>
      <c r="BL865" s="1">
        <v>0</v>
      </c>
      <c r="BM865" s="1">
        <v>0</v>
      </c>
      <c r="BN865" s="1">
        <v>0</v>
      </c>
      <c r="BO865" s="1">
        <v>0</v>
      </c>
      <c r="BP865" s="1">
        <v>0</v>
      </c>
      <c r="BQ865" s="1">
        <v>0</v>
      </c>
      <c r="BR865" s="1">
        <v>0</v>
      </c>
      <c r="BS865" s="5" t="str">
        <f>HYPERLINK("http://www.d20pfsrd.com/magic/all-spells/s/sirocco","Sirocco")</f>
        <v>Sirocco</v>
      </c>
      <c r="BT865" s="1">
        <v>883</v>
      </c>
      <c r="BU865" s="1" t="s">
        <v>109</v>
      </c>
      <c r="BV865" s="1"/>
      <c r="BW865" s="1" t="s">
        <v>7281</v>
      </c>
      <c r="BX865" s="1"/>
      <c r="BY865" s="1"/>
      <c r="BZ865" s="1">
        <v>0</v>
      </c>
      <c r="CA865" s="1" t="s">
        <v>109</v>
      </c>
      <c r="CB865" s="1" t="s">
        <v>109</v>
      </c>
      <c r="CC865" s="1" t="s">
        <v>109</v>
      </c>
      <c r="CD865" s="1" t="s">
        <v>109</v>
      </c>
      <c r="CE865" s="1" t="s">
        <v>109</v>
      </c>
      <c r="CF865" s="1">
        <v>6</v>
      </c>
      <c r="CG865" s="1" t="s">
        <v>109</v>
      </c>
      <c r="CH865" s="1" t="s">
        <v>109</v>
      </c>
      <c r="CI865" s="1" t="s">
        <v>109</v>
      </c>
      <c r="CJ865" s="1">
        <v>6</v>
      </c>
      <c r="CK865" s="1"/>
      <c r="CL865" s="1">
        <v>0</v>
      </c>
      <c r="CM865" s="1">
        <v>0</v>
      </c>
      <c r="CN865" s="1">
        <v>0</v>
      </c>
    </row>
    <row r="866" spans="1:92" ht="14.25" customHeight="1" x14ac:dyDescent="0.15">
      <c r="A866" s="1" t="s">
        <v>7282</v>
      </c>
      <c r="B866" s="1" t="s">
        <v>156</v>
      </c>
      <c r="C866" s="1" t="s">
        <v>157</v>
      </c>
      <c r="D866" s="1" t="s">
        <v>158</v>
      </c>
      <c r="E866" s="1" t="s">
        <v>7283</v>
      </c>
      <c r="F866" s="1" t="s">
        <v>355</v>
      </c>
      <c r="G866" s="1" t="s">
        <v>7284</v>
      </c>
      <c r="H866" s="1">
        <v>1</v>
      </c>
      <c r="I866" s="1" t="s">
        <v>161</v>
      </c>
      <c r="J866" s="1"/>
      <c r="K866" s="1"/>
      <c r="L866" s="1" t="s">
        <v>7285</v>
      </c>
      <c r="M866" s="1" t="s">
        <v>815</v>
      </c>
      <c r="N866" s="1">
        <v>1</v>
      </c>
      <c r="O866" s="1">
        <v>0</v>
      </c>
      <c r="P866" s="1" t="s">
        <v>564</v>
      </c>
      <c r="Q866" s="1" t="s">
        <v>268</v>
      </c>
      <c r="R866" s="1" t="s">
        <v>7286</v>
      </c>
      <c r="S866" s="1" t="s">
        <v>7287</v>
      </c>
      <c r="T866" s="1" t="s">
        <v>5815</v>
      </c>
      <c r="U866" s="1" t="s">
        <v>7288</v>
      </c>
      <c r="V866" s="1">
        <v>1</v>
      </c>
      <c r="W866" s="1">
        <v>1</v>
      </c>
      <c r="X866" s="1">
        <v>1</v>
      </c>
      <c r="Y866" s="1">
        <v>0</v>
      </c>
      <c r="Z866" s="1">
        <v>0</v>
      </c>
      <c r="AA866" s="1" t="s">
        <v>109</v>
      </c>
      <c r="AB866" s="1" t="s">
        <v>109</v>
      </c>
      <c r="AC866" s="1" t="s">
        <v>109</v>
      </c>
      <c r="AD866" s="1" t="s">
        <v>109</v>
      </c>
      <c r="AE866" s="1" t="s">
        <v>109</v>
      </c>
      <c r="AF866" s="1" t="s">
        <v>109</v>
      </c>
      <c r="AG866" s="1" t="s">
        <v>109</v>
      </c>
      <c r="AH866" s="1" t="s">
        <v>109</v>
      </c>
      <c r="AI866" s="1" t="s">
        <v>109</v>
      </c>
      <c r="AJ866" s="1">
        <v>4</v>
      </c>
      <c r="AK866" s="1">
        <v>4</v>
      </c>
      <c r="AL866" s="1" t="s">
        <v>109</v>
      </c>
      <c r="AM866" s="1" t="s">
        <v>109</v>
      </c>
      <c r="AN866" s="1" t="s">
        <v>109</v>
      </c>
      <c r="AO866" s="1" t="s">
        <v>109</v>
      </c>
      <c r="AP866" s="1"/>
      <c r="AQ866" s="1">
        <v>4</v>
      </c>
      <c r="AR866" s="1"/>
      <c r="AS866" s="1" t="s">
        <v>7289</v>
      </c>
      <c r="AT866" s="1">
        <v>0</v>
      </c>
      <c r="AU866" s="1">
        <v>0</v>
      </c>
      <c r="AV866" s="1">
        <v>0</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1</v>
      </c>
      <c r="BN866" s="1">
        <v>0</v>
      </c>
      <c r="BO866" s="1">
        <v>0</v>
      </c>
      <c r="BP866" s="1">
        <v>0</v>
      </c>
      <c r="BQ866" s="1">
        <v>0</v>
      </c>
      <c r="BR866" s="1">
        <v>0</v>
      </c>
      <c r="BS866" s="5" t="str">
        <f>HYPERLINK("http://www.d20pfsrd.com/magic/all-spells/s/sleepwalk","Sleepwalk")</f>
        <v>Sleepwalk</v>
      </c>
      <c r="BT866" s="1">
        <v>884</v>
      </c>
      <c r="BU866" s="1">
        <v>100</v>
      </c>
      <c r="BV866" s="1"/>
      <c r="BW866" s="1"/>
      <c r="BX866" s="1"/>
      <c r="BY866" s="1"/>
      <c r="BZ866" s="1">
        <v>0</v>
      </c>
      <c r="CA866" s="1" t="s">
        <v>109</v>
      </c>
      <c r="CB866" s="1" t="s">
        <v>109</v>
      </c>
      <c r="CC866" s="1">
        <v>4</v>
      </c>
      <c r="CD866" s="1" t="s">
        <v>109</v>
      </c>
      <c r="CE866" s="1">
        <v>4</v>
      </c>
      <c r="CF866" s="1" t="s">
        <v>109</v>
      </c>
      <c r="CG866" s="1" t="s">
        <v>109</v>
      </c>
      <c r="CH866" s="1" t="s">
        <v>109</v>
      </c>
      <c r="CI866" s="1" t="s">
        <v>109</v>
      </c>
      <c r="CJ866" s="1" t="s">
        <v>109</v>
      </c>
      <c r="CK866" s="1"/>
      <c r="CL866" s="1">
        <v>0</v>
      </c>
      <c r="CM866" s="1">
        <v>0</v>
      </c>
      <c r="CN866" s="1">
        <v>0</v>
      </c>
    </row>
    <row r="867" spans="1:92" ht="14.25" customHeight="1" x14ac:dyDescent="0.15">
      <c r="A867" s="1" t="s">
        <v>7290</v>
      </c>
      <c r="B867" s="1" t="s">
        <v>95</v>
      </c>
      <c r="C867" s="1" t="s">
        <v>96</v>
      </c>
      <c r="D867" s="1" t="s">
        <v>70</v>
      </c>
      <c r="E867" s="1" t="s">
        <v>7291</v>
      </c>
      <c r="F867" s="1" t="s">
        <v>98</v>
      </c>
      <c r="G867" s="1" t="s">
        <v>7292</v>
      </c>
      <c r="H867" s="1">
        <v>0</v>
      </c>
      <c r="I867" s="1" t="s">
        <v>161</v>
      </c>
      <c r="J867" s="1"/>
      <c r="K867" s="1"/>
      <c r="L867" s="1" t="s">
        <v>506</v>
      </c>
      <c r="M867" s="1" t="s">
        <v>6625</v>
      </c>
      <c r="N867" s="1">
        <v>1</v>
      </c>
      <c r="O867" s="1">
        <v>0</v>
      </c>
      <c r="P867" s="1" t="s">
        <v>7293</v>
      </c>
      <c r="Q867" s="1" t="s">
        <v>104</v>
      </c>
      <c r="R867" s="1" t="s">
        <v>7294</v>
      </c>
      <c r="S867" s="1" t="s">
        <v>7295</v>
      </c>
      <c r="T867" s="1" t="s">
        <v>5815</v>
      </c>
      <c r="U867" s="1" t="s">
        <v>7296</v>
      </c>
      <c r="V867" s="1">
        <v>1</v>
      </c>
      <c r="W867" s="1">
        <v>1</v>
      </c>
      <c r="X867" s="1">
        <v>1</v>
      </c>
      <c r="Y867" s="1">
        <v>0</v>
      </c>
      <c r="Z867" s="1">
        <v>1</v>
      </c>
      <c r="AA867" s="1">
        <v>2</v>
      </c>
      <c r="AB867" s="1">
        <v>2</v>
      </c>
      <c r="AC867" s="1" t="s">
        <v>109</v>
      </c>
      <c r="AD867" s="1">
        <v>2</v>
      </c>
      <c r="AE867" s="1">
        <v>2</v>
      </c>
      <c r="AF867" s="1" t="s">
        <v>109</v>
      </c>
      <c r="AG867" s="1" t="s">
        <v>109</v>
      </c>
      <c r="AH867" s="1" t="s">
        <v>109</v>
      </c>
      <c r="AI867" s="1" t="s">
        <v>109</v>
      </c>
      <c r="AJ867" s="1" t="s">
        <v>109</v>
      </c>
      <c r="AK867" s="1" t="s">
        <v>109</v>
      </c>
      <c r="AL867" s="1" t="s">
        <v>109</v>
      </c>
      <c r="AM867" s="1" t="s">
        <v>109</v>
      </c>
      <c r="AN867" s="1" t="s">
        <v>109</v>
      </c>
      <c r="AO867" s="1" t="s">
        <v>109</v>
      </c>
      <c r="AP867" s="1"/>
      <c r="AQ867" s="1">
        <v>2</v>
      </c>
      <c r="AR867" s="1" t="s">
        <v>7297</v>
      </c>
      <c r="AS867" s="1" t="s">
        <v>7298</v>
      </c>
      <c r="AT867" s="1">
        <v>0</v>
      </c>
      <c r="AU867" s="1">
        <v>0</v>
      </c>
      <c r="AV867" s="1">
        <v>0</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1</v>
      </c>
      <c r="BS867" s="5" t="str">
        <f>HYPERLINK("http://www.d20pfsrd.com/magic/all-spells/s/slipstream","Slipstream")</f>
        <v>Slipstream</v>
      </c>
      <c r="BT867" s="1">
        <v>885</v>
      </c>
      <c r="BU867" s="1" t="s">
        <v>109</v>
      </c>
      <c r="BV867" s="1" t="s">
        <v>7299</v>
      </c>
      <c r="BW867" s="1" t="s">
        <v>1117</v>
      </c>
      <c r="BX867" s="1"/>
      <c r="BY867" s="1"/>
      <c r="BZ867" s="1">
        <v>0</v>
      </c>
      <c r="CA867" s="1">
        <v>2</v>
      </c>
      <c r="CB867" s="1" t="s">
        <v>109</v>
      </c>
      <c r="CC867" s="1" t="s">
        <v>109</v>
      </c>
      <c r="CD867" s="1" t="s">
        <v>109</v>
      </c>
      <c r="CE867" s="1" t="s">
        <v>109</v>
      </c>
      <c r="CF867" s="1" t="s">
        <v>109</v>
      </c>
      <c r="CG867" s="1" t="s">
        <v>109</v>
      </c>
      <c r="CH867" s="1" t="s">
        <v>109</v>
      </c>
      <c r="CI867" s="1" t="s">
        <v>109</v>
      </c>
      <c r="CJ867" s="1">
        <v>2</v>
      </c>
      <c r="CK867" s="1"/>
      <c r="CL867" s="1">
        <v>0</v>
      </c>
      <c r="CM867" s="1">
        <v>0</v>
      </c>
      <c r="CN867" s="1">
        <v>0</v>
      </c>
    </row>
    <row r="868" spans="1:92" ht="14.25" customHeight="1" x14ac:dyDescent="0.15">
      <c r="A868" s="1" t="s">
        <v>7300</v>
      </c>
      <c r="B868" s="1" t="s">
        <v>189</v>
      </c>
      <c r="C868" s="1"/>
      <c r="D868" s="1"/>
      <c r="E868" s="1" t="s">
        <v>7301</v>
      </c>
      <c r="F868" s="1" t="s">
        <v>98</v>
      </c>
      <c r="G868" s="1" t="s">
        <v>7302</v>
      </c>
      <c r="H868" s="1">
        <v>0</v>
      </c>
      <c r="I868" s="1" t="s">
        <v>122</v>
      </c>
      <c r="J868" s="1"/>
      <c r="K868" s="1"/>
      <c r="L868" s="1" t="s">
        <v>7303</v>
      </c>
      <c r="M868" s="1" t="s">
        <v>125</v>
      </c>
      <c r="N868" s="1">
        <v>0</v>
      </c>
      <c r="O868" s="1">
        <v>0</v>
      </c>
      <c r="P868" s="1" t="s">
        <v>629</v>
      </c>
      <c r="Q868" s="1" t="s">
        <v>630</v>
      </c>
      <c r="R868" s="1" t="s">
        <v>7304</v>
      </c>
      <c r="S868" s="1" t="s">
        <v>7305</v>
      </c>
      <c r="T868" s="1" t="s">
        <v>5815</v>
      </c>
      <c r="U868" s="1" t="s">
        <v>7306</v>
      </c>
      <c r="V868" s="1">
        <v>1</v>
      </c>
      <c r="W868" s="1">
        <v>1</v>
      </c>
      <c r="X868" s="1">
        <v>1</v>
      </c>
      <c r="Y868" s="1">
        <v>0</v>
      </c>
      <c r="Z868" s="1">
        <v>0</v>
      </c>
      <c r="AA868" s="1" t="s">
        <v>109</v>
      </c>
      <c r="AB868" s="1" t="s">
        <v>109</v>
      </c>
      <c r="AC868" s="1">
        <v>5</v>
      </c>
      <c r="AD868" s="1">
        <v>5</v>
      </c>
      <c r="AE868" s="1" t="s">
        <v>109</v>
      </c>
      <c r="AF868" s="1" t="s">
        <v>109</v>
      </c>
      <c r="AG868" s="1" t="s">
        <v>109</v>
      </c>
      <c r="AH868" s="1" t="s">
        <v>109</v>
      </c>
      <c r="AI868" s="1" t="s">
        <v>109</v>
      </c>
      <c r="AJ868" s="1" t="s">
        <v>109</v>
      </c>
      <c r="AK868" s="1" t="s">
        <v>109</v>
      </c>
      <c r="AL868" s="1">
        <v>5</v>
      </c>
      <c r="AM868" s="1" t="s">
        <v>109</v>
      </c>
      <c r="AN868" s="1" t="s">
        <v>109</v>
      </c>
      <c r="AO868" s="1" t="s">
        <v>109</v>
      </c>
      <c r="AP868" s="1"/>
      <c r="AQ868" s="1">
        <v>5</v>
      </c>
      <c r="AR868" s="1"/>
      <c r="AS868" s="1" t="s">
        <v>7307</v>
      </c>
      <c r="AT868" s="1">
        <v>0</v>
      </c>
      <c r="AU868" s="1">
        <v>0</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5" t="str">
        <f>HYPERLINK("http://www.d20pfsrd.com/magic/all-spells/s/snake-staff","Snake Staff")</f>
        <v>Snake Staff</v>
      </c>
      <c r="BT868" s="1">
        <v>886</v>
      </c>
      <c r="BU868" s="1" t="s">
        <v>109</v>
      </c>
      <c r="BV868" s="1"/>
      <c r="BW868" s="1" t="s">
        <v>7308</v>
      </c>
      <c r="BX868" s="1"/>
      <c r="BY868" s="1"/>
      <c r="BZ868" s="1">
        <v>0</v>
      </c>
      <c r="CA868" s="1" t="s">
        <v>109</v>
      </c>
      <c r="CB868" s="1">
        <v>6</v>
      </c>
      <c r="CC868" s="1" t="s">
        <v>109</v>
      </c>
      <c r="CD868" s="1" t="s">
        <v>109</v>
      </c>
      <c r="CE868" s="1" t="s">
        <v>109</v>
      </c>
      <c r="CF868" s="1" t="s">
        <v>109</v>
      </c>
      <c r="CG868" s="1" t="s">
        <v>109</v>
      </c>
      <c r="CH868" s="1" t="s">
        <v>109</v>
      </c>
      <c r="CI868" s="1" t="s">
        <v>109</v>
      </c>
      <c r="CJ868" s="1">
        <v>5</v>
      </c>
      <c r="CK868" s="1"/>
      <c r="CL868" s="1">
        <v>0</v>
      </c>
      <c r="CM868" s="1">
        <v>0</v>
      </c>
      <c r="CN868" s="1">
        <v>0</v>
      </c>
    </row>
    <row r="869" spans="1:92" ht="14.25" customHeight="1" x14ac:dyDescent="0.15">
      <c r="A869" s="1" t="s">
        <v>7309</v>
      </c>
      <c r="B869" s="1" t="s">
        <v>95</v>
      </c>
      <c r="C869" s="1" t="s">
        <v>96</v>
      </c>
      <c r="D869" s="1"/>
      <c r="E869" s="1" t="s">
        <v>7117</v>
      </c>
      <c r="F869" s="1" t="s">
        <v>98</v>
      </c>
      <c r="G869" s="1" t="s">
        <v>333</v>
      </c>
      <c r="H869" s="1">
        <v>0</v>
      </c>
      <c r="I869" s="1" t="s">
        <v>142</v>
      </c>
      <c r="J869" s="1"/>
      <c r="K869" s="1" t="s">
        <v>7310</v>
      </c>
      <c r="L869" s="1"/>
      <c r="M869" s="1" t="s">
        <v>3019</v>
      </c>
      <c r="N869" s="1">
        <v>0</v>
      </c>
      <c r="O869" s="1">
        <v>0</v>
      </c>
      <c r="P869" s="1" t="s">
        <v>103</v>
      </c>
      <c r="Q869" s="1" t="s">
        <v>104</v>
      </c>
      <c r="R869" s="1" t="s">
        <v>7311</v>
      </c>
      <c r="S869" s="1" t="s">
        <v>7312</v>
      </c>
      <c r="T869" s="1" t="s">
        <v>5815</v>
      </c>
      <c r="U869" s="1" t="s">
        <v>7313</v>
      </c>
      <c r="V869" s="1">
        <v>1</v>
      </c>
      <c r="W869" s="1">
        <v>0</v>
      </c>
      <c r="X869" s="1">
        <v>0</v>
      </c>
      <c r="Y869" s="1">
        <v>0</v>
      </c>
      <c r="Z869" s="1">
        <v>0</v>
      </c>
      <c r="AA869" s="1" t="s">
        <v>109</v>
      </c>
      <c r="AB869" s="1" t="s">
        <v>109</v>
      </c>
      <c r="AC869" s="1" t="s">
        <v>109</v>
      </c>
      <c r="AD869" s="1" t="s">
        <v>109</v>
      </c>
      <c r="AE869" s="1" t="s">
        <v>109</v>
      </c>
      <c r="AF869" s="1">
        <v>1</v>
      </c>
      <c r="AG869" s="1" t="s">
        <v>109</v>
      </c>
      <c r="AH869" s="1" t="s">
        <v>109</v>
      </c>
      <c r="AI869" s="1" t="s">
        <v>109</v>
      </c>
      <c r="AJ869" s="1" t="s">
        <v>109</v>
      </c>
      <c r="AK869" s="1" t="s">
        <v>109</v>
      </c>
      <c r="AL869" s="1" t="s">
        <v>109</v>
      </c>
      <c r="AM869" s="1" t="s">
        <v>109</v>
      </c>
      <c r="AN869" s="1" t="s">
        <v>109</v>
      </c>
      <c r="AO869" s="1" t="s">
        <v>109</v>
      </c>
      <c r="AP869" s="1"/>
      <c r="AQ869" s="1">
        <v>1</v>
      </c>
      <c r="AR869" s="1"/>
      <c r="AS869" s="1" t="s">
        <v>7314</v>
      </c>
      <c r="AT869" s="1">
        <v>0</v>
      </c>
      <c r="AU869" s="1">
        <v>0</v>
      </c>
      <c r="AV869" s="1">
        <v>0</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5" t="str">
        <f>HYPERLINK("http://www.d20pfsrd.com/magic/all-spells/s/solid-note","Solid Note")</f>
        <v>Solid Note</v>
      </c>
      <c r="BT869" s="1">
        <v>887</v>
      </c>
      <c r="BU869" s="1" t="s">
        <v>109</v>
      </c>
      <c r="BV869" s="1"/>
      <c r="BW869" s="1"/>
      <c r="BX869" s="1"/>
      <c r="BY869" s="1"/>
      <c r="BZ869" s="1">
        <v>0</v>
      </c>
      <c r="CA869" s="1" t="s">
        <v>109</v>
      </c>
      <c r="CB869" s="1" t="s">
        <v>109</v>
      </c>
      <c r="CC869" s="1" t="s">
        <v>109</v>
      </c>
      <c r="CD869" s="1" t="s">
        <v>109</v>
      </c>
      <c r="CE869" s="1" t="s">
        <v>109</v>
      </c>
      <c r="CF869" s="1" t="s">
        <v>109</v>
      </c>
      <c r="CG869" s="1" t="s">
        <v>109</v>
      </c>
      <c r="CH869" s="1" t="s">
        <v>109</v>
      </c>
      <c r="CI869" s="1" t="s">
        <v>109</v>
      </c>
      <c r="CJ869" s="1" t="s">
        <v>109</v>
      </c>
      <c r="CK869" s="1"/>
      <c r="CL869" s="1">
        <v>0</v>
      </c>
      <c r="CM869" s="1">
        <v>0</v>
      </c>
      <c r="CN869" s="1">
        <v>0</v>
      </c>
    </row>
    <row r="870" spans="1:92" ht="14.25" customHeight="1" x14ac:dyDescent="0.15">
      <c r="A870" s="1" t="s">
        <v>7315</v>
      </c>
      <c r="B870" s="1" t="s">
        <v>584</v>
      </c>
      <c r="C870" s="1"/>
      <c r="D870" s="1" t="s">
        <v>59</v>
      </c>
      <c r="E870" s="1" t="s">
        <v>7316</v>
      </c>
      <c r="F870" s="1" t="s">
        <v>98</v>
      </c>
      <c r="G870" s="1" t="s">
        <v>7317</v>
      </c>
      <c r="H870" s="1">
        <v>0</v>
      </c>
      <c r="I870" s="1" t="s">
        <v>142</v>
      </c>
      <c r="J870" s="1"/>
      <c r="K870" s="1"/>
      <c r="L870" s="1" t="s">
        <v>7318</v>
      </c>
      <c r="M870" s="1" t="s">
        <v>144</v>
      </c>
      <c r="N870" s="1">
        <v>0</v>
      </c>
      <c r="O870" s="1">
        <v>0</v>
      </c>
      <c r="P870" s="1" t="s">
        <v>5812</v>
      </c>
      <c r="Q870" s="1" t="s">
        <v>630</v>
      </c>
      <c r="R870" s="1" t="s">
        <v>7319</v>
      </c>
      <c r="S870" s="1" t="s">
        <v>7320</v>
      </c>
      <c r="T870" s="1" t="s">
        <v>5815</v>
      </c>
      <c r="U870" s="1" t="s">
        <v>7321</v>
      </c>
      <c r="V870" s="1">
        <v>1</v>
      </c>
      <c r="W870" s="1">
        <v>1</v>
      </c>
      <c r="X870" s="1">
        <v>0</v>
      </c>
      <c r="Y870" s="1">
        <v>0</v>
      </c>
      <c r="Z870" s="1">
        <v>0</v>
      </c>
      <c r="AA870" s="1">
        <v>0</v>
      </c>
      <c r="AB870" s="1">
        <v>0</v>
      </c>
      <c r="AC870" s="1">
        <v>0</v>
      </c>
      <c r="AD870" s="1">
        <v>0</v>
      </c>
      <c r="AE870" s="1" t="s">
        <v>109</v>
      </c>
      <c r="AF870" s="1">
        <v>0</v>
      </c>
      <c r="AG870" s="1" t="s">
        <v>109</v>
      </c>
      <c r="AH870" s="1" t="s">
        <v>109</v>
      </c>
      <c r="AI870" s="1" t="s">
        <v>109</v>
      </c>
      <c r="AJ870" s="1">
        <v>0</v>
      </c>
      <c r="AK870" s="1" t="s">
        <v>109</v>
      </c>
      <c r="AL870" s="1">
        <v>0</v>
      </c>
      <c r="AM870" s="1" t="s">
        <v>109</v>
      </c>
      <c r="AN870" s="1">
        <v>0</v>
      </c>
      <c r="AO870" s="1" t="s">
        <v>109</v>
      </c>
      <c r="AP870" s="1"/>
      <c r="AQ870" s="1">
        <v>0</v>
      </c>
      <c r="AR870" s="1"/>
      <c r="AS870" s="1" t="s">
        <v>7322</v>
      </c>
      <c r="AT870" s="1">
        <v>0</v>
      </c>
      <c r="AU870" s="1">
        <v>0</v>
      </c>
      <c r="AV870" s="1">
        <v>0</v>
      </c>
      <c r="AW870" s="1">
        <v>0</v>
      </c>
      <c r="AX870" s="1">
        <v>0</v>
      </c>
      <c r="AY870" s="1">
        <v>0</v>
      </c>
      <c r="AZ870" s="1">
        <v>0</v>
      </c>
      <c r="BA870" s="1">
        <v>0</v>
      </c>
      <c r="BB870" s="1">
        <v>0</v>
      </c>
      <c r="BC870" s="1">
        <v>0</v>
      </c>
      <c r="BD870" s="1">
        <v>0</v>
      </c>
      <c r="BE870" s="1">
        <v>0</v>
      </c>
      <c r="BF870" s="1">
        <v>0</v>
      </c>
      <c r="BG870" s="1">
        <v>1</v>
      </c>
      <c r="BH870" s="1">
        <v>0</v>
      </c>
      <c r="BI870" s="1">
        <v>0</v>
      </c>
      <c r="BJ870" s="1">
        <v>0</v>
      </c>
      <c r="BK870" s="1">
        <v>0</v>
      </c>
      <c r="BL870" s="1">
        <v>0</v>
      </c>
      <c r="BM870" s="1">
        <v>0</v>
      </c>
      <c r="BN870" s="1">
        <v>0</v>
      </c>
      <c r="BO870" s="1">
        <v>0</v>
      </c>
      <c r="BP870" s="1">
        <v>0</v>
      </c>
      <c r="BQ870" s="1">
        <v>0</v>
      </c>
      <c r="BR870" s="1">
        <v>0</v>
      </c>
      <c r="BS870" s="5" t="str">
        <f>HYPERLINK("http://www.d20pfsrd.com/magic/all-spells/s/spark","Spark")</f>
        <v>Spark</v>
      </c>
      <c r="BT870" s="1">
        <v>888</v>
      </c>
      <c r="BU870" s="1" t="s">
        <v>109</v>
      </c>
      <c r="BV870" s="1"/>
      <c r="BW870" s="1"/>
      <c r="BX870" s="1"/>
      <c r="BY870" s="1"/>
      <c r="BZ870" s="1">
        <v>0</v>
      </c>
      <c r="CA870" s="1" t="s">
        <v>109</v>
      </c>
      <c r="CB870" s="1" t="s">
        <v>109</v>
      </c>
      <c r="CC870" s="1" t="s">
        <v>109</v>
      </c>
      <c r="CD870" s="1" t="s">
        <v>109</v>
      </c>
      <c r="CE870" s="1" t="s">
        <v>109</v>
      </c>
      <c r="CF870" s="1">
        <v>0</v>
      </c>
      <c r="CG870" s="1" t="s">
        <v>109</v>
      </c>
      <c r="CH870" s="1" t="s">
        <v>109</v>
      </c>
      <c r="CI870" s="1" t="s">
        <v>109</v>
      </c>
      <c r="CJ870" s="1">
        <v>0</v>
      </c>
      <c r="CK870" s="1"/>
      <c r="CL870" s="1">
        <v>0</v>
      </c>
      <c r="CM870" s="1">
        <v>0</v>
      </c>
      <c r="CN870" s="1">
        <v>0</v>
      </c>
    </row>
    <row r="871" spans="1:92" ht="14.25" customHeight="1" x14ac:dyDescent="0.15">
      <c r="A871" s="1" t="s">
        <v>7323</v>
      </c>
      <c r="B871" s="1" t="s">
        <v>95</v>
      </c>
      <c r="C871" s="1" t="s">
        <v>96</v>
      </c>
      <c r="D871" s="1"/>
      <c r="E871" s="1" t="s">
        <v>7324</v>
      </c>
      <c r="F871" s="1" t="s">
        <v>98</v>
      </c>
      <c r="G871" s="1" t="s">
        <v>6244</v>
      </c>
      <c r="H871" s="1">
        <v>1</v>
      </c>
      <c r="I871" s="1" t="s">
        <v>122</v>
      </c>
      <c r="J871" s="1"/>
      <c r="K871" s="1" t="s">
        <v>5828</v>
      </c>
      <c r="L871" s="1"/>
      <c r="M871" s="1" t="s">
        <v>5829</v>
      </c>
      <c r="N871" s="1">
        <v>0</v>
      </c>
      <c r="O871" s="1">
        <v>0</v>
      </c>
      <c r="P871" s="1" t="s">
        <v>2092</v>
      </c>
      <c r="Q871" s="1" t="s">
        <v>104</v>
      </c>
      <c r="R871" s="1" t="s">
        <v>7325</v>
      </c>
      <c r="S871" s="1" t="s">
        <v>7326</v>
      </c>
      <c r="T871" s="1" t="s">
        <v>5815</v>
      </c>
      <c r="U871" s="1" t="s">
        <v>7327</v>
      </c>
      <c r="V871" s="1">
        <v>1</v>
      </c>
      <c r="W871" s="1">
        <v>1</v>
      </c>
      <c r="X871" s="1">
        <v>0</v>
      </c>
      <c r="Y871" s="1">
        <v>0</v>
      </c>
      <c r="Z871" s="1">
        <v>0</v>
      </c>
      <c r="AA871" s="1">
        <v>3</v>
      </c>
      <c r="AB871" s="1">
        <v>3</v>
      </c>
      <c r="AC871" s="1" t="s">
        <v>109</v>
      </c>
      <c r="AD871" s="1" t="s">
        <v>109</v>
      </c>
      <c r="AE871" s="1" t="s">
        <v>109</v>
      </c>
      <c r="AF871" s="1" t="s">
        <v>109</v>
      </c>
      <c r="AG871" s="1" t="s">
        <v>109</v>
      </c>
      <c r="AH871" s="1" t="s">
        <v>109</v>
      </c>
      <c r="AI871" s="1">
        <v>3</v>
      </c>
      <c r="AJ871" s="1" t="s">
        <v>109</v>
      </c>
      <c r="AK871" s="1" t="s">
        <v>109</v>
      </c>
      <c r="AL871" s="1" t="s">
        <v>109</v>
      </c>
      <c r="AM871" s="1" t="s">
        <v>109</v>
      </c>
      <c r="AN871" s="1" t="s">
        <v>109</v>
      </c>
      <c r="AO871" s="1" t="s">
        <v>109</v>
      </c>
      <c r="AP871" s="1"/>
      <c r="AQ871" s="1">
        <v>3</v>
      </c>
      <c r="AR871" s="1" t="s">
        <v>7328</v>
      </c>
      <c r="AS871" s="1" t="s">
        <v>7329</v>
      </c>
      <c r="AT871" s="1">
        <v>0</v>
      </c>
      <c r="AU871" s="1">
        <v>0</v>
      </c>
      <c r="AV871" s="1">
        <v>0</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5" t="str">
        <f>HYPERLINK("http://www.d20pfsrd.com/magic/all-spells/s/spiked-pit","Spiked Pit")</f>
        <v>Spiked Pit</v>
      </c>
      <c r="BT871" s="1">
        <v>889</v>
      </c>
      <c r="BU871" s="1">
        <v>10</v>
      </c>
      <c r="BV871" s="1"/>
      <c r="BW871" s="1"/>
      <c r="BX871" s="1"/>
      <c r="BY871" s="1"/>
      <c r="BZ871" s="1">
        <v>0</v>
      </c>
      <c r="CA871" s="1" t="s">
        <v>109</v>
      </c>
      <c r="CB871" s="1" t="s">
        <v>109</v>
      </c>
      <c r="CC871" s="1" t="s">
        <v>109</v>
      </c>
      <c r="CD871" s="1" t="s">
        <v>109</v>
      </c>
      <c r="CE871" s="1" t="s">
        <v>109</v>
      </c>
      <c r="CF871" s="1" t="s">
        <v>109</v>
      </c>
      <c r="CG871" s="1" t="s">
        <v>109</v>
      </c>
      <c r="CH871" s="1" t="s">
        <v>109</v>
      </c>
      <c r="CI871" s="1" t="s">
        <v>109</v>
      </c>
      <c r="CJ871" s="1" t="s">
        <v>109</v>
      </c>
      <c r="CK871" s="1"/>
      <c r="CL871" s="1">
        <v>0</v>
      </c>
      <c r="CM871" s="1">
        <v>0</v>
      </c>
      <c r="CN871" s="1">
        <v>0</v>
      </c>
    </row>
    <row r="872" spans="1:92" ht="14.25" customHeight="1" x14ac:dyDescent="0.15">
      <c r="A872" s="1" t="s">
        <v>7330</v>
      </c>
      <c r="B872" s="1" t="s">
        <v>584</v>
      </c>
      <c r="C872" s="1"/>
      <c r="D872" s="1" t="s">
        <v>60</v>
      </c>
      <c r="E872" s="1" t="s">
        <v>7331</v>
      </c>
      <c r="F872" s="1" t="s">
        <v>98</v>
      </c>
      <c r="G872" s="1" t="s">
        <v>160</v>
      </c>
      <c r="H872" s="1">
        <v>0</v>
      </c>
      <c r="I872" s="1" t="s">
        <v>122</v>
      </c>
      <c r="J872" s="1"/>
      <c r="K872" s="1" t="s">
        <v>7332</v>
      </c>
      <c r="L872" s="1"/>
      <c r="M872" s="1" t="s">
        <v>574</v>
      </c>
      <c r="N872" s="1">
        <v>1</v>
      </c>
      <c r="O872" s="1">
        <v>0</v>
      </c>
      <c r="P872" s="1" t="s">
        <v>103</v>
      </c>
      <c r="Q872" s="1" t="s">
        <v>268</v>
      </c>
      <c r="R872" s="1" t="s">
        <v>7333</v>
      </c>
      <c r="S872" s="1" t="s">
        <v>7334</v>
      </c>
      <c r="T872" s="1" t="s">
        <v>5815</v>
      </c>
      <c r="U872" s="1" t="s">
        <v>7335</v>
      </c>
      <c r="V872" s="1">
        <v>1</v>
      </c>
      <c r="W872" s="1">
        <v>1</v>
      </c>
      <c r="X872" s="1">
        <v>0</v>
      </c>
      <c r="Y872" s="1">
        <v>0</v>
      </c>
      <c r="Z872" s="1">
        <v>1</v>
      </c>
      <c r="AA872" s="1" t="s">
        <v>109</v>
      </c>
      <c r="AB872" s="1" t="s">
        <v>109</v>
      </c>
      <c r="AC872" s="1">
        <v>4</v>
      </c>
      <c r="AD872" s="1" t="s">
        <v>109</v>
      </c>
      <c r="AE872" s="1" t="s">
        <v>109</v>
      </c>
      <c r="AF872" s="1" t="s">
        <v>109</v>
      </c>
      <c r="AG872" s="1" t="s">
        <v>109</v>
      </c>
      <c r="AH872" s="1" t="s">
        <v>109</v>
      </c>
      <c r="AI872" s="1" t="s">
        <v>109</v>
      </c>
      <c r="AJ872" s="1" t="s">
        <v>109</v>
      </c>
      <c r="AK872" s="1" t="s">
        <v>109</v>
      </c>
      <c r="AL872" s="1">
        <v>4</v>
      </c>
      <c r="AM872" s="1" t="s">
        <v>109</v>
      </c>
      <c r="AN872" s="1" t="s">
        <v>109</v>
      </c>
      <c r="AO872" s="1" t="s">
        <v>109</v>
      </c>
      <c r="AP872" s="1"/>
      <c r="AQ872" s="1">
        <v>4</v>
      </c>
      <c r="AR872" s="1"/>
      <c r="AS872" s="1" t="s">
        <v>7336</v>
      </c>
      <c r="AT872" s="1">
        <v>0</v>
      </c>
      <c r="AU872" s="1">
        <v>0</v>
      </c>
      <c r="AV872" s="1">
        <v>0</v>
      </c>
      <c r="AW872" s="1">
        <v>0</v>
      </c>
      <c r="AX872" s="1">
        <v>0</v>
      </c>
      <c r="AY872" s="1">
        <v>0</v>
      </c>
      <c r="AZ872" s="1">
        <v>0</v>
      </c>
      <c r="BA872" s="1">
        <v>0</v>
      </c>
      <c r="BB872" s="1">
        <v>0</v>
      </c>
      <c r="BC872" s="1">
        <v>0</v>
      </c>
      <c r="BD872" s="1">
        <v>0</v>
      </c>
      <c r="BE872" s="1">
        <v>0</v>
      </c>
      <c r="BF872" s="1">
        <v>0</v>
      </c>
      <c r="BG872" s="1">
        <v>0</v>
      </c>
      <c r="BH872" s="1">
        <v>1</v>
      </c>
      <c r="BI872" s="1">
        <v>0</v>
      </c>
      <c r="BJ872" s="1">
        <v>0</v>
      </c>
      <c r="BK872" s="1">
        <v>0</v>
      </c>
      <c r="BL872" s="1">
        <v>0</v>
      </c>
      <c r="BM872" s="1">
        <v>0</v>
      </c>
      <c r="BN872" s="1">
        <v>0</v>
      </c>
      <c r="BO872" s="1">
        <v>0</v>
      </c>
      <c r="BP872" s="1">
        <v>0</v>
      </c>
      <c r="BQ872" s="1">
        <v>0</v>
      </c>
      <c r="BR872" s="1">
        <v>0</v>
      </c>
      <c r="BS872" s="5" t="str">
        <f>HYPERLINK("http://www.d20pfsrd.com/magic/all-spells/s/spiritual-ally","Spiritual Ally")</f>
        <v>Spiritual Ally</v>
      </c>
      <c r="BT872" s="1">
        <v>890</v>
      </c>
      <c r="BU872" s="1" t="s">
        <v>109</v>
      </c>
      <c r="BV872" s="1"/>
      <c r="BW872" s="1" t="s">
        <v>7337</v>
      </c>
      <c r="BX872" s="1"/>
      <c r="BY872" s="1"/>
      <c r="BZ872" s="1">
        <v>0</v>
      </c>
      <c r="CA872" s="1" t="s">
        <v>109</v>
      </c>
      <c r="CB872" s="1" t="s">
        <v>109</v>
      </c>
      <c r="CC872" s="1" t="s">
        <v>109</v>
      </c>
      <c r="CD872" s="1" t="s">
        <v>109</v>
      </c>
      <c r="CE872" s="1" t="s">
        <v>109</v>
      </c>
      <c r="CF872" s="1" t="s">
        <v>109</v>
      </c>
      <c r="CG872" s="1">
        <v>4</v>
      </c>
      <c r="CH872" s="1" t="s">
        <v>109</v>
      </c>
      <c r="CI872" s="1" t="s">
        <v>109</v>
      </c>
      <c r="CJ872" s="1" t="s">
        <v>109</v>
      </c>
      <c r="CK872" s="1"/>
      <c r="CL872" s="1">
        <v>0</v>
      </c>
      <c r="CM872" s="1">
        <v>0</v>
      </c>
      <c r="CN872" s="1">
        <v>0</v>
      </c>
    </row>
    <row r="873" spans="1:92" ht="14.25" customHeight="1" x14ac:dyDescent="0.15">
      <c r="A873" s="1" t="s">
        <v>7338</v>
      </c>
      <c r="B873" s="1" t="s">
        <v>242</v>
      </c>
      <c r="C873" s="1"/>
      <c r="D873" s="1"/>
      <c r="E873" s="1" t="s">
        <v>7339</v>
      </c>
      <c r="F873" s="1" t="s">
        <v>355</v>
      </c>
      <c r="G873" s="1" t="s">
        <v>7340</v>
      </c>
      <c r="H873" s="1">
        <v>1</v>
      </c>
      <c r="I873" s="1" t="s">
        <v>235</v>
      </c>
      <c r="J873" s="1"/>
      <c r="K873" s="1"/>
      <c r="L873" s="1" t="s">
        <v>236</v>
      </c>
      <c r="M873" s="1" t="s">
        <v>7341</v>
      </c>
      <c r="N873" s="1">
        <v>1</v>
      </c>
      <c r="O873" s="1">
        <v>0</v>
      </c>
      <c r="P873" s="1"/>
      <c r="Q873" s="1"/>
      <c r="R873" s="1" t="s">
        <v>7342</v>
      </c>
      <c r="S873" s="1" t="s">
        <v>7343</v>
      </c>
      <c r="T873" s="1" t="s">
        <v>5815</v>
      </c>
      <c r="U873" s="1" t="s">
        <v>7344</v>
      </c>
      <c r="V873" s="1">
        <v>1</v>
      </c>
      <c r="W873" s="1">
        <v>1</v>
      </c>
      <c r="X873" s="1">
        <v>1</v>
      </c>
      <c r="Y873" s="1">
        <v>0</v>
      </c>
      <c r="Z873" s="1">
        <v>0</v>
      </c>
      <c r="AA873" s="1" t="s">
        <v>109</v>
      </c>
      <c r="AB873" s="1" t="s">
        <v>109</v>
      </c>
      <c r="AC873" s="1" t="s">
        <v>109</v>
      </c>
      <c r="AD873" s="1" t="s">
        <v>109</v>
      </c>
      <c r="AE873" s="1" t="s">
        <v>109</v>
      </c>
      <c r="AF873" s="1" t="s">
        <v>109</v>
      </c>
      <c r="AG873" s="1" t="s">
        <v>109</v>
      </c>
      <c r="AH873" s="1" t="s">
        <v>109</v>
      </c>
      <c r="AI873" s="1" t="s">
        <v>109</v>
      </c>
      <c r="AJ873" s="1">
        <v>4</v>
      </c>
      <c r="AK873" s="1" t="s">
        <v>109</v>
      </c>
      <c r="AL873" s="1" t="s">
        <v>109</v>
      </c>
      <c r="AM873" s="1" t="s">
        <v>109</v>
      </c>
      <c r="AN873" s="1" t="s">
        <v>109</v>
      </c>
      <c r="AO873" s="1" t="s">
        <v>109</v>
      </c>
      <c r="AP873" s="1"/>
      <c r="AQ873" s="1">
        <v>4</v>
      </c>
      <c r="AR873" s="1"/>
      <c r="AS873" s="1" t="s">
        <v>7345</v>
      </c>
      <c r="AT873" s="1">
        <v>0</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5" t="str">
        <f>HYPERLINK("http://www.d20pfsrd.com/magic/all-spells/s/spite","Spite")</f>
        <v>Spite</v>
      </c>
      <c r="BT873" s="1">
        <v>891</v>
      </c>
      <c r="BU873" s="1">
        <v>250</v>
      </c>
      <c r="BV873" s="1"/>
      <c r="BW873" s="1"/>
      <c r="BX873" s="1"/>
      <c r="BY873" s="1"/>
      <c r="BZ873" s="1">
        <v>0</v>
      </c>
      <c r="CA873" s="1" t="s">
        <v>109</v>
      </c>
      <c r="CB873" s="1" t="s">
        <v>109</v>
      </c>
      <c r="CC873" s="1" t="s">
        <v>109</v>
      </c>
      <c r="CD873" s="1" t="s">
        <v>109</v>
      </c>
      <c r="CE873" s="1">
        <v>3</v>
      </c>
      <c r="CF873" s="1" t="s">
        <v>109</v>
      </c>
      <c r="CG873" s="1" t="s">
        <v>109</v>
      </c>
      <c r="CH873" s="1" t="s">
        <v>109</v>
      </c>
      <c r="CI873" s="1" t="s">
        <v>109</v>
      </c>
      <c r="CJ873" s="1" t="s">
        <v>109</v>
      </c>
      <c r="CK873" s="1"/>
      <c r="CL873" s="1">
        <v>0</v>
      </c>
      <c r="CM873" s="1">
        <v>0</v>
      </c>
      <c r="CN873" s="1">
        <v>0</v>
      </c>
    </row>
    <row r="874" spans="1:92" ht="14.25" customHeight="1" x14ac:dyDescent="0.15">
      <c r="A874" s="1" t="s">
        <v>7346</v>
      </c>
      <c r="B874" s="1" t="s">
        <v>156</v>
      </c>
      <c r="C874" s="1" t="s">
        <v>157</v>
      </c>
      <c r="D874" s="1" t="s">
        <v>158</v>
      </c>
      <c r="E874" s="1" t="s">
        <v>2652</v>
      </c>
      <c r="F874" s="1" t="s">
        <v>1963</v>
      </c>
      <c r="G874" s="1" t="s">
        <v>160</v>
      </c>
      <c r="H874" s="1">
        <v>0</v>
      </c>
      <c r="I874" s="1" t="s">
        <v>122</v>
      </c>
      <c r="J874" s="1"/>
      <c r="K874" s="1"/>
      <c r="L874" s="1" t="s">
        <v>1391</v>
      </c>
      <c r="M874" s="1" t="s">
        <v>7347</v>
      </c>
      <c r="N874" s="1">
        <v>0</v>
      </c>
      <c r="O874" s="1">
        <v>0</v>
      </c>
      <c r="P874" s="1" t="s">
        <v>380</v>
      </c>
      <c r="Q874" s="1" t="s">
        <v>268</v>
      </c>
      <c r="R874" s="1" t="s">
        <v>7348</v>
      </c>
      <c r="S874" s="1" t="s">
        <v>7349</v>
      </c>
      <c r="T874" s="1" t="s">
        <v>5815</v>
      </c>
      <c r="U874" s="1" t="s">
        <v>7350</v>
      </c>
      <c r="V874" s="1">
        <v>1</v>
      </c>
      <c r="W874" s="1">
        <v>1</v>
      </c>
      <c r="X874" s="1">
        <v>0</v>
      </c>
      <c r="Y874" s="1">
        <v>0</v>
      </c>
      <c r="Z874" s="1">
        <v>1</v>
      </c>
      <c r="AA874" s="1" t="s">
        <v>109</v>
      </c>
      <c r="AB874" s="1" t="s">
        <v>109</v>
      </c>
      <c r="AC874" s="1" t="s">
        <v>109</v>
      </c>
      <c r="AD874" s="1" t="s">
        <v>109</v>
      </c>
      <c r="AE874" s="1" t="s">
        <v>109</v>
      </c>
      <c r="AF874" s="1" t="s">
        <v>109</v>
      </c>
      <c r="AG874" s="1">
        <v>4</v>
      </c>
      <c r="AH874" s="1" t="s">
        <v>109</v>
      </c>
      <c r="AI874" s="1" t="s">
        <v>109</v>
      </c>
      <c r="AJ874" s="1" t="s">
        <v>109</v>
      </c>
      <c r="AK874" s="1" t="s">
        <v>109</v>
      </c>
      <c r="AL874" s="1" t="s">
        <v>109</v>
      </c>
      <c r="AM874" s="1" t="s">
        <v>109</v>
      </c>
      <c r="AN874" s="1" t="s">
        <v>109</v>
      </c>
      <c r="AO874" s="1" t="s">
        <v>109</v>
      </c>
      <c r="AP874" s="1"/>
      <c r="AQ874" s="1">
        <v>4</v>
      </c>
      <c r="AR874" s="1"/>
      <c r="AS874" s="1" t="s">
        <v>7351</v>
      </c>
      <c r="AT874" s="1">
        <v>0</v>
      </c>
      <c r="AU874" s="1">
        <v>0</v>
      </c>
      <c r="AV874" s="1">
        <v>0</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1</v>
      </c>
      <c r="BN874" s="1">
        <v>0</v>
      </c>
      <c r="BO874" s="1">
        <v>0</v>
      </c>
      <c r="BP874" s="1">
        <v>0</v>
      </c>
      <c r="BQ874" s="1">
        <v>0</v>
      </c>
      <c r="BR874" s="1">
        <v>0</v>
      </c>
      <c r="BS874" s="5" t="str">
        <f>HYPERLINK("http://www.d20pfsrd.com/magic/all-spells/s/stay-the-hand","Stay the Hand")</f>
        <v>Stay the Hand</v>
      </c>
      <c r="BT874" s="1">
        <v>892</v>
      </c>
      <c r="BU874" s="1" t="s">
        <v>109</v>
      </c>
      <c r="BV874" s="1"/>
      <c r="BW874" s="1"/>
      <c r="BX874" s="1"/>
      <c r="BY874" s="1"/>
      <c r="BZ874" s="1">
        <v>0</v>
      </c>
      <c r="CA874" s="1" t="s">
        <v>109</v>
      </c>
      <c r="CB874" s="1" t="s">
        <v>109</v>
      </c>
      <c r="CC874" s="1" t="s">
        <v>109</v>
      </c>
      <c r="CD874" s="1" t="s">
        <v>109</v>
      </c>
      <c r="CE874" s="1" t="s">
        <v>109</v>
      </c>
      <c r="CF874" s="1" t="s">
        <v>109</v>
      </c>
      <c r="CG874" s="1" t="s">
        <v>109</v>
      </c>
      <c r="CH874" s="1" t="s">
        <v>109</v>
      </c>
      <c r="CI874" s="1" t="s">
        <v>109</v>
      </c>
      <c r="CJ874" s="1" t="s">
        <v>109</v>
      </c>
      <c r="CK874" s="1"/>
      <c r="CL874" s="1">
        <v>0</v>
      </c>
      <c r="CM874" s="1">
        <v>0</v>
      </c>
      <c r="CN874" s="1">
        <v>0</v>
      </c>
    </row>
    <row r="875" spans="1:92" ht="14.25" customHeight="1" x14ac:dyDescent="0.15">
      <c r="A875" s="1" t="s">
        <v>7352</v>
      </c>
      <c r="B875" s="1" t="s">
        <v>95</v>
      </c>
      <c r="C875" s="1" t="s">
        <v>96</v>
      </c>
      <c r="D875" s="1" t="s">
        <v>54</v>
      </c>
      <c r="E875" s="1" t="s">
        <v>7353</v>
      </c>
      <c r="F875" s="1" t="s">
        <v>98</v>
      </c>
      <c r="G875" s="1" t="s">
        <v>160</v>
      </c>
      <c r="H875" s="1">
        <v>0</v>
      </c>
      <c r="I875" s="1" t="s">
        <v>122</v>
      </c>
      <c r="J875" s="1" t="s">
        <v>4503</v>
      </c>
      <c r="K875" s="1"/>
      <c r="L875" s="1"/>
      <c r="M875" s="1" t="s">
        <v>125</v>
      </c>
      <c r="N875" s="1">
        <v>0</v>
      </c>
      <c r="O875" s="1">
        <v>0</v>
      </c>
      <c r="P875" s="1" t="s">
        <v>103</v>
      </c>
      <c r="Q875" s="1" t="s">
        <v>104</v>
      </c>
      <c r="R875" s="1" t="s">
        <v>7354</v>
      </c>
      <c r="S875" s="1" t="s">
        <v>7355</v>
      </c>
      <c r="T875" s="1" t="s">
        <v>5815</v>
      </c>
      <c r="U875" s="1" t="s">
        <v>7356</v>
      </c>
      <c r="V875" s="1">
        <v>1</v>
      </c>
      <c r="W875" s="1">
        <v>1</v>
      </c>
      <c r="X875" s="1">
        <v>0</v>
      </c>
      <c r="Y875" s="1">
        <v>0</v>
      </c>
      <c r="Z875" s="1">
        <v>1</v>
      </c>
      <c r="AA875" s="1">
        <v>2</v>
      </c>
      <c r="AB875" s="1">
        <v>2</v>
      </c>
      <c r="AC875" s="1" t="s">
        <v>109</v>
      </c>
      <c r="AD875" s="1">
        <v>2</v>
      </c>
      <c r="AE875" s="1">
        <v>2</v>
      </c>
      <c r="AF875" s="1" t="s">
        <v>109</v>
      </c>
      <c r="AG875" s="1" t="s">
        <v>109</v>
      </c>
      <c r="AH875" s="1" t="s">
        <v>109</v>
      </c>
      <c r="AI875" s="1" t="s">
        <v>109</v>
      </c>
      <c r="AJ875" s="1" t="s">
        <v>109</v>
      </c>
      <c r="AK875" s="1" t="s">
        <v>109</v>
      </c>
      <c r="AL875" s="1" t="s">
        <v>109</v>
      </c>
      <c r="AM875" s="1" t="s">
        <v>109</v>
      </c>
      <c r="AN875" s="1">
        <v>2</v>
      </c>
      <c r="AO875" s="1" t="s">
        <v>109</v>
      </c>
      <c r="AP875" s="1"/>
      <c r="AQ875" s="1">
        <v>2</v>
      </c>
      <c r="AR875" s="1" t="s">
        <v>7357</v>
      </c>
      <c r="AS875" s="1" t="s">
        <v>7358</v>
      </c>
      <c r="AT875" s="1">
        <v>0</v>
      </c>
      <c r="AU875" s="1">
        <v>0</v>
      </c>
      <c r="AV875" s="1">
        <v>0</v>
      </c>
      <c r="AW875" s="1">
        <v>0</v>
      </c>
      <c r="AX875" s="1">
        <v>0</v>
      </c>
      <c r="AY875" s="1">
        <v>0</v>
      </c>
      <c r="AZ875" s="1">
        <v>0</v>
      </c>
      <c r="BA875" s="1">
        <v>0</v>
      </c>
      <c r="BB875" s="1">
        <v>1</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5" t="str">
        <f>HYPERLINK("http://www.d20pfsrd.com/magic/all-spells/s/stone-call","Stone Call")</f>
        <v>Stone Call</v>
      </c>
      <c r="BT875" s="1">
        <v>893</v>
      </c>
      <c r="BU875" s="1" t="s">
        <v>109</v>
      </c>
      <c r="BV875" s="1"/>
      <c r="BW875" s="1" t="s">
        <v>7359</v>
      </c>
      <c r="BX875" s="1"/>
      <c r="BY875" s="1"/>
      <c r="BZ875" s="1">
        <v>0</v>
      </c>
      <c r="CA875" s="1">
        <v>2</v>
      </c>
      <c r="CB875" s="1" t="s">
        <v>109</v>
      </c>
      <c r="CC875" s="1" t="s">
        <v>109</v>
      </c>
      <c r="CD875" s="1" t="s">
        <v>109</v>
      </c>
      <c r="CE875" s="1" t="s">
        <v>109</v>
      </c>
      <c r="CF875" s="1" t="s">
        <v>109</v>
      </c>
      <c r="CG875" s="1" t="s">
        <v>109</v>
      </c>
      <c r="CH875" s="1" t="s">
        <v>109</v>
      </c>
      <c r="CI875" s="1" t="s">
        <v>109</v>
      </c>
      <c r="CJ875" s="1">
        <v>2</v>
      </c>
      <c r="CK875" s="1"/>
      <c r="CL875" s="1">
        <v>0</v>
      </c>
      <c r="CM875" s="1">
        <v>0</v>
      </c>
      <c r="CN875" s="1">
        <v>0</v>
      </c>
    </row>
    <row r="876" spans="1:92" ht="14.25" customHeight="1" x14ac:dyDescent="0.15">
      <c r="A876" s="1" t="s">
        <v>7360</v>
      </c>
      <c r="B876" s="1" t="s">
        <v>189</v>
      </c>
      <c r="C876" s="1"/>
      <c r="D876" s="1" t="s">
        <v>54</v>
      </c>
      <c r="E876" s="1" t="s">
        <v>7361</v>
      </c>
      <c r="F876" s="1" t="s">
        <v>98</v>
      </c>
      <c r="G876" s="1" t="s">
        <v>7362</v>
      </c>
      <c r="H876" s="1">
        <v>0</v>
      </c>
      <c r="I876" s="1" t="s">
        <v>235</v>
      </c>
      <c r="J876" s="1"/>
      <c r="K876" s="1"/>
      <c r="L876" s="1" t="s">
        <v>236</v>
      </c>
      <c r="M876" s="1" t="s">
        <v>6144</v>
      </c>
      <c r="N876" s="1">
        <v>1</v>
      </c>
      <c r="O876" s="1">
        <v>0</v>
      </c>
      <c r="P876" s="1"/>
      <c r="Q876" s="1"/>
      <c r="R876" s="1" t="s">
        <v>7363</v>
      </c>
      <c r="S876" s="1" t="s">
        <v>7364</v>
      </c>
      <c r="T876" s="1" t="s">
        <v>5815</v>
      </c>
      <c r="U876" s="1" t="s">
        <v>7365</v>
      </c>
      <c r="V876" s="1">
        <v>1</v>
      </c>
      <c r="W876" s="1">
        <v>1</v>
      </c>
      <c r="X876" s="1">
        <v>1</v>
      </c>
      <c r="Y876" s="1">
        <v>0</v>
      </c>
      <c r="Z876" s="1">
        <v>0</v>
      </c>
      <c r="AA876" s="1">
        <v>1</v>
      </c>
      <c r="AB876" s="1">
        <v>1</v>
      </c>
      <c r="AC876" s="1" t="s">
        <v>109</v>
      </c>
      <c r="AD876" s="1">
        <v>1</v>
      </c>
      <c r="AE876" s="1" t="s">
        <v>109</v>
      </c>
      <c r="AF876" s="1" t="s">
        <v>109</v>
      </c>
      <c r="AG876" s="1" t="s">
        <v>109</v>
      </c>
      <c r="AH876" s="1">
        <v>1</v>
      </c>
      <c r="AI876" s="1" t="s">
        <v>109</v>
      </c>
      <c r="AJ876" s="1" t="s">
        <v>109</v>
      </c>
      <c r="AK876" s="1" t="s">
        <v>109</v>
      </c>
      <c r="AL876" s="1" t="s">
        <v>109</v>
      </c>
      <c r="AM876" s="1" t="s">
        <v>109</v>
      </c>
      <c r="AN876" s="1">
        <v>1</v>
      </c>
      <c r="AO876" s="1" t="s">
        <v>109</v>
      </c>
      <c r="AP876" s="1"/>
      <c r="AQ876" s="1">
        <v>1</v>
      </c>
      <c r="AR876" s="1"/>
      <c r="AS876" s="1" t="s">
        <v>7366</v>
      </c>
      <c r="AT876" s="1">
        <v>0</v>
      </c>
      <c r="AU876" s="1">
        <v>0</v>
      </c>
      <c r="AV876" s="1">
        <v>0</v>
      </c>
      <c r="AW876" s="1">
        <v>0</v>
      </c>
      <c r="AX876" s="1">
        <v>0</v>
      </c>
      <c r="AY876" s="1">
        <v>0</v>
      </c>
      <c r="AZ876" s="1">
        <v>0</v>
      </c>
      <c r="BA876" s="1">
        <v>0</v>
      </c>
      <c r="BB876" s="1">
        <v>1</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5" t="str">
        <f>HYPERLINK("http://www.d20pfsrd.com/magic/all-spells/s/stone-fist","Stone Fist")</f>
        <v>Stone Fist</v>
      </c>
      <c r="BT876" s="1">
        <v>894</v>
      </c>
      <c r="BU876" s="1" t="s">
        <v>109</v>
      </c>
      <c r="BV876" s="1"/>
      <c r="BW876" s="1" t="s">
        <v>7367</v>
      </c>
      <c r="BX876" s="1"/>
      <c r="BY876" s="1"/>
      <c r="BZ876" s="1">
        <v>0</v>
      </c>
      <c r="CA876" s="1">
        <v>1</v>
      </c>
      <c r="CB876" s="1" t="s">
        <v>109</v>
      </c>
      <c r="CC876" s="1" t="s">
        <v>109</v>
      </c>
      <c r="CD876" s="1" t="s">
        <v>109</v>
      </c>
      <c r="CE876" s="1" t="s">
        <v>109</v>
      </c>
      <c r="CF876" s="1" t="s">
        <v>109</v>
      </c>
      <c r="CG876" s="1" t="s">
        <v>109</v>
      </c>
      <c r="CH876" s="1" t="s">
        <v>109</v>
      </c>
      <c r="CI876" s="1" t="s">
        <v>109</v>
      </c>
      <c r="CJ876" s="1">
        <v>1</v>
      </c>
      <c r="CK876" s="1"/>
      <c r="CL876" s="1">
        <v>0</v>
      </c>
      <c r="CM876" s="1">
        <v>0</v>
      </c>
      <c r="CN876" s="1">
        <v>0</v>
      </c>
    </row>
    <row r="877" spans="1:92" ht="14.25" customHeight="1" x14ac:dyDescent="0.15">
      <c r="A877" s="1" t="s">
        <v>7368</v>
      </c>
      <c r="B877" s="1" t="s">
        <v>584</v>
      </c>
      <c r="C877" s="1"/>
      <c r="D877" s="1" t="s">
        <v>55</v>
      </c>
      <c r="E877" s="1" t="s">
        <v>7369</v>
      </c>
      <c r="F877" s="1" t="s">
        <v>98</v>
      </c>
      <c r="G877" s="1" t="s">
        <v>7370</v>
      </c>
      <c r="H877" s="1">
        <v>0</v>
      </c>
      <c r="I877" s="1" t="s">
        <v>1192</v>
      </c>
      <c r="J877" s="1" t="s">
        <v>7371</v>
      </c>
      <c r="K877" s="1"/>
      <c r="L877" s="1"/>
      <c r="M877" s="1" t="s">
        <v>144</v>
      </c>
      <c r="N877" s="1">
        <v>0</v>
      </c>
      <c r="O877" s="1">
        <v>0</v>
      </c>
      <c r="P877" s="1" t="s">
        <v>1410</v>
      </c>
      <c r="Q877" s="1" t="s">
        <v>268</v>
      </c>
      <c r="R877" s="1" t="s">
        <v>7372</v>
      </c>
      <c r="S877" s="1" t="s">
        <v>7373</v>
      </c>
      <c r="T877" s="1" t="s">
        <v>5815</v>
      </c>
      <c r="U877" s="1" t="s">
        <v>7374</v>
      </c>
      <c r="V877" s="1">
        <v>1</v>
      </c>
      <c r="W877" s="1">
        <v>1</v>
      </c>
      <c r="X877" s="1">
        <v>1</v>
      </c>
      <c r="Y877" s="1">
        <v>0</v>
      </c>
      <c r="Z877" s="1">
        <v>1</v>
      </c>
      <c r="AA877" s="1">
        <v>8</v>
      </c>
      <c r="AB877" s="1">
        <v>8</v>
      </c>
      <c r="AC877" s="1">
        <v>8</v>
      </c>
      <c r="AD877" s="1">
        <v>8</v>
      </c>
      <c r="AE877" s="1" t="s">
        <v>109</v>
      </c>
      <c r="AF877" s="1" t="s">
        <v>109</v>
      </c>
      <c r="AG877" s="1" t="s">
        <v>109</v>
      </c>
      <c r="AH877" s="1" t="s">
        <v>109</v>
      </c>
      <c r="AI877" s="1" t="s">
        <v>109</v>
      </c>
      <c r="AJ877" s="1">
        <v>8</v>
      </c>
      <c r="AK877" s="1" t="s">
        <v>109</v>
      </c>
      <c r="AL877" s="1">
        <v>8</v>
      </c>
      <c r="AM877" s="1" t="s">
        <v>109</v>
      </c>
      <c r="AN877" s="1" t="s">
        <v>109</v>
      </c>
      <c r="AO877" s="1" t="s">
        <v>109</v>
      </c>
      <c r="AP877" s="1"/>
      <c r="AQ877" s="1">
        <v>8</v>
      </c>
      <c r="AR877" s="1"/>
      <c r="AS877" s="1" t="s">
        <v>7375</v>
      </c>
      <c r="AT877" s="1">
        <v>0</v>
      </c>
      <c r="AU877" s="1">
        <v>0</v>
      </c>
      <c r="AV877" s="1">
        <v>0</v>
      </c>
      <c r="AW877" s="1">
        <v>0</v>
      </c>
      <c r="AX877" s="1">
        <v>0</v>
      </c>
      <c r="AY877" s="1">
        <v>0</v>
      </c>
      <c r="AZ877" s="1">
        <v>0</v>
      </c>
      <c r="BA877" s="1">
        <v>0</v>
      </c>
      <c r="BB877" s="1">
        <v>0</v>
      </c>
      <c r="BC877" s="1">
        <v>1</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5" t="str">
        <f>HYPERLINK("http://www.d20pfsrd.com/magic/all-spells/s/stormbolts","Stormbolts")</f>
        <v>Stormbolts</v>
      </c>
      <c r="BT877" s="1">
        <v>896</v>
      </c>
      <c r="BU877" s="1" t="s">
        <v>109</v>
      </c>
      <c r="BV877" s="1"/>
      <c r="BW877" s="1"/>
      <c r="BX877" s="1"/>
      <c r="BY877" s="1"/>
      <c r="BZ877" s="1">
        <v>0</v>
      </c>
      <c r="CA877" s="1" t="s">
        <v>109</v>
      </c>
      <c r="CB877" s="1">
        <v>8</v>
      </c>
      <c r="CC877" s="1" t="s">
        <v>109</v>
      </c>
      <c r="CD877" s="1" t="s">
        <v>109</v>
      </c>
      <c r="CE877" s="1" t="s">
        <v>109</v>
      </c>
      <c r="CF877" s="1" t="s">
        <v>109</v>
      </c>
      <c r="CG877" s="1" t="s">
        <v>109</v>
      </c>
      <c r="CH877" s="1" t="s">
        <v>109</v>
      </c>
      <c r="CI877" s="1" t="s">
        <v>109</v>
      </c>
      <c r="CJ877" s="1" t="s">
        <v>109</v>
      </c>
      <c r="CK877" s="1"/>
      <c r="CL877" s="1">
        <v>0</v>
      </c>
      <c r="CM877" s="1">
        <v>0</v>
      </c>
      <c r="CN877" s="1">
        <v>0</v>
      </c>
    </row>
    <row r="878" spans="1:92" ht="14.25" customHeight="1" x14ac:dyDescent="0.15">
      <c r="A878" s="1" t="s">
        <v>7376</v>
      </c>
      <c r="B878" s="1" t="s">
        <v>189</v>
      </c>
      <c r="C878" s="1"/>
      <c r="D878" s="1"/>
      <c r="E878" s="1" t="s">
        <v>5653</v>
      </c>
      <c r="F878" s="1" t="s">
        <v>98</v>
      </c>
      <c r="G878" s="1" t="s">
        <v>141</v>
      </c>
      <c r="H878" s="1">
        <v>0</v>
      </c>
      <c r="I878" s="1" t="s">
        <v>161</v>
      </c>
      <c r="J878" s="1"/>
      <c r="K878" s="1"/>
      <c r="L878" s="1" t="s">
        <v>506</v>
      </c>
      <c r="M878" s="1" t="s">
        <v>3042</v>
      </c>
      <c r="N878" s="1">
        <v>0</v>
      </c>
      <c r="O878" s="1">
        <v>0</v>
      </c>
      <c r="P878" s="1" t="s">
        <v>1382</v>
      </c>
      <c r="Q878" s="1" t="s">
        <v>167</v>
      </c>
      <c r="R878" s="1" t="s">
        <v>7377</v>
      </c>
      <c r="S878" s="1" t="s">
        <v>7378</v>
      </c>
      <c r="T878" s="1" t="s">
        <v>5815</v>
      </c>
      <c r="U878" s="1" t="s">
        <v>7379</v>
      </c>
      <c r="V878" s="1">
        <v>1</v>
      </c>
      <c r="W878" s="1">
        <v>1</v>
      </c>
      <c r="X878" s="1">
        <v>0</v>
      </c>
      <c r="Y878" s="1">
        <v>0</v>
      </c>
      <c r="Z878" s="1">
        <v>0</v>
      </c>
      <c r="AA878" s="1" t="s">
        <v>109</v>
      </c>
      <c r="AB878" s="1" t="s">
        <v>109</v>
      </c>
      <c r="AC878" s="1" t="s">
        <v>109</v>
      </c>
      <c r="AD878" s="1">
        <v>4</v>
      </c>
      <c r="AE878" s="1">
        <v>3</v>
      </c>
      <c r="AF878" s="1" t="s">
        <v>109</v>
      </c>
      <c r="AG878" s="1" t="s">
        <v>109</v>
      </c>
      <c r="AH878" s="1" t="s">
        <v>109</v>
      </c>
      <c r="AI878" s="1" t="s">
        <v>109</v>
      </c>
      <c r="AJ878" s="1" t="s">
        <v>109</v>
      </c>
      <c r="AK878" s="1" t="s">
        <v>109</v>
      </c>
      <c r="AL878" s="1" t="s">
        <v>109</v>
      </c>
      <c r="AM878" s="1" t="s">
        <v>109</v>
      </c>
      <c r="AN878" s="1" t="s">
        <v>109</v>
      </c>
      <c r="AO878" s="1" t="s">
        <v>109</v>
      </c>
      <c r="AP878" s="1"/>
      <c r="AQ878" s="1">
        <v>4</v>
      </c>
      <c r="AR878" s="1"/>
      <c r="AS878" s="1" t="s">
        <v>7380</v>
      </c>
      <c r="AT878" s="1">
        <v>0</v>
      </c>
      <c r="AU878" s="1">
        <v>0</v>
      </c>
      <c r="AV878" s="1">
        <v>0</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5" t="str">
        <f>HYPERLINK("http://www.d20pfsrd.com/magic/all-spells/s/strong-jaw","Strong Jaw")</f>
        <v>Strong Jaw</v>
      </c>
      <c r="BT878" s="1">
        <v>897</v>
      </c>
      <c r="BU878" s="1" t="s">
        <v>109</v>
      </c>
      <c r="BV878" s="1"/>
      <c r="BW878" s="1"/>
      <c r="BX878" s="1"/>
      <c r="BY878" s="1"/>
      <c r="BZ878" s="1">
        <v>0</v>
      </c>
      <c r="CA878" s="1" t="s">
        <v>109</v>
      </c>
      <c r="CB878" s="1" t="s">
        <v>109</v>
      </c>
      <c r="CC878" s="1" t="s">
        <v>109</v>
      </c>
      <c r="CD878" s="1" t="s">
        <v>109</v>
      </c>
      <c r="CE878" s="1" t="s">
        <v>109</v>
      </c>
      <c r="CF878" s="1" t="s">
        <v>109</v>
      </c>
      <c r="CG878" s="1" t="s">
        <v>109</v>
      </c>
      <c r="CH878" s="1" t="s">
        <v>109</v>
      </c>
      <c r="CI878" s="1" t="s">
        <v>109</v>
      </c>
      <c r="CJ878" s="1">
        <v>3</v>
      </c>
      <c r="CK878" s="1"/>
      <c r="CL878" s="1">
        <v>0</v>
      </c>
      <c r="CM878" s="1">
        <v>0</v>
      </c>
      <c r="CN878" s="1">
        <v>0</v>
      </c>
    </row>
    <row r="879" spans="1:92" ht="14.25" customHeight="1" x14ac:dyDescent="0.15">
      <c r="A879" s="1" t="s">
        <v>7381</v>
      </c>
      <c r="B879" s="1" t="s">
        <v>95</v>
      </c>
      <c r="C879" s="1" t="s">
        <v>96</v>
      </c>
      <c r="D879" s="1"/>
      <c r="E879" s="1" t="s">
        <v>7382</v>
      </c>
      <c r="F879" s="1" t="s">
        <v>98</v>
      </c>
      <c r="G879" s="1" t="s">
        <v>6244</v>
      </c>
      <c r="H879" s="1">
        <v>1</v>
      </c>
      <c r="I879" s="1" t="s">
        <v>142</v>
      </c>
      <c r="J879" s="1"/>
      <c r="K879" s="1" t="s">
        <v>211</v>
      </c>
      <c r="L879" s="1"/>
      <c r="M879" s="1" t="s">
        <v>5829</v>
      </c>
      <c r="N879" s="1">
        <v>0</v>
      </c>
      <c r="O879" s="1">
        <v>0</v>
      </c>
      <c r="P879" s="1" t="s">
        <v>4647</v>
      </c>
      <c r="Q879" s="1" t="s">
        <v>104</v>
      </c>
      <c r="R879" s="1" t="s">
        <v>7383</v>
      </c>
      <c r="S879" s="1" t="s">
        <v>7384</v>
      </c>
      <c r="T879" s="1" t="s">
        <v>5815</v>
      </c>
      <c r="U879" s="1" t="s">
        <v>7385</v>
      </c>
      <c r="V879" s="1">
        <v>1</v>
      </c>
      <c r="W879" s="1">
        <v>1</v>
      </c>
      <c r="X879" s="1">
        <v>0</v>
      </c>
      <c r="Y879" s="1">
        <v>0</v>
      </c>
      <c r="Z879" s="1">
        <v>0</v>
      </c>
      <c r="AA879" s="1">
        <v>1</v>
      </c>
      <c r="AB879" s="1">
        <v>1</v>
      </c>
      <c r="AC879" s="1" t="s">
        <v>109</v>
      </c>
      <c r="AD879" s="1" t="s">
        <v>109</v>
      </c>
      <c r="AE879" s="1" t="s">
        <v>109</v>
      </c>
      <c r="AF879" s="1" t="s">
        <v>109</v>
      </c>
      <c r="AG879" s="1" t="s">
        <v>109</v>
      </c>
      <c r="AH879" s="1" t="s">
        <v>109</v>
      </c>
      <c r="AI879" s="1" t="s">
        <v>109</v>
      </c>
      <c r="AJ879" s="1" t="s">
        <v>109</v>
      </c>
      <c r="AK879" s="1" t="s">
        <v>109</v>
      </c>
      <c r="AL879" s="1" t="s">
        <v>109</v>
      </c>
      <c r="AM879" s="1" t="s">
        <v>109</v>
      </c>
      <c r="AN879" s="1" t="s">
        <v>109</v>
      </c>
      <c r="AO879" s="1" t="s">
        <v>109</v>
      </c>
      <c r="AP879" s="1"/>
      <c r="AQ879" s="1">
        <v>1</v>
      </c>
      <c r="AR879" s="1"/>
      <c r="AS879" s="1" t="s">
        <v>7386</v>
      </c>
      <c r="AT879" s="1">
        <v>0</v>
      </c>
      <c r="AU879" s="1">
        <v>0</v>
      </c>
      <c r="AV879" s="1">
        <v>0</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5" t="str">
        <f>HYPERLINK("http://www.d20pfsrd.com/magic/all-spells/s/stumble-gap","Stumble Gap")</f>
        <v>Stumble Gap</v>
      </c>
      <c r="BT879" s="1">
        <v>898</v>
      </c>
      <c r="BU879" s="1">
        <v>10</v>
      </c>
      <c r="BV879" s="1"/>
      <c r="BW879" s="1"/>
      <c r="BX879" s="1"/>
      <c r="BY879" s="1"/>
      <c r="BZ879" s="1">
        <v>0</v>
      </c>
      <c r="CA879" s="1" t="s">
        <v>109</v>
      </c>
      <c r="CB879" s="1" t="s">
        <v>109</v>
      </c>
      <c r="CC879" s="1" t="s">
        <v>109</v>
      </c>
      <c r="CD879" s="1" t="s">
        <v>109</v>
      </c>
      <c r="CE879" s="1" t="s">
        <v>109</v>
      </c>
      <c r="CF879" s="1" t="s">
        <v>109</v>
      </c>
      <c r="CG879" s="1" t="s">
        <v>109</v>
      </c>
      <c r="CH879" s="1" t="s">
        <v>109</v>
      </c>
      <c r="CI879" s="1" t="s">
        <v>109</v>
      </c>
      <c r="CJ879" s="1" t="s">
        <v>109</v>
      </c>
      <c r="CK879" s="1"/>
      <c r="CL879" s="1">
        <v>0</v>
      </c>
      <c r="CM879" s="1">
        <v>0</v>
      </c>
      <c r="CN879" s="1">
        <v>0</v>
      </c>
    </row>
    <row r="880" spans="1:92" ht="14.25" customHeight="1" x14ac:dyDescent="0.15">
      <c r="A880" s="1" t="s">
        <v>7387</v>
      </c>
      <c r="B880" s="1" t="s">
        <v>156</v>
      </c>
      <c r="C880" s="1" t="s">
        <v>157</v>
      </c>
      <c r="D880" s="1" t="s">
        <v>158</v>
      </c>
      <c r="E880" s="1" t="s">
        <v>5937</v>
      </c>
      <c r="F880" s="1" t="s">
        <v>98</v>
      </c>
      <c r="G880" s="1" t="s">
        <v>141</v>
      </c>
      <c r="H880" s="1">
        <v>0</v>
      </c>
      <c r="I880" s="1" t="s">
        <v>142</v>
      </c>
      <c r="J880" s="1"/>
      <c r="K880" s="1"/>
      <c r="L880" s="1" t="s">
        <v>6282</v>
      </c>
      <c r="M880" s="1" t="s">
        <v>355</v>
      </c>
      <c r="N880" s="1">
        <v>0</v>
      </c>
      <c r="O880" s="1">
        <v>0</v>
      </c>
      <c r="P880" s="1" t="s">
        <v>934</v>
      </c>
      <c r="Q880" s="1" t="s">
        <v>268</v>
      </c>
      <c r="R880" s="1" t="s">
        <v>7388</v>
      </c>
      <c r="S880" s="1" t="s">
        <v>7389</v>
      </c>
      <c r="T880" s="1" t="s">
        <v>5815</v>
      </c>
      <c r="U880" s="1" t="s">
        <v>7390</v>
      </c>
      <c r="V880" s="1">
        <v>1</v>
      </c>
      <c r="W880" s="1">
        <v>1</v>
      </c>
      <c r="X880" s="1">
        <v>0</v>
      </c>
      <c r="Y880" s="1">
        <v>0</v>
      </c>
      <c r="Z880" s="1">
        <v>0</v>
      </c>
      <c r="AA880" s="1" t="s">
        <v>109</v>
      </c>
      <c r="AB880" s="1" t="s">
        <v>109</v>
      </c>
      <c r="AC880" s="1" t="s">
        <v>109</v>
      </c>
      <c r="AD880" s="1" t="s">
        <v>109</v>
      </c>
      <c r="AE880" s="1" t="s">
        <v>109</v>
      </c>
      <c r="AF880" s="1">
        <v>5</v>
      </c>
      <c r="AG880" s="1" t="s">
        <v>109</v>
      </c>
      <c r="AH880" s="1" t="s">
        <v>109</v>
      </c>
      <c r="AI880" s="1" t="s">
        <v>109</v>
      </c>
      <c r="AJ880" s="1" t="s">
        <v>109</v>
      </c>
      <c r="AK880" s="1" t="s">
        <v>109</v>
      </c>
      <c r="AL880" s="1" t="s">
        <v>109</v>
      </c>
      <c r="AM880" s="1" t="s">
        <v>109</v>
      </c>
      <c r="AN880" s="1" t="s">
        <v>109</v>
      </c>
      <c r="AO880" s="1" t="s">
        <v>109</v>
      </c>
      <c r="AP880" s="1"/>
      <c r="AQ880" s="1">
        <v>5</v>
      </c>
      <c r="AR880" s="1"/>
      <c r="AS880" s="1" t="s">
        <v>7391</v>
      </c>
      <c r="AT880" s="1">
        <v>0</v>
      </c>
      <c r="AU880" s="1">
        <v>0</v>
      </c>
      <c r="AV880" s="1">
        <v>0</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1</v>
      </c>
      <c r="BN880" s="1">
        <v>0</v>
      </c>
      <c r="BO880" s="1">
        <v>0</v>
      </c>
      <c r="BP880" s="1">
        <v>0</v>
      </c>
      <c r="BQ880" s="1">
        <v>0</v>
      </c>
      <c r="BR880" s="1">
        <v>0</v>
      </c>
      <c r="BS880" s="5" t="str">
        <f>HYPERLINK("http://www.d20pfsrd.com/magic/all-spells/s/stunning-finale","Stunning Finale")</f>
        <v>Stunning Finale</v>
      </c>
      <c r="BT880" s="1">
        <v>899</v>
      </c>
      <c r="BU880" s="1" t="s">
        <v>109</v>
      </c>
      <c r="BV880" s="1"/>
      <c r="BW880" s="1"/>
      <c r="BX880" s="1"/>
      <c r="BY880" s="1"/>
      <c r="BZ880" s="1">
        <v>0</v>
      </c>
      <c r="CA880" s="1" t="s">
        <v>109</v>
      </c>
      <c r="CB880" s="1" t="s">
        <v>109</v>
      </c>
      <c r="CC880" s="1" t="s">
        <v>109</v>
      </c>
      <c r="CD880" s="1" t="s">
        <v>109</v>
      </c>
      <c r="CE880" s="1" t="s">
        <v>109</v>
      </c>
      <c r="CF880" s="1" t="s">
        <v>109</v>
      </c>
      <c r="CG880" s="1" t="s">
        <v>109</v>
      </c>
      <c r="CH880" s="1" t="s">
        <v>109</v>
      </c>
      <c r="CI880" s="1" t="s">
        <v>109</v>
      </c>
      <c r="CJ880" s="1" t="s">
        <v>109</v>
      </c>
      <c r="CK880" s="1"/>
      <c r="CL880" s="1">
        <v>0</v>
      </c>
      <c r="CM880" s="1">
        <v>0</v>
      </c>
      <c r="CN880" s="1">
        <v>0</v>
      </c>
    </row>
    <row r="881" spans="1:92" ht="14.25" customHeight="1" x14ac:dyDescent="0.15">
      <c r="A881" s="1" t="s">
        <v>7392</v>
      </c>
      <c r="B881" s="1" t="s">
        <v>308</v>
      </c>
      <c r="C881" s="1"/>
      <c r="D881" s="1"/>
      <c r="E881" s="1" t="s">
        <v>7393</v>
      </c>
      <c r="F881" s="1" t="s">
        <v>98</v>
      </c>
      <c r="G881" s="1" t="s">
        <v>7394</v>
      </c>
      <c r="H881" s="1">
        <v>0</v>
      </c>
      <c r="I881" s="1" t="s">
        <v>142</v>
      </c>
      <c r="J881" s="1"/>
      <c r="K881" s="1"/>
      <c r="L881" s="1" t="s">
        <v>563</v>
      </c>
      <c r="M881" s="1" t="s">
        <v>1984</v>
      </c>
      <c r="N881" s="1">
        <v>0</v>
      </c>
      <c r="O881" s="1">
        <v>0</v>
      </c>
      <c r="P881" s="1" t="s">
        <v>1410</v>
      </c>
      <c r="Q881" s="1" t="s">
        <v>268</v>
      </c>
      <c r="R881" s="1" t="s">
        <v>7395</v>
      </c>
      <c r="S881" s="1" t="s">
        <v>7396</v>
      </c>
      <c r="T881" s="1" t="s">
        <v>5815</v>
      </c>
      <c r="U881" s="1" t="s">
        <v>7397</v>
      </c>
      <c r="V881" s="1">
        <v>1</v>
      </c>
      <c r="W881" s="1">
        <v>1</v>
      </c>
      <c r="X881" s="1">
        <v>1</v>
      </c>
      <c r="Y881" s="1">
        <v>0</v>
      </c>
      <c r="Z881" s="1">
        <v>0</v>
      </c>
      <c r="AA881" s="1">
        <v>5</v>
      </c>
      <c r="AB881" s="1">
        <v>5</v>
      </c>
      <c r="AC881" s="1" t="s">
        <v>109</v>
      </c>
      <c r="AD881" s="1" t="s">
        <v>109</v>
      </c>
      <c r="AE881" s="1" t="s">
        <v>109</v>
      </c>
      <c r="AF881" s="1" t="s">
        <v>109</v>
      </c>
      <c r="AG881" s="1" t="s">
        <v>109</v>
      </c>
      <c r="AH881" s="1" t="s">
        <v>109</v>
      </c>
      <c r="AI881" s="1" t="s">
        <v>109</v>
      </c>
      <c r="AJ881" s="1">
        <v>5</v>
      </c>
      <c r="AK881" s="1" t="s">
        <v>109</v>
      </c>
      <c r="AL881" s="1" t="s">
        <v>109</v>
      </c>
      <c r="AM881" s="1" t="s">
        <v>109</v>
      </c>
      <c r="AN881" s="1" t="s">
        <v>109</v>
      </c>
      <c r="AO881" s="1" t="s">
        <v>109</v>
      </c>
      <c r="AP881" s="1"/>
      <c r="AQ881" s="1">
        <v>5</v>
      </c>
      <c r="AR881" s="1" t="s">
        <v>7398</v>
      </c>
      <c r="AS881" s="1" t="s">
        <v>7399</v>
      </c>
      <c r="AT881" s="1">
        <v>0</v>
      </c>
      <c r="AU881" s="1">
        <v>0</v>
      </c>
      <c r="AV881" s="1">
        <v>0</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5" t="str">
        <f>HYPERLINK("http://www.d20pfsrd.com/magic/all-spells/s/suffocation","Suffocation")</f>
        <v>Suffocation</v>
      </c>
      <c r="BT881" s="1">
        <v>900</v>
      </c>
      <c r="BU881" s="1" t="s">
        <v>109</v>
      </c>
      <c r="BV881" s="1"/>
      <c r="BW881" s="1" t="s">
        <v>7400</v>
      </c>
      <c r="BX881" s="1"/>
      <c r="BY881" s="1"/>
      <c r="BZ881" s="1">
        <v>0</v>
      </c>
      <c r="CA881" s="1" t="s">
        <v>109</v>
      </c>
      <c r="CB881" s="1" t="s">
        <v>109</v>
      </c>
      <c r="CC881" s="1">
        <v>5</v>
      </c>
      <c r="CD881" s="1" t="s">
        <v>109</v>
      </c>
      <c r="CE881" s="1" t="s">
        <v>109</v>
      </c>
      <c r="CF881" s="1">
        <v>5</v>
      </c>
      <c r="CG881" s="1">
        <v>5</v>
      </c>
      <c r="CH881" s="1" t="s">
        <v>109</v>
      </c>
      <c r="CI881" s="1" t="s">
        <v>109</v>
      </c>
      <c r="CJ881" s="1" t="s">
        <v>109</v>
      </c>
      <c r="CK881" s="1"/>
      <c r="CL881" s="1">
        <v>0</v>
      </c>
      <c r="CM881" s="1">
        <v>0</v>
      </c>
      <c r="CN881" s="1">
        <v>0</v>
      </c>
    </row>
    <row r="882" spans="1:92" ht="14.25" customHeight="1" x14ac:dyDescent="0.15">
      <c r="A882" s="1" t="s">
        <v>7401</v>
      </c>
      <c r="B882" s="1" t="s">
        <v>308</v>
      </c>
      <c r="C882" s="1"/>
      <c r="D882" s="1"/>
      <c r="E882" s="1" t="s">
        <v>2613</v>
      </c>
      <c r="F882" s="1" t="s">
        <v>98</v>
      </c>
      <c r="G882" s="1" t="s">
        <v>7394</v>
      </c>
      <c r="H882" s="1">
        <v>0</v>
      </c>
      <c r="I882" s="1" t="s">
        <v>142</v>
      </c>
      <c r="J882" s="1"/>
      <c r="K882" s="1"/>
      <c r="L882" s="1" t="s">
        <v>7402</v>
      </c>
      <c r="M882" s="1" t="s">
        <v>125</v>
      </c>
      <c r="N882" s="1">
        <v>0</v>
      </c>
      <c r="O882" s="1">
        <v>0</v>
      </c>
      <c r="P882" s="1" t="s">
        <v>1410</v>
      </c>
      <c r="Q882" s="1" t="s">
        <v>268</v>
      </c>
      <c r="R882" s="1" t="s">
        <v>7403</v>
      </c>
      <c r="S882" s="1" t="s">
        <v>7404</v>
      </c>
      <c r="T882" s="1" t="s">
        <v>5815</v>
      </c>
      <c r="U882" s="1" t="s">
        <v>7405</v>
      </c>
      <c r="V882" s="1">
        <v>1</v>
      </c>
      <c r="W882" s="1">
        <v>1</v>
      </c>
      <c r="X882" s="1">
        <v>1</v>
      </c>
      <c r="Y882" s="1">
        <v>0</v>
      </c>
      <c r="Z882" s="1">
        <v>0</v>
      </c>
      <c r="AA882" s="1">
        <v>9</v>
      </c>
      <c r="AB882" s="1">
        <v>9</v>
      </c>
      <c r="AC882" s="1" t="s">
        <v>109</v>
      </c>
      <c r="AD882" s="1" t="s">
        <v>109</v>
      </c>
      <c r="AE882" s="1" t="s">
        <v>109</v>
      </c>
      <c r="AF882" s="1" t="s">
        <v>109</v>
      </c>
      <c r="AG882" s="1" t="s">
        <v>109</v>
      </c>
      <c r="AH882" s="1" t="s">
        <v>109</v>
      </c>
      <c r="AI882" s="1" t="s">
        <v>109</v>
      </c>
      <c r="AJ882" s="1">
        <v>9</v>
      </c>
      <c r="AK882" s="1" t="s">
        <v>109</v>
      </c>
      <c r="AL882" s="1" t="s">
        <v>109</v>
      </c>
      <c r="AM882" s="1" t="s">
        <v>109</v>
      </c>
      <c r="AN882" s="1" t="s">
        <v>109</v>
      </c>
      <c r="AO882" s="1" t="s">
        <v>109</v>
      </c>
      <c r="AP882" s="1"/>
      <c r="AQ882" s="1">
        <v>9</v>
      </c>
      <c r="AR882" s="1" t="s">
        <v>7406</v>
      </c>
      <c r="AS882" s="1" t="s">
        <v>7407</v>
      </c>
      <c r="AT882" s="1">
        <v>0</v>
      </c>
      <c r="AU882" s="1">
        <v>0</v>
      </c>
      <c r="AV882" s="1">
        <v>0</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5" t="str">
        <f>HYPERLINK("http://www.d20pfsrd.com/magic/all-spells/s/suffocation,-mass","Suffocation, Mass")</f>
        <v>Suffocation, Mass</v>
      </c>
      <c r="BT882" s="1">
        <v>901</v>
      </c>
      <c r="BU882" s="1" t="s">
        <v>109</v>
      </c>
      <c r="BV882" s="1"/>
      <c r="BW882" s="1"/>
      <c r="BX882" s="1"/>
      <c r="BY882" s="1"/>
      <c r="BZ882" s="1">
        <v>0</v>
      </c>
      <c r="CA882" s="1" t="s">
        <v>109</v>
      </c>
      <c r="CB882" s="1" t="s">
        <v>109</v>
      </c>
      <c r="CC882" s="1">
        <v>9</v>
      </c>
      <c r="CD882" s="1" t="s">
        <v>109</v>
      </c>
      <c r="CE882" s="1" t="s">
        <v>109</v>
      </c>
      <c r="CF882" s="1" t="s">
        <v>109</v>
      </c>
      <c r="CG882" s="1" t="s">
        <v>109</v>
      </c>
      <c r="CH882" s="1" t="s">
        <v>109</v>
      </c>
      <c r="CI882" s="1" t="s">
        <v>109</v>
      </c>
      <c r="CJ882" s="1" t="s">
        <v>109</v>
      </c>
      <c r="CK882" s="1"/>
      <c r="CL882" s="1">
        <v>0</v>
      </c>
      <c r="CM882" s="1">
        <v>0</v>
      </c>
      <c r="CN882" s="1">
        <v>0</v>
      </c>
    </row>
    <row r="883" spans="1:92" ht="14.25" customHeight="1" x14ac:dyDescent="0.15">
      <c r="A883" s="1" t="s">
        <v>7408</v>
      </c>
      <c r="B883" s="1" t="s">
        <v>95</v>
      </c>
      <c r="C883" s="1" t="s">
        <v>1179</v>
      </c>
      <c r="D883" s="1"/>
      <c r="E883" s="1" t="s">
        <v>6460</v>
      </c>
      <c r="F883" s="1" t="s">
        <v>355</v>
      </c>
      <c r="G883" s="1" t="s">
        <v>7409</v>
      </c>
      <c r="H883" s="1">
        <v>0</v>
      </c>
      <c r="I883" s="1" t="s">
        <v>142</v>
      </c>
      <c r="J883" s="1"/>
      <c r="K883" s="1"/>
      <c r="L883" s="1" t="s">
        <v>6335</v>
      </c>
      <c r="M883" s="1" t="s">
        <v>6144</v>
      </c>
      <c r="N883" s="1">
        <v>1</v>
      </c>
      <c r="O883" s="1">
        <v>0</v>
      </c>
      <c r="P883" s="1" t="s">
        <v>103</v>
      </c>
      <c r="Q883" s="1" t="s">
        <v>104</v>
      </c>
      <c r="R883" s="1" t="s">
        <v>7410</v>
      </c>
      <c r="S883" s="1" t="s">
        <v>7411</v>
      </c>
      <c r="T883" s="1" t="s">
        <v>5815</v>
      </c>
      <c r="U883" s="1" t="s">
        <v>7412</v>
      </c>
      <c r="V883" s="1">
        <v>1</v>
      </c>
      <c r="W883" s="1">
        <v>1</v>
      </c>
      <c r="X883" s="1">
        <v>1</v>
      </c>
      <c r="Y883" s="1">
        <v>0</v>
      </c>
      <c r="Z883" s="1">
        <v>0</v>
      </c>
      <c r="AA883" s="1" t="s">
        <v>109</v>
      </c>
      <c r="AB883" s="1" t="s">
        <v>109</v>
      </c>
      <c r="AC883" s="1" t="s">
        <v>109</v>
      </c>
      <c r="AD883" s="1" t="s">
        <v>109</v>
      </c>
      <c r="AE883" s="1" t="s">
        <v>109</v>
      </c>
      <c r="AF883" s="1" t="s">
        <v>109</v>
      </c>
      <c r="AG883" s="1" t="s">
        <v>109</v>
      </c>
      <c r="AH883" s="1" t="s">
        <v>109</v>
      </c>
      <c r="AI883" s="1">
        <v>2</v>
      </c>
      <c r="AJ883" s="1" t="s">
        <v>109</v>
      </c>
      <c r="AK883" s="1" t="s">
        <v>109</v>
      </c>
      <c r="AL883" s="1" t="s">
        <v>109</v>
      </c>
      <c r="AM883" s="1" t="s">
        <v>109</v>
      </c>
      <c r="AN883" s="1" t="s">
        <v>109</v>
      </c>
      <c r="AO883" s="1" t="s">
        <v>109</v>
      </c>
      <c r="AP883" s="1"/>
      <c r="AQ883" s="1">
        <v>2</v>
      </c>
      <c r="AR883" s="1"/>
      <c r="AS883" s="1" t="s">
        <v>7413</v>
      </c>
      <c r="AT883" s="1">
        <v>0</v>
      </c>
      <c r="AU883" s="1">
        <v>0</v>
      </c>
      <c r="AV883" s="1">
        <v>0</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5" t="str">
        <f>HYPERLINK("http://www.d20pfsrd.com/magic/all-spells/s/summon-eidolon","Summon Eidolon")</f>
        <v>Summon Eidolon</v>
      </c>
      <c r="BT883" s="1">
        <v>902</v>
      </c>
      <c r="BU883" s="1" t="s">
        <v>109</v>
      </c>
      <c r="BV883" s="1"/>
      <c r="BW883" s="1"/>
      <c r="BX883" s="1"/>
      <c r="BY883" s="1"/>
      <c r="BZ883" s="1">
        <v>0</v>
      </c>
      <c r="CA883" s="1" t="s">
        <v>109</v>
      </c>
      <c r="CB883" s="1" t="s">
        <v>109</v>
      </c>
      <c r="CC883" s="1" t="s">
        <v>109</v>
      </c>
      <c r="CD883" s="1" t="s">
        <v>109</v>
      </c>
      <c r="CE883" s="1" t="s">
        <v>109</v>
      </c>
      <c r="CF883" s="1" t="s">
        <v>109</v>
      </c>
      <c r="CG883" s="1" t="s">
        <v>109</v>
      </c>
      <c r="CH883" s="1" t="s">
        <v>109</v>
      </c>
      <c r="CI883" s="1" t="s">
        <v>109</v>
      </c>
      <c r="CJ883" s="1" t="s">
        <v>109</v>
      </c>
      <c r="CK883" s="1"/>
      <c r="CL883" s="1">
        <v>0</v>
      </c>
      <c r="CM883" s="1">
        <v>0</v>
      </c>
      <c r="CN883" s="1">
        <v>0</v>
      </c>
    </row>
    <row r="884" spans="1:92" ht="14.25" customHeight="1" x14ac:dyDescent="0.15">
      <c r="A884" s="1" t="s">
        <v>7414</v>
      </c>
      <c r="B884" s="1" t="s">
        <v>189</v>
      </c>
      <c r="C884" s="1"/>
      <c r="D884" s="1"/>
      <c r="E884" s="1" t="s">
        <v>7415</v>
      </c>
      <c r="F884" s="1" t="s">
        <v>98</v>
      </c>
      <c r="G884" s="1" t="s">
        <v>7416</v>
      </c>
      <c r="H884" s="1">
        <v>0</v>
      </c>
      <c r="I884" s="1" t="s">
        <v>235</v>
      </c>
      <c r="J884" s="1"/>
      <c r="K884" s="1"/>
      <c r="L884" s="1" t="s">
        <v>236</v>
      </c>
      <c r="M884" s="1" t="s">
        <v>211</v>
      </c>
      <c r="N884" s="1">
        <v>0</v>
      </c>
      <c r="O884" s="1">
        <v>0</v>
      </c>
      <c r="P884" s="1"/>
      <c r="Q884" s="1"/>
      <c r="R884" s="1" t="s">
        <v>7417</v>
      </c>
      <c r="S884" s="1" t="s">
        <v>7418</v>
      </c>
      <c r="T884" s="1" t="s">
        <v>5815</v>
      </c>
      <c r="U884" s="1" t="s">
        <v>7419</v>
      </c>
      <c r="V884" s="1">
        <v>1</v>
      </c>
      <c r="W884" s="1">
        <v>1</v>
      </c>
      <c r="X884" s="1">
        <v>1</v>
      </c>
      <c r="Y884" s="1">
        <v>0</v>
      </c>
      <c r="Z884" s="1">
        <v>1</v>
      </c>
      <c r="AA884" s="1" t="s">
        <v>109</v>
      </c>
      <c r="AB884" s="1" t="s">
        <v>109</v>
      </c>
      <c r="AC884" s="1" t="s">
        <v>109</v>
      </c>
      <c r="AD884" s="1">
        <v>6</v>
      </c>
      <c r="AE884" s="1" t="s">
        <v>109</v>
      </c>
      <c r="AF884" s="1" t="s">
        <v>109</v>
      </c>
      <c r="AG884" s="1" t="s">
        <v>109</v>
      </c>
      <c r="AH884" s="1" t="s">
        <v>109</v>
      </c>
      <c r="AI884" s="1" t="s">
        <v>109</v>
      </c>
      <c r="AJ884" s="1">
        <v>6</v>
      </c>
      <c r="AK884" s="1" t="s">
        <v>109</v>
      </c>
      <c r="AL884" s="1" t="s">
        <v>109</v>
      </c>
      <c r="AM884" s="1" t="s">
        <v>109</v>
      </c>
      <c r="AN884" s="1" t="s">
        <v>109</v>
      </c>
      <c r="AO884" s="1" t="s">
        <v>109</v>
      </c>
      <c r="AP884" s="1"/>
      <c r="AQ884" s="1">
        <v>6</v>
      </c>
      <c r="AR884" s="1" t="s">
        <v>7420</v>
      </c>
      <c r="AS884" s="1" t="s">
        <v>7421</v>
      </c>
      <c r="AT884" s="1">
        <v>0</v>
      </c>
      <c r="AU884" s="1">
        <v>0</v>
      </c>
      <c r="AV884" s="1">
        <v>0</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5" t="str">
        <f>HYPERLINK("http://www.d20pfsrd.com/magic/all-spells/s/swarm-skin","Swarm Skin")</f>
        <v>Swarm Skin</v>
      </c>
      <c r="BT884" s="1">
        <v>903</v>
      </c>
      <c r="BU884" s="1" t="s">
        <v>109</v>
      </c>
      <c r="BV884" s="1"/>
      <c r="BW884" s="1"/>
      <c r="BX884" s="1"/>
      <c r="BY884" s="1"/>
      <c r="BZ884" s="1">
        <v>0</v>
      </c>
      <c r="CA884" s="1" t="s">
        <v>109</v>
      </c>
      <c r="CB884" s="1" t="s">
        <v>109</v>
      </c>
      <c r="CC884" s="1" t="s">
        <v>109</v>
      </c>
      <c r="CD884" s="1" t="s">
        <v>109</v>
      </c>
      <c r="CE884" s="1" t="s">
        <v>109</v>
      </c>
      <c r="CF884" s="1" t="s">
        <v>109</v>
      </c>
      <c r="CG884" s="1" t="s">
        <v>109</v>
      </c>
      <c r="CH884" s="1" t="s">
        <v>109</v>
      </c>
      <c r="CI884" s="1" t="s">
        <v>109</v>
      </c>
      <c r="CJ884" s="1">
        <v>6</v>
      </c>
      <c r="CK884" s="1"/>
      <c r="CL884" s="1">
        <v>0</v>
      </c>
      <c r="CM884" s="1">
        <v>0</v>
      </c>
      <c r="CN884" s="1">
        <v>0</v>
      </c>
    </row>
    <row r="885" spans="1:92" ht="14.25" customHeight="1" x14ac:dyDescent="0.15">
      <c r="A885" s="1" t="s">
        <v>7422</v>
      </c>
      <c r="B885" s="1" t="s">
        <v>189</v>
      </c>
      <c r="C885" s="1"/>
      <c r="D885" s="1"/>
      <c r="E885" s="1" t="s">
        <v>7423</v>
      </c>
      <c r="F885" s="1" t="s">
        <v>98</v>
      </c>
      <c r="G885" s="1" t="s">
        <v>160</v>
      </c>
      <c r="H885" s="1">
        <v>0</v>
      </c>
      <c r="I885" s="1" t="s">
        <v>235</v>
      </c>
      <c r="J885" s="1"/>
      <c r="K885" s="1"/>
      <c r="L885" s="1" t="s">
        <v>236</v>
      </c>
      <c r="M885" s="1" t="s">
        <v>125</v>
      </c>
      <c r="N885" s="1">
        <v>0</v>
      </c>
      <c r="O885" s="1">
        <v>0</v>
      </c>
      <c r="P885" s="1"/>
      <c r="Q885" s="1"/>
      <c r="R885" s="1" t="s">
        <v>7424</v>
      </c>
      <c r="S885" s="1" t="s">
        <v>7425</v>
      </c>
      <c r="T885" s="1" t="s">
        <v>5815</v>
      </c>
      <c r="U885" s="1" t="s">
        <v>7426</v>
      </c>
      <c r="V885" s="1">
        <v>1</v>
      </c>
      <c r="W885" s="1">
        <v>1</v>
      </c>
      <c r="X885" s="1">
        <v>0</v>
      </c>
      <c r="Y885" s="1">
        <v>0</v>
      </c>
      <c r="Z885" s="1">
        <v>1</v>
      </c>
      <c r="AA885" s="1" t="s">
        <v>109</v>
      </c>
      <c r="AB885" s="1" t="s">
        <v>109</v>
      </c>
      <c r="AC885" s="1" t="s">
        <v>109</v>
      </c>
      <c r="AD885" s="1">
        <v>4</v>
      </c>
      <c r="AE885" s="1" t="s">
        <v>109</v>
      </c>
      <c r="AF885" s="1" t="s">
        <v>109</v>
      </c>
      <c r="AG885" s="1" t="s">
        <v>109</v>
      </c>
      <c r="AH885" s="1">
        <v>3</v>
      </c>
      <c r="AI885" s="1" t="s">
        <v>109</v>
      </c>
      <c r="AJ885" s="1" t="s">
        <v>109</v>
      </c>
      <c r="AK885" s="1" t="s">
        <v>109</v>
      </c>
      <c r="AL885" s="1" t="s">
        <v>109</v>
      </c>
      <c r="AM885" s="1" t="s">
        <v>109</v>
      </c>
      <c r="AN885" s="1" t="s">
        <v>109</v>
      </c>
      <c r="AO885" s="1" t="s">
        <v>109</v>
      </c>
      <c r="AP885" s="1"/>
      <c r="AQ885" s="1">
        <v>4</v>
      </c>
      <c r="AR885" s="1"/>
      <c r="AS885" s="1" t="s">
        <v>7427</v>
      </c>
      <c r="AT885" s="1">
        <v>0</v>
      </c>
      <c r="AU885" s="1">
        <v>0</v>
      </c>
      <c r="AV885" s="1">
        <v>0</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5" t="str">
        <f>HYPERLINK("http://www.d20pfsrd.com/magic/all-spells/t/thorn-body","Thorn Body")</f>
        <v>Thorn Body</v>
      </c>
      <c r="BT885" s="1">
        <v>904</v>
      </c>
      <c r="BU885" s="1" t="s">
        <v>109</v>
      </c>
      <c r="BV885" s="1"/>
      <c r="BW885" s="1" t="s">
        <v>7428</v>
      </c>
      <c r="BX885" s="1"/>
      <c r="BY885" s="1"/>
      <c r="BZ885" s="1">
        <v>0</v>
      </c>
      <c r="CA885" s="1" t="s">
        <v>109</v>
      </c>
      <c r="CB885" s="1">
        <v>4</v>
      </c>
      <c r="CC885" s="1" t="s">
        <v>109</v>
      </c>
      <c r="CD885" s="1" t="s">
        <v>109</v>
      </c>
      <c r="CE885" s="1" t="s">
        <v>109</v>
      </c>
      <c r="CF885" s="1" t="s">
        <v>109</v>
      </c>
      <c r="CG885" s="1" t="s">
        <v>109</v>
      </c>
      <c r="CH885" s="1" t="s">
        <v>109</v>
      </c>
      <c r="CI885" s="1" t="s">
        <v>109</v>
      </c>
      <c r="CJ885" s="1">
        <v>4</v>
      </c>
      <c r="CK885" s="1"/>
      <c r="CL885" s="1">
        <v>0</v>
      </c>
      <c r="CM885" s="1">
        <v>0</v>
      </c>
      <c r="CN885" s="1">
        <v>0</v>
      </c>
    </row>
    <row r="886" spans="1:92" ht="14.25" customHeight="1" x14ac:dyDescent="0.15">
      <c r="A886" s="1" t="s">
        <v>7429</v>
      </c>
      <c r="B886" s="1" t="s">
        <v>189</v>
      </c>
      <c r="C886" s="1"/>
      <c r="D886" s="1"/>
      <c r="E886" s="1" t="s">
        <v>7430</v>
      </c>
      <c r="F886" s="1" t="s">
        <v>98</v>
      </c>
      <c r="G886" s="1" t="s">
        <v>7431</v>
      </c>
      <c r="H886" s="1">
        <v>1</v>
      </c>
      <c r="I886" s="1" t="s">
        <v>235</v>
      </c>
      <c r="J886" s="1"/>
      <c r="K886" s="1"/>
      <c r="L886" s="1" t="s">
        <v>236</v>
      </c>
      <c r="M886" s="1" t="s">
        <v>7432</v>
      </c>
      <c r="N886" s="1">
        <v>1</v>
      </c>
      <c r="O886" s="1">
        <v>0</v>
      </c>
      <c r="P886" s="1"/>
      <c r="Q886" s="1"/>
      <c r="R886" s="1" t="s">
        <v>7433</v>
      </c>
      <c r="S886" s="1" t="s">
        <v>7434</v>
      </c>
      <c r="T886" s="1" t="s">
        <v>5815</v>
      </c>
      <c r="U886" s="1" t="s">
        <v>7435</v>
      </c>
      <c r="V886" s="1">
        <v>1</v>
      </c>
      <c r="W886" s="1">
        <v>1</v>
      </c>
      <c r="X886" s="1">
        <v>0</v>
      </c>
      <c r="Y886" s="1">
        <v>0</v>
      </c>
      <c r="Z886" s="1">
        <v>0</v>
      </c>
      <c r="AA886" s="1" t="s">
        <v>109</v>
      </c>
      <c r="AB886" s="1" t="s">
        <v>109</v>
      </c>
      <c r="AC886" s="1" t="s">
        <v>109</v>
      </c>
      <c r="AD886" s="1">
        <v>5</v>
      </c>
      <c r="AE886" s="1" t="s">
        <v>109</v>
      </c>
      <c r="AF886" s="1" t="s">
        <v>109</v>
      </c>
      <c r="AG886" s="1" t="s">
        <v>109</v>
      </c>
      <c r="AH886" s="1" t="s">
        <v>109</v>
      </c>
      <c r="AI886" s="1" t="s">
        <v>109</v>
      </c>
      <c r="AJ886" s="1">
        <v>4</v>
      </c>
      <c r="AK886" s="1" t="s">
        <v>109</v>
      </c>
      <c r="AL886" s="1" t="s">
        <v>109</v>
      </c>
      <c r="AM886" s="1" t="s">
        <v>109</v>
      </c>
      <c r="AN886" s="1" t="s">
        <v>109</v>
      </c>
      <c r="AO886" s="1" t="s">
        <v>109</v>
      </c>
      <c r="AP886" s="1"/>
      <c r="AQ886" s="1">
        <v>5</v>
      </c>
      <c r="AR886" s="1"/>
      <c r="AS886" s="1" t="s">
        <v>7436</v>
      </c>
      <c r="AT886" s="1">
        <v>0</v>
      </c>
      <c r="AU886" s="1">
        <v>0</v>
      </c>
      <c r="AV886" s="1">
        <v>0</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0</v>
      </c>
      <c r="BN886" s="1">
        <v>0</v>
      </c>
      <c r="BO886" s="1">
        <v>0</v>
      </c>
      <c r="BP886" s="1">
        <v>0</v>
      </c>
      <c r="BQ886" s="1">
        <v>0</v>
      </c>
      <c r="BR886" s="1">
        <v>0</v>
      </c>
      <c r="BS886" s="5" t="str">
        <f>HYPERLINK("http://www.d20pfsrd.com/magic/all-spells/t/threefold-aspect","Threefold Aspect")</f>
        <v>Threefold Aspect</v>
      </c>
      <c r="BT886" s="1">
        <v>905</v>
      </c>
      <c r="BU886" s="1">
        <v>5</v>
      </c>
      <c r="BV886" s="1" t="s">
        <v>7437</v>
      </c>
      <c r="BW886" s="1" t="s">
        <v>7438</v>
      </c>
      <c r="BX886" s="1"/>
      <c r="BY886" s="1"/>
      <c r="BZ886" s="1">
        <v>0</v>
      </c>
      <c r="CA886" s="1" t="s">
        <v>109</v>
      </c>
      <c r="CB886" s="1" t="s">
        <v>109</v>
      </c>
      <c r="CC886" s="1" t="s">
        <v>109</v>
      </c>
      <c r="CD886" s="1" t="s">
        <v>109</v>
      </c>
      <c r="CE886" s="1" t="s">
        <v>109</v>
      </c>
      <c r="CF886" s="1" t="s">
        <v>109</v>
      </c>
      <c r="CG886" s="1" t="s">
        <v>109</v>
      </c>
      <c r="CH886" s="1" t="s">
        <v>109</v>
      </c>
      <c r="CI886" s="1" t="s">
        <v>109</v>
      </c>
      <c r="CJ886" s="1">
        <v>5</v>
      </c>
      <c r="CK886" s="1"/>
      <c r="CL886" s="1">
        <v>0</v>
      </c>
      <c r="CM886" s="1">
        <v>0</v>
      </c>
      <c r="CN886" s="1">
        <v>0</v>
      </c>
    </row>
    <row r="887" spans="1:92" ht="14.25" customHeight="1" x14ac:dyDescent="0.15">
      <c r="A887" s="1" t="s">
        <v>7439</v>
      </c>
      <c r="B887" s="1" t="s">
        <v>584</v>
      </c>
      <c r="C887" s="1"/>
      <c r="D887" s="1" t="s">
        <v>69</v>
      </c>
      <c r="E887" s="1" t="s">
        <v>2403</v>
      </c>
      <c r="F887" s="1" t="s">
        <v>98</v>
      </c>
      <c r="G887" s="1" t="s">
        <v>141</v>
      </c>
      <c r="H887" s="1">
        <v>0</v>
      </c>
      <c r="I887" s="1" t="s">
        <v>725</v>
      </c>
      <c r="J887" s="1" t="s">
        <v>726</v>
      </c>
      <c r="K887" s="1"/>
      <c r="L887" s="1"/>
      <c r="M887" s="1" t="s">
        <v>144</v>
      </c>
      <c r="N887" s="1">
        <v>0</v>
      </c>
      <c r="O887" s="1">
        <v>0</v>
      </c>
      <c r="P887" s="1" t="s">
        <v>1410</v>
      </c>
      <c r="Q887" s="1" t="s">
        <v>268</v>
      </c>
      <c r="R887" s="1" t="s">
        <v>7440</v>
      </c>
      <c r="S887" s="1" t="s">
        <v>7441</v>
      </c>
      <c r="T887" s="1" t="s">
        <v>5815</v>
      </c>
      <c r="U887" s="1" t="s">
        <v>7442</v>
      </c>
      <c r="V887" s="1">
        <v>1</v>
      </c>
      <c r="W887" s="1">
        <v>1</v>
      </c>
      <c r="X887" s="1">
        <v>0</v>
      </c>
      <c r="Y887" s="1">
        <v>0</v>
      </c>
      <c r="Z887" s="1">
        <v>0</v>
      </c>
      <c r="AA887" s="1" t="s">
        <v>109</v>
      </c>
      <c r="AB887" s="1" t="s">
        <v>109</v>
      </c>
      <c r="AC887" s="1" t="s">
        <v>109</v>
      </c>
      <c r="AD887" s="1" t="s">
        <v>109</v>
      </c>
      <c r="AE887" s="1" t="s">
        <v>109</v>
      </c>
      <c r="AF887" s="1">
        <v>3</v>
      </c>
      <c r="AG887" s="1" t="s">
        <v>109</v>
      </c>
      <c r="AH887" s="1" t="s">
        <v>109</v>
      </c>
      <c r="AI887" s="1" t="s">
        <v>109</v>
      </c>
      <c r="AJ887" s="1" t="s">
        <v>109</v>
      </c>
      <c r="AK887" s="1" t="s">
        <v>109</v>
      </c>
      <c r="AL887" s="1" t="s">
        <v>109</v>
      </c>
      <c r="AM887" s="1" t="s">
        <v>109</v>
      </c>
      <c r="AN887" s="1" t="s">
        <v>109</v>
      </c>
      <c r="AO887" s="1" t="s">
        <v>109</v>
      </c>
      <c r="AP887" s="1"/>
      <c r="AQ887" s="1">
        <v>3</v>
      </c>
      <c r="AR887" s="1"/>
      <c r="AS887" s="1" t="s">
        <v>7443</v>
      </c>
      <c r="AT887" s="1">
        <v>0</v>
      </c>
      <c r="AU887" s="1">
        <v>0</v>
      </c>
      <c r="AV887" s="1">
        <v>0</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1</v>
      </c>
      <c r="BR887" s="1">
        <v>0</v>
      </c>
      <c r="BS887" s="5" t="str">
        <f>HYPERLINK("http://www.d20pfsrd.com/magic/all-spells/t/thundering-drums","Thundering Drums")</f>
        <v>Thundering Drums</v>
      </c>
      <c r="BT887" s="1">
        <v>906</v>
      </c>
      <c r="BU887" s="1" t="s">
        <v>109</v>
      </c>
      <c r="BV887" s="1"/>
      <c r="BW887" s="1"/>
      <c r="BX887" s="1"/>
      <c r="BY887" s="1"/>
      <c r="BZ887" s="1">
        <v>0</v>
      </c>
      <c r="CA887" s="1" t="s">
        <v>109</v>
      </c>
      <c r="CB887" s="1" t="s">
        <v>109</v>
      </c>
      <c r="CC887" s="1" t="s">
        <v>109</v>
      </c>
      <c r="CD887" s="1" t="s">
        <v>109</v>
      </c>
      <c r="CE887" s="1" t="s">
        <v>109</v>
      </c>
      <c r="CF887" s="1" t="s">
        <v>109</v>
      </c>
      <c r="CG887" s="1" t="s">
        <v>109</v>
      </c>
      <c r="CH887" s="1" t="s">
        <v>109</v>
      </c>
      <c r="CI887" s="1" t="s">
        <v>109</v>
      </c>
      <c r="CJ887" s="1" t="s">
        <v>109</v>
      </c>
      <c r="CK887" s="1"/>
      <c r="CL887" s="1">
        <v>0</v>
      </c>
      <c r="CM887" s="1">
        <v>0</v>
      </c>
      <c r="CN887" s="1">
        <v>0</v>
      </c>
    </row>
    <row r="888" spans="1:92" ht="14.25" customHeight="1" x14ac:dyDescent="0.15">
      <c r="A888" s="1" t="s">
        <v>7444</v>
      </c>
      <c r="B888" s="1" t="s">
        <v>254</v>
      </c>
      <c r="C888" s="1"/>
      <c r="D888" s="1"/>
      <c r="E888" s="1" t="s">
        <v>7117</v>
      </c>
      <c r="F888" s="1" t="s">
        <v>1963</v>
      </c>
      <c r="G888" s="1" t="s">
        <v>333</v>
      </c>
      <c r="H888" s="1">
        <v>0</v>
      </c>
      <c r="I888" s="1" t="s">
        <v>142</v>
      </c>
      <c r="J888" s="1"/>
      <c r="K888" s="1"/>
      <c r="L888" s="1" t="s">
        <v>1391</v>
      </c>
      <c r="M888" s="1" t="s">
        <v>144</v>
      </c>
      <c r="N888" s="1">
        <v>0</v>
      </c>
      <c r="O888" s="1">
        <v>0</v>
      </c>
      <c r="P888" s="1" t="s">
        <v>507</v>
      </c>
      <c r="Q888" s="1" t="s">
        <v>167</v>
      </c>
      <c r="R888" s="1" t="s">
        <v>7445</v>
      </c>
      <c r="S888" s="1" t="s">
        <v>7446</v>
      </c>
      <c r="T888" s="1" t="s">
        <v>5815</v>
      </c>
      <c r="U888" s="1" t="s">
        <v>7447</v>
      </c>
      <c r="V888" s="1">
        <v>1</v>
      </c>
      <c r="W888" s="1">
        <v>0</v>
      </c>
      <c r="X888" s="1">
        <v>0</v>
      </c>
      <c r="Y888" s="1">
        <v>0</v>
      </c>
      <c r="Z888" s="1">
        <v>0</v>
      </c>
      <c r="AA888" s="1" t="s">
        <v>109</v>
      </c>
      <c r="AB888" s="1" t="s">
        <v>109</v>
      </c>
      <c r="AC888" s="1" t="s">
        <v>109</v>
      </c>
      <c r="AD888" s="1" t="s">
        <v>109</v>
      </c>
      <c r="AE888" s="1" t="s">
        <v>109</v>
      </c>
      <c r="AF888" s="1">
        <v>1</v>
      </c>
      <c r="AG888" s="1" t="s">
        <v>109</v>
      </c>
      <c r="AH888" s="1" t="s">
        <v>109</v>
      </c>
      <c r="AI888" s="1" t="s">
        <v>109</v>
      </c>
      <c r="AJ888" s="1" t="s">
        <v>109</v>
      </c>
      <c r="AK888" s="1" t="s">
        <v>109</v>
      </c>
      <c r="AL888" s="1" t="s">
        <v>109</v>
      </c>
      <c r="AM888" s="1" t="s">
        <v>109</v>
      </c>
      <c r="AN888" s="1" t="s">
        <v>109</v>
      </c>
      <c r="AO888" s="1" t="s">
        <v>109</v>
      </c>
      <c r="AP888" s="1"/>
      <c r="AQ888" s="1">
        <v>1</v>
      </c>
      <c r="AR888" s="1"/>
      <c r="AS888" s="1" t="s">
        <v>7448</v>
      </c>
      <c r="AT888" s="1">
        <v>0</v>
      </c>
      <c r="AU888" s="1">
        <v>0</v>
      </c>
      <c r="AV888" s="1">
        <v>0</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5" t="str">
        <f>HYPERLINK("http://www.d20pfsrd.com/magic/all-spells/t/timely-inspiration","Timely Inspiration")</f>
        <v>Timely Inspiration</v>
      </c>
      <c r="BT888" s="1">
        <v>907</v>
      </c>
      <c r="BU888" s="1" t="s">
        <v>109</v>
      </c>
      <c r="BV888" s="1"/>
      <c r="BW888" s="1"/>
      <c r="BX888" s="1"/>
      <c r="BY888" s="1"/>
      <c r="BZ888" s="1">
        <v>0</v>
      </c>
      <c r="CA888" s="1" t="s">
        <v>109</v>
      </c>
      <c r="CB888" s="1" t="s">
        <v>109</v>
      </c>
      <c r="CC888" s="1" t="s">
        <v>109</v>
      </c>
      <c r="CD888" s="1" t="s">
        <v>109</v>
      </c>
      <c r="CE888" s="1" t="s">
        <v>109</v>
      </c>
      <c r="CF888" s="1" t="s">
        <v>109</v>
      </c>
      <c r="CG888" s="1" t="s">
        <v>109</v>
      </c>
      <c r="CH888" s="1" t="s">
        <v>109</v>
      </c>
      <c r="CI888" s="1" t="s">
        <v>109</v>
      </c>
      <c r="CJ888" s="1" t="s">
        <v>109</v>
      </c>
      <c r="CK888" s="1"/>
      <c r="CL888" s="1">
        <v>0</v>
      </c>
      <c r="CM888" s="1">
        <v>0</v>
      </c>
      <c r="CN888" s="1">
        <v>0</v>
      </c>
    </row>
    <row r="889" spans="1:92" ht="14.25" customHeight="1" x14ac:dyDescent="0.15">
      <c r="A889" s="1" t="s">
        <v>7449</v>
      </c>
      <c r="B889" s="1" t="s">
        <v>189</v>
      </c>
      <c r="C889" s="1"/>
      <c r="D889" s="1"/>
      <c r="E889" s="1" t="s">
        <v>7450</v>
      </c>
      <c r="F889" s="1" t="s">
        <v>98</v>
      </c>
      <c r="G889" s="1" t="s">
        <v>7451</v>
      </c>
      <c r="H889" s="1">
        <v>0</v>
      </c>
      <c r="I889" s="1" t="s">
        <v>235</v>
      </c>
      <c r="J889" s="1"/>
      <c r="K889" s="1"/>
      <c r="L889" s="1" t="s">
        <v>236</v>
      </c>
      <c r="M889" s="1" t="s">
        <v>815</v>
      </c>
      <c r="N889" s="1">
        <v>1</v>
      </c>
      <c r="O889" s="1">
        <v>0</v>
      </c>
      <c r="P889" s="1"/>
      <c r="Q889" s="1"/>
      <c r="R889" s="1" t="s">
        <v>7452</v>
      </c>
      <c r="S889" s="1" t="s">
        <v>7453</v>
      </c>
      <c r="T889" s="1" t="s">
        <v>5815</v>
      </c>
      <c r="U889" s="1" t="s">
        <v>7454</v>
      </c>
      <c r="V889" s="1">
        <v>1</v>
      </c>
      <c r="W889" s="1">
        <v>1</v>
      </c>
      <c r="X889" s="1">
        <v>1</v>
      </c>
      <c r="Y889" s="1">
        <v>0</v>
      </c>
      <c r="Z889" s="1">
        <v>0</v>
      </c>
      <c r="AA889" s="1" t="s">
        <v>109</v>
      </c>
      <c r="AB889" s="1" t="s">
        <v>109</v>
      </c>
      <c r="AC889" s="1" t="s">
        <v>109</v>
      </c>
      <c r="AD889" s="1" t="s">
        <v>109</v>
      </c>
      <c r="AE889" s="1">
        <v>1</v>
      </c>
      <c r="AF889" s="1" t="s">
        <v>109</v>
      </c>
      <c r="AG889" s="1" t="s">
        <v>109</v>
      </c>
      <c r="AH889" s="1" t="s">
        <v>109</v>
      </c>
      <c r="AI889" s="1" t="s">
        <v>109</v>
      </c>
      <c r="AJ889" s="1" t="s">
        <v>109</v>
      </c>
      <c r="AK889" s="1">
        <v>1</v>
      </c>
      <c r="AL889" s="1" t="s">
        <v>109</v>
      </c>
      <c r="AM889" s="1" t="s">
        <v>109</v>
      </c>
      <c r="AN889" s="1" t="s">
        <v>109</v>
      </c>
      <c r="AO889" s="1" t="s">
        <v>109</v>
      </c>
      <c r="AP889" s="1"/>
      <c r="AQ889" s="1">
        <v>1</v>
      </c>
      <c r="AR889" s="1"/>
      <c r="AS889" s="1" t="s">
        <v>7455</v>
      </c>
      <c r="AT889" s="1">
        <v>0</v>
      </c>
      <c r="AU889" s="1">
        <v>0</v>
      </c>
      <c r="AV889" s="1">
        <v>0</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5" t="str">
        <f>HYPERLINK("http://www.d20pfsrd.com/magic/all-spells/t/tireless-pursuit","Tireless Pursuit")</f>
        <v>Tireless Pursuit</v>
      </c>
      <c r="BT889" s="1">
        <v>908</v>
      </c>
      <c r="BU889" s="1" t="s">
        <v>109</v>
      </c>
      <c r="BV889" s="1"/>
      <c r="BW889" s="1"/>
      <c r="BX889" s="1"/>
      <c r="BY889" s="1"/>
      <c r="BZ889" s="1">
        <v>0</v>
      </c>
      <c r="CA889" s="1" t="s">
        <v>109</v>
      </c>
      <c r="CB889" s="1" t="s">
        <v>109</v>
      </c>
      <c r="CC889" s="1" t="s">
        <v>109</v>
      </c>
      <c r="CD889" s="1" t="s">
        <v>109</v>
      </c>
      <c r="CE889" s="1" t="s">
        <v>109</v>
      </c>
      <c r="CF889" s="1" t="s">
        <v>109</v>
      </c>
      <c r="CG889" s="1" t="s">
        <v>109</v>
      </c>
      <c r="CH889" s="1" t="s">
        <v>109</v>
      </c>
      <c r="CI889" s="1" t="s">
        <v>109</v>
      </c>
      <c r="CJ889" s="1">
        <v>1</v>
      </c>
      <c r="CK889" s="1"/>
      <c r="CL889" s="1">
        <v>0</v>
      </c>
      <c r="CM889" s="1">
        <v>0</v>
      </c>
      <c r="CN889" s="1">
        <v>0</v>
      </c>
    </row>
    <row r="890" spans="1:92" ht="14.25" customHeight="1" x14ac:dyDescent="0.15">
      <c r="A890" s="1" t="s">
        <v>7456</v>
      </c>
      <c r="B890" s="1" t="s">
        <v>189</v>
      </c>
      <c r="C890" s="1"/>
      <c r="D890" s="1"/>
      <c r="E890" s="1" t="s">
        <v>7457</v>
      </c>
      <c r="F890" s="1" t="s">
        <v>98</v>
      </c>
      <c r="G890" s="1" t="s">
        <v>7458</v>
      </c>
      <c r="H890" s="1">
        <v>0</v>
      </c>
      <c r="I890" s="1" t="s">
        <v>161</v>
      </c>
      <c r="J890" s="1"/>
      <c r="K890" s="1"/>
      <c r="L890" s="1" t="s">
        <v>7459</v>
      </c>
      <c r="M890" s="1" t="s">
        <v>815</v>
      </c>
      <c r="N890" s="1">
        <v>1</v>
      </c>
      <c r="O890" s="1">
        <v>0</v>
      </c>
      <c r="P890" s="1" t="s">
        <v>1382</v>
      </c>
      <c r="Q890" s="1" t="s">
        <v>167</v>
      </c>
      <c r="R890" s="1" t="s">
        <v>7460</v>
      </c>
      <c r="S890" s="1" t="s">
        <v>7461</v>
      </c>
      <c r="T890" s="1" t="s">
        <v>5815</v>
      </c>
      <c r="U890" s="1" t="s">
        <v>7462</v>
      </c>
      <c r="V890" s="1">
        <v>1</v>
      </c>
      <c r="W890" s="1">
        <v>1</v>
      </c>
      <c r="X890" s="1">
        <v>1</v>
      </c>
      <c r="Y890" s="1">
        <v>0</v>
      </c>
      <c r="Z890" s="1">
        <v>0</v>
      </c>
      <c r="AA890" s="1" t="s">
        <v>109</v>
      </c>
      <c r="AB890" s="1" t="s">
        <v>109</v>
      </c>
      <c r="AC890" s="1" t="s">
        <v>109</v>
      </c>
      <c r="AD890" s="1" t="s">
        <v>109</v>
      </c>
      <c r="AE890" s="1">
        <v>3</v>
      </c>
      <c r="AF890" s="1" t="s">
        <v>109</v>
      </c>
      <c r="AG890" s="1" t="s">
        <v>109</v>
      </c>
      <c r="AH890" s="1" t="s">
        <v>109</v>
      </c>
      <c r="AI890" s="1" t="s">
        <v>109</v>
      </c>
      <c r="AJ890" s="1" t="s">
        <v>109</v>
      </c>
      <c r="AK890" s="1">
        <v>4</v>
      </c>
      <c r="AL890" s="1" t="s">
        <v>109</v>
      </c>
      <c r="AM890" s="1" t="s">
        <v>109</v>
      </c>
      <c r="AN890" s="1" t="s">
        <v>109</v>
      </c>
      <c r="AO890" s="1" t="s">
        <v>109</v>
      </c>
      <c r="AP890" s="1"/>
      <c r="AQ890" s="1">
        <v>3</v>
      </c>
      <c r="AR890" s="1"/>
      <c r="AS890" s="1" t="s">
        <v>7463</v>
      </c>
      <c r="AT890" s="1">
        <v>0</v>
      </c>
      <c r="AU890" s="1">
        <v>0</v>
      </c>
      <c r="AV890" s="1">
        <v>0</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5" t="str">
        <f>HYPERLINK("http://www.d20pfsrd.com/magic/all-spells/t/tireless-pursuers","Tireless Pursuers")</f>
        <v>Tireless Pursuers</v>
      </c>
      <c r="BT890" s="1">
        <v>909</v>
      </c>
      <c r="BU890" s="1" t="s">
        <v>109</v>
      </c>
      <c r="BV890" s="1"/>
      <c r="BW890" s="1"/>
      <c r="BX890" s="1"/>
      <c r="BY890" s="1"/>
      <c r="BZ890" s="1">
        <v>0</v>
      </c>
      <c r="CA890" s="1" t="s">
        <v>109</v>
      </c>
      <c r="CB890" s="1" t="s">
        <v>109</v>
      </c>
      <c r="CC890" s="1" t="s">
        <v>109</v>
      </c>
      <c r="CD890" s="1" t="s">
        <v>109</v>
      </c>
      <c r="CE890" s="1" t="s">
        <v>109</v>
      </c>
      <c r="CF890" s="1" t="s">
        <v>109</v>
      </c>
      <c r="CG890" s="1" t="s">
        <v>109</v>
      </c>
      <c r="CH890" s="1" t="s">
        <v>109</v>
      </c>
      <c r="CI890" s="1" t="s">
        <v>109</v>
      </c>
      <c r="CJ890" s="1">
        <v>3</v>
      </c>
      <c r="CK890" s="1"/>
      <c r="CL890" s="1">
        <v>0</v>
      </c>
      <c r="CM890" s="1">
        <v>0</v>
      </c>
      <c r="CN890" s="1">
        <v>0</v>
      </c>
    </row>
    <row r="891" spans="1:92" ht="14.25" customHeight="1" x14ac:dyDescent="0.15">
      <c r="A891" s="1" t="s">
        <v>7464</v>
      </c>
      <c r="B891" s="1" t="s">
        <v>189</v>
      </c>
      <c r="C891" s="1"/>
      <c r="D891" s="1"/>
      <c r="E891" s="1" t="s">
        <v>7465</v>
      </c>
      <c r="F891" s="1" t="s">
        <v>98</v>
      </c>
      <c r="G891" s="1" t="s">
        <v>141</v>
      </c>
      <c r="H891" s="1">
        <v>0</v>
      </c>
      <c r="I891" s="1" t="s">
        <v>161</v>
      </c>
      <c r="J891" s="1"/>
      <c r="K891" s="1"/>
      <c r="L891" s="1" t="s">
        <v>506</v>
      </c>
      <c r="M891" s="1" t="s">
        <v>125</v>
      </c>
      <c r="N891" s="1">
        <v>0</v>
      </c>
      <c r="O891" s="1">
        <v>0</v>
      </c>
      <c r="P891" s="1" t="s">
        <v>1410</v>
      </c>
      <c r="Q891" s="1" t="s">
        <v>268</v>
      </c>
      <c r="R891" s="1" t="s">
        <v>7466</v>
      </c>
      <c r="S891" s="1" t="s">
        <v>7467</v>
      </c>
      <c r="T891" s="1" t="s">
        <v>5815</v>
      </c>
      <c r="U891" s="1" t="s">
        <v>7468</v>
      </c>
      <c r="V891" s="1">
        <v>1</v>
      </c>
      <c r="W891" s="1">
        <v>1</v>
      </c>
      <c r="X891" s="1">
        <v>0</v>
      </c>
      <c r="Y891" s="1">
        <v>0</v>
      </c>
      <c r="Z891" s="1">
        <v>0</v>
      </c>
      <c r="AA891" s="1">
        <v>1</v>
      </c>
      <c r="AB891" s="1">
        <v>1</v>
      </c>
      <c r="AC891" s="1" t="s">
        <v>109</v>
      </c>
      <c r="AD891" s="1" t="s">
        <v>109</v>
      </c>
      <c r="AE891" s="1" t="s">
        <v>109</v>
      </c>
      <c r="AF891" s="1">
        <v>1</v>
      </c>
      <c r="AG891" s="1" t="s">
        <v>109</v>
      </c>
      <c r="AH891" s="1" t="s">
        <v>109</v>
      </c>
      <c r="AI891" s="1" t="s">
        <v>109</v>
      </c>
      <c r="AJ891" s="1" t="s">
        <v>109</v>
      </c>
      <c r="AK891" s="1" t="s">
        <v>109</v>
      </c>
      <c r="AL891" s="1" t="s">
        <v>109</v>
      </c>
      <c r="AM891" s="1" t="s">
        <v>109</v>
      </c>
      <c r="AN891" s="1" t="s">
        <v>109</v>
      </c>
      <c r="AO891" s="1" t="s">
        <v>109</v>
      </c>
      <c r="AP891" s="1"/>
      <c r="AQ891" s="1">
        <v>1</v>
      </c>
      <c r="AR891" s="1"/>
      <c r="AS891" s="1" t="s">
        <v>7469</v>
      </c>
      <c r="AT891" s="1">
        <v>0</v>
      </c>
      <c r="AU891" s="1">
        <v>0</v>
      </c>
      <c r="AV891" s="1">
        <v>0</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5" t="str">
        <f>HYPERLINK("http://www.d20pfsrd.com/magic/all-spells/t/touch-of-gracelessness","Touch of Gracelessness")</f>
        <v>Touch of Gracelessness</v>
      </c>
      <c r="BT891" s="1">
        <v>910</v>
      </c>
      <c r="BU891" s="1" t="s">
        <v>109</v>
      </c>
      <c r="BV891" s="1"/>
      <c r="BW891" s="1"/>
      <c r="BX891" s="1"/>
      <c r="BY891" s="1"/>
      <c r="BZ891" s="1">
        <v>0</v>
      </c>
      <c r="CA891" s="1">
        <v>1</v>
      </c>
      <c r="CB891" s="1" t="s">
        <v>109</v>
      </c>
      <c r="CC891" s="1" t="s">
        <v>109</v>
      </c>
      <c r="CD891" s="1" t="s">
        <v>109</v>
      </c>
      <c r="CE891" s="1">
        <v>1</v>
      </c>
      <c r="CF891" s="1" t="s">
        <v>109</v>
      </c>
      <c r="CG891" s="1">
        <v>1</v>
      </c>
      <c r="CH891" s="1" t="s">
        <v>109</v>
      </c>
      <c r="CI891" s="1" t="s">
        <v>109</v>
      </c>
      <c r="CJ891" s="1" t="s">
        <v>109</v>
      </c>
      <c r="CK891" s="1"/>
      <c r="CL891" s="1">
        <v>0</v>
      </c>
      <c r="CM891" s="1">
        <v>0</v>
      </c>
      <c r="CN891" s="1">
        <v>0</v>
      </c>
    </row>
    <row r="892" spans="1:92" ht="14.25" customHeight="1" x14ac:dyDescent="0.15">
      <c r="A892" s="1" t="s">
        <v>7470</v>
      </c>
      <c r="B892" s="1" t="s">
        <v>189</v>
      </c>
      <c r="C892" s="1"/>
      <c r="D892" s="1"/>
      <c r="E892" s="1" t="s">
        <v>7471</v>
      </c>
      <c r="F892" s="1" t="s">
        <v>98</v>
      </c>
      <c r="G892" s="1" t="s">
        <v>7472</v>
      </c>
      <c r="H892" s="1">
        <v>0</v>
      </c>
      <c r="I892" s="1" t="s">
        <v>161</v>
      </c>
      <c r="J892" s="1"/>
      <c r="K892" s="1"/>
      <c r="L892" s="1" t="s">
        <v>506</v>
      </c>
      <c r="M892" s="1" t="s">
        <v>3042</v>
      </c>
      <c r="N892" s="1">
        <v>0</v>
      </c>
      <c r="O892" s="1">
        <v>0</v>
      </c>
      <c r="P892" s="1" t="s">
        <v>1382</v>
      </c>
      <c r="Q892" s="1" t="s">
        <v>167</v>
      </c>
      <c r="R892" s="1" t="s">
        <v>7473</v>
      </c>
      <c r="S892" s="1" t="s">
        <v>7474</v>
      </c>
      <c r="T892" s="1" t="s">
        <v>5815</v>
      </c>
      <c r="U892" s="1" t="s">
        <v>7475</v>
      </c>
      <c r="V892" s="1">
        <v>1</v>
      </c>
      <c r="W892" s="1">
        <v>1</v>
      </c>
      <c r="X892" s="1">
        <v>1</v>
      </c>
      <c r="Y892" s="1">
        <v>0</v>
      </c>
      <c r="Z892" s="1">
        <v>0</v>
      </c>
      <c r="AA892" s="1">
        <v>1</v>
      </c>
      <c r="AB892" s="1">
        <v>1</v>
      </c>
      <c r="AC892" s="1" t="s">
        <v>109</v>
      </c>
      <c r="AD892" s="1">
        <v>1</v>
      </c>
      <c r="AE892" s="1" t="s">
        <v>109</v>
      </c>
      <c r="AF892" s="1" t="s">
        <v>109</v>
      </c>
      <c r="AG892" s="1" t="s">
        <v>109</v>
      </c>
      <c r="AH892" s="1">
        <v>1</v>
      </c>
      <c r="AI892" s="1" t="s">
        <v>109</v>
      </c>
      <c r="AJ892" s="1" t="s">
        <v>109</v>
      </c>
      <c r="AK892" s="1" t="s">
        <v>109</v>
      </c>
      <c r="AL892" s="1" t="s">
        <v>109</v>
      </c>
      <c r="AM892" s="1" t="s">
        <v>109</v>
      </c>
      <c r="AN892" s="1" t="s">
        <v>109</v>
      </c>
      <c r="AO892" s="1" t="s">
        <v>109</v>
      </c>
      <c r="AP892" s="1"/>
      <c r="AQ892" s="1">
        <v>1</v>
      </c>
      <c r="AR892" s="1"/>
      <c r="AS892" s="1" t="s">
        <v>7476</v>
      </c>
      <c r="AT892" s="1">
        <v>0</v>
      </c>
      <c r="AU892" s="1">
        <v>0</v>
      </c>
      <c r="AV892" s="1">
        <v>0</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5" t="str">
        <f>HYPERLINK("http://www.d20pfsrd.com/magic/all-spells/t/touch-of-the-sea","Touch of the Sea")</f>
        <v>Touch of the Sea</v>
      </c>
      <c r="BT892" s="1">
        <v>911</v>
      </c>
      <c r="BU892" s="1" t="s">
        <v>109</v>
      </c>
      <c r="BV892" s="1"/>
      <c r="BW892" s="1"/>
      <c r="BX892" s="1"/>
      <c r="BY892" s="1"/>
      <c r="BZ892" s="1">
        <v>0</v>
      </c>
      <c r="CA892" s="1">
        <v>1</v>
      </c>
      <c r="CB892" s="1" t="s">
        <v>109</v>
      </c>
      <c r="CC892" s="1" t="s">
        <v>109</v>
      </c>
      <c r="CD892" s="1" t="s">
        <v>109</v>
      </c>
      <c r="CE892" s="1" t="s">
        <v>109</v>
      </c>
      <c r="CF892" s="1" t="s">
        <v>109</v>
      </c>
      <c r="CG892" s="1" t="s">
        <v>109</v>
      </c>
      <c r="CH892" s="1" t="s">
        <v>109</v>
      </c>
      <c r="CI892" s="1" t="s">
        <v>109</v>
      </c>
      <c r="CJ892" s="1">
        <v>1</v>
      </c>
      <c r="CK892" s="1"/>
      <c r="CL892" s="1">
        <v>0</v>
      </c>
      <c r="CM892" s="1">
        <v>0</v>
      </c>
      <c r="CN892" s="1">
        <v>0</v>
      </c>
    </row>
    <row r="893" spans="1:92" ht="14.25" customHeight="1" x14ac:dyDescent="0.15">
      <c r="A893" s="1" t="s">
        <v>7477</v>
      </c>
      <c r="B893" s="1" t="s">
        <v>189</v>
      </c>
      <c r="C893" s="1"/>
      <c r="D893" s="1"/>
      <c r="E893" s="1" t="s">
        <v>6473</v>
      </c>
      <c r="F893" s="1" t="s">
        <v>377</v>
      </c>
      <c r="G893" s="1" t="s">
        <v>7478</v>
      </c>
      <c r="H893" s="1">
        <v>1</v>
      </c>
      <c r="I893" s="1" t="s">
        <v>161</v>
      </c>
      <c r="J893" s="1"/>
      <c r="K893" s="1"/>
      <c r="L893" s="1" t="s">
        <v>6461</v>
      </c>
      <c r="M893" s="1" t="s">
        <v>144</v>
      </c>
      <c r="N893" s="1">
        <v>0</v>
      </c>
      <c r="O893" s="1">
        <v>0</v>
      </c>
      <c r="P893" s="1" t="s">
        <v>507</v>
      </c>
      <c r="Q893" s="1" t="s">
        <v>104</v>
      </c>
      <c r="R893" s="1" t="s">
        <v>7479</v>
      </c>
      <c r="S893" s="1" t="s">
        <v>7480</v>
      </c>
      <c r="T893" s="1" t="s">
        <v>5815</v>
      </c>
      <c r="U893" s="1" t="s">
        <v>7481</v>
      </c>
      <c r="V893" s="1">
        <v>1</v>
      </c>
      <c r="W893" s="1">
        <v>1</v>
      </c>
      <c r="X893" s="1">
        <v>1</v>
      </c>
      <c r="Y893" s="1">
        <v>0</v>
      </c>
      <c r="Z893" s="1">
        <v>0</v>
      </c>
      <c r="AA893" s="1" t="s">
        <v>109</v>
      </c>
      <c r="AB893" s="1" t="s">
        <v>109</v>
      </c>
      <c r="AC893" s="1" t="s">
        <v>109</v>
      </c>
      <c r="AD893" s="1" t="s">
        <v>109</v>
      </c>
      <c r="AE893" s="1" t="s">
        <v>109</v>
      </c>
      <c r="AF893" s="1" t="s">
        <v>109</v>
      </c>
      <c r="AG893" s="1" t="s">
        <v>109</v>
      </c>
      <c r="AH893" s="1" t="s">
        <v>109</v>
      </c>
      <c r="AI893" s="1">
        <v>4</v>
      </c>
      <c r="AJ893" s="1" t="s">
        <v>109</v>
      </c>
      <c r="AK893" s="1" t="s">
        <v>109</v>
      </c>
      <c r="AL893" s="1" t="s">
        <v>109</v>
      </c>
      <c r="AM893" s="1" t="s">
        <v>109</v>
      </c>
      <c r="AN893" s="1" t="s">
        <v>109</v>
      </c>
      <c r="AO893" s="1" t="s">
        <v>109</v>
      </c>
      <c r="AP893" s="1"/>
      <c r="AQ893" s="1">
        <v>4</v>
      </c>
      <c r="AR893" s="1"/>
      <c r="AS893" s="1" t="s">
        <v>7482</v>
      </c>
      <c r="AT893" s="1">
        <v>0</v>
      </c>
      <c r="AU893" s="1">
        <v>0</v>
      </c>
      <c r="AV893" s="1">
        <v>0</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0</v>
      </c>
      <c r="BM893" s="1">
        <v>0</v>
      </c>
      <c r="BN893" s="1">
        <v>0</v>
      </c>
      <c r="BO893" s="1">
        <v>0</v>
      </c>
      <c r="BP893" s="1">
        <v>0</v>
      </c>
      <c r="BQ893" s="1">
        <v>0</v>
      </c>
      <c r="BR893" s="1">
        <v>0</v>
      </c>
      <c r="BS893" s="5" t="str">
        <f>HYPERLINK("http://www.d20pfsrd.com/magic/all-spells/t/transmogrify","Transmogrify")</f>
        <v>Transmogrify</v>
      </c>
      <c r="BT893" s="1">
        <v>912</v>
      </c>
      <c r="BU893" s="1">
        <v>1000</v>
      </c>
      <c r="BV893" s="1"/>
      <c r="BW893" s="1"/>
      <c r="BX893" s="1"/>
      <c r="BY893" s="1"/>
      <c r="BZ893" s="1">
        <v>0</v>
      </c>
      <c r="CA893" s="1" t="s">
        <v>109</v>
      </c>
      <c r="CB893" s="1" t="s">
        <v>109</v>
      </c>
      <c r="CC893" s="1" t="s">
        <v>109</v>
      </c>
      <c r="CD893" s="1" t="s">
        <v>109</v>
      </c>
      <c r="CE893" s="1" t="s">
        <v>109</v>
      </c>
      <c r="CF893" s="1" t="s">
        <v>109</v>
      </c>
      <c r="CG893" s="1" t="s">
        <v>109</v>
      </c>
      <c r="CH893" s="1" t="s">
        <v>109</v>
      </c>
      <c r="CI893" s="1" t="s">
        <v>109</v>
      </c>
      <c r="CJ893" s="1" t="s">
        <v>109</v>
      </c>
      <c r="CK893" s="1"/>
      <c r="CL893" s="1">
        <v>0</v>
      </c>
      <c r="CM893" s="1">
        <v>0</v>
      </c>
      <c r="CN893" s="1">
        <v>0</v>
      </c>
    </row>
    <row r="894" spans="1:92" ht="14.25" customHeight="1" x14ac:dyDescent="0.15">
      <c r="A894" s="1" t="s">
        <v>7483</v>
      </c>
      <c r="B894" s="1" t="s">
        <v>189</v>
      </c>
      <c r="C894" s="1"/>
      <c r="D894" s="1" t="s">
        <v>67</v>
      </c>
      <c r="E894" s="1" t="s">
        <v>5835</v>
      </c>
      <c r="F894" s="1" t="s">
        <v>98</v>
      </c>
      <c r="G894" s="1" t="s">
        <v>2345</v>
      </c>
      <c r="H894" s="1">
        <v>0</v>
      </c>
      <c r="I894" s="1" t="s">
        <v>235</v>
      </c>
      <c r="J894" s="1"/>
      <c r="K894" s="1"/>
      <c r="L894" s="1" t="s">
        <v>236</v>
      </c>
      <c r="M894" s="1" t="s">
        <v>7484</v>
      </c>
      <c r="N894" s="1">
        <v>0</v>
      </c>
      <c r="O894" s="1">
        <v>0</v>
      </c>
      <c r="P894" s="1"/>
      <c r="Q894" s="1"/>
      <c r="R894" s="1" t="s">
        <v>7485</v>
      </c>
      <c r="S894" s="1" t="s">
        <v>7486</v>
      </c>
      <c r="T894" s="1" t="s">
        <v>5815</v>
      </c>
      <c r="U894" s="1" t="s">
        <v>7487</v>
      </c>
      <c r="V894" s="1">
        <v>0</v>
      </c>
      <c r="W894" s="1">
        <v>1</v>
      </c>
      <c r="X894" s="1">
        <v>0</v>
      </c>
      <c r="Y894" s="1">
        <v>0</v>
      </c>
      <c r="Z894" s="1">
        <v>0</v>
      </c>
      <c r="AA894" s="1" t="s">
        <v>109</v>
      </c>
      <c r="AB894" s="1" t="s">
        <v>109</v>
      </c>
      <c r="AC894" s="1" t="s">
        <v>109</v>
      </c>
      <c r="AD894" s="1" t="s">
        <v>109</v>
      </c>
      <c r="AE894" s="1" t="s">
        <v>109</v>
      </c>
      <c r="AF894" s="1" t="s">
        <v>109</v>
      </c>
      <c r="AG894" s="1" t="s">
        <v>109</v>
      </c>
      <c r="AH894" s="1">
        <v>2</v>
      </c>
      <c r="AI894" s="1" t="s">
        <v>109</v>
      </c>
      <c r="AJ894" s="1" t="s">
        <v>109</v>
      </c>
      <c r="AK894" s="1" t="s">
        <v>109</v>
      </c>
      <c r="AL894" s="1" t="s">
        <v>109</v>
      </c>
      <c r="AM894" s="1" t="s">
        <v>109</v>
      </c>
      <c r="AN894" s="1" t="s">
        <v>109</v>
      </c>
      <c r="AO894" s="1" t="s">
        <v>109</v>
      </c>
      <c r="AP894" s="1"/>
      <c r="AQ894" s="1">
        <v>2</v>
      </c>
      <c r="AR894" s="1"/>
      <c r="AS894" s="1" t="s">
        <v>7488</v>
      </c>
      <c r="AT894" s="1">
        <v>0</v>
      </c>
      <c r="AU894" s="1">
        <v>0</v>
      </c>
      <c r="AV894" s="1">
        <v>0</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1</v>
      </c>
      <c r="BP894" s="1">
        <v>0</v>
      </c>
      <c r="BQ894" s="1">
        <v>0</v>
      </c>
      <c r="BR894" s="1">
        <v>0</v>
      </c>
      <c r="BS894" s="5" t="str">
        <f>HYPERLINK("http://www.d20pfsrd.com/magic/all-spells/t/transmute-potion-to-poison","Transmute Potion to Poison")</f>
        <v>Transmute Potion to Poison</v>
      </c>
      <c r="BT894" s="1">
        <v>913</v>
      </c>
      <c r="BU894" s="1" t="s">
        <v>109</v>
      </c>
      <c r="BV894" s="1"/>
      <c r="BW894" s="1"/>
      <c r="BX894" s="1"/>
      <c r="BY894" s="1"/>
      <c r="BZ894" s="1">
        <v>0</v>
      </c>
      <c r="CA894" s="1" t="s">
        <v>109</v>
      </c>
      <c r="CB894" s="1" t="s">
        <v>109</v>
      </c>
      <c r="CC894" s="1" t="s">
        <v>109</v>
      </c>
      <c r="CD894" s="1" t="s">
        <v>109</v>
      </c>
      <c r="CE894" s="1" t="s">
        <v>109</v>
      </c>
      <c r="CF894" s="1" t="s">
        <v>109</v>
      </c>
      <c r="CG894" s="1" t="s">
        <v>109</v>
      </c>
      <c r="CH894" s="1" t="s">
        <v>109</v>
      </c>
      <c r="CI894" s="1" t="s">
        <v>109</v>
      </c>
      <c r="CJ894" s="1" t="s">
        <v>109</v>
      </c>
      <c r="CK894" s="1"/>
      <c r="CL894" s="1">
        <v>0</v>
      </c>
      <c r="CM894" s="1">
        <v>0</v>
      </c>
      <c r="CN894" s="1">
        <v>0</v>
      </c>
    </row>
    <row r="895" spans="1:92" ht="14.25" customHeight="1" x14ac:dyDescent="0.15">
      <c r="A895" s="1" t="s">
        <v>7489</v>
      </c>
      <c r="B895" s="1" t="s">
        <v>189</v>
      </c>
      <c r="C895" s="1"/>
      <c r="D895" s="1"/>
      <c r="E895" s="1" t="s">
        <v>7490</v>
      </c>
      <c r="F895" s="1" t="s">
        <v>98</v>
      </c>
      <c r="G895" s="1" t="s">
        <v>7491</v>
      </c>
      <c r="H895" s="1">
        <v>1</v>
      </c>
      <c r="I895" s="1" t="s">
        <v>142</v>
      </c>
      <c r="J895" s="1"/>
      <c r="K895" s="1"/>
      <c r="L895" s="1" t="s">
        <v>7492</v>
      </c>
      <c r="M895" s="1" t="s">
        <v>5811</v>
      </c>
      <c r="N895" s="1">
        <v>1</v>
      </c>
      <c r="O895" s="1">
        <v>0</v>
      </c>
      <c r="P895" s="1" t="s">
        <v>5812</v>
      </c>
      <c r="Q895" s="1" t="s">
        <v>630</v>
      </c>
      <c r="R895" s="1" t="s">
        <v>7493</v>
      </c>
      <c r="S895" s="1" t="s">
        <v>7494</v>
      </c>
      <c r="T895" s="1" t="s">
        <v>5815</v>
      </c>
      <c r="U895" s="1" t="s">
        <v>7495</v>
      </c>
      <c r="V895" s="1">
        <v>1</v>
      </c>
      <c r="W895" s="1">
        <v>1</v>
      </c>
      <c r="X895" s="1">
        <v>1</v>
      </c>
      <c r="Y895" s="1">
        <v>0</v>
      </c>
      <c r="Z895" s="1">
        <v>0</v>
      </c>
      <c r="AA895" s="1">
        <v>5</v>
      </c>
      <c r="AB895" s="1">
        <v>5</v>
      </c>
      <c r="AC895" s="1">
        <v>5</v>
      </c>
      <c r="AD895" s="1" t="s">
        <v>109</v>
      </c>
      <c r="AE895" s="1" t="s">
        <v>109</v>
      </c>
      <c r="AF895" s="1">
        <v>4</v>
      </c>
      <c r="AG895" s="1" t="s">
        <v>109</v>
      </c>
      <c r="AH895" s="1" t="s">
        <v>109</v>
      </c>
      <c r="AI895" s="1" t="s">
        <v>109</v>
      </c>
      <c r="AJ895" s="1" t="s">
        <v>109</v>
      </c>
      <c r="AK895" s="1" t="s">
        <v>109</v>
      </c>
      <c r="AL895" s="1">
        <v>5</v>
      </c>
      <c r="AM895" s="1" t="s">
        <v>109</v>
      </c>
      <c r="AN895" s="1" t="s">
        <v>109</v>
      </c>
      <c r="AO895" s="1" t="s">
        <v>109</v>
      </c>
      <c r="AP895" s="1"/>
      <c r="AQ895" s="1">
        <v>5</v>
      </c>
      <c r="AR895" s="1"/>
      <c r="AS895" s="1" t="s">
        <v>7496</v>
      </c>
      <c r="AT895" s="1">
        <v>0</v>
      </c>
      <c r="AU895" s="1">
        <v>0</v>
      </c>
      <c r="AV895" s="1">
        <v>0</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5" t="str">
        <f>HYPERLINK("http://www.d20pfsrd.com/magic/all-spells/t/treasure-stitching","Treasure Stitching")</f>
        <v>Treasure Stitching</v>
      </c>
      <c r="BT895" s="1">
        <v>914</v>
      </c>
      <c r="BU895" s="1">
        <v>100</v>
      </c>
      <c r="BV895" s="1"/>
      <c r="BW895" s="1"/>
      <c r="BX895" s="1"/>
      <c r="BY895" s="1"/>
      <c r="BZ895" s="1">
        <v>0</v>
      </c>
      <c r="CA895" s="1" t="s">
        <v>109</v>
      </c>
      <c r="CB895" s="1" t="s">
        <v>109</v>
      </c>
      <c r="CC895" s="1" t="s">
        <v>109</v>
      </c>
      <c r="CD895" s="1" t="s">
        <v>109</v>
      </c>
      <c r="CE895" s="1" t="s">
        <v>109</v>
      </c>
      <c r="CF895" s="1">
        <v>4</v>
      </c>
      <c r="CG895" s="1" t="s">
        <v>109</v>
      </c>
      <c r="CH895" s="1" t="s">
        <v>109</v>
      </c>
      <c r="CI895" s="1" t="s">
        <v>109</v>
      </c>
      <c r="CJ895" s="1" t="s">
        <v>109</v>
      </c>
      <c r="CK895" s="1"/>
      <c r="CL895" s="1">
        <v>0</v>
      </c>
      <c r="CM895" s="1">
        <v>0</v>
      </c>
      <c r="CN895" s="1">
        <v>0</v>
      </c>
    </row>
    <row r="896" spans="1:92" ht="14.25" customHeight="1" x14ac:dyDescent="0.15">
      <c r="A896" s="1" t="s">
        <v>7497</v>
      </c>
      <c r="B896" s="1" t="s">
        <v>242</v>
      </c>
      <c r="C896" s="1"/>
      <c r="D896" s="1"/>
      <c r="E896" s="1" t="s">
        <v>7498</v>
      </c>
      <c r="F896" s="1" t="s">
        <v>98</v>
      </c>
      <c r="G896" s="1" t="s">
        <v>141</v>
      </c>
      <c r="H896" s="1">
        <v>0</v>
      </c>
      <c r="I896" s="1" t="s">
        <v>122</v>
      </c>
      <c r="J896" s="1"/>
      <c r="K896" s="1"/>
      <c r="L896" s="1" t="s">
        <v>7499</v>
      </c>
      <c r="M896" s="1" t="s">
        <v>125</v>
      </c>
      <c r="N896" s="1">
        <v>0</v>
      </c>
      <c r="O896" s="1">
        <v>0</v>
      </c>
      <c r="P896" s="1" t="s">
        <v>301</v>
      </c>
      <c r="Q896" s="1" t="s">
        <v>268</v>
      </c>
      <c r="R896" s="1" t="s">
        <v>7500</v>
      </c>
      <c r="S896" s="1" t="s">
        <v>7501</v>
      </c>
      <c r="T896" s="1" t="s">
        <v>5815</v>
      </c>
      <c r="U896" s="1" t="s">
        <v>7502</v>
      </c>
      <c r="V896" s="1">
        <v>1</v>
      </c>
      <c r="W896" s="1">
        <v>1</v>
      </c>
      <c r="X896" s="1">
        <v>0</v>
      </c>
      <c r="Y896" s="1">
        <v>0</v>
      </c>
      <c r="Z896" s="1">
        <v>0</v>
      </c>
      <c r="AA896" s="1">
        <v>4</v>
      </c>
      <c r="AB896" s="1">
        <v>4</v>
      </c>
      <c r="AC896" s="1" t="s">
        <v>109</v>
      </c>
      <c r="AD896" s="1">
        <v>4</v>
      </c>
      <c r="AE896" s="1" t="s">
        <v>109</v>
      </c>
      <c r="AF896" s="1" t="s">
        <v>109</v>
      </c>
      <c r="AG896" s="1" t="s">
        <v>109</v>
      </c>
      <c r="AH896" s="1" t="s">
        <v>109</v>
      </c>
      <c r="AI896" s="1" t="s">
        <v>109</v>
      </c>
      <c r="AJ896" s="1" t="s">
        <v>109</v>
      </c>
      <c r="AK896" s="1" t="s">
        <v>109</v>
      </c>
      <c r="AL896" s="1" t="s">
        <v>109</v>
      </c>
      <c r="AM896" s="1" t="s">
        <v>109</v>
      </c>
      <c r="AN896" s="1" t="s">
        <v>109</v>
      </c>
      <c r="AO896" s="1" t="s">
        <v>109</v>
      </c>
      <c r="AP896" s="1"/>
      <c r="AQ896" s="1">
        <v>4</v>
      </c>
      <c r="AR896" s="1"/>
      <c r="AS896" s="1" t="s">
        <v>7503</v>
      </c>
      <c r="AT896" s="1">
        <v>0</v>
      </c>
      <c r="AU896" s="1">
        <v>0</v>
      </c>
      <c r="AV896" s="1">
        <v>0</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5" t="str">
        <f>HYPERLINK("http://www.d20pfsrd.com/magic/all-spells/t/true-form","True Form")</f>
        <v>True Form</v>
      </c>
      <c r="BT896" s="1">
        <v>915</v>
      </c>
      <c r="BU896" s="1" t="s">
        <v>109</v>
      </c>
      <c r="BV896" s="1"/>
      <c r="BW896" s="1"/>
      <c r="BX896" s="1" t="s">
        <v>7504</v>
      </c>
      <c r="BY896" s="1" t="s">
        <v>7505</v>
      </c>
      <c r="BZ896" s="1">
        <v>1</v>
      </c>
      <c r="CA896" s="1" t="s">
        <v>109</v>
      </c>
      <c r="CB896" s="1" t="s">
        <v>109</v>
      </c>
      <c r="CC896" s="1">
        <v>4</v>
      </c>
      <c r="CD896" s="1" t="s">
        <v>109</v>
      </c>
      <c r="CE896" s="1" t="s">
        <v>109</v>
      </c>
      <c r="CF896" s="1">
        <v>4</v>
      </c>
      <c r="CG896" s="1" t="s">
        <v>109</v>
      </c>
      <c r="CH896" s="1" t="s">
        <v>109</v>
      </c>
      <c r="CI896" s="1" t="s">
        <v>109</v>
      </c>
      <c r="CJ896" s="1">
        <v>4</v>
      </c>
      <c r="CK896" s="1"/>
      <c r="CL896" s="1">
        <v>0</v>
      </c>
      <c r="CM896" s="1">
        <v>0</v>
      </c>
      <c r="CN896" s="1">
        <v>0</v>
      </c>
    </row>
    <row r="897" spans="1:92" ht="14.25" customHeight="1" x14ac:dyDescent="0.15">
      <c r="A897" s="1" t="s">
        <v>7506</v>
      </c>
      <c r="B897" s="1" t="s">
        <v>95</v>
      </c>
      <c r="C897" s="1" t="s">
        <v>96</v>
      </c>
      <c r="D897" s="1" t="s">
        <v>70</v>
      </c>
      <c r="E897" s="1" t="s">
        <v>4358</v>
      </c>
      <c r="F897" s="1" t="s">
        <v>98</v>
      </c>
      <c r="G897" s="1" t="s">
        <v>141</v>
      </c>
      <c r="H897" s="1">
        <v>0</v>
      </c>
      <c r="I897" s="1" t="s">
        <v>100</v>
      </c>
      <c r="J897" s="1"/>
      <c r="K897" s="1" t="s">
        <v>7507</v>
      </c>
      <c r="L897" s="1"/>
      <c r="M897" s="1" t="s">
        <v>7508</v>
      </c>
      <c r="N897" s="1">
        <v>0</v>
      </c>
      <c r="O897" s="1">
        <v>0</v>
      </c>
      <c r="P897" s="1" t="s">
        <v>211</v>
      </c>
      <c r="Q897" s="1" t="s">
        <v>104</v>
      </c>
      <c r="R897" s="1" t="s">
        <v>7509</v>
      </c>
      <c r="S897" s="1" t="s">
        <v>7510</v>
      </c>
      <c r="T897" s="1" t="s">
        <v>5815</v>
      </c>
      <c r="U897" s="1" t="s">
        <v>7511</v>
      </c>
      <c r="V897" s="1">
        <v>1</v>
      </c>
      <c r="W897" s="1">
        <v>1</v>
      </c>
      <c r="X897" s="1">
        <v>0</v>
      </c>
      <c r="Y897" s="1">
        <v>0</v>
      </c>
      <c r="Z897" s="1">
        <v>0</v>
      </c>
      <c r="AA897" s="1">
        <v>9</v>
      </c>
      <c r="AB897" s="1">
        <v>9</v>
      </c>
      <c r="AC897" s="1" t="s">
        <v>109</v>
      </c>
      <c r="AD897" s="1">
        <v>9</v>
      </c>
      <c r="AE897" s="1" t="s">
        <v>109</v>
      </c>
      <c r="AF897" s="1" t="s">
        <v>109</v>
      </c>
      <c r="AG897" s="1" t="s">
        <v>109</v>
      </c>
      <c r="AH897" s="1" t="s">
        <v>109</v>
      </c>
      <c r="AI897" s="1" t="s">
        <v>109</v>
      </c>
      <c r="AJ897" s="1" t="s">
        <v>109</v>
      </c>
      <c r="AK897" s="1" t="s">
        <v>109</v>
      </c>
      <c r="AL897" s="1" t="s">
        <v>109</v>
      </c>
      <c r="AM897" s="1" t="s">
        <v>109</v>
      </c>
      <c r="AN897" s="1" t="s">
        <v>109</v>
      </c>
      <c r="AO897" s="1" t="s">
        <v>109</v>
      </c>
      <c r="AP897" s="1"/>
      <c r="AQ897" s="1">
        <v>9</v>
      </c>
      <c r="AR897" s="1" t="s">
        <v>7512</v>
      </c>
      <c r="AS897" s="1" t="s">
        <v>7513</v>
      </c>
      <c r="AT897" s="1">
        <v>0</v>
      </c>
      <c r="AU897" s="1">
        <v>0</v>
      </c>
      <c r="AV897" s="1">
        <v>0</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1</v>
      </c>
      <c r="BS897" s="5" t="str">
        <f>HYPERLINK("http://www.d20pfsrd.com/magic/all-spells/t/tsunami","Tsunami")</f>
        <v>Tsunami</v>
      </c>
      <c r="BT897" s="1">
        <v>916</v>
      </c>
      <c r="BU897" s="1" t="s">
        <v>109</v>
      </c>
      <c r="BV897" s="1"/>
      <c r="BW897" s="1" t="s">
        <v>7514</v>
      </c>
      <c r="BX897" s="1" t="s">
        <v>7515</v>
      </c>
      <c r="BY897" s="1" t="s">
        <v>7516</v>
      </c>
      <c r="BZ897" s="1">
        <v>1</v>
      </c>
      <c r="CA897" s="1" t="s">
        <v>109</v>
      </c>
      <c r="CB897" s="1">
        <v>9</v>
      </c>
      <c r="CC897" s="1" t="s">
        <v>109</v>
      </c>
      <c r="CD897" s="1" t="s">
        <v>109</v>
      </c>
      <c r="CE897" s="1" t="s">
        <v>109</v>
      </c>
      <c r="CF897" s="1" t="s">
        <v>109</v>
      </c>
      <c r="CG897" s="1" t="s">
        <v>109</v>
      </c>
      <c r="CH897" s="1" t="s">
        <v>109</v>
      </c>
      <c r="CI897" s="1" t="s">
        <v>109</v>
      </c>
      <c r="CJ897" s="1" t="s">
        <v>109</v>
      </c>
      <c r="CK897" s="1"/>
      <c r="CL897" s="1">
        <v>0</v>
      </c>
      <c r="CM897" s="1">
        <v>0</v>
      </c>
      <c r="CN897" s="1">
        <v>0</v>
      </c>
    </row>
    <row r="898" spans="1:92" ht="14.25" customHeight="1" x14ac:dyDescent="0.15">
      <c r="A898" s="1" t="s">
        <v>7517</v>
      </c>
      <c r="B898" s="1" t="s">
        <v>584</v>
      </c>
      <c r="C898" s="1"/>
      <c r="D898" s="1" t="s">
        <v>60</v>
      </c>
      <c r="E898" s="1" t="s">
        <v>7518</v>
      </c>
      <c r="F898" s="1" t="s">
        <v>98</v>
      </c>
      <c r="G898" s="1" t="s">
        <v>7519</v>
      </c>
      <c r="H898" s="1">
        <v>0</v>
      </c>
      <c r="I898" s="1" t="s">
        <v>142</v>
      </c>
      <c r="J898" s="1"/>
      <c r="K898" s="1" t="s">
        <v>7520</v>
      </c>
      <c r="L898" s="1"/>
      <c r="M898" s="1" t="s">
        <v>574</v>
      </c>
      <c r="N898" s="1">
        <v>1</v>
      </c>
      <c r="O898" s="1">
        <v>0</v>
      </c>
      <c r="P898" s="1" t="s">
        <v>103</v>
      </c>
      <c r="Q898" s="1" t="s">
        <v>268</v>
      </c>
      <c r="R898" s="1" t="s">
        <v>7521</v>
      </c>
      <c r="S898" s="1" t="s">
        <v>7522</v>
      </c>
      <c r="T898" s="1" t="s">
        <v>5815</v>
      </c>
      <c r="U898" s="1" t="s">
        <v>7523</v>
      </c>
      <c r="V898" s="1">
        <v>1</v>
      </c>
      <c r="W898" s="1">
        <v>1</v>
      </c>
      <c r="X898" s="1">
        <v>0</v>
      </c>
      <c r="Y898" s="1">
        <v>0</v>
      </c>
      <c r="Z898" s="1">
        <v>0</v>
      </c>
      <c r="AA898" s="1">
        <v>3</v>
      </c>
      <c r="AB898" s="1">
        <v>3</v>
      </c>
      <c r="AC898" s="1" t="s">
        <v>109</v>
      </c>
      <c r="AD898" s="1" t="s">
        <v>109</v>
      </c>
      <c r="AE898" s="1" t="s">
        <v>109</v>
      </c>
      <c r="AF898" s="1" t="s">
        <v>109</v>
      </c>
      <c r="AG898" s="1" t="s">
        <v>109</v>
      </c>
      <c r="AH898" s="1" t="s">
        <v>109</v>
      </c>
      <c r="AI898" s="1" t="s">
        <v>109</v>
      </c>
      <c r="AJ898" s="1">
        <v>3</v>
      </c>
      <c r="AK898" s="1" t="s">
        <v>109</v>
      </c>
      <c r="AL898" s="1" t="s">
        <v>109</v>
      </c>
      <c r="AM898" s="1" t="s">
        <v>109</v>
      </c>
      <c r="AN898" s="1" t="s">
        <v>109</v>
      </c>
      <c r="AO898" s="1" t="s">
        <v>109</v>
      </c>
      <c r="AP898" s="1"/>
      <c r="AQ898" s="1">
        <v>3</v>
      </c>
      <c r="AR898" s="1"/>
      <c r="AS898" s="1" t="s">
        <v>7524</v>
      </c>
      <c r="AT898" s="1">
        <v>0</v>
      </c>
      <c r="AU898" s="1">
        <v>0</v>
      </c>
      <c r="AV898" s="1">
        <v>0</v>
      </c>
      <c r="AW898" s="1">
        <v>0</v>
      </c>
      <c r="AX898" s="1">
        <v>0</v>
      </c>
      <c r="AY898" s="1">
        <v>0</v>
      </c>
      <c r="AZ898" s="1">
        <v>0</v>
      </c>
      <c r="BA898" s="1">
        <v>0</v>
      </c>
      <c r="BB898" s="1">
        <v>0</v>
      </c>
      <c r="BC898" s="1">
        <v>0</v>
      </c>
      <c r="BD898" s="1">
        <v>0</v>
      </c>
      <c r="BE898" s="1">
        <v>0</v>
      </c>
      <c r="BF898" s="1">
        <v>0</v>
      </c>
      <c r="BG898" s="1">
        <v>0</v>
      </c>
      <c r="BH898" s="1">
        <v>1</v>
      </c>
      <c r="BI898" s="1">
        <v>0</v>
      </c>
      <c r="BJ898" s="1">
        <v>0</v>
      </c>
      <c r="BK898" s="1">
        <v>0</v>
      </c>
      <c r="BL898" s="1">
        <v>0</v>
      </c>
      <c r="BM898" s="1">
        <v>0</v>
      </c>
      <c r="BN898" s="1">
        <v>0</v>
      </c>
      <c r="BO898" s="1">
        <v>0</v>
      </c>
      <c r="BP898" s="1">
        <v>0</v>
      </c>
      <c r="BQ898" s="1">
        <v>0</v>
      </c>
      <c r="BR898" s="1">
        <v>0</v>
      </c>
      <c r="BS898" s="5" t="str">
        <f>HYPERLINK("http://www.d20pfsrd.com/magic/all-spells/t/twilight-knife","Twilight Knife")</f>
        <v>Twilight Knife</v>
      </c>
      <c r="BT898" s="1">
        <v>917</v>
      </c>
      <c r="BU898" s="1" t="s">
        <v>109</v>
      </c>
      <c r="BV898" s="1"/>
      <c r="BW898" s="1" t="s">
        <v>7525</v>
      </c>
      <c r="BX898" s="1"/>
      <c r="BY898" s="1"/>
      <c r="BZ898" s="1">
        <v>0</v>
      </c>
      <c r="CA898" s="1">
        <v>3</v>
      </c>
      <c r="CB898" s="1" t="s">
        <v>109</v>
      </c>
      <c r="CC898" s="1">
        <v>3</v>
      </c>
      <c r="CD898" s="1" t="s">
        <v>109</v>
      </c>
      <c r="CE898" s="1" t="s">
        <v>109</v>
      </c>
      <c r="CF898" s="1">
        <v>3</v>
      </c>
      <c r="CG898" s="1">
        <v>3</v>
      </c>
      <c r="CH898" s="1" t="s">
        <v>109</v>
      </c>
      <c r="CI898" s="1" t="s">
        <v>109</v>
      </c>
      <c r="CJ898" s="1" t="s">
        <v>109</v>
      </c>
      <c r="CK898" s="1"/>
      <c r="CL898" s="1">
        <v>0</v>
      </c>
      <c r="CM898" s="1">
        <v>0</v>
      </c>
      <c r="CN898" s="1">
        <v>0</v>
      </c>
    </row>
    <row r="899" spans="1:92" ht="14.25" customHeight="1" x14ac:dyDescent="0.15">
      <c r="A899" s="1" t="s">
        <v>7526</v>
      </c>
      <c r="B899" s="1" t="s">
        <v>189</v>
      </c>
      <c r="C899" s="1"/>
      <c r="D899" s="1"/>
      <c r="E899" s="1" t="s">
        <v>7527</v>
      </c>
      <c r="F899" s="1" t="s">
        <v>98</v>
      </c>
      <c r="G899" s="1" t="s">
        <v>7528</v>
      </c>
      <c r="H899" s="1">
        <v>0</v>
      </c>
      <c r="I899" s="1" t="s">
        <v>235</v>
      </c>
      <c r="J899" s="1"/>
      <c r="K899" s="1"/>
      <c r="L899" s="1" t="s">
        <v>236</v>
      </c>
      <c r="M899" s="1" t="s">
        <v>7529</v>
      </c>
      <c r="N899" s="1">
        <v>1</v>
      </c>
      <c r="O899" s="1">
        <v>0</v>
      </c>
      <c r="P899" s="1"/>
      <c r="Q899" s="1"/>
      <c r="R899" s="1" t="s">
        <v>7530</v>
      </c>
      <c r="S899" s="1" t="s">
        <v>7531</v>
      </c>
      <c r="T899" s="1" t="s">
        <v>5815</v>
      </c>
      <c r="U899" s="1" t="s">
        <v>7532</v>
      </c>
      <c r="V899" s="1">
        <v>1</v>
      </c>
      <c r="W899" s="1">
        <v>1</v>
      </c>
      <c r="X899" s="1">
        <v>1</v>
      </c>
      <c r="Y899" s="1">
        <v>0</v>
      </c>
      <c r="Z899" s="1">
        <v>0</v>
      </c>
      <c r="AA899" s="1" t="s">
        <v>109</v>
      </c>
      <c r="AB899" s="1" t="s">
        <v>109</v>
      </c>
      <c r="AC899" s="1" t="s">
        <v>109</v>
      </c>
      <c r="AD899" s="1" t="s">
        <v>109</v>
      </c>
      <c r="AE899" s="1" t="s">
        <v>109</v>
      </c>
      <c r="AF899" s="1" t="s">
        <v>109</v>
      </c>
      <c r="AG899" s="1" t="s">
        <v>109</v>
      </c>
      <c r="AH899" s="1">
        <v>6</v>
      </c>
      <c r="AI899" s="1" t="s">
        <v>109</v>
      </c>
      <c r="AJ899" s="1" t="s">
        <v>109</v>
      </c>
      <c r="AK899" s="1" t="s">
        <v>109</v>
      </c>
      <c r="AL899" s="1" t="s">
        <v>109</v>
      </c>
      <c r="AM899" s="1" t="s">
        <v>109</v>
      </c>
      <c r="AN899" s="1" t="s">
        <v>109</v>
      </c>
      <c r="AO899" s="1" t="s">
        <v>109</v>
      </c>
      <c r="AP899" s="1"/>
      <c r="AQ899" s="1">
        <v>6</v>
      </c>
      <c r="AR899" s="1"/>
      <c r="AS899" s="1" t="s">
        <v>7533</v>
      </c>
      <c r="AT899" s="1">
        <v>0</v>
      </c>
      <c r="AU899" s="1">
        <v>0</v>
      </c>
      <c r="AV899" s="1">
        <v>0</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5" t="str">
        <f>HYPERLINK("http://www.d20pfsrd.com/magic/all-spells/t/twin-form","Twin Form")</f>
        <v>Twin Form</v>
      </c>
      <c r="BT899" s="1">
        <v>918</v>
      </c>
      <c r="BU899" s="1" t="s">
        <v>109</v>
      </c>
      <c r="BV899" s="1"/>
      <c r="BW899" s="1"/>
      <c r="BX899" s="1"/>
      <c r="BY899" s="1"/>
      <c r="BZ899" s="1">
        <v>0</v>
      </c>
      <c r="CA899" s="1" t="s">
        <v>109</v>
      </c>
      <c r="CB899" s="1" t="s">
        <v>109</v>
      </c>
      <c r="CC899" s="1" t="s">
        <v>109</v>
      </c>
      <c r="CD899" s="1" t="s">
        <v>109</v>
      </c>
      <c r="CE899" s="1" t="s">
        <v>109</v>
      </c>
      <c r="CF899" s="1" t="s">
        <v>109</v>
      </c>
      <c r="CG899" s="1" t="s">
        <v>109</v>
      </c>
      <c r="CH899" s="1" t="s">
        <v>109</v>
      </c>
      <c r="CI899" s="1" t="s">
        <v>109</v>
      </c>
      <c r="CJ899" s="1" t="s">
        <v>109</v>
      </c>
      <c r="CK899" s="1"/>
      <c r="CL899" s="1">
        <v>0</v>
      </c>
      <c r="CM899" s="1">
        <v>0</v>
      </c>
      <c r="CN899" s="1">
        <v>0</v>
      </c>
    </row>
    <row r="900" spans="1:92" ht="14.25" customHeight="1" x14ac:dyDescent="0.15">
      <c r="A900" s="1" t="s">
        <v>7534</v>
      </c>
      <c r="B900" s="1" t="s">
        <v>189</v>
      </c>
      <c r="C900" s="1"/>
      <c r="D900" s="1"/>
      <c r="E900" s="1" t="s">
        <v>7084</v>
      </c>
      <c r="F900" s="1" t="s">
        <v>98</v>
      </c>
      <c r="G900" s="1" t="s">
        <v>7535</v>
      </c>
      <c r="H900" s="1">
        <v>0</v>
      </c>
      <c r="I900" s="1" t="s">
        <v>122</v>
      </c>
      <c r="J900" s="1"/>
      <c r="K900" s="1"/>
      <c r="L900" s="1" t="s">
        <v>6461</v>
      </c>
      <c r="M900" s="1" t="s">
        <v>5642</v>
      </c>
      <c r="N900" s="1">
        <v>0</v>
      </c>
      <c r="O900" s="1">
        <v>0</v>
      </c>
      <c r="P900" s="1" t="s">
        <v>507</v>
      </c>
      <c r="Q900" s="1" t="s">
        <v>104</v>
      </c>
      <c r="R900" s="1" t="s">
        <v>7536</v>
      </c>
      <c r="S900" s="1" t="s">
        <v>7537</v>
      </c>
      <c r="T900" s="1" t="s">
        <v>5815</v>
      </c>
      <c r="U900" s="1" t="s">
        <v>7538</v>
      </c>
      <c r="V900" s="1">
        <v>1</v>
      </c>
      <c r="W900" s="1">
        <v>1</v>
      </c>
      <c r="X900" s="1">
        <v>1</v>
      </c>
      <c r="Y900" s="1">
        <v>0</v>
      </c>
      <c r="Z900" s="1">
        <v>0</v>
      </c>
      <c r="AA900" s="1" t="s">
        <v>109</v>
      </c>
      <c r="AB900" s="1" t="s">
        <v>109</v>
      </c>
      <c r="AC900" s="1" t="s">
        <v>109</v>
      </c>
      <c r="AD900" s="1" t="s">
        <v>109</v>
      </c>
      <c r="AE900" s="1" t="s">
        <v>109</v>
      </c>
      <c r="AF900" s="1" t="s">
        <v>109</v>
      </c>
      <c r="AG900" s="1" t="s">
        <v>109</v>
      </c>
      <c r="AH900" s="1" t="s">
        <v>109</v>
      </c>
      <c r="AI900" s="1">
        <v>1</v>
      </c>
      <c r="AJ900" s="1" t="s">
        <v>109</v>
      </c>
      <c r="AK900" s="1" t="s">
        <v>109</v>
      </c>
      <c r="AL900" s="1" t="s">
        <v>109</v>
      </c>
      <c r="AM900" s="1" t="s">
        <v>109</v>
      </c>
      <c r="AN900" s="1" t="s">
        <v>109</v>
      </c>
      <c r="AO900" s="1" t="s">
        <v>109</v>
      </c>
      <c r="AP900" s="1"/>
      <c r="AQ900" s="1">
        <v>1</v>
      </c>
      <c r="AR900" s="1"/>
      <c r="AS900" s="1" t="s">
        <v>7539</v>
      </c>
      <c r="AT900" s="1">
        <v>0</v>
      </c>
      <c r="AU900" s="1">
        <v>0</v>
      </c>
      <c r="AV900" s="1">
        <v>0</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5" t="str">
        <f>HYPERLINK("http://www.d20pfsrd.com/magic/all-spells/u/unfett-er","Unfett er")</f>
        <v>Unfett er</v>
      </c>
      <c r="BT900" s="1">
        <v>919</v>
      </c>
      <c r="BU900" s="1" t="s">
        <v>109</v>
      </c>
      <c r="BV900" s="1"/>
      <c r="BW900" s="1"/>
      <c r="BX900" s="1"/>
      <c r="BY900" s="1"/>
      <c r="BZ900" s="1">
        <v>0</v>
      </c>
      <c r="CA900" s="1" t="s">
        <v>109</v>
      </c>
      <c r="CB900" s="1" t="s">
        <v>109</v>
      </c>
      <c r="CC900" s="1" t="s">
        <v>109</v>
      </c>
      <c r="CD900" s="1" t="s">
        <v>109</v>
      </c>
      <c r="CE900" s="1" t="s">
        <v>109</v>
      </c>
      <c r="CF900" s="1" t="s">
        <v>109</v>
      </c>
      <c r="CG900" s="1" t="s">
        <v>109</v>
      </c>
      <c r="CH900" s="1" t="s">
        <v>109</v>
      </c>
      <c r="CI900" s="1" t="s">
        <v>109</v>
      </c>
      <c r="CJ900" s="1" t="s">
        <v>109</v>
      </c>
      <c r="CK900" s="1"/>
      <c r="CL900" s="1">
        <v>0</v>
      </c>
      <c r="CM900" s="1">
        <v>0</v>
      </c>
      <c r="CN900" s="1">
        <v>0</v>
      </c>
    </row>
    <row r="901" spans="1:92" ht="14.25" customHeight="1" x14ac:dyDescent="0.15">
      <c r="A901" s="1" t="s">
        <v>7540</v>
      </c>
      <c r="B901" s="1" t="s">
        <v>189</v>
      </c>
      <c r="C901" s="1"/>
      <c r="D901" s="1"/>
      <c r="E901" s="1" t="s">
        <v>7541</v>
      </c>
      <c r="F901" s="1" t="s">
        <v>98</v>
      </c>
      <c r="G901" s="1" t="s">
        <v>7542</v>
      </c>
      <c r="H901" s="1">
        <v>1</v>
      </c>
      <c r="I901" s="1" t="s">
        <v>235</v>
      </c>
      <c r="J901" s="1"/>
      <c r="K901" s="1"/>
      <c r="L901" s="1" t="s">
        <v>236</v>
      </c>
      <c r="M901" s="1" t="s">
        <v>144</v>
      </c>
      <c r="N901" s="1">
        <v>0</v>
      </c>
      <c r="O901" s="1">
        <v>0</v>
      </c>
      <c r="P901" s="1"/>
      <c r="Q901" s="1"/>
      <c r="R901" s="1" t="s">
        <v>7543</v>
      </c>
      <c r="S901" s="1" t="s">
        <v>7544</v>
      </c>
      <c r="T901" s="1" t="s">
        <v>5815</v>
      </c>
      <c r="U901" s="1" t="s">
        <v>7545</v>
      </c>
      <c r="V901" s="1">
        <v>1</v>
      </c>
      <c r="W901" s="1">
        <v>1</v>
      </c>
      <c r="X901" s="1">
        <v>1</v>
      </c>
      <c r="Y901" s="1">
        <v>0</v>
      </c>
      <c r="Z901" s="1">
        <v>0</v>
      </c>
      <c r="AA901" s="1" t="s">
        <v>109</v>
      </c>
      <c r="AB901" s="1" t="s">
        <v>109</v>
      </c>
      <c r="AC901" s="1" t="s">
        <v>109</v>
      </c>
      <c r="AD901" s="1" t="s">
        <v>109</v>
      </c>
      <c r="AE901" s="1" t="s">
        <v>109</v>
      </c>
      <c r="AF901" s="1" t="s">
        <v>109</v>
      </c>
      <c r="AG901" s="1" t="s">
        <v>109</v>
      </c>
      <c r="AH901" s="1">
        <v>4</v>
      </c>
      <c r="AI901" s="1" t="s">
        <v>109</v>
      </c>
      <c r="AJ901" s="1" t="s">
        <v>109</v>
      </c>
      <c r="AK901" s="1" t="s">
        <v>109</v>
      </c>
      <c r="AL901" s="1" t="s">
        <v>109</v>
      </c>
      <c r="AM901" s="1" t="s">
        <v>109</v>
      </c>
      <c r="AN901" s="1" t="s">
        <v>109</v>
      </c>
      <c r="AO901" s="1" t="s">
        <v>109</v>
      </c>
      <c r="AP901" s="1"/>
      <c r="AQ901" s="1">
        <v>4</v>
      </c>
      <c r="AR901" s="1"/>
      <c r="AS901" s="1" t="s">
        <v>7546</v>
      </c>
      <c r="AT901" s="1">
        <v>0</v>
      </c>
      <c r="AU901" s="1">
        <v>0</v>
      </c>
      <c r="AV901" s="1">
        <v>0</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5" t="str">
        <f>HYPERLINK("http://www.d20pfsrd.com/magic/all-spells/u/universal-formula","Universal Formula")</f>
        <v>Universal Formula</v>
      </c>
      <c r="BT901" s="1">
        <v>920</v>
      </c>
      <c r="BU901" s="1">
        <v>100</v>
      </c>
      <c r="BV901" s="1"/>
      <c r="BW901" s="1"/>
      <c r="BX901" s="1"/>
      <c r="BY901" s="1"/>
      <c r="BZ901" s="1">
        <v>0</v>
      </c>
      <c r="CA901" s="1" t="s">
        <v>109</v>
      </c>
      <c r="CB901" s="1" t="s">
        <v>109</v>
      </c>
      <c r="CC901" s="1" t="s">
        <v>109</v>
      </c>
      <c r="CD901" s="1" t="s">
        <v>109</v>
      </c>
      <c r="CE901" s="1" t="s">
        <v>109</v>
      </c>
      <c r="CF901" s="1" t="s">
        <v>109</v>
      </c>
      <c r="CG901" s="1" t="s">
        <v>109</v>
      </c>
      <c r="CH901" s="1" t="s">
        <v>109</v>
      </c>
      <c r="CI901" s="1" t="s">
        <v>109</v>
      </c>
      <c r="CJ901" s="1" t="s">
        <v>109</v>
      </c>
      <c r="CK901" s="1"/>
      <c r="CL901" s="1">
        <v>0</v>
      </c>
      <c r="CM901" s="1">
        <v>0</v>
      </c>
      <c r="CN901" s="1">
        <v>0</v>
      </c>
    </row>
    <row r="902" spans="1:92" ht="14.25" customHeight="1" x14ac:dyDescent="0.15">
      <c r="A902" s="1" t="s">
        <v>7547</v>
      </c>
      <c r="B902" s="1" t="s">
        <v>308</v>
      </c>
      <c r="C902" s="1"/>
      <c r="D902" s="1"/>
      <c r="E902" s="1" t="s">
        <v>7548</v>
      </c>
      <c r="F902" s="1" t="s">
        <v>98</v>
      </c>
      <c r="G902" s="1" t="s">
        <v>7549</v>
      </c>
      <c r="H902" s="1">
        <v>1</v>
      </c>
      <c r="I902" s="1" t="s">
        <v>142</v>
      </c>
      <c r="J902" s="1"/>
      <c r="K902" s="1"/>
      <c r="L902" s="1" t="s">
        <v>1391</v>
      </c>
      <c r="M902" s="1" t="s">
        <v>574</v>
      </c>
      <c r="N902" s="1">
        <v>1</v>
      </c>
      <c r="O902" s="1">
        <v>0</v>
      </c>
      <c r="P902" s="1" t="s">
        <v>301</v>
      </c>
      <c r="Q902" s="1" t="s">
        <v>268</v>
      </c>
      <c r="R902" s="1" t="s">
        <v>7550</v>
      </c>
      <c r="S902" s="1" t="s">
        <v>7551</v>
      </c>
      <c r="T902" s="1" t="s">
        <v>5815</v>
      </c>
      <c r="U902" s="1" t="s">
        <v>7552</v>
      </c>
      <c r="V902" s="1">
        <v>1</v>
      </c>
      <c r="W902" s="1">
        <v>1</v>
      </c>
      <c r="X902" s="1">
        <v>1</v>
      </c>
      <c r="Y902" s="1">
        <v>0</v>
      </c>
      <c r="Z902" s="1">
        <v>0</v>
      </c>
      <c r="AA902" s="1">
        <v>6</v>
      </c>
      <c r="AB902" s="1">
        <v>6</v>
      </c>
      <c r="AC902" s="1" t="s">
        <v>109</v>
      </c>
      <c r="AD902" s="1" t="s">
        <v>109</v>
      </c>
      <c r="AE902" s="1" t="s">
        <v>109</v>
      </c>
      <c r="AF902" s="1">
        <v>5</v>
      </c>
      <c r="AG902" s="1" t="s">
        <v>109</v>
      </c>
      <c r="AH902" s="1" t="s">
        <v>109</v>
      </c>
      <c r="AI902" s="1" t="s">
        <v>109</v>
      </c>
      <c r="AJ902" s="1">
        <v>6</v>
      </c>
      <c r="AK902" s="1">
        <v>5</v>
      </c>
      <c r="AL902" s="1" t="s">
        <v>109</v>
      </c>
      <c r="AM902" s="1" t="s">
        <v>109</v>
      </c>
      <c r="AN902" s="1" t="s">
        <v>109</v>
      </c>
      <c r="AO902" s="1" t="s">
        <v>109</v>
      </c>
      <c r="AP902" s="1"/>
      <c r="AQ902" s="1">
        <v>6</v>
      </c>
      <c r="AR902" s="1"/>
      <c r="AS902" s="1" t="s">
        <v>7553</v>
      </c>
      <c r="AT902" s="1">
        <v>0</v>
      </c>
      <c r="AU902" s="1">
        <v>0</v>
      </c>
      <c r="AV902" s="1">
        <v>0</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0</v>
      </c>
      <c r="BM902" s="1">
        <v>0</v>
      </c>
      <c r="BN902" s="1">
        <v>0</v>
      </c>
      <c r="BO902" s="1">
        <v>0</v>
      </c>
      <c r="BP902" s="1">
        <v>0</v>
      </c>
      <c r="BQ902" s="1">
        <v>0</v>
      </c>
      <c r="BR902" s="1">
        <v>0</v>
      </c>
      <c r="BS902" s="5" t="str">
        <f>HYPERLINK("http://www.d20pfsrd.com/magic/all-spells/u/unwilling-shield","Unwilling Shield")</f>
        <v>Unwilling Shield</v>
      </c>
      <c r="BT902" s="1">
        <v>921</v>
      </c>
      <c r="BU902" s="1">
        <v>250</v>
      </c>
      <c r="BV902" s="1"/>
      <c r="BW902" s="1"/>
      <c r="BX902" s="1"/>
      <c r="BY902" s="1"/>
      <c r="BZ902" s="1">
        <v>0</v>
      </c>
      <c r="CA902" s="1" t="s">
        <v>109</v>
      </c>
      <c r="CB902" s="1" t="s">
        <v>109</v>
      </c>
      <c r="CC902" s="1">
        <v>6</v>
      </c>
      <c r="CD902" s="1" t="s">
        <v>109</v>
      </c>
      <c r="CE902" s="1">
        <v>5</v>
      </c>
      <c r="CF902" s="1">
        <v>5</v>
      </c>
      <c r="CG902" s="1">
        <v>6</v>
      </c>
      <c r="CH902" s="1" t="s">
        <v>109</v>
      </c>
      <c r="CI902" s="1" t="s">
        <v>109</v>
      </c>
      <c r="CJ902" s="1" t="s">
        <v>109</v>
      </c>
      <c r="CK902" s="1"/>
      <c r="CL902" s="1">
        <v>0</v>
      </c>
      <c r="CM902" s="1">
        <v>0</v>
      </c>
      <c r="CN902" s="1">
        <v>0</v>
      </c>
    </row>
    <row r="903" spans="1:92" ht="14.25" customHeight="1" x14ac:dyDescent="0.15">
      <c r="A903" s="1" t="s">
        <v>7554</v>
      </c>
      <c r="B903" s="1" t="s">
        <v>156</v>
      </c>
      <c r="C903" s="1" t="s">
        <v>834</v>
      </c>
      <c r="D903" s="1" t="s">
        <v>158</v>
      </c>
      <c r="E903" s="1" t="s">
        <v>7555</v>
      </c>
      <c r="F903" s="1" t="s">
        <v>98</v>
      </c>
      <c r="G903" s="1" t="s">
        <v>141</v>
      </c>
      <c r="H903" s="1">
        <v>0</v>
      </c>
      <c r="I903" s="1" t="s">
        <v>142</v>
      </c>
      <c r="J903" s="1"/>
      <c r="K903" s="1"/>
      <c r="L903" s="1" t="s">
        <v>563</v>
      </c>
      <c r="M903" s="1" t="s">
        <v>355</v>
      </c>
      <c r="N903" s="1">
        <v>0</v>
      </c>
      <c r="O903" s="1">
        <v>0</v>
      </c>
      <c r="P903" s="1" t="s">
        <v>301</v>
      </c>
      <c r="Q903" s="1" t="s">
        <v>268</v>
      </c>
      <c r="R903" s="1" t="s">
        <v>7556</v>
      </c>
      <c r="S903" s="1" t="s">
        <v>7557</v>
      </c>
      <c r="T903" s="1" t="s">
        <v>5815</v>
      </c>
      <c r="U903" s="1" t="s">
        <v>7558</v>
      </c>
      <c r="V903" s="1">
        <v>1</v>
      </c>
      <c r="W903" s="1">
        <v>1</v>
      </c>
      <c r="X903" s="1">
        <v>0</v>
      </c>
      <c r="Y903" s="1">
        <v>0</v>
      </c>
      <c r="Z903" s="1">
        <v>0</v>
      </c>
      <c r="AA903" s="1" t="s">
        <v>109</v>
      </c>
      <c r="AB903" s="1" t="s">
        <v>109</v>
      </c>
      <c r="AC903" s="1" t="s">
        <v>109</v>
      </c>
      <c r="AD903" s="1" t="s">
        <v>109</v>
      </c>
      <c r="AE903" s="1" t="s">
        <v>109</v>
      </c>
      <c r="AF903" s="1">
        <v>0</v>
      </c>
      <c r="AG903" s="1" t="s">
        <v>109</v>
      </c>
      <c r="AH903" s="1" t="s">
        <v>109</v>
      </c>
      <c r="AI903" s="1" t="s">
        <v>109</v>
      </c>
      <c r="AJ903" s="1" t="s">
        <v>109</v>
      </c>
      <c r="AK903" s="1" t="s">
        <v>109</v>
      </c>
      <c r="AL903" s="1" t="s">
        <v>109</v>
      </c>
      <c r="AM903" s="1" t="s">
        <v>109</v>
      </c>
      <c r="AN903" s="1" t="s">
        <v>109</v>
      </c>
      <c r="AO903" s="1" t="s">
        <v>109</v>
      </c>
      <c r="AP903" s="1"/>
      <c r="AQ903" s="1">
        <v>0</v>
      </c>
      <c r="AR903" s="1"/>
      <c r="AS903" s="1" t="s">
        <v>7559</v>
      </c>
      <c r="AT903" s="1">
        <v>0</v>
      </c>
      <c r="AU903" s="1">
        <v>0</v>
      </c>
      <c r="AV903" s="1">
        <v>0</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1</v>
      </c>
      <c r="BN903" s="1">
        <v>0</v>
      </c>
      <c r="BO903" s="1">
        <v>0</v>
      </c>
      <c r="BP903" s="1">
        <v>0</v>
      </c>
      <c r="BQ903" s="1">
        <v>0</v>
      </c>
      <c r="BR903" s="1">
        <v>0</v>
      </c>
      <c r="BS903" s="5" t="str">
        <f>HYPERLINK("http://www.d20pfsrd.com/magic/all-spells/u/unwitting-ally","Unwitting Ally")</f>
        <v>Unwitting Ally</v>
      </c>
      <c r="BT903" s="1">
        <v>922</v>
      </c>
      <c r="BU903" s="1" t="s">
        <v>109</v>
      </c>
      <c r="BV903" s="1"/>
      <c r="BW903" s="1"/>
      <c r="BX903" s="1"/>
      <c r="BY903" s="1"/>
      <c r="BZ903" s="1">
        <v>0</v>
      </c>
      <c r="CA903" s="1" t="s">
        <v>109</v>
      </c>
      <c r="CB903" s="1" t="s">
        <v>109</v>
      </c>
      <c r="CC903" s="1">
        <v>1</v>
      </c>
      <c r="CD903" s="1" t="s">
        <v>109</v>
      </c>
      <c r="CE903" s="1">
        <v>0</v>
      </c>
      <c r="CF903" s="1" t="s">
        <v>109</v>
      </c>
      <c r="CG903" s="1" t="s">
        <v>109</v>
      </c>
      <c r="CH903" s="1" t="s">
        <v>109</v>
      </c>
      <c r="CI903" s="1" t="s">
        <v>109</v>
      </c>
      <c r="CJ903" s="1" t="s">
        <v>109</v>
      </c>
      <c r="CK903" s="1"/>
      <c r="CL903" s="1">
        <v>0</v>
      </c>
      <c r="CM903" s="1">
        <v>0</v>
      </c>
      <c r="CN903" s="1">
        <v>0</v>
      </c>
    </row>
    <row r="904" spans="1:92" ht="14.25" customHeight="1" x14ac:dyDescent="0.15">
      <c r="A904" s="1" t="s">
        <v>7560</v>
      </c>
      <c r="B904" s="1" t="s">
        <v>674</v>
      </c>
      <c r="C904" s="1" t="s">
        <v>675</v>
      </c>
      <c r="D904" s="1"/>
      <c r="E904" s="1" t="s">
        <v>4468</v>
      </c>
      <c r="F904" s="1" t="s">
        <v>98</v>
      </c>
      <c r="G904" s="1" t="s">
        <v>141</v>
      </c>
      <c r="H904" s="1">
        <v>0</v>
      </c>
      <c r="I904" s="1" t="s">
        <v>161</v>
      </c>
      <c r="J904" s="1"/>
      <c r="K904" s="1"/>
      <c r="L904" s="1" t="s">
        <v>506</v>
      </c>
      <c r="M904" s="1" t="s">
        <v>7561</v>
      </c>
      <c r="N904" s="1">
        <v>1</v>
      </c>
      <c r="O904" s="1">
        <v>0</v>
      </c>
      <c r="P904" s="1" t="s">
        <v>507</v>
      </c>
      <c r="Q904" s="1" t="s">
        <v>167</v>
      </c>
      <c r="R904" s="1" t="s">
        <v>7562</v>
      </c>
      <c r="S904" s="1" t="s">
        <v>7563</v>
      </c>
      <c r="T904" s="1" t="s">
        <v>5815</v>
      </c>
      <c r="U904" s="1" t="s">
        <v>7564</v>
      </c>
      <c r="V904" s="1">
        <v>1</v>
      </c>
      <c r="W904" s="1">
        <v>1</v>
      </c>
      <c r="X904" s="1">
        <v>0</v>
      </c>
      <c r="Y904" s="1">
        <v>0</v>
      </c>
      <c r="Z904" s="1">
        <v>0</v>
      </c>
      <c r="AA904" s="1">
        <v>1</v>
      </c>
      <c r="AB904" s="1">
        <v>1</v>
      </c>
      <c r="AC904" s="1" t="s">
        <v>109</v>
      </c>
      <c r="AD904" s="1" t="s">
        <v>109</v>
      </c>
      <c r="AE904" s="1" t="s">
        <v>109</v>
      </c>
      <c r="AF904" s="1">
        <v>1</v>
      </c>
      <c r="AG904" s="1" t="s">
        <v>109</v>
      </c>
      <c r="AH904" s="1" t="s">
        <v>109</v>
      </c>
      <c r="AI904" s="1" t="s">
        <v>109</v>
      </c>
      <c r="AJ904" s="1" t="s">
        <v>109</v>
      </c>
      <c r="AK904" s="1" t="s">
        <v>109</v>
      </c>
      <c r="AL904" s="1" t="s">
        <v>109</v>
      </c>
      <c r="AM904" s="1" t="s">
        <v>109</v>
      </c>
      <c r="AN904" s="1">
        <v>1</v>
      </c>
      <c r="AO904" s="1" t="s">
        <v>109</v>
      </c>
      <c r="AP904" s="1"/>
      <c r="AQ904" s="1">
        <v>1</v>
      </c>
      <c r="AR904" s="1"/>
      <c r="AS904" s="1" t="s">
        <v>7565</v>
      </c>
      <c r="AT904" s="1">
        <v>0</v>
      </c>
      <c r="AU904" s="1">
        <v>0</v>
      </c>
      <c r="AV904" s="1">
        <v>0</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5" t="str">
        <f>HYPERLINK("http://www.d20pfsrd.com/magic/all-spells/v/vanish","Vanish")</f>
        <v>Vanish</v>
      </c>
      <c r="BT904" s="1">
        <v>923</v>
      </c>
      <c r="BU904" s="1" t="s">
        <v>109</v>
      </c>
      <c r="BV904" s="1"/>
      <c r="BW904" s="1"/>
      <c r="BX904" s="1"/>
      <c r="BY904" s="1"/>
      <c r="BZ904" s="1">
        <v>0</v>
      </c>
      <c r="CA904" s="1" t="s">
        <v>109</v>
      </c>
      <c r="CB904" s="1" t="s">
        <v>109</v>
      </c>
      <c r="CC904" s="1">
        <v>1</v>
      </c>
      <c r="CD904" s="1" t="s">
        <v>109</v>
      </c>
      <c r="CE904" s="1">
        <v>1</v>
      </c>
      <c r="CF904" s="1">
        <v>1</v>
      </c>
      <c r="CG904" s="1" t="s">
        <v>109</v>
      </c>
      <c r="CH904" s="1" t="s">
        <v>109</v>
      </c>
      <c r="CI904" s="1" t="s">
        <v>109</v>
      </c>
      <c r="CJ904" s="1" t="s">
        <v>109</v>
      </c>
      <c r="CK904" s="1"/>
      <c r="CL904" s="1">
        <v>0</v>
      </c>
      <c r="CM904" s="1">
        <v>0</v>
      </c>
      <c r="CN904" s="1">
        <v>0</v>
      </c>
    </row>
    <row r="905" spans="1:92" ht="14.25" customHeight="1" x14ac:dyDescent="0.15">
      <c r="A905" s="1" t="s">
        <v>7566</v>
      </c>
      <c r="B905" s="1" t="s">
        <v>242</v>
      </c>
      <c r="C905" s="1"/>
      <c r="D905" s="1" t="s">
        <v>61</v>
      </c>
      <c r="E905" s="1" t="s">
        <v>638</v>
      </c>
      <c r="F905" s="1" t="s">
        <v>98</v>
      </c>
      <c r="G905" s="1" t="s">
        <v>160</v>
      </c>
      <c r="H905" s="1">
        <v>0</v>
      </c>
      <c r="I905" s="1" t="s">
        <v>7567</v>
      </c>
      <c r="J905" s="1"/>
      <c r="K905" s="1"/>
      <c r="L905" s="1" t="s">
        <v>7568</v>
      </c>
      <c r="M905" s="1" t="s">
        <v>6625</v>
      </c>
      <c r="N905" s="1">
        <v>1</v>
      </c>
      <c r="O905" s="1">
        <v>0</v>
      </c>
      <c r="P905" s="1"/>
      <c r="Q905" s="1"/>
      <c r="R905" s="1" t="s">
        <v>7569</v>
      </c>
      <c r="S905" s="1" t="s">
        <v>7570</v>
      </c>
      <c r="T905" s="1" t="s">
        <v>5815</v>
      </c>
      <c r="U905" s="1" t="s">
        <v>7571</v>
      </c>
      <c r="V905" s="1">
        <v>1</v>
      </c>
      <c r="W905" s="1">
        <v>1</v>
      </c>
      <c r="X905" s="1">
        <v>0</v>
      </c>
      <c r="Y905" s="1">
        <v>0</v>
      </c>
      <c r="Z905" s="1">
        <v>1</v>
      </c>
      <c r="AA905" s="1" t="s">
        <v>109</v>
      </c>
      <c r="AB905" s="1" t="s">
        <v>109</v>
      </c>
      <c r="AC905" s="1" t="s">
        <v>109</v>
      </c>
      <c r="AD905" s="1" t="s">
        <v>109</v>
      </c>
      <c r="AE905" s="1" t="s">
        <v>109</v>
      </c>
      <c r="AF905" s="1" t="s">
        <v>109</v>
      </c>
      <c r="AG905" s="1">
        <v>1</v>
      </c>
      <c r="AH905" s="1" t="s">
        <v>109</v>
      </c>
      <c r="AI905" s="1" t="s">
        <v>109</v>
      </c>
      <c r="AJ905" s="1" t="s">
        <v>109</v>
      </c>
      <c r="AK905" s="1" t="s">
        <v>109</v>
      </c>
      <c r="AL905" s="1" t="s">
        <v>109</v>
      </c>
      <c r="AM905" s="1" t="s">
        <v>109</v>
      </c>
      <c r="AN905" s="1" t="s">
        <v>109</v>
      </c>
      <c r="AO905" s="1" t="s">
        <v>109</v>
      </c>
      <c r="AP905" s="1"/>
      <c r="AQ905" s="1">
        <v>1</v>
      </c>
      <c r="AR905" s="1"/>
      <c r="AS905" s="1" t="s">
        <v>7572</v>
      </c>
      <c r="AT905" s="1">
        <v>0</v>
      </c>
      <c r="AU905" s="1">
        <v>0</v>
      </c>
      <c r="AV905" s="1">
        <v>0</v>
      </c>
      <c r="AW905" s="1">
        <v>0</v>
      </c>
      <c r="AX905" s="1">
        <v>0</v>
      </c>
      <c r="AY905" s="1">
        <v>0</v>
      </c>
      <c r="AZ905" s="1">
        <v>0</v>
      </c>
      <c r="BA905" s="1">
        <v>0</v>
      </c>
      <c r="BB905" s="1">
        <v>0</v>
      </c>
      <c r="BC905" s="1">
        <v>0</v>
      </c>
      <c r="BD905" s="1">
        <v>0</v>
      </c>
      <c r="BE905" s="1">
        <v>0</v>
      </c>
      <c r="BF905" s="1">
        <v>0</v>
      </c>
      <c r="BG905" s="1">
        <v>0</v>
      </c>
      <c r="BH905" s="1">
        <v>0</v>
      </c>
      <c r="BI905" s="1">
        <v>1</v>
      </c>
      <c r="BJ905" s="1">
        <v>0</v>
      </c>
      <c r="BK905" s="1">
        <v>0</v>
      </c>
      <c r="BL905" s="1">
        <v>0</v>
      </c>
      <c r="BM905" s="1">
        <v>0</v>
      </c>
      <c r="BN905" s="1">
        <v>0</v>
      </c>
      <c r="BO905" s="1">
        <v>0</v>
      </c>
      <c r="BP905" s="1">
        <v>0</v>
      </c>
      <c r="BQ905" s="1">
        <v>0</v>
      </c>
      <c r="BR905" s="1">
        <v>0</v>
      </c>
      <c r="BS905" s="5" t="str">
        <f>HYPERLINK("http://www.d20pfsrd.com/magic/all-spells/v/veil-of-positive-energy","Veil of Positive Energy")</f>
        <v>Veil of Positive Energy</v>
      </c>
      <c r="BT905" s="1">
        <v>924</v>
      </c>
      <c r="BU905" s="1" t="s">
        <v>109</v>
      </c>
      <c r="BV905" s="1"/>
      <c r="BW905" s="1"/>
      <c r="BX905" s="1"/>
      <c r="BY905" s="1"/>
      <c r="BZ905" s="1">
        <v>0</v>
      </c>
      <c r="CA905" s="1" t="s">
        <v>109</v>
      </c>
      <c r="CB905" s="1" t="s">
        <v>109</v>
      </c>
      <c r="CC905" s="1" t="s">
        <v>109</v>
      </c>
      <c r="CD905" s="1" t="s">
        <v>109</v>
      </c>
      <c r="CE905" s="1" t="s">
        <v>109</v>
      </c>
      <c r="CF905" s="1" t="s">
        <v>109</v>
      </c>
      <c r="CG905" s="1" t="s">
        <v>109</v>
      </c>
      <c r="CH905" s="1" t="s">
        <v>109</v>
      </c>
      <c r="CI905" s="1" t="s">
        <v>109</v>
      </c>
      <c r="CJ905" s="1" t="s">
        <v>109</v>
      </c>
      <c r="CK905" s="1"/>
      <c r="CL905" s="1">
        <v>0</v>
      </c>
      <c r="CM905" s="1">
        <v>0</v>
      </c>
      <c r="CN905" s="1">
        <v>0</v>
      </c>
    </row>
    <row r="906" spans="1:92" ht="14.25" customHeight="1" x14ac:dyDescent="0.15">
      <c r="A906" s="1" t="s">
        <v>7573</v>
      </c>
      <c r="B906" s="1" t="s">
        <v>308</v>
      </c>
      <c r="C906" s="1"/>
      <c r="D906" s="1" t="s">
        <v>67</v>
      </c>
      <c r="E906" s="1" t="s">
        <v>6819</v>
      </c>
      <c r="F906" s="1" t="s">
        <v>6545</v>
      </c>
      <c r="G906" s="1" t="s">
        <v>141</v>
      </c>
      <c r="H906" s="1">
        <v>0</v>
      </c>
      <c r="I906" s="1" t="s">
        <v>925</v>
      </c>
      <c r="J906" s="1"/>
      <c r="K906" s="1"/>
      <c r="L906" s="1" t="s">
        <v>7574</v>
      </c>
      <c r="M906" s="1" t="s">
        <v>144</v>
      </c>
      <c r="N906" s="1">
        <v>0</v>
      </c>
      <c r="O906" s="1">
        <v>0</v>
      </c>
      <c r="P906" s="1" t="s">
        <v>3667</v>
      </c>
      <c r="Q906" s="1" t="s">
        <v>268</v>
      </c>
      <c r="R906" s="1" t="s">
        <v>7575</v>
      </c>
      <c r="S906" s="1" t="s">
        <v>7576</v>
      </c>
      <c r="T906" s="1" t="s">
        <v>5815</v>
      </c>
      <c r="U906" s="1" t="s">
        <v>7577</v>
      </c>
      <c r="V906" s="1">
        <v>1</v>
      </c>
      <c r="W906" s="1">
        <v>1</v>
      </c>
      <c r="X906" s="1">
        <v>0</v>
      </c>
      <c r="Y906" s="1">
        <v>0</v>
      </c>
      <c r="Z906" s="1">
        <v>0</v>
      </c>
      <c r="AA906" s="1" t="s">
        <v>109</v>
      </c>
      <c r="AB906" s="1" t="s">
        <v>109</v>
      </c>
      <c r="AC906" s="1" t="s">
        <v>109</v>
      </c>
      <c r="AD906" s="1" t="s">
        <v>109</v>
      </c>
      <c r="AE906" s="1">
        <v>3</v>
      </c>
      <c r="AF906" s="1" t="s">
        <v>109</v>
      </c>
      <c r="AG906" s="1" t="s">
        <v>109</v>
      </c>
      <c r="AH906" s="1" t="s">
        <v>109</v>
      </c>
      <c r="AI906" s="1" t="s">
        <v>109</v>
      </c>
      <c r="AJ906" s="1" t="s">
        <v>109</v>
      </c>
      <c r="AK906" s="1" t="s">
        <v>109</v>
      </c>
      <c r="AL906" s="1" t="s">
        <v>109</v>
      </c>
      <c r="AM906" s="1" t="s">
        <v>109</v>
      </c>
      <c r="AN906" s="1" t="s">
        <v>109</v>
      </c>
      <c r="AO906" s="1" t="s">
        <v>109</v>
      </c>
      <c r="AP906" s="1"/>
      <c r="AQ906" s="1">
        <v>3</v>
      </c>
      <c r="AR906" s="1"/>
      <c r="AS906" s="1" t="s">
        <v>7578</v>
      </c>
      <c r="AT906" s="1">
        <v>0</v>
      </c>
      <c r="AU906" s="1">
        <v>0</v>
      </c>
      <c r="AV906" s="1">
        <v>0</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1</v>
      </c>
      <c r="BP906" s="1">
        <v>0</v>
      </c>
      <c r="BQ906" s="1">
        <v>0</v>
      </c>
      <c r="BR906" s="1">
        <v>0</v>
      </c>
      <c r="BS906" s="5" t="str">
        <f>HYPERLINK("http://www.d20pfsrd.com/magic/all-spells/v/venomous-bolt","Venomous Bolt")</f>
        <v>Venomous Bolt</v>
      </c>
      <c r="BT906" s="1">
        <v>925</v>
      </c>
      <c r="BU906" s="1" t="s">
        <v>109</v>
      </c>
      <c r="BV906" s="1"/>
      <c r="BW906" s="1"/>
      <c r="BX906" s="1"/>
      <c r="BY906" s="1"/>
      <c r="BZ906" s="1">
        <v>0</v>
      </c>
      <c r="CA906" s="1" t="s">
        <v>109</v>
      </c>
      <c r="CB906" s="1" t="s">
        <v>109</v>
      </c>
      <c r="CC906" s="1" t="s">
        <v>109</v>
      </c>
      <c r="CD906" s="1" t="s">
        <v>109</v>
      </c>
      <c r="CE906" s="1" t="s">
        <v>109</v>
      </c>
      <c r="CF906" s="1" t="s">
        <v>109</v>
      </c>
      <c r="CG906" s="1" t="s">
        <v>109</v>
      </c>
      <c r="CH906" s="1" t="s">
        <v>109</v>
      </c>
      <c r="CI906" s="1" t="s">
        <v>109</v>
      </c>
      <c r="CJ906" s="1">
        <v>3</v>
      </c>
      <c r="CK906" s="1"/>
      <c r="CL906" s="1">
        <v>0</v>
      </c>
      <c r="CM906" s="1">
        <v>0</v>
      </c>
      <c r="CN906" s="1">
        <v>0</v>
      </c>
    </row>
    <row r="907" spans="1:92" ht="14.25" customHeight="1" x14ac:dyDescent="0.15">
      <c r="A907" s="1" t="s">
        <v>7579</v>
      </c>
      <c r="B907" s="1" t="s">
        <v>189</v>
      </c>
      <c r="C907" s="1"/>
      <c r="D907" s="1"/>
      <c r="E907" s="1" t="s">
        <v>7580</v>
      </c>
      <c r="F907" s="1" t="s">
        <v>98</v>
      </c>
      <c r="G907" s="1" t="s">
        <v>5658</v>
      </c>
      <c r="H907" s="1">
        <v>0</v>
      </c>
      <c r="I907" s="1" t="s">
        <v>142</v>
      </c>
      <c r="J907" s="1"/>
      <c r="K907" s="1"/>
      <c r="L907" s="1" t="s">
        <v>2913</v>
      </c>
      <c r="M907" s="1" t="s">
        <v>3042</v>
      </c>
      <c r="N907" s="1">
        <v>0</v>
      </c>
      <c r="O907" s="1">
        <v>0</v>
      </c>
      <c r="P907" s="1" t="s">
        <v>215</v>
      </c>
      <c r="Q907" s="1" t="s">
        <v>216</v>
      </c>
      <c r="R907" s="1" t="s">
        <v>7581</v>
      </c>
      <c r="S907" s="1" t="s">
        <v>7582</v>
      </c>
      <c r="T907" s="1" t="s">
        <v>5815</v>
      </c>
      <c r="U907" s="1" t="s">
        <v>7583</v>
      </c>
      <c r="V907" s="1">
        <v>1</v>
      </c>
      <c r="W907" s="1">
        <v>1</v>
      </c>
      <c r="X907" s="1">
        <v>1</v>
      </c>
      <c r="Y907" s="1">
        <v>0</v>
      </c>
      <c r="Z907" s="1">
        <v>0</v>
      </c>
      <c r="AA907" s="1">
        <v>3</v>
      </c>
      <c r="AB907" s="1">
        <v>3</v>
      </c>
      <c r="AC907" s="1" t="s">
        <v>109</v>
      </c>
      <c r="AD907" s="1" t="s">
        <v>109</v>
      </c>
      <c r="AE907" s="1">
        <v>2</v>
      </c>
      <c r="AF907" s="1">
        <v>2</v>
      </c>
      <c r="AG907" s="1" t="s">
        <v>109</v>
      </c>
      <c r="AH907" s="1" t="s">
        <v>109</v>
      </c>
      <c r="AI907" s="1" t="s">
        <v>109</v>
      </c>
      <c r="AJ907" s="1" t="s">
        <v>109</v>
      </c>
      <c r="AK907" s="1" t="s">
        <v>109</v>
      </c>
      <c r="AL907" s="1" t="s">
        <v>109</v>
      </c>
      <c r="AM907" s="1" t="s">
        <v>109</v>
      </c>
      <c r="AN907" s="1">
        <v>3</v>
      </c>
      <c r="AO907" s="1" t="s">
        <v>109</v>
      </c>
      <c r="AP907" s="1"/>
      <c r="AQ907" s="1">
        <v>3</v>
      </c>
      <c r="AR907" s="1"/>
      <c r="AS907" s="1" t="s">
        <v>7584</v>
      </c>
      <c r="AT907" s="1">
        <v>0</v>
      </c>
      <c r="AU907" s="1">
        <v>0</v>
      </c>
      <c r="AV907" s="1">
        <v>0</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5" t="str">
        <f>HYPERLINK("http://www.d20pfsrd.com/magic/all-spells/v/versatile-weapon","Versatile Weapon")</f>
        <v>Versatile Weapon</v>
      </c>
      <c r="BT907" s="1">
        <v>926</v>
      </c>
      <c r="BU907" s="1" t="s">
        <v>109</v>
      </c>
      <c r="BV907" s="1"/>
      <c r="BW907" s="1"/>
      <c r="BX907" s="1"/>
      <c r="BY907" s="1"/>
      <c r="BZ907" s="1">
        <v>0</v>
      </c>
      <c r="CA907" s="1">
        <v>3</v>
      </c>
      <c r="CB907" s="1" t="s">
        <v>109</v>
      </c>
      <c r="CC907" s="1">
        <v>3</v>
      </c>
      <c r="CD907" s="1" t="s">
        <v>109</v>
      </c>
      <c r="CE907" s="1" t="s">
        <v>109</v>
      </c>
      <c r="CF907" s="1">
        <v>2</v>
      </c>
      <c r="CG907" s="1" t="s">
        <v>109</v>
      </c>
      <c r="CH907" s="1" t="s">
        <v>109</v>
      </c>
      <c r="CI907" s="1" t="s">
        <v>109</v>
      </c>
      <c r="CJ907" s="1">
        <v>2</v>
      </c>
      <c r="CK907" s="1"/>
      <c r="CL907" s="1">
        <v>0</v>
      </c>
      <c r="CM907" s="1">
        <v>0</v>
      </c>
      <c r="CN907" s="1">
        <v>0</v>
      </c>
    </row>
    <row r="908" spans="1:92" ht="14.25" customHeight="1" x14ac:dyDescent="0.15">
      <c r="A908" s="1" t="s">
        <v>7585</v>
      </c>
      <c r="B908" s="1" t="s">
        <v>95</v>
      </c>
      <c r="C908" s="1" t="s">
        <v>1179</v>
      </c>
      <c r="D908" s="1"/>
      <c r="E908" s="1" t="s">
        <v>7586</v>
      </c>
      <c r="F908" s="1" t="s">
        <v>98</v>
      </c>
      <c r="G908" s="1" t="s">
        <v>2345</v>
      </c>
      <c r="H908" s="1">
        <v>0</v>
      </c>
      <c r="I908" s="1" t="s">
        <v>235</v>
      </c>
      <c r="J908" s="1"/>
      <c r="K908" s="1" t="s">
        <v>7587</v>
      </c>
      <c r="L908" s="1"/>
      <c r="M908" s="1" t="s">
        <v>125</v>
      </c>
      <c r="N908" s="1">
        <v>0</v>
      </c>
      <c r="O908" s="1">
        <v>0</v>
      </c>
      <c r="P908" s="1"/>
      <c r="Q908" s="1"/>
      <c r="R908" s="1" t="s">
        <v>7588</v>
      </c>
      <c r="S908" s="1" t="s">
        <v>7589</v>
      </c>
      <c r="T908" s="1" t="s">
        <v>5815</v>
      </c>
      <c r="U908" s="1" t="s">
        <v>7590</v>
      </c>
      <c r="V908" s="1">
        <v>0</v>
      </c>
      <c r="W908" s="1">
        <v>1</v>
      </c>
      <c r="X908" s="1">
        <v>0</v>
      </c>
      <c r="Y908" s="1">
        <v>0</v>
      </c>
      <c r="Z908" s="1">
        <v>0</v>
      </c>
      <c r="AA908" s="1" t="s">
        <v>109</v>
      </c>
      <c r="AB908" s="1" t="s">
        <v>109</v>
      </c>
      <c r="AC908" s="1" t="s">
        <v>109</v>
      </c>
      <c r="AD908" s="1" t="s">
        <v>109</v>
      </c>
      <c r="AE908" s="1" t="s">
        <v>109</v>
      </c>
      <c r="AF908" s="1" t="s">
        <v>109</v>
      </c>
      <c r="AG908" s="1" t="s">
        <v>109</v>
      </c>
      <c r="AH908" s="1">
        <v>2</v>
      </c>
      <c r="AI908" s="1" t="s">
        <v>109</v>
      </c>
      <c r="AJ908" s="1">
        <v>2</v>
      </c>
      <c r="AK908" s="1" t="s">
        <v>109</v>
      </c>
      <c r="AL908" s="1" t="s">
        <v>109</v>
      </c>
      <c r="AM908" s="1" t="s">
        <v>109</v>
      </c>
      <c r="AN908" s="1" t="s">
        <v>109</v>
      </c>
      <c r="AO908" s="1" t="s">
        <v>109</v>
      </c>
      <c r="AP908" s="1"/>
      <c r="AQ908" s="1">
        <v>2</v>
      </c>
      <c r="AR908" s="1" t="s">
        <v>7591</v>
      </c>
      <c r="AS908" s="1" t="s">
        <v>7592</v>
      </c>
      <c r="AT908" s="1">
        <v>0</v>
      </c>
      <c r="AU908" s="1">
        <v>0</v>
      </c>
      <c r="AV908" s="1">
        <v>0</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5" t="str">
        <f>HYPERLINK("http://www.d20pfsrd.com/magic/all-spells/v/vomit-swarm","Vomit Swarm")</f>
        <v>Vomit Swarm</v>
      </c>
      <c r="BT908" s="1">
        <v>927</v>
      </c>
      <c r="BU908" s="1" t="s">
        <v>109</v>
      </c>
      <c r="BV908" s="1"/>
      <c r="BW908" s="1"/>
      <c r="BX908" s="1"/>
      <c r="BY908" s="1"/>
      <c r="BZ908" s="1">
        <v>0</v>
      </c>
      <c r="CA908" s="1" t="s">
        <v>109</v>
      </c>
      <c r="CB908" s="1" t="s">
        <v>109</v>
      </c>
      <c r="CC908" s="1" t="s">
        <v>109</v>
      </c>
      <c r="CD908" s="1" t="s">
        <v>109</v>
      </c>
      <c r="CE908" s="1" t="s">
        <v>109</v>
      </c>
      <c r="CF908" s="1" t="s">
        <v>109</v>
      </c>
      <c r="CG908" s="1" t="s">
        <v>109</v>
      </c>
      <c r="CH908" s="1" t="s">
        <v>109</v>
      </c>
      <c r="CI908" s="1" t="s">
        <v>109</v>
      </c>
      <c r="CJ908" s="1" t="s">
        <v>109</v>
      </c>
      <c r="CK908" s="1"/>
      <c r="CL908" s="1">
        <v>0</v>
      </c>
      <c r="CM908" s="1">
        <v>0</v>
      </c>
      <c r="CN908" s="1">
        <v>0</v>
      </c>
    </row>
    <row r="909" spans="1:92" ht="14.25" customHeight="1" x14ac:dyDescent="0.15">
      <c r="A909" s="1" t="s">
        <v>7593</v>
      </c>
      <c r="B909" s="1" t="s">
        <v>584</v>
      </c>
      <c r="C909" s="1"/>
      <c r="D909" s="1" t="s">
        <v>70</v>
      </c>
      <c r="E909" s="1" t="s">
        <v>7594</v>
      </c>
      <c r="F909" s="1" t="s">
        <v>98</v>
      </c>
      <c r="G909" s="1" t="s">
        <v>7595</v>
      </c>
      <c r="H909" s="1">
        <v>0</v>
      </c>
      <c r="I909" s="1" t="s">
        <v>100</v>
      </c>
      <c r="J909" s="1"/>
      <c r="K909" s="1" t="s">
        <v>7596</v>
      </c>
      <c r="L909" s="1"/>
      <c r="M909" s="1" t="s">
        <v>574</v>
      </c>
      <c r="N909" s="1">
        <v>1</v>
      </c>
      <c r="O909" s="1">
        <v>0</v>
      </c>
      <c r="P909" s="1" t="s">
        <v>7597</v>
      </c>
      <c r="Q909" s="1" t="s">
        <v>268</v>
      </c>
      <c r="R909" s="1" t="s">
        <v>7598</v>
      </c>
      <c r="S909" s="1" t="s">
        <v>7599</v>
      </c>
      <c r="T909" s="1" t="s">
        <v>5815</v>
      </c>
      <c r="U909" s="1" t="s">
        <v>7600</v>
      </c>
      <c r="V909" s="1">
        <v>1</v>
      </c>
      <c r="W909" s="1">
        <v>1</v>
      </c>
      <c r="X909" s="1">
        <v>1</v>
      </c>
      <c r="Y909" s="1">
        <v>0</v>
      </c>
      <c r="Z909" s="1">
        <v>1</v>
      </c>
      <c r="AA909" s="1">
        <v>7</v>
      </c>
      <c r="AB909" s="1">
        <v>7</v>
      </c>
      <c r="AC909" s="1" t="s">
        <v>109</v>
      </c>
      <c r="AD909" s="1">
        <v>7</v>
      </c>
      <c r="AE909" s="1" t="s">
        <v>109</v>
      </c>
      <c r="AF909" s="1" t="s">
        <v>109</v>
      </c>
      <c r="AG909" s="1" t="s">
        <v>109</v>
      </c>
      <c r="AH909" s="1" t="s">
        <v>109</v>
      </c>
      <c r="AI909" s="1" t="s">
        <v>109</v>
      </c>
      <c r="AJ909" s="1" t="s">
        <v>109</v>
      </c>
      <c r="AK909" s="1" t="s">
        <v>109</v>
      </c>
      <c r="AL909" s="1" t="s">
        <v>109</v>
      </c>
      <c r="AM909" s="1" t="s">
        <v>109</v>
      </c>
      <c r="AN909" s="1" t="s">
        <v>109</v>
      </c>
      <c r="AO909" s="1" t="s">
        <v>109</v>
      </c>
      <c r="AP909" s="1"/>
      <c r="AQ909" s="1">
        <v>7</v>
      </c>
      <c r="AR909" s="1"/>
      <c r="AS909" s="1" t="s">
        <v>7601</v>
      </c>
      <c r="AT909" s="1">
        <v>0</v>
      </c>
      <c r="AU909" s="1">
        <v>0</v>
      </c>
      <c r="AV909" s="1">
        <v>0</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1</v>
      </c>
      <c r="BS909" s="5" t="str">
        <f>HYPERLINK("http://www.d20pfsrd.com/magic/all-spells/v/vortex","Vortex")</f>
        <v>Vortex</v>
      </c>
      <c r="BT909" s="1">
        <v>928</v>
      </c>
      <c r="BU909" s="1" t="s">
        <v>109</v>
      </c>
      <c r="BV909" s="1"/>
      <c r="BW909" s="1" t="s">
        <v>7602</v>
      </c>
      <c r="BX909" s="1"/>
      <c r="BY909" s="1"/>
      <c r="BZ909" s="1">
        <v>0</v>
      </c>
      <c r="CA909" s="1" t="s">
        <v>109</v>
      </c>
      <c r="CB909" s="1">
        <v>7</v>
      </c>
      <c r="CC909" s="1" t="s">
        <v>109</v>
      </c>
      <c r="CD909" s="1" t="s">
        <v>109</v>
      </c>
      <c r="CE909" s="1" t="s">
        <v>109</v>
      </c>
      <c r="CF909" s="1" t="s">
        <v>109</v>
      </c>
      <c r="CG909" s="1" t="s">
        <v>109</v>
      </c>
      <c r="CH909" s="1" t="s">
        <v>109</v>
      </c>
      <c r="CI909" s="1" t="s">
        <v>109</v>
      </c>
      <c r="CJ909" s="1" t="s">
        <v>109</v>
      </c>
      <c r="CK909" s="1"/>
      <c r="CL909" s="1">
        <v>0</v>
      </c>
      <c r="CM909" s="1">
        <v>0</v>
      </c>
      <c r="CN909" s="1">
        <v>0</v>
      </c>
    </row>
    <row r="910" spans="1:92" ht="14.25" customHeight="1" x14ac:dyDescent="0.15">
      <c r="A910" s="1" t="s">
        <v>7603</v>
      </c>
      <c r="B910" s="1" t="s">
        <v>584</v>
      </c>
      <c r="C910" s="1"/>
      <c r="D910" s="1" t="s">
        <v>61</v>
      </c>
      <c r="E910" s="1" t="s">
        <v>5912</v>
      </c>
      <c r="F910" s="1" t="s">
        <v>98</v>
      </c>
      <c r="G910" s="1" t="s">
        <v>160</v>
      </c>
      <c r="H910" s="1">
        <v>0</v>
      </c>
      <c r="I910" s="1" t="s">
        <v>2962</v>
      </c>
      <c r="J910" s="1"/>
      <c r="K910" s="1" t="s">
        <v>7604</v>
      </c>
      <c r="L910" s="1"/>
      <c r="M910" s="1" t="s">
        <v>125</v>
      </c>
      <c r="N910" s="1">
        <v>0</v>
      </c>
      <c r="O910" s="1">
        <v>0</v>
      </c>
      <c r="P910" s="1" t="s">
        <v>103</v>
      </c>
      <c r="Q910" s="1" t="s">
        <v>268</v>
      </c>
      <c r="R910" s="1" t="s">
        <v>7605</v>
      </c>
      <c r="S910" s="1" t="s">
        <v>7606</v>
      </c>
      <c r="T910" s="1" t="s">
        <v>5815</v>
      </c>
      <c r="U910" s="1" t="s">
        <v>7607</v>
      </c>
      <c r="V910" s="1">
        <v>1</v>
      </c>
      <c r="W910" s="1">
        <v>1</v>
      </c>
      <c r="X910" s="1">
        <v>0</v>
      </c>
      <c r="Y910" s="1">
        <v>0</v>
      </c>
      <c r="Z910" s="1">
        <v>1</v>
      </c>
      <c r="AA910" s="1" t="s">
        <v>109</v>
      </c>
      <c r="AB910" s="1" t="s">
        <v>109</v>
      </c>
      <c r="AC910" s="1" t="s">
        <v>109</v>
      </c>
      <c r="AD910" s="1" t="s">
        <v>109</v>
      </c>
      <c r="AE910" s="1" t="s">
        <v>109</v>
      </c>
      <c r="AF910" s="1" t="s">
        <v>109</v>
      </c>
      <c r="AG910" s="1">
        <v>2</v>
      </c>
      <c r="AH910" s="1" t="s">
        <v>109</v>
      </c>
      <c r="AI910" s="1" t="s">
        <v>109</v>
      </c>
      <c r="AJ910" s="1" t="s">
        <v>109</v>
      </c>
      <c r="AK910" s="1" t="s">
        <v>109</v>
      </c>
      <c r="AL910" s="1" t="s">
        <v>109</v>
      </c>
      <c r="AM910" s="1" t="s">
        <v>109</v>
      </c>
      <c r="AN910" s="1" t="s">
        <v>109</v>
      </c>
      <c r="AO910" s="1" t="s">
        <v>109</v>
      </c>
      <c r="AP910" s="1"/>
      <c r="AQ910" s="1">
        <v>2</v>
      </c>
      <c r="AR910" s="1"/>
      <c r="AS910" s="1" t="s">
        <v>7608</v>
      </c>
      <c r="AT910" s="1">
        <v>0</v>
      </c>
      <c r="AU910" s="1">
        <v>0</v>
      </c>
      <c r="AV910" s="1">
        <v>0</v>
      </c>
      <c r="AW910" s="1">
        <v>0</v>
      </c>
      <c r="AX910" s="1">
        <v>0</v>
      </c>
      <c r="AY910" s="1">
        <v>0</v>
      </c>
      <c r="AZ910" s="1">
        <v>0</v>
      </c>
      <c r="BA910" s="1">
        <v>0</v>
      </c>
      <c r="BB910" s="1">
        <v>0</v>
      </c>
      <c r="BC910" s="1">
        <v>0</v>
      </c>
      <c r="BD910" s="1">
        <v>0</v>
      </c>
      <c r="BE910" s="1">
        <v>0</v>
      </c>
      <c r="BF910" s="1">
        <v>0</v>
      </c>
      <c r="BG910" s="1">
        <v>0</v>
      </c>
      <c r="BH910" s="1">
        <v>0</v>
      </c>
      <c r="BI910" s="1">
        <v>1</v>
      </c>
      <c r="BJ910" s="1">
        <v>0</v>
      </c>
      <c r="BK910" s="1">
        <v>0</v>
      </c>
      <c r="BL910" s="1">
        <v>0</v>
      </c>
      <c r="BM910" s="1">
        <v>0</v>
      </c>
      <c r="BN910" s="1">
        <v>0</v>
      </c>
      <c r="BO910" s="1">
        <v>0</v>
      </c>
      <c r="BP910" s="1">
        <v>0</v>
      </c>
      <c r="BQ910" s="1">
        <v>0</v>
      </c>
      <c r="BR910" s="1">
        <v>0</v>
      </c>
      <c r="BS910" s="5" t="str">
        <f>HYPERLINK("http://www.d20pfsrd.com/magic/all-spells/w/wake-of-light","Wake of Light")</f>
        <v>Wake of Light</v>
      </c>
      <c r="BT910" s="1">
        <v>929</v>
      </c>
      <c r="BU910" s="1" t="s">
        <v>109</v>
      </c>
      <c r="BV910" s="1"/>
      <c r="BW910" s="1"/>
      <c r="BX910" s="1"/>
      <c r="BY910" s="1"/>
      <c r="BZ910" s="1">
        <v>0</v>
      </c>
      <c r="CA910" s="1" t="s">
        <v>109</v>
      </c>
      <c r="CB910" s="1" t="s">
        <v>109</v>
      </c>
      <c r="CC910" s="1" t="s">
        <v>109</v>
      </c>
      <c r="CD910" s="1" t="s">
        <v>109</v>
      </c>
      <c r="CE910" s="1" t="s">
        <v>109</v>
      </c>
      <c r="CF910" s="1" t="s">
        <v>109</v>
      </c>
      <c r="CG910" s="1" t="s">
        <v>109</v>
      </c>
      <c r="CH910" s="1" t="s">
        <v>109</v>
      </c>
      <c r="CI910" s="1" t="s">
        <v>109</v>
      </c>
      <c r="CJ910" s="1" t="s">
        <v>109</v>
      </c>
      <c r="CK910" s="1"/>
      <c r="CL910" s="1">
        <v>0</v>
      </c>
      <c r="CM910" s="1">
        <v>0</v>
      </c>
      <c r="CN910" s="1">
        <v>0</v>
      </c>
    </row>
    <row r="911" spans="1:92" ht="14.25" customHeight="1" x14ac:dyDescent="0.15">
      <c r="A911" s="1" t="s">
        <v>7609</v>
      </c>
      <c r="B911" s="1" t="s">
        <v>95</v>
      </c>
      <c r="C911" s="1" t="s">
        <v>96</v>
      </c>
      <c r="D911" s="1" t="s">
        <v>7610</v>
      </c>
      <c r="E911" s="1" t="s">
        <v>7212</v>
      </c>
      <c r="F911" s="1" t="s">
        <v>98</v>
      </c>
      <c r="G911" s="1" t="s">
        <v>7611</v>
      </c>
      <c r="H911" s="1">
        <v>0</v>
      </c>
      <c r="I911" s="1" t="s">
        <v>122</v>
      </c>
      <c r="J911" s="1"/>
      <c r="K911" s="1"/>
      <c r="L911" s="1" t="s">
        <v>7612</v>
      </c>
      <c r="M911" s="1" t="s">
        <v>574</v>
      </c>
      <c r="N911" s="1">
        <v>1</v>
      </c>
      <c r="O911" s="1">
        <v>0</v>
      </c>
      <c r="P911" s="1" t="s">
        <v>211</v>
      </c>
      <c r="Q911" s="1" t="s">
        <v>104</v>
      </c>
      <c r="R911" s="1" t="s">
        <v>7613</v>
      </c>
      <c r="S911" s="1" t="s">
        <v>7614</v>
      </c>
      <c r="T911" s="1" t="s">
        <v>5815</v>
      </c>
      <c r="U911" s="1" t="s">
        <v>7615</v>
      </c>
      <c r="V911" s="1">
        <v>1</v>
      </c>
      <c r="W911" s="1">
        <v>1</v>
      </c>
      <c r="X911" s="1">
        <v>1</v>
      </c>
      <c r="Y911" s="1">
        <v>0</v>
      </c>
      <c r="Z911" s="1">
        <v>1</v>
      </c>
      <c r="AA911" s="1">
        <v>8</v>
      </c>
      <c r="AB911" s="1">
        <v>8</v>
      </c>
      <c r="AC911" s="1" t="s">
        <v>109</v>
      </c>
      <c r="AD911" s="1">
        <v>8</v>
      </c>
      <c r="AE911" s="1" t="s">
        <v>109</v>
      </c>
      <c r="AF911" s="1" t="s">
        <v>109</v>
      </c>
      <c r="AG911" s="1" t="s">
        <v>109</v>
      </c>
      <c r="AH911" s="1" t="s">
        <v>109</v>
      </c>
      <c r="AI911" s="1" t="s">
        <v>109</v>
      </c>
      <c r="AJ911" s="1" t="s">
        <v>109</v>
      </c>
      <c r="AK911" s="1" t="s">
        <v>109</v>
      </c>
      <c r="AL911" s="1" t="s">
        <v>109</v>
      </c>
      <c r="AM911" s="1" t="s">
        <v>109</v>
      </c>
      <c r="AN911" s="1" t="s">
        <v>109</v>
      </c>
      <c r="AO911" s="1" t="s">
        <v>109</v>
      </c>
      <c r="AP911" s="1"/>
      <c r="AQ911" s="1">
        <v>8</v>
      </c>
      <c r="AR911" s="1"/>
      <c r="AS911" s="1" t="s">
        <v>7616</v>
      </c>
      <c r="AT911" s="1">
        <v>0</v>
      </c>
      <c r="AU911" s="1">
        <v>0</v>
      </c>
      <c r="AV911" s="1">
        <v>0</v>
      </c>
      <c r="AW911" s="1">
        <v>0</v>
      </c>
      <c r="AX911" s="1">
        <v>0</v>
      </c>
      <c r="AY911" s="1">
        <v>0</v>
      </c>
      <c r="AZ911" s="1">
        <v>0</v>
      </c>
      <c r="BA911" s="1">
        <v>0</v>
      </c>
      <c r="BB911" s="1">
        <v>1</v>
      </c>
      <c r="BC911" s="1">
        <v>0</v>
      </c>
      <c r="BD911" s="1">
        <v>0</v>
      </c>
      <c r="BE911" s="1">
        <v>0</v>
      </c>
      <c r="BF911" s="1">
        <v>0</v>
      </c>
      <c r="BG911" s="1">
        <v>1</v>
      </c>
      <c r="BH911" s="1">
        <v>0</v>
      </c>
      <c r="BI911" s="1">
        <v>0</v>
      </c>
      <c r="BJ911" s="1">
        <v>0</v>
      </c>
      <c r="BK911" s="1">
        <v>0</v>
      </c>
      <c r="BL911" s="1">
        <v>0</v>
      </c>
      <c r="BM911" s="1">
        <v>0</v>
      </c>
      <c r="BN911" s="1">
        <v>0</v>
      </c>
      <c r="BO911" s="1">
        <v>0</v>
      </c>
      <c r="BP911" s="1">
        <v>0</v>
      </c>
      <c r="BQ911" s="1">
        <v>0</v>
      </c>
      <c r="BR911" s="1">
        <v>0</v>
      </c>
      <c r="BS911" s="5" t="str">
        <f>HYPERLINK("http://www.d20pfsrd.com/magic/all-spells/w/wall-of-lava","Wall of Lava")</f>
        <v>Wall of Lava</v>
      </c>
      <c r="BT911" s="1">
        <v>930</v>
      </c>
      <c r="BU911" s="1" t="s">
        <v>109</v>
      </c>
      <c r="BV911" s="1"/>
      <c r="BW911" s="1"/>
      <c r="BX911" s="1"/>
      <c r="BY911" s="1"/>
      <c r="BZ911" s="1">
        <v>0</v>
      </c>
      <c r="CA911" s="1" t="s">
        <v>109</v>
      </c>
      <c r="CB911" s="1" t="s">
        <v>109</v>
      </c>
      <c r="CC911" s="1" t="s">
        <v>109</v>
      </c>
      <c r="CD911" s="1" t="s">
        <v>109</v>
      </c>
      <c r="CE911" s="1" t="s">
        <v>109</v>
      </c>
      <c r="CF911" s="1" t="s">
        <v>109</v>
      </c>
      <c r="CG911" s="1" t="s">
        <v>109</v>
      </c>
      <c r="CH911" s="1" t="s">
        <v>109</v>
      </c>
      <c r="CI911" s="1" t="s">
        <v>109</v>
      </c>
      <c r="CJ911" s="1" t="s">
        <v>109</v>
      </c>
      <c r="CK911" s="1"/>
      <c r="CL911" s="1">
        <v>0</v>
      </c>
      <c r="CM911" s="1">
        <v>0</v>
      </c>
      <c r="CN911" s="1">
        <v>0</v>
      </c>
    </row>
    <row r="912" spans="1:92" ht="14.25" customHeight="1" x14ac:dyDescent="0.15">
      <c r="A912" s="1" t="s">
        <v>7617</v>
      </c>
      <c r="B912" s="1" t="s">
        <v>242</v>
      </c>
      <c r="C912" s="1"/>
      <c r="D912" s="1"/>
      <c r="E912" s="1" t="s">
        <v>1199</v>
      </c>
      <c r="F912" s="1" t="s">
        <v>98</v>
      </c>
      <c r="G912" s="1" t="s">
        <v>7618</v>
      </c>
      <c r="H912" s="1">
        <v>1</v>
      </c>
      <c r="I912" s="1" t="s">
        <v>122</v>
      </c>
      <c r="J912" s="1"/>
      <c r="K912" s="1" t="s">
        <v>7619</v>
      </c>
      <c r="L912" s="1"/>
      <c r="M912" s="1" t="s">
        <v>7620</v>
      </c>
      <c r="N912" s="1">
        <v>0</v>
      </c>
      <c r="O912" s="1">
        <v>0</v>
      </c>
      <c r="P912" s="1" t="s">
        <v>103</v>
      </c>
      <c r="Q912" s="1" t="s">
        <v>104</v>
      </c>
      <c r="R912" s="1" t="s">
        <v>7621</v>
      </c>
      <c r="S912" s="1" t="s">
        <v>7622</v>
      </c>
      <c r="T912" s="1" t="s">
        <v>5815</v>
      </c>
      <c r="U912" s="1" t="s">
        <v>7623</v>
      </c>
      <c r="V912" s="1">
        <v>1</v>
      </c>
      <c r="W912" s="1">
        <v>1</v>
      </c>
      <c r="X912" s="1">
        <v>1</v>
      </c>
      <c r="Y912" s="1">
        <v>0</v>
      </c>
      <c r="Z912" s="1">
        <v>0</v>
      </c>
      <c r="AA912" s="1">
        <v>9</v>
      </c>
      <c r="AB912" s="1">
        <v>9</v>
      </c>
      <c r="AC912" s="1" t="s">
        <v>109</v>
      </c>
      <c r="AD912" s="1" t="s">
        <v>109</v>
      </c>
      <c r="AE912" s="1" t="s">
        <v>109</v>
      </c>
      <c r="AF912" s="1" t="s">
        <v>109</v>
      </c>
      <c r="AG912" s="1" t="s">
        <v>109</v>
      </c>
      <c r="AH912" s="1" t="s">
        <v>109</v>
      </c>
      <c r="AI912" s="1" t="s">
        <v>109</v>
      </c>
      <c r="AJ912" s="1" t="s">
        <v>109</v>
      </c>
      <c r="AK912" s="1" t="s">
        <v>109</v>
      </c>
      <c r="AL912" s="1" t="s">
        <v>109</v>
      </c>
      <c r="AM912" s="1" t="s">
        <v>109</v>
      </c>
      <c r="AN912" s="1" t="s">
        <v>109</v>
      </c>
      <c r="AO912" s="1" t="s">
        <v>109</v>
      </c>
      <c r="AP912" s="1"/>
      <c r="AQ912" s="1">
        <v>9</v>
      </c>
      <c r="AR912" s="1"/>
      <c r="AS912" s="1" t="s">
        <v>7624</v>
      </c>
      <c r="AT912" s="1">
        <v>0</v>
      </c>
      <c r="AU912" s="1">
        <v>0</v>
      </c>
      <c r="AV912" s="1">
        <v>0</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0</v>
      </c>
      <c r="BS912" s="1" t="s">
        <v>109</v>
      </c>
      <c r="BT912" s="1">
        <v>931</v>
      </c>
      <c r="BU912" s="1">
        <v>1000</v>
      </c>
      <c r="BV912" s="1"/>
      <c r="BW912" s="1"/>
      <c r="BX912" s="1"/>
      <c r="BY912" s="1"/>
      <c r="BZ912" s="1">
        <v>0</v>
      </c>
      <c r="CA912" s="1" t="s">
        <v>109</v>
      </c>
      <c r="CB912" s="1" t="s">
        <v>109</v>
      </c>
      <c r="CC912" s="1">
        <v>9</v>
      </c>
      <c r="CD912" s="1" t="s">
        <v>109</v>
      </c>
      <c r="CE912" s="1" t="s">
        <v>109</v>
      </c>
      <c r="CF912" s="1" t="s">
        <v>109</v>
      </c>
      <c r="CG912" s="1" t="s">
        <v>109</v>
      </c>
      <c r="CH912" s="1" t="s">
        <v>109</v>
      </c>
      <c r="CI912" s="1" t="s">
        <v>109</v>
      </c>
      <c r="CJ912" s="1" t="s">
        <v>109</v>
      </c>
      <c r="CK912" s="1"/>
      <c r="CL912" s="1">
        <v>0</v>
      </c>
      <c r="CM912" s="1">
        <v>0</v>
      </c>
      <c r="CN912" s="1">
        <v>0</v>
      </c>
    </row>
    <row r="913" spans="1:92" ht="14.25" customHeight="1" x14ac:dyDescent="0.15">
      <c r="A913" s="1" t="s">
        <v>7625</v>
      </c>
      <c r="B913" s="1" t="s">
        <v>674</v>
      </c>
      <c r="C913" s="1" t="s">
        <v>944</v>
      </c>
      <c r="D913" s="1" t="s">
        <v>7626</v>
      </c>
      <c r="E913" s="1" t="s">
        <v>7627</v>
      </c>
      <c r="F913" s="1" t="s">
        <v>98</v>
      </c>
      <c r="G913" s="1" t="s">
        <v>7628</v>
      </c>
      <c r="H913" s="1">
        <v>0</v>
      </c>
      <c r="I913" s="1" t="s">
        <v>142</v>
      </c>
      <c r="J913" s="1"/>
      <c r="K913" s="1"/>
      <c r="L913" s="1" t="s">
        <v>7629</v>
      </c>
      <c r="M913" s="1" t="s">
        <v>7630</v>
      </c>
      <c r="N913" s="1">
        <v>0</v>
      </c>
      <c r="O913" s="1">
        <v>0</v>
      </c>
      <c r="P913" s="1" t="s">
        <v>564</v>
      </c>
      <c r="Q913" s="1" t="s">
        <v>268</v>
      </c>
      <c r="R913" s="1" t="s">
        <v>7631</v>
      </c>
      <c r="S913" s="1" t="s">
        <v>7632</v>
      </c>
      <c r="T913" s="1" t="s">
        <v>5815</v>
      </c>
      <c r="U913" s="1" t="s">
        <v>7633</v>
      </c>
      <c r="V913" s="1">
        <v>1</v>
      </c>
      <c r="W913" s="1">
        <v>1</v>
      </c>
      <c r="X913" s="1">
        <v>1</v>
      </c>
      <c r="Y913" s="1">
        <v>0</v>
      </c>
      <c r="Z913" s="1">
        <v>0</v>
      </c>
      <c r="AA913" s="1">
        <v>4</v>
      </c>
      <c r="AB913" s="1">
        <v>4</v>
      </c>
      <c r="AC913" s="1" t="s">
        <v>109</v>
      </c>
      <c r="AD913" s="1" t="s">
        <v>109</v>
      </c>
      <c r="AE913" s="1" t="s">
        <v>109</v>
      </c>
      <c r="AF913" s="1">
        <v>4</v>
      </c>
      <c r="AG913" s="1" t="s">
        <v>109</v>
      </c>
      <c r="AH913" s="1" t="s">
        <v>109</v>
      </c>
      <c r="AI913" s="1" t="s">
        <v>109</v>
      </c>
      <c r="AJ913" s="1">
        <v>4</v>
      </c>
      <c r="AK913" s="1" t="s">
        <v>109</v>
      </c>
      <c r="AL913" s="1" t="s">
        <v>109</v>
      </c>
      <c r="AM913" s="1" t="s">
        <v>109</v>
      </c>
      <c r="AN913" s="1" t="s">
        <v>109</v>
      </c>
      <c r="AO913" s="1" t="s">
        <v>109</v>
      </c>
      <c r="AP913" s="1"/>
      <c r="AQ913" s="1">
        <v>4</v>
      </c>
      <c r="AR913" s="1"/>
      <c r="AS913" s="1" t="s">
        <v>7634</v>
      </c>
      <c r="AT913" s="1">
        <v>0</v>
      </c>
      <c r="AU913" s="1">
        <v>0</v>
      </c>
      <c r="AV913" s="1">
        <v>0</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1</v>
      </c>
      <c r="BM913" s="1">
        <v>1</v>
      </c>
      <c r="BN913" s="1">
        <v>0</v>
      </c>
      <c r="BO913" s="1">
        <v>0</v>
      </c>
      <c r="BP913" s="1">
        <v>0</v>
      </c>
      <c r="BQ913" s="1">
        <v>0</v>
      </c>
      <c r="BR913" s="1">
        <v>0</v>
      </c>
      <c r="BS913" s="5" t="str">
        <f>HYPERLINK("http://www.d20pfsrd.com/magic/all-spells/w/wandering-star-motes","Wandering Star Motes")</f>
        <v>Wandering Star Motes</v>
      </c>
      <c r="BT913" s="1">
        <v>932</v>
      </c>
      <c r="BU913" s="1" t="s">
        <v>109</v>
      </c>
      <c r="BV913" s="1"/>
      <c r="BW913" s="1" t="s">
        <v>7635</v>
      </c>
      <c r="BX913" s="1"/>
      <c r="BY913" s="1"/>
      <c r="BZ913" s="1">
        <v>0</v>
      </c>
      <c r="CA913" s="1" t="s">
        <v>109</v>
      </c>
      <c r="CB913" s="1">
        <v>4</v>
      </c>
      <c r="CC913" s="1">
        <v>4</v>
      </c>
      <c r="CD913" s="1" t="s">
        <v>109</v>
      </c>
      <c r="CE913" s="1" t="s">
        <v>109</v>
      </c>
      <c r="CF913" s="1">
        <v>4</v>
      </c>
      <c r="CG913" s="1" t="s">
        <v>109</v>
      </c>
      <c r="CH913" s="1" t="s">
        <v>109</v>
      </c>
      <c r="CI913" s="1" t="s">
        <v>109</v>
      </c>
      <c r="CJ913" s="1" t="s">
        <v>109</v>
      </c>
      <c r="CK913" s="1"/>
      <c r="CL913" s="1">
        <v>0</v>
      </c>
      <c r="CM913" s="1">
        <v>0</v>
      </c>
      <c r="CN913" s="1">
        <v>0</v>
      </c>
    </row>
    <row r="914" spans="1:92" ht="14.25" customHeight="1" x14ac:dyDescent="0.15">
      <c r="A914" s="1" t="s">
        <v>7636</v>
      </c>
      <c r="B914" s="1" t="s">
        <v>242</v>
      </c>
      <c r="C914" s="1"/>
      <c r="D914" s="1"/>
      <c r="E914" s="1" t="s">
        <v>7132</v>
      </c>
      <c r="F914" s="1" t="s">
        <v>98</v>
      </c>
      <c r="G914" s="1" t="s">
        <v>160</v>
      </c>
      <c r="H914" s="1">
        <v>0</v>
      </c>
      <c r="I914" s="1" t="s">
        <v>161</v>
      </c>
      <c r="J914" s="1" t="s">
        <v>3101</v>
      </c>
      <c r="K914" s="1"/>
      <c r="L914" s="1"/>
      <c r="M914" s="1" t="s">
        <v>5642</v>
      </c>
      <c r="N914" s="1">
        <v>0</v>
      </c>
      <c r="O914" s="1">
        <v>0</v>
      </c>
      <c r="P914" s="1" t="s">
        <v>507</v>
      </c>
      <c r="Q914" s="1" t="s">
        <v>104</v>
      </c>
      <c r="R914" s="1" t="s">
        <v>7637</v>
      </c>
      <c r="S914" s="1" t="s">
        <v>7638</v>
      </c>
      <c r="T914" s="1" t="s">
        <v>5815</v>
      </c>
      <c r="U914" s="1" t="s">
        <v>7639</v>
      </c>
      <c r="V914" s="1">
        <v>1</v>
      </c>
      <c r="W914" s="1">
        <v>1</v>
      </c>
      <c r="X914" s="1">
        <v>0</v>
      </c>
      <c r="Y914" s="1">
        <v>0</v>
      </c>
      <c r="Z914" s="1">
        <v>1</v>
      </c>
      <c r="AA914" s="1" t="s">
        <v>109</v>
      </c>
      <c r="AB914" s="1" t="s">
        <v>109</v>
      </c>
      <c r="AC914" s="1" t="s">
        <v>109</v>
      </c>
      <c r="AD914" s="1" t="s">
        <v>109</v>
      </c>
      <c r="AE914" s="1" t="s">
        <v>109</v>
      </c>
      <c r="AF914" s="1" t="s">
        <v>109</v>
      </c>
      <c r="AG914" s="1" t="s">
        <v>109</v>
      </c>
      <c r="AH914" s="1" t="s">
        <v>109</v>
      </c>
      <c r="AI914" s="1" t="s">
        <v>109</v>
      </c>
      <c r="AJ914" s="1" t="s">
        <v>109</v>
      </c>
      <c r="AK914" s="1">
        <v>3</v>
      </c>
      <c r="AL914" s="1" t="s">
        <v>109</v>
      </c>
      <c r="AM914" s="1" t="s">
        <v>109</v>
      </c>
      <c r="AN914" s="1" t="s">
        <v>109</v>
      </c>
      <c r="AO914" s="1" t="s">
        <v>109</v>
      </c>
      <c r="AP914" s="1"/>
      <c r="AQ914" s="1">
        <v>3</v>
      </c>
      <c r="AR914" s="1"/>
      <c r="AS914" s="1" t="s">
        <v>7640</v>
      </c>
      <c r="AT914" s="1">
        <v>0</v>
      </c>
      <c r="AU914" s="1">
        <v>0</v>
      </c>
      <c r="AV914" s="1">
        <v>0</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5" t="str">
        <f>HYPERLINK("http://www.d20pfsrd.com/magic/all-spells/w/ward-the-faithful","Ward the Faithful")</f>
        <v>Ward the Faithful</v>
      </c>
      <c r="BT914" s="1">
        <v>933</v>
      </c>
      <c r="BU914" s="1" t="s">
        <v>109</v>
      </c>
      <c r="BV914" s="1"/>
      <c r="BW914" s="1"/>
      <c r="BX914" s="1"/>
      <c r="BY914" s="1"/>
      <c r="BZ914" s="1">
        <v>0</v>
      </c>
      <c r="CA914" s="1" t="s">
        <v>109</v>
      </c>
      <c r="CB914" s="1" t="s">
        <v>109</v>
      </c>
      <c r="CC914" s="1" t="s">
        <v>109</v>
      </c>
      <c r="CD914" s="1" t="s">
        <v>109</v>
      </c>
      <c r="CE914" s="1" t="s">
        <v>109</v>
      </c>
      <c r="CF914" s="1" t="s">
        <v>109</v>
      </c>
      <c r="CG914" s="1" t="s">
        <v>109</v>
      </c>
      <c r="CH914" s="1" t="s">
        <v>109</v>
      </c>
      <c r="CI914" s="1" t="s">
        <v>109</v>
      </c>
      <c r="CJ914" s="1" t="s">
        <v>109</v>
      </c>
      <c r="CK914" s="1"/>
      <c r="CL914" s="1">
        <v>0</v>
      </c>
      <c r="CM914" s="1">
        <v>0</v>
      </c>
      <c r="CN914" s="1">
        <v>0</v>
      </c>
    </row>
    <row r="915" spans="1:92" ht="14.25" customHeight="1" x14ac:dyDescent="0.15">
      <c r="A915" s="1" t="s">
        <v>7641</v>
      </c>
      <c r="B915" s="1" t="s">
        <v>189</v>
      </c>
      <c r="C915" s="1"/>
      <c r="D915" s="1" t="s">
        <v>56</v>
      </c>
      <c r="E915" s="1" t="s">
        <v>7642</v>
      </c>
      <c r="F915" s="1" t="s">
        <v>98</v>
      </c>
      <c r="G915" s="1" t="s">
        <v>160</v>
      </c>
      <c r="H915" s="1">
        <v>0</v>
      </c>
      <c r="I915" s="1" t="s">
        <v>161</v>
      </c>
      <c r="J915" s="1"/>
      <c r="K915" s="1"/>
      <c r="L915" s="1" t="s">
        <v>639</v>
      </c>
      <c r="M915" s="1" t="s">
        <v>3042</v>
      </c>
      <c r="N915" s="1">
        <v>0</v>
      </c>
      <c r="O915" s="1">
        <v>0</v>
      </c>
      <c r="P915" s="1" t="s">
        <v>215</v>
      </c>
      <c r="Q915" s="1" t="s">
        <v>216</v>
      </c>
      <c r="R915" s="1" t="s">
        <v>7643</v>
      </c>
      <c r="S915" s="1" t="s">
        <v>7644</v>
      </c>
      <c r="T915" s="1" t="s">
        <v>5815</v>
      </c>
      <c r="U915" s="1" t="s">
        <v>7645</v>
      </c>
      <c r="V915" s="1">
        <v>1</v>
      </c>
      <c r="W915" s="1">
        <v>1</v>
      </c>
      <c r="X915" s="1">
        <v>0</v>
      </c>
      <c r="Y915" s="1">
        <v>0</v>
      </c>
      <c r="Z915" s="1">
        <v>1</v>
      </c>
      <c r="AA915" s="1" t="s">
        <v>109</v>
      </c>
      <c r="AB915" s="1" t="s">
        <v>109</v>
      </c>
      <c r="AC915" s="1">
        <v>2</v>
      </c>
      <c r="AD915" s="1" t="s">
        <v>109</v>
      </c>
      <c r="AE915" s="1" t="s">
        <v>109</v>
      </c>
      <c r="AF915" s="1" t="s">
        <v>109</v>
      </c>
      <c r="AG915" s="1">
        <v>2</v>
      </c>
      <c r="AH915" s="1" t="s">
        <v>109</v>
      </c>
      <c r="AI915" s="1" t="s">
        <v>109</v>
      </c>
      <c r="AJ915" s="1" t="s">
        <v>109</v>
      </c>
      <c r="AK915" s="1">
        <v>2</v>
      </c>
      <c r="AL915" s="1">
        <v>2</v>
      </c>
      <c r="AM915" s="1" t="s">
        <v>109</v>
      </c>
      <c r="AN915" s="1" t="s">
        <v>109</v>
      </c>
      <c r="AO915" s="1" t="s">
        <v>109</v>
      </c>
      <c r="AP915" s="1"/>
      <c r="AQ915" s="1">
        <v>2</v>
      </c>
      <c r="AR915" s="1"/>
      <c r="AS915" s="1" t="s">
        <v>7646</v>
      </c>
      <c r="AT915" s="1">
        <v>0</v>
      </c>
      <c r="AU915" s="1">
        <v>0</v>
      </c>
      <c r="AV915" s="1">
        <v>0</v>
      </c>
      <c r="AW915" s="1">
        <v>0</v>
      </c>
      <c r="AX915" s="1">
        <v>0</v>
      </c>
      <c r="AY915" s="1">
        <v>0</v>
      </c>
      <c r="AZ915" s="1">
        <v>0</v>
      </c>
      <c r="BA915" s="1">
        <v>0</v>
      </c>
      <c r="BB915" s="1">
        <v>0</v>
      </c>
      <c r="BC915" s="1">
        <v>0</v>
      </c>
      <c r="BD915" s="1">
        <v>1</v>
      </c>
      <c r="BE915" s="1">
        <v>0</v>
      </c>
      <c r="BF915" s="1">
        <v>0</v>
      </c>
      <c r="BG915" s="1">
        <v>0</v>
      </c>
      <c r="BH915" s="1">
        <v>0</v>
      </c>
      <c r="BI915" s="1">
        <v>0</v>
      </c>
      <c r="BJ915" s="1">
        <v>0</v>
      </c>
      <c r="BK915" s="1">
        <v>0</v>
      </c>
      <c r="BL915" s="1">
        <v>0</v>
      </c>
      <c r="BM915" s="1">
        <v>0</v>
      </c>
      <c r="BN915" s="1">
        <v>0</v>
      </c>
      <c r="BO915" s="1">
        <v>0</v>
      </c>
      <c r="BP915" s="1">
        <v>0</v>
      </c>
      <c r="BQ915" s="1">
        <v>0</v>
      </c>
      <c r="BR915" s="1">
        <v>0</v>
      </c>
      <c r="BS915" s="5" t="str">
        <f>HYPERLINK("http://www.d20pfsrd.com/magic/all-spells/w/weapon-of-awe","Weapon of Awe")</f>
        <v>Weapon of Awe</v>
      </c>
      <c r="BT915" s="1">
        <v>934</v>
      </c>
      <c r="BU915" s="1" t="s">
        <v>109</v>
      </c>
      <c r="BV915" s="1"/>
      <c r="BW915" s="1"/>
      <c r="BX915" s="1"/>
      <c r="BY915" s="1"/>
      <c r="BZ915" s="1">
        <v>0</v>
      </c>
      <c r="CA915" s="1" t="s">
        <v>109</v>
      </c>
      <c r="CB915" s="1" t="s">
        <v>109</v>
      </c>
      <c r="CC915" s="1" t="s">
        <v>109</v>
      </c>
      <c r="CD915" s="1" t="s">
        <v>109</v>
      </c>
      <c r="CE915" s="1" t="s">
        <v>109</v>
      </c>
      <c r="CF915" s="1">
        <v>2</v>
      </c>
      <c r="CG915" s="1" t="s">
        <v>109</v>
      </c>
      <c r="CH915" s="1" t="s">
        <v>109</v>
      </c>
      <c r="CI915" s="1" t="s">
        <v>109</v>
      </c>
      <c r="CJ915" s="1" t="s">
        <v>109</v>
      </c>
      <c r="CK915" s="1"/>
      <c r="CL915" s="1">
        <v>0</v>
      </c>
      <c r="CM915" s="1">
        <v>0</v>
      </c>
      <c r="CN915" s="1">
        <v>0</v>
      </c>
    </row>
    <row r="916" spans="1:92" ht="14.25" customHeight="1" x14ac:dyDescent="0.15">
      <c r="A916" s="1" t="s">
        <v>7647</v>
      </c>
      <c r="B916" s="1" t="s">
        <v>584</v>
      </c>
      <c r="C916" s="1"/>
      <c r="D916" s="1" t="s">
        <v>47</v>
      </c>
      <c r="E916" s="1" t="s">
        <v>7648</v>
      </c>
      <c r="F916" s="1" t="s">
        <v>98</v>
      </c>
      <c r="G916" s="1" t="s">
        <v>160</v>
      </c>
      <c r="H916" s="1">
        <v>0</v>
      </c>
      <c r="I916" s="1" t="s">
        <v>235</v>
      </c>
      <c r="J916" s="1"/>
      <c r="K916" s="1"/>
      <c r="L916" s="1" t="s">
        <v>236</v>
      </c>
      <c r="M916" s="1" t="s">
        <v>3042</v>
      </c>
      <c r="N916" s="1">
        <v>0</v>
      </c>
      <c r="O916" s="1">
        <v>0</v>
      </c>
      <c r="P916" s="1"/>
      <c r="Q916" s="1"/>
      <c r="R916" s="1" t="s">
        <v>7649</v>
      </c>
      <c r="S916" s="1" t="s">
        <v>7650</v>
      </c>
      <c r="T916" s="1" t="s">
        <v>5815</v>
      </c>
      <c r="U916" s="1" t="s">
        <v>7651</v>
      </c>
      <c r="V916" s="1">
        <v>1</v>
      </c>
      <c r="W916" s="1">
        <v>1</v>
      </c>
      <c r="X916" s="1">
        <v>0</v>
      </c>
      <c r="Y916" s="1">
        <v>0</v>
      </c>
      <c r="Z916" s="1">
        <v>1</v>
      </c>
      <c r="AA916" s="1">
        <v>9</v>
      </c>
      <c r="AB916" s="1">
        <v>9</v>
      </c>
      <c r="AC916" s="1">
        <v>9</v>
      </c>
      <c r="AD916" s="1">
        <v>9</v>
      </c>
      <c r="AE916" s="1" t="s">
        <v>109</v>
      </c>
      <c r="AF916" s="1" t="s">
        <v>109</v>
      </c>
      <c r="AG916" s="1" t="s">
        <v>109</v>
      </c>
      <c r="AH916" s="1" t="s">
        <v>109</v>
      </c>
      <c r="AI916" s="1" t="s">
        <v>109</v>
      </c>
      <c r="AJ916" s="1" t="s">
        <v>109</v>
      </c>
      <c r="AK916" s="1" t="s">
        <v>109</v>
      </c>
      <c r="AL916" s="1">
        <v>9</v>
      </c>
      <c r="AM916" s="1" t="s">
        <v>109</v>
      </c>
      <c r="AN916" s="1" t="s">
        <v>109</v>
      </c>
      <c r="AO916" s="1" t="s">
        <v>109</v>
      </c>
      <c r="AP916" s="1"/>
      <c r="AQ916" s="1">
        <v>9</v>
      </c>
      <c r="AR916" s="1" t="s">
        <v>7652</v>
      </c>
      <c r="AS916" s="1" t="s">
        <v>7653</v>
      </c>
      <c r="AT916" s="1">
        <v>0</v>
      </c>
      <c r="AU916" s="1">
        <v>1</v>
      </c>
      <c r="AV916" s="1">
        <v>0</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v>
      </c>
      <c r="BS916" s="5" t="str">
        <f>HYPERLINK("http://www.d20pfsrd.com/magic/all-spells/w/winds-of-vengeance","Winds of Vengeance")</f>
        <v>Winds of Vengeance</v>
      </c>
      <c r="BT916" s="1">
        <v>935</v>
      </c>
      <c r="BU916" s="1" t="s">
        <v>109</v>
      </c>
      <c r="BV916" s="1"/>
      <c r="BW916" s="1" t="s">
        <v>7654</v>
      </c>
      <c r="BX916" s="1"/>
      <c r="BY916" s="1"/>
      <c r="BZ916" s="1">
        <v>0</v>
      </c>
      <c r="CA916" s="1" t="s">
        <v>109</v>
      </c>
      <c r="CB916" s="1">
        <v>9</v>
      </c>
      <c r="CC916" s="1" t="s">
        <v>109</v>
      </c>
      <c r="CD916" s="1" t="s">
        <v>109</v>
      </c>
      <c r="CE916" s="1" t="s">
        <v>109</v>
      </c>
      <c r="CF916" s="1" t="s">
        <v>109</v>
      </c>
      <c r="CG916" s="1" t="s">
        <v>109</v>
      </c>
      <c r="CH916" s="1" t="s">
        <v>109</v>
      </c>
      <c r="CI916" s="1" t="s">
        <v>109</v>
      </c>
      <c r="CJ916" s="1" t="s">
        <v>109</v>
      </c>
      <c r="CK916" s="1"/>
      <c r="CL916" s="1">
        <v>0</v>
      </c>
      <c r="CM916" s="1">
        <v>0</v>
      </c>
      <c r="CN916" s="1">
        <v>0</v>
      </c>
    </row>
    <row r="917" spans="1:92" ht="14.25" customHeight="1" x14ac:dyDescent="0.15">
      <c r="A917" s="1" t="s">
        <v>7655</v>
      </c>
      <c r="B917" s="1" t="s">
        <v>189</v>
      </c>
      <c r="C917" s="1"/>
      <c r="D917" s="1" t="s">
        <v>7656</v>
      </c>
      <c r="E917" s="1" t="s">
        <v>6155</v>
      </c>
      <c r="F917" s="1" t="s">
        <v>98</v>
      </c>
      <c r="G917" s="1" t="s">
        <v>160</v>
      </c>
      <c r="H917" s="1">
        <v>0</v>
      </c>
      <c r="I917" s="1" t="s">
        <v>211</v>
      </c>
      <c r="J917" s="1"/>
      <c r="K917" s="1" t="s">
        <v>211</v>
      </c>
      <c r="L917" s="1"/>
      <c r="M917" s="1" t="s">
        <v>7657</v>
      </c>
      <c r="N917" s="1">
        <v>1</v>
      </c>
      <c r="O917" s="1">
        <v>0</v>
      </c>
      <c r="P917" s="1" t="s">
        <v>103</v>
      </c>
      <c r="Q917" s="1" t="s">
        <v>268</v>
      </c>
      <c r="R917" s="1" t="s">
        <v>7658</v>
      </c>
      <c r="S917" s="1" t="s">
        <v>7659</v>
      </c>
      <c r="T917" s="1" t="s">
        <v>5815</v>
      </c>
      <c r="U917" s="1" t="s">
        <v>7660</v>
      </c>
      <c r="V917" s="1">
        <v>1</v>
      </c>
      <c r="W917" s="1">
        <v>1</v>
      </c>
      <c r="X917" s="1">
        <v>0</v>
      </c>
      <c r="Y917" s="1">
        <v>0</v>
      </c>
      <c r="Z917" s="1">
        <v>1</v>
      </c>
      <c r="AA917" s="1">
        <v>9</v>
      </c>
      <c r="AB917" s="1">
        <v>9</v>
      </c>
      <c r="AC917" s="1" t="s">
        <v>109</v>
      </c>
      <c r="AD917" s="1">
        <v>9</v>
      </c>
      <c r="AE917" s="1" t="s">
        <v>109</v>
      </c>
      <c r="AF917" s="1" t="s">
        <v>109</v>
      </c>
      <c r="AG917" s="1" t="s">
        <v>109</v>
      </c>
      <c r="AH917" s="1" t="s">
        <v>109</v>
      </c>
      <c r="AI917" s="1" t="s">
        <v>109</v>
      </c>
      <c r="AJ917" s="1" t="s">
        <v>109</v>
      </c>
      <c r="AK917" s="1" t="s">
        <v>109</v>
      </c>
      <c r="AL917" s="1" t="s">
        <v>109</v>
      </c>
      <c r="AM917" s="1" t="s">
        <v>109</v>
      </c>
      <c r="AN917" s="1" t="s">
        <v>109</v>
      </c>
      <c r="AO917" s="1" t="s">
        <v>109</v>
      </c>
      <c r="AP917" s="1"/>
      <c r="AQ917" s="1">
        <v>9</v>
      </c>
      <c r="AR917" s="1" t="s">
        <v>7661</v>
      </c>
      <c r="AS917" s="1" t="s">
        <v>7662</v>
      </c>
      <c r="AT917" s="1">
        <v>0</v>
      </c>
      <c r="AU917" s="1">
        <v>0</v>
      </c>
      <c r="AV917" s="1">
        <v>0</v>
      </c>
      <c r="AW917" s="1">
        <v>0</v>
      </c>
      <c r="AX917" s="1">
        <v>0</v>
      </c>
      <c r="AY917" s="1">
        <v>0</v>
      </c>
      <c r="AZ917" s="1">
        <v>0</v>
      </c>
      <c r="BA917" s="1">
        <v>0</v>
      </c>
      <c r="BB917" s="1">
        <v>1</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1</v>
      </c>
      <c r="BS917" s="5" t="str">
        <f>HYPERLINK("http://www.d20pfsrd.com/magic/all-spells/w/world-wave","World Wave")</f>
        <v>World Wave</v>
      </c>
      <c r="BT917" s="1">
        <v>936</v>
      </c>
      <c r="BU917" s="1" t="s">
        <v>109</v>
      </c>
      <c r="BV917" s="1" t="s">
        <v>7663</v>
      </c>
      <c r="BW917" s="1"/>
      <c r="BX917" s="1"/>
      <c r="BY917" s="1"/>
      <c r="BZ917" s="1">
        <v>0</v>
      </c>
      <c r="CA917" s="1" t="s">
        <v>109</v>
      </c>
      <c r="CB917" s="1" t="s">
        <v>109</v>
      </c>
      <c r="CC917" s="1" t="s">
        <v>109</v>
      </c>
      <c r="CD917" s="1" t="s">
        <v>109</v>
      </c>
      <c r="CE917" s="1" t="s">
        <v>109</v>
      </c>
      <c r="CF917" s="1" t="s">
        <v>109</v>
      </c>
      <c r="CG917" s="1" t="s">
        <v>109</v>
      </c>
      <c r="CH917" s="1" t="s">
        <v>109</v>
      </c>
      <c r="CI917" s="1" t="s">
        <v>109</v>
      </c>
      <c r="CJ917" s="1" t="s">
        <v>109</v>
      </c>
      <c r="CK917" s="1"/>
      <c r="CL917" s="1">
        <v>0</v>
      </c>
      <c r="CM917" s="1">
        <v>0</v>
      </c>
      <c r="CN917" s="1">
        <v>0</v>
      </c>
    </row>
    <row r="918" spans="1:92" ht="14.25" customHeight="1" x14ac:dyDescent="0.15">
      <c r="A918" s="1" t="s">
        <v>7664</v>
      </c>
      <c r="B918" s="1" t="s">
        <v>156</v>
      </c>
      <c r="C918" s="1" t="s">
        <v>157</v>
      </c>
      <c r="D918" s="1" t="s">
        <v>375</v>
      </c>
      <c r="E918" s="1" t="s">
        <v>6075</v>
      </c>
      <c r="F918" s="1" t="s">
        <v>98</v>
      </c>
      <c r="G918" s="1" t="s">
        <v>7259</v>
      </c>
      <c r="H918" s="1">
        <v>0</v>
      </c>
      <c r="I918" s="1" t="s">
        <v>235</v>
      </c>
      <c r="J918" s="1"/>
      <c r="K918" s="1"/>
      <c r="L918" s="1" t="s">
        <v>236</v>
      </c>
      <c r="M918" s="1" t="s">
        <v>277</v>
      </c>
      <c r="N918" s="1">
        <v>0</v>
      </c>
      <c r="O918" s="1">
        <v>0</v>
      </c>
      <c r="P918" s="1"/>
      <c r="Q918" s="1"/>
      <c r="R918" s="1" t="s">
        <v>7665</v>
      </c>
      <c r="S918" s="1" t="s">
        <v>7666</v>
      </c>
      <c r="T918" s="1" t="s">
        <v>5815</v>
      </c>
      <c r="U918" s="1" t="s">
        <v>7667</v>
      </c>
      <c r="V918" s="1">
        <v>1</v>
      </c>
      <c r="W918" s="1">
        <v>1</v>
      </c>
      <c r="X918" s="1">
        <v>1</v>
      </c>
      <c r="Y918" s="1">
        <v>0</v>
      </c>
      <c r="Z918" s="1">
        <v>0</v>
      </c>
      <c r="AA918" s="1" t="s">
        <v>109</v>
      </c>
      <c r="AB918" s="1" t="s">
        <v>109</v>
      </c>
      <c r="AC918" s="1" t="s">
        <v>109</v>
      </c>
      <c r="AD918" s="1" t="s">
        <v>109</v>
      </c>
      <c r="AE918" s="1" t="s">
        <v>109</v>
      </c>
      <c r="AF918" s="1" t="s">
        <v>109</v>
      </c>
      <c r="AG918" s="1" t="s">
        <v>109</v>
      </c>
      <c r="AH918" s="1" t="s">
        <v>109</v>
      </c>
      <c r="AI918" s="1" t="s">
        <v>109</v>
      </c>
      <c r="AJ918" s="1" t="s">
        <v>109</v>
      </c>
      <c r="AK918" s="1">
        <v>1</v>
      </c>
      <c r="AL918" s="1" t="s">
        <v>109</v>
      </c>
      <c r="AM918" s="1" t="s">
        <v>109</v>
      </c>
      <c r="AN918" s="1" t="s">
        <v>109</v>
      </c>
      <c r="AO918" s="1" t="s">
        <v>109</v>
      </c>
      <c r="AP918" s="1"/>
      <c r="AQ918" s="1">
        <v>1</v>
      </c>
      <c r="AR918" s="1"/>
      <c r="AS918" s="1" t="s">
        <v>7668</v>
      </c>
      <c r="AT918" s="1">
        <v>0</v>
      </c>
      <c r="AU918" s="1">
        <v>0</v>
      </c>
      <c r="AV918" s="1">
        <v>0</v>
      </c>
      <c r="AW918" s="1">
        <v>0</v>
      </c>
      <c r="AX918" s="1">
        <v>0</v>
      </c>
      <c r="AY918" s="1">
        <v>0</v>
      </c>
      <c r="AZ918" s="1">
        <v>0</v>
      </c>
      <c r="BA918" s="1">
        <v>0</v>
      </c>
      <c r="BB918" s="1">
        <v>0</v>
      </c>
      <c r="BC918" s="1">
        <v>0</v>
      </c>
      <c r="BD918" s="1">
        <v>1</v>
      </c>
      <c r="BE918" s="1">
        <v>0</v>
      </c>
      <c r="BF918" s="1">
        <v>0</v>
      </c>
      <c r="BG918" s="1">
        <v>0</v>
      </c>
      <c r="BH918" s="1">
        <v>0</v>
      </c>
      <c r="BI918" s="1">
        <v>0</v>
      </c>
      <c r="BJ918" s="1">
        <v>0</v>
      </c>
      <c r="BK918" s="1">
        <v>0</v>
      </c>
      <c r="BL918" s="1">
        <v>0</v>
      </c>
      <c r="BM918" s="1">
        <v>1</v>
      </c>
      <c r="BN918" s="1">
        <v>0</v>
      </c>
      <c r="BO918" s="1">
        <v>0</v>
      </c>
      <c r="BP918" s="1">
        <v>0</v>
      </c>
      <c r="BQ918" s="1">
        <v>0</v>
      </c>
      <c r="BR918" s="1">
        <v>0</v>
      </c>
      <c r="BS918" s="5" t="str">
        <f>HYPERLINK("http://www.d20pfsrd.com/magic/all-spells/w/wrath","Wrath")</f>
        <v>Wrath</v>
      </c>
      <c r="BT918" s="1">
        <v>937</v>
      </c>
      <c r="BU918" s="1" t="s">
        <v>109</v>
      </c>
      <c r="BV918" s="1"/>
      <c r="BW918" s="1" t="s">
        <v>7669</v>
      </c>
      <c r="BX918" s="1"/>
      <c r="BY918" s="1"/>
      <c r="BZ918" s="1">
        <v>0</v>
      </c>
      <c r="CA918" s="1" t="s">
        <v>109</v>
      </c>
      <c r="CB918" s="1" t="s">
        <v>109</v>
      </c>
      <c r="CC918" s="1" t="s">
        <v>109</v>
      </c>
      <c r="CD918" s="1" t="s">
        <v>109</v>
      </c>
      <c r="CE918" s="1" t="s">
        <v>109</v>
      </c>
      <c r="CF918" s="1" t="s">
        <v>109</v>
      </c>
      <c r="CG918" s="1" t="s">
        <v>109</v>
      </c>
      <c r="CH918" s="1" t="s">
        <v>109</v>
      </c>
      <c r="CI918" s="1" t="s">
        <v>109</v>
      </c>
      <c r="CJ918" s="1" t="s">
        <v>109</v>
      </c>
      <c r="CK918" s="1"/>
      <c r="CL918" s="1">
        <v>0</v>
      </c>
      <c r="CM918" s="1">
        <v>0</v>
      </c>
      <c r="CN918" s="1">
        <v>0</v>
      </c>
    </row>
    <row r="919" spans="1:92" ht="14.25" customHeight="1" x14ac:dyDescent="0.15">
      <c r="A919" s="1" t="s">
        <v>7670</v>
      </c>
      <c r="B919" s="1" t="s">
        <v>584</v>
      </c>
      <c r="C919" s="1"/>
      <c r="D919" s="1" t="s">
        <v>7671</v>
      </c>
      <c r="E919" s="1" t="s">
        <v>7672</v>
      </c>
      <c r="F919" s="1" t="s">
        <v>98</v>
      </c>
      <c r="G919" s="1" t="s">
        <v>160</v>
      </c>
      <c r="H919" s="1">
        <v>0</v>
      </c>
      <c r="I919" s="1" t="s">
        <v>7673</v>
      </c>
      <c r="J919" s="1"/>
      <c r="K919" s="1"/>
      <c r="L919" s="1" t="s">
        <v>7674</v>
      </c>
      <c r="M919" s="1" t="s">
        <v>3042</v>
      </c>
      <c r="N919" s="1">
        <v>0</v>
      </c>
      <c r="O919" s="1">
        <v>0</v>
      </c>
      <c r="P919" s="1" t="s">
        <v>507</v>
      </c>
      <c r="Q919" s="1" t="s">
        <v>167</v>
      </c>
      <c r="R919" s="1" t="s">
        <v>7675</v>
      </c>
      <c r="S919" s="1" t="s">
        <v>7676</v>
      </c>
      <c r="T919" s="1" t="s">
        <v>5815</v>
      </c>
      <c r="U919" s="1" t="s">
        <v>7677</v>
      </c>
      <c r="V919" s="1">
        <v>1</v>
      </c>
      <c r="W919" s="1">
        <v>1</v>
      </c>
      <c r="X919" s="1">
        <v>0</v>
      </c>
      <c r="Y919" s="1">
        <v>0</v>
      </c>
      <c r="Z919" s="1">
        <v>1</v>
      </c>
      <c r="AA919" s="1" t="s">
        <v>109</v>
      </c>
      <c r="AB919" s="1" t="s">
        <v>109</v>
      </c>
      <c r="AC919" s="1">
        <v>3</v>
      </c>
      <c r="AD919" s="1" t="s">
        <v>109</v>
      </c>
      <c r="AE919" s="1" t="s">
        <v>109</v>
      </c>
      <c r="AF919" s="1" t="s">
        <v>109</v>
      </c>
      <c r="AG919" s="1">
        <v>3</v>
      </c>
      <c r="AH919" s="1" t="s">
        <v>109</v>
      </c>
      <c r="AI919" s="1" t="s">
        <v>109</v>
      </c>
      <c r="AJ919" s="1" t="s">
        <v>109</v>
      </c>
      <c r="AK919" s="1" t="s">
        <v>109</v>
      </c>
      <c r="AL919" s="1">
        <v>3</v>
      </c>
      <c r="AM919" s="1" t="s">
        <v>109</v>
      </c>
      <c r="AN919" s="1" t="s">
        <v>109</v>
      </c>
      <c r="AO919" s="1" t="s">
        <v>109</v>
      </c>
      <c r="AP919" s="1"/>
      <c r="AQ919" s="1">
        <v>3</v>
      </c>
      <c r="AR919" s="1" t="s">
        <v>7678</v>
      </c>
      <c r="AS919" s="1" t="s">
        <v>7679</v>
      </c>
      <c r="AT919" s="1">
        <v>0</v>
      </c>
      <c r="AU919" s="1">
        <v>0</v>
      </c>
      <c r="AV919" s="1">
        <v>0</v>
      </c>
      <c r="AW919" s="1">
        <v>0</v>
      </c>
      <c r="AX919" s="1">
        <v>0</v>
      </c>
      <c r="AY919" s="1">
        <v>0</v>
      </c>
      <c r="AZ919" s="1">
        <v>0</v>
      </c>
      <c r="BA919" s="1">
        <v>0</v>
      </c>
      <c r="BB919" s="1">
        <v>0</v>
      </c>
      <c r="BC919" s="1">
        <v>0</v>
      </c>
      <c r="BD919" s="1">
        <v>0</v>
      </c>
      <c r="BE919" s="1">
        <v>0</v>
      </c>
      <c r="BF919" s="1">
        <v>0</v>
      </c>
      <c r="BG919" s="1">
        <v>0</v>
      </c>
      <c r="BH919" s="1">
        <v>1</v>
      </c>
      <c r="BI919" s="1">
        <v>0</v>
      </c>
      <c r="BJ919" s="1">
        <v>0</v>
      </c>
      <c r="BK919" s="1">
        <v>0</v>
      </c>
      <c r="BL919" s="1">
        <v>1</v>
      </c>
      <c r="BM919" s="1">
        <v>0</v>
      </c>
      <c r="BN919" s="1">
        <v>0</v>
      </c>
      <c r="BO919" s="1">
        <v>0</v>
      </c>
      <c r="BP919" s="1">
        <v>0</v>
      </c>
      <c r="BQ919" s="1">
        <v>0</v>
      </c>
      <c r="BR919" s="1">
        <v>0</v>
      </c>
      <c r="BS919" s="5" t="str">
        <f>HYPERLINK("http://www.d20pfsrd.com/magic/all-spells/w/wrathful-mantle","Wrathful Mantle")</f>
        <v>Wrathful Mantle</v>
      </c>
      <c r="BT919" s="1">
        <v>938</v>
      </c>
      <c r="BU919" s="1" t="s">
        <v>109</v>
      </c>
      <c r="BV919" s="1"/>
      <c r="BW919" s="1"/>
      <c r="BX919" s="1"/>
      <c r="BY919" s="1"/>
      <c r="BZ919" s="1">
        <v>0</v>
      </c>
      <c r="CA919" s="1" t="s">
        <v>109</v>
      </c>
      <c r="CB919" s="1" t="s">
        <v>109</v>
      </c>
      <c r="CC919" s="1" t="s">
        <v>109</v>
      </c>
      <c r="CD919" s="1" t="s">
        <v>109</v>
      </c>
      <c r="CE919" s="1" t="s">
        <v>109</v>
      </c>
      <c r="CF919" s="1" t="s">
        <v>109</v>
      </c>
      <c r="CG919" s="1" t="s">
        <v>109</v>
      </c>
      <c r="CH919" s="1" t="s">
        <v>109</v>
      </c>
      <c r="CI919" s="1" t="s">
        <v>109</v>
      </c>
      <c r="CJ919" s="1" t="s">
        <v>109</v>
      </c>
      <c r="CK919" s="1"/>
      <c r="CL919" s="1">
        <v>0</v>
      </c>
      <c r="CM919" s="1">
        <v>0</v>
      </c>
      <c r="CN919" s="1">
        <v>0</v>
      </c>
    </row>
    <row r="920" spans="1:92" ht="14.25" customHeight="1" x14ac:dyDescent="0.15">
      <c r="A920" s="1" t="s">
        <v>7680</v>
      </c>
      <c r="B920" s="1" t="s">
        <v>254</v>
      </c>
      <c r="C920" s="1"/>
      <c r="D920" s="1"/>
      <c r="E920" s="1" t="s">
        <v>7681</v>
      </c>
      <c r="F920" s="1" t="s">
        <v>98</v>
      </c>
      <c r="G920" s="1" t="s">
        <v>160</v>
      </c>
      <c r="H920" s="1">
        <v>0</v>
      </c>
      <c r="I920" s="1" t="s">
        <v>122</v>
      </c>
      <c r="J920" s="1"/>
      <c r="K920" s="1"/>
      <c r="L920" s="1" t="s">
        <v>1391</v>
      </c>
      <c r="M920" s="1" t="s">
        <v>3042</v>
      </c>
      <c r="N920" s="1">
        <v>0</v>
      </c>
      <c r="O920" s="1">
        <v>0</v>
      </c>
      <c r="P920" s="1" t="s">
        <v>103</v>
      </c>
      <c r="Q920" s="1" t="s">
        <v>268</v>
      </c>
      <c r="R920" s="1" t="s">
        <v>7682</v>
      </c>
      <c r="S920" s="1" t="s">
        <v>7683</v>
      </c>
      <c r="T920" s="1" t="s">
        <v>5815</v>
      </c>
      <c r="U920" s="1" t="s">
        <v>7684</v>
      </c>
      <c r="V920" s="1">
        <v>1</v>
      </c>
      <c r="W920" s="1">
        <v>1</v>
      </c>
      <c r="X920" s="1">
        <v>0</v>
      </c>
      <c r="Y920" s="1">
        <v>0</v>
      </c>
      <c r="Z920" s="1">
        <v>1</v>
      </c>
      <c r="AA920" s="1" t="s">
        <v>109</v>
      </c>
      <c r="AB920" s="1" t="s">
        <v>109</v>
      </c>
      <c r="AC920" s="1" t="s">
        <v>109</v>
      </c>
      <c r="AD920" s="1" t="s">
        <v>109</v>
      </c>
      <c r="AE920" s="1">
        <v>2</v>
      </c>
      <c r="AF920" s="1" t="s">
        <v>109</v>
      </c>
      <c r="AG920" s="1" t="s">
        <v>109</v>
      </c>
      <c r="AH920" s="1" t="s">
        <v>109</v>
      </c>
      <c r="AI920" s="1" t="s">
        <v>109</v>
      </c>
      <c r="AJ920" s="1" t="s">
        <v>109</v>
      </c>
      <c r="AK920" s="1">
        <v>3</v>
      </c>
      <c r="AL920" s="1" t="s">
        <v>109</v>
      </c>
      <c r="AM920" s="1" t="s">
        <v>109</v>
      </c>
      <c r="AN920" s="1" t="s">
        <v>109</v>
      </c>
      <c r="AO920" s="1" t="s">
        <v>109</v>
      </c>
      <c r="AP920" s="1"/>
      <c r="AQ920" s="1">
        <v>2</v>
      </c>
      <c r="AR920" s="1"/>
      <c r="AS920" s="1" t="s">
        <v>7685</v>
      </c>
      <c r="AT920" s="1">
        <v>0</v>
      </c>
      <c r="AU920" s="1">
        <v>0</v>
      </c>
      <c r="AV920" s="1">
        <v>0</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5" t="str">
        <f>HYPERLINK("http://www.d20pfsrd.com/magic/all-spells/h/hunter-s-eye","Hunter's Eye")</f>
        <v>Hunter's Eye</v>
      </c>
      <c r="BT920" s="1">
        <v>940</v>
      </c>
      <c r="BU920" s="1" t="s">
        <v>109</v>
      </c>
      <c r="BV920" s="1"/>
      <c r="BW920" s="1"/>
      <c r="BX920" s="1"/>
      <c r="BY920" s="1"/>
      <c r="BZ920" s="1">
        <v>0</v>
      </c>
      <c r="CA920" s="1" t="s">
        <v>109</v>
      </c>
      <c r="CB920" s="1" t="s">
        <v>109</v>
      </c>
      <c r="CC920" s="1" t="s">
        <v>109</v>
      </c>
      <c r="CD920" s="1" t="s">
        <v>109</v>
      </c>
      <c r="CE920" s="1" t="s">
        <v>109</v>
      </c>
      <c r="CF920" s="1" t="s">
        <v>109</v>
      </c>
      <c r="CG920" s="1" t="s">
        <v>109</v>
      </c>
      <c r="CH920" s="1" t="s">
        <v>109</v>
      </c>
      <c r="CI920" s="1" t="s">
        <v>109</v>
      </c>
      <c r="CJ920" s="1">
        <v>2</v>
      </c>
      <c r="CK920" s="1"/>
      <c r="CL920" s="1">
        <v>0</v>
      </c>
      <c r="CM920" s="1">
        <v>0</v>
      </c>
      <c r="CN920" s="1">
        <v>0</v>
      </c>
    </row>
    <row r="921" spans="1:92" ht="14.25" customHeight="1" x14ac:dyDescent="0.15">
      <c r="A921" s="1" t="s">
        <v>7686</v>
      </c>
      <c r="B921" s="1" t="s">
        <v>308</v>
      </c>
      <c r="C921" s="1"/>
      <c r="D921" s="1" t="s">
        <v>4167</v>
      </c>
      <c r="E921" s="1" t="s">
        <v>7687</v>
      </c>
      <c r="F921" s="1" t="s">
        <v>98</v>
      </c>
      <c r="G921" s="1" t="s">
        <v>141</v>
      </c>
      <c r="H921" s="1">
        <v>0</v>
      </c>
      <c r="I921" s="1" t="s">
        <v>915</v>
      </c>
      <c r="J921" s="1" t="s">
        <v>824</v>
      </c>
      <c r="K921" s="1"/>
      <c r="L921" s="1"/>
      <c r="M921" s="1" t="s">
        <v>125</v>
      </c>
      <c r="N921" s="1">
        <v>0</v>
      </c>
      <c r="O921" s="1">
        <v>0</v>
      </c>
      <c r="P921" s="1" t="s">
        <v>301</v>
      </c>
      <c r="Q921" s="1" t="s">
        <v>103</v>
      </c>
      <c r="R921" s="1" t="s">
        <v>7688</v>
      </c>
      <c r="S921" s="1" t="s">
        <v>7689</v>
      </c>
      <c r="T921" s="1" t="s">
        <v>5815</v>
      </c>
      <c r="U921" s="1" t="s">
        <v>7690</v>
      </c>
      <c r="V921" s="1">
        <v>1</v>
      </c>
      <c r="W921" s="1">
        <v>1</v>
      </c>
      <c r="X921" s="1">
        <v>0</v>
      </c>
      <c r="Y921" s="1">
        <v>0</v>
      </c>
      <c r="Z921" s="1">
        <v>0</v>
      </c>
      <c r="AA921" s="1" t="s">
        <v>109</v>
      </c>
      <c r="AB921" s="1" t="s">
        <v>109</v>
      </c>
      <c r="AC921" s="1" t="s">
        <v>109</v>
      </c>
      <c r="AD921" s="1" t="s">
        <v>109</v>
      </c>
      <c r="AE921" s="1">
        <v>1</v>
      </c>
      <c r="AF921" s="1" t="s">
        <v>109</v>
      </c>
      <c r="AG921" s="1" t="s">
        <v>109</v>
      </c>
      <c r="AH921" s="1" t="s">
        <v>109</v>
      </c>
      <c r="AI921" s="1" t="s">
        <v>109</v>
      </c>
      <c r="AJ921" s="1" t="s">
        <v>109</v>
      </c>
      <c r="AK921" s="1" t="s">
        <v>109</v>
      </c>
      <c r="AL921" s="1" t="s">
        <v>109</v>
      </c>
      <c r="AM921" s="1" t="s">
        <v>109</v>
      </c>
      <c r="AN921" s="1" t="s">
        <v>109</v>
      </c>
      <c r="AO921" s="1" t="s">
        <v>109</v>
      </c>
      <c r="AP921" s="1"/>
      <c r="AQ921" s="1">
        <v>1</v>
      </c>
      <c r="AR921" s="1"/>
      <c r="AS921" s="1" t="s">
        <v>7691</v>
      </c>
      <c r="AT921" s="1">
        <v>0</v>
      </c>
      <c r="AU921" s="1">
        <v>0</v>
      </c>
      <c r="AV921" s="1">
        <v>0</v>
      </c>
      <c r="AW921" s="1">
        <v>0</v>
      </c>
      <c r="AX921" s="1">
        <v>0</v>
      </c>
      <c r="AY921" s="1">
        <v>0</v>
      </c>
      <c r="AZ921" s="1">
        <v>0</v>
      </c>
      <c r="BA921" s="1">
        <v>0</v>
      </c>
      <c r="BB921" s="1">
        <v>0</v>
      </c>
      <c r="BC921" s="1">
        <v>0</v>
      </c>
      <c r="BD921" s="1">
        <v>1</v>
      </c>
      <c r="BE921" s="1">
        <v>0</v>
      </c>
      <c r="BF921" s="1">
        <v>1</v>
      </c>
      <c r="BG921" s="1">
        <v>0</v>
      </c>
      <c r="BH921" s="1">
        <v>0</v>
      </c>
      <c r="BI921" s="1">
        <v>0</v>
      </c>
      <c r="BJ921" s="1">
        <v>0</v>
      </c>
      <c r="BK921" s="1">
        <v>0</v>
      </c>
      <c r="BL921" s="1">
        <v>0</v>
      </c>
      <c r="BM921" s="1">
        <v>1</v>
      </c>
      <c r="BN921" s="1">
        <v>0</v>
      </c>
      <c r="BO921" s="1">
        <v>0</v>
      </c>
      <c r="BP921" s="1">
        <v>0</v>
      </c>
      <c r="BQ921" s="1">
        <v>0</v>
      </c>
      <c r="BR921" s="1">
        <v>0</v>
      </c>
      <c r="BS921" s="5" t="str">
        <f>HYPERLINK("http://www.d20pfsrd.com/magic/all-spells/h/hunter-s-howl","Hunter's Howl")</f>
        <v>Hunter's Howl</v>
      </c>
      <c r="BT921" s="1">
        <v>941</v>
      </c>
      <c r="BU921" s="1" t="s">
        <v>109</v>
      </c>
      <c r="BV921" s="1"/>
      <c r="BW921" s="1"/>
      <c r="BX921" s="1"/>
      <c r="BY921" s="1"/>
      <c r="BZ921" s="1">
        <v>0</v>
      </c>
      <c r="CA921" s="1" t="s">
        <v>109</v>
      </c>
      <c r="CB921" s="1" t="s">
        <v>109</v>
      </c>
      <c r="CC921" s="1" t="s">
        <v>109</v>
      </c>
      <c r="CD921" s="1" t="s">
        <v>109</v>
      </c>
      <c r="CE921" s="1" t="s">
        <v>109</v>
      </c>
      <c r="CF921" s="1" t="s">
        <v>109</v>
      </c>
      <c r="CG921" s="1" t="s">
        <v>109</v>
      </c>
      <c r="CH921" s="1" t="s">
        <v>109</v>
      </c>
      <c r="CI921" s="1" t="s">
        <v>109</v>
      </c>
      <c r="CJ921" s="1">
        <v>1</v>
      </c>
      <c r="CK921" s="1"/>
      <c r="CL921" s="1">
        <v>0</v>
      </c>
      <c r="CM921" s="1">
        <v>0</v>
      </c>
      <c r="CN921" s="1">
        <v>0</v>
      </c>
    </row>
    <row r="922" spans="1:92" ht="14.25" customHeight="1" x14ac:dyDescent="0.15">
      <c r="A922" s="1" t="s">
        <v>7692</v>
      </c>
      <c r="B922" s="1" t="s">
        <v>189</v>
      </c>
      <c r="C922" s="1"/>
      <c r="D922" s="1"/>
      <c r="E922" s="1" t="s">
        <v>7693</v>
      </c>
      <c r="F922" s="1" t="s">
        <v>98</v>
      </c>
      <c r="G922" s="1" t="s">
        <v>7694</v>
      </c>
      <c r="H922" s="1">
        <v>0</v>
      </c>
      <c r="I922" s="1" t="s">
        <v>235</v>
      </c>
      <c r="J922" s="1"/>
      <c r="K922" s="1"/>
      <c r="L922" s="1" t="s">
        <v>236</v>
      </c>
      <c r="M922" s="1" t="s">
        <v>5642</v>
      </c>
      <c r="N922" s="1">
        <v>0</v>
      </c>
      <c r="O922" s="1">
        <v>0</v>
      </c>
      <c r="P922" s="1"/>
      <c r="Q922" s="1"/>
      <c r="R922" s="1" t="s">
        <v>7695</v>
      </c>
      <c r="S922" s="1" t="s">
        <v>7696</v>
      </c>
      <c r="T922" s="1" t="s">
        <v>5815</v>
      </c>
      <c r="U922" s="1" t="s">
        <v>7697</v>
      </c>
      <c r="V922" s="1">
        <v>1</v>
      </c>
      <c r="W922" s="1">
        <v>1</v>
      </c>
      <c r="X922" s="1">
        <v>1</v>
      </c>
      <c r="Y922" s="1">
        <v>0</v>
      </c>
      <c r="Z922" s="1">
        <v>0</v>
      </c>
      <c r="AA922" s="1" t="s">
        <v>109</v>
      </c>
      <c r="AB922" s="1" t="s">
        <v>109</v>
      </c>
      <c r="AC922" s="1" t="s">
        <v>109</v>
      </c>
      <c r="AD922" s="1" t="s">
        <v>109</v>
      </c>
      <c r="AE922" s="1">
        <v>2</v>
      </c>
      <c r="AF922" s="1" t="s">
        <v>109</v>
      </c>
      <c r="AG922" s="1" t="s">
        <v>109</v>
      </c>
      <c r="AH922" s="1">
        <v>2</v>
      </c>
      <c r="AI922" s="1" t="s">
        <v>109</v>
      </c>
      <c r="AJ922" s="1">
        <v>2</v>
      </c>
      <c r="AK922" s="1">
        <v>2</v>
      </c>
      <c r="AL922" s="1" t="s">
        <v>109</v>
      </c>
      <c r="AM922" s="1" t="s">
        <v>109</v>
      </c>
      <c r="AN922" s="1" t="s">
        <v>109</v>
      </c>
      <c r="AO922" s="1" t="s">
        <v>109</v>
      </c>
      <c r="AP922" s="1"/>
      <c r="AQ922" s="1">
        <v>2</v>
      </c>
      <c r="AR922" s="1"/>
      <c r="AS922" s="1" t="s">
        <v>7698</v>
      </c>
      <c r="AT922" s="1">
        <v>0</v>
      </c>
      <c r="AU922" s="1">
        <v>0</v>
      </c>
      <c r="AV922" s="1">
        <v>0</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5" t="str">
        <f>HYPERLINK("http://www.d20pfsrd.com/magic/all-spells/p/perceive-cues","Perceive Cues")</f>
        <v>Perceive Cues</v>
      </c>
      <c r="BT922" s="1">
        <v>942</v>
      </c>
      <c r="BU922" s="1" t="s">
        <v>109</v>
      </c>
      <c r="BV922" s="1"/>
      <c r="BW922" s="1"/>
      <c r="BX922" s="1"/>
      <c r="BY922" s="1"/>
      <c r="BZ922" s="1">
        <v>0</v>
      </c>
      <c r="CA922" s="1" t="s">
        <v>109</v>
      </c>
      <c r="CB922" s="1" t="s">
        <v>109</v>
      </c>
      <c r="CC922" s="1">
        <v>2</v>
      </c>
      <c r="CD922" s="1" t="s">
        <v>109</v>
      </c>
      <c r="CE922" s="1">
        <v>2</v>
      </c>
      <c r="CF922" s="1">
        <v>2</v>
      </c>
      <c r="CG922" s="1" t="s">
        <v>109</v>
      </c>
      <c r="CH922" s="1" t="s">
        <v>109</v>
      </c>
      <c r="CI922" s="1" t="s">
        <v>109</v>
      </c>
      <c r="CJ922" s="1">
        <v>2</v>
      </c>
      <c r="CK922" s="1"/>
      <c r="CL922" s="1">
        <v>0</v>
      </c>
      <c r="CM922" s="1">
        <v>0</v>
      </c>
      <c r="CN922" s="1">
        <v>0</v>
      </c>
    </row>
    <row r="923" spans="1:92" ht="14.25" customHeight="1" x14ac:dyDescent="0.15">
      <c r="A923" s="1" t="s">
        <v>7699</v>
      </c>
      <c r="B923" s="1" t="s">
        <v>254</v>
      </c>
      <c r="C923" s="1"/>
      <c r="D923" s="1"/>
      <c r="E923" s="1" t="s">
        <v>7700</v>
      </c>
      <c r="F923" s="1" t="s">
        <v>277</v>
      </c>
      <c r="G923" s="1" t="s">
        <v>7701</v>
      </c>
      <c r="H923" s="1">
        <v>0</v>
      </c>
      <c r="I923" s="1" t="s">
        <v>161</v>
      </c>
      <c r="J923" s="1"/>
      <c r="K923" s="1"/>
      <c r="L923" s="1" t="s">
        <v>7702</v>
      </c>
      <c r="M923" s="1" t="s">
        <v>144</v>
      </c>
      <c r="N923" s="1">
        <v>0</v>
      </c>
      <c r="O923" s="1">
        <v>0</v>
      </c>
      <c r="P923" s="1" t="s">
        <v>103</v>
      </c>
      <c r="Q923" s="1" t="s">
        <v>104</v>
      </c>
      <c r="R923" s="1" t="s">
        <v>7703</v>
      </c>
      <c r="S923" s="1" t="s">
        <v>7704</v>
      </c>
      <c r="T923" s="1" t="s">
        <v>5815</v>
      </c>
      <c r="U923" s="1" t="s">
        <v>7705</v>
      </c>
      <c r="V923" s="1">
        <v>1</v>
      </c>
      <c r="W923" s="1">
        <v>1</v>
      </c>
      <c r="X923" s="1">
        <v>1</v>
      </c>
      <c r="Y923" s="1">
        <v>0</v>
      </c>
      <c r="Z923" s="1">
        <v>0</v>
      </c>
      <c r="AA923" s="1" t="s">
        <v>109</v>
      </c>
      <c r="AB923" s="1" t="s">
        <v>109</v>
      </c>
      <c r="AC923" s="1" t="s">
        <v>109</v>
      </c>
      <c r="AD923" s="1" t="s">
        <v>109</v>
      </c>
      <c r="AE923" s="1">
        <v>1</v>
      </c>
      <c r="AF923" s="1" t="s">
        <v>109</v>
      </c>
      <c r="AG923" s="1" t="s">
        <v>109</v>
      </c>
      <c r="AH923" s="1" t="s">
        <v>109</v>
      </c>
      <c r="AI923" s="1" t="s">
        <v>109</v>
      </c>
      <c r="AJ923" s="1" t="s">
        <v>109</v>
      </c>
      <c r="AK923" s="1" t="s">
        <v>109</v>
      </c>
      <c r="AL923" s="1" t="s">
        <v>109</v>
      </c>
      <c r="AM923" s="1" t="s">
        <v>109</v>
      </c>
      <c r="AN923" s="1" t="s">
        <v>109</v>
      </c>
      <c r="AO923" s="1" t="s">
        <v>109</v>
      </c>
      <c r="AP923" s="1"/>
      <c r="AQ923" s="1">
        <v>1</v>
      </c>
      <c r="AR923" s="1"/>
      <c r="AS923" s="1" t="s">
        <v>7706</v>
      </c>
      <c r="AT923" s="1">
        <v>0</v>
      </c>
      <c r="AU923" s="1">
        <v>0</v>
      </c>
      <c r="AV923" s="1">
        <v>0</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5" t="str">
        <f>HYPERLINK("http://www.d20pfsrd.com/magic/all-spells/r/residual-tracking","Residual Tracking")</f>
        <v>Residual Tracking</v>
      </c>
      <c r="BT923" s="1">
        <v>943</v>
      </c>
      <c r="BU923" s="1" t="s">
        <v>109</v>
      </c>
      <c r="BV923" s="1"/>
      <c r="BW923" s="1"/>
      <c r="BX923" s="1"/>
      <c r="BY923" s="1"/>
      <c r="BZ923" s="1">
        <v>0</v>
      </c>
      <c r="CA923" s="1" t="s">
        <v>109</v>
      </c>
      <c r="CB923" s="1" t="s">
        <v>109</v>
      </c>
      <c r="CC923" s="1" t="s">
        <v>109</v>
      </c>
      <c r="CD923" s="1" t="s">
        <v>109</v>
      </c>
      <c r="CE923" s="1" t="s">
        <v>109</v>
      </c>
      <c r="CF923" s="1">
        <v>2</v>
      </c>
      <c r="CG923" s="1" t="s">
        <v>109</v>
      </c>
      <c r="CH923" s="1" t="s">
        <v>109</v>
      </c>
      <c r="CI923" s="1" t="s">
        <v>109</v>
      </c>
      <c r="CJ923" s="1">
        <v>1</v>
      </c>
      <c r="CK923" s="1"/>
      <c r="CL923" s="1">
        <v>0</v>
      </c>
      <c r="CM923" s="1">
        <v>0</v>
      </c>
      <c r="CN923" s="1">
        <v>0</v>
      </c>
    </row>
    <row r="924" spans="1:92" ht="14.25" customHeight="1" x14ac:dyDescent="0.15">
      <c r="A924" s="1" t="s">
        <v>7707</v>
      </c>
      <c r="B924" s="1" t="s">
        <v>95</v>
      </c>
      <c r="C924" s="1" t="s">
        <v>694</v>
      </c>
      <c r="D924" s="1" t="s">
        <v>56</v>
      </c>
      <c r="E924" s="1" t="s">
        <v>7708</v>
      </c>
      <c r="F924" s="1" t="s">
        <v>98</v>
      </c>
      <c r="G924" s="1" t="s">
        <v>160</v>
      </c>
      <c r="H924" s="1">
        <v>0</v>
      </c>
      <c r="I924" s="1" t="s">
        <v>142</v>
      </c>
      <c r="J924" s="1"/>
      <c r="K924" s="1"/>
      <c r="L924" s="1" t="s">
        <v>563</v>
      </c>
      <c r="M924" s="1" t="s">
        <v>7709</v>
      </c>
      <c r="N924" s="1">
        <v>0</v>
      </c>
      <c r="O924" s="1">
        <v>0</v>
      </c>
      <c r="P924" s="1" t="s">
        <v>507</v>
      </c>
      <c r="Q924" s="1" t="s">
        <v>167</v>
      </c>
      <c r="R924" s="1" t="s">
        <v>7710</v>
      </c>
      <c r="S924" s="1" t="s">
        <v>7711</v>
      </c>
      <c r="T924" s="1" t="s">
        <v>5815</v>
      </c>
      <c r="U924" s="1" t="s">
        <v>7712</v>
      </c>
      <c r="V924" s="1">
        <v>1</v>
      </c>
      <c r="W924" s="1">
        <v>1</v>
      </c>
      <c r="X924" s="1">
        <v>0</v>
      </c>
      <c r="Y924" s="1">
        <v>0</v>
      </c>
      <c r="Z924" s="1">
        <v>1</v>
      </c>
      <c r="AA924" s="1" t="s">
        <v>109</v>
      </c>
      <c r="AB924" s="1" t="s">
        <v>109</v>
      </c>
      <c r="AC924" s="1">
        <v>2</v>
      </c>
      <c r="AD924" s="1" t="s">
        <v>109</v>
      </c>
      <c r="AE924" s="1" t="s">
        <v>109</v>
      </c>
      <c r="AF924" s="1" t="s">
        <v>109</v>
      </c>
      <c r="AG924" s="1">
        <v>2</v>
      </c>
      <c r="AH924" s="1" t="s">
        <v>109</v>
      </c>
      <c r="AI924" s="1" t="s">
        <v>109</v>
      </c>
      <c r="AJ924" s="1" t="s">
        <v>109</v>
      </c>
      <c r="AK924" s="1" t="s">
        <v>109</v>
      </c>
      <c r="AL924" s="1">
        <v>2</v>
      </c>
      <c r="AM924" s="1" t="s">
        <v>109</v>
      </c>
      <c r="AN924" s="1" t="s">
        <v>109</v>
      </c>
      <c r="AO924" s="1" t="s">
        <v>109</v>
      </c>
      <c r="AP924" s="1"/>
      <c r="AQ924" s="1">
        <v>2</v>
      </c>
      <c r="AR924" s="1"/>
      <c r="AS924" s="1" t="s">
        <v>7713</v>
      </c>
      <c r="AT924" s="1">
        <v>0</v>
      </c>
      <c r="AU924" s="1">
        <v>0</v>
      </c>
      <c r="AV924" s="1">
        <v>0</v>
      </c>
      <c r="AW924" s="1">
        <v>0</v>
      </c>
      <c r="AX924" s="1">
        <v>0</v>
      </c>
      <c r="AY924" s="1">
        <v>0</v>
      </c>
      <c r="AZ924" s="1">
        <v>0</v>
      </c>
      <c r="BA924" s="1">
        <v>0</v>
      </c>
      <c r="BB924" s="1">
        <v>0</v>
      </c>
      <c r="BC924" s="1">
        <v>0</v>
      </c>
      <c r="BD924" s="1">
        <v>1</v>
      </c>
      <c r="BE924" s="1">
        <v>0</v>
      </c>
      <c r="BF924" s="1">
        <v>0</v>
      </c>
      <c r="BG924" s="1">
        <v>0</v>
      </c>
      <c r="BH924" s="1">
        <v>0</v>
      </c>
      <c r="BI924" s="1">
        <v>0</v>
      </c>
      <c r="BJ924" s="1">
        <v>0</v>
      </c>
      <c r="BK924" s="1">
        <v>0</v>
      </c>
      <c r="BL924" s="1">
        <v>0</v>
      </c>
      <c r="BM924" s="1">
        <v>0</v>
      </c>
      <c r="BN924" s="1">
        <v>0</v>
      </c>
      <c r="BO924" s="1">
        <v>0</v>
      </c>
      <c r="BP924" s="1">
        <v>0</v>
      </c>
      <c r="BQ924" s="1">
        <v>0</v>
      </c>
      <c r="BR924" s="1">
        <v>0</v>
      </c>
      <c r="BS924" s="5" t="str">
        <f>HYPERLINK("http://www.d20pfsrd.com/magic/all-spells/b/blessing-of-courage-and-life","Blessing of Courage and Life")</f>
        <v>Blessing of Courage and Life</v>
      </c>
      <c r="BT924" s="1">
        <v>944</v>
      </c>
      <c r="BU924" s="1" t="s">
        <v>109</v>
      </c>
      <c r="BV924" s="1"/>
      <c r="BW924" s="1" t="s">
        <v>7714</v>
      </c>
      <c r="BX924" s="1"/>
      <c r="BY924" s="1"/>
      <c r="BZ924" s="1">
        <v>0</v>
      </c>
      <c r="CA924" s="1" t="s">
        <v>109</v>
      </c>
      <c r="CB924" s="1" t="s">
        <v>109</v>
      </c>
      <c r="CC924" s="1" t="s">
        <v>109</v>
      </c>
      <c r="CD924" s="1" t="s">
        <v>109</v>
      </c>
      <c r="CE924" s="1" t="s">
        <v>109</v>
      </c>
      <c r="CF924" s="1" t="s">
        <v>109</v>
      </c>
      <c r="CG924" s="1" t="s">
        <v>109</v>
      </c>
      <c r="CH924" s="1" t="s">
        <v>109</v>
      </c>
      <c r="CI924" s="1" t="s">
        <v>109</v>
      </c>
      <c r="CJ924" s="1" t="s">
        <v>109</v>
      </c>
      <c r="CK924" s="1"/>
      <c r="CL924" s="1">
        <v>0</v>
      </c>
      <c r="CM924" s="1">
        <v>0</v>
      </c>
      <c r="CN924" s="1">
        <v>0</v>
      </c>
    </row>
    <row r="925" spans="1:92" ht="14.25" customHeight="1" x14ac:dyDescent="0.15">
      <c r="A925" s="1" t="s">
        <v>7715</v>
      </c>
      <c r="B925" s="1" t="s">
        <v>95</v>
      </c>
      <c r="C925" s="1" t="s">
        <v>3570</v>
      </c>
      <c r="D925" s="1" t="s">
        <v>7716</v>
      </c>
      <c r="E925" s="1" t="s">
        <v>5753</v>
      </c>
      <c r="F925" s="1" t="s">
        <v>98</v>
      </c>
      <c r="G925" s="1" t="s">
        <v>141</v>
      </c>
      <c r="H925" s="1">
        <v>0</v>
      </c>
      <c r="I925" s="1" t="s">
        <v>100</v>
      </c>
      <c r="J925" s="1"/>
      <c r="K925" s="1"/>
      <c r="L925" s="1" t="s">
        <v>7717</v>
      </c>
      <c r="M925" s="1" t="s">
        <v>7718</v>
      </c>
      <c r="N925" s="1">
        <v>0</v>
      </c>
      <c r="O925" s="1">
        <v>0</v>
      </c>
      <c r="P925" s="1" t="s">
        <v>4647</v>
      </c>
      <c r="Q925" s="1" t="s">
        <v>104</v>
      </c>
      <c r="R925" s="1" t="s">
        <v>7719</v>
      </c>
      <c r="S925" s="1" t="s">
        <v>7720</v>
      </c>
      <c r="T925" s="1" t="s">
        <v>7721</v>
      </c>
      <c r="U925" s="1" t="s">
        <v>7722</v>
      </c>
      <c r="V925" s="1">
        <v>1</v>
      </c>
      <c r="W925" s="1">
        <v>1</v>
      </c>
      <c r="X925" s="1">
        <v>0</v>
      </c>
      <c r="Y925" s="1">
        <v>0</v>
      </c>
      <c r="Z925" s="1">
        <v>0</v>
      </c>
      <c r="AA925" s="1">
        <v>8</v>
      </c>
      <c r="AB925" s="1">
        <v>8</v>
      </c>
      <c r="AC925" s="1">
        <v>8</v>
      </c>
      <c r="AD925" s="1" t="s">
        <v>109</v>
      </c>
      <c r="AE925" s="1" t="s">
        <v>109</v>
      </c>
      <c r="AF925" s="1" t="s">
        <v>109</v>
      </c>
      <c r="AG925" s="1" t="s">
        <v>109</v>
      </c>
      <c r="AH925" s="1" t="s">
        <v>109</v>
      </c>
      <c r="AI925" s="1" t="s">
        <v>109</v>
      </c>
      <c r="AJ925" s="1" t="s">
        <v>109</v>
      </c>
      <c r="AK925" s="1" t="s">
        <v>109</v>
      </c>
      <c r="AL925" s="1">
        <v>8</v>
      </c>
      <c r="AM925" s="1" t="s">
        <v>109</v>
      </c>
      <c r="AN925" s="1" t="s">
        <v>109</v>
      </c>
      <c r="AO925" s="1" t="s">
        <v>109</v>
      </c>
      <c r="AP925" s="1"/>
      <c r="AQ925" s="1">
        <v>8</v>
      </c>
      <c r="AR925" s="1"/>
      <c r="AS925" s="1"/>
      <c r="AT925" s="1">
        <v>0</v>
      </c>
      <c r="AU925" s="1">
        <v>0</v>
      </c>
      <c r="AV925" s="1">
        <v>1</v>
      </c>
      <c r="AW925" s="1">
        <v>0</v>
      </c>
      <c r="AX925" s="1">
        <v>0</v>
      </c>
      <c r="AY925" s="1">
        <v>0</v>
      </c>
      <c r="AZ925" s="1">
        <v>0</v>
      </c>
      <c r="BA925" s="1">
        <v>0</v>
      </c>
      <c r="BB925" s="1">
        <v>0</v>
      </c>
      <c r="BC925" s="1">
        <v>0</v>
      </c>
      <c r="BD925" s="1">
        <v>0</v>
      </c>
      <c r="BE925" s="1">
        <v>1</v>
      </c>
      <c r="BF925" s="1">
        <v>0</v>
      </c>
      <c r="BG925" s="1">
        <v>0</v>
      </c>
      <c r="BH925" s="1">
        <v>0</v>
      </c>
      <c r="BI925" s="1">
        <v>0</v>
      </c>
      <c r="BJ925" s="1">
        <v>0</v>
      </c>
      <c r="BK925" s="1">
        <v>0</v>
      </c>
      <c r="BL925" s="1">
        <v>0</v>
      </c>
      <c r="BM925" s="1">
        <v>0</v>
      </c>
      <c r="BN925" s="1">
        <v>0</v>
      </c>
      <c r="BO925" s="1">
        <v>0</v>
      </c>
      <c r="BP925" s="1">
        <v>0</v>
      </c>
      <c r="BQ925" s="1">
        <v>0</v>
      </c>
      <c r="BR925" s="1">
        <v>0</v>
      </c>
      <c r="BS925" s="1" t="s">
        <v>109</v>
      </c>
      <c r="BT925" s="1">
        <v>946</v>
      </c>
      <c r="BU925" s="1" t="s">
        <v>109</v>
      </c>
      <c r="BV925" s="1"/>
      <c r="BW925" s="1"/>
      <c r="BX925" s="1"/>
      <c r="BY925" s="1"/>
      <c r="BZ925" s="1">
        <v>0</v>
      </c>
      <c r="CA925" s="1" t="s">
        <v>109</v>
      </c>
      <c r="CB925" s="1" t="s">
        <v>109</v>
      </c>
      <c r="CC925" s="1" t="s">
        <v>109</v>
      </c>
      <c r="CD925" s="1" t="s">
        <v>109</v>
      </c>
      <c r="CE925" s="1" t="s">
        <v>109</v>
      </c>
      <c r="CF925" s="1" t="s">
        <v>109</v>
      </c>
      <c r="CG925" s="1" t="s">
        <v>109</v>
      </c>
      <c r="CH925" s="1" t="s">
        <v>109</v>
      </c>
      <c r="CI925" s="1" t="s">
        <v>109</v>
      </c>
      <c r="CJ925" s="1" t="s">
        <v>109</v>
      </c>
      <c r="CK925" s="1"/>
      <c r="CL925" s="1">
        <v>0</v>
      </c>
      <c r="CM925" s="1">
        <v>0</v>
      </c>
      <c r="CN925" s="1">
        <v>0</v>
      </c>
    </row>
    <row r="926" spans="1:92" ht="14.25" customHeight="1" x14ac:dyDescent="0.15">
      <c r="A926" s="1" t="s">
        <v>7723</v>
      </c>
      <c r="B926" s="1" t="s">
        <v>156</v>
      </c>
      <c r="C926" s="1" t="s">
        <v>157</v>
      </c>
      <c r="D926" s="1" t="s">
        <v>158</v>
      </c>
      <c r="E926" s="1" t="s">
        <v>7724</v>
      </c>
      <c r="F926" s="1" t="s">
        <v>98</v>
      </c>
      <c r="G926" s="1" t="s">
        <v>7725</v>
      </c>
      <c r="H926" s="1">
        <v>0</v>
      </c>
      <c r="I926" s="1" t="s">
        <v>122</v>
      </c>
      <c r="J926" s="1"/>
      <c r="K926" s="1"/>
      <c r="L926" s="1" t="s">
        <v>563</v>
      </c>
      <c r="M926" s="1" t="s">
        <v>7174</v>
      </c>
      <c r="N926" s="1">
        <v>1</v>
      </c>
      <c r="O926" s="1">
        <v>0</v>
      </c>
      <c r="P926" s="1" t="s">
        <v>564</v>
      </c>
      <c r="Q926" s="1" t="s">
        <v>268</v>
      </c>
      <c r="R926" s="1" t="s">
        <v>7726</v>
      </c>
      <c r="S926" s="1" t="s">
        <v>7727</v>
      </c>
      <c r="T926" s="1" t="s">
        <v>7728</v>
      </c>
      <c r="U926" s="1" t="s">
        <v>7729</v>
      </c>
      <c r="V926" s="1">
        <v>1</v>
      </c>
      <c r="W926" s="1">
        <v>1</v>
      </c>
      <c r="X926" s="1">
        <v>1</v>
      </c>
      <c r="Y926" s="1">
        <v>0</v>
      </c>
      <c r="Z926" s="1">
        <v>1</v>
      </c>
      <c r="AA926" s="1">
        <v>5</v>
      </c>
      <c r="AB926" s="1">
        <v>5</v>
      </c>
      <c r="AC926" s="1">
        <v>5</v>
      </c>
      <c r="AD926" s="1" t="s">
        <v>109</v>
      </c>
      <c r="AE926" s="1" t="s">
        <v>109</v>
      </c>
      <c r="AF926" s="1" t="s">
        <v>109</v>
      </c>
      <c r="AG926" s="1" t="s">
        <v>109</v>
      </c>
      <c r="AH926" s="1" t="s">
        <v>109</v>
      </c>
      <c r="AI926" s="1" t="s">
        <v>109</v>
      </c>
      <c r="AJ926" s="1" t="s">
        <v>109</v>
      </c>
      <c r="AK926" s="1" t="s">
        <v>109</v>
      </c>
      <c r="AL926" s="1">
        <v>5</v>
      </c>
      <c r="AM926" s="1" t="s">
        <v>109</v>
      </c>
      <c r="AN926" s="1" t="s">
        <v>109</v>
      </c>
      <c r="AO926" s="1" t="s">
        <v>109</v>
      </c>
      <c r="AP926" s="1"/>
      <c r="AQ926" s="1">
        <v>5</v>
      </c>
      <c r="AR926" s="1"/>
      <c r="AS926" s="1"/>
      <c r="AT926" s="1">
        <v>0</v>
      </c>
      <c r="AU926" s="1">
        <v>0</v>
      </c>
      <c r="AV926" s="1">
        <v>0</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1</v>
      </c>
      <c r="BN926" s="1">
        <v>0</v>
      </c>
      <c r="BO926" s="1">
        <v>0</v>
      </c>
      <c r="BP926" s="1">
        <v>0</v>
      </c>
      <c r="BQ926" s="1">
        <v>0</v>
      </c>
      <c r="BR926" s="1">
        <v>0</v>
      </c>
      <c r="BS926" s="1" t="s">
        <v>109</v>
      </c>
      <c r="BT926" s="1">
        <v>950</v>
      </c>
      <c r="BU926" s="1" t="s">
        <v>109</v>
      </c>
      <c r="BV926" s="1"/>
      <c r="BW926" s="1"/>
      <c r="BX926" s="1"/>
      <c r="BY926" s="1"/>
      <c r="BZ926" s="1">
        <v>0</v>
      </c>
      <c r="CA926" s="1" t="s">
        <v>109</v>
      </c>
      <c r="CB926" s="1" t="s">
        <v>109</v>
      </c>
      <c r="CC926" s="1" t="s">
        <v>109</v>
      </c>
      <c r="CD926" s="1" t="s">
        <v>109</v>
      </c>
      <c r="CE926" s="1" t="s">
        <v>109</v>
      </c>
      <c r="CF926" s="1" t="s">
        <v>109</v>
      </c>
      <c r="CG926" s="1" t="s">
        <v>109</v>
      </c>
      <c r="CH926" s="1" t="s">
        <v>109</v>
      </c>
      <c r="CI926" s="1" t="s">
        <v>109</v>
      </c>
      <c r="CJ926" s="1" t="s">
        <v>109</v>
      </c>
      <c r="CK926" s="1"/>
      <c r="CL926" s="1">
        <v>0</v>
      </c>
      <c r="CM926" s="1">
        <v>0</v>
      </c>
      <c r="CN926" s="1">
        <v>0</v>
      </c>
    </row>
    <row r="927" spans="1:92" ht="14.25" customHeight="1" x14ac:dyDescent="0.15">
      <c r="A927" s="1" t="s">
        <v>7730</v>
      </c>
      <c r="B927" s="1" t="s">
        <v>254</v>
      </c>
      <c r="C927" s="1"/>
      <c r="D927" s="1"/>
      <c r="E927" s="1" t="s">
        <v>7731</v>
      </c>
      <c r="F927" s="1" t="s">
        <v>98</v>
      </c>
      <c r="G927" s="1" t="s">
        <v>141</v>
      </c>
      <c r="H927" s="1">
        <v>0</v>
      </c>
      <c r="I927" s="1" t="s">
        <v>235</v>
      </c>
      <c r="J927" s="1"/>
      <c r="K927" s="1"/>
      <c r="L927" s="1" t="s">
        <v>236</v>
      </c>
      <c r="M927" s="1" t="s">
        <v>125</v>
      </c>
      <c r="N927" s="1">
        <v>0</v>
      </c>
      <c r="O927" s="1">
        <v>0</v>
      </c>
      <c r="P927" s="1"/>
      <c r="Q927" s="1"/>
      <c r="R927" s="1" t="s">
        <v>7732</v>
      </c>
      <c r="S927" s="1" t="s">
        <v>7733</v>
      </c>
      <c r="T927" s="1" t="s">
        <v>7734</v>
      </c>
      <c r="U927" s="1" t="s">
        <v>7735</v>
      </c>
      <c r="V927" s="1">
        <v>1</v>
      </c>
      <c r="W927" s="1">
        <v>1</v>
      </c>
      <c r="X927" s="1">
        <v>0</v>
      </c>
      <c r="Y927" s="1">
        <v>0</v>
      </c>
      <c r="Z927" s="1">
        <v>0</v>
      </c>
      <c r="AA927" s="1" t="s">
        <v>109</v>
      </c>
      <c r="AB927" s="1" t="s">
        <v>109</v>
      </c>
      <c r="AC927" s="1">
        <v>5</v>
      </c>
      <c r="AD927" s="1">
        <v>4</v>
      </c>
      <c r="AE927" s="1" t="s">
        <v>109</v>
      </c>
      <c r="AF927" s="1" t="s">
        <v>109</v>
      </c>
      <c r="AG927" s="1" t="s">
        <v>109</v>
      </c>
      <c r="AH927" s="1">
        <v>5</v>
      </c>
      <c r="AI927" s="1" t="s">
        <v>109</v>
      </c>
      <c r="AJ927" s="1" t="s">
        <v>109</v>
      </c>
      <c r="AK927" s="1" t="s">
        <v>109</v>
      </c>
      <c r="AL927" s="1">
        <v>5</v>
      </c>
      <c r="AM927" s="1" t="s">
        <v>109</v>
      </c>
      <c r="AN927" s="1" t="s">
        <v>109</v>
      </c>
      <c r="AO927" s="1" t="s">
        <v>109</v>
      </c>
      <c r="AP927" s="1"/>
      <c r="AQ927" s="1">
        <v>5</v>
      </c>
      <c r="AR927" s="1"/>
      <c r="AS927" s="1"/>
      <c r="AT927" s="1">
        <v>0</v>
      </c>
      <c r="AU927" s="1">
        <v>0</v>
      </c>
      <c r="AV927" s="1">
        <v>0</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5" t="str">
        <f>HYPERLINK("http://www.d20pfsrd.com/magic/all-spells/a/ancestral-memory","Ancestral Memory")</f>
        <v>Ancestral Memory</v>
      </c>
      <c r="BT927" s="1">
        <v>951</v>
      </c>
      <c r="BU927" s="1" t="s">
        <v>109</v>
      </c>
      <c r="BV927" s="1"/>
      <c r="BW927" s="1"/>
      <c r="BX927" s="1"/>
      <c r="BY927" s="1"/>
      <c r="BZ927" s="1">
        <v>0</v>
      </c>
      <c r="CA927" s="1" t="s">
        <v>109</v>
      </c>
      <c r="CB927" s="1" t="s">
        <v>109</v>
      </c>
      <c r="CC927" s="1" t="s">
        <v>109</v>
      </c>
      <c r="CD927" s="1" t="s">
        <v>109</v>
      </c>
      <c r="CE927" s="1" t="s">
        <v>109</v>
      </c>
      <c r="CF927" s="1" t="s">
        <v>109</v>
      </c>
      <c r="CG927" s="1" t="s">
        <v>109</v>
      </c>
      <c r="CH927" s="1" t="s">
        <v>109</v>
      </c>
      <c r="CI927" s="1" t="s">
        <v>109</v>
      </c>
      <c r="CJ927" s="1">
        <v>4</v>
      </c>
      <c r="CK927" s="1"/>
      <c r="CL927" s="1">
        <v>0</v>
      </c>
      <c r="CM927" s="1">
        <v>0</v>
      </c>
      <c r="CN927" s="1">
        <v>0</v>
      </c>
    </row>
    <row r="928" spans="1:92" ht="14.25" customHeight="1" x14ac:dyDescent="0.15">
      <c r="A928" s="1" t="s">
        <v>7736</v>
      </c>
      <c r="B928" s="1" t="s">
        <v>189</v>
      </c>
      <c r="C928" s="1"/>
      <c r="D928" s="1"/>
      <c r="E928" s="1" t="s">
        <v>7737</v>
      </c>
      <c r="F928" s="1" t="s">
        <v>98</v>
      </c>
      <c r="G928" s="1" t="s">
        <v>7738</v>
      </c>
      <c r="H928" s="1">
        <v>0</v>
      </c>
      <c r="I928" s="1" t="s">
        <v>161</v>
      </c>
      <c r="J928" s="1"/>
      <c r="K928" s="1"/>
      <c r="L928" s="1" t="s">
        <v>7739</v>
      </c>
      <c r="M928" s="1" t="s">
        <v>5642</v>
      </c>
      <c r="N928" s="1">
        <v>0</v>
      </c>
      <c r="O928" s="1">
        <v>0</v>
      </c>
      <c r="P928" s="1" t="s">
        <v>1382</v>
      </c>
      <c r="Q928" s="1" t="s">
        <v>167</v>
      </c>
      <c r="R928" s="1" t="s">
        <v>7740</v>
      </c>
      <c r="S928" s="1" t="s">
        <v>7741</v>
      </c>
      <c r="T928" s="1" t="s">
        <v>7734</v>
      </c>
      <c r="U928" s="1" t="s">
        <v>7742</v>
      </c>
      <c r="V928" s="1">
        <v>1</v>
      </c>
      <c r="W928" s="1">
        <v>1</v>
      </c>
      <c r="X928" s="1">
        <v>1</v>
      </c>
      <c r="Y928" s="1">
        <v>0</v>
      </c>
      <c r="Z928" s="1">
        <v>0</v>
      </c>
      <c r="AA928" s="1" t="s">
        <v>109</v>
      </c>
      <c r="AB928" s="1" t="s">
        <v>109</v>
      </c>
      <c r="AC928" s="1">
        <v>1</v>
      </c>
      <c r="AD928" s="1" t="s">
        <v>109</v>
      </c>
      <c r="AE928" s="1" t="s">
        <v>109</v>
      </c>
      <c r="AF928" s="1" t="s">
        <v>109</v>
      </c>
      <c r="AG928" s="1" t="s">
        <v>109</v>
      </c>
      <c r="AH928" s="1" t="s">
        <v>109</v>
      </c>
      <c r="AI928" s="1" t="s">
        <v>109</v>
      </c>
      <c r="AJ928" s="1" t="s">
        <v>109</v>
      </c>
      <c r="AK928" s="1">
        <v>1</v>
      </c>
      <c r="AL928" s="1">
        <v>1</v>
      </c>
      <c r="AM928" s="1" t="s">
        <v>109</v>
      </c>
      <c r="AN928" s="1">
        <v>1</v>
      </c>
      <c r="AO928" s="1" t="s">
        <v>109</v>
      </c>
      <c r="AP928" s="1"/>
      <c r="AQ928" s="1">
        <v>1</v>
      </c>
      <c r="AR928" s="1"/>
      <c r="AS928" s="1"/>
      <c r="AT928" s="1">
        <v>0</v>
      </c>
      <c r="AU928" s="1">
        <v>0</v>
      </c>
      <c r="AV928" s="1">
        <v>0</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5" t="str">
        <f>HYPERLINK("http://www.d20pfsrd.com/magic/all-spells/g/gorum-s-armor","Gorum's Armor")</f>
        <v>Gorum's Armor</v>
      </c>
      <c r="BT928" s="1">
        <v>953</v>
      </c>
      <c r="BU928" s="1" t="s">
        <v>109</v>
      </c>
      <c r="BV928" s="1"/>
      <c r="BW928" s="1"/>
      <c r="BX928" s="1" t="s">
        <v>7743</v>
      </c>
      <c r="BY928" s="1"/>
      <c r="BZ928" s="1">
        <v>1</v>
      </c>
      <c r="CA928" s="1" t="s">
        <v>109</v>
      </c>
      <c r="CB928" s="1" t="s">
        <v>109</v>
      </c>
      <c r="CC928" s="1" t="s">
        <v>109</v>
      </c>
      <c r="CD928" s="1" t="s">
        <v>109</v>
      </c>
      <c r="CE928" s="1" t="s">
        <v>109</v>
      </c>
      <c r="CF928" s="1" t="s">
        <v>109</v>
      </c>
      <c r="CG928" s="1" t="s">
        <v>109</v>
      </c>
      <c r="CH928" s="1" t="s">
        <v>109</v>
      </c>
      <c r="CI928" s="1" t="s">
        <v>109</v>
      </c>
      <c r="CJ928" s="1" t="s">
        <v>109</v>
      </c>
      <c r="CK928" s="1"/>
      <c r="CL928" s="1">
        <v>0</v>
      </c>
      <c r="CM928" s="1">
        <v>0</v>
      </c>
      <c r="CN928" s="1">
        <v>0</v>
      </c>
    </row>
    <row r="929" spans="1:92" ht="14.25" customHeight="1" x14ac:dyDescent="0.15">
      <c r="A929" s="1" t="s">
        <v>7744</v>
      </c>
      <c r="B929" s="1" t="s">
        <v>254</v>
      </c>
      <c r="C929" s="1"/>
      <c r="D929" s="1"/>
      <c r="E929" s="1" t="s">
        <v>7745</v>
      </c>
      <c r="F929" s="1" t="s">
        <v>395</v>
      </c>
      <c r="G929" s="1" t="s">
        <v>7746</v>
      </c>
      <c r="H929" s="1">
        <v>0</v>
      </c>
      <c r="I929" s="1" t="s">
        <v>161</v>
      </c>
      <c r="J929" s="1"/>
      <c r="K929" s="1"/>
      <c r="L929" s="1" t="s">
        <v>1391</v>
      </c>
      <c r="M929" s="1" t="s">
        <v>7747</v>
      </c>
      <c r="N929" s="1">
        <v>0</v>
      </c>
      <c r="O929" s="1">
        <v>0</v>
      </c>
      <c r="P929" s="1"/>
      <c r="Q929" s="1"/>
      <c r="R929" s="1" t="s">
        <v>7748</v>
      </c>
      <c r="S929" s="1" t="s">
        <v>7749</v>
      </c>
      <c r="T929" s="1" t="s">
        <v>7734</v>
      </c>
      <c r="U929" s="1" t="s">
        <v>7750</v>
      </c>
      <c r="V929" s="1">
        <v>1</v>
      </c>
      <c r="W929" s="1">
        <v>1</v>
      </c>
      <c r="X929" s="1">
        <v>0</v>
      </c>
      <c r="Y929" s="1">
        <v>0</v>
      </c>
      <c r="Z929" s="1">
        <v>0</v>
      </c>
      <c r="AA929" s="1">
        <v>3</v>
      </c>
      <c r="AB929" s="1">
        <v>3</v>
      </c>
      <c r="AC929" s="1" t="s">
        <v>109</v>
      </c>
      <c r="AD929" s="1" t="s">
        <v>109</v>
      </c>
      <c r="AE929" s="1" t="s">
        <v>109</v>
      </c>
      <c r="AF929" s="1">
        <v>3</v>
      </c>
      <c r="AG929" s="1" t="s">
        <v>109</v>
      </c>
      <c r="AH929" s="1" t="s">
        <v>109</v>
      </c>
      <c r="AI929" s="1" t="s">
        <v>109</v>
      </c>
      <c r="AJ929" s="1">
        <v>3</v>
      </c>
      <c r="AK929" s="1" t="s">
        <v>109</v>
      </c>
      <c r="AL929" s="1" t="s">
        <v>109</v>
      </c>
      <c r="AM929" s="1" t="s">
        <v>109</v>
      </c>
      <c r="AN929" s="1" t="s">
        <v>109</v>
      </c>
      <c r="AO929" s="1" t="s">
        <v>109</v>
      </c>
      <c r="AP929" s="1"/>
      <c r="AQ929" s="1">
        <v>3</v>
      </c>
      <c r="AR929" s="1"/>
      <c r="AS929" s="1"/>
      <c r="AT929" s="1">
        <v>0</v>
      </c>
      <c r="AU929" s="1">
        <v>0</v>
      </c>
      <c r="AV929" s="1">
        <v>0</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5" t="str">
        <f>HYPERLINK("http://www.d20pfsrd.com/magic/all-spells/h/harrowing","Harrowing")</f>
        <v>Harrowing</v>
      </c>
      <c r="BT929" s="1">
        <v>954</v>
      </c>
      <c r="BU929" s="1" t="s">
        <v>109</v>
      </c>
      <c r="BV929" s="1" t="s">
        <v>7751</v>
      </c>
      <c r="BW929" s="1"/>
      <c r="BX929" s="1" t="s">
        <v>7752</v>
      </c>
      <c r="BY929" s="1" t="s">
        <v>7753</v>
      </c>
      <c r="BZ929" s="1">
        <v>1</v>
      </c>
      <c r="CA929" s="1" t="s">
        <v>109</v>
      </c>
      <c r="CB929" s="1" t="s">
        <v>109</v>
      </c>
      <c r="CC929" s="1" t="s">
        <v>109</v>
      </c>
      <c r="CD929" s="1" t="s">
        <v>109</v>
      </c>
      <c r="CE929" s="1" t="s">
        <v>109</v>
      </c>
      <c r="CF929" s="1" t="s">
        <v>109</v>
      </c>
      <c r="CG929" s="1" t="s">
        <v>109</v>
      </c>
      <c r="CH929" s="1" t="s">
        <v>109</v>
      </c>
      <c r="CI929" s="1" t="s">
        <v>109</v>
      </c>
      <c r="CJ929" s="1" t="s">
        <v>109</v>
      </c>
      <c r="CK929" s="1"/>
      <c r="CL929" s="1">
        <v>0</v>
      </c>
      <c r="CM929" s="1">
        <v>0</v>
      </c>
      <c r="CN929" s="1">
        <v>0</v>
      </c>
    </row>
    <row r="930" spans="1:92" ht="14.25" customHeight="1" x14ac:dyDescent="0.15">
      <c r="A930" s="1" t="s">
        <v>7754</v>
      </c>
      <c r="B930" s="1" t="s">
        <v>95</v>
      </c>
      <c r="C930" s="1" t="s">
        <v>694</v>
      </c>
      <c r="D930" s="1" t="s">
        <v>57</v>
      </c>
      <c r="E930" s="1" t="s">
        <v>7755</v>
      </c>
      <c r="F930" s="1" t="s">
        <v>355</v>
      </c>
      <c r="G930" s="1" t="s">
        <v>7756</v>
      </c>
      <c r="H930" s="1">
        <v>0</v>
      </c>
      <c r="I930" s="1" t="s">
        <v>161</v>
      </c>
      <c r="J930" s="1"/>
      <c r="K930" s="1"/>
      <c r="L930" s="1" t="s">
        <v>506</v>
      </c>
      <c r="M930" s="1" t="s">
        <v>277</v>
      </c>
      <c r="N930" s="1">
        <v>0</v>
      </c>
      <c r="O930" s="1">
        <v>0</v>
      </c>
      <c r="P930" s="1" t="s">
        <v>507</v>
      </c>
      <c r="Q930" s="1" t="s">
        <v>167</v>
      </c>
      <c r="R930" s="1" t="s">
        <v>7757</v>
      </c>
      <c r="S930" s="1" t="s">
        <v>7758</v>
      </c>
      <c r="T930" s="1" t="s">
        <v>7734</v>
      </c>
      <c r="U930" s="1" t="s">
        <v>7759</v>
      </c>
      <c r="V930" s="1">
        <v>1</v>
      </c>
      <c r="W930" s="1">
        <v>1</v>
      </c>
      <c r="X930" s="1">
        <v>1</v>
      </c>
      <c r="Y930" s="1">
        <v>0</v>
      </c>
      <c r="Z930" s="1">
        <v>0</v>
      </c>
      <c r="AA930" s="1">
        <v>1</v>
      </c>
      <c r="AB930" s="1">
        <v>1</v>
      </c>
      <c r="AC930" s="1">
        <v>1</v>
      </c>
      <c r="AD930" s="1" t="s">
        <v>109</v>
      </c>
      <c r="AE930" s="1" t="s">
        <v>109</v>
      </c>
      <c r="AF930" s="1" t="s">
        <v>109</v>
      </c>
      <c r="AG930" s="1" t="s">
        <v>109</v>
      </c>
      <c r="AH930" s="1" t="s">
        <v>109</v>
      </c>
      <c r="AI930" s="1">
        <v>1</v>
      </c>
      <c r="AJ930" s="1">
        <v>1</v>
      </c>
      <c r="AK930" s="1" t="s">
        <v>109</v>
      </c>
      <c r="AL930" s="1">
        <v>1</v>
      </c>
      <c r="AM930" s="1" t="s">
        <v>109</v>
      </c>
      <c r="AN930" s="1">
        <v>1</v>
      </c>
      <c r="AO930" s="1" t="s">
        <v>109</v>
      </c>
      <c r="AP930" s="1"/>
      <c r="AQ930" s="1">
        <v>1</v>
      </c>
      <c r="AR930" s="1"/>
      <c r="AS930" s="1"/>
      <c r="AT930" s="1">
        <v>0</v>
      </c>
      <c r="AU930" s="1">
        <v>0</v>
      </c>
      <c r="AV930" s="1">
        <v>0</v>
      </c>
      <c r="AW930" s="1">
        <v>0</v>
      </c>
      <c r="AX930" s="1">
        <v>0</v>
      </c>
      <c r="AY930" s="1">
        <v>0</v>
      </c>
      <c r="AZ930" s="1">
        <v>0</v>
      </c>
      <c r="BA930" s="1">
        <v>0</v>
      </c>
      <c r="BB930" s="1">
        <v>0</v>
      </c>
      <c r="BC930" s="1">
        <v>0</v>
      </c>
      <c r="BD930" s="1">
        <v>0</v>
      </c>
      <c r="BE930" s="1">
        <v>1</v>
      </c>
      <c r="BF930" s="1">
        <v>0</v>
      </c>
      <c r="BG930" s="1">
        <v>0</v>
      </c>
      <c r="BH930" s="1">
        <v>0</v>
      </c>
      <c r="BI930" s="1">
        <v>0</v>
      </c>
      <c r="BJ930" s="1">
        <v>0</v>
      </c>
      <c r="BK930" s="1">
        <v>0</v>
      </c>
      <c r="BL930" s="1">
        <v>0</v>
      </c>
      <c r="BM930" s="1">
        <v>0</v>
      </c>
      <c r="BN930" s="1">
        <v>0</v>
      </c>
      <c r="BO930" s="1">
        <v>0</v>
      </c>
      <c r="BP930" s="1">
        <v>0</v>
      </c>
      <c r="BQ930" s="1">
        <v>0</v>
      </c>
      <c r="BR930" s="1">
        <v>0</v>
      </c>
      <c r="BS930" s="5" t="str">
        <f>HYPERLINK("http://www.d20pfsrd.com/magic/all-spells/i/infernal-healing","Infernal Healing")</f>
        <v>Infernal Healing</v>
      </c>
      <c r="BT930" s="1">
        <v>955</v>
      </c>
      <c r="BU930" s="1" t="s">
        <v>109</v>
      </c>
      <c r="BV930" s="1"/>
      <c r="BW930" s="1"/>
      <c r="BX930" s="1"/>
      <c r="BY930" s="1"/>
      <c r="BZ930" s="1">
        <v>0</v>
      </c>
      <c r="CA930" s="1" t="s">
        <v>109</v>
      </c>
      <c r="CB930" s="1" t="s">
        <v>109</v>
      </c>
      <c r="CC930" s="1" t="s">
        <v>109</v>
      </c>
      <c r="CD930" s="1" t="s">
        <v>109</v>
      </c>
      <c r="CE930" s="1" t="s">
        <v>109</v>
      </c>
      <c r="CF930" s="1" t="s">
        <v>109</v>
      </c>
      <c r="CG930" s="1" t="s">
        <v>109</v>
      </c>
      <c r="CH930" s="1" t="s">
        <v>109</v>
      </c>
      <c r="CI930" s="1" t="s">
        <v>109</v>
      </c>
      <c r="CJ930" s="1" t="s">
        <v>109</v>
      </c>
      <c r="CK930" s="1"/>
      <c r="CL930" s="1">
        <v>0</v>
      </c>
      <c r="CM930" s="1">
        <v>0</v>
      </c>
      <c r="CN930" s="1">
        <v>0</v>
      </c>
    </row>
    <row r="931" spans="1:92" ht="14.25" customHeight="1" x14ac:dyDescent="0.15">
      <c r="A931" s="1" t="s">
        <v>7760</v>
      </c>
      <c r="B931" s="1" t="s">
        <v>95</v>
      </c>
      <c r="C931" s="1" t="s">
        <v>694</v>
      </c>
      <c r="D931" s="1" t="s">
        <v>57</v>
      </c>
      <c r="E931" s="1" t="s">
        <v>7761</v>
      </c>
      <c r="F931" s="1" t="s">
        <v>355</v>
      </c>
      <c r="G931" s="1" t="s">
        <v>7756</v>
      </c>
      <c r="H931" s="1">
        <v>0</v>
      </c>
      <c r="I931" s="1" t="s">
        <v>161</v>
      </c>
      <c r="J931" s="1"/>
      <c r="K931" s="1"/>
      <c r="L931" s="1" t="s">
        <v>506</v>
      </c>
      <c r="M931" s="1" t="s">
        <v>277</v>
      </c>
      <c r="N931" s="1">
        <v>0</v>
      </c>
      <c r="O931" s="1">
        <v>0</v>
      </c>
      <c r="P931" s="1" t="s">
        <v>507</v>
      </c>
      <c r="Q931" s="1" t="s">
        <v>167</v>
      </c>
      <c r="R931" s="1" t="s">
        <v>7762</v>
      </c>
      <c r="S931" s="1" t="s">
        <v>7763</v>
      </c>
      <c r="T931" s="1" t="s">
        <v>7734</v>
      </c>
      <c r="U931" s="1" t="s">
        <v>7764</v>
      </c>
      <c r="V931" s="1">
        <v>1</v>
      </c>
      <c r="W931" s="1">
        <v>1</v>
      </c>
      <c r="X931" s="1">
        <v>1</v>
      </c>
      <c r="Y931" s="1">
        <v>0</v>
      </c>
      <c r="Z931" s="1">
        <v>0</v>
      </c>
      <c r="AA931" s="1">
        <v>4</v>
      </c>
      <c r="AB931" s="1">
        <v>4</v>
      </c>
      <c r="AC931" s="1">
        <v>4</v>
      </c>
      <c r="AD931" s="1" t="s">
        <v>109</v>
      </c>
      <c r="AE931" s="1" t="s">
        <v>109</v>
      </c>
      <c r="AF931" s="1" t="s">
        <v>109</v>
      </c>
      <c r="AG931" s="1" t="s">
        <v>109</v>
      </c>
      <c r="AH931" s="1" t="s">
        <v>109</v>
      </c>
      <c r="AI931" s="1">
        <v>4</v>
      </c>
      <c r="AJ931" s="1">
        <v>4</v>
      </c>
      <c r="AK931" s="1" t="s">
        <v>109</v>
      </c>
      <c r="AL931" s="1">
        <v>4</v>
      </c>
      <c r="AM931" s="1" t="s">
        <v>109</v>
      </c>
      <c r="AN931" s="1">
        <v>4</v>
      </c>
      <c r="AO931" s="1" t="s">
        <v>109</v>
      </c>
      <c r="AP931" s="1"/>
      <c r="AQ931" s="1">
        <v>4</v>
      </c>
      <c r="AR931" s="1"/>
      <c r="AS931" s="1"/>
      <c r="AT931" s="1">
        <v>0</v>
      </c>
      <c r="AU931" s="1">
        <v>0</v>
      </c>
      <c r="AV931" s="1">
        <v>0</v>
      </c>
      <c r="AW931" s="1">
        <v>0</v>
      </c>
      <c r="AX931" s="1">
        <v>0</v>
      </c>
      <c r="AY931" s="1">
        <v>0</v>
      </c>
      <c r="AZ931" s="1">
        <v>0</v>
      </c>
      <c r="BA931" s="1">
        <v>0</v>
      </c>
      <c r="BB931" s="1">
        <v>0</v>
      </c>
      <c r="BC931" s="1">
        <v>0</v>
      </c>
      <c r="BD931" s="1">
        <v>0</v>
      </c>
      <c r="BE931" s="1">
        <v>1</v>
      </c>
      <c r="BF931" s="1">
        <v>0</v>
      </c>
      <c r="BG931" s="1">
        <v>0</v>
      </c>
      <c r="BH931" s="1">
        <v>0</v>
      </c>
      <c r="BI931" s="1">
        <v>0</v>
      </c>
      <c r="BJ931" s="1">
        <v>0</v>
      </c>
      <c r="BK931" s="1">
        <v>0</v>
      </c>
      <c r="BL931" s="1">
        <v>0</v>
      </c>
      <c r="BM931" s="1">
        <v>0</v>
      </c>
      <c r="BN931" s="1">
        <v>0</v>
      </c>
      <c r="BO931" s="1">
        <v>0</v>
      </c>
      <c r="BP931" s="1">
        <v>0</v>
      </c>
      <c r="BQ931" s="1">
        <v>0</v>
      </c>
      <c r="BR931" s="1">
        <v>0</v>
      </c>
      <c r="BS931" s="5" t="str">
        <f>HYPERLINK("http://www.d20pfsrd.com/magic/all-spells/i/infernal-healing","Infernal Healing, Greater")</f>
        <v>Infernal Healing, Greater</v>
      </c>
      <c r="BT931" s="1">
        <v>956</v>
      </c>
      <c r="BU931" s="1" t="s">
        <v>109</v>
      </c>
      <c r="BV931" s="1"/>
      <c r="BW931" s="1"/>
      <c r="BX931" s="1"/>
      <c r="BY931" s="1"/>
      <c r="BZ931" s="1">
        <v>0</v>
      </c>
      <c r="CA931" s="1" t="s">
        <v>109</v>
      </c>
      <c r="CB931" s="1" t="s">
        <v>109</v>
      </c>
      <c r="CC931" s="1" t="s">
        <v>109</v>
      </c>
      <c r="CD931" s="1" t="s">
        <v>109</v>
      </c>
      <c r="CE931" s="1" t="s">
        <v>109</v>
      </c>
      <c r="CF931" s="1" t="s">
        <v>109</v>
      </c>
      <c r="CG931" s="1" t="s">
        <v>109</v>
      </c>
      <c r="CH931" s="1" t="s">
        <v>109</v>
      </c>
      <c r="CI931" s="1" t="s">
        <v>109</v>
      </c>
      <c r="CJ931" s="1" t="s">
        <v>109</v>
      </c>
      <c r="CK931" s="1"/>
      <c r="CL931" s="1">
        <v>0</v>
      </c>
      <c r="CM931" s="1">
        <v>0</v>
      </c>
      <c r="CN931" s="1">
        <v>0</v>
      </c>
    </row>
    <row r="932" spans="1:92" ht="14.25" customHeight="1" x14ac:dyDescent="0.15">
      <c r="A932" s="1" t="s">
        <v>7765</v>
      </c>
      <c r="B932" s="1" t="s">
        <v>156</v>
      </c>
      <c r="C932" s="1" t="s">
        <v>157</v>
      </c>
      <c r="D932" s="1" t="s">
        <v>158</v>
      </c>
      <c r="E932" s="1" t="s">
        <v>7766</v>
      </c>
      <c r="F932" s="1" t="s">
        <v>277</v>
      </c>
      <c r="G932" s="1" t="s">
        <v>7767</v>
      </c>
      <c r="H932" s="1">
        <v>1</v>
      </c>
      <c r="I932" s="1" t="s">
        <v>161</v>
      </c>
      <c r="J932" s="1"/>
      <c r="K932" s="1"/>
      <c r="L932" s="1" t="s">
        <v>506</v>
      </c>
      <c r="M932" s="1" t="s">
        <v>7768</v>
      </c>
      <c r="N932" s="1">
        <v>1</v>
      </c>
      <c r="O932" s="1">
        <v>0</v>
      </c>
      <c r="P932" s="1" t="s">
        <v>507</v>
      </c>
      <c r="Q932" s="1" t="s">
        <v>7769</v>
      </c>
      <c r="R932" s="1" t="s">
        <v>7770</v>
      </c>
      <c r="S932" s="1" t="s">
        <v>7771</v>
      </c>
      <c r="T932" s="1" t="s">
        <v>7734</v>
      </c>
      <c r="U932" s="1" t="s">
        <v>7772</v>
      </c>
      <c r="V932" s="1">
        <v>1</v>
      </c>
      <c r="W932" s="1">
        <v>0</v>
      </c>
      <c r="X932" s="1">
        <v>1</v>
      </c>
      <c r="Y932" s="1">
        <v>0</v>
      </c>
      <c r="Z932" s="1">
        <v>0</v>
      </c>
      <c r="AA932" s="1">
        <v>3</v>
      </c>
      <c r="AB932" s="1">
        <v>3</v>
      </c>
      <c r="AC932" s="1">
        <v>3</v>
      </c>
      <c r="AD932" s="1" t="s">
        <v>109</v>
      </c>
      <c r="AE932" s="1" t="s">
        <v>109</v>
      </c>
      <c r="AF932" s="1">
        <v>3</v>
      </c>
      <c r="AG932" s="1" t="s">
        <v>109</v>
      </c>
      <c r="AH932" s="1" t="s">
        <v>109</v>
      </c>
      <c r="AI932" s="1" t="s">
        <v>109</v>
      </c>
      <c r="AJ932" s="1">
        <v>3</v>
      </c>
      <c r="AK932" s="1" t="s">
        <v>109</v>
      </c>
      <c r="AL932" s="1">
        <v>3</v>
      </c>
      <c r="AM932" s="1" t="s">
        <v>109</v>
      </c>
      <c r="AN932" s="1" t="s">
        <v>109</v>
      </c>
      <c r="AO932" s="1" t="s">
        <v>109</v>
      </c>
      <c r="AP932" s="1"/>
      <c r="AQ932" s="1">
        <v>3</v>
      </c>
      <c r="AR932" s="1"/>
      <c r="AS932" s="1"/>
      <c r="AT932" s="1">
        <v>0</v>
      </c>
      <c r="AU932" s="1">
        <v>0</v>
      </c>
      <c r="AV932" s="1">
        <v>0</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1</v>
      </c>
      <c r="BN932" s="1">
        <v>0</v>
      </c>
      <c r="BO932" s="1">
        <v>0</v>
      </c>
      <c r="BP932" s="1">
        <v>0</v>
      </c>
      <c r="BQ932" s="1">
        <v>0</v>
      </c>
      <c r="BR932" s="1">
        <v>0</v>
      </c>
      <c r="BS932" s="5" t="str">
        <f>HYPERLINK("http://www.d20pfsrd.com/magic/all-spells/l/lover-s-vengeance","Lover's Vengeance")</f>
        <v>Lover's Vengeance</v>
      </c>
      <c r="BT932" s="1">
        <v>958</v>
      </c>
      <c r="BU932" s="1">
        <v>100</v>
      </c>
      <c r="BV932" s="1"/>
      <c r="BW932" s="1"/>
      <c r="BX932" s="1"/>
      <c r="BY932" s="1"/>
      <c r="BZ932" s="1">
        <v>0</v>
      </c>
      <c r="CA932" s="1" t="s">
        <v>109</v>
      </c>
      <c r="CB932" s="1" t="s">
        <v>109</v>
      </c>
      <c r="CC932" s="1" t="s">
        <v>109</v>
      </c>
      <c r="CD932" s="1" t="s">
        <v>109</v>
      </c>
      <c r="CE932" s="1" t="s">
        <v>109</v>
      </c>
      <c r="CF932" s="1" t="s">
        <v>109</v>
      </c>
      <c r="CG932" s="1" t="s">
        <v>109</v>
      </c>
      <c r="CH932" s="1" t="s">
        <v>109</v>
      </c>
      <c r="CI932" s="1" t="s">
        <v>109</v>
      </c>
      <c r="CJ932" s="1" t="s">
        <v>109</v>
      </c>
      <c r="CK932" s="1"/>
      <c r="CL932" s="1">
        <v>0</v>
      </c>
      <c r="CM932" s="1">
        <v>0</v>
      </c>
      <c r="CN932" s="1">
        <v>0</v>
      </c>
    </row>
    <row r="933" spans="1:92" ht="14.25" customHeight="1" x14ac:dyDescent="0.15">
      <c r="A933" s="1" t="s">
        <v>7773</v>
      </c>
      <c r="B933" s="1" t="s">
        <v>584</v>
      </c>
      <c r="C933" s="1"/>
      <c r="D933" s="1" t="s">
        <v>7774</v>
      </c>
      <c r="E933" s="1" t="s">
        <v>7775</v>
      </c>
      <c r="F933" s="1" t="s">
        <v>98</v>
      </c>
      <c r="G933" s="1" t="s">
        <v>160</v>
      </c>
      <c r="H933" s="1">
        <v>0</v>
      </c>
      <c r="I933" s="1" t="s">
        <v>235</v>
      </c>
      <c r="J933" s="1"/>
      <c r="K933" s="1"/>
      <c r="L933" s="1" t="s">
        <v>236</v>
      </c>
      <c r="M933" s="1" t="s">
        <v>125</v>
      </c>
      <c r="N933" s="1">
        <v>0</v>
      </c>
      <c r="O933" s="1">
        <v>0</v>
      </c>
      <c r="P933" s="1" t="s">
        <v>211</v>
      </c>
      <c r="Q933" s="1" t="s">
        <v>104</v>
      </c>
      <c r="R933" s="1" t="s">
        <v>7776</v>
      </c>
      <c r="S933" s="1" t="s">
        <v>7777</v>
      </c>
      <c r="T933" s="1" t="s">
        <v>7734</v>
      </c>
      <c r="U933" s="1" t="s">
        <v>7778</v>
      </c>
      <c r="V933" s="1">
        <v>1</v>
      </c>
      <c r="W933" s="1">
        <v>1</v>
      </c>
      <c r="X933" s="1">
        <v>0</v>
      </c>
      <c r="Y933" s="1">
        <v>0</v>
      </c>
      <c r="Z933" s="1">
        <v>1</v>
      </c>
      <c r="AA933" s="1" t="s">
        <v>109</v>
      </c>
      <c r="AB933" s="1" t="s">
        <v>109</v>
      </c>
      <c r="AC933" s="1">
        <v>4</v>
      </c>
      <c r="AD933" s="1" t="s">
        <v>109</v>
      </c>
      <c r="AE933" s="1">
        <v>4</v>
      </c>
      <c r="AF933" s="1">
        <v>4</v>
      </c>
      <c r="AG933" s="1">
        <v>4</v>
      </c>
      <c r="AH933" s="1" t="s">
        <v>109</v>
      </c>
      <c r="AI933" s="1" t="s">
        <v>109</v>
      </c>
      <c r="AJ933" s="1" t="s">
        <v>109</v>
      </c>
      <c r="AK933" s="1" t="s">
        <v>109</v>
      </c>
      <c r="AL933" s="1">
        <v>4</v>
      </c>
      <c r="AM933" s="1" t="s">
        <v>109</v>
      </c>
      <c r="AN933" s="1">
        <v>4</v>
      </c>
      <c r="AO933" s="1" t="s">
        <v>109</v>
      </c>
      <c r="AP933" s="1"/>
      <c r="AQ933" s="1">
        <v>4</v>
      </c>
      <c r="AR933" s="1"/>
      <c r="AS933" s="1"/>
      <c r="AT933" s="1">
        <v>0</v>
      </c>
      <c r="AU933" s="1">
        <v>0</v>
      </c>
      <c r="AV933" s="1">
        <v>0</v>
      </c>
      <c r="AW933" s="1">
        <v>0</v>
      </c>
      <c r="AX933" s="1">
        <v>0</v>
      </c>
      <c r="AY933" s="1">
        <v>0</v>
      </c>
      <c r="AZ933" s="1">
        <v>0</v>
      </c>
      <c r="BA933" s="1">
        <v>0</v>
      </c>
      <c r="BB933" s="1">
        <v>0</v>
      </c>
      <c r="BC933" s="1">
        <v>0</v>
      </c>
      <c r="BD933" s="1">
        <v>0</v>
      </c>
      <c r="BE933" s="1">
        <v>0</v>
      </c>
      <c r="BF933" s="1">
        <v>0</v>
      </c>
      <c r="BG933" s="1">
        <v>1</v>
      </c>
      <c r="BH933" s="1">
        <v>0</v>
      </c>
      <c r="BI933" s="1">
        <v>1</v>
      </c>
      <c r="BJ933" s="1">
        <v>0</v>
      </c>
      <c r="BK933" s="1">
        <v>0</v>
      </c>
      <c r="BL933" s="1">
        <v>1</v>
      </c>
      <c r="BM933" s="1">
        <v>0</v>
      </c>
      <c r="BN933" s="1">
        <v>0</v>
      </c>
      <c r="BO933" s="1">
        <v>0</v>
      </c>
      <c r="BP933" s="1">
        <v>0</v>
      </c>
      <c r="BQ933" s="1">
        <v>0</v>
      </c>
      <c r="BR933" s="1">
        <v>0</v>
      </c>
      <c r="BS933" s="5" t="str">
        <f>HYPERLINK("http://www.d20pfsrd.com/magic/all-spells/s/shield-of-the-dawnflower","Shield of the Dawnflower")</f>
        <v>Shield of the Dawnflower</v>
      </c>
      <c r="BT933" s="1">
        <v>959</v>
      </c>
      <c r="BU933" s="1" t="s">
        <v>109</v>
      </c>
      <c r="BV933" s="1"/>
      <c r="BW933" s="1"/>
      <c r="BX933" s="1" t="s">
        <v>7779</v>
      </c>
      <c r="BY933" s="1"/>
      <c r="BZ933" s="1">
        <v>1</v>
      </c>
      <c r="CA933" s="1" t="s">
        <v>109</v>
      </c>
      <c r="CB933" s="1" t="s">
        <v>109</v>
      </c>
      <c r="CC933" s="1" t="s">
        <v>109</v>
      </c>
      <c r="CD933" s="1" t="s">
        <v>109</v>
      </c>
      <c r="CE933" s="1" t="s">
        <v>109</v>
      </c>
      <c r="CF933" s="1" t="s">
        <v>109</v>
      </c>
      <c r="CG933" s="1" t="s">
        <v>109</v>
      </c>
      <c r="CH933" s="1" t="s">
        <v>109</v>
      </c>
      <c r="CI933" s="1" t="s">
        <v>109</v>
      </c>
      <c r="CJ933" s="1">
        <v>4</v>
      </c>
      <c r="CK933" s="1"/>
      <c r="CL933" s="1">
        <v>0</v>
      </c>
      <c r="CM933" s="1">
        <v>0</v>
      </c>
      <c r="CN933" s="1">
        <v>0</v>
      </c>
    </row>
    <row r="934" spans="1:92" ht="14.25" customHeight="1" x14ac:dyDescent="0.15">
      <c r="A934" s="1" t="s">
        <v>7780</v>
      </c>
      <c r="B934" s="1" t="s">
        <v>242</v>
      </c>
      <c r="C934" s="1"/>
      <c r="D934" s="1"/>
      <c r="E934" s="1" t="s">
        <v>1101</v>
      </c>
      <c r="F934" s="1" t="s">
        <v>395</v>
      </c>
      <c r="G934" s="1" t="s">
        <v>7781</v>
      </c>
      <c r="H934" s="1">
        <v>1</v>
      </c>
      <c r="I934" s="1" t="s">
        <v>122</v>
      </c>
      <c r="J934" s="1" t="s">
        <v>7782</v>
      </c>
      <c r="K934" s="1"/>
      <c r="L934" s="1"/>
      <c r="M934" s="1" t="s">
        <v>280</v>
      </c>
      <c r="N934" s="1">
        <v>0</v>
      </c>
      <c r="O934" s="1">
        <v>1</v>
      </c>
      <c r="P934" s="1" t="s">
        <v>301</v>
      </c>
      <c r="Q934" s="1" t="s">
        <v>268</v>
      </c>
      <c r="R934" s="1" t="s">
        <v>7783</v>
      </c>
      <c r="S934" s="1" t="s">
        <v>7784</v>
      </c>
      <c r="T934" s="1" t="s">
        <v>7734</v>
      </c>
      <c r="U934" s="1" t="s">
        <v>7785</v>
      </c>
      <c r="V934" s="1">
        <v>1</v>
      </c>
      <c r="W934" s="1">
        <v>1</v>
      </c>
      <c r="X934" s="1">
        <v>1</v>
      </c>
      <c r="Y934" s="1">
        <v>0</v>
      </c>
      <c r="Z934" s="1">
        <v>0</v>
      </c>
      <c r="AA934" s="1">
        <v>7</v>
      </c>
      <c r="AB934" s="1">
        <v>7</v>
      </c>
      <c r="AC934" s="1" t="s">
        <v>109</v>
      </c>
      <c r="AD934" s="1" t="s">
        <v>109</v>
      </c>
      <c r="AE934" s="1" t="s">
        <v>109</v>
      </c>
      <c r="AF934" s="1" t="s">
        <v>109</v>
      </c>
      <c r="AG934" s="1" t="s">
        <v>109</v>
      </c>
      <c r="AH934" s="1" t="s">
        <v>109</v>
      </c>
      <c r="AI934" s="1" t="s">
        <v>109</v>
      </c>
      <c r="AJ934" s="1" t="s">
        <v>109</v>
      </c>
      <c r="AK934" s="1" t="s">
        <v>109</v>
      </c>
      <c r="AL934" s="1" t="s">
        <v>109</v>
      </c>
      <c r="AM934" s="1" t="s">
        <v>109</v>
      </c>
      <c r="AN934" s="1" t="s">
        <v>109</v>
      </c>
      <c r="AO934" s="1" t="s">
        <v>109</v>
      </c>
      <c r="AP934" s="1"/>
      <c r="AQ934" s="1">
        <v>7</v>
      </c>
      <c r="AR934" s="1" t="s">
        <v>7786</v>
      </c>
      <c r="AS934" s="1"/>
      <c r="AT934" s="1">
        <v>0</v>
      </c>
      <c r="AU934" s="1">
        <v>0</v>
      </c>
      <c r="AV934" s="1">
        <v>0</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5" t="str">
        <f>HYPERLINK("http://www.d20pfsrd.com/magic/all-spells/t/teleport-trap","Teleport Trap")</f>
        <v>Teleport Trap</v>
      </c>
      <c r="BT934" s="1">
        <v>960</v>
      </c>
      <c r="BU934" s="1">
        <v>100</v>
      </c>
      <c r="BV934" s="1"/>
      <c r="BW934" s="1"/>
      <c r="BX934" s="1"/>
      <c r="BY934" s="1"/>
      <c r="BZ934" s="1">
        <v>0</v>
      </c>
      <c r="CA934" s="1" t="s">
        <v>109</v>
      </c>
      <c r="CB934" s="1" t="s">
        <v>109</v>
      </c>
      <c r="CC934" s="1" t="s">
        <v>109</v>
      </c>
      <c r="CD934" s="1" t="s">
        <v>109</v>
      </c>
      <c r="CE934" s="1" t="s">
        <v>109</v>
      </c>
      <c r="CF934" s="1" t="s">
        <v>109</v>
      </c>
      <c r="CG934" s="1" t="s">
        <v>109</v>
      </c>
      <c r="CH934" s="1" t="s">
        <v>109</v>
      </c>
      <c r="CI934" s="1" t="s">
        <v>109</v>
      </c>
      <c r="CJ934" s="1" t="s">
        <v>109</v>
      </c>
      <c r="CK934" s="1"/>
      <c r="CL934" s="1">
        <v>0</v>
      </c>
      <c r="CM934" s="1">
        <v>0</v>
      </c>
      <c r="CN934" s="1">
        <v>0</v>
      </c>
    </row>
    <row r="935" spans="1:92" ht="14.25" customHeight="1" x14ac:dyDescent="0.15">
      <c r="A935" s="1" t="s">
        <v>7787</v>
      </c>
      <c r="B935" s="1" t="s">
        <v>156</v>
      </c>
      <c r="C935" s="1" t="s">
        <v>157</v>
      </c>
      <c r="D935" s="1" t="s">
        <v>158</v>
      </c>
      <c r="E935" s="1" t="s">
        <v>7788</v>
      </c>
      <c r="F935" s="1" t="s">
        <v>98</v>
      </c>
      <c r="G935" s="1" t="s">
        <v>141</v>
      </c>
      <c r="H935" s="1">
        <v>0</v>
      </c>
      <c r="I935" s="1" t="s">
        <v>142</v>
      </c>
      <c r="J935" s="1"/>
      <c r="K935" s="1" t="s">
        <v>7789</v>
      </c>
      <c r="L935" s="1"/>
      <c r="M935" s="1" t="s">
        <v>125</v>
      </c>
      <c r="N935" s="1">
        <v>0</v>
      </c>
      <c r="O935" s="1">
        <v>0</v>
      </c>
      <c r="P935" s="1" t="s">
        <v>507</v>
      </c>
      <c r="Q935" s="1" t="s">
        <v>167</v>
      </c>
      <c r="R935" s="1" t="s">
        <v>7790</v>
      </c>
      <c r="S935" s="1" t="s">
        <v>7791</v>
      </c>
      <c r="T935" s="1" t="s">
        <v>7734</v>
      </c>
      <c r="U935" s="1" t="s">
        <v>7792</v>
      </c>
      <c r="V935" s="1">
        <v>1</v>
      </c>
      <c r="W935" s="1">
        <v>1</v>
      </c>
      <c r="X935" s="1">
        <v>0</v>
      </c>
      <c r="Y935" s="1">
        <v>0</v>
      </c>
      <c r="Z935" s="1">
        <v>0</v>
      </c>
      <c r="AA935" s="1" t="s">
        <v>109</v>
      </c>
      <c r="AB935" s="1" t="s">
        <v>109</v>
      </c>
      <c r="AC935" s="1">
        <v>1</v>
      </c>
      <c r="AD935" s="1" t="s">
        <v>109</v>
      </c>
      <c r="AE935" s="1">
        <v>1</v>
      </c>
      <c r="AF935" s="1">
        <v>1</v>
      </c>
      <c r="AG935" s="1">
        <v>1</v>
      </c>
      <c r="AH935" s="1" t="s">
        <v>109</v>
      </c>
      <c r="AI935" s="1" t="s">
        <v>109</v>
      </c>
      <c r="AJ935" s="1">
        <v>1</v>
      </c>
      <c r="AK935" s="1" t="s">
        <v>109</v>
      </c>
      <c r="AL935" s="1">
        <v>1</v>
      </c>
      <c r="AM935" s="1" t="s">
        <v>109</v>
      </c>
      <c r="AN935" s="1" t="s">
        <v>109</v>
      </c>
      <c r="AO935" s="1" t="s">
        <v>109</v>
      </c>
      <c r="AP935" s="1"/>
      <c r="AQ935" s="1">
        <v>1</v>
      </c>
      <c r="AR935" s="1"/>
      <c r="AS935" s="1"/>
      <c r="AT935" s="1">
        <v>0</v>
      </c>
      <c r="AU935" s="1">
        <v>0</v>
      </c>
      <c r="AV935" s="1">
        <v>0</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1</v>
      </c>
      <c r="BN935" s="1">
        <v>0</v>
      </c>
      <c r="BO935" s="1">
        <v>0</v>
      </c>
      <c r="BP935" s="1">
        <v>0</v>
      </c>
      <c r="BQ935" s="1">
        <v>0</v>
      </c>
      <c r="BR935" s="1">
        <v>0</v>
      </c>
      <c r="BS935" s="5" t="str">
        <f>HYPERLINK("http://www.d20pfsrd.com/magic/all-spells/u/unbreakable-heart","Unbreakable Heart")</f>
        <v>Unbreakable Heart</v>
      </c>
      <c r="BT935" s="1">
        <v>961</v>
      </c>
      <c r="BU935" s="1" t="s">
        <v>109</v>
      </c>
      <c r="BV935" s="1"/>
      <c r="BW935" s="1"/>
      <c r="BX935" s="1"/>
      <c r="BY935" s="1"/>
      <c r="BZ935" s="1">
        <v>0</v>
      </c>
      <c r="CA935" s="1" t="s">
        <v>109</v>
      </c>
      <c r="CB935" s="1" t="s">
        <v>109</v>
      </c>
      <c r="CC935" s="1" t="s">
        <v>109</v>
      </c>
      <c r="CD935" s="1" t="s">
        <v>109</v>
      </c>
      <c r="CE935" s="1" t="s">
        <v>109</v>
      </c>
      <c r="CF935" s="1" t="s">
        <v>109</v>
      </c>
      <c r="CG935" s="1" t="s">
        <v>109</v>
      </c>
      <c r="CH935" s="1" t="s">
        <v>109</v>
      </c>
      <c r="CI935" s="1" t="s">
        <v>109</v>
      </c>
      <c r="CJ935" s="1">
        <v>1</v>
      </c>
      <c r="CK935" s="1"/>
      <c r="CL935" s="1">
        <v>0</v>
      </c>
      <c r="CM935" s="1">
        <v>0</v>
      </c>
      <c r="CN935" s="1">
        <v>0</v>
      </c>
    </row>
    <row r="936" spans="1:92" ht="14.25" customHeight="1" x14ac:dyDescent="0.15">
      <c r="A936" s="1" t="s">
        <v>7793</v>
      </c>
      <c r="B936" s="1" t="s">
        <v>674</v>
      </c>
      <c r="C936" s="1" t="s">
        <v>1715</v>
      </c>
      <c r="D936" s="1" t="s">
        <v>3422</v>
      </c>
      <c r="E936" s="1" t="s">
        <v>7794</v>
      </c>
      <c r="F936" s="1" t="s">
        <v>7795</v>
      </c>
      <c r="G936" s="1" t="s">
        <v>141</v>
      </c>
      <c r="H936" s="1">
        <v>0</v>
      </c>
      <c r="I936" s="1" t="s">
        <v>397</v>
      </c>
      <c r="J936" s="1"/>
      <c r="K936" s="1"/>
      <c r="L936" s="1" t="s">
        <v>563</v>
      </c>
      <c r="M936" s="1" t="s">
        <v>144</v>
      </c>
      <c r="N936" s="1">
        <v>0</v>
      </c>
      <c r="O936" s="1">
        <v>0</v>
      </c>
      <c r="P936" s="1" t="s">
        <v>2475</v>
      </c>
      <c r="Q936" s="1" t="s">
        <v>268</v>
      </c>
      <c r="R936" s="1" t="s">
        <v>7796</v>
      </c>
      <c r="S936" s="1" t="s">
        <v>7797</v>
      </c>
      <c r="T936" s="1" t="s">
        <v>7734</v>
      </c>
      <c r="U936" s="1" t="s">
        <v>7798</v>
      </c>
      <c r="V936" s="1">
        <v>1</v>
      </c>
      <c r="W936" s="1">
        <v>1</v>
      </c>
      <c r="X936" s="1">
        <v>0</v>
      </c>
      <c r="Y936" s="1">
        <v>0</v>
      </c>
      <c r="Z936" s="1">
        <v>0</v>
      </c>
      <c r="AA936" s="1" t="s">
        <v>109</v>
      </c>
      <c r="AB936" s="1" t="s">
        <v>109</v>
      </c>
      <c r="AC936" s="1">
        <v>7</v>
      </c>
      <c r="AD936" s="1" t="s">
        <v>109</v>
      </c>
      <c r="AE936" s="1" t="s">
        <v>109</v>
      </c>
      <c r="AF936" s="1" t="s">
        <v>109</v>
      </c>
      <c r="AG936" s="1" t="s">
        <v>109</v>
      </c>
      <c r="AH936" s="1" t="s">
        <v>109</v>
      </c>
      <c r="AI936" s="1" t="s">
        <v>109</v>
      </c>
      <c r="AJ936" s="1">
        <v>7</v>
      </c>
      <c r="AK936" s="1">
        <v>6</v>
      </c>
      <c r="AL936" s="1">
        <v>7</v>
      </c>
      <c r="AM936" s="1" t="s">
        <v>109</v>
      </c>
      <c r="AN936" s="1" t="s">
        <v>109</v>
      </c>
      <c r="AO936" s="1" t="s">
        <v>109</v>
      </c>
      <c r="AP936" s="1"/>
      <c r="AQ936" s="1">
        <v>7</v>
      </c>
      <c r="AR936" s="1"/>
      <c r="AS936" s="1"/>
      <c r="AT936" s="1">
        <v>0</v>
      </c>
      <c r="AU936" s="1">
        <v>0</v>
      </c>
      <c r="AV936" s="1">
        <v>0</v>
      </c>
      <c r="AW936" s="1">
        <v>0</v>
      </c>
      <c r="AX936" s="1">
        <v>0</v>
      </c>
      <c r="AY936" s="1">
        <v>0</v>
      </c>
      <c r="AZ936" s="1">
        <v>0</v>
      </c>
      <c r="BA936" s="1">
        <v>0</v>
      </c>
      <c r="BB936" s="1">
        <v>0</v>
      </c>
      <c r="BC936" s="1">
        <v>0</v>
      </c>
      <c r="BD936" s="1">
        <v>0</v>
      </c>
      <c r="BE936" s="1">
        <v>1</v>
      </c>
      <c r="BF936" s="1">
        <v>0</v>
      </c>
      <c r="BG936" s="1">
        <v>0</v>
      </c>
      <c r="BH936" s="1">
        <v>0</v>
      </c>
      <c r="BI936" s="1">
        <v>0</v>
      </c>
      <c r="BJ936" s="1">
        <v>0</v>
      </c>
      <c r="BK936" s="1">
        <v>0</v>
      </c>
      <c r="BL936" s="1">
        <v>0</v>
      </c>
      <c r="BM936" s="1">
        <v>1</v>
      </c>
      <c r="BN936" s="1">
        <v>0</v>
      </c>
      <c r="BO936" s="1">
        <v>0</v>
      </c>
      <c r="BP936" s="1">
        <v>0</v>
      </c>
      <c r="BQ936" s="1">
        <v>0</v>
      </c>
      <c r="BR936" s="1">
        <v>0</v>
      </c>
      <c r="BS936" s="5" t="str">
        <f>HYPERLINK("http://www.d20pfsrd.com/magic/all-spells/v/vision-of-lamashtu","Vision of Lamashtu")</f>
        <v>Vision of Lamashtu</v>
      </c>
      <c r="BT936" s="1">
        <v>964</v>
      </c>
      <c r="BU936" s="1" t="s">
        <v>109</v>
      </c>
      <c r="BV936" s="1"/>
      <c r="BW936" s="1"/>
      <c r="BX936" s="1"/>
      <c r="BY936" s="1"/>
      <c r="BZ936" s="1">
        <v>0</v>
      </c>
      <c r="CA936" s="1" t="s">
        <v>109</v>
      </c>
      <c r="CB936" s="1" t="s">
        <v>109</v>
      </c>
      <c r="CC936" s="1" t="s">
        <v>109</v>
      </c>
      <c r="CD936" s="1" t="s">
        <v>109</v>
      </c>
      <c r="CE936" s="1" t="s">
        <v>109</v>
      </c>
      <c r="CF936" s="1" t="s">
        <v>109</v>
      </c>
      <c r="CG936" s="1" t="s">
        <v>109</v>
      </c>
      <c r="CH936" s="1" t="s">
        <v>109</v>
      </c>
      <c r="CI936" s="1" t="s">
        <v>109</v>
      </c>
      <c r="CJ936" s="1" t="s">
        <v>109</v>
      </c>
      <c r="CK936" s="1"/>
      <c r="CL936" s="1">
        <v>0</v>
      </c>
      <c r="CM936" s="1">
        <v>0</v>
      </c>
      <c r="CN936" s="1">
        <v>0</v>
      </c>
    </row>
    <row r="937" spans="1:92" ht="14.25" customHeight="1" x14ac:dyDescent="0.15">
      <c r="A937" s="1" t="s">
        <v>7799</v>
      </c>
      <c r="B937" s="1" t="s">
        <v>95</v>
      </c>
      <c r="C937" s="1" t="s">
        <v>96</v>
      </c>
      <c r="D937" s="1"/>
      <c r="E937" s="1" t="s">
        <v>7800</v>
      </c>
      <c r="F937" s="1" t="s">
        <v>98</v>
      </c>
      <c r="G937" s="1" t="s">
        <v>7801</v>
      </c>
      <c r="H937" s="1">
        <v>1</v>
      </c>
      <c r="I937" s="1" t="s">
        <v>142</v>
      </c>
      <c r="J937" s="1"/>
      <c r="K937" s="1" t="s">
        <v>7802</v>
      </c>
      <c r="L937" s="1"/>
      <c r="M937" s="1" t="s">
        <v>144</v>
      </c>
      <c r="N937" s="1">
        <v>0</v>
      </c>
      <c r="O937" s="1">
        <v>0</v>
      </c>
      <c r="P937" s="1" t="s">
        <v>1410</v>
      </c>
      <c r="Q937" s="1" t="s">
        <v>104</v>
      </c>
      <c r="R937" s="1" t="s">
        <v>7803</v>
      </c>
      <c r="S937" s="1" t="s">
        <v>7804</v>
      </c>
      <c r="T937" s="1" t="s">
        <v>7734</v>
      </c>
      <c r="U937" s="1" t="s">
        <v>7805</v>
      </c>
      <c r="V937" s="1">
        <v>1</v>
      </c>
      <c r="W937" s="1">
        <v>1</v>
      </c>
      <c r="X937" s="1">
        <v>1</v>
      </c>
      <c r="Y937" s="1">
        <v>0</v>
      </c>
      <c r="Z937" s="1">
        <v>0</v>
      </c>
      <c r="AA937" s="1" t="s">
        <v>109</v>
      </c>
      <c r="AB937" s="1" t="s">
        <v>109</v>
      </c>
      <c r="AC937" s="1">
        <v>3</v>
      </c>
      <c r="AD937" s="1">
        <v>3</v>
      </c>
      <c r="AE937" s="1" t="s">
        <v>109</v>
      </c>
      <c r="AF937" s="1" t="s">
        <v>109</v>
      </c>
      <c r="AG937" s="1" t="s">
        <v>109</v>
      </c>
      <c r="AH937" s="1">
        <v>2</v>
      </c>
      <c r="AI937" s="1" t="s">
        <v>109</v>
      </c>
      <c r="AJ937" s="1">
        <v>3</v>
      </c>
      <c r="AK937" s="1" t="s">
        <v>109</v>
      </c>
      <c r="AL937" s="1">
        <v>3</v>
      </c>
      <c r="AM937" s="1" t="s">
        <v>109</v>
      </c>
      <c r="AN937" s="1" t="s">
        <v>109</v>
      </c>
      <c r="AO937" s="1" t="s">
        <v>109</v>
      </c>
      <c r="AP937" s="1"/>
      <c r="AQ937" s="1">
        <v>3</v>
      </c>
      <c r="AR937" s="1"/>
      <c r="AS937" s="1"/>
      <c r="AT937" s="1">
        <v>0</v>
      </c>
      <c r="AU937" s="1">
        <v>0</v>
      </c>
      <c r="AV937" s="1">
        <v>0</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5" t="str">
        <f>HYPERLINK("http://www.d20pfsrd.com/magic/all-spells/w/waters-of-lamashtu","Waters of Lamashtu")</f>
        <v>Waters of Lamashtu</v>
      </c>
      <c r="BT937" s="1">
        <v>965</v>
      </c>
      <c r="BU937" s="1">
        <v>250</v>
      </c>
      <c r="BV937" s="1"/>
      <c r="BW937" s="1"/>
      <c r="BX937" s="1" t="s">
        <v>7806</v>
      </c>
      <c r="BY937" s="1"/>
      <c r="BZ937" s="1">
        <v>1</v>
      </c>
      <c r="CA937" s="1" t="s">
        <v>109</v>
      </c>
      <c r="CB937" s="1" t="s">
        <v>109</v>
      </c>
      <c r="CC937" s="1" t="s">
        <v>109</v>
      </c>
      <c r="CD937" s="1" t="s">
        <v>109</v>
      </c>
      <c r="CE937" s="1" t="s">
        <v>109</v>
      </c>
      <c r="CF937" s="1" t="s">
        <v>109</v>
      </c>
      <c r="CG937" s="1" t="s">
        <v>109</v>
      </c>
      <c r="CH937" s="1" t="s">
        <v>109</v>
      </c>
      <c r="CI937" s="1" t="s">
        <v>109</v>
      </c>
      <c r="CJ937" s="1">
        <v>3</v>
      </c>
      <c r="CK937" s="1"/>
      <c r="CL937" s="1">
        <v>0</v>
      </c>
      <c r="CM937" s="1">
        <v>0</v>
      </c>
      <c r="CN937" s="1">
        <v>0</v>
      </c>
    </row>
    <row r="938" spans="1:92" ht="14.25" customHeight="1" x14ac:dyDescent="0.15">
      <c r="A938" s="1" t="s">
        <v>7807</v>
      </c>
      <c r="B938" s="1" t="s">
        <v>674</v>
      </c>
      <c r="C938" s="1" t="s">
        <v>1715</v>
      </c>
      <c r="D938" s="1"/>
      <c r="E938" s="1" t="s">
        <v>5633</v>
      </c>
      <c r="F938" s="1" t="s">
        <v>98</v>
      </c>
      <c r="G938" s="1" t="s">
        <v>7808</v>
      </c>
      <c r="H938" s="1">
        <v>0</v>
      </c>
      <c r="I938" s="1" t="s">
        <v>161</v>
      </c>
      <c r="J938" s="1"/>
      <c r="K938" s="1"/>
      <c r="L938" s="1" t="s">
        <v>7809</v>
      </c>
      <c r="M938" s="1" t="s">
        <v>815</v>
      </c>
      <c r="N938" s="1">
        <v>1</v>
      </c>
      <c r="O938" s="1">
        <v>0</v>
      </c>
      <c r="P938" s="1" t="s">
        <v>104</v>
      </c>
      <c r="Q938" s="1" t="s">
        <v>104</v>
      </c>
      <c r="R938" s="1" t="s">
        <v>7810</v>
      </c>
      <c r="S938" s="1" t="s">
        <v>7811</v>
      </c>
      <c r="T938" s="1" t="s">
        <v>7812</v>
      </c>
      <c r="U938" s="1" t="s">
        <v>7813</v>
      </c>
      <c r="V938" s="1">
        <v>1</v>
      </c>
      <c r="W938" s="1">
        <v>1</v>
      </c>
      <c r="X938" s="1">
        <v>0</v>
      </c>
      <c r="Y938" s="1">
        <v>0</v>
      </c>
      <c r="Z938" s="1">
        <v>0</v>
      </c>
      <c r="AA938" s="1" t="s">
        <v>109</v>
      </c>
      <c r="AB938" s="1" t="s">
        <v>109</v>
      </c>
      <c r="AC938" s="1">
        <v>2</v>
      </c>
      <c r="AD938" s="1" t="s">
        <v>109</v>
      </c>
      <c r="AE938" s="1" t="s">
        <v>109</v>
      </c>
      <c r="AF938" s="1">
        <v>2</v>
      </c>
      <c r="AG938" s="1" t="s">
        <v>109</v>
      </c>
      <c r="AH938" s="1" t="s">
        <v>109</v>
      </c>
      <c r="AI938" s="1" t="s">
        <v>109</v>
      </c>
      <c r="AJ938" s="1" t="s">
        <v>109</v>
      </c>
      <c r="AK938" s="1" t="s">
        <v>109</v>
      </c>
      <c r="AL938" s="1">
        <v>2</v>
      </c>
      <c r="AM938" s="1" t="s">
        <v>109</v>
      </c>
      <c r="AN938" s="1" t="s">
        <v>109</v>
      </c>
      <c r="AO938" s="1" t="s">
        <v>109</v>
      </c>
      <c r="AP938" s="1" t="s">
        <v>7814</v>
      </c>
      <c r="AQ938" s="1">
        <v>2</v>
      </c>
      <c r="AR938" s="1"/>
      <c r="AS938" s="1"/>
      <c r="AT938" s="1">
        <v>0</v>
      </c>
      <c r="AU938" s="1">
        <v>0</v>
      </c>
      <c r="AV938" s="1">
        <v>0</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t="s">
        <v>109</v>
      </c>
      <c r="BT938" s="1">
        <v>973</v>
      </c>
      <c r="BU938" s="1" t="s">
        <v>109</v>
      </c>
      <c r="BV938" s="1"/>
      <c r="BW938" s="1"/>
      <c r="BX938" s="1"/>
      <c r="BY938" s="1"/>
      <c r="BZ938" s="1">
        <v>0</v>
      </c>
      <c r="CA938" s="1" t="s">
        <v>109</v>
      </c>
      <c r="CB938" s="1" t="s">
        <v>109</v>
      </c>
      <c r="CC938" s="1" t="s">
        <v>109</v>
      </c>
      <c r="CD938" s="1" t="s">
        <v>109</v>
      </c>
      <c r="CE938" s="1" t="s">
        <v>109</v>
      </c>
      <c r="CF938" s="1" t="s">
        <v>109</v>
      </c>
      <c r="CG938" s="1" t="s">
        <v>109</v>
      </c>
      <c r="CH938" s="1" t="s">
        <v>109</v>
      </c>
      <c r="CI938" s="1" t="s">
        <v>109</v>
      </c>
      <c r="CJ938" s="1" t="s">
        <v>109</v>
      </c>
      <c r="CK938" s="1"/>
      <c r="CL938" s="1">
        <v>0</v>
      </c>
      <c r="CM938" s="1">
        <v>0</v>
      </c>
      <c r="CN938" s="1">
        <v>0</v>
      </c>
    </row>
    <row r="939" spans="1:92" ht="14.25" customHeight="1" x14ac:dyDescent="0.15">
      <c r="A939" s="1" t="s">
        <v>7815</v>
      </c>
      <c r="B939" s="1" t="s">
        <v>95</v>
      </c>
      <c r="C939" s="1" t="s">
        <v>96</v>
      </c>
      <c r="D939" s="1" t="s">
        <v>46</v>
      </c>
      <c r="E939" s="1" t="s">
        <v>7816</v>
      </c>
      <c r="F939" s="1" t="s">
        <v>98</v>
      </c>
      <c r="G939" s="1" t="s">
        <v>7817</v>
      </c>
      <c r="H939" s="1">
        <v>1</v>
      </c>
      <c r="I939" s="1" t="s">
        <v>1016</v>
      </c>
      <c r="J939" s="1"/>
      <c r="K939" s="1" t="s">
        <v>6788</v>
      </c>
      <c r="L939" s="1"/>
      <c r="M939" s="1" t="s">
        <v>144</v>
      </c>
      <c r="N939" s="1">
        <v>0</v>
      </c>
      <c r="O939" s="1">
        <v>0</v>
      </c>
      <c r="P939" s="1" t="s">
        <v>7818</v>
      </c>
      <c r="Q939" s="1" t="s">
        <v>268</v>
      </c>
      <c r="R939" s="1" t="s">
        <v>7819</v>
      </c>
      <c r="S939" s="1" t="s">
        <v>7820</v>
      </c>
      <c r="T939" s="1" t="s">
        <v>7821</v>
      </c>
      <c r="U939" s="1" t="s">
        <v>7822</v>
      </c>
      <c r="V939" s="1">
        <v>1</v>
      </c>
      <c r="W939" s="1">
        <v>1</v>
      </c>
      <c r="X939" s="1">
        <v>1</v>
      </c>
      <c r="Y939" s="1">
        <v>0</v>
      </c>
      <c r="Z939" s="1">
        <v>0</v>
      </c>
      <c r="AA939" s="1">
        <v>5</v>
      </c>
      <c r="AB939" s="1">
        <v>5</v>
      </c>
      <c r="AC939" s="1" t="s">
        <v>109</v>
      </c>
      <c r="AD939" s="1" t="s">
        <v>109</v>
      </c>
      <c r="AE939" s="1" t="s">
        <v>109</v>
      </c>
      <c r="AF939" s="1" t="s">
        <v>109</v>
      </c>
      <c r="AG939" s="1" t="s">
        <v>109</v>
      </c>
      <c r="AH939" s="1" t="s">
        <v>109</v>
      </c>
      <c r="AI939" s="1" t="s">
        <v>109</v>
      </c>
      <c r="AJ939" s="1" t="s">
        <v>109</v>
      </c>
      <c r="AK939" s="1" t="s">
        <v>109</v>
      </c>
      <c r="AL939" s="1" t="s">
        <v>109</v>
      </c>
      <c r="AM939" s="1" t="s">
        <v>109</v>
      </c>
      <c r="AN939" s="1">
        <v>5</v>
      </c>
      <c r="AO939" s="1" t="s">
        <v>109</v>
      </c>
      <c r="AP939" s="1"/>
      <c r="AQ939" s="1">
        <v>5</v>
      </c>
      <c r="AR939" s="1"/>
      <c r="AS939" s="1" t="s">
        <v>7823</v>
      </c>
      <c r="AT939" s="1">
        <v>1</v>
      </c>
      <c r="AU939" s="1">
        <v>0</v>
      </c>
      <c r="AV939" s="1">
        <v>0</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v>
      </c>
      <c r="BP939" s="1">
        <v>0</v>
      </c>
      <c r="BQ939" s="1">
        <v>0</v>
      </c>
      <c r="BR939" s="1">
        <v>0</v>
      </c>
      <c r="BS939" s="5" t="str">
        <f>HYPERLINK("http://www.d20pfsrd.com/magic/all-spells/a/acidic-spray","Acidic Spray")</f>
        <v>Acidic Spray</v>
      </c>
      <c r="BT939" s="1">
        <v>975</v>
      </c>
      <c r="BU939" s="1">
        <v>10</v>
      </c>
      <c r="BV939" s="1"/>
      <c r="BW939" s="1"/>
      <c r="BX939" s="1"/>
      <c r="BY939" s="1"/>
      <c r="BZ939" s="1">
        <v>0</v>
      </c>
      <c r="CA939" s="1" t="s">
        <v>109</v>
      </c>
      <c r="CB939" s="1" t="s">
        <v>109</v>
      </c>
      <c r="CC939" s="1" t="s">
        <v>109</v>
      </c>
      <c r="CD939" s="1" t="s">
        <v>109</v>
      </c>
      <c r="CE939" s="1" t="s">
        <v>109</v>
      </c>
      <c r="CF939" s="1" t="s">
        <v>109</v>
      </c>
      <c r="CG939" s="1" t="s">
        <v>109</v>
      </c>
      <c r="CH939" s="1" t="s">
        <v>109</v>
      </c>
      <c r="CI939" s="1" t="s">
        <v>109</v>
      </c>
      <c r="CJ939" s="1" t="s">
        <v>109</v>
      </c>
      <c r="CK939" s="1"/>
      <c r="CL939" s="1">
        <v>0</v>
      </c>
      <c r="CM939" s="1">
        <v>0</v>
      </c>
      <c r="CN939" s="1">
        <v>0</v>
      </c>
    </row>
    <row r="940" spans="1:92" ht="14.25" customHeight="1" x14ac:dyDescent="0.15">
      <c r="A940" s="1" t="s">
        <v>7824</v>
      </c>
      <c r="B940" s="1" t="s">
        <v>189</v>
      </c>
      <c r="C940" s="1"/>
      <c r="D940" s="1"/>
      <c r="E940" s="1" t="s">
        <v>7825</v>
      </c>
      <c r="F940" s="1" t="s">
        <v>98</v>
      </c>
      <c r="G940" s="1" t="s">
        <v>7826</v>
      </c>
      <c r="H940" s="1">
        <v>0</v>
      </c>
      <c r="I940" s="1" t="s">
        <v>161</v>
      </c>
      <c r="J940" s="1"/>
      <c r="K940" s="1"/>
      <c r="L940" s="1" t="s">
        <v>506</v>
      </c>
      <c r="M940" s="1" t="s">
        <v>3042</v>
      </c>
      <c r="N940" s="1">
        <v>0</v>
      </c>
      <c r="O940" s="1">
        <v>0</v>
      </c>
      <c r="P940" s="1" t="s">
        <v>507</v>
      </c>
      <c r="Q940" s="1" t="s">
        <v>268</v>
      </c>
      <c r="R940" s="1" t="s">
        <v>7827</v>
      </c>
      <c r="S940" s="1" t="s">
        <v>7828</v>
      </c>
      <c r="T940" s="1" t="s">
        <v>7821</v>
      </c>
      <c r="U940" s="1" t="s">
        <v>7829</v>
      </c>
      <c r="V940" s="1">
        <v>1</v>
      </c>
      <c r="W940" s="1">
        <v>1</v>
      </c>
      <c r="X940" s="1">
        <v>1</v>
      </c>
      <c r="Y940" s="1">
        <v>0</v>
      </c>
      <c r="Z940" s="1">
        <v>0</v>
      </c>
      <c r="AA940" s="1" t="s">
        <v>109</v>
      </c>
      <c r="AB940" s="1" t="s">
        <v>109</v>
      </c>
      <c r="AC940" s="1" t="s">
        <v>109</v>
      </c>
      <c r="AD940" s="1" t="s">
        <v>109</v>
      </c>
      <c r="AE940" s="1">
        <v>2</v>
      </c>
      <c r="AF940" s="1">
        <v>2</v>
      </c>
      <c r="AG940" s="1" t="s">
        <v>109</v>
      </c>
      <c r="AH940" s="1">
        <v>2</v>
      </c>
      <c r="AI940" s="1" t="s">
        <v>109</v>
      </c>
      <c r="AJ940" s="1" t="s">
        <v>109</v>
      </c>
      <c r="AK940" s="1">
        <v>2</v>
      </c>
      <c r="AL940" s="1" t="s">
        <v>109</v>
      </c>
      <c r="AM940" s="1" t="s">
        <v>109</v>
      </c>
      <c r="AN940" s="1" t="s">
        <v>109</v>
      </c>
      <c r="AO940" s="1" t="s">
        <v>109</v>
      </c>
      <c r="AP940" s="1"/>
      <c r="AQ940" s="1">
        <v>2</v>
      </c>
      <c r="AR940" s="1"/>
      <c r="AS940" s="1" t="s">
        <v>7830</v>
      </c>
      <c r="AT940" s="1">
        <v>0</v>
      </c>
      <c r="AU940" s="1">
        <v>0</v>
      </c>
      <c r="AV940" s="1">
        <v>0</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5" t="str">
        <f>HYPERLINK("http://www.d20pfsrd.com/magic/all-spells/a/acute-senses","Acute Senses")</f>
        <v>Acute Senses</v>
      </c>
      <c r="BT940" s="1">
        <v>976</v>
      </c>
      <c r="BU940" s="1" t="s">
        <v>109</v>
      </c>
      <c r="BV940" s="1"/>
      <c r="BW940" s="1"/>
      <c r="BX940" s="1"/>
      <c r="BY940" s="1"/>
      <c r="BZ940" s="1">
        <v>0</v>
      </c>
      <c r="CA940" s="1" t="s">
        <v>109</v>
      </c>
      <c r="CB940" s="1" t="s">
        <v>109</v>
      </c>
      <c r="CC940" s="1">
        <v>2</v>
      </c>
      <c r="CD940" s="1" t="s">
        <v>109</v>
      </c>
      <c r="CE940" s="1" t="s">
        <v>109</v>
      </c>
      <c r="CF940" s="1" t="s">
        <v>109</v>
      </c>
      <c r="CG940" s="1" t="s">
        <v>109</v>
      </c>
      <c r="CH940" s="1" t="s">
        <v>109</v>
      </c>
      <c r="CI940" s="1" t="s">
        <v>109</v>
      </c>
      <c r="CJ940" s="1">
        <v>2</v>
      </c>
      <c r="CK940" s="1"/>
      <c r="CL940" s="1">
        <v>0</v>
      </c>
      <c r="CM940" s="1">
        <v>0</v>
      </c>
      <c r="CN940" s="1">
        <v>0</v>
      </c>
    </row>
    <row r="941" spans="1:92" ht="14.25" customHeight="1" x14ac:dyDescent="0.15">
      <c r="A941" s="1" t="s">
        <v>7831</v>
      </c>
      <c r="B941" s="1" t="s">
        <v>189</v>
      </c>
      <c r="C941" s="1"/>
      <c r="D941" s="1"/>
      <c r="E941" s="1" t="s">
        <v>7832</v>
      </c>
      <c r="F941" s="1" t="s">
        <v>98</v>
      </c>
      <c r="G941" s="1" t="s">
        <v>141</v>
      </c>
      <c r="H941" s="1">
        <v>0</v>
      </c>
      <c r="I941" s="1" t="s">
        <v>235</v>
      </c>
      <c r="J941" s="1"/>
      <c r="K941" s="1"/>
      <c r="L941" s="1" t="s">
        <v>236</v>
      </c>
      <c r="M941" s="1" t="s">
        <v>465</v>
      </c>
      <c r="N941" s="1">
        <v>0</v>
      </c>
      <c r="O941" s="1">
        <v>0</v>
      </c>
      <c r="P941" s="1"/>
      <c r="Q941" s="1"/>
      <c r="R941" s="1" t="s">
        <v>7833</v>
      </c>
      <c r="S941" s="1" t="s">
        <v>7834</v>
      </c>
      <c r="T941" s="1" t="s">
        <v>7821</v>
      </c>
      <c r="U941" s="1" t="s">
        <v>7835</v>
      </c>
      <c r="V941" s="1">
        <v>1</v>
      </c>
      <c r="W941" s="1">
        <v>1</v>
      </c>
      <c r="X941" s="1">
        <v>0</v>
      </c>
      <c r="Y941" s="1">
        <v>0</v>
      </c>
      <c r="Z941" s="1">
        <v>0</v>
      </c>
      <c r="AA941" s="1">
        <v>4</v>
      </c>
      <c r="AB941" s="1">
        <v>4</v>
      </c>
      <c r="AC941" s="1" t="s">
        <v>109</v>
      </c>
      <c r="AD941" s="1">
        <v>4</v>
      </c>
      <c r="AE941" s="1" t="s">
        <v>109</v>
      </c>
      <c r="AF941" s="1" t="s">
        <v>109</v>
      </c>
      <c r="AG941" s="1" t="s">
        <v>109</v>
      </c>
      <c r="AH941" s="1">
        <v>3</v>
      </c>
      <c r="AI941" s="1" t="s">
        <v>109</v>
      </c>
      <c r="AJ941" s="1">
        <v>4</v>
      </c>
      <c r="AK941" s="1" t="s">
        <v>109</v>
      </c>
      <c r="AL941" s="1" t="s">
        <v>109</v>
      </c>
      <c r="AM941" s="1" t="s">
        <v>109</v>
      </c>
      <c r="AN941" s="1" t="s">
        <v>109</v>
      </c>
      <c r="AO941" s="1" t="s">
        <v>109</v>
      </c>
      <c r="AP941" s="1"/>
      <c r="AQ941" s="1">
        <v>4</v>
      </c>
      <c r="AR941" s="1"/>
      <c r="AS941" s="1" t="s">
        <v>7836</v>
      </c>
      <c r="AT941" s="1">
        <v>0</v>
      </c>
      <c r="AU941" s="1">
        <v>0</v>
      </c>
      <c r="AV941" s="1">
        <v>0</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5" t="str">
        <f>HYPERLINK("http://www.d20pfsrd.com/magic/all-spells/a/age-resistance","Age Resistance, Lesser")</f>
        <v>Age Resistance, Lesser</v>
      </c>
      <c r="BT941" s="1">
        <v>977</v>
      </c>
      <c r="BU941" s="1" t="s">
        <v>109</v>
      </c>
      <c r="BV941" s="1"/>
      <c r="BW941" s="1"/>
      <c r="BX941" s="1"/>
      <c r="BY941" s="1"/>
      <c r="BZ941" s="1">
        <v>0</v>
      </c>
      <c r="CA941" s="1" t="s">
        <v>109</v>
      </c>
      <c r="CB941" s="1" t="s">
        <v>109</v>
      </c>
      <c r="CC941" s="1">
        <v>4</v>
      </c>
      <c r="CD941" s="1" t="s">
        <v>109</v>
      </c>
      <c r="CE941" s="1" t="s">
        <v>109</v>
      </c>
      <c r="CF941" s="1">
        <v>3</v>
      </c>
      <c r="CG941" s="1" t="s">
        <v>109</v>
      </c>
      <c r="CH941" s="1" t="s">
        <v>109</v>
      </c>
      <c r="CI941" s="1" t="s">
        <v>109</v>
      </c>
      <c r="CJ941" s="1">
        <v>4</v>
      </c>
      <c r="CK941" s="1"/>
      <c r="CL941" s="1">
        <v>0</v>
      </c>
      <c r="CM941" s="1">
        <v>0</v>
      </c>
      <c r="CN941" s="1">
        <v>0</v>
      </c>
    </row>
    <row r="942" spans="1:92" ht="14.25" customHeight="1" x14ac:dyDescent="0.15">
      <c r="A942" s="1" t="s">
        <v>7837</v>
      </c>
      <c r="B942" s="1" t="s">
        <v>189</v>
      </c>
      <c r="C942" s="1"/>
      <c r="D942" s="1"/>
      <c r="E942" s="1" t="s">
        <v>7838</v>
      </c>
      <c r="F942" s="1" t="s">
        <v>98</v>
      </c>
      <c r="G942" s="1" t="s">
        <v>141</v>
      </c>
      <c r="H942" s="1">
        <v>0</v>
      </c>
      <c r="I942" s="1" t="s">
        <v>235</v>
      </c>
      <c r="J942" s="1"/>
      <c r="K942" s="1"/>
      <c r="L942" s="1" t="s">
        <v>236</v>
      </c>
      <c r="M942" s="1" t="s">
        <v>465</v>
      </c>
      <c r="N942" s="1">
        <v>0</v>
      </c>
      <c r="O942" s="1">
        <v>0</v>
      </c>
      <c r="P942" s="1"/>
      <c r="Q942" s="1"/>
      <c r="R942" s="1" t="s">
        <v>7839</v>
      </c>
      <c r="S942" s="1" t="s">
        <v>7840</v>
      </c>
      <c r="T942" s="1" t="s">
        <v>7821</v>
      </c>
      <c r="U942" s="1" t="s">
        <v>7841</v>
      </c>
      <c r="V942" s="1">
        <v>1</v>
      </c>
      <c r="W942" s="1">
        <v>1</v>
      </c>
      <c r="X942" s="1">
        <v>0</v>
      </c>
      <c r="Y942" s="1">
        <v>0</v>
      </c>
      <c r="Z942" s="1">
        <v>0</v>
      </c>
      <c r="AA942" s="1">
        <v>7</v>
      </c>
      <c r="AB942" s="1">
        <v>7</v>
      </c>
      <c r="AC942" s="1" t="s">
        <v>109</v>
      </c>
      <c r="AD942" s="1">
        <v>7</v>
      </c>
      <c r="AE942" s="1" t="s">
        <v>109</v>
      </c>
      <c r="AF942" s="1" t="s">
        <v>109</v>
      </c>
      <c r="AG942" s="1" t="s">
        <v>109</v>
      </c>
      <c r="AH942" s="1">
        <v>5</v>
      </c>
      <c r="AI942" s="1" t="s">
        <v>109</v>
      </c>
      <c r="AJ942" s="1">
        <v>7</v>
      </c>
      <c r="AK942" s="1" t="s">
        <v>109</v>
      </c>
      <c r="AL942" s="1" t="s">
        <v>109</v>
      </c>
      <c r="AM942" s="1" t="s">
        <v>109</v>
      </c>
      <c r="AN942" s="1" t="s">
        <v>109</v>
      </c>
      <c r="AO942" s="1" t="s">
        <v>109</v>
      </c>
      <c r="AP942" s="1"/>
      <c r="AQ942" s="1">
        <v>7</v>
      </c>
      <c r="AR942" s="1"/>
      <c r="AS942" s="1" t="s">
        <v>7842</v>
      </c>
      <c r="AT942" s="1">
        <v>0</v>
      </c>
      <c r="AU942" s="1">
        <v>0</v>
      </c>
      <c r="AV942" s="1">
        <v>0</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5" t="str">
        <f>HYPERLINK("http://www.d20pfsrd.com/magic/all-spells/a/age-resistance","Age Resistance, Greater")</f>
        <v>Age Resistance, Greater</v>
      </c>
      <c r="BT942" s="1">
        <v>978</v>
      </c>
      <c r="BU942" s="1" t="s">
        <v>109</v>
      </c>
      <c r="BV942" s="1" t="s">
        <v>7843</v>
      </c>
      <c r="BW942" s="1"/>
      <c r="BX942" s="1"/>
      <c r="BY942" s="1"/>
      <c r="BZ942" s="1">
        <v>0</v>
      </c>
      <c r="CA942" s="1" t="s">
        <v>109</v>
      </c>
      <c r="CB942" s="1" t="s">
        <v>109</v>
      </c>
      <c r="CC942" s="1">
        <v>7</v>
      </c>
      <c r="CD942" s="1" t="s">
        <v>109</v>
      </c>
      <c r="CE942" s="1" t="s">
        <v>109</v>
      </c>
      <c r="CF942" s="1">
        <v>5</v>
      </c>
      <c r="CG942" s="1" t="s">
        <v>109</v>
      </c>
      <c r="CH942" s="1" t="s">
        <v>109</v>
      </c>
      <c r="CI942" s="1" t="s">
        <v>109</v>
      </c>
      <c r="CJ942" s="1" t="s">
        <v>109</v>
      </c>
      <c r="CK942" s="1"/>
      <c r="CL942" s="1">
        <v>0</v>
      </c>
      <c r="CM942" s="1">
        <v>0</v>
      </c>
      <c r="CN942" s="1">
        <v>0</v>
      </c>
    </row>
    <row r="943" spans="1:92" ht="14.25" customHeight="1" x14ac:dyDescent="0.15">
      <c r="A943" s="1" t="s">
        <v>7844</v>
      </c>
      <c r="B943" s="1" t="s">
        <v>189</v>
      </c>
      <c r="C943" s="1"/>
      <c r="D943" s="1"/>
      <c r="E943" s="1" t="s">
        <v>7845</v>
      </c>
      <c r="F943" s="1" t="s">
        <v>98</v>
      </c>
      <c r="G943" s="1" t="s">
        <v>141</v>
      </c>
      <c r="H943" s="1">
        <v>0</v>
      </c>
      <c r="I943" s="1" t="s">
        <v>235</v>
      </c>
      <c r="J943" s="1"/>
      <c r="K943" s="1"/>
      <c r="L943" s="1" t="s">
        <v>236</v>
      </c>
      <c r="M943" s="1" t="s">
        <v>465</v>
      </c>
      <c r="N943" s="1">
        <v>0</v>
      </c>
      <c r="O943" s="1">
        <v>0</v>
      </c>
      <c r="P943" s="1"/>
      <c r="Q943" s="1"/>
      <c r="R943" s="1" t="s">
        <v>7846</v>
      </c>
      <c r="S943" s="1" t="s">
        <v>7847</v>
      </c>
      <c r="T943" s="1" t="s">
        <v>7821</v>
      </c>
      <c r="U943" s="1" t="s">
        <v>7848</v>
      </c>
      <c r="V943" s="1">
        <v>1</v>
      </c>
      <c r="W943" s="1">
        <v>1</v>
      </c>
      <c r="X943" s="1">
        <v>0</v>
      </c>
      <c r="Y943" s="1">
        <v>0</v>
      </c>
      <c r="Z943" s="1">
        <v>0</v>
      </c>
      <c r="AA943" s="1">
        <v>6</v>
      </c>
      <c r="AB943" s="1">
        <v>6</v>
      </c>
      <c r="AC943" s="1" t="s">
        <v>109</v>
      </c>
      <c r="AD943" s="1">
        <v>6</v>
      </c>
      <c r="AE943" s="1" t="s">
        <v>109</v>
      </c>
      <c r="AF943" s="1" t="s">
        <v>109</v>
      </c>
      <c r="AG943" s="1" t="s">
        <v>109</v>
      </c>
      <c r="AH943" s="1">
        <v>4</v>
      </c>
      <c r="AI943" s="1" t="s">
        <v>109</v>
      </c>
      <c r="AJ943" s="1">
        <v>6</v>
      </c>
      <c r="AK943" s="1" t="s">
        <v>109</v>
      </c>
      <c r="AL943" s="1" t="s">
        <v>109</v>
      </c>
      <c r="AM943" s="1" t="s">
        <v>109</v>
      </c>
      <c r="AN943" s="1" t="s">
        <v>109</v>
      </c>
      <c r="AO943" s="1" t="s">
        <v>109</v>
      </c>
      <c r="AP943" s="1"/>
      <c r="AQ943" s="1">
        <v>6</v>
      </c>
      <c r="AR943" s="1"/>
      <c r="AS943" s="1" t="s">
        <v>7849</v>
      </c>
      <c r="AT943" s="1">
        <v>0</v>
      </c>
      <c r="AU943" s="1">
        <v>0</v>
      </c>
      <c r="AV943" s="1">
        <v>0</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5" t="str">
        <f>HYPERLINK("http://www.d20pfsrd.com/magic/all-spells/a/age-resistance","Age Resistance")</f>
        <v>Age Resistance</v>
      </c>
      <c r="BT943" s="1">
        <v>979</v>
      </c>
      <c r="BU943" s="1" t="s">
        <v>109</v>
      </c>
      <c r="BV943" s="1"/>
      <c r="BW943" s="1"/>
      <c r="BX943" s="1"/>
      <c r="BY943" s="1"/>
      <c r="BZ943" s="1">
        <v>0</v>
      </c>
      <c r="CA943" s="1" t="s">
        <v>109</v>
      </c>
      <c r="CB943" s="1" t="s">
        <v>109</v>
      </c>
      <c r="CC943" s="1">
        <v>6</v>
      </c>
      <c r="CD943" s="1" t="s">
        <v>109</v>
      </c>
      <c r="CE943" s="1" t="s">
        <v>109</v>
      </c>
      <c r="CF943" s="1">
        <v>4</v>
      </c>
      <c r="CG943" s="1" t="s">
        <v>109</v>
      </c>
      <c r="CH943" s="1" t="s">
        <v>109</v>
      </c>
      <c r="CI943" s="1" t="s">
        <v>109</v>
      </c>
      <c r="CJ943" s="1">
        <v>6</v>
      </c>
      <c r="CK943" s="1"/>
      <c r="CL943" s="1">
        <v>0</v>
      </c>
      <c r="CM943" s="1">
        <v>0</v>
      </c>
      <c r="CN943" s="1">
        <v>0</v>
      </c>
    </row>
    <row r="944" spans="1:92" ht="14.25" customHeight="1" x14ac:dyDescent="0.15">
      <c r="A944" s="1" t="s">
        <v>7850</v>
      </c>
      <c r="B944" s="1" t="s">
        <v>189</v>
      </c>
      <c r="C944" s="1"/>
      <c r="D944" s="1"/>
      <c r="E944" s="1" t="s">
        <v>6083</v>
      </c>
      <c r="F944" s="1" t="s">
        <v>98</v>
      </c>
      <c r="G944" s="1" t="s">
        <v>333</v>
      </c>
      <c r="H944" s="1">
        <v>0</v>
      </c>
      <c r="I944" s="1" t="s">
        <v>235</v>
      </c>
      <c r="J944" s="1"/>
      <c r="K944" s="1"/>
      <c r="L944" s="1" t="s">
        <v>236</v>
      </c>
      <c r="M944" s="1" t="s">
        <v>7851</v>
      </c>
      <c r="N944" s="1">
        <v>1</v>
      </c>
      <c r="O944" s="1">
        <v>0</v>
      </c>
      <c r="P944" s="1"/>
      <c r="Q944" s="1"/>
      <c r="R944" s="1" t="s">
        <v>7852</v>
      </c>
      <c r="S944" s="1" t="s">
        <v>7853</v>
      </c>
      <c r="T944" s="1" t="s">
        <v>7821</v>
      </c>
      <c r="U944" s="1" t="s">
        <v>7854</v>
      </c>
      <c r="V944" s="1">
        <v>1</v>
      </c>
      <c r="W944" s="1">
        <v>0</v>
      </c>
      <c r="X944" s="1">
        <v>0</v>
      </c>
      <c r="Y944" s="1">
        <v>0</v>
      </c>
      <c r="Z944" s="1">
        <v>0</v>
      </c>
      <c r="AA944" s="1" t="s">
        <v>109</v>
      </c>
      <c r="AB944" s="1" t="s">
        <v>109</v>
      </c>
      <c r="AC944" s="1" t="s">
        <v>109</v>
      </c>
      <c r="AD944" s="1" t="s">
        <v>109</v>
      </c>
      <c r="AE944" s="1" t="s">
        <v>109</v>
      </c>
      <c r="AF944" s="1">
        <v>2</v>
      </c>
      <c r="AG944" s="1" t="s">
        <v>109</v>
      </c>
      <c r="AH944" s="1" t="s">
        <v>109</v>
      </c>
      <c r="AI944" s="1" t="s">
        <v>109</v>
      </c>
      <c r="AJ944" s="1" t="s">
        <v>109</v>
      </c>
      <c r="AK944" s="1" t="s">
        <v>109</v>
      </c>
      <c r="AL944" s="1" t="s">
        <v>109</v>
      </c>
      <c r="AM944" s="1" t="s">
        <v>109</v>
      </c>
      <c r="AN944" s="1" t="s">
        <v>109</v>
      </c>
      <c r="AO944" s="1" t="s">
        <v>109</v>
      </c>
      <c r="AP944" s="1"/>
      <c r="AQ944" s="1">
        <v>2</v>
      </c>
      <c r="AR944" s="1"/>
      <c r="AS944" s="1" t="s">
        <v>7855</v>
      </c>
      <c r="AT944" s="1">
        <v>0</v>
      </c>
      <c r="AU944" s="1">
        <v>0</v>
      </c>
      <c r="AV944" s="1">
        <v>0</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5" t="str">
        <f>HYPERLINK("http://www.d20pfsrd.com/magic/all-spells/a/allegro","Allegro")</f>
        <v>Allegro</v>
      </c>
      <c r="BT944" s="1">
        <v>980</v>
      </c>
      <c r="BU944" s="1" t="s">
        <v>109</v>
      </c>
      <c r="BV944" s="1"/>
      <c r="BW944" s="1"/>
      <c r="BX944" s="1"/>
      <c r="BY944" s="1"/>
      <c r="BZ944" s="1">
        <v>0</v>
      </c>
      <c r="CA944" s="1" t="s">
        <v>109</v>
      </c>
      <c r="CB944" s="1" t="s">
        <v>109</v>
      </c>
      <c r="CC944" s="1" t="s">
        <v>109</v>
      </c>
      <c r="CD944" s="1" t="s">
        <v>109</v>
      </c>
      <c r="CE944" s="1" t="s">
        <v>109</v>
      </c>
      <c r="CF944" s="1" t="s">
        <v>109</v>
      </c>
      <c r="CG944" s="1" t="s">
        <v>109</v>
      </c>
      <c r="CH944" s="1" t="s">
        <v>109</v>
      </c>
      <c r="CI944" s="1" t="s">
        <v>109</v>
      </c>
      <c r="CJ944" s="1" t="s">
        <v>109</v>
      </c>
      <c r="CK944" s="1"/>
      <c r="CL944" s="1">
        <v>0</v>
      </c>
      <c r="CM944" s="1">
        <v>0</v>
      </c>
      <c r="CN944" s="1">
        <v>0</v>
      </c>
    </row>
    <row r="945" spans="1:92" ht="14.25" customHeight="1" x14ac:dyDescent="0.15">
      <c r="A945" s="1" t="s">
        <v>7856</v>
      </c>
      <c r="B945" s="1" t="s">
        <v>308</v>
      </c>
      <c r="C945" s="1"/>
      <c r="D945" s="1" t="s">
        <v>57</v>
      </c>
      <c r="E945" s="1" t="s">
        <v>7857</v>
      </c>
      <c r="F945" s="1" t="s">
        <v>98</v>
      </c>
      <c r="G945" s="1" t="s">
        <v>310</v>
      </c>
      <c r="H945" s="1">
        <v>1</v>
      </c>
      <c r="I945" s="1" t="s">
        <v>161</v>
      </c>
      <c r="J945" s="1"/>
      <c r="K945" s="1"/>
      <c r="L945" s="1" t="s">
        <v>1156</v>
      </c>
      <c r="M945" s="1" t="s">
        <v>144</v>
      </c>
      <c r="N945" s="1">
        <v>0</v>
      </c>
      <c r="O945" s="1">
        <v>0</v>
      </c>
      <c r="P945" s="1" t="s">
        <v>103</v>
      </c>
      <c r="Q945" s="1" t="s">
        <v>104</v>
      </c>
      <c r="R945" s="1" t="s">
        <v>7858</v>
      </c>
      <c r="S945" s="1" t="s">
        <v>7859</v>
      </c>
      <c r="T945" s="1" t="s">
        <v>7821</v>
      </c>
      <c r="U945" s="1" t="s">
        <v>7860</v>
      </c>
      <c r="V945" s="1">
        <v>1</v>
      </c>
      <c r="W945" s="1">
        <v>1</v>
      </c>
      <c r="X945" s="1">
        <v>1</v>
      </c>
      <c r="Y945" s="1">
        <v>0</v>
      </c>
      <c r="Z945" s="1">
        <v>0</v>
      </c>
      <c r="AA945" s="1">
        <v>3</v>
      </c>
      <c r="AB945" s="1">
        <v>3</v>
      </c>
      <c r="AC945" s="1">
        <v>2</v>
      </c>
      <c r="AD945" s="1" t="s">
        <v>109</v>
      </c>
      <c r="AE945" s="1" t="s">
        <v>109</v>
      </c>
      <c r="AF945" s="1" t="s">
        <v>109</v>
      </c>
      <c r="AG945" s="1" t="s">
        <v>109</v>
      </c>
      <c r="AH945" s="1" t="s">
        <v>109</v>
      </c>
      <c r="AI945" s="1" t="s">
        <v>109</v>
      </c>
      <c r="AJ945" s="1" t="s">
        <v>109</v>
      </c>
      <c r="AK945" s="1" t="s">
        <v>109</v>
      </c>
      <c r="AL945" s="1">
        <v>2</v>
      </c>
      <c r="AM945" s="1" t="s">
        <v>109</v>
      </c>
      <c r="AN945" s="1" t="s">
        <v>109</v>
      </c>
      <c r="AO945" s="1" t="s">
        <v>109</v>
      </c>
      <c r="AP945" s="1"/>
      <c r="AQ945" s="1">
        <v>3</v>
      </c>
      <c r="AR945" s="1"/>
      <c r="AS945" s="1" t="s">
        <v>7861</v>
      </c>
      <c r="AT945" s="1">
        <v>0</v>
      </c>
      <c r="AU945" s="1">
        <v>0</v>
      </c>
      <c r="AV945" s="1">
        <v>0</v>
      </c>
      <c r="AW945" s="1">
        <v>0</v>
      </c>
      <c r="AX945" s="1">
        <v>0</v>
      </c>
      <c r="AY945" s="1">
        <v>0</v>
      </c>
      <c r="AZ945" s="1">
        <v>0</v>
      </c>
      <c r="BA945" s="1">
        <v>0</v>
      </c>
      <c r="BB945" s="1">
        <v>0</v>
      </c>
      <c r="BC945" s="1">
        <v>0</v>
      </c>
      <c r="BD945" s="1">
        <v>0</v>
      </c>
      <c r="BE945" s="1">
        <v>1</v>
      </c>
      <c r="BF945" s="1">
        <v>0</v>
      </c>
      <c r="BG945" s="1">
        <v>0</v>
      </c>
      <c r="BH945" s="1">
        <v>0</v>
      </c>
      <c r="BI945" s="1">
        <v>0</v>
      </c>
      <c r="BJ945" s="1">
        <v>0</v>
      </c>
      <c r="BK945" s="1">
        <v>0</v>
      </c>
      <c r="BL945" s="1">
        <v>0</v>
      </c>
      <c r="BM945" s="1">
        <v>0</v>
      </c>
      <c r="BN945" s="1">
        <v>0</v>
      </c>
      <c r="BO945" s="1">
        <v>0</v>
      </c>
      <c r="BP945" s="1">
        <v>0</v>
      </c>
      <c r="BQ945" s="1">
        <v>0</v>
      </c>
      <c r="BR945" s="1">
        <v>0</v>
      </c>
      <c r="BS945" s="5" t="str">
        <f>HYPERLINK("http://www.d20pfsrd.com/magic/all-spells/a/animate-dead","Animate Dead, Lesser")</f>
        <v>Animate Dead, Lesser</v>
      </c>
      <c r="BT945" s="1">
        <v>981</v>
      </c>
      <c r="BU945" s="1">
        <v>25</v>
      </c>
      <c r="BV945" s="1"/>
      <c r="BW945" s="1"/>
      <c r="BX945" s="1"/>
      <c r="BY945" s="1"/>
      <c r="BZ945" s="1">
        <v>0</v>
      </c>
      <c r="CA945" s="1" t="s">
        <v>109</v>
      </c>
      <c r="CB945" s="1">
        <v>2</v>
      </c>
      <c r="CC945" s="1" t="s">
        <v>109</v>
      </c>
      <c r="CD945" s="1" t="s">
        <v>109</v>
      </c>
      <c r="CE945" s="1" t="s">
        <v>109</v>
      </c>
      <c r="CF945" s="1">
        <v>2</v>
      </c>
      <c r="CG945" s="1">
        <v>2</v>
      </c>
      <c r="CH945" s="1" t="s">
        <v>109</v>
      </c>
      <c r="CI945" s="1" t="s">
        <v>109</v>
      </c>
      <c r="CJ945" s="1" t="s">
        <v>109</v>
      </c>
      <c r="CK945" s="1"/>
      <c r="CL945" s="1">
        <v>0</v>
      </c>
      <c r="CM945" s="1">
        <v>0</v>
      </c>
      <c r="CN945" s="1">
        <v>0</v>
      </c>
    </row>
    <row r="946" spans="1:92" ht="14.25" customHeight="1" x14ac:dyDescent="0.15">
      <c r="A946" s="1" t="s">
        <v>7862</v>
      </c>
      <c r="B946" s="1" t="s">
        <v>189</v>
      </c>
      <c r="C946" s="1" t="s">
        <v>231</v>
      </c>
      <c r="D946" s="1"/>
      <c r="E946" s="1" t="s">
        <v>7863</v>
      </c>
      <c r="F946" s="1" t="s">
        <v>98</v>
      </c>
      <c r="G946" s="1" t="s">
        <v>7864</v>
      </c>
      <c r="H946" s="1">
        <v>0</v>
      </c>
      <c r="I946" s="1" t="s">
        <v>161</v>
      </c>
      <c r="J946" s="1"/>
      <c r="K946" s="1"/>
      <c r="L946" s="1" t="s">
        <v>7865</v>
      </c>
      <c r="M946" s="1" t="s">
        <v>289</v>
      </c>
      <c r="N946" s="1">
        <v>0</v>
      </c>
      <c r="O946" s="1">
        <v>0</v>
      </c>
      <c r="P946" s="1" t="s">
        <v>267</v>
      </c>
      <c r="Q946" s="1" t="s">
        <v>268</v>
      </c>
      <c r="R946" s="1" t="s">
        <v>7866</v>
      </c>
      <c r="S946" s="1" t="s">
        <v>7867</v>
      </c>
      <c r="T946" s="1" t="s">
        <v>7821</v>
      </c>
      <c r="U946" s="1" t="s">
        <v>7868</v>
      </c>
      <c r="V946" s="1">
        <v>1</v>
      </c>
      <c r="W946" s="1">
        <v>1</v>
      </c>
      <c r="X946" s="1">
        <v>1</v>
      </c>
      <c r="Y946" s="1">
        <v>0</v>
      </c>
      <c r="Z946" s="1">
        <v>0</v>
      </c>
      <c r="AA946" s="1">
        <v>3</v>
      </c>
      <c r="AB946" s="1">
        <v>3</v>
      </c>
      <c r="AC946" s="1" t="s">
        <v>109</v>
      </c>
      <c r="AD946" s="1">
        <v>3</v>
      </c>
      <c r="AE946" s="1" t="s">
        <v>109</v>
      </c>
      <c r="AF946" s="1" t="s">
        <v>109</v>
      </c>
      <c r="AG946" s="1" t="s">
        <v>109</v>
      </c>
      <c r="AH946" s="1" t="s">
        <v>109</v>
      </c>
      <c r="AI946" s="1" t="s">
        <v>109</v>
      </c>
      <c r="AJ946" s="1">
        <v>3</v>
      </c>
      <c r="AK946" s="1" t="s">
        <v>109</v>
      </c>
      <c r="AL946" s="1" t="s">
        <v>109</v>
      </c>
      <c r="AM946" s="1" t="s">
        <v>109</v>
      </c>
      <c r="AN946" s="1" t="s">
        <v>109</v>
      </c>
      <c r="AO946" s="1" t="s">
        <v>109</v>
      </c>
      <c r="AP946" s="1"/>
      <c r="AQ946" s="1">
        <v>3</v>
      </c>
      <c r="AR946" s="1"/>
      <c r="AS946" s="1" t="s">
        <v>7869</v>
      </c>
      <c r="AT946" s="1">
        <v>0</v>
      </c>
      <c r="AU946" s="1">
        <v>0</v>
      </c>
      <c r="AV946" s="1">
        <v>0</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5" t="str">
        <f>HYPERLINK("http://www.d20pfsrd.com/magic/all-spells/a/anthropomorphic-animal","Anthropomorphic Animal")</f>
        <v>Anthropomorphic Animal</v>
      </c>
      <c r="BT946" s="1">
        <v>982</v>
      </c>
      <c r="BU946" s="1" t="s">
        <v>109</v>
      </c>
      <c r="BV946" s="1"/>
      <c r="BW946" s="1"/>
      <c r="BX946" s="1"/>
      <c r="BY946" s="1"/>
      <c r="BZ946" s="1">
        <v>0</v>
      </c>
      <c r="CA946" s="1" t="s">
        <v>109</v>
      </c>
      <c r="CB946" s="1" t="s">
        <v>109</v>
      </c>
      <c r="CC946" s="1" t="s">
        <v>109</v>
      </c>
      <c r="CD946" s="1" t="s">
        <v>109</v>
      </c>
      <c r="CE946" s="1" t="s">
        <v>109</v>
      </c>
      <c r="CF946" s="1" t="s">
        <v>109</v>
      </c>
      <c r="CG946" s="1" t="s">
        <v>109</v>
      </c>
      <c r="CH946" s="1" t="s">
        <v>109</v>
      </c>
      <c r="CI946" s="1" t="s">
        <v>109</v>
      </c>
      <c r="CJ946" s="1">
        <v>3</v>
      </c>
      <c r="CK946" s="1"/>
      <c r="CL946" s="1">
        <v>0</v>
      </c>
      <c r="CM946" s="1">
        <v>0</v>
      </c>
      <c r="CN946" s="1">
        <v>0</v>
      </c>
    </row>
    <row r="947" spans="1:92" ht="14.25" customHeight="1" x14ac:dyDescent="0.15">
      <c r="A947" s="1" t="s">
        <v>7870</v>
      </c>
      <c r="B947" s="1" t="s">
        <v>254</v>
      </c>
      <c r="C947" s="1"/>
      <c r="D947" s="1"/>
      <c r="E947" s="1" t="s">
        <v>7871</v>
      </c>
      <c r="F947" s="1" t="s">
        <v>98</v>
      </c>
      <c r="G947" s="1" t="s">
        <v>141</v>
      </c>
      <c r="H947" s="1">
        <v>0</v>
      </c>
      <c r="I947" s="1" t="s">
        <v>161</v>
      </c>
      <c r="J947" s="1"/>
      <c r="K947" s="1"/>
      <c r="L947" s="1" t="s">
        <v>506</v>
      </c>
      <c r="M947" s="1" t="s">
        <v>7872</v>
      </c>
      <c r="N947" s="1">
        <v>0</v>
      </c>
      <c r="O947" s="1">
        <v>0</v>
      </c>
      <c r="P947" s="1" t="s">
        <v>301</v>
      </c>
      <c r="Q947" s="1" t="s">
        <v>268</v>
      </c>
      <c r="R947" s="1" t="s">
        <v>7873</v>
      </c>
      <c r="S947" s="1" t="s">
        <v>7874</v>
      </c>
      <c r="T947" s="1" t="s">
        <v>7821</v>
      </c>
      <c r="U947" s="1" t="s">
        <v>7875</v>
      </c>
      <c r="V947" s="1">
        <v>1</v>
      </c>
      <c r="W947" s="1">
        <v>1</v>
      </c>
      <c r="X947" s="1">
        <v>0</v>
      </c>
      <c r="Y947" s="1">
        <v>0</v>
      </c>
      <c r="Z947" s="1">
        <v>0</v>
      </c>
      <c r="AA947" s="1">
        <v>1</v>
      </c>
      <c r="AB947" s="1">
        <v>1</v>
      </c>
      <c r="AC947" s="1" t="s">
        <v>109</v>
      </c>
      <c r="AD947" s="1" t="s">
        <v>109</v>
      </c>
      <c r="AE947" s="1">
        <v>1</v>
      </c>
      <c r="AF947" s="1">
        <v>1</v>
      </c>
      <c r="AG947" s="1" t="s">
        <v>109</v>
      </c>
      <c r="AH947" s="1">
        <v>1</v>
      </c>
      <c r="AI947" s="1" t="s">
        <v>109</v>
      </c>
      <c r="AJ947" s="1" t="s">
        <v>109</v>
      </c>
      <c r="AK947" s="1" t="s">
        <v>109</v>
      </c>
      <c r="AL947" s="1" t="s">
        <v>109</v>
      </c>
      <c r="AM947" s="1" t="s">
        <v>109</v>
      </c>
      <c r="AN947" s="1" t="s">
        <v>109</v>
      </c>
      <c r="AO947" s="1" t="s">
        <v>109</v>
      </c>
      <c r="AP947" s="1"/>
      <c r="AQ947" s="1">
        <v>1</v>
      </c>
      <c r="AR947" s="1"/>
      <c r="AS947" s="1" t="s">
        <v>7876</v>
      </c>
      <c r="AT947" s="1">
        <v>0</v>
      </c>
      <c r="AU947" s="1">
        <v>0</v>
      </c>
      <c r="AV947" s="1">
        <v>0</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5" t="str">
        <f>HYPERLINK("http://www.d20pfsrd.com/magic/all-spells/a/anticipate-peril","Anticipate Peril")</f>
        <v>Anticipate Peril</v>
      </c>
      <c r="BT947" s="1">
        <v>983</v>
      </c>
      <c r="BU947" s="1" t="s">
        <v>109</v>
      </c>
      <c r="BV947" s="1"/>
      <c r="BW947" s="1"/>
      <c r="BX947" s="1" t="s">
        <v>7877</v>
      </c>
      <c r="BY947" s="1"/>
      <c r="BZ947" s="1">
        <v>1</v>
      </c>
      <c r="CA947" s="1" t="s">
        <v>109</v>
      </c>
      <c r="CB947" s="1" t="s">
        <v>109</v>
      </c>
      <c r="CC947" s="1">
        <v>1</v>
      </c>
      <c r="CD947" s="1" t="s">
        <v>109</v>
      </c>
      <c r="CE947" s="1">
        <v>1</v>
      </c>
      <c r="CF947" s="1">
        <v>1</v>
      </c>
      <c r="CG947" s="1">
        <v>1</v>
      </c>
      <c r="CH947" s="1" t="s">
        <v>109</v>
      </c>
      <c r="CI947" s="1" t="s">
        <v>109</v>
      </c>
      <c r="CJ947" s="1">
        <v>1</v>
      </c>
      <c r="CK947" s="1"/>
      <c r="CL947" s="1">
        <v>0</v>
      </c>
      <c r="CM947" s="1">
        <v>0</v>
      </c>
      <c r="CN947" s="1">
        <v>0</v>
      </c>
    </row>
    <row r="948" spans="1:92" ht="14.25" customHeight="1" x14ac:dyDescent="0.15">
      <c r="A948" s="1" t="s">
        <v>7878</v>
      </c>
      <c r="B948" s="1" t="s">
        <v>189</v>
      </c>
      <c r="C948" s="1"/>
      <c r="D948" s="1"/>
      <c r="E948" s="1" t="s">
        <v>387</v>
      </c>
      <c r="F948" s="1" t="s">
        <v>98</v>
      </c>
      <c r="G948" s="1" t="s">
        <v>160</v>
      </c>
      <c r="H948" s="1">
        <v>0</v>
      </c>
      <c r="I948" s="1" t="s">
        <v>122</v>
      </c>
      <c r="J948" s="1"/>
      <c r="K948" s="1"/>
      <c r="L948" s="1" t="s">
        <v>7879</v>
      </c>
      <c r="M948" s="1" t="s">
        <v>574</v>
      </c>
      <c r="N948" s="1">
        <v>1</v>
      </c>
      <c r="O948" s="1">
        <v>0</v>
      </c>
      <c r="P948" s="1" t="s">
        <v>103</v>
      </c>
      <c r="Q948" s="1" t="s">
        <v>104</v>
      </c>
      <c r="R948" s="1" t="s">
        <v>7880</v>
      </c>
      <c r="S948" s="1" t="s">
        <v>7881</v>
      </c>
      <c r="T948" s="1" t="s">
        <v>7821</v>
      </c>
      <c r="U948" s="1" t="s">
        <v>7882</v>
      </c>
      <c r="V948" s="1">
        <v>1</v>
      </c>
      <c r="W948" s="1">
        <v>1</v>
      </c>
      <c r="X948" s="1">
        <v>0</v>
      </c>
      <c r="Y948" s="1">
        <v>0</v>
      </c>
      <c r="Z948" s="1">
        <v>1</v>
      </c>
      <c r="AA948" s="1" t="s">
        <v>109</v>
      </c>
      <c r="AB948" s="1" t="s">
        <v>109</v>
      </c>
      <c r="AC948" s="1" t="s">
        <v>109</v>
      </c>
      <c r="AD948" s="1">
        <v>4</v>
      </c>
      <c r="AE948" s="1" t="s">
        <v>109</v>
      </c>
      <c r="AF948" s="1" t="s">
        <v>109</v>
      </c>
      <c r="AG948" s="1" t="s">
        <v>109</v>
      </c>
      <c r="AH948" s="1" t="s">
        <v>109</v>
      </c>
      <c r="AI948" s="1" t="s">
        <v>109</v>
      </c>
      <c r="AJ948" s="1" t="s">
        <v>109</v>
      </c>
      <c r="AK948" s="1" t="s">
        <v>109</v>
      </c>
      <c r="AL948" s="1" t="s">
        <v>109</v>
      </c>
      <c r="AM948" s="1" t="s">
        <v>109</v>
      </c>
      <c r="AN948" s="1" t="s">
        <v>109</v>
      </c>
      <c r="AO948" s="1" t="s">
        <v>109</v>
      </c>
      <c r="AP948" s="1"/>
      <c r="AQ948" s="1">
        <v>4</v>
      </c>
      <c r="AR948" s="1"/>
      <c r="AS948" s="1" t="s">
        <v>7883</v>
      </c>
      <c r="AT948" s="1">
        <v>0</v>
      </c>
      <c r="AU948" s="1">
        <v>0</v>
      </c>
      <c r="AV948" s="1">
        <v>0</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5" t="str">
        <f>HYPERLINK("http://www.d20pfsrd.com/magic/all-spells/a/arboreal-hammer","Arboreal Hammer")</f>
        <v>Arboreal Hammer</v>
      </c>
      <c r="BT948" s="1">
        <v>984</v>
      </c>
      <c r="BU948" s="1" t="s">
        <v>109</v>
      </c>
      <c r="BV948" s="1"/>
      <c r="BW948" s="1"/>
      <c r="BX948" s="1" t="s">
        <v>7884</v>
      </c>
      <c r="BY948" s="1" t="s">
        <v>7885</v>
      </c>
      <c r="BZ948" s="1">
        <v>1</v>
      </c>
      <c r="CA948" s="1" t="s">
        <v>109</v>
      </c>
      <c r="CB948" s="1" t="s">
        <v>109</v>
      </c>
      <c r="CC948" s="1" t="s">
        <v>109</v>
      </c>
      <c r="CD948" s="1" t="s">
        <v>109</v>
      </c>
      <c r="CE948" s="1" t="s">
        <v>109</v>
      </c>
      <c r="CF948" s="1" t="s">
        <v>109</v>
      </c>
      <c r="CG948" s="1" t="s">
        <v>109</v>
      </c>
      <c r="CH948" s="1" t="s">
        <v>109</v>
      </c>
      <c r="CI948" s="1" t="s">
        <v>109</v>
      </c>
      <c r="CJ948" s="1">
        <v>4</v>
      </c>
      <c r="CK948" s="1"/>
      <c r="CL948" s="1">
        <v>0</v>
      </c>
      <c r="CM948" s="1">
        <v>0</v>
      </c>
      <c r="CN948" s="1">
        <v>0</v>
      </c>
    </row>
    <row r="949" spans="1:92" ht="14.25" customHeight="1" x14ac:dyDescent="0.15">
      <c r="A949" s="1" t="s">
        <v>7886</v>
      </c>
      <c r="B949" s="1" t="s">
        <v>242</v>
      </c>
      <c r="C949" s="1"/>
      <c r="D949" s="1"/>
      <c r="E949" s="1" t="s">
        <v>7887</v>
      </c>
      <c r="F949" s="1" t="s">
        <v>98</v>
      </c>
      <c r="G949" s="1" t="s">
        <v>141</v>
      </c>
      <c r="H949" s="1">
        <v>0</v>
      </c>
      <c r="I949" s="1" t="s">
        <v>161</v>
      </c>
      <c r="J949" s="1"/>
      <c r="K949" s="1"/>
      <c r="L949" s="1" t="s">
        <v>506</v>
      </c>
      <c r="M949" s="1" t="s">
        <v>144</v>
      </c>
      <c r="N949" s="1">
        <v>0</v>
      </c>
      <c r="O949" s="1">
        <v>0</v>
      </c>
      <c r="P949" s="1" t="s">
        <v>103</v>
      </c>
      <c r="Q949" s="1" t="s">
        <v>268</v>
      </c>
      <c r="R949" s="1" t="s">
        <v>7888</v>
      </c>
      <c r="S949" s="1" t="s">
        <v>7889</v>
      </c>
      <c r="T949" s="1" t="s">
        <v>7821</v>
      </c>
      <c r="U949" s="1" t="s">
        <v>7890</v>
      </c>
      <c r="V949" s="1">
        <v>1</v>
      </c>
      <c r="W949" s="1">
        <v>1</v>
      </c>
      <c r="X949" s="1">
        <v>0</v>
      </c>
      <c r="Y949" s="1">
        <v>0</v>
      </c>
      <c r="Z949" s="1">
        <v>0</v>
      </c>
      <c r="AA949" s="1" t="s">
        <v>109</v>
      </c>
      <c r="AB949" s="1" t="s">
        <v>109</v>
      </c>
      <c r="AC949" s="1" t="s">
        <v>109</v>
      </c>
      <c r="AD949" s="1" t="s">
        <v>109</v>
      </c>
      <c r="AE949" s="1" t="s">
        <v>109</v>
      </c>
      <c r="AF949" s="1" t="s">
        <v>109</v>
      </c>
      <c r="AG949" s="1" t="s">
        <v>109</v>
      </c>
      <c r="AH949" s="1" t="s">
        <v>109</v>
      </c>
      <c r="AI949" s="1" t="s">
        <v>109</v>
      </c>
      <c r="AJ949" s="1" t="s">
        <v>109</v>
      </c>
      <c r="AK949" s="1" t="s">
        <v>109</v>
      </c>
      <c r="AL949" s="1" t="s">
        <v>109</v>
      </c>
      <c r="AM949" s="1" t="s">
        <v>109</v>
      </c>
      <c r="AN949" s="1">
        <v>4</v>
      </c>
      <c r="AO949" s="1" t="s">
        <v>109</v>
      </c>
      <c r="AP949" s="1"/>
      <c r="AQ949" s="1">
        <v>4</v>
      </c>
      <c r="AR949" s="1"/>
      <c r="AS949" s="1" t="s">
        <v>7891</v>
      </c>
      <c r="AT949" s="1">
        <v>0</v>
      </c>
      <c r="AU949" s="1">
        <v>0</v>
      </c>
      <c r="AV949" s="1">
        <v>0</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5" t="str">
        <f>HYPERLINK("http://www.d20pfsrd.com/magic/all-spells/a/arcana-theft","Arcana Theft")</f>
        <v>Arcana Theft</v>
      </c>
      <c r="BT949" s="1">
        <v>985</v>
      </c>
      <c r="BU949" s="1" t="s">
        <v>109</v>
      </c>
      <c r="BV949" s="1"/>
      <c r="BW949" s="1"/>
      <c r="BX949" s="1"/>
      <c r="BY949" s="1"/>
      <c r="BZ949" s="1">
        <v>0</v>
      </c>
      <c r="CA949" s="1" t="s">
        <v>109</v>
      </c>
      <c r="CB949" s="1" t="s">
        <v>109</v>
      </c>
      <c r="CC949" s="1">
        <v>5</v>
      </c>
      <c r="CD949" s="1" t="s">
        <v>109</v>
      </c>
      <c r="CE949" s="1" t="s">
        <v>109</v>
      </c>
      <c r="CF949" s="1" t="s">
        <v>109</v>
      </c>
      <c r="CG949" s="1" t="s">
        <v>109</v>
      </c>
      <c r="CH949" s="1" t="s">
        <v>109</v>
      </c>
      <c r="CI949" s="1" t="s">
        <v>109</v>
      </c>
      <c r="CJ949" s="1" t="s">
        <v>109</v>
      </c>
      <c r="CK949" s="1"/>
      <c r="CL949" s="1">
        <v>0</v>
      </c>
      <c r="CM949" s="1">
        <v>0</v>
      </c>
      <c r="CN949" s="1">
        <v>0</v>
      </c>
    </row>
    <row r="950" spans="1:92" ht="14.25" customHeight="1" x14ac:dyDescent="0.15">
      <c r="A950" s="1" t="s">
        <v>7892</v>
      </c>
      <c r="B950" s="1" t="s">
        <v>584</v>
      </c>
      <c r="C950" s="1"/>
      <c r="D950" s="1" t="s">
        <v>7893</v>
      </c>
      <c r="E950" s="1" t="s">
        <v>7672</v>
      </c>
      <c r="F950" s="1" t="s">
        <v>98</v>
      </c>
      <c r="G950" s="1" t="s">
        <v>141</v>
      </c>
      <c r="H950" s="1">
        <v>0</v>
      </c>
      <c r="I950" s="1" t="s">
        <v>915</v>
      </c>
      <c r="J950" s="1" t="s">
        <v>7894</v>
      </c>
      <c r="K950" s="1"/>
      <c r="L950" s="1"/>
      <c r="M950" s="1" t="s">
        <v>3042</v>
      </c>
      <c r="N950" s="1">
        <v>0</v>
      </c>
      <c r="O950" s="1">
        <v>0</v>
      </c>
      <c r="P950" s="1" t="s">
        <v>301</v>
      </c>
      <c r="Q950" s="1" t="s">
        <v>268</v>
      </c>
      <c r="R950" s="1" t="s">
        <v>7895</v>
      </c>
      <c r="S950" s="1" t="s">
        <v>7896</v>
      </c>
      <c r="T950" s="1" t="s">
        <v>7821</v>
      </c>
      <c r="U950" s="1" t="s">
        <v>7897</v>
      </c>
      <c r="V950" s="1">
        <v>1</v>
      </c>
      <c r="W950" s="1">
        <v>1</v>
      </c>
      <c r="X950" s="1">
        <v>0</v>
      </c>
      <c r="Y950" s="1">
        <v>0</v>
      </c>
      <c r="Z950" s="1">
        <v>0</v>
      </c>
      <c r="AA950" s="1" t="s">
        <v>109</v>
      </c>
      <c r="AB950" s="1" t="s">
        <v>109</v>
      </c>
      <c r="AC950" s="1">
        <v>3</v>
      </c>
      <c r="AD950" s="1" t="s">
        <v>109</v>
      </c>
      <c r="AE950" s="1" t="s">
        <v>109</v>
      </c>
      <c r="AF950" s="1" t="s">
        <v>109</v>
      </c>
      <c r="AG950" s="1">
        <v>3</v>
      </c>
      <c r="AH950" s="1" t="s">
        <v>109</v>
      </c>
      <c r="AI950" s="1" t="s">
        <v>109</v>
      </c>
      <c r="AJ950" s="1" t="s">
        <v>109</v>
      </c>
      <c r="AK950" s="1" t="s">
        <v>109</v>
      </c>
      <c r="AL950" s="1">
        <v>3</v>
      </c>
      <c r="AM950" s="1" t="s">
        <v>109</v>
      </c>
      <c r="AN950" s="1" t="s">
        <v>109</v>
      </c>
      <c r="AO950" s="1" t="s">
        <v>109</v>
      </c>
      <c r="AP950" s="1"/>
      <c r="AQ950" s="1">
        <v>3</v>
      </c>
      <c r="AR950" s="1"/>
      <c r="AS950" s="1" t="s">
        <v>7898</v>
      </c>
      <c r="AT950" s="1">
        <v>0</v>
      </c>
      <c r="AU950" s="1">
        <v>0</v>
      </c>
      <c r="AV950" s="1">
        <v>0</v>
      </c>
      <c r="AW950" s="1">
        <v>0</v>
      </c>
      <c r="AX950" s="1">
        <v>0</v>
      </c>
      <c r="AY950" s="1">
        <v>0</v>
      </c>
      <c r="AZ950" s="1">
        <v>0</v>
      </c>
      <c r="BA950" s="1">
        <v>0</v>
      </c>
      <c r="BB950" s="1">
        <v>0</v>
      </c>
      <c r="BC950" s="1">
        <v>0</v>
      </c>
      <c r="BD950" s="1">
        <v>0</v>
      </c>
      <c r="BE950" s="1">
        <v>0</v>
      </c>
      <c r="BF950" s="1">
        <v>0</v>
      </c>
      <c r="BG950" s="1">
        <v>0</v>
      </c>
      <c r="BH950" s="1">
        <v>0</v>
      </c>
      <c r="BI950" s="1">
        <v>1</v>
      </c>
      <c r="BJ950" s="1">
        <v>0</v>
      </c>
      <c r="BK950" s="1">
        <v>1</v>
      </c>
      <c r="BL950" s="1">
        <v>0</v>
      </c>
      <c r="BM950" s="1">
        <v>0</v>
      </c>
      <c r="BN950" s="1">
        <v>0</v>
      </c>
      <c r="BO950" s="1">
        <v>0</v>
      </c>
      <c r="BP950" s="1">
        <v>0</v>
      </c>
      <c r="BQ950" s="1">
        <v>0</v>
      </c>
      <c r="BR950" s="1">
        <v>0</v>
      </c>
      <c r="BS950" s="5" t="str">
        <f>HYPERLINK("http://www.d20pfsrd.com/magic/all-spells/a/archon-s-aura","Archon's Aura")</f>
        <v>Archon's Aura</v>
      </c>
      <c r="BT950" s="1">
        <v>986</v>
      </c>
      <c r="BU950" s="1" t="s">
        <v>109</v>
      </c>
      <c r="BV950" s="1"/>
      <c r="BW950" s="1"/>
      <c r="BX950" s="1"/>
      <c r="BY950" s="1"/>
      <c r="BZ950" s="1">
        <v>0</v>
      </c>
      <c r="CA950" s="1" t="s">
        <v>109</v>
      </c>
      <c r="CB950" s="1" t="s">
        <v>109</v>
      </c>
      <c r="CC950" s="1" t="s">
        <v>109</v>
      </c>
      <c r="CD950" s="1" t="s">
        <v>109</v>
      </c>
      <c r="CE950" s="1" t="s">
        <v>109</v>
      </c>
      <c r="CF950" s="1" t="s">
        <v>109</v>
      </c>
      <c r="CG950" s="1" t="s">
        <v>109</v>
      </c>
      <c r="CH950" s="1" t="s">
        <v>109</v>
      </c>
      <c r="CI950" s="1" t="s">
        <v>109</v>
      </c>
      <c r="CJ950" s="1" t="s">
        <v>109</v>
      </c>
      <c r="CK950" s="1"/>
      <c r="CL950" s="1">
        <v>0</v>
      </c>
      <c r="CM950" s="1">
        <v>0</v>
      </c>
      <c r="CN950" s="1">
        <v>0</v>
      </c>
    </row>
    <row r="951" spans="1:92" ht="14.25" customHeight="1" x14ac:dyDescent="0.15">
      <c r="A951" s="1" t="s">
        <v>7899</v>
      </c>
      <c r="B951" s="1" t="s">
        <v>584</v>
      </c>
      <c r="C951" s="1"/>
      <c r="D951" s="1" t="s">
        <v>63</v>
      </c>
      <c r="E951" s="1" t="s">
        <v>7708</v>
      </c>
      <c r="F951" s="1" t="s">
        <v>98</v>
      </c>
      <c r="G951" s="1" t="s">
        <v>7900</v>
      </c>
      <c r="H951" s="1">
        <v>0</v>
      </c>
      <c r="I951" s="1" t="s">
        <v>142</v>
      </c>
      <c r="J951" s="1"/>
      <c r="K951" s="1" t="s">
        <v>7901</v>
      </c>
      <c r="L951" s="1"/>
      <c r="M951" s="1" t="s">
        <v>2644</v>
      </c>
      <c r="N951" s="1">
        <v>0</v>
      </c>
      <c r="O951" s="1">
        <v>0</v>
      </c>
      <c r="P951" s="1" t="s">
        <v>7902</v>
      </c>
      <c r="Q951" s="1" t="s">
        <v>268</v>
      </c>
      <c r="R951" s="1" t="s">
        <v>7903</v>
      </c>
      <c r="S951" s="1" t="s">
        <v>7904</v>
      </c>
      <c r="T951" s="1" t="s">
        <v>7821</v>
      </c>
      <c r="U951" s="1" t="s">
        <v>7905</v>
      </c>
      <c r="V951" s="1">
        <v>1</v>
      </c>
      <c r="W951" s="1">
        <v>1</v>
      </c>
      <c r="X951" s="1">
        <v>0</v>
      </c>
      <c r="Y951" s="1">
        <v>0</v>
      </c>
      <c r="Z951" s="1">
        <v>1</v>
      </c>
      <c r="AA951" s="1" t="s">
        <v>109</v>
      </c>
      <c r="AB951" s="1" t="s">
        <v>109</v>
      </c>
      <c r="AC951" s="1">
        <v>2</v>
      </c>
      <c r="AD951" s="1" t="s">
        <v>109</v>
      </c>
      <c r="AE951" s="1" t="s">
        <v>109</v>
      </c>
      <c r="AF951" s="1" t="s">
        <v>109</v>
      </c>
      <c r="AG951" s="1">
        <v>2</v>
      </c>
      <c r="AH951" s="1" t="s">
        <v>109</v>
      </c>
      <c r="AI951" s="1" t="s">
        <v>109</v>
      </c>
      <c r="AJ951" s="1" t="s">
        <v>109</v>
      </c>
      <c r="AK951" s="1" t="s">
        <v>109</v>
      </c>
      <c r="AL951" s="1">
        <v>2</v>
      </c>
      <c r="AM951" s="1" t="s">
        <v>109</v>
      </c>
      <c r="AN951" s="1" t="s">
        <v>109</v>
      </c>
      <c r="AO951" s="1" t="s">
        <v>109</v>
      </c>
      <c r="AP951" s="1"/>
      <c r="AQ951" s="1">
        <v>2</v>
      </c>
      <c r="AR951" s="1"/>
      <c r="AS951" s="1" t="s">
        <v>7906</v>
      </c>
      <c r="AT951" s="1">
        <v>0</v>
      </c>
      <c r="AU951" s="1">
        <v>0</v>
      </c>
      <c r="AV951" s="1">
        <v>0</v>
      </c>
      <c r="AW951" s="1">
        <v>0</v>
      </c>
      <c r="AX951" s="1">
        <v>0</v>
      </c>
      <c r="AY951" s="1">
        <v>0</v>
      </c>
      <c r="AZ951" s="1">
        <v>0</v>
      </c>
      <c r="BA951" s="1">
        <v>0</v>
      </c>
      <c r="BB951" s="1">
        <v>0</v>
      </c>
      <c r="BC951" s="1">
        <v>0</v>
      </c>
      <c r="BD951" s="1">
        <v>0</v>
      </c>
      <c r="BE951" s="1">
        <v>0</v>
      </c>
      <c r="BF951" s="1">
        <v>0</v>
      </c>
      <c r="BG951" s="1">
        <v>0</v>
      </c>
      <c r="BH951" s="1">
        <v>0</v>
      </c>
      <c r="BI951" s="1">
        <v>0</v>
      </c>
      <c r="BJ951" s="1">
        <v>0</v>
      </c>
      <c r="BK951" s="1">
        <v>1</v>
      </c>
      <c r="BL951" s="1">
        <v>0</v>
      </c>
      <c r="BM951" s="1">
        <v>0</v>
      </c>
      <c r="BN951" s="1">
        <v>0</v>
      </c>
      <c r="BO951" s="1">
        <v>0</v>
      </c>
      <c r="BP951" s="1">
        <v>0</v>
      </c>
      <c r="BQ951" s="1">
        <v>0</v>
      </c>
      <c r="BR951" s="1">
        <v>0</v>
      </c>
      <c r="BS951" s="5" t="str">
        <f>HYPERLINK("http://www.d20pfsrd.com/magic/all-spells/a/arrow-of-law","Arrow of Law")</f>
        <v>Arrow of Law</v>
      </c>
      <c r="BT951" s="1">
        <v>987</v>
      </c>
      <c r="BU951" s="1" t="s">
        <v>109</v>
      </c>
      <c r="BV951" s="1"/>
      <c r="BW951" s="1"/>
      <c r="BX951" s="1"/>
      <c r="BY951" s="1"/>
      <c r="BZ951" s="1">
        <v>0</v>
      </c>
      <c r="CA951" s="1" t="s">
        <v>109</v>
      </c>
      <c r="CB951" s="1" t="s">
        <v>109</v>
      </c>
      <c r="CC951" s="1" t="s">
        <v>109</v>
      </c>
      <c r="CD951" s="1" t="s">
        <v>109</v>
      </c>
      <c r="CE951" s="1" t="s">
        <v>109</v>
      </c>
      <c r="CF951" s="1" t="s">
        <v>109</v>
      </c>
      <c r="CG951" s="1" t="s">
        <v>109</v>
      </c>
      <c r="CH951" s="1" t="s">
        <v>109</v>
      </c>
      <c r="CI951" s="1" t="s">
        <v>109</v>
      </c>
      <c r="CJ951" s="1" t="s">
        <v>109</v>
      </c>
      <c r="CK951" s="1"/>
      <c r="CL951" s="1">
        <v>0</v>
      </c>
      <c r="CM951" s="1">
        <v>0</v>
      </c>
      <c r="CN951" s="1">
        <v>0</v>
      </c>
    </row>
    <row r="952" spans="1:92" ht="14.25" customHeight="1" x14ac:dyDescent="0.15">
      <c r="A952" s="1" t="s">
        <v>7907</v>
      </c>
      <c r="B952" s="1" t="s">
        <v>95</v>
      </c>
      <c r="C952" s="1" t="s">
        <v>96</v>
      </c>
      <c r="D952" s="1" t="s">
        <v>59</v>
      </c>
      <c r="E952" s="1" t="s">
        <v>7863</v>
      </c>
      <c r="F952" s="1" t="s">
        <v>98</v>
      </c>
      <c r="G952" s="1" t="s">
        <v>7908</v>
      </c>
      <c r="H952" s="1">
        <v>0</v>
      </c>
      <c r="I952" s="1" t="s">
        <v>100</v>
      </c>
      <c r="J952" s="1" t="s">
        <v>4503</v>
      </c>
      <c r="K952" s="1"/>
      <c r="L952" s="1"/>
      <c r="M952" s="1" t="s">
        <v>125</v>
      </c>
      <c r="N952" s="1">
        <v>0</v>
      </c>
      <c r="O952" s="1">
        <v>0</v>
      </c>
      <c r="P952" s="1" t="s">
        <v>103</v>
      </c>
      <c r="Q952" s="1" t="s">
        <v>104</v>
      </c>
      <c r="R952" s="1" t="s">
        <v>7909</v>
      </c>
      <c r="S952" s="1" t="s">
        <v>7910</v>
      </c>
      <c r="T952" s="1" t="s">
        <v>7821</v>
      </c>
      <c r="U952" s="1" t="s">
        <v>7911</v>
      </c>
      <c r="V952" s="1">
        <v>1</v>
      </c>
      <c r="W952" s="1">
        <v>1</v>
      </c>
      <c r="X952" s="1">
        <v>1</v>
      </c>
      <c r="Y952" s="1">
        <v>0</v>
      </c>
      <c r="Z952" s="1">
        <v>1</v>
      </c>
      <c r="AA952" s="1">
        <v>3</v>
      </c>
      <c r="AB952" s="1">
        <v>3</v>
      </c>
      <c r="AC952" s="1" t="s">
        <v>109</v>
      </c>
      <c r="AD952" s="1">
        <v>3</v>
      </c>
      <c r="AE952" s="1" t="s">
        <v>109</v>
      </c>
      <c r="AF952" s="1" t="s">
        <v>109</v>
      </c>
      <c r="AG952" s="1" t="s">
        <v>109</v>
      </c>
      <c r="AH952" s="1" t="s">
        <v>109</v>
      </c>
      <c r="AI952" s="1" t="s">
        <v>109</v>
      </c>
      <c r="AJ952" s="1">
        <v>3</v>
      </c>
      <c r="AK952" s="1" t="s">
        <v>109</v>
      </c>
      <c r="AL952" s="1" t="s">
        <v>109</v>
      </c>
      <c r="AM952" s="1" t="s">
        <v>109</v>
      </c>
      <c r="AN952" s="1" t="s">
        <v>109</v>
      </c>
      <c r="AO952" s="1" t="s">
        <v>109</v>
      </c>
      <c r="AP952" s="1"/>
      <c r="AQ952" s="1">
        <v>3</v>
      </c>
      <c r="AR952" s="1"/>
      <c r="AS952" s="1" t="s">
        <v>7912</v>
      </c>
      <c r="AT952" s="1">
        <v>0</v>
      </c>
      <c r="AU952" s="1">
        <v>0</v>
      </c>
      <c r="AV952" s="1">
        <v>0</v>
      </c>
      <c r="AW952" s="1">
        <v>0</v>
      </c>
      <c r="AX952" s="1">
        <v>0</v>
      </c>
      <c r="AY952" s="1">
        <v>0</v>
      </c>
      <c r="AZ952" s="1">
        <v>0</v>
      </c>
      <c r="BA952" s="1">
        <v>0</v>
      </c>
      <c r="BB952" s="1">
        <v>0</v>
      </c>
      <c r="BC952" s="1">
        <v>0</v>
      </c>
      <c r="BD952" s="1">
        <v>0</v>
      </c>
      <c r="BE952" s="1">
        <v>0</v>
      </c>
      <c r="BF952" s="1">
        <v>0</v>
      </c>
      <c r="BG952" s="1">
        <v>1</v>
      </c>
      <c r="BH952" s="1">
        <v>0</v>
      </c>
      <c r="BI952" s="1">
        <v>0</v>
      </c>
      <c r="BJ952" s="1">
        <v>0</v>
      </c>
      <c r="BK952" s="1">
        <v>0</v>
      </c>
      <c r="BL952" s="1">
        <v>0</v>
      </c>
      <c r="BM952" s="1">
        <v>0</v>
      </c>
      <c r="BN952" s="1">
        <v>0</v>
      </c>
      <c r="BO952" s="1">
        <v>0</v>
      </c>
      <c r="BP952" s="1">
        <v>0</v>
      </c>
      <c r="BQ952" s="1">
        <v>0</v>
      </c>
      <c r="BR952" s="1">
        <v>0</v>
      </c>
      <c r="BS952" s="5" t="str">
        <f>HYPERLINK("http://www.d20pfsrd.com/magic/all-spells/a/ash-storm","Ash Storm")</f>
        <v>Ash Storm</v>
      </c>
      <c r="BT952" s="1">
        <v>988</v>
      </c>
      <c r="BU952" s="1" t="s">
        <v>109</v>
      </c>
      <c r="BV952" s="1"/>
      <c r="BW952" s="1"/>
      <c r="BX952" s="1"/>
      <c r="BY952" s="1"/>
      <c r="BZ952" s="1">
        <v>0</v>
      </c>
      <c r="CA952" s="1" t="s">
        <v>109</v>
      </c>
      <c r="CB952" s="1" t="s">
        <v>109</v>
      </c>
      <c r="CC952" s="1" t="s">
        <v>109</v>
      </c>
      <c r="CD952" s="1" t="s">
        <v>109</v>
      </c>
      <c r="CE952" s="1" t="s">
        <v>109</v>
      </c>
      <c r="CF952" s="1" t="s">
        <v>109</v>
      </c>
      <c r="CG952" s="1" t="s">
        <v>109</v>
      </c>
      <c r="CH952" s="1" t="s">
        <v>109</v>
      </c>
      <c r="CI952" s="1" t="s">
        <v>109</v>
      </c>
      <c r="CJ952" s="1">
        <v>3</v>
      </c>
      <c r="CK952" s="1"/>
      <c r="CL952" s="1">
        <v>0</v>
      </c>
      <c r="CM952" s="1">
        <v>0</v>
      </c>
      <c r="CN952" s="1">
        <v>0</v>
      </c>
    </row>
    <row r="953" spans="1:92" ht="14.25" customHeight="1" x14ac:dyDescent="0.15">
      <c r="A953" s="1" t="s">
        <v>7913</v>
      </c>
      <c r="B953" s="1" t="s">
        <v>308</v>
      </c>
      <c r="C953" s="1"/>
      <c r="D953" s="1"/>
      <c r="E953" s="1" t="s">
        <v>7914</v>
      </c>
      <c r="F953" s="1" t="s">
        <v>436</v>
      </c>
      <c r="G953" s="1" t="s">
        <v>437</v>
      </c>
      <c r="H953" s="1">
        <v>1</v>
      </c>
      <c r="I953" s="1" t="s">
        <v>161</v>
      </c>
      <c r="J953" s="1"/>
      <c r="K953" s="1"/>
      <c r="L953" s="1" t="s">
        <v>438</v>
      </c>
      <c r="M953" s="1" t="s">
        <v>211</v>
      </c>
      <c r="N953" s="1">
        <v>0</v>
      </c>
      <c r="O953" s="1">
        <v>0</v>
      </c>
      <c r="P953" s="1" t="s">
        <v>103</v>
      </c>
      <c r="Q953" s="1" t="s">
        <v>268</v>
      </c>
      <c r="R953" s="1" t="s">
        <v>7915</v>
      </c>
      <c r="S953" s="1" t="s">
        <v>7916</v>
      </c>
      <c r="T953" s="1" t="s">
        <v>7821</v>
      </c>
      <c r="U953" s="1" t="s">
        <v>7917</v>
      </c>
      <c r="V953" s="1">
        <v>1</v>
      </c>
      <c r="W953" s="1">
        <v>1</v>
      </c>
      <c r="X953" s="1">
        <v>1</v>
      </c>
      <c r="Y953" s="1">
        <v>0</v>
      </c>
      <c r="Z953" s="1">
        <v>0</v>
      </c>
      <c r="AA953" s="1">
        <v>5</v>
      </c>
      <c r="AB953" s="1">
        <v>5</v>
      </c>
      <c r="AC953" s="1">
        <v>5</v>
      </c>
      <c r="AD953" s="1" t="s">
        <v>109</v>
      </c>
      <c r="AE953" s="1" t="s">
        <v>109</v>
      </c>
      <c r="AF953" s="1" t="s">
        <v>109</v>
      </c>
      <c r="AG953" s="1" t="s">
        <v>109</v>
      </c>
      <c r="AH953" s="1" t="s">
        <v>109</v>
      </c>
      <c r="AI953" s="1" t="s">
        <v>109</v>
      </c>
      <c r="AJ953" s="1" t="s">
        <v>109</v>
      </c>
      <c r="AK953" s="1" t="s">
        <v>109</v>
      </c>
      <c r="AL953" s="1">
        <v>5</v>
      </c>
      <c r="AM953" s="1" t="s">
        <v>109</v>
      </c>
      <c r="AN953" s="1" t="s">
        <v>109</v>
      </c>
      <c r="AO953" s="1" t="s">
        <v>109</v>
      </c>
      <c r="AP953" s="1"/>
      <c r="AQ953" s="1">
        <v>5</v>
      </c>
      <c r="AR953" s="1"/>
      <c r="AS953" s="1" t="s">
        <v>7918</v>
      </c>
      <c r="AT953" s="1">
        <v>0</v>
      </c>
      <c r="AU953" s="1">
        <v>0</v>
      </c>
      <c r="AV953" s="1">
        <v>0</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5" t="str">
        <f>HYPERLINK("http://www.d20pfsrd.com/magic/all-spells/a/astral-projection","Astral Projection, Lesser")</f>
        <v>Astral Projection, Lesser</v>
      </c>
      <c r="BT953" s="1">
        <v>989</v>
      </c>
      <c r="BU953" s="1">
        <v>1000</v>
      </c>
      <c r="BV953" s="1"/>
      <c r="BW953" s="1"/>
      <c r="BX953" s="1"/>
      <c r="BY953" s="1"/>
      <c r="BZ953" s="1">
        <v>0</v>
      </c>
      <c r="CA953" s="1" t="s">
        <v>109</v>
      </c>
      <c r="CB953" s="1" t="s">
        <v>109</v>
      </c>
      <c r="CC953" s="1">
        <v>5</v>
      </c>
      <c r="CD953" s="1" t="s">
        <v>109</v>
      </c>
      <c r="CE953" s="1" t="s">
        <v>109</v>
      </c>
      <c r="CF953" s="1" t="s">
        <v>109</v>
      </c>
      <c r="CG953" s="1" t="s">
        <v>109</v>
      </c>
      <c r="CH953" s="1" t="s">
        <v>109</v>
      </c>
      <c r="CI953" s="1" t="s">
        <v>109</v>
      </c>
      <c r="CJ953" s="1" t="s">
        <v>109</v>
      </c>
      <c r="CK953" s="1"/>
      <c r="CL953" s="1">
        <v>0</v>
      </c>
      <c r="CM953" s="1">
        <v>0</v>
      </c>
      <c r="CN953" s="1">
        <v>0</v>
      </c>
    </row>
    <row r="954" spans="1:92" ht="14.25" customHeight="1" x14ac:dyDescent="0.15">
      <c r="A954" s="1" t="s">
        <v>7919</v>
      </c>
      <c r="B954" s="1" t="s">
        <v>189</v>
      </c>
      <c r="C954" s="1"/>
      <c r="D954" s="1"/>
      <c r="E954" s="1" t="s">
        <v>387</v>
      </c>
      <c r="F954" s="1" t="s">
        <v>98</v>
      </c>
      <c r="G954" s="1" t="s">
        <v>141</v>
      </c>
      <c r="H954" s="1">
        <v>0</v>
      </c>
      <c r="I954" s="1" t="s">
        <v>142</v>
      </c>
      <c r="J954" s="1"/>
      <c r="K954" s="1"/>
      <c r="L954" s="1" t="s">
        <v>844</v>
      </c>
      <c r="M954" s="1" t="s">
        <v>3042</v>
      </c>
      <c r="N954" s="1">
        <v>0</v>
      </c>
      <c r="O954" s="1">
        <v>0</v>
      </c>
      <c r="P954" s="1" t="s">
        <v>267</v>
      </c>
      <c r="Q954" s="1" t="s">
        <v>268</v>
      </c>
      <c r="R954" s="1" t="s">
        <v>7920</v>
      </c>
      <c r="S954" s="1" t="s">
        <v>7921</v>
      </c>
      <c r="T954" s="1" t="s">
        <v>7821</v>
      </c>
      <c r="U954" s="1" t="s">
        <v>7922</v>
      </c>
      <c r="V954" s="1">
        <v>1</v>
      </c>
      <c r="W954" s="1">
        <v>1</v>
      </c>
      <c r="X954" s="1">
        <v>0</v>
      </c>
      <c r="Y954" s="1">
        <v>0</v>
      </c>
      <c r="Z954" s="1">
        <v>0</v>
      </c>
      <c r="AA954" s="1" t="s">
        <v>109</v>
      </c>
      <c r="AB954" s="1" t="s">
        <v>109</v>
      </c>
      <c r="AC954" s="1" t="s">
        <v>109</v>
      </c>
      <c r="AD954" s="1">
        <v>4</v>
      </c>
      <c r="AE954" s="1" t="s">
        <v>109</v>
      </c>
      <c r="AF954" s="1" t="s">
        <v>109</v>
      </c>
      <c r="AG954" s="1" t="s">
        <v>109</v>
      </c>
      <c r="AH954" s="1" t="s">
        <v>109</v>
      </c>
      <c r="AI954" s="1" t="s">
        <v>109</v>
      </c>
      <c r="AJ954" s="1" t="s">
        <v>109</v>
      </c>
      <c r="AK954" s="1" t="s">
        <v>109</v>
      </c>
      <c r="AL954" s="1" t="s">
        <v>109</v>
      </c>
      <c r="AM954" s="1" t="s">
        <v>109</v>
      </c>
      <c r="AN954" s="1" t="s">
        <v>109</v>
      </c>
      <c r="AO954" s="1" t="s">
        <v>109</v>
      </c>
      <c r="AP954" s="1"/>
      <c r="AQ954" s="1">
        <v>4</v>
      </c>
      <c r="AR954" s="1"/>
      <c r="AS954" s="1" t="s">
        <v>7923</v>
      </c>
      <c r="AT954" s="1">
        <v>0</v>
      </c>
      <c r="AU954" s="1">
        <v>0</v>
      </c>
      <c r="AV954" s="1">
        <v>0</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5" t="str">
        <f>HYPERLINK("http://www.d20pfsrd.com/magic/all-spells/a/atavism","Atavism")</f>
        <v>Atavism</v>
      </c>
      <c r="BT954" s="1">
        <v>990</v>
      </c>
      <c r="BU954" s="1" t="s">
        <v>109</v>
      </c>
      <c r="BV954" s="1"/>
      <c r="BW954" s="1"/>
      <c r="BX954" s="1"/>
      <c r="BY954" s="1"/>
      <c r="BZ954" s="1">
        <v>0</v>
      </c>
      <c r="CA954" s="1" t="s">
        <v>109</v>
      </c>
      <c r="CB954" s="1" t="s">
        <v>109</v>
      </c>
      <c r="CC954" s="1" t="s">
        <v>109</v>
      </c>
      <c r="CD954" s="1" t="s">
        <v>109</v>
      </c>
      <c r="CE954" s="1" t="s">
        <v>109</v>
      </c>
      <c r="CF954" s="1" t="s">
        <v>109</v>
      </c>
      <c r="CG954" s="1" t="s">
        <v>109</v>
      </c>
      <c r="CH954" s="1" t="s">
        <v>109</v>
      </c>
      <c r="CI954" s="1" t="s">
        <v>109</v>
      </c>
      <c r="CJ954" s="1">
        <v>4</v>
      </c>
      <c r="CK954" s="1"/>
      <c r="CL954" s="1">
        <v>0</v>
      </c>
      <c r="CM954" s="1">
        <v>0</v>
      </c>
      <c r="CN954" s="1">
        <v>0</v>
      </c>
    </row>
    <row r="955" spans="1:92" ht="14.25" customHeight="1" x14ac:dyDescent="0.15">
      <c r="A955" s="1" t="s">
        <v>7924</v>
      </c>
      <c r="B955" s="1" t="s">
        <v>189</v>
      </c>
      <c r="C955" s="1"/>
      <c r="D955" s="1"/>
      <c r="E955" s="1" t="s">
        <v>1093</v>
      </c>
      <c r="F955" s="1" t="s">
        <v>98</v>
      </c>
      <c r="G955" s="1" t="s">
        <v>141</v>
      </c>
      <c r="H955" s="1">
        <v>0</v>
      </c>
      <c r="I955" s="1" t="s">
        <v>142</v>
      </c>
      <c r="J955" s="1"/>
      <c r="K955" s="1"/>
      <c r="L955" s="1" t="s">
        <v>7925</v>
      </c>
      <c r="M955" s="1" t="s">
        <v>3042</v>
      </c>
      <c r="N955" s="1">
        <v>0</v>
      </c>
      <c r="O955" s="1">
        <v>0</v>
      </c>
      <c r="P955" s="1" t="s">
        <v>267</v>
      </c>
      <c r="Q955" s="1" t="s">
        <v>268</v>
      </c>
      <c r="R955" s="1" t="s">
        <v>7926</v>
      </c>
      <c r="S955" s="1" t="s">
        <v>7927</v>
      </c>
      <c r="T955" s="1" t="s">
        <v>7821</v>
      </c>
      <c r="U955" s="1" t="s">
        <v>7928</v>
      </c>
      <c r="V955" s="1">
        <v>1</v>
      </c>
      <c r="W955" s="1">
        <v>1</v>
      </c>
      <c r="X955" s="1">
        <v>0</v>
      </c>
      <c r="Y955" s="1">
        <v>0</v>
      </c>
      <c r="Z955" s="1">
        <v>0</v>
      </c>
      <c r="AA955" s="1" t="s">
        <v>109</v>
      </c>
      <c r="AB955" s="1" t="s">
        <v>109</v>
      </c>
      <c r="AC955" s="1" t="s">
        <v>109</v>
      </c>
      <c r="AD955" s="1">
        <v>8</v>
      </c>
      <c r="AE955" s="1" t="s">
        <v>109</v>
      </c>
      <c r="AF955" s="1" t="s">
        <v>109</v>
      </c>
      <c r="AG955" s="1" t="s">
        <v>109</v>
      </c>
      <c r="AH955" s="1" t="s">
        <v>109</v>
      </c>
      <c r="AI955" s="1" t="s">
        <v>109</v>
      </c>
      <c r="AJ955" s="1" t="s">
        <v>109</v>
      </c>
      <c r="AK955" s="1" t="s">
        <v>109</v>
      </c>
      <c r="AL955" s="1" t="s">
        <v>109</v>
      </c>
      <c r="AM955" s="1" t="s">
        <v>109</v>
      </c>
      <c r="AN955" s="1" t="s">
        <v>109</v>
      </c>
      <c r="AO955" s="1" t="s">
        <v>109</v>
      </c>
      <c r="AP955" s="1"/>
      <c r="AQ955" s="1">
        <v>8</v>
      </c>
      <c r="AR955" s="1"/>
      <c r="AS955" s="1" t="s">
        <v>7929</v>
      </c>
      <c r="AT955" s="1">
        <v>0</v>
      </c>
      <c r="AU955" s="1">
        <v>0</v>
      </c>
      <c r="AV955" s="1">
        <v>0</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5" t="str">
        <f>HYPERLINK("http://www.d20pfsrd.com/magic/all-spells/a/atavism","Atavism, Mass")</f>
        <v>Atavism, Mass</v>
      </c>
      <c r="BT955" s="1">
        <v>991</v>
      </c>
      <c r="BU955" s="1" t="s">
        <v>109</v>
      </c>
      <c r="BV955" s="1"/>
      <c r="BW955" s="1"/>
      <c r="BX955" s="1"/>
      <c r="BY955" s="1"/>
      <c r="BZ955" s="1">
        <v>0</v>
      </c>
      <c r="CA955" s="1" t="s">
        <v>109</v>
      </c>
      <c r="CB955" s="1" t="s">
        <v>109</v>
      </c>
      <c r="CC955" s="1" t="s">
        <v>109</v>
      </c>
      <c r="CD955" s="1" t="s">
        <v>109</v>
      </c>
      <c r="CE955" s="1" t="s">
        <v>109</v>
      </c>
      <c r="CF955" s="1" t="s">
        <v>109</v>
      </c>
      <c r="CG955" s="1" t="s">
        <v>109</v>
      </c>
      <c r="CH955" s="1" t="s">
        <v>109</v>
      </c>
      <c r="CI955" s="1" t="s">
        <v>109</v>
      </c>
      <c r="CJ955" s="1" t="s">
        <v>109</v>
      </c>
      <c r="CK955" s="1"/>
      <c r="CL955" s="1">
        <v>0</v>
      </c>
      <c r="CM955" s="1">
        <v>0</v>
      </c>
      <c r="CN955" s="1">
        <v>0</v>
      </c>
    </row>
    <row r="956" spans="1:92" ht="14.25" customHeight="1" x14ac:dyDescent="0.15">
      <c r="A956" s="1" t="s">
        <v>7930</v>
      </c>
      <c r="B956" s="1" t="s">
        <v>308</v>
      </c>
      <c r="C956" s="1"/>
      <c r="D956" s="1" t="s">
        <v>790</v>
      </c>
      <c r="E956" s="1" t="s">
        <v>7931</v>
      </c>
      <c r="F956" s="1" t="s">
        <v>98</v>
      </c>
      <c r="G956" s="1" t="s">
        <v>7932</v>
      </c>
      <c r="H956" s="1">
        <v>0</v>
      </c>
      <c r="I956" s="1" t="s">
        <v>235</v>
      </c>
      <c r="J956" s="1" t="s">
        <v>7933</v>
      </c>
      <c r="K956" s="1"/>
      <c r="L956" s="1"/>
      <c r="M956" s="1" t="s">
        <v>7934</v>
      </c>
      <c r="N956" s="1">
        <v>0</v>
      </c>
      <c r="O956" s="1">
        <v>0</v>
      </c>
      <c r="P956" s="1" t="s">
        <v>301</v>
      </c>
      <c r="Q956" s="1" t="s">
        <v>268</v>
      </c>
      <c r="R956" s="1" t="s">
        <v>7935</v>
      </c>
      <c r="S956" s="1" t="s">
        <v>7936</v>
      </c>
      <c r="T956" s="1" t="s">
        <v>7821</v>
      </c>
      <c r="U956" s="1" t="s">
        <v>7937</v>
      </c>
      <c r="V956" s="1">
        <v>1</v>
      </c>
      <c r="W956" s="1">
        <v>1</v>
      </c>
      <c r="X956" s="1">
        <v>1</v>
      </c>
      <c r="Y956" s="1">
        <v>0</v>
      </c>
      <c r="Z956" s="1">
        <v>1</v>
      </c>
      <c r="AA956" s="1" t="s">
        <v>109</v>
      </c>
      <c r="AB956" s="1" t="s">
        <v>109</v>
      </c>
      <c r="AC956" s="1">
        <v>4</v>
      </c>
      <c r="AD956" s="1" t="s">
        <v>109</v>
      </c>
      <c r="AE956" s="1" t="s">
        <v>109</v>
      </c>
      <c r="AF956" s="1" t="s">
        <v>109</v>
      </c>
      <c r="AG956" s="1" t="s">
        <v>109</v>
      </c>
      <c r="AH956" s="1" t="s">
        <v>109</v>
      </c>
      <c r="AI956" s="1" t="s">
        <v>109</v>
      </c>
      <c r="AJ956" s="1" t="s">
        <v>109</v>
      </c>
      <c r="AK956" s="1" t="s">
        <v>109</v>
      </c>
      <c r="AL956" s="1">
        <v>4</v>
      </c>
      <c r="AM956" s="1" t="s">
        <v>109</v>
      </c>
      <c r="AN956" s="1" t="s">
        <v>109</v>
      </c>
      <c r="AO956" s="1" t="s">
        <v>109</v>
      </c>
      <c r="AP956" s="1"/>
      <c r="AQ956" s="1">
        <v>4</v>
      </c>
      <c r="AR956" s="1"/>
      <c r="AS956" s="1" t="s">
        <v>7938</v>
      </c>
      <c r="AT956" s="1">
        <v>0</v>
      </c>
      <c r="AU956" s="1">
        <v>0</v>
      </c>
      <c r="AV956" s="1">
        <v>0</v>
      </c>
      <c r="AW956" s="1">
        <v>0</v>
      </c>
      <c r="AX956" s="1">
        <v>0</v>
      </c>
      <c r="AY956" s="1">
        <v>0</v>
      </c>
      <c r="AZ956" s="1">
        <v>0</v>
      </c>
      <c r="BA956" s="1">
        <v>0</v>
      </c>
      <c r="BB956" s="1">
        <v>0</v>
      </c>
      <c r="BC956" s="1">
        <v>0</v>
      </c>
      <c r="BD956" s="1">
        <v>1</v>
      </c>
      <c r="BE956" s="1">
        <v>0</v>
      </c>
      <c r="BF956" s="1">
        <v>1</v>
      </c>
      <c r="BG956" s="1">
        <v>0</v>
      </c>
      <c r="BH956" s="1">
        <v>0</v>
      </c>
      <c r="BI956" s="1">
        <v>0</v>
      </c>
      <c r="BJ956" s="1">
        <v>0</v>
      </c>
      <c r="BK956" s="1">
        <v>0</v>
      </c>
      <c r="BL956" s="1">
        <v>0</v>
      </c>
      <c r="BM956" s="1">
        <v>1</v>
      </c>
      <c r="BN956" s="1">
        <v>0</v>
      </c>
      <c r="BO956" s="1">
        <v>0</v>
      </c>
      <c r="BP956" s="1">
        <v>0</v>
      </c>
      <c r="BQ956" s="1">
        <v>0</v>
      </c>
      <c r="BR956" s="1">
        <v>0</v>
      </c>
      <c r="BS956" s="5" t="str">
        <f>HYPERLINK("http://www.d20pfsrd.com/magic/all-spells/a/aura-of-doom","Aura of Doom")</f>
        <v>Aura of Doom</v>
      </c>
      <c r="BT956" s="1">
        <v>992</v>
      </c>
      <c r="BU956" s="1" t="s">
        <v>109</v>
      </c>
      <c r="BV956" s="1"/>
      <c r="BW956" s="1"/>
      <c r="BX956" s="1"/>
      <c r="BY956" s="1"/>
      <c r="BZ956" s="1">
        <v>0</v>
      </c>
      <c r="CA956" s="1" t="s">
        <v>109</v>
      </c>
      <c r="CB956" s="1" t="s">
        <v>109</v>
      </c>
      <c r="CC956" s="1">
        <v>4</v>
      </c>
      <c r="CD956" s="1" t="s">
        <v>109</v>
      </c>
      <c r="CE956" s="1" t="s">
        <v>109</v>
      </c>
      <c r="CF956" s="1" t="s">
        <v>109</v>
      </c>
      <c r="CG956" s="1">
        <v>4</v>
      </c>
      <c r="CH956" s="1" t="s">
        <v>109</v>
      </c>
      <c r="CI956" s="1" t="s">
        <v>109</v>
      </c>
      <c r="CJ956" s="1" t="s">
        <v>109</v>
      </c>
      <c r="CK956" s="1"/>
      <c r="CL956" s="1">
        <v>0</v>
      </c>
      <c r="CM956" s="1">
        <v>0</v>
      </c>
      <c r="CN956" s="1">
        <v>0</v>
      </c>
    </row>
    <row r="957" spans="1:92" ht="14.25" customHeight="1" x14ac:dyDescent="0.15">
      <c r="A957" s="1" t="s">
        <v>7939</v>
      </c>
      <c r="B957" s="1" t="s">
        <v>189</v>
      </c>
      <c r="C957" s="1"/>
      <c r="D957" s="1"/>
      <c r="E957" s="1" t="s">
        <v>7940</v>
      </c>
      <c r="F957" s="1" t="s">
        <v>98</v>
      </c>
      <c r="G957" s="1" t="s">
        <v>141</v>
      </c>
      <c r="H957" s="1">
        <v>0</v>
      </c>
      <c r="I957" s="1" t="s">
        <v>142</v>
      </c>
      <c r="J957" s="1"/>
      <c r="K957" s="1"/>
      <c r="L957" s="1" t="s">
        <v>7941</v>
      </c>
      <c r="M957" s="1" t="s">
        <v>300</v>
      </c>
      <c r="N957" s="1">
        <v>0</v>
      </c>
      <c r="O957" s="1">
        <v>0</v>
      </c>
      <c r="P957" s="1" t="s">
        <v>507</v>
      </c>
      <c r="Q957" s="1" t="s">
        <v>167</v>
      </c>
      <c r="R957" s="1" t="s">
        <v>7942</v>
      </c>
      <c r="S957" s="1" t="s">
        <v>7943</v>
      </c>
      <c r="T957" s="1" t="s">
        <v>7821</v>
      </c>
      <c r="U957" s="1" t="s">
        <v>7944</v>
      </c>
      <c r="V957" s="1">
        <v>1</v>
      </c>
      <c r="W957" s="1">
        <v>1</v>
      </c>
      <c r="X957" s="1">
        <v>0</v>
      </c>
      <c r="Y957" s="1">
        <v>0</v>
      </c>
      <c r="Z957" s="1">
        <v>0</v>
      </c>
      <c r="AA957" s="1">
        <v>2</v>
      </c>
      <c r="AB957" s="1">
        <v>2</v>
      </c>
      <c r="AC957" s="1">
        <v>3</v>
      </c>
      <c r="AD957" s="1">
        <v>3</v>
      </c>
      <c r="AE957" s="1">
        <v>2</v>
      </c>
      <c r="AF957" s="1" t="s">
        <v>109</v>
      </c>
      <c r="AG957" s="1" t="s">
        <v>109</v>
      </c>
      <c r="AH957" s="1" t="s">
        <v>109</v>
      </c>
      <c r="AI957" s="1" t="s">
        <v>109</v>
      </c>
      <c r="AJ957" s="1" t="s">
        <v>109</v>
      </c>
      <c r="AK957" s="1" t="s">
        <v>109</v>
      </c>
      <c r="AL957" s="1">
        <v>3</v>
      </c>
      <c r="AM957" s="1" t="s">
        <v>109</v>
      </c>
      <c r="AN957" s="1" t="s">
        <v>109</v>
      </c>
      <c r="AO957" s="1" t="s">
        <v>109</v>
      </c>
      <c r="AP957" s="1"/>
      <c r="AQ957" s="1">
        <v>2</v>
      </c>
      <c r="AR957" s="1"/>
      <c r="AS957" s="1" t="s">
        <v>7945</v>
      </c>
      <c r="AT957" s="1">
        <v>0</v>
      </c>
      <c r="AU957" s="1">
        <v>0</v>
      </c>
      <c r="AV957" s="1">
        <v>0</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5" t="str">
        <f>HYPERLINK("http://www.d20pfsrd.com/magic/all-spells/b/badger-s-ferocity","Badger's Ferocity")</f>
        <v>Badger's Ferocity</v>
      </c>
      <c r="BT957" s="1">
        <v>993</v>
      </c>
      <c r="BU957" s="1" t="s">
        <v>109</v>
      </c>
      <c r="BV957" s="1"/>
      <c r="BW957" s="1"/>
      <c r="BX957" s="1"/>
      <c r="BY957" s="1"/>
      <c r="BZ957" s="1">
        <v>0</v>
      </c>
      <c r="CA957" s="1" t="s">
        <v>109</v>
      </c>
      <c r="CB957" s="1" t="s">
        <v>109</v>
      </c>
      <c r="CC957" s="1" t="s">
        <v>109</v>
      </c>
      <c r="CD957" s="1" t="s">
        <v>109</v>
      </c>
      <c r="CE957" s="1" t="s">
        <v>109</v>
      </c>
      <c r="CF957" s="1">
        <v>2</v>
      </c>
      <c r="CG957" s="1" t="s">
        <v>109</v>
      </c>
      <c r="CH957" s="1" t="s">
        <v>109</v>
      </c>
      <c r="CI957" s="1" t="s">
        <v>109</v>
      </c>
      <c r="CJ957" s="1">
        <v>2</v>
      </c>
      <c r="CK957" s="1"/>
      <c r="CL957" s="1">
        <v>0</v>
      </c>
      <c r="CM957" s="1">
        <v>0</v>
      </c>
      <c r="CN957" s="1">
        <v>0</v>
      </c>
    </row>
    <row r="958" spans="1:92" ht="14.25" customHeight="1" x14ac:dyDescent="0.15">
      <c r="A958" s="1" t="s">
        <v>7946</v>
      </c>
      <c r="B958" s="1" t="s">
        <v>254</v>
      </c>
      <c r="C958" s="1"/>
      <c r="D958" s="1" t="s">
        <v>158</v>
      </c>
      <c r="E958" s="1" t="s">
        <v>7947</v>
      </c>
      <c r="F958" s="1" t="s">
        <v>98</v>
      </c>
      <c r="G958" s="1" t="s">
        <v>141</v>
      </c>
      <c r="H958" s="1">
        <v>0</v>
      </c>
      <c r="I958" s="1" t="s">
        <v>7948</v>
      </c>
      <c r="J958" s="1"/>
      <c r="K958" s="1"/>
      <c r="L958" s="1" t="s">
        <v>7949</v>
      </c>
      <c r="M958" s="1" t="s">
        <v>3042</v>
      </c>
      <c r="N958" s="1">
        <v>0</v>
      </c>
      <c r="O958" s="1">
        <v>0</v>
      </c>
      <c r="P958" s="1" t="s">
        <v>507</v>
      </c>
      <c r="Q958" s="1" t="s">
        <v>167</v>
      </c>
      <c r="R958" s="1" t="s">
        <v>7950</v>
      </c>
      <c r="S958" s="1" t="s">
        <v>7951</v>
      </c>
      <c r="T958" s="1" t="s">
        <v>7821</v>
      </c>
      <c r="U958" s="1" t="s">
        <v>7952</v>
      </c>
      <c r="V958" s="1">
        <v>1</v>
      </c>
      <c r="W958" s="1">
        <v>1</v>
      </c>
      <c r="X958" s="1">
        <v>0</v>
      </c>
      <c r="Y958" s="1">
        <v>0</v>
      </c>
      <c r="Z958" s="1">
        <v>0</v>
      </c>
      <c r="AA958" s="1">
        <v>6</v>
      </c>
      <c r="AB958" s="1">
        <v>6</v>
      </c>
      <c r="AC958" s="1" t="s">
        <v>109</v>
      </c>
      <c r="AD958" s="1" t="s">
        <v>109</v>
      </c>
      <c r="AE958" s="1" t="s">
        <v>109</v>
      </c>
      <c r="AF958" s="1" t="s">
        <v>109</v>
      </c>
      <c r="AG958" s="1" t="s">
        <v>109</v>
      </c>
      <c r="AH958" s="1" t="s">
        <v>109</v>
      </c>
      <c r="AI958" s="1" t="s">
        <v>109</v>
      </c>
      <c r="AJ958" s="1" t="s">
        <v>109</v>
      </c>
      <c r="AK958" s="1">
        <v>4</v>
      </c>
      <c r="AL958" s="1" t="s">
        <v>109</v>
      </c>
      <c r="AM958" s="1" t="s">
        <v>109</v>
      </c>
      <c r="AN958" s="1" t="s">
        <v>109</v>
      </c>
      <c r="AO958" s="1" t="s">
        <v>109</v>
      </c>
      <c r="AP958" s="1"/>
      <c r="AQ958" s="1">
        <v>6</v>
      </c>
      <c r="AR958" s="1" t="s">
        <v>7953</v>
      </c>
      <c r="AS958" s="1" t="s">
        <v>7954</v>
      </c>
      <c r="AT958" s="1">
        <v>0</v>
      </c>
      <c r="AU958" s="1">
        <v>0</v>
      </c>
      <c r="AV958" s="1">
        <v>0</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1</v>
      </c>
      <c r="BN958" s="1">
        <v>0</v>
      </c>
      <c r="BO958" s="1">
        <v>0</v>
      </c>
      <c r="BP958" s="1">
        <v>0</v>
      </c>
      <c r="BQ958" s="1">
        <v>0</v>
      </c>
      <c r="BR958" s="1">
        <v>0</v>
      </c>
      <c r="BS958" s="5" t="str">
        <f>HYPERLINK("http://www.d20pfsrd.com/magic/all-spells/b/battlemind-link","Battlemind Link")</f>
        <v>Battlemind Link</v>
      </c>
      <c r="BT958" s="1">
        <v>994</v>
      </c>
      <c r="BU958" s="1" t="s">
        <v>109</v>
      </c>
      <c r="BV958" s="1"/>
      <c r="BW958" s="1"/>
      <c r="BX958" s="1"/>
      <c r="BY958" s="1"/>
      <c r="BZ958" s="1">
        <v>0</v>
      </c>
      <c r="CA958" s="1" t="s">
        <v>109</v>
      </c>
      <c r="CB958" s="1" t="s">
        <v>109</v>
      </c>
      <c r="CC958" s="1">
        <v>6</v>
      </c>
      <c r="CD958" s="1" t="s">
        <v>109</v>
      </c>
      <c r="CE958" s="1">
        <v>4</v>
      </c>
      <c r="CF958" s="1">
        <v>5</v>
      </c>
      <c r="CG958" s="1" t="s">
        <v>109</v>
      </c>
      <c r="CH958" s="1" t="s">
        <v>109</v>
      </c>
      <c r="CI958" s="1" t="s">
        <v>109</v>
      </c>
      <c r="CJ958" s="1" t="s">
        <v>109</v>
      </c>
      <c r="CK958" s="1"/>
      <c r="CL958" s="1">
        <v>0</v>
      </c>
      <c r="CM958" s="1">
        <v>0</v>
      </c>
      <c r="CN958" s="1">
        <v>0</v>
      </c>
    </row>
    <row r="959" spans="1:92" ht="14.25" customHeight="1" x14ac:dyDescent="0.15">
      <c r="A959" s="1" t="s">
        <v>7955</v>
      </c>
      <c r="B959" s="1" t="s">
        <v>189</v>
      </c>
      <c r="C959" s="1"/>
      <c r="D959" s="1" t="s">
        <v>7956</v>
      </c>
      <c r="E959" s="1" t="s">
        <v>7957</v>
      </c>
      <c r="F959" s="1" t="s">
        <v>98</v>
      </c>
      <c r="G959" s="1" t="s">
        <v>160</v>
      </c>
      <c r="H959" s="1">
        <v>0</v>
      </c>
      <c r="I959" s="1" t="s">
        <v>161</v>
      </c>
      <c r="J959" s="1"/>
      <c r="K959" s="1"/>
      <c r="L959" s="1" t="s">
        <v>7958</v>
      </c>
      <c r="M959" s="1" t="s">
        <v>7718</v>
      </c>
      <c r="N959" s="1">
        <v>0</v>
      </c>
      <c r="O959" s="1">
        <v>0</v>
      </c>
      <c r="P959" s="1" t="s">
        <v>167</v>
      </c>
      <c r="Q959" s="1" t="s">
        <v>167</v>
      </c>
      <c r="R959" s="1" t="s">
        <v>7959</v>
      </c>
      <c r="S959" s="1" t="s">
        <v>7960</v>
      </c>
      <c r="T959" s="1" t="s">
        <v>7821</v>
      </c>
      <c r="U959" s="1" t="s">
        <v>7961</v>
      </c>
      <c r="V959" s="1">
        <v>1</v>
      </c>
      <c r="W959" s="1">
        <v>1</v>
      </c>
      <c r="X959" s="1">
        <v>0</v>
      </c>
      <c r="Y959" s="1">
        <v>0</v>
      </c>
      <c r="Z959" s="1">
        <v>1</v>
      </c>
      <c r="AA959" s="1" t="s">
        <v>109</v>
      </c>
      <c r="AB959" s="1" t="s">
        <v>109</v>
      </c>
      <c r="AC959" s="1">
        <v>7</v>
      </c>
      <c r="AD959" s="1" t="s">
        <v>109</v>
      </c>
      <c r="AE959" s="1" t="s">
        <v>109</v>
      </c>
      <c r="AF959" s="1" t="s">
        <v>109</v>
      </c>
      <c r="AG959" s="1">
        <v>4</v>
      </c>
      <c r="AH959" s="1" t="s">
        <v>109</v>
      </c>
      <c r="AI959" s="1" t="s">
        <v>109</v>
      </c>
      <c r="AJ959" s="1" t="s">
        <v>109</v>
      </c>
      <c r="AK959" s="1" t="s">
        <v>109</v>
      </c>
      <c r="AL959" s="1">
        <v>7</v>
      </c>
      <c r="AM959" s="1" t="s">
        <v>109</v>
      </c>
      <c r="AN959" s="1" t="s">
        <v>109</v>
      </c>
      <c r="AO959" s="1" t="s">
        <v>109</v>
      </c>
      <c r="AP959" s="1"/>
      <c r="AQ959" s="1">
        <v>7</v>
      </c>
      <c r="AR959" s="1"/>
      <c r="AS959" s="1" t="s">
        <v>7962</v>
      </c>
      <c r="AT959" s="1">
        <v>0</v>
      </c>
      <c r="AU959" s="1">
        <v>0</v>
      </c>
      <c r="AV959" s="1">
        <v>0</v>
      </c>
      <c r="AW959" s="1">
        <v>0</v>
      </c>
      <c r="AX959" s="1">
        <v>0</v>
      </c>
      <c r="AY959" s="1">
        <v>0</v>
      </c>
      <c r="AZ959" s="1">
        <v>0</v>
      </c>
      <c r="BA959" s="1">
        <v>0</v>
      </c>
      <c r="BB959" s="1">
        <v>0</v>
      </c>
      <c r="BC959" s="1">
        <v>0</v>
      </c>
      <c r="BD959" s="1">
        <v>0</v>
      </c>
      <c r="BE959" s="1">
        <v>0</v>
      </c>
      <c r="BF959" s="1">
        <v>0</v>
      </c>
      <c r="BG959" s="1">
        <v>0</v>
      </c>
      <c r="BH959" s="1">
        <v>0</v>
      </c>
      <c r="BI959" s="1">
        <v>1</v>
      </c>
      <c r="BJ959" s="1">
        <v>0</v>
      </c>
      <c r="BK959" s="1">
        <v>0</v>
      </c>
      <c r="BL959" s="1">
        <v>0</v>
      </c>
      <c r="BM959" s="1">
        <v>0</v>
      </c>
      <c r="BN959" s="1">
        <v>0</v>
      </c>
      <c r="BO959" s="1">
        <v>0</v>
      </c>
      <c r="BP959" s="1">
        <v>0</v>
      </c>
      <c r="BQ959" s="1">
        <v>0</v>
      </c>
      <c r="BR959" s="1">
        <v>0</v>
      </c>
      <c r="BS959" s="5" t="str">
        <f>HYPERLINK("http://www.d20pfsrd.com/magic/all-spells/b/bestow-grace-of-the-champion","Bestow Grace of the Champion")</f>
        <v>Bestow Grace of the Champion</v>
      </c>
      <c r="BT959" s="1">
        <v>995</v>
      </c>
      <c r="BU959" s="1" t="s">
        <v>109</v>
      </c>
      <c r="BV959" s="1"/>
      <c r="BW959" s="1" t="s">
        <v>7963</v>
      </c>
      <c r="BX959" s="1"/>
      <c r="BY959" s="1"/>
      <c r="BZ959" s="1">
        <v>0</v>
      </c>
      <c r="CA959" s="1" t="s">
        <v>109</v>
      </c>
      <c r="CB959" s="1" t="s">
        <v>109</v>
      </c>
      <c r="CC959" s="1" t="s">
        <v>109</v>
      </c>
      <c r="CD959" s="1" t="s">
        <v>109</v>
      </c>
      <c r="CE959" s="1" t="s">
        <v>109</v>
      </c>
      <c r="CF959" s="1" t="s">
        <v>109</v>
      </c>
      <c r="CG959" s="1" t="s">
        <v>109</v>
      </c>
      <c r="CH959" s="1" t="s">
        <v>109</v>
      </c>
      <c r="CI959" s="1" t="s">
        <v>109</v>
      </c>
      <c r="CJ959" s="1" t="s">
        <v>109</v>
      </c>
      <c r="CK959" s="1"/>
      <c r="CL959" s="1">
        <v>0</v>
      </c>
      <c r="CM959" s="1">
        <v>0</v>
      </c>
      <c r="CN959" s="1">
        <v>0</v>
      </c>
    </row>
    <row r="960" spans="1:92" ht="14.25" customHeight="1" x14ac:dyDescent="0.15">
      <c r="A960" s="1" t="s">
        <v>7964</v>
      </c>
      <c r="B960" s="1" t="s">
        <v>189</v>
      </c>
      <c r="C960" s="1"/>
      <c r="D960" s="1" t="s">
        <v>61</v>
      </c>
      <c r="E960" s="1" t="s">
        <v>2519</v>
      </c>
      <c r="F960" s="1" t="s">
        <v>98</v>
      </c>
      <c r="G960" s="1" t="s">
        <v>141</v>
      </c>
      <c r="H960" s="1">
        <v>0</v>
      </c>
      <c r="I960" s="1" t="s">
        <v>161</v>
      </c>
      <c r="J960" s="1"/>
      <c r="K960" s="1"/>
      <c r="L960" s="1" t="s">
        <v>7965</v>
      </c>
      <c r="M960" s="1" t="s">
        <v>3042</v>
      </c>
      <c r="N960" s="1">
        <v>0</v>
      </c>
      <c r="O960" s="1">
        <v>0</v>
      </c>
      <c r="P960" s="1" t="s">
        <v>507</v>
      </c>
      <c r="Q960" s="1" t="s">
        <v>104</v>
      </c>
      <c r="R960" s="1" t="s">
        <v>7966</v>
      </c>
      <c r="S960" s="1" t="s">
        <v>7967</v>
      </c>
      <c r="T960" s="1" t="s">
        <v>7821</v>
      </c>
      <c r="U960" s="1" t="s">
        <v>7968</v>
      </c>
      <c r="V960" s="1">
        <v>1</v>
      </c>
      <c r="W960" s="1">
        <v>1</v>
      </c>
      <c r="X960" s="1">
        <v>0</v>
      </c>
      <c r="Y960" s="1">
        <v>0</v>
      </c>
      <c r="Z960" s="1">
        <v>0</v>
      </c>
      <c r="AA960" s="1" t="s">
        <v>109</v>
      </c>
      <c r="AB960" s="1" t="s">
        <v>109</v>
      </c>
      <c r="AC960" s="1" t="s">
        <v>109</v>
      </c>
      <c r="AD960" s="1" t="s">
        <v>109</v>
      </c>
      <c r="AE960" s="1" t="s">
        <v>109</v>
      </c>
      <c r="AF960" s="1" t="s">
        <v>109</v>
      </c>
      <c r="AG960" s="1">
        <v>3</v>
      </c>
      <c r="AH960" s="1" t="s">
        <v>109</v>
      </c>
      <c r="AI960" s="1" t="s">
        <v>109</v>
      </c>
      <c r="AJ960" s="1" t="s">
        <v>109</v>
      </c>
      <c r="AK960" s="1" t="s">
        <v>109</v>
      </c>
      <c r="AL960" s="1" t="s">
        <v>109</v>
      </c>
      <c r="AM960" s="1" t="s">
        <v>109</v>
      </c>
      <c r="AN960" s="1" t="s">
        <v>109</v>
      </c>
      <c r="AO960" s="1" t="s">
        <v>109</v>
      </c>
      <c r="AP960" s="1"/>
      <c r="AQ960" s="1">
        <v>3</v>
      </c>
      <c r="AR960" s="1"/>
      <c r="AS960" s="1" t="s">
        <v>7969</v>
      </c>
      <c r="AT960" s="1">
        <v>0</v>
      </c>
      <c r="AU960" s="1">
        <v>0</v>
      </c>
      <c r="AV960" s="1">
        <v>0</v>
      </c>
      <c r="AW960" s="1">
        <v>0</v>
      </c>
      <c r="AX960" s="1">
        <v>0</v>
      </c>
      <c r="AY960" s="1">
        <v>0</v>
      </c>
      <c r="AZ960" s="1">
        <v>0</v>
      </c>
      <c r="BA960" s="1">
        <v>0</v>
      </c>
      <c r="BB960" s="1">
        <v>0</v>
      </c>
      <c r="BC960" s="1">
        <v>0</v>
      </c>
      <c r="BD960" s="1">
        <v>0</v>
      </c>
      <c r="BE960" s="1">
        <v>0</v>
      </c>
      <c r="BF960" s="1">
        <v>0</v>
      </c>
      <c r="BG960" s="1">
        <v>0</v>
      </c>
      <c r="BH960" s="1">
        <v>0</v>
      </c>
      <c r="BI960" s="1">
        <v>1</v>
      </c>
      <c r="BJ960" s="1">
        <v>0</v>
      </c>
      <c r="BK960" s="1">
        <v>0</v>
      </c>
      <c r="BL960" s="1">
        <v>0</v>
      </c>
      <c r="BM960" s="1">
        <v>0</v>
      </c>
      <c r="BN960" s="1">
        <v>0</v>
      </c>
      <c r="BO960" s="1">
        <v>0</v>
      </c>
      <c r="BP960" s="1">
        <v>0</v>
      </c>
      <c r="BQ960" s="1">
        <v>0</v>
      </c>
      <c r="BR960" s="1">
        <v>0</v>
      </c>
      <c r="BS960" s="5" t="str">
        <f>HYPERLINK("http://www.d20pfsrd.com/magic/all-spells/b/blade-of-bright-victory","Blade of Bright Victory")</f>
        <v>Blade of Bright Victory</v>
      </c>
      <c r="BT960" s="1">
        <v>996</v>
      </c>
      <c r="BU960" s="1" t="s">
        <v>109</v>
      </c>
      <c r="BV960" s="1"/>
      <c r="BW960" s="1"/>
      <c r="BX960" s="1"/>
      <c r="BY960" s="1"/>
      <c r="BZ960" s="1">
        <v>0</v>
      </c>
      <c r="CA960" s="1" t="s">
        <v>109</v>
      </c>
      <c r="CB960" s="1" t="s">
        <v>109</v>
      </c>
      <c r="CC960" s="1" t="s">
        <v>109</v>
      </c>
      <c r="CD960" s="1" t="s">
        <v>109</v>
      </c>
      <c r="CE960" s="1" t="s">
        <v>109</v>
      </c>
      <c r="CF960" s="1" t="s">
        <v>109</v>
      </c>
      <c r="CG960" s="1" t="s">
        <v>109</v>
      </c>
      <c r="CH960" s="1" t="s">
        <v>109</v>
      </c>
      <c r="CI960" s="1" t="s">
        <v>109</v>
      </c>
      <c r="CJ960" s="1" t="s">
        <v>109</v>
      </c>
      <c r="CK960" s="1"/>
      <c r="CL960" s="1">
        <v>0</v>
      </c>
      <c r="CM960" s="1">
        <v>0</v>
      </c>
      <c r="CN960" s="1">
        <v>0</v>
      </c>
    </row>
    <row r="961" spans="1:92" ht="14.25" customHeight="1" x14ac:dyDescent="0.15">
      <c r="A961" s="1" t="s">
        <v>7970</v>
      </c>
      <c r="B961" s="1" t="s">
        <v>189</v>
      </c>
      <c r="C961" s="1"/>
      <c r="D961" s="1" t="s">
        <v>57</v>
      </c>
      <c r="E961" s="1" t="s">
        <v>7971</v>
      </c>
      <c r="F961" s="1" t="s">
        <v>98</v>
      </c>
      <c r="G961" s="1" t="s">
        <v>141</v>
      </c>
      <c r="H961" s="1">
        <v>0</v>
      </c>
      <c r="I961" s="1" t="s">
        <v>161</v>
      </c>
      <c r="J961" s="1"/>
      <c r="K961" s="1"/>
      <c r="L961" s="1" t="s">
        <v>7972</v>
      </c>
      <c r="M961" s="1" t="s">
        <v>3042</v>
      </c>
      <c r="N961" s="1">
        <v>0</v>
      </c>
      <c r="O961" s="1">
        <v>0</v>
      </c>
      <c r="P961" s="1" t="s">
        <v>507</v>
      </c>
      <c r="Q961" s="1" t="s">
        <v>104</v>
      </c>
      <c r="R961" s="1" t="s">
        <v>7973</v>
      </c>
      <c r="S961" s="1" t="s">
        <v>7974</v>
      </c>
      <c r="T961" s="1" t="s">
        <v>7821</v>
      </c>
      <c r="U961" s="1" t="s">
        <v>7975</v>
      </c>
      <c r="V961" s="1">
        <v>1</v>
      </c>
      <c r="W961" s="1">
        <v>1</v>
      </c>
      <c r="X961" s="1">
        <v>0</v>
      </c>
      <c r="Y961" s="1">
        <v>0</v>
      </c>
      <c r="Z961" s="1">
        <v>0</v>
      </c>
      <c r="AA961" s="1" t="s">
        <v>109</v>
      </c>
      <c r="AB961" s="1" t="s">
        <v>109</v>
      </c>
      <c r="AC961" s="1" t="s">
        <v>109</v>
      </c>
      <c r="AD961" s="1" t="s">
        <v>109</v>
      </c>
      <c r="AE961" s="1" t="s">
        <v>109</v>
      </c>
      <c r="AF961" s="1" t="s">
        <v>109</v>
      </c>
      <c r="AG961" s="1" t="s">
        <v>109</v>
      </c>
      <c r="AH961" s="1" t="s">
        <v>109</v>
      </c>
      <c r="AI961" s="1" t="s">
        <v>109</v>
      </c>
      <c r="AJ961" s="1" t="s">
        <v>109</v>
      </c>
      <c r="AK961" s="1" t="s">
        <v>109</v>
      </c>
      <c r="AL961" s="1" t="s">
        <v>109</v>
      </c>
      <c r="AM961" s="1">
        <v>3</v>
      </c>
      <c r="AN961" s="1" t="s">
        <v>109</v>
      </c>
      <c r="AO961" s="1" t="s">
        <v>109</v>
      </c>
      <c r="AP961" s="1"/>
      <c r="AQ961" s="1">
        <v>3</v>
      </c>
      <c r="AR961" s="1"/>
      <c r="AS961" s="1" t="s">
        <v>7969</v>
      </c>
      <c r="AT961" s="1">
        <v>0</v>
      </c>
      <c r="AU961" s="1">
        <v>0</v>
      </c>
      <c r="AV961" s="1">
        <v>0</v>
      </c>
      <c r="AW961" s="1">
        <v>0</v>
      </c>
      <c r="AX961" s="1">
        <v>0</v>
      </c>
      <c r="AY961" s="1">
        <v>0</v>
      </c>
      <c r="AZ961" s="1">
        <v>0</v>
      </c>
      <c r="BA961" s="1">
        <v>0</v>
      </c>
      <c r="BB961" s="1">
        <v>0</v>
      </c>
      <c r="BC961" s="1">
        <v>0</v>
      </c>
      <c r="BD961" s="1">
        <v>0</v>
      </c>
      <c r="BE961" s="1">
        <v>1</v>
      </c>
      <c r="BF961" s="1">
        <v>0</v>
      </c>
      <c r="BG961" s="1">
        <v>0</v>
      </c>
      <c r="BH961" s="1">
        <v>0</v>
      </c>
      <c r="BI961" s="1">
        <v>0</v>
      </c>
      <c r="BJ961" s="1">
        <v>0</v>
      </c>
      <c r="BK961" s="1">
        <v>0</v>
      </c>
      <c r="BL961" s="1">
        <v>0</v>
      </c>
      <c r="BM961" s="1">
        <v>0</v>
      </c>
      <c r="BN961" s="1">
        <v>0</v>
      </c>
      <c r="BO961" s="1">
        <v>0</v>
      </c>
      <c r="BP961" s="1">
        <v>0</v>
      </c>
      <c r="BQ961" s="1">
        <v>0</v>
      </c>
      <c r="BR961" s="1">
        <v>0</v>
      </c>
      <c r="BS961" s="5" t="str">
        <f>HYPERLINK("http://www.d20pfsrd.com/magic/all-spells/b/blade-of-dark-triumph","Blade of Dark Triumph")</f>
        <v>Blade of Dark Triumph</v>
      </c>
      <c r="BT961" s="1">
        <v>997</v>
      </c>
      <c r="BU961" s="1" t="s">
        <v>109</v>
      </c>
      <c r="BV961" s="1"/>
      <c r="BW961" s="1"/>
      <c r="BX961" s="1"/>
      <c r="BY961" s="1"/>
      <c r="BZ961" s="1">
        <v>0</v>
      </c>
      <c r="CA961" s="1" t="s">
        <v>109</v>
      </c>
      <c r="CB961" s="1" t="s">
        <v>109</v>
      </c>
      <c r="CC961" s="1" t="s">
        <v>109</v>
      </c>
      <c r="CD961" s="1" t="s">
        <v>109</v>
      </c>
      <c r="CE961" s="1" t="s">
        <v>109</v>
      </c>
      <c r="CF961" s="1" t="s">
        <v>109</v>
      </c>
      <c r="CG961" s="1" t="s">
        <v>109</v>
      </c>
      <c r="CH961" s="1" t="s">
        <v>109</v>
      </c>
      <c r="CI961" s="1" t="s">
        <v>109</v>
      </c>
      <c r="CJ961" s="1" t="s">
        <v>109</v>
      </c>
      <c r="CK961" s="1"/>
      <c r="CL961" s="1">
        <v>0</v>
      </c>
      <c r="CM961" s="1">
        <v>0</v>
      </c>
      <c r="CN961" s="1">
        <v>0</v>
      </c>
    </row>
    <row r="962" spans="1:92" ht="14.25" customHeight="1" x14ac:dyDescent="0.15">
      <c r="A962" s="1" t="s">
        <v>7976</v>
      </c>
      <c r="B962" s="1" t="s">
        <v>189</v>
      </c>
      <c r="C962" s="1"/>
      <c r="D962" s="1"/>
      <c r="E962" s="1" t="s">
        <v>7977</v>
      </c>
      <c r="F962" s="1" t="s">
        <v>355</v>
      </c>
      <c r="G962" s="1" t="s">
        <v>141</v>
      </c>
      <c r="H962" s="1">
        <v>0</v>
      </c>
      <c r="I962" s="1" t="s">
        <v>142</v>
      </c>
      <c r="J962" s="1" t="s">
        <v>7978</v>
      </c>
      <c r="K962" s="1"/>
      <c r="L962" s="1"/>
      <c r="M962" s="1" t="s">
        <v>3042</v>
      </c>
      <c r="N962" s="1">
        <v>0</v>
      </c>
      <c r="O962" s="1">
        <v>0</v>
      </c>
      <c r="P962" s="1" t="s">
        <v>7979</v>
      </c>
      <c r="Q962" s="1" t="s">
        <v>167</v>
      </c>
      <c r="R962" s="1" t="s">
        <v>7980</v>
      </c>
      <c r="S962" s="1" t="s">
        <v>7981</v>
      </c>
      <c r="T962" s="1" t="s">
        <v>7821</v>
      </c>
      <c r="U962" s="1" t="s">
        <v>7982</v>
      </c>
      <c r="V962" s="1">
        <v>1</v>
      </c>
      <c r="W962" s="1">
        <v>1</v>
      </c>
      <c r="X962" s="1">
        <v>0</v>
      </c>
      <c r="Y962" s="1">
        <v>0</v>
      </c>
      <c r="Z962" s="1">
        <v>0</v>
      </c>
      <c r="AA962" s="1" t="s">
        <v>109</v>
      </c>
      <c r="AB962" s="1" t="s">
        <v>109</v>
      </c>
      <c r="AC962" s="1">
        <v>3</v>
      </c>
      <c r="AD962" s="1" t="s">
        <v>109</v>
      </c>
      <c r="AE962" s="1">
        <v>3</v>
      </c>
      <c r="AF962" s="1" t="s">
        <v>109</v>
      </c>
      <c r="AG962" s="1">
        <v>3</v>
      </c>
      <c r="AH962" s="1" t="s">
        <v>109</v>
      </c>
      <c r="AI962" s="1" t="s">
        <v>109</v>
      </c>
      <c r="AJ962" s="1" t="s">
        <v>109</v>
      </c>
      <c r="AK962" s="1">
        <v>3</v>
      </c>
      <c r="AL962" s="1">
        <v>3</v>
      </c>
      <c r="AM962" s="1" t="s">
        <v>109</v>
      </c>
      <c r="AN962" s="1" t="s">
        <v>109</v>
      </c>
      <c r="AO962" s="1" t="s">
        <v>109</v>
      </c>
      <c r="AP962" s="1"/>
      <c r="AQ962" s="1">
        <v>3</v>
      </c>
      <c r="AR962" s="1"/>
      <c r="AS962" s="1" t="s">
        <v>7983</v>
      </c>
      <c r="AT962" s="1">
        <v>0</v>
      </c>
      <c r="AU962" s="1">
        <v>0</v>
      </c>
      <c r="AV962" s="1">
        <v>0</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5" t="str">
        <f>HYPERLINK("http://www.d20pfsrd.com/magic/all-spells/b/blessing-of-the-mole","Blessing of the Mole")</f>
        <v>Blessing of the Mole</v>
      </c>
      <c r="BT962" s="1">
        <v>998</v>
      </c>
      <c r="BU962" s="1" t="s">
        <v>109</v>
      </c>
      <c r="BV962" s="1"/>
      <c r="BW962" s="1"/>
      <c r="BX962" s="1"/>
      <c r="BY962" s="1"/>
      <c r="BZ962" s="1">
        <v>0</v>
      </c>
      <c r="CA962" s="1" t="s">
        <v>109</v>
      </c>
      <c r="CB962" s="1" t="s">
        <v>109</v>
      </c>
      <c r="CC962" s="1" t="s">
        <v>109</v>
      </c>
      <c r="CD962" s="1" t="s">
        <v>109</v>
      </c>
      <c r="CE962" s="1" t="s">
        <v>109</v>
      </c>
      <c r="CF962" s="1" t="s">
        <v>109</v>
      </c>
      <c r="CG962" s="1" t="s">
        <v>109</v>
      </c>
      <c r="CH962" s="1" t="s">
        <v>109</v>
      </c>
      <c r="CI962" s="1" t="s">
        <v>109</v>
      </c>
      <c r="CJ962" s="1">
        <v>3</v>
      </c>
      <c r="CK962" s="1"/>
      <c r="CL962" s="1">
        <v>0</v>
      </c>
      <c r="CM962" s="1">
        <v>0</v>
      </c>
      <c r="CN962" s="1">
        <v>0</v>
      </c>
    </row>
    <row r="963" spans="1:92" ht="14.25" customHeight="1" x14ac:dyDescent="0.15">
      <c r="A963" s="1" t="s">
        <v>7984</v>
      </c>
      <c r="B963" s="1" t="s">
        <v>584</v>
      </c>
      <c r="C963" s="1"/>
      <c r="D963" s="1" t="s">
        <v>59</v>
      </c>
      <c r="E963" s="1" t="s">
        <v>5967</v>
      </c>
      <c r="F963" s="1" t="s">
        <v>355</v>
      </c>
      <c r="G963" s="1" t="s">
        <v>141</v>
      </c>
      <c r="H963" s="1">
        <v>0</v>
      </c>
      <c r="I963" s="1" t="s">
        <v>122</v>
      </c>
      <c r="J963" s="1"/>
      <c r="K963" s="1"/>
      <c r="L963" s="1" t="s">
        <v>1391</v>
      </c>
      <c r="M963" s="1" t="s">
        <v>144</v>
      </c>
      <c r="N963" s="1">
        <v>0</v>
      </c>
      <c r="O963" s="1">
        <v>0</v>
      </c>
      <c r="P963" s="1" t="s">
        <v>103</v>
      </c>
      <c r="Q963" s="1" t="s">
        <v>268</v>
      </c>
      <c r="R963" s="1" t="s">
        <v>7985</v>
      </c>
      <c r="S963" s="1" t="s">
        <v>7986</v>
      </c>
      <c r="T963" s="1" t="s">
        <v>7821</v>
      </c>
      <c r="U963" s="1" t="s">
        <v>7987</v>
      </c>
      <c r="V963" s="1">
        <v>1</v>
      </c>
      <c r="W963" s="1">
        <v>1</v>
      </c>
      <c r="X963" s="1">
        <v>0</v>
      </c>
      <c r="Y963" s="1">
        <v>0</v>
      </c>
      <c r="Z963" s="1">
        <v>0</v>
      </c>
      <c r="AA963" s="1" t="s">
        <v>109</v>
      </c>
      <c r="AB963" s="1" t="s">
        <v>109</v>
      </c>
      <c r="AC963" s="1">
        <v>4</v>
      </c>
      <c r="AD963" s="1" t="s">
        <v>109</v>
      </c>
      <c r="AE963" s="1" t="s">
        <v>109</v>
      </c>
      <c r="AF963" s="1" t="s">
        <v>109</v>
      </c>
      <c r="AG963" s="1" t="s">
        <v>109</v>
      </c>
      <c r="AH963" s="1" t="s">
        <v>109</v>
      </c>
      <c r="AI963" s="1" t="s">
        <v>109</v>
      </c>
      <c r="AJ963" s="1" t="s">
        <v>109</v>
      </c>
      <c r="AK963" s="1" t="s">
        <v>109</v>
      </c>
      <c r="AL963" s="1">
        <v>4</v>
      </c>
      <c r="AM963" s="1" t="s">
        <v>109</v>
      </c>
      <c r="AN963" s="1" t="s">
        <v>109</v>
      </c>
      <c r="AO963" s="1" t="s">
        <v>109</v>
      </c>
      <c r="AP963" s="1"/>
      <c r="AQ963" s="1">
        <v>4</v>
      </c>
      <c r="AR963" s="1"/>
      <c r="AS963" s="1" t="s">
        <v>7988</v>
      </c>
      <c r="AT963" s="1">
        <v>0</v>
      </c>
      <c r="AU963" s="1">
        <v>0</v>
      </c>
      <c r="AV963" s="1">
        <v>0</v>
      </c>
      <c r="AW963" s="1">
        <v>0</v>
      </c>
      <c r="AX963" s="1">
        <v>0</v>
      </c>
      <c r="AY963" s="1">
        <v>0</v>
      </c>
      <c r="AZ963" s="1">
        <v>0</v>
      </c>
      <c r="BA963" s="1">
        <v>0</v>
      </c>
      <c r="BB963" s="1">
        <v>0</v>
      </c>
      <c r="BC963" s="1">
        <v>0</v>
      </c>
      <c r="BD963" s="1">
        <v>0</v>
      </c>
      <c r="BE963" s="1">
        <v>0</v>
      </c>
      <c r="BF963" s="1">
        <v>0</v>
      </c>
      <c r="BG963" s="1">
        <v>1</v>
      </c>
      <c r="BH963" s="1">
        <v>0</v>
      </c>
      <c r="BI963" s="1">
        <v>0</v>
      </c>
      <c r="BJ963" s="1">
        <v>0</v>
      </c>
      <c r="BK963" s="1">
        <v>0</v>
      </c>
      <c r="BL963" s="1">
        <v>0</v>
      </c>
      <c r="BM963" s="1">
        <v>0</v>
      </c>
      <c r="BN963" s="1">
        <v>0</v>
      </c>
      <c r="BO963" s="1">
        <v>0</v>
      </c>
      <c r="BP963" s="1">
        <v>0</v>
      </c>
      <c r="BQ963" s="1">
        <v>0</v>
      </c>
      <c r="BR963" s="1">
        <v>0</v>
      </c>
      <c r="BS963" s="5" t="str">
        <f>HYPERLINK("http://www.d20pfsrd.com/magic/all-spells/b/blood-crow-strike","Blood Crow Strike")</f>
        <v>Blood Crow Strike</v>
      </c>
      <c r="BT963" s="1">
        <v>999</v>
      </c>
      <c r="BU963" s="1" t="s">
        <v>109</v>
      </c>
      <c r="BV963" s="1"/>
      <c r="BW963" s="1"/>
      <c r="BX963" s="1" t="s">
        <v>7989</v>
      </c>
      <c r="BY963" s="1"/>
      <c r="BZ963" s="1">
        <v>1</v>
      </c>
      <c r="CA963" s="1" t="s">
        <v>109</v>
      </c>
      <c r="CB963" s="1" t="s">
        <v>109</v>
      </c>
      <c r="CC963" s="1" t="s">
        <v>109</v>
      </c>
      <c r="CD963" s="1" t="s">
        <v>109</v>
      </c>
      <c r="CE963" s="1" t="s">
        <v>109</v>
      </c>
      <c r="CF963" s="1" t="s">
        <v>109</v>
      </c>
      <c r="CG963" s="1" t="s">
        <v>109</v>
      </c>
      <c r="CH963" s="1" t="s">
        <v>109</v>
      </c>
      <c r="CI963" s="1" t="s">
        <v>109</v>
      </c>
      <c r="CJ963" s="1" t="s">
        <v>109</v>
      </c>
      <c r="CK963" s="1"/>
      <c r="CL963" s="1">
        <v>0</v>
      </c>
      <c r="CM963" s="1">
        <v>0</v>
      </c>
      <c r="CN963" s="1">
        <v>0</v>
      </c>
    </row>
    <row r="964" spans="1:92" ht="14.25" customHeight="1" x14ac:dyDescent="0.15">
      <c r="A964" s="1" t="s">
        <v>7990</v>
      </c>
      <c r="B964" s="1" t="s">
        <v>95</v>
      </c>
      <c r="C964" s="1" t="s">
        <v>96</v>
      </c>
      <c r="D964" s="1" t="s">
        <v>67</v>
      </c>
      <c r="E964" s="1" t="s">
        <v>287</v>
      </c>
      <c r="F964" s="1" t="s">
        <v>98</v>
      </c>
      <c r="G964" s="1" t="s">
        <v>7991</v>
      </c>
      <c r="H964" s="1">
        <v>0</v>
      </c>
      <c r="I964" s="1" t="s">
        <v>7992</v>
      </c>
      <c r="J964" s="1" t="s">
        <v>7993</v>
      </c>
      <c r="K964" s="1"/>
      <c r="L964" s="1"/>
      <c r="M964" s="1" t="s">
        <v>3042</v>
      </c>
      <c r="N964" s="1">
        <v>0</v>
      </c>
      <c r="O964" s="1">
        <v>0</v>
      </c>
      <c r="P964" s="1" t="s">
        <v>6066</v>
      </c>
      <c r="Q964" s="1" t="s">
        <v>268</v>
      </c>
      <c r="R964" s="1" t="s">
        <v>7994</v>
      </c>
      <c r="S964" s="1" t="s">
        <v>7995</v>
      </c>
      <c r="T964" s="1" t="s">
        <v>7821</v>
      </c>
      <c r="U964" s="1" t="s">
        <v>7996</v>
      </c>
      <c r="V964" s="1">
        <v>1</v>
      </c>
      <c r="W964" s="1">
        <v>1</v>
      </c>
      <c r="X964" s="1">
        <v>1</v>
      </c>
      <c r="Y964" s="1">
        <v>0</v>
      </c>
      <c r="Z964" s="1">
        <v>0</v>
      </c>
      <c r="AA964" s="1" t="s">
        <v>109</v>
      </c>
      <c r="AB964" s="1" t="s">
        <v>109</v>
      </c>
      <c r="AC964" s="1" t="s">
        <v>109</v>
      </c>
      <c r="AD964" s="1">
        <v>8</v>
      </c>
      <c r="AE964" s="1" t="s">
        <v>109</v>
      </c>
      <c r="AF964" s="1" t="s">
        <v>109</v>
      </c>
      <c r="AG964" s="1" t="s">
        <v>109</v>
      </c>
      <c r="AH964" s="1" t="s">
        <v>109</v>
      </c>
      <c r="AI964" s="1" t="s">
        <v>109</v>
      </c>
      <c r="AJ964" s="1" t="s">
        <v>109</v>
      </c>
      <c r="AK964" s="1" t="s">
        <v>109</v>
      </c>
      <c r="AL964" s="1" t="s">
        <v>109</v>
      </c>
      <c r="AM964" s="1" t="s">
        <v>109</v>
      </c>
      <c r="AN964" s="1" t="s">
        <v>109</v>
      </c>
      <c r="AO964" s="1" t="s">
        <v>109</v>
      </c>
      <c r="AP964" s="1"/>
      <c r="AQ964" s="1">
        <v>8</v>
      </c>
      <c r="AR964" s="1"/>
      <c r="AS964" s="1" t="s">
        <v>7997</v>
      </c>
      <c r="AT964" s="1">
        <v>0</v>
      </c>
      <c r="AU964" s="1">
        <v>0</v>
      </c>
      <c r="AV964" s="1">
        <v>0</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1</v>
      </c>
      <c r="BP964" s="1">
        <v>0</v>
      </c>
      <c r="BQ964" s="1">
        <v>0</v>
      </c>
      <c r="BR964" s="1">
        <v>0</v>
      </c>
      <c r="BS964" s="5" t="str">
        <f>HYPERLINK("http://www.d20pfsrd.com/magic/all-spells/b/blood-mist","Blood Mist")</f>
        <v>Blood Mist</v>
      </c>
      <c r="BT964" s="1">
        <v>1000</v>
      </c>
      <c r="BU964" s="1" t="s">
        <v>109</v>
      </c>
      <c r="BV964" s="1"/>
      <c r="BW964" s="1"/>
      <c r="BX964" s="1"/>
      <c r="BY964" s="1"/>
      <c r="BZ964" s="1">
        <v>0</v>
      </c>
      <c r="CA964" s="1" t="s">
        <v>109</v>
      </c>
      <c r="CB964" s="1">
        <v>8</v>
      </c>
      <c r="CC964" s="1" t="s">
        <v>109</v>
      </c>
      <c r="CD964" s="1" t="s">
        <v>109</v>
      </c>
      <c r="CE964" s="1" t="s">
        <v>109</v>
      </c>
      <c r="CF964" s="1" t="s">
        <v>109</v>
      </c>
      <c r="CG964" s="1" t="s">
        <v>109</v>
      </c>
      <c r="CH964" s="1" t="s">
        <v>109</v>
      </c>
      <c r="CI964" s="1" t="s">
        <v>109</v>
      </c>
      <c r="CJ964" s="1" t="s">
        <v>109</v>
      </c>
      <c r="CK964" s="1"/>
      <c r="CL964" s="1">
        <v>0</v>
      </c>
      <c r="CM964" s="1">
        <v>0</v>
      </c>
      <c r="CN964" s="1">
        <v>0</v>
      </c>
    </row>
    <row r="965" spans="1:92" ht="14.25" customHeight="1" x14ac:dyDescent="0.15">
      <c r="A965" s="1" t="s">
        <v>7998</v>
      </c>
      <c r="B965" s="1" t="s">
        <v>254</v>
      </c>
      <c r="C965" s="1"/>
      <c r="D965" s="1" t="s">
        <v>57</v>
      </c>
      <c r="E965" s="1" t="s">
        <v>7999</v>
      </c>
      <c r="F965" s="1" t="s">
        <v>98</v>
      </c>
      <c r="G965" s="1" t="s">
        <v>141</v>
      </c>
      <c r="H965" s="1">
        <v>0</v>
      </c>
      <c r="I965" s="1" t="s">
        <v>161</v>
      </c>
      <c r="J965" s="1"/>
      <c r="K965" s="1"/>
      <c r="L965" s="1" t="s">
        <v>8000</v>
      </c>
      <c r="M965" s="1" t="s">
        <v>465</v>
      </c>
      <c r="N965" s="1">
        <v>0</v>
      </c>
      <c r="O965" s="1">
        <v>0</v>
      </c>
      <c r="P965" s="1" t="s">
        <v>103</v>
      </c>
      <c r="Q965" s="1" t="s">
        <v>104</v>
      </c>
      <c r="R965" s="1" t="s">
        <v>8001</v>
      </c>
      <c r="S965" s="1" t="s">
        <v>8002</v>
      </c>
      <c r="T965" s="1" t="s">
        <v>7821</v>
      </c>
      <c r="U965" s="1" t="s">
        <v>8003</v>
      </c>
      <c r="V965" s="1">
        <v>1</v>
      </c>
      <c r="W965" s="1">
        <v>1</v>
      </c>
      <c r="X965" s="1">
        <v>0</v>
      </c>
      <c r="Y965" s="1">
        <v>0</v>
      </c>
      <c r="Z965" s="1">
        <v>0</v>
      </c>
      <c r="AA965" s="1" t="s">
        <v>109</v>
      </c>
      <c r="AB965" s="1">
        <v>2</v>
      </c>
      <c r="AC965" s="1" t="s">
        <v>109</v>
      </c>
      <c r="AD965" s="1" t="s">
        <v>109</v>
      </c>
      <c r="AE965" s="1" t="s">
        <v>109</v>
      </c>
      <c r="AF965" s="1" t="s">
        <v>109</v>
      </c>
      <c r="AG965" s="1" t="s">
        <v>109</v>
      </c>
      <c r="AH965" s="1">
        <v>2</v>
      </c>
      <c r="AI965" s="1" t="s">
        <v>109</v>
      </c>
      <c r="AJ965" s="1">
        <v>2</v>
      </c>
      <c r="AK965" s="1" t="s">
        <v>109</v>
      </c>
      <c r="AL965" s="1" t="s">
        <v>109</v>
      </c>
      <c r="AM965" s="1" t="s">
        <v>109</v>
      </c>
      <c r="AN965" s="1">
        <v>2</v>
      </c>
      <c r="AO965" s="1" t="s">
        <v>109</v>
      </c>
      <c r="AP965" s="1"/>
      <c r="AQ965" s="1">
        <v>2</v>
      </c>
      <c r="AR965" s="1"/>
      <c r="AS965" s="1" t="s">
        <v>8004</v>
      </c>
      <c r="AT965" s="1">
        <v>0</v>
      </c>
      <c r="AU965" s="1">
        <v>0</v>
      </c>
      <c r="AV965" s="1">
        <v>0</v>
      </c>
      <c r="AW965" s="1">
        <v>0</v>
      </c>
      <c r="AX965" s="1">
        <v>0</v>
      </c>
      <c r="AY965" s="1">
        <v>0</v>
      </c>
      <c r="AZ965" s="1">
        <v>0</v>
      </c>
      <c r="BA965" s="1">
        <v>0</v>
      </c>
      <c r="BB965" s="1">
        <v>0</v>
      </c>
      <c r="BC965" s="1">
        <v>0</v>
      </c>
      <c r="BD965" s="1">
        <v>0</v>
      </c>
      <c r="BE965" s="1">
        <v>1</v>
      </c>
      <c r="BF965" s="1">
        <v>0</v>
      </c>
      <c r="BG965" s="1">
        <v>0</v>
      </c>
      <c r="BH965" s="1">
        <v>0</v>
      </c>
      <c r="BI965" s="1">
        <v>0</v>
      </c>
      <c r="BJ965" s="1">
        <v>0</v>
      </c>
      <c r="BK965" s="1">
        <v>0</v>
      </c>
      <c r="BL965" s="1">
        <v>0</v>
      </c>
      <c r="BM965" s="1">
        <v>0</v>
      </c>
      <c r="BN965" s="1">
        <v>0</v>
      </c>
      <c r="BO965" s="1">
        <v>0</v>
      </c>
      <c r="BP965" s="1">
        <v>0</v>
      </c>
      <c r="BQ965" s="1">
        <v>0</v>
      </c>
      <c r="BR965" s="1">
        <v>0</v>
      </c>
      <c r="BS965" s="5" t="str">
        <f>HYPERLINK("http://www.d20pfsrd.com/magic/all-spells/b/blood-transcription","Blood Transcription")</f>
        <v>Blood Transcription</v>
      </c>
      <c r="BT965" s="1">
        <v>1001</v>
      </c>
      <c r="BU965" s="1" t="s">
        <v>109</v>
      </c>
      <c r="BV965" s="1"/>
      <c r="BW965" s="1"/>
      <c r="BX965" s="1"/>
      <c r="BY965" s="1"/>
      <c r="BZ965" s="1">
        <v>0</v>
      </c>
      <c r="CA965" s="1" t="s">
        <v>109</v>
      </c>
      <c r="CB965" s="1" t="s">
        <v>109</v>
      </c>
      <c r="CC965" s="1" t="s">
        <v>109</v>
      </c>
      <c r="CD965" s="1" t="s">
        <v>109</v>
      </c>
      <c r="CE965" s="1" t="s">
        <v>109</v>
      </c>
      <c r="CF965" s="1" t="s">
        <v>109</v>
      </c>
      <c r="CG965" s="1" t="s">
        <v>109</v>
      </c>
      <c r="CH965" s="1" t="s">
        <v>109</v>
      </c>
      <c r="CI965" s="1" t="s">
        <v>109</v>
      </c>
      <c r="CJ965" s="1" t="s">
        <v>109</v>
      </c>
      <c r="CK965" s="1"/>
      <c r="CL965" s="1">
        <v>0</v>
      </c>
      <c r="CM965" s="1">
        <v>0</v>
      </c>
      <c r="CN965" s="1">
        <v>0</v>
      </c>
    </row>
    <row r="966" spans="1:92" ht="14.25" customHeight="1" x14ac:dyDescent="0.15">
      <c r="A966" s="1" t="s">
        <v>8005</v>
      </c>
      <c r="B966" s="1" t="s">
        <v>189</v>
      </c>
      <c r="C966" s="1"/>
      <c r="D966" s="1"/>
      <c r="E966" s="1" t="s">
        <v>8006</v>
      </c>
      <c r="F966" s="1" t="s">
        <v>98</v>
      </c>
      <c r="G966" s="1" t="s">
        <v>141</v>
      </c>
      <c r="H966" s="1">
        <v>0</v>
      </c>
      <c r="I966" s="1" t="s">
        <v>122</v>
      </c>
      <c r="J966" s="1"/>
      <c r="K966" s="1"/>
      <c r="L966" s="1" t="s">
        <v>8007</v>
      </c>
      <c r="M966" s="1" t="s">
        <v>8008</v>
      </c>
      <c r="N966" s="1">
        <v>1</v>
      </c>
      <c r="O966" s="1">
        <v>0</v>
      </c>
      <c r="P966" s="1" t="s">
        <v>6066</v>
      </c>
      <c r="Q966" s="1" t="s">
        <v>268</v>
      </c>
      <c r="R966" s="1" t="s">
        <v>8009</v>
      </c>
      <c r="S966" s="1" t="s">
        <v>8010</v>
      </c>
      <c r="T966" s="1" t="s">
        <v>7821</v>
      </c>
      <c r="U966" s="1" t="s">
        <v>8011</v>
      </c>
      <c r="V966" s="1">
        <v>1</v>
      </c>
      <c r="W966" s="1">
        <v>1</v>
      </c>
      <c r="X966" s="1">
        <v>0</v>
      </c>
      <c r="Y966" s="1">
        <v>0</v>
      </c>
      <c r="Z966" s="1">
        <v>0</v>
      </c>
      <c r="AA966" s="1">
        <v>2</v>
      </c>
      <c r="AB966" s="1">
        <v>2</v>
      </c>
      <c r="AC966" s="1">
        <v>2</v>
      </c>
      <c r="AD966" s="1" t="s">
        <v>109</v>
      </c>
      <c r="AE966" s="1" t="s">
        <v>109</v>
      </c>
      <c r="AF966" s="1">
        <v>2</v>
      </c>
      <c r="AG966" s="1" t="s">
        <v>109</v>
      </c>
      <c r="AH966" s="1" t="s">
        <v>109</v>
      </c>
      <c r="AI966" s="1" t="s">
        <v>109</v>
      </c>
      <c r="AJ966" s="1">
        <v>2</v>
      </c>
      <c r="AK966" s="1" t="s">
        <v>109</v>
      </c>
      <c r="AL966" s="1">
        <v>2</v>
      </c>
      <c r="AM966" s="1" t="s">
        <v>109</v>
      </c>
      <c r="AN966" s="1" t="s">
        <v>109</v>
      </c>
      <c r="AO966" s="1" t="s">
        <v>109</v>
      </c>
      <c r="AP966" s="1"/>
      <c r="AQ966" s="1">
        <v>2</v>
      </c>
      <c r="AR966" s="1"/>
      <c r="AS966" s="1" t="s">
        <v>8012</v>
      </c>
      <c r="AT966" s="1">
        <v>0</v>
      </c>
      <c r="AU966" s="1">
        <v>0</v>
      </c>
      <c r="AV966" s="1">
        <v>0</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5" t="str">
        <f>HYPERLINK("http://www.d20pfsrd.com/magic/all-spells/b/boiling-blood","Boiling Blood")</f>
        <v>Boiling Blood</v>
      </c>
      <c r="BT966" s="1">
        <v>1002</v>
      </c>
      <c r="BU966" s="1" t="s">
        <v>109</v>
      </c>
      <c r="BV966" s="1"/>
      <c r="BW966" s="1"/>
      <c r="BX966" s="1" t="s">
        <v>8013</v>
      </c>
      <c r="BY966" s="1"/>
      <c r="BZ966" s="1">
        <v>1</v>
      </c>
      <c r="CA966" s="1">
        <v>2</v>
      </c>
      <c r="CB966" s="1" t="s">
        <v>109</v>
      </c>
      <c r="CC966" s="1">
        <v>2</v>
      </c>
      <c r="CD966" s="1" t="s">
        <v>109</v>
      </c>
      <c r="CE966" s="1" t="s">
        <v>109</v>
      </c>
      <c r="CF966" s="1" t="s">
        <v>109</v>
      </c>
      <c r="CG966" s="1" t="s">
        <v>109</v>
      </c>
      <c r="CH966" s="1" t="s">
        <v>109</v>
      </c>
      <c r="CI966" s="1" t="s">
        <v>109</v>
      </c>
      <c r="CJ966" s="1" t="s">
        <v>109</v>
      </c>
      <c r="CK966" s="1"/>
      <c r="CL966" s="1">
        <v>0</v>
      </c>
      <c r="CM966" s="1">
        <v>0</v>
      </c>
      <c r="CN966" s="1">
        <v>0</v>
      </c>
    </row>
    <row r="967" spans="1:92" ht="14.25" customHeight="1" x14ac:dyDescent="0.15">
      <c r="A967" s="1" t="s">
        <v>8014</v>
      </c>
      <c r="B967" s="1" t="s">
        <v>156</v>
      </c>
      <c r="C967" s="1" t="s">
        <v>157</v>
      </c>
      <c r="D967" s="1"/>
      <c r="E967" s="1" t="s">
        <v>8015</v>
      </c>
      <c r="F967" s="1" t="s">
        <v>98</v>
      </c>
      <c r="G967" s="1" t="s">
        <v>141</v>
      </c>
      <c r="H967" s="1">
        <v>0</v>
      </c>
      <c r="I967" s="1" t="s">
        <v>142</v>
      </c>
      <c r="J967" s="1"/>
      <c r="K967" s="1"/>
      <c r="L967" s="1" t="s">
        <v>1699</v>
      </c>
      <c r="M967" s="1" t="s">
        <v>8016</v>
      </c>
      <c r="N967" s="1">
        <v>0</v>
      </c>
      <c r="O967" s="1">
        <v>0</v>
      </c>
      <c r="P967" s="1" t="s">
        <v>301</v>
      </c>
      <c r="Q967" s="1" t="s">
        <v>268</v>
      </c>
      <c r="R967" s="1" t="s">
        <v>8017</v>
      </c>
      <c r="S967" s="1" t="s">
        <v>8018</v>
      </c>
      <c r="T967" s="1" t="s">
        <v>7821</v>
      </c>
      <c r="U967" s="1" t="s">
        <v>8019</v>
      </c>
      <c r="V967" s="1">
        <v>1</v>
      </c>
      <c r="W967" s="1">
        <v>1</v>
      </c>
      <c r="X967" s="1">
        <v>0</v>
      </c>
      <c r="Y967" s="1">
        <v>0</v>
      </c>
      <c r="Z967" s="1">
        <v>0</v>
      </c>
      <c r="AA967" s="1">
        <v>1</v>
      </c>
      <c r="AB967" s="1">
        <v>1</v>
      </c>
      <c r="AC967" s="1" t="s">
        <v>109</v>
      </c>
      <c r="AD967" s="1" t="s">
        <v>109</v>
      </c>
      <c r="AE967" s="1" t="s">
        <v>109</v>
      </c>
      <c r="AF967" s="1" t="s">
        <v>109</v>
      </c>
      <c r="AG967" s="1" t="s">
        <v>109</v>
      </c>
      <c r="AH967" s="1" t="s">
        <v>109</v>
      </c>
      <c r="AI967" s="1" t="s">
        <v>109</v>
      </c>
      <c r="AJ967" s="1">
        <v>1</v>
      </c>
      <c r="AK967" s="1" t="s">
        <v>109</v>
      </c>
      <c r="AL967" s="1" t="s">
        <v>109</v>
      </c>
      <c r="AM967" s="1" t="s">
        <v>109</v>
      </c>
      <c r="AN967" s="1" t="s">
        <v>109</v>
      </c>
      <c r="AO967" s="1" t="s">
        <v>109</v>
      </c>
      <c r="AP967" s="1"/>
      <c r="AQ967" s="1">
        <v>1</v>
      </c>
      <c r="AR967" s="1"/>
      <c r="AS967" s="1" t="s">
        <v>8020</v>
      </c>
      <c r="AT967" s="1">
        <v>0</v>
      </c>
      <c r="AU967" s="1">
        <v>0</v>
      </c>
      <c r="AV967" s="1">
        <v>0</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5" t="str">
        <f>HYPERLINK("http://www.d20pfsrd.com/magic/all-spells/b/bungle","Bungle")</f>
        <v>Bungle</v>
      </c>
      <c r="BT967" s="1">
        <v>1003</v>
      </c>
      <c r="BU967" s="1" t="s">
        <v>109</v>
      </c>
      <c r="BV967" s="1"/>
      <c r="BW967" s="1"/>
      <c r="BX967" s="1"/>
      <c r="BY967" s="1"/>
      <c r="BZ967" s="1">
        <v>0</v>
      </c>
      <c r="CA967" s="1" t="s">
        <v>109</v>
      </c>
      <c r="CB967" s="1" t="s">
        <v>109</v>
      </c>
      <c r="CC967" s="1">
        <v>1</v>
      </c>
      <c r="CD967" s="1" t="s">
        <v>109</v>
      </c>
      <c r="CE967" s="1">
        <v>1</v>
      </c>
      <c r="CF967" s="1" t="s">
        <v>109</v>
      </c>
      <c r="CG967" s="1" t="s">
        <v>109</v>
      </c>
      <c r="CH967" s="1" t="s">
        <v>109</v>
      </c>
      <c r="CI967" s="1" t="s">
        <v>109</v>
      </c>
      <c r="CJ967" s="1" t="s">
        <v>109</v>
      </c>
      <c r="CK967" s="1"/>
      <c r="CL967" s="1">
        <v>0</v>
      </c>
      <c r="CM967" s="1">
        <v>0</v>
      </c>
      <c r="CN967" s="1">
        <v>0</v>
      </c>
    </row>
    <row r="968" spans="1:92" ht="14.25" customHeight="1" x14ac:dyDescent="0.15">
      <c r="A968" s="1" t="s">
        <v>8021</v>
      </c>
      <c r="B968" s="1" t="s">
        <v>189</v>
      </c>
      <c r="C968" s="1"/>
      <c r="D968" s="1"/>
      <c r="E968" s="1" t="s">
        <v>8022</v>
      </c>
      <c r="F968" s="1" t="s">
        <v>98</v>
      </c>
      <c r="G968" s="1" t="s">
        <v>141</v>
      </c>
      <c r="H968" s="1">
        <v>0</v>
      </c>
      <c r="I968" s="1" t="s">
        <v>161</v>
      </c>
      <c r="J968" s="1"/>
      <c r="K968" s="1"/>
      <c r="L968" s="1" t="s">
        <v>506</v>
      </c>
      <c r="M968" s="1" t="s">
        <v>3042</v>
      </c>
      <c r="N968" s="1">
        <v>0</v>
      </c>
      <c r="O968" s="1">
        <v>0</v>
      </c>
      <c r="P968" s="1" t="s">
        <v>507</v>
      </c>
      <c r="Q968" s="1" t="s">
        <v>167</v>
      </c>
      <c r="R968" s="1" t="s">
        <v>8023</v>
      </c>
      <c r="S968" s="1" t="s">
        <v>8024</v>
      </c>
      <c r="T968" s="1" t="s">
        <v>7821</v>
      </c>
      <c r="U968" s="1" t="s">
        <v>8025</v>
      </c>
      <c r="V968" s="1">
        <v>1</v>
      </c>
      <c r="W968" s="1">
        <v>1</v>
      </c>
      <c r="X968" s="1">
        <v>0</v>
      </c>
      <c r="Y968" s="1">
        <v>0</v>
      </c>
      <c r="Z968" s="1">
        <v>0</v>
      </c>
      <c r="AA968" s="1">
        <v>3</v>
      </c>
      <c r="AB968" s="1">
        <v>3</v>
      </c>
      <c r="AC968" s="1" t="s">
        <v>109</v>
      </c>
      <c r="AD968" s="1">
        <v>3</v>
      </c>
      <c r="AE968" s="1">
        <v>3</v>
      </c>
      <c r="AF968" s="1" t="s">
        <v>109</v>
      </c>
      <c r="AG968" s="1" t="s">
        <v>109</v>
      </c>
      <c r="AH968" s="1">
        <v>3</v>
      </c>
      <c r="AI968" s="1" t="s">
        <v>109</v>
      </c>
      <c r="AJ968" s="1" t="s">
        <v>109</v>
      </c>
      <c r="AK968" s="1" t="s">
        <v>109</v>
      </c>
      <c r="AL968" s="1" t="s">
        <v>109</v>
      </c>
      <c r="AM968" s="1" t="s">
        <v>109</v>
      </c>
      <c r="AN968" s="1" t="s">
        <v>109</v>
      </c>
      <c r="AO968" s="1" t="s">
        <v>109</v>
      </c>
      <c r="AP968" s="1"/>
      <c r="AQ968" s="1">
        <v>3</v>
      </c>
      <c r="AR968" s="1"/>
      <c r="AS968" s="1" t="s">
        <v>8026</v>
      </c>
      <c r="AT968" s="1">
        <v>0</v>
      </c>
      <c r="AU968" s="1">
        <v>0</v>
      </c>
      <c r="AV968" s="1">
        <v>0</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5" t="str">
        <f>HYPERLINK("http://www.d20pfsrd.com/magic/all-spells/b/burrow","Burrow")</f>
        <v>Burrow</v>
      </c>
      <c r="BT968" s="1">
        <v>1004</v>
      </c>
      <c r="BU968" s="1" t="s">
        <v>109</v>
      </c>
      <c r="BV968" s="1"/>
      <c r="BW968" s="1"/>
      <c r="BX968" s="1" t="s">
        <v>8027</v>
      </c>
      <c r="BY968" s="1" t="s">
        <v>8028</v>
      </c>
      <c r="BZ968" s="1">
        <v>1</v>
      </c>
      <c r="CA968" s="1">
        <v>3</v>
      </c>
      <c r="CB968" s="1" t="s">
        <v>109</v>
      </c>
      <c r="CC968" s="1" t="s">
        <v>109</v>
      </c>
      <c r="CD968" s="1" t="s">
        <v>109</v>
      </c>
      <c r="CE968" s="1" t="s">
        <v>109</v>
      </c>
      <c r="CF968" s="1" t="s">
        <v>109</v>
      </c>
      <c r="CG968" s="1" t="s">
        <v>109</v>
      </c>
      <c r="CH968" s="1" t="s">
        <v>109</v>
      </c>
      <c r="CI968" s="1" t="s">
        <v>109</v>
      </c>
      <c r="CJ968" s="1">
        <v>3</v>
      </c>
      <c r="CK968" s="1"/>
      <c r="CL968" s="1">
        <v>0</v>
      </c>
      <c r="CM968" s="1">
        <v>0</v>
      </c>
      <c r="CN968" s="1">
        <v>0</v>
      </c>
    </row>
    <row r="969" spans="1:92" ht="14.25" customHeight="1" x14ac:dyDescent="0.15">
      <c r="A969" s="1" t="s">
        <v>8029</v>
      </c>
      <c r="B969" s="1" t="s">
        <v>95</v>
      </c>
      <c r="C969" s="1"/>
      <c r="D969" s="1" t="s">
        <v>46</v>
      </c>
      <c r="E969" s="1" t="s">
        <v>3879</v>
      </c>
      <c r="F969" s="1" t="s">
        <v>98</v>
      </c>
      <c r="G969" s="1" t="s">
        <v>141</v>
      </c>
      <c r="H969" s="1">
        <v>0</v>
      </c>
      <c r="I969" s="1" t="s">
        <v>142</v>
      </c>
      <c r="J969" s="1" t="s">
        <v>8030</v>
      </c>
      <c r="K969" s="1"/>
      <c r="L969" s="1"/>
      <c r="M969" s="1" t="s">
        <v>144</v>
      </c>
      <c r="N969" s="1">
        <v>0</v>
      </c>
      <c r="O969" s="1">
        <v>0</v>
      </c>
      <c r="P969" s="1" t="s">
        <v>727</v>
      </c>
      <c r="Q969" s="1" t="s">
        <v>268</v>
      </c>
      <c r="R969" s="1" t="s">
        <v>8031</v>
      </c>
      <c r="S969" s="1" t="s">
        <v>8032</v>
      </c>
      <c r="T969" s="1" t="s">
        <v>7821</v>
      </c>
      <c r="U969" s="1" t="s">
        <v>8033</v>
      </c>
      <c r="V969" s="1">
        <v>1</v>
      </c>
      <c r="W969" s="1">
        <v>1</v>
      </c>
      <c r="X969" s="1">
        <v>0</v>
      </c>
      <c r="Y969" s="1">
        <v>0</v>
      </c>
      <c r="Z969" s="1">
        <v>0</v>
      </c>
      <c r="AA969" s="1" t="s">
        <v>109</v>
      </c>
      <c r="AB969" s="1" t="s">
        <v>109</v>
      </c>
      <c r="AC969" s="1" t="s">
        <v>109</v>
      </c>
      <c r="AD969" s="1">
        <v>3</v>
      </c>
      <c r="AE969" s="1" t="s">
        <v>109</v>
      </c>
      <c r="AF969" s="1" t="s">
        <v>109</v>
      </c>
      <c r="AG969" s="1" t="s">
        <v>109</v>
      </c>
      <c r="AH969" s="1" t="s">
        <v>109</v>
      </c>
      <c r="AI969" s="1" t="s">
        <v>109</v>
      </c>
      <c r="AJ969" s="1" t="s">
        <v>109</v>
      </c>
      <c r="AK969" s="1" t="s">
        <v>109</v>
      </c>
      <c r="AL969" s="1" t="s">
        <v>109</v>
      </c>
      <c r="AM969" s="1" t="s">
        <v>109</v>
      </c>
      <c r="AN969" s="1" t="s">
        <v>109</v>
      </c>
      <c r="AO969" s="1" t="s">
        <v>109</v>
      </c>
      <c r="AP969" s="1"/>
      <c r="AQ969" s="1">
        <v>3</v>
      </c>
      <c r="AR969" s="1"/>
      <c r="AS969" s="1" t="s">
        <v>8034</v>
      </c>
      <c r="AT969" s="1">
        <v>1</v>
      </c>
      <c r="AU969" s="1">
        <v>0</v>
      </c>
      <c r="AV969" s="1">
        <v>0</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5" t="str">
        <f>HYPERLINK("http://www.d20pfsrd.com/magic/all-spells/b/burst-of-nettles","Burst of Nettles")</f>
        <v>Burst of Nettles</v>
      </c>
      <c r="BT969" s="1">
        <v>1005</v>
      </c>
      <c r="BU969" s="1" t="s">
        <v>109</v>
      </c>
      <c r="BV969" s="1"/>
      <c r="BW969" s="1"/>
      <c r="BX969" s="1"/>
      <c r="BY969" s="1"/>
      <c r="BZ969" s="1">
        <v>0</v>
      </c>
      <c r="CA969" s="1" t="s">
        <v>109</v>
      </c>
      <c r="CB969" s="1" t="s">
        <v>109</v>
      </c>
      <c r="CC969" s="1" t="s">
        <v>109</v>
      </c>
      <c r="CD969" s="1" t="s">
        <v>109</v>
      </c>
      <c r="CE969" s="1" t="s">
        <v>109</v>
      </c>
      <c r="CF969" s="1" t="s">
        <v>109</v>
      </c>
      <c r="CG969" s="1" t="s">
        <v>109</v>
      </c>
      <c r="CH969" s="1" t="s">
        <v>109</v>
      </c>
      <c r="CI969" s="1" t="s">
        <v>109</v>
      </c>
      <c r="CJ969" s="1">
        <v>3</v>
      </c>
      <c r="CK969" s="1"/>
      <c r="CL969" s="1">
        <v>0</v>
      </c>
      <c r="CM969" s="1">
        <v>0</v>
      </c>
      <c r="CN969" s="1">
        <v>0</v>
      </c>
    </row>
    <row r="970" spans="1:92" ht="14.25" customHeight="1" x14ac:dyDescent="0.15">
      <c r="A970" s="1" t="s">
        <v>8035</v>
      </c>
      <c r="B970" s="1" t="s">
        <v>674</v>
      </c>
      <c r="C970" s="1" t="s">
        <v>675</v>
      </c>
      <c r="D970" s="1"/>
      <c r="E970" s="1" t="s">
        <v>7200</v>
      </c>
      <c r="F970" s="1" t="s">
        <v>98</v>
      </c>
      <c r="G970" s="1" t="s">
        <v>141</v>
      </c>
      <c r="H970" s="1">
        <v>0</v>
      </c>
      <c r="I970" s="1" t="s">
        <v>142</v>
      </c>
      <c r="J970" s="1"/>
      <c r="K970" s="1"/>
      <c r="L970" s="1" t="s">
        <v>8036</v>
      </c>
      <c r="M970" s="1" t="s">
        <v>1906</v>
      </c>
      <c r="N970" s="1">
        <v>0</v>
      </c>
      <c r="O970" s="1">
        <v>0</v>
      </c>
      <c r="P970" s="1" t="s">
        <v>301</v>
      </c>
      <c r="Q970" s="1" t="s">
        <v>268</v>
      </c>
      <c r="R970" s="1" t="s">
        <v>8037</v>
      </c>
      <c r="S970" s="1" t="s">
        <v>8038</v>
      </c>
      <c r="T970" s="1" t="s">
        <v>7821</v>
      </c>
      <c r="U970" s="1" t="s">
        <v>8039</v>
      </c>
      <c r="V970" s="1">
        <v>1</v>
      </c>
      <c r="W970" s="1">
        <v>1</v>
      </c>
      <c r="X970" s="1">
        <v>0</v>
      </c>
      <c r="Y970" s="1">
        <v>0</v>
      </c>
      <c r="Z970" s="1">
        <v>0</v>
      </c>
      <c r="AA970" s="1" t="s">
        <v>109</v>
      </c>
      <c r="AB970" s="1" t="s">
        <v>109</v>
      </c>
      <c r="AC970" s="1" t="s">
        <v>109</v>
      </c>
      <c r="AD970" s="1" t="s">
        <v>109</v>
      </c>
      <c r="AE970" s="1" t="s">
        <v>109</v>
      </c>
      <c r="AF970" s="1" t="s">
        <v>109</v>
      </c>
      <c r="AG970" s="1" t="s">
        <v>109</v>
      </c>
      <c r="AH970" s="1" t="s">
        <v>109</v>
      </c>
      <c r="AI970" s="1" t="s">
        <v>109</v>
      </c>
      <c r="AJ970" s="1">
        <v>3</v>
      </c>
      <c r="AK970" s="1" t="s">
        <v>109</v>
      </c>
      <c r="AL970" s="1" t="s">
        <v>109</v>
      </c>
      <c r="AM970" s="1" t="s">
        <v>109</v>
      </c>
      <c r="AN970" s="1" t="s">
        <v>109</v>
      </c>
      <c r="AO970" s="1" t="s">
        <v>109</v>
      </c>
      <c r="AP970" s="1"/>
      <c r="AQ970" s="1">
        <v>3</v>
      </c>
      <c r="AR970" s="1"/>
      <c r="AS970" s="1" t="s">
        <v>8040</v>
      </c>
      <c r="AT970" s="1">
        <v>0</v>
      </c>
      <c r="AU970" s="1">
        <v>0</v>
      </c>
      <c r="AV970" s="1">
        <v>0</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5" t="str">
        <f>HYPERLINK("http://www.d20pfsrd.com/magic/all-spells/c/cackling-skull","Cackling Skull")</f>
        <v>Cackling Skull</v>
      </c>
      <c r="BT970" s="1">
        <v>1006</v>
      </c>
      <c r="BU970" s="1" t="s">
        <v>109</v>
      </c>
      <c r="BV970" s="1"/>
      <c r="BW970" s="1"/>
      <c r="BX970" s="1"/>
      <c r="BY970" s="1"/>
      <c r="BZ970" s="1">
        <v>0</v>
      </c>
      <c r="CA970" s="1" t="s">
        <v>109</v>
      </c>
      <c r="CB970" s="1" t="s">
        <v>109</v>
      </c>
      <c r="CC970" s="1" t="s">
        <v>109</v>
      </c>
      <c r="CD970" s="1" t="s">
        <v>109</v>
      </c>
      <c r="CE970" s="1" t="s">
        <v>109</v>
      </c>
      <c r="CF970" s="1" t="s">
        <v>109</v>
      </c>
      <c r="CG970" s="1" t="s">
        <v>109</v>
      </c>
      <c r="CH970" s="1" t="s">
        <v>109</v>
      </c>
      <c r="CI970" s="1" t="s">
        <v>109</v>
      </c>
      <c r="CJ970" s="1" t="s">
        <v>109</v>
      </c>
      <c r="CK970" s="1"/>
      <c r="CL970" s="1">
        <v>0</v>
      </c>
      <c r="CM970" s="1">
        <v>0</v>
      </c>
      <c r="CN970" s="1">
        <v>0</v>
      </c>
    </row>
    <row r="971" spans="1:92" ht="14.25" customHeight="1" x14ac:dyDescent="0.15">
      <c r="A971" s="1" t="s">
        <v>8041</v>
      </c>
      <c r="B971" s="1" t="s">
        <v>95</v>
      </c>
      <c r="C971" s="1" t="s">
        <v>1522</v>
      </c>
      <c r="D971" s="1"/>
      <c r="E971" s="1" t="s">
        <v>8042</v>
      </c>
      <c r="F971" s="1" t="s">
        <v>395</v>
      </c>
      <c r="G971" s="1" t="s">
        <v>8043</v>
      </c>
      <c r="H971" s="1">
        <v>1</v>
      </c>
      <c r="I971" s="1" t="s">
        <v>161</v>
      </c>
      <c r="J971" s="1"/>
      <c r="K971" s="1"/>
      <c r="L971" s="1" t="s">
        <v>8044</v>
      </c>
      <c r="M971" s="1" t="s">
        <v>1906</v>
      </c>
      <c r="N971" s="1">
        <v>0</v>
      </c>
      <c r="O971" s="1">
        <v>0</v>
      </c>
      <c r="P971" s="1" t="s">
        <v>103</v>
      </c>
      <c r="Q971" s="1" t="s">
        <v>104</v>
      </c>
      <c r="R971" s="1" t="s">
        <v>8045</v>
      </c>
      <c r="S971" s="1" t="s">
        <v>8046</v>
      </c>
      <c r="T971" s="1" t="s">
        <v>7821</v>
      </c>
      <c r="U971" s="1" t="s">
        <v>8047</v>
      </c>
      <c r="V971" s="1">
        <v>1</v>
      </c>
      <c r="W971" s="1">
        <v>1</v>
      </c>
      <c r="X971" s="1">
        <v>1</v>
      </c>
      <c r="Y971" s="1">
        <v>0</v>
      </c>
      <c r="Z971" s="1">
        <v>0</v>
      </c>
      <c r="AA971" s="1">
        <v>8</v>
      </c>
      <c r="AB971" s="1">
        <v>8</v>
      </c>
      <c r="AC971" s="1">
        <v>8</v>
      </c>
      <c r="AD971" s="1" t="s">
        <v>109</v>
      </c>
      <c r="AE971" s="1" t="s">
        <v>109</v>
      </c>
      <c r="AF971" s="1" t="s">
        <v>109</v>
      </c>
      <c r="AG971" s="1" t="s">
        <v>109</v>
      </c>
      <c r="AH971" s="1" t="s">
        <v>109</v>
      </c>
      <c r="AI971" s="1" t="s">
        <v>109</v>
      </c>
      <c r="AJ971" s="1" t="s">
        <v>109</v>
      </c>
      <c r="AK971" s="1" t="s">
        <v>109</v>
      </c>
      <c r="AL971" s="1">
        <v>8</v>
      </c>
      <c r="AM971" s="1" t="s">
        <v>109</v>
      </c>
      <c r="AN971" s="1" t="s">
        <v>109</v>
      </c>
      <c r="AO971" s="1" t="s">
        <v>109</v>
      </c>
      <c r="AP971" s="1"/>
      <c r="AQ971" s="1">
        <v>8</v>
      </c>
      <c r="AR971" s="1"/>
      <c r="AS971" s="1" t="s">
        <v>8048</v>
      </c>
      <c r="AT971" s="1">
        <v>0</v>
      </c>
      <c r="AU971" s="1">
        <v>0</v>
      </c>
      <c r="AV971" s="1">
        <v>0</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5" t="str">
        <f>HYPERLINK("http://www.d20pfsrd.com/magic/all-spells/c/call-construct","Call Construct")</f>
        <v>Call Construct</v>
      </c>
      <c r="BT971" s="1">
        <v>1007</v>
      </c>
      <c r="BU971" s="1">
        <v>5000</v>
      </c>
      <c r="BV971" s="1"/>
      <c r="BW971" s="1"/>
      <c r="BX971" s="1"/>
      <c r="BY971" s="1"/>
      <c r="BZ971" s="1">
        <v>0</v>
      </c>
      <c r="CA971" s="1" t="s">
        <v>109</v>
      </c>
      <c r="CB971" s="1" t="s">
        <v>109</v>
      </c>
      <c r="CC971" s="1">
        <v>8</v>
      </c>
      <c r="CD971" s="1" t="s">
        <v>109</v>
      </c>
      <c r="CE971" s="1" t="s">
        <v>109</v>
      </c>
      <c r="CF971" s="1">
        <v>6</v>
      </c>
      <c r="CG971" s="1" t="s">
        <v>109</v>
      </c>
      <c r="CH971" s="1" t="s">
        <v>109</v>
      </c>
      <c r="CI971" s="1" t="s">
        <v>109</v>
      </c>
      <c r="CJ971" s="1" t="s">
        <v>109</v>
      </c>
      <c r="CK971" s="1"/>
      <c r="CL971" s="1">
        <v>0</v>
      </c>
      <c r="CM971" s="1">
        <v>0</v>
      </c>
      <c r="CN971" s="1">
        <v>0</v>
      </c>
    </row>
    <row r="972" spans="1:92" ht="14.25" customHeight="1" x14ac:dyDescent="0.15">
      <c r="A972" s="1" t="s">
        <v>8049</v>
      </c>
      <c r="B972" s="1" t="s">
        <v>95</v>
      </c>
      <c r="C972" s="1" t="s">
        <v>1179</v>
      </c>
      <c r="D972" s="1"/>
      <c r="E972" s="1" t="s">
        <v>8050</v>
      </c>
      <c r="F972" s="1" t="s">
        <v>98</v>
      </c>
      <c r="G972" s="1" t="s">
        <v>141</v>
      </c>
      <c r="H972" s="1">
        <v>0</v>
      </c>
      <c r="I972" s="1" t="s">
        <v>235</v>
      </c>
      <c r="J972" s="1"/>
      <c r="K972" s="1"/>
      <c r="L972" s="1" t="s">
        <v>236</v>
      </c>
      <c r="M972" s="1" t="s">
        <v>574</v>
      </c>
      <c r="N972" s="1">
        <v>1</v>
      </c>
      <c r="O972" s="1">
        <v>0</v>
      </c>
      <c r="P972" s="1"/>
      <c r="Q972" s="1"/>
      <c r="R972" s="1" t="s">
        <v>8051</v>
      </c>
      <c r="S972" s="1" t="s">
        <v>8052</v>
      </c>
      <c r="T972" s="1" t="s">
        <v>7821</v>
      </c>
      <c r="U972" s="1" t="s">
        <v>8053</v>
      </c>
      <c r="V972" s="1">
        <v>1</v>
      </c>
      <c r="W972" s="1">
        <v>1</v>
      </c>
      <c r="X972" s="1">
        <v>0</v>
      </c>
      <c r="Y972" s="1">
        <v>0</v>
      </c>
      <c r="Z972" s="1">
        <v>0</v>
      </c>
      <c r="AA972" s="1" t="s">
        <v>109</v>
      </c>
      <c r="AB972" s="1" t="s">
        <v>109</v>
      </c>
      <c r="AC972" s="1" t="s">
        <v>109</v>
      </c>
      <c r="AD972" s="1">
        <v>4</v>
      </c>
      <c r="AE972" s="1" t="s">
        <v>109</v>
      </c>
      <c r="AF972" s="1" t="s">
        <v>109</v>
      </c>
      <c r="AG972" s="1" t="s">
        <v>109</v>
      </c>
      <c r="AH972" s="1" t="s">
        <v>109</v>
      </c>
      <c r="AI972" s="1" t="s">
        <v>109</v>
      </c>
      <c r="AJ972" s="1">
        <v>4</v>
      </c>
      <c r="AK972" s="1" t="s">
        <v>109</v>
      </c>
      <c r="AL972" s="1" t="s">
        <v>109</v>
      </c>
      <c r="AM972" s="1" t="s">
        <v>109</v>
      </c>
      <c r="AN972" s="1" t="s">
        <v>109</v>
      </c>
      <c r="AO972" s="1" t="s">
        <v>109</v>
      </c>
      <c r="AP972" s="1"/>
      <c r="AQ972" s="1">
        <v>4</v>
      </c>
      <c r="AR972" s="1"/>
      <c r="AS972" s="1" t="s">
        <v>8054</v>
      </c>
      <c r="AT972" s="1">
        <v>0</v>
      </c>
      <c r="AU972" s="1">
        <v>0</v>
      </c>
      <c r="AV972" s="1">
        <v>0</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5" t="str">
        <f>HYPERLINK("http://www.d20pfsrd.com/magic/all-spells/c/cape-of-wasps","Cape of Wasps")</f>
        <v>Cape of Wasps</v>
      </c>
      <c r="BT972" s="1">
        <v>1008</v>
      </c>
      <c r="BU972" s="1" t="s">
        <v>109</v>
      </c>
      <c r="BV972" s="1"/>
      <c r="BW972" s="1"/>
      <c r="BX972" s="1" t="s">
        <v>8055</v>
      </c>
      <c r="BY972" s="1"/>
      <c r="BZ972" s="1">
        <v>1</v>
      </c>
      <c r="CA972" s="1" t="s">
        <v>109</v>
      </c>
      <c r="CB972" s="1" t="s">
        <v>109</v>
      </c>
      <c r="CC972" s="1" t="s">
        <v>109</v>
      </c>
      <c r="CD972" s="1" t="s">
        <v>109</v>
      </c>
      <c r="CE972" s="1" t="s">
        <v>109</v>
      </c>
      <c r="CF972" s="1" t="s">
        <v>109</v>
      </c>
      <c r="CG972" s="1" t="s">
        <v>109</v>
      </c>
      <c r="CH972" s="1" t="s">
        <v>109</v>
      </c>
      <c r="CI972" s="1" t="s">
        <v>109</v>
      </c>
      <c r="CJ972" s="1">
        <v>4</v>
      </c>
      <c r="CK972" s="1"/>
      <c r="CL972" s="1">
        <v>0</v>
      </c>
      <c r="CM972" s="1">
        <v>0</v>
      </c>
      <c r="CN972" s="1">
        <v>0</v>
      </c>
    </row>
    <row r="973" spans="1:92" ht="14.25" customHeight="1" x14ac:dyDescent="0.15">
      <c r="A973" s="1" t="s">
        <v>8056</v>
      </c>
      <c r="B973" s="1" t="s">
        <v>95</v>
      </c>
      <c r="C973" s="1" t="s">
        <v>96</v>
      </c>
      <c r="D973" s="1" t="s">
        <v>46</v>
      </c>
      <c r="E973" s="1" t="s">
        <v>1101</v>
      </c>
      <c r="F973" s="1" t="s">
        <v>98</v>
      </c>
      <c r="G973" s="1" t="s">
        <v>141</v>
      </c>
      <c r="H973" s="1">
        <v>0</v>
      </c>
      <c r="I973" s="1" t="s">
        <v>1192</v>
      </c>
      <c r="J973" s="1" t="s">
        <v>5885</v>
      </c>
      <c r="K973" s="1"/>
      <c r="L973" s="1"/>
      <c r="M973" s="1" t="s">
        <v>8057</v>
      </c>
      <c r="N973" s="1">
        <v>0</v>
      </c>
      <c r="O973" s="1">
        <v>0</v>
      </c>
      <c r="P973" s="1" t="s">
        <v>8058</v>
      </c>
      <c r="Q973" s="1" t="s">
        <v>104</v>
      </c>
      <c r="R973" s="1" t="s">
        <v>8059</v>
      </c>
      <c r="S973" s="1" t="s">
        <v>8060</v>
      </c>
      <c r="T973" s="1" t="s">
        <v>7821</v>
      </c>
      <c r="U973" s="1" t="s">
        <v>8061</v>
      </c>
      <c r="V973" s="1">
        <v>1</v>
      </c>
      <c r="W973" s="1">
        <v>1</v>
      </c>
      <c r="X973" s="1">
        <v>0</v>
      </c>
      <c r="Y973" s="1">
        <v>0</v>
      </c>
      <c r="Z973" s="1">
        <v>0</v>
      </c>
      <c r="AA973" s="1">
        <v>7</v>
      </c>
      <c r="AB973" s="1">
        <v>7</v>
      </c>
      <c r="AC973" s="1" t="s">
        <v>109</v>
      </c>
      <c r="AD973" s="1" t="s">
        <v>109</v>
      </c>
      <c r="AE973" s="1" t="s">
        <v>109</v>
      </c>
      <c r="AF973" s="1" t="s">
        <v>109</v>
      </c>
      <c r="AG973" s="1" t="s">
        <v>109</v>
      </c>
      <c r="AH973" s="1" t="s">
        <v>109</v>
      </c>
      <c r="AI973" s="1" t="s">
        <v>109</v>
      </c>
      <c r="AJ973" s="1" t="s">
        <v>109</v>
      </c>
      <c r="AK973" s="1" t="s">
        <v>109</v>
      </c>
      <c r="AL973" s="1" t="s">
        <v>109</v>
      </c>
      <c r="AM973" s="1" t="s">
        <v>109</v>
      </c>
      <c r="AN973" s="1" t="s">
        <v>109</v>
      </c>
      <c r="AO973" s="1" t="s">
        <v>109</v>
      </c>
      <c r="AP973" s="1"/>
      <c r="AQ973" s="1">
        <v>7</v>
      </c>
      <c r="AR973" s="1"/>
      <c r="AS973" s="1" t="s">
        <v>8062</v>
      </c>
      <c r="AT973" s="1">
        <v>1</v>
      </c>
      <c r="AU973" s="1">
        <v>0</v>
      </c>
      <c r="AV973" s="1">
        <v>0</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5" t="str">
        <f>HYPERLINK("http://www.d20pfsrd.com/magic/all-spells/c/caustic-eruption","Caustic Eruption")</f>
        <v>Caustic Eruption</v>
      </c>
      <c r="BT973" s="1">
        <v>1009</v>
      </c>
      <c r="BU973" s="1" t="s">
        <v>109</v>
      </c>
      <c r="BV973" s="1"/>
      <c r="BW973" s="1"/>
      <c r="BX973" s="1"/>
      <c r="BY973" s="1"/>
      <c r="BZ973" s="1">
        <v>0</v>
      </c>
      <c r="CA973" s="1" t="s">
        <v>109</v>
      </c>
      <c r="CB973" s="1" t="s">
        <v>109</v>
      </c>
      <c r="CC973" s="1" t="s">
        <v>109</v>
      </c>
      <c r="CD973" s="1" t="s">
        <v>109</v>
      </c>
      <c r="CE973" s="1" t="s">
        <v>109</v>
      </c>
      <c r="CF973" s="1" t="s">
        <v>109</v>
      </c>
      <c r="CG973" s="1" t="s">
        <v>109</v>
      </c>
      <c r="CH973" s="1" t="s">
        <v>109</v>
      </c>
      <c r="CI973" s="1" t="s">
        <v>109</v>
      </c>
      <c r="CJ973" s="1" t="s">
        <v>109</v>
      </c>
      <c r="CK973" s="1"/>
      <c r="CL973" s="1">
        <v>0</v>
      </c>
      <c r="CM973" s="1">
        <v>0</v>
      </c>
      <c r="CN973" s="1">
        <v>0</v>
      </c>
    </row>
    <row r="974" spans="1:92" ht="14.25" customHeight="1" x14ac:dyDescent="0.15">
      <c r="A974" s="1" t="s">
        <v>8063</v>
      </c>
      <c r="B974" s="1" t="s">
        <v>584</v>
      </c>
      <c r="C974" s="1"/>
      <c r="D974" s="1"/>
      <c r="E974" s="1" t="s">
        <v>7117</v>
      </c>
      <c r="F974" s="1" t="s">
        <v>98</v>
      </c>
      <c r="G974" s="1" t="s">
        <v>141</v>
      </c>
      <c r="H974" s="1">
        <v>0</v>
      </c>
      <c r="I974" s="1" t="s">
        <v>725</v>
      </c>
      <c r="J974" s="1" t="s">
        <v>726</v>
      </c>
      <c r="K974" s="1"/>
      <c r="L974" s="1"/>
      <c r="M974" s="1" t="s">
        <v>144</v>
      </c>
      <c r="N974" s="1">
        <v>0</v>
      </c>
      <c r="O974" s="1">
        <v>0</v>
      </c>
      <c r="P974" s="1" t="s">
        <v>2092</v>
      </c>
      <c r="Q974" s="1" t="s">
        <v>104</v>
      </c>
      <c r="R974" s="1" t="s">
        <v>8064</v>
      </c>
      <c r="S974" s="1" t="s">
        <v>8065</v>
      </c>
      <c r="T974" s="1" t="s">
        <v>7821</v>
      </c>
      <c r="U974" s="1" t="s">
        <v>8066</v>
      </c>
      <c r="V974" s="1">
        <v>1</v>
      </c>
      <c r="W974" s="1">
        <v>1</v>
      </c>
      <c r="X974" s="1">
        <v>0</v>
      </c>
      <c r="Y974" s="1">
        <v>0</v>
      </c>
      <c r="Z974" s="1">
        <v>0</v>
      </c>
      <c r="AA974" s="1" t="s">
        <v>109</v>
      </c>
      <c r="AB974" s="1" t="s">
        <v>109</v>
      </c>
      <c r="AC974" s="1" t="s">
        <v>109</v>
      </c>
      <c r="AD974" s="1" t="s">
        <v>109</v>
      </c>
      <c r="AE974" s="1" t="s">
        <v>109</v>
      </c>
      <c r="AF974" s="1">
        <v>1</v>
      </c>
      <c r="AG974" s="1" t="s">
        <v>109</v>
      </c>
      <c r="AH974" s="1" t="s">
        <v>109</v>
      </c>
      <c r="AI974" s="1" t="s">
        <v>109</v>
      </c>
      <c r="AJ974" s="1" t="s">
        <v>109</v>
      </c>
      <c r="AK974" s="1" t="s">
        <v>109</v>
      </c>
      <c r="AL974" s="1" t="s">
        <v>109</v>
      </c>
      <c r="AM974" s="1" t="s">
        <v>109</v>
      </c>
      <c r="AN974" s="1" t="s">
        <v>109</v>
      </c>
      <c r="AO974" s="1" t="s">
        <v>109</v>
      </c>
      <c r="AP974" s="1"/>
      <c r="AQ974" s="1">
        <v>1</v>
      </c>
      <c r="AR974" s="1"/>
      <c r="AS974" s="1" t="s">
        <v>8067</v>
      </c>
      <c r="AT974" s="1">
        <v>0</v>
      </c>
      <c r="AU974" s="1">
        <v>0</v>
      </c>
      <c r="AV974" s="1">
        <v>0</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5" t="str">
        <f>HYPERLINK("http://www.d20pfsrd.com/magic/all-spells/c/chord-of-shards","Chord of Shards")</f>
        <v>Chord of Shards</v>
      </c>
      <c r="BT974" s="1">
        <v>1010</v>
      </c>
      <c r="BU974" s="1" t="s">
        <v>109</v>
      </c>
      <c r="BV974" s="1"/>
      <c r="BW974" s="1"/>
      <c r="BX974" s="1" t="s">
        <v>8068</v>
      </c>
      <c r="BY974" s="1"/>
      <c r="BZ974" s="1">
        <v>1</v>
      </c>
      <c r="CA974" s="1" t="s">
        <v>109</v>
      </c>
      <c r="CB974" s="1" t="s">
        <v>109</v>
      </c>
      <c r="CC974" s="1" t="s">
        <v>109</v>
      </c>
      <c r="CD974" s="1" t="s">
        <v>109</v>
      </c>
      <c r="CE974" s="1" t="s">
        <v>109</v>
      </c>
      <c r="CF974" s="1" t="s">
        <v>109</v>
      </c>
      <c r="CG974" s="1" t="s">
        <v>109</v>
      </c>
      <c r="CH974" s="1" t="s">
        <v>109</v>
      </c>
      <c r="CI974" s="1" t="s">
        <v>109</v>
      </c>
      <c r="CJ974" s="1" t="s">
        <v>109</v>
      </c>
      <c r="CK974" s="1"/>
      <c r="CL974" s="1">
        <v>0</v>
      </c>
      <c r="CM974" s="1">
        <v>0</v>
      </c>
      <c r="CN974" s="1">
        <v>0</v>
      </c>
    </row>
    <row r="975" spans="1:92" ht="14.25" customHeight="1" x14ac:dyDescent="0.15">
      <c r="A975" s="1" t="s">
        <v>8069</v>
      </c>
      <c r="B975" s="1" t="s">
        <v>242</v>
      </c>
      <c r="C975" s="1"/>
      <c r="D975" s="1"/>
      <c r="E975" s="1" t="s">
        <v>8070</v>
      </c>
      <c r="F975" s="1" t="s">
        <v>98</v>
      </c>
      <c r="G975" s="1" t="s">
        <v>8071</v>
      </c>
      <c r="H975" s="1">
        <v>1</v>
      </c>
      <c r="I975" s="1" t="s">
        <v>122</v>
      </c>
      <c r="J975" s="1"/>
      <c r="K975" s="1" t="s">
        <v>4457</v>
      </c>
      <c r="L975" s="1"/>
      <c r="M975" s="1" t="s">
        <v>574</v>
      </c>
      <c r="N975" s="1">
        <v>1</v>
      </c>
      <c r="O975" s="1">
        <v>0</v>
      </c>
      <c r="P975" s="1" t="s">
        <v>507</v>
      </c>
      <c r="Q975" s="1" t="s">
        <v>167</v>
      </c>
      <c r="R975" s="1" t="s">
        <v>8072</v>
      </c>
      <c r="S975" s="1" t="s">
        <v>8073</v>
      </c>
      <c r="T975" s="1" t="s">
        <v>7821</v>
      </c>
      <c r="U975" s="1" t="s">
        <v>8074</v>
      </c>
      <c r="V975" s="1">
        <v>1</v>
      </c>
      <c r="W975" s="1">
        <v>1</v>
      </c>
      <c r="X975" s="1">
        <v>0</v>
      </c>
      <c r="Y975" s="1">
        <v>0</v>
      </c>
      <c r="Z975" s="1">
        <v>0</v>
      </c>
      <c r="AA975" s="1">
        <v>7</v>
      </c>
      <c r="AB975" s="1">
        <v>7</v>
      </c>
      <c r="AC975" s="1">
        <v>7</v>
      </c>
      <c r="AD975" s="1" t="s">
        <v>109</v>
      </c>
      <c r="AE975" s="1" t="s">
        <v>109</v>
      </c>
      <c r="AF975" s="1" t="s">
        <v>109</v>
      </c>
      <c r="AG975" s="1" t="s">
        <v>109</v>
      </c>
      <c r="AH975" s="1" t="s">
        <v>109</v>
      </c>
      <c r="AI975" s="1" t="s">
        <v>109</v>
      </c>
      <c r="AJ975" s="1" t="s">
        <v>109</v>
      </c>
      <c r="AK975" s="1" t="s">
        <v>109</v>
      </c>
      <c r="AL975" s="1">
        <v>7</v>
      </c>
      <c r="AM975" s="1" t="s">
        <v>109</v>
      </c>
      <c r="AN975" s="1" t="s">
        <v>109</v>
      </c>
      <c r="AO975" s="1" t="s">
        <v>109</v>
      </c>
      <c r="AP975" s="1"/>
      <c r="AQ975" s="1">
        <v>7</v>
      </c>
      <c r="AR975" s="1" t="s">
        <v>8075</v>
      </c>
      <c r="AS975" s="1" t="s">
        <v>8076</v>
      </c>
      <c r="AT975" s="1">
        <v>0</v>
      </c>
      <c r="AU975" s="1">
        <v>0</v>
      </c>
      <c r="AV975" s="1">
        <v>0</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0</v>
      </c>
      <c r="BS975" s="5" t="str">
        <f>HYPERLINK("http://www.d20pfsrd.com/magic/all-spells/c/circle-of-clarity","Circle of Clarity")</f>
        <v>Circle of Clarity</v>
      </c>
      <c r="BT975" s="1">
        <v>1011</v>
      </c>
      <c r="BU975" s="1">
        <v>100</v>
      </c>
      <c r="BV975" s="1"/>
      <c r="BW975" s="1" t="s">
        <v>8077</v>
      </c>
      <c r="BX975" s="1"/>
      <c r="BY975" s="1"/>
      <c r="BZ975" s="1">
        <v>0</v>
      </c>
      <c r="CA975" s="1" t="s">
        <v>109</v>
      </c>
      <c r="CB975" s="1">
        <v>8</v>
      </c>
      <c r="CC975" s="1">
        <v>7</v>
      </c>
      <c r="CD975" s="1" t="s">
        <v>109</v>
      </c>
      <c r="CE975" s="1" t="s">
        <v>109</v>
      </c>
      <c r="CF975" s="1" t="s">
        <v>109</v>
      </c>
      <c r="CG975" s="1" t="s">
        <v>109</v>
      </c>
      <c r="CH975" s="1" t="s">
        <v>109</v>
      </c>
      <c r="CI975" s="1" t="s">
        <v>109</v>
      </c>
      <c r="CJ975" s="1" t="s">
        <v>109</v>
      </c>
      <c r="CK975" s="1"/>
      <c r="CL975" s="1">
        <v>0</v>
      </c>
      <c r="CM975" s="1">
        <v>0</v>
      </c>
      <c r="CN975" s="1">
        <v>0</v>
      </c>
    </row>
    <row r="976" spans="1:92" ht="14.25" customHeight="1" x14ac:dyDescent="0.15">
      <c r="A976" s="1" t="s">
        <v>8078</v>
      </c>
      <c r="B976" s="1" t="s">
        <v>584</v>
      </c>
      <c r="C976" s="1"/>
      <c r="D976" s="1" t="s">
        <v>49</v>
      </c>
      <c r="E976" s="1" t="s">
        <v>8079</v>
      </c>
      <c r="F976" s="1" t="s">
        <v>6545</v>
      </c>
      <c r="G976" s="1" t="s">
        <v>141</v>
      </c>
      <c r="H976" s="1">
        <v>0</v>
      </c>
      <c r="I976" s="1" t="s">
        <v>1192</v>
      </c>
      <c r="J976" s="1" t="s">
        <v>8080</v>
      </c>
      <c r="K976" s="1"/>
      <c r="L976" s="1"/>
      <c r="M976" s="1" t="s">
        <v>144</v>
      </c>
      <c r="N976" s="1">
        <v>0</v>
      </c>
      <c r="O976" s="1">
        <v>0</v>
      </c>
      <c r="P976" s="1" t="s">
        <v>727</v>
      </c>
      <c r="Q976" s="1" t="s">
        <v>268</v>
      </c>
      <c r="R976" s="1" t="s">
        <v>8081</v>
      </c>
      <c r="S976" s="1" t="s">
        <v>8082</v>
      </c>
      <c r="T976" s="1" t="s">
        <v>7821</v>
      </c>
      <c r="U976" s="1" t="s">
        <v>8083</v>
      </c>
      <c r="V976" s="1">
        <v>1</v>
      </c>
      <c r="W976" s="1">
        <v>1</v>
      </c>
      <c r="X976" s="1">
        <v>0</v>
      </c>
      <c r="Y976" s="1">
        <v>0</v>
      </c>
      <c r="Z976" s="1">
        <v>0</v>
      </c>
      <c r="AA976" s="1">
        <v>6</v>
      </c>
      <c r="AB976" s="1">
        <v>6</v>
      </c>
      <c r="AC976" s="1">
        <v>6</v>
      </c>
      <c r="AD976" s="1" t="s">
        <v>109</v>
      </c>
      <c r="AE976" s="1" t="s">
        <v>109</v>
      </c>
      <c r="AF976" s="1" t="s">
        <v>109</v>
      </c>
      <c r="AG976" s="1" t="s">
        <v>109</v>
      </c>
      <c r="AH976" s="1" t="s">
        <v>109</v>
      </c>
      <c r="AI976" s="1" t="s">
        <v>109</v>
      </c>
      <c r="AJ976" s="1" t="s">
        <v>109</v>
      </c>
      <c r="AK976" s="1" t="s">
        <v>109</v>
      </c>
      <c r="AL976" s="1">
        <v>6</v>
      </c>
      <c r="AM976" s="1" t="s">
        <v>109</v>
      </c>
      <c r="AN976" s="1" t="s">
        <v>109</v>
      </c>
      <c r="AO976" s="1" t="s">
        <v>109</v>
      </c>
      <c r="AP976" s="1"/>
      <c r="AQ976" s="1">
        <v>6</v>
      </c>
      <c r="AR976" s="1"/>
      <c r="AS976" s="1" t="s">
        <v>8084</v>
      </c>
      <c r="AT976" s="1">
        <v>0</v>
      </c>
      <c r="AU976" s="1">
        <v>0</v>
      </c>
      <c r="AV976" s="1">
        <v>0</v>
      </c>
      <c r="AW976" s="1">
        <v>1</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5" t="str">
        <f>HYPERLINK("http://www.d20pfsrd.com/magic/all-spells/c/cold-ice-strike","Cold Ice Strike")</f>
        <v>Cold Ice Strike</v>
      </c>
      <c r="BT976" s="1">
        <v>1012</v>
      </c>
      <c r="BU976" s="1" t="s">
        <v>109</v>
      </c>
      <c r="BV976" s="1"/>
      <c r="BW976" s="1"/>
      <c r="BX976" s="1"/>
      <c r="BY976" s="1"/>
      <c r="BZ976" s="1">
        <v>0</v>
      </c>
      <c r="CA976" s="1" t="s">
        <v>109</v>
      </c>
      <c r="CB976" s="1" t="s">
        <v>109</v>
      </c>
      <c r="CC976" s="1" t="s">
        <v>109</v>
      </c>
      <c r="CD976" s="1" t="s">
        <v>109</v>
      </c>
      <c r="CE976" s="1" t="s">
        <v>109</v>
      </c>
      <c r="CF976" s="1">
        <v>6</v>
      </c>
      <c r="CG976" s="1" t="s">
        <v>109</v>
      </c>
      <c r="CH976" s="1" t="s">
        <v>109</v>
      </c>
      <c r="CI976" s="1" t="s">
        <v>109</v>
      </c>
      <c r="CJ976" s="1" t="s">
        <v>109</v>
      </c>
      <c r="CK976" s="1"/>
      <c r="CL976" s="1">
        <v>0</v>
      </c>
      <c r="CM976" s="1">
        <v>0</v>
      </c>
      <c r="CN976" s="1">
        <v>0</v>
      </c>
    </row>
    <row r="977" spans="1:92" ht="14.25" customHeight="1" x14ac:dyDescent="0.15">
      <c r="A977" s="1" t="s">
        <v>8085</v>
      </c>
      <c r="B977" s="1" t="s">
        <v>156</v>
      </c>
      <c r="C977" s="1" t="s">
        <v>157</v>
      </c>
      <c r="D977" s="1" t="s">
        <v>8086</v>
      </c>
      <c r="E977" s="1" t="s">
        <v>8087</v>
      </c>
      <c r="F977" s="1" t="s">
        <v>98</v>
      </c>
      <c r="G977" s="1" t="s">
        <v>141</v>
      </c>
      <c r="H977" s="1">
        <v>0</v>
      </c>
      <c r="I977" s="1" t="s">
        <v>142</v>
      </c>
      <c r="J977" s="1"/>
      <c r="K977" s="1"/>
      <c r="L977" s="1" t="s">
        <v>1391</v>
      </c>
      <c r="M977" s="1" t="s">
        <v>125</v>
      </c>
      <c r="N977" s="1">
        <v>0</v>
      </c>
      <c r="O977" s="1">
        <v>0</v>
      </c>
      <c r="P977" s="1" t="s">
        <v>301</v>
      </c>
      <c r="Q977" s="1" t="s">
        <v>268</v>
      </c>
      <c r="R977" s="1" t="s">
        <v>8088</v>
      </c>
      <c r="S977" s="1" t="s">
        <v>8089</v>
      </c>
      <c r="T977" s="1" t="s">
        <v>7821</v>
      </c>
      <c r="U977" s="1" t="s">
        <v>8090</v>
      </c>
      <c r="V977" s="1">
        <v>1</v>
      </c>
      <c r="W977" s="1">
        <v>1</v>
      </c>
      <c r="X977" s="1">
        <v>0</v>
      </c>
      <c r="Y977" s="1">
        <v>0</v>
      </c>
      <c r="Z977" s="1">
        <v>0</v>
      </c>
      <c r="AA977" s="1">
        <v>2</v>
      </c>
      <c r="AB977" s="1">
        <v>2</v>
      </c>
      <c r="AC977" s="1">
        <v>2</v>
      </c>
      <c r="AD977" s="1" t="s">
        <v>109</v>
      </c>
      <c r="AE977" s="1" t="s">
        <v>109</v>
      </c>
      <c r="AF977" s="1">
        <v>2</v>
      </c>
      <c r="AG977" s="1" t="s">
        <v>109</v>
      </c>
      <c r="AH977" s="1" t="s">
        <v>109</v>
      </c>
      <c r="AI977" s="1" t="s">
        <v>109</v>
      </c>
      <c r="AJ977" s="1" t="s">
        <v>109</v>
      </c>
      <c r="AK977" s="1" t="s">
        <v>109</v>
      </c>
      <c r="AL977" s="1">
        <v>2</v>
      </c>
      <c r="AM977" s="1" t="s">
        <v>109</v>
      </c>
      <c r="AN977" s="1" t="s">
        <v>109</v>
      </c>
      <c r="AO977" s="1" t="s">
        <v>109</v>
      </c>
      <c r="AP977" s="1"/>
      <c r="AQ977" s="1">
        <v>2</v>
      </c>
      <c r="AR977" s="1"/>
      <c r="AS977" s="1" t="s">
        <v>8091</v>
      </c>
      <c r="AT977" s="1">
        <v>0</v>
      </c>
      <c r="AU977" s="1">
        <v>0</v>
      </c>
      <c r="AV977" s="1">
        <v>0</v>
      </c>
      <c r="AW977" s="1">
        <v>0</v>
      </c>
      <c r="AX977" s="1">
        <v>0</v>
      </c>
      <c r="AY977" s="1">
        <v>0</v>
      </c>
      <c r="AZ977" s="1">
        <v>0</v>
      </c>
      <c r="BA977" s="1">
        <v>0</v>
      </c>
      <c r="BB977" s="1">
        <v>0</v>
      </c>
      <c r="BC977" s="1">
        <v>0</v>
      </c>
      <c r="BD977" s="1">
        <v>1</v>
      </c>
      <c r="BE977" s="1">
        <v>0</v>
      </c>
      <c r="BF977" s="1">
        <v>0</v>
      </c>
      <c r="BG977" s="1">
        <v>0</v>
      </c>
      <c r="BH977" s="1">
        <v>0</v>
      </c>
      <c r="BI977" s="1">
        <v>0</v>
      </c>
      <c r="BJ977" s="1">
        <v>0</v>
      </c>
      <c r="BK977" s="1">
        <v>0</v>
      </c>
      <c r="BL977" s="1">
        <v>0</v>
      </c>
      <c r="BM977" s="1">
        <v>1</v>
      </c>
      <c r="BN977" s="1">
        <v>0</v>
      </c>
      <c r="BO977" s="1">
        <v>0</v>
      </c>
      <c r="BP977" s="1">
        <v>0</v>
      </c>
      <c r="BQ977" s="1">
        <v>0</v>
      </c>
      <c r="BR977" s="1">
        <v>0</v>
      </c>
      <c r="BS977" s="5" t="str">
        <f>HYPERLINK("http://www.d20pfsrd.com/magic/all-spells/c/compassionate-ally","Compassionate Ally")</f>
        <v>Compassionate Ally</v>
      </c>
      <c r="BT977" s="1">
        <v>1013</v>
      </c>
      <c r="BU977" s="1" t="s">
        <v>109</v>
      </c>
      <c r="BV977" s="1"/>
      <c r="BW977" s="1"/>
      <c r="BX977" s="1"/>
      <c r="BY977" s="1"/>
      <c r="BZ977" s="1">
        <v>0</v>
      </c>
      <c r="CA977" s="1" t="s">
        <v>109</v>
      </c>
      <c r="CB977" s="1" t="s">
        <v>109</v>
      </c>
      <c r="CC977" s="1">
        <v>2</v>
      </c>
      <c r="CD977" s="1" t="s">
        <v>109</v>
      </c>
      <c r="CE977" s="1">
        <v>2</v>
      </c>
      <c r="CF977" s="1" t="s">
        <v>109</v>
      </c>
      <c r="CG977" s="1" t="s">
        <v>109</v>
      </c>
      <c r="CH977" s="1" t="s">
        <v>109</v>
      </c>
      <c r="CI977" s="1" t="s">
        <v>109</v>
      </c>
      <c r="CJ977" s="1" t="s">
        <v>109</v>
      </c>
      <c r="CK977" s="1"/>
      <c r="CL977" s="1">
        <v>0</v>
      </c>
      <c r="CM977" s="1">
        <v>0</v>
      </c>
      <c r="CN977" s="1">
        <v>0</v>
      </c>
    </row>
    <row r="978" spans="1:92" ht="14.25" customHeight="1" x14ac:dyDescent="0.15">
      <c r="A978" s="1" t="s">
        <v>8092</v>
      </c>
      <c r="B978" s="1" t="s">
        <v>95</v>
      </c>
      <c r="C978" s="1" t="s">
        <v>1179</v>
      </c>
      <c r="D978" s="1" t="s">
        <v>46</v>
      </c>
      <c r="E978" s="1" t="s">
        <v>8093</v>
      </c>
      <c r="F978" s="1" t="s">
        <v>355</v>
      </c>
      <c r="G978" s="1" t="s">
        <v>8094</v>
      </c>
      <c r="H978" s="1">
        <v>1</v>
      </c>
      <c r="I978" s="1" t="s">
        <v>8095</v>
      </c>
      <c r="J978" s="1"/>
      <c r="K978" s="1" t="s">
        <v>8096</v>
      </c>
      <c r="L978" s="1"/>
      <c r="M978" s="1" t="s">
        <v>574</v>
      </c>
      <c r="N978" s="1">
        <v>1</v>
      </c>
      <c r="O978" s="1">
        <v>0</v>
      </c>
      <c r="P978" s="1" t="s">
        <v>103</v>
      </c>
      <c r="Q978" s="1" t="s">
        <v>104</v>
      </c>
      <c r="R978" s="1" t="s">
        <v>8097</v>
      </c>
      <c r="S978" s="1" t="s">
        <v>8098</v>
      </c>
      <c r="T978" s="1" t="s">
        <v>7821</v>
      </c>
      <c r="U978" s="1" t="s">
        <v>8099</v>
      </c>
      <c r="V978" s="1">
        <v>1</v>
      </c>
      <c r="W978" s="1">
        <v>1</v>
      </c>
      <c r="X978" s="1">
        <v>1</v>
      </c>
      <c r="Y978" s="1">
        <v>0</v>
      </c>
      <c r="Z978" s="1">
        <v>0</v>
      </c>
      <c r="AA978" s="1">
        <v>6</v>
      </c>
      <c r="AB978" s="1">
        <v>6</v>
      </c>
      <c r="AC978" s="1" t="s">
        <v>109</v>
      </c>
      <c r="AD978" s="1" t="s">
        <v>109</v>
      </c>
      <c r="AE978" s="1" t="s">
        <v>109</v>
      </c>
      <c r="AF978" s="1" t="s">
        <v>109</v>
      </c>
      <c r="AG978" s="1" t="s">
        <v>109</v>
      </c>
      <c r="AH978" s="1" t="s">
        <v>109</v>
      </c>
      <c r="AI978" s="1">
        <v>5</v>
      </c>
      <c r="AJ978" s="1" t="s">
        <v>109</v>
      </c>
      <c r="AK978" s="1" t="s">
        <v>109</v>
      </c>
      <c r="AL978" s="1" t="s">
        <v>109</v>
      </c>
      <c r="AM978" s="1" t="s">
        <v>109</v>
      </c>
      <c r="AN978" s="1" t="s">
        <v>109</v>
      </c>
      <c r="AO978" s="1" t="s">
        <v>109</v>
      </c>
      <c r="AP978" s="1"/>
      <c r="AQ978" s="1">
        <v>6</v>
      </c>
      <c r="AR978" s="1"/>
      <c r="AS978" s="1" t="s">
        <v>8100</v>
      </c>
      <c r="AT978" s="1">
        <v>1</v>
      </c>
      <c r="AU978" s="1">
        <v>0</v>
      </c>
      <c r="AV978" s="1">
        <v>0</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5" t="str">
        <f>HYPERLINK("http://www.d20pfsrd.com/magic/all-spells/c/conjure-black-pudding","Conjure Black Pudding")</f>
        <v>Conjure Black Pudding</v>
      </c>
      <c r="BT978" s="1">
        <v>1014</v>
      </c>
      <c r="BU978" s="1">
        <v>10</v>
      </c>
      <c r="BV978" s="1"/>
      <c r="BW978" s="1"/>
      <c r="BX978" s="1" t="s">
        <v>1050</v>
      </c>
      <c r="BY978" s="1" t="s">
        <v>1051</v>
      </c>
      <c r="BZ978" s="1">
        <v>1</v>
      </c>
      <c r="CA978" s="1" t="s">
        <v>109</v>
      </c>
      <c r="CB978" s="1" t="s">
        <v>109</v>
      </c>
      <c r="CC978" s="1">
        <v>6</v>
      </c>
      <c r="CD978" s="1" t="s">
        <v>109</v>
      </c>
      <c r="CE978" s="1" t="s">
        <v>109</v>
      </c>
      <c r="CF978" s="1" t="s">
        <v>109</v>
      </c>
      <c r="CG978" s="1" t="s">
        <v>109</v>
      </c>
      <c r="CH978" s="1" t="s">
        <v>109</v>
      </c>
      <c r="CI978" s="1" t="s">
        <v>109</v>
      </c>
      <c r="CJ978" s="1" t="s">
        <v>109</v>
      </c>
      <c r="CK978" s="1"/>
      <c r="CL978" s="1">
        <v>0</v>
      </c>
      <c r="CM978" s="1">
        <v>0</v>
      </c>
      <c r="CN978" s="1">
        <v>0</v>
      </c>
    </row>
    <row r="979" spans="1:92" ht="14.25" customHeight="1" x14ac:dyDescent="0.15">
      <c r="A979" s="1" t="s">
        <v>8101</v>
      </c>
      <c r="B979" s="1" t="s">
        <v>308</v>
      </c>
      <c r="C979" s="1"/>
      <c r="D979" s="1" t="s">
        <v>8102</v>
      </c>
      <c r="E979" s="1" t="s">
        <v>8103</v>
      </c>
      <c r="F979" s="1" t="s">
        <v>98</v>
      </c>
      <c r="G979" s="1" t="s">
        <v>141</v>
      </c>
      <c r="H979" s="1">
        <v>0</v>
      </c>
      <c r="I979" s="1" t="s">
        <v>142</v>
      </c>
      <c r="J979" s="1"/>
      <c r="K979" s="1"/>
      <c r="L979" s="1" t="s">
        <v>563</v>
      </c>
      <c r="M979" s="1" t="s">
        <v>144</v>
      </c>
      <c r="N979" s="1">
        <v>0</v>
      </c>
      <c r="O979" s="1">
        <v>0</v>
      </c>
      <c r="P979" s="1" t="s">
        <v>267</v>
      </c>
      <c r="Q979" s="1" t="s">
        <v>268</v>
      </c>
      <c r="R979" s="1" t="s">
        <v>8104</v>
      </c>
      <c r="S979" s="1" t="s">
        <v>8105</v>
      </c>
      <c r="T979" s="1" t="s">
        <v>7821</v>
      </c>
      <c r="U979" s="1" t="s">
        <v>8106</v>
      </c>
      <c r="V979" s="1">
        <v>1</v>
      </c>
      <c r="W979" s="1">
        <v>1</v>
      </c>
      <c r="X979" s="1">
        <v>0</v>
      </c>
      <c r="Y979" s="1">
        <v>0</v>
      </c>
      <c r="Z979" s="1">
        <v>0</v>
      </c>
      <c r="AA979" s="1">
        <v>6</v>
      </c>
      <c r="AB979" s="1">
        <v>6</v>
      </c>
      <c r="AC979" s="1">
        <v>5</v>
      </c>
      <c r="AD979" s="1">
        <v>5</v>
      </c>
      <c r="AE979" s="1" t="s">
        <v>109</v>
      </c>
      <c r="AF979" s="1" t="s">
        <v>109</v>
      </c>
      <c r="AG979" s="1" t="s">
        <v>109</v>
      </c>
      <c r="AH979" s="1" t="s">
        <v>109</v>
      </c>
      <c r="AI979" s="1" t="s">
        <v>109</v>
      </c>
      <c r="AJ979" s="1">
        <v>5</v>
      </c>
      <c r="AK979" s="1" t="s">
        <v>109</v>
      </c>
      <c r="AL979" s="1">
        <v>5</v>
      </c>
      <c r="AM979" s="1" t="s">
        <v>109</v>
      </c>
      <c r="AN979" s="1" t="s">
        <v>109</v>
      </c>
      <c r="AO979" s="1" t="s">
        <v>109</v>
      </c>
      <c r="AP979" s="1"/>
      <c r="AQ979" s="1">
        <v>6</v>
      </c>
      <c r="AR979" s="1"/>
      <c r="AS979" s="1" t="s">
        <v>8107</v>
      </c>
      <c r="AT979" s="1">
        <v>0</v>
      </c>
      <c r="AU979" s="1">
        <v>0</v>
      </c>
      <c r="AV979" s="1">
        <v>0</v>
      </c>
      <c r="AW979" s="1">
        <v>0</v>
      </c>
      <c r="AX979" s="1">
        <v>0</v>
      </c>
      <c r="AY979" s="1">
        <v>0</v>
      </c>
      <c r="AZ979" s="1">
        <v>0</v>
      </c>
      <c r="BA979" s="1">
        <v>1</v>
      </c>
      <c r="BB979" s="1">
        <v>0</v>
      </c>
      <c r="BC979" s="1">
        <v>0</v>
      </c>
      <c r="BD979" s="1">
        <v>0</v>
      </c>
      <c r="BE979" s="1">
        <v>1</v>
      </c>
      <c r="BF979" s="1">
        <v>0</v>
      </c>
      <c r="BG979" s="1">
        <v>0</v>
      </c>
      <c r="BH979" s="1">
        <v>0</v>
      </c>
      <c r="BI979" s="1">
        <v>0</v>
      </c>
      <c r="BJ979" s="1">
        <v>0</v>
      </c>
      <c r="BK979" s="1">
        <v>0</v>
      </c>
      <c r="BL979" s="1">
        <v>0</v>
      </c>
      <c r="BM979" s="1">
        <v>0</v>
      </c>
      <c r="BN979" s="1">
        <v>0</v>
      </c>
      <c r="BO979" s="1">
        <v>0</v>
      </c>
      <c r="BP979" s="1">
        <v>0</v>
      </c>
      <c r="BQ979" s="1">
        <v>0</v>
      </c>
      <c r="BR979" s="1">
        <v>0</v>
      </c>
      <c r="BS979" s="5" t="str">
        <f>HYPERLINK("http://www.d20pfsrd.com/magic/all-spells/c/contagion","Contagion, Greater")</f>
        <v>Contagion, Greater</v>
      </c>
      <c r="BT979" s="1">
        <v>1015</v>
      </c>
      <c r="BU979" s="1" t="s">
        <v>109</v>
      </c>
      <c r="BV979" s="1"/>
      <c r="BW979" s="1"/>
      <c r="BX979" s="1"/>
      <c r="BY979" s="1"/>
      <c r="BZ979" s="1">
        <v>0</v>
      </c>
      <c r="CA979" s="1" t="s">
        <v>109</v>
      </c>
      <c r="CB979" s="1" t="s">
        <v>109</v>
      </c>
      <c r="CC979" s="1" t="s">
        <v>109</v>
      </c>
      <c r="CD979" s="1" t="s">
        <v>109</v>
      </c>
      <c r="CE979" s="1" t="s">
        <v>109</v>
      </c>
      <c r="CF979" s="1" t="s">
        <v>109</v>
      </c>
      <c r="CG979" s="1" t="s">
        <v>109</v>
      </c>
      <c r="CH979" s="1" t="s">
        <v>109</v>
      </c>
      <c r="CI979" s="1" t="s">
        <v>109</v>
      </c>
      <c r="CJ979" s="1">
        <v>5</v>
      </c>
      <c r="CK979" s="1"/>
      <c r="CL979" s="1">
        <v>0</v>
      </c>
      <c r="CM979" s="1">
        <v>0</v>
      </c>
      <c r="CN979" s="1">
        <v>0</v>
      </c>
    </row>
    <row r="980" spans="1:92" ht="14.25" customHeight="1" x14ac:dyDescent="0.15">
      <c r="A980" s="1" t="s">
        <v>8108</v>
      </c>
      <c r="B980" s="1" t="s">
        <v>189</v>
      </c>
      <c r="C980" s="1"/>
      <c r="D980" s="1"/>
      <c r="E980" s="1" t="s">
        <v>8109</v>
      </c>
      <c r="F980" s="1" t="s">
        <v>98</v>
      </c>
      <c r="G980" s="1" t="s">
        <v>141</v>
      </c>
      <c r="H980" s="1">
        <v>0</v>
      </c>
      <c r="I980" s="1" t="s">
        <v>142</v>
      </c>
      <c r="J980" s="1"/>
      <c r="K980" s="1"/>
      <c r="L980" s="1" t="s">
        <v>8110</v>
      </c>
      <c r="M980" s="1" t="s">
        <v>300</v>
      </c>
      <c r="N980" s="1">
        <v>0</v>
      </c>
      <c r="O980" s="1">
        <v>0</v>
      </c>
      <c r="P980" s="1" t="s">
        <v>8111</v>
      </c>
      <c r="Q980" s="1" t="s">
        <v>104</v>
      </c>
      <c r="R980" s="1" t="s">
        <v>8112</v>
      </c>
      <c r="S980" s="1" t="s">
        <v>8113</v>
      </c>
      <c r="T980" s="1" t="s">
        <v>7821</v>
      </c>
      <c r="U980" s="1" t="s">
        <v>8114</v>
      </c>
      <c r="V980" s="1">
        <v>1</v>
      </c>
      <c r="W980" s="1">
        <v>1</v>
      </c>
      <c r="X980" s="1">
        <v>0</v>
      </c>
      <c r="Y980" s="1">
        <v>0</v>
      </c>
      <c r="Z980" s="1">
        <v>0</v>
      </c>
      <c r="AA980" s="1">
        <v>7</v>
      </c>
      <c r="AB980" s="1">
        <v>7</v>
      </c>
      <c r="AC980" s="1" t="s">
        <v>109</v>
      </c>
      <c r="AD980" s="1" t="s">
        <v>109</v>
      </c>
      <c r="AE980" s="1" t="s">
        <v>109</v>
      </c>
      <c r="AF980" s="1" t="s">
        <v>109</v>
      </c>
      <c r="AG980" s="1" t="s">
        <v>109</v>
      </c>
      <c r="AH980" s="1" t="s">
        <v>109</v>
      </c>
      <c r="AI980" s="1" t="s">
        <v>109</v>
      </c>
      <c r="AJ980" s="1" t="s">
        <v>109</v>
      </c>
      <c r="AK980" s="1" t="s">
        <v>109</v>
      </c>
      <c r="AL980" s="1" t="s">
        <v>109</v>
      </c>
      <c r="AM980" s="1" t="s">
        <v>109</v>
      </c>
      <c r="AN980" s="1" t="s">
        <v>109</v>
      </c>
      <c r="AO980" s="1" t="s">
        <v>109</v>
      </c>
      <c r="AP980" s="1"/>
      <c r="AQ980" s="1">
        <v>7</v>
      </c>
      <c r="AR980" s="1"/>
      <c r="AS980" s="1" t="s">
        <v>8115</v>
      </c>
      <c r="AT980" s="1">
        <v>0</v>
      </c>
      <c r="AU980" s="1">
        <v>0</v>
      </c>
      <c r="AV980" s="1">
        <v>0</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5" t="str">
        <f>HYPERLINK("http://www.d20pfsrd.com/magic/all-spells/c/control-construct","Control Construct")</f>
        <v>Control Construct</v>
      </c>
      <c r="BT980" s="1">
        <v>1016</v>
      </c>
      <c r="BU980" s="1" t="s">
        <v>109</v>
      </c>
      <c r="BV980" s="1"/>
      <c r="BW980" s="1"/>
      <c r="BX980" s="1"/>
      <c r="BY980" s="1"/>
      <c r="BZ980" s="1">
        <v>0</v>
      </c>
      <c r="CA980" s="1" t="s">
        <v>109</v>
      </c>
      <c r="CB980" s="1" t="s">
        <v>109</v>
      </c>
      <c r="CC980" s="1" t="s">
        <v>109</v>
      </c>
      <c r="CD980" s="1" t="s">
        <v>109</v>
      </c>
      <c r="CE980" s="1" t="s">
        <v>109</v>
      </c>
      <c r="CF980" s="1">
        <v>6</v>
      </c>
      <c r="CG980" s="1" t="s">
        <v>109</v>
      </c>
      <c r="CH980" s="1" t="s">
        <v>109</v>
      </c>
      <c r="CI980" s="1" t="s">
        <v>109</v>
      </c>
      <c r="CJ980" s="1" t="s">
        <v>109</v>
      </c>
      <c r="CK980" s="1"/>
      <c r="CL980" s="1">
        <v>0</v>
      </c>
      <c r="CM980" s="1">
        <v>0</v>
      </c>
      <c r="CN980" s="1">
        <v>0</v>
      </c>
    </row>
    <row r="981" spans="1:92" ht="14.25" customHeight="1" x14ac:dyDescent="0.15">
      <c r="A981" s="1" t="s">
        <v>8116</v>
      </c>
      <c r="B981" s="1" t="s">
        <v>156</v>
      </c>
      <c r="C981" s="1" t="s">
        <v>157</v>
      </c>
      <c r="D981" s="1" t="s">
        <v>158</v>
      </c>
      <c r="E981" s="1" t="s">
        <v>8117</v>
      </c>
      <c r="F981" s="1" t="s">
        <v>98</v>
      </c>
      <c r="G981" s="1" t="s">
        <v>141</v>
      </c>
      <c r="H981" s="1">
        <v>0</v>
      </c>
      <c r="I981" s="1" t="s">
        <v>142</v>
      </c>
      <c r="J981" s="1"/>
      <c r="K981" s="1"/>
      <c r="L981" s="1" t="s">
        <v>4781</v>
      </c>
      <c r="M981" s="1" t="s">
        <v>125</v>
      </c>
      <c r="N981" s="1">
        <v>0</v>
      </c>
      <c r="O981" s="1">
        <v>0</v>
      </c>
      <c r="P981" s="1" t="s">
        <v>301</v>
      </c>
      <c r="Q981" s="1" t="s">
        <v>268</v>
      </c>
      <c r="R981" s="1" t="s">
        <v>8118</v>
      </c>
      <c r="S981" s="1" t="s">
        <v>8119</v>
      </c>
      <c r="T981" s="1" t="s">
        <v>7821</v>
      </c>
      <c r="U981" s="1" t="s">
        <v>8120</v>
      </c>
      <c r="V981" s="1">
        <v>1</v>
      </c>
      <c r="W981" s="1">
        <v>1</v>
      </c>
      <c r="X981" s="1">
        <v>0</v>
      </c>
      <c r="Y981" s="1">
        <v>0</v>
      </c>
      <c r="Z981" s="1">
        <v>0</v>
      </c>
      <c r="AA981" s="1">
        <v>4</v>
      </c>
      <c r="AB981" s="1">
        <v>4</v>
      </c>
      <c r="AC981" s="1">
        <v>4</v>
      </c>
      <c r="AD981" s="1" t="s">
        <v>109</v>
      </c>
      <c r="AE981" s="1" t="s">
        <v>109</v>
      </c>
      <c r="AF981" s="1">
        <v>3</v>
      </c>
      <c r="AG981" s="1" t="s">
        <v>109</v>
      </c>
      <c r="AH981" s="1" t="s">
        <v>109</v>
      </c>
      <c r="AI981" s="1">
        <v>3</v>
      </c>
      <c r="AJ981" s="1" t="s">
        <v>109</v>
      </c>
      <c r="AK981" s="1" t="s">
        <v>109</v>
      </c>
      <c r="AL981" s="1">
        <v>4</v>
      </c>
      <c r="AM981" s="1" t="s">
        <v>109</v>
      </c>
      <c r="AN981" s="1" t="s">
        <v>109</v>
      </c>
      <c r="AO981" s="1" t="s">
        <v>109</v>
      </c>
      <c r="AP981" s="1"/>
      <c r="AQ981" s="1">
        <v>4</v>
      </c>
      <c r="AR981" s="1"/>
      <c r="AS981" s="1" t="s">
        <v>8121</v>
      </c>
      <c r="AT981" s="1">
        <v>0</v>
      </c>
      <c r="AU981" s="1">
        <v>0</v>
      </c>
      <c r="AV981" s="1">
        <v>0</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1</v>
      </c>
      <c r="BN981" s="1">
        <v>0</v>
      </c>
      <c r="BO981" s="1">
        <v>0</v>
      </c>
      <c r="BP981" s="1">
        <v>0</v>
      </c>
      <c r="BQ981" s="1">
        <v>0</v>
      </c>
      <c r="BR981" s="1">
        <v>0</v>
      </c>
      <c r="BS981" s="5" t="str">
        <f>HYPERLINK("http://www.d20pfsrd.com/magic/all-spells/c/control-summoned-creature","Control Summoned Creature")</f>
        <v>Control Summoned Creature</v>
      </c>
      <c r="BT981" s="1">
        <v>1017</v>
      </c>
      <c r="BU981" s="1" t="s">
        <v>109</v>
      </c>
      <c r="BV981" s="1"/>
      <c r="BW981" s="1" t="s">
        <v>8122</v>
      </c>
      <c r="BX981" s="1"/>
      <c r="BY981" s="1"/>
      <c r="BZ981" s="1">
        <v>0</v>
      </c>
      <c r="CA981" s="1" t="s">
        <v>109</v>
      </c>
      <c r="CB981" s="1" t="s">
        <v>109</v>
      </c>
      <c r="CC981" s="1">
        <v>4</v>
      </c>
      <c r="CD981" s="1" t="s">
        <v>109</v>
      </c>
      <c r="CE981" s="1">
        <v>3</v>
      </c>
      <c r="CF981" s="1">
        <v>3</v>
      </c>
      <c r="CG981" s="1" t="s">
        <v>109</v>
      </c>
      <c r="CH981" s="1" t="s">
        <v>109</v>
      </c>
      <c r="CI981" s="1" t="s">
        <v>109</v>
      </c>
      <c r="CJ981" s="1" t="s">
        <v>109</v>
      </c>
      <c r="CK981" s="1"/>
      <c r="CL981" s="1">
        <v>0</v>
      </c>
      <c r="CM981" s="1">
        <v>0</v>
      </c>
      <c r="CN981" s="1">
        <v>0</v>
      </c>
    </row>
    <row r="982" spans="1:92" ht="14.25" customHeight="1" x14ac:dyDescent="0.15">
      <c r="A982" s="1" t="s">
        <v>8123</v>
      </c>
      <c r="B982" s="1" t="s">
        <v>95</v>
      </c>
      <c r="C982" s="1" t="s">
        <v>96</v>
      </c>
      <c r="D982" s="1" t="s">
        <v>46</v>
      </c>
      <c r="E982" s="1" t="s">
        <v>7816</v>
      </c>
      <c r="F982" s="1" t="s">
        <v>98</v>
      </c>
      <c r="G982" s="1" t="s">
        <v>141</v>
      </c>
      <c r="H982" s="1">
        <v>0</v>
      </c>
      <c r="I982" s="1" t="s">
        <v>161</v>
      </c>
      <c r="J982" s="1"/>
      <c r="K982" s="1"/>
      <c r="L982" s="1" t="s">
        <v>506</v>
      </c>
      <c r="M982" s="1" t="s">
        <v>1984</v>
      </c>
      <c r="N982" s="1">
        <v>0</v>
      </c>
      <c r="O982" s="1">
        <v>0</v>
      </c>
      <c r="P982" s="1" t="s">
        <v>103</v>
      </c>
      <c r="Q982" s="1" t="s">
        <v>268</v>
      </c>
      <c r="R982" s="1" t="s">
        <v>8124</v>
      </c>
      <c r="S982" s="1" t="s">
        <v>8125</v>
      </c>
      <c r="T982" s="1" t="s">
        <v>7821</v>
      </c>
      <c r="U982" s="1" t="s">
        <v>8126</v>
      </c>
      <c r="V982" s="1">
        <v>1</v>
      </c>
      <c r="W982" s="1">
        <v>1</v>
      </c>
      <c r="X982" s="1">
        <v>0</v>
      </c>
      <c r="Y982" s="1">
        <v>0</v>
      </c>
      <c r="Z982" s="1">
        <v>0</v>
      </c>
      <c r="AA982" s="1">
        <v>5</v>
      </c>
      <c r="AB982" s="1">
        <v>5</v>
      </c>
      <c r="AC982" s="1" t="s">
        <v>109</v>
      </c>
      <c r="AD982" s="1" t="s">
        <v>109</v>
      </c>
      <c r="AE982" s="1" t="s">
        <v>109</v>
      </c>
      <c r="AF982" s="1" t="s">
        <v>109</v>
      </c>
      <c r="AG982" s="1" t="s">
        <v>109</v>
      </c>
      <c r="AH982" s="1" t="s">
        <v>109</v>
      </c>
      <c r="AI982" s="1" t="s">
        <v>109</v>
      </c>
      <c r="AJ982" s="1" t="s">
        <v>109</v>
      </c>
      <c r="AK982" s="1" t="s">
        <v>109</v>
      </c>
      <c r="AL982" s="1" t="s">
        <v>109</v>
      </c>
      <c r="AM982" s="1" t="s">
        <v>109</v>
      </c>
      <c r="AN982" s="1">
        <v>5</v>
      </c>
      <c r="AO982" s="1" t="s">
        <v>109</v>
      </c>
      <c r="AP982" s="1"/>
      <c r="AQ982" s="1">
        <v>5</v>
      </c>
      <c r="AR982" s="1" t="s">
        <v>8127</v>
      </c>
      <c r="AS982" s="1" t="s">
        <v>8128</v>
      </c>
      <c r="AT982" s="1">
        <v>1</v>
      </c>
      <c r="AU982" s="1">
        <v>0</v>
      </c>
      <c r="AV982" s="1">
        <v>0</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5" t="str">
        <f>HYPERLINK("http://www.d20pfsrd.com/magic/all-spells/c/corrosive-consumption","Corrosive Consumption")</f>
        <v>Corrosive Consumption</v>
      </c>
      <c r="BT982" s="1">
        <v>1018</v>
      </c>
      <c r="BU982" s="1" t="s">
        <v>109</v>
      </c>
      <c r="BV982" s="1"/>
      <c r="BW982" s="1"/>
      <c r="BX982" s="1"/>
      <c r="BY982" s="1"/>
      <c r="BZ982" s="1">
        <v>0</v>
      </c>
      <c r="CA982" s="1" t="s">
        <v>109</v>
      </c>
      <c r="CB982" s="1" t="s">
        <v>109</v>
      </c>
      <c r="CC982" s="1" t="s">
        <v>109</v>
      </c>
      <c r="CD982" s="1" t="s">
        <v>109</v>
      </c>
      <c r="CE982" s="1" t="s">
        <v>109</v>
      </c>
      <c r="CF982" s="1" t="s">
        <v>109</v>
      </c>
      <c r="CG982" s="1" t="s">
        <v>109</v>
      </c>
      <c r="CH982" s="1" t="s">
        <v>109</v>
      </c>
      <c r="CI982" s="1" t="s">
        <v>109</v>
      </c>
      <c r="CJ982" s="1" t="s">
        <v>109</v>
      </c>
      <c r="CK982" s="1"/>
      <c r="CL982" s="1">
        <v>0</v>
      </c>
      <c r="CM982" s="1">
        <v>0</v>
      </c>
      <c r="CN982" s="1">
        <v>0</v>
      </c>
    </row>
    <row r="983" spans="1:92" ht="14.25" customHeight="1" x14ac:dyDescent="0.15">
      <c r="A983" s="1" t="s">
        <v>8129</v>
      </c>
      <c r="B983" s="1" t="s">
        <v>95</v>
      </c>
      <c r="C983" s="1" t="s">
        <v>96</v>
      </c>
      <c r="D983" s="1" t="s">
        <v>46</v>
      </c>
      <c r="E983" s="1" t="s">
        <v>8130</v>
      </c>
      <c r="F983" s="1" t="s">
        <v>98</v>
      </c>
      <c r="G983" s="1" t="s">
        <v>141</v>
      </c>
      <c r="H983" s="1">
        <v>0</v>
      </c>
      <c r="I983" s="1" t="s">
        <v>161</v>
      </c>
      <c r="J983" s="1"/>
      <c r="K983" s="1"/>
      <c r="L983" s="1" t="s">
        <v>3434</v>
      </c>
      <c r="M983" s="1" t="s">
        <v>144</v>
      </c>
      <c r="N983" s="1">
        <v>0</v>
      </c>
      <c r="O983" s="1">
        <v>0</v>
      </c>
      <c r="P983" s="1" t="s">
        <v>103</v>
      </c>
      <c r="Q983" s="1" t="s">
        <v>268</v>
      </c>
      <c r="R983" s="1" t="s">
        <v>8131</v>
      </c>
      <c r="S983" s="1" t="s">
        <v>8132</v>
      </c>
      <c r="T983" s="1" t="s">
        <v>7821</v>
      </c>
      <c r="U983" s="1" t="s">
        <v>8133</v>
      </c>
      <c r="V983" s="1">
        <v>1</v>
      </c>
      <c r="W983" s="1">
        <v>1</v>
      </c>
      <c r="X983" s="1">
        <v>0</v>
      </c>
      <c r="Y983" s="1">
        <v>0</v>
      </c>
      <c r="Z983" s="1">
        <v>0</v>
      </c>
      <c r="AA983" s="1">
        <v>1</v>
      </c>
      <c r="AB983" s="1">
        <v>1</v>
      </c>
      <c r="AC983" s="1" t="s">
        <v>109</v>
      </c>
      <c r="AD983" s="1" t="s">
        <v>109</v>
      </c>
      <c r="AE983" s="1" t="s">
        <v>109</v>
      </c>
      <c r="AF983" s="1" t="s">
        <v>109</v>
      </c>
      <c r="AG983" s="1" t="s">
        <v>109</v>
      </c>
      <c r="AH983" s="1" t="s">
        <v>109</v>
      </c>
      <c r="AI983" s="1">
        <v>1</v>
      </c>
      <c r="AJ983" s="1" t="s">
        <v>109</v>
      </c>
      <c r="AK983" s="1" t="s">
        <v>109</v>
      </c>
      <c r="AL983" s="1" t="s">
        <v>109</v>
      </c>
      <c r="AM983" s="1" t="s">
        <v>109</v>
      </c>
      <c r="AN983" s="1">
        <v>1</v>
      </c>
      <c r="AO983" s="1" t="s">
        <v>109</v>
      </c>
      <c r="AP983" s="1"/>
      <c r="AQ983" s="1">
        <v>1</v>
      </c>
      <c r="AR983" s="1"/>
      <c r="AS983" s="1" t="s">
        <v>8134</v>
      </c>
      <c r="AT983" s="1">
        <v>1</v>
      </c>
      <c r="AU983" s="1">
        <v>0</v>
      </c>
      <c r="AV983" s="1">
        <v>0</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5" t="str">
        <f>HYPERLINK("http://www.d20pfsrd.com/magic/all-spells/c/corrosive-touch","Corrosive Touch")</f>
        <v>Corrosive Touch</v>
      </c>
      <c r="BT983" s="1">
        <v>1019</v>
      </c>
      <c r="BU983" s="1" t="s">
        <v>109</v>
      </c>
      <c r="BV983" s="1"/>
      <c r="BW983" s="1"/>
      <c r="BX983" s="1"/>
      <c r="BY983" s="1"/>
      <c r="BZ983" s="1">
        <v>0</v>
      </c>
      <c r="CA983" s="1">
        <v>1</v>
      </c>
      <c r="CB983" s="1" t="s">
        <v>109</v>
      </c>
      <c r="CC983" s="1" t="s">
        <v>109</v>
      </c>
      <c r="CD983" s="1" t="s">
        <v>109</v>
      </c>
      <c r="CE983" s="1" t="s">
        <v>109</v>
      </c>
      <c r="CF983" s="1" t="s">
        <v>109</v>
      </c>
      <c r="CG983" s="1" t="s">
        <v>109</v>
      </c>
      <c r="CH983" s="1" t="s">
        <v>109</v>
      </c>
      <c r="CI983" s="1" t="s">
        <v>109</v>
      </c>
      <c r="CJ983" s="1" t="s">
        <v>109</v>
      </c>
      <c r="CK983" s="1"/>
      <c r="CL983" s="1">
        <v>0</v>
      </c>
      <c r="CM983" s="1">
        <v>0</v>
      </c>
      <c r="CN983" s="1">
        <v>0</v>
      </c>
    </row>
    <row r="984" spans="1:92" ht="14.25" customHeight="1" x14ac:dyDescent="0.15">
      <c r="A984" s="1" t="s">
        <v>8135</v>
      </c>
      <c r="B984" s="1" t="s">
        <v>189</v>
      </c>
      <c r="C984" s="1"/>
      <c r="D984" s="1"/>
      <c r="E984" s="1" t="s">
        <v>8136</v>
      </c>
      <c r="F984" s="1" t="s">
        <v>98</v>
      </c>
      <c r="G984" s="1" t="s">
        <v>141</v>
      </c>
      <c r="H984" s="1">
        <v>0</v>
      </c>
      <c r="I984" s="1" t="s">
        <v>161</v>
      </c>
      <c r="J984" s="1"/>
      <c r="K984" s="1"/>
      <c r="L984" s="1" t="s">
        <v>506</v>
      </c>
      <c r="M984" s="1" t="s">
        <v>289</v>
      </c>
      <c r="N984" s="1">
        <v>0</v>
      </c>
      <c r="O984" s="1">
        <v>0</v>
      </c>
      <c r="P984" s="1" t="s">
        <v>507</v>
      </c>
      <c r="Q984" s="1" t="s">
        <v>167</v>
      </c>
      <c r="R984" s="1" t="s">
        <v>8137</v>
      </c>
      <c r="S984" s="1" t="s">
        <v>8138</v>
      </c>
      <c r="T984" s="1" t="s">
        <v>7821</v>
      </c>
      <c r="U984" s="1" t="s">
        <v>8139</v>
      </c>
      <c r="V984" s="1">
        <v>1</v>
      </c>
      <c r="W984" s="1">
        <v>1</v>
      </c>
      <c r="X984" s="1">
        <v>0</v>
      </c>
      <c r="Y984" s="1">
        <v>0</v>
      </c>
      <c r="Z984" s="1">
        <v>0</v>
      </c>
      <c r="AA984" s="1">
        <v>3</v>
      </c>
      <c r="AB984" s="1">
        <v>3</v>
      </c>
      <c r="AC984" s="1" t="s">
        <v>109</v>
      </c>
      <c r="AD984" s="1" t="s">
        <v>109</v>
      </c>
      <c r="AE984" s="1" t="s">
        <v>109</v>
      </c>
      <c r="AF984" s="1" t="s">
        <v>109</v>
      </c>
      <c r="AG984" s="1" t="s">
        <v>109</v>
      </c>
      <c r="AH984" s="1">
        <v>3</v>
      </c>
      <c r="AI984" s="1" t="s">
        <v>109</v>
      </c>
      <c r="AJ984" s="1">
        <v>3</v>
      </c>
      <c r="AK984" s="1">
        <v>3</v>
      </c>
      <c r="AL984" s="1" t="s">
        <v>109</v>
      </c>
      <c r="AM984" s="1" t="s">
        <v>109</v>
      </c>
      <c r="AN984" s="1" t="s">
        <v>109</v>
      </c>
      <c r="AO984" s="1" t="s">
        <v>109</v>
      </c>
      <c r="AP984" s="1"/>
      <c r="AQ984" s="1">
        <v>3</v>
      </c>
      <c r="AR984" s="1"/>
      <c r="AS984" s="1" t="s">
        <v>8140</v>
      </c>
      <c r="AT984" s="1">
        <v>0</v>
      </c>
      <c r="AU984" s="1">
        <v>0</v>
      </c>
      <c r="AV984" s="1">
        <v>0</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5" t="str">
        <f>HYPERLINK("http://www.d20pfsrd.com/magic/all-spells/c/countless-eyes","Countless Eyes")</f>
        <v>Countless Eyes</v>
      </c>
      <c r="BT984" s="1">
        <v>1020</v>
      </c>
      <c r="BU984" s="1" t="s">
        <v>109</v>
      </c>
      <c r="BV984" s="1"/>
      <c r="BW984" s="1"/>
      <c r="BX984" s="1"/>
      <c r="BY984" s="1"/>
      <c r="BZ984" s="1">
        <v>0</v>
      </c>
      <c r="CA984" s="1">
        <v>3</v>
      </c>
      <c r="CB984" s="1" t="s">
        <v>109</v>
      </c>
      <c r="CC984" s="1">
        <v>3</v>
      </c>
      <c r="CD984" s="1" t="s">
        <v>109</v>
      </c>
      <c r="CE984" s="1" t="s">
        <v>109</v>
      </c>
      <c r="CF984" s="1">
        <v>3</v>
      </c>
      <c r="CG984" s="1" t="s">
        <v>109</v>
      </c>
      <c r="CH984" s="1" t="s">
        <v>109</v>
      </c>
      <c r="CI984" s="1" t="s">
        <v>109</v>
      </c>
      <c r="CJ984" s="1" t="s">
        <v>109</v>
      </c>
      <c r="CK984" s="1"/>
      <c r="CL984" s="1">
        <v>0</v>
      </c>
      <c r="CM984" s="1">
        <v>0</v>
      </c>
      <c r="CN984" s="1">
        <v>0</v>
      </c>
    </row>
    <row r="985" spans="1:92" ht="14.25" customHeight="1" x14ac:dyDescent="0.15">
      <c r="A985" s="1" t="s">
        <v>8141</v>
      </c>
      <c r="B985" s="1" t="s">
        <v>95</v>
      </c>
      <c r="C985" s="1" t="s">
        <v>96</v>
      </c>
      <c r="D985" s="1"/>
      <c r="E985" s="1" t="s">
        <v>8142</v>
      </c>
      <c r="F985" s="1" t="s">
        <v>8143</v>
      </c>
      <c r="G985" s="1" t="s">
        <v>8144</v>
      </c>
      <c r="H985" s="1">
        <v>1</v>
      </c>
      <c r="I985" s="1" t="s">
        <v>925</v>
      </c>
      <c r="J985" s="1"/>
      <c r="K985" s="1" t="s">
        <v>8145</v>
      </c>
      <c r="L985" s="1"/>
      <c r="M985" s="1" t="s">
        <v>8146</v>
      </c>
      <c r="N985" s="1">
        <v>0</v>
      </c>
      <c r="O985" s="1">
        <v>0</v>
      </c>
      <c r="P985" s="1" t="s">
        <v>103</v>
      </c>
      <c r="Q985" s="1" t="s">
        <v>104</v>
      </c>
      <c r="R985" s="1" t="s">
        <v>8147</v>
      </c>
      <c r="S985" s="1" t="s">
        <v>8148</v>
      </c>
      <c r="T985" s="1" t="s">
        <v>7821</v>
      </c>
      <c r="U985" s="1" t="s">
        <v>8149</v>
      </c>
      <c r="V985" s="1">
        <v>1</v>
      </c>
      <c r="W985" s="1">
        <v>1</v>
      </c>
      <c r="X985" s="1">
        <v>0</v>
      </c>
      <c r="Y985" s="1">
        <v>0</v>
      </c>
      <c r="Z985" s="1">
        <v>0</v>
      </c>
      <c r="AA985" s="1">
        <v>8</v>
      </c>
      <c r="AB985" s="1">
        <v>8</v>
      </c>
      <c r="AC985" s="1">
        <v>8</v>
      </c>
      <c r="AD985" s="1" t="s">
        <v>109</v>
      </c>
      <c r="AE985" s="1" t="s">
        <v>109</v>
      </c>
      <c r="AF985" s="1" t="s">
        <v>109</v>
      </c>
      <c r="AG985" s="1" t="s">
        <v>109</v>
      </c>
      <c r="AH985" s="1" t="s">
        <v>109</v>
      </c>
      <c r="AI985" s="1">
        <v>6</v>
      </c>
      <c r="AJ985" s="1">
        <v>8</v>
      </c>
      <c r="AK985" s="1" t="s">
        <v>109</v>
      </c>
      <c r="AL985" s="1">
        <v>8</v>
      </c>
      <c r="AM985" s="1" t="s">
        <v>109</v>
      </c>
      <c r="AN985" s="1" t="s">
        <v>109</v>
      </c>
      <c r="AO985" s="1" t="s">
        <v>109</v>
      </c>
      <c r="AP985" s="1"/>
      <c r="AQ985" s="1">
        <v>8</v>
      </c>
      <c r="AR985" s="1" t="s">
        <v>8150</v>
      </c>
      <c r="AS985" s="1" t="s">
        <v>8151</v>
      </c>
      <c r="AT985" s="1">
        <v>0</v>
      </c>
      <c r="AU985" s="1">
        <v>0</v>
      </c>
      <c r="AV985" s="1">
        <v>0</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5" t="str">
        <f>HYPERLINK("http://www.d20pfsrd.com/magic/all-spells/c/create-demiplane","Create Demiplane")</f>
        <v>Create Demiplane</v>
      </c>
      <c r="BT985" s="1">
        <v>1021</v>
      </c>
      <c r="BU985" s="1">
        <v>500</v>
      </c>
      <c r="BV985" s="1" t="s">
        <v>8152</v>
      </c>
      <c r="BW985" s="1"/>
      <c r="BX985" s="1"/>
      <c r="BY985" s="1"/>
      <c r="BZ985" s="1">
        <v>0</v>
      </c>
      <c r="CA985" s="1" t="s">
        <v>109</v>
      </c>
      <c r="CB985" s="1" t="s">
        <v>109</v>
      </c>
      <c r="CC985" s="1">
        <v>8</v>
      </c>
      <c r="CD985" s="1" t="s">
        <v>109</v>
      </c>
      <c r="CE985" s="1" t="s">
        <v>109</v>
      </c>
      <c r="CF985" s="1">
        <v>6</v>
      </c>
      <c r="CG985" s="1" t="s">
        <v>109</v>
      </c>
      <c r="CH985" s="1" t="s">
        <v>109</v>
      </c>
      <c r="CI985" s="1" t="s">
        <v>109</v>
      </c>
      <c r="CJ985" s="1" t="s">
        <v>109</v>
      </c>
      <c r="CK985" s="1"/>
      <c r="CL985" s="1">
        <v>0</v>
      </c>
      <c r="CM985" s="1">
        <v>0</v>
      </c>
      <c r="CN985" s="1">
        <v>0</v>
      </c>
    </row>
    <row r="986" spans="1:92" ht="14.25" customHeight="1" x14ac:dyDescent="0.15">
      <c r="A986" s="1" t="s">
        <v>8153</v>
      </c>
      <c r="B986" s="1" t="s">
        <v>95</v>
      </c>
      <c r="C986" s="1" t="s">
        <v>96</v>
      </c>
      <c r="D986" s="1"/>
      <c r="E986" s="1" t="s">
        <v>8154</v>
      </c>
      <c r="F986" s="1" t="s">
        <v>8155</v>
      </c>
      <c r="G986" s="1" t="s">
        <v>8144</v>
      </c>
      <c r="H986" s="1">
        <v>1</v>
      </c>
      <c r="I986" s="1" t="s">
        <v>925</v>
      </c>
      <c r="J986" s="1"/>
      <c r="K986" s="1" t="s">
        <v>8156</v>
      </c>
      <c r="L986" s="1"/>
      <c r="M986" s="1" t="s">
        <v>280</v>
      </c>
      <c r="N986" s="1">
        <v>0</v>
      </c>
      <c r="O986" s="1">
        <v>0</v>
      </c>
      <c r="P986" s="1" t="s">
        <v>103</v>
      </c>
      <c r="Q986" s="1" t="s">
        <v>104</v>
      </c>
      <c r="R986" s="1" t="s">
        <v>8157</v>
      </c>
      <c r="S986" s="1" t="s">
        <v>8158</v>
      </c>
      <c r="T986" s="1" t="s">
        <v>7821</v>
      </c>
      <c r="U986" s="1" t="s">
        <v>8159</v>
      </c>
      <c r="V986" s="1">
        <v>1</v>
      </c>
      <c r="W986" s="1">
        <v>1</v>
      </c>
      <c r="X986" s="1">
        <v>0</v>
      </c>
      <c r="Y986" s="1">
        <v>0</v>
      </c>
      <c r="Z986" s="1">
        <v>0</v>
      </c>
      <c r="AA986" s="1">
        <v>7</v>
      </c>
      <c r="AB986" s="1">
        <v>7</v>
      </c>
      <c r="AC986" s="1">
        <v>7</v>
      </c>
      <c r="AD986" s="1" t="s">
        <v>109</v>
      </c>
      <c r="AE986" s="1" t="s">
        <v>109</v>
      </c>
      <c r="AF986" s="1" t="s">
        <v>109</v>
      </c>
      <c r="AG986" s="1" t="s">
        <v>109</v>
      </c>
      <c r="AH986" s="1" t="s">
        <v>109</v>
      </c>
      <c r="AI986" s="1">
        <v>5</v>
      </c>
      <c r="AJ986" s="1">
        <v>7</v>
      </c>
      <c r="AK986" s="1" t="s">
        <v>109</v>
      </c>
      <c r="AL986" s="1">
        <v>7</v>
      </c>
      <c r="AM986" s="1" t="s">
        <v>109</v>
      </c>
      <c r="AN986" s="1" t="s">
        <v>109</v>
      </c>
      <c r="AO986" s="1" t="s">
        <v>109</v>
      </c>
      <c r="AP986" s="1"/>
      <c r="AQ986" s="1">
        <v>7</v>
      </c>
      <c r="AR986" s="1"/>
      <c r="AS986" s="1" t="s">
        <v>8160</v>
      </c>
      <c r="AT986" s="1">
        <v>0</v>
      </c>
      <c r="AU986" s="1">
        <v>0</v>
      </c>
      <c r="AV986" s="1">
        <v>0</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5" t="str">
        <f>HYPERLINK("http://www.d20pfsrd.com/magic/all-spells/c/create-demiplane","Create Demiplane, Lesser")</f>
        <v>Create Demiplane, Lesser</v>
      </c>
      <c r="BT986" s="1">
        <v>1022</v>
      </c>
      <c r="BU986" s="1">
        <v>500</v>
      </c>
      <c r="BV986" s="1"/>
      <c r="BW986" s="1"/>
      <c r="BX986" s="1"/>
      <c r="BY986" s="1"/>
      <c r="BZ986" s="1">
        <v>0</v>
      </c>
      <c r="CA986" s="1" t="s">
        <v>109</v>
      </c>
      <c r="CB986" s="1" t="s">
        <v>109</v>
      </c>
      <c r="CC986" s="1">
        <v>7</v>
      </c>
      <c r="CD986" s="1" t="s">
        <v>109</v>
      </c>
      <c r="CE986" s="1" t="s">
        <v>109</v>
      </c>
      <c r="CF986" s="1">
        <v>5</v>
      </c>
      <c r="CG986" s="1" t="s">
        <v>109</v>
      </c>
      <c r="CH986" s="1" t="s">
        <v>109</v>
      </c>
      <c r="CI986" s="1" t="s">
        <v>109</v>
      </c>
      <c r="CJ986" s="1" t="s">
        <v>109</v>
      </c>
      <c r="CK986" s="1"/>
      <c r="CL986" s="1">
        <v>0</v>
      </c>
      <c r="CM986" s="1">
        <v>0</v>
      </c>
      <c r="CN986" s="1">
        <v>0</v>
      </c>
    </row>
    <row r="987" spans="1:92" ht="14.25" customHeight="1" x14ac:dyDescent="0.15">
      <c r="A987" s="1" t="s">
        <v>8161</v>
      </c>
      <c r="B987" s="1" t="s">
        <v>95</v>
      </c>
      <c r="C987" s="1" t="s">
        <v>96</v>
      </c>
      <c r="D987" s="1"/>
      <c r="E987" s="1" t="s">
        <v>435</v>
      </c>
      <c r="F987" s="1" t="s">
        <v>8162</v>
      </c>
      <c r="G987" s="1" t="s">
        <v>8144</v>
      </c>
      <c r="H987" s="1">
        <v>1</v>
      </c>
      <c r="I987" s="1" t="s">
        <v>925</v>
      </c>
      <c r="J987" s="1"/>
      <c r="K987" s="1" t="s">
        <v>8163</v>
      </c>
      <c r="L987" s="1"/>
      <c r="M987" s="1" t="s">
        <v>8146</v>
      </c>
      <c r="N987" s="1">
        <v>0</v>
      </c>
      <c r="O987" s="1">
        <v>0</v>
      </c>
      <c r="P987" s="1" t="s">
        <v>103</v>
      </c>
      <c r="Q987" s="1" t="s">
        <v>104</v>
      </c>
      <c r="R987" s="1" t="s">
        <v>8164</v>
      </c>
      <c r="S987" s="1" t="s">
        <v>8165</v>
      </c>
      <c r="T987" s="1" t="s">
        <v>7821</v>
      </c>
      <c r="U987" s="1" t="s">
        <v>8166</v>
      </c>
      <c r="V987" s="1">
        <v>1</v>
      </c>
      <c r="W987" s="1">
        <v>1</v>
      </c>
      <c r="X987" s="1">
        <v>0</v>
      </c>
      <c r="Y987" s="1">
        <v>0</v>
      </c>
      <c r="Z987" s="1">
        <v>0</v>
      </c>
      <c r="AA987" s="1">
        <v>9</v>
      </c>
      <c r="AB987" s="1">
        <v>9</v>
      </c>
      <c r="AC987" s="1">
        <v>9</v>
      </c>
      <c r="AD987" s="1" t="s">
        <v>109</v>
      </c>
      <c r="AE987" s="1" t="s">
        <v>109</v>
      </c>
      <c r="AF987" s="1" t="s">
        <v>109</v>
      </c>
      <c r="AG987" s="1" t="s">
        <v>109</v>
      </c>
      <c r="AH987" s="1" t="s">
        <v>109</v>
      </c>
      <c r="AI987" s="1" t="s">
        <v>109</v>
      </c>
      <c r="AJ987" s="1">
        <v>9</v>
      </c>
      <c r="AK987" s="1" t="s">
        <v>109</v>
      </c>
      <c r="AL987" s="1">
        <v>9</v>
      </c>
      <c r="AM987" s="1" t="s">
        <v>109</v>
      </c>
      <c r="AN987" s="1" t="s">
        <v>109</v>
      </c>
      <c r="AO987" s="1" t="s">
        <v>109</v>
      </c>
      <c r="AP987" s="1"/>
      <c r="AQ987" s="1">
        <v>9</v>
      </c>
      <c r="AR987" s="1" t="s">
        <v>8167</v>
      </c>
      <c r="AS987" s="1" t="s">
        <v>8168</v>
      </c>
      <c r="AT987" s="1">
        <v>0</v>
      </c>
      <c r="AU987" s="1">
        <v>0</v>
      </c>
      <c r="AV987" s="1">
        <v>0</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5" t="str">
        <f>HYPERLINK("http://www.d20pfsrd.com/magic/all-spells/c/create-demiplane","Create Demiplane, Greater")</f>
        <v>Create Demiplane, Greater</v>
      </c>
      <c r="BT987" s="1">
        <v>1023</v>
      </c>
      <c r="BU987" s="1">
        <v>500</v>
      </c>
      <c r="BV987" s="1"/>
      <c r="BW987" s="1"/>
      <c r="BX987" s="1"/>
      <c r="BY987" s="1"/>
      <c r="BZ987" s="1">
        <v>0</v>
      </c>
      <c r="CA987" s="1" t="s">
        <v>109</v>
      </c>
      <c r="CB987" s="1" t="s">
        <v>109</v>
      </c>
      <c r="CC987" s="1">
        <v>9</v>
      </c>
      <c r="CD987" s="1" t="s">
        <v>109</v>
      </c>
      <c r="CE987" s="1" t="s">
        <v>109</v>
      </c>
      <c r="CF987" s="1" t="s">
        <v>109</v>
      </c>
      <c r="CG987" s="1" t="s">
        <v>109</v>
      </c>
      <c r="CH987" s="1" t="s">
        <v>109</v>
      </c>
      <c r="CI987" s="1" t="s">
        <v>109</v>
      </c>
      <c r="CJ987" s="1" t="s">
        <v>109</v>
      </c>
      <c r="CK987" s="1"/>
      <c r="CL987" s="1">
        <v>0</v>
      </c>
      <c r="CM987" s="1">
        <v>0</v>
      </c>
      <c r="CN987" s="1">
        <v>0</v>
      </c>
    </row>
    <row r="988" spans="1:92" ht="14.25" customHeight="1" x14ac:dyDescent="0.15">
      <c r="A988" s="1" t="s">
        <v>8169</v>
      </c>
      <c r="B988" s="1" t="s">
        <v>308</v>
      </c>
      <c r="C988" s="1"/>
      <c r="D988" s="1" t="s">
        <v>50</v>
      </c>
      <c r="E988" s="1" t="s">
        <v>8170</v>
      </c>
      <c r="F988" s="1" t="s">
        <v>98</v>
      </c>
      <c r="G988" s="1" t="s">
        <v>141</v>
      </c>
      <c r="H988" s="1">
        <v>0</v>
      </c>
      <c r="I988" s="1" t="s">
        <v>142</v>
      </c>
      <c r="J988" s="1"/>
      <c r="K988" s="1"/>
      <c r="L988" s="1" t="s">
        <v>1391</v>
      </c>
      <c r="M988" s="1" t="s">
        <v>408</v>
      </c>
      <c r="N988" s="1">
        <v>0</v>
      </c>
      <c r="O988" s="1">
        <v>0</v>
      </c>
      <c r="P988" s="1" t="s">
        <v>301</v>
      </c>
      <c r="Q988" s="1" t="s">
        <v>268</v>
      </c>
      <c r="R988" s="1" t="s">
        <v>8171</v>
      </c>
      <c r="S988" s="1" t="s">
        <v>8172</v>
      </c>
      <c r="T988" s="1" t="s">
        <v>7821</v>
      </c>
      <c r="U988" s="1" t="s">
        <v>8173</v>
      </c>
      <c r="V988" s="1">
        <v>1</v>
      </c>
      <c r="W988" s="1">
        <v>1</v>
      </c>
      <c r="X988" s="1">
        <v>0</v>
      </c>
      <c r="Y988" s="1">
        <v>0</v>
      </c>
      <c r="Z988" s="1">
        <v>0</v>
      </c>
      <c r="AA988" s="1">
        <v>6</v>
      </c>
      <c r="AB988" s="1">
        <v>6</v>
      </c>
      <c r="AC988" s="1">
        <v>5</v>
      </c>
      <c r="AD988" s="1" t="s">
        <v>109</v>
      </c>
      <c r="AE988" s="1" t="s">
        <v>109</v>
      </c>
      <c r="AF988" s="1" t="s">
        <v>109</v>
      </c>
      <c r="AG988" s="1" t="s">
        <v>109</v>
      </c>
      <c r="AH988" s="1" t="s">
        <v>109</v>
      </c>
      <c r="AI988" s="1" t="s">
        <v>109</v>
      </c>
      <c r="AJ988" s="1">
        <v>5</v>
      </c>
      <c r="AK988" s="1" t="s">
        <v>109</v>
      </c>
      <c r="AL988" s="1">
        <v>5</v>
      </c>
      <c r="AM988" s="1" t="s">
        <v>109</v>
      </c>
      <c r="AN988" s="1" t="s">
        <v>109</v>
      </c>
      <c r="AO988" s="1" t="s">
        <v>109</v>
      </c>
      <c r="AP988" s="1"/>
      <c r="AQ988" s="1">
        <v>6</v>
      </c>
      <c r="AR988" s="1"/>
      <c r="AS988" s="1" t="s">
        <v>8174</v>
      </c>
      <c r="AT988" s="1">
        <v>0</v>
      </c>
      <c r="AU988" s="1">
        <v>0</v>
      </c>
      <c r="AV988" s="1">
        <v>0</v>
      </c>
      <c r="AW988" s="1">
        <v>0</v>
      </c>
      <c r="AX988" s="1">
        <v>1</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5" t="str">
        <f>HYPERLINK("http://www.d20pfsrd.com/magic/all-spells/c/curse","Curse, Major")</f>
        <v>Curse, Major</v>
      </c>
      <c r="BT988" s="1">
        <v>1024</v>
      </c>
      <c r="BU988" s="1" t="s">
        <v>109</v>
      </c>
      <c r="BV988" s="1"/>
      <c r="BW988" s="1"/>
      <c r="BX988" s="1"/>
      <c r="BY988" s="1"/>
      <c r="BZ988" s="1">
        <v>0</v>
      </c>
      <c r="CA988" s="1" t="s">
        <v>109</v>
      </c>
      <c r="CB988" s="1">
        <v>5</v>
      </c>
      <c r="CC988" s="1">
        <v>6</v>
      </c>
      <c r="CD988" s="1" t="s">
        <v>109</v>
      </c>
      <c r="CE988" s="1">
        <v>4</v>
      </c>
      <c r="CF988" s="1">
        <v>5</v>
      </c>
      <c r="CG988" s="1">
        <v>5</v>
      </c>
      <c r="CH988" s="1" t="s">
        <v>109</v>
      </c>
      <c r="CI988" s="1" t="s">
        <v>109</v>
      </c>
      <c r="CJ988" s="1" t="s">
        <v>109</v>
      </c>
      <c r="CK988" s="1"/>
      <c r="CL988" s="1">
        <v>0</v>
      </c>
      <c r="CM988" s="1">
        <v>0</v>
      </c>
      <c r="CN988" s="1">
        <v>0</v>
      </c>
    </row>
    <row r="989" spans="1:92" ht="14.25" customHeight="1" x14ac:dyDescent="0.15">
      <c r="A989" s="1" t="s">
        <v>8175</v>
      </c>
      <c r="B989" s="1" t="s">
        <v>156</v>
      </c>
      <c r="C989" s="1" t="s">
        <v>157</v>
      </c>
      <c r="D989" s="1" t="s">
        <v>8176</v>
      </c>
      <c r="E989" s="1" t="s">
        <v>8177</v>
      </c>
      <c r="F989" s="1" t="s">
        <v>98</v>
      </c>
      <c r="G989" s="1" t="s">
        <v>141</v>
      </c>
      <c r="H989" s="1">
        <v>0</v>
      </c>
      <c r="I989" s="1" t="s">
        <v>142</v>
      </c>
      <c r="J989" s="1"/>
      <c r="K989" s="1"/>
      <c r="L989" s="1" t="s">
        <v>1391</v>
      </c>
      <c r="M989" s="1" t="s">
        <v>408</v>
      </c>
      <c r="N989" s="1">
        <v>0</v>
      </c>
      <c r="O989" s="1">
        <v>0</v>
      </c>
      <c r="P989" s="1" t="s">
        <v>301</v>
      </c>
      <c r="Q989" s="1" t="s">
        <v>268</v>
      </c>
      <c r="R989" s="1" t="s">
        <v>8178</v>
      </c>
      <c r="S989" s="1" t="s">
        <v>8179</v>
      </c>
      <c r="T989" s="1" t="s">
        <v>7821</v>
      </c>
      <c r="U989" s="1" t="s">
        <v>8180</v>
      </c>
      <c r="V989" s="1">
        <v>1</v>
      </c>
      <c r="W989" s="1">
        <v>1</v>
      </c>
      <c r="X989" s="1">
        <v>0</v>
      </c>
      <c r="Y989" s="1">
        <v>0</v>
      </c>
      <c r="Z989" s="1">
        <v>0</v>
      </c>
      <c r="AA989" s="1">
        <v>5</v>
      </c>
      <c r="AB989" s="1">
        <v>5</v>
      </c>
      <c r="AC989" s="1" t="s">
        <v>109</v>
      </c>
      <c r="AD989" s="1" t="s">
        <v>109</v>
      </c>
      <c r="AE989" s="1" t="s">
        <v>109</v>
      </c>
      <c r="AF989" s="1">
        <v>3</v>
      </c>
      <c r="AG989" s="1" t="s">
        <v>109</v>
      </c>
      <c r="AH989" s="1" t="s">
        <v>109</v>
      </c>
      <c r="AI989" s="1" t="s">
        <v>109</v>
      </c>
      <c r="AJ989" s="1">
        <v>5</v>
      </c>
      <c r="AK989" s="1" t="s">
        <v>109</v>
      </c>
      <c r="AL989" s="1" t="s">
        <v>109</v>
      </c>
      <c r="AM989" s="1" t="s">
        <v>109</v>
      </c>
      <c r="AN989" s="1" t="s">
        <v>109</v>
      </c>
      <c r="AO989" s="1" t="s">
        <v>109</v>
      </c>
      <c r="AP989" s="1"/>
      <c r="AQ989" s="1">
        <v>5</v>
      </c>
      <c r="AR989" s="1"/>
      <c r="AS989" s="1" t="s">
        <v>8181</v>
      </c>
      <c r="AT989" s="1">
        <v>0</v>
      </c>
      <c r="AU989" s="1">
        <v>0</v>
      </c>
      <c r="AV989" s="1">
        <v>0</v>
      </c>
      <c r="AW989" s="1">
        <v>0</v>
      </c>
      <c r="AX989" s="1">
        <v>1</v>
      </c>
      <c r="AY989" s="1">
        <v>0</v>
      </c>
      <c r="AZ989" s="1">
        <v>0</v>
      </c>
      <c r="BA989" s="1">
        <v>0</v>
      </c>
      <c r="BB989" s="1">
        <v>0</v>
      </c>
      <c r="BC989" s="1">
        <v>0</v>
      </c>
      <c r="BD989" s="1">
        <v>1</v>
      </c>
      <c r="BE989" s="1">
        <v>0</v>
      </c>
      <c r="BF989" s="1">
        <v>0</v>
      </c>
      <c r="BG989" s="1">
        <v>0</v>
      </c>
      <c r="BH989" s="1">
        <v>0</v>
      </c>
      <c r="BI989" s="1">
        <v>0</v>
      </c>
      <c r="BJ989" s="1">
        <v>0</v>
      </c>
      <c r="BK989" s="1">
        <v>0</v>
      </c>
      <c r="BL989" s="1">
        <v>0</v>
      </c>
      <c r="BM989" s="1">
        <v>1</v>
      </c>
      <c r="BN989" s="1">
        <v>0</v>
      </c>
      <c r="BO989" s="1">
        <v>0</v>
      </c>
      <c r="BP989" s="1">
        <v>0</v>
      </c>
      <c r="BQ989" s="1">
        <v>0</v>
      </c>
      <c r="BR989" s="1">
        <v>0</v>
      </c>
      <c r="BS989" s="5" t="str">
        <f>HYPERLINK("http://www.d20pfsrd.com/magic/all-spells/c/curse-of-disgust","Curse of Disgust")</f>
        <v>Curse of Disgust</v>
      </c>
      <c r="BT989" s="1">
        <v>1025</v>
      </c>
      <c r="BU989" s="1" t="s">
        <v>109</v>
      </c>
      <c r="BV989" s="1"/>
      <c r="BW989" s="1"/>
      <c r="BX989" s="1"/>
      <c r="BY989" s="1"/>
      <c r="BZ989" s="1">
        <v>0</v>
      </c>
      <c r="CA989" s="1" t="s">
        <v>109</v>
      </c>
      <c r="CB989" s="1" t="s">
        <v>109</v>
      </c>
      <c r="CC989" s="1">
        <v>6</v>
      </c>
      <c r="CD989" s="1" t="s">
        <v>109</v>
      </c>
      <c r="CE989" s="1">
        <v>3</v>
      </c>
      <c r="CF989" s="1">
        <v>4</v>
      </c>
      <c r="CG989" s="1" t="s">
        <v>109</v>
      </c>
      <c r="CH989" s="1" t="s">
        <v>109</v>
      </c>
      <c r="CI989" s="1" t="s">
        <v>109</v>
      </c>
      <c r="CJ989" s="1" t="s">
        <v>109</v>
      </c>
      <c r="CK989" s="1"/>
      <c r="CL989" s="1">
        <v>0</v>
      </c>
      <c r="CM989" s="1">
        <v>0</v>
      </c>
      <c r="CN989" s="1">
        <v>0</v>
      </c>
    </row>
    <row r="990" spans="1:92" ht="14.25" customHeight="1" x14ac:dyDescent="0.15">
      <c r="A990" s="1" t="s">
        <v>8182</v>
      </c>
      <c r="B990" s="1" t="s">
        <v>242</v>
      </c>
      <c r="C990" s="1"/>
      <c r="D990" s="1" t="s">
        <v>50</v>
      </c>
      <c r="E990" s="1" t="s">
        <v>8183</v>
      </c>
      <c r="F990" s="1" t="s">
        <v>355</v>
      </c>
      <c r="G990" s="1" t="s">
        <v>8184</v>
      </c>
      <c r="H990" s="1">
        <v>1</v>
      </c>
      <c r="I990" s="1" t="s">
        <v>122</v>
      </c>
      <c r="J990" s="1"/>
      <c r="K990" s="1"/>
      <c r="L990" s="1" t="s">
        <v>1391</v>
      </c>
      <c r="M990" s="1" t="s">
        <v>7934</v>
      </c>
      <c r="N990" s="1">
        <v>0</v>
      </c>
      <c r="O990" s="1">
        <v>0</v>
      </c>
      <c r="P990" s="1" t="s">
        <v>301</v>
      </c>
      <c r="Q990" s="1" t="s">
        <v>104</v>
      </c>
      <c r="R990" s="1" t="s">
        <v>8185</v>
      </c>
      <c r="S990" s="1" t="s">
        <v>8186</v>
      </c>
      <c r="T990" s="1" t="s">
        <v>7821</v>
      </c>
      <c r="U990" s="1" t="s">
        <v>8187</v>
      </c>
      <c r="V990" s="1">
        <v>1</v>
      </c>
      <c r="W990" s="1">
        <v>1</v>
      </c>
      <c r="X990" s="1">
        <v>1</v>
      </c>
      <c r="Y990" s="1">
        <v>0</v>
      </c>
      <c r="Z990" s="1">
        <v>0</v>
      </c>
      <c r="AA990" s="1">
        <v>4</v>
      </c>
      <c r="AB990" s="1">
        <v>4</v>
      </c>
      <c r="AC990" s="1">
        <v>5</v>
      </c>
      <c r="AD990" s="1" t="s">
        <v>109</v>
      </c>
      <c r="AE990" s="1" t="s">
        <v>109</v>
      </c>
      <c r="AF990" s="1" t="s">
        <v>109</v>
      </c>
      <c r="AG990" s="1" t="s">
        <v>109</v>
      </c>
      <c r="AH990" s="1" t="s">
        <v>109</v>
      </c>
      <c r="AI990" s="1" t="s">
        <v>109</v>
      </c>
      <c r="AJ990" s="1">
        <v>4</v>
      </c>
      <c r="AK990" s="1">
        <v>4</v>
      </c>
      <c r="AL990" s="1">
        <v>5</v>
      </c>
      <c r="AM990" s="1" t="s">
        <v>109</v>
      </c>
      <c r="AN990" s="1" t="s">
        <v>109</v>
      </c>
      <c r="AO990" s="1" t="s">
        <v>109</v>
      </c>
      <c r="AP990" s="1"/>
      <c r="AQ990" s="1">
        <v>4</v>
      </c>
      <c r="AR990" s="1"/>
      <c r="AS990" s="1" t="s">
        <v>8188</v>
      </c>
      <c r="AT990" s="1">
        <v>0</v>
      </c>
      <c r="AU990" s="1">
        <v>0</v>
      </c>
      <c r="AV990" s="1">
        <v>0</v>
      </c>
      <c r="AW990" s="1">
        <v>0</v>
      </c>
      <c r="AX990" s="1">
        <v>1</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5" t="str">
        <f>HYPERLINK("http://www.d20pfsrd.com/magic/all-spells/c/curse-of-magic-negation","Curse of Magic Negation")</f>
        <v>Curse of Magic Negation</v>
      </c>
      <c r="BT990" s="1">
        <v>1026</v>
      </c>
      <c r="BU990" s="1">
        <v>250</v>
      </c>
      <c r="BV990" s="1"/>
      <c r="BW990" s="1"/>
      <c r="BX990" s="1"/>
      <c r="BY990" s="1"/>
      <c r="BZ990" s="1">
        <v>0</v>
      </c>
      <c r="CA990" s="1" t="s">
        <v>109</v>
      </c>
      <c r="CB990" s="1" t="s">
        <v>109</v>
      </c>
      <c r="CC990" s="1">
        <v>4</v>
      </c>
      <c r="CD990" s="1" t="s">
        <v>109</v>
      </c>
      <c r="CE990" s="1">
        <v>3</v>
      </c>
      <c r="CF990" s="1">
        <v>4</v>
      </c>
      <c r="CG990" s="1" t="s">
        <v>109</v>
      </c>
      <c r="CH990" s="1" t="s">
        <v>109</v>
      </c>
      <c r="CI990" s="1" t="s">
        <v>109</v>
      </c>
      <c r="CJ990" s="1" t="s">
        <v>109</v>
      </c>
      <c r="CK990" s="1"/>
      <c r="CL990" s="1">
        <v>0</v>
      </c>
      <c r="CM990" s="1">
        <v>0</v>
      </c>
      <c r="CN990" s="1">
        <v>0</v>
      </c>
    </row>
    <row r="991" spans="1:92" ht="14.25" customHeight="1" x14ac:dyDescent="0.15">
      <c r="A991" s="1" t="s">
        <v>8189</v>
      </c>
      <c r="B991" s="1" t="s">
        <v>308</v>
      </c>
      <c r="C991" s="1"/>
      <c r="D991" s="1" t="s">
        <v>8190</v>
      </c>
      <c r="E991" s="1" t="s">
        <v>8191</v>
      </c>
      <c r="F991" s="1" t="s">
        <v>395</v>
      </c>
      <c r="G991" s="1" t="s">
        <v>8192</v>
      </c>
      <c r="H991" s="1">
        <v>1</v>
      </c>
      <c r="I991" s="1" t="s">
        <v>161</v>
      </c>
      <c r="J991" s="1" t="s">
        <v>8193</v>
      </c>
      <c r="K991" s="1"/>
      <c r="L991" s="1"/>
      <c r="M991" s="1" t="s">
        <v>408</v>
      </c>
      <c r="N991" s="1">
        <v>0</v>
      </c>
      <c r="O991" s="1">
        <v>0</v>
      </c>
      <c r="P991" s="1" t="s">
        <v>8111</v>
      </c>
      <c r="Q991" s="1" t="s">
        <v>104</v>
      </c>
      <c r="R991" s="1" t="s">
        <v>8194</v>
      </c>
      <c r="S991" s="1" t="s">
        <v>8195</v>
      </c>
      <c r="T991" s="1" t="s">
        <v>7821</v>
      </c>
      <c r="U991" s="1" t="s">
        <v>8196</v>
      </c>
      <c r="V991" s="1">
        <v>1</v>
      </c>
      <c r="W991" s="1">
        <v>1</v>
      </c>
      <c r="X991" s="1">
        <v>1</v>
      </c>
      <c r="Y991" s="1">
        <v>0</v>
      </c>
      <c r="Z991" s="1">
        <v>1</v>
      </c>
      <c r="AA991" s="1">
        <v>9</v>
      </c>
      <c r="AB991" s="1">
        <v>9</v>
      </c>
      <c r="AC991" s="1">
        <v>9</v>
      </c>
      <c r="AD991" s="1" t="s">
        <v>109</v>
      </c>
      <c r="AE991" s="1" t="s">
        <v>109</v>
      </c>
      <c r="AF991" s="1" t="s">
        <v>109</v>
      </c>
      <c r="AG991" s="1" t="s">
        <v>109</v>
      </c>
      <c r="AH991" s="1" t="s">
        <v>109</v>
      </c>
      <c r="AI991" s="1" t="s">
        <v>109</v>
      </c>
      <c r="AJ991" s="1">
        <v>9</v>
      </c>
      <c r="AK991" s="1" t="s">
        <v>109</v>
      </c>
      <c r="AL991" s="1">
        <v>9</v>
      </c>
      <c r="AM991" s="1" t="s">
        <v>109</v>
      </c>
      <c r="AN991" s="1" t="s">
        <v>109</v>
      </c>
      <c r="AO991" s="1" t="s">
        <v>109</v>
      </c>
      <c r="AP991" s="1"/>
      <c r="AQ991" s="1">
        <v>9</v>
      </c>
      <c r="AR991" s="1"/>
      <c r="AS991" s="1" t="s">
        <v>8197</v>
      </c>
      <c r="AT991" s="1">
        <v>0</v>
      </c>
      <c r="AU991" s="1">
        <v>0</v>
      </c>
      <c r="AV991" s="1">
        <v>0</v>
      </c>
      <c r="AW991" s="1">
        <v>0</v>
      </c>
      <c r="AX991" s="1">
        <v>1</v>
      </c>
      <c r="AY991" s="1">
        <v>0</v>
      </c>
      <c r="AZ991" s="1">
        <v>0</v>
      </c>
      <c r="BA991" s="1">
        <v>0</v>
      </c>
      <c r="BB991" s="1">
        <v>0</v>
      </c>
      <c r="BC991" s="1">
        <v>0</v>
      </c>
      <c r="BD991" s="1">
        <v>0</v>
      </c>
      <c r="BE991" s="1">
        <v>1</v>
      </c>
      <c r="BF991" s="1">
        <v>0</v>
      </c>
      <c r="BG991" s="1">
        <v>0</v>
      </c>
      <c r="BH991" s="1">
        <v>0</v>
      </c>
      <c r="BI991" s="1">
        <v>0</v>
      </c>
      <c r="BJ991" s="1">
        <v>0</v>
      </c>
      <c r="BK991" s="1">
        <v>0</v>
      </c>
      <c r="BL991" s="1">
        <v>0</v>
      </c>
      <c r="BM991" s="1">
        <v>0</v>
      </c>
      <c r="BN991" s="1">
        <v>0</v>
      </c>
      <c r="BO991" s="1">
        <v>0</v>
      </c>
      <c r="BP991" s="1">
        <v>0</v>
      </c>
      <c r="BQ991" s="1">
        <v>0</v>
      </c>
      <c r="BR991" s="1">
        <v>0</v>
      </c>
      <c r="BS991" s="5" t="str">
        <f>HYPERLINK("http://www.d20pfsrd.com/magic/all-spells/c/cursed-earth","Cursed Earth")</f>
        <v>Cursed Earth</v>
      </c>
      <c r="BT991" s="1">
        <v>1027</v>
      </c>
      <c r="BU991" s="1">
        <v>10000</v>
      </c>
      <c r="BV991" s="1"/>
      <c r="BW991" s="1"/>
      <c r="BX991" s="1"/>
      <c r="BY991" s="1"/>
      <c r="BZ991" s="1">
        <v>0</v>
      </c>
      <c r="CA991" s="1" t="s">
        <v>109</v>
      </c>
      <c r="CB991" s="1" t="s">
        <v>109</v>
      </c>
      <c r="CC991" s="1" t="s">
        <v>109</v>
      </c>
      <c r="CD991" s="1" t="s">
        <v>109</v>
      </c>
      <c r="CE991" s="1" t="s">
        <v>109</v>
      </c>
      <c r="CF991" s="1" t="s">
        <v>109</v>
      </c>
      <c r="CG991" s="1" t="s">
        <v>109</v>
      </c>
      <c r="CH991" s="1" t="s">
        <v>109</v>
      </c>
      <c r="CI991" s="1" t="s">
        <v>109</v>
      </c>
      <c r="CJ991" s="1" t="s">
        <v>109</v>
      </c>
      <c r="CK991" s="1"/>
      <c r="CL991" s="1">
        <v>0</v>
      </c>
      <c r="CM991" s="1">
        <v>0</v>
      </c>
      <c r="CN991" s="1">
        <v>0</v>
      </c>
    </row>
    <row r="992" spans="1:92" ht="14.25" customHeight="1" x14ac:dyDescent="0.15">
      <c r="A992" s="1" t="s">
        <v>8198</v>
      </c>
      <c r="B992" s="1" t="s">
        <v>95</v>
      </c>
      <c r="C992" s="1" t="s">
        <v>96</v>
      </c>
      <c r="D992" s="1" t="s">
        <v>60</v>
      </c>
      <c r="E992" s="1" t="s">
        <v>8199</v>
      </c>
      <c r="F992" s="1" t="s">
        <v>98</v>
      </c>
      <c r="G992" s="1" t="s">
        <v>8200</v>
      </c>
      <c r="H992" s="1">
        <v>0</v>
      </c>
      <c r="I992" s="1" t="s">
        <v>161</v>
      </c>
      <c r="J992" s="1"/>
      <c r="K992" s="1"/>
      <c r="L992" s="1" t="s">
        <v>506</v>
      </c>
      <c r="M992" s="1" t="s">
        <v>8201</v>
      </c>
      <c r="N992" s="1">
        <v>1</v>
      </c>
      <c r="O992" s="1">
        <v>0</v>
      </c>
      <c r="P992" s="1" t="s">
        <v>507</v>
      </c>
      <c r="Q992" s="1" t="s">
        <v>268</v>
      </c>
      <c r="R992" s="1" t="s">
        <v>8202</v>
      </c>
      <c r="S992" s="1" t="s">
        <v>8203</v>
      </c>
      <c r="T992" s="1" t="s">
        <v>7821</v>
      </c>
      <c r="U992" s="1" t="s">
        <v>8204</v>
      </c>
      <c r="V992" s="1">
        <v>1</v>
      </c>
      <c r="W992" s="1">
        <v>1</v>
      </c>
      <c r="X992" s="1">
        <v>0</v>
      </c>
      <c r="Y992" s="1">
        <v>0</v>
      </c>
      <c r="Z992" s="1">
        <v>0</v>
      </c>
      <c r="AA992" s="1">
        <v>2</v>
      </c>
      <c r="AB992" s="1">
        <v>2</v>
      </c>
      <c r="AC992" s="1" t="s">
        <v>109</v>
      </c>
      <c r="AD992" s="1" t="s">
        <v>109</v>
      </c>
      <c r="AE992" s="1" t="s">
        <v>109</v>
      </c>
      <c r="AF992" s="1" t="s">
        <v>109</v>
      </c>
      <c r="AG992" s="1" t="s">
        <v>109</v>
      </c>
      <c r="AH992" s="1" t="s">
        <v>109</v>
      </c>
      <c r="AI992" s="1">
        <v>2</v>
      </c>
      <c r="AJ992" s="1" t="s">
        <v>109</v>
      </c>
      <c r="AK992" s="1" t="s">
        <v>109</v>
      </c>
      <c r="AL992" s="1" t="s">
        <v>109</v>
      </c>
      <c r="AM992" s="1" t="s">
        <v>109</v>
      </c>
      <c r="AN992" s="1" t="s">
        <v>109</v>
      </c>
      <c r="AO992" s="1" t="s">
        <v>109</v>
      </c>
      <c r="AP992" s="1"/>
      <c r="AQ992" s="1">
        <v>2</v>
      </c>
      <c r="AR992" s="1"/>
      <c r="AS992" s="1" t="s">
        <v>8205</v>
      </c>
      <c r="AT992" s="1">
        <v>0</v>
      </c>
      <c r="AU992" s="1">
        <v>0</v>
      </c>
      <c r="AV992" s="1">
        <v>0</v>
      </c>
      <c r="AW992" s="1">
        <v>0</v>
      </c>
      <c r="AX992" s="1">
        <v>0</v>
      </c>
      <c r="AY992" s="1">
        <v>0</v>
      </c>
      <c r="AZ992" s="1">
        <v>0</v>
      </c>
      <c r="BA992" s="1">
        <v>0</v>
      </c>
      <c r="BB992" s="1">
        <v>0</v>
      </c>
      <c r="BC992" s="1">
        <v>0</v>
      </c>
      <c r="BD992" s="1">
        <v>0</v>
      </c>
      <c r="BE992" s="1">
        <v>0</v>
      </c>
      <c r="BF992" s="1">
        <v>0</v>
      </c>
      <c r="BG992" s="1">
        <v>0</v>
      </c>
      <c r="BH992" s="1">
        <v>1</v>
      </c>
      <c r="BI992" s="1">
        <v>0</v>
      </c>
      <c r="BJ992" s="1">
        <v>0</v>
      </c>
      <c r="BK992" s="1">
        <v>0</v>
      </c>
      <c r="BL992" s="1">
        <v>0</v>
      </c>
      <c r="BM992" s="1">
        <v>0</v>
      </c>
      <c r="BN992" s="1">
        <v>0</v>
      </c>
      <c r="BO992" s="1">
        <v>0</v>
      </c>
      <c r="BP992" s="1">
        <v>0</v>
      </c>
      <c r="BQ992" s="1">
        <v>0</v>
      </c>
      <c r="BR992" s="1">
        <v>0</v>
      </c>
      <c r="BS992" s="5" t="str">
        <f>HYPERLINK("http://www.d20pfsrd.com/magic/all-spells/c/cushioning-bands","Cushioning Bands")</f>
        <v>Cushioning Bands</v>
      </c>
      <c r="BT992" s="1">
        <v>1028</v>
      </c>
      <c r="BU992" s="1" t="s">
        <v>109</v>
      </c>
      <c r="BV992" s="1"/>
      <c r="BW992" s="1"/>
      <c r="BX992" s="1"/>
      <c r="BY992" s="1"/>
      <c r="BZ992" s="1">
        <v>0</v>
      </c>
      <c r="CA992" s="1" t="s">
        <v>109</v>
      </c>
      <c r="CB992" s="1" t="s">
        <v>109</v>
      </c>
      <c r="CC992" s="1">
        <v>2</v>
      </c>
      <c r="CD992" s="1" t="s">
        <v>109</v>
      </c>
      <c r="CE992" s="1" t="s">
        <v>109</v>
      </c>
      <c r="CF992" s="1" t="s">
        <v>109</v>
      </c>
      <c r="CG992" s="1" t="s">
        <v>109</v>
      </c>
      <c r="CH992" s="1" t="s">
        <v>109</v>
      </c>
      <c r="CI992" s="1" t="s">
        <v>109</v>
      </c>
      <c r="CJ992" s="1" t="s">
        <v>109</v>
      </c>
      <c r="CK992" s="1"/>
      <c r="CL992" s="1">
        <v>0</v>
      </c>
      <c r="CM992" s="1">
        <v>0</v>
      </c>
      <c r="CN992" s="1">
        <v>0</v>
      </c>
    </row>
    <row r="993" spans="1:92" ht="14.25" customHeight="1" x14ac:dyDescent="0.15">
      <c r="A993" s="1" t="s">
        <v>8206</v>
      </c>
      <c r="B993" s="1" t="s">
        <v>189</v>
      </c>
      <c r="C993" s="1"/>
      <c r="D993" s="1"/>
      <c r="E993" s="1" t="s">
        <v>6342</v>
      </c>
      <c r="F993" s="1" t="s">
        <v>98</v>
      </c>
      <c r="G993" s="1" t="s">
        <v>333</v>
      </c>
      <c r="H993" s="1">
        <v>0</v>
      </c>
      <c r="I993" s="1" t="s">
        <v>235</v>
      </c>
      <c r="J993" s="1"/>
      <c r="K993" s="1"/>
      <c r="L993" s="1" t="s">
        <v>236</v>
      </c>
      <c r="M993" s="1" t="s">
        <v>125</v>
      </c>
      <c r="N993" s="1">
        <v>0</v>
      </c>
      <c r="O993" s="1">
        <v>0</v>
      </c>
      <c r="P993" s="1"/>
      <c r="Q993" s="1"/>
      <c r="R993" s="1" t="s">
        <v>8207</v>
      </c>
      <c r="S993" s="1" t="s">
        <v>8208</v>
      </c>
      <c r="T993" s="1" t="s">
        <v>7821</v>
      </c>
      <c r="U993" s="1" t="s">
        <v>8209</v>
      </c>
      <c r="V993" s="1">
        <v>1</v>
      </c>
      <c r="W993" s="1">
        <v>0</v>
      </c>
      <c r="X993" s="1">
        <v>0</v>
      </c>
      <c r="Y993" s="1">
        <v>0</v>
      </c>
      <c r="Z993" s="1">
        <v>0</v>
      </c>
      <c r="AA993" s="1" t="s">
        <v>109</v>
      </c>
      <c r="AB993" s="1" t="s">
        <v>109</v>
      </c>
      <c r="AC993" s="1" t="s">
        <v>109</v>
      </c>
      <c r="AD993" s="1" t="s">
        <v>109</v>
      </c>
      <c r="AE993" s="1" t="s">
        <v>109</v>
      </c>
      <c r="AF993" s="1">
        <v>4</v>
      </c>
      <c r="AG993" s="1" t="s">
        <v>109</v>
      </c>
      <c r="AH993" s="1" t="s">
        <v>109</v>
      </c>
      <c r="AI993" s="1" t="s">
        <v>109</v>
      </c>
      <c r="AJ993" s="1" t="s">
        <v>109</v>
      </c>
      <c r="AK993" s="1" t="s">
        <v>109</v>
      </c>
      <c r="AL993" s="1" t="s">
        <v>109</v>
      </c>
      <c r="AM993" s="1" t="s">
        <v>109</v>
      </c>
      <c r="AN993" s="1" t="s">
        <v>109</v>
      </c>
      <c r="AO993" s="1" t="s">
        <v>109</v>
      </c>
      <c r="AP993" s="1"/>
      <c r="AQ993" s="1">
        <v>4</v>
      </c>
      <c r="AR993" s="1" t="s">
        <v>8210</v>
      </c>
      <c r="AS993" s="1" t="s">
        <v>8211</v>
      </c>
      <c r="AT993" s="1">
        <v>0</v>
      </c>
      <c r="AU993" s="1">
        <v>0</v>
      </c>
      <c r="AV993" s="1">
        <v>0</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5" t="str">
        <f>HYPERLINK("http://www.d20pfsrd.com/magic/all-spells/d/dance-of-a-hundred-cuts","Dance of a Hundred Cuts")</f>
        <v>Dance of a Hundred Cuts</v>
      </c>
      <c r="BT993" s="1">
        <v>1029</v>
      </c>
      <c r="BU993" s="1" t="s">
        <v>109</v>
      </c>
      <c r="BV993" s="1"/>
      <c r="BW993" s="1"/>
      <c r="BX993" s="1"/>
      <c r="BY993" s="1"/>
      <c r="BZ993" s="1">
        <v>0</v>
      </c>
      <c r="CA993" s="1" t="s">
        <v>109</v>
      </c>
      <c r="CB993" s="1" t="s">
        <v>109</v>
      </c>
      <c r="CC993" s="1" t="s">
        <v>109</v>
      </c>
      <c r="CD993" s="1" t="s">
        <v>109</v>
      </c>
      <c r="CE993" s="1" t="s">
        <v>109</v>
      </c>
      <c r="CF993" s="1" t="s">
        <v>109</v>
      </c>
      <c r="CG993" s="1" t="s">
        <v>109</v>
      </c>
      <c r="CH993" s="1" t="s">
        <v>109</v>
      </c>
      <c r="CI993" s="1" t="s">
        <v>109</v>
      </c>
      <c r="CJ993" s="1" t="s">
        <v>109</v>
      </c>
      <c r="CK993" s="1"/>
      <c r="CL993" s="1">
        <v>0</v>
      </c>
      <c r="CM993" s="1">
        <v>0</v>
      </c>
      <c r="CN993" s="1">
        <v>0</v>
      </c>
    </row>
    <row r="994" spans="1:92" ht="14.25" customHeight="1" x14ac:dyDescent="0.15">
      <c r="A994" s="1" t="s">
        <v>8212</v>
      </c>
      <c r="B994" s="1" t="s">
        <v>189</v>
      </c>
      <c r="C994" s="1"/>
      <c r="D994" s="1"/>
      <c r="E994" s="1" t="s">
        <v>4972</v>
      </c>
      <c r="F994" s="1" t="s">
        <v>98</v>
      </c>
      <c r="G994" s="1" t="s">
        <v>333</v>
      </c>
      <c r="H994" s="1">
        <v>0</v>
      </c>
      <c r="I994" s="1" t="s">
        <v>235</v>
      </c>
      <c r="J994" s="1"/>
      <c r="K994" s="1"/>
      <c r="L994" s="1" t="s">
        <v>236</v>
      </c>
      <c r="M994" s="1" t="s">
        <v>125</v>
      </c>
      <c r="N994" s="1">
        <v>0</v>
      </c>
      <c r="O994" s="1">
        <v>0</v>
      </c>
      <c r="P994" s="1"/>
      <c r="Q994" s="1"/>
      <c r="R994" s="1" t="s">
        <v>8213</v>
      </c>
      <c r="S994" s="1" t="s">
        <v>8214</v>
      </c>
      <c r="T994" s="1" t="s">
        <v>7821</v>
      </c>
      <c r="U994" s="1" t="s">
        <v>8215</v>
      </c>
      <c r="V994" s="1">
        <v>1</v>
      </c>
      <c r="W994" s="1">
        <v>0</v>
      </c>
      <c r="X994" s="1">
        <v>0</v>
      </c>
      <c r="Y994" s="1">
        <v>0</v>
      </c>
      <c r="Z994" s="1">
        <v>0</v>
      </c>
      <c r="AA994" s="1" t="s">
        <v>109</v>
      </c>
      <c r="AB994" s="1" t="s">
        <v>109</v>
      </c>
      <c r="AC994" s="1" t="s">
        <v>109</v>
      </c>
      <c r="AD994" s="1" t="s">
        <v>109</v>
      </c>
      <c r="AE994" s="1" t="s">
        <v>109</v>
      </c>
      <c r="AF994" s="1">
        <v>6</v>
      </c>
      <c r="AG994" s="1" t="s">
        <v>109</v>
      </c>
      <c r="AH994" s="1" t="s">
        <v>109</v>
      </c>
      <c r="AI994" s="1" t="s">
        <v>109</v>
      </c>
      <c r="AJ994" s="1" t="s">
        <v>109</v>
      </c>
      <c r="AK994" s="1" t="s">
        <v>109</v>
      </c>
      <c r="AL994" s="1" t="s">
        <v>109</v>
      </c>
      <c r="AM994" s="1" t="s">
        <v>109</v>
      </c>
      <c r="AN994" s="1" t="s">
        <v>109</v>
      </c>
      <c r="AO994" s="1" t="s">
        <v>109</v>
      </c>
      <c r="AP994" s="1"/>
      <c r="AQ994" s="1">
        <v>6</v>
      </c>
      <c r="AR994" s="1" t="s">
        <v>8216</v>
      </c>
      <c r="AS994" s="1" t="s">
        <v>8217</v>
      </c>
      <c r="AT994" s="1">
        <v>0</v>
      </c>
      <c r="AU994" s="1">
        <v>0</v>
      </c>
      <c r="AV994" s="1">
        <v>0</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5" t="str">
        <f>HYPERLINK("http://www.d20pfsrd.com/magic/all-spells/d/dance-of-a-thousand-cuts","Dance of a Thousand Cuts")</f>
        <v>Dance of a Thousand Cuts</v>
      </c>
      <c r="BT994" s="1">
        <v>1030</v>
      </c>
      <c r="BU994" s="1" t="s">
        <v>109</v>
      </c>
      <c r="BV994" s="1"/>
      <c r="BW994" s="1"/>
      <c r="BX994" s="1"/>
      <c r="BY994" s="1"/>
      <c r="BZ994" s="1">
        <v>0</v>
      </c>
      <c r="CA994" s="1" t="s">
        <v>109</v>
      </c>
      <c r="CB994" s="1" t="s">
        <v>109</v>
      </c>
      <c r="CC994" s="1" t="s">
        <v>109</v>
      </c>
      <c r="CD994" s="1" t="s">
        <v>109</v>
      </c>
      <c r="CE994" s="1" t="s">
        <v>109</v>
      </c>
      <c r="CF994" s="1" t="s">
        <v>109</v>
      </c>
      <c r="CG994" s="1" t="s">
        <v>109</v>
      </c>
      <c r="CH994" s="1" t="s">
        <v>109</v>
      </c>
      <c r="CI994" s="1" t="s">
        <v>109</v>
      </c>
      <c r="CJ994" s="1" t="s">
        <v>109</v>
      </c>
      <c r="CK994" s="1"/>
      <c r="CL994" s="1">
        <v>0</v>
      </c>
      <c r="CM994" s="1">
        <v>0</v>
      </c>
      <c r="CN994" s="1">
        <v>0</v>
      </c>
    </row>
    <row r="995" spans="1:92" ht="14.25" customHeight="1" x14ac:dyDescent="0.15">
      <c r="A995" s="1" t="s">
        <v>8218</v>
      </c>
      <c r="B995" s="1" t="s">
        <v>189</v>
      </c>
      <c r="C995" s="1"/>
      <c r="D995" s="1"/>
      <c r="E995" s="1" t="s">
        <v>8219</v>
      </c>
      <c r="F995" s="1" t="s">
        <v>98</v>
      </c>
      <c r="G995" s="1" t="s">
        <v>1294</v>
      </c>
      <c r="H995" s="1">
        <v>0</v>
      </c>
      <c r="I995" s="1" t="s">
        <v>161</v>
      </c>
      <c r="J995" s="1"/>
      <c r="K995" s="1"/>
      <c r="L995" s="1" t="s">
        <v>506</v>
      </c>
      <c r="M995" s="1" t="s">
        <v>289</v>
      </c>
      <c r="N995" s="1">
        <v>0</v>
      </c>
      <c r="O995" s="1">
        <v>0</v>
      </c>
      <c r="P995" s="1" t="s">
        <v>507</v>
      </c>
      <c r="Q995" s="1" t="s">
        <v>167</v>
      </c>
      <c r="R995" s="1" t="s">
        <v>8220</v>
      </c>
      <c r="S995" s="1" t="s">
        <v>8221</v>
      </c>
      <c r="T995" s="1" t="s">
        <v>7821</v>
      </c>
      <c r="U995" s="1" t="s">
        <v>8222</v>
      </c>
      <c r="V995" s="1">
        <v>1</v>
      </c>
      <c r="W995" s="1">
        <v>1</v>
      </c>
      <c r="X995" s="1">
        <v>1</v>
      </c>
      <c r="Y995" s="1">
        <v>0</v>
      </c>
      <c r="Z995" s="1">
        <v>0</v>
      </c>
      <c r="AA995" s="1">
        <v>4</v>
      </c>
      <c r="AB995" s="1">
        <v>4</v>
      </c>
      <c r="AC995" s="1" t="s">
        <v>109</v>
      </c>
      <c r="AD995" s="1" t="s">
        <v>109</v>
      </c>
      <c r="AE995" s="1">
        <v>4</v>
      </c>
      <c r="AF995" s="1" t="s">
        <v>109</v>
      </c>
      <c r="AG995" s="1" t="s">
        <v>109</v>
      </c>
      <c r="AH995" s="1">
        <v>4</v>
      </c>
      <c r="AI995" s="1" t="s">
        <v>109</v>
      </c>
      <c r="AJ995" s="1" t="s">
        <v>109</v>
      </c>
      <c r="AK995" s="1" t="s">
        <v>109</v>
      </c>
      <c r="AL995" s="1" t="s">
        <v>109</v>
      </c>
      <c r="AM995" s="1">
        <v>4</v>
      </c>
      <c r="AN995" s="1" t="s">
        <v>109</v>
      </c>
      <c r="AO995" s="1" t="s">
        <v>109</v>
      </c>
      <c r="AP995" s="1"/>
      <c r="AQ995" s="1">
        <v>4</v>
      </c>
      <c r="AR995" s="1"/>
      <c r="AS995" s="1" t="s">
        <v>8223</v>
      </c>
      <c r="AT995" s="1">
        <v>0</v>
      </c>
      <c r="AU995" s="1">
        <v>0</v>
      </c>
      <c r="AV995" s="1">
        <v>0</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5" t="str">
        <f>HYPERLINK("http://www.d20pfsrd.com/magic/all-spells/d/darkvision","Darkvision, Greater")</f>
        <v>Darkvision, Greater</v>
      </c>
      <c r="BT995" s="1">
        <v>1031</v>
      </c>
      <c r="BU995" s="1" t="s">
        <v>109</v>
      </c>
      <c r="BV995" s="1"/>
      <c r="BW995" s="1"/>
      <c r="BX995" s="1"/>
      <c r="BY995" s="1"/>
      <c r="BZ995" s="1">
        <v>0</v>
      </c>
      <c r="CA995" s="1" t="s">
        <v>109</v>
      </c>
      <c r="CB995" s="1" t="s">
        <v>109</v>
      </c>
      <c r="CC995" s="1">
        <v>4</v>
      </c>
      <c r="CD995" s="1" t="s">
        <v>109</v>
      </c>
      <c r="CE995" s="1" t="s">
        <v>109</v>
      </c>
      <c r="CF995" s="1">
        <v>4</v>
      </c>
      <c r="CG995" s="1" t="s">
        <v>109</v>
      </c>
      <c r="CH995" s="1" t="s">
        <v>109</v>
      </c>
      <c r="CI995" s="1" t="s">
        <v>109</v>
      </c>
      <c r="CJ995" s="1">
        <v>4</v>
      </c>
      <c r="CK995" s="1"/>
      <c r="CL995" s="1">
        <v>0</v>
      </c>
      <c r="CM995" s="1">
        <v>0</v>
      </c>
      <c r="CN995" s="1">
        <v>0</v>
      </c>
    </row>
    <row r="996" spans="1:92" ht="14.25" customHeight="1" x14ac:dyDescent="0.15">
      <c r="A996" s="1" t="s">
        <v>8224</v>
      </c>
      <c r="B996" s="1" t="s">
        <v>156</v>
      </c>
      <c r="C996" s="1" t="s">
        <v>157</v>
      </c>
      <c r="D996" s="1" t="s">
        <v>158</v>
      </c>
      <c r="E996" s="1" t="s">
        <v>8225</v>
      </c>
      <c r="F996" s="1" t="s">
        <v>98</v>
      </c>
      <c r="G996" s="1" t="s">
        <v>141</v>
      </c>
      <c r="H996" s="1">
        <v>0</v>
      </c>
      <c r="I996" s="1" t="s">
        <v>122</v>
      </c>
      <c r="J996" s="1"/>
      <c r="K996" s="1"/>
      <c r="L996" s="1" t="s">
        <v>8226</v>
      </c>
      <c r="M996" s="1" t="s">
        <v>355</v>
      </c>
      <c r="N996" s="1">
        <v>0</v>
      </c>
      <c r="O996" s="1">
        <v>0</v>
      </c>
      <c r="P996" s="1" t="s">
        <v>301</v>
      </c>
      <c r="Q996" s="1" t="s">
        <v>268</v>
      </c>
      <c r="R996" s="1" t="s">
        <v>8227</v>
      </c>
      <c r="S996" s="1" t="s">
        <v>8228</v>
      </c>
      <c r="T996" s="1" t="s">
        <v>7821</v>
      </c>
      <c r="U996" s="1" t="s">
        <v>8229</v>
      </c>
      <c r="V996" s="1">
        <v>1</v>
      </c>
      <c r="W996" s="1">
        <v>1</v>
      </c>
      <c r="X996" s="1">
        <v>0</v>
      </c>
      <c r="Y996" s="1">
        <v>0</v>
      </c>
      <c r="Z996" s="1">
        <v>0</v>
      </c>
      <c r="AA996" s="1">
        <v>4</v>
      </c>
      <c r="AB996" s="1">
        <v>4</v>
      </c>
      <c r="AC996" s="1" t="s">
        <v>109</v>
      </c>
      <c r="AD996" s="1" t="s">
        <v>109</v>
      </c>
      <c r="AE996" s="1" t="s">
        <v>109</v>
      </c>
      <c r="AF996" s="1">
        <v>4</v>
      </c>
      <c r="AG996" s="1" t="s">
        <v>109</v>
      </c>
      <c r="AH996" s="1" t="s">
        <v>109</v>
      </c>
      <c r="AI996" s="1">
        <v>4</v>
      </c>
      <c r="AJ996" s="1">
        <v>4</v>
      </c>
      <c r="AK996" s="1">
        <v>4</v>
      </c>
      <c r="AL996" s="1" t="s">
        <v>109</v>
      </c>
      <c r="AM996" s="1" t="s">
        <v>109</v>
      </c>
      <c r="AN996" s="1" t="s">
        <v>109</v>
      </c>
      <c r="AO996" s="1" t="s">
        <v>109</v>
      </c>
      <c r="AP996" s="1"/>
      <c r="AQ996" s="1">
        <v>4</v>
      </c>
      <c r="AR996" s="1"/>
      <c r="AS996" s="1" t="s">
        <v>8230</v>
      </c>
      <c r="AT996" s="1">
        <v>0</v>
      </c>
      <c r="AU996" s="1">
        <v>0</v>
      </c>
      <c r="AV996" s="1">
        <v>0</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1</v>
      </c>
      <c r="BN996" s="1">
        <v>0</v>
      </c>
      <c r="BO996" s="1">
        <v>0</v>
      </c>
      <c r="BP996" s="1">
        <v>0</v>
      </c>
      <c r="BQ996" s="1">
        <v>0</v>
      </c>
      <c r="BR996" s="1">
        <v>0</v>
      </c>
      <c r="BS996" s="5" t="str">
        <f>HYPERLINK("http://www.d20pfsrd.com/magic/all-spells/d/daze","Daze, Mass")</f>
        <v>Daze, Mass</v>
      </c>
      <c r="BT996" s="1">
        <v>1032</v>
      </c>
      <c r="BU996" s="1" t="s">
        <v>109</v>
      </c>
      <c r="BV996" s="1"/>
      <c r="BW996" s="1"/>
      <c r="BX996" s="1"/>
      <c r="BY996" s="1"/>
      <c r="BZ996" s="1">
        <v>0</v>
      </c>
      <c r="CA996" s="1" t="s">
        <v>109</v>
      </c>
      <c r="CB996" s="1" t="s">
        <v>109</v>
      </c>
      <c r="CC996" s="1">
        <v>3</v>
      </c>
      <c r="CD996" s="1" t="s">
        <v>109</v>
      </c>
      <c r="CE996" s="1">
        <v>4</v>
      </c>
      <c r="CF996" s="1">
        <v>4</v>
      </c>
      <c r="CG996" s="1" t="s">
        <v>109</v>
      </c>
      <c r="CH996" s="1" t="s">
        <v>109</v>
      </c>
      <c r="CI996" s="1" t="s">
        <v>109</v>
      </c>
      <c r="CJ996" s="1" t="s">
        <v>109</v>
      </c>
      <c r="CK996" s="1"/>
      <c r="CL996" s="1">
        <v>0</v>
      </c>
      <c r="CM996" s="1">
        <v>0</v>
      </c>
      <c r="CN996" s="1">
        <v>0</v>
      </c>
    </row>
    <row r="997" spans="1:92" ht="14.25" customHeight="1" x14ac:dyDescent="0.15">
      <c r="A997" s="1" t="s">
        <v>8231</v>
      </c>
      <c r="B997" s="1" t="s">
        <v>308</v>
      </c>
      <c r="C997" s="1"/>
      <c r="D997" s="1"/>
      <c r="E997" s="1" t="s">
        <v>8232</v>
      </c>
      <c r="F997" s="1" t="s">
        <v>98</v>
      </c>
      <c r="G997" s="1" t="s">
        <v>8233</v>
      </c>
      <c r="H997" s="1">
        <v>0</v>
      </c>
      <c r="I997" s="1" t="s">
        <v>161</v>
      </c>
      <c r="J997" s="1"/>
      <c r="K997" s="1"/>
      <c r="L997" s="1" t="s">
        <v>8234</v>
      </c>
      <c r="M997" s="1" t="s">
        <v>8235</v>
      </c>
      <c r="N997" s="1">
        <v>0</v>
      </c>
      <c r="O997" s="1">
        <v>0</v>
      </c>
      <c r="P997" s="1" t="s">
        <v>5812</v>
      </c>
      <c r="Q997" s="1" t="s">
        <v>630</v>
      </c>
      <c r="R997" s="1" t="s">
        <v>8236</v>
      </c>
      <c r="S997" s="1" t="s">
        <v>8237</v>
      </c>
      <c r="T997" s="1" t="s">
        <v>7821</v>
      </c>
      <c r="U997" s="1" t="s">
        <v>8238</v>
      </c>
      <c r="V997" s="1">
        <v>1</v>
      </c>
      <c r="W997" s="1">
        <v>1</v>
      </c>
      <c r="X997" s="1">
        <v>1</v>
      </c>
      <c r="Y997" s="1">
        <v>0</v>
      </c>
      <c r="Z997" s="1">
        <v>0</v>
      </c>
      <c r="AA997" s="1">
        <v>1</v>
      </c>
      <c r="AB997" s="1">
        <v>1</v>
      </c>
      <c r="AC997" s="1">
        <v>1</v>
      </c>
      <c r="AD997" s="1">
        <v>1</v>
      </c>
      <c r="AE997" s="1" t="s">
        <v>109</v>
      </c>
      <c r="AF997" s="1" t="s">
        <v>109</v>
      </c>
      <c r="AG997" s="1" t="s">
        <v>109</v>
      </c>
      <c r="AH997" s="1" t="s">
        <v>109</v>
      </c>
      <c r="AI997" s="1" t="s">
        <v>109</v>
      </c>
      <c r="AJ997" s="1">
        <v>1</v>
      </c>
      <c r="AK997" s="1" t="s">
        <v>109</v>
      </c>
      <c r="AL997" s="1">
        <v>1</v>
      </c>
      <c r="AM997" s="1" t="s">
        <v>109</v>
      </c>
      <c r="AN997" s="1" t="s">
        <v>109</v>
      </c>
      <c r="AO997" s="1" t="s">
        <v>109</v>
      </c>
      <c r="AP997" s="1"/>
      <c r="AQ997" s="1">
        <v>1</v>
      </c>
      <c r="AR997" s="1"/>
      <c r="AS997" s="1" t="s">
        <v>8239</v>
      </c>
      <c r="AT997" s="1">
        <v>0</v>
      </c>
      <c r="AU997" s="1">
        <v>0</v>
      </c>
      <c r="AV997" s="1">
        <v>0</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5" t="str">
        <f>HYPERLINK("http://www.d20pfsrd.com/magic/all-spells/d/decompose-corpse","Decompose Corpse")</f>
        <v>Decompose Corpse</v>
      </c>
      <c r="BT997" s="1">
        <v>1033</v>
      </c>
      <c r="BU997" s="1" t="s">
        <v>109</v>
      </c>
      <c r="BV997" s="1"/>
      <c r="BW997" s="1"/>
      <c r="BX997" s="1"/>
      <c r="BY997" s="1"/>
      <c r="BZ997" s="1">
        <v>0</v>
      </c>
      <c r="CA997" s="1" t="s">
        <v>109</v>
      </c>
      <c r="CB997" s="1" t="s">
        <v>109</v>
      </c>
      <c r="CC997" s="1">
        <v>1</v>
      </c>
      <c r="CD997" s="1" t="s">
        <v>109</v>
      </c>
      <c r="CE997" s="1" t="s">
        <v>109</v>
      </c>
      <c r="CF997" s="1">
        <v>1</v>
      </c>
      <c r="CG997" s="1">
        <v>1</v>
      </c>
      <c r="CH997" s="1" t="s">
        <v>109</v>
      </c>
      <c r="CI997" s="1" t="s">
        <v>109</v>
      </c>
      <c r="CJ997" s="1">
        <v>1</v>
      </c>
      <c r="CK997" s="1"/>
      <c r="CL997" s="1">
        <v>0</v>
      </c>
      <c r="CM997" s="1">
        <v>0</v>
      </c>
      <c r="CN997" s="1">
        <v>0</v>
      </c>
    </row>
    <row r="998" spans="1:92" ht="14.25" customHeight="1" x14ac:dyDescent="0.15">
      <c r="A998" s="1" t="s">
        <v>8240</v>
      </c>
      <c r="B998" s="1" t="s">
        <v>584</v>
      </c>
      <c r="C998" s="1"/>
      <c r="D998" s="1" t="s">
        <v>55</v>
      </c>
      <c r="E998" s="1" t="s">
        <v>8241</v>
      </c>
      <c r="F998" s="1" t="s">
        <v>98</v>
      </c>
      <c r="G998" s="1" t="s">
        <v>8242</v>
      </c>
      <c r="H998" s="1">
        <v>0</v>
      </c>
      <c r="I998" s="1" t="s">
        <v>235</v>
      </c>
      <c r="J998" s="1"/>
      <c r="K998" s="1"/>
      <c r="L998" s="1" t="s">
        <v>236</v>
      </c>
      <c r="M998" s="1" t="s">
        <v>8243</v>
      </c>
      <c r="N998" s="1">
        <v>0</v>
      </c>
      <c r="O998" s="1">
        <v>0</v>
      </c>
      <c r="P998" s="1"/>
      <c r="Q998" s="1"/>
      <c r="R998" s="1" t="s">
        <v>8244</v>
      </c>
      <c r="S998" s="1" t="s">
        <v>8245</v>
      </c>
      <c r="T998" s="1" t="s">
        <v>7821</v>
      </c>
      <c r="U998" s="1" t="s">
        <v>8246</v>
      </c>
      <c r="V998" s="1">
        <v>1</v>
      </c>
      <c r="W998" s="1">
        <v>1</v>
      </c>
      <c r="X998" s="1">
        <v>1</v>
      </c>
      <c r="Y998" s="1">
        <v>0</v>
      </c>
      <c r="Z998" s="1">
        <v>0</v>
      </c>
      <c r="AA998" s="1">
        <v>2</v>
      </c>
      <c r="AB998" s="1">
        <v>2</v>
      </c>
      <c r="AC998" s="1" t="s">
        <v>109</v>
      </c>
      <c r="AD998" s="1" t="s">
        <v>109</v>
      </c>
      <c r="AE998" s="1" t="s">
        <v>109</v>
      </c>
      <c r="AF998" s="1" t="s">
        <v>109</v>
      </c>
      <c r="AG998" s="1" t="s">
        <v>109</v>
      </c>
      <c r="AH998" s="1">
        <v>2</v>
      </c>
      <c r="AI998" s="1" t="s">
        <v>109</v>
      </c>
      <c r="AJ998" s="1" t="s">
        <v>109</v>
      </c>
      <c r="AK998" s="1" t="s">
        <v>109</v>
      </c>
      <c r="AL998" s="1" t="s">
        <v>109</v>
      </c>
      <c r="AM998" s="1" t="s">
        <v>109</v>
      </c>
      <c r="AN998" s="1">
        <v>2</v>
      </c>
      <c r="AO998" s="1" t="s">
        <v>109</v>
      </c>
      <c r="AP998" s="1"/>
      <c r="AQ998" s="1">
        <v>2</v>
      </c>
      <c r="AR998" s="1"/>
      <c r="AS998" s="1" t="s">
        <v>8247</v>
      </c>
      <c r="AT998" s="1">
        <v>0</v>
      </c>
      <c r="AU998" s="1">
        <v>0</v>
      </c>
      <c r="AV998" s="1">
        <v>0</v>
      </c>
      <c r="AW998" s="1">
        <v>0</v>
      </c>
      <c r="AX998" s="1">
        <v>0</v>
      </c>
      <c r="AY998" s="1">
        <v>0</v>
      </c>
      <c r="AZ998" s="1">
        <v>0</v>
      </c>
      <c r="BA998" s="1">
        <v>0</v>
      </c>
      <c r="BB998" s="1">
        <v>0</v>
      </c>
      <c r="BC998" s="1">
        <v>1</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5" t="str">
        <f>HYPERLINK("http://www.d20pfsrd.com/magic/all-spells/d/defensive-shock","Defensive Shock")</f>
        <v>Defensive Shock</v>
      </c>
      <c r="BT998" s="1">
        <v>1034</v>
      </c>
      <c r="BU998" s="1" t="s">
        <v>109</v>
      </c>
      <c r="BV998" s="1" t="s">
        <v>8248</v>
      </c>
      <c r="BW998" s="1"/>
      <c r="BX998" s="1"/>
      <c r="BY998" s="1"/>
      <c r="BZ998" s="1">
        <v>0</v>
      </c>
      <c r="CA998" s="1">
        <v>2</v>
      </c>
      <c r="CB998" s="1" t="s">
        <v>109</v>
      </c>
      <c r="CC998" s="1" t="s">
        <v>109</v>
      </c>
      <c r="CD998" s="1" t="s">
        <v>109</v>
      </c>
      <c r="CE998" s="1" t="s">
        <v>109</v>
      </c>
      <c r="CF998" s="1">
        <v>2</v>
      </c>
      <c r="CG998" s="1" t="s">
        <v>109</v>
      </c>
      <c r="CH998" s="1" t="s">
        <v>109</v>
      </c>
      <c r="CI998" s="1" t="s">
        <v>109</v>
      </c>
      <c r="CJ998" s="1" t="s">
        <v>109</v>
      </c>
      <c r="CK998" s="1"/>
      <c r="CL998" s="1">
        <v>0</v>
      </c>
      <c r="CM998" s="1">
        <v>0</v>
      </c>
      <c r="CN998" s="1">
        <v>0</v>
      </c>
    </row>
    <row r="999" spans="1:92" ht="14.25" customHeight="1" x14ac:dyDescent="0.15">
      <c r="A999" s="1" t="s">
        <v>8249</v>
      </c>
      <c r="B999" s="1" t="s">
        <v>156</v>
      </c>
      <c r="C999" s="1"/>
      <c r="D999" s="1" t="s">
        <v>56</v>
      </c>
      <c r="E999" s="1" t="s">
        <v>8250</v>
      </c>
      <c r="F999" s="1" t="s">
        <v>98</v>
      </c>
      <c r="G999" s="1" t="s">
        <v>141</v>
      </c>
      <c r="H999" s="1">
        <v>0</v>
      </c>
      <c r="I999" s="1" t="s">
        <v>142</v>
      </c>
      <c r="J999" s="1"/>
      <c r="K999" s="1"/>
      <c r="L999" s="1" t="s">
        <v>1391</v>
      </c>
      <c r="M999" s="1" t="s">
        <v>289</v>
      </c>
      <c r="N999" s="1">
        <v>0</v>
      </c>
      <c r="O999" s="1">
        <v>0</v>
      </c>
      <c r="P999" s="1" t="s">
        <v>301</v>
      </c>
      <c r="Q999" s="1" t="s">
        <v>268</v>
      </c>
      <c r="R999" s="1" t="s">
        <v>8251</v>
      </c>
      <c r="S999" s="1" t="s">
        <v>8252</v>
      </c>
      <c r="T999" s="1" t="s">
        <v>7821</v>
      </c>
      <c r="U999" s="1" t="s">
        <v>8253</v>
      </c>
      <c r="V999" s="1">
        <v>1</v>
      </c>
      <c r="W999" s="1">
        <v>1</v>
      </c>
      <c r="X999" s="1">
        <v>0</v>
      </c>
      <c r="Y999" s="1">
        <v>0</v>
      </c>
      <c r="Z999" s="1">
        <v>0</v>
      </c>
      <c r="AA999" s="1">
        <v>2</v>
      </c>
      <c r="AB999" s="1">
        <v>2</v>
      </c>
      <c r="AC999" s="1">
        <v>2</v>
      </c>
      <c r="AD999" s="1" t="s">
        <v>109</v>
      </c>
      <c r="AE999" s="1" t="s">
        <v>109</v>
      </c>
      <c r="AF999" s="1">
        <v>2</v>
      </c>
      <c r="AG999" s="1" t="s">
        <v>109</v>
      </c>
      <c r="AH999" s="1" t="s">
        <v>109</v>
      </c>
      <c r="AI999" s="1" t="s">
        <v>109</v>
      </c>
      <c r="AJ999" s="1">
        <v>2</v>
      </c>
      <c r="AK999" s="1">
        <v>2</v>
      </c>
      <c r="AL999" s="1">
        <v>2</v>
      </c>
      <c r="AM999" s="1" t="s">
        <v>109</v>
      </c>
      <c r="AN999" s="1" t="s">
        <v>109</v>
      </c>
      <c r="AO999" s="1" t="s">
        <v>109</v>
      </c>
      <c r="AP999" s="1"/>
      <c r="AQ999" s="1">
        <v>2</v>
      </c>
      <c r="AR999" s="1" t="s">
        <v>8254</v>
      </c>
      <c r="AS999" s="1" t="s">
        <v>8255</v>
      </c>
      <c r="AT999" s="1">
        <v>0</v>
      </c>
      <c r="AU999" s="1">
        <v>0</v>
      </c>
      <c r="AV999" s="1">
        <v>0</v>
      </c>
      <c r="AW999" s="1">
        <v>0</v>
      </c>
      <c r="AX999" s="1">
        <v>0</v>
      </c>
      <c r="AY999" s="1">
        <v>0</v>
      </c>
      <c r="AZ999" s="1">
        <v>0</v>
      </c>
      <c r="BA999" s="1">
        <v>0</v>
      </c>
      <c r="BB999" s="1">
        <v>0</v>
      </c>
      <c r="BC999" s="1">
        <v>0</v>
      </c>
      <c r="BD999" s="1">
        <v>1</v>
      </c>
      <c r="BE999" s="1">
        <v>0</v>
      </c>
      <c r="BF999" s="1">
        <v>0</v>
      </c>
      <c r="BG999" s="1">
        <v>0</v>
      </c>
      <c r="BH999" s="1">
        <v>0</v>
      </c>
      <c r="BI999" s="1">
        <v>0</v>
      </c>
      <c r="BJ999" s="1">
        <v>0</v>
      </c>
      <c r="BK999" s="1">
        <v>0</v>
      </c>
      <c r="BL999" s="1">
        <v>0</v>
      </c>
      <c r="BM999" s="1">
        <v>0</v>
      </c>
      <c r="BN999" s="1">
        <v>0</v>
      </c>
      <c r="BO999" s="1">
        <v>0</v>
      </c>
      <c r="BP999" s="1">
        <v>0</v>
      </c>
      <c r="BQ999" s="1">
        <v>0</v>
      </c>
      <c r="BR999" s="1">
        <v>0</v>
      </c>
      <c r="BS999" s="5" t="str">
        <f>HYPERLINK("http://www.d20pfsrd.com/magic/all-spells/d/delay-pain","Delay Pain")</f>
        <v>Delay Pain</v>
      </c>
      <c r="BT999" s="1">
        <v>1035</v>
      </c>
      <c r="BU999" s="1" t="s">
        <v>109</v>
      </c>
      <c r="BV999" s="1"/>
      <c r="BW999" s="1"/>
      <c r="BX999" s="1"/>
      <c r="BY999" s="1"/>
      <c r="BZ999" s="1">
        <v>0</v>
      </c>
      <c r="CA999" s="1">
        <v>2</v>
      </c>
      <c r="CB999" s="1" t="s">
        <v>109</v>
      </c>
      <c r="CC999" s="1">
        <v>2</v>
      </c>
      <c r="CD999" s="1" t="s">
        <v>109</v>
      </c>
      <c r="CE999" s="1">
        <v>2</v>
      </c>
      <c r="CF999" s="1" t="s">
        <v>109</v>
      </c>
      <c r="CG999" s="1" t="s">
        <v>109</v>
      </c>
      <c r="CH999" s="1" t="s">
        <v>109</v>
      </c>
      <c r="CI999" s="1" t="s">
        <v>109</v>
      </c>
      <c r="CJ999" s="1" t="s">
        <v>109</v>
      </c>
      <c r="CK999" s="1"/>
      <c r="CL999" s="1">
        <v>0</v>
      </c>
      <c r="CM999" s="1">
        <v>0</v>
      </c>
      <c r="CN999" s="1">
        <v>0</v>
      </c>
    </row>
    <row r="1000" spans="1:92" ht="14.25" customHeight="1" x14ac:dyDescent="0.15">
      <c r="A1000" s="1" t="s">
        <v>8256</v>
      </c>
      <c r="B1000" s="1" t="s">
        <v>156</v>
      </c>
      <c r="C1000" s="1" t="s">
        <v>157</v>
      </c>
      <c r="D1000" s="1" t="s">
        <v>8086</v>
      </c>
      <c r="E1000" s="1" t="s">
        <v>8257</v>
      </c>
      <c r="F1000" s="1" t="s">
        <v>98</v>
      </c>
      <c r="G1000" s="1" t="s">
        <v>141</v>
      </c>
      <c r="H1000" s="1">
        <v>0</v>
      </c>
      <c r="I1000" s="1" t="s">
        <v>142</v>
      </c>
      <c r="J1000" s="1"/>
      <c r="K1000" s="1"/>
      <c r="L1000" s="1" t="s">
        <v>1391</v>
      </c>
      <c r="M1000" s="1" t="s">
        <v>277</v>
      </c>
      <c r="N1000" s="1">
        <v>0</v>
      </c>
      <c r="O1000" s="1">
        <v>0</v>
      </c>
      <c r="P1000" s="1" t="s">
        <v>301</v>
      </c>
      <c r="Q1000" s="1" t="s">
        <v>268</v>
      </c>
      <c r="R1000" s="1" t="s">
        <v>8258</v>
      </c>
      <c r="S1000" s="1" t="s">
        <v>8259</v>
      </c>
      <c r="T1000" s="1" t="s">
        <v>7821</v>
      </c>
      <c r="U1000" s="1" t="s">
        <v>8260</v>
      </c>
      <c r="V1000" s="1">
        <v>1</v>
      </c>
      <c r="W1000" s="1">
        <v>1</v>
      </c>
      <c r="X1000" s="1">
        <v>0</v>
      </c>
      <c r="Y1000" s="1">
        <v>0</v>
      </c>
      <c r="Z1000" s="1">
        <v>0</v>
      </c>
      <c r="AA1000" s="1">
        <v>1</v>
      </c>
      <c r="AB1000" s="1">
        <v>1</v>
      </c>
      <c r="AC1000" s="1" t="s">
        <v>109</v>
      </c>
      <c r="AD1000" s="1" t="s">
        <v>109</v>
      </c>
      <c r="AE1000" s="1" t="s">
        <v>109</v>
      </c>
      <c r="AF1000" s="1">
        <v>1</v>
      </c>
      <c r="AG1000" s="1" t="s">
        <v>109</v>
      </c>
      <c r="AH1000" s="1" t="s">
        <v>109</v>
      </c>
      <c r="AI1000" s="1" t="s">
        <v>109</v>
      </c>
      <c r="AJ1000" s="1">
        <v>1</v>
      </c>
      <c r="AK1000" s="1" t="s">
        <v>109</v>
      </c>
      <c r="AL1000" s="1" t="s">
        <v>109</v>
      </c>
      <c r="AM1000" s="1" t="s">
        <v>109</v>
      </c>
      <c r="AN1000" s="1" t="s">
        <v>109</v>
      </c>
      <c r="AO1000" s="1" t="s">
        <v>109</v>
      </c>
      <c r="AP1000" s="1"/>
      <c r="AQ1000" s="1">
        <v>1</v>
      </c>
      <c r="AR1000" s="1"/>
      <c r="AS1000" s="1" t="s">
        <v>8261</v>
      </c>
      <c r="AT1000" s="1">
        <v>0</v>
      </c>
      <c r="AU1000" s="1">
        <v>0</v>
      </c>
      <c r="AV1000" s="1">
        <v>0</v>
      </c>
      <c r="AW1000" s="1">
        <v>0</v>
      </c>
      <c r="AX1000" s="1">
        <v>0</v>
      </c>
      <c r="AY1000" s="1">
        <v>0</v>
      </c>
      <c r="AZ1000" s="1">
        <v>0</v>
      </c>
      <c r="BA1000" s="1">
        <v>0</v>
      </c>
      <c r="BB1000" s="1">
        <v>0</v>
      </c>
      <c r="BC1000" s="1">
        <v>0</v>
      </c>
      <c r="BD1000" s="1">
        <v>1</v>
      </c>
      <c r="BE1000" s="1">
        <v>0</v>
      </c>
      <c r="BF1000" s="1">
        <v>0</v>
      </c>
      <c r="BG1000" s="1">
        <v>0</v>
      </c>
      <c r="BH1000" s="1">
        <v>0</v>
      </c>
      <c r="BI1000" s="1">
        <v>0</v>
      </c>
      <c r="BJ1000" s="1">
        <v>0</v>
      </c>
      <c r="BK1000" s="1">
        <v>0</v>
      </c>
      <c r="BL1000" s="1">
        <v>0</v>
      </c>
      <c r="BM1000" s="1">
        <v>1</v>
      </c>
      <c r="BN1000" s="1">
        <v>0</v>
      </c>
      <c r="BO1000" s="1">
        <v>0</v>
      </c>
      <c r="BP1000" s="1">
        <v>0</v>
      </c>
      <c r="BQ1000" s="1">
        <v>0</v>
      </c>
      <c r="BR1000" s="1">
        <v>0</v>
      </c>
      <c r="BS1000" s="5" t="str">
        <f>HYPERLINK("http://www.d20pfsrd.com/magic/all-spells/d/delusional-pride","Delusional Pride")</f>
        <v>Delusional Pride</v>
      </c>
      <c r="BT1000" s="1">
        <v>1036</v>
      </c>
      <c r="BU1000" s="1" t="s">
        <v>109</v>
      </c>
      <c r="BV1000" s="1"/>
      <c r="BW1000" s="1"/>
      <c r="BX1000" s="1"/>
      <c r="BY1000" s="1"/>
      <c r="BZ1000" s="1">
        <v>0</v>
      </c>
      <c r="CA1000" s="1" t="s">
        <v>109</v>
      </c>
      <c r="CB1000" s="1" t="s">
        <v>109</v>
      </c>
      <c r="CC1000" s="1">
        <v>1</v>
      </c>
      <c r="CD1000" s="1" t="s">
        <v>109</v>
      </c>
      <c r="CE1000" s="1">
        <v>1</v>
      </c>
      <c r="CF1000" s="1" t="s">
        <v>109</v>
      </c>
      <c r="CG1000" s="1" t="s">
        <v>109</v>
      </c>
      <c r="CH1000" s="1" t="s">
        <v>109</v>
      </c>
      <c r="CI1000" s="1" t="s">
        <v>109</v>
      </c>
      <c r="CJ1000" s="1" t="s">
        <v>109</v>
      </c>
      <c r="CK1000" s="1"/>
      <c r="CL1000" s="1">
        <v>0</v>
      </c>
      <c r="CM1000" s="1">
        <v>0</v>
      </c>
      <c r="CN1000" s="1">
        <v>0</v>
      </c>
    </row>
    <row r="1001" spans="1:92" ht="14.25" customHeight="1" x14ac:dyDescent="0.15">
      <c r="A1001" s="1" t="s">
        <v>8262</v>
      </c>
      <c r="B1001" s="1" t="s">
        <v>254</v>
      </c>
      <c r="C1001" s="1"/>
      <c r="D1001" s="1"/>
      <c r="E1001" s="1" t="s">
        <v>8263</v>
      </c>
      <c r="F1001" s="1" t="s">
        <v>98</v>
      </c>
      <c r="G1001" s="1" t="s">
        <v>141</v>
      </c>
      <c r="H1001" s="1">
        <v>0</v>
      </c>
      <c r="I1001" s="1" t="s">
        <v>142</v>
      </c>
      <c r="J1001" s="1" t="s">
        <v>1450</v>
      </c>
      <c r="K1001" s="1"/>
      <c r="L1001" s="1" t="s">
        <v>1450</v>
      </c>
      <c r="M1001" s="1" t="s">
        <v>144</v>
      </c>
      <c r="N1001" s="1">
        <v>0</v>
      </c>
      <c r="O1001" s="1">
        <v>0</v>
      </c>
      <c r="P1001" s="1" t="s">
        <v>103</v>
      </c>
      <c r="Q1001" s="1" t="s">
        <v>104</v>
      </c>
      <c r="R1001" s="1" t="s">
        <v>8264</v>
      </c>
      <c r="S1001" s="1" t="s">
        <v>8265</v>
      </c>
      <c r="T1001" s="1" t="s">
        <v>7821</v>
      </c>
      <c r="U1001" s="1" t="s">
        <v>8266</v>
      </c>
      <c r="V1001" s="1">
        <v>1</v>
      </c>
      <c r="W1001" s="1">
        <v>1</v>
      </c>
      <c r="X1001" s="1">
        <v>0</v>
      </c>
      <c r="Y1001" s="1">
        <v>0</v>
      </c>
      <c r="Z1001" s="1">
        <v>0</v>
      </c>
      <c r="AA1001" s="1" t="s">
        <v>109</v>
      </c>
      <c r="AB1001" s="1" t="s">
        <v>109</v>
      </c>
      <c r="AC1001" s="1">
        <v>1</v>
      </c>
      <c r="AD1001" s="1">
        <v>1</v>
      </c>
      <c r="AE1001" s="1">
        <v>1</v>
      </c>
      <c r="AF1001" s="1" t="s">
        <v>109</v>
      </c>
      <c r="AG1001" s="1">
        <v>1</v>
      </c>
      <c r="AH1001" s="1" t="s">
        <v>109</v>
      </c>
      <c r="AI1001" s="1" t="s">
        <v>109</v>
      </c>
      <c r="AJ1001" s="1">
        <v>1</v>
      </c>
      <c r="AK1001" s="1" t="s">
        <v>109</v>
      </c>
      <c r="AL1001" s="1">
        <v>1</v>
      </c>
      <c r="AM1001" s="1" t="s">
        <v>109</v>
      </c>
      <c r="AN1001" s="1" t="s">
        <v>109</v>
      </c>
      <c r="AO1001" s="1" t="s">
        <v>109</v>
      </c>
      <c r="AP1001" s="1"/>
      <c r="AQ1001" s="1">
        <v>1</v>
      </c>
      <c r="AR1001" s="1"/>
      <c r="AS1001" s="1" t="s">
        <v>8267</v>
      </c>
      <c r="AT1001" s="1">
        <v>0</v>
      </c>
      <c r="AU1001" s="1">
        <v>0</v>
      </c>
      <c r="AV1001" s="1">
        <v>0</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5" t="str">
        <f>HYPERLINK("http://www.d20pfsrd.com/magic/all-spells/d/diagnose-disease","Diagnose Disease")</f>
        <v>Diagnose Disease</v>
      </c>
      <c r="BT1001" s="1">
        <v>1037</v>
      </c>
      <c r="BU1001" s="1" t="s">
        <v>109</v>
      </c>
      <c r="BV1001" s="1"/>
      <c r="BW1001" s="1"/>
      <c r="BX1001" s="1"/>
      <c r="BY1001" s="1"/>
      <c r="BZ1001" s="1">
        <v>0</v>
      </c>
      <c r="CA1001" s="1" t="s">
        <v>109</v>
      </c>
      <c r="CB1001" s="1" t="s">
        <v>109</v>
      </c>
      <c r="CC1001" s="1">
        <v>1</v>
      </c>
      <c r="CD1001" s="1" t="s">
        <v>109</v>
      </c>
      <c r="CE1001" s="1">
        <v>1</v>
      </c>
      <c r="CF1001" s="1">
        <v>1</v>
      </c>
      <c r="CG1001" s="1" t="s">
        <v>109</v>
      </c>
      <c r="CH1001" s="1" t="s">
        <v>109</v>
      </c>
      <c r="CI1001" s="1" t="s">
        <v>109</v>
      </c>
      <c r="CJ1001" s="1">
        <v>1</v>
      </c>
      <c r="CK1001" s="1"/>
      <c r="CL1001" s="1">
        <v>0</v>
      </c>
      <c r="CM1001" s="1">
        <v>0</v>
      </c>
      <c r="CN1001" s="1">
        <v>0</v>
      </c>
    </row>
    <row r="1002" spans="1:92" ht="14.25" customHeight="1" x14ac:dyDescent="0.15">
      <c r="A1002" s="1" t="s">
        <v>8268</v>
      </c>
      <c r="B1002" s="1" t="s">
        <v>189</v>
      </c>
      <c r="C1002" s="1"/>
      <c r="D1002" s="1" t="s">
        <v>50</v>
      </c>
      <c r="E1002" s="1" t="s">
        <v>8269</v>
      </c>
      <c r="F1002" s="1" t="s">
        <v>98</v>
      </c>
      <c r="G1002" s="1" t="s">
        <v>141</v>
      </c>
      <c r="H1002" s="1">
        <v>0</v>
      </c>
      <c r="I1002" s="1" t="s">
        <v>161</v>
      </c>
      <c r="J1002" s="1"/>
      <c r="K1002" s="1"/>
      <c r="L1002" s="1" t="s">
        <v>506</v>
      </c>
      <c r="M1002" s="1" t="s">
        <v>280</v>
      </c>
      <c r="N1002" s="1">
        <v>0</v>
      </c>
      <c r="O1002" s="1">
        <v>0</v>
      </c>
      <c r="P1002" s="1" t="s">
        <v>301</v>
      </c>
      <c r="Q1002" s="1" t="s">
        <v>268</v>
      </c>
      <c r="R1002" s="1" t="s">
        <v>8270</v>
      </c>
      <c r="S1002" s="1" t="s">
        <v>8271</v>
      </c>
      <c r="T1002" s="1" t="s">
        <v>7821</v>
      </c>
      <c r="U1002" s="1" t="s">
        <v>8272</v>
      </c>
      <c r="V1002" s="1">
        <v>1</v>
      </c>
      <c r="W1002" s="1">
        <v>1</v>
      </c>
      <c r="X1002" s="1">
        <v>0</v>
      </c>
      <c r="Y1002" s="1">
        <v>0</v>
      </c>
      <c r="Z1002" s="1">
        <v>0</v>
      </c>
      <c r="AA1002" s="1">
        <v>2</v>
      </c>
      <c r="AB1002" s="1">
        <v>2</v>
      </c>
      <c r="AC1002" s="1">
        <v>2</v>
      </c>
      <c r="AD1002" s="1" t="s">
        <v>109</v>
      </c>
      <c r="AE1002" s="1" t="s">
        <v>109</v>
      </c>
      <c r="AF1002" s="1" t="s">
        <v>109</v>
      </c>
      <c r="AG1002" s="1" t="s">
        <v>109</v>
      </c>
      <c r="AH1002" s="1" t="s">
        <v>109</v>
      </c>
      <c r="AI1002" s="1" t="s">
        <v>109</v>
      </c>
      <c r="AJ1002" s="1">
        <v>2</v>
      </c>
      <c r="AK1002" s="1" t="s">
        <v>109</v>
      </c>
      <c r="AL1002" s="1">
        <v>2</v>
      </c>
      <c r="AM1002" s="1" t="s">
        <v>109</v>
      </c>
      <c r="AN1002" s="1" t="s">
        <v>109</v>
      </c>
      <c r="AO1002" s="1" t="s">
        <v>109</v>
      </c>
      <c r="AP1002" s="1"/>
      <c r="AQ1002" s="1">
        <v>2</v>
      </c>
      <c r="AR1002" s="1"/>
      <c r="AS1002" s="1" t="s">
        <v>8273</v>
      </c>
      <c r="AT1002" s="1">
        <v>0</v>
      </c>
      <c r="AU1002" s="1">
        <v>0</v>
      </c>
      <c r="AV1002" s="1">
        <v>0</v>
      </c>
      <c r="AW1002" s="1">
        <v>0</v>
      </c>
      <c r="AX1002" s="1">
        <v>1</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5" t="str">
        <f>HYPERLINK("http://www.d20pfsrd.com/magic/all-spells/d/disfiguring-touch","Disfiguring Touch")</f>
        <v>Disfiguring Touch</v>
      </c>
      <c r="BT1002" s="1">
        <v>1038</v>
      </c>
      <c r="BU1002" s="1" t="s">
        <v>109</v>
      </c>
      <c r="BV1002" s="1"/>
      <c r="BW1002" s="1"/>
      <c r="BX1002" s="1" t="s">
        <v>8274</v>
      </c>
      <c r="BY1002" s="1" t="s">
        <v>8275</v>
      </c>
      <c r="BZ1002" s="1">
        <v>1</v>
      </c>
      <c r="CA1002" s="1">
        <v>2</v>
      </c>
      <c r="CB1002" s="1" t="s">
        <v>109</v>
      </c>
      <c r="CC1002" s="1">
        <v>2</v>
      </c>
      <c r="CD1002" s="1" t="s">
        <v>109</v>
      </c>
      <c r="CE1002" s="1">
        <v>2</v>
      </c>
      <c r="CF1002" s="1">
        <v>2</v>
      </c>
      <c r="CG1002" s="1">
        <v>2</v>
      </c>
      <c r="CH1002" s="1" t="s">
        <v>109</v>
      </c>
      <c r="CI1002" s="1" t="s">
        <v>109</v>
      </c>
      <c r="CJ1002" s="1" t="s">
        <v>109</v>
      </c>
      <c r="CK1002" s="1"/>
      <c r="CL1002" s="1">
        <v>0</v>
      </c>
      <c r="CM1002" s="1">
        <v>0</v>
      </c>
      <c r="CN1002" s="1">
        <v>0</v>
      </c>
    </row>
    <row r="1003" spans="1:92" ht="14.25" customHeight="1" x14ac:dyDescent="0.15">
      <c r="A1003" s="1" t="s">
        <v>8276</v>
      </c>
      <c r="B1003" s="1" t="s">
        <v>674</v>
      </c>
      <c r="C1003" s="1" t="s">
        <v>675</v>
      </c>
      <c r="D1003" s="1"/>
      <c r="E1003" s="1" t="s">
        <v>8277</v>
      </c>
      <c r="F1003" s="1" t="s">
        <v>98</v>
      </c>
      <c r="G1003" s="1" t="s">
        <v>141</v>
      </c>
      <c r="H1003" s="1">
        <v>0</v>
      </c>
      <c r="I1003" s="1" t="s">
        <v>161</v>
      </c>
      <c r="J1003" s="1"/>
      <c r="K1003" s="1"/>
      <c r="L1003" s="1" t="s">
        <v>506</v>
      </c>
      <c r="M1003" s="1" t="s">
        <v>8278</v>
      </c>
      <c r="N1003" s="1">
        <v>1</v>
      </c>
      <c r="O1003" s="1">
        <v>0</v>
      </c>
      <c r="P1003" s="1"/>
      <c r="Q1003" s="1"/>
      <c r="R1003" s="1" t="s">
        <v>8279</v>
      </c>
      <c r="S1003" s="1" t="s">
        <v>8280</v>
      </c>
      <c r="T1003" s="1" t="s">
        <v>7821</v>
      </c>
      <c r="U1003" s="1" t="s">
        <v>8281</v>
      </c>
      <c r="V1003" s="1">
        <v>1</v>
      </c>
      <c r="W1003" s="1">
        <v>1</v>
      </c>
      <c r="X1003" s="1">
        <v>0</v>
      </c>
      <c r="Y1003" s="1">
        <v>0</v>
      </c>
      <c r="Z1003" s="1">
        <v>0</v>
      </c>
      <c r="AA1003" s="1">
        <v>2</v>
      </c>
      <c r="AB1003" s="1">
        <v>2</v>
      </c>
      <c r="AC1003" s="1" t="s">
        <v>109</v>
      </c>
      <c r="AD1003" s="1" t="s">
        <v>109</v>
      </c>
      <c r="AE1003" s="1" t="s">
        <v>109</v>
      </c>
      <c r="AF1003" s="1">
        <v>2</v>
      </c>
      <c r="AG1003" s="1" t="s">
        <v>109</v>
      </c>
      <c r="AH1003" s="1" t="s">
        <v>109</v>
      </c>
      <c r="AI1003" s="1" t="s">
        <v>109</v>
      </c>
      <c r="AJ1003" s="1" t="s">
        <v>109</v>
      </c>
      <c r="AK1003" s="1">
        <v>2</v>
      </c>
      <c r="AL1003" s="1" t="s">
        <v>109</v>
      </c>
      <c r="AM1003" s="1" t="s">
        <v>109</v>
      </c>
      <c r="AN1003" s="1" t="s">
        <v>109</v>
      </c>
      <c r="AO1003" s="1" t="s">
        <v>109</v>
      </c>
      <c r="AP1003" s="1"/>
      <c r="AQ1003" s="1">
        <v>2</v>
      </c>
      <c r="AR1003" s="1"/>
      <c r="AS1003" s="1" t="s">
        <v>8282</v>
      </c>
      <c r="AT1003" s="1">
        <v>0</v>
      </c>
      <c r="AU1003" s="1">
        <v>0</v>
      </c>
      <c r="AV1003" s="1">
        <v>0</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5" t="str">
        <f>HYPERLINK("http://www.d20pfsrd.com/magic/all-spells/d/disguise-other","Disguise Other")</f>
        <v>Disguise Other</v>
      </c>
      <c r="BT1003" s="1">
        <v>1039</v>
      </c>
      <c r="BU1003" s="1" t="s">
        <v>109</v>
      </c>
      <c r="BV1003" s="1"/>
      <c r="BW1003" s="1"/>
      <c r="BX1003" s="1"/>
      <c r="BY1003" s="1"/>
      <c r="BZ1003" s="1">
        <v>0</v>
      </c>
      <c r="CA1003" s="1" t="s">
        <v>109</v>
      </c>
      <c r="CB1003" s="1" t="s">
        <v>109</v>
      </c>
      <c r="CC1003" s="1">
        <v>2</v>
      </c>
      <c r="CD1003" s="1" t="s">
        <v>109</v>
      </c>
      <c r="CE1003" s="1" t="s">
        <v>109</v>
      </c>
      <c r="CF1003" s="1">
        <v>2</v>
      </c>
      <c r="CG1003" s="1" t="s">
        <v>109</v>
      </c>
      <c r="CH1003" s="1" t="s">
        <v>109</v>
      </c>
      <c r="CI1003" s="1" t="s">
        <v>109</v>
      </c>
      <c r="CJ1003" s="1" t="s">
        <v>109</v>
      </c>
      <c r="CK1003" s="1"/>
      <c r="CL1003" s="1">
        <v>0</v>
      </c>
      <c r="CM1003" s="1">
        <v>0</v>
      </c>
      <c r="CN1003" s="1">
        <v>0</v>
      </c>
    </row>
    <row r="1004" spans="1:92" ht="14.25" customHeight="1" x14ac:dyDescent="0.15">
      <c r="A1004" s="1" t="s">
        <v>8283</v>
      </c>
      <c r="B1004" s="1" t="s">
        <v>584</v>
      </c>
      <c r="C1004" s="1"/>
      <c r="D1004" s="1" t="s">
        <v>69</v>
      </c>
      <c r="E1004" s="1" t="s">
        <v>8284</v>
      </c>
      <c r="F1004" s="1" t="s">
        <v>98</v>
      </c>
      <c r="G1004" s="1" t="s">
        <v>141</v>
      </c>
      <c r="H1004" s="1">
        <v>0</v>
      </c>
      <c r="I1004" s="1" t="s">
        <v>122</v>
      </c>
      <c r="J1004" s="1" t="s">
        <v>7252</v>
      </c>
      <c r="K1004" s="1"/>
      <c r="L1004" s="1"/>
      <c r="M1004" s="1" t="s">
        <v>574</v>
      </c>
      <c r="N1004" s="1">
        <v>1</v>
      </c>
      <c r="O1004" s="1">
        <v>0</v>
      </c>
      <c r="P1004" s="1" t="s">
        <v>103</v>
      </c>
      <c r="Q1004" s="1" t="s">
        <v>268</v>
      </c>
      <c r="R1004" s="1" t="s">
        <v>8285</v>
      </c>
      <c r="S1004" s="1" t="s">
        <v>8286</v>
      </c>
      <c r="T1004" s="1" t="s">
        <v>7821</v>
      </c>
      <c r="U1004" s="1" t="s">
        <v>8287</v>
      </c>
      <c r="V1004" s="1">
        <v>1</v>
      </c>
      <c r="W1004" s="1">
        <v>1</v>
      </c>
      <c r="X1004" s="1">
        <v>0</v>
      </c>
      <c r="Y1004" s="1">
        <v>0</v>
      </c>
      <c r="Z1004" s="1">
        <v>0</v>
      </c>
      <c r="AA1004" s="1">
        <v>3</v>
      </c>
      <c r="AB1004" s="1">
        <v>3</v>
      </c>
      <c r="AC1004" s="1" t="s">
        <v>109</v>
      </c>
      <c r="AD1004" s="1" t="s">
        <v>109</v>
      </c>
      <c r="AE1004" s="1" t="s">
        <v>109</v>
      </c>
      <c r="AF1004" s="1">
        <v>2</v>
      </c>
      <c r="AG1004" s="1" t="s">
        <v>109</v>
      </c>
      <c r="AH1004" s="1" t="s">
        <v>109</v>
      </c>
      <c r="AI1004" s="1" t="s">
        <v>109</v>
      </c>
      <c r="AJ1004" s="1" t="s">
        <v>109</v>
      </c>
      <c r="AK1004" s="1" t="s">
        <v>109</v>
      </c>
      <c r="AL1004" s="1" t="s">
        <v>109</v>
      </c>
      <c r="AM1004" s="1" t="s">
        <v>109</v>
      </c>
      <c r="AN1004" s="1" t="s">
        <v>109</v>
      </c>
      <c r="AO1004" s="1" t="s">
        <v>109</v>
      </c>
      <c r="AP1004" s="1"/>
      <c r="AQ1004" s="1">
        <v>3</v>
      </c>
      <c r="AR1004" s="1"/>
      <c r="AS1004" s="1" t="s">
        <v>8288</v>
      </c>
      <c r="AT1004" s="1">
        <v>0</v>
      </c>
      <c r="AU1004" s="1">
        <v>0</v>
      </c>
      <c r="AV1004" s="1">
        <v>0</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1</v>
      </c>
      <c r="BR1004" s="1">
        <v>0</v>
      </c>
      <c r="BS1004" s="5" t="str">
        <f>HYPERLINK("http://www.d20pfsrd.com/magic/all-spells/d/distracting-cacophony","Distracting Cacophony")</f>
        <v>Distracting Cacophony</v>
      </c>
      <c r="BT1004" s="1">
        <v>1040</v>
      </c>
      <c r="BU1004" s="1" t="s">
        <v>109</v>
      </c>
      <c r="BV1004" s="1"/>
      <c r="BW1004" s="1" t="s">
        <v>7000</v>
      </c>
      <c r="BX1004" s="1"/>
      <c r="BY1004" s="1"/>
      <c r="BZ1004" s="1">
        <v>0</v>
      </c>
      <c r="CA1004" s="1" t="s">
        <v>109</v>
      </c>
      <c r="CB1004" s="1" t="s">
        <v>109</v>
      </c>
      <c r="CC1004" s="1">
        <v>3</v>
      </c>
      <c r="CD1004" s="1" t="s">
        <v>109</v>
      </c>
      <c r="CE1004" s="1" t="s">
        <v>109</v>
      </c>
      <c r="CF1004" s="1" t="s">
        <v>109</v>
      </c>
      <c r="CG1004" s="1" t="s">
        <v>109</v>
      </c>
      <c r="CH1004" s="1" t="s">
        <v>109</v>
      </c>
      <c r="CI1004" s="1" t="s">
        <v>109</v>
      </c>
      <c r="CJ1004" s="1" t="s">
        <v>109</v>
      </c>
      <c r="CK1004" s="1"/>
      <c r="CL1004" s="1">
        <v>0</v>
      </c>
      <c r="CM1004" s="1">
        <v>0</v>
      </c>
      <c r="CN1004" s="1">
        <v>0</v>
      </c>
    </row>
    <row r="1005" spans="1:92" ht="14.25" customHeight="1" x14ac:dyDescent="0.15">
      <c r="A1005" s="1" t="s">
        <v>8289</v>
      </c>
      <c r="B1005" s="1" t="s">
        <v>584</v>
      </c>
      <c r="C1005" s="1"/>
      <c r="D1005" s="1" t="s">
        <v>69</v>
      </c>
      <c r="E1005" s="1" t="s">
        <v>8290</v>
      </c>
      <c r="F1005" s="1" t="s">
        <v>355</v>
      </c>
      <c r="G1005" s="1" t="s">
        <v>141</v>
      </c>
      <c r="H1005" s="1">
        <v>0</v>
      </c>
      <c r="I1005" s="1" t="s">
        <v>142</v>
      </c>
      <c r="J1005" s="1"/>
      <c r="K1005" s="1"/>
      <c r="L1005" s="1" t="s">
        <v>8291</v>
      </c>
      <c r="M1005" s="1" t="s">
        <v>125</v>
      </c>
      <c r="N1005" s="1">
        <v>0</v>
      </c>
      <c r="O1005" s="1">
        <v>0</v>
      </c>
      <c r="P1005" s="1" t="s">
        <v>267</v>
      </c>
      <c r="Q1005" s="1" t="s">
        <v>268</v>
      </c>
      <c r="R1005" s="1" t="s">
        <v>8292</v>
      </c>
      <c r="S1005" s="1" t="s">
        <v>8293</v>
      </c>
      <c r="T1005" s="1" t="s">
        <v>7821</v>
      </c>
      <c r="U1005" s="1" t="s">
        <v>8294</v>
      </c>
      <c r="V1005" s="1">
        <v>1</v>
      </c>
      <c r="W1005" s="1">
        <v>1</v>
      </c>
      <c r="X1005" s="1">
        <v>0</v>
      </c>
      <c r="Y1005" s="1">
        <v>0</v>
      </c>
      <c r="Z1005" s="1">
        <v>0</v>
      </c>
      <c r="AA1005" s="1" t="s">
        <v>109</v>
      </c>
      <c r="AB1005" s="1" t="s">
        <v>109</v>
      </c>
      <c r="AC1005" s="1" t="s">
        <v>109</v>
      </c>
      <c r="AD1005" s="1" t="s">
        <v>109</v>
      </c>
      <c r="AE1005" s="1" t="s">
        <v>109</v>
      </c>
      <c r="AF1005" s="1">
        <v>2</v>
      </c>
      <c r="AG1005" s="1" t="s">
        <v>109</v>
      </c>
      <c r="AH1005" s="1" t="s">
        <v>109</v>
      </c>
      <c r="AI1005" s="1" t="s">
        <v>109</v>
      </c>
      <c r="AJ1005" s="1" t="s">
        <v>109</v>
      </c>
      <c r="AK1005" s="1">
        <v>2</v>
      </c>
      <c r="AL1005" s="1" t="s">
        <v>109</v>
      </c>
      <c r="AM1005" s="1" t="s">
        <v>109</v>
      </c>
      <c r="AN1005" s="1" t="s">
        <v>109</v>
      </c>
      <c r="AO1005" s="1" t="s">
        <v>109</v>
      </c>
      <c r="AP1005" s="1"/>
      <c r="AQ1005" s="1">
        <v>2</v>
      </c>
      <c r="AR1005" s="1"/>
      <c r="AS1005" s="1" t="s">
        <v>8295</v>
      </c>
      <c r="AT1005" s="1">
        <v>0</v>
      </c>
      <c r="AU1005" s="1">
        <v>0</v>
      </c>
      <c r="AV1005" s="1">
        <v>0</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1</v>
      </c>
      <c r="BR1005" s="1">
        <v>0</v>
      </c>
      <c r="BS1005" s="5" t="str">
        <f>HYPERLINK("http://www.d20pfsrd.com/magic/all-spells/d/distressing-tone","Distressing Tone")</f>
        <v>Distressing Tone</v>
      </c>
      <c r="BT1005" s="1">
        <v>1041</v>
      </c>
      <c r="BU1005" s="1" t="s">
        <v>109</v>
      </c>
      <c r="BV1005" s="1"/>
      <c r="BW1005" s="1"/>
      <c r="BX1005" s="1"/>
      <c r="BY1005" s="1"/>
      <c r="BZ1005" s="1">
        <v>0</v>
      </c>
      <c r="CA1005" s="1" t="s">
        <v>109</v>
      </c>
      <c r="CB1005" s="1" t="s">
        <v>109</v>
      </c>
      <c r="CC1005" s="1" t="s">
        <v>109</v>
      </c>
      <c r="CD1005" s="1" t="s">
        <v>109</v>
      </c>
      <c r="CE1005" s="1" t="s">
        <v>109</v>
      </c>
      <c r="CF1005" s="1" t="s">
        <v>109</v>
      </c>
      <c r="CG1005" s="1" t="s">
        <v>109</v>
      </c>
      <c r="CH1005" s="1" t="s">
        <v>109</v>
      </c>
      <c r="CI1005" s="1" t="s">
        <v>109</v>
      </c>
      <c r="CJ1005" s="1" t="s">
        <v>109</v>
      </c>
      <c r="CK1005" s="1"/>
      <c r="CL1005" s="1">
        <v>0</v>
      </c>
      <c r="CM1005" s="1">
        <v>0</v>
      </c>
      <c r="CN1005" s="1">
        <v>0</v>
      </c>
    </row>
    <row r="1006" spans="1:92" ht="14.25" customHeight="1" x14ac:dyDescent="0.15">
      <c r="A1006" s="1" t="s">
        <v>8296</v>
      </c>
      <c r="B1006" s="1" t="s">
        <v>189</v>
      </c>
      <c r="C1006" s="1"/>
      <c r="D1006" s="1"/>
      <c r="E1006" s="1" t="s">
        <v>8297</v>
      </c>
      <c r="F1006" s="1" t="s">
        <v>98</v>
      </c>
      <c r="G1006" s="1" t="s">
        <v>141</v>
      </c>
      <c r="H1006" s="1">
        <v>0</v>
      </c>
      <c r="I1006" s="1" t="s">
        <v>235</v>
      </c>
      <c r="J1006" s="1"/>
      <c r="K1006" s="1"/>
      <c r="L1006" s="1" t="s">
        <v>236</v>
      </c>
      <c r="M1006" s="1" t="s">
        <v>8298</v>
      </c>
      <c r="N1006" s="1">
        <v>0</v>
      </c>
      <c r="O1006" s="1">
        <v>0</v>
      </c>
      <c r="P1006" s="1"/>
      <c r="Q1006" s="1"/>
      <c r="R1006" s="1" t="s">
        <v>8299</v>
      </c>
      <c r="S1006" s="1" t="s">
        <v>8300</v>
      </c>
      <c r="T1006" s="1" t="s">
        <v>7821</v>
      </c>
      <c r="U1006" s="1" t="s">
        <v>8301</v>
      </c>
      <c r="V1006" s="1">
        <v>1</v>
      </c>
      <c r="W1006" s="1">
        <v>1</v>
      </c>
      <c r="X1006" s="1">
        <v>0</v>
      </c>
      <c r="Y1006" s="1">
        <v>0</v>
      </c>
      <c r="Z1006" s="1">
        <v>0</v>
      </c>
      <c r="AA1006" s="1" t="s">
        <v>109</v>
      </c>
      <c r="AB1006" s="1" t="s">
        <v>109</v>
      </c>
      <c r="AC1006" s="1" t="s">
        <v>109</v>
      </c>
      <c r="AD1006" s="1" t="s">
        <v>109</v>
      </c>
      <c r="AE1006" s="1" t="s">
        <v>109</v>
      </c>
      <c r="AF1006" s="1" t="s">
        <v>109</v>
      </c>
      <c r="AG1006" s="1" t="s">
        <v>109</v>
      </c>
      <c r="AH1006" s="1" t="s">
        <v>109</v>
      </c>
      <c r="AI1006" s="1" t="s">
        <v>109</v>
      </c>
      <c r="AJ1006" s="1" t="s">
        <v>109</v>
      </c>
      <c r="AK1006" s="1">
        <v>5</v>
      </c>
      <c r="AL1006" s="1" t="s">
        <v>109</v>
      </c>
      <c r="AM1006" s="1" t="s">
        <v>109</v>
      </c>
      <c r="AN1006" s="1" t="s">
        <v>109</v>
      </c>
      <c r="AO1006" s="1" t="s">
        <v>109</v>
      </c>
      <c r="AP1006" s="1"/>
      <c r="AQ1006" s="1">
        <v>5</v>
      </c>
      <c r="AR1006" s="1"/>
      <c r="AS1006" s="1" t="s">
        <v>8302</v>
      </c>
      <c r="AT1006" s="1">
        <v>0</v>
      </c>
      <c r="AU1006" s="1">
        <v>0</v>
      </c>
      <c r="AV1006" s="1">
        <v>0</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5" t="str">
        <f>HYPERLINK("http://www.d20pfsrd.com/magic/all-spells/d/divine-pursuit","Divine Pursuit")</f>
        <v>Divine Pursuit</v>
      </c>
      <c r="BT1006" s="1">
        <v>1042</v>
      </c>
      <c r="BU1006" s="1" t="s">
        <v>109</v>
      </c>
      <c r="BV1006" s="1"/>
      <c r="BW1006" s="1"/>
      <c r="BX1006" s="1" t="s">
        <v>8303</v>
      </c>
      <c r="BY1006" s="1"/>
      <c r="BZ1006" s="1">
        <v>1</v>
      </c>
      <c r="CA1006" s="1" t="s">
        <v>109</v>
      </c>
      <c r="CB1006" s="1" t="s">
        <v>109</v>
      </c>
      <c r="CC1006" s="1" t="s">
        <v>109</v>
      </c>
      <c r="CD1006" s="1" t="s">
        <v>109</v>
      </c>
      <c r="CE1006" s="1" t="s">
        <v>109</v>
      </c>
      <c r="CF1006" s="1" t="s">
        <v>109</v>
      </c>
      <c r="CG1006" s="1" t="s">
        <v>109</v>
      </c>
      <c r="CH1006" s="1" t="s">
        <v>109</v>
      </c>
      <c r="CI1006" s="1" t="s">
        <v>109</v>
      </c>
      <c r="CJ1006" s="1" t="s">
        <v>109</v>
      </c>
      <c r="CK1006" s="1"/>
      <c r="CL1006" s="1">
        <v>0</v>
      </c>
      <c r="CM1006" s="1">
        <v>0</v>
      </c>
      <c r="CN1006" s="1">
        <v>0</v>
      </c>
    </row>
    <row r="1007" spans="1:92" ht="14.25" customHeight="1" x14ac:dyDescent="0.15">
      <c r="A1007" s="1" t="s">
        <v>8304</v>
      </c>
      <c r="B1007" s="1" t="s">
        <v>584</v>
      </c>
      <c r="C1007" s="1"/>
      <c r="D1007" s="1" t="s">
        <v>57</v>
      </c>
      <c r="E1007" s="1" t="s">
        <v>8305</v>
      </c>
      <c r="F1007" s="1" t="s">
        <v>98</v>
      </c>
      <c r="G1007" s="1" t="s">
        <v>160</v>
      </c>
      <c r="H1007" s="1">
        <v>0</v>
      </c>
      <c r="I1007" s="1" t="s">
        <v>142</v>
      </c>
      <c r="J1007" s="1"/>
      <c r="K1007" s="1" t="s">
        <v>8306</v>
      </c>
      <c r="L1007" s="1"/>
      <c r="M1007" s="1" t="s">
        <v>8307</v>
      </c>
      <c r="N1007" s="1">
        <v>0</v>
      </c>
      <c r="O1007" s="1">
        <v>0</v>
      </c>
      <c r="P1007" s="1" t="s">
        <v>7902</v>
      </c>
      <c r="Q1007" s="1" t="s">
        <v>268</v>
      </c>
      <c r="R1007" s="1" t="s">
        <v>8308</v>
      </c>
      <c r="S1007" s="1" t="s">
        <v>8309</v>
      </c>
      <c r="T1007" s="1" t="s">
        <v>7821</v>
      </c>
      <c r="U1007" s="1" t="s">
        <v>8310</v>
      </c>
      <c r="V1007" s="1">
        <v>1</v>
      </c>
      <c r="W1007" s="1">
        <v>1</v>
      </c>
      <c r="X1007" s="1">
        <v>0</v>
      </c>
      <c r="Y1007" s="1">
        <v>0</v>
      </c>
      <c r="Z1007" s="1">
        <v>1</v>
      </c>
      <c r="AA1007" s="1" t="s">
        <v>109</v>
      </c>
      <c r="AB1007" s="1" t="s">
        <v>109</v>
      </c>
      <c r="AC1007" s="1">
        <v>2</v>
      </c>
      <c r="AD1007" s="1" t="s">
        <v>109</v>
      </c>
      <c r="AE1007" s="1" t="s">
        <v>109</v>
      </c>
      <c r="AF1007" s="1" t="s">
        <v>109</v>
      </c>
      <c r="AG1007" s="1" t="s">
        <v>109</v>
      </c>
      <c r="AH1007" s="1" t="s">
        <v>109</v>
      </c>
      <c r="AI1007" s="1" t="s">
        <v>109</v>
      </c>
      <c r="AJ1007" s="1" t="s">
        <v>109</v>
      </c>
      <c r="AK1007" s="1" t="s">
        <v>109</v>
      </c>
      <c r="AL1007" s="1">
        <v>2</v>
      </c>
      <c r="AM1007" s="1" t="s">
        <v>109</v>
      </c>
      <c r="AN1007" s="1" t="s">
        <v>109</v>
      </c>
      <c r="AO1007" s="1" t="s">
        <v>109</v>
      </c>
      <c r="AP1007" s="1"/>
      <c r="AQ1007" s="1">
        <v>2</v>
      </c>
      <c r="AR1007" s="1"/>
      <c r="AS1007" s="1" t="s">
        <v>8311</v>
      </c>
      <c r="AT1007" s="1">
        <v>0</v>
      </c>
      <c r="AU1007" s="1">
        <v>0</v>
      </c>
      <c r="AV1007" s="1">
        <v>0</v>
      </c>
      <c r="AW1007" s="1">
        <v>0</v>
      </c>
      <c r="AX1007" s="1">
        <v>0</v>
      </c>
      <c r="AY1007" s="1">
        <v>0</v>
      </c>
      <c r="AZ1007" s="1">
        <v>0</v>
      </c>
      <c r="BA1007" s="1">
        <v>0</v>
      </c>
      <c r="BB1007" s="1">
        <v>0</v>
      </c>
      <c r="BC1007" s="1">
        <v>0</v>
      </c>
      <c r="BD1007" s="1">
        <v>0</v>
      </c>
      <c r="BE1007" s="1">
        <v>1</v>
      </c>
      <c r="BF1007" s="1">
        <v>0</v>
      </c>
      <c r="BG1007" s="1">
        <v>0</v>
      </c>
      <c r="BH1007" s="1">
        <v>0</v>
      </c>
      <c r="BI1007" s="1">
        <v>0</v>
      </c>
      <c r="BJ1007" s="1">
        <v>0</v>
      </c>
      <c r="BK1007" s="1">
        <v>0</v>
      </c>
      <c r="BL1007" s="1">
        <v>0</v>
      </c>
      <c r="BM1007" s="1">
        <v>0</v>
      </c>
      <c r="BN1007" s="1">
        <v>0</v>
      </c>
      <c r="BO1007" s="1">
        <v>0</v>
      </c>
      <c r="BP1007" s="1">
        <v>0</v>
      </c>
      <c r="BQ1007" s="1">
        <v>0</v>
      </c>
      <c r="BR1007" s="1">
        <v>0</v>
      </c>
      <c r="BS1007" s="5" t="str">
        <f>HYPERLINK("http://www.d20pfsrd.com/magic/all-spells/d/dread-bolt","Dread Bolt")</f>
        <v>Dread Bolt</v>
      </c>
      <c r="BT1007" s="1">
        <v>1043</v>
      </c>
      <c r="BU1007" s="1" t="s">
        <v>109</v>
      </c>
      <c r="BV1007" s="1"/>
      <c r="BW1007" s="1"/>
      <c r="BX1007" s="1"/>
      <c r="BY1007" s="1"/>
      <c r="BZ1007" s="1">
        <v>0</v>
      </c>
      <c r="CA1007" s="1" t="s">
        <v>109</v>
      </c>
      <c r="CB1007" s="1" t="s">
        <v>109</v>
      </c>
      <c r="CC1007" s="1" t="s">
        <v>109</v>
      </c>
      <c r="CD1007" s="1" t="s">
        <v>109</v>
      </c>
      <c r="CE1007" s="1" t="s">
        <v>109</v>
      </c>
      <c r="CF1007" s="1" t="s">
        <v>109</v>
      </c>
      <c r="CG1007" s="1" t="s">
        <v>109</v>
      </c>
      <c r="CH1007" s="1" t="s">
        <v>109</v>
      </c>
      <c r="CI1007" s="1" t="s">
        <v>109</v>
      </c>
      <c r="CJ1007" s="1" t="s">
        <v>109</v>
      </c>
      <c r="CK1007" s="1"/>
      <c r="CL1007" s="1">
        <v>0</v>
      </c>
      <c r="CM1007" s="1">
        <v>0</v>
      </c>
      <c r="CN1007" s="1">
        <v>0</v>
      </c>
    </row>
    <row r="1008" spans="1:92" ht="14.25" customHeight="1" x14ac:dyDescent="0.15">
      <c r="A1008" s="1" t="s">
        <v>8312</v>
      </c>
      <c r="B1008" s="1" t="s">
        <v>95</v>
      </c>
      <c r="C1008" s="1" t="s">
        <v>1179</v>
      </c>
      <c r="D1008" s="1" t="s">
        <v>61</v>
      </c>
      <c r="E1008" s="1" t="s">
        <v>8313</v>
      </c>
      <c r="F1008" s="1" t="s">
        <v>355</v>
      </c>
      <c r="G1008" s="1" t="s">
        <v>160</v>
      </c>
      <c r="H1008" s="1">
        <v>0</v>
      </c>
      <c r="I1008" s="1" t="s">
        <v>100</v>
      </c>
      <c r="J1008" s="1"/>
      <c r="K1008" s="1" t="s">
        <v>8314</v>
      </c>
      <c r="L1008" s="1"/>
      <c r="M1008" s="1" t="s">
        <v>289</v>
      </c>
      <c r="N1008" s="1">
        <v>0</v>
      </c>
      <c r="O1008" s="1">
        <v>0</v>
      </c>
      <c r="P1008" s="1" t="s">
        <v>103</v>
      </c>
      <c r="Q1008" s="1" t="s">
        <v>104</v>
      </c>
      <c r="R1008" s="1" t="s">
        <v>8315</v>
      </c>
      <c r="S1008" s="1" t="s">
        <v>8316</v>
      </c>
      <c r="T1008" s="1" t="s">
        <v>7821</v>
      </c>
      <c r="U1008" s="1" t="s">
        <v>8317</v>
      </c>
      <c r="V1008" s="1">
        <v>1</v>
      </c>
      <c r="W1008" s="1">
        <v>1</v>
      </c>
      <c r="X1008" s="1">
        <v>0</v>
      </c>
      <c r="Y1008" s="1">
        <v>0</v>
      </c>
      <c r="Z1008" s="1">
        <v>1</v>
      </c>
      <c r="AA1008" s="1" t="s">
        <v>109</v>
      </c>
      <c r="AB1008" s="1" t="s">
        <v>109</v>
      </c>
      <c r="AC1008" s="1" t="s">
        <v>109</v>
      </c>
      <c r="AD1008" s="1">
        <v>6</v>
      </c>
      <c r="AE1008" s="1" t="s">
        <v>109</v>
      </c>
      <c r="AF1008" s="1" t="s">
        <v>109</v>
      </c>
      <c r="AG1008" s="1" t="s">
        <v>109</v>
      </c>
      <c r="AH1008" s="1" t="s">
        <v>109</v>
      </c>
      <c r="AI1008" s="1">
        <v>6</v>
      </c>
      <c r="AJ1008" s="1" t="s">
        <v>109</v>
      </c>
      <c r="AK1008" s="1" t="s">
        <v>109</v>
      </c>
      <c r="AL1008" s="1" t="s">
        <v>109</v>
      </c>
      <c r="AM1008" s="1" t="s">
        <v>109</v>
      </c>
      <c r="AN1008" s="1" t="s">
        <v>109</v>
      </c>
      <c r="AO1008" s="1" t="s">
        <v>109</v>
      </c>
      <c r="AP1008" s="1"/>
      <c r="AQ1008" s="1">
        <v>6</v>
      </c>
      <c r="AR1008" s="1"/>
      <c r="AS1008" s="1" t="s">
        <v>8318</v>
      </c>
      <c r="AT1008" s="1">
        <v>0</v>
      </c>
      <c r="AU1008" s="1">
        <v>0</v>
      </c>
      <c r="AV1008" s="1">
        <v>0</v>
      </c>
      <c r="AW1008" s="1">
        <v>0</v>
      </c>
      <c r="AX1008" s="1">
        <v>0</v>
      </c>
      <c r="AY1008" s="1">
        <v>0</v>
      </c>
      <c r="AZ1008" s="1">
        <v>0</v>
      </c>
      <c r="BA1008" s="1">
        <v>0</v>
      </c>
      <c r="BB1008" s="1">
        <v>0</v>
      </c>
      <c r="BC1008" s="1">
        <v>0</v>
      </c>
      <c r="BD1008" s="1">
        <v>0</v>
      </c>
      <c r="BE1008" s="1">
        <v>0</v>
      </c>
      <c r="BF1008" s="1">
        <v>0</v>
      </c>
      <c r="BG1008" s="1">
        <v>0</v>
      </c>
      <c r="BH1008" s="1">
        <v>0</v>
      </c>
      <c r="BI1008" s="1">
        <v>1</v>
      </c>
      <c r="BJ1008" s="1">
        <v>0</v>
      </c>
      <c r="BK1008" s="1">
        <v>0</v>
      </c>
      <c r="BL1008" s="1">
        <v>0</v>
      </c>
      <c r="BM1008" s="1">
        <v>0</v>
      </c>
      <c r="BN1008" s="1">
        <v>0</v>
      </c>
      <c r="BO1008" s="1">
        <v>0</v>
      </c>
      <c r="BP1008" s="1">
        <v>0</v>
      </c>
      <c r="BQ1008" s="1">
        <v>0</v>
      </c>
      <c r="BR1008" s="1">
        <v>0</v>
      </c>
      <c r="BS1008" s="5" t="str">
        <f>HYPERLINK("http://www.d20pfsrd.com/magic/all-spells/e/eagle-aerie","Eagle Aerie")</f>
        <v>Eagle Aerie</v>
      </c>
      <c r="BT1008" s="1">
        <v>1044</v>
      </c>
      <c r="BU1008" s="1" t="s">
        <v>109</v>
      </c>
      <c r="BV1008" s="1"/>
      <c r="BW1008" s="1"/>
      <c r="BX1008" s="1"/>
      <c r="BY1008" s="1"/>
      <c r="BZ1008" s="1">
        <v>0</v>
      </c>
      <c r="CA1008" s="1" t="s">
        <v>109</v>
      </c>
      <c r="CB1008" s="1" t="s">
        <v>109</v>
      </c>
      <c r="CC1008" s="1" t="s">
        <v>109</v>
      </c>
      <c r="CD1008" s="1" t="s">
        <v>109</v>
      </c>
      <c r="CE1008" s="1" t="s">
        <v>109</v>
      </c>
      <c r="CF1008" s="1" t="s">
        <v>109</v>
      </c>
      <c r="CG1008" s="1" t="s">
        <v>109</v>
      </c>
      <c r="CH1008" s="1" t="s">
        <v>109</v>
      </c>
      <c r="CI1008" s="1" t="s">
        <v>109</v>
      </c>
      <c r="CJ1008" s="1">
        <v>6</v>
      </c>
      <c r="CK1008" s="1"/>
      <c r="CL1008" s="1">
        <v>0</v>
      </c>
      <c r="CM1008" s="1">
        <v>0</v>
      </c>
      <c r="CN1008" s="1">
        <v>0</v>
      </c>
    </row>
    <row r="1009" spans="1:92" ht="14.25" customHeight="1" x14ac:dyDescent="0.15">
      <c r="A1009" s="1" t="s">
        <v>8319</v>
      </c>
      <c r="B1009" s="1" t="s">
        <v>584</v>
      </c>
      <c r="C1009" s="1"/>
      <c r="D1009" s="1" t="s">
        <v>69</v>
      </c>
      <c r="E1009" s="1" t="s">
        <v>8320</v>
      </c>
      <c r="F1009" s="1" t="s">
        <v>98</v>
      </c>
      <c r="G1009" s="1" t="s">
        <v>141</v>
      </c>
      <c r="H1009" s="1">
        <v>0</v>
      </c>
      <c r="I1009" s="1" t="s">
        <v>142</v>
      </c>
      <c r="J1009" s="1"/>
      <c r="K1009" s="1"/>
      <c r="L1009" s="1" t="s">
        <v>1391</v>
      </c>
      <c r="M1009" s="1" t="s">
        <v>947</v>
      </c>
      <c r="N1009" s="1">
        <v>0</v>
      </c>
      <c r="O1009" s="1">
        <v>0</v>
      </c>
      <c r="P1009" s="1" t="s">
        <v>8321</v>
      </c>
      <c r="Q1009" s="1" t="s">
        <v>268</v>
      </c>
      <c r="R1009" s="1" t="s">
        <v>8322</v>
      </c>
      <c r="S1009" s="1" t="s">
        <v>8323</v>
      </c>
      <c r="T1009" s="1" t="s">
        <v>7821</v>
      </c>
      <c r="U1009" s="1" t="s">
        <v>8324</v>
      </c>
      <c r="V1009" s="1">
        <v>1</v>
      </c>
      <c r="W1009" s="1">
        <v>1</v>
      </c>
      <c r="X1009" s="1">
        <v>0</v>
      </c>
      <c r="Y1009" s="1">
        <v>0</v>
      </c>
      <c r="Z1009" s="1">
        <v>0</v>
      </c>
      <c r="AA1009" s="1">
        <v>1</v>
      </c>
      <c r="AB1009" s="1">
        <v>1</v>
      </c>
      <c r="AC1009" s="1" t="s">
        <v>109</v>
      </c>
      <c r="AD1009" s="1" t="s">
        <v>109</v>
      </c>
      <c r="AE1009" s="1" t="s">
        <v>109</v>
      </c>
      <c r="AF1009" s="1">
        <v>1</v>
      </c>
      <c r="AG1009" s="1" t="s">
        <v>109</v>
      </c>
      <c r="AH1009" s="1" t="s">
        <v>109</v>
      </c>
      <c r="AI1009" s="1" t="s">
        <v>109</v>
      </c>
      <c r="AJ1009" s="1">
        <v>1</v>
      </c>
      <c r="AK1009" s="1">
        <v>1</v>
      </c>
      <c r="AL1009" s="1" t="s">
        <v>109</v>
      </c>
      <c r="AM1009" s="1" t="s">
        <v>109</v>
      </c>
      <c r="AN1009" s="1" t="s">
        <v>109</v>
      </c>
      <c r="AO1009" s="1" t="s">
        <v>109</v>
      </c>
      <c r="AP1009" s="1"/>
      <c r="AQ1009" s="1">
        <v>1</v>
      </c>
      <c r="AR1009" s="1"/>
      <c r="AS1009" s="1" t="s">
        <v>8325</v>
      </c>
      <c r="AT1009" s="1">
        <v>0</v>
      </c>
      <c r="AU1009" s="1">
        <v>0</v>
      </c>
      <c r="AV1009" s="1">
        <v>0</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1</v>
      </c>
      <c r="BR1009" s="1">
        <v>0</v>
      </c>
      <c r="BS1009" s="5" t="str">
        <f>HYPERLINK("http://www.d20pfsrd.com/magic/all-spells/e/ear-piercing-scream","Ear-Piercing Scream")</f>
        <v>Ear-Piercing Scream</v>
      </c>
      <c r="BT1009" s="1">
        <v>1045</v>
      </c>
      <c r="BU1009" s="1" t="s">
        <v>109</v>
      </c>
      <c r="BV1009" s="1"/>
      <c r="BW1009" s="1"/>
      <c r="BX1009" s="1" t="s">
        <v>8326</v>
      </c>
      <c r="BY1009" s="1" t="s">
        <v>8327</v>
      </c>
      <c r="BZ1009" s="1">
        <v>1</v>
      </c>
      <c r="CA1009" s="1">
        <v>1</v>
      </c>
      <c r="CB1009" s="1" t="s">
        <v>109</v>
      </c>
      <c r="CC1009" s="1">
        <v>1</v>
      </c>
      <c r="CD1009" s="1" t="s">
        <v>109</v>
      </c>
      <c r="CE1009" s="1" t="s">
        <v>109</v>
      </c>
      <c r="CF1009" s="1" t="s">
        <v>109</v>
      </c>
      <c r="CG1009" s="1" t="s">
        <v>109</v>
      </c>
      <c r="CH1009" s="1" t="s">
        <v>109</v>
      </c>
      <c r="CI1009" s="1" t="s">
        <v>109</v>
      </c>
      <c r="CJ1009" s="1" t="s">
        <v>109</v>
      </c>
      <c r="CK1009" s="1"/>
      <c r="CL1009" s="1">
        <v>0</v>
      </c>
      <c r="CM1009" s="1">
        <v>0</v>
      </c>
      <c r="CN1009" s="1">
        <v>0</v>
      </c>
    </row>
    <row r="1010" spans="1:92" ht="14.25" customHeight="1" x14ac:dyDescent="0.15">
      <c r="A1010" s="1" t="s">
        <v>8328</v>
      </c>
      <c r="B1010" s="1" t="s">
        <v>189</v>
      </c>
      <c r="C1010" s="1"/>
      <c r="D1010" s="1" t="s">
        <v>69</v>
      </c>
      <c r="E1010" s="1" t="s">
        <v>8329</v>
      </c>
      <c r="F1010" s="1" t="s">
        <v>98</v>
      </c>
      <c r="G1010" s="1" t="s">
        <v>333</v>
      </c>
      <c r="H1010" s="1">
        <v>0</v>
      </c>
      <c r="I1010" s="1" t="s">
        <v>235</v>
      </c>
      <c r="J1010" s="1"/>
      <c r="K1010" s="1"/>
      <c r="L1010" s="1" t="s">
        <v>236</v>
      </c>
      <c r="M1010" s="1" t="s">
        <v>5642</v>
      </c>
      <c r="N1010" s="1">
        <v>0</v>
      </c>
      <c r="O1010" s="1">
        <v>0</v>
      </c>
      <c r="P1010" s="1"/>
      <c r="Q1010" s="1"/>
      <c r="R1010" s="1" t="s">
        <v>8330</v>
      </c>
      <c r="S1010" s="1" t="s">
        <v>8331</v>
      </c>
      <c r="T1010" s="1" t="s">
        <v>7821</v>
      </c>
      <c r="U1010" s="1" t="s">
        <v>8332</v>
      </c>
      <c r="V1010" s="1">
        <v>1</v>
      </c>
      <c r="W1010" s="1">
        <v>0</v>
      </c>
      <c r="X1010" s="1">
        <v>0</v>
      </c>
      <c r="Y1010" s="1">
        <v>0</v>
      </c>
      <c r="Z1010" s="1">
        <v>0</v>
      </c>
      <c r="AA1010" s="1">
        <v>5</v>
      </c>
      <c r="AB1010" s="1">
        <v>5</v>
      </c>
      <c r="AC1010" s="1" t="s">
        <v>109</v>
      </c>
      <c r="AD1010" s="1">
        <v>4</v>
      </c>
      <c r="AE1010" s="1" t="s">
        <v>109</v>
      </c>
      <c r="AF1010" s="1">
        <v>4</v>
      </c>
      <c r="AG1010" s="1" t="s">
        <v>109</v>
      </c>
      <c r="AH1010" s="1">
        <v>4</v>
      </c>
      <c r="AI1010" s="1" t="s">
        <v>109</v>
      </c>
      <c r="AJ1010" s="1" t="s">
        <v>109</v>
      </c>
      <c r="AK1010" s="1" t="s">
        <v>109</v>
      </c>
      <c r="AL1010" s="1" t="s">
        <v>109</v>
      </c>
      <c r="AM1010" s="1" t="s">
        <v>109</v>
      </c>
      <c r="AN1010" s="1" t="s">
        <v>109</v>
      </c>
      <c r="AO1010" s="1" t="s">
        <v>109</v>
      </c>
      <c r="AP1010" s="1"/>
      <c r="AQ1010" s="1">
        <v>5</v>
      </c>
      <c r="AR1010" s="1"/>
      <c r="AS1010" s="1" t="s">
        <v>8333</v>
      </c>
      <c r="AT1010" s="1">
        <v>0</v>
      </c>
      <c r="AU1010" s="1">
        <v>0</v>
      </c>
      <c r="AV1010" s="1">
        <v>0</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1</v>
      </c>
      <c r="BR1010" s="1">
        <v>0</v>
      </c>
      <c r="BS1010" s="5" t="str">
        <f>HYPERLINK("http://www.d20pfsrd.com/magic/all-spells/e/echolocation","Echolocation")</f>
        <v>Echolocation</v>
      </c>
      <c r="BT1010" s="1">
        <v>1046</v>
      </c>
      <c r="BU1010" s="1" t="s">
        <v>109</v>
      </c>
      <c r="BV1010" s="1" t="s">
        <v>8334</v>
      </c>
      <c r="BW1010" s="1"/>
      <c r="BX1010" s="1"/>
      <c r="BY1010" s="1"/>
      <c r="BZ1010" s="1">
        <v>0</v>
      </c>
      <c r="CA1010" s="1" t="s">
        <v>109</v>
      </c>
      <c r="CB1010" s="1" t="s">
        <v>109</v>
      </c>
      <c r="CC1010" s="1">
        <v>5</v>
      </c>
      <c r="CD1010" s="1" t="s">
        <v>109</v>
      </c>
      <c r="CE1010" s="1" t="s">
        <v>109</v>
      </c>
      <c r="CF1010" s="1">
        <v>4</v>
      </c>
      <c r="CG1010" s="1" t="s">
        <v>109</v>
      </c>
      <c r="CH1010" s="1" t="s">
        <v>109</v>
      </c>
      <c r="CI1010" s="1" t="s">
        <v>109</v>
      </c>
      <c r="CJ1010" s="1">
        <v>4</v>
      </c>
      <c r="CK1010" s="1"/>
      <c r="CL1010" s="1">
        <v>0</v>
      </c>
      <c r="CM1010" s="1">
        <v>0</v>
      </c>
      <c r="CN1010" s="1">
        <v>0</v>
      </c>
    </row>
    <row r="1011" spans="1:92" ht="14.25" customHeight="1" x14ac:dyDescent="0.15">
      <c r="A1011" s="1" t="s">
        <v>8335</v>
      </c>
      <c r="B1011" s="1" t="s">
        <v>308</v>
      </c>
      <c r="C1011" s="1"/>
      <c r="D1011" s="1" t="s">
        <v>8336</v>
      </c>
      <c r="E1011" s="1" t="s">
        <v>8337</v>
      </c>
      <c r="F1011" s="1" t="s">
        <v>8338</v>
      </c>
      <c r="G1011" s="1" t="s">
        <v>141</v>
      </c>
      <c r="H1011" s="1">
        <v>0</v>
      </c>
      <c r="I1011" s="1" t="s">
        <v>142</v>
      </c>
      <c r="J1011" s="1"/>
      <c r="K1011" s="1"/>
      <c r="L1011" s="1" t="s">
        <v>1391</v>
      </c>
      <c r="M1011" s="1" t="s">
        <v>144</v>
      </c>
      <c r="N1011" s="1">
        <v>0</v>
      </c>
      <c r="O1011" s="1">
        <v>0</v>
      </c>
      <c r="P1011" s="1" t="s">
        <v>267</v>
      </c>
      <c r="Q1011" s="1" t="s">
        <v>268</v>
      </c>
      <c r="R1011" s="1" t="s">
        <v>8339</v>
      </c>
      <c r="S1011" s="1" t="s">
        <v>8340</v>
      </c>
      <c r="T1011" s="1" t="s">
        <v>7821</v>
      </c>
      <c r="U1011" s="1" t="s">
        <v>8341</v>
      </c>
      <c r="V1011" s="1">
        <v>1</v>
      </c>
      <c r="W1011" s="1">
        <v>1</v>
      </c>
      <c r="X1011" s="1">
        <v>0</v>
      </c>
      <c r="Y1011" s="1">
        <v>0</v>
      </c>
      <c r="Z1011" s="1">
        <v>0</v>
      </c>
      <c r="AA1011" s="1">
        <v>3</v>
      </c>
      <c r="AB1011" s="1">
        <v>3</v>
      </c>
      <c r="AC1011" s="1" t="s">
        <v>109</v>
      </c>
      <c r="AD1011" s="1" t="s">
        <v>109</v>
      </c>
      <c r="AE1011" s="1" t="s">
        <v>109</v>
      </c>
      <c r="AF1011" s="1" t="s">
        <v>109</v>
      </c>
      <c r="AG1011" s="1" t="s">
        <v>109</v>
      </c>
      <c r="AH1011" s="1" t="s">
        <v>109</v>
      </c>
      <c r="AI1011" s="1" t="s">
        <v>109</v>
      </c>
      <c r="AJ1011" s="1">
        <v>3</v>
      </c>
      <c r="AK1011" s="1">
        <v>3</v>
      </c>
      <c r="AL1011" s="1" t="s">
        <v>109</v>
      </c>
      <c r="AM1011" s="1" t="s">
        <v>109</v>
      </c>
      <c r="AN1011" s="1" t="s">
        <v>109</v>
      </c>
      <c r="AO1011" s="1" t="s">
        <v>109</v>
      </c>
      <c r="AP1011" s="1"/>
      <c r="AQ1011" s="1">
        <v>3</v>
      </c>
      <c r="AR1011" s="1"/>
      <c r="AS1011" s="1" t="s">
        <v>8342</v>
      </c>
      <c r="AT1011" s="1">
        <v>0</v>
      </c>
      <c r="AU1011" s="1">
        <v>0</v>
      </c>
      <c r="AV1011" s="1">
        <v>0</v>
      </c>
      <c r="AW1011" s="1">
        <v>0</v>
      </c>
      <c r="AX1011" s="1">
        <v>1</v>
      </c>
      <c r="AY1011" s="1">
        <v>0</v>
      </c>
      <c r="AZ1011" s="1">
        <v>0</v>
      </c>
      <c r="BA1011" s="1">
        <v>1</v>
      </c>
      <c r="BB1011" s="1">
        <v>0</v>
      </c>
      <c r="BC1011" s="1">
        <v>0</v>
      </c>
      <c r="BD1011" s="1">
        <v>0</v>
      </c>
      <c r="BE1011" s="1">
        <v>1</v>
      </c>
      <c r="BF1011" s="1">
        <v>0</v>
      </c>
      <c r="BG1011" s="1">
        <v>0</v>
      </c>
      <c r="BH1011" s="1">
        <v>0</v>
      </c>
      <c r="BI1011" s="1">
        <v>0</v>
      </c>
      <c r="BJ1011" s="1">
        <v>0</v>
      </c>
      <c r="BK1011" s="1">
        <v>0</v>
      </c>
      <c r="BL1011" s="1">
        <v>0</v>
      </c>
      <c r="BM1011" s="1">
        <v>0</v>
      </c>
      <c r="BN1011" s="1">
        <v>0</v>
      </c>
      <c r="BO1011" s="1">
        <v>0</v>
      </c>
      <c r="BP1011" s="1">
        <v>0</v>
      </c>
      <c r="BQ1011" s="1">
        <v>0</v>
      </c>
      <c r="BR1011" s="1">
        <v>0</v>
      </c>
      <c r="BS1011" s="5" t="str">
        <f>HYPERLINK("http://www.d20pfsrd.com/magic/all-spells/e/eldritch-fever","Eldritch Fever")</f>
        <v>Eldritch Fever</v>
      </c>
      <c r="BT1011" s="1">
        <v>1047</v>
      </c>
      <c r="BU1011" s="1" t="s">
        <v>109</v>
      </c>
      <c r="BV1011" s="1"/>
      <c r="BW1011" s="1"/>
      <c r="BX1011" s="1"/>
      <c r="BY1011" s="1"/>
      <c r="BZ1011" s="1">
        <v>0</v>
      </c>
      <c r="CA1011" s="1" t="s">
        <v>109</v>
      </c>
      <c r="CB1011" s="1" t="s">
        <v>109</v>
      </c>
      <c r="CC1011" s="1">
        <v>3</v>
      </c>
      <c r="CD1011" s="1" t="s">
        <v>109</v>
      </c>
      <c r="CE1011" s="1" t="s">
        <v>109</v>
      </c>
      <c r="CF1011" s="1" t="s">
        <v>109</v>
      </c>
      <c r="CG1011" s="1" t="s">
        <v>109</v>
      </c>
      <c r="CH1011" s="1" t="s">
        <v>109</v>
      </c>
      <c r="CI1011" s="1" t="s">
        <v>109</v>
      </c>
      <c r="CJ1011" s="1" t="s">
        <v>109</v>
      </c>
      <c r="CK1011" s="1"/>
      <c r="CL1011" s="1">
        <v>0</v>
      </c>
      <c r="CM1011" s="1">
        <v>0</v>
      </c>
      <c r="CN1011" s="1">
        <v>0</v>
      </c>
    </row>
    <row r="1012" spans="1:92" ht="14.25" customHeight="1" x14ac:dyDescent="0.15">
      <c r="A1012" s="1" t="s">
        <v>8343</v>
      </c>
      <c r="B1012" s="1" t="s">
        <v>156</v>
      </c>
      <c r="C1012" s="1" t="s">
        <v>157</v>
      </c>
      <c r="D1012" s="1" t="s">
        <v>8086</v>
      </c>
      <c r="E1012" s="1" t="s">
        <v>8344</v>
      </c>
      <c r="F1012" s="1" t="s">
        <v>98</v>
      </c>
      <c r="G1012" s="1" t="s">
        <v>141</v>
      </c>
      <c r="H1012" s="1">
        <v>0</v>
      </c>
      <c r="I1012" s="1" t="s">
        <v>122</v>
      </c>
      <c r="J1012" s="1"/>
      <c r="K1012" s="1"/>
      <c r="L1012" s="1" t="s">
        <v>716</v>
      </c>
      <c r="M1012" s="1" t="s">
        <v>125</v>
      </c>
      <c r="N1012" s="1">
        <v>0</v>
      </c>
      <c r="O1012" s="1">
        <v>0</v>
      </c>
      <c r="P1012" s="1" t="s">
        <v>301</v>
      </c>
      <c r="Q1012" s="1" t="s">
        <v>268</v>
      </c>
      <c r="R1012" s="1" t="s">
        <v>8345</v>
      </c>
      <c r="S1012" s="1" t="s">
        <v>8346</v>
      </c>
      <c r="T1012" s="1" t="s">
        <v>7821</v>
      </c>
      <c r="U1012" s="1" t="s">
        <v>8347</v>
      </c>
      <c r="V1012" s="1">
        <v>1</v>
      </c>
      <c r="W1012" s="1">
        <v>1</v>
      </c>
      <c r="X1012" s="1">
        <v>0</v>
      </c>
      <c r="Y1012" s="1">
        <v>0</v>
      </c>
      <c r="Z1012" s="1">
        <v>0</v>
      </c>
      <c r="AA1012" s="1">
        <v>6</v>
      </c>
      <c r="AB1012" s="1">
        <v>6</v>
      </c>
      <c r="AC1012" s="1" t="s">
        <v>109</v>
      </c>
      <c r="AD1012" s="1" t="s">
        <v>109</v>
      </c>
      <c r="AE1012" s="1" t="s">
        <v>109</v>
      </c>
      <c r="AF1012" s="1">
        <v>4</v>
      </c>
      <c r="AG1012" s="1" t="s">
        <v>109</v>
      </c>
      <c r="AH1012" s="1" t="s">
        <v>109</v>
      </c>
      <c r="AI1012" s="1" t="s">
        <v>109</v>
      </c>
      <c r="AJ1012" s="1" t="s">
        <v>109</v>
      </c>
      <c r="AK1012" s="1" t="s">
        <v>109</v>
      </c>
      <c r="AL1012" s="1" t="s">
        <v>109</v>
      </c>
      <c r="AM1012" s="1" t="s">
        <v>109</v>
      </c>
      <c r="AN1012" s="1" t="s">
        <v>109</v>
      </c>
      <c r="AO1012" s="1" t="s">
        <v>109</v>
      </c>
      <c r="AP1012" s="1"/>
      <c r="AQ1012" s="1">
        <v>6</v>
      </c>
      <c r="AR1012" s="1"/>
      <c r="AS1012" s="1" t="s">
        <v>8348</v>
      </c>
      <c r="AT1012" s="1">
        <v>0</v>
      </c>
      <c r="AU1012" s="1">
        <v>0</v>
      </c>
      <c r="AV1012" s="1">
        <v>0</v>
      </c>
      <c r="AW1012" s="1">
        <v>0</v>
      </c>
      <c r="AX1012" s="1">
        <v>0</v>
      </c>
      <c r="AY1012" s="1">
        <v>0</v>
      </c>
      <c r="AZ1012" s="1">
        <v>0</v>
      </c>
      <c r="BA1012" s="1">
        <v>0</v>
      </c>
      <c r="BB1012" s="1">
        <v>0</v>
      </c>
      <c r="BC1012" s="1">
        <v>0</v>
      </c>
      <c r="BD1012" s="1">
        <v>1</v>
      </c>
      <c r="BE1012" s="1">
        <v>0</v>
      </c>
      <c r="BF1012" s="1">
        <v>0</v>
      </c>
      <c r="BG1012" s="1">
        <v>0</v>
      </c>
      <c r="BH1012" s="1">
        <v>0</v>
      </c>
      <c r="BI1012" s="1">
        <v>0</v>
      </c>
      <c r="BJ1012" s="1">
        <v>0</v>
      </c>
      <c r="BK1012" s="1">
        <v>0</v>
      </c>
      <c r="BL1012" s="1">
        <v>0</v>
      </c>
      <c r="BM1012" s="1">
        <v>1</v>
      </c>
      <c r="BN1012" s="1">
        <v>0</v>
      </c>
      <c r="BO1012" s="1">
        <v>0</v>
      </c>
      <c r="BP1012" s="1">
        <v>0</v>
      </c>
      <c r="BQ1012" s="1">
        <v>0</v>
      </c>
      <c r="BR1012" s="1">
        <v>0</v>
      </c>
      <c r="BS1012" s="5" t="str">
        <f>HYPERLINK("http://www.d20pfsrd.com/magic/all-spells/e/envious-urge","Envious Urge")</f>
        <v>Envious Urge</v>
      </c>
      <c r="BT1012" s="1">
        <v>1048</v>
      </c>
      <c r="BU1012" s="1" t="s">
        <v>109</v>
      </c>
      <c r="BV1012" s="1"/>
      <c r="BW1012" s="1" t="s">
        <v>8349</v>
      </c>
      <c r="BX1012" s="1"/>
      <c r="BY1012" s="1"/>
      <c r="BZ1012" s="1">
        <v>0</v>
      </c>
      <c r="CA1012" s="1" t="s">
        <v>109</v>
      </c>
      <c r="CB1012" s="1" t="s">
        <v>109</v>
      </c>
      <c r="CC1012" s="1">
        <v>6</v>
      </c>
      <c r="CD1012" s="1" t="s">
        <v>109</v>
      </c>
      <c r="CE1012" s="1">
        <v>4</v>
      </c>
      <c r="CF1012" s="1" t="s">
        <v>109</v>
      </c>
      <c r="CG1012" s="1" t="s">
        <v>109</v>
      </c>
      <c r="CH1012" s="1" t="s">
        <v>109</v>
      </c>
      <c r="CI1012" s="1" t="s">
        <v>109</v>
      </c>
      <c r="CJ1012" s="1" t="s">
        <v>109</v>
      </c>
      <c r="CK1012" s="1"/>
      <c r="CL1012" s="1">
        <v>0</v>
      </c>
      <c r="CM1012" s="1">
        <v>0</v>
      </c>
      <c r="CN1012" s="1">
        <v>0</v>
      </c>
    </row>
    <row r="1013" spans="1:92" ht="14.25" customHeight="1" x14ac:dyDescent="0.15">
      <c r="A1013" s="1" t="s">
        <v>8350</v>
      </c>
      <c r="B1013" s="1" t="s">
        <v>308</v>
      </c>
      <c r="C1013" s="1"/>
      <c r="D1013" s="1" t="s">
        <v>8102</v>
      </c>
      <c r="E1013" s="1" t="s">
        <v>8351</v>
      </c>
      <c r="F1013" s="1" t="s">
        <v>98</v>
      </c>
      <c r="G1013" s="1" t="s">
        <v>141</v>
      </c>
      <c r="H1013" s="1">
        <v>0</v>
      </c>
      <c r="I1013" s="1" t="s">
        <v>142</v>
      </c>
      <c r="J1013" s="1"/>
      <c r="K1013" s="1"/>
      <c r="L1013" s="1" t="s">
        <v>8352</v>
      </c>
      <c r="M1013" s="1" t="s">
        <v>144</v>
      </c>
      <c r="N1013" s="1">
        <v>0</v>
      </c>
      <c r="O1013" s="1">
        <v>0</v>
      </c>
      <c r="P1013" s="1" t="s">
        <v>267</v>
      </c>
      <c r="Q1013" s="1" t="s">
        <v>268</v>
      </c>
      <c r="R1013" s="1" t="s">
        <v>8353</v>
      </c>
      <c r="S1013" s="1" t="s">
        <v>8354</v>
      </c>
      <c r="T1013" s="1" t="s">
        <v>7821</v>
      </c>
      <c r="U1013" s="1" t="s">
        <v>8355</v>
      </c>
      <c r="V1013" s="1">
        <v>1</v>
      </c>
      <c r="W1013" s="1">
        <v>1</v>
      </c>
      <c r="X1013" s="1">
        <v>0</v>
      </c>
      <c r="Y1013" s="1">
        <v>0</v>
      </c>
      <c r="Z1013" s="1">
        <v>0</v>
      </c>
      <c r="AA1013" s="1">
        <v>7</v>
      </c>
      <c r="AB1013" s="1">
        <v>7</v>
      </c>
      <c r="AC1013" s="1">
        <v>6</v>
      </c>
      <c r="AD1013" s="1">
        <v>6</v>
      </c>
      <c r="AE1013" s="1" t="s">
        <v>109</v>
      </c>
      <c r="AF1013" s="1" t="s">
        <v>109</v>
      </c>
      <c r="AG1013" s="1" t="s">
        <v>109</v>
      </c>
      <c r="AH1013" s="1" t="s">
        <v>109</v>
      </c>
      <c r="AI1013" s="1" t="s">
        <v>109</v>
      </c>
      <c r="AJ1013" s="1">
        <v>6</v>
      </c>
      <c r="AK1013" s="1" t="s">
        <v>109</v>
      </c>
      <c r="AL1013" s="1">
        <v>6</v>
      </c>
      <c r="AM1013" s="1" t="s">
        <v>109</v>
      </c>
      <c r="AN1013" s="1" t="s">
        <v>109</v>
      </c>
      <c r="AO1013" s="1" t="s">
        <v>109</v>
      </c>
      <c r="AP1013" s="1"/>
      <c r="AQ1013" s="1">
        <v>7</v>
      </c>
      <c r="AR1013" s="1"/>
      <c r="AS1013" s="1" t="s">
        <v>8356</v>
      </c>
      <c r="AT1013" s="1">
        <v>0</v>
      </c>
      <c r="AU1013" s="1">
        <v>0</v>
      </c>
      <c r="AV1013" s="1">
        <v>0</v>
      </c>
      <c r="AW1013" s="1">
        <v>0</v>
      </c>
      <c r="AX1013" s="1">
        <v>0</v>
      </c>
      <c r="AY1013" s="1">
        <v>0</v>
      </c>
      <c r="AZ1013" s="1">
        <v>0</v>
      </c>
      <c r="BA1013" s="1">
        <v>1</v>
      </c>
      <c r="BB1013" s="1">
        <v>0</v>
      </c>
      <c r="BC1013" s="1">
        <v>0</v>
      </c>
      <c r="BD1013" s="1">
        <v>0</v>
      </c>
      <c r="BE1013" s="1">
        <v>1</v>
      </c>
      <c r="BF1013" s="1">
        <v>0</v>
      </c>
      <c r="BG1013" s="1">
        <v>0</v>
      </c>
      <c r="BH1013" s="1">
        <v>0</v>
      </c>
      <c r="BI1013" s="1">
        <v>0</v>
      </c>
      <c r="BJ1013" s="1">
        <v>0</v>
      </c>
      <c r="BK1013" s="1">
        <v>0</v>
      </c>
      <c r="BL1013" s="1">
        <v>0</v>
      </c>
      <c r="BM1013" s="1">
        <v>0</v>
      </c>
      <c r="BN1013" s="1">
        <v>0</v>
      </c>
      <c r="BO1013" s="1">
        <v>0</v>
      </c>
      <c r="BP1013" s="1">
        <v>0</v>
      </c>
      <c r="BQ1013" s="1">
        <v>0</v>
      </c>
      <c r="BR1013" s="1">
        <v>0</v>
      </c>
      <c r="BS1013" s="5" t="str">
        <f>HYPERLINK("http://www.d20pfsrd.com/magic/all-spells/e/epidemic","Epidemic")</f>
        <v>Epidemic</v>
      </c>
      <c r="BT1013" s="1">
        <v>1049</v>
      </c>
      <c r="BU1013" s="1" t="s">
        <v>109</v>
      </c>
      <c r="BV1013" s="1"/>
      <c r="BW1013" s="1"/>
      <c r="BX1013" s="1"/>
      <c r="BY1013" s="1"/>
      <c r="BZ1013" s="1">
        <v>0</v>
      </c>
      <c r="CA1013" s="1" t="s">
        <v>109</v>
      </c>
      <c r="CB1013" s="1" t="s">
        <v>109</v>
      </c>
      <c r="CC1013" s="1" t="s">
        <v>109</v>
      </c>
      <c r="CD1013" s="1" t="s">
        <v>109</v>
      </c>
      <c r="CE1013" s="1" t="s">
        <v>109</v>
      </c>
      <c r="CF1013" s="1" t="s">
        <v>109</v>
      </c>
      <c r="CG1013" s="1" t="s">
        <v>109</v>
      </c>
      <c r="CH1013" s="1" t="s">
        <v>109</v>
      </c>
      <c r="CI1013" s="1" t="s">
        <v>109</v>
      </c>
      <c r="CJ1013" s="1">
        <v>6</v>
      </c>
      <c r="CK1013" s="1"/>
      <c r="CL1013" s="1">
        <v>0</v>
      </c>
      <c r="CM1013" s="1">
        <v>0</v>
      </c>
      <c r="CN1013" s="1">
        <v>0</v>
      </c>
    </row>
    <row r="1014" spans="1:92" ht="14.25" customHeight="1" x14ac:dyDescent="0.15">
      <c r="A1014" s="1" t="s">
        <v>8357</v>
      </c>
      <c r="B1014" s="1" t="s">
        <v>189</v>
      </c>
      <c r="C1014" s="1"/>
      <c r="D1014" s="1" t="s">
        <v>46</v>
      </c>
      <c r="E1014" s="1" t="s">
        <v>8358</v>
      </c>
      <c r="F1014" s="1" t="s">
        <v>98</v>
      </c>
      <c r="G1014" s="1" t="s">
        <v>141</v>
      </c>
      <c r="H1014" s="1">
        <v>0</v>
      </c>
      <c r="I1014" s="1" t="s">
        <v>235</v>
      </c>
      <c r="J1014" s="1"/>
      <c r="K1014" s="1"/>
      <c r="L1014" s="1" t="s">
        <v>236</v>
      </c>
      <c r="M1014" s="1" t="s">
        <v>6144</v>
      </c>
      <c r="N1014" s="1">
        <v>1</v>
      </c>
      <c r="O1014" s="1">
        <v>0</v>
      </c>
      <c r="P1014" s="1" t="s">
        <v>8321</v>
      </c>
      <c r="Q1014" s="1" t="s">
        <v>268</v>
      </c>
      <c r="R1014" s="1" t="s">
        <v>8359</v>
      </c>
      <c r="S1014" s="1" t="s">
        <v>8360</v>
      </c>
      <c r="T1014" s="1" t="s">
        <v>7821</v>
      </c>
      <c r="U1014" s="1" t="s">
        <v>8361</v>
      </c>
      <c r="V1014" s="1">
        <v>1</v>
      </c>
      <c r="W1014" s="1">
        <v>1</v>
      </c>
      <c r="X1014" s="1">
        <v>0</v>
      </c>
      <c r="Y1014" s="1">
        <v>0</v>
      </c>
      <c r="Z1014" s="1">
        <v>0</v>
      </c>
      <c r="AA1014" s="1">
        <v>3</v>
      </c>
      <c r="AB1014" s="1">
        <v>3</v>
      </c>
      <c r="AC1014" s="1" t="s">
        <v>109</v>
      </c>
      <c r="AD1014" s="1" t="s">
        <v>109</v>
      </c>
      <c r="AE1014" s="1" t="s">
        <v>109</v>
      </c>
      <c r="AF1014" s="1" t="s">
        <v>109</v>
      </c>
      <c r="AG1014" s="1" t="s">
        <v>109</v>
      </c>
      <c r="AH1014" s="1">
        <v>3</v>
      </c>
      <c r="AI1014" s="1" t="s">
        <v>109</v>
      </c>
      <c r="AJ1014" s="1">
        <v>3</v>
      </c>
      <c r="AK1014" s="1" t="s">
        <v>109</v>
      </c>
      <c r="AL1014" s="1" t="s">
        <v>109</v>
      </c>
      <c r="AM1014" s="1" t="s">
        <v>109</v>
      </c>
      <c r="AN1014" s="1" t="s">
        <v>109</v>
      </c>
      <c r="AO1014" s="1" t="s">
        <v>109</v>
      </c>
      <c r="AP1014" s="1"/>
      <c r="AQ1014" s="1">
        <v>3</v>
      </c>
      <c r="AR1014" s="1"/>
      <c r="AS1014" s="1" t="s">
        <v>8362</v>
      </c>
      <c r="AT1014" s="1">
        <v>1</v>
      </c>
      <c r="AU1014" s="1">
        <v>0</v>
      </c>
      <c r="AV1014" s="1">
        <v>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5" t="str">
        <f>HYPERLINK("http://www.d20pfsrd.com/magic/all-spells/e/eruptive-pustules","Eruptive Pustules")</f>
        <v>Eruptive Pustules</v>
      </c>
      <c r="BT1014" s="1">
        <v>1050</v>
      </c>
      <c r="BU1014" s="1" t="s">
        <v>109</v>
      </c>
      <c r="BV1014" s="1"/>
      <c r="BW1014" s="1"/>
      <c r="BX1014" s="1"/>
      <c r="BY1014" s="1"/>
      <c r="BZ1014" s="1">
        <v>0</v>
      </c>
      <c r="CA1014" s="1">
        <v>3</v>
      </c>
      <c r="CB1014" s="1" t="s">
        <v>109</v>
      </c>
      <c r="CC1014" s="1" t="s">
        <v>109</v>
      </c>
      <c r="CD1014" s="1" t="s">
        <v>109</v>
      </c>
      <c r="CE1014" s="1" t="s">
        <v>109</v>
      </c>
      <c r="CF1014" s="1" t="s">
        <v>109</v>
      </c>
      <c r="CG1014" s="1" t="s">
        <v>109</v>
      </c>
      <c r="CH1014" s="1" t="s">
        <v>109</v>
      </c>
      <c r="CI1014" s="1" t="s">
        <v>109</v>
      </c>
      <c r="CJ1014" s="1" t="s">
        <v>109</v>
      </c>
      <c r="CK1014" s="1"/>
      <c r="CL1014" s="1">
        <v>0</v>
      </c>
      <c r="CM1014" s="1">
        <v>0</v>
      </c>
      <c r="CN1014" s="1">
        <v>0</v>
      </c>
    </row>
    <row r="1015" spans="1:92" ht="14.25" customHeight="1" x14ac:dyDescent="0.15">
      <c r="A1015" s="1" t="s">
        <v>8363</v>
      </c>
      <c r="B1015" s="1" t="s">
        <v>189</v>
      </c>
      <c r="C1015" s="1" t="s">
        <v>231</v>
      </c>
      <c r="D1015" s="1" t="s">
        <v>4940</v>
      </c>
      <c r="E1015" s="1" t="s">
        <v>8364</v>
      </c>
      <c r="F1015" s="1" t="s">
        <v>98</v>
      </c>
      <c r="G1015" s="1" t="s">
        <v>141</v>
      </c>
      <c r="H1015" s="1">
        <v>0</v>
      </c>
      <c r="I1015" s="1" t="s">
        <v>161</v>
      </c>
      <c r="J1015" s="1"/>
      <c r="K1015" s="1"/>
      <c r="L1015" s="1" t="s">
        <v>506</v>
      </c>
      <c r="M1015" s="1" t="s">
        <v>125</v>
      </c>
      <c r="N1015" s="1">
        <v>0</v>
      </c>
      <c r="O1015" s="1">
        <v>0</v>
      </c>
      <c r="P1015" s="1" t="s">
        <v>8321</v>
      </c>
      <c r="Q1015" s="1" t="s">
        <v>268</v>
      </c>
      <c r="R1015" s="1" t="s">
        <v>8365</v>
      </c>
      <c r="S1015" s="1" t="s">
        <v>8366</v>
      </c>
      <c r="T1015" s="1" t="s">
        <v>7821</v>
      </c>
      <c r="U1015" s="1" t="s">
        <v>8367</v>
      </c>
      <c r="V1015" s="1">
        <v>1</v>
      </c>
      <c r="W1015" s="1">
        <v>1</v>
      </c>
      <c r="X1015" s="1">
        <v>0</v>
      </c>
      <c r="Y1015" s="1">
        <v>0</v>
      </c>
      <c r="Z1015" s="1">
        <v>0</v>
      </c>
      <c r="AA1015" s="1">
        <v>3</v>
      </c>
      <c r="AB1015" s="1">
        <v>3</v>
      </c>
      <c r="AC1015" s="1" t="s">
        <v>109</v>
      </c>
      <c r="AD1015" s="1" t="s">
        <v>109</v>
      </c>
      <c r="AE1015" s="1" t="s">
        <v>109</v>
      </c>
      <c r="AF1015" s="1" t="s">
        <v>109</v>
      </c>
      <c r="AG1015" s="1" t="s">
        <v>109</v>
      </c>
      <c r="AH1015" s="1" t="s">
        <v>109</v>
      </c>
      <c r="AI1015" s="1" t="s">
        <v>109</v>
      </c>
      <c r="AJ1015" s="1">
        <v>3</v>
      </c>
      <c r="AK1015" s="1" t="s">
        <v>109</v>
      </c>
      <c r="AL1015" s="1" t="s">
        <v>109</v>
      </c>
      <c r="AM1015" s="1" t="s">
        <v>109</v>
      </c>
      <c r="AN1015" s="1" t="s">
        <v>109</v>
      </c>
      <c r="AO1015" s="1" t="s">
        <v>109</v>
      </c>
      <c r="AP1015" s="1"/>
      <c r="AQ1015" s="1">
        <v>3</v>
      </c>
      <c r="AR1015" s="1"/>
      <c r="AS1015" s="1" t="s">
        <v>8368</v>
      </c>
      <c r="AT1015" s="1">
        <v>0</v>
      </c>
      <c r="AU1015" s="1">
        <v>0</v>
      </c>
      <c r="AV1015" s="1">
        <v>0</v>
      </c>
      <c r="AW1015" s="1">
        <v>0</v>
      </c>
      <c r="AX1015" s="1">
        <v>0</v>
      </c>
      <c r="AY1015" s="1">
        <v>0</v>
      </c>
      <c r="AZ1015" s="1">
        <v>0</v>
      </c>
      <c r="BA1015" s="1">
        <v>0</v>
      </c>
      <c r="BB1015" s="1">
        <v>0</v>
      </c>
      <c r="BC1015" s="1">
        <v>0</v>
      </c>
      <c r="BD1015" s="1">
        <v>0</v>
      </c>
      <c r="BE1015" s="1">
        <v>1</v>
      </c>
      <c r="BF1015" s="1">
        <v>0</v>
      </c>
      <c r="BG1015" s="1">
        <v>0</v>
      </c>
      <c r="BH1015" s="1">
        <v>0</v>
      </c>
      <c r="BI1015" s="1">
        <v>0</v>
      </c>
      <c r="BJ1015" s="1">
        <v>0</v>
      </c>
      <c r="BK1015" s="1">
        <v>0</v>
      </c>
      <c r="BL1015" s="1">
        <v>0</v>
      </c>
      <c r="BM1015" s="1">
        <v>0</v>
      </c>
      <c r="BN1015" s="1">
        <v>1</v>
      </c>
      <c r="BO1015" s="1">
        <v>0</v>
      </c>
      <c r="BP1015" s="1">
        <v>0</v>
      </c>
      <c r="BQ1015" s="1">
        <v>0</v>
      </c>
      <c r="BR1015" s="1">
        <v>0</v>
      </c>
      <c r="BS1015" s="5" t="str">
        <f>HYPERLINK("http://www.d20pfsrd.com/magic/all-spells/e/excruciating-deformation","Excruciating Deformation")</f>
        <v>Excruciating Deformation</v>
      </c>
      <c r="BT1015" s="1">
        <v>1051</v>
      </c>
      <c r="BU1015" s="1" t="s">
        <v>109</v>
      </c>
      <c r="BV1015" s="1"/>
      <c r="BW1015" s="1"/>
      <c r="BX1015" s="1"/>
      <c r="BY1015" s="1"/>
      <c r="BZ1015" s="1">
        <v>0</v>
      </c>
      <c r="CA1015" s="1">
        <v>3</v>
      </c>
      <c r="CB1015" s="1" t="s">
        <v>109</v>
      </c>
      <c r="CC1015" s="1">
        <v>3</v>
      </c>
      <c r="CD1015" s="1" t="s">
        <v>109</v>
      </c>
      <c r="CE1015" s="1" t="s">
        <v>109</v>
      </c>
      <c r="CF1015" s="1" t="s">
        <v>109</v>
      </c>
      <c r="CG1015" s="1" t="s">
        <v>109</v>
      </c>
      <c r="CH1015" s="1" t="s">
        <v>109</v>
      </c>
      <c r="CI1015" s="1" t="s">
        <v>109</v>
      </c>
      <c r="CJ1015" s="1" t="s">
        <v>109</v>
      </c>
      <c r="CK1015" s="1"/>
      <c r="CL1015" s="1">
        <v>0</v>
      </c>
      <c r="CM1015" s="1">
        <v>0</v>
      </c>
      <c r="CN1015" s="1">
        <v>0</v>
      </c>
    </row>
    <row r="1016" spans="1:92" ht="14.25" customHeight="1" x14ac:dyDescent="0.15">
      <c r="A1016" s="1" t="s">
        <v>8369</v>
      </c>
      <c r="B1016" s="1" t="s">
        <v>674</v>
      </c>
      <c r="C1016" s="1" t="s">
        <v>68</v>
      </c>
      <c r="D1016" s="1" t="s">
        <v>68</v>
      </c>
      <c r="E1016" s="1" t="s">
        <v>2403</v>
      </c>
      <c r="F1016" s="1" t="s">
        <v>98</v>
      </c>
      <c r="G1016" s="1" t="s">
        <v>141</v>
      </c>
      <c r="H1016" s="1">
        <v>0</v>
      </c>
      <c r="I1016" s="1" t="s">
        <v>235</v>
      </c>
      <c r="J1016" s="1"/>
      <c r="K1016" s="1" t="s">
        <v>8370</v>
      </c>
      <c r="L1016" s="1"/>
      <c r="M1016" s="1" t="s">
        <v>574</v>
      </c>
      <c r="N1016" s="1">
        <v>1</v>
      </c>
      <c r="O1016" s="1">
        <v>0</v>
      </c>
      <c r="P1016" s="1" t="s">
        <v>103</v>
      </c>
      <c r="Q1016" s="1" t="s">
        <v>104</v>
      </c>
      <c r="R1016" s="1" t="s">
        <v>8371</v>
      </c>
      <c r="S1016" s="1" t="s">
        <v>8372</v>
      </c>
      <c r="T1016" s="1" t="s">
        <v>7821</v>
      </c>
      <c r="U1016" s="1" t="s">
        <v>8373</v>
      </c>
      <c r="V1016" s="1">
        <v>1</v>
      </c>
      <c r="W1016" s="1">
        <v>1</v>
      </c>
      <c r="X1016" s="1">
        <v>0</v>
      </c>
      <c r="Y1016" s="1">
        <v>0</v>
      </c>
      <c r="Z1016" s="1">
        <v>0</v>
      </c>
      <c r="AA1016" s="1" t="s">
        <v>109</v>
      </c>
      <c r="AB1016" s="1" t="s">
        <v>109</v>
      </c>
      <c r="AC1016" s="1" t="s">
        <v>109</v>
      </c>
      <c r="AD1016" s="1" t="s">
        <v>109</v>
      </c>
      <c r="AE1016" s="1" t="s">
        <v>109</v>
      </c>
      <c r="AF1016" s="1">
        <v>3</v>
      </c>
      <c r="AG1016" s="1" t="s">
        <v>109</v>
      </c>
      <c r="AH1016" s="1" t="s">
        <v>109</v>
      </c>
      <c r="AI1016" s="1" t="s">
        <v>109</v>
      </c>
      <c r="AJ1016" s="1" t="s">
        <v>109</v>
      </c>
      <c r="AK1016" s="1" t="s">
        <v>109</v>
      </c>
      <c r="AL1016" s="1" t="s">
        <v>109</v>
      </c>
      <c r="AM1016" s="1" t="s">
        <v>109</v>
      </c>
      <c r="AN1016" s="1" t="s">
        <v>109</v>
      </c>
      <c r="AO1016" s="1" t="s">
        <v>109</v>
      </c>
      <c r="AP1016" s="1"/>
      <c r="AQ1016" s="1">
        <v>3</v>
      </c>
      <c r="AR1016" s="1"/>
      <c r="AS1016" s="1" t="s">
        <v>8374</v>
      </c>
      <c r="AT1016" s="1">
        <v>0</v>
      </c>
      <c r="AU1016" s="1">
        <v>0</v>
      </c>
      <c r="AV1016" s="1">
        <v>0</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1</v>
      </c>
      <c r="BQ1016" s="1">
        <v>0</v>
      </c>
      <c r="BR1016" s="1">
        <v>0</v>
      </c>
      <c r="BS1016" s="5" t="str">
        <f>HYPERLINK("http://www.d20pfsrd.com/magic/all-spells/e/exquisite-accompaniment","Exquisite Accompaniment")</f>
        <v>Exquisite Accompaniment</v>
      </c>
      <c r="BT1016" s="1">
        <v>1052</v>
      </c>
      <c r="BU1016" s="1" t="s">
        <v>109</v>
      </c>
      <c r="BV1016" s="1"/>
      <c r="BW1016" s="1"/>
      <c r="BX1016" s="1"/>
      <c r="BY1016" s="1"/>
      <c r="BZ1016" s="1">
        <v>0</v>
      </c>
      <c r="CA1016" s="1" t="s">
        <v>109</v>
      </c>
      <c r="CB1016" s="1" t="s">
        <v>109</v>
      </c>
      <c r="CC1016" s="1" t="s">
        <v>109</v>
      </c>
      <c r="CD1016" s="1" t="s">
        <v>109</v>
      </c>
      <c r="CE1016" s="1" t="s">
        <v>109</v>
      </c>
      <c r="CF1016" s="1" t="s">
        <v>109</v>
      </c>
      <c r="CG1016" s="1" t="s">
        <v>109</v>
      </c>
      <c r="CH1016" s="1" t="s">
        <v>109</v>
      </c>
      <c r="CI1016" s="1" t="s">
        <v>109</v>
      </c>
      <c r="CJ1016" s="1" t="s">
        <v>109</v>
      </c>
      <c r="CK1016" s="1"/>
      <c r="CL1016" s="1">
        <v>0</v>
      </c>
      <c r="CM1016" s="1">
        <v>0</v>
      </c>
      <c r="CN1016" s="1">
        <v>0</v>
      </c>
    </row>
    <row r="1017" spans="1:92" ht="14.25" customHeight="1" x14ac:dyDescent="0.15">
      <c r="A1017" s="1" t="s">
        <v>8375</v>
      </c>
      <c r="B1017" s="1" t="s">
        <v>308</v>
      </c>
      <c r="C1017" s="1"/>
      <c r="D1017" s="1"/>
      <c r="E1017" s="1" t="s">
        <v>8376</v>
      </c>
      <c r="F1017" s="1" t="s">
        <v>98</v>
      </c>
      <c r="G1017" s="1" t="s">
        <v>1945</v>
      </c>
      <c r="H1017" s="1">
        <v>0</v>
      </c>
      <c r="I1017" s="1" t="s">
        <v>235</v>
      </c>
      <c r="J1017" s="1"/>
      <c r="K1017" s="1"/>
      <c r="L1017" s="1" t="s">
        <v>236</v>
      </c>
      <c r="M1017" s="1" t="s">
        <v>1946</v>
      </c>
      <c r="N1017" s="1">
        <v>0</v>
      </c>
      <c r="O1017" s="1">
        <v>0</v>
      </c>
      <c r="P1017" s="1"/>
      <c r="Q1017" s="1"/>
      <c r="R1017" s="1" t="s">
        <v>8377</v>
      </c>
      <c r="S1017" s="1" t="s">
        <v>8378</v>
      </c>
      <c r="T1017" s="1" t="s">
        <v>7821</v>
      </c>
      <c r="U1017" s="1" t="s">
        <v>8379</v>
      </c>
      <c r="V1017" s="1">
        <v>1</v>
      </c>
      <c r="W1017" s="1">
        <v>1</v>
      </c>
      <c r="X1017" s="1">
        <v>1</v>
      </c>
      <c r="Y1017" s="1">
        <v>0</v>
      </c>
      <c r="Z1017" s="1">
        <v>0</v>
      </c>
      <c r="AA1017" s="1">
        <v>4</v>
      </c>
      <c r="AB1017" s="1">
        <v>4</v>
      </c>
      <c r="AC1017" s="1" t="s">
        <v>109</v>
      </c>
      <c r="AD1017" s="1" t="s">
        <v>109</v>
      </c>
      <c r="AE1017" s="1" t="s">
        <v>109</v>
      </c>
      <c r="AF1017" s="1" t="s">
        <v>109</v>
      </c>
      <c r="AG1017" s="1" t="s">
        <v>109</v>
      </c>
      <c r="AH1017" s="1">
        <v>4</v>
      </c>
      <c r="AI1017" s="1" t="s">
        <v>109</v>
      </c>
      <c r="AJ1017" s="1">
        <v>4</v>
      </c>
      <c r="AK1017" s="1" t="s">
        <v>109</v>
      </c>
      <c r="AL1017" s="1" t="s">
        <v>109</v>
      </c>
      <c r="AM1017" s="1" t="s">
        <v>109</v>
      </c>
      <c r="AN1017" s="1" t="s">
        <v>109</v>
      </c>
      <c r="AO1017" s="1" t="s">
        <v>109</v>
      </c>
      <c r="AP1017" s="1"/>
      <c r="AQ1017" s="1">
        <v>4</v>
      </c>
      <c r="AR1017" s="1"/>
      <c r="AS1017" s="1" t="s">
        <v>8380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5" t="str">
        <f>HYPERLINK("http://www.d20pfsrd.com/magic/all-spells/f/false-life","False Life, Greater")</f>
        <v>False Life, Greater</v>
      </c>
      <c r="BT1017" s="1">
        <v>1053</v>
      </c>
      <c r="BU1017" s="1" t="s">
        <v>109</v>
      </c>
      <c r="BV1017" s="1"/>
      <c r="BW1017" s="1"/>
      <c r="BX1017" s="1"/>
      <c r="BY1017" s="1"/>
      <c r="BZ1017" s="1">
        <v>0</v>
      </c>
      <c r="CA1017" s="1">
        <v>4</v>
      </c>
      <c r="CB1017" s="1">
        <v>4</v>
      </c>
      <c r="CC1017" s="1">
        <v>4</v>
      </c>
      <c r="CD1017" s="1" t="s">
        <v>109</v>
      </c>
      <c r="CE1017" s="1">
        <v>3</v>
      </c>
      <c r="CF1017" s="1">
        <v>4</v>
      </c>
      <c r="CG1017" s="1">
        <v>4</v>
      </c>
      <c r="CH1017" s="1" t="s">
        <v>109</v>
      </c>
      <c r="CI1017" s="1" t="s">
        <v>109</v>
      </c>
      <c r="CJ1017" s="1" t="s">
        <v>109</v>
      </c>
      <c r="CK1017" s="1"/>
      <c r="CL1017" s="1">
        <v>0</v>
      </c>
      <c r="CM1017" s="1">
        <v>0</v>
      </c>
      <c r="CN1017" s="1">
        <v>0</v>
      </c>
    </row>
    <row r="1018" spans="1:92" ht="14.25" customHeight="1" x14ac:dyDescent="0.15">
      <c r="A1018" s="1" t="s">
        <v>8381</v>
      </c>
      <c r="B1018" s="1" t="s">
        <v>308</v>
      </c>
      <c r="C1018" s="1"/>
      <c r="D1018" s="1"/>
      <c r="E1018" s="1" t="s">
        <v>8382</v>
      </c>
      <c r="F1018" s="1" t="s">
        <v>98</v>
      </c>
      <c r="G1018" s="1" t="s">
        <v>141</v>
      </c>
      <c r="H1018" s="1">
        <v>0</v>
      </c>
      <c r="I1018" s="1" t="s">
        <v>122</v>
      </c>
      <c r="J1018" s="1"/>
      <c r="K1018" s="1"/>
      <c r="L1018" s="1" t="s">
        <v>7245</v>
      </c>
      <c r="M1018" s="1" t="s">
        <v>3144</v>
      </c>
      <c r="N1018" s="1">
        <v>0</v>
      </c>
      <c r="O1018" s="1">
        <v>0</v>
      </c>
      <c r="P1018" s="1" t="s">
        <v>507</v>
      </c>
      <c r="Q1018" s="1" t="s">
        <v>268</v>
      </c>
      <c r="R1018" s="1" t="s">
        <v>8383</v>
      </c>
      <c r="S1018" s="1" t="s">
        <v>8384</v>
      </c>
      <c r="T1018" s="1" t="s">
        <v>7821</v>
      </c>
      <c r="U1018" s="1" t="s">
        <v>8385</v>
      </c>
      <c r="V1018" s="1">
        <v>1</v>
      </c>
      <c r="W1018" s="1">
        <v>1</v>
      </c>
      <c r="X1018" s="1">
        <v>0</v>
      </c>
      <c r="Y1018" s="1">
        <v>0</v>
      </c>
      <c r="Z1018" s="1">
        <v>0</v>
      </c>
      <c r="AA1018" s="1">
        <v>4</v>
      </c>
      <c r="AB1018" s="1">
        <v>4</v>
      </c>
      <c r="AC1018" s="1" t="s">
        <v>109</v>
      </c>
      <c r="AD1018" s="1" t="s">
        <v>109</v>
      </c>
      <c r="AE1018" s="1" t="s">
        <v>109</v>
      </c>
      <c r="AF1018" s="1" t="s">
        <v>109</v>
      </c>
      <c r="AG1018" s="1" t="s">
        <v>109</v>
      </c>
      <c r="AH1018" s="1" t="s">
        <v>109</v>
      </c>
      <c r="AI1018" s="1" t="s">
        <v>109</v>
      </c>
      <c r="AJ1018" s="1">
        <v>4</v>
      </c>
      <c r="AK1018" s="1" t="s">
        <v>109</v>
      </c>
      <c r="AL1018" s="1" t="s">
        <v>109</v>
      </c>
      <c r="AM1018" s="1" t="s">
        <v>109</v>
      </c>
      <c r="AN1018" s="1" t="s">
        <v>109</v>
      </c>
      <c r="AO1018" s="1" t="s">
        <v>109</v>
      </c>
      <c r="AP1018" s="1"/>
      <c r="AQ1018" s="1">
        <v>4</v>
      </c>
      <c r="AR1018" s="1"/>
      <c r="AS1018" s="1" t="s">
        <v>8386</v>
      </c>
      <c r="AT1018" s="1">
        <v>0</v>
      </c>
      <c r="AU1018" s="1">
        <v>0</v>
      </c>
      <c r="AV1018" s="1">
        <v>0</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5" t="str">
        <f>HYPERLINK("http://www.d20pfsrd.com/magic/all-spells/f/familiar-melding","Familiar Melding")</f>
        <v>Familiar Melding</v>
      </c>
      <c r="BT1018" s="1">
        <v>1054</v>
      </c>
      <c r="BU1018" s="1" t="s">
        <v>109</v>
      </c>
      <c r="BV1018" s="1"/>
      <c r="BW1018" s="1"/>
      <c r="BX1018" s="1"/>
      <c r="BY1018" s="1"/>
      <c r="BZ1018" s="1">
        <v>0</v>
      </c>
      <c r="CA1018" s="1" t="s">
        <v>109</v>
      </c>
      <c r="CB1018" s="1">
        <v>4</v>
      </c>
      <c r="CC1018" s="1" t="s">
        <v>109</v>
      </c>
      <c r="CD1018" s="1" t="s">
        <v>109</v>
      </c>
      <c r="CE1018" s="1" t="s">
        <v>109</v>
      </c>
      <c r="CF1018" s="1" t="s">
        <v>109</v>
      </c>
      <c r="CG1018" s="1" t="s">
        <v>109</v>
      </c>
      <c r="CH1018" s="1" t="s">
        <v>109</v>
      </c>
      <c r="CI1018" s="1" t="s">
        <v>109</v>
      </c>
      <c r="CJ1018" s="1" t="s">
        <v>109</v>
      </c>
      <c r="CK1018" s="1"/>
      <c r="CL1018" s="1">
        <v>0</v>
      </c>
      <c r="CM1018" s="1">
        <v>0</v>
      </c>
      <c r="CN1018" s="1">
        <v>0</v>
      </c>
    </row>
    <row r="1019" spans="1:92" ht="14.25" customHeight="1" x14ac:dyDescent="0.15">
      <c r="A1019" s="1" t="s">
        <v>8387</v>
      </c>
      <c r="B1019" s="1" t="s">
        <v>189</v>
      </c>
      <c r="C1019" s="1"/>
      <c r="D1019" s="1" t="s">
        <v>47</v>
      </c>
      <c r="E1019" s="1" t="s">
        <v>8388</v>
      </c>
      <c r="F1019" s="1" t="s">
        <v>98</v>
      </c>
      <c r="G1019" s="1" t="s">
        <v>141</v>
      </c>
      <c r="H1019" s="1">
        <v>0</v>
      </c>
      <c r="I1019" s="1"/>
      <c r="J1019" s="1"/>
      <c r="K1019" s="1"/>
      <c r="L1019" s="1" t="s">
        <v>8389</v>
      </c>
      <c r="M1019" s="1" t="s">
        <v>6144</v>
      </c>
      <c r="N1019" s="1">
        <v>1</v>
      </c>
      <c r="O1019" s="1">
        <v>0</v>
      </c>
      <c r="P1019" s="1" t="s">
        <v>8111</v>
      </c>
      <c r="Q1019" s="1" t="s">
        <v>268</v>
      </c>
      <c r="R1019" s="1" t="s">
        <v>8390</v>
      </c>
      <c r="S1019" s="1" t="s">
        <v>8391</v>
      </c>
      <c r="T1019" s="1" t="s">
        <v>7821</v>
      </c>
      <c r="U1019" s="1" t="s">
        <v>8392</v>
      </c>
      <c r="V1019" s="1">
        <v>1</v>
      </c>
      <c r="W1019" s="1">
        <v>1</v>
      </c>
      <c r="X1019" s="1">
        <v>0</v>
      </c>
      <c r="Y1019" s="1">
        <v>0</v>
      </c>
      <c r="Z1019" s="1">
        <v>0</v>
      </c>
      <c r="AA1019" s="1">
        <v>5</v>
      </c>
      <c r="AB1019" s="1">
        <v>5</v>
      </c>
      <c r="AC1019" s="1">
        <v>5</v>
      </c>
      <c r="AD1019" s="1">
        <v>5</v>
      </c>
      <c r="AE1019" s="1">
        <v>3</v>
      </c>
      <c r="AF1019" s="1" t="s">
        <v>109</v>
      </c>
      <c r="AG1019" s="1" t="s">
        <v>109</v>
      </c>
      <c r="AH1019" s="1" t="s">
        <v>109</v>
      </c>
      <c r="AI1019" s="1" t="s">
        <v>109</v>
      </c>
      <c r="AJ1019" s="1" t="s">
        <v>109</v>
      </c>
      <c r="AK1019" s="1" t="s">
        <v>109</v>
      </c>
      <c r="AL1019" s="1">
        <v>5</v>
      </c>
      <c r="AM1019" s="1" t="s">
        <v>109</v>
      </c>
      <c r="AN1019" s="1" t="s">
        <v>109</v>
      </c>
      <c r="AO1019" s="1" t="s">
        <v>109</v>
      </c>
      <c r="AP1019" s="1"/>
      <c r="AQ1019" s="1">
        <v>5</v>
      </c>
      <c r="AR1019" s="1"/>
      <c r="AS1019" s="1" t="s">
        <v>8393</v>
      </c>
      <c r="AT1019" s="1">
        <v>0</v>
      </c>
      <c r="AU1019" s="1">
        <v>1</v>
      </c>
      <c r="AV1019" s="1">
        <v>0</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5" t="str">
        <f>HYPERLINK("http://www.d20pfsrd.com/magic/all-spells/f/fickle-winds","Fickle Winds")</f>
        <v>Fickle Winds</v>
      </c>
      <c r="BT1019" s="1">
        <v>1055</v>
      </c>
      <c r="BU1019" s="1" t="s">
        <v>109</v>
      </c>
      <c r="BV1019" s="1"/>
      <c r="BW1019" s="1"/>
      <c r="BX1019" s="1"/>
      <c r="BY1019" s="1"/>
      <c r="BZ1019" s="1">
        <v>0</v>
      </c>
      <c r="CA1019" s="1" t="s">
        <v>109</v>
      </c>
      <c r="CB1019" s="1" t="s">
        <v>109</v>
      </c>
      <c r="CC1019" s="1" t="s">
        <v>109</v>
      </c>
      <c r="CD1019" s="1" t="s">
        <v>109</v>
      </c>
      <c r="CE1019" s="1" t="s">
        <v>109</v>
      </c>
      <c r="CF1019" s="1" t="s">
        <v>109</v>
      </c>
      <c r="CG1019" s="1">
        <v>5</v>
      </c>
      <c r="CH1019" s="1" t="s">
        <v>109</v>
      </c>
      <c r="CI1019" s="1" t="s">
        <v>109</v>
      </c>
      <c r="CJ1019" s="1">
        <v>3</v>
      </c>
      <c r="CK1019" s="1"/>
      <c r="CL1019" s="1">
        <v>0</v>
      </c>
      <c r="CM1019" s="1">
        <v>0</v>
      </c>
      <c r="CN1019" s="1">
        <v>0</v>
      </c>
    </row>
    <row r="1020" spans="1:92" ht="14.25" customHeight="1" x14ac:dyDescent="0.15">
      <c r="A1020" s="1" t="s">
        <v>8394</v>
      </c>
      <c r="B1020" s="1" t="s">
        <v>95</v>
      </c>
      <c r="C1020" s="1" t="s">
        <v>1179</v>
      </c>
      <c r="D1020" s="1" t="s">
        <v>57</v>
      </c>
      <c r="E1020" s="1" t="s">
        <v>8395</v>
      </c>
      <c r="F1020" s="1" t="s">
        <v>98</v>
      </c>
      <c r="G1020" s="1" t="s">
        <v>141</v>
      </c>
      <c r="H1020" s="1">
        <v>0</v>
      </c>
      <c r="I1020" s="1" t="s">
        <v>161</v>
      </c>
      <c r="J1020" s="1"/>
      <c r="K1020" s="1"/>
      <c r="L1020" s="1" t="s">
        <v>506</v>
      </c>
      <c r="M1020" s="1" t="s">
        <v>574</v>
      </c>
      <c r="N1020" s="1">
        <v>1</v>
      </c>
      <c r="O1020" s="1">
        <v>0</v>
      </c>
      <c r="P1020" s="1" t="s">
        <v>8321</v>
      </c>
      <c r="Q1020" s="1" t="s">
        <v>268</v>
      </c>
      <c r="R1020" s="1" t="s">
        <v>8396</v>
      </c>
      <c r="S1020" s="1" t="s">
        <v>8397</v>
      </c>
      <c r="T1020" s="1" t="s">
        <v>7821</v>
      </c>
      <c r="U1020" s="1" t="s">
        <v>8398</v>
      </c>
      <c r="V1020" s="1">
        <v>1</v>
      </c>
      <c r="W1020" s="1">
        <v>1</v>
      </c>
      <c r="X1020" s="1">
        <v>0</v>
      </c>
      <c r="Y1020" s="1">
        <v>0</v>
      </c>
      <c r="Z1020" s="1">
        <v>0</v>
      </c>
      <c r="AA1020" s="1">
        <v>4</v>
      </c>
      <c r="AB1020" s="1">
        <v>4</v>
      </c>
      <c r="AC1020" s="1">
        <v>4</v>
      </c>
      <c r="AD1020" s="1" t="s">
        <v>109</v>
      </c>
      <c r="AE1020" s="1" t="s">
        <v>109</v>
      </c>
      <c r="AF1020" s="1" t="s">
        <v>109</v>
      </c>
      <c r="AG1020" s="1" t="s">
        <v>109</v>
      </c>
      <c r="AH1020" s="1" t="s">
        <v>109</v>
      </c>
      <c r="AI1020" s="1" t="s">
        <v>109</v>
      </c>
      <c r="AJ1020" s="1">
        <v>4</v>
      </c>
      <c r="AK1020" s="1">
        <v>4</v>
      </c>
      <c r="AL1020" s="1">
        <v>4</v>
      </c>
      <c r="AM1020" s="1" t="s">
        <v>109</v>
      </c>
      <c r="AN1020" s="1" t="s">
        <v>109</v>
      </c>
      <c r="AO1020" s="1" t="s">
        <v>109</v>
      </c>
      <c r="AP1020" s="1"/>
      <c r="AQ1020" s="1">
        <v>4</v>
      </c>
      <c r="AR1020" s="1"/>
      <c r="AS1020" s="1" t="s">
        <v>8399</v>
      </c>
      <c r="AT1020" s="1">
        <v>0</v>
      </c>
      <c r="AU1020" s="1">
        <v>0</v>
      </c>
      <c r="AV1020" s="1">
        <v>0</v>
      </c>
      <c r="AW1020" s="1">
        <v>0</v>
      </c>
      <c r="AX1020" s="1">
        <v>0</v>
      </c>
      <c r="AY1020" s="1">
        <v>0</v>
      </c>
      <c r="AZ1020" s="1">
        <v>0</v>
      </c>
      <c r="BA1020" s="1">
        <v>0</v>
      </c>
      <c r="BB1020" s="1">
        <v>0</v>
      </c>
      <c r="BC1020" s="1">
        <v>0</v>
      </c>
      <c r="BD1020" s="1">
        <v>0</v>
      </c>
      <c r="BE1020" s="1">
        <v>1</v>
      </c>
      <c r="BF1020" s="1">
        <v>0</v>
      </c>
      <c r="BG1020" s="1">
        <v>0</v>
      </c>
      <c r="BH1020" s="1">
        <v>0</v>
      </c>
      <c r="BI1020" s="1">
        <v>0</v>
      </c>
      <c r="BJ1020" s="1">
        <v>0</v>
      </c>
      <c r="BK1020" s="1">
        <v>0</v>
      </c>
      <c r="BL1020" s="1">
        <v>0</v>
      </c>
      <c r="BM1020" s="1">
        <v>0</v>
      </c>
      <c r="BN1020" s="1">
        <v>0</v>
      </c>
      <c r="BO1020" s="1">
        <v>0</v>
      </c>
      <c r="BP1020" s="1">
        <v>0</v>
      </c>
      <c r="BQ1020" s="1">
        <v>0</v>
      </c>
      <c r="BR1020" s="1">
        <v>0</v>
      </c>
      <c r="BS1020" s="1" t="s">
        <v>109</v>
      </c>
      <c r="BT1020" s="1">
        <v>1056</v>
      </c>
      <c r="BU1020" s="1" t="s">
        <v>109</v>
      </c>
      <c r="BV1020" s="1"/>
      <c r="BW1020" s="1"/>
      <c r="BX1020" s="1"/>
      <c r="BY1020" s="1"/>
      <c r="BZ1020" s="1">
        <v>0</v>
      </c>
      <c r="CA1020" s="1" t="s">
        <v>109</v>
      </c>
      <c r="CB1020" s="1" t="s">
        <v>109</v>
      </c>
      <c r="CC1020" s="1">
        <v>4</v>
      </c>
      <c r="CD1020" s="1" t="s">
        <v>109</v>
      </c>
      <c r="CE1020" s="1" t="s">
        <v>109</v>
      </c>
      <c r="CF1020" s="1" t="s">
        <v>109</v>
      </c>
      <c r="CG1020" s="1" t="s">
        <v>109</v>
      </c>
      <c r="CH1020" s="1" t="s">
        <v>109</v>
      </c>
      <c r="CI1020" s="1" t="s">
        <v>109</v>
      </c>
      <c r="CJ1020" s="1" t="s">
        <v>109</v>
      </c>
      <c r="CK1020" s="1"/>
      <c r="CL1020" s="1">
        <v>0</v>
      </c>
      <c r="CM1020" s="1">
        <v>0</v>
      </c>
      <c r="CN1020" s="1">
        <v>0</v>
      </c>
    </row>
    <row r="1021" spans="1:92" ht="14.25" customHeight="1" x14ac:dyDescent="0.15">
      <c r="A1021" s="1" t="s">
        <v>8400</v>
      </c>
      <c r="B1021" s="1" t="s">
        <v>156</v>
      </c>
      <c r="C1021" s="1" t="s">
        <v>157</v>
      </c>
      <c r="D1021" s="1" t="s">
        <v>954</v>
      </c>
      <c r="E1021" s="1" t="s">
        <v>8401</v>
      </c>
      <c r="F1021" s="1" t="s">
        <v>98</v>
      </c>
      <c r="G1021" s="1" t="s">
        <v>333</v>
      </c>
      <c r="H1021" s="1">
        <v>0</v>
      </c>
      <c r="I1021" s="1" t="s">
        <v>8402</v>
      </c>
      <c r="J1021" s="1"/>
      <c r="K1021" s="1"/>
      <c r="L1021" s="1" t="s">
        <v>1391</v>
      </c>
      <c r="M1021" s="1" t="s">
        <v>355</v>
      </c>
      <c r="N1021" s="1">
        <v>0</v>
      </c>
      <c r="O1021" s="1">
        <v>0</v>
      </c>
      <c r="P1021" s="1" t="s">
        <v>301</v>
      </c>
      <c r="Q1021" s="1" t="s">
        <v>268</v>
      </c>
      <c r="R1021" s="1" t="s">
        <v>8403</v>
      </c>
      <c r="S1021" s="1" t="s">
        <v>8404</v>
      </c>
      <c r="T1021" s="1" t="s">
        <v>7821</v>
      </c>
      <c r="U1021" s="1" t="s">
        <v>8405</v>
      </c>
      <c r="V1021" s="1">
        <v>1</v>
      </c>
      <c r="W1021" s="1">
        <v>0</v>
      </c>
      <c r="X1021" s="1">
        <v>0</v>
      </c>
      <c r="Y1021" s="1">
        <v>0</v>
      </c>
      <c r="Z1021" s="1">
        <v>0</v>
      </c>
      <c r="AA1021" s="1" t="s">
        <v>109</v>
      </c>
      <c r="AB1021" s="1" t="s">
        <v>109</v>
      </c>
      <c r="AC1021" s="1">
        <v>1</v>
      </c>
      <c r="AD1021" s="1" t="s">
        <v>109</v>
      </c>
      <c r="AE1021" s="1" t="s">
        <v>109</v>
      </c>
      <c r="AF1021" s="1" t="s">
        <v>109</v>
      </c>
      <c r="AG1021" s="1" t="s">
        <v>109</v>
      </c>
      <c r="AH1021" s="1" t="s">
        <v>109</v>
      </c>
      <c r="AI1021" s="1" t="s">
        <v>109</v>
      </c>
      <c r="AJ1021" s="1" t="s">
        <v>109</v>
      </c>
      <c r="AK1021" s="1">
        <v>1</v>
      </c>
      <c r="AL1021" s="1">
        <v>1</v>
      </c>
      <c r="AM1021" s="1" t="s">
        <v>109</v>
      </c>
      <c r="AN1021" s="1" t="s">
        <v>109</v>
      </c>
      <c r="AO1021" s="1" t="s">
        <v>109</v>
      </c>
      <c r="AP1021" s="1"/>
      <c r="AQ1021" s="1">
        <v>1</v>
      </c>
      <c r="AR1021" s="1" t="s">
        <v>8406</v>
      </c>
      <c r="AS1021" s="1" t="s">
        <v>8407</v>
      </c>
      <c r="AT1021" s="1">
        <v>0</v>
      </c>
      <c r="AU1021" s="1">
        <v>0</v>
      </c>
      <c r="AV1021" s="1">
        <v>0</v>
      </c>
      <c r="AW1021" s="1">
        <v>0</v>
      </c>
      <c r="AX1021" s="1">
        <v>0</v>
      </c>
      <c r="AY1021" s="1">
        <v>0</v>
      </c>
      <c r="AZ1021" s="1">
        <v>0</v>
      </c>
      <c r="BA1021" s="1">
        <v>0</v>
      </c>
      <c r="BB1021" s="1">
        <v>0</v>
      </c>
      <c r="BC1021" s="1">
        <v>0</v>
      </c>
      <c r="BD1021" s="1">
        <v>0</v>
      </c>
      <c r="BE1021" s="1">
        <v>0</v>
      </c>
      <c r="BF1021" s="1">
        <v>0</v>
      </c>
      <c r="BG1021" s="1">
        <v>0</v>
      </c>
      <c r="BH1021" s="1">
        <v>0</v>
      </c>
      <c r="BI1021" s="1">
        <v>0</v>
      </c>
      <c r="BJ1021" s="1">
        <v>1</v>
      </c>
      <c r="BK1021" s="1">
        <v>0</v>
      </c>
      <c r="BL1021" s="1">
        <v>0</v>
      </c>
      <c r="BM1021" s="1">
        <v>1</v>
      </c>
      <c r="BN1021" s="1">
        <v>0</v>
      </c>
      <c r="BO1021" s="1">
        <v>0</v>
      </c>
      <c r="BP1021" s="1">
        <v>0</v>
      </c>
      <c r="BQ1021" s="1">
        <v>0</v>
      </c>
      <c r="BR1021" s="1">
        <v>0</v>
      </c>
      <c r="BS1021" s="5" t="str">
        <f>HYPERLINK("http://www.d20pfsrd.com/magic/all-spells/f/forbid-action","Forbid Action")</f>
        <v>Forbid Action</v>
      </c>
      <c r="BT1021" s="1">
        <v>1057</v>
      </c>
      <c r="BU1021" s="1" t="s">
        <v>109</v>
      </c>
      <c r="BV1021" s="1"/>
      <c r="BW1021" s="1"/>
      <c r="BX1021" s="1"/>
      <c r="BY1021" s="1"/>
      <c r="BZ1021" s="1">
        <v>0</v>
      </c>
      <c r="CA1021" s="1" t="s">
        <v>109</v>
      </c>
      <c r="CB1021" s="1" t="s">
        <v>109</v>
      </c>
      <c r="CC1021" s="1">
        <v>1</v>
      </c>
      <c r="CD1021" s="1" t="s">
        <v>109</v>
      </c>
      <c r="CE1021" s="1">
        <v>1</v>
      </c>
      <c r="CF1021" s="1">
        <v>1</v>
      </c>
      <c r="CG1021" s="1" t="s">
        <v>109</v>
      </c>
      <c r="CH1021" s="1" t="s">
        <v>109</v>
      </c>
      <c r="CI1021" s="1" t="s">
        <v>109</v>
      </c>
      <c r="CJ1021" s="1" t="s">
        <v>109</v>
      </c>
      <c r="CK1021" s="1"/>
      <c r="CL1021" s="1">
        <v>0</v>
      </c>
      <c r="CM1021" s="1">
        <v>0</v>
      </c>
      <c r="CN1021" s="1">
        <v>0</v>
      </c>
    </row>
    <row r="1022" spans="1:92" ht="14.25" customHeight="1" x14ac:dyDescent="0.15">
      <c r="A1022" s="1" t="s">
        <v>8408</v>
      </c>
      <c r="B1022" s="1" t="s">
        <v>156</v>
      </c>
      <c r="C1022" s="1" t="s">
        <v>157</v>
      </c>
      <c r="D1022" s="1" t="s">
        <v>954</v>
      </c>
      <c r="E1022" s="1" t="s">
        <v>964</v>
      </c>
      <c r="F1022" s="1" t="s">
        <v>98</v>
      </c>
      <c r="G1022" s="1" t="s">
        <v>333</v>
      </c>
      <c r="H1022" s="1">
        <v>0</v>
      </c>
      <c r="I1022" s="1" t="s">
        <v>8402</v>
      </c>
      <c r="J1022" s="1"/>
      <c r="K1022" s="1"/>
      <c r="L1022" s="1" t="s">
        <v>716</v>
      </c>
      <c r="M1022" s="1" t="s">
        <v>125</v>
      </c>
      <c r="N1022" s="1">
        <v>0</v>
      </c>
      <c r="O1022" s="1">
        <v>0</v>
      </c>
      <c r="P1022" s="1" t="s">
        <v>301</v>
      </c>
      <c r="Q1022" s="1" t="s">
        <v>268</v>
      </c>
      <c r="R1022" s="1" t="s">
        <v>8409</v>
      </c>
      <c r="S1022" s="1" t="s">
        <v>8410</v>
      </c>
      <c r="T1022" s="1" t="s">
        <v>7821</v>
      </c>
      <c r="U1022" s="1" t="s">
        <v>8411</v>
      </c>
      <c r="V1022" s="1">
        <v>1</v>
      </c>
      <c r="W1022" s="1">
        <v>0</v>
      </c>
      <c r="X1022" s="1">
        <v>0</v>
      </c>
      <c r="Y1022" s="1">
        <v>0</v>
      </c>
      <c r="Z1022" s="1">
        <v>0</v>
      </c>
      <c r="AA1022" s="1" t="s">
        <v>109</v>
      </c>
      <c r="AB1022" s="1" t="s">
        <v>109</v>
      </c>
      <c r="AC1022" s="1">
        <v>5</v>
      </c>
      <c r="AD1022" s="1" t="s">
        <v>109</v>
      </c>
      <c r="AE1022" s="1" t="s">
        <v>109</v>
      </c>
      <c r="AF1022" s="1" t="s">
        <v>109</v>
      </c>
      <c r="AG1022" s="1" t="s">
        <v>109</v>
      </c>
      <c r="AH1022" s="1" t="s">
        <v>109</v>
      </c>
      <c r="AI1022" s="1" t="s">
        <v>109</v>
      </c>
      <c r="AJ1022" s="1" t="s">
        <v>109</v>
      </c>
      <c r="AK1022" s="1">
        <v>5</v>
      </c>
      <c r="AL1022" s="1">
        <v>5</v>
      </c>
      <c r="AM1022" s="1" t="s">
        <v>109</v>
      </c>
      <c r="AN1022" s="1" t="s">
        <v>109</v>
      </c>
      <c r="AO1022" s="1" t="s">
        <v>109</v>
      </c>
      <c r="AP1022" s="1"/>
      <c r="AQ1022" s="1">
        <v>5</v>
      </c>
      <c r="AR1022" s="1" t="s">
        <v>8412</v>
      </c>
      <c r="AS1022" s="1" t="s">
        <v>8413</v>
      </c>
      <c r="AT1022" s="1">
        <v>0</v>
      </c>
      <c r="AU1022" s="1">
        <v>0</v>
      </c>
      <c r="AV1022" s="1">
        <v>0</v>
      </c>
      <c r="AW1022" s="1">
        <v>0</v>
      </c>
      <c r="AX1022" s="1">
        <v>0</v>
      </c>
      <c r="AY1022" s="1">
        <v>0</v>
      </c>
      <c r="AZ1022" s="1">
        <v>0</v>
      </c>
      <c r="BA1022" s="1">
        <v>0</v>
      </c>
      <c r="BB1022" s="1">
        <v>0</v>
      </c>
      <c r="BC1022" s="1">
        <v>0</v>
      </c>
      <c r="BD1022" s="1">
        <v>0</v>
      </c>
      <c r="BE1022" s="1">
        <v>0</v>
      </c>
      <c r="BF1022" s="1">
        <v>0</v>
      </c>
      <c r="BG1022" s="1">
        <v>0</v>
      </c>
      <c r="BH1022" s="1">
        <v>0</v>
      </c>
      <c r="BI1022" s="1">
        <v>0</v>
      </c>
      <c r="BJ1022" s="1">
        <v>1</v>
      </c>
      <c r="BK1022" s="1">
        <v>0</v>
      </c>
      <c r="BL1022" s="1">
        <v>0</v>
      </c>
      <c r="BM1022" s="1">
        <v>1</v>
      </c>
      <c r="BN1022" s="1">
        <v>0</v>
      </c>
      <c r="BO1022" s="1">
        <v>0</v>
      </c>
      <c r="BP1022" s="1">
        <v>0</v>
      </c>
      <c r="BQ1022" s="1">
        <v>0</v>
      </c>
      <c r="BR1022" s="1">
        <v>0</v>
      </c>
      <c r="BS1022" s="5" t="str">
        <f>HYPERLINK("http://www.d20pfsrd.com/magic/all-spells/f/forbid-action","Forbid Action, Greater")</f>
        <v>Forbid Action, Greater</v>
      </c>
      <c r="BT1022" s="1">
        <v>1058</v>
      </c>
      <c r="BU1022" s="1" t="s">
        <v>109</v>
      </c>
      <c r="BV1022" s="1"/>
      <c r="BW1022" s="1"/>
      <c r="BX1022" s="1"/>
      <c r="BY1022" s="1"/>
      <c r="BZ1022" s="1">
        <v>0</v>
      </c>
      <c r="CA1022" s="1" t="s">
        <v>109</v>
      </c>
      <c r="CB1022" s="1" t="s">
        <v>109</v>
      </c>
      <c r="CC1022" s="1">
        <v>5</v>
      </c>
      <c r="CD1022" s="1" t="s">
        <v>109</v>
      </c>
      <c r="CE1022" s="1">
        <v>4</v>
      </c>
      <c r="CF1022" s="1">
        <v>5</v>
      </c>
      <c r="CG1022" s="1" t="s">
        <v>109</v>
      </c>
      <c r="CH1022" s="1" t="s">
        <v>109</v>
      </c>
      <c r="CI1022" s="1" t="s">
        <v>109</v>
      </c>
      <c r="CJ1022" s="1" t="s">
        <v>109</v>
      </c>
      <c r="CK1022" s="1"/>
      <c r="CL1022" s="1">
        <v>0</v>
      </c>
      <c r="CM1022" s="1">
        <v>0</v>
      </c>
      <c r="CN1022" s="1">
        <v>0</v>
      </c>
    </row>
    <row r="1023" spans="1:92" ht="14.25" customHeight="1" x14ac:dyDescent="0.15">
      <c r="A1023" s="1" t="s">
        <v>8414</v>
      </c>
      <c r="B1023" s="1" t="s">
        <v>584</v>
      </c>
      <c r="C1023" s="1"/>
      <c r="D1023" s="1" t="s">
        <v>60</v>
      </c>
      <c r="E1023" s="1" t="s">
        <v>8415</v>
      </c>
      <c r="F1023" s="1" t="s">
        <v>98</v>
      </c>
      <c r="G1023" s="1" t="s">
        <v>141</v>
      </c>
      <c r="H1023" s="1">
        <v>0</v>
      </c>
      <c r="I1023" s="1" t="s">
        <v>8416</v>
      </c>
      <c r="J1023" s="1"/>
      <c r="K1023" s="1"/>
      <c r="L1023" s="1" t="s">
        <v>8417</v>
      </c>
      <c r="M1023" s="1" t="s">
        <v>144</v>
      </c>
      <c r="N1023" s="1">
        <v>0</v>
      </c>
      <c r="O1023" s="1">
        <v>0</v>
      </c>
      <c r="P1023" s="1" t="s">
        <v>103</v>
      </c>
      <c r="Q1023" s="1" t="s">
        <v>268</v>
      </c>
      <c r="R1023" s="1" t="s">
        <v>8418</v>
      </c>
      <c r="S1023" s="1" t="s">
        <v>8419</v>
      </c>
      <c r="T1023" s="1" t="s">
        <v>7821</v>
      </c>
      <c r="U1023" s="1" t="s">
        <v>8420</v>
      </c>
      <c r="V1023" s="1">
        <v>1</v>
      </c>
      <c r="W1023" s="1">
        <v>1</v>
      </c>
      <c r="X1023" s="1">
        <v>0</v>
      </c>
      <c r="Y1023" s="1">
        <v>0</v>
      </c>
      <c r="Z1023" s="1">
        <v>0</v>
      </c>
      <c r="AA1023" s="1" t="s">
        <v>109</v>
      </c>
      <c r="AB1023" s="1" t="s">
        <v>109</v>
      </c>
      <c r="AC1023" s="1" t="s">
        <v>109</v>
      </c>
      <c r="AD1023" s="1" t="s">
        <v>109</v>
      </c>
      <c r="AE1023" s="1" t="s">
        <v>109</v>
      </c>
      <c r="AF1023" s="1" t="s">
        <v>109</v>
      </c>
      <c r="AG1023" s="1" t="s">
        <v>109</v>
      </c>
      <c r="AH1023" s="1" t="s">
        <v>109</v>
      </c>
      <c r="AI1023" s="1" t="s">
        <v>109</v>
      </c>
      <c r="AJ1023" s="1" t="s">
        <v>109</v>
      </c>
      <c r="AK1023" s="1" t="s">
        <v>109</v>
      </c>
      <c r="AL1023" s="1" t="s">
        <v>109</v>
      </c>
      <c r="AM1023" s="1" t="s">
        <v>109</v>
      </c>
      <c r="AN1023" s="1">
        <v>3</v>
      </c>
      <c r="AO1023" s="1" t="s">
        <v>109</v>
      </c>
      <c r="AP1023" s="1"/>
      <c r="AQ1023" s="1">
        <v>3</v>
      </c>
      <c r="AR1023" s="1"/>
      <c r="AS1023" s="1" t="s">
        <v>8421</v>
      </c>
      <c r="AT1023" s="1">
        <v>0</v>
      </c>
      <c r="AU1023" s="1">
        <v>0</v>
      </c>
      <c r="AV1023" s="1">
        <v>0</v>
      </c>
      <c r="AW1023" s="1">
        <v>0</v>
      </c>
      <c r="AX1023" s="1">
        <v>0</v>
      </c>
      <c r="AY1023" s="1">
        <v>0</v>
      </c>
      <c r="AZ1023" s="1">
        <v>0</v>
      </c>
      <c r="BA1023" s="1">
        <v>0</v>
      </c>
      <c r="BB1023" s="1">
        <v>0</v>
      </c>
      <c r="BC1023" s="1">
        <v>0</v>
      </c>
      <c r="BD1023" s="1">
        <v>0</v>
      </c>
      <c r="BE1023" s="1">
        <v>0</v>
      </c>
      <c r="BF1023" s="1">
        <v>0</v>
      </c>
      <c r="BG1023" s="1">
        <v>0</v>
      </c>
      <c r="BH1023" s="1">
        <v>1</v>
      </c>
      <c r="BI1023" s="1">
        <v>0</v>
      </c>
      <c r="BJ1023" s="1">
        <v>0</v>
      </c>
      <c r="BK1023" s="1">
        <v>0</v>
      </c>
      <c r="BL1023" s="1">
        <v>0</v>
      </c>
      <c r="BM1023" s="1">
        <v>0</v>
      </c>
      <c r="BN1023" s="1">
        <v>0</v>
      </c>
      <c r="BO1023" s="1">
        <v>0</v>
      </c>
      <c r="BP1023" s="1">
        <v>0</v>
      </c>
      <c r="BQ1023" s="1">
        <v>0</v>
      </c>
      <c r="BR1023" s="1">
        <v>0</v>
      </c>
      <c r="BS1023" s="5" t="str">
        <f>HYPERLINK("http://www.d20pfsrd.com/magic/all-spells/f/force-hook-charge","Force Hook Charge")</f>
        <v>Force Hook Charge</v>
      </c>
      <c r="BT1023" s="1">
        <v>1059</v>
      </c>
      <c r="BU1023" s="1" t="s">
        <v>109</v>
      </c>
      <c r="BV1023" s="1"/>
      <c r="BW1023" s="1"/>
      <c r="BX1023" s="1"/>
      <c r="BY1023" s="1"/>
      <c r="BZ1023" s="1">
        <v>0</v>
      </c>
      <c r="CA1023" s="1">
        <v>3</v>
      </c>
      <c r="CB1023" s="1" t="s">
        <v>109</v>
      </c>
      <c r="CC1023" s="1">
        <v>4</v>
      </c>
      <c r="CD1023" s="1" t="s">
        <v>109</v>
      </c>
      <c r="CE1023" s="1" t="s">
        <v>109</v>
      </c>
      <c r="CF1023" s="1" t="s">
        <v>109</v>
      </c>
      <c r="CG1023" s="1" t="s">
        <v>109</v>
      </c>
      <c r="CH1023" s="1" t="s">
        <v>109</v>
      </c>
      <c r="CI1023" s="1" t="s">
        <v>109</v>
      </c>
      <c r="CJ1023" s="1" t="s">
        <v>109</v>
      </c>
      <c r="CK1023" s="1"/>
      <c r="CL1023" s="1">
        <v>0</v>
      </c>
      <c r="CM1023" s="1">
        <v>0</v>
      </c>
      <c r="CN1023" s="1">
        <v>0</v>
      </c>
    </row>
    <row r="1024" spans="1:92" ht="14.25" customHeight="1" x14ac:dyDescent="0.15">
      <c r="A1024" s="1" t="s">
        <v>8422</v>
      </c>
      <c r="B1024" s="1" t="s">
        <v>584</v>
      </c>
      <c r="C1024" s="1"/>
      <c r="D1024" s="1" t="s">
        <v>60</v>
      </c>
      <c r="E1024" s="1" t="s">
        <v>8423</v>
      </c>
      <c r="F1024" s="1" t="s">
        <v>98</v>
      </c>
      <c r="G1024" s="1" t="s">
        <v>141</v>
      </c>
      <c r="H1024" s="1">
        <v>0</v>
      </c>
      <c r="I1024" s="1" t="s">
        <v>161</v>
      </c>
      <c r="J1024" s="1"/>
      <c r="K1024" s="1"/>
      <c r="L1024" s="1" t="s">
        <v>506</v>
      </c>
      <c r="M1024" s="1" t="s">
        <v>144</v>
      </c>
      <c r="N1024" s="1">
        <v>0</v>
      </c>
      <c r="O1024" s="1">
        <v>0</v>
      </c>
      <c r="P1024" s="1" t="s">
        <v>1410</v>
      </c>
      <c r="Q1024" s="1" t="s">
        <v>268</v>
      </c>
      <c r="R1024" s="1" t="s">
        <v>8424</v>
      </c>
      <c r="S1024" s="1" t="s">
        <v>8425</v>
      </c>
      <c r="T1024" s="1" t="s">
        <v>7821</v>
      </c>
      <c r="U1024" s="1" t="s">
        <v>8426</v>
      </c>
      <c r="V1024" s="1">
        <v>1</v>
      </c>
      <c r="W1024" s="1">
        <v>1</v>
      </c>
      <c r="X1024" s="1">
        <v>0</v>
      </c>
      <c r="Y1024" s="1">
        <v>0</v>
      </c>
      <c r="Z1024" s="1">
        <v>0</v>
      </c>
      <c r="AA1024" s="1">
        <v>3</v>
      </c>
      <c r="AB1024" s="1">
        <v>3</v>
      </c>
      <c r="AC1024" s="1" t="s">
        <v>109</v>
      </c>
      <c r="AD1024" s="1" t="s">
        <v>109</v>
      </c>
      <c r="AE1024" s="1" t="s">
        <v>109</v>
      </c>
      <c r="AF1024" s="1" t="s">
        <v>109</v>
      </c>
      <c r="AG1024" s="1" t="s">
        <v>109</v>
      </c>
      <c r="AH1024" s="1" t="s">
        <v>109</v>
      </c>
      <c r="AI1024" s="1" t="s">
        <v>109</v>
      </c>
      <c r="AJ1024" s="1" t="s">
        <v>109</v>
      </c>
      <c r="AK1024" s="1" t="s">
        <v>109</v>
      </c>
      <c r="AL1024" s="1" t="s">
        <v>109</v>
      </c>
      <c r="AM1024" s="1" t="s">
        <v>109</v>
      </c>
      <c r="AN1024" s="1">
        <v>3</v>
      </c>
      <c r="AO1024" s="1" t="s">
        <v>109</v>
      </c>
      <c r="AP1024" s="1"/>
      <c r="AQ1024" s="1">
        <v>3</v>
      </c>
      <c r="AR1024" s="1" t="s">
        <v>8427</v>
      </c>
      <c r="AS1024" s="1" t="s">
        <v>8428</v>
      </c>
      <c r="AT1024" s="1">
        <v>0</v>
      </c>
      <c r="AU1024" s="1">
        <v>0</v>
      </c>
      <c r="AV1024" s="1">
        <v>0</v>
      </c>
      <c r="AW1024" s="1">
        <v>0</v>
      </c>
      <c r="AX1024" s="1">
        <v>0</v>
      </c>
      <c r="AY1024" s="1">
        <v>0</v>
      </c>
      <c r="AZ1024" s="1">
        <v>0</v>
      </c>
      <c r="BA1024" s="1">
        <v>0</v>
      </c>
      <c r="BB1024" s="1">
        <v>0</v>
      </c>
      <c r="BC1024" s="1">
        <v>0</v>
      </c>
      <c r="BD1024" s="1">
        <v>0</v>
      </c>
      <c r="BE1024" s="1">
        <v>0</v>
      </c>
      <c r="BF1024" s="1">
        <v>0</v>
      </c>
      <c r="BG1024" s="1">
        <v>0</v>
      </c>
      <c r="BH1024" s="1">
        <v>1</v>
      </c>
      <c r="BI1024" s="1">
        <v>0</v>
      </c>
      <c r="BJ1024" s="1">
        <v>0</v>
      </c>
      <c r="BK1024" s="1">
        <v>0</v>
      </c>
      <c r="BL1024" s="1">
        <v>0</v>
      </c>
      <c r="BM1024" s="1">
        <v>0</v>
      </c>
      <c r="BN1024" s="1">
        <v>0</v>
      </c>
      <c r="BO1024" s="1">
        <v>0</v>
      </c>
      <c r="BP1024" s="1">
        <v>0</v>
      </c>
      <c r="BQ1024" s="1">
        <v>0</v>
      </c>
      <c r="BR1024" s="1">
        <v>0</v>
      </c>
      <c r="BS1024" s="5" t="str">
        <f>HYPERLINK("http://www.d20pfsrd.com/magic/all-spells/f/force-punch","Force Punch")</f>
        <v>Force Punch</v>
      </c>
      <c r="BT1024" s="1">
        <v>1060</v>
      </c>
      <c r="BU1024" s="1" t="s">
        <v>109</v>
      </c>
      <c r="BV1024" s="1"/>
      <c r="BW1024" s="1"/>
      <c r="BX1024" s="1"/>
      <c r="BY1024" s="1"/>
      <c r="BZ1024" s="1">
        <v>0</v>
      </c>
      <c r="CA1024" s="1">
        <v>3</v>
      </c>
      <c r="CB1024" s="1" t="s">
        <v>109</v>
      </c>
      <c r="CC1024" s="1">
        <v>3</v>
      </c>
      <c r="CD1024" s="1" t="s">
        <v>109</v>
      </c>
      <c r="CE1024" s="1" t="s">
        <v>109</v>
      </c>
      <c r="CF1024" s="1" t="s">
        <v>109</v>
      </c>
      <c r="CG1024" s="1">
        <v>3</v>
      </c>
      <c r="CH1024" s="1" t="s">
        <v>109</v>
      </c>
      <c r="CI1024" s="1" t="s">
        <v>109</v>
      </c>
      <c r="CJ1024" s="1" t="s">
        <v>109</v>
      </c>
      <c r="CK1024" s="1"/>
      <c r="CL1024" s="1">
        <v>0</v>
      </c>
      <c r="CM1024" s="1">
        <v>0</v>
      </c>
      <c r="CN1024" s="1">
        <v>0</v>
      </c>
    </row>
    <row r="1025" spans="1:92" ht="14.25" customHeight="1" x14ac:dyDescent="0.15">
      <c r="A1025" s="1" t="s">
        <v>8429</v>
      </c>
      <c r="B1025" s="1" t="s">
        <v>189</v>
      </c>
      <c r="C1025" s="1"/>
      <c r="D1025" s="1" t="s">
        <v>69</v>
      </c>
      <c r="E1025" s="1" t="s">
        <v>8430</v>
      </c>
      <c r="F1025" s="1" t="s">
        <v>98</v>
      </c>
      <c r="G1025" s="1" t="s">
        <v>2345</v>
      </c>
      <c r="H1025" s="1">
        <v>0</v>
      </c>
      <c r="I1025" s="1" t="s">
        <v>122</v>
      </c>
      <c r="J1025" s="1"/>
      <c r="K1025" s="1"/>
      <c r="L1025" s="1" t="s">
        <v>1391</v>
      </c>
      <c r="M1025" s="1" t="s">
        <v>125</v>
      </c>
      <c r="N1025" s="1">
        <v>0</v>
      </c>
      <c r="O1025" s="1">
        <v>0</v>
      </c>
      <c r="P1025" s="1" t="s">
        <v>301</v>
      </c>
      <c r="Q1025" s="1" t="s">
        <v>268</v>
      </c>
      <c r="R1025" s="1" t="s">
        <v>8431</v>
      </c>
      <c r="S1025" s="1" t="s">
        <v>8432</v>
      </c>
      <c r="T1025" s="1" t="s">
        <v>7821</v>
      </c>
      <c r="U1025" s="1" t="s">
        <v>8433</v>
      </c>
      <c r="V1025" s="1">
        <v>0</v>
      </c>
      <c r="W1025" s="1">
        <v>1</v>
      </c>
      <c r="X1025" s="1">
        <v>0</v>
      </c>
      <c r="Y1025" s="1">
        <v>0</v>
      </c>
      <c r="Z1025" s="1">
        <v>0</v>
      </c>
      <c r="AA1025" s="1">
        <v>1</v>
      </c>
      <c r="AB1025" s="1">
        <v>1</v>
      </c>
      <c r="AC1025" s="1" t="s">
        <v>109</v>
      </c>
      <c r="AD1025" s="1" t="s">
        <v>109</v>
      </c>
      <c r="AE1025" s="1" t="s">
        <v>109</v>
      </c>
      <c r="AF1025" s="1">
        <v>1</v>
      </c>
      <c r="AG1025" s="1" t="s">
        <v>109</v>
      </c>
      <c r="AH1025" s="1" t="s">
        <v>109</v>
      </c>
      <c r="AI1025" s="1" t="s">
        <v>109</v>
      </c>
      <c r="AJ1025" s="1">
        <v>1</v>
      </c>
      <c r="AK1025" s="1">
        <v>1</v>
      </c>
      <c r="AL1025" s="1" t="s">
        <v>109</v>
      </c>
      <c r="AM1025" s="1" t="s">
        <v>109</v>
      </c>
      <c r="AN1025" s="1" t="s">
        <v>109</v>
      </c>
      <c r="AO1025" s="1" t="s">
        <v>109</v>
      </c>
      <c r="AP1025" s="1"/>
      <c r="AQ1025" s="1">
        <v>1</v>
      </c>
      <c r="AR1025" s="1"/>
      <c r="AS1025" s="1" t="s">
        <v>8434</v>
      </c>
      <c r="AT1025" s="1">
        <v>0</v>
      </c>
      <c r="AU1025" s="1">
        <v>0</v>
      </c>
      <c r="AV1025" s="1">
        <v>0</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1</v>
      </c>
      <c r="BR1025" s="1">
        <v>0</v>
      </c>
      <c r="BS1025" s="5" t="str">
        <f>HYPERLINK("http://www.d20pfsrd.com/magic/all-spells/f/forced-quiet","Forced Quiet")</f>
        <v>Forced Quiet</v>
      </c>
      <c r="BT1025" s="1">
        <v>1061</v>
      </c>
      <c r="BU1025" s="1" t="s">
        <v>109</v>
      </c>
      <c r="BV1025" s="1"/>
      <c r="BW1025" s="1"/>
      <c r="BX1025" s="1"/>
      <c r="BY1025" s="1"/>
      <c r="BZ1025" s="1">
        <v>0</v>
      </c>
      <c r="CA1025" s="1" t="s">
        <v>109</v>
      </c>
      <c r="CB1025" s="1" t="s">
        <v>109</v>
      </c>
      <c r="CC1025" s="1">
        <v>1</v>
      </c>
      <c r="CD1025" s="1" t="s">
        <v>109</v>
      </c>
      <c r="CE1025" s="1">
        <v>1</v>
      </c>
      <c r="CF1025" s="1" t="s">
        <v>109</v>
      </c>
      <c r="CG1025" s="1" t="s">
        <v>109</v>
      </c>
      <c r="CH1025" s="1" t="s">
        <v>109</v>
      </c>
      <c r="CI1025" s="1" t="s">
        <v>109</v>
      </c>
      <c r="CJ1025" s="1" t="s">
        <v>109</v>
      </c>
      <c r="CK1025" s="1"/>
      <c r="CL1025" s="1">
        <v>0</v>
      </c>
      <c r="CM1025" s="1">
        <v>0</v>
      </c>
      <c r="CN1025" s="1">
        <v>0</v>
      </c>
    </row>
    <row r="1026" spans="1:92" ht="14.25" customHeight="1" x14ac:dyDescent="0.15">
      <c r="A1026" s="1" t="s">
        <v>8435</v>
      </c>
      <c r="B1026" s="1" t="s">
        <v>584</v>
      </c>
      <c r="C1026" s="1"/>
      <c r="D1026" s="1" t="s">
        <v>49</v>
      </c>
      <c r="E1026" s="1" t="s">
        <v>8436</v>
      </c>
      <c r="F1026" s="1" t="s">
        <v>98</v>
      </c>
      <c r="G1026" s="1" t="s">
        <v>141</v>
      </c>
      <c r="H1026" s="1">
        <v>0</v>
      </c>
      <c r="I1026" s="1" t="s">
        <v>161</v>
      </c>
      <c r="J1026" s="1"/>
      <c r="K1026" s="1"/>
      <c r="L1026" s="1" t="s">
        <v>506</v>
      </c>
      <c r="M1026" s="1" t="s">
        <v>144</v>
      </c>
      <c r="N1026" s="1">
        <v>0</v>
      </c>
      <c r="O1026" s="1">
        <v>0</v>
      </c>
      <c r="P1026" s="1" t="s">
        <v>103</v>
      </c>
      <c r="Q1026" s="1" t="s">
        <v>268</v>
      </c>
      <c r="R1026" s="1" t="s">
        <v>8437</v>
      </c>
      <c r="S1026" s="1" t="s">
        <v>8438</v>
      </c>
      <c r="T1026" s="1" t="s">
        <v>7821</v>
      </c>
      <c r="U1026" s="1" t="s">
        <v>8439</v>
      </c>
      <c r="V1026" s="1">
        <v>1</v>
      </c>
      <c r="W1026" s="1">
        <v>1</v>
      </c>
      <c r="X1026" s="1">
        <v>0</v>
      </c>
      <c r="Y1026" s="1">
        <v>0</v>
      </c>
      <c r="Z1026" s="1">
        <v>0</v>
      </c>
      <c r="AA1026" s="1">
        <v>2</v>
      </c>
      <c r="AB1026" s="1">
        <v>2</v>
      </c>
      <c r="AC1026" s="1" t="s">
        <v>109</v>
      </c>
      <c r="AD1026" s="1">
        <v>2</v>
      </c>
      <c r="AE1026" s="1" t="s">
        <v>109</v>
      </c>
      <c r="AF1026" s="1" t="s">
        <v>109</v>
      </c>
      <c r="AG1026" s="1" t="s">
        <v>109</v>
      </c>
      <c r="AH1026" s="1" t="s">
        <v>109</v>
      </c>
      <c r="AI1026" s="1" t="s">
        <v>109</v>
      </c>
      <c r="AJ1026" s="1" t="s">
        <v>109</v>
      </c>
      <c r="AK1026" s="1" t="s">
        <v>109</v>
      </c>
      <c r="AL1026" s="1" t="s">
        <v>109</v>
      </c>
      <c r="AM1026" s="1" t="s">
        <v>109</v>
      </c>
      <c r="AN1026" s="1">
        <v>2</v>
      </c>
      <c r="AO1026" s="1" t="s">
        <v>109</v>
      </c>
      <c r="AP1026" s="1"/>
      <c r="AQ1026" s="1">
        <v>2</v>
      </c>
      <c r="AR1026" s="1"/>
      <c r="AS1026" s="1" t="s">
        <v>8440</v>
      </c>
      <c r="AT1026" s="1">
        <v>0</v>
      </c>
      <c r="AU1026" s="1">
        <v>0</v>
      </c>
      <c r="AV1026" s="1">
        <v>0</v>
      </c>
      <c r="AW1026" s="1">
        <v>1</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5" t="str">
        <f>HYPERLINK("http://www.d20pfsrd.com/magic/all-spells/f/frigid-touch","Frigid Touch")</f>
        <v>Frigid Touch</v>
      </c>
      <c r="BT1026" s="1">
        <v>1062</v>
      </c>
      <c r="BU1026" s="1" t="s">
        <v>109</v>
      </c>
      <c r="BV1026" s="1"/>
      <c r="BW1026" s="1"/>
      <c r="BX1026" s="1"/>
      <c r="BY1026" s="1"/>
      <c r="BZ1026" s="1">
        <v>0</v>
      </c>
      <c r="CA1026" s="1">
        <v>2</v>
      </c>
      <c r="CB1026" s="1" t="s">
        <v>109</v>
      </c>
      <c r="CC1026" s="1" t="s">
        <v>109</v>
      </c>
      <c r="CD1026" s="1" t="s">
        <v>109</v>
      </c>
      <c r="CE1026" s="1" t="s">
        <v>109</v>
      </c>
      <c r="CF1026" s="1" t="s">
        <v>109</v>
      </c>
      <c r="CG1026" s="1" t="s">
        <v>109</v>
      </c>
      <c r="CH1026" s="1" t="s">
        <v>109</v>
      </c>
      <c r="CI1026" s="1" t="s">
        <v>109</v>
      </c>
      <c r="CJ1026" s="1">
        <v>2</v>
      </c>
      <c r="CK1026" s="1"/>
      <c r="CL1026" s="1">
        <v>0</v>
      </c>
      <c r="CM1026" s="1">
        <v>0</v>
      </c>
      <c r="CN1026" s="1">
        <v>0</v>
      </c>
    </row>
    <row r="1027" spans="1:92" ht="14.25" customHeight="1" x14ac:dyDescent="0.15">
      <c r="A1027" s="1" t="s">
        <v>8441</v>
      </c>
      <c r="B1027" s="1" t="s">
        <v>189</v>
      </c>
      <c r="C1027" s="1"/>
      <c r="D1027" s="1" t="s">
        <v>49</v>
      </c>
      <c r="E1027" s="1" t="s">
        <v>8442</v>
      </c>
      <c r="F1027" s="1" t="s">
        <v>98</v>
      </c>
      <c r="G1027" s="1" t="s">
        <v>141</v>
      </c>
      <c r="H1027" s="1">
        <v>0</v>
      </c>
      <c r="I1027" s="1" t="s">
        <v>161</v>
      </c>
      <c r="J1027" s="1"/>
      <c r="K1027" s="1"/>
      <c r="L1027" s="1" t="s">
        <v>506</v>
      </c>
      <c r="M1027" s="1" t="s">
        <v>144</v>
      </c>
      <c r="N1027" s="1">
        <v>0</v>
      </c>
      <c r="O1027" s="1">
        <v>0</v>
      </c>
      <c r="P1027" s="1" t="s">
        <v>103</v>
      </c>
      <c r="Q1027" s="1" t="s">
        <v>268</v>
      </c>
      <c r="R1027" s="1" t="s">
        <v>8443</v>
      </c>
      <c r="S1027" s="1" t="s">
        <v>8444</v>
      </c>
      <c r="T1027" s="1" t="s">
        <v>7821</v>
      </c>
      <c r="U1027" s="1" t="s">
        <v>8445</v>
      </c>
      <c r="V1027" s="1">
        <v>1</v>
      </c>
      <c r="W1027" s="1">
        <v>1</v>
      </c>
      <c r="X1027" s="1">
        <v>0</v>
      </c>
      <c r="Y1027" s="1">
        <v>0</v>
      </c>
      <c r="Z1027" s="1">
        <v>0</v>
      </c>
      <c r="AA1027" s="1" t="s">
        <v>109</v>
      </c>
      <c r="AB1027" s="1" t="s">
        <v>109</v>
      </c>
      <c r="AC1027" s="1" t="s">
        <v>109</v>
      </c>
      <c r="AD1027" s="1">
        <v>1</v>
      </c>
      <c r="AE1027" s="1" t="s">
        <v>109</v>
      </c>
      <c r="AF1027" s="1" t="s">
        <v>109</v>
      </c>
      <c r="AG1027" s="1" t="s">
        <v>109</v>
      </c>
      <c r="AH1027" s="1" t="s">
        <v>109</v>
      </c>
      <c r="AI1027" s="1" t="s">
        <v>109</v>
      </c>
      <c r="AJ1027" s="1">
        <v>1</v>
      </c>
      <c r="AK1027" s="1" t="s">
        <v>109</v>
      </c>
      <c r="AL1027" s="1" t="s">
        <v>109</v>
      </c>
      <c r="AM1027" s="1" t="s">
        <v>109</v>
      </c>
      <c r="AN1027" s="1">
        <v>1</v>
      </c>
      <c r="AO1027" s="1" t="s">
        <v>109</v>
      </c>
      <c r="AP1027" s="1"/>
      <c r="AQ1027" s="1">
        <v>1</v>
      </c>
      <c r="AR1027" s="1"/>
      <c r="AS1027" s="1" t="s">
        <v>8446</v>
      </c>
      <c r="AT1027" s="1">
        <v>0</v>
      </c>
      <c r="AU1027" s="1">
        <v>0</v>
      </c>
      <c r="AV1027" s="1">
        <v>0</v>
      </c>
      <c r="AW1027" s="1">
        <v>1</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5" t="str">
        <f>HYPERLINK("http://www.d20pfsrd.com/magic/all-spells/f/frostbite","Frostbite")</f>
        <v>Frostbite</v>
      </c>
      <c r="BT1027" s="1">
        <v>1063</v>
      </c>
      <c r="BU1027" s="1" t="s">
        <v>109</v>
      </c>
      <c r="BV1027" s="1"/>
      <c r="BW1027" s="1"/>
      <c r="BX1027" s="1"/>
      <c r="BY1027" s="1"/>
      <c r="BZ1027" s="1">
        <v>0</v>
      </c>
      <c r="CA1027" s="1">
        <v>1</v>
      </c>
      <c r="CB1027" s="1">
        <v>1</v>
      </c>
      <c r="CC1027" s="1" t="s">
        <v>109</v>
      </c>
      <c r="CD1027" s="1" t="s">
        <v>109</v>
      </c>
      <c r="CE1027" s="1" t="s">
        <v>109</v>
      </c>
      <c r="CF1027" s="1" t="s">
        <v>109</v>
      </c>
      <c r="CG1027" s="1" t="s">
        <v>109</v>
      </c>
      <c r="CH1027" s="1" t="s">
        <v>109</v>
      </c>
      <c r="CI1027" s="1" t="s">
        <v>109</v>
      </c>
      <c r="CJ1027" s="1">
        <v>1</v>
      </c>
      <c r="CK1027" s="1"/>
      <c r="CL1027" s="1">
        <v>0</v>
      </c>
      <c r="CM1027" s="1">
        <v>0</v>
      </c>
      <c r="CN1027" s="1">
        <v>0</v>
      </c>
    </row>
    <row r="1028" spans="1:92" ht="14.25" customHeight="1" x14ac:dyDescent="0.15">
      <c r="A1028" s="1" t="s">
        <v>8447</v>
      </c>
      <c r="B1028" s="1" t="s">
        <v>156</v>
      </c>
      <c r="C1028" s="1" t="s">
        <v>157</v>
      </c>
      <c r="D1028" s="1" t="s">
        <v>158</v>
      </c>
      <c r="E1028" s="1" t="s">
        <v>5945</v>
      </c>
      <c r="F1028" s="1" t="s">
        <v>98</v>
      </c>
      <c r="G1028" s="1" t="s">
        <v>141</v>
      </c>
      <c r="H1028" s="1">
        <v>0</v>
      </c>
      <c r="I1028" s="1" t="s">
        <v>8402</v>
      </c>
      <c r="J1028" s="1"/>
      <c r="K1028" s="1"/>
      <c r="L1028" s="1" t="s">
        <v>1391</v>
      </c>
      <c r="M1028" s="1" t="s">
        <v>8448</v>
      </c>
      <c r="N1028" s="1">
        <v>0</v>
      </c>
      <c r="O1028" s="1">
        <v>0</v>
      </c>
      <c r="P1028" s="1" t="s">
        <v>301</v>
      </c>
      <c r="Q1028" s="1" t="s">
        <v>268</v>
      </c>
      <c r="R1028" s="1" t="s">
        <v>8449</v>
      </c>
      <c r="S1028" s="1" t="s">
        <v>8450</v>
      </c>
      <c r="T1028" s="1" t="s">
        <v>7821</v>
      </c>
      <c r="U1028" s="1" t="s">
        <v>8451</v>
      </c>
      <c r="V1028" s="1">
        <v>1</v>
      </c>
      <c r="W1028" s="1">
        <v>1</v>
      </c>
      <c r="X1028" s="1">
        <v>0</v>
      </c>
      <c r="Y1028" s="1">
        <v>0</v>
      </c>
      <c r="Z1028" s="1">
        <v>0</v>
      </c>
      <c r="AA1028" s="1" t="s">
        <v>109</v>
      </c>
      <c r="AB1028" s="1" t="s">
        <v>109</v>
      </c>
      <c r="AC1028" s="1" t="s">
        <v>109</v>
      </c>
      <c r="AD1028" s="1" t="s">
        <v>109</v>
      </c>
      <c r="AE1028" s="1" t="s">
        <v>109</v>
      </c>
      <c r="AF1028" s="1">
        <v>1</v>
      </c>
      <c r="AG1028" s="1" t="s">
        <v>109</v>
      </c>
      <c r="AH1028" s="1" t="s">
        <v>109</v>
      </c>
      <c r="AI1028" s="1" t="s">
        <v>109</v>
      </c>
      <c r="AJ1028" s="1">
        <v>1</v>
      </c>
      <c r="AK1028" s="1" t="s">
        <v>109</v>
      </c>
      <c r="AL1028" s="1" t="s">
        <v>109</v>
      </c>
      <c r="AM1028" s="1" t="s">
        <v>109</v>
      </c>
      <c r="AN1028" s="1" t="s">
        <v>109</v>
      </c>
      <c r="AO1028" s="1" t="s">
        <v>109</v>
      </c>
      <c r="AP1028" s="1"/>
      <c r="AQ1028" s="1">
        <v>1</v>
      </c>
      <c r="AR1028" s="1"/>
      <c r="AS1028" s="1" t="s">
        <v>8452</v>
      </c>
      <c r="AT1028" s="1">
        <v>0</v>
      </c>
      <c r="AU1028" s="1">
        <v>0</v>
      </c>
      <c r="AV1028" s="1">
        <v>0</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1</v>
      </c>
      <c r="BN1028" s="1">
        <v>0</v>
      </c>
      <c r="BO1028" s="1">
        <v>0</v>
      </c>
      <c r="BP1028" s="1">
        <v>0</v>
      </c>
      <c r="BQ1028" s="1">
        <v>0</v>
      </c>
      <c r="BR1028" s="1">
        <v>0</v>
      </c>
      <c r="BS1028" s="5" t="str">
        <f>HYPERLINK("http://www.d20pfsrd.com/magic/all-spells/f/fumbletongue","Fumbletongue")</f>
        <v>Fumbletongue</v>
      </c>
      <c r="BT1028" s="1">
        <v>1064</v>
      </c>
      <c r="BU1028" s="1" t="s">
        <v>109</v>
      </c>
      <c r="BV1028" s="1"/>
      <c r="BW1028" s="1"/>
      <c r="BX1028" s="1"/>
      <c r="BY1028" s="1"/>
      <c r="BZ1028" s="1">
        <v>0</v>
      </c>
      <c r="CA1028" s="1" t="s">
        <v>109</v>
      </c>
      <c r="CB1028" s="1" t="s">
        <v>109</v>
      </c>
      <c r="CC1028" s="1">
        <v>1</v>
      </c>
      <c r="CD1028" s="1" t="s">
        <v>109</v>
      </c>
      <c r="CE1028" s="1">
        <v>1</v>
      </c>
      <c r="CF1028" s="1" t="s">
        <v>109</v>
      </c>
      <c r="CG1028" s="1" t="s">
        <v>109</v>
      </c>
      <c r="CH1028" s="1" t="s">
        <v>109</v>
      </c>
      <c r="CI1028" s="1" t="s">
        <v>109</v>
      </c>
      <c r="CJ1028" s="1" t="s">
        <v>109</v>
      </c>
      <c r="CK1028" s="1"/>
      <c r="CL1028" s="1">
        <v>0</v>
      </c>
      <c r="CM1028" s="1">
        <v>0</v>
      </c>
      <c r="CN1028" s="1">
        <v>0</v>
      </c>
    </row>
    <row r="1029" spans="1:92" ht="14.25" customHeight="1" x14ac:dyDescent="0.15">
      <c r="A1029" s="1" t="s">
        <v>8453</v>
      </c>
      <c r="B1029" s="1" t="s">
        <v>308</v>
      </c>
      <c r="C1029" s="1"/>
      <c r="D1029" s="1" t="s">
        <v>53</v>
      </c>
      <c r="E1029" s="1" t="s">
        <v>3879</v>
      </c>
      <c r="F1029" s="1" t="s">
        <v>98</v>
      </c>
      <c r="G1029" s="1" t="s">
        <v>141</v>
      </c>
      <c r="H1029" s="1">
        <v>0</v>
      </c>
      <c r="I1029" s="1" t="s">
        <v>161</v>
      </c>
      <c r="J1029" s="1"/>
      <c r="K1029" s="1"/>
      <c r="L1029" s="1" t="s">
        <v>506</v>
      </c>
      <c r="M1029" s="1" t="s">
        <v>8454</v>
      </c>
      <c r="N1029" s="1">
        <v>0</v>
      </c>
      <c r="O1029" s="1">
        <v>0</v>
      </c>
      <c r="P1029" s="1" t="s">
        <v>267</v>
      </c>
      <c r="Q1029" s="1" t="s">
        <v>268</v>
      </c>
      <c r="R1029" s="1" t="s">
        <v>8455</v>
      </c>
      <c r="S1029" s="1" t="s">
        <v>8456</v>
      </c>
      <c r="T1029" s="1" t="s">
        <v>7821</v>
      </c>
      <c r="U1029" s="1" t="s">
        <v>8457</v>
      </c>
      <c r="V1029" s="1">
        <v>1</v>
      </c>
      <c r="W1029" s="1">
        <v>1</v>
      </c>
      <c r="X1029" s="1">
        <v>0</v>
      </c>
      <c r="Y1029" s="1">
        <v>0</v>
      </c>
      <c r="Z1029" s="1">
        <v>0</v>
      </c>
      <c r="AA1029" s="1" t="s">
        <v>109</v>
      </c>
      <c r="AB1029" s="1" t="s">
        <v>109</v>
      </c>
      <c r="AC1029" s="1" t="s">
        <v>109</v>
      </c>
      <c r="AD1029" s="1">
        <v>3</v>
      </c>
      <c r="AE1029" s="1" t="s">
        <v>109</v>
      </c>
      <c r="AF1029" s="1" t="s">
        <v>109</v>
      </c>
      <c r="AG1029" s="1" t="s">
        <v>109</v>
      </c>
      <c r="AH1029" s="1" t="s">
        <v>109</v>
      </c>
      <c r="AI1029" s="1" t="s">
        <v>109</v>
      </c>
      <c r="AJ1029" s="1" t="s">
        <v>109</v>
      </c>
      <c r="AK1029" s="1" t="s">
        <v>109</v>
      </c>
      <c r="AL1029" s="1" t="s">
        <v>109</v>
      </c>
      <c r="AM1029" s="1" t="s">
        <v>109</v>
      </c>
      <c r="AN1029" s="1" t="s">
        <v>109</v>
      </c>
      <c r="AO1029" s="1" t="s">
        <v>109</v>
      </c>
      <c r="AP1029" s="1"/>
      <c r="AQ1029" s="1">
        <v>3</v>
      </c>
      <c r="AR1029" s="1"/>
      <c r="AS1029" s="1" t="s">
        <v>8458</v>
      </c>
      <c r="AT1029" s="1">
        <v>0</v>
      </c>
      <c r="AU1029" s="1">
        <v>0</v>
      </c>
      <c r="AV1029" s="1">
        <v>0</v>
      </c>
      <c r="AW1029" s="1">
        <v>0</v>
      </c>
      <c r="AX1029" s="1">
        <v>0</v>
      </c>
      <c r="AY1029" s="1">
        <v>0</v>
      </c>
      <c r="AZ1029" s="1">
        <v>0</v>
      </c>
      <c r="BA1029" s="1">
        <v>1</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5" t="str">
        <f>HYPERLINK("http://www.d20pfsrd.com/magic/all-spells/f/fungal-infestation","Fungal Infestation")</f>
        <v>Fungal Infestation</v>
      </c>
      <c r="BT1029" s="1">
        <v>1065</v>
      </c>
      <c r="BU1029" s="1" t="s">
        <v>109</v>
      </c>
      <c r="BV1029" s="1"/>
      <c r="BW1029" s="1"/>
      <c r="BX1029" s="1"/>
      <c r="BY1029" s="1"/>
      <c r="BZ1029" s="1">
        <v>0</v>
      </c>
      <c r="CA1029" s="1" t="s">
        <v>109</v>
      </c>
      <c r="CB1029" s="1" t="s">
        <v>109</v>
      </c>
      <c r="CC1029" s="1" t="s">
        <v>109</v>
      </c>
      <c r="CD1029" s="1" t="s">
        <v>109</v>
      </c>
      <c r="CE1029" s="1" t="s">
        <v>109</v>
      </c>
      <c r="CF1029" s="1" t="s">
        <v>109</v>
      </c>
      <c r="CG1029" s="1" t="s">
        <v>109</v>
      </c>
      <c r="CH1029" s="1" t="s">
        <v>109</v>
      </c>
      <c r="CI1029" s="1" t="s">
        <v>109</v>
      </c>
      <c r="CJ1029" s="1">
        <v>3</v>
      </c>
      <c r="CK1029" s="1"/>
      <c r="CL1029" s="1">
        <v>0</v>
      </c>
      <c r="CM1029" s="1">
        <v>0</v>
      </c>
      <c r="CN1029" s="1">
        <v>0</v>
      </c>
    </row>
    <row r="1030" spans="1:92" ht="14.25" customHeight="1" x14ac:dyDescent="0.15">
      <c r="A1030" s="1" t="s">
        <v>8459</v>
      </c>
      <c r="B1030" s="1" t="s">
        <v>674</v>
      </c>
      <c r="C1030" s="1" t="s">
        <v>675</v>
      </c>
      <c r="D1030" s="1"/>
      <c r="E1030" s="1" t="s">
        <v>8460</v>
      </c>
      <c r="F1030" s="1" t="s">
        <v>98</v>
      </c>
      <c r="G1030" s="1" t="s">
        <v>141</v>
      </c>
      <c r="H1030" s="1">
        <v>0</v>
      </c>
      <c r="I1030" s="1" t="s">
        <v>235</v>
      </c>
      <c r="J1030" s="1"/>
      <c r="K1030" s="1"/>
      <c r="L1030" s="1" t="s">
        <v>236</v>
      </c>
      <c r="M1030" s="1" t="s">
        <v>8278</v>
      </c>
      <c r="N1030" s="1">
        <v>1</v>
      </c>
      <c r="O1030" s="1">
        <v>0</v>
      </c>
      <c r="P1030" s="1"/>
      <c r="Q1030" s="1"/>
      <c r="R1030" s="1" t="s">
        <v>8461</v>
      </c>
      <c r="S1030" s="1" t="s">
        <v>8462</v>
      </c>
      <c r="T1030" s="1" t="s">
        <v>7821</v>
      </c>
      <c r="U1030" s="1" t="s">
        <v>8463</v>
      </c>
      <c r="V1030" s="1">
        <v>1</v>
      </c>
      <c r="W1030" s="1">
        <v>1</v>
      </c>
      <c r="X1030" s="1">
        <v>0</v>
      </c>
      <c r="Y1030" s="1">
        <v>0</v>
      </c>
      <c r="Z1030" s="1">
        <v>0</v>
      </c>
      <c r="AA1030" s="1">
        <v>2</v>
      </c>
      <c r="AB1030" s="1">
        <v>2</v>
      </c>
      <c r="AC1030" s="1" t="s">
        <v>109</v>
      </c>
      <c r="AD1030" s="1" t="s">
        <v>109</v>
      </c>
      <c r="AE1030" s="1" t="s">
        <v>109</v>
      </c>
      <c r="AF1030" s="1">
        <v>2</v>
      </c>
      <c r="AG1030" s="1" t="s">
        <v>109</v>
      </c>
      <c r="AH1030" s="1">
        <v>2</v>
      </c>
      <c r="AI1030" s="1" t="s">
        <v>109</v>
      </c>
      <c r="AJ1030" s="1">
        <v>2</v>
      </c>
      <c r="AK1030" s="1">
        <v>2</v>
      </c>
      <c r="AL1030" s="1" t="s">
        <v>109</v>
      </c>
      <c r="AM1030" s="1" t="s">
        <v>109</v>
      </c>
      <c r="AN1030" s="1" t="s">
        <v>109</v>
      </c>
      <c r="AO1030" s="1" t="s">
        <v>109</v>
      </c>
      <c r="AP1030" s="1"/>
      <c r="AQ1030" s="1">
        <v>2</v>
      </c>
      <c r="AR1030" s="1"/>
      <c r="AS1030" s="1" t="s">
        <v>8464</v>
      </c>
      <c r="AT1030" s="1">
        <v>0</v>
      </c>
      <c r="AU1030" s="1">
        <v>0</v>
      </c>
      <c r="AV1030" s="1">
        <v>0</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5" t="str">
        <f>HYPERLINK("http://www.d20pfsrd.com/magic/all-spells/g/ghostly-disguise","Ghostly Disguise")</f>
        <v>Ghostly Disguise</v>
      </c>
      <c r="BT1030" s="1">
        <v>1066</v>
      </c>
      <c r="BU1030" s="1" t="s">
        <v>109</v>
      </c>
      <c r="BV1030" s="1"/>
      <c r="BW1030" s="1"/>
      <c r="BX1030" s="1"/>
      <c r="BY1030" s="1"/>
      <c r="BZ1030" s="1">
        <v>0</v>
      </c>
      <c r="CA1030" s="1" t="s">
        <v>109</v>
      </c>
      <c r="CB1030" s="1" t="s">
        <v>109</v>
      </c>
      <c r="CC1030" s="1">
        <v>2</v>
      </c>
      <c r="CD1030" s="1" t="s">
        <v>109</v>
      </c>
      <c r="CE1030" s="1">
        <v>2</v>
      </c>
      <c r="CF1030" s="1">
        <v>2</v>
      </c>
      <c r="CG1030" s="1" t="s">
        <v>109</v>
      </c>
      <c r="CH1030" s="1" t="s">
        <v>109</v>
      </c>
      <c r="CI1030" s="1" t="s">
        <v>109</v>
      </c>
      <c r="CJ1030" s="1" t="s">
        <v>109</v>
      </c>
      <c r="CK1030" s="1"/>
      <c r="CL1030" s="1">
        <v>0</v>
      </c>
      <c r="CM1030" s="1">
        <v>0</v>
      </c>
      <c r="CN1030" s="1">
        <v>0</v>
      </c>
    </row>
    <row r="1031" spans="1:92" ht="14.25" customHeight="1" x14ac:dyDescent="0.15">
      <c r="A1031" s="1" t="s">
        <v>8465</v>
      </c>
      <c r="B1031" s="1" t="s">
        <v>308</v>
      </c>
      <c r="C1031" s="1"/>
      <c r="D1031" s="1" t="s">
        <v>8466</v>
      </c>
      <c r="E1031" s="1" t="s">
        <v>2344</v>
      </c>
      <c r="F1031" s="1" t="s">
        <v>98</v>
      </c>
      <c r="G1031" s="1" t="s">
        <v>141</v>
      </c>
      <c r="H1031" s="1">
        <v>0</v>
      </c>
      <c r="I1031" s="1" t="s">
        <v>142</v>
      </c>
      <c r="J1031" s="1" t="s">
        <v>6927</v>
      </c>
      <c r="K1031" s="1"/>
      <c r="L1031" s="1"/>
      <c r="M1031" s="1" t="s">
        <v>3313</v>
      </c>
      <c r="N1031" s="1">
        <v>0</v>
      </c>
      <c r="O1031" s="1">
        <v>0</v>
      </c>
      <c r="P1031" s="1" t="s">
        <v>301</v>
      </c>
      <c r="Q1031" s="1" t="s">
        <v>268</v>
      </c>
      <c r="R1031" s="1" t="s">
        <v>8467</v>
      </c>
      <c r="S1031" s="1" t="s">
        <v>8468</v>
      </c>
      <c r="T1031" s="1" t="s">
        <v>7821</v>
      </c>
      <c r="U1031" s="1" t="s">
        <v>8469</v>
      </c>
      <c r="V1031" s="1">
        <v>1</v>
      </c>
      <c r="W1031" s="1">
        <v>1</v>
      </c>
      <c r="X1031" s="1">
        <v>0</v>
      </c>
      <c r="Y1031" s="1">
        <v>0</v>
      </c>
      <c r="Z1031" s="1">
        <v>0</v>
      </c>
      <c r="AA1031" s="1" t="s">
        <v>109</v>
      </c>
      <c r="AB1031" s="1" t="s">
        <v>109</v>
      </c>
      <c r="AC1031" s="1" t="s">
        <v>109</v>
      </c>
      <c r="AD1031" s="1" t="s">
        <v>109</v>
      </c>
      <c r="AE1031" s="1" t="s">
        <v>109</v>
      </c>
      <c r="AF1031" s="1">
        <v>3</v>
      </c>
      <c r="AG1031" s="1" t="s">
        <v>109</v>
      </c>
      <c r="AH1031" s="1" t="s">
        <v>109</v>
      </c>
      <c r="AI1031" s="1" t="s">
        <v>109</v>
      </c>
      <c r="AJ1031" s="1" t="s">
        <v>109</v>
      </c>
      <c r="AK1031" s="1" t="s">
        <v>109</v>
      </c>
      <c r="AL1031" s="1" t="s">
        <v>109</v>
      </c>
      <c r="AM1031" s="1" t="s">
        <v>109</v>
      </c>
      <c r="AN1031" s="1" t="s">
        <v>109</v>
      </c>
      <c r="AO1031" s="1" t="s">
        <v>109</v>
      </c>
      <c r="AP1031" s="1"/>
      <c r="AQ1031" s="1">
        <v>3</v>
      </c>
      <c r="AR1031" s="1"/>
      <c r="AS1031" s="1" t="s">
        <v>8470</v>
      </c>
      <c r="AT1031" s="1">
        <v>0</v>
      </c>
      <c r="AU1031" s="1">
        <v>0</v>
      </c>
      <c r="AV1031" s="1">
        <v>0</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1</v>
      </c>
      <c r="BN1031" s="1">
        <v>1</v>
      </c>
      <c r="BO1031" s="1">
        <v>0</v>
      </c>
      <c r="BP1031" s="1">
        <v>0</v>
      </c>
      <c r="BQ1031" s="1">
        <v>0</v>
      </c>
      <c r="BR1031" s="1">
        <v>0</v>
      </c>
      <c r="BS1031" s="5" t="str">
        <f>HYPERLINK("http://www.d20pfsrd.com/magic/all-spells/h/haunting-choir","Haunting Choir")</f>
        <v>Haunting Choir</v>
      </c>
      <c r="BT1031" s="1">
        <v>1067</v>
      </c>
      <c r="BU1031" s="1" t="s">
        <v>109</v>
      </c>
      <c r="BV1031" s="1"/>
      <c r="BW1031" s="1"/>
      <c r="BX1031" s="1"/>
      <c r="BY1031" s="1"/>
      <c r="BZ1031" s="1">
        <v>0</v>
      </c>
      <c r="CA1031" s="1" t="s">
        <v>109</v>
      </c>
      <c r="CB1031" s="1" t="s">
        <v>109</v>
      </c>
      <c r="CC1031" s="1" t="s">
        <v>109</v>
      </c>
      <c r="CD1031" s="1" t="s">
        <v>109</v>
      </c>
      <c r="CE1031" s="1">
        <v>3</v>
      </c>
      <c r="CF1031" s="1" t="s">
        <v>109</v>
      </c>
      <c r="CG1031" s="1" t="s">
        <v>109</v>
      </c>
      <c r="CH1031" s="1" t="s">
        <v>109</v>
      </c>
      <c r="CI1031" s="1" t="s">
        <v>109</v>
      </c>
      <c r="CJ1031" s="1" t="s">
        <v>109</v>
      </c>
      <c r="CK1031" s="1"/>
      <c r="CL1031" s="1">
        <v>0</v>
      </c>
      <c r="CM1031" s="1">
        <v>0</v>
      </c>
      <c r="CN1031" s="1">
        <v>0</v>
      </c>
    </row>
    <row r="1032" spans="1:92" ht="14.25" customHeight="1" x14ac:dyDescent="0.15">
      <c r="A1032" s="1" t="s">
        <v>8471</v>
      </c>
      <c r="B1032" s="1" t="s">
        <v>674</v>
      </c>
      <c r="C1032" s="1" t="s">
        <v>2300</v>
      </c>
      <c r="D1032" s="1" t="s">
        <v>8472</v>
      </c>
      <c r="E1032" s="1" t="s">
        <v>8473</v>
      </c>
      <c r="F1032" s="1" t="s">
        <v>98</v>
      </c>
      <c r="G1032" s="1" t="s">
        <v>141</v>
      </c>
      <c r="H1032" s="1">
        <v>0</v>
      </c>
      <c r="I1032" s="1" t="s">
        <v>915</v>
      </c>
      <c r="J1032" s="1"/>
      <c r="K1032" s="1" t="s">
        <v>933</v>
      </c>
      <c r="L1032" s="1"/>
      <c r="M1032" s="1" t="s">
        <v>6144</v>
      </c>
      <c r="N1032" s="1">
        <v>1</v>
      </c>
      <c r="O1032" s="1">
        <v>0</v>
      </c>
      <c r="P1032" s="1" t="s">
        <v>7902</v>
      </c>
      <c r="Q1032" s="1" t="s">
        <v>104</v>
      </c>
      <c r="R1032" s="1" t="s">
        <v>8474</v>
      </c>
      <c r="S1032" s="1" t="s">
        <v>8475</v>
      </c>
      <c r="T1032" s="1" t="s">
        <v>7821</v>
      </c>
      <c r="U1032" s="1" t="s">
        <v>8476</v>
      </c>
      <c r="V1032" s="1">
        <v>1</v>
      </c>
      <c r="W1032" s="1">
        <v>1</v>
      </c>
      <c r="X1032" s="1">
        <v>0</v>
      </c>
      <c r="Y1032" s="1">
        <v>0</v>
      </c>
      <c r="Z1032" s="1">
        <v>0</v>
      </c>
      <c r="AA1032" s="1">
        <v>2</v>
      </c>
      <c r="AB1032" s="1">
        <v>2</v>
      </c>
      <c r="AC1032" s="1" t="s">
        <v>109</v>
      </c>
      <c r="AD1032" s="1" t="s">
        <v>109</v>
      </c>
      <c r="AE1032" s="1" t="s">
        <v>109</v>
      </c>
      <c r="AF1032" s="1">
        <v>2</v>
      </c>
      <c r="AG1032" s="1" t="s">
        <v>109</v>
      </c>
      <c r="AH1032" s="1" t="s">
        <v>109</v>
      </c>
      <c r="AI1032" s="1" t="s">
        <v>109</v>
      </c>
      <c r="AJ1032" s="1">
        <v>2</v>
      </c>
      <c r="AK1032" s="1" t="s">
        <v>109</v>
      </c>
      <c r="AL1032" s="1" t="s">
        <v>109</v>
      </c>
      <c r="AM1032" s="1" t="s">
        <v>109</v>
      </c>
      <c r="AN1032" s="1" t="s">
        <v>109</v>
      </c>
      <c r="AO1032" s="1" t="s">
        <v>109</v>
      </c>
      <c r="AP1032" s="1"/>
      <c r="AQ1032" s="1">
        <v>2</v>
      </c>
      <c r="AR1032" s="1"/>
      <c r="AS1032" s="1" t="s">
        <v>8477</v>
      </c>
      <c r="AT1032" s="1">
        <v>0</v>
      </c>
      <c r="AU1032" s="1">
        <v>0</v>
      </c>
      <c r="AV1032" s="1">
        <v>0</v>
      </c>
      <c r="AW1032" s="1">
        <v>0</v>
      </c>
      <c r="AX1032" s="1">
        <v>0</v>
      </c>
      <c r="AY1032" s="1">
        <v>0</v>
      </c>
      <c r="AZ1032" s="1">
        <v>0</v>
      </c>
      <c r="BA1032" s="1">
        <v>0</v>
      </c>
      <c r="BB1032" s="1">
        <v>0</v>
      </c>
      <c r="BC1032" s="1">
        <v>0</v>
      </c>
      <c r="BD1032" s="1">
        <v>0</v>
      </c>
      <c r="BE1032" s="1">
        <v>0</v>
      </c>
      <c r="BF1032" s="1">
        <v>1</v>
      </c>
      <c r="BG1032" s="1">
        <v>0</v>
      </c>
      <c r="BH1032" s="1">
        <v>0</v>
      </c>
      <c r="BI1032" s="1">
        <v>0</v>
      </c>
      <c r="BJ1032" s="1">
        <v>0</v>
      </c>
      <c r="BK1032" s="1">
        <v>0</v>
      </c>
      <c r="BL1032" s="1">
        <v>0</v>
      </c>
      <c r="BM1032" s="1">
        <v>0</v>
      </c>
      <c r="BN1032" s="1">
        <v>0</v>
      </c>
      <c r="BO1032" s="1">
        <v>0</v>
      </c>
      <c r="BP1032" s="1">
        <v>1</v>
      </c>
      <c r="BQ1032" s="1">
        <v>0</v>
      </c>
      <c r="BR1032" s="1">
        <v>0</v>
      </c>
      <c r="BS1032" s="5" t="str">
        <f>HYPERLINK("http://www.d20pfsrd.com/magic/all-spells/h/haunting-mists","Haunting Mists")</f>
        <v>Haunting Mists</v>
      </c>
      <c r="BT1032" s="1">
        <v>1068</v>
      </c>
      <c r="BU1032" s="1" t="s">
        <v>109</v>
      </c>
      <c r="BV1032" s="1"/>
      <c r="BW1032" s="1"/>
      <c r="BX1032" s="1"/>
      <c r="BY1032" s="1"/>
      <c r="BZ1032" s="1">
        <v>0</v>
      </c>
      <c r="CA1032" s="1" t="s">
        <v>109</v>
      </c>
      <c r="CB1032" s="1" t="s">
        <v>109</v>
      </c>
      <c r="CC1032" s="1">
        <v>2</v>
      </c>
      <c r="CD1032" s="1" t="s">
        <v>109</v>
      </c>
      <c r="CE1032" s="1">
        <v>2</v>
      </c>
      <c r="CF1032" s="1" t="s">
        <v>109</v>
      </c>
      <c r="CG1032" s="1" t="s">
        <v>109</v>
      </c>
      <c r="CH1032" s="1" t="s">
        <v>109</v>
      </c>
      <c r="CI1032" s="1" t="s">
        <v>109</v>
      </c>
      <c r="CJ1032" s="1" t="s">
        <v>109</v>
      </c>
      <c r="CK1032" s="1"/>
      <c r="CL1032" s="1">
        <v>0</v>
      </c>
      <c r="CM1032" s="1">
        <v>0</v>
      </c>
      <c r="CN1032" s="1">
        <v>0</v>
      </c>
    </row>
    <row r="1033" spans="1:92" ht="14.25" customHeight="1" x14ac:dyDescent="0.15">
      <c r="A1033" s="1" t="s">
        <v>8478</v>
      </c>
      <c r="B1033" s="1" t="s">
        <v>242</v>
      </c>
      <c r="C1033" s="1"/>
      <c r="D1033" s="1"/>
      <c r="E1033" s="1" t="s">
        <v>8479</v>
      </c>
      <c r="F1033" s="1" t="s">
        <v>98</v>
      </c>
      <c r="G1033" s="1" t="s">
        <v>141</v>
      </c>
      <c r="H1033" s="1">
        <v>0</v>
      </c>
      <c r="I1033" s="1" t="s">
        <v>161</v>
      </c>
      <c r="J1033" s="1"/>
      <c r="K1033" s="1"/>
      <c r="L1033" s="1" t="s">
        <v>506</v>
      </c>
      <c r="M1033" s="1" t="s">
        <v>289</v>
      </c>
      <c r="N1033" s="1">
        <v>0</v>
      </c>
      <c r="O1033" s="1">
        <v>0</v>
      </c>
      <c r="P1033" s="1" t="s">
        <v>507</v>
      </c>
      <c r="Q1033" s="1" t="s">
        <v>167</v>
      </c>
      <c r="R1033" s="1" t="s">
        <v>8480</v>
      </c>
      <c r="S1033" s="1" t="s">
        <v>8481</v>
      </c>
      <c r="T1033" s="1" t="s">
        <v>7821</v>
      </c>
      <c r="U1033" s="1" t="s">
        <v>8482</v>
      </c>
      <c r="V1033" s="1">
        <v>1</v>
      </c>
      <c r="W1033" s="1">
        <v>1</v>
      </c>
      <c r="X1033" s="1">
        <v>0</v>
      </c>
      <c r="Y1033" s="1">
        <v>0</v>
      </c>
      <c r="Z1033" s="1">
        <v>0</v>
      </c>
      <c r="AA1033" s="1" t="s">
        <v>109</v>
      </c>
      <c r="AB1033" s="1" t="s">
        <v>109</v>
      </c>
      <c r="AC1033" s="1" t="s">
        <v>109</v>
      </c>
      <c r="AD1033" s="1" t="s">
        <v>109</v>
      </c>
      <c r="AE1033" s="1" t="s">
        <v>109</v>
      </c>
      <c r="AF1033" s="1" t="s">
        <v>109</v>
      </c>
      <c r="AG1033" s="1" t="s">
        <v>109</v>
      </c>
      <c r="AH1033" s="1" t="s">
        <v>109</v>
      </c>
      <c r="AI1033" s="1" t="s">
        <v>109</v>
      </c>
      <c r="AJ1033" s="1">
        <v>1</v>
      </c>
      <c r="AK1033" s="1">
        <v>1</v>
      </c>
      <c r="AL1033" s="1" t="s">
        <v>109</v>
      </c>
      <c r="AM1033" s="1" t="s">
        <v>109</v>
      </c>
      <c r="AN1033" s="1" t="s">
        <v>109</v>
      </c>
      <c r="AO1033" s="1" t="s">
        <v>109</v>
      </c>
      <c r="AP1033" s="1"/>
      <c r="AQ1033" s="1">
        <v>1</v>
      </c>
      <c r="AR1033" s="1"/>
      <c r="AS1033" s="1" t="s">
        <v>8483</v>
      </c>
      <c r="AT1033" s="1">
        <v>0</v>
      </c>
      <c r="AU1033" s="1">
        <v>0</v>
      </c>
      <c r="AV1033" s="1">
        <v>0</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5" t="str">
        <f>HYPERLINK("http://www.d20pfsrd.com/magic/all-spells/h/hex-ward","Hex Ward")</f>
        <v>Hex Ward</v>
      </c>
      <c r="BT1033" s="1">
        <v>1069</v>
      </c>
      <c r="BU1033" s="1" t="s">
        <v>109</v>
      </c>
      <c r="BV1033" s="1"/>
      <c r="BW1033" s="1"/>
      <c r="BX1033" s="1" t="s">
        <v>8484</v>
      </c>
      <c r="BY1033" s="1" t="s">
        <v>8485</v>
      </c>
      <c r="BZ1033" s="1">
        <v>1</v>
      </c>
      <c r="CA1033" s="1" t="s">
        <v>109</v>
      </c>
      <c r="CB1033" s="1">
        <v>1</v>
      </c>
      <c r="CC1033" s="1" t="s">
        <v>109</v>
      </c>
      <c r="CD1033" s="1" t="s">
        <v>109</v>
      </c>
      <c r="CE1033" s="1" t="s">
        <v>109</v>
      </c>
      <c r="CF1033" s="1">
        <v>1</v>
      </c>
      <c r="CG1033" s="1" t="s">
        <v>109</v>
      </c>
      <c r="CH1033" s="1" t="s">
        <v>109</v>
      </c>
      <c r="CI1033" s="1" t="s">
        <v>109</v>
      </c>
      <c r="CJ1033" s="1" t="s">
        <v>109</v>
      </c>
      <c r="CK1033" s="1"/>
      <c r="CL1033" s="1">
        <v>0</v>
      </c>
      <c r="CM1033" s="1">
        <v>0</v>
      </c>
      <c r="CN1033" s="1">
        <v>0</v>
      </c>
    </row>
    <row r="1034" spans="1:92" ht="14.25" customHeight="1" x14ac:dyDescent="0.15">
      <c r="A1034" s="1" t="s">
        <v>8486</v>
      </c>
      <c r="B1034" s="1" t="s">
        <v>189</v>
      </c>
      <c r="C1034" s="1"/>
      <c r="D1034" s="1" t="s">
        <v>8487</v>
      </c>
      <c r="E1034" s="1" t="s">
        <v>5614</v>
      </c>
      <c r="F1034" s="1" t="s">
        <v>98</v>
      </c>
      <c r="G1034" s="1" t="s">
        <v>8488</v>
      </c>
      <c r="H1034" s="1">
        <v>1</v>
      </c>
      <c r="I1034" s="1" t="s">
        <v>122</v>
      </c>
      <c r="J1034" s="1"/>
      <c r="K1034" s="1" t="s">
        <v>8489</v>
      </c>
      <c r="L1034" s="1"/>
      <c r="M1034" s="1" t="s">
        <v>8490</v>
      </c>
      <c r="N1034" s="1">
        <v>0</v>
      </c>
      <c r="O1034" s="1">
        <v>0</v>
      </c>
      <c r="P1034" s="1" t="s">
        <v>8491</v>
      </c>
      <c r="Q1034" s="1" t="s">
        <v>268</v>
      </c>
      <c r="R1034" s="1" t="s">
        <v>8492</v>
      </c>
      <c r="S1034" s="1" t="s">
        <v>8493</v>
      </c>
      <c r="T1034" s="1" t="s">
        <v>7821</v>
      </c>
      <c r="U1034" s="1" t="s">
        <v>8494</v>
      </c>
      <c r="V1034" s="1">
        <v>1</v>
      </c>
      <c r="W1034" s="1">
        <v>1</v>
      </c>
      <c r="X1034" s="1">
        <v>1</v>
      </c>
      <c r="Y1034" s="1">
        <v>0</v>
      </c>
      <c r="Z1034" s="1">
        <v>0</v>
      </c>
      <c r="AA1034" s="1" t="s">
        <v>109</v>
      </c>
      <c r="AB1034" s="1" t="s">
        <v>109</v>
      </c>
      <c r="AC1034" s="1">
        <v>5</v>
      </c>
      <c r="AD1034" s="1" t="s">
        <v>109</v>
      </c>
      <c r="AE1034" s="1" t="s">
        <v>109</v>
      </c>
      <c r="AF1034" s="1" t="s">
        <v>109</v>
      </c>
      <c r="AG1034" s="1" t="s">
        <v>109</v>
      </c>
      <c r="AH1034" s="1" t="s">
        <v>109</v>
      </c>
      <c r="AI1034" s="1" t="s">
        <v>109</v>
      </c>
      <c r="AJ1034" s="1" t="s">
        <v>109</v>
      </c>
      <c r="AK1034" s="1" t="s">
        <v>109</v>
      </c>
      <c r="AL1034" s="1">
        <v>5</v>
      </c>
      <c r="AM1034" s="1" t="s">
        <v>109</v>
      </c>
      <c r="AN1034" s="1" t="s">
        <v>109</v>
      </c>
      <c r="AO1034" s="1" t="s">
        <v>109</v>
      </c>
      <c r="AP1034" s="1"/>
      <c r="AQ1034" s="1">
        <v>5</v>
      </c>
      <c r="AR1034" s="1"/>
      <c r="AS1034" s="1" t="s">
        <v>8495</v>
      </c>
      <c r="AT1034" s="1">
        <v>0</v>
      </c>
      <c r="AU1034" s="1">
        <v>0</v>
      </c>
      <c r="AV1034" s="1">
        <v>0</v>
      </c>
      <c r="AW1034" s="1">
        <v>1</v>
      </c>
      <c r="AX1034" s="1">
        <v>0</v>
      </c>
      <c r="AY1034" s="1">
        <v>0</v>
      </c>
      <c r="AZ1034" s="1">
        <v>0</v>
      </c>
      <c r="BA1034" s="1">
        <v>0</v>
      </c>
      <c r="BB1034" s="1">
        <v>0</v>
      </c>
      <c r="BC1034" s="1">
        <v>0</v>
      </c>
      <c r="BD1034" s="1">
        <v>0</v>
      </c>
      <c r="BE1034" s="1">
        <v>0</v>
      </c>
      <c r="BF1034" s="1">
        <v>0</v>
      </c>
      <c r="BG1034" s="1">
        <v>0</v>
      </c>
      <c r="BH1034" s="1">
        <v>0</v>
      </c>
      <c r="BI1034" s="1">
        <v>1</v>
      </c>
      <c r="BJ1034" s="1">
        <v>0</v>
      </c>
      <c r="BK1034" s="1">
        <v>0</v>
      </c>
      <c r="BL1034" s="1">
        <v>0</v>
      </c>
      <c r="BM1034" s="1">
        <v>0</v>
      </c>
      <c r="BN1034" s="1">
        <v>0</v>
      </c>
      <c r="BO1034" s="1">
        <v>0</v>
      </c>
      <c r="BP1034" s="1">
        <v>0</v>
      </c>
      <c r="BQ1034" s="1">
        <v>0</v>
      </c>
      <c r="BR1034" s="1">
        <v>1</v>
      </c>
      <c r="BS1034" s="5" t="str">
        <f>HYPERLINK("http://www.d20pfsrd.com/magic/all-spells/h/holy-ice","Holy Ice")</f>
        <v>Holy Ice</v>
      </c>
      <c r="BT1034" s="1">
        <v>1070</v>
      </c>
      <c r="BU1034" s="1">
        <v>25</v>
      </c>
      <c r="BV1034" s="1"/>
      <c r="BW1034" s="1"/>
      <c r="BX1034" s="1"/>
      <c r="BY1034" s="1"/>
      <c r="BZ1034" s="1">
        <v>0</v>
      </c>
      <c r="CA1034" s="1" t="s">
        <v>109</v>
      </c>
      <c r="CB1034" s="1" t="s">
        <v>109</v>
      </c>
      <c r="CC1034" s="1" t="s">
        <v>109</v>
      </c>
      <c r="CD1034" s="1" t="s">
        <v>109</v>
      </c>
      <c r="CE1034" s="1" t="s">
        <v>109</v>
      </c>
      <c r="CF1034" s="1" t="s">
        <v>109</v>
      </c>
      <c r="CG1034" s="1" t="s">
        <v>109</v>
      </c>
      <c r="CH1034" s="1" t="s">
        <v>109</v>
      </c>
      <c r="CI1034" s="1" t="s">
        <v>109</v>
      </c>
      <c r="CJ1034" s="1" t="s">
        <v>109</v>
      </c>
      <c r="CK1034" s="1"/>
      <c r="CL1034" s="1">
        <v>0</v>
      </c>
      <c r="CM1034" s="1">
        <v>0</v>
      </c>
      <c r="CN1034" s="1">
        <v>0</v>
      </c>
    </row>
    <row r="1035" spans="1:92" ht="14.25" customHeight="1" x14ac:dyDescent="0.15">
      <c r="A1035" s="1" t="s">
        <v>8496</v>
      </c>
      <c r="B1035" s="1" t="s">
        <v>242</v>
      </c>
      <c r="C1035" s="1"/>
      <c r="D1035" s="1"/>
      <c r="E1035" s="1" t="s">
        <v>5912</v>
      </c>
      <c r="F1035" s="1" t="s">
        <v>98</v>
      </c>
      <c r="G1035" s="1" t="s">
        <v>141</v>
      </c>
      <c r="H1035" s="1">
        <v>0</v>
      </c>
      <c r="I1035" s="1" t="s">
        <v>235</v>
      </c>
      <c r="J1035" s="1"/>
      <c r="K1035" s="1"/>
      <c r="L1035" s="1" t="s">
        <v>236</v>
      </c>
      <c r="M1035" s="1" t="s">
        <v>5642</v>
      </c>
      <c r="N1035" s="1">
        <v>0</v>
      </c>
      <c r="O1035" s="1">
        <v>0</v>
      </c>
      <c r="P1035" s="1" t="s">
        <v>103</v>
      </c>
      <c r="Q1035" s="1" t="s">
        <v>104</v>
      </c>
      <c r="R1035" s="1" t="s">
        <v>8497</v>
      </c>
      <c r="S1035" s="1" t="s">
        <v>8498</v>
      </c>
      <c r="T1035" s="1" t="s">
        <v>7821</v>
      </c>
      <c r="U1035" s="1" t="s">
        <v>8499</v>
      </c>
      <c r="V1035" s="1">
        <v>1</v>
      </c>
      <c r="W1035" s="1">
        <v>1</v>
      </c>
      <c r="X1035" s="1">
        <v>0</v>
      </c>
      <c r="Y1035" s="1">
        <v>0</v>
      </c>
      <c r="Z1035" s="1">
        <v>0</v>
      </c>
      <c r="AA1035" s="1" t="s">
        <v>109</v>
      </c>
      <c r="AB1035" s="1" t="s">
        <v>109</v>
      </c>
      <c r="AC1035" s="1" t="s">
        <v>109</v>
      </c>
      <c r="AD1035" s="1" t="s">
        <v>109</v>
      </c>
      <c r="AE1035" s="1" t="s">
        <v>109</v>
      </c>
      <c r="AF1035" s="1" t="s">
        <v>109</v>
      </c>
      <c r="AG1035" s="1">
        <v>2</v>
      </c>
      <c r="AH1035" s="1" t="s">
        <v>109</v>
      </c>
      <c r="AI1035" s="1" t="s">
        <v>109</v>
      </c>
      <c r="AJ1035" s="1" t="s">
        <v>109</v>
      </c>
      <c r="AK1035" s="1" t="s">
        <v>109</v>
      </c>
      <c r="AL1035" s="1" t="s">
        <v>109</v>
      </c>
      <c r="AM1035" s="1" t="s">
        <v>109</v>
      </c>
      <c r="AN1035" s="1" t="s">
        <v>109</v>
      </c>
      <c r="AO1035" s="1" t="s">
        <v>109</v>
      </c>
      <c r="AP1035" s="1"/>
      <c r="AQ1035" s="1">
        <v>2</v>
      </c>
      <c r="AR1035" s="1"/>
      <c r="AS1035" s="1" t="s">
        <v>8500</v>
      </c>
      <c r="AT1035" s="1">
        <v>0</v>
      </c>
      <c r="AU1035" s="1">
        <v>0</v>
      </c>
      <c r="AV1035" s="1">
        <v>0</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5" t="str">
        <f>HYPERLINK("http://www.d20pfsrd.com/magic/all-spells/h/holy-shield","Holy Shield")</f>
        <v>Holy Shield</v>
      </c>
      <c r="BT1035" s="1">
        <v>1071</v>
      </c>
      <c r="BU1035" s="1" t="s">
        <v>109</v>
      </c>
      <c r="BV1035" s="1"/>
      <c r="BW1035" s="1"/>
      <c r="BX1035" s="1"/>
      <c r="BY1035" s="1"/>
      <c r="BZ1035" s="1">
        <v>0</v>
      </c>
      <c r="CA1035" s="1" t="s">
        <v>109</v>
      </c>
      <c r="CB1035" s="1" t="s">
        <v>109</v>
      </c>
      <c r="CC1035" s="1" t="s">
        <v>109</v>
      </c>
      <c r="CD1035" s="1" t="s">
        <v>109</v>
      </c>
      <c r="CE1035" s="1" t="s">
        <v>109</v>
      </c>
      <c r="CF1035" s="1" t="s">
        <v>109</v>
      </c>
      <c r="CG1035" s="1" t="s">
        <v>109</v>
      </c>
      <c r="CH1035" s="1" t="s">
        <v>109</v>
      </c>
      <c r="CI1035" s="1" t="s">
        <v>109</v>
      </c>
      <c r="CJ1035" s="1" t="s">
        <v>109</v>
      </c>
      <c r="CK1035" s="1"/>
      <c r="CL1035" s="1">
        <v>0</v>
      </c>
      <c r="CM1035" s="1">
        <v>0</v>
      </c>
      <c r="CN1035" s="1">
        <v>0</v>
      </c>
    </row>
    <row r="1036" spans="1:92" ht="14.25" customHeight="1" x14ac:dyDescent="0.15">
      <c r="A1036" s="1" t="s">
        <v>8501</v>
      </c>
      <c r="B1036" s="1" t="s">
        <v>584</v>
      </c>
      <c r="C1036" s="1"/>
      <c r="D1036" s="1" t="s">
        <v>69</v>
      </c>
      <c r="E1036" s="1" t="s">
        <v>8502</v>
      </c>
      <c r="F1036" s="1" t="s">
        <v>98</v>
      </c>
      <c r="G1036" s="1" t="s">
        <v>2345</v>
      </c>
      <c r="H1036" s="1">
        <v>0</v>
      </c>
      <c r="I1036" s="1" t="s">
        <v>235</v>
      </c>
      <c r="J1036" s="1"/>
      <c r="K1036" s="1" t="s">
        <v>8503</v>
      </c>
      <c r="L1036" s="1"/>
      <c r="M1036" s="1" t="s">
        <v>355</v>
      </c>
      <c r="N1036" s="1">
        <v>0</v>
      </c>
      <c r="O1036" s="1">
        <v>0</v>
      </c>
      <c r="P1036" s="1" t="s">
        <v>103</v>
      </c>
      <c r="Q1036" s="1" t="s">
        <v>104</v>
      </c>
      <c r="R1036" s="1" t="s">
        <v>8504</v>
      </c>
      <c r="S1036" s="1" t="s">
        <v>8505</v>
      </c>
      <c r="T1036" s="1" t="s">
        <v>7821</v>
      </c>
      <c r="U1036" s="1" t="s">
        <v>8506</v>
      </c>
      <c r="V1036" s="1">
        <v>0</v>
      </c>
      <c r="W1036" s="1">
        <v>1</v>
      </c>
      <c r="X1036" s="1">
        <v>0</v>
      </c>
      <c r="Y1036" s="1">
        <v>0</v>
      </c>
      <c r="Z1036" s="1">
        <v>0</v>
      </c>
      <c r="AA1036" s="1" t="s">
        <v>109</v>
      </c>
      <c r="AB1036" s="1" t="s">
        <v>109</v>
      </c>
      <c r="AC1036" s="1" t="s">
        <v>109</v>
      </c>
      <c r="AD1036" s="1" t="s">
        <v>109</v>
      </c>
      <c r="AE1036" s="1">
        <v>1</v>
      </c>
      <c r="AF1036" s="1">
        <v>1</v>
      </c>
      <c r="AG1036" s="1">
        <v>1</v>
      </c>
      <c r="AH1036" s="1" t="s">
        <v>109</v>
      </c>
      <c r="AI1036" s="1" t="s">
        <v>109</v>
      </c>
      <c r="AJ1036" s="1" t="s">
        <v>109</v>
      </c>
      <c r="AK1036" s="1">
        <v>1</v>
      </c>
      <c r="AL1036" s="1" t="s">
        <v>109</v>
      </c>
      <c r="AM1036" s="1" t="s">
        <v>109</v>
      </c>
      <c r="AN1036" s="1" t="s">
        <v>109</v>
      </c>
      <c r="AO1036" s="1" t="s">
        <v>109</v>
      </c>
      <c r="AP1036" s="1"/>
      <c r="AQ1036" s="1">
        <v>1</v>
      </c>
      <c r="AR1036" s="1"/>
      <c r="AS1036" s="1" t="s">
        <v>8507</v>
      </c>
      <c r="AT1036" s="1">
        <v>0</v>
      </c>
      <c r="AU1036" s="1">
        <v>0</v>
      </c>
      <c r="AV1036" s="1">
        <v>0</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1</v>
      </c>
      <c r="BR1036" s="1">
        <v>0</v>
      </c>
      <c r="BS1036" s="5" t="str">
        <f>HYPERLINK("http://www.d20pfsrd.com/magic/all-spells/h/horn-of-pursuit","Horn of Pursuit")</f>
        <v>Horn of Pursuit</v>
      </c>
      <c r="BT1036" s="1">
        <v>1072</v>
      </c>
      <c r="BU1036" s="1" t="s">
        <v>109</v>
      </c>
      <c r="BV1036" s="1"/>
      <c r="BW1036" s="1"/>
      <c r="BX1036" s="1"/>
      <c r="BY1036" s="1"/>
      <c r="BZ1036" s="1">
        <v>0</v>
      </c>
      <c r="CA1036" s="1" t="s">
        <v>109</v>
      </c>
      <c r="CB1036" s="1" t="s">
        <v>109</v>
      </c>
      <c r="CC1036" s="1" t="s">
        <v>109</v>
      </c>
      <c r="CD1036" s="1" t="s">
        <v>109</v>
      </c>
      <c r="CE1036" s="1" t="s">
        <v>109</v>
      </c>
      <c r="CF1036" s="1" t="s">
        <v>109</v>
      </c>
      <c r="CG1036" s="1" t="s">
        <v>109</v>
      </c>
      <c r="CH1036" s="1" t="s">
        <v>109</v>
      </c>
      <c r="CI1036" s="1" t="s">
        <v>109</v>
      </c>
      <c r="CJ1036" s="1">
        <v>1</v>
      </c>
      <c r="CK1036" s="1"/>
      <c r="CL1036" s="1">
        <v>0</v>
      </c>
      <c r="CM1036" s="1">
        <v>0</v>
      </c>
      <c r="CN1036" s="1">
        <v>0</v>
      </c>
    </row>
    <row r="1037" spans="1:92" ht="14.25" customHeight="1" x14ac:dyDescent="0.15">
      <c r="A1037" s="1" t="s">
        <v>8508</v>
      </c>
      <c r="B1037" s="1" t="s">
        <v>308</v>
      </c>
      <c r="C1037" s="1"/>
      <c r="D1037" s="1" t="s">
        <v>8509</v>
      </c>
      <c r="E1037" s="1" t="s">
        <v>8510</v>
      </c>
      <c r="F1037" s="1" t="s">
        <v>98</v>
      </c>
      <c r="G1037" s="1" t="s">
        <v>8511</v>
      </c>
      <c r="H1037" s="1">
        <v>0</v>
      </c>
      <c r="I1037" s="1" t="s">
        <v>142</v>
      </c>
      <c r="J1037" s="1"/>
      <c r="K1037" s="1"/>
      <c r="L1037" s="1" t="s">
        <v>6973</v>
      </c>
      <c r="M1037" s="1" t="s">
        <v>125</v>
      </c>
      <c r="N1037" s="1">
        <v>0</v>
      </c>
      <c r="O1037" s="1">
        <v>0</v>
      </c>
      <c r="P1037" s="1" t="s">
        <v>267</v>
      </c>
      <c r="Q1037" s="1" t="s">
        <v>268</v>
      </c>
      <c r="R1037" s="1" t="s">
        <v>8512</v>
      </c>
      <c r="S1037" s="1" t="s">
        <v>8513</v>
      </c>
      <c r="T1037" s="1" t="s">
        <v>7821</v>
      </c>
      <c r="U1037" s="1" t="s">
        <v>8514</v>
      </c>
      <c r="V1037" s="1">
        <v>1</v>
      </c>
      <c r="W1037" s="1">
        <v>1</v>
      </c>
      <c r="X1037" s="1">
        <v>1</v>
      </c>
      <c r="Y1037" s="1">
        <v>0</v>
      </c>
      <c r="Z1037" s="1">
        <v>0</v>
      </c>
      <c r="AA1037" s="1">
        <v>3</v>
      </c>
      <c r="AB1037" s="1">
        <v>3</v>
      </c>
      <c r="AC1037" s="1" t="s">
        <v>109</v>
      </c>
      <c r="AD1037" s="1" t="s">
        <v>109</v>
      </c>
      <c r="AE1037" s="1" t="s">
        <v>109</v>
      </c>
      <c r="AF1037" s="1" t="s">
        <v>109</v>
      </c>
      <c r="AG1037" s="1" t="s">
        <v>109</v>
      </c>
      <c r="AH1037" s="1" t="s">
        <v>109</v>
      </c>
      <c r="AI1037" s="1" t="s">
        <v>109</v>
      </c>
      <c r="AJ1037" s="1">
        <v>3</v>
      </c>
      <c r="AK1037" s="1">
        <v>2</v>
      </c>
      <c r="AL1037" s="1" t="s">
        <v>109</v>
      </c>
      <c r="AM1037" s="1" t="s">
        <v>109</v>
      </c>
      <c r="AN1037" s="1" t="s">
        <v>109</v>
      </c>
      <c r="AO1037" s="1" t="s">
        <v>109</v>
      </c>
      <c r="AP1037" s="1"/>
      <c r="AQ1037" s="1">
        <v>3</v>
      </c>
      <c r="AR1037" s="1"/>
      <c r="AS1037" s="1" t="s">
        <v>8515</v>
      </c>
      <c r="AT1037" s="1">
        <v>0</v>
      </c>
      <c r="AU1037" s="1">
        <v>0</v>
      </c>
      <c r="AV1037" s="1">
        <v>0</v>
      </c>
      <c r="AW1037" s="1">
        <v>0</v>
      </c>
      <c r="AX1037" s="1">
        <v>0</v>
      </c>
      <c r="AY1037" s="1">
        <v>0</v>
      </c>
      <c r="AZ1037" s="1">
        <v>1</v>
      </c>
      <c r="BA1037" s="1">
        <v>0</v>
      </c>
      <c r="BB1037" s="1">
        <v>0</v>
      </c>
      <c r="BC1037" s="1">
        <v>0</v>
      </c>
      <c r="BD1037" s="1">
        <v>0</v>
      </c>
      <c r="BE1037" s="1">
        <v>0</v>
      </c>
      <c r="BF1037" s="1">
        <v>0</v>
      </c>
      <c r="BG1037" s="1">
        <v>0</v>
      </c>
      <c r="BH1037" s="1">
        <v>0</v>
      </c>
      <c r="BI1037" s="1">
        <v>0</v>
      </c>
      <c r="BJ1037" s="1">
        <v>0</v>
      </c>
      <c r="BK1037" s="1">
        <v>0</v>
      </c>
      <c r="BL1037" s="1">
        <v>0</v>
      </c>
      <c r="BM1037" s="1">
        <v>0</v>
      </c>
      <c r="BN1037" s="1">
        <v>1</v>
      </c>
      <c r="BO1037" s="1">
        <v>0</v>
      </c>
      <c r="BP1037" s="1">
        <v>0</v>
      </c>
      <c r="BQ1037" s="1">
        <v>0</v>
      </c>
      <c r="BR1037" s="1">
        <v>0</v>
      </c>
      <c r="BS1037" s="5" t="str">
        <f>HYPERLINK("http://www.d20pfsrd.com/magic/all-spells/h/howling-agony","Howling Agony")</f>
        <v>Howling Agony</v>
      </c>
      <c r="BT1037" s="1">
        <v>1073</v>
      </c>
      <c r="BU1037" s="1" t="s">
        <v>109</v>
      </c>
      <c r="BV1037" s="1"/>
      <c r="BW1037" s="1"/>
      <c r="BX1037" s="1"/>
      <c r="BY1037" s="1"/>
      <c r="BZ1037" s="1">
        <v>0</v>
      </c>
      <c r="CA1037" s="1">
        <v>3</v>
      </c>
      <c r="CB1037" s="1" t="s">
        <v>109</v>
      </c>
      <c r="CC1037" s="1">
        <v>2</v>
      </c>
      <c r="CD1037" s="1" t="s">
        <v>109</v>
      </c>
      <c r="CE1037" s="1">
        <v>2</v>
      </c>
      <c r="CF1037" s="1" t="s">
        <v>109</v>
      </c>
      <c r="CG1037" s="1">
        <v>3</v>
      </c>
      <c r="CH1037" s="1" t="s">
        <v>109</v>
      </c>
      <c r="CI1037" s="1" t="s">
        <v>109</v>
      </c>
      <c r="CJ1037" s="1" t="s">
        <v>109</v>
      </c>
      <c r="CK1037" s="1"/>
      <c r="CL1037" s="1">
        <v>0</v>
      </c>
      <c r="CM1037" s="1">
        <v>0</v>
      </c>
      <c r="CN1037" s="1">
        <v>0</v>
      </c>
    </row>
    <row r="1038" spans="1:92" ht="14.25" customHeight="1" x14ac:dyDescent="0.15">
      <c r="A1038" s="1" t="s">
        <v>8516</v>
      </c>
      <c r="B1038" s="1" t="s">
        <v>189</v>
      </c>
      <c r="C1038" s="1"/>
      <c r="D1038" s="1" t="s">
        <v>49</v>
      </c>
      <c r="E1038" s="1" t="s">
        <v>8517</v>
      </c>
      <c r="F1038" s="1" t="s">
        <v>98</v>
      </c>
      <c r="G1038" s="1" t="s">
        <v>141</v>
      </c>
      <c r="H1038" s="1">
        <v>0</v>
      </c>
      <c r="I1038" s="1" t="s">
        <v>235</v>
      </c>
      <c r="J1038" s="1"/>
      <c r="K1038" s="1"/>
      <c r="L1038" s="1" t="s">
        <v>236</v>
      </c>
      <c r="M1038" s="1" t="s">
        <v>6144</v>
      </c>
      <c r="N1038" s="1">
        <v>1</v>
      </c>
      <c r="O1038" s="1">
        <v>0</v>
      </c>
      <c r="P1038" s="1"/>
      <c r="Q1038" s="1"/>
      <c r="R1038" s="1" t="s">
        <v>8518</v>
      </c>
      <c r="S1038" s="1" t="s">
        <v>8519</v>
      </c>
      <c r="T1038" s="1" t="s">
        <v>7821</v>
      </c>
      <c r="U1038" s="1" t="s">
        <v>8520</v>
      </c>
      <c r="V1038" s="1">
        <v>1</v>
      </c>
      <c r="W1038" s="1">
        <v>1</v>
      </c>
      <c r="X1038" s="1">
        <v>0</v>
      </c>
      <c r="Y1038" s="1">
        <v>0</v>
      </c>
      <c r="Z1038" s="1">
        <v>0</v>
      </c>
      <c r="AA1038" s="1">
        <v>7</v>
      </c>
      <c r="AB1038" s="1">
        <v>7</v>
      </c>
      <c r="AC1038" s="1" t="s">
        <v>109</v>
      </c>
      <c r="AD1038" s="1" t="s">
        <v>109</v>
      </c>
      <c r="AE1038" s="1" t="s">
        <v>109</v>
      </c>
      <c r="AF1038" s="1" t="s">
        <v>109</v>
      </c>
      <c r="AG1038" s="1" t="s">
        <v>109</v>
      </c>
      <c r="AH1038" s="1" t="s">
        <v>109</v>
      </c>
      <c r="AI1038" s="1" t="s">
        <v>109</v>
      </c>
      <c r="AJ1038" s="1">
        <v>7</v>
      </c>
      <c r="AK1038" s="1" t="s">
        <v>109</v>
      </c>
      <c r="AL1038" s="1" t="s">
        <v>109</v>
      </c>
      <c r="AM1038" s="1" t="s">
        <v>109</v>
      </c>
      <c r="AN1038" s="1" t="s">
        <v>109</v>
      </c>
      <c r="AO1038" s="1" t="s">
        <v>109</v>
      </c>
      <c r="AP1038" s="1"/>
      <c r="AQ1038" s="1">
        <v>7</v>
      </c>
      <c r="AR1038" s="1"/>
      <c r="AS1038" s="1" t="s">
        <v>8521</v>
      </c>
      <c r="AT1038" s="1">
        <v>0</v>
      </c>
      <c r="AU1038" s="1">
        <v>0</v>
      </c>
      <c r="AV1038" s="1">
        <v>0</v>
      </c>
      <c r="AW1038" s="1">
        <v>1</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5" t="str">
        <f>HYPERLINK("http://www.d20pfsrd.com/magic/all-spells/i/ice-body","Ice Body")</f>
        <v>Ice Body</v>
      </c>
      <c r="BT1038" s="1">
        <v>1074</v>
      </c>
      <c r="BU1038" s="1" t="s">
        <v>109</v>
      </c>
      <c r="BV1038" s="1"/>
      <c r="BW1038" s="1"/>
      <c r="BX1038" s="1"/>
      <c r="BY1038" s="1"/>
      <c r="BZ1038" s="1">
        <v>0</v>
      </c>
      <c r="CA1038" s="1" t="s">
        <v>109</v>
      </c>
      <c r="CB1038" s="1">
        <v>7</v>
      </c>
      <c r="CC1038" s="1" t="s">
        <v>109</v>
      </c>
      <c r="CD1038" s="1" t="s">
        <v>109</v>
      </c>
      <c r="CE1038" s="1" t="s">
        <v>109</v>
      </c>
      <c r="CF1038" s="1" t="s">
        <v>109</v>
      </c>
      <c r="CG1038" s="1" t="s">
        <v>109</v>
      </c>
      <c r="CH1038" s="1" t="s">
        <v>109</v>
      </c>
      <c r="CI1038" s="1" t="s">
        <v>109</v>
      </c>
      <c r="CJ1038" s="1" t="s">
        <v>109</v>
      </c>
      <c r="CK1038" s="1"/>
      <c r="CL1038" s="1">
        <v>0</v>
      </c>
      <c r="CM1038" s="1">
        <v>0</v>
      </c>
      <c r="CN1038" s="1">
        <v>0</v>
      </c>
    </row>
    <row r="1039" spans="1:92" ht="14.25" customHeight="1" x14ac:dyDescent="0.15">
      <c r="A1039" s="1" t="s">
        <v>8522</v>
      </c>
      <c r="B1039" s="1" t="s">
        <v>95</v>
      </c>
      <c r="C1039" s="1" t="s">
        <v>1522</v>
      </c>
      <c r="D1039" s="1" t="s">
        <v>49</v>
      </c>
      <c r="E1039" s="1" t="s">
        <v>8523</v>
      </c>
      <c r="F1039" s="1" t="s">
        <v>98</v>
      </c>
      <c r="G1039" s="1" t="s">
        <v>333</v>
      </c>
      <c r="H1039" s="1">
        <v>0</v>
      </c>
      <c r="I1039" s="1" t="s">
        <v>100</v>
      </c>
      <c r="J1039" s="1"/>
      <c r="K1039" s="1"/>
      <c r="L1039" s="1" t="s">
        <v>1391</v>
      </c>
      <c r="M1039" s="1" t="s">
        <v>8524</v>
      </c>
      <c r="N1039" s="1">
        <v>0</v>
      </c>
      <c r="O1039" s="1">
        <v>0</v>
      </c>
      <c r="P1039" s="1" t="s">
        <v>301</v>
      </c>
      <c r="Q1039" s="1" t="s">
        <v>268</v>
      </c>
      <c r="R1039" s="1" t="s">
        <v>8525</v>
      </c>
      <c r="S1039" s="1" t="s">
        <v>8526</v>
      </c>
      <c r="T1039" s="1" t="s">
        <v>7821</v>
      </c>
      <c r="U1039" s="1" t="s">
        <v>8527</v>
      </c>
      <c r="V1039" s="1">
        <v>1</v>
      </c>
      <c r="W1039" s="1">
        <v>0</v>
      </c>
      <c r="X1039" s="1">
        <v>0</v>
      </c>
      <c r="Y1039" s="1">
        <v>0</v>
      </c>
      <c r="Z1039" s="1">
        <v>0</v>
      </c>
      <c r="AA1039" s="1">
        <v>6</v>
      </c>
      <c r="AB1039" s="1">
        <v>6</v>
      </c>
      <c r="AC1039" s="1" t="s">
        <v>109</v>
      </c>
      <c r="AD1039" s="1" t="s">
        <v>109</v>
      </c>
      <c r="AE1039" s="1" t="s">
        <v>109</v>
      </c>
      <c r="AF1039" s="1" t="s">
        <v>109</v>
      </c>
      <c r="AG1039" s="1" t="s">
        <v>109</v>
      </c>
      <c r="AH1039" s="1" t="s">
        <v>109</v>
      </c>
      <c r="AI1039" s="1">
        <v>5</v>
      </c>
      <c r="AJ1039" s="1">
        <v>6</v>
      </c>
      <c r="AK1039" s="1" t="s">
        <v>109</v>
      </c>
      <c r="AL1039" s="1" t="s">
        <v>109</v>
      </c>
      <c r="AM1039" s="1" t="s">
        <v>109</v>
      </c>
      <c r="AN1039" s="1" t="s">
        <v>109</v>
      </c>
      <c r="AO1039" s="1" t="s">
        <v>109</v>
      </c>
      <c r="AP1039" s="1"/>
      <c r="AQ1039" s="1">
        <v>6</v>
      </c>
      <c r="AR1039" s="1"/>
      <c r="AS1039" s="1" t="s">
        <v>8528</v>
      </c>
      <c r="AT1039" s="1">
        <v>0</v>
      </c>
      <c r="AU1039" s="1">
        <v>0</v>
      </c>
      <c r="AV1039" s="1">
        <v>0</v>
      </c>
      <c r="AW1039" s="1">
        <v>1</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5" t="str">
        <f>HYPERLINK("http://www.d20pfsrd.com/magic/all-spells/i/ice-crystal-teleport","Ice Crystal Teleport")</f>
        <v>Ice Crystal Teleport</v>
      </c>
      <c r="BT1039" s="1">
        <v>1075</v>
      </c>
      <c r="BU1039" s="1" t="s">
        <v>109</v>
      </c>
      <c r="BV1039" s="1"/>
      <c r="BW1039" s="1"/>
      <c r="BX1039" s="1"/>
      <c r="BY1039" s="1"/>
      <c r="BZ1039" s="1">
        <v>0</v>
      </c>
      <c r="CA1039" s="1" t="s">
        <v>109</v>
      </c>
      <c r="CB1039" s="1" t="s">
        <v>109</v>
      </c>
      <c r="CC1039" s="1" t="s">
        <v>109</v>
      </c>
      <c r="CD1039" s="1" t="s">
        <v>109</v>
      </c>
      <c r="CE1039" s="1" t="s">
        <v>109</v>
      </c>
      <c r="CF1039" s="1" t="s">
        <v>109</v>
      </c>
      <c r="CG1039" s="1" t="s">
        <v>109</v>
      </c>
      <c r="CH1039" s="1" t="s">
        <v>109</v>
      </c>
      <c r="CI1039" s="1" t="s">
        <v>109</v>
      </c>
      <c r="CJ1039" s="1" t="s">
        <v>109</v>
      </c>
      <c r="CK1039" s="1"/>
      <c r="CL1039" s="1">
        <v>0</v>
      </c>
      <c r="CM1039" s="1">
        <v>0</v>
      </c>
      <c r="CN1039" s="1">
        <v>0</v>
      </c>
    </row>
    <row r="1040" spans="1:92" ht="14.25" customHeight="1" x14ac:dyDescent="0.15">
      <c r="A1040" s="1" t="s">
        <v>8529</v>
      </c>
      <c r="B1040" s="1" t="s">
        <v>95</v>
      </c>
      <c r="C1040" s="1" t="s">
        <v>96</v>
      </c>
      <c r="D1040" s="1" t="s">
        <v>49</v>
      </c>
      <c r="E1040" s="1" t="s">
        <v>8530</v>
      </c>
      <c r="F1040" s="1" t="s">
        <v>98</v>
      </c>
      <c r="G1040" s="1" t="s">
        <v>141</v>
      </c>
      <c r="H1040" s="1">
        <v>0</v>
      </c>
      <c r="I1040" s="1" t="s">
        <v>925</v>
      </c>
      <c r="J1040" s="1"/>
      <c r="K1040" s="1" t="s">
        <v>8531</v>
      </c>
      <c r="L1040" s="1"/>
      <c r="M1040" s="1" t="s">
        <v>3042</v>
      </c>
      <c r="N1040" s="1">
        <v>0</v>
      </c>
      <c r="O1040" s="1">
        <v>0</v>
      </c>
      <c r="P1040" s="1" t="s">
        <v>103</v>
      </c>
      <c r="Q1040" s="1" t="s">
        <v>104</v>
      </c>
      <c r="R1040" s="1" t="s">
        <v>8532</v>
      </c>
      <c r="S1040" s="1" t="s">
        <v>8533</v>
      </c>
      <c r="T1040" s="1" t="s">
        <v>7821</v>
      </c>
      <c r="U1040" s="1" t="s">
        <v>8534</v>
      </c>
      <c r="V1040" s="1">
        <v>1</v>
      </c>
      <c r="W1040" s="1">
        <v>1</v>
      </c>
      <c r="X1040" s="1">
        <v>0</v>
      </c>
      <c r="Y1040" s="1">
        <v>0</v>
      </c>
      <c r="Z1040" s="1">
        <v>0</v>
      </c>
      <c r="AA1040" s="1">
        <v>1</v>
      </c>
      <c r="AB1040" s="1">
        <v>1</v>
      </c>
      <c r="AC1040" s="1" t="s">
        <v>109</v>
      </c>
      <c r="AD1040" s="1" t="s">
        <v>109</v>
      </c>
      <c r="AE1040" s="1" t="s">
        <v>109</v>
      </c>
      <c r="AF1040" s="1" t="s">
        <v>109</v>
      </c>
      <c r="AG1040" s="1" t="s">
        <v>109</v>
      </c>
      <c r="AH1040" s="1" t="s">
        <v>109</v>
      </c>
      <c r="AI1040" s="1">
        <v>1</v>
      </c>
      <c r="AJ1040" s="1">
        <v>1</v>
      </c>
      <c r="AK1040" s="1" t="s">
        <v>109</v>
      </c>
      <c r="AL1040" s="1" t="s">
        <v>109</v>
      </c>
      <c r="AM1040" s="1" t="s">
        <v>109</v>
      </c>
      <c r="AN1040" s="1" t="s">
        <v>109</v>
      </c>
      <c r="AO1040" s="1" t="s">
        <v>109</v>
      </c>
      <c r="AP1040" s="1"/>
      <c r="AQ1040" s="1">
        <v>1</v>
      </c>
      <c r="AR1040" s="1"/>
      <c r="AS1040" s="1" t="s">
        <v>8535</v>
      </c>
      <c r="AT1040" s="1">
        <v>0</v>
      </c>
      <c r="AU1040" s="1">
        <v>0</v>
      </c>
      <c r="AV1040" s="1">
        <v>0</v>
      </c>
      <c r="AW1040" s="1">
        <v>1</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5" t="str">
        <f>HYPERLINK("http://www.d20pfsrd.com/magic/all-spells/i/icicle-dagger","Icicle Dagger")</f>
        <v>Icicle Dagger</v>
      </c>
      <c r="BT1040" s="1">
        <v>1076</v>
      </c>
      <c r="BU1040" s="1" t="s">
        <v>109</v>
      </c>
      <c r="BV1040" s="1"/>
      <c r="BW1040" s="1"/>
      <c r="BX1040" s="1"/>
      <c r="BY1040" s="1"/>
      <c r="BZ1040" s="1">
        <v>0</v>
      </c>
      <c r="CA1040" s="1">
        <v>1</v>
      </c>
      <c r="CB1040" s="1" t="s">
        <v>109</v>
      </c>
      <c r="CC1040" s="1" t="s">
        <v>109</v>
      </c>
      <c r="CD1040" s="1" t="s">
        <v>109</v>
      </c>
      <c r="CE1040" s="1" t="s">
        <v>109</v>
      </c>
      <c r="CF1040" s="1">
        <v>1</v>
      </c>
      <c r="CG1040" s="1" t="s">
        <v>109</v>
      </c>
      <c r="CH1040" s="1" t="s">
        <v>109</v>
      </c>
      <c r="CI1040" s="1" t="s">
        <v>109</v>
      </c>
      <c r="CJ1040" s="1" t="s">
        <v>109</v>
      </c>
      <c r="CK1040" s="1"/>
      <c r="CL1040" s="1">
        <v>0</v>
      </c>
      <c r="CM1040" s="1">
        <v>0</v>
      </c>
      <c r="CN1040" s="1">
        <v>0</v>
      </c>
    </row>
    <row r="1041" spans="1:92" ht="14.25" customHeight="1" x14ac:dyDescent="0.15">
      <c r="A1041" s="1" t="s">
        <v>8536</v>
      </c>
      <c r="B1041" s="1" t="s">
        <v>584</v>
      </c>
      <c r="C1041" s="1"/>
      <c r="D1041" s="1" t="s">
        <v>49</v>
      </c>
      <c r="E1041" s="1" t="s">
        <v>8537</v>
      </c>
      <c r="F1041" s="1" t="s">
        <v>98</v>
      </c>
      <c r="G1041" s="1" t="s">
        <v>141</v>
      </c>
      <c r="H1041" s="1">
        <v>0</v>
      </c>
      <c r="I1041" s="1" t="s">
        <v>8538</v>
      </c>
      <c r="J1041" s="1"/>
      <c r="K1041" s="1"/>
      <c r="L1041" s="1" t="s">
        <v>1391</v>
      </c>
      <c r="M1041" s="1" t="s">
        <v>8298</v>
      </c>
      <c r="N1041" s="1">
        <v>0</v>
      </c>
      <c r="O1041" s="1">
        <v>0</v>
      </c>
      <c r="P1041" s="1" t="s">
        <v>4647</v>
      </c>
      <c r="Q1041" s="1" t="s">
        <v>268</v>
      </c>
      <c r="R1041" s="1" t="s">
        <v>8539</v>
      </c>
      <c r="S1041" s="1" t="s">
        <v>8540</v>
      </c>
      <c r="T1041" s="1" t="s">
        <v>7821</v>
      </c>
      <c r="U1041" s="1" t="s">
        <v>8541</v>
      </c>
      <c r="V1041" s="1">
        <v>1</v>
      </c>
      <c r="W1041" s="1">
        <v>1</v>
      </c>
      <c r="X1041" s="1">
        <v>0</v>
      </c>
      <c r="Y1041" s="1">
        <v>0</v>
      </c>
      <c r="Z1041" s="1">
        <v>0</v>
      </c>
      <c r="AA1041" s="1">
        <v>5</v>
      </c>
      <c r="AB1041" s="1">
        <v>5</v>
      </c>
      <c r="AC1041" s="1" t="s">
        <v>109</v>
      </c>
      <c r="AD1041" s="1" t="s">
        <v>109</v>
      </c>
      <c r="AE1041" s="1" t="s">
        <v>109</v>
      </c>
      <c r="AF1041" s="1" t="s">
        <v>109</v>
      </c>
      <c r="AG1041" s="1" t="s">
        <v>109</v>
      </c>
      <c r="AH1041" s="1" t="s">
        <v>109</v>
      </c>
      <c r="AI1041" s="1" t="s">
        <v>109</v>
      </c>
      <c r="AJ1041" s="1" t="s">
        <v>109</v>
      </c>
      <c r="AK1041" s="1" t="s">
        <v>109</v>
      </c>
      <c r="AL1041" s="1" t="s">
        <v>109</v>
      </c>
      <c r="AM1041" s="1" t="s">
        <v>109</v>
      </c>
      <c r="AN1041" s="1" t="s">
        <v>109</v>
      </c>
      <c r="AO1041" s="1" t="s">
        <v>109</v>
      </c>
      <c r="AP1041" s="1"/>
      <c r="AQ1041" s="1">
        <v>5</v>
      </c>
      <c r="AR1041" s="1"/>
      <c r="AS1041" s="1" t="s">
        <v>8542</v>
      </c>
      <c r="AT1041" s="1">
        <v>0</v>
      </c>
      <c r="AU1041" s="1">
        <v>0</v>
      </c>
      <c r="AV1041" s="1">
        <v>0</v>
      </c>
      <c r="AW1041" s="1">
        <v>1</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5" t="str">
        <f>HYPERLINK("http://www.d20pfsrd.com/magic/all-spells/i/icy-prison","Icy Prison")</f>
        <v>Icy Prison</v>
      </c>
      <c r="BT1041" s="1">
        <v>1077</v>
      </c>
      <c r="BU1041" s="1" t="s">
        <v>109</v>
      </c>
      <c r="BV1041" s="1"/>
      <c r="BW1041" s="1"/>
      <c r="BX1041" s="1"/>
      <c r="BY1041" s="1"/>
      <c r="BZ1041" s="1">
        <v>0</v>
      </c>
      <c r="CA1041" s="1" t="s">
        <v>109</v>
      </c>
      <c r="CB1041" s="1" t="s">
        <v>109</v>
      </c>
      <c r="CC1041" s="1" t="s">
        <v>109</v>
      </c>
      <c r="CD1041" s="1" t="s">
        <v>109</v>
      </c>
      <c r="CE1041" s="1" t="s">
        <v>109</v>
      </c>
      <c r="CF1041" s="1" t="s">
        <v>109</v>
      </c>
      <c r="CG1041" s="1" t="s">
        <v>109</v>
      </c>
      <c r="CH1041" s="1" t="s">
        <v>109</v>
      </c>
      <c r="CI1041" s="1" t="s">
        <v>109</v>
      </c>
      <c r="CJ1041" s="1" t="s">
        <v>109</v>
      </c>
      <c r="CK1041" s="1"/>
      <c r="CL1041" s="1">
        <v>0</v>
      </c>
      <c r="CM1041" s="1">
        <v>0</v>
      </c>
      <c r="CN1041" s="1">
        <v>0</v>
      </c>
    </row>
    <row r="1042" spans="1:92" ht="14.25" customHeight="1" x14ac:dyDescent="0.15">
      <c r="A1042" s="1" t="s">
        <v>8543</v>
      </c>
      <c r="B1042" s="1" t="s">
        <v>584</v>
      </c>
      <c r="C1042" s="1"/>
      <c r="D1042" s="1" t="s">
        <v>49</v>
      </c>
      <c r="E1042" s="1" t="s">
        <v>3283</v>
      </c>
      <c r="F1042" s="1" t="s">
        <v>98</v>
      </c>
      <c r="G1042" s="1" t="s">
        <v>141</v>
      </c>
      <c r="H1042" s="1">
        <v>0</v>
      </c>
      <c r="I1042" s="1" t="s">
        <v>8538</v>
      </c>
      <c r="J1042" s="1"/>
      <c r="K1042" s="1"/>
      <c r="L1042" s="1" t="s">
        <v>8544</v>
      </c>
      <c r="M1042" s="1" t="s">
        <v>8298</v>
      </c>
      <c r="N1042" s="1">
        <v>0</v>
      </c>
      <c r="O1042" s="1">
        <v>0</v>
      </c>
      <c r="P1042" s="1" t="s">
        <v>4647</v>
      </c>
      <c r="Q1042" s="1" t="s">
        <v>268</v>
      </c>
      <c r="R1042" s="1" t="s">
        <v>8545</v>
      </c>
      <c r="S1042" s="1" t="s">
        <v>8546</v>
      </c>
      <c r="T1042" s="1" t="s">
        <v>7821</v>
      </c>
      <c r="U1042" s="1" t="s">
        <v>8547</v>
      </c>
      <c r="V1042" s="1">
        <v>1</v>
      </c>
      <c r="W1042" s="1">
        <v>1</v>
      </c>
      <c r="X1042" s="1">
        <v>0</v>
      </c>
      <c r="Y1042" s="1">
        <v>0</v>
      </c>
      <c r="Z1042" s="1">
        <v>0</v>
      </c>
      <c r="AA1042" s="1">
        <v>9</v>
      </c>
      <c r="AB1042" s="1">
        <v>9</v>
      </c>
      <c r="AC1042" s="1" t="s">
        <v>109</v>
      </c>
      <c r="AD1042" s="1" t="s">
        <v>109</v>
      </c>
      <c r="AE1042" s="1" t="s">
        <v>109</v>
      </c>
      <c r="AF1042" s="1" t="s">
        <v>109</v>
      </c>
      <c r="AG1042" s="1" t="s">
        <v>109</v>
      </c>
      <c r="AH1042" s="1" t="s">
        <v>109</v>
      </c>
      <c r="AI1042" s="1" t="s">
        <v>109</v>
      </c>
      <c r="AJ1042" s="1" t="s">
        <v>109</v>
      </c>
      <c r="AK1042" s="1" t="s">
        <v>109</v>
      </c>
      <c r="AL1042" s="1" t="s">
        <v>109</v>
      </c>
      <c r="AM1042" s="1" t="s">
        <v>109</v>
      </c>
      <c r="AN1042" s="1" t="s">
        <v>109</v>
      </c>
      <c r="AO1042" s="1" t="s">
        <v>109</v>
      </c>
      <c r="AP1042" s="1"/>
      <c r="AQ1042" s="1">
        <v>9</v>
      </c>
      <c r="AR1042" s="1"/>
      <c r="AS1042" s="1" t="s">
        <v>8548</v>
      </c>
      <c r="AT1042" s="1">
        <v>0</v>
      </c>
      <c r="AU1042" s="1">
        <v>0</v>
      </c>
      <c r="AV1042" s="1">
        <v>0</v>
      </c>
      <c r="AW1042" s="1">
        <v>1</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5" t="str">
        <f>HYPERLINK("http://www.d20pfsrd.com/magic/all-spells/i/icy-prison","Icy Prison, Mass")</f>
        <v>Icy Prison, Mass</v>
      </c>
      <c r="BT1042" s="1">
        <v>1078</v>
      </c>
      <c r="BU1042" s="1" t="s">
        <v>109</v>
      </c>
      <c r="BV1042" s="1"/>
      <c r="BW1042" s="1"/>
      <c r="BX1042" s="1"/>
      <c r="BY1042" s="1"/>
      <c r="BZ1042" s="1">
        <v>0</v>
      </c>
      <c r="CA1042" s="1" t="s">
        <v>109</v>
      </c>
      <c r="CB1042" s="1" t="s">
        <v>109</v>
      </c>
      <c r="CC1042" s="1" t="s">
        <v>109</v>
      </c>
      <c r="CD1042" s="1" t="s">
        <v>109</v>
      </c>
      <c r="CE1042" s="1" t="s">
        <v>109</v>
      </c>
      <c r="CF1042" s="1" t="s">
        <v>109</v>
      </c>
      <c r="CG1042" s="1" t="s">
        <v>109</v>
      </c>
      <c r="CH1042" s="1" t="s">
        <v>109</v>
      </c>
      <c r="CI1042" s="1" t="s">
        <v>109</v>
      </c>
      <c r="CJ1042" s="1" t="s">
        <v>109</v>
      </c>
      <c r="CK1042" s="1"/>
      <c r="CL1042" s="1">
        <v>0</v>
      </c>
      <c r="CM1042" s="1">
        <v>0</v>
      </c>
      <c r="CN1042" s="1">
        <v>0</v>
      </c>
    </row>
    <row r="1043" spans="1:92" ht="14.25" customHeight="1" x14ac:dyDescent="0.15">
      <c r="A1043" s="1" t="s">
        <v>8549</v>
      </c>
      <c r="B1043" s="1" t="s">
        <v>189</v>
      </c>
      <c r="C1043" s="1"/>
      <c r="D1043" s="1"/>
      <c r="E1043" s="1" t="s">
        <v>8305</v>
      </c>
      <c r="F1043" s="1" t="s">
        <v>98</v>
      </c>
      <c r="G1043" s="1" t="s">
        <v>160</v>
      </c>
      <c r="H1043" s="1">
        <v>0</v>
      </c>
      <c r="I1043" s="1" t="s">
        <v>142</v>
      </c>
      <c r="J1043" s="1"/>
      <c r="K1043" s="1"/>
      <c r="L1043" s="1" t="s">
        <v>1391</v>
      </c>
      <c r="M1043" s="1" t="s">
        <v>3042</v>
      </c>
      <c r="N1043" s="1">
        <v>0</v>
      </c>
      <c r="O1043" s="1">
        <v>0</v>
      </c>
      <c r="P1043" s="1" t="s">
        <v>2475</v>
      </c>
      <c r="Q1043" s="1" t="s">
        <v>268</v>
      </c>
      <c r="R1043" s="1" t="s">
        <v>8550</v>
      </c>
      <c r="S1043" s="1" t="s">
        <v>8551</v>
      </c>
      <c r="T1043" s="1" t="s">
        <v>7821</v>
      </c>
      <c r="U1043" s="1" t="s">
        <v>8552</v>
      </c>
      <c r="V1043" s="1">
        <v>1</v>
      </c>
      <c r="W1043" s="1">
        <v>1</v>
      </c>
      <c r="X1043" s="1">
        <v>0</v>
      </c>
      <c r="Y1043" s="1">
        <v>0</v>
      </c>
      <c r="Z1043" s="1">
        <v>1</v>
      </c>
      <c r="AA1043" s="1" t="s">
        <v>109</v>
      </c>
      <c r="AB1043" s="1" t="s">
        <v>109</v>
      </c>
      <c r="AC1043" s="1">
        <v>2</v>
      </c>
      <c r="AD1043" s="1" t="s">
        <v>109</v>
      </c>
      <c r="AE1043" s="1" t="s">
        <v>109</v>
      </c>
      <c r="AF1043" s="1" t="s">
        <v>109</v>
      </c>
      <c r="AG1043" s="1" t="s">
        <v>109</v>
      </c>
      <c r="AH1043" s="1" t="s">
        <v>109</v>
      </c>
      <c r="AI1043" s="1" t="s">
        <v>109</v>
      </c>
      <c r="AJ1043" s="1" t="s">
        <v>109</v>
      </c>
      <c r="AK1043" s="1" t="s">
        <v>109</v>
      </c>
      <c r="AL1043" s="1">
        <v>2</v>
      </c>
      <c r="AM1043" s="1" t="s">
        <v>109</v>
      </c>
      <c r="AN1043" s="1" t="s">
        <v>109</v>
      </c>
      <c r="AO1043" s="1" t="s">
        <v>109</v>
      </c>
      <c r="AP1043" s="1"/>
      <c r="AQ1043" s="1">
        <v>2</v>
      </c>
      <c r="AR1043" s="1"/>
      <c r="AS1043" s="1" t="s">
        <v>8553</v>
      </c>
      <c r="AT1043" s="1">
        <v>0</v>
      </c>
      <c r="AU1043" s="1">
        <v>0</v>
      </c>
      <c r="AV1043" s="1">
        <v>0</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5" t="str">
        <f>HYPERLINK("http://www.d20pfsrd.com/magic/all-spells/i/imbue-with-aura","Imbue with Aura")</f>
        <v>Imbue with Aura</v>
      </c>
      <c r="BT1043" s="1">
        <v>1079</v>
      </c>
      <c r="BU1043" s="1" t="s">
        <v>109</v>
      </c>
      <c r="BV1043" s="1"/>
      <c r="BW1043" s="1"/>
      <c r="BX1043" s="1"/>
      <c r="BY1043" s="1"/>
      <c r="BZ1043" s="1">
        <v>0</v>
      </c>
      <c r="CA1043" s="1" t="s">
        <v>109</v>
      </c>
      <c r="CB1043" s="1" t="s">
        <v>109</v>
      </c>
      <c r="CC1043" s="1" t="s">
        <v>109</v>
      </c>
      <c r="CD1043" s="1" t="s">
        <v>109</v>
      </c>
      <c r="CE1043" s="1" t="s">
        <v>109</v>
      </c>
      <c r="CF1043" s="1" t="s">
        <v>109</v>
      </c>
      <c r="CG1043" s="1" t="s">
        <v>109</v>
      </c>
      <c r="CH1043" s="1" t="s">
        <v>109</v>
      </c>
      <c r="CI1043" s="1" t="s">
        <v>109</v>
      </c>
      <c r="CJ1043" s="1" t="s">
        <v>109</v>
      </c>
      <c r="CK1043" s="1"/>
      <c r="CL1043" s="1">
        <v>0</v>
      </c>
      <c r="CM1043" s="1">
        <v>0</v>
      </c>
      <c r="CN1043" s="1">
        <v>0</v>
      </c>
    </row>
    <row r="1044" spans="1:92" ht="14.25" customHeight="1" x14ac:dyDescent="0.15">
      <c r="A1044" s="1" t="s">
        <v>8554</v>
      </c>
      <c r="B1044" s="1" t="s">
        <v>95</v>
      </c>
      <c r="C1044" s="1" t="s">
        <v>1522</v>
      </c>
      <c r="D1044" s="1"/>
      <c r="E1044" s="1" t="s">
        <v>2263</v>
      </c>
      <c r="F1044" s="1" t="s">
        <v>98</v>
      </c>
      <c r="G1044" s="1" t="s">
        <v>333</v>
      </c>
      <c r="H1044" s="1">
        <v>0</v>
      </c>
      <c r="I1044" s="1" t="s">
        <v>5018</v>
      </c>
      <c r="J1044" s="1"/>
      <c r="K1044" s="1"/>
      <c r="L1044" s="1" t="s">
        <v>1524</v>
      </c>
      <c r="M1044" s="1" t="s">
        <v>144</v>
      </c>
      <c r="N1044" s="1">
        <v>0</v>
      </c>
      <c r="O1044" s="1">
        <v>0</v>
      </c>
      <c r="P1044" s="1" t="s">
        <v>1525</v>
      </c>
      <c r="Q1044" s="1" t="s">
        <v>1526</v>
      </c>
      <c r="R1044" s="1" t="s">
        <v>8555</v>
      </c>
      <c r="S1044" s="1" t="s">
        <v>8556</v>
      </c>
      <c r="T1044" s="1" t="s">
        <v>7821</v>
      </c>
      <c r="U1044" s="1" t="s">
        <v>8557</v>
      </c>
      <c r="V1044" s="1">
        <v>1</v>
      </c>
      <c r="W1044" s="1">
        <v>0</v>
      </c>
      <c r="X1044" s="1">
        <v>0</v>
      </c>
      <c r="Y1044" s="1">
        <v>0</v>
      </c>
      <c r="Z1044" s="1">
        <v>0</v>
      </c>
      <c r="AA1044" s="1">
        <v>9</v>
      </c>
      <c r="AB1044" s="1">
        <v>9</v>
      </c>
      <c r="AC1044" s="1">
        <v>9</v>
      </c>
      <c r="AD1044" s="1" t="s">
        <v>109</v>
      </c>
      <c r="AE1044" s="1" t="s">
        <v>109</v>
      </c>
      <c r="AF1044" s="1" t="s">
        <v>109</v>
      </c>
      <c r="AG1044" s="1" t="s">
        <v>109</v>
      </c>
      <c r="AH1044" s="1" t="s">
        <v>109</v>
      </c>
      <c r="AI1044" s="1" t="s">
        <v>109</v>
      </c>
      <c r="AJ1044" s="1" t="s">
        <v>109</v>
      </c>
      <c r="AK1044" s="1" t="s">
        <v>109</v>
      </c>
      <c r="AL1044" s="1">
        <v>9</v>
      </c>
      <c r="AM1044" s="1" t="s">
        <v>109</v>
      </c>
      <c r="AN1044" s="1" t="s">
        <v>109</v>
      </c>
      <c r="AO1044" s="1" t="s">
        <v>109</v>
      </c>
      <c r="AP1044" s="1"/>
      <c r="AQ1044" s="1">
        <v>9</v>
      </c>
      <c r="AR1044" s="1" t="s">
        <v>8558</v>
      </c>
      <c r="AS1044" s="1" t="s">
        <v>8559</v>
      </c>
      <c r="AT1044" s="1">
        <v>0</v>
      </c>
      <c r="AU1044" s="1">
        <v>0</v>
      </c>
      <c r="AV1044" s="1">
        <v>0</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5" t="str">
        <f>HYPERLINK("http://www.d20pfsrd.com/magic/all-spells/i/interplanetary-teleport","Interplanetary Teleport")</f>
        <v>Interplanetary Teleport</v>
      </c>
      <c r="BT1044" s="1">
        <v>1080</v>
      </c>
      <c r="BU1044" s="1" t="s">
        <v>109</v>
      </c>
      <c r="BV1044" s="1"/>
      <c r="BW1044" s="1"/>
      <c r="BX1044" s="1"/>
      <c r="BY1044" s="1"/>
      <c r="BZ1044" s="1">
        <v>0</v>
      </c>
      <c r="CA1044" s="1" t="s">
        <v>109</v>
      </c>
      <c r="CB1044" s="1" t="s">
        <v>109</v>
      </c>
      <c r="CC1044" s="1">
        <v>9</v>
      </c>
      <c r="CD1044" s="1" t="s">
        <v>109</v>
      </c>
      <c r="CE1044" s="1" t="s">
        <v>109</v>
      </c>
      <c r="CF1044" s="1" t="s">
        <v>109</v>
      </c>
      <c r="CG1044" s="1" t="s">
        <v>109</v>
      </c>
      <c r="CH1044" s="1" t="s">
        <v>109</v>
      </c>
      <c r="CI1044" s="1" t="s">
        <v>109</v>
      </c>
      <c r="CJ1044" s="1" t="s">
        <v>109</v>
      </c>
      <c r="CK1044" s="1"/>
      <c r="CL1044" s="1">
        <v>0</v>
      </c>
      <c r="CM1044" s="1">
        <v>0</v>
      </c>
      <c r="CN1044" s="1">
        <v>0</v>
      </c>
    </row>
    <row r="1045" spans="1:92" ht="14.25" customHeight="1" x14ac:dyDescent="0.15">
      <c r="A1045" s="1" t="s">
        <v>8560</v>
      </c>
      <c r="B1045" s="1" t="s">
        <v>308</v>
      </c>
      <c r="C1045" s="1"/>
      <c r="D1045" s="1" t="s">
        <v>4940</v>
      </c>
      <c r="E1045" s="1" t="s">
        <v>8561</v>
      </c>
      <c r="F1045" s="1" t="s">
        <v>355</v>
      </c>
      <c r="G1045" s="1" t="s">
        <v>141</v>
      </c>
      <c r="H1045" s="1">
        <v>0</v>
      </c>
      <c r="I1045" s="1" t="s">
        <v>161</v>
      </c>
      <c r="J1045" s="1"/>
      <c r="K1045" s="1"/>
      <c r="L1045" s="1" t="s">
        <v>162</v>
      </c>
      <c r="M1045" s="1" t="s">
        <v>3042</v>
      </c>
      <c r="N1045" s="1">
        <v>0</v>
      </c>
      <c r="O1045" s="1">
        <v>0</v>
      </c>
      <c r="P1045" s="1" t="s">
        <v>267</v>
      </c>
      <c r="Q1045" s="1" t="s">
        <v>268</v>
      </c>
      <c r="R1045" s="1" t="s">
        <v>8562</v>
      </c>
      <c r="S1045" s="1" t="s">
        <v>8563</v>
      </c>
      <c r="T1045" s="1" t="s">
        <v>7821</v>
      </c>
      <c r="U1045" s="1" t="s">
        <v>8564</v>
      </c>
      <c r="V1045" s="1">
        <v>1</v>
      </c>
      <c r="W1045" s="1">
        <v>1</v>
      </c>
      <c r="X1045" s="1">
        <v>0</v>
      </c>
      <c r="Y1045" s="1">
        <v>0</v>
      </c>
      <c r="Z1045" s="1">
        <v>0</v>
      </c>
      <c r="AA1045" s="1">
        <v>1</v>
      </c>
      <c r="AB1045" s="1">
        <v>1</v>
      </c>
      <c r="AC1045" s="1" t="s">
        <v>109</v>
      </c>
      <c r="AD1045" s="1" t="s">
        <v>109</v>
      </c>
      <c r="AE1045" s="1" t="s">
        <v>109</v>
      </c>
      <c r="AF1045" s="1" t="s">
        <v>109</v>
      </c>
      <c r="AG1045" s="1" t="s">
        <v>109</v>
      </c>
      <c r="AH1045" s="1" t="s">
        <v>109</v>
      </c>
      <c r="AI1045" s="1" t="s">
        <v>109</v>
      </c>
      <c r="AJ1045" s="1">
        <v>1</v>
      </c>
      <c r="AK1045" s="1">
        <v>1</v>
      </c>
      <c r="AL1045" s="1" t="s">
        <v>109</v>
      </c>
      <c r="AM1045" s="1" t="s">
        <v>109</v>
      </c>
      <c r="AN1045" s="1" t="s">
        <v>109</v>
      </c>
      <c r="AO1045" s="1" t="s">
        <v>109</v>
      </c>
      <c r="AP1045" s="1"/>
      <c r="AQ1045" s="1">
        <v>1</v>
      </c>
      <c r="AR1045" s="1"/>
      <c r="AS1045" s="1" t="s">
        <v>8565</v>
      </c>
      <c r="AT1045" s="1">
        <v>0</v>
      </c>
      <c r="AU1045" s="1">
        <v>0</v>
      </c>
      <c r="AV1045" s="1">
        <v>0</v>
      </c>
      <c r="AW1045" s="1">
        <v>0</v>
      </c>
      <c r="AX1045" s="1">
        <v>0</v>
      </c>
      <c r="AY1045" s="1">
        <v>0</v>
      </c>
      <c r="AZ1045" s="1">
        <v>0</v>
      </c>
      <c r="BA1045" s="1">
        <v>0</v>
      </c>
      <c r="BB1045" s="1">
        <v>0</v>
      </c>
      <c r="BC1045" s="1">
        <v>0</v>
      </c>
      <c r="BD1045" s="1">
        <v>0</v>
      </c>
      <c r="BE1045" s="1">
        <v>1</v>
      </c>
      <c r="BF1045" s="1">
        <v>0</v>
      </c>
      <c r="BG1045" s="1">
        <v>0</v>
      </c>
      <c r="BH1045" s="1">
        <v>0</v>
      </c>
      <c r="BI1045" s="1">
        <v>0</v>
      </c>
      <c r="BJ1045" s="1">
        <v>0</v>
      </c>
      <c r="BK1045" s="1">
        <v>0</v>
      </c>
      <c r="BL1045" s="1">
        <v>0</v>
      </c>
      <c r="BM1045" s="1">
        <v>0</v>
      </c>
      <c r="BN1045" s="1">
        <v>1</v>
      </c>
      <c r="BO1045" s="1">
        <v>0</v>
      </c>
      <c r="BP1045" s="1">
        <v>0</v>
      </c>
      <c r="BQ1045" s="1">
        <v>0</v>
      </c>
      <c r="BR1045" s="1">
        <v>0</v>
      </c>
      <c r="BS1045" s="5" t="str">
        <f>HYPERLINK("http://www.d20pfsrd.com/magic/all-spells/i/interrogation","Interrogation")</f>
        <v>Interrogation</v>
      </c>
      <c r="BT1045" s="1">
        <v>1081</v>
      </c>
      <c r="BU1045" s="1" t="s">
        <v>109</v>
      </c>
      <c r="BV1045" s="1"/>
      <c r="BW1045" s="1"/>
      <c r="BX1045" s="1"/>
      <c r="BY1045" s="1"/>
      <c r="BZ1045" s="1">
        <v>0</v>
      </c>
      <c r="CA1045" s="1" t="s">
        <v>109</v>
      </c>
      <c r="CB1045" s="1" t="s">
        <v>109</v>
      </c>
      <c r="CC1045" s="1">
        <v>1</v>
      </c>
      <c r="CD1045" s="1" t="s">
        <v>109</v>
      </c>
      <c r="CE1045" s="1">
        <v>1</v>
      </c>
      <c r="CF1045" s="1" t="s">
        <v>109</v>
      </c>
      <c r="CG1045" s="1" t="s">
        <v>109</v>
      </c>
      <c r="CH1045" s="1" t="s">
        <v>109</v>
      </c>
      <c r="CI1045" s="1" t="s">
        <v>109</v>
      </c>
      <c r="CJ1045" s="1" t="s">
        <v>109</v>
      </c>
      <c r="CK1045" s="1"/>
      <c r="CL1045" s="1">
        <v>0</v>
      </c>
      <c r="CM1045" s="1">
        <v>0</v>
      </c>
      <c r="CN1045" s="1">
        <v>0</v>
      </c>
    </row>
    <row r="1046" spans="1:92" ht="14.25" customHeight="1" x14ac:dyDescent="0.15">
      <c r="A1046" s="1" t="s">
        <v>8566</v>
      </c>
      <c r="B1046" s="1" t="s">
        <v>308</v>
      </c>
      <c r="C1046" s="1"/>
      <c r="D1046" s="1" t="s">
        <v>4940</v>
      </c>
      <c r="E1046" s="1" t="s">
        <v>8567</v>
      </c>
      <c r="F1046" s="1" t="s">
        <v>355</v>
      </c>
      <c r="G1046" s="1" t="s">
        <v>141</v>
      </c>
      <c r="H1046" s="1">
        <v>0</v>
      </c>
      <c r="I1046" s="1" t="s">
        <v>161</v>
      </c>
      <c r="J1046" s="1"/>
      <c r="K1046" s="1"/>
      <c r="L1046" s="1" t="s">
        <v>162</v>
      </c>
      <c r="M1046" s="1" t="s">
        <v>3042</v>
      </c>
      <c r="N1046" s="1">
        <v>0</v>
      </c>
      <c r="O1046" s="1">
        <v>0</v>
      </c>
      <c r="P1046" s="1" t="s">
        <v>267</v>
      </c>
      <c r="Q1046" s="1" t="s">
        <v>268</v>
      </c>
      <c r="R1046" s="1" t="s">
        <v>8568</v>
      </c>
      <c r="S1046" s="1" t="s">
        <v>8569</v>
      </c>
      <c r="T1046" s="1" t="s">
        <v>7821</v>
      </c>
      <c r="U1046" s="1" t="s">
        <v>8570</v>
      </c>
      <c r="V1046" s="1">
        <v>1</v>
      </c>
      <c r="W1046" s="1">
        <v>1</v>
      </c>
      <c r="X1046" s="1">
        <v>0</v>
      </c>
      <c r="Y1046" s="1">
        <v>0</v>
      </c>
      <c r="Z1046" s="1">
        <v>0</v>
      </c>
      <c r="AA1046" s="1" t="s">
        <v>109</v>
      </c>
      <c r="AB1046" s="1" t="s">
        <v>109</v>
      </c>
      <c r="AC1046" s="1" t="s">
        <v>109</v>
      </c>
      <c r="AD1046" s="1" t="s">
        <v>109</v>
      </c>
      <c r="AE1046" s="1" t="s">
        <v>109</v>
      </c>
      <c r="AF1046" s="1" t="s">
        <v>109</v>
      </c>
      <c r="AG1046" s="1" t="s">
        <v>109</v>
      </c>
      <c r="AH1046" s="1" t="s">
        <v>109</v>
      </c>
      <c r="AI1046" s="1" t="s">
        <v>109</v>
      </c>
      <c r="AJ1046" s="1" t="s">
        <v>109</v>
      </c>
      <c r="AK1046" s="1">
        <v>4</v>
      </c>
      <c r="AL1046" s="1" t="s">
        <v>109</v>
      </c>
      <c r="AM1046" s="1" t="s">
        <v>109</v>
      </c>
      <c r="AN1046" s="1" t="s">
        <v>109</v>
      </c>
      <c r="AO1046" s="1" t="s">
        <v>109</v>
      </c>
      <c r="AP1046" s="1"/>
      <c r="AQ1046" s="1">
        <v>4</v>
      </c>
      <c r="AR1046" s="1"/>
      <c r="AS1046" s="1" t="s">
        <v>8571</v>
      </c>
      <c r="AT1046" s="1">
        <v>0</v>
      </c>
      <c r="AU1046" s="1">
        <v>0</v>
      </c>
      <c r="AV1046" s="1">
        <v>0</v>
      </c>
      <c r="AW1046" s="1">
        <v>0</v>
      </c>
      <c r="AX1046" s="1">
        <v>0</v>
      </c>
      <c r="AY1046" s="1">
        <v>0</v>
      </c>
      <c r="AZ1046" s="1">
        <v>0</v>
      </c>
      <c r="BA1046" s="1">
        <v>0</v>
      </c>
      <c r="BB1046" s="1">
        <v>0</v>
      </c>
      <c r="BC1046" s="1">
        <v>0</v>
      </c>
      <c r="BD1046" s="1">
        <v>0</v>
      </c>
      <c r="BE1046" s="1">
        <v>1</v>
      </c>
      <c r="BF1046" s="1">
        <v>0</v>
      </c>
      <c r="BG1046" s="1">
        <v>0</v>
      </c>
      <c r="BH1046" s="1">
        <v>0</v>
      </c>
      <c r="BI1046" s="1">
        <v>0</v>
      </c>
      <c r="BJ1046" s="1">
        <v>0</v>
      </c>
      <c r="BK1046" s="1">
        <v>0</v>
      </c>
      <c r="BL1046" s="1">
        <v>0</v>
      </c>
      <c r="BM1046" s="1">
        <v>0</v>
      </c>
      <c r="BN1046" s="1">
        <v>1</v>
      </c>
      <c r="BO1046" s="1">
        <v>0</v>
      </c>
      <c r="BP1046" s="1">
        <v>0</v>
      </c>
      <c r="BQ1046" s="1">
        <v>0</v>
      </c>
      <c r="BR1046" s="1">
        <v>0</v>
      </c>
      <c r="BS1046" s="5" t="str">
        <f>HYPERLINK("http://www.d20pfsrd.com/magic/all-spells/i/interrogation","Interrogation, Greater")</f>
        <v>Interrogation, Greater</v>
      </c>
      <c r="BT1046" s="1">
        <v>1082</v>
      </c>
      <c r="BU1046" s="1" t="s">
        <v>109</v>
      </c>
      <c r="BV1046" s="1"/>
      <c r="BW1046" s="1"/>
      <c r="BX1046" s="1"/>
      <c r="BY1046" s="1"/>
      <c r="BZ1046" s="1">
        <v>0</v>
      </c>
      <c r="CA1046" s="1" t="s">
        <v>109</v>
      </c>
      <c r="CB1046" s="1" t="s">
        <v>109</v>
      </c>
      <c r="CC1046" s="1">
        <v>4</v>
      </c>
      <c r="CD1046" s="1" t="s">
        <v>109</v>
      </c>
      <c r="CE1046" s="1" t="s">
        <v>109</v>
      </c>
      <c r="CF1046" s="1" t="s">
        <v>109</v>
      </c>
      <c r="CG1046" s="1" t="s">
        <v>109</v>
      </c>
      <c r="CH1046" s="1" t="s">
        <v>109</v>
      </c>
      <c r="CI1046" s="1" t="s">
        <v>109</v>
      </c>
      <c r="CJ1046" s="1" t="s">
        <v>109</v>
      </c>
      <c r="CK1046" s="1"/>
      <c r="CL1046" s="1">
        <v>0</v>
      </c>
      <c r="CM1046" s="1">
        <v>0</v>
      </c>
      <c r="CN1046" s="1">
        <v>0</v>
      </c>
    </row>
    <row r="1047" spans="1:92" ht="14.25" customHeight="1" x14ac:dyDescent="0.15">
      <c r="A1047" s="1" t="s">
        <v>8572</v>
      </c>
      <c r="B1047" s="1" t="s">
        <v>95</v>
      </c>
      <c r="C1047" s="1" t="s">
        <v>694</v>
      </c>
      <c r="D1047" s="1" t="s">
        <v>56</v>
      </c>
      <c r="E1047" s="1" t="s">
        <v>8573</v>
      </c>
      <c r="F1047" s="1" t="s">
        <v>98</v>
      </c>
      <c r="G1047" s="1" t="s">
        <v>141</v>
      </c>
      <c r="H1047" s="1">
        <v>0</v>
      </c>
      <c r="I1047" s="1" t="s">
        <v>1016</v>
      </c>
      <c r="J1047" s="1" t="s">
        <v>8574</v>
      </c>
      <c r="K1047" s="1"/>
      <c r="L1047" s="1"/>
      <c r="M1047" s="1" t="s">
        <v>144</v>
      </c>
      <c r="N1047" s="1">
        <v>0</v>
      </c>
      <c r="O1047" s="1">
        <v>0</v>
      </c>
      <c r="P1047" s="1" t="s">
        <v>104</v>
      </c>
      <c r="Q1047" s="1" t="s">
        <v>268</v>
      </c>
      <c r="R1047" s="1" t="s">
        <v>8575</v>
      </c>
      <c r="S1047" s="1" t="s">
        <v>8576</v>
      </c>
      <c r="T1047" s="1" t="s">
        <v>7821</v>
      </c>
      <c r="U1047" s="1" t="s">
        <v>8577</v>
      </c>
      <c r="V1047" s="1">
        <v>1</v>
      </c>
      <c r="W1047" s="1">
        <v>1</v>
      </c>
      <c r="X1047" s="1">
        <v>0</v>
      </c>
      <c r="Y1047" s="1">
        <v>0</v>
      </c>
      <c r="Z1047" s="1">
        <v>0</v>
      </c>
      <c r="AA1047" s="1">
        <v>7</v>
      </c>
      <c r="AB1047" s="1">
        <v>7</v>
      </c>
      <c r="AC1047" s="1">
        <v>6</v>
      </c>
      <c r="AD1047" s="1" t="s">
        <v>109</v>
      </c>
      <c r="AE1047" s="1" t="s">
        <v>109</v>
      </c>
      <c r="AF1047" s="1">
        <v>5</v>
      </c>
      <c r="AG1047" s="1" t="s">
        <v>109</v>
      </c>
      <c r="AH1047" s="1" t="s">
        <v>109</v>
      </c>
      <c r="AI1047" s="1" t="s">
        <v>109</v>
      </c>
      <c r="AJ1047" s="1" t="s">
        <v>109</v>
      </c>
      <c r="AK1047" s="1" t="s">
        <v>109</v>
      </c>
      <c r="AL1047" s="1">
        <v>6</v>
      </c>
      <c r="AM1047" s="1" t="s">
        <v>109</v>
      </c>
      <c r="AN1047" s="1" t="s">
        <v>109</v>
      </c>
      <c r="AO1047" s="1" t="s">
        <v>109</v>
      </c>
      <c r="AP1047" s="1"/>
      <c r="AQ1047" s="1">
        <v>7</v>
      </c>
      <c r="AR1047" s="1"/>
      <c r="AS1047" s="1" t="s">
        <v>8578</v>
      </c>
      <c r="AT1047" s="1">
        <v>0</v>
      </c>
      <c r="AU1047" s="1">
        <v>0</v>
      </c>
      <c r="AV1047" s="1">
        <v>0</v>
      </c>
      <c r="AW1047" s="1">
        <v>0</v>
      </c>
      <c r="AX1047" s="1">
        <v>0</v>
      </c>
      <c r="AY1047" s="1">
        <v>0</v>
      </c>
      <c r="AZ1047" s="1">
        <v>0</v>
      </c>
      <c r="BA1047" s="1">
        <v>0</v>
      </c>
      <c r="BB1047" s="1">
        <v>0</v>
      </c>
      <c r="BC1047" s="1">
        <v>0</v>
      </c>
      <c r="BD1047" s="1">
        <v>1</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5" t="str">
        <f>HYPERLINK("http://www.d20pfsrd.com/magic/all-spells/j/joyful-rapture","Joyful Rapture")</f>
        <v>Joyful Rapture</v>
      </c>
      <c r="BT1047" s="1">
        <v>1083</v>
      </c>
      <c r="BU1047" s="1" t="s">
        <v>109</v>
      </c>
      <c r="BV1047" s="1" t="s">
        <v>8579</v>
      </c>
      <c r="BW1047" s="1"/>
      <c r="BX1047" s="1"/>
      <c r="BY1047" s="1"/>
      <c r="BZ1047" s="1">
        <v>0</v>
      </c>
      <c r="CA1047" s="1" t="s">
        <v>109</v>
      </c>
      <c r="CB1047" s="1" t="s">
        <v>109</v>
      </c>
      <c r="CC1047" s="1">
        <v>6</v>
      </c>
      <c r="CD1047" s="1" t="s">
        <v>109</v>
      </c>
      <c r="CE1047" s="1">
        <v>5</v>
      </c>
      <c r="CF1047" s="1" t="s">
        <v>109</v>
      </c>
      <c r="CG1047" s="1" t="s">
        <v>109</v>
      </c>
      <c r="CH1047" s="1" t="s">
        <v>109</v>
      </c>
      <c r="CI1047" s="1" t="s">
        <v>109</v>
      </c>
      <c r="CJ1047" s="1" t="s">
        <v>109</v>
      </c>
      <c r="CK1047" s="1"/>
      <c r="CL1047" s="1">
        <v>0</v>
      </c>
      <c r="CM1047" s="1">
        <v>0</v>
      </c>
      <c r="CN1047" s="1">
        <v>0</v>
      </c>
    </row>
    <row r="1048" spans="1:92" ht="14.25" customHeight="1" x14ac:dyDescent="0.15">
      <c r="A1048" s="1" t="s">
        <v>8580</v>
      </c>
      <c r="B1048" s="1" t="s">
        <v>95</v>
      </c>
      <c r="C1048" s="1"/>
      <c r="D1048" s="1"/>
      <c r="E1048" s="1" t="s">
        <v>8581</v>
      </c>
      <c r="F1048" s="1" t="s">
        <v>98</v>
      </c>
      <c r="G1048" s="1" t="s">
        <v>2345</v>
      </c>
      <c r="H1048" s="1">
        <v>0</v>
      </c>
      <c r="I1048" s="1" t="s">
        <v>161</v>
      </c>
      <c r="J1048" s="1"/>
      <c r="K1048" s="1"/>
      <c r="L1048" s="1" t="s">
        <v>8582</v>
      </c>
      <c r="M1048" s="1" t="s">
        <v>144</v>
      </c>
      <c r="N1048" s="1">
        <v>0</v>
      </c>
      <c r="O1048" s="1">
        <v>0</v>
      </c>
      <c r="P1048" s="1" t="s">
        <v>8583</v>
      </c>
      <c r="Q1048" s="1" t="s">
        <v>630</v>
      </c>
      <c r="R1048" s="1" t="s">
        <v>8584</v>
      </c>
      <c r="S1048" s="1" t="s">
        <v>8585</v>
      </c>
      <c r="T1048" s="1" t="s">
        <v>7821</v>
      </c>
      <c r="U1048" s="1" t="s">
        <v>8586</v>
      </c>
      <c r="V1048" s="1">
        <v>0</v>
      </c>
      <c r="W1048" s="1">
        <v>1</v>
      </c>
      <c r="X1048" s="1">
        <v>0</v>
      </c>
      <c r="Y1048" s="1">
        <v>0</v>
      </c>
      <c r="Z1048" s="1">
        <v>0</v>
      </c>
      <c r="AA1048" s="1">
        <v>1</v>
      </c>
      <c r="AB1048" s="1">
        <v>1</v>
      </c>
      <c r="AC1048" s="1" t="s">
        <v>109</v>
      </c>
      <c r="AD1048" s="1" t="s">
        <v>109</v>
      </c>
      <c r="AE1048" s="1" t="s">
        <v>109</v>
      </c>
      <c r="AF1048" s="1">
        <v>1</v>
      </c>
      <c r="AG1048" s="1" t="s">
        <v>109</v>
      </c>
      <c r="AH1048" s="1" t="s">
        <v>109</v>
      </c>
      <c r="AI1048" s="1" t="s">
        <v>109</v>
      </c>
      <c r="AJ1048" s="1">
        <v>1</v>
      </c>
      <c r="AK1048" s="1" t="s">
        <v>109</v>
      </c>
      <c r="AL1048" s="1" t="s">
        <v>109</v>
      </c>
      <c r="AM1048" s="1" t="s">
        <v>109</v>
      </c>
      <c r="AN1048" s="1" t="s">
        <v>109</v>
      </c>
      <c r="AO1048" s="1" t="s">
        <v>109</v>
      </c>
      <c r="AP1048" s="1"/>
      <c r="AQ1048" s="1">
        <v>1</v>
      </c>
      <c r="AR1048" s="1"/>
      <c r="AS1048" s="1" t="s">
        <v>8587</v>
      </c>
      <c r="AT1048" s="1">
        <v>0</v>
      </c>
      <c r="AU1048" s="1">
        <v>0</v>
      </c>
      <c r="AV1048" s="1">
        <v>0</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5" t="str">
        <f>HYPERLINK("http://www.d20pfsrd.com/magic/all-spells/k/ki-arrow","Ki Arrow")</f>
        <v>Ki Arrow</v>
      </c>
      <c r="BT1048" s="1">
        <v>1084</v>
      </c>
      <c r="BU1048" s="1" t="s">
        <v>109</v>
      </c>
      <c r="BV1048" s="1"/>
      <c r="BW1048" s="1"/>
      <c r="BX1048" s="1"/>
      <c r="BY1048" s="1"/>
      <c r="BZ1048" s="1">
        <v>0</v>
      </c>
      <c r="CA1048" s="1" t="s">
        <v>109</v>
      </c>
      <c r="CB1048" s="1" t="s">
        <v>109</v>
      </c>
      <c r="CC1048" s="1">
        <v>1</v>
      </c>
      <c r="CD1048" s="1" t="s">
        <v>109</v>
      </c>
      <c r="CE1048" s="1" t="s">
        <v>109</v>
      </c>
      <c r="CF1048" s="1" t="s">
        <v>109</v>
      </c>
      <c r="CG1048" s="1" t="s">
        <v>109</v>
      </c>
      <c r="CH1048" s="1" t="s">
        <v>109</v>
      </c>
      <c r="CI1048" s="1" t="s">
        <v>109</v>
      </c>
      <c r="CJ1048" s="1" t="s">
        <v>109</v>
      </c>
      <c r="CK1048" s="1"/>
      <c r="CL1048" s="1">
        <v>0</v>
      </c>
      <c r="CM1048" s="1">
        <v>0</v>
      </c>
      <c r="CN1048" s="1">
        <v>0</v>
      </c>
    </row>
    <row r="1049" spans="1:92" ht="14.25" customHeight="1" x14ac:dyDescent="0.15">
      <c r="A1049" s="1" t="s">
        <v>8588</v>
      </c>
      <c r="B1049" s="1" t="s">
        <v>308</v>
      </c>
      <c r="C1049" s="1"/>
      <c r="D1049" s="1" t="s">
        <v>57</v>
      </c>
      <c r="E1049" s="1" t="s">
        <v>8589</v>
      </c>
      <c r="F1049" s="1" t="s">
        <v>98</v>
      </c>
      <c r="G1049" s="1" t="s">
        <v>141</v>
      </c>
      <c r="H1049" s="1">
        <v>0</v>
      </c>
      <c r="I1049" s="1" t="s">
        <v>235</v>
      </c>
      <c r="J1049" s="1"/>
      <c r="K1049" s="1"/>
      <c r="L1049" s="1" t="s">
        <v>236</v>
      </c>
      <c r="M1049" s="1" t="s">
        <v>6144</v>
      </c>
      <c r="N1049" s="1">
        <v>1</v>
      </c>
      <c r="O1049" s="1">
        <v>0</v>
      </c>
      <c r="P1049" s="1"/>
      <c r="Q1049" s="1"/>
      <c r="R1049" s="1" t="s">
        <v>8590</v>
      </c>
      <c r="S1049" s="1" t="s">
        <v>8591</v>
      </c>
      <c r="T1049" s="1" t="s">
        <v>7821</v>
      </c>
      <c r="U1049" s="1" t="s">
        <v>8592</v>
      </c>
      <c r="V1049" s="1">
        <v>1</v>
      </c>
      <c r="W1049" s="1">
        <v>1</v>
      </c>
      <c r="X1049" s="1">
        <v>0</v>
      </c>
      <c r="Y1049" s="1">
        <v>0</v>
      </c>
      <c r="Z1049" s="1">
        <v>0</v>
      </c>
      <c r="AA1049" s="1">
        <v>3</v>
      </c>
      <c r="AB1049" s="1">
        <v>3</v>
      </c>
      <c r="AC1049" s="1">
        <v>3</v>
      </c>
      <c r="AD1049" s="1" t="s">
        <v>109</v>
      </c>
      <c r="AE1049" s="1" t="s">
        <v>109</v>
      </c>
      <c r="AF1049" s="1" t="s">
        <v>109</v>
      </c>
      <c r="AG1049" s="1" t="s">
        <v>109</v>
      </c>
      <c r="AH1049" s="1" t="s">
        <v>109</v>
      </c>
      <c r="AI1049" s="1" t="s">
        <v>109</v>
      </c>
      <c r="AJ1049" s="1">
        <v>3</v>
      </c>
      <c r="AK1049" s="1" t="s">
        <v>109</v>
      </c>
      <c r="AL1049" s="1">
        <v>3</v>
      </c>
      <c r="AM1049" s="1" t="s">
        <v>109</v>
      </c>
      <c r="AN1049" s="1" t="s">
        <v>109</v>
      </c>
      <c r="AO1049" s="1" t="s">
        <v>109</v>
      </c>
      <c r="AP1049" s="1"/>
      <c r="AQ1049" s="1">
        <v>3</v>
      </c>
      <c r="AR1049" s="1"/>
      <c r="AS1049" s="1" t="s">
        <v>8593</v>
      </c>
      <c r="AT1049" s="1">
        <v>0</v>
      </c>
      <c r="AU1049" s="1">
        <v>0</v>
      </c>
      <c r="AV1049" s="1">
        <v>0</v>
      </c>
      <c r="AW1049" s="1">
        <v>0</v>
      </c>
      <c r="AX1049" s="1">
        <v>0</v>
      </c>
      <c r="AY1049" s="1">
        <v>0</v>
      </c>
      <c r="AZ1049" s="1">
        <v>0</v>
      </c>
      <c r="BA1049" s="1">
        <v>0</v>
      </c>
      <c r="BB1049" s="1">
        <v>0</v>
      </c>
      <c r="BC1049" s="1">
        <v>0</v>
      </c>
      <c r="BD1049" s="1">
        <v>0</v>
      </c>
      <c r="BE1049" s="1">
        <v>1</v>
      </c>
      <c r="BF1049" s="1">
        <v>0</v>
      </c>
      <c r="BG1049" s="1">
        <v>0</v>
      </c>
      <c r="BH1049" s="1">
        <v>0</v>
      </c>
      <c r="BI1049" s="1">
        <v>0</v>
      </c>
      <c r="BJ1049" s="1">
        <v>0</v>
      </c>
      <c r="BK1049" s="1">
        <v>0</v>
      </c>
      <c r="BL1049" s="1">
        <v>0</v>
      </c>
      <c r="BM1049" s="1">
        <v>0</v>
      </c>
      <c r="BN1049" s="1">
        <v>0</v>
      </c>
      <c r="BO1049" s="1">
        <v>0</v>
      </c>
      <c r="BP1049" s="1">
        <v>0</v>
      </c>
      <c r="BQ1049" s="1">
        <v>0</v>
      </c>
      <c r="BR1049" s="1">
        <v>0</v>
      </c>
      <c r="BS1049" s="5" t="str">
        <f>HYPERLINK("http://www.d20pfsrd.com/magic/all-spells/k/ki-leech","Ki Leech")</f>
        <v>Ki Leech</v>
      </c>
      <c r="BT1049" s="1">
        <v>1085</v>
      </c>
      <c r="BU1049" s="1" t="s">
        <v>109</v>
      </c>
      <c r="BV1049" s="1"/>
      <c r="BW1049" s="1"/>
      <c r="BX1049" s="1"/>
      <c r="BY1049" s="1"/>
      <c r="BZ1049" s="1">
        <v>0</v>
      </c>
      <c r="CA1049" s="1" t="s">
        <v>109</v>
      </c>
      <c r="CB1049" s="1" t="s">
        <v>109</v>
      </c>
      <c r="CC1049" s="1">
        <v>3</v>
      </c>
      <c r="CD1049" s="1" t="s">
        <v>109</v>
      </c>
      <c r="CE1049" s="1" t="s">
        <v>109</v>
      </c>
      <c r="CF1049" s="1" t="s">
        <v>109</v>
      </c>
      <c r="CG1049" s="1" t="s">
        <v>109</v>
      </c>
      <c r="CH1049" s="1" t="s">
        <v>109</v>
      </c>
      <c r="CI1049" s="1" t="s">
        <v>109</v>
      </c>
      <c r="CJ1049" s="1" t="s">
        <v>109</v>
      </c>
      <c r="CK1049" s="1"/>
      <c r="CL1049" s="1">
        <v>0</v>
      </c>
      <c r="CM1049" s="1">
        <v>0</v>
      </c>
      <c r="CN1049" s="1">
        <v>0</v>
      </c>
    </row>
    <row r="1050" spans="1:92" ht="14.25" customHeight="1" x14ac:dyDescent="0.15">
      <c r="A1050" s="1" t="s">
        <v>8594</v>
      </c>
      <c r="B1050" s="1" t="s">
        <v>584</v>
      </c>
      <c r="C1050" s="1"/>
      <c r="D1050" s="1" t="s">
        <v>69</v>
      </c>
      <c r="E1050" s="1" t="s">
        <v>8595</v>
      </c>
      <c r="F1050" s="1" t="s">
        <v>98</v>
      </c>
      <c r="G1050" s="1" t="s">
        <v>141</v>
      </c>
      <c r="H1050" s="1">
        <v>0</v>
      </c>
      <c r="I1050" s="1" t="s">
        <v>8596</v>
      </c>
      <c r="J1050" s="1"/>
      <c r="K1050" s="1"/>
      <c r="L1050" s="1" t="s">
        <v>563</v>
      </c>
      <c r="M1050" s="1" t="s">
        <v>144</v>
      </c>
      <c r="N1050" s="1">
        <v>0</v>
      </c>
      <c r="O1050" s="1">
        <v>0</v>
      </c>
      <c r="P1050" s="1" t="s">
        <v>8321</v>
      </c>
      <c r="Q1050" s="1" t="s">
        <v>268</v>
      </c>
      <c r="R1050" s="1" t="s">
        <v>8597</v>
      </c>
      <c r="S1050" s="1" t="s">
        <v>8598</v>
      </c>
      <c r="T1050" s="1" t="s">
        <v>7821</v>
      </c>
      <c r="U1050" s="1" t="s">
        <v>8599</v>
      </c>
      <c r="V1050" s="1">
        <v>1</v>
      </c>
      <c r="W1050" s="1">
        <v>1</v>
      </c>
      <c r="X1050" s="1">
        <v>0</v>
      </c>
      <c r="Y1050" s="1">
        <v>0</v>
      </c>
      <c r="Z1050" s="1">
        <v>0</v>
      </c>
      <c r="AA1050" s="1">
        <v>7</v>
      </c>
      <c r="AB1050" s="1">
        <v>7</v>
      </c>
      <c r="AC1050" s="1" t="s">
        <v>109</v>
      </c>
      <c r="AD1050" s="1" t="s">
        <v>109</v>
      </c>
      <c r="AE1050" s="1" t="s">
        <v>109</v>
      </c>
      <c r="AF1050" s="1">
        <v>5</v>
      </c>
      <c r="AG1050" s="1" t="s">
        <v>109</v>
      </c>
      <c r="AH1050" s="1" t="s">
        <v>109</v>
      </c>
      <c r="AI1050" s="1" t="s">
        <v>109</v>
      </c>
      <c r="AJ1050" s="1" t="s">
        <v>109</v>
      </c>
      <c r="AK1050" s="1" t="s">
        <v>109</v>
      </c>
      <c r="AL1050" s="1" t="s">
        <v>109</v>
      </c>
      <c r="AM1050" s="1" t="s">
        <v>109</v>
      </c>
      <c r="AN1050" s="1" t="s">
        <v>109</v>
      </c>
      <c r="AO1050" s="1" t="s">
        <v>109</v>
      </c>
      <c r="AP1050" s="1"/>
      <c r="AQ1050" s="1">
        <v>7</v>
      </c>
      <c r="AR1050" s="1"/>
      <c r="AS1050" s="1" t="s">
        <v>8600</v>
      </c>
      <c r="AT1050" s="1">
        <v>0</v>
      </c>
      <c r="AU1050" s="1">
        <v>0</v>
      </c>
      <c r="AV1050" s="1">
        <v>0</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1</v>
      </c>
      <c r="BR1050" s="1">
        <v>0</v>
      </c>
      <c r="BS1050" s="5" t="str">
        <f>HYPERLINK("http://www.d20pfsrd.com/magic/all-spells/k/ki-shout","Ki Shout")</f>
        <v>Ki Shout</v>
      </c>
      <c r="BT1050" s="1">
        <v>1086</v>
      </c>
      <c r="BU1050" s="1" t="s">
        <v>109</v>
      </c>
      <c r="BV1050" s="1"/>
      <c r="BW1050" s="1"/>
      <c r="BX1050" s="1"/>
      <c r="BY1050" s="1"/>
      <c r="BZ1050" s="1">
        <v>0</v>
      </c>
      <c r="CA1050" s="1" t="s">
        <v>109</v>
      </c>
      <c r="CB1050" s="1" t="s">
        <v>109</v>
      </c>
      <c r="CC1050" s="1">
        <v>7</v>
      </c>
      <c r="CD1050" s="1" t="s">
        <v>109</v>
      </c>
      <c r="CE1050" s="1" t="s">
        <v>109</v>
      </c>
      <c r="CF1050" s="1" t="s">
        <v>109</v>
      </c>
      <c r="CG1050" s="1" t="s">
        <v>109</v>
      </c>
      <c r="CH1050" s="1" t="s">
        <v>109</v>
      </c>
      <c r="CI1050" s="1" t="s">
        <v>109</v>
      </c>
      <c r="CJ1050" s="1" t="s">
        <v>109</v>
      </c>
      <c r="CK1050" s="1"/>
      <c r="CL1050" s="1">
        <v>0</v>
      </c>
      <c r="CM1050" s="1">
        <v>0</v>
      </c>
      <c r="CN1050" s="1">
        <v>0</v>
      </c>
    </row>
    <row r="1051" spans="1:92" ht="14.25" customHeight="1" x14ac:dyDescent="0.15">
      <c r="A1051" s="1" t="s">
        <v>8601</v>
      </c>
      <c r="B1051" s="1" t="s">
        <v>254</v>
      </c>
      <c r="C1051" s="1"/>
      <c r="D1051" s="1"/>
      <c r="E1051" s="1" t="s">
        <v>8602</v>
      </c>
      <c r="F1051" s="1" t="s">
        <v>277</v>
      </c>
      <c r="G1051" s="1" t="s">
        <v>8603</v>
      </c>
      <c r="H1051" s="1">
        <v>0</v>
      </c>
      <c r="I1051" s="1" t="s">
        <v>235</v>
      </c>
      <c r="J1051" s="1"/>
      <c r="K1051" s="1"/>
      <c r="L1051" s="1" t="s">
        <v>236</v>
      </c>
      <c r="M1051" s="1" t="s">
        <v>144</v>
      </c>
      <c r="N1051" s="1">
        <v>0</v>
      </c>
      <c r="O1051" s="1">
        <v>0</v>
      </c>
      <c r="P1051" s="1" t="s">
        <v>103</v>
      </c>
      <c r="Q1051" s="1" t="s">
        <v>104</v>
      </c>
      <c r="R1051" s="1" t="s">
        <v>8604</v>
      </c>
      <c r="S1051" s="1" t="s">
        <v>8605</v>
      </c>
      <c r="T1051" s="1" t="s">
        <v>7821</v>
      </c>
      <c r="U1051" s="1" t="s">
        <v>8606</v>
      </c>
      <c r="V1051" s="1">
        <v>1</v>
      </c>
      <c r="W1051" s="1">
        <v>1</v>
      </c>
      <c r="X1051" s="1">
        <v>0</v>
      </c>
      <c r="Y1051" s="1">
        <v>0</v>
      </c>
      <c r="Z1051" s="1">
        <v>1</v>
      </c>
      <c r="AA1051" s="1" t="s">
        <v>109</v>
      </c>
      <c r="AB1051" s="1" t="s">
        <v>109</v>
      </c>
      <c r="AC1051" s="1">
        <v>1</v>
      </c>
      <c r="AD1051" s="1" t="s">
        <v>109</v>
      </c>
      <c r="AE1051" s="1">
        <v>1</v>
      </c>
      <c r="AF1051" s="1" t="s">
        <v>109</v>
      </c>
      <c r="AG1051" s="1">
        <v>1</v>
      </c>
      <c r="AH1051" s="1" t="s">
        <v>109</v>
      </c>
      <c r="AI1051" s="1" t="s">
        <v>109</v>
      </c>
      <c r="AJ1051" s="1" t="s">
        <v>109</v>
      </c>
      <c r="AK1051" s="1">
        <v>1</v>
      </c>
      <c r="AL1051" s="1">
        <v>1</v>
      </c>
      <c r="AM1051" s="1" t="s">
        <v>109</v>
      </c>
      <c r="AN1051" s="1" t="s">
        <v>109</v>
      </c>
      <c r="AO1051" s="1" t="s">
        <v>109</v>
      </c>
      <c r="AP1051" s="1"/>
      <c r="AQ1051" s="1">
        <v>1</v>
      </c>
      <c r="AR1051" s="1" t="s">
        <v>8607</v>
      </c>
      <c r="AS1051" s="1" t="s">
        <v>8608</v>
      </c>
      <c r="AT1051" s="1">
        <v>0</v>
      </c>
      <c r="AU1051" s="1">
        <v>0</v>
      </c>
      <c r="AV1051" s="1">
        <v>0</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5" t="str">
        <f>HYPERLINK("http://www.d20pfsrd.com/magic/all-spells/k/know-the-enemy","Know the Enemy")</f>
        <v>Know the Enemy</v>
      </c>
      <c r="BT1051" s="1">
        <v>1087</v>
      </c>
      <c r="BU1051" s="1" t="s">
        <v>109</v>
      </c>
      <c r="BV1051" s="1"/>
      <c r="BW1051" s="1"/>
      <c r="BX1051" s="1" t="s">
        <v>8609</v>
      </c>
      <c r="BY1051" s="1"/>
      <c r="BZ1051" s="1">
        <v>1</v>
      </c>
      <c r="CA1051" s="1" t="s">
        <v>109</v>
      </c>
      <c r="CB1051" s="1" t="s">
        <v>109</v>
      </c>
      <c r="CC1051" s="1" t="s">
        <v>109</v>
      </c>
      <c r="CD1051" s="1" t="s">
        <v>109</v>
      </c>
      <c r="CE1051" s="1" t="s">
        <v>109</v>
      </c>
      <c r="CF1051" s="1" t="s">
        <v>109</v>
      </c>
      <c r="CG1051" s="1" t="s">
        <v>109</v>
      </c>
      <c r="CH1051" s="1" t="s">
        <v>109</v>
      </c>
      <c r="CI1051" s="1" t="s">
        <v>109</v>
      </c>
      <c r="CJ1051" s="1">
        <v>1</v>
      </c>
      <c r="CK1051" s="1"/>
      <c r="CL1051" s="1">
        <v>0</v>
      </c>
      <c r="CM1051" s="1">
        <v>0</v>
      </c>
      <c r="CN1051" s="1">
        <v>0</v>
      </c>
    </row>
    <row r="1052" spans="1:92" ht="14.25" customHeight="1" x14ac:dyDescent="0.15">
      <c r="A1052" s="1" t="s">
        <v>8610</v>
      </c>
      <c r="B1052" s="1" t="s">
        <v>584</v>
      </c>
      <c r="C1052" s="1"/>
      <c r="D1052" s="1" t="s">
        <v>60</v>
      </c>
      <c r="E1052" s="1" t="s">
        <v>8611</v>
      </c>
      <c r="F1052" s="1" t="s">
        <v>98</v>
      </c>
      <c r="G1052" s="1" t="s">
        <v>141</v>
      </c>
      <c r="H1052" s="1">
        <v>0</v>
      </c>
      <c r="I1052" s="1" t="s">
        <v>8612</v>
      </c>
      <c r="J1052" s="1"/>
      <c r="K1052" s="1"/>
      <c r="L1052" s="1" t="s">
        <v>1391</v>
      </c>
      <c r="M1052" s="1" t="s">
        <v>3042</v>
      </c>
      <c r="N1052" s="1">
        <v>0</v>
      </c>
      <c r="O1052" s="1">
        <v>0</v>
      </c>
      <c r="P1052" s="1" t="s">
        <v>2092</v>
      </c>
      <c r="Q1052" s="1" t="s">
        <v>268</v>
      </c>
      <c r="R1052" s="1" t="s">
        <v>8613</v>
      </c>
      <c r="S1052" s="1" t="s">
        <v>8614</v>
      </c>
      <c r="T1052" s="1" t="s">
        <v>7821</v>
      </c>
      <c r="U1052" s="1" t="s">
        <v>8615</v>
      </c>
      <c r="V1052" s="1">
        <v>1</v>
      </c>
      <c r="W1052" s="1">
        <v>1</v>
      </c>
      <c r="X1052" s="1">
        <v>0</v>
      </c>
      <c r="Y1052" s="1">
        <v>0</v>
      </c>
      <c r="Z1052" s="1">
        <v>0</v>
      </c>
      <c r="AA1052" s="1">
        <v>6</v>
      </c>
      <c r="AB1052" s="1">
        <v>6</v>
      </c>
      <c r="AC1052" s="1" t="s">
        <v>109</v>
      </c>
      <c r="AD1052" s="1" t="s">
        <v>109</v>
      </c>
      <c r="AE1052" s="1" t="s">
        <v>109</v>
      </c>
      <c r="AF1052" s="1" t="s">
        <v>109</v>
      </c>
      <c r="AG1052" s="1" t="s">
        <v>109</v>
      </c>
      <c r="AH1052" s="1" t="s">
        <v>109</v>
      </c>
      <c r="AI1052" s="1" t="s">
        <v>109</v>
      </c>
      <c r="AJ1052" s="1" t="s">
        <v>109</v>
      </c>
      <c r="AK1052" s="1">
        <v>4</v>
      </c>
      <c r="AL1052" s="1" t="s">
        <v>109</v>
      </c>
      <c r="AM1052" s="1" t="s">
        <v>109</v>
      </c>
      <c r="AN1052" s="1" t="s">
        <v>109</v>
      </c>
      <c r="AO1052" s="1" t="s">
        <v>109</v>
      </c>
      <c r="AP1052" s="1"/>
      <c r="AQ1052" s="1">
        <v>6</v>
      </c>
      <c r="AR1052" s="1"/>
      <c r="AS1052" s="1" t="s">
        <v>8616</v>
      </c>
      <c r="AT1052" s="1">
        <v>0</v>
      </c>
      <c r="AU1052" s="1">
        <v>0</v>
      </c>
      <c r="AV1052" s="1">
        <v>0</v>
      </c>
      <c r="AW1052" s="1">
        <v>0</v>
      </c>
      <c r="AX1052" s="1">
        <v>0</v>
      </c>
      <c r="AY1052" s="1">
        <v>0</v>
      </c>
      <c r="AZ1052" s="1">
        <v>0</v>
      </c>
      <c r="BA1052" s="1">
        <v>0</v>
      </c>
      <c r="BB1052" s="1">
        <v>0</v>
      </c>
      <c r="BC1052" s="1">
        <v>0</v>
      </c>
      <c r="BD1052" s="1">
        <v>0</v>
      </c>
      <c r="BE1052" s="1">
        <v>0</v>
      </c>
      <c r="BF1052" s="1">
        <v>0</v>
      </c>
      <c r="BG1052" s="1">
        <v>0</v>
      </c>
      <c r="BH1052" s="1">
        <v>1</v>
      </c>
      <c r="BI1052" s="1">
        <v>0</v>
      </c>
      <c r="BJ1052" s="1">
        <v>0</v>
      </c>
      <c r="BK1052" s="1">
        <v>0</v>
      </c>
      <c r="BL1052" s="1">
        <v>0</v>
      </c>
      <c r="BM1052" s="1">
        <v>0</v>
      </c>
      <c r="BN1052" s="1">
        <v>0</v>
      </c>
      <c r="BO1052" s="1">
        <v>0</v>
      </c>
      <c r="BP1052" s="1">
        <v>0</v>
      </c>
      <c r="BQ1052" s="1">
        <v>0</v>
      </c>
      <c r="BR1052" s="1">
        <v>0</v>
      </c>
      <c r="BS1052" s="5" t="str">
        <f>HYPERLINK("http://www.d20pfsrd.com/magic/all-spells/l/leashed-shackles","Leashed Shackles")</f>
        <v>Leashed Shackles</v>
      </c>
      <c r="BT1052" s="1">
        <v>1088</v>
      </c>
      <c r="BU1052" s="1" t="s">
        <v>109</v>
      </c>
      <c r="BV1052" s="1"/>
      <c r="BW1052" s="1"/>
      <c r="BX1052" s="1"/>
      <c r="BY1052" s="1"/>
      <c r="BZ1052" s="1">
        <v>0</v>
      </c>
      <c r="CA1052" s="1" t="s">
        <v>109</v>
      </c>
      <c r="CB1052" s="1" t="s">
        <v>109</v>
      </c>
      <c r="CC1052" s="1">
        <v>6</v>
      </c>
      <c r="CD1052" s="1" t="s">
        <v>109</v>
      </c>
      <c r="CE1052" s="1" t="s">
        <v>109</v>
      </c>
      <c r="CF1052" s="1" t="s">
        <v>109</v>
      </c>
      <c r="CG1052" s="1">
        <v>6</v>
      </c>
      <c r="CH1052" s="1" t="s">
        <v>109</v>
      </c>
      <c r="CI1052" s="1" t="s">
        <v>109</v>
      </c>
      <c r="CJ1052" s="1" t="s">
        <v>109</v>
      </c>
      <c r="CK1052" s="1"/>
      <c r="CL1052" s="1">
        <v>0</v>
      </c>
      <c r="CM1052" s="1">
        <v>0</v>
      </c>
      <c r="CN1052" s="1">
        <v>0</v>
      </c>
    </row>
    <row r="1053" spans="1:92" ht="14.25" customHeight="1" x14ac:dyDescent="0.15">
      <c r="A1053" s="1" t="s">
        <v>8617</v>
      </c>
      <c r="B1053" s="1" t="s">
        <v>254</v>
      </c>
      <c r="C1053" s="1"/>
      <c r="D1053" s="1"/>
      <c r="E1053" s="1" t="s">
        <v>6075</v>
      </c>
      <c r="F1053" s="1" t="s">
        <v>98</v>
      </c>
      <c r="G1053" s="1" t="s">
        <v>6142</v>
      </c>
      <c r="H1053" s="1">
        <v>0</v>
      </c>
      <c r="I1053" s="1" t="s">
        <v>161</v>
      </c>
      <c r="J1053" s="1"/>
      <c r="K1053" s="1"/>
      <c r="L1053" s="1" t="s">
        <v>8618</v>
      </c>
      <c r="M1053" s="1" t="s">
        <v>125</v>
      </c>
      <c r="N1053" s="1">
        <v>0</v>
      </c>
      <c r="O1053" s="1">
        <v>0</v>
      </c>
      <c r="P1053" s="1" t="s">
        <v>507</v>
      </c>
      <c r="Q1053" s="1" t="s">
        <v>167</v>
      </c>
      <c r="R1053" s="1" t="s">
        <v>8619</v>
      </c>
      <c r="S1053" s="1" t="s">
        <v>8620</v>
      </c>
      <c r="T1053" s="1" t="s">
        <v>7821</v>
      </c>
      <c r="U1053" s="1" t="s">
        <v>8621</v>
      </c>
      <c r="V1053" s="1">
        <v>1</v>
      </c>
      <c r="W1053" s="1">
        <v>0</v>
      </c>
      <c r="X1053" s="1">
        <v>0</v>
      </c>
      <c r="Y1053" s="1">
        <v>0</v>
      </c>
      <c r="Z1053" s="1">
        <v>1</v>
      </c>
      <c r="AA1053" s="1" t="s">
        <v>109</v>
      </c>
      <c r="AB1053" s="1" t="s">
        <v>109</v>
      </c>
      <c r="AC1053" s="1" t="s">
        <v>109</v>
      </c>
      <c r="AD1053" s="1" t="s">
        <v>109</v>
      </c>
      <c r="AE1053" s="1" t="s">
        <v>109</v>
      </c>
      <c r="AF1053" s="1" t="s">
        <v>109</v>
      </c>
      <c r="AG1053" s="1" t="s">
        <v>109</v>
      </c>
      <c r="AH1053" s="1" t="s">
        <v>109</v>
      </c>
      <c r="AI1053" s="1" t="s">
        <v>109</v>
      </c>
      <c r="AJ1053" s="1" t="s">
        <v>109</v>
      </c>
      <c r="AK1053" s="1">
        <v>1</v>
      </c>
      <c r="AL1053" s="1" t="s">
        <v>109</v>
      </c>
      <c r="AM1053" s="1" t="s">
        <v>109</v>
      </c>
      <c r="AN1053" s="1" t="s">
        <v>109</v>
      </c>
      <c r="AO1053" s="1" t="s">
        <v>109</v>
      </c>
      <c r="AP1053" s="1"/>
      <c r="AQ1053" s="1">
        <v>1</v>
      </c>
      <c r="AR1053" s="1"/>
      <c r="AS1053" s="1" t="s">
        <v>8622</v>
      </c>
      <c r="AT1053" s="1">
        <v>0</v>
      </c>
      <c r="AU1053" s="1">
        <v>0</v>
      </c>
      <c r="AV1053" s="1">
        <v>0</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5" t="str">
        <f>HYPERLINK("http://www.d20pfsrd.com/magic/all-spells/l/lend-judgment","Lend Judgment")</f>
        <v>Lend Judgment</v>
      </c>
      <c r="BT1053" s="1">
        <v>1089</v>
      </c>
      <c r="BU1053" s="1" t="s">
        <v>109</v>
      </c>
      <c r="BV1053" s="1"/>
      <c r="BW1053" s="1"/>
      <c r="BX1053" s="1"/>
      <c r="BY1053" s="1"/>
      <c r="BZ1053" s="1">
        <v>0</v>
      </c>
      <c r="CA1053" s="1" t="s">
        <v>109</v>
      </c>
      <c r="CB1053" s="1" t="s">
        <v>109</v>
      </c>
      <c r="CC1053" s="1" t="s">
        <v>109</v>
      </c>
      <c r="CD1053" s="1" t="s">
        <v>109</v>
      </c>
      <c r="CE1053" s="1" t="s">
        <v>109</v>
      </c>
      <c r="CF1053" s="1" t="s">
        <v>109</v>
      </c>
      <c r="CG1053" s="1" t="s">
        <v>109</v>
      </c>
      <c r="CH1053" s="1" t="s">
        <v>109</v>
      </c>
      <c r="CI1053" s="1" t="s">
        <v>109</v>
      </c>
      <c r="CJ1053" s="1" t="s">
        <v>109</v>
      </c>
      <c r="CK1053" s="1"/>
      <c r="CL1053" s="1">
        <v>0</v>
      </c>
      <c r="CM1053" s="1">
        <v>0</v>
      </c>
      <c r="CN1053" s="1">
        <v>0</v>
      </c>
    </row>
    <row r="1054" spans="1:92" ht="14.25" customHeight="1" x14ac:dyDescent="0.15">
      <c r="A1054" s="1" t="s">
        <v>8623</v>
      </c>
      <c r="B1054" s="1" t="s">
        <v>254</v>
      </c>
      <c r="C1054" s="1"/>
      <c r="D1054" s="1"/>
      <c r="E1054" s="1" t="s">
        <v>8297</v>
      </c>
      <c r="F1054" s="1" t="s">
        <v>98</v>
      </c>
      <c r="G1054" s="1" t="s">
        <v>6142</v>
      </c>
      <c r="H1054" s="1">
        <v>0</v>
      </c>
      <c r="I1054" s="1" t="s">
        <v>161</v>
      </c>
      <c r="J1054" s="1"/>
      <c r="K1054" s="1"/>
      <c r="L1054" s="1" t="s">
        <v>8618</v>
      </c>
      <c r="M1054" s="1" t="s">
        <v>125</v>
      </c>
      <c r="N1054" s="1">
        <v>0</v>
      </c>
      <c r="O1054" s="1">
        <v>0</v>
      </c>
      <c r="P1054" s="1" t="s">
        <v>507</v>
      </c>
      <c r="Q1054" s="1" t="s">
        <v>167</v>
      </c>
      <c r="R1054" s="1" t="s">
        <v>8624</v>
      </c>
      <c r="S1054" s="1" t="s">
        <v>8625</v>
      </c>
      <c r="T1054" s="1" t="s">
        <v>7821</v>
      </c>
      <c r="U1054" s="1" t="s">
        <v>8626</v>
      </c>
      <c r="V1054" s="1">
        <v>1</v>
      </c>
      <c r="W1054" s="1">
        <v>0</v>
      </c>
      <c r="X1054" s="1">
        <v>0</v>
      </c>
      <c r="Y1054" s="1">
        <v>0</v>
      </c>
      <c r="Z1054" s="1">
        <v>1</v>
      </c>
      <c r="AA1054" s="1" t="s">
        <v>109</v>
      </c>
      <c r="AB1054" s="1" t="s">
        <v>109</v>
      </c>
      <c r="AC1054" s="1" t="s">
        <v>109</v>
      </c>
      <c r="AD1054" s="1" t="s">
        <v>109</v>
      </c>
      <c r="AE1054" s="1" t="s">
        <v>109</v>
      </c>
      <c r="AF1054" s="1" t="s">
        <v>109</v>
      </c>
      <c r="AG1054" s="1" t="s">
        <v>109</v>
      </c>
      <c r="AH1054" s="1" t="s">
        <v>109</v>
      </c>
      <c r="AI1054" s="1" t="s">
        <v>109</v>
      </c>
      <c r="AJ1054" s="1" t="s">
        <v>109</v>
      </c>
      <c r="AK1054" s="1">
        <v>5</v>
      </c>
      <c r="AL1054" s="1" t="s">
        <v>109</v>
      </c>
      <c r="AM1054" s="1" t="s">
        <v>109</v>
      </c>
      <c r="AN1054" s="1" t="s">
        <v>109</v>
      </c>
      <c r="AO1054" s="1" t="s">
        <v>109</v>
      </c>
      <c r="AP1054" s="1"/>
      <c r="AQ1054" s="1">
        <v>5</v>
      </c>
      <c r="AR1054" s="1"/>
      <c r="AS1054" s="1" t="s">
        <v>8627</v>
      </c>
      <c r="AT1054" s="1">
        <v>0</v>
      </c>
      <c r="AU1054" s="1">
        <v>0</v>
      </c>
      <c r="AV1054" s="1">
        <v>0</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5" t="str">
        <f>HYPERLINK("http://www.d20pfsrd.com/magic/all-spells/l/lend-judgment","Lend Judgment, Greater")</f>
        <v>Lend Judgment, Greater</v>
      </c>
      <c r="BT1054" s="1">
        <v>1090</v>
      </c>
      <c r="BU1054" s="1" t="s">
        <v>109</v>
      </c>
      <c r="BV1054" s="1"/>
      <c r="BW1054" s="1"/>
      <c r="BX1054" s="1"/>
      <c r="BY1054" s="1"/>
      <c r="BZ1054" s="1">
        <v>0</v>
      </c>
      <c r="CA1054" s="1" t="s">
        <v>109</v>
      </c>
      <c r="CB1054" s="1" t="s">
        <v>109</v>
      </c>
      <c r="CC1054" s="1" t="s">
        <v>109</v>
      </c>
      <c r="CD1054" s="1" t="s">
        <v>109</v>
      </c>
      <c r="CE1054" s="1" t="s">
        <v>109</v>
      </c>
      <c r="CF1054" s="1" t="s">
        <v>109</v>
      </c>
      <c r="CG1054" s="1" t="s">
        <v>109</v>
      </c>
      <c r="CH1054" s="1" t="s">
        <v>109</v>
      </c>
      <c r="CI1054" s="1" t="s">
        <v>109</v>
      </c>
      <c r="CJ1054" s="1" t="s">
        <v>109</v>
      </c>
      <c r="CK1054" s="1"/>
      <c r="CL1054" s="1">
        <v>0</v>
      </c>
      <c r="CM1054" s="1">
        <v>0</v>
      </c>
      <c r="CN1054" s="1">
        <v>0</v>
      </c>
    </row>
    <row r="1055" spans="1:92" ht="14.25" customHeight="1" x14ac:dyDescent="0.15">
      <c r="A1055" s="1" t="s">
        <v>8628</v>
      </c>
      <c r="B1055" s="1" t="s">
        <v>584</v>
      </c>
      <c r="C1055" s="1"/>
      <c r="D1055" s="1" t="s">
        <v>55</v>
      </c>
      <c r="E1055" s="1" t="s">
        <v>8537</v>
      </c>
      <c r="F1055" s="1" t="s">
        <v>98</v>
      </c>
      <c r="G1055" s="1" t="s">
        <v>8629</v>
      </c>
      <c r="H1055" s="1">
        <v>0</v>
      </c>
      <c r="I1055" s="1" t="s">
        <v>100</v>
      </c>
      <c r="J1055" s="1"/>
      <c r="K1055" s="1"/>
      <c r="L1055" s="1" t="s">
        <v>8630</v>
      </c>
      <c r="M1055" s="1" t="s">
        <v>144</v>
      </c>
      <c r="N1055" s="1">
        <v>0</v>
      </c>
      <c r="O1055" s="1">
        <v>0</v>
      </c>
      <c r="P1055" s="1" t="s">
        <v>727</v>
      </c>
      <c r="Q1055" s="1" t="s">
        <v>8631</v>
      </c>
      <c r="R1055" s="1" t="s">
        <v>8632</v>
      </c>
      <c r="S1055" s="1" t="s">
        <v>8633</v>
      </c>
      <c r="T1055" s="1" t="s">
        <v>7821</v>
      </c>
      <c r="U1055" s="1" t="s">
        <v>8634</v>
      </c>
      <c r="V1055" s="1">
        <v>1</v>
      </c>
      <c r="W1055" s="1">
        <v>1</v>
      </c>
      <c r="X1055" s="1">
        <v>1</v>
      </c>
      <c r="Y1055" s="1">
        <v>0</v>
      </c>
      <c r="Z1055" s="1">
        <v>0</v>
      </c>
      <c r="AA1055" s="1">
        <v>5</v>
      </c>
      <c r="AB1055" s="1">
        <v>5</v>
      </c>
      <c r="AC1055" s="1" t="s">
        <v>109</v>
      </c>
      <c r="AD1055" s="1" t="s">
        <v>109</v>
      </c>
      <c r="AE1055" s="1" t="s">
        <v>109</v>
      </c>
      <c r="AF1055" s="1" t="s">
        <v>109</v>
      </c>
      <c r="AG1055" s="1" t="s">
        <v>109</v>
      </c>
      <c r="AH1055" s="1" t="s">
        <v>109</v>
      </c>
      <c r="AI1055" s="1" t="s">
        <v>109</v>
      </c>
      <c r="AJ1055" s="1" t="s">
        <v>109</v>
      </c>
      <c r="AK1055" s="1" t="s">
        <v>109</v>
      </c>
      <c r="AL1055" s="1" t="s">
        <v>109</v>
      </c>
      <c r="AM1055" s="1" t="s">
        <v>109</v>
      </c>
      <c r="AN1055" s="1" t="s">
        <v>109</v>
      </c>
      <c r="AO1055" s="1" t="s">
        <v>109</v>
      </c>
      <c r="AP1055" s="1"/>
      <c r="AQ1055" s="1">
        <v>5</v>
      </c>
      <c r="AR1055" s="1"/>
      <c r="AS1055" s="1" t="s">
        <v>8635</v>
      </c>
      <c r="AT1055" s="1">
        <v>0</v>
      </c>
      <c r="AU1055" s="1">
        <v>0</v>
      </c>
      <c r="AV1055" s="1">
        <v>0</v>
      </c>
      <c r="AW1055" s="1">
        <v>0</v>
      </c>
      <c r="AX1055" s="1">
        <v>0</v>
      </c>
      <c r="AY1055" s="1">
        <v>0</v>
      </c>
      <c r="AZ1055" s="1">
        <v>0</v>
      </c>
      <c r="BA1055" s="1">
        <v>0</v>
      </c>
      <c r="BB1055" s="1">
        <v>0</v>
      </c>
      <c r="BC1055" s="1">
        <v>1</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5" t="str">
        <f>HYPERLINK("http://www.d20pfsrd.com/magic/all-spells/l/lightning-arc","Lightning Arc")</f>
        <v>Lightning Arc</v>
      </c>
      <c r="BT1055" s="1">
        <v>1091</v>
      </c>
      <c r="BU1055" s="1" t="s">
        <v>109</v>
      </c>
      <c r="BV1055" s="1"/>
      <c r="BW1055" s="1"/>
      <c r="BX1055" s="1" t="s">
        <v>8636</v>
      </c>
      <c r="BY1055" s="1" t="s">
        <v>8637</v>
      </c>
      <c r="BZ1055" s="1">
        <v>1</v>
      </c>
      <c r="CA1055" s="1" t="s">
        <v>109</v>
      </c>
      <c r="CB1055" s="1" t="s">
        <v>109</v>
      </c>
      <c r="CC1055" s="1" t="s">
        <v>109</v>
      </c>
      <c r="CD1055" s="1" t="s">
        <v>109</v>
      </c>
      <c r="CE1055" s="1" t="s">
        <v>109</v>
      </c>
      <c r="CF1055" s="1" t="s">
        <v>109</v>
      </c>
      <c r="CG1055" s="1" t="s">
        <v>109</v>
      </c>
      <c r="CH1055" s="1" t="s">
        <v>109</v>
      </c>
      <c r="CI1055" s="1" t="s">
        <v>109</v>
      </c>
      <c r="CJ1055" s="1" t="s">
        <v>109</v>
      </c>
      <c r="CK1055" s="1"/>
      <c r="CL1055" s="1">
        <v>0</v>
      </c>
      <c r="CM1055" s="1">
        <v>0</v>
      </c>
      <c r="CN1055" s="1">
        <v>0</v>
      </c>
    </row>
    <row r="1056" spans="1:92" ht="14.25" customHeight="1" x14ac:dyDescent="0.15">
      <c r="A1056" s="1" t="s">
        <v>8638</v>
      </c>
      <c r="B1056" s="1" t="s">
        <v>674</v>
      </c>
      <c r="C1056" s="1" t="s">
        <v>944</v>
      </c>
      <c r="D1056" s="1" t="s">
        <v>158</v>
      </c>
      <c r="E1056" s="1" t="s">
        <v>8639</v>
      </c>
      <c r="F1056" s="1" t="s">
        <v>98</v>
      </c>
      <c r="G1056" s="1" t="s">
        <v>8640</v>
      </c>
      <c r="H1056" s="1">
        <v>0</v>
      </c>
      <c r="I1056" s="1" t="s">
        <v>142</v>
      </c>
      <c r="J1056" s="1"/>
      <c r="K1056" s="1" t="s">
        <v>8641</v>
      </c>
      <c r="L1056" s="1"/>
      <c r="M1056" s="1" t="s">
        <v>8008</v>
      </c>
      <c r="N1056" s="1">
        <v>1</v>
      </c>
      <c r="O1056" s="1">
        <v>0</v>
      </c>
      <c r="P1056" s="1" t="s">
        <v>301</v>
      </c>
      <c r="Q1056" s="1" t="s">
        <v>268</v>
      </c>
      <c r="R1056" s="1" t="s">
        <v>8642</v>
      </c>
      <c r="S1056" s="1" t="s">
        <v>8643</v>
      </c>
      <c r="T1056" s="1" t="s">
        <v>7821</v>
      </c>
      <c r="U1056" s="1" t="s">
        <v>8644</v>
      </c>
      <c r="V1056" s="1">
        <v>1</v>
      </c>
      <c r="W1056" s="1">
        <v>1</v>
      </c>
      <c r="X1056" s="1">
        <v>1</v>
      </c>
      <c r="Y1056" s="1">
        <v>0</v>
      </c>
      <c r="Z1056" s="1">
        <v>0</v>
      </c>
      <c r="AA1056" s="1">
        <v>3</v>
      </c>
      <c r="AB1056" s="1">
        <v>3</v>
      </c>
      <c r="AC1056" s="1" t="s">
        <v>109</v>
      </c>
      <c r="AD1056" s="1" t="s">
        <v>109</v>
      </c>
      <c r="AE1056" s="1" t="s">
        <v>109</v>
      </c>
      <c r="AF1056" s="1" t="s">
        <v>109</v>
      </c>
      <c r="AG1056" s="1" t="s">
        <v>109</v>
      </c>
      <c r="AH1056" s="1" t="s">
        <v>109</v>
      </c>
      <c r="AI1056" s="1" t="s">
        <v>109</v>
      </c>
      <c r="AJ1056" s="1">
        <v>3</v>
      </c>
      <c r="AK1056" s="1" t="s">
        <v>109</v>
      </c>
      <c r="AL1056" s="1" t="s">
        <v>109</v>
      </c>
      <c r="AM1056" s="1" t="s">
        <v>109</v>
      </c>
      <c r="AN1056" s="1" t="s">
        <v>109</v>
      </c>
      <c r="AO1056" s="1" t="s">
        <v>109</v>
      </c>
      <c r="AP1056" s="1"/>
      <c r="AQ1056" s="1">
        <v>3</v>
      </c>
      <c r="AR1056" s="1"/>
      <c r="AS1056" s="1" t="s">
        <v>8645</v>
      </c>
      <c r="AT1056" s="1">
        <v>0</v>
      </c>
      <c r="AU1056" s="1">
        <v>0</v>
      </c>
      <c r="AV1056" s="1">
        <v>0</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1</v>
      </c>
      <c r="BN1056" s="1">
        <v>0</v>
      </c>
      <c r="BO1056" s="1">
        <v>0</v>
      </c>
      <c r="BP1056" s="1">
        <v>0</v>
      </c>
      <c r="BQ1056" s="1">
        <v>0</v>
      </c>
      <c r="BR1056" s="1">
        <v>0</v>
      </c>
      <c r="BS1056" s="5" t="str">
        <f>HYPERLINK("http://www.d20pfsrd.com/magic/all-spells/l/loathsome-veil","Loathsome Veil")</f>
        <v>Loathsome Veil</v>
      </c>
      <c r="BT1056" s="1">
        <v>1092</v>
      </c>
      <c r="BU1056" s="1" t="s">
        <v>109</v>
      </c>
      <c r="BV1056" s="1"/>
      <c r="BW1056" s="1"/>
      <c r="BX1056" s="1"/>
      <c r="BY1056" s="1"/>
      <c r="BZ1056" s="1">
        <v>0</v>
      </c>
      <c r="CA1056" s="1" t="s">
        <v>109</v>
      </c>
      <c r="CB1056" s="1" t="s">
        <v>109</v>
      </c>
      <c r="CC1056" s="1">
        <v>3</v>
      </c>
      <c r="CD1056" s="1" t="s">
        <v>109</v>
      </c>
      <c r="CE1056" s="1">
        <v>3</v>
      </c>
      <c r="CF1056" s="1" t="s">
        <v>109</v>
      </c>
      <c r="CG1056" s="1" t="s">
        <v>109</v>
      </c>
      <c r="CH1056" s="1" t="s">
        <v>109</v>
      </c>
      <c r="CI1056" s="1" t="s">
        <v>109</v>
      </c>
      <c r="CJ1056" s="1" t="s">
        <v>109</v>
      </c>
      <c r="CK1056" s="1"/>
      <c r="CL1056" s="1">
        <v>0</v>
      </c>
      <c r="CM1056" s="1">
        <v>0</v>
      </c>
      <c r="CN1056" s="1">
        <v>0</v>
      </c>
    </row>
    <row r="1057" spans="1:92" ht="14.25" customHeight="1" x14ac:dyDescent="0.15">
      <c r="A1057" s="1" t="s">
        <v>8646</v>
      </c>
      <c r="B1057" s="1" t="s">
        <v>674</v>
      </c>
      <c r="C1057" s="1" t="s">
        <v>68</v>
      </c>
      <c r="D1057" s="1" t="s">
        <v>8647</v>
      </c>
      <c r="E1057" s="1" t="s">
        <v>8648</v>
      </c>
      <c r="F1057" s="1" t="s">
        <v>98</v>
      </c>
      <c r="G1057" s="1" t="s">
        <v>141</v>
      </c>
      <c r="H1057" s="1">
        <v>0</v>
      </c>
      <c r="I1057" s="1" t="s">
        <v>100</v>
      </c>
      <c r="J1057" s="1" t="s">
        <v>8649</v>
      </c>
      <c r="K1057" s="1"/>
      <c r="L1057" s="1"/>
      <c r="M1057" s="1" t="s">
        <v>7934</v>
      </c>
      <c r="N1057" s="1">
        <v>0</v>
      </c>
      <c r="O1057" s="1">
        <v>0</v>
      </c>
      <c r="P1057" s="1" t="s">
        <v>8650</v>
      </c>
      <c r="Q1057" s="1" t="s">
        <v>104</v>
      </c>
      <c r="R1057" s="1" t="s">
        <v>8651</v>
      </c>
      <c r="S1057" s="1" t="s">
        <v>8652</v>
      </c>
      <c r="T1057" s="1" t="s">
        <v>7821</v>
      </c>
      <c r="U1057" s="1" t="s">
        <v>8653</v>
      </c>
      <c r="V1057" s="1">
        <v>1</v>
      </c>
      <c r="W1057" s="1">
        <v>1</v>
      </c>
      <c r="X1057" s="1">
        <v>0</v>
      </c>
      <c r="Y1057" s="1">
        <v>0</v>
      </c>
      <c r="Z1057" s="1">
        <v>0</v>
      </c>
      <c r="AA1057" s="1">
        <v>7</v>
      </c>
      <c r="AB1057" s="1">
        <v>7</v>
      </c>
      <c r="AC1057" s="1">
        <v>7</v>
      </c>
      <c r="AD1057" s="1" t="s">
        <v>109</v>
      </c>
      <c r="AE1057" s="1" t="s">
        <v>109</v>
      </c>
      <c r="AF1057" s="1" t="s">
        <v>109</v>
      </c>
      <c r="AG1057" s="1" t="s">
        <v>109</v>
      </c>
      <c r="AH1057" s="1" t="s">
        <v>109</v>
      </c>
      <c r="AI1057" s="1" t="s">
        <v>109</v>
      </c>
      <c r="AJ1057" s="1">
        <v>7</v>
      </c>
      <c r="AK1057" s="1" t="s">
        <v>109</v>
      </c>
      <c r="AL1057" s="1">
        <v>7</v>
      </c>
      <c r="AM1057" s="1" t="s">
        <v>109</v>
      </c>
      <c r="AN1057" s="1" t="s">
        <v>109</v>
      </c>
      <c r="AO1057" s="1" t="s">
        <v>109</v>
      </c>
      <c r="AP1057" s="1"/>
      <c r="AQ1057" s="1">
        <v>7</v>
      </c>
      <c r="AR1057" s="1"/>
      <c r="AS1057" s="1" t="s">
        <v>8654</v>
      </c>
      <c r="AT1057" s="1">
        <v>0</v>
      </c>
      <c r="AU1057" s="1">
        <v>0</v>
      </c>
      <c r="AV1057" s="1">
        <v>0</v>
      </c>
      <c r="AW1057" s="1">
        <v>0</v>
      </c>
      <c r="AX1057" s="1">
        <v>0</v>
      </c>
      <c r="AY1057" s="1">
        <v>1</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1</v>
      </c>
      <c r="BQ1057" s="1">
        <v>0</v>
      </c>
      <c r="BR1057" s="1">
        <v>0</v>
      </c>
      <c r="BS1057" s="5" t="str">
        <f>HYPERLINK("http://www.d20pfsrd.com/magic/all-spells/l/lunar-veil","Lunar Veil")</f>
        <v>Lunar Veil</v>
      </c>
      <c r="BT1057" s="1">
        <v>1093</v>
      </c>
      <c r="BU1057" s="1" t="s">
        <v>109</v>
      </c>
      <c r="BV1057" s="1"/>
      <c r="BW1057" s="1" t="s">
        <v>8655</v>
      </c>
      <c r="BX1057" s="1"/>
      <c r="BY1057" s="1"/>
      <c r="BZ1057" s="1">
        <v>0</v>
      </c>
      <c r="CA1057" s="1" t="s">
        <v>109</v>
      </c>
      <c r="CB1057" s="1" t="s">
        <v>109</v>
      </c>
      <c r="CC1057" s="1">
        <v>7</v>
      </c>
      <c r="CD1057" s="1" t="s">
        <v>109</v>
      </c>
      <c r="CE1057" s="1" t="s">
        <v>109</v>
      </c>
      <c r="CF1057" s="1" t="s">
        <v>109</v>
      </c>
      <c r="CG1057" s="1" t="s">
        <v>109</v>
      </c>
      <c r="CH1057" s="1" t="s">
        <v>109</v>
      </c>
      <c r="CI1057" s="1" t="s">
        <v>109</v>
      </c>
      <c r="CJ1057" s="1" t="s">
        <v>109</v>
      </c>
      <c r="CK1057" s="1"/>
      <c r="CL1057" s="1">
        <v>0</v>
      </c>
      <c r="CM1057" s="1">
        <v>0</v>
      </c>
      <c r="CN1057" s="1">
        <v>0</v>
      </c>
    </row>
    <row r="1058" spans="1:92" ht="14.25" customHeight="1" x14ac:dyDescent="0.15">
      <c r="A1058" s="1" t="s">
        <v>8656</v>
      </c>
      <c r="B1058" s="1" t="s">
        <v>674</v>
      </c>
      <c r="C1058" s="1" t="s">
        <v>1715</v>
      </c>
      <c r="D1058" s="1"/>
      <c r="E1058" s="1" t="s">
        <v>8473</v>
      </c>
      <c r="F1058" s="1" t="s">
        <v>98</v>
      </c>
      <c r="G1058" s="1" t="s">
        <v>141</v>
      </c>
      <c r="H1058" s="1">
        <v>0</v>
      </c>
      <c r="I1058" s="1" t="s">
        <v>8657</v>
      </c>
      <c r="J1058" s="1"/>
      <c r="K1058" s="1"/>
      <c r="L1058" s="1" t="s">
        <v>836</v>
      </c>
      <c r="M1058" s="1" t="s">
        <v>8658</v>
      </c>
      <c r="N1058" s="1">
        <v>0</v>
      </c>
      <c r="O1058" s="1">
        <v>0</v>
      </c>
      <c r="P1058" s="1" t="s">
        <v>301</v>
      </c>
      <c r="Q1058" s="1" t="s">
        <v>268</v>
      </c>
      <c r="R1058" s="1" t="s">
        <v>8659</v>
      </c>
      <c r="S1058" s="1" t="s">
        <v>8660</v>
      </c>
      <c r="T1058" s="1" t="s">
        <v>7821</v>
      </c>
      <c r="U1058" s="1" t="s">
        <v>8661</v>
      </c>
      <c r="V1058" s="1">
        <v>1</v>
      </c>
      <c r="W1058" s="1">
        <v>1</v>
      </c>
      <c r="X1058" s="1">
        <v>0</v>
      </c>
      <c r="Y1058" s="1">
        <v>0</v>
      </c>
      <c r="Z1058" s="1">
        <v>0</v>
      </c>
      <c r="AA1058" s="1">
        <v>2</v>
      </c>
      <c r="AB1058" s="1">
        <v>2</v>
      </c>
      <c r="AC1058" s="1" t="s">
        <v>109</v>
      </c>
      <c r="AD1058" s="1" t="s">
        <v>109</v>
      </c>
      <c r="AE1058" s="1" t="s">
        <v>109</v>
      </c>
      <c r="AF1058" s="1">
        <v>2</v>
      </c>
      <c r="AG1058" s="1" t="s">
        <v>109</v>
      </c>
      <c r="AH1058" s="1" t="s">
        <v>109</v>
      </c>
      <c r="AI1058" s="1" t="s">
        <v>109</v>
      </c>
      <c r="AJ1058" s="1">
        <v>2</v>
      </c>
      <c r="AK1058" s="1" t="s">
        <v>109</v>
      </c>
      <c r="AL1058" s="1" t="s">
        <v>109</v>
      </c>
      <c r="AM1058" s="1" t="s">
        <v>109</v>
      </c>
      <c r="AN1058" s="1" t="s">
        <v>109</v>
      </c>
      <c r="AO1058" s="1" t="s">
        <v>109</v>
      </c>
      <c r="AP1058" s="1"/>
      <c r="AQ1058" s="1">
        <v>2</v>
      </c>
      <c r="AR1058" s="1"/>
      <c r="AS1058" s="1" t="s">
        <v>8662</v>
      </c>
      <c r="AT1058" s="1">
        <v>0</v>
      </c>
      <c r="AU1058" s="1">
        <v>0</v>
      </c>
      <c r="AV1058" s="1">
        <v>0</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5" t="str">
        <f>HYPERLINK("http://www.d20pfsrd.com/magic/all-spells/m/mad-hallucination","Mad Hallucination")</f>
        <v>Mad Hallucination</v>
      </c>
      <c r="BT1058" s="1">
        <v>1094</v>
      </c>
      <c r="BU1058" s="1" t="s">
        <v>109</v>
      </c>
      <c r="BV1058" s="1"/>
      <c r="BW1058" s="1"/>
      <c r="BX1058" s="1"/>
      <c r="BY1058" s="1"/>
      <c r="BZ1058" s="1">
        <v>0</v>
      </c>
      <c r="CA1058" s="1" t="s">
        <v>109</v>
      </c>
      <c r="CB1058" s="1" t="s">
        <v>109</v>
      </c>
      <c r="CC1058" s="1">
        <v>2</v>
      </c>
      <c r="CD1058" s="1" t="s">
        <v>109</v>
      </c>
      <c r="CE1058" s="1">
        <v>2</v>
      </c>
      <c r="CF1058" s="1" t="s">
        <v>109</v>
      </c>
      <c r="CG1058" s="1" t="s">
        <v>109</v>
      </c>
      <c r="CH1058" s="1" t="s">
        <v>109</v>
      </c>
      <c r="CI1058" s="1" t="s">
        <v>109</v>
      </c>
      <c r="CJ1058" s="1" t="s">
        <v>109</v>
      </c>
      <c r="CK1058" s="1"/>
      <c r="CL1058" s="1">
        <v>0</v>
      </c>
      <c r="CM1058" s="1">
        <v>0</v>
      </c>
      <c r="CN1058" s="1">
        <v>0</v>
      </c>
    </row>
    <row r="1059" spans="1:92" ht="14.25" customHeight="1" x14ac:dyDescent="0.15">
      <c r="A1059" s="1" t="s">
        <v>8663</v>
      </c>
      <c r="B1059" s="1" t="s">
        <v>95</v>
      </c>
      <c r="C1059" s="1" t="s">
        <v>1179</v>
      </c>
      <c r="D1059" s="1"/>
      <c r="E1059" s="1" t="s">
        <v>8664</v>
      </c>
      <c r="F1059" s="1" t="s">
        <v>355</v>
      </c>
      <c r="G1059" s="1" t="s">
        <v>160</v>
      </c>
      <c r="H1059" s="1">
        <v>0</v>
      </c>
      <c r="I1059" s="1" t="s">
        <v>142</v>
      </c>
      <c r="J1059" s="1"/>
      <c r="K1059" s="1" t="s">
        <v>8665</v>
      </c>
      <c r="L1059" s="1"/>
      <c r="M1059" s="1" t="s">
        <v>125</v>
      </c>
      <c r="N1059" s="1">
        <v>0</v>
      </c>
      <c r="O1059" s="1">
        <v>0</v>
      </c>
      <c r="P1059" s="1" t="s">
        <v>103</v>
      </c>
      <c r="Q1059" s="1" t="s">
        <v>104</v>
      </c>
      <c r="R1059" s="1" t="s">
        <v>8666</v>
      </c>
      <c r="S1059" s="1" t="s">
        <v>8667</v>
      </c>
      <c r="T1059" s="1" t="s">
        <v>7821</v>
      </c>
      <c r="U1059" s="1" t="s">
        <v>8668</v>
      </c>
      <c r="V1059" s="1">
        <v>1</v>
      </c>
      <c r="W1059" s="1">
        <v>1</v>
      </c>
      <c r="X1059" s="1">
        <v>0</v>
      </c>
      <c r="Y1059" s="1">
        <v>0</v>
      </c>
      <c r="Z1059" s="1">
        <v>1</v>
      </c>
      <c r="AA1059" s="1">
        <v>3</v>
      </c>
      <c r="AB1059" s="1">
        <v>3</v>
      </c>
      <c r="AC1059" s="1" t="s">
        <v>109</v>
      </c>
      <c r="AD1059" s="1">
        <v>3</v>
      </c>
      <c r="AE1059" s="1" t="s">
        <v>109</v>
      </c>
      <c r="AF1059" s="1">
        <v>3</v>
      </c>
      <c r="AG1059" s="1" t="s">
        <v>109</v>
      </c>
      <c r="AH1059" s="1" t="s">
        <v>109</v>
      </c>
      <c r="AI1059" s="1">
        <v>3</v>
      </c>
      <c r="AJ1059" s="1" t="s">
        <v>109</v>
      </c>
      <c r="AK1059" s="1" t="s">
        <v>109</v>
      </c>
      <c r="AL1059" s="1" t="s">
        <v>109</v>
      </c>
      <c r="AM1059" s="1" t="s">
        <v>109</v>
      </c>
      <c r="AN1059" s="1" t="s">
        <v>109</v>
      </c>
      <c r="AO1059" s="1" t="s">
        <v>109</v>
      </c>
      <c r="AP1059" s="1"/>
      <c r="AQ1059" s="1">
        <v>3</v>
      </c>
      <c r="AR1059" s="1"/>
      <c r="AS1059" s="1" t="s">
        <v>8669</v>
      </c>
      <c r="AT1059" s="1">
        <v>0</v>
      </c>
      <c r="AU1059" s="1">
        <v>0</v>
      </c>
      <c r="AV1059" s="1">
        <v>0</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5" t="str">
        <f>HYPERLINK("http://www.d20pfsrd.com/magic/all-spells/m/mad-monkeys","Mad Monkeys")</f>
        <v>Mad Monkeys</v>
      </c>
      <c r="BT1059" s="1">
        <v>1095</v>
      </c>
      <c r="BU1059" s="1" t="s">
        <v>109</v>
      </c>
      <c r="BV1059" s="1"/>
      <c r="BW1059" s="1"/>
      <c r="BX1059" s="1"/>
      <c r="BY1059" s="1"/>
      <c r="BZ1059" s="1">
        <v>0</v>
      </c>
      <c r="CA1059" s="1" t="s">
        <v>109</v>
      </c>
      <c r="CB1059" s="1" t="s">
        <v>109</v>
      </c>
      <c r="CC1059" s="1" t="s">
        <v>109</v>
      </c>
      <c r="CD1059" s="1" t="s">
        <v>109</v>
      </c>
      <c r="CE1059" s="1" t="s">
        <v>109</v>
      </c>
      <c r="CF1059" s="1" t="s">
        <v>109</v>
      </c>
      <c r="CG1059" s="1" t="s">
        <v>109</v>
      </c>
      <c r="CH1059" s="1" t="s">
        <v>109</v>
      </c>
      <c r="CI1059" s="1" t="s">
        <v>109</v>
      </c>
      <c r="CJ1059" s="1">
        <v>3</v>
      </c>
      <c r="CK1059" s="1"/>
      <c r="CL1059" s="1">
        <v>0</v>
      </c>
      <c r="CM1059" s="1">
        <v>0</v>
      </c>
      <c r="CN1059" s="1">
        <v>0</v>
      </c>
    </row>
    <row r="1060" spans="1:92" ht="14.25" customHeight="1" x14ac:dyDescent="0.15">
      <c r="A1060" s="1" t="s">
        <v>8670</v>
      </c>
      <c r="B1060" s="1" t="s">
        <v>8671</v>
      </c>
      <c r="C1060" s="1"/>
      <c r="D1060" s="1"/>
      <c r="E1060" s="1" t="s">
        <v>8672</v>
      </c>
      <c r="F1060" s="1" t="s">
        <v>98</v>
      </c>
      <c r="G1060" s="1" t="s">
        <v>141</v>
      </c>
      <c r="H1060" s="1">
        <v>0</v>
      </c>
      <c r="I1060" s="1" t="s">
        <v>142</v>
      </c>
      <c r="J1060" s="1" t="s">
        <v>8110</v>
      </c>
      <c r="K1060" s="1"/>
      <c r="L1060" s="1"/>
      <c r="M1060" s="1" t="s">
        <v>574</v>
      </c>
      <c r="N1060" s="1">
        <v>1</v>
      </c>
      <c r="O1060" s="1">
        <v>0</v>
      </c>
      <c r="P1060" s="1" t="s">
        <v>267</v>
      </c>
      <c r="Q1060" s="1" t="s">
        <v>268</v>
      </c>
      <c r="R1060" s="1" t="s">
        <v>8673</v>
      </c>
      <c r="S1060" s="1" t="s">
        <v>8674</v>
      </c>
      <c r="T1060" s="1" t="s">
        <v>7821</v>
      </c>
      <c r="U1060" s="1" t="s">
        <v>8675</v>
      </c>
      <c r="V1060" s="1">
        <v>1</v>
      </c>
      <c r="W1060" s="1">
        <v>1</v>
      </c>
      <c r="X1060" s="1">
        <v>0</v>
      </c>
      <c r="Y1060" s="1">
        <v>0</v>
      </c>
      <c r="Z1060" s="1">
        <v>0</v>
      </c>
      <c r="AA1060" s="1">
        <v>4</v>
      </c>
      <c r="AB1060" s="1">
        <v>4</v>
      </c>
      <c r="AC1060" s="1" t="s">
        <v>109</v>
      </c>
      <c r="AD1060" s="1" t="s">
        <v>109</v>
      </c>
      <c r="AE1060" s="1" t="s">
        <v>109</v>
      </c>
      <c r="AF1060" s="1" t="s">
        <v>109</v>
      </c>
      <c r="AG1060" s="1" t="s">
        <v>109</v>
      </c>
      <c r="AH1060" s="1" t="s">
        <v>109</v>
      </c>
      <c r="AI1060" s="1" t="s">
        <v>109</v>
      </c>
      <c r="AJ1060" s="1" t="s">
        <v>109</v>
      </c>
      <c r="AK1060" s="1" t="s">
        <v>109</v>
      </c>
      <c r="AL1060" s="1" t="s">
        <v>109</v>
      </c>
      <c r="AM1060" s="1" t="s">
        <v>109</v>
      </c>
      <c r="AN1060" s="1" t="s">
        <v>109</v>
      </c>
      <c r="AO1060" s="1" t="s">
        <v>109</v>
      </c>
      <c r="AP1060" s="1"/>
      <c r="AQ1060" s="1">
        <v>4</v>
      </c>
      <c r="AR1060" s="1"/>
      <c r="AS1060" s="1" t="s">
        <v>8676</v>
      </c>
      <c r="AT1060" s="1">
        <v>0</v>
      </c>
      <c r="AU1060" s="1">
        <v>0</v>
      </c>
      <c r="AV1060" s="1">
        <v>0</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5" t="str">
        <f>HYPERLINK("http://www.d20pfsrd.com/magic/all-spells/m/malfunction","Malfunction")</f>
        <v>Malfunction</v>
      </c>
      <c r="BT1060" s="1">
        <v>1096</v>
      </c>
      <c r="BU1060" s="1" t="s">
        <v>109</v>
      </c>
      <c r="BV1060" s="1"/>
      <c r="BW1060" s="1"/>
      <c r="BX1060" s="1"/>
      <c r="BY1060" s="1"/>
      <c r="BZ1060" s="1">
        <v>0</v>
      </c>
      <c r="CA1060" s="1" t="s">
        <v>109</v>
      </c>
      <c r="CB1060" s="1" t="s">
        <v>109</v>
      </c>
      <c r="CC1060" s="1" t="s">
        <v>109</v>
      </c>
      <c r="CD1060" s="1" t="s">
        <v>109</v>
      </c>
      <c r="CE1060" s="1" t="s">
        <v>109</v>
      </c>
      <c r="CF1060" s="1">
        <v>4</v>
      </c>
      <c r="CG1060" s="1" t="s">
        <v>109</v>
      </c>
      <c r="CH1060" s="1" t="s">
        <v>109</v>
      </c>
      <c r="CI1060" s="1" t="s">
        <v>109</v>
      </c>
      <c r="CJ1060" s="1" t="s">
        <v>109</v>
      </c>
      <c r="CK1060" s="1"/>
      <c r="CL1060" s="1">
        <v>0</v>
      </c>
      <c r="CM1060" s="1">
        <v>0</v>
      </c>
      <c r="CN1060" s="1">
        <v>0</v>
      </c>
    </row>
    <row r="1061" spans="1:92" ht="14.25" customHeight="1" x14ac:dyDescent="0.15">
      <c r="A1061" s="1" t="s">
        <v>8677</v>
      </c>
      <c r="B1061" s="1" t="s">
        <v>156</v>
      </c>
      <c r="C1061" s="1" t="s">
        <v>157</v>
      </c>
      <c r="D1061" s="1" t="s">
        <v>8086</v>
      </c>
      <c r="E1061" s="1" t="s">
        <v>8678</v>
      </c>
      <c r="F1061" s="1" t="s">
        <v>98</v>
      </c>
      <c r="G1061" s="1" t="s">
        <v>8679</v>
      </c>
      <c r="H1061" s="1">
        <v>1</v>
      </c>
      <c r="I1061" s="1" t="s">
        <v>142</v>
      </c>
      <c r="J1061" s="1"/>
      <c r="K1061" s="1"/>
      <c r="L1061" s="1" t="s">
        <v>1391</v>
      </c>
      <c r="M1061" s="1" t="s">
        <v>280</v>
      </c>
      <c r="N1061" s="1">
        <v>0</v>
      </c>
      <c r="O1061" s="1">
        <v>0</v>
      </c>
      <c r="P1061" s="1" t="s">
        <v>301</v>
      </c>
      <c r="Q1061" s="1" t="s">
        <v>268</v>
      </c>
      <c r="R1061" s="1" t="s">
        <v>8680</v>
      </c>
      <c r="S1061" s="1" t="s">
        <v>8681</v>
      </c>
      <c r="T1061" s="1" t="s">
        <v>7821</v>
      </c>
      <c r="U1061" s="1" t="s">
        <v>8682</v>
      </c>
      <c r="V1061" s="1">
        <v>1</v>
      </c>
      <c r="W1061" s="1">
        <v>1</v>
      </c>
      <c r="X1061" s="1">
        <v>1</v>
      </c>
      <c r="Y1061" s="1">
        <v>0</v>
      </c>
      <c r="Z1061" s="1">
        <v>0</v>
      </c>
      <c r="AA1061" s="1">
        <v>4</v>
      </c>
      <c r="AB1061" s="1">
        <v>4</v>
      </c>
      <c r="AC1061" s="1" t="s">
        <v>109</v>
      </c>
      <c r="AD1061" s="1" t="s">
        <v>109</v>
      </c>
      <c r="AE1061" s="1" t="s">
        <v>109</v>
      </c>
      <c r="AF1061" s="1">
        <v>3</v>
      </c>
      <c r="AG1061" s="1" t="s">
        <v>109</v>
      </c>
      <c r="AH1061" s="1" t="s">
        <v>109</v>
      </c>
      <c r="AI1061" s="1" t="s">
        <v>109</v>
      </c>
      <c r="AJ1061" s="1" t="s">
        <v>109</v>
      </c>
      <c r="AK1061" s="1" t="s">
        <v>109</v>
      </c>
      <c r="AL1061" s="1" t="s">
        <v>109</v>
      </c>
      <c r="AM1061" s="1" t="s">
        <v>109</v>
      </c>
      <c r="AN1061" s="1" t="s">
        <v>109</v>
      </c>
      <c r="AO1061" s="1" t="s">
        <v>109</v>
      </c>
      <c r="AP1061" s="1"/>
      <c r="AQ1061" s="1">
        <v>4</v>
      </c>
      <c r="AR1061" s="1"/>
      <c r="AS1061" s="1" t="s">
        <v>8683</v>
      </c>
      <c r="AT1061" s="1">
        <v>0</v>
      </c>
      <c r="AU1061" s="1">
        <v>0</v>
      </c>
      <c r="AV1061" s="1">
        <v>0</v>
      </c>
      <c r="AW1061" s="1">
        <v>0</v>
      </c>
      <c r="AX1061" s="1">
        <v>0</v>
      </c>
      <c r="AY1061" s="1">
        <v>0</v>
      </c>
      <c r="AZ1061" s="1">
        <v>0</v>
      </c>
      <c r="BA1061" s="1">
        <v>0</v>
      </c>
      <c r="BB1061" s="1">
        <v>0</v>
      </c>
      <c r="BC1061" s="1">
        <v>0</v>
      </c>
      <c r="BD1061" s="1">
        <v>1</v>
      </c>
      <c r="BE1061" s="1">
        <v>0</v>
      </c>
      <c r="BF1061" s="1">
        <v>0</v>
      </c>
      <c r="BG1061" s="1">
        <v>0</v>
      </c>
      <c r="BH1061" s="1">
        <v>0</v>
      </c>
      <c r="BI1061" s="1">
        <v>0</v>
      </c>
      <c r="BJ1061" s="1">
        <v>0</v>
      </c>
      <c r="BK1061" s="1">
        <v>0</v>
      </c>
      <c r="BL1061" s="1">
        <v>0</v>
      </c>
      <c r="BM1061" s="1">
        <v>1</v>
      </c>
      <c r="BN1061" s="1">
        <v>0</v>
      </c>
      <c r="BO1061" s="1">
        <v>0</v>
      </c>
      <c r="BP1061" s="1">
        <v>0</v>
      </c>
      <c r="BQ1061" s="1">
        <v>0</v>
      </c>
      <c r="BR1061" s="1">
        <v>0</v>
      </c>
      <c r="BS1061" s="5" t="str">
        <f>HYPERLINK("http://www.d20pfsrd.com/magic/all-spells/m/malicious-spite","Malicious Spite")</f>
        <v>Malicious Spite</v>
      </c>
      <c r="BT1061" s="1">
        <v>1097</v>
      </c>
      <c r="BU1061" s="1">
        <v>150</v>
      </c>
      <c r="BV1061" s="1"/>
      <c r="BW1061" s="1"/>
      <c r="BX1061" s="1"/>
      <c r="BY1061" s="1"/>
      <c r="BZ1061" s="1">
        <v>0</v>
      </c>
      <c r="CA1061" s="1" t="s">
        <v>109</v>
      </c>
      <c r="CB1061" s="1" t="s">
        <v>109</v>
      </c>
      <c r="CC1061" s="1">
        <v>4</v>
      </c>
      <c r="CD1061" s="1" t="s">
        <v>109</v>
      </c>
      <c r="CE1061" s="1">
        <v>3</v>
      </c>
      <c r="CF1061" s="1" t="s">
        <v>109</v>
      </c>
      <c r="CG1061" s="1" t="s">
        <v>109</v>
      </c>
      <c r="CH1061" s="1" t="s">
        <v>109</v>
      </c>
      <c r="CI1061" s="1" t="s">
        <v>109</v>
      </c>
      <c r="CJ1061" s="1" t="s">
        <v>109</v>
      </c>
      <c r="CK1061" s="1"/>
      <c r="CL1061" s="1">
        <v>0</v>
      </c>
      <c r="CM1061" s="1">
        <v>0</v>
      </c>
      <c r="CN1061" s="1">
        <v>0</v>
      </c>
    </row>
    <row r="1062" spans="1:92" ht="14.25" customHeight="1" x14ac:dyDescent="0.15">
      <c r="A1062" s="1" t="s">
        <v>8684</v>
      </c>
      <c r="B1062" s="1" t="s">
        <v>308</v>
      </c>
      <c r="C1062" s="1"/>
      <c r="D1062" s="1"/>
      <c r="E1062" s="1" t="s">
        <v>8685</v>
      </c>
      <c r="F1062" s="1" t="s">
        <v>98</v>
      </c>
      <c r="G1062" s="1" t="s">
        <v>8686</v>
      </c>
      <c r="H1062" s="1">
        <v>0</v>
      </c>
      <c r="I1062" s="1" t="s">
        <v>122</v>
      </c>
      <c r="J1062" s="1"/>
      <c r="K1062" s="1"/>
      <c r="L1062" s="1" t="s">
        <v>8687</v>
      </c>
      <c r="M1062" s="1" t="s">
        <v>8688</v>
      </c>
      <c r="N1062" s="1">
        <v>0</v>
      </c>
      <c r="O1062" s="1">
        <v>0</v>
      </c>
      <c r="P1062" s="1" t="s">
        <v>2475</v>
      </c>
      <c r="Q1062" s="1" t="s">
        <v>268</v>
      </c>
      <c r="R1062" s="1" t="s">
        <v>8689</v>
      </c>
      <c r="S1062" s="1" t="s">
        <v>8690</v>
      </c>
      <c r="T1062" s="1" t="s">
        <v>7821</v>
      </c>
      <c r="U1062" s="1" t="s">
        <v>8691</v>
      </c>
      <c r="V1062" s="1">
        <v>1</v>
      </c>
      <c r="W1062" s="1">
        <v>1</v>
      </c>
      <c r="X1062" s="1">
        <v>0</v>
      </c>
      <c r="Y1062" s="1">
        <v>0</v>
      </c>
      <c r="Z1062" s="1">
        <v>0</v>
      </c>
      <c r="AA1062" s="1">
        <v>3</v>
      </c>
      <c r="AB1062" s="1">
        <v>3</v>
      </c>
      <c r="AC1062" s="1" t="s">
        <v>109</v>
      </c>
      <c r="AD1062" s="1" t="s">
        <v>109</v>
      </c>
      <c r="AE1062" s="1" t="s">
        <v>109</v>
      </c>
      <c r="AF1062" s="1" t="s">
        <v>109</v>
      </c>
      <c r="AG1062" s="1" t="s">
        <v>109</v>
      </c>
      <c r="AH1062" s="1">
        <v>3</v>
      </c>
      <c r="AI1062" s="1">
        <v>3</v>
      </c>
      <c r="AJ1062" s="1">
        <v>3</v>
      </c>
      <c r="AK1062" s="1" t="s">
        <v>109</v>
      </c>
      <c r="AL1062" s="1" t="s">
        <v>109</v>
      </c>
      <c r="AM1062" s="1" t="s">
        <v>109</v>
      </c>
      <c r="AN1062" s="1" t="s">
        <v>109</v>
      </c>
      <c r="AO1062" s="1" t="s">
        <v>109</v>
      </c>
      <c r="AP1062" s="1"/>
      <c r="AQ1062" s="1">
        <v>3</v>
      </c>
      <c r="AR1062" s="1"/>
      <c r="AS1062" s="1" t="s">
        <v>8692</v>
      </c>
      <c r="AT1062" s="1">
        <v>0</v>
      </c>
      <c r="AU1062" s="1">
        <v>0</v>
      </c>
      <c r="AV1062" s="1">
        <v>0</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5" t="str">
        <f>HYPERLINK("http://www.d20pfsrd.com/magic/all-spells/m/marionette-possession","Marionette Possession")</f>
        <v>Marionette Possession</v>
      </c>
      <c r="BT1062" s="1">
        <v>1098</v>
      </c>
      <c r="BU1062" s="1" t="s">
        <v>109</v>
      </c>
      <c r="BV1062" s="1"/>
      <c r="BW1062" s="1"/>
      <c r="BX1062" s="1"/>
      <c r="BY1062" s="1"/>
      <c r="BZ1062" s="1">
        <v>0</v>
      </c>
      <c r="CA1062" s="1" t="s">
        <v>109</v>
      </c>
      <c r="CB1062" s="1" t="s">
        <v>109</v>
      </c>
      <c r="CC1062" s="1">
        <v>3</v>
      </c>
      <c r="CD1062" s="1" t="s">
        <v>109</v>
      </c>
      <c r="CE1062" s="1">
        <v>3</v>
      </c>
      <c r="CF1062" s="1" t="s">
        <v>109</v>
      </c>
      <c r="CG1062" s="1" t="s">
        <v>109</v>
      </c>
      <c r="CH1062" s="1" t="s">
        <v>109</v>
      </c>
      <c r="CI1062" s="1" t="s">
        <v>109</v>
      </c>
      <c r="CJ1062" s="1" t="s">
        <v>109</v>
      </c>
      <c r="CK1062" s="1"/>
      <c r="CL1062" s="1">
        <v>0</v>
      </c>
      <c r="CM1062" s="1">
        <v>0</v>
      </c>
      <c r="CN1062" s="1">
        <v>0</v>
      </c>
    </row>
    <row r="1063" spans="1:92" ht="14.25" customHeight="1" x14ac:dyDescent="0.15">
      <c r="A1063" s="1" t="s">
        <v>8693</v>
      </c>
      <c r="B1063" s="1" t="s">
        <v>189</v>
      </c>
      <c r="C1063" s="1"/>
      <c r="D1063" s="1"/>
      <c r="E1063" s="1" t="s">
        <v>8694</v>
      </c>
      <c r="F1063" s="1" t="s">
        <v>377</v>
      </c>
      <c r="G1063" s="1" t="s">
        <v>8695</v>
      </c>
      <c r="H1063" s="1">
        <v>0</v>
      </c>
      <c r="I1063" s="1" t="s">
        <v>161</v>
      </c>
      <c r="J1063" s="1"/>
      <c r="K1063" s="1"/>
      <c r="L1063" s="1" t="s">
        <v>8696</v>
      </c>
      <c r="M1063" s="1" t="s">
        <v>144</v>
      </c>
      <c r="N1063" s="1">
        <v>0</v>
      </c>
      <c r="O1063" s="1">
        <v>0</v>
      </c>
      <c r="P1063" s="1" t="s">
        <v>103</v>
      </c>
      <c r="Q1063" s="1" t="s">
        <v>104</v>
      </c>
      <c r="R1063" s="1" t="s">
        <v>8697</v>
      </c>
      <c r="S1063" s="1" t="s">
        <v>8698</v>
      </c>
      <c r="T1063" s="1" t="s">
        <v>7821</v>
      </c>
      <c r="U1063" s="1" t="s">
        <v>8699</v>
      </c>
      <c r="V1063" s="1">
        <v>1</v>
      </c>
      <c r="W1063" s="1">
        <v>1</v>
      </c>
      <c r="X1063" s="1">
        <v>1</v>
      </c>
      <c r="Y1063" s="1">
        <v>0</v>
      </c>
      <c r="Z1063" s="1">
        <v>0</v>
      </c>
      <c r="AA1063" s="1">
        <v>2</v>
      </c>
      <c r="AB1063" s="1">
        <v>2</v>
      </c>
      <c r="AC1063" s="1">
        <v>2</v>
      </c>
      <c r="AD1063" s="1">
        <v>2</v>
      </c>
      <c r="AE1063" s="1" t="s">
        <v>109</v>
      </c>
      <c r="AF1063" s="1">
        <v>2</v>
      </c>
      <c r="AG1063" s="1" t="s">
        <v>109</v>
      </c>
      <c r="AH1063" s="1" t="s">
        <v>109</v>
      </c>
      <c r="AI1063" s="1" t="s">
        <v>109</v>
      </c>
      <c r="AJ1063" s="1">
        <v>2</v>
      </c>
      <c r="AK1063" s="1" t="s">
        <v>109</v>
      </c>
      <c r="AL1063" s="1">
        <v>2</v>
      </c>
      <c r="AM1063" s="1" t="s">
        <v>109</v>
      </c>
      <c r="AN1063" s="1" t="s">
        <v>109</v>
      </c>
      <c r="AO1063" s="1" t="s">
        <v>109</v>
      </c>
      <c r="AP1063" s="1"/>
      <c r="AQ1063" s="1">
        <v>2</v>
      </c>
      <c r="AR1063" s="1" t="s">
        <v>8700</v>
      </c>
      <c r="AS1063" s="1" t="s">
        <v>8701</v>
      </c>
      <c r="AT1063" s="1">
        <v>0</v>
      </c>
      <c r="AU1063" s="1">
        <v>0</v>
      </c>
      <c r="AV1063" s="1">
        <v>0</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5" t="str">
        <f>HYPERLINK("http://www.d20pfsrd.com/magic/all-spells/m/masterwork-transformation","Masterwork Transformation")</f>
        <v>Masterwork Transformation</v>
      </c>
      <c r="BT1063" s="1">
        <v>1099</v>
      </c>
      <c r="BU1063" s="1" t="s">
        <v>109</v>
      </c>
      <c r="BV1063" s="1"/>
      <c r="BW1063" s="1"/>
      <c r="BX1063" s="1"/>
      <c r="BY1063" s="1"/>
      <c r="BZ1063" s="1">
        <v>0</v>
      </c>
      <c r="CA1063" s="1" t="s">
        <v>109</v>
      </c>
      <c r="CB1063" s="1" t="s">
        <v>109</v>
      </c>
      <c r="CC1063" s="1" t="s">
        <v>109</v>
      </c>
      <c r="CD1063" s="1" t="s">
        <v>109</v>
      </c>
      <c r="CE1063" s="1" t="s">
        <v>109</v>
      </c>
      <c r="CF1063" s="1">
        <v>2</v>
      </c>
      <c r="CG1063" s="1" t="s">
        <v>109</v>
      </c>
      <c r="CH1063" s="1" t="s">
        <v>109</v>
      </c>
      <c r="CI1063" s="1" t="s">
        <v>109</v>
      </c>
      <c r="CJ1063" s="1">
        <v>2</v>
      </c>
      <c r="CK1063" s="1"/>
      <c r="CL1063" s="1">
        <v>0</v>
      </c>
      <c r="CM1063" s="1">
        <v>0</v>
      </c>
      <c r="CN1063" s="1">
        <v>0</v>
      </c>
    </row>
    <row r="1064" spans="1:92" ht="14.25" customHeight="1" x14ac:dyDescent="0.15">
      <c r="A1064" s="1" t="s">
        <v>8702</v>
      </c>
      <c r="B1064" s="1" t="s">
        <v>242</v>
      </c>
      <c r="C1064" s="1"/>
      <c r="D1064" s="1" t="s">
        <v>8086</v>
      </c>
      <c r="E1064" s="1" t="s">
        <v>8473</v>
      </c>
      <c r="F1064" s="1" t="s">
        <v>98</v>
      </c>
      <c r="G1064" s="1" t="s">
        <v>141</v>
      </c>
      <c r="H1064" s="1">
        <v>0</v>
      </c>
      <c r="I1064" s="1" t="s">
        <v>161</v>
      </c>
      <c r="J1064" s="1"/>
      <c r="K1064" s="1"/>
      <c r="L1064" s="1" t="s">
        <v>506</v>
      </c>
      <c r="M1064" s="1" t="s">
        <v>8703</v>
      </c>
      <c r="N1064" s="1">
        <v>0</v>
      </c>
      <c r="O1064" s="1">
        <v>0</v>
      </c>
      <c r="P1064" s="1" t="s">
        <v>2475</v>
      </c>
      <c r="Q1064" s="1" t="s">
        <v>268</v>
      </c>
      <c r="R1064" s="1" t="s">
        <v>8704</v>
      </c>
      <c r="S1064" s="1" t="s">
        <v>8705</v>
      </c>
      <c r="T1064" s="1" t="s">
        <v>7821</v>
      </c>
      <c r="U1064" s="1" t="s">
        <v>8706</v>
      </c>
      <c r="V1064" s="1">
        <v>1</v>
      </c>
      <c r="W1064" s="1">
        <v>1</v>
      </c>
      <c r="X1064" s="1">
        <v>0</v>
      </c>
      <c r="Y1064" s="1">
        <v>0</v>
      </c>
      <c r="Z1064" s="1">
        <v>0</v>
      </c>
      <c r="AA1064" s="1">
        <v>2</v>
      </c>
      <c r="AB1064" s="1">
        <v>2</v>
      </c>
      <c r="AC1064" s="1" t="s">
        <v>109</v>
      </c>
      <c r="AD1064" s="1" t="s">
        <v>109</v>
      </c>
      <c r="AE1064" s="1" t="s">
        <v>109</v>
      </c>
      <c r="AF1064" s="1">
        <v>2</v>
      </c>
      <c r="AG1064" s="1" t="s">
        <v>109</v>
      </c>
      <c r="AH1064" s="1" t="s">
        <v>109</v>
      </c>
      <c r="AI1064" s="1" t="s">
        <v>109</v>
      </c>
      <c r="AJ1064" s="1">
        <v>2</v>
      </c>
      <c r="AK1064" s="1" t="s">
        <v>109</v>
      </c>
      <c r="AL1064" s="1" t="s">
        <v>109</v>
      </c>
      <c r="AM1064" s="1" t="s">
        <v>109</v>
      </c>
      <c r="AN1064" s="1" t="s">
        <v>109</v>
      </c>
      <c r="AO1064" s="1" t="s">
        <v>109</v>
      </c>
      <c r="AP1064" s="1"/>
      <c r="AQ1064" s="1">
        <v>2</v>
      </c>
      <c r="AR1064" s="1"/>
      <c r="AS1064" s="1" t="s">
        <v>8707</v>
      </c>
      <c r="AT1064" s="1">
        <v>0</v>
      </c>
      <c r="AU1064" s="1">
        <v>0</v>
      </c>
      <c r="AV1064" s="1">
        <v>0</v>
      </c>
      <c r="AW1064" s="1">
        <v>0</v>
      </c>
      <c r="AX1064" s="1">
        <v>0</v>
      </c>
      <c r="AY1064" s="1">
        <v>0</v>
      </c>
      <c r="AZ1064" s="1">
        <v>0</v>
      </c>
      <c r="BA1064" s="1">
        <v>0</v>
      </c>
      <c r="BB1064" s="1">
        <v>0</v>
      </c>
      <c r="BC1064" s="1">
        <v>0</v>
      </c>
      <c r="BD1064" s="1">
        <v>1</v>
      </c>
      <c r="BE1064" s="1">
        <v>0</v>
      </c>
      <c r="BF1064" s="1">
        <v>0</v>
      </c>
      <c r="BG1064" s="1">
        <v>0</v>
      </c>
      <c r="BH1064" s="1">
        <v>0</v>
      </c>
      <c r="BI1064" s="1">
        <v>0</v>
      </c>
      <c r="BJ1064" s="1">
        <v>0</v>
      </c>
      <c r="BK1064" s="1">
        <v>0</v>
      </c>
      <c r="BL1064" s="1">
        <v>0</v>
      </c>
      <c r="BM1064" s="1">
        <v>1</v>
      </c>
      <c r="BN1064" s="1">
        <v>0</v>
      </c>
      <c r="BO1064" s="1">
        <v>0</v>
      </c>
      <c r="BP1064" s="1">
        <v>0</v>
      </c>
      <c r="BQ1064" s="1">
        <v>0</v>
      </c>
      <c r="BR1064" s="1">
        <v>0</v>
      </c>
      <c r="BS1064" s="5" t="str">
        <f>HYPERLINK("http://www.d20pfsrd.com/magic/all-spells/m/miserable-pity","Miserable Pity")</f>
        <v>Miserable Pity</v>
      </c>
      <c r="BT1064" s="1">
        <v>1100</v>
      </c>
      <c r="BU1064" s="1" t="s">
        <v>109</v>
      </c>
      <c r="BV1064" s="1"/>
      <c r="BW1064" s="1"/>
      <c r="BX1064" s="1"/>
      <c r="BY1064" s="1"/>
      <c r="BZ1064" s="1">
        <v>0</v>
      </c>
      <c r="CA1064" s="1" t="s">
        <v>109</v>
      </c>
      <c r="CB1064" s="1" t="s">
        <v>109</v>
      </c>
      <c r="CC1064" s="1">
        <v>2</v>
      </c>
      <c r="CD1064" s="1" t="s">
        <v>109</v>
      </c>
      <c r="CE1064" s="1">
        <v>2</v>
      </c>
      <c r="CF1064" s="1" t="s">
        <v>109</v>
      </c>
      <c r="CG1064" s="1" t="s">
        <v>109</v>
      </c>
      <c r="CH1064" s="1" t="s">
        <v>109</v>
      </c>
      <c r="CI1064" s="1" t="s">
        <v>109</v>
      </c>
      <c r="CJ1064" s="1" t="s">
        <v>109</v>
      </c>
      <c r="CK1064" s="1"/>
      <c r="CL1064" s="1">
        <v>0</v>
      </c>
      <c r="CM1064" s="1">
        <v>0</v>
      </c>
      <c r="CN1064" s="1">
        <v>0</v>
      </c>
    </row>
    <row r="1065" spans="1:92" ht="14.25" customHeight="1" x14ac:dyDescent="0.15">
      <c r="A1065" s="1" t="s">
        <v>8708</v>
      </c>
      <c r="B1065" s="1" t="s">
        <v>189</v>
      </c>
      <c r="C1065" s="1" t="s">
        <v>231</v>
      </c>
      <c r="D1065" s="1"/>
      <c r="E1065" s="1" t="s">
        <v>8709</v>
      </c>
      <c r="F1065" s="1" t="s">
        <v>98</v>
      </c>
      <c r="G1065" s="1" t="s">
        <v>234</v>
      </c>
      <c r="H1065" s="1">
        <v>0</v>
      </c>
      <c r="I1065" s="1" t="s">
        <v>235</v>
      </c>
      <c r="J1065" s="1"/>
      <c r="K1065" s="1"/>
      <c r="L1065" s="1" t="s">
        <v>236</v>
      </c>
      <c r="M1065" s="1" t="s">
        <v>6144</v>
      </c>
      <c r="N1065" s="1">
        <v>1</v>
      </c>
      <c r="O1065" s="1">
        <v>0</v>
      </c>
      <c r="P1065" s="1"/>
      <c r="Q1065" s="1"/>
      <c r="R1065" s="1" t="s">
        <v>8710</v>
      </c>
      <c r="S1065" s="1" t="s">
        <v>8711</v>
      </c>
      <c r="T1065" s="1" t="s">
        <v>7821</v>
      </c>
      <c r="U1065" s="1" t="s">
        <v>8712</v>
      </c>
      <c r="V1065" s="1">
        <v>1</v>
      </c>
      <c r="W1065" s="1">
        <v>1</v>
      </c>
      <c r="X1065" s="1">
        <v>1</v>
      </c>
      <c r="Y1065" s="1">
        <v>0</v>
      </c>
      <c r="Z1065" s="1">
        <v>0</v>
      </c>
      <c r="AA1065" s="1">
        <v>3</v>
      </c>
      <c r="AB1065" s="1">
        <v>3</v>
      </c>
      <c r="AC1065" s="1" t="s">
        <v>109</v>
      </c>
      <c r="AD1065" s="1" t="s">
        <v>109</v>
      </c>
      <c r="AE1065" s="1" t="s">
        <v>109</v>
      </c>
      <c r="AF1065" s="1" t="s">
        <v>109</v>
      </c>
      <c r="AG1065" s="1" t="s">
        <v>109</v>
      </c>
      <c r="AH1065" s="1">
        <v>3</v>
      </c>
      <c r="AI1065" s="1" t="s">
        <v>109</v>
      </c>
      <c r="AJ1065" s="1" t="s">
        <v>109</v>
      </c>
      <c r="AK1065" s="1" t="s">
        <v>109</v>
      </c>
      <c r="AL1065" s="1" t="s">
        <v>109</v>
      </c>
      <c r="AM1065" s="1" t="s">
        <v>109</v>
      </c>
      <c r="AN1065" s="1">
        <v>3</v>
      </c>
      <c r="AO1065" s="1" t="s">
        <v>109</v>
      </c>
      <c r="AP1065" s="1"/>
      <c r="AQ1065" s="1">
        <v>3</v>
      </c>
      <c r="AR1065" s="1"/>
      <c r="AS1065" s="1" t="s">
        <v>8713</v>
      </c>
      <c r="AT1065" s="1">
        <v>0</v>
      </c>
      <c r="AU1065" s="1">
        <v>0</v>
      </c>
      <c r="AV1065" s="1">
        <v>0</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5" t="str">
        <f>HYPERLINK("http://www.d20pfsrd.com/magic/all-spells/m/monstrous-physique-i","Monstrous Physique I")</f>
        <v>Monstrous Physique I</v>
      </c>
      <c r="BT1065" s="1">
        <v>1101</v>
      </c>
      <c r="BU1065" s="1" t="s">
        <v>109</v>
      </c>
      <c r="BV1065" s="1"/>
      <c r="BW1065" s="1"/>
      <c r="BX1065" s="1" t="s">
        <v>8714</v>
      </c>
      <c r="BY1065" s="1" t="s">
        <v>8715</v>
      </c>
      <c r="BZ1065" s="1">
        <v>1</v>
      </c>
      <c r="CA1065" s="1">
        <v>3</v>
      </c>
      <c r="CB1065" s="1" t="s">
        <v>109</v>
      </c>
      <c r="CC1065" s="1" t="s">
        <v>109</v>
      </c>
      <c r="CD1065" s="1" t="s">
        <v>109</v>
      </c>
      <c r="CE1065" s="1" t="s">
        <v>109</v>
      </c>
      <c r="CF1065" s="1" t="s">
        <v>109</v>
      </c>
      <c r="CG1065" s="1" t="s">
        <v>109</v>
      </c>
      <c r="CH1065" s="1" t="s">
        <v>109</v>
      </c>
      <c r="CI1065" s="1" t="s">
        <v>109</v>
      </c>
      <c r="CJ1065" s="1" t="s">
        <v>109</v>
      </c>
      <c r="CK1065" s="1"/>
      <c r="CL1065" s="1">
        <v>0</v>
      </c>
      <c r="CM1065" s="1">
        <v>0</v>
      </c>
      <c r="CN1065" s="1">
        <v>0</v>
      </c>
    </row>
    <row r="1066" spans="1:92" ht="14.25" customHeight="1" x14ac:dyDescent="0.15">
      <c r="A1066" s="1" t="s">
        <v>8716</v>
      </c>
      <c r="B1066" s="1" t="s">
        <v>189</v>
      </c>
      <c r="C1066" s="1" t="s">
        <v>231</v>
      </c>
      <c r="D1066" s="1"/>
      <c r="E1066" s="1" t="s">
        <v>8717</v>
      </c>
      <c r="F1066" s="1" t="s">
        <v>98</v>
      </c>
      <c r="G1066" s="1" t="s">
        <v>234</v>
      </c>
      <c r="H1066" s="1">
        <v>0</v>
      </c>
      <c r="I1066" s="1" t="s">
        <v>235</v>
      </c>
      <c r="J1066" s="1"/>
      <c r="K1066" s="1"/>
      <c r="L1066" s="1" t="s">
        <v>236</v>
      </c>
      <c r="M1066" s="1" t="s">
        <v>6144</v>
      </c>
      <c r="N1066" s="1">
        <v>1</v>
      </c>
      <c r="O1066" s="1">
        <v>0</v>
      </c>
      <c r="P1066" s="1"/>
      <c r="Q1066" s="1"/>
      <c r="R1066" s="1" t="s">
        <v>8718</v>
      </c>
      <c r="S1066" s="1" t="s">
        <v>8719</v>
      </c>
      <c r="T1066" s="1" t="s">
        <v>7821</v>
      </c>
      <c r="U1066" s="1" t="s">
        <v>8720</v>
      </c>
      <c r="V1066" s="1">
        <v>1</v>
      </c>
      <c r="W1066" s="1">
        <v>1</v>
      </c>
      <c r="X1066" s="1">
        <v>1</v>
      </c>
      <c r="Y1066" s="1">
        <v>0</v>
      </c>
      <c r="Z1066" s="1">
        <v>0</v>
      </c>
      <c r="AA1066" s="1">
        <v>4</v>
      </c>
      <c r="AB1066" s="1">
        <v>4</v>
      </c>
      <c r="AC1066" s="1" t="s">
        <v>109</v>
      </c>
      <c r="AD1066" s="1" t="s">
        <v>109</v>
      </c>
      <c r="AE1066" s="1" t="s">
        <v>109</v>
      </c>
      <c r="AF1066" s="1" t="s">
        <v>109</v>
      </c>
      <c r="AG1066" s="1" t="s">
        <v>109</v>
      </c>
      <c r="AH1066" s="1">
        <v>4</v>
      </c>
      <c r="AI1066" s="1" t="s">
        <v>109</v>
      </c>
      <c r="AJ1066" s="1" t="s">
        <v>109</v>
      </c>
      <c r="AK1066" s="1" t="s">
        <v>109</v>
      </c>
      <c r="AL1066" s="1" t="s">
        <v>109</v>
      </c>
      <c r="AM1066" s="1" t="s">
        <v>109</v>
      </c>
      <c r="AN1066" s="1">
        <v>4</v>
      </c>
      <c r="AO1066" s="1" t="s">
        <v>109</v>
      </c>
      <c r="AP1066" s="1"/>
      <c r="AQ1066" s="1">
        <v>4</v>
      </c>
      <c r="AR1066" s="1"/>
      <c r="AS1066" s="1" t="s">
        <v>8721</v>
      </c>
      <c r="AT1066" s="1">
        <v>0</v>
      </c>
      <c r="AU1066" s="1">
        <v>0</v>
      </c>
      <c r="AV1066" s="1">
        <v>0</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5" t="str">
        <f>HYPERLINK("http://www.d20pfsrd.com/magic/all-spells/m/monstrous-physique-ii","Monstrous Physique II")</f>
        <v>Monstrous Physique II</v>
      </c>
      <c r="BT1066" s="1">
        <v>1102</v>
      </c>
      <c r="BU1066" s="1" t="s">
        <v>109</v>
      </c>
      <c r="BV1066" s="1"/>
      <c r="BW1066" s="1"/>
      <c r="BX1066" s="1" t="s">
        <v>8714</v>
      </c>
      <c r="BY1066" s="1" t="s">
        <v>8715</v>
      </c>
      <c r="BZ1066" s="1">
        <v>1</v>
      </c>
      <c r="CA1066" s="1">
        <v>4</v>
      </c>
      <c r="CB1066" s="1" t="s">
        <v>109</v>
      </c>
      <c r="CC1066" s="1" t="s">
        <v>109</v>
      </c>
      <c r="CD1066" s="1" t="s">
        <v>109</v>
      </c>
      <c r="CE1066" s="1" t="s">
        <v>109</v>
      </c>
      <c r="CF1066" s="1" t="s">
        <v>109</v>
      </c>
      <c r="CG1066" s="1" t="s">
        <v>109</v>
      </c>
      <c r="CH1066" s="1" t="s">
        <v>109</v>
      </c>
      <c r="CI1066" s="1" t="s">
        <v>109</v>
      </c>
      <c r="CJ1066" s="1" t="s">
        <v>109</v>
      </c>
      <c r="CK1066" s="1"/>
      <c r="CL1066" s="1">
        <v>0</v>
      </c>
      <c r="CM1066" s="1">
        <v>0</v>
      </c>
      <c r="CN1066" s="1">
        <v>0</v>
      </c>
    </row>
    <row r="1067" spans="1:92" ht="14.25" customHeight="1" x14ac:dyDescent="0.15">
      <c r="A1067" s="1" t="s">
        <v>8722</v>
      </c>
      <c r="B1067" s="1" t="s">
        <v>189</v>
      </c>
      <c r="C1067" s="1" t="s">
        <v>231</v>
      </c>
      <c r="D1067" s="1"/>
      <c r="E1067" s="1" t="s">
        <v>8723</v>
      </c>
      <c r="F1067" s="1" t="s">
        <v>98</v>
      </c>
      <c r="G1067" s="1" t="s">
        <v>234</v>
      </c>
      <c r="H1067" s="1">
        <v>0</v>
      </c>
      <c r="I1067" s="1" t="s">
        <v>235</v>
      </c>
      <c r="J1067" s="1"/>
      <c r="K1067" s="1"/>
      <c r="L1067" s="1" t="s">
        <v>236</v>
      </c>
      <c r="M1067" s="1" t="s">
        <v>6144</v>
      </c>
      <c r="N1067" s="1">
        <v>1</v>
      </c>
      <c r="O1067" s="1">
        <v>0</v>
      </c>
      <c r="P1067" s="1"/>
      <c r="Q1067" s="1"/>
      <c r="R1067" s="1" t="s">
        <v>8724</v>
      </c>
      <c r="S1067" s="1" t="s">
        <v>8725</v>
      </c>
      <c r="T1067" s="1" t="s">
        <v>7821</v>
      </c>
      <c r="U1067" s="1" t="s">
        <v>8726</v>
      </c>
      <c r="V1067" s="1">
        <v>1</v>
      </c>
      <c r="W1067" s="1">
        <v>1</v>
      </c>
      <c r="X1067" s="1">
        <v>1</v>
      </c>
      <c r="Y1067" s="1">
        <v>0</v>
      </c>
      <c r="Z1067" s="1">
        <v>0</v>
      </c>
      <c r="AA1067" s="1">
        <v>5</v>
      </c>
      <c r="AB1067" s="1">
        <v>5</v>
      </c>
      <c r="AC1067" s="1" t="s">
        <v>109</v>
      </c>
      <c r="AD1067" s="1" t="s">
        <v>109</v>
      </c>
      <c r="AE1067" s="1" t="s">
        <v>109</v>
      </c>
      <c r="AF1067" s="1" t="s">
        <v>109</v>
      </c>
      <c r="AG1067" s="1" t="s">
        <v>109</v>
      </c>
      <c r="AH1067" s="1">
        <v>5</v>
      </c>
      <c r="AI1067" s="1" t="s">
        <v>109</v>
      </c>
      <c r="AJ1067" s="1" t="s">
        <v>109</v>
      </c>
      <c r="AK1067" s="1" t="s">
        <v>109</v>
      </c>
      <c r="AL1067" s="1" t="s">
        <v>109</v>
      </c>
      <c r="AM1067" s="1" t="s">
        <v>109</v>
      </c>
      <c r="AN1067" s="1">
        <v>5</v>
      </c>
      <c r="AO1067" s="1" t="s">
        <v>109</v>
      </c>
      <c r="AP1067" s="1"/>
      <c r="AQ1067" s="1">
        <v>5</v>
      </c>
      <c r="AR1067" s="1"/>
      <c r="AS1067" s="1" t="s">
        <v>8727</v>
      </c>
      <c r="AT1067" s="1">
        <v>0</v>
      </c>
      <c r="AU1067" s="1">
        <v>0</v>
      </c>
      <c r="AV1067" s="1">
        <v>0</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5" t="str">
        <f>HYPERLINK("http://www.d20pfsrd.com/magic/all-spells/m/monstrous-physique-iii","Monstrous Physique III")</f>
        <v>Monstrous Physique III</v>
      </c>
      <c r="BT1067" s="1">
        <v>1103</v>
      </c>
      <c r="BU1067" s="1" t="s">
        <v>109</v>
      </c>
      <c r="BV1067" s="1"/>
      <c r="BW1067" s="1"/>
      <c r="BX1067" s="1" t="s">
        <v>8714</v>
      </c>
      <c r="BY1067" s="1" t="s">
        <v>8715</v>
      </c>
      <c r="BZ1067" s="1">
        <v>1</v>
      </c>
      <c r="CA1067" s="1" t="s">
        <v>109</v>
      </c>
      <c r="CB1067" s="1" t="s">
        <v>109</v>
      </c>
      <c r="CC1067" s="1" t="s">
        <v>109</v>
      </c>
      <c r="CD1067" s="1" t="s">
        <v>109</v>
      </c>
      <c r="CE1067" s="1" t="s">
        <v>109</v>
      </c>
      <c r="CF1067" s="1" t="s">
        <v>109</v>
      </c>
      <c r="CG1067" s="1" t="s">
        <v>109</v>
      </c>
      <c r="CH1067" s="1" t="s">
        <v>109</v>
      </c>
      <c r="CI1067" s="1" t="s">
        <v>109</v>
      </c>
      <c r="CJ1067" s="1" t="s">
        <v>109</v>
      </c>
      <c r="CK1067" s="1"/>
      <c r="CL1067" s="1">
        <v>0</v>
      </c>
      <c r="CM1067" s="1">
        <v>0</v>
      </c>
      <c r="CN1067" s="1">
        <v>0</v>
      </c>
    </row>
    <row r="1068" spans="1:92" ht="14.25" customHeight="1" x14ac:dyDescent="0.15">
      <c r="A1068" s="1" t="s">
        <v>8728</v>
      </c>
      <c r="B1068" s="1" t="s">
        <v>189</v>
      </c>
      <c r="C1068" s="1" t="s">
        <v>231</v>
      </c>
      <c r="D1068" s="1"/>
      <c r="E1068" s="1" t="s">
        <v>8729</v>
      </c>
      <c r="F1068" s="1" t="s">
        <v>98</v>
      </c>
      <c r="G1068" s="1" t="s">
        <v>234</v>
      </c>
      <c r="H1068" s="1">
        <v>0</v>
      </c>
      <c r="I1068" s="1" t="s">
        <v>235</v>
      </c>
      <c r="J1068" s="1"/>
      <c r="K1068" s="1"/>
      <c r="L1068" s="1" t="s">
        <v>236</v>
      </c>
      <c r="M1068" s="1" t="s">
        <v>6144</v>
      </c>
      <c r="N1068" s="1">
        <v>1</v>
      </c>
      <c r="O1068" s="1">
        <v>0</v>
      </c>
      <c r="P1068" s="1"/>
      <c r="Q1068" s="1"/>
      <c r="R1068" s="1" t="s">
        <v>8730</v>
      </c>
      <c r="S1068" s="1" t="s">
        <v>8731</v>
      </c>
      <c r="T1068" s="1" t="s">
        <v>7821</v>
      </c>
      <c r="U1068" s="1" t="s">
        <v>8732</v>
      </c>
      <c r="V1068" s="1">
        <v>1</v>
      </c>
      <c r="W1068" s="1">
        <v>1</v>
      </c>
      <c r="X1068" s="1">
        <v>1</v>
      </c>
      <c r="Y1068" s="1">
        <v>0</v>
      </c>
      <c r="Z1068" s="1">
        <v>0</v>
      </c>
      <c r="AA1068" s="1">
        <v>6</v>
      </c>
      <c r="AB1068" s="1">
        <v>6</v>
      </c>
      <c r="AC1068" s="1" t="s">
        <v>109</v>
      </c>
      <c r="AD1068" s="1" t="s">
        <v>109</v>
      </c>
      <c r="AE1068" s="1" t="s">
        <v>109</v>
      </c>
      <c r="AF1068" s="1" t="s">
        <v>109</v>
      </c>
      <c r="AG1068" s="1" t="s">
        <v>109</v>
      </c>
      <c r="AH1068" s="1">
        <v>6</v>
      </c>
      <c r="AI1068" s="1" t="s">
        <v>109</v>
      </c>
      <c r="AJ1068" s="1" t="s">
        <v>109</v>
      </c>
      <c r="AK1068" s="1" t="s">
        <v>109</v>
      </c>
      <c r="AL1068" s="1" t="s">
        <v>109</v>
      </c>
      <c r="AM1068" s="1" t="s">
        <v>109</v>
      </c>
      <c r="AN1068" s="1">
        <v>6</v>
      </c>
      <c r="AO1068" s="1" t="s">
        <v>109</v>
      </c>
      <c r="AP1068" s="1"/>
      <c r="AQ1068" s="1">
        <v>6</v>
      </c>
      <c r="AR1068" s="1"/>
      <c r="AS1068" s="1" t="s">
        <v>8733</v>
      </c>
      <c r="AT1068" s="1">
        <v>0</v>
      </c>
      <c r="AU1068" s="1">
        <v>0</v>
      </c>
      <c r="AV1068" s="1">
        <v>0</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5" t="str">
        <f>HYPERLINK("http://www.d20pfsrd.com/magic/all-spells/m/monstrous-physique-iv","Monstrous Physique IV")</f>
        <v>Monstrous Physique IV</v>
      </c>
      <c r="BT1068" s="1">
        <v>1104</v>
      </c>
      <c r="BU1068" s="1" t="s">
        <v>109</v>
      </c>
      <c r="BV1068" s="1"/>
      <c r="BW1068" s="1"/>
      <c r="BX1068" s="1" t="s">
        <v>8714</v>
      </c>
      <c r="BY1068" s="1" t="s">
        <v>8715</v>
      </c>
      <c r="BZ1068" s="1">
        <v>1</v>
      </c>
      <c r="CA1068" s="1" t="s">
        <v>109</v>
      </c>
      <c r="CB1068" s="1" t="s">
        <v>109</v>
      </c>
      <c r="CC1068" s="1" t="s">
        <v>109</v>
      </c>
      <c r="CD1068" s="1" t="s">
        <v>109</v>
      </c>
      <c r="CE1068" s="1" t="s">
        <v>109</v>
      </c>
      <c r="CF1068" s="1" t="s">
        <v>109</v>
      </c>
      <c r="CG1068" s="1" t="s">
        <v>109</v>
      </c>
      <c r="CH1068" s="1" t="s">
        <v>109</v>
      </c>
      <c r="CI1068" s="1" t="s">
        <v>109</v>
      </c>
      <c r="CJ1068" s="1" t="s">
        <v>109</v>
      </c>
      <c r="CK1068" s="1"/>
      <c r="CL1068" s="1">
        <v>0</v>
      </c>
      <c r="CM1068" s="1">
        <v>0</v>
      </c>
      <c r="CN1068" s="1">
        <v>0</v>
      </c>
    </row>
    <row r="1069" spans="1:92" ht="14.25" customHeight="1" x14ac:dyDescent="0.15">
      <c r="A1069" s="1" t="s">
        <v>8734</v>
      </c>
      <c r="B1069" s="1" t="s">
        <v>156</v>
      </c>
      <c r="C1069" s="1" t="s">
        <v>157</v>
      </c>
      <c r="D1069" s="1" t="s">
        <v>158</v>
      </c>
      <c r="E1069" s="1" t="s">
        <v>8735</v>
      </c>
      <c r="F1069" s="1" t="s">
        <v>98</v>
      </c>
      <c r="G1069" s="1" t="s">
        <v>333</v>
      </c>
      <c r="H1069" s="1">
        <v>0</v>
      </c>
      <c r="I1069" s="1" t="s">
        <v>142</v>
      </c>
      <c r="J1069" s="1"/>
      <c r="K1069" s="1"/>
      <c r="L1069" s="1" t="s">
        <v>563</v>
      </c>
      <c r="M1069" s="1" t="s">
        <v>355</v>
      </c>
      <c r="N1069" s="1">
        <v>0</v>
      </c>
      <c r="O1069" s="1">
        <v>0</v>
      </c>
      <c r="P1069" s="1" t="s">
        <v>301</v>
      </c>
      <c r="Q1069" s="1" t="s">
        <v>268</v>
      </c>
      <c r="R1069" s="1" t="s">
        <v>8736</v>
      </c>
      <c r="S1069" s="1" t="s">
        <v>8737</v>
      </c>
      <c r="T1069" s="1" t="s">
        <v>7821</v>
      </c>
      <c r="U1069" s="1" t="s">
        <v>8738</v>
      </c>
      <c r="V1069" s="1">
        <v>1</v>
      </c>
      <c r="W1069" s="1">
        <v>0</v>
      </c>
      <c r="X1069" s="1">
        <v>0</v>
      </c>
      <c r="Y1069" s="1">
        <v>0</v>
      </c>
      <c r="Z1069" s="1">
        <v>0</v>
      </c>
      <c r="AA1069" s="1" t="s">
        <v>109</v>
      </c>
      <c r="AB1069" s="1" t="s">
        <v>109</v>
      </c>
      <c r="AC1069" s="1">
        <v>1</v>
      </c>
      <c r="AD1069" s="1" t="s">
        <v>109</v>
      </c>
      <c r="AE1069" s="1" t="s">
        <v>109</v>
      </c>
      <c r="AF1069" s="1" t="s">
        <v>109</v>
      </c>
      <c r="AG1069" s="1" t="s">
        <v>109</v>
      </c>
      <c r="AH1069" s="1" t="s">
        <v>109</v>
      </c>
      <c r="AI1069" s="1" t="s">
        <v>109</v>
      </c>
      <c r="AJ1069" s="1" t="s">
        <v>109</v>
      </c>
      <c r="AK1069" s="1" t="s">
        <v>109</v>
      </c>
      <c r="AL1069" s="1">
        <v>1</v>
      </c>
      <c r="AM1069" s="1">
        <v>1</v>
      </c>
      <c r="AN1069" s="1" t="s">
        <v>109</v>
      </c>
      <c r="AO1069" s="1" t="s">
        <v>109</v>
      </c>
      <c r="AP1069" s="1"/>
      <c r="AQ1069" s="1">
        <v>1</v>
      </c>
      <c r="AR1069" s="1" t="s">
        <v>8739</v>
      </c>
      <c r="AS1069" s="1" t="s">
        <v>8740</v>
      </c>
      <c r="AT1069" s="1">
        <v>0</v>
      </c>
      <c r="AU1069" s="1">
        <v>0</v>
      </c>
      <c r="AV1069" s="1">
        <v>0</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1</v>
      </c>
      <c r="BN1069" s="1">
        <v>0</v>
      </c>
      <c r="BO1069" s="1">
        <v>0</v>
      </c>
      <c r="BP1069" s="1">
        <v>0</v>
      </c>
      <c r="BQ1069" s="1">
        <v>0</v>
      </c>
      <c r="BR1069" s="1">
        <v>0</v>
      </c>
      <c r="BS1069" s="5" t="str">
        <f>HYPERLINK("http://www.d20pfsrd.com/magic/all-spells/m/murderous-command","Murderous Command")</f>
        <v>Murderous Command</v>
      </c>
      <c r="BT1069" s="1">
        <v>1105</v>
      </c>
      <c r="BU1069" s="1" t="s">
        <v>109</v>
      </c>
      <c r="BV1069" s="1"/>
      <c r="BW1069" s="1"/>
      <c r="BX1069" s="1" t="s">
        <v>8741</v>
      </c>
      <c r="BY1069" s="1" t="s">
        <v>8742</v>
      </c>
      <c r="BZ1069" s="1">
        <v>1</v>
      </c>
      <c r="CA1069" s="1" t="s">
        <v>109</v>
      </c>
      <c r="CB1069" s="1" t="s">
        <v>109</v>
      </c>
      <c r="CC1069" s="1">
        <v>1</v>
      </c>
      <c r="CD1069" s="1" t="s">
        <v>109</v>
      </c>
      <c r="CE1069" s="1">
        <v>1</v>
      </c>
      <c r="CF1069" s="1">
        <v>1</v>
      </c>
      <c r="CG1069" s="1" t="s">
        <v>109</v>
      </c>
      <c r="CH1069" s="1" t="s">
        <v>109</v>
      </c>
      <c r="CI1069" s="1" t="s">
        <v>109</v>
      </c>
      <c r="CJ1069" s="1" t="s">
        <v>109</v>
      </c>
      <c r="CK1069" s="1"/>
      <c r="CL1069" s="1">
        <v>0</v>
      </c>
      <c r="CM1069" s="1">
        <v>0</v>
      </c>
      <c r="CN1069" s="1">
        <v>0</v>
      </c>
    </row>
    <row r="1070" spans="1:92" ht="14.25" customHeight="1" x14ac:dyDescent="0.15">
      <c r="A1070" s="1" t="s">
        <v>8743</v>
      </c>
      <c r="B1070" s="1" t="s">
        <v>156</v>
      </c>
      <c r="C1070" s="1" t="s">
        <v>157</v>
      </c>
      <c r="D1070" s="1" t="s">
        <v>8086</v>
      </c>
      <c r="E1070" s="1" t="s">
        <v>2681</v>
      </c>
      <c r="F1070" s="1" t="s">
        <v>98</v>
      </c>
      <c r="G1070" s="1" t="s">
        <v>141</v>
      </c>
      <c r="H1070" s="1">
        <v>0</v>
      </c>
      <c r="I1070" s="1" t="s">
        <v>142</v>
      </c>
      <c r="J1070" s="1"/>
      <c r="K1070" s="1"/>
      <c r="L1070" s="1" t="s">
        <v>1391</v>
      </c>
      <c r="M1070" s="1" t="s">
        <v>8744</v>
      </c>
      <c r="N1070" s="1">
        <v>0</v>
      </c>
      <c r="O1070" s="1">
        <v>0</v>
      </c>
      <c r="P1070" s="1" t="s">
        <v>2475</v>
      </c>
      <c r="Q1070" s="1" t="s">
        <v>268</v>
      </c>
      <c r="R1070" s="1" t="s">
        <v>8745</v>
      </c>
      <c r="S1070" s="1" t="s">
        <v>8746</v>
      </c>
      <c r="T1070" s="1" t="s">
        <v>7821</v>
      </c>
      <c r="U1070" s="1" t="s">
        <v>8747</v>
      </c>
      <c r="V1070" s="1">
        <v>1</v>
      </c>
      <c r="W1070" s="1">
        <v>1</v>
      </c>
      <c r="X1070" s="1">
        <v>0</v>
      </c>
      <c r="Y1070" s="1">
        <v>0</v>
      </c>
      <c r="Z1070" s="1">
        <v>0</v>
      </c>
      <c r="AA1070" s="1">
        <v>2</v>
      </c>
      <c r="AB1070" s="1">
        <v>2</v>
      </c>
      <c r="AC1070" s="1" t="s">
        <v>109</v>
      </c>
      <c r="AD1070" s="1" t="s">
        <v>109</v>
      </c>
      <c r="AE1070" s="1" t="s">
        <v>109</v>
      </c>
      <c r="AF1070" s="1">
        <v>2</v>
      </c>
      <c r="AG1070" s="1" t="s">
        <v>109</v>
      </c>
      <c r="AH1070" s="1" t="s">
        <v>109</v>
      </c>
      <c r="AI1070" s="1" t="s">
        <v>109</v>
      </c>
      <c r="AJ1070" s="1" t="s">
        <v>109</v>
      </c>
      <c r="AK1070" s="1" t="s">
        <v>109</v>
      </c>
      <c r="AL1070" s="1" t="s">
        <v>109</v>
      </c>
      <c r="AM1070" s="1" t="s">
        <v>109</v>
      </c>
      <c r="AN1070" s="1" t="s">
        <v>109</v>
      </c>
      <c r="AO1070" s="1" t="s">
        <v>109</v>
      </c>
      <c r="AP1070" s="1"/>
      <c r="AQ1070" s="1">
        <v>2</v>
      </c>
      <c r="AR1070" s="1"/>
      <c r="AS1070" s="1" t="s">
        <v>8748</v>
      </c>
      <c r="AT1070" s="1">
        <v>0</v>
      </c>
      <c r="AU1070" s="1">
        <v>0</v>
      </c>
      <c r="AV1070" s="1">
        <v>0</v>
      </c>
      <c r="AW1070" s="1">
        <v>0</v>
      </c>
      <c r="AX1070" s="1">
        <v>0</v>
      </c>
      <c r="AY1070" s="1">
        <v>0</v>
      </c>
      <c r="AZ1070" s="1">
        <v>0</v>
      </c>
      <c r="BA1070" s="1">
        <v>0</v>
      </c>
      <c r="BB1070" s="1">
        <v>0</v>
      </c>
      <c r="BC1070" s="1">
        <v>0</v>
      </c>
      <c r="BD1070" s="1">
        <v>1</v>
      </c>
      <c r="BE1070" s="1">
        <v>0</v>
      </c>
      <c r="BF1070" s="1">
        <v>0</v>
      </c>
      <c r="BG1070" s="1">
        <v>0</v>
      </c>
      <c r="BH1070" s="1">
        <v>0</v>
      </c>
      <c r="BI1070" s="1">
        <v>0</v>
      </c>
      <c r="BJ1070" s="1">
        <v>0</v>
      </c>
      <c r="BK1070" s="1">
        <v>0</v>
      </c>
      <c r="BL1070" s="1">
        <v>0</v>
      </c>
      <c r="BM1070" s="1">
        <v>1</v>
      </c>
      <c r="BN1070" s="1">
        <v>0</v>
      </c>
      <c r="BO1070" s="1">
        <v>0</v>
      </c>
      <c r="BP1070" s="1">
        <v>0</v>
      </c>
      <c r="BQ1070" s="1">
        <v>0</v>
      </c>
      <c r="BR1070" s="1">
        <v>0</v>
      </c>
      <c r="BS1070" s="5" t="str">
        <f>HYPERLINK("http://www.d20pfsrd.com/magic/all-spells/o/oppressive-boredom","Oppressive Boredom")</f>
        <v>Oppressive Boredom</v>
      </c>
      <c r="BT1070" s="1">
        <v>1106</v>
      </c>
      <c r="BU1070" s="1" t="s">
        <v>109</v>
      </c>
      <c r="BV1070" s="1"/>
      <c r="BW1070" s="1"/>
      <c r="BX1070" s="1"/>
      <c r="BY1070" s="1"/>
      <c r="BZ1070" s="1">
        <v>0</v>
      </c>
      <c r="CA1070" s="1" t="s">
        <v>109</v>
      </c>
      <c r="CB1070" s="1" t="s">
        <v>109</v>
      </c>
      <c r="CC1070" s="1">
        <v>2</v>
      </c>
      <c r="CD1070" s="1" t="s">
        <v>109</v>
      </c>
      <c r="CE1070" s="1">
        <v>2</v>
      </c>
      <c r="CF1070" s="1" t="s">
        <v>109</v>
      </c>
      <c r="CG1070" s="1" t="s">
        <v>109</v>
      </c>
      <c r="CH1070" s="1" t="s">
        <v>109</v>
      </c>
      <c r="CI1070" s="1" t="s">
        <v>109</v>
      </c>
      <c r="CJ1070" s="1" t="s">
        <v>109</v>
      </c>
      <c r="CK1070" s="1"/>
      <c r="CL1070" s="1">
        <v>0</v>
      </c>
      <c r="CM1070" s="1">
        <v>0</v>
      </c>
      <c r="CN1070" s="1">
        <v>0</v>
      </c>
    </row>
    <row r="1071" spans="1:92" ht="14.25" customHeight="1" x14ac:dyDescent="0.15">
      <c r="A1071" s="1" t="s">
        <v>8749</v>
      </c>
      <c r="B1071" s="1" t="s">
        <v>189</v>
      </c>
      <c r="C1071" s="1"/>
      <c r="D1071" s="1"/>
      <c r="E1071" s="1" t="s">
        <v>8750</v>
      </c>
      <c r="F1071" s="1" t="s">
        <v>98</v>
      </c>
      <c r="G1071" s="1" t="s">
        <v>141</v>
      </c>
      <c r="H1071" s="1">
        <v>0</v>
      </c>
      <c r="I1071" s="1" t="s">
        <v>142</v>
      </c>
      <c r="J1071" s="1"/>
      <c r="K1071" s="1"/>
      <c r="L1071" s="1" t="s">
        <v>1391</v>
      </c>
      <c r="M1071" s="1" t="s">
        <v>3042</v>
      </c>
      <c r="N1071" s="1">
        <v>0</v>
      </c>
      <c r="O1071" s="1">
        <v>0</v>
      </c>
      <c r="P1071" s="1" t="s">
        <v>507</v>
      </c>
      <c r="Q1071" s="1" t="s">
        <v>167</v>
      </c>
      <c r="R1071" s="1" t="s">
        <v>8751</v>
      </c>
      <c r="S1071" s="1" t="s">
        <v>8752</v>
      </c>
      <c r="T1071" s="1" t="s">
        <v>7821</v>
      </c>
      <c r="U1071" s="1" t="s">
        <v>8753</v>
      </c>
      <c r="V1071" s="1">
        <v>1</v>
      </c>
      <c r="W1071" s="1">
        <v>1</v>
      </c>
      <c r="X1071" s="1">
        <v>0</v>
      </c>
      <c r="Y1071" s="1">
        <v>0</v>
      </c>
      <c r="Z1071" s="1">
        <v>0</v>
      </c>
      <c r="AA1071" s="1" t="s">
        <v>109</v>
      </c>
      <c r="AB1071" s="1" t="s">
        <v>109</v>
      </c>
      <c r="AC1071" s="1" t="s">
        <v>109</v>
      </c>
      <c r="AD1071" s="1" t="s">
        <v>109</v>
      </c>
      <c r="AE1071" s="1" t="s">
        <v>109</v>
      </c>
      <c r="AF1071" s="1" t="s">
        <v>109</v>
      </c>
      <c r="AG1071" s="1" t="s">
        <v>109</v>
      </c>
      <c r="AH1071" s="1" t="s">
        <v>109</v>
      </c>
      <c r="AI1071" s="1" t="s">
        <v>109</v>
      </c>
      <c r="AJ1071" s="1" t="s">
        <v>109</v>
      </c>
      <c r="AK1071" s="1" t="s">
        <v>109</v>
      </c>
      <c r="AL1071" s="1">
        <v>4</v>
      </c>
      <c r="AM1071" s="1" t="s">
        <v>109</v>
      </c>
      <c r="AN1071" s="1" t="s">
        <v>109</v>
      </c>
      <c r="AO1071" s="1" t="s">
        <v>109</v>
      </c>
      <c r="AP1071" s="1"/>
      <c r="AQ1071" s="1">
        <v>4</v>
      </c>
      <c r="AR1071" s="1"/>
      <c r="AS1071" s="1" t="s">
        <v>8754</v>
      </c>
      <c r="AT1071" s="1">
        <v>0</v>
      </c>
      <c r="AU1071" s="1">
        <v>0</v>
      </c>
      <c r="AV1071" s="1">
        <v>0</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5" t="str">
        <f>HYPERLINK("http://www.d20pfsrd.com/magic/all-spells/o/oracle-s-vessel","Oracle's Vessel")</f>
        <v>Oracle's Vessel</v>
      </c>
      <c r="BT1071" s="1">
        <v>1107</v>
      </c>
      <c r="BU1071" s="1" t="s">
        <v>109</v>
      </c>
      <c r="BV1071" s="1"/>
      <c r="BW1071" s="1"/>
      <c r="BX1071" s="1"/>
      <c r="BY1071" s="1"/>
      <c r="BZ1071" s="1">
        <v>0</v>
      </c>
      <c r="CA1071" s="1" t="s">
        <v>109</v>
      </c>
      <c r="CB1071" s="1" t="s">
        <v>109</v>
      </c>
      <c r="CC1071" s="1" t="s">
        <v>109</v>
      </c>
      <c r="CD1071" s="1" t="s">
        <v>109</v>
      </c>
      <c r="CE1071" s="1" t="s">
        <v>109</v>
      </c>
      <c r="CF1071" s="1" t="s">
        <v>109</v>
      </c>
      <c r="CG1071" s="1" t="s">
        <v>109</v>
      </c>
      <c r="CH1071" s="1" t="s">
        <v>109</v>
      </c>
      <c r="CI1071" s="1" t="s">
        <v>109</v>
      </c>
      <c r="CJ1071" s="1" t="s">
        <v>109</v>
      </c>
      <c r="CK1071" s="1"/>
      <c r="CL1071" s="1">
        <v>0</v>
      </c>
      <c r="CM1071" s="1">
        <v>0</v>
      </c>
      <c r="CN1071" s="1">
        <v>0</v>
      </c>
    </row>
    <row r="1072" spans="1:92" ht="14.25" customHeight="1" x14ac:dyDescent="0.15">
      <c r="A1072" s="1" t="s">
        <v>8755</v>
      </c>
      <c r="B1072" s="1" t="s">
        <v>308</v>
      </c>
      <c r="C1072" s="1"/>
      <c r="D1072" s="1"/>
      <c r="E1072" s="1" t="s">
        <v>8756</v>
      </c>
      <c r="F1072" s="1" t="s">
        <v>98</v>
      </c>
      <c r="G1072" s="1" t="s">
        <v>8757</v>
      </c>
      <c r="H1072" s="1">
        <v>1</v>
      </c>
      <c r="I1072" s="1" t="s">
        <v>142</v>
      </c>
      <c r="J1072" s="1"/>
      <c r="K1072" s="1" t="s">
        <v>8758</v>
      </c>
      <c r="L1072" s="1"/>
      <c r="M1072" s="1" t="s">
        <v>574</v>
      </c>
      <c r="N1072" s="1">
        <v>1</v>
      </c>
      <c r="O1072" s="1">
        <v>0</v>
      </c>
      <c r="P1072" s="1" t="s">
        <v>267</v>
      </c>
      <c r="Q1072" s="1" t="s">
        <v>268</v>
      </c>
      <c r="R1072" s="1" t="s">
        <v>8759</v>
      </c>
      <c r="S1072" s="1" t="s">
        <v>8760</v>
      </c>
      <c r="T1072" s="1" t="s">
        <v>7821</v>
      </c>
      <c r="U1072" s="1" t="s">
        <v>8761</v>
      </c>
      <c r="V1072" s="1">
        <v>1</v>
      </c>
      <c r="W1072" s="1">
        <v>1</v>
      </c>
      <c r="X1072" s="1">
        <v>1</v>
      </c>
      <c r="Y1072" s="1">
        <v>0</v>
      </c>
      <c r="Z1072" s="1">
        <v>0</v>
      </c>
      <c r="AA1072" s="1">
        <v>8</v>
      </c>
      <c r="AB1072" s="1">
        <v>8</v>
      </c>
      <c r="AC1072" s="1">
        <v>8</v>
      </c>
      <c r="AD1072" s="1" t="s">
        <v>109</v>
      </c>
      <c r="AE1072" s="1" t="s">
        <v>109</v>
      </c>
      <c r="AF1072" s="1" t="s">
        <v>109</v>
      </c>
      <c r="AG1072" s="1" t="s">
        <v>109</v>
      </c>
      <c r="AH1072" s="1" t="s">
        <v>109</v>
      </c>
      <c r="AI1072" s="1" t="s">
        <v>109</v>
      </c>
      <c r="AJ1072" s="1" t="s">
        <v>109</v>
      </c>
      <c r="AK1072" s="1" t="s">
        <v>109</v>
      </c>
      <c r="AL1072" s="1">
        <v>8</v>
      </c>
      <c r="AM1072" s="1" t="s">
        <v>109</v>
      </c>
      <c r="AN1072" s="1" t="s">
        <v>109</v>
      </c>
      <c r="AO1072" s="1" t="s">
        <v>109</v>
      </c>
      <c r="AP1072" s="1"/>
      <c r="AQ1072" s="1">
        <v>8</v>
      </c>
      <c r="AR1072" s="1"/>
      <c r="AS1072" s="1" t="s">
        <v>8762</v>
      </c>
      <c r="AT1072" s="1">
        <v>0</v>
      </c>
      <c r="AU1072" s="1">
        <v>0</v>
      </c>
      <c r="AV1072" s="1">
        <v>0</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5" t="str">
        <f>HYPERLINK("http://www.d20pfsrd.com/magic/all-spells/o/orb-of-the-void","Orb of the Void")</f>
        <v>Orb of the Void</v>
      </c>
      <c r="BT1072" s="1">
        <v>1108</v>
      </c>
      <c r="BU1072" s="1">
        <v>50</v>
      </c>
      <c r="BV1072" s="1"/>
      <c r="BW1072" s="1"/>
      <c r="BX1072" s="1" t="s">
        <v>8763</v>
      </c>
      <c r="BY1072" s="1" t="s">
        <v>8764</v>
      </c>
      <c r="BZ1072" s="1">
        <v>1</v>
      </c>
      <c r="CA1072" s="1" t="s">
        <v>109</v>
      </c>
      <c r="CB1072" s="1" t="s">
        <v>109</v>
      </c>
      <c r="CC1072" s="1">
        <v>8</v>
      </c>
      <c r="CD1072" s="1" t="s">
        <v>109</v>
      </c>
      <c r="CE1072" s="1" t="s">
        <v>109</v>
      </c>
      <c r="CF1072" s="1" t="s">
        <v>109</v>
      </c>
      <c r="CG1072" s="1" t="s">
        <v>109</v>
      </c>
      <c r="CH1072" s="1" t="s">
        <v>109</v>
      </c>
      <c r="CI1072" s="1" t="s">
        <v>109</v>
      </c>
      <c r="CJ1072" s="1" t="s">
        <v>109</v>
      </c>
      <c r="CK1072" s="1"/>
      <c r="CL1072" s="1">
        <v>0</v>
      </c>
      <c r="CM1072" s="1">
        <v>0</v>
      </c>
      <c r="CN1072" s="1">
        <v>0</v>
      </c>
    </row>
    <row r="1073" spans="1:92" ht="14.25" customHeight="1" x14ac:dyDescent="0.15">
      <c r="A1073" s="1" t="s">
        <v>8765</v>
      </c>
      <c r="B1073" s="1" t="s">
        <v>156</v>
      </c>
      <c r="C1073" s="1" t="s">
        <v>157</v>
      </c>
      <c r="D1073" s="1" t="s">
        <v>8086</v>
      </c>
      <c r="E1073" s="1" t="s">
        <v>8678</v>
      </c>
      <c r="F1073" s="1" t="s">
        <v>98</v>
      </c>
      <c r="G1073" s="1" t="s">
        <v>141</v>
      </c>
      <c r="H1073" s="1">
        <v>0</v>
      </c>
      <c r="I1073" s="1" t="s">
        <v>142</v>
      </c>
      <c r="J1073" s="1"/>
      <c r="K1073" s="1"/>
      <c r="L1073" s="1" t="s">
        <v>1391</v>
      </c>
      <c r="M1073" s="1" t="s">
        <v>125</v>
      </c>
      <c r="N1073" s="1">
        <v>0</v>
      </c>
      <c r="O1073" s="1">
        <v>0</v>
      </c>
      <c r="P1073" s="1" t="s">
        <v>2475</v>
      </c>
      <c r="Q1073" s="1" t="s">
        <v>268</v>
      </c>
      <c r="R1073" s="1" t="s">
        <v>8766</v>
      </c>
      <c r="S1073" s="1" t="s">
        <v>8767</v>
      </c>
      <c r="T1073" s="1" t="s">
        <v>7821</v>
      </c>
      <c r="U1073" s="1" t="s">
        <v>8768</v>
      </c>
      <c r="V1073" s="1">
        <v>1</v>
      </c>
      <c r="W1073" s="1">
        <v>1</v>
      </c>
      <c r="X1073" s="1">
        <v>0</v>
      </c>
      <c r="Y1073" s="1">
        <v>0</v>
      </c>
      <c r="Z1073" s="1">
        <v>0</v>
      </c>
      <c r="AA1073" s="1">
        <v>4</v>
      </c>
      <c r="AB1073" s="1">
        <v>4</v>
      </c>
      <c r="AC1073" s="1" t="s">
        <v>109</v>
      </c>
      <c r="AD1073" s="1" t="s">
        <v>109</v>
      </c>
      <c r="AE1073" s="1" t="s">
        <v>109</v>
      </c>
      <c r="AF1073" s="1">
        <v>3</v>
      </c>
      <c r="AG1073" s="1" t="s">
        <v>109</v>
      </c>
      <c r="AH1073" s="1" t="s">
        <v>109</v>
      </c>
      <c r="AI1073" s="1" t="s">
        <v>109</v>
      </c>
      <c r="AJ1073" s="1" t="s">
        <v>109</v>
      </c>
      <c r="AK1073" s="1" t="s">
        <v>109</v>
      </c>
      <c r="AL1073" s="1" t="s">
        <v>109</v>
      </c>
      <c r="AM1073" s="1" t="s">
        <v>109</v>
      </c>
      <c r="AN1073" s="1" t="s">
        <v>109</v>
      </c>
      <c r="AO1073" s="1" t="s">
        <v>109</v>
      </c>
      <c r="AP1073" s="1"/>
      <c r="AQ1073" s="1">
        <v>4</v>
      </c>
      <c r="AR1073" s="1"/>
      <c r="AS1073" s="1" t="s">
        <v>8769</v>
      </c>
      <c r="AT1073" s="1">
        <v>0</v>
      </c>
      <c r="AU1073" s="1">
        <v>0</v>
      </c>
      <c r="AV1073" s="1">
        <v>0</v>
      </c>
      <c r="AW1073" s="1">
        <v>0</v>
      </c>
      <c r="AX1073" s="1">
        <v>0</v>
      </c>
      <c r="AY1073" s="1">
        <v>0</v>
      </c>
      <c r="AZ1073" s="1">
        <v>0</v>
      </c>
      <c r="BA1073" s="1">
        <v>0</v>
      </c>
      <c r="BB1073" s="1">
        <v>0</v>
      </c>
      <c r="BC1073" s="1">
        <v>0</v>
      </c>
      <c r="BD1073" s="1">
        <v>1</v>
      </c>
      <c r="BE1073" s="1">
        <v>0</v>
      </c>
      <c r="BF1073" s="1">
        <v>0</v>
      </c>
      <c r="BG1073" s="1">
        <v>0</v>
      </c>
      <c r="BH1073" s="1">
        <v>0</v>
      </c>
      <c r="BI1073" s="1">
        <v>0</v>
      </c>
      <c r="BJ1073" s="1">
        <v>0</v>
      </c>
      <c r="BK1073" s="1">
        <v>0</v>
      </c>
      <c r="BL1073" s="1">
        <v>0</v>
      </c>
      <c r="BM1073" s="1">
        <v>1</v>
      </c>
      <c r="BN1073" s="1">
        <v>0</v>
      </c>
      <c r="BO1073" s="1">
        <v>0</v>
      </c>
      <c r="BP1073" s="1">
        <v>0</v>
      </c>
      <c r="BQ1073" s="1">
        <v>0</v>
      </c>
      <c r="BR1073" s="1">
        <v>0</v>
      </c>
      <c r="BS1073" s="5" t="str">
        <f>HYPERLINK("http://www.d20pfsrd.com/magic/all-spells/o/overwhelming-grief","Overwhelming Grief")</f>
        <v>Overwhelming Grief</v>
      </c>
      <c r="BT1073" s="1">
        <v>1109</v>
      </c>
      <c r="BU1073" s="1" t="s">
        <v>109</v>
      </c>
      <c r="BV1073" s="1"/>
      <c r="BW1073" s="1" t="s">
        <v>8770</v>
      </c>
      <c r="BX1073" s="1"/>
      <c r="BY1073" s="1"/>
      <c r="BZ1073" s="1">
        <v>0</v>
      </c>
      <c r="CA1073" s="1" t="s">
        <v>109</v>
      </c>
      <c r="CB1073" s="1" t="s">
        <v>109</v>
      </c>
      <c r="CC1073" s="1">
        <v>4</v>
      </c>
      <c r="CD1073" s="1" t="s">
        <v>109</v>
      </c>
      <c r="CE1073" s="1">
        <v>3</v>
      </c>
      <c r="CF1073" s="1" t="s">
        <v>109</v>
      </c>
      <c r="CG1073" s="1" t="s">
        <v>109</v>
      </c>
      <c r="CH1073" s="1" t="s">
        <v>109</v>
      </c>
      <c r="CI1073" s="1" t="s">
        <v>109</v>
      </c>
      <c r="CJ1073" s="1" t="s">
        <v>109</v>
      </c>
      <c r="CK1073" s="1"/>
      <c r="CL1073" s="1">
        <v>0</v>
      </c>
      <c r="CM1073" s="1">
        <v>0</v>
      </c>
      <c r="CN1073" s="1">
        <v>0</v>
      </c>
    </row>
    <row r="1074" spans="1:92" ht="14.25" customHeight="1" x14ac:dyDescent="0.15">
      <c r="A1074" s="1" t="s">
        <v>8771</v>
      </c>
      <c r="B1074" s="1" t="s">
        <v>156</v>
      </c>
      <c r="C1074" s="1" t="s">
        <v>157</v>
      </c>
      <c r="D1074" s="1" t="s">
        <v>8086</v>
      </c>
      <c r="E1074" s="1" t="s">
        <v>8772</v>
      </c>
      <c r="F1074" s="1" t="s">
        <v>98</v>
      </c>
      <c r="G1074" s="1" t="s">
        <v>8773</v>
      </c>
      <c r="H1074" s="1">
        <v>0</v>
      </c>
      <c r="I1074" s="1" t="s">
        <v>122</v>
      </c>
      <c r="J1074" s="1"/>
      <c r="K1074" s="1"/>
      <c r="L1074" s="1" t="s">
        <v>716</v>
      </c>
      <c r="M1074" s="1" t="s">
        <v>125</v>
      </c>
      <c r="N1074" s="1">
        <v>0</v>
      </c>
      <c r="O1074" s="1">
        <v>0</v>
      </c>
      <c r="P1074" s="1" t="s">
        <v>8650</v>
      </c>
      <c r="Q1074" s="1" t="s">
        <v>268</v>
      </c>
      <c r="R1074" s="1" t="s">
        <v>8774</v>
      </c>
      <c r="S1074" s="1" t="s">
        <v>8775</v>
      </c>
      <c r="T1074" s="1" t="s">
        <v>7821</v>
      </c>
      <c r="U1074" s="1" t="s">
        <v>8776</v>
      </c>
      <c r="V1074" s="1">
        <v>1</v>
      </c>
      <c r="W1074" s="1">
        <v>1</v>
      </c>
      <c r="X1074" s="1">
        <v>1</v>
      </c>
      <c r="Y1074" s="1">
        <v>0</v>
      </c>
      <c r="Z1074" s="1">
        <v>0</v>
      </c>
      <c r="AA1074" s="1">
        <v>9</v>
      </c>
      <c r="AB1074" s="1">
        <v>9</v>
      </c>
      <c r="AC1074" s="1">
        <v>9</v>
      </c>
      <c r="AD1074" s="1" t="s">
        <v>109</v>
      </c>
      <c r="AE1074" s="1" t="s">
        <v>109</v>
      </c>
      <c r="AF1074" s="1">
        <v>6</v>
      </c>
      <c r="AG1074" s="1" t="s">
        <v>109</v>
      </c>
      <c r="AH1074" s="1" t="s">
        <v>109</v>
      </c>
      <c r="AI1074" s="1" t="s">
        <v>109</v>
      </c>
      <c r="AJ1074" s="1" t="s">
        <v>109</v>
      </c>
      <c r="AK1074" s="1">
        <v>6</v>
      </c>
      <c r="AL1074" s="1">
        <v>9</v>
      </c>
      <c r="AM1074" s="1" t="s">
        <v>109</v>
      </c>
      <c r="AN1074" s="1" t="s">
        <v>109</v>
      </c>
      <c r="AO1074" s="1" t="s">
        <v>109</v>
      </c>
      <c r="AP1074" s="1"/>
      <c r="AQ1074" s="1">
        <v>9</v>
      </c>
      <c r="AR1074" s="1" t="s">
        <v>8777</v>
      </c>
      <c r="AS1074" s="1" t="s">
        <v>8778</v>
      </c>
      <c r="AT1074" s="1">
        <v>0</v>
      </c>
      <c r="AU1074" s="1">
        <v>0</v>
      </c>
      <c r="AV1074" s="1">
        <v>0</v>
      </c>
      <c r="AW1074" s="1">
        <v>0</v>
      </c>
      <c r="AX1074" s="1">
        <v>0</v>
      </c>
      <c r="AY1074" s="1">
        <v>0</v>
      </c>
      <c r="AZ1074" s="1">
        <v>0</v>
      </c>
      <c r="BA1074" s="1">
        <v>0</v>
      </c>
      <c r="BB1074" s="1">
        <v>0</v>
      </c>
      <c r="BC1074" s="1">
        <v>0</v>
      </c>
      <c r="BD1074" s="1">
        <v>1</v>
      </c>
      <c r="BE1074" s="1">
        <v>0</v>
      </c>
      <c r="BF1074" s="1">
        <v>0</v>
      </c>
      <c r="BG1074" s="1">
        <v>0</v>
      </c>
      <c r="BH1074" s="1">
        <v>0</v>
      </c>
      <c r="BI1074" s="1">
        <v>0</v>
      </c>
      <c r="BJ1074" s="1">
        <v>0</v>
      </c>
      <c r="BK1074" s="1">
        <v>0</v>
      </c>
      <c r="BL1074" s="1">
        <v>0</v>
      </c>
      <c r="BM1074" s="1">
        <v>1</v>
      </c>
      <c r="BN1074" s="1">
        <v>0</v>
      </c>
      <c r="BO1074" s="1">
        <v>0</v>
      </c>
      <c r="BP1074" s="1">
        <v>0</v>
      </c>
      <c r="BQ1074" s="1">
        <v>0</v>
      </c>
      <c r="BR1074" s="1">
        <v>0</v>
      </c>
      <c r="BS1074" s="5" t="str">
        <f>HYPERLINK("http://www.d20pfsrd.com/magic/all-spells/o/overwhelming-presence","Overwhelming Presence")</f>
        <v>Overwhelming Presence</v>
      </c>
      <c r="BT1074" s="1">
        <v>1110</v>
      </c>
      <c r="BU1074" s="1" t="s">
        <v>109</v>
      </c>
      <c r="BV1074" s="1" t="s">
        <v>8779</v>
      </c>
      <c r="BW1074" s="1" t="s">
        <v>8780</v>
      </c>
      <c r="BX1074" s="1"/>
      <c r="BY1074" s="1"/>
      <c r="BZ1074" s="1">
        <v>0</v>
      </c>
      <c r="CA1074" s="1" t="s">
        <v>109</v>
      </c>
      <c r="CB1074" s="1" t="s">
        <v>109</v>
      </c>
      <c r="CC1074" s="1">
        <v>4</v>
      </c>
      <c r="CD1074" s="1" t="s">
        <v>109</v>
      </c>
      <c r="CE1074" s="1">
        <v>6</v>
      </c>
      <c r="CF1074" s="1" t="s">
        <v>109</v>
      </c>
      <c r="CG1074" s="1" t="s">
        <v>109</v>
      </c>
      <c r="CH1074" s="1" t="s">
        <v>109</v>
      </c>
      <c r="CI1074" s="1" t="s">
        <v>109</v>
      </c>
      <c r="CJ1074" s="1" t="s">
        <v>109</v>
      </c>
      <c r="CK1074" s="1"/>
      <c r="CL1074" s="1">
        <v>0</v>
      </c>
      <c r="CM1074" s="1">
        <v>0</v>
      </c>
      <c r="CN1074" s="1">
        <v>0</v>
      </c>
    </row>
    <row r="1075" spans="1:92" ht="14.25" customHeight="1" x14ac:dyDescent="0.15">
      <c r="A1075" s="1" t="s">
        <v>8781</v>
      </c>
      <c r="B1075" s="1" t="s">
        <v>308</v>
      </c>
      <c r="C1075" s="1"/>
      <c r="D1075" s="1" t="s">
        <v>67</v>
      </c>
      <c r="E1075" s="1" t="s">
        <v>8782</v>
      </c>
      <c r="F1075" s="1" t="s">
        <v>98</v>
      </c>
      <c r="G1075" s="1" t="s">
        <v>160</v>
      </c>
      <c r="H1075" s="1">
        <v>0</v>
      </c>
      <c r="I1075" s="1" t="s">
        <v>161</v>
      </c>
      <c r="J1075" s="1"/>
      <c r="K1075" s="1"/>
      <c r="L1075" s="1" t="s">
        <v>506</v>
      </c>
      <c r="M1075" s="1" t="s">
        <v>7934</v>
      </c>
      <c r="N1075" s="1">
        <v>0</v>
      </c>
      <c r="O1075" s="1">
        <v>0</v>
      </c>
      <c r="P1075" s="1" t="s">
        <v>103</v>
      </c>
      <c r="Q1075" s="1" t="s">
        <v>268</v>
      </c>
      <c r="R1075" s="1" t="s">
        <v>8783</v>
      </c>
      <c r="S1075" s="1" t="s">
        <v>8784</v>
      </c>
      <c r="T1075" s="1" t="s">
        <v>7821</v>
      </c>
      <c r="U1075" s="1" t="s">
        <v>8785</v>
      </c>
      <c r="V1075" s="1">
        <v>1</v>
      </c>
      <c r="W1075" s="1">
        <v>1</v>
      </c>
      <c r="X1075" s="1">
        <v>0</v>
      </c>
      <c r="Y1075" s="1">
        <v>0</v>
      </c>
      <c r="Z1075" s="1">
        <v>1</v>
      </c>
      <c r="AA1075" s="1">
        <v>2</v>
      </c>
      <c r="AB1075" s="1">
        <v>2</v>
      </c>
      <c r="AC1075" s="1" t="s">
        <v>109</v>
      </c>
      <c r="AD1075" s="1">
        <v>2</v>
      </c>
      <c r="AE1075" s="1" t="s">
        <v>109</v>
      </c>
      <c r="AF1075" s="1" t="s">
        <v>109</v>
      </c>
      <c r="AG1075" s="1" t="s">
        <v>109</v>
      </c>
      <c r="AH1075" s="1" t="s">
        <v>109</v>
      </c>
      <c r="AI1075" s="1" t="s">
        <v>109</v>
      </c>
      <c r="AJ1075" s="1">
        <v>2</v>
      </c>
      <c r="AK1075" s="1" t="s">
        <v>109</v>
      </c>
      <c r="AL1075" s="1" t="s">
        <v>109</v>
      </c>
      <c r="AM1075" s="1">
        <v>2</v>
      </c>
      <c r="AN1075" s="1" t="s">
        <v>109</v>
      </c>
      <c r="AO1075" s="1" t="s">
        <v>109</v>
      </c>
      <c r="AP1075" s="1"/>
      <c r="AQ1075" s="1">
        <v>2</v>
      </c>
      <c r="AR1075" s="1" t="s">
        <v>8786</v>
      </c>
      <c r="AS1075" s="1" t="s">
        <v>8787</v>
      </c>
      <c r="AT1075" s="1">
        <v>0</v>
      </c>
      <c r="AU1075" s="1">
        <v>0</v>
      </c>
      <c r="AV1075" s="1">
        <v>0</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1</v>
      </c>
      <c r="BP1075" s="1">
        <v>0</v>
      </c>
      <c r="BQ1075" s="1">
        <v>0</v>
      </c>
      <c r="BR1075" s="1">
        <v>0</v>
      </c>
      <c r="BS1075" s="5" t="str">
        <f>HYPERLINK("http://www.d20pfsrd.com/magic/all-spells/p/pernicious-poison","Pernicious Poison")</f>
        <v>Pernicious Poison</v>
      </c>
      <c r="BT1075" s="1">
        <v>1111</v>
      </c>
      <c r="BU1075" s="1" t="s">
        <v>109</v>
      </c>
      <c r="BV1075" s="1"/>
      <c r="BW1075" s="1"/>
      <c r="BX1075" s="1" t="s">
        <v>8788</v>
      </c>
      <c r="BY1075" s="1" t="s">
        <v>8789</v>
      </c>
      <c r="BZ1075" s="1">
        <v>1</v>
      </c>
      <c r="CA1075" s="1" t="s">
        <v>109</v>
      </c>
      <c r="CB1075" s="1" t="s">
        <v>109</v>
      </c>
      <c r="CC1075" s="1" t="s">
        <v>109</v>
      </c>
      <c r="CD1075" s="1" t="s">
        <v>109</v>
      </c>
      <c r="CE1075" s="1" t="s">
        <v>109</v>
      </c>
      <c r="CF1075" s="1">
        <v>2</v>
      </c>
      <c r="CG1075" s="1" t="s">
        <v>109</v>
      </c>
      <c r="CH1075" s="1" t="s">
        <v>109</v>
      </c>
      <c r="CI1075" s="1" t="s">
        <v>109</v>
      </c>
      <c r="CJ1075" s="1">
        <v>2</v>
      </c>
      <c r="CK1075" s="1"/>
      <c r="CL1075" s="1">
        <v>0</v>
      </c>
      <c r="CM1075" s="1">
        <v>0</v>
      </c>
      <c r="CN1075" s="1">
        <v>0</v>
      </c>
    </row>
    <row r="1076" spans="1:92" ht="14.25" customHeight="1" x14ac:dyDescent="0.15">
      <c r="A1076" s="1" t="s">
        <v>8790</v>
      </c>
      <c r="B1076" s="1" t="s">
        <v>308</v>
      </c>
      <c r="C1076" s="1"/>
      <c r="D1076" s="1" t="s">
        <v>66</v>
      </c>
      <c r="E1076" s="1" t="s">
        <v>6075</v>
      </c>
      <c r="F1076" s="1" t="s">
        <v>98</v>
      </c>
      <c r="G1076" s="1" t="s">
        <v>141</v>
      </c>
      <c r="H1076" s="1">
        <v>0</v>
      </c>
      <c r="I1076" s="1" t="s">
        <v>8402</v>
      </c>
      <c r="J1076" s="1"/>
      <c r="K1076" s="1"/>
      <c r="L1076" s="1" t="s">
        <v>1391</v>
      </c>
      <c r="M1076" s="1" t="s">
        <v>8791</v>
      </c>
      <c r="N1076" s="1">
        <v>0</v>
      </c>
      <c r="O1076" s="1">
        <v>0</v>
      </c>
      <c r="P1076" s="1" t="s">
        <v>267</v>
      </c>
      <c r="Q1076" s="1" t="s">
        <v>268</v>
      </c>
      <c r="R1076" s="1" t="s">
        <v>8792</v>
      </c>
      <c r="S1076" s="1" t="s">
        <v>8793</v>
      </c>
      <c r="T1076" s="1" t="s">
        <v>7821</v>
      </c>
      <c r="U1076" s="1" t="s">
        <v>8794</v>
      </c>
      <c r="V1076" s="1">
        <v>1</v>
      </c>
      <c r="W1076" s="1">
        <v>1</v>
      </c>
      <c r="X1076" s="1">
        <v>0</v>
      </c>
      <c r="Y1076" s="1">
        <v>0</v>
      </c>
      <c r="Z1076" s="1">
        <v>0</v>
      </c>
      <c r="AA1076" s="1" t="s">
        <v>109</v>
      </c>
      <c r="AB1076" s="1" t="s">
        <v>109</v>
      </c>
      <c r="AC1076" s="1" t="s">
        <v>109</v>
      </c>
      <c r="AD1076" s="1" t="s">
        <v>109</v>
      </c>
      <c r="AE1076" s="1" t="s">
        <v>109</v>
      </c>
      <c r="AF1076" s="1" t="s">
        <v>109</v>
      </c>
      <c r="AG1076" s="1" t="s">
        <v>109</v>
      </c>
      <c r="AH1076" s="1" t="s">
        <v>109</v>
      </c>
      <c r="AI1076" s="1" t="s">
        <v>109</v>
      </c>
      <c r="AJ1076" s="1" t="s">
        <v>109</v>
      </c>
      <c r="AK1076" s="1">
        <v>1</v>
      </c>
      <c r="AL1076" s="1" t="s">
        <v>109</v>
      </c>
      <c r="AM1076" s="1" t="s">
        <v>109</v>
      </c>
      <c r="AN1076" s="1" t="s">
        <v>109</v>
      </c>
      <c r="AO1076" s="1" t="s">
        <v>109</v>
      </c>
      <c r="AP1076" s="1"/>
      <c r="AQ1076" s="1">
        <v>1</v>
      </c>
      <c r="AR1076" s="1"/>
      <c r="AS1076" s="1" t="s">
        <v>8795</v>
      </c>
      <c r="AT1076" s="1">
        <v>0</v>
      </c>
      <c r="AU1076" s="1">
        <v>0</v>
      </c>
      <c r="AV1076" s="1">
        <v>0</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1</v>
      </c>
      <c r="BO1076" s="1">
        <v>0</v>
      </c>
      <c r="BP1076" s="1">
        <v>0</v>
      </c>
      <c r="BQ1076" s="1">
        <v>0</v>
      </c>
      <c r="BR1076" s="1">
        <v>0</v>
      </c>
      <c r="BS1076" s="5" t="str">
        <f>HYPERLINK("http://www.d20pfsrd.com/magic/all-spells/p/persuasive-goad","Persuasive Goad")</f>
        <v>Persuasive Goad</v>
      </c>
      <c r="BT1076" s="1">
        <v>1112</v>
      </c>
      <c r="BU1076" s="1" t="s">
        <v>109</v>
      </c>
      <c r="BV1076" s="1"/>
      <c r="BW1076" s="1"/>
      <c r="BX1076" s="1"/>
      <c r="BY1076" s="1"/>
      <c r="BZ1076" s="1">
        <v>0</v>
      </c>
      <c r="CA1076" s="1" t="s">
        <v>109</v>
      </c>
      <c r="CB1076" s="1" t="s">
        <v>109</v>
      </c>
      <c r="CC1076" s="1" t="s">
        <v>109</v>
      </c>
      <c r="CD1076" s="1" t="s">
        <v>109</v>
      </c>
      <c r="CE1076" s="1" t="s">
        <v>109</v>
      </c>
      <c r="CF1076" s="1" t="s">
        <v>109</v>
      </c>
      <c r="CG1076" s="1" t="s">
        <v>109</v>
      </c>
      <c r="CH1076" s="1" t="s">
        <v>109</v>
      </c>
      <c r="CI1076" s="1" t="s">
        <v>109</v>
      </c>
      <c r="CJ1076" s="1" t="s">
        <v>109</v>
      </c>
      <c r="CK1076" s="1"/>
      <c r="CL1076" s="1">
        <v>0</v>
      </c>
      <c r="CM1076" s="1">
        <v>0</v>
      </c>
      <c r="CN1076" s="1">
        <v>0</v>
      </c>
    </row>
    <row r="1077" spans="1:92" ht="14.25" customHeight="1" x14ac:dyDescent="0.15">
      <c r="A1077" s="1" t="s">
        <v>8796</v>
      </c>
      <c r="B1077" s="1" t="s">
        <v>584</v>
      </c>
      <c r="C1077" s="1"/>
      <c r="D1077" s="1" t="s">
        <v>8797</v>
      </c>
      <c r="E1077" s="1" t="s">
        <v>8798</v>
      </c>
      <c r="F1077" s="1" t="s">
        <v>98</v>
      </c>
      <c r="G1077" s="1" t="s">
        <v>333</v>
      </c>
      <c r="H1077" s="1">
        <v>0</v>
      </c>
      <c r="I1077" s="1" t="s">
        <v>8799</v>
      </c>
      <c r="J1077" s="1"/>
      <c r="K1077" s="1"/>
      <c r="L1077" s="1" t="s">
        <v>1391</v>
      </c>
      <c r="M1077" s="1" t="s">
        <v>125</v>
      </c>
      <c r="N1077" s="1">
        <v>0</v>
      </c>
      <c r="O1077" s="1">
        <v>0</v>
      </c>
      <c r="P1077" s="1" t="s">
        <v>267</v>
      </c>
      <c r="Q1077" s="1" t="s">
        <v>268</v>
      </c>
      <c r="R1077" s="1" t="s">
        <v>8800</v>
      </c>
      <c r="S1077" s="1" t="s">
        <v>8801</v>
      </c>
      <c r="T1077" s="1" t="s">
        <v>7821</v>
      </c>
      <c r="U1077" s="1" t="s">
        <v>8802</v>
      </c>
      <c r="V1077" s="1">
        <v>1</v>
      </c>
      <c r="W1077" s="1">
        <v>0</v>
      </c>
      <c r="X1077" s="1">
        <v>0</v>
      </c>
      <c r="Y1077" s="1">
        <v>0</v>
      </c>
      <c r="Z1077" s="1">
        <v>0</v>
      </c>
      <c r="AA1077" s="1" t="s">
        <v>109</v>
      </c>
      <c r="AB1077" s="1" t="s">
        <v>109</v>
      </c>
      <c r="AC1077" s="1" t="s">
        <v>109</v>
      </c>
      <c r="AD1077" s="1" t="s">
        <v>109</v>
      </c>
      <c r="AE1077" s="1" t="s">
        <v>109</v>
      </c>
      <c r="AF1077" s="1">
        <v>2</v>
      </c>
      <c r="AG1077" s="1" t="s">
        <v>109</v>
      </c>
      <c r="AH1077" s="1" t="s">
        <v>109</v>
      </c>
      <c r="AI1077" s="1" t="s">
        <v>109</v>
      </c>
      <c r="AJ1077" s="1" t="s">
        <v>109</v>
      </c>
      <c r="AK1077" s="1" t="s">
        <v>109</v>
      </c>
      <c r="AL1077" s="1" t="s">
        <v>109</v>
      </c>
      <c r="AM1077" s="1" t="s">
        <v>109</v>
      </c>
      <c r="AN1077" s="1" t="s">
        <v>109</v>
      </c>
      <c r="AO1077" s="1" t="s">
        <v>109</v>
      </c>
      <c r="AP1077" s="1"/>
      <c r="AQ1077" s="1">
        <v>2</v>
      </c>
      <c r="AR1077" s="1"/>
      <c r="AS1077" s="1" t="s">
        <v>8803</v>
      </c>
      <c r="AT1077" s="1">
        <v>0</v>
      </c>
      <c r="AU1077" s="1">
        <v>0</v>
      </c>
      <c r="AV1077" s="1">
        <v>0</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1</v>
      </c>
      <c r="BO1077" s="1">
        <v>0</v>
      </c>
      <c r="BP1077" s="1">
        <v>0</v>
      </c>
      <c r="BQ1077" s="1">
        <v>1</v>
      </c>
      <c r="BR1077" s="1">
        <v>0</v>
      </c>
      <c r="BS1077" s="5" t="str">
        <f>HYPERLINK("http://www.d20pfsrd.com/magic/all-spells/p/piercing-shriek","Piercing Shriek")</f>
        <v>Piercing Shriek</v>
      </c>
      <c r="BT1077" s="1">
        <v>1113</v>
      </c>
      <c r="BU1077" s="1" t="s">
        <v>109</v>
      </c>
      <c r="BV1077" s="1"/>
      <c r="BW1077" s="1"/>
      <c r="BX1077" s="1"/>
      <c r="BY1077" s="1"/>
      <c r="BZ1077" s="1">
        <v>0</v>
      </c>
      <c r="CA1077" s="1" t="s">
        <v>109</v>
      </c>
      <c r="CB1077" s="1" t="s">
        <v>109</v>
      </c>
      <c r="CC1077" s="1">
        <v>2</v>
      </c>
      <c r="CD1077" s="1" t="s">
        <v>109</v>
      </c>
      <c r="CE1077" s="1" t="s">
        <v>109</v>
      </c>
      <c r="CF1077" s="1" t="s">
        <v>109</v>
      </c>
      <c r="CG1077" s="1" t="s">
        <v>109</v>
      </c>
      <c r="CH1077" s="1" t="s">
        <v>109</v>
      </c>
      <c r="CI1077" s="1" t="s">
        <v>109</v>
      </c>
      <c r="CJ1077" s="1" t="s">
        <v>109</v>
      </c>
      <c r="CK1077" s="1"/>
      <c r="CL1077" s="1">
        <v>0</v>
      </c>
      <c r="CM1077" s="1">
        <v>0</v>
      </c>
      <c r="CN1077" s="1">
        <v>0</v>
      </c>
    </row>
    <row r="1078" spans="1:92" ht="14.25" customHeight="1" x14ac:dyDescent="0.15">
      <c r="A1078" s="1" t="s">
        <v>8804</v>
      </c>
      <c r="B1078" s="1" t="s">
        <v>308</v>
      </c>
      <c r="C1078" s="1"/>
      <c r="D1078" s="1" t="s">
        <v>8102</v>
      </c>
      <c r="E1078" s="1" t="s">
        <v>8805</v>
      </c>
      <c r="F1078" s="1" t="s">
        <v>98</v>
      </c>
      <c r="G1078" s="1" t="s">
        <v>141</v>
      </c>
      <c r="H1078" s="1">
        <v>0</v>
      </c>
      <c r="I1078" s="1" t="s">
        <v>161</v>
      </c>
      <c r="J1078" s="1"/>
      <c r="K1078" s="1"/>
      <c r="L1078" s="1" t="s">
        <v>506</v>
      </c>
      <c r="M1078" s="1" t="s">
        <v>289</v>
      </c>
      <c r="N1078" s="1">
        <v>0</v>
      </c>
      <c r="O1078" s="1">
        <v>0</v>
      </c>
      <c r="P1078" s="1" t="s">
        <v>1382</v>
      </c>
      <c r="Q1078" s="1" t="s">
        <v>268</v>
      </c>
      <c r="R1078" s="1" t="s">
        <v>8806</v>
      </c>
      <c r="S1078" s="1" t="s">
        <v>8807</v>
      </c>
      <c r="T1078" s="1" t="s">
        <v>7821</v>
      </c>
      <c r="U1078" s="1" t="s">
        <v>8808</v>
      </c>
      <c r="V1078" s="1">
        <v>1</v>
      </c>
      <c r="W1078" s="1">
        <v>1</v>
      </c>
      <c r="X1078" s="1">
        <v>0</v>
      </c>
      <c r="Y1078" s="1">
        <v>0</v>
      </c>
      <c r="Z1078" s="1">
        <v>0</v>
      </c>
      <c r="AA1078" s="1">
        <v>5</v>
      </c>
      <c r="AB1078" s="1">
        <v>5</v>
      </c>
      <c r="AC1078" s="1">
        <v>4</v>
      </c>
      <c r="AD1078" s="1">
        <v>4</v>
      </c>
      <c r="AE1078" s="1" t="s">
        <v>109</v>
      </c>
      <c r="AF1078" s="1" t="s">
        <v>109</v>
      </c>
      <c r="AG1078" s="1" t="s">
        <v>109</v>
      </c>
      <c r="AH1078" s="1" t="s">
        <v>109</v>
      </c>
      <c r="AI1078" s="1" t="s">
        <v>109</v>
      </c>
      <c r="AJ1078" s="1">
        <v>5</v>
      </c>
      <c r="AK1078" s="1" t="s">
        <v>109</v>
      </c>
      <c r="AL1078" s="1">
        <v>4</v>
      </c>
      <c r="AM1078" s="1" t="s">
        <v>109</v>
      </c>
      <c r="AN1078" s="1" t="s">
        <v>109</v>
      </c>
      <c r="AO1078" s="1" t="s">
        <v>109</v>
      </c>
      <c r="AP1078" s="1"/>
      <c r="AQ1078" s="1">
        <v>5</v>
      </c>
      <c r="AR1078" s="1"/>
      <c r="AS1078" s="1" t="s">
        <v>8809</v>
      </c>
      <c r="AT1078" s="1">
        <v>0</v>
      </c>
      <c r="AU1078" s="1">
        <v>0</v>
      </c>
      <c r="AV1078" s="1">
        <v>0</v>
      </c>
      <c r="AW1078" s="1">
        <v>0</v>
      </c>
      <c r="AX1078" s="1">
        <v>0</v>
      </c>
      <c r="AY1078" s="1">
        <v>0</v>
      </c>
      <c r="AZ1078" s="1">
        <v>0</v>
      </c>
      <c r="BA1078" s="1">
        <v>1</v>
      </c>
      <c r="BB1078" s="1">
        <v>0</v>
      </c>
      <c r="BC1078" s="1">
        <v>0</v>
      </c>
      <c r="BD1078" s="1">
        <v>0</v>
      </c>
      <c r="BE1078" s="1">
        <v>1</v>
      </c>
      <c r="BF1078" s="1">
        <v>0</v>
      </c>
      <c r="BG1078" s="1">
        <v>0</v>
      </c>
      <c r="BH1078" s="1">
        <v>0</v>
      </c>
      <c r="BI1078" s="1">
        <v>0</v>
      </c>
      <c r="BJ1078" s="1">
        <v>0</v>
      </c>
      <c r="BK1078" s="1">
        <v>0</v>
      </c>
      <c r="BL1078" s="1">
        <v>0</v>
      </c>
      <c r="BM1078" s="1">
        <v>0</v>
      </c>
      <c r="BN1078" s="1">
        <v>0</v>
      </c>
      <c r="BO1078" s="1">
        <v>0</v>
      </c>
      <c r="BP1078" s="1">
        <v>0</v>
      </c>
      <c r="BQ1078" s="1">
        <v>0</v>
      </c>
      <c r="BR1078" s="1">
        <v>0</v>
      </c>
      <c r="BS1078" s="5" t="str">
        <f>HYPERLINK("http://www.d20pfsrd.com/magic/all-spells/p/plague-carrier","Plague Carrier")</f>
        <v>Plague Carrier</v>
      </c>
      <c r="BT1078" s="1">
        <v>1114</v>
      </c>
      <c r="BU1078" s="1" t="s">
        <v>109</v>
      </c>
      <c r="BV1078" s="1"/>
      <c r="BW1078" s="1"/>
      <c r="BX1078" s="1"/>
      <c r="BY1078" s="1"/>
      <c r="BZ1078" s="1">
        <v>0</v>
      </c>
      <c r="CA1078" s="1" t="s">
        <v>109</v>
      </c>
      <c r="CB1078" s="1" t="s">
        <v>109</v>
      </c>
      <c r="CC1078" s="1" t="s">
        <v>109</v>
      </c>
      <c r="CD1078" s="1" t="s">
        <v>109</v>
      </c>
      <c r="CE1078" s="1" t="s">
        <v>109</v>
      </c>
      <c r="CF1078" s="1" t="s">
        <v>109</v>
      </c>
      <c r="CG1078" s="1" t="s">
        <v>109</v>
      </c>
      <c r="CH1078" s="1" t="s">
        <v>109</v>
      </c>
      <c r="CI1078" s="1" t="s">
        <v>109</v>
      </c>
      <c r="CJ1078" s="1">
        <v>4</v>
      </c>
      <c r="CK1078" s="1"/>
      <c r="CL1078" s="1">
        <v>0</v>
      </c>
      <c r="CM1078" s="1">
        <v>0</v>
      </c>
      <c r="CN1078" s="1">
        <v>0</v>
      </c>
    </row>
    <row r="1079" spans="1:92" ht="14.25" customHeight="1" x14ac:dyDescent="0.15">
      <c r="A1079" s="1" t="s">
        <v>8810</v>
      </c>
      <c r="B1079" s="1" t="s">
        <v>308</v>
      </c>
      <c r="C1079" s="1"/>
      <c r="D1079" s="1" t="s">
        <v>8102</v>
      </c>
      <c r="E1079" s="1" t="s">
        <v>8351</v>
      </c>
      <c r="F1079" s="1" t="s">
        <v>98</v>
      </c>
      <c r="G1079" s="1" t="s">
        <v>141</v>
      </c>
      <c r="H1079" s="1">
        <v>0</v>
      </c>
      <c r="I1079" s="1" t="s">
        <v>122</v>
      </c>
      <c r="J1079" s="1"/>
      <c r="K1079" s="1" t="s">
        <v>933</v>
      </c>
      <c r="L1079" s="1"/>
      <c r="M1079" s="1" t="s">
        <v>8811</v>
      </c>
      <c r="N1079" s="1">
        <v>0</v>
      </c>
      <c r="O1079" s="1">
        <v>0</v>
      </c>
      <c r="P1079" s="1" t="s">
        <v>267</v>
      </c>
      <c r="Q1079" s="1" t="s">
        <v>104</v>
      </c>
      <c r="R1079" s="1" t="s">
        <v>8812</v>
      </c>
      <c r="S1079" s="1" t="s">
        <v>8813</v>
      </c>
      <c r="T1079" s="1" t="s">
        <v>7821</v>
      </c>
      <c r="U1079" s="1" t="s">
        <v>8814</v>
      </c>
      <c r="V1079" s="1">
        <v>1</v>
      </c>
      <c r="W1079" s="1">
        <v>1</v>
      </c>
      <c r="X1079" s="1">
        <v>0</v>
      </c>
      <c r="Y1079" s="1">
        <v>0</v>
      </c>
      <c r="Z1079" s="1">
        <v>0</v>
      </c>
      <c r="AA1079" s="1">
        <v>7</v>
      </c>
      <c r="AB1079" s="1">
        <v>7</v>
      </c>
      <c r="AC1079" s="1">
        <v>6</v>
      </c>
      <c r="AD1079" s="1">
        <v>6</v>
      </c>
      <c r="AE1079" s="1" t="s">
        <v>109</v>
      </c>
      <c r="AF1079" s="1" t="s">
        <v>109</v>
      </c>
      <c r="AG1079" s="1" t="s">
        <v>109</v>
      </c>
      <c r="AH1079" s="1" t="s">
        <v>109</v>
      </c>
      <c r="AI1079" s="1" t="s">
        <v>109</v>
      </c>
      <c r="AJ1079" s="1">
        <v>6</v>
      </c>
      <c r="AK1079" s="1" t="s">
        <v>109</v>
      </c>
      <c r="AL1079" s="1">
        <v>6</v>
      </c>
      <c r="AM1079" s="1" t="s">
        <v>109</v>
      </c>
      <c r="AN1079" s="1" t="s">
        <v>109</v>
      </c>
      <c r="AO1079" s="1" t="s">
        <v>109</v>
      </c>
      <c r="AP1079" s="1"/>
      <c r="AQ1079" s="1">
        <v>7</v>
      </c>
      <c r="AR1079" s="1" t="s">
        <v>1068</v>
      </c>
      <c r="AS1079" s="1" t="s">
        <v>8815</v>
      </c>
      <c r="AT1079" s="1">
        <v>0</v>
      </c>
      <c r="AU1079" s="1">
        <v>0</v>
      </c>
      <c r="AV1079" s="1">
        <v>0</v>
      </c>
      <c r="AW1079" s="1">
        <v>0</v>
      </c>
      <c r="AX1079" s="1">
        <v>0</v>
      </c>
      <c r="AY1079" s="1">
        <v>0</v>
      </c>
      <c r="AZ1079" s="1">
        <v>0</v>
      </c>
      <c r="BA1079" s="1">
        <v>1</v>
      </c>
      <c r="BB1079" s="1">
        <v>0</v>
      </c>
      <c r="BC1079" s="1">
        <v>0</v>
      </c>
      <c r="BD1079" s="1">
        <v>0</v>
      </c>
      <c r="BE1079" s="1">
        <v>1</v>
      </c>
      <c r="BF1079" s="1">
        <v>0</v>
      </c>
      <c r="BG1079" s="1">
        <v>0</v>
      </c>
      <c r="BH1079" s="1">
        <v>0</v>
      </c>
      <c r="BI1079" s="1">
        <v>0</v>
      </c>
      <c r="BJ1079" s="1">
        <v>0</v>
      </c>
      <c r="BK1079" s="1">
        <v>0</v>
      </c>
      <c r="BL1079" s="1">
        <v>0</v>
      </c>
      <c r="BM1079" s="1">
        <v>0</v>
      </c>
      <c r="BN1079" s="1">
        <v>0</v>
      </c>
      <c r="BO1079" s="1">
        <v>0</v>
      </c>
      <c r="BP1079" s="1">
        <v>0</v>
      </c>
      <c r="BQ1079" s="1">
        <v>0</v>
      </c>
      <c r="BR1079" s="1">
        <v>0</v>
      </c>
      <c r="BS1079" s="5" t="str">
        <f>HYPERLINK("http://www.d20pfsrd.com/magic/all-spells/p/plague-storm","Plague Storm")</f>
        <v>Plague Storm</v>
      </c>
      <c r="BT1079" s="1">
        <v>1115</v>
      </c>
      <c r="BU1079" s="1" t="s">
        <v>109</v>
      </c>
      <c r="BV1079" s="1"/>
      <c r="BW1079" s="1"/>
      <c r="BX1079" s="1"/>
      <c r="BY1079" s="1"/>
      <c r="BZ1079" s="1">
        <v>0</v>
      </c>
      <c r="CA1079" s="1" t="s">
        <v>109</v>
      </c>
      <c r="CB1079" s="1" t="s">
        <v>109</v>
      </c>
      <c r="CC1079" s="1" t="s">
        <v>109</v>
      </c>
      <c r="CD1079" s="1" t="s">
        <v>109</v>
      </c>
      <c r="CE1079" s="1" t="s">
        <v>109</v>
      </c>
      <c r="CF1079" s="1" t="s">
        <v>109</v>
      </c>
      <c r="CG1079" s="1" t="s">
        <v>109</v>
      </c>
      <c r="CH1079" s="1" t="s">
        <v>109</v>
      </c>
      <c r="CI1079" s="1" t="s">
        <v>109</v>
      </c>
      <c r="CJ1079" s="1">
        <v>6</v>
      </c>
      <c r="CK1079" s="1"/>
      <c r="CL1079" s="1">
        <v>0</v>
      </c>
      <c r="CM1079" s="1">
        <v>0</v>
      </c>
      <c r="CN1079" s="1">
        <v>0</v>
      </c>
    </row>
    <row r="1080" spans="1:92" ht="14.25" customHeight="1" x14ac:dyDescent="0.15">
      <c r="A1080" s="1" t="s">
        <v>8816</v>
      </c>
      <c r="B1080" s="1" t="s">
        <v>254</v>
      </c>
      <c r="C1080" s="1"/>
      <c r="D1080" s="1"/>
      <c r="E1080" s="1" t="s">
        <v>7117</v>
      </c>
      <c r="F1080" s="1" t="s">
        <v>98</v>
      </c>
      <c r="G1080" s="1" t="s">
        <v>141</v>
      </c>
      <c r="H1080" s="1">
        <v>0</v>
      </c>
      <c r="I1080" s="1" t="s">
        <v>235</v>
      </c>
      <c r="J1080" s="1"/>
      <c r="K1080" s="1"/>
      <c r="L1080" s="1" t="s">
        <v>236</v>
      </c>
      <c r="M1080" s="1" t="s">
        <v>7934</v>
      </c>
      <c r="N1080" s="1">
        <v>0</v>
      </c>
      <c r="O1080" s="1">
        <v>0</v>
      </c>
      <c r="P1080" s="1"/>
      <c r="Q1080" s="1"/>
      <c r="R1080" s="1" t="s">
        <v>8817</v>
      </c>
      <c r="S1080" s="1" t="s">
        <v>8818</v>
      </c>
      <c r="T1080" s="1" t="s">
        <v>7821</v>
      </c>
      <c r="U1080" s="1" t="s">
        <v>8819</v>
      </c>
      <c r="V1080" s="1">
        <v>1</v>
      </c>
      <c r="W1080" s="1">
        <v>1</v>
      </c>
      <c r="X1080" s="1">
        <v>0</v>
      </c>
      <c r="Y1080" s="1">
        <v>0</v>
      </c>
      <c r="Z1080" s="1">
        <v>0</v>
      </c>
      <c r="AA1080" s="1" t="s">
        <v>109</v>
      </c>
      <c r="AB1080" s="1" t="s">
        <v>109</v>
      </c>
      <c r="AC1080" s="1" t="s">
        <v>109</v>
      </c>
      <c r="AD1080" s="1" t="s">
        <v>109</v>
      </c>
      <c r="AE1080" s="1" t="s">
        <v>109</v>
      </c>
      <c r="AF1080" s="1">
        <v>1</v>
      </c>
      <c r="AG1080" s="1" t="s">
        <v>109</v>
      </c>
      <c r="AH1080" s="1" t="s">
        <v>109</v>
      </c>
      <c r="AI1080" s="1" t="s">
        <v>109</v>
      </c>
      <c r="AJ1080" s="1" t="s">
        <v>109</v>
      </c>
      <c r="AK1080" s="1" t="s">
        <v>109</v>
      </c>
      <c r="AL1080" s="1" t="s">
        <v>109</v>
      </c>
      <c r="AM1080" s="1" t="s">
        <v>109</v>
      </c>
      <c r="AN1080" s="1" t="s">
        <v>109</v>
      </c>
      <c r="AO1080" s="1" t="s">
        <v>109</v>
      </c>
      <c r="AP1080" s="1"/>
      <c r="AQ1080" s="1">
        <v>1</v>
      </c>
      <c r="AR1080" s="1"/>
      <c r="AS1080" s="1" t="s">
        <v>8820</v>
      </c>
      <c r="AT1080" s="1">
        <v>0</v>
      </c>
      <c r="AU1080" s="1">
        <v>0</v>
      </c>
      <c r="AV1080" s="1">
        <v>0</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5" t="str">
        <f>HYPERLINK("http://www.d20pfsrd.com/magic/all-spells/p/play-instrument","Play Instrument")</f>
        <v>Play Instrument</v>
      </c>
      <c r="BT1080" s="1">
        <v>1116</v>
      </c>
      <c r="BU1080" s="1" t="s">
        <v>109</v>
      </c>
      <c r="BV1080" s="1"/>
      <c r="BW1080" s="1"/>
      <c r="BX1080" s="1"/>
      <c r="BY1080" s="1"/>
      <c r="BZ1080" s="1">
        <v>0</v>
      </c>
      <c r="CA1080" s="1" t="s">
        <v>109</v>
      </c>
      <c r="CB1080" s="1" t="s">
        <v>109</v>
      </c>
      <c r="CC1080" s="1" t="s">
        <v>109</v>
      </c>
      <c r="CD1080" s="1" t="s">
        <v>109</v>
      </c>
      <c r="CE1080" s="1" t="s">
        <v>109</v>
      </c>
      <c r="CF1080" s="1" t="s">
        <v>109</v>
      </c>
      <c r="CG1080" s="1" t="s">
        <v>109</v>
      </c>
      <c r="CH1080" s="1" t="s">
        <v>109</v>
      </c>
      <c r="CI1080" s="1" t="s">
        <v>109</v>
      </c>
      <c r="CJ1080" s="1" t="s">
        <v>109</v>
      </c>
      <c r="CK1080" s="1"/>
      <c r="CL1080" s="1">
        <v>0</v>
      </c>
      <c r="CM1080" s="1">
        <v>0</v>
      </c>
      <c r="CN1080" s="1">
        <v>0</v>
      </c>
    </row>
    <row r="1081" spans="1:92" ht="14.25" customHeight="1" x14ac:dyDescent="0.15">
      <c r="A1081" s="1" t="s">
        <v>8821</v>
      </c>
      <c r="B1081" s="1" t="s">
        <v>189</v>
      </c>
      <c r="C1081" s="1"/>
      <c r="D1081" s="1" t="s">
        <v>8822</v>
      </c>
      <c r="E1081" s="1" t="s">
        <v>4740</v>
      </c>
      <c r="F1081" s="1" t="s">
        <v>98</v>
      </c>
      <c r="G1081" s="1" t="s">
        <v>141</v>
      </c>
      <c r="H1081" s="1">
        <v>0</v>
      </c>
      <c r="I1081" s="1" t="s">
        <v>142</v>
      </c>
      <c r="J1081" s="1"/>
      <c r="K1081" s="1" t="s">
        <v>8823</v>
      </c>
      <c r="L1081" s="1"/>
      <c r="M1081" s="1" t="s">
        <v>125</v>
      </c>
      <c r="N1081" s="1">
        <v>0</v>
      </c>
      <c r="O1081" s="1">
        <v>0</v>
      </c>
      <c r="P1081" s="1" t="s">
        <v>1410</v>
      </c>
      <c r="Q1081" s="1" t="s">
        <v>268</v>
      </c>
      <c r="R1081" s="1" t="s">
        <v>8824</v>
      </c>
      <c r="S1081" s="1" t="s">
        <v>8825</v>
      </c>
      <c r="T1081" s="1" t="s">
        <v>7821</v>
      </c>
      <c r="U1081" s="1" t="s">
        <v>8826</v>
      </c>
      <c r="V1081" s="1">
        <v>1</v>
      </c>
      <c r="W1081" s="1">
        <v>1</v>
      </c>
      <c r="X1081" s="1">
        <v>0</v>
      </c>
      <c r="Y1081" s="1">
        <v>0</v>
      </c>
      <c r="Z1081" s="1">
        <v>0</v>
      </c>
      <c r="AA1081" s="1" t="s">
        <v>109</v>
      </c>
      <c r="AB1081" s="1" t="s">
        <v>109</v>
      </c>
      <c r="AC1081" s="1">
        <v>9</v>
      </c>
      <c r="AD1081" s="1">
        <v>9</v>
      </c>
      <c r="AE1081" s="1" t="s">
        <v>109</v>
      </c>
      <c r="AF1081" s="1" t="s">
        <v>109</v>
      </c>
      <c r="AG1081" s="1" t="s">
        <v>109</v>
      </c>
      <c r="AH1081" s="1" t="s">
        <v>109</v>
      </c>
      <c r="AI1081" s="1" t="s">
        <v>109</v>
      </c>
      <c r="AJ1081" s="1">
        <v>9</v>
      </c>
      <c r="AK1081" s="1" t="s">
        <v>109</v>
      </c>
      <c r="AL1081" s="1">
        <v>9</v>
      </c>
      <c r="AM1081" s="1" t="s">
        <v>109</v>
      </c>
      <c r="AN1081" s="1" t="s">
        <v>109</v>
      </c>
      <c r="AO1081" s="1" t="s">
        <v>109</v>
      </c>
      <c r="AP1081" s="1"/>
      <c r="AQ1081" s="1">
        <v>9</v>
      </c>
      <c r="AR1081" s="1"/>
      <c r="AS1081" s="1" t="s">
        <v>8827</v>
      </c>
      <c r="AT1081" s="1">
        <v>0</v>
      </c>
      <c r="AU1081" s="1">
        <v>0</v>
      </c>
      <c r="AV1081" s="1">
        <v>0</v>
      </c>
      <c r="AW1081" s="1">
        <v>1</v>
      </c>
      <c r="AX1081" s="1">
        <v>0</v>
      </c>
      <c r="AY1081" s="1">
        <v>1</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5" t="str">
        <f>HYPERLINK("http://www.d20pfsrd.com/magic/all-spells/p/polar-midnight","Polar Midnight")</f>
        <v>Polar Midnight</v>
      </c>
      <c r="BT1081" s="1">
        <v>1117</v>
      </c>
      <c r="BU1081" s="1" t="s">
        <v>109</v>
      </c>
      <c r="BV1081" s="1"/>
      <c r="BW1081" s="1" t="s">
        <v>8828</v>
      </c>
      <c r="BX1081" s="1"/>
      <c r="BY1081" s="1"/>
      <c r="BZ1081" s="1">
        <v>0</v>
      </c>
      <c r="CA1081" s="1" t="s">
        <v>109</v>
      </c>
      <c r="CB1081" s="1">
        <v>9</v>
      </c>
      <c r="CC1081" s="1" t="s">
        <v>109</v>
      </c>
      <c r="CD1081" s="1" t="s">
        <v>109</v>
      </c>
      <c r="CE1081" s="1" t="s">
        <v>109</v>
      </c>
      <c r="CF1081" s="1" t="s">
        <v>109</v>
      </c>
      <c r="CG1081" s="1" t="s">
        <v>109</v>
      </c>
      <c r="CH1081" s="1" t="s">
        <v>109</v>
      </c>
      <c r="CI1081" s="1" t="s">
        <v>109</v>
      </c>
      <c r="CJ1081" s="1" t="s">
        <v>109</v>
      </c>
      <c r="CK1081" s="1"/>
      <c r="CL1081" s="1">
        <v>0</v>
      </c>
      <c r="CM1081" s="1">
        <v>0</v>
      </c>
      <c r="CN1081" s="1">
        <v>0</v>
      </c>
    </row>
    <row r="1082" spans="1:92" ht="14.25" customHeight="1" x14ac:dyDescent="0.15">
      <c r="A1082" s="1" t="s">
        <v>8829</v>
      </c>
      <c r="B1082" s="1" t="s">
        <v>189</v>
      </c>
      <c r="C1082" s="1"/>
      <c r="D1082" s="1"/>
      <c r="E1082" s="1" t="s">
        <v>8830</v>
      </c>
      <c r="F1082" s="1" t="s">
        <v>98</v>
      </c>
      <c r="G1082" s="1" t="s">
        <v>2345</v>
      </c>
      <c r="H1082" s="1">
        <v>0</v>
      </c>
      <c r="I1082" s="1" t="s">
        <v>235</v>
      </c>
      <c r="J1082" s="1"/>
      <c r="K1082" s="1"/>
      <c r="L1082" s="1" t="s">
        <v>236</v>
      </c>
      <c r="M1082" s="1" t="s">
        <v>2183</v>
      </c>
      <c r="N1082" s="1">
        <v>0</v>
      </c>
      <c r="O1082" s="1">
        <v>0</v>
      </c>
      <c r="P1082" s="1"/>
      <c r="Q1082" s="1"/>
      <c r="R1082" s="1" t="s">
        <v>8831</v>
      </c>
      <c r="S1082" s="1" t="s">
        <v>8832</v>
      </c>
      <c r="T1082" s="1" t="s">
        <v>7821</v>
      </c>
      <c r="U1082" s="1" t="s">
        <v>8833</v>
      </c>
      <c r="V1082" s="1">
        <v>0</v>
      </c>
      <c r="W1082" s="1">
        <v>1</v>
      </c>
      <c r="X1082" s="1">
        <v>0</v>
      </c>
      <c r="Y1082" s="1">
        <v>0</v>
      </c>
      <c r="Z1082" s="1">
        <v>0</v>
      </c>
      <c r="AA1082" s="1">
        <v>1</v>
      </c>
      <c r="AB1082" s="1">
        <v>1</v>
      </c>
      <c r="AC1082" s="1" t="s">
        <v>109</v>
      </c>
      <c r="AD1082" s="1" t="s">
        <v>109</v>
      </c>
      <c r="AE1082" s="1" t="s">
        <v>109</v>
      </c>
      <c r="AF1082" s="1" t="s">
        <v>109</v>
      </c>
      <c r="AG1082" s="1" t="s">
        <v>109</v>
      </c>
      <c r="AH1082" s="1">
        <v>1</v>
      </c>
      <c r="AI1082" s="1" t="s">
        <v>109</v>
      </c>
      <c r="AJ1082" s="1" t="s">
        <v>109</v>
      </c>
      <c r="AK1082" s="1" t="s">
        <v>109</v>
      </c>
      <c r="AL1082" s="1" t="s">
        <v>109</v>
      </c>
      <c r="AM1082" s="1" t="s">
        <v>109</v>
      </c>
      <c r="AN1082" s="1" t="s">
        <v>109</v>
      </c>
      <c r="AO1082" s="1" t="s">
        <v>109</v>
      </c>
      <c r="AP1082" s="1"/>
      <c r="AQ1082" s="1">
        <v>1</v>
      </c>
      <c r="AR1082" s="1"/>
      <c r="AS1082" s="1" t="s">
        <v>8834</v>
      </c>
      <c r="AT1082" s="1">
        <v>0</v>
      </c>
      <c r="AU1082" s="1">
        <v>0</v>
      </c>
      <c r="AV1082" s="1">
        <v>0</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5" t="str">
        <f>HYPERLINK("http://www.d20pfsrd.com/magic/all-spells/p/polypurpose-panacea","Polypurpose Panacea")</f>
        <v>Polypurpose Panacea</v>
      </c>
      <c r="BT1082" s="1">
        <v>1118</v>
      </c>
      <c r="BU1082" s="1" t="s">
        <v>109</v>
      </c>
      <c r="BV1082" s="1"/>
      <c r="BW1082" s="1"/>
      <c r="BX1082" s="1"/>
      <c r="BY1082" s="1"/>
      <c r="BZ1082" s="1">
        <v>0</v>
      </c>
      <c r="CA1082" s="1" t="s">
        <v>109</v>
      </c>
      <c r="CB1082" s="1" t="s">
        <v>109</v>
      </c>
      <c r="CC1082" s="1">
        <v>1</v>
      </c>
      <c r="CD1082" s="1" t="s">
        <v>109</v>
      </c>
      <c r="CE1082" s="1">
        <v>1</v>
      </c>
      <c r="CF1082" s="1" t="s">
        <v>109</v>
      </c>
      <c r="CG1082" s="1" t="s">
        <v>109</v>
      </c>
      <c r="CH1082" s="1" t="s">
        <v>109</v>
      </c>
      <c r="CI1082" s="1" t="s">
        <v>109</v>
      </c>
      <c r="CJ1082" s="1" t="s">
        <v>109</v>
      </c>
      <c r="CK1082" s="1"/>
      <c r="CL1082" s="1">
        <v>0</v>
      </c>
      <c r="CM1082" s="1">
        <v>0</v>
      </c>
      <c r="CN1082" s="1">
        <v>0</v>
      </c>
    </row>
    <row r="1083" spans="1:92" ht="14.25" customHeight="1" x14ac:dyDescent="0.15">
      <c r="A1083" s="1" t="s">
        <v>8835</v>
      </c>
      <c r="B1083" s="1" t="s">
        <v>308</v>
      </c>
      <c r="C1083" s="1"/>
      <c r="D1083" s="1"/>
      <c r="E1083" s="1" t="s">
        <v>8836</v>
      </c>
      <c r="F1083" s="1" t="s">
        <v>98</v>
      </c>
      <c r="G1083" s="1" t="s">
        <v>3143</v>
      </c>
      <c r="H1083" s="1">
        <v>1</v>
      </c>
      <c r="I1083" s="1" t="s">
        <v>122</v>
      </c>
      <c r="J1083" s="1"/>
      <c r="K1083" s="1"/>
      <c r="L1083" s="1" t="s">
        <v>8837</v>
      </c>
      <c r="M1083" s="1" t="s">
        <v>3144</v>
      </c>
      <c r="N1083" s="1">
        <v>0</v>
      </c>
      <c r="O1083" s="1">
        <v>0</v>
      </c>
      <c r="P1083" s="1"/>
      <c r="Q1083" s="1"/>
      <c r="R1083" s="1" t="s">
        <v>8838</v>
      </c>
      <c r="S1083" s="1" t="s">
        <v>8839</v>
      </c>
      <c r="T1083" s="1" t="s">
        <v>7821</v>
      </c>
      <c r="U1083" s="1" t="s">
        <v>8840</v>
      </c>
      <c r="V1083" s="1">
        <v>1</v>
      </c>
      <c r="W1083" s="1">
        <v>1</v>
      </c>
      <c r="X1083" s="1">
        <v>0</v>
      </c>
      <c r="Y1083" s="1">
        <v>0</v>
      </c>
      <c r="Z1083" s="1">
        <v>0</v>
      </c>
      <c r="AA1083" s="1">
        <v>5</v>
      </c>
      <c r="AB1083" s="1">
        <v>5</v>
      </c>
      <c r="AC1083" s="1" t="s">
        <v>109</v>
      </c>
      <c r="AD1083" s="1" t="s">
        <v>109</v>
      </c>
      <c r="AE1083" s="1" t="s">
        <v>109</v>
      </c>
      <c r="AF1083" s="1" t="s">
        <v>109</v>
      </c>
      <c r="AG1083" s="1" t="s">
        <v>109</v>
      </c>
      <c r="AH1083" s="1" t="s">
        <v>109</v>
      </c>
      <c r="AI1083" s="1" t="s">
        <v>109</v>
      </c>
      <c r="AJ1083" s="1">
        <v>5</v>
      </c>
      <c r="AK1083" s="1" t="s">
        <v>109</v>
      </c>
      <c r="AL1083" s="1" t="s">
        <v>109</v>
      </c>
      <c r="AM1083" s="1" t="s">
        <v>109</v>
      </c>
      <c r="AN1083" s="1" t="s">
        <v>109</v>
      </c>
      <c r="AO1083" s="1" t="s">
        <v>109</v>
      </c>
      <c r="AP1083" s="1"/>
      <c r="AQ1083" s="1">
        <v>5</v>
      </c>
      <c r="AR1083" s="1"/>
      <c r="AS1083" s="1" t="s">
        <v>8841</v>
      </c>
      <c r="AT1083" s="1">
        <v>0</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5" t="str">
        <f>HYPERLINK("http://www.d20pfsrd.com/magic/all-spells/p/possess-object","Possess Object")</f>
        <v>Possess Object</v>
      </c>
      <c r="BT1083" s="1">
        <v>1119</v>
      </c>
      <c r="BU1083" s="1">
        <v>100</v>
      </c>
      <c r="BV1083" s="1"/>
      <c r="BW1083" s="1"/>
      <c r="BX1083" s="1"/>
      <c r="BY1083" s="1"/>
      <c r="BZ1083" s="1">
        <v>0</v>
      </c>
      <c r="CA1083" s="1" t="s">
        <v>109</v>
      </c>
      <c r="CB1083" s="1" t="s">
        <v>109</v>
      </c>
      <c r="CC1083" s="1" t="s">
        <v>109</v>
      </c>
      <c r="CD1083" s="1" t="s">
        <v>109</v>
      </c>
      <c r="CE1083" s="1" t="s">
        <v>109</v>
      </c>
      <c r="CF1083" s="1" t="s">
        <v>109</v>
      </c>
      <c r="CG1083" s="1" t="s">
        <v>109</v>
      </c>
      <c r="CH1083" s="1" t="s">
        <v>109</v>
      </c>
      <c r="CI1083" s="1" t="s">
        <v>109</v>
      </c>
      <c r="CJ1083" s="1" t="s">
        <v>109</v>
      </c>
      <c r="CK1083" s="1"/>
      <c r="CL1083" s="1">
        <v>0</v>
      </c>
      <c r="CM1083" s="1">
        <v>0</v>
      </c>
      <c r="CN1083" s="1">
        <v>0</v>
      </c>
    </row>
    <row r="1084" spans="1:92" ht="14.25" customHeight="1" x14ac:dyDescent="0.15">
      <c r="A1084" s="1" t="s">
        <v>8842</v>
      </c>
      <c r="B1084" s="1" t="s">
        <v>254</v>
      </c>
      <c r="C1084" s="1"/>
      <c r="D1084" s="1" t="s">
        <v>8843</v>
      </c>
      <c r="E1084" s="1" t="s">
        <v>8844</v>
      </c>
      <c r="F1084" s="1" t="s">
        <v>98</v>
      </c>
      <c r="G1084" s="1" t="s">
        <v>141</v>
      </c>
      <c r="H1084" s="1">
        <v>0</v>
      </c>
      <c r="I1084" s="1" t="s">
        <v>142</v>
      </c>
      <c r="J1084" s="1"/>
      <c r="K1084" s="1"/>
      <c r="L1084" s="1" t="s">
        <v>1391</v>
      </c>
      <c r="M1084" s="1" t="s">
        <v>8845</v>
      </c>
      <c r="N1084" s="1">
        <v>0</v>
      </c>
      <c r="O1084" s="1">
        <v>0</v>
      </c>
      <c r="P1084" s="1" t="s">
        <v>380</v>
      </c>
      <c r="Q1084" s="1" t="s">
        <v>268</v>
      </c>
      <c r="R1084" s="1" t="s">
        <v>8846</v>
      </c>
      <c r="S1084" s="1" t="s">
        <v>8847</v>
      </c>
      <c r="T1084" s="1" t="s">
        <v>7821</v>
      </c>
      <c r="U1084" s="1" t="s">
        <v>8848</v>
      </c>
      <c r="V1084" s="1">
        <v>1</v>
      </c>
      <c r="W1084" s="1">
        <v>1</v>
      </c>
      <c r="X1084" s="1">
        <v>0</v>
      </c>
      <c r="Y1084" s="1">
        <v>0</v>
      </c>
      <c r="Z1084" s="1">
        <v>0</v>
      </c>
      <c r="AA1084" s="1">
        <v>8</v>
      </c>
      <c r="AB1084" s="1">
        <v>8</v>
      </c>
      <c r="AC1084" s="1" t="s">
        <v>109</v>
      </c>
      <c r="AD1084" s="1" t="s">
        <v>109</v>
      </c>
      <c r="AE1084" s="1" t="s">
        <v>109</v>
      </c>
      <c r="AF1084" s="1" t="s">
        <v>109</v>
      </c>
      <c r="AG1084" s="1" t="s">
        <v>109</v>
      </c>
      <c r="AH1084" s="1" t="s">
        <v>109</v>
      </c>
      <c r="AI1084" s="1" t="s">
        <v>109</v>
      </c>
      <c r="AJ1084" s="1">
        <v>8</v>
      </c>
      <c r="AK1084" s="1" t="s">
        <v>109</v>
      </c>
      <c r="AL1084" s="1" t="s">
        <v>109</v>
      </c>
      <c r="AM1084" s="1" t="s">
        <v>109</v>
      </c>
      <c r="AN1084" s="1" t="s">
        <v>109</v>
      </c>
      <c r="AO1084" s="1" t="s">
        <v>109</v>
      </c>
      <c r="AP1084" s="1"/>
      <c r="AQ1084" s="1">
        <v>8</v>
      </c>
      <c r="AR1084" s="1"/>
      <c r="AS1084" s="1" t="s">
        <v>8849</v>
      </c>
      <c r="AT1084" s="1">
        <v>0</v>
      </c>
      <c r="AU1084" s="1">
        <v>0</v>
      </c>
      <c r="AV1084" s="1">
        <v>0</v>
      </c>
      <c r="AW1084" s="1">
        <v>0</v>
      </c>
      <c r="AX1084" s="1">
        <v>1</v>
      </c>
      <c r="AY1084" s="1">
        <v>0</v>
      </c>
      <c r="AZ1084" s="1">
        <v>0</v>
      </c>
      <c r="BA1084" s="1">
        <v>0</v>
      </c>
      <c r="BB1084" s="1">
        <v>0</v>
      </c>
      <c r="BC1084" s="1">
        <v>0</v>
      </c>
      <c r="BD1084" s="1">
        <v>0</v>
      </c>
      <c r="BE1084" s="1">
        <v>0</v>
      </c>
      <c r="BF1084" s="1">
        <v>1</v>
      </c>
      <c r="BG1084" s="1">
        <v>0</v>
      </c>
      <c r="BH1084" s="1">
        <v>0</v>
      </c>
      <c r="BI1084" s="1">
        <v>0</v>
      </c>
      <c r="BJ1084" s="1">
        <v>0</v>
      </c>
      <c r="BK1084" s="1">
        <v>0</v>
      </c>
      <c r="BL1084" s="1">
        <v>0</v>
      </c>
      <c r="BM1084" s="1">
        <v>1</v>
      </c>
      <c r="BN1084" s="1">
        <v>0</v>
      </c>
      <c r="BO1084" s="1">
        <v>0</v>
      </c>
      <c r="BP1084" s="1">
        <v>0</v>
      </c>
      <c r="BQ1084" s="1">
        <v>0</v>
      </c>
      <c r="BR1084" s="1">
        <v>0</v>
      </c>
      <c r="BS1084" s="5" t="str">
        <f>HYPERLINK("http://www.d20pfsrd.com/magic/all-spells/p/prediction-of-failure","Prediction of Failure")</f>
        <v>Prediction of Failure</v>
      </c>
      <c r="BT1084" s="1">
        <v>1120</v>
      </c>
      <c r="BU1084" s="1" t="s">
        <v>109</v>
      </c>
      <c r="BV1084" s="1" t="s">
        <v>8850</v>
      </c>
      <c r="BW1084" s="1"/>
      <c r="BX1084" s="1"/>
      <c r="BY1084" s="1"/>
      <c r="BZ1084" s="1">
        <v>0</v>
      </c>
      <c r="CA1084" s="1" t="s">
        <v>109</v>
      </c>
      <c r="CB1084" s="1" t="s">
        <v>109</v>
      </c>
      <c r="CC1084" s="1">
        <v>8</v>
      </c>
      <c r="CD1084" s="1" t="s">
        <v>109</v>
      </c>
      <c r="CE1084" s="1" t="s">
        <v>109</v>
      </c>
      <c r="CF1084" s="1">
        <v>6</v>
      </c>
      <c r="CG1084" s="1" t="s">
        <v>109</v>
      </c>
      <c r="CH1084" s="1" t="s">
        <v>109</v>
      </c>
      <c r="CI1084" s="1" t="s">
        <v>109</v>
      </c>
      <c r="CJ1084" s="1" t="s">
        <v>109</v>
      </c>
      <c r="CK1084" s="1"/>
      <c r="CL1084" s="1">
        <v>0</v>
      </c>
      <c r="CM1084" s="1">
        <v>0</v>
      </c>
      <c r="CN1084" s="1">
        <v>0</v>
      </c>
    </row>
    <row r="1085" spans="1:92" ht="14.25" customHeight="1" x14ac:dyDescent="0.15">
      <c r="A1085" s="1" t="s">
        <v>8851</v>
      </c>
      <c r="B1085" s="1" t="s">
        <v>242</v>
      </c>
      <c r="C1085" s="1"/>
      <c r="D1085" s="1" t="s">
        <v>297</v>
      </c>
      <c r="E1085" s="1" t="s">
        <v>5473</v>
      </c>
      <c r="F1085" s="1" t="s">
        <v>98</v>
      </c>
      <c r="G1085" s="1" t="s">
        <v>333</v>
      </c>
      <c r="H1085" s="1">
        <v>0</v>
      </c>
      <c r="I1085" s="1" t="s">
        <v>235</v>
      </c>
      <c r="J1085" s="1"/>
      <c r="K1085" s="1"/>
      <c r="L1085" s="1" t="s">
        <v>236</v>
      </c>
      <c r="M1085" s="1" t="s">
        <v>125</v>
      </c>
      <c r="N1085" s="1">
        <v>0</v>
      </c>
      <c r="O1085" s="1">
        <v>0</v>
      </c>
      <c r="P1085" s="1"/>
      <c r="Q1085" s="1"/>
      <c r="R1085" s="1" t="s">
        <v>8852</v>
      </c>
      <c r="S1085" s="1" t="s">
        <v>8853</v>
      </c>
      <c r="T1085" s="1" t="s">
        <v>7821</v>
      </c>
      <c r="U1085" s="1" t="s">
        <v>8854</v>
      </c>
      <c r="V1085" s="1">
        <v>1</v>
      </c>
      <c r="W1085" s="1">
        <v>0</v>
      </c>
      <c r="X1085" s="1">
        <v>0</v>
      </c>
      <c r="Y1085" s="1">
        <v>0</v>
      </c>
      <c r="Z1085" s="1">
        <v>0</v>
      </c>
      <c r="AA1085" s="1" t="s">
        <v>109</v>
      </c>
      <c r="AB1085" s="1" t="s">
        <v>109</v>
      </c>
      <c r="AC1085" s="1" t="s">
        <v>109</v>
      </c>
      <c r="AD1085" s="1" t="s">
        <v>109</v>
      </c>
      <c r="AE1085" s="1" t="s">
        <v>109</v>
      </c>
      <c r="AF1085" s="1">
        <v>4</v>
      </c>
      <c r="AG1085" s="1" t="s">
        <v>109</v>
      </c>
      <c r="AH1085" s="1" t="s">
        <v>109</v>
      </c>
      <c r="AI1085" s="1" t="s">
        <v>109</v>
      </c>
      <c r="AJ1085" s="1" t="s">
        <v>109</v>
      </c>
      <c r="AK1085" s="1" t="s">
        <v>109</v>
      </c>
      <c r="AL1085" s="1" t="s">
        <v>109</v>
      </c>
      <c r="AM1085" s="1" t="s">
        <v>109</v>
      </c>
      <c r="AN1085" s="1" t="s">
        <v>109</v>
      </c>
      <c r="AO1085" s="1" t="s">
        <v>109</v>
      </c>
      <c r="AP1085" s="1"/>
      <c r="AQ1085" s="1">
        <v>4</v>
      </c>
      <c r="AR1085" s="1"/>
      <c r="AS1085" s="1" t="s">
        <v>8855</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1</v>
      </c>
      <c r="BN1085" s="1">
        <v>0</v>
      </c>
      <c r="BO1085" s="1">
        <v>0</v>
      </c>
      <c r="BP1085" s="1">
        <v>0</v>
      </c>
      <c r="BQ1085" s="1">
        <v>1</v>
      </c>
      <c r="BR1085" s="1">
        <v>0</v>
      </c>
      <c r="BS1085" s="5" t="str">
        <f>HYPERLINK("http://www.d20pfsrd.com/magic/all-spells/p/primal-scream","Primal Scream")</f>
        <v>Primal Scream</v>
      </c>
      <c r="BT1085" s="1">
        <v>1121</v>
      </c>
      <c r="BU1085" s="1" t="s">
        <v>109</v>
      </c>
      <c r="BV1085" s="1"/>
      <c r="BW1085" s="1"/>
      <c r="BX1085" s="1"/>
      <c r="BY1085" s="1"/>
      <c r="BZ1085" s="1">
        <v>0</v>
      </c>
      <c r="CA1085" s="1" t="s">
        <v>109</v>
      </c>
      <c r="CB1085" s="1" t="s">
        <v>109</v>
      </c>
      <c r="CC1085" s="1" t="s">
        <v>109</v>
      </c>
      <c r="CD1085" s="1" t="s">
        <v>109</v>
      </c>
      <c r="CE1085" s="1">
        <v>4</v>
      </c>
      <c r="CF1085" s="1" t="s">
        <v>109</v>
      </c>
      <c r="CG1085" s="1" t="s">
        <v>109</v>
      </c>
      <c r="CH1085" s="1" t="s">
        <v>109</v>
      </c>
      <c r="CI1085" s="1" t="s">
        <v>109</v>
      </c>
      <c r="CJ1085" s="1" t="s">
        <v>109</v>
      </c>
      <c r="CK1085" s="1"/>
      <c r="CL1085" s="1">
        <v>0</v>
      </c>
      <c r="CM1085" s="1">
        <v>0</v>
      </c>
      <c r="CN1085" s="1">
        <v>0</v>
      </c>
    </row>
    <row r="1086" spans="1:92" ht="14.25" customHeight="1" x14ac:dyDescent="0.15">
      <c r="A1086" s="1" t="s">
        <v>8856</v>
      </c>
      <c r="B1086" s="1" t="s">
        <v>584</v>
      </c>
      <c r="C1086" s="1"/>
      <c r="D1086" s="1" t="s">
        <v>51</v>
      </c>
      <c r="E1086" s="1" t="s">
        <v>8857</v>
      </c>
      <c r="F1086" s="1" t="s">
        <v>98</v>
      </c>
      <c r="G1086" s="1" t="s">
        <v>8200</v>
      </c>
      <c r="H1086" s="1">
        <v>0</v>
      </c>
      <c r="I1086" s="1" t="s">
        <v>161</v>
      </c>
      <c r="J1086" s="1"/>
      <c r="K1086" s="1"/>
      <c r="L1086" s="1" t="s">
        <v>506</v>
      </c>
      <c r="M1086" s="1" t="s">
        <v>5642</v>
      </c>
      <c r="N1086" s="1">
        <v>0</v>
      </c>
      <c r="O1086" s="1">
        <v>0</v>
      </c>
      <c r="P1086" s="1" t="s">
        <v>507</v>
      </c>
      <c r="Q1086" s="1" t="s">
        <v>268</v>
      </c>
      <c r="R1086" s="1" t="s">
        <v>8858</v>
      </c>
      <c r="S1086" s="1" t="s">
        <v>8859</v>
      </c>
      <c r="T1086" s="1" t="s">
        <v>7821</v>
      </c>
      <c r="U1086" s="1" t="s">
        <v>8860</v>
      </c>
      <c r="V1086" s="1">
        <v>1</v>
      </c>
      <c r="W1086" s="1">
        <v>1</v>
      </c>
      <c r="X1086" s="1">
        <v>0</v>
      </c>
      <c r="Y1086" s="1">
        <v>0</v>
      </c>
      <c r="Z1086" s="1">
        <v>0</v>
      </c>
      <c r="AA1086" s="1">
        <v>2</v>
      </c>
      <c r="AB1086" s="1">
        <v>2</v>
      </c>
      <c r="AC1086" s="1">
        <v>2</v>
      </c>
      <c r="AD1086" s="1" t="s">
        <v>109</v>
      </c>
      <c r="AE1086" s="1" t="s">
        <v>109</v>
      </c>
      <c r="AF1086" s="1" t="s">
        <v>109</v>
      </c>
      <c r="AG1086" s="1" t="s">
        <v>109</v>
      </c>
      <c r="AH1086" s="1" t="s">
        <v>109</v>
      </c>
      <c r="AI1086" s="1" t="s">
        <v>109</v>
      </c>
      <c r="AJ1086" s="1">
        <v>2</v>
      </c>
      <c r="AK1086" s="1" t="s">
        <v>109</v>
      </c>
      <c r="AL1086" s="1">
        <v>2</v>
      </c>
      <c r="AM1086" s="1" t="s">
        <v>109</v>
      </c>
      <c r="AN1086" s="1" t="s">
        <v>109</v>
      </c>
      <c r="AO1086" s="1" t="s">
        <v>109</v>
      </c>
      <c r="AP1086" s="1"/>
      <c r="AQ1086" s="1">
        <v>2</v>
      </c>
      <c r="AR1086" s="1"/>
      <c r="AS1086" s="1" t="s">
        <v>8861</v>
      </c>
      <c r="AT1086" s="1">
        <v>0</v>
      </c>
      <c r="AU1086" s="1">
        <v>0</v>
      </c>
      <c r="AV1086" s="1">
        <v>0</v>
      </c>
      <c r="AW1086" s="1">
        <v>0</v>
      </c>
      <c r="AX1086" s="1">
        <v>0</v>
      </c>
      <c r="AY1086" s="1">
        <v>1</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5" t="str">
        <f>HYPERLINK("http://www.d20pfsrd.com/magic/all-spells/p/protective-penumbra","Protective Penumbra")</f>
        <v>Protective Penumbra</v>
      </c>
      <c r="BT1086" s="1">
        <v>1122</v>
      </c>
      <c r="BU1086" s="1" t="s">
        <v>109</v>
      </c>
      <c r="BV1086" s="1"/>
      <c r="BW1086" s="1"/>
      <c r="BX1086" s="1"/>
      <c r="BY1086" s="1"/>
      <c r="BZ1086" s="1">
        <v>0</v>
      </c>
      <c r="CA1086" s="1" t="s">
        <v>109</v>
      </c>
      <c r="CB1086" s="1" t="s">
        <v>109</v>
      </c>
      <c r="CC1086" s="1">
        <v>2</v>
      </c>
      <c r="CD1086" s="1" t="s">
        <v>109</v>
      </c>
      <c r="CE1086" s="1" t="s">
        <v>109</v>
      </c>
      <c r="CF1086" s="1">
        <v>2</v>
      </c>
      <c r="CG1086" s="1">
        <v>2</v>
      </c>
      <c r="CH1086" s="1" t="s">
        <v>109</v>
      </c>
      <c r="CI1086" s="1" t="s">
        <v>109</v>
      </c>
      <c r="CJ1086" s="1" t="s">
        <v>109</v>
      </c>
      <c r="CK1086" s="1"/>
      <c r="CL1086" s="1">
        <v>0</v>
      </c>
      <c r="CM1086" s="1">
        <v>0</v>
      </c>
      <c r="CN1086" s="1">
        <v>0</v>
      </c>
    </row>
    <row r="1087" spans="1:92" ht="14.25" customHeight="1" x14ac:dyDescent="0.15">
      <c r="A1087" s="1" t="s">
        <v>8862</v>
      </c>
      <c r="B1087" s="1" t="s">
        <v>95</v>
      </c>
      <c r="C1087" s="1" t="s">
        <v>1179</v>
      </c>
      <c r="D1087" s="1"/>
      <c r="E1087" s="1" t="s">
        <v>8863</v>
      </c>
      <c r="F1087" s="1" t="s">
        <v>355</v>
      </c>
      <c r="G1087" s="1" t="s">
        <v>4883</v>
      </c>
      <c r="H1087" s="1">
        <v>0</v>
      </c>
      <c r="I1087" s="1" t="s">
        <v>142</v>
      </c>
      <c r="J1087" s="1"/>
      <c r="K1087" s="1" t="s">
        <v>8864</v>
      </c>
      <c r="L1087" s="1"/>
      <c r="M1087" s="1" t="s">
        <v>3313</v>
      </c>
      <c r="N1087" s="1">
        <v>0</v>
      </c>
      <c r="O1087" s="1">
        <v>0</v>
      </c>
      <c r="P1087" s="1" t="s">
        <v>103</v>
      </c>
      <c r="Q1087" s="1" t="s">
        <v>104</v>
      </c>
      <c r="R1087" s="1" t="s">
        <v>8865</v>
      </c>
      <c r="S1087" s="1" t="s">
        <v>8866</v>
      </c>
      <c r="T1087" s="1" t="s">
        <v>7821</v>
      </c>
      <c r="U1087" s="1" t="s">
        <v>8867</v>
      </c>
      <c r="V1087" s="1">
        <v>1</v>
      </c>
      <c r="W1087" s="1">
        <v>1</v>
      </c>
      <c r="X1087" s="1">
        <v>1</v>
      </c>
      <c r="Y1087" s="1">
        <v>0</v>
      </c>
      <c r="Z1087" s="1">
        <v>1</v>
      </c>
      <c r="AA1087" s="1">
        <v>3</v>
      </c>
      <c r="AB1087" s="1">
        <v>3</v>
      </c>
      <c r="AC1087" s="1" t="s">
        <v>109</v>
      </c>
      <c r="AD1087" s="1">
        <v>3</v>
      </c>
      <c r="AE1087" s="1" t="s">
        <v>109</v>
      </c>
      <c r="AF1087" s="1">
        <v>3</v>
      </c>
      <c r="AG1087" s="1" t="s">
        <v>109</v>
      </c>
      <c r="AH1087" s="1" t="s">
        <v>109</v>
      </c>
      <c r="AI1087" s="1">
        <v>3</v>
      </c>
      <c r="AJ1087" s="1">
        <v>3</v>
      </c>
      <c r="AK1087" s="1" t="s">
        <v>109</v>
      </c>
      <c r="AL1087" s="1" t="s">
        <v>109</v>
      </c>
      <c r="AM1087" s="1" t="s">
        <v>109</v>
      </c>
      <c r="AN1087" s="1" t="s">
        <v>109</v>
      </c>
      <c r="AO1087" s="1" t="s">
        <v>109</v>
      </c>
      <c r="AP1087" s="1"/>
      <c r="AQ1087" s="1">
        <v>3</v>
      </c>
      <c r="AR1087" s="1"/>
      <c r="AS1087" s="1" t="s">
        <v>8868</v>
      </c>
      <c r="AT1087" s="1">
        <v>0</v>
      </c>
      <c r="AU1087" s="1">
        <v>0</v>
      </c>
      <c r="AV1087" s="1">
        <v>0</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5" t="str">
        <f>HYPERLINK("http://www.d20pfsrd.com/magic/all-spells/r/rain-of-frogs","Rain of Frogs")</f>
        <v>Rain of Frogs</v>
      </c>
      <c r="BT1087" s="1">
        <v>1123</v>
      </c>
      <c r="BU1087" s="1" t="s">
        <v>109</v>
      </c>
      <c r="BV1087" s="1"/>
      <c r="BW1087" s="1"/>
      <c r="BX1087" s="1"/>
      <c r="BY1087" s="1"/>
      <c r="BZ1087" s="1">
        <v>0</v>
      </c>
      <c r="CA1087" s="1" t="s">
        <v>109</v>
      </c>
      <c r="CB1087" s="1">
        <v>4</v>
      </c>
      <c r="CC1087" s="1">
        <v>3</v>
      </c>
      <c r="CD1087" s="1" t="s">
        <v>109</v>
      </c>
      <c r="CE1087" s="1" t="s">
        <v>109</v>
      </c>
      <c r="CF1087" s="1" t="s">
        <v>109</v>
      </c>
      <c r="CG1087" s="1" t="s">
        <v>109</v>
      </c>
      <c r="CH1087" s="1" t="s">
        <v>109</v>
      </c>
      <c r="CI1087" s="1" t="s">
        <v>109</v>
      </c>
      <c r="CJ1087" s="1">
        <v>3</v>
      </c>
      <c r="CK1087" s="1"/>
      <c r="CL1087" s="1">
        <v>0</v>
      </c>
      <c r="CM1087" s="1">
        <v>0</v>
      </c>
      <c r="CN1087" s="1">
        <v>0</v>
      </c>
    </row>
    <row r="1088" spans="1:92" ht="14.25" customHeight="1" x14ac:dyDescent="0.15">
      <c r="A1088" s="1" t="s">
        <v>8869</v>
      </c>
      <c r="B1088" s="1" t="s">
        <v>95</v>
      </c>
      <c r="C1088" s="1" t="s">
        <v>694</v>
      </c>
      <c r="D1088" s="1"/>
      <c r="E1088" s="1" t="s">
        <v>8870</v>
      </c>
      <c r="F1088" s="1" t="s">
        <v>277</v>
      </c>
      <c r="G1088" s="1" t="s">
        <v>8871</v>
      </c>
      <c r="H1088" s="1">
        <v>1</v>
      </c>
      <c r="I1088" s="1" t="s">
        <v>161</v>
      </c>
      <c r="J1088" s="1"/>
      <c r="K1088" s="1"/>
      <c r="L1088" s="1" t="s">
        <v>8872</v>
      </c>
      <c r="M1088" s="1" t="s">
        <v>144</v>
      </c>
      <c r="N1088" s="1">
        <v>0</v>
      </c>
      <c r="O1088" s="1">
        <v>0</v>
      </c>
      <c r="P1088" s="1" t="s">
        <v>2975</v>
      </c>
      <c r="Q1088" s="1" t="s">
        <v>167</v>
      </c>
      <c r="R1088" s="1" t="s">
        <v>8873</v>
      </c>
      <c r="S1088" s="1" t="s">
        <v>8874</v>
      </c>
      <c r="T1088" s="1" t="s">
        <v>7821</v>
      </c>
      <c r="U1088" s="1" t="s">
        <v>8875</v>
      </c>
      <c r="V1088" s="1">
        <v>1</v>
      </c>
      <c r="W1088" s="1">
        <v>1</v>
      </c>
      <c r="X1088" s="1">
        <v>1</v>
      </c>
      <c r="Y1088" s="1">
        <v>0</v>
      </c>
      <c r="Z1088" s="1">
        <v>0</v>
      </c>
      <c r="AA1088" s="1" t="s">
        <v>109</v>
      </c>
      <c r="AB1088" s="1" t="s">
        <v>109</v>
      </c>
      <c r="AC1088" s="1" t="s">
        <v>109</v>
      </c>
      <c r="AD1088" s="1">
        <v>5</v>
      </c>
      <c r="AE1088" s="1">
        <v>4</v>
      </c>
      <c r="AF1088" s="1" t="s">
        <v>109</v>
      </c>
      <c r="AG1088" s="1">
        <v>4</v>
      </c>
      <c r="AH1088" s="1" t="s">
        <v>109</v>
      </c>
      <c r="AI1088" s="1" t="s">
        <v>109</v>
      </c>
      <c r="AJ1088" s="1" t="s">
        <v>109</v>
      </c>
      <c r="AK1088" s="1" t="s">
        <v>109</v>
      </c>
      <c r="AL1088" s="1" t="s">
        <v>109</v>
      </c>
      <c r="AM1088" s="1" t="s">
        <v>109</v>
      </c>
      <c r="AN1088" s="1" t="s">
        <v>109</v>
      </c>
      <c r="AO1088" s="1" t="s">
        <v>109</v>
      </c>
      <c r="AP1088" s="1"/>
      <c r="AQ1088" s="1">
        <v>5</v>
      </c>
      <c r="AR1088" s="1"/>
      <c r="AS1088" s="1" t="s">
        <v>8876</v>
      </c>
      <c r="AT1088" s="1">
        <v>0</v>
      </c>
      <c r="AU1088" s="1">
        <v>0</v>
      </c>
      <c r="AV1088" s="1">
        <v>0</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5" t="str">
        <f>HYPERLINK("http://www.d20pfsrd.com/magic/all-spells/r/raise-animal-companion","Raise Animal Companion")</f>
        <v>Raise Animal Companion</v>
      </c>
      <c r="BT1088" s="1">
        <v>1124</v>
      </c>
      <c r="BU1088" s="1">
        <v>1000</v>
      </c>
      <c r="BV1088" s="1"/>
      <c r="BW1088" s="1"/>
      <c r="BX1088" s="1"/>
      <c r="BY1088" s="1"/>
      <c r="BZ1088" s="1">
        <v>0</v>
      </c>
      <c r="CA1088" s="1" t="s">
        <v>109</v>
      </c>
      <c r="CB1088" s="1" t="s">
        <v>109</v>
      </c>
      <c r="CC1088" s="1" t="s">
        <v>109</v>
      </c>
      <c r="CD1088" s="1" t="s">
        <v>109</v>
      </c>
      <c r="CE1088" s="1" t="s">
        <v>109</v>
      </c>
      <c r="CF1088" s="1" t="s">
        <v>109</v>
      </c>
      <c r="CG1088" s="1" t="s">
        <v>109</v>
      </c>
      <c r="CH1088" s="1" t="s">
        <v>109</v>
      </c>
      <c r="CI1088" s="1" t="s">
        <v>109</v>
      </c>
      <c r="CJ1088" s="1">
        <v>4</v>
      </c>
      <c r="CK1088" s="1"/>
      <c r="CL1088" s="1">
        <v>0</v>
      </c>
      <c r="CM1088" s="1">
        <v>0</v>
      </c>
      <c r="CN1088" s="1">
        <v>0</v>
      </c>
    </row>
    <row r="1089" spans="1:92" ht="14.25" customHeight="1" x14ac:dyDescent="0.15">
      <c r="A1089" s="1" t="s">
        <v>8877</v>
      </c>
      <c r="B1089" s="1" t="s">
        <v>189</v>
      </c>
      <c r="C1089" s="1"/>
      <c r="D1089" s="1"/>
      <c r="E1089" s="1" t="s">
        <v>8878</v>
      </c>
      <c r="F1089" s="1" t="s">
        <v>98</v>
      </c>
      <c r="G1089" s="1" t="s">
        <v>160</v>
      </c>
      <c r="H1089" s="1">
        <v>0</v>
      </c>
      <c r="I1089" s="1" t="s">
        <v>161</v>
      </c>
      <c r="J1089" s="1"/>
      <c r="K1089" s="1"/>
      <c r="L1089" s="1" t="s">
        <v>8044</v>
      </c>
      <c r="M1089" s="1" t="s">
        <v>125</v>
      </c>
      <c r="N1089" s="1">
        <v>0</v>
      </c>
      <c r="O1089" s="1">
        <v>0</v>
      </c>
      <c r="P1089" s="1" t="s">
        <v>1382</v>
      </c>
      <c r="Q1089" s="1" t="s">
        <v>167</v>
      </c>
      <c r="R1089" s="1" t="s">
        <v>8879</v>
      </c>
      <c r="S1089" s="1" t="s">
        <v>8880</v>
      </c>
      <c r="T1089" s="1" t="s">
        <v>7821</v>
      </c>
      <c r="U1089" s="1" t="s">
        <v>8881</v>
      </c>
      <c r="V1089" s="1">
        <v>1</v>
      </c>
      <c r="W1089" s="1">
        <v>1</v>
      </c>
      <c r="X1089" s="1">
        <v>0</v>
      </c>
      <c r="Y1089" s="1">
        <v>0</v>
      </c>
      <c r="Z1089" s="1">
        <v>1</v>
      </c>
      <c r="AA1089" s="1">
        <v>5</v>
      </c>
      <c r="AB1089" s="1">
        <v>5</v>
      </c>
      <c r="AC1089" s="1">
        <v>5</v>
      </c>
      <c r="AD1089" s="1" t="s">
        <v>109</v>
      </c>
      <c r="AE1089" s="1" t="s">
        <v>109</v>
      </c>
      <c r="AF1089" s="1" t="s">
        <v>109</v>
      </c>
      <c r="AG1089" s="1" t="s">
        <v>109</v>
      </c>
      <c r="AH1089" s="1" t="s">
        <v>109</v>
      </c>
      <c r="AI1089" s="1" t="s">
        <v>109</v>
      </c>
      <c r="AJ1089" s="1" t="s">
        <v>109</v>
      </c>
      <c r="AK1089" s="1" t="s">
        <v>109</v>
      </c>
      <c r="AL1089" s="1">
        <v>5</v>
      </c>
      <c r="AM1089" s="1" t="s">
        <v>109</v>
      </c>
      <c r="AN1089" s="1" t="s">
        <v>109</v>
      </c>
      <c r="AO1089" s="1" t="s">
        <v>109</v>
      </c>
      <c r="AP1089" s="1"/>
      <c r="AQ1089" s="1">
        <v>5</v>
      </c>
      <c r="AR1089" s="1"/>
      <c r="AS1089" s="1" t="s">
        <v>8882</v>
      </c>
      <c r="AT1089" s="1">
        <v>0</v>
      </c>
      <c r="AU1089" s="1">
        <v>0</v>
      </c>
      <c r="AV1089" s="1">
        <v>0</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5" t="str">
        <f>HYPERLINK("http://www.d20pfsrd.com/magic/all-spells/r/rapid-repair","Rapid Repair")</f>
        <v>Rapid Repair</v>
      </c>
      <c r="BT1089" s="1">
        <v>1125</v>
      </c>
      <c r="BU1089" s="1" t="s">
        <v>109</v>
      </c>
      <c r="BV1089" s="1"/>
      <c r="BW1089" s="1"/>
      <c r="BX1089" s="1"/>
      <c r="BY1089" s="1"/>
      <c r="BZ1089" s="1">
        <v>0</v>
      </c>
      <c r="CA1089" s="1" t="s">
        <v>109</v>
      </c>
      <c r="CB1089" s="1" t="s">
        <v>109</v>
      </c>
      <c r="CC1089" s="1" t="s">
        <v>109</v>
      </c>
      <c r="CD1089" s="1" t="s">
        <v>109</v>
      </c>
      <c r="CE1089" s="1" t="s">
        <v>109</v>
      </c>
      <c r="CF1089" s="1">
        <v>4</v>
      </c>
      <c r="CG1089" s="1" t="s">
        <v>109</v>
      </c>
      <c r="CH1089" s="1" t="s">
        <v>109</v>
      </c>
      <c r="CI1089" s="1" t="s">
        <v>109</v>
      </c>
      <c r="CJ1089" s="1" t="s">
        <v>109</v>
      </c>
      <c r="CK1089" s="1"/>
      <c r="CL1089" s="1">
        <v>0</v>
      </c>
      <c r="CM1089" s="1">
        <v>0</v>
      </c>
      <c r="CN1089" s="1">
        <v>0</v>
      </c>
    </row>
    <row r="1090" spans="1:92" ht="14.25" customHeight="1" x14ac:dyDescent="0.15">
      <c r="A1090" s="1" t="s">
        <v>8883</v>
      </c>
      <c r="B1090" s="1" t="s">
        <v>308</v>
      </c>
      <c r="C1090" s="1"/>
      <c r="D1090" s="1"/>
      <c r="E1090" s="1" t="s">
        <v>8884</v>
      </c>
      <c r="F1090" s="1" t="s">
        <v>98</v>
      </c>
      <c r="G1090" s="1" t="s">
        <v>3926</v>
      </c>
      <c r="H1090" s="1">
        <v>0</v>
      </c>
      <c r="I1090" s="1" t="s">
        <v>142</v>
      </c>
      <c r="J1090" s="1"/>
      <c r="K1090" s="1" t="s">
        <v>1506</v>
      </c>
      <c r="L1090" s="1"/>
      <c r="M1090" s="1" t="s">
        <v>164</v>
      </c>
      <c r="N1090" s="1">
        <v>0</v>
      </c>
      <c r="O1090" s="1">
        <v>0</v>
      </c>
      <c r="P1090" s="1" t="s">
        <v>934</v>
      </c>
      <c r="Q1090" s="1" t="s">
        <v>268</v>
      </c>
      <c r="R1090" s="1" t="s">
        <v>8885</v>
      </c>
      <c r="S1090" s="1" t="s">
        <v>8886</v>
      </c>
      <c r="T1090" s="1" t="s">
        <v>7821</v>
      </c>
      <c r="U1090" s="1" t="s">
        <v>8887</v>
      </c>
      <c r="V1090" s="1">
        <v>1</v>
      </c>
      <c r="W1090" s="1">
        <v>1</v>
      </c>
      <c r="X1090" s="1">
        <v>1</v>
      </c>
      <c r="Y1090" s="1">
        <v>0</v>
      </c>
      <c r="Z1090" s="1">
        <v>0</v>
      </c>
      <c r="AA1090" s="1">
        <v>1</v>
      </c>
      <c r="AB1090" s="1">
        <v>1</v>
      </c>
      <c r="AC1090" s="1">
        <v>1</v>
      </c>
      <c r="AD1090" s="1">
        <v>1</v>
      </c>
      <c r="AE1090" s="1" t="s">
        <v>109</v>
      </c>
      <c r="AF1090" s="1" t="s">
        <v>109</v>
      </c>
      <c r="AG1090" s="1" t="s">
        <v>109</v>
      </c>
      <c r="AH1090" s="1" t="s">
        <v>109</v>
      </c>
      <c r="AI1090" s="1">
        <v>1</v>
      </c>
      <c r="AJ1090" s="1">
        <v>1</v>
      </c>
      <c r="AK1090" s="1" t="s">
        <v>109</v>
      </c>
      <c r="AL1090" s="1">
        <v>1</v>
      </c>
      <c r="AM1090" s="1" t="s">
        <v>109</v>
      </c>
      <c r="AN1090" s="1" t="s">
        <v>109</v>
      </c>
      <c r="AO1090" s="1" t="s">
        <v>109</v>
      </c>
      <c r="AP1090" s="1"/>
      <c r="AQ1090" s="1">
        <v>1</v>
      </c>
      <c r="AR1090" s="1" t="s">
        <v>8888</v>
      </c>
      <c r="AS1090" s="1" t="s">
        <v>8889</v>
      </c>
      <c r="AT1090" s="1">
        <v>0</v>
      </c>
      <c r="AU1090" s="1">
        <v>0</v>
      </c>
      <c r="AV1090" s="1">
        <v>0</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5" t="str">
        <f>HYPERLINK("http://www.d20pfsrd.com/magic/all-spells/r/ray-of-sickening","Ray of Sickening")</f>
        <v>Ray of Sickening</v>
      </c>
      <c r="BT1090" s="1">
        <v>1126</v>
      </c>
      <c r="BU1090" s="1" t="s">
        <v>109</v>
      </c>
      <c r="BV1090" s="1"/>
      <c r="BW1090" s="1"/>
      <c r="BX1090" s="1"/>
      <c r="BY1090" s="1"/>
      <c r="BZ1090" s="1">
        <v>0</v>
      </c>
      <c r="CA1090" s="1">
        <v>1</v>
      </c>
      <c r="CB1090" s="1" t="s">
        <v>109</v>
      </c>
      <c r="CC1090" s="1" t="s">
        <v>109</v>
      </c>
      <c r="CD1090" s="1" t="s">
        <v>109</v>
      </c>
      <c r="CE1090" s="1">
        <v>1</v>
      </c>
      <c r="CF1090" s="1" t="s">
        <v>109</v>
      </c>
      <c r="CG1090" s="1" t="s">
        <v>109</v>
      </c>
      <c r="CH1090" s="1" t="s">
        <v>109</v>
      </c>
      <c r="CI1090" s="1" t="s">
        <v>109</v>
      </c>
      <c r="CJ1090" s="1">
        <v>1</v>
      </c>
      <c r="CK1090" s="1"/>
      <c r="CL1090" s="1">
        <v>0</v>
      </c>
      <c r="CM1090" s="1">
        <v>0</v>
      </c>
      <c r="CN1090" s="1">
        <v>0</v>
      </c>
    </row>
    <row r="1091" spans="1:92" ht="14.25" customHeight="1" x14ac:dyDescent="0.15">
      <c r="A1091" s="1" t="s">
        <v>8890</v>
      </c>
      <c r="B1091" s="1" t="s">
        <v>156</v>
      </c>
      <c r="C1091" s="1" t="s">
        <v>157</v>
      </c>
      <c r="D1091" s="1" t="s">
        <v>8086</v>
      </c>
      <c r="E1091" s="1" t="s">
        <v>8891</v>
      </c>
      <c r="F1091" s="1" t="s">
        <v>98</v>
      </c>
      <c r="G1091" s="1" t="s">
        <v>141</v>
      </c>
      <c r="H1091" s="1">
        <v>0</v>
      </c>
      <c r="I1091" s="1" t="s">
        <v>142</v>
      </c>
      <c r="J1091" s="1"/>
      <c r="K1091" s="1"/>
      <c r="L1091" s="1" t="s">
        <v>1391</v>
      </c>
      <c r="M1091" s="1" t="s">
        <v>280</v>
      </c>
      <c r="N1091" s="1">
        <v>0</v>
      </c>
      <c r="O1091" s="1">
        <v>0</v>
      </c>
      <c r="P1091" s="1" t="s">
        <v>301</v>
      </c>
      <c r="Q1091" s="1" t="s">
        <v>268</v>
      </c>
      <c r="R1091" s="1" t="s">
        <v>8892</v>
      </c>
      <c r="S1091" s="1" t="s">
        <v>8893</v>
      </c>
      <c r="T1091" s="1" t="s">
        <v>7821</v>
      </c>
      <c r="U1091" s="1" t="s">
        <v>8894</v>
      </c>
      <c r="V1091" s="1">
        <v>1</v>
      </c>
      <c r="W1091" s="1">
        <v>1</v>
      </c>
      <c r="X1091" s="1">
        <v>0</v>
      </c>
      <c r="Y1091" s="1">
        <v>0</v>
      </c>
      <c r="Z1091" s="1">
        <v>0</v>
      </c>
      <c r="AA1091" s="1">
        <v>3</v>
      </c>
      <c r="AB1091" s="1">
        <v>3</v>
      </c>
      <c r="AC1091" s="1" t="s">
        <v>109</v>
      </c>
      <c r="AD1091" s="1" t="s">
        <v>109</v>
      </c>
      <c r="AE1091" s="1" t="s">
        <v>109</v>
      </c>
      <c r="AF1091" s="1">
        <v>2</v>
      </c>
      <c r="AG1091" s="1" t="s">
        <v>109</v>
      </c>
      <c r="AH1091" s="1" t="s">
        <v>109</v>
      </c>
      <c r="AI1091" s="1" t="s">
        <v>109</v>
      </c>
      <c r="AJ1091" s="1">
        <v>3</v>
      </c>
      <c r="AK1091" s="1" t="s">
        <v>109</v>
      </c>
      <c r="AL1091" s="1" t="s">
        <v>109</v>
      </c>
      <c r="AM1091" s="1" t="s">
        <v>109</v>
      </c>
      <c r="AN1091" s="1" t="s">
        <v>109</v>
      </c>
      <c r="AO1091" s="1" t="s">
        <v>109</v>
      </c>
      <c r="AP1091" s="1"/>
      <c r="AQ1091" s="1">
        <v>3</v>
      </c>
      <c r="AR1091" s="1"/>
      <c r="AS1091" s="1" t="s">
        <v>8895</v>
      </c>
      <c r="AT1091" s="1">
        <v>0</v>
      </c>
      <c r="AU1091" s="1">
        <v>0</v>
      </c>
      <c r="AV1091" s="1">
        <v>0</v>
      </c>
      <c r="AW1091" s="1">
        <v>0</v>
      </c>
      <c r="AX1091" s="1">
        <v>0</v>
      </c>
      <c r="AY1091" s="1">
        <v>0</v>
      </c>
      <c r="AZ1091" s="1">
        <v>0</v>
      </c>
      <c r="BA1091" s="1">
        <v>0</v>
      </c>
      <c r="BB1091" s="1">
        <v>0</v>
      </c>
      <c r="BC1091" s="1">
        <v>0</v>
      </c>
      <c r="BD1091" s="1">
        <v>1</v>
      </c>
      <c r="BE1091" s="1">
        <v>0</v>
      </c>
      <c r="BF1091" s="1">
        <v>0</v>
      </c>
      <c r="BG1091" s="1">
        <v>0</v>
      </c>
      <c r="BH1091" s="1">
        <v>0</v>
      </c>
      <c r="BI1091" s="1">
        <v>0</v>
      </c>
      <c r="BJ1091" s="1">
        <v>0</v>
      </c>
      <c r="BK1091" s="1">
        <v>0</v>
      </c>
      <c r="BL1091" s="1">
        <v>0</v>
      </c>
      <c r="BM1091" s="1">
        <v>1</v>
      </c>
      <c r="BN1091" s="1">
        <v>0</v>
      </c>
      <c r="BO1091" s="1">
        <v>0</v>
      </c>
      <c r="BP1091" s="1">
        <v>0</v>
      </c>
      <c r="BQ1091" s="1">
        <v>0</v>
      </c>
      <c r="BR1091" s="1">
        <v>0</v>
      </c>
      <c r="BS1091" s="5" t="str">
        <f>HYPERLINK("http://www.d20pfsrd.com/magic/all-spells/r/reckless-infatuation","Reckless Infatuation")</f>
        <v>Reckless Infatuation</v>
      </c>
      <c r="BT1091" s="1">
        <v>1127</v>
      </c>
      <c r="BU1091" s="1" t="s">
        <v>109</v>
      </c>
      <c r="BV1091" s="1"/>
      <c r="BW1091" s="1"/>
      <c r="BX1091" s="1"/>
      <c r="BY1091" s="1"/>
      <c r="BZ1091" s="1">
        <v>0</v>
      </c>
      <c r="CA1091" s="1" t="s">
        <v>109</v>
      </c>
      <c r="CB1091" s="1" t="s">
        <v>109</v>
      </c>
      <c r="CC1091" s="1">
        <v>3</v>
      </c>
      <c r="CD1091" s="1" t="s">
        <v>109</v>
      </c>
      <c r="CE1091" s="1">
        <v>2</v>
      </c>
      <c r="CF1091" s="1" t="s">
        <v>109</v>
      </c>
      <c r="CG1091" s="1" t="s">
        <v>109</v>
      </c>
      <c r="CH1091" s="1" t="s">
        <v>109</v>
      </c>
      <c r="CI1091" s="1" t="s">
        <v>109</v>
      </c>
      <c r="CJ1091" s="1" t="s">
        <v>109</v>
      </c>
      <c r="CK1091" s="1"/>
      <c r="CL1091" s="1">
        <v>0</v>
      </c>
      <c r="CM1091" s="1">
        <v>0</v>
      </c>
      <c r="CN1091" s="1">
        <v>0</v>
      </c>
    </row>
    <row r="1092" spans="1:92" ht="14.25" customHeight="1" x14ac:dyDescent="0.15">
      <c r="A1092" s="1" t="s">
        <v>8896</v>
      </c>
      <c r="B1092" s="1" t="s">
        <v>95</v>
      </c>
      <c r="C1092" s="1" t="s">
        <v>694</v>
      </c>
      <c r="D1092" s="1"/>
      <c r="E1092" s="1" t="s">
        <v>8897</v>
      </c>
      <c r="F1092" s="1" t="s">
        <v>98</v>
      </c>
      <c r="G1092" s="1" t="s">
        <v>141</v>
      </c>
      <c r="H1092" s="1">
        <v>0</v>
      </c>
      <c r="I1092" s="1" t="s">
        <v>142</v>
      </c>
      <c r="J1092" s="1"/>
      <c r="K1092" s="1"/>
      <c r="L1092" s="1" t="s">
        <v>1391</v>
      </c>
      <c r="M1092" s="1" t="s">
        <v>7620</v>
      </c>
      <c r="N1092" s="1">
        <v>0</v>
      </c>
      <c r="O1092" s="1">
        <v>0</v>
      </c>
      <c r="P1092" s="1" t="s">
        <v>1382</v>
      </c>
      <c r="Q1092" s="1" t="s">
        <v>167</v>
      </c>
      <c r="R1092" s="1" t="s">
        <v>8898</v>
      </c>
      <c r="S1092" s="1" t="s">
        <v>8899</v>
      </c>
      <c r="T1092" s="1" t="s">
        <v>7821</v>
      </c>
      <c r="U1092" s="1" t="s">
        <v>8900</v>
      </c>
      <c r="V1092" s="1">
        <v>1</v>
      </c>
      <c r="W1092" s="1">
        <v>1</v>
      </c>
      <c r="X1092" s="1">
        <v>0</v>
      </c>
      <c r="Y1092" s="1">
        <v>0</v>
      </c>
      <c r="Z1092" s="1">
        <v>0</v>
      </c>
      <c r="AA1092" s="1" t="s">
        <v>109</v>
      </c>
      <c r="AB1092" s="1" t="s">
        <v>109</v>
      </c>
      <c r="AC1092" s="1">
        <v>1</v>
      </c>
      <c r="AD1092" s="1">
        <v>1</v>
      </c>
      <c r="AE1092" s="1" t="s">
        <v>109</v>
      </c>
      <c r="AF1092" s="1" t="s">
        <v>109</v>
      </c>
      <c r="AG1092" s="1" t="s">
        <v>109</v>
      </c>
      <c r="AH1092" s="1" t="s">
        <v>109</v>
      </c>
      <c r="AI1092" s="1" t="s">
        <v>109</v>
      </c>
      <c r="AJ1092" s="1">
        <v>1</v>
      </c>
      <c r="AK1092" s="1" t="s">
        <v>109</v>
      </c>
      <c r="AL1092" s="1">
        <v>1</v>
      </c>
      <c r="AM1092" s="1" t="s">
        <v>109</v>
      </c>
      <c r="AN1092" s="1" t="s">
        <v>109</v>
      </c>
      <c r="AO1092" s="1" t="s">
        <v>109</v>
      </c>
      <c r="AP1092" s="1"/>
      <c r="AQ1092" s="1">
        <v>1</v>
      </c>
      <c r="AR1092" s="1"/>
      <c r="AS1092" s="1" t="s">
        <v>8901</v>
      </c>
      <c r="AT1092" s="1">
        <v>0</v>
      </c>
      <c r="AU1092" s="1">
        <v>0</v>
      </c>
      <c r="AV1092" s="1">
        <v>0</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5" t="str">
        <f>HYPERLINK("http://www.d20pfsrd.com/magic/all-spells/r/remove-sickness","Remove Sickness")</f>
        <v>Remove Sickness</v>
      </c>
      <c r="BT1092" s="1">
        <v>1128</v>
      </c>
      <c r="BU1092" s="1" t="s">
        <v>109</v>
      </c>
      <c r="BV1092" s="1"/>
      <c r="BW1092" s="1"/>
      <c r="BX1092" s="1"/>
      <c r="BY1092" s="1"/>
      <c r="BZ1092" s="1">
        <v>0</v>
      </c>
      <c r="CA1092" s="1" t="s">
        <v>109</v>
      </c>
      <c r="CB1092" s="1" t="s">
        <v>109</v>
      </c>
      <c r="CC1092" s="1" t="s">
        <v>109</v>
      </c>
      <c r="CD1092" s="1" t="s">
        <v>109</v>
      </c>
      <c r="CE1092" s="1">
        <v>1</v>
      </c>
      <c r="CF1092" s="1" t="s">
        <v>109</v>
      </c>
      <c r="CG1092" s="1">
        <v>1</v>
      </c>
      <c r="CH1092" s="1" t="s">
        <v>109</v>
      </c>
      <c r="CI1092" s="1" t="s">
        <v>109</v>
      </c>
      <c r="CJ1092" s="1">
        <v>1</v>
      </c>
      <c r="CK1092" s="1"/>
      <c r="CL1092" s="1">
        <v>0</v>
      </c>
      <c r="CM1092" s="1">
        <v>0</v>
      </c>
      <c r="CN1092" s="1">
        <v>0</v>
      </c>
    </row>
    <row r="1093" spans="1:92" ht="14.25" customHeight="1" x14ac:dyDescent="0.15">
      <c r="A1093" s="1" t="s">
        <v>8902</v>
      </c>
      <c r="B1093" s="1" t="s">
        <v>189</v>
      </c>
      <c r="C1093" s="1"/>
      <c r="D1093" s="1" t="s">
        <v>8903</v>
      </c>
      <c r="E1093" s="1" t="s">
        <v>8904</v>
      </c>
      <c r="F1093" s="1" t="s">
        <v>277</v>
      </c>
      <c r="G1093" s="1" t="s">
        <v>160</v>
      </c>
      <c r="H1093" s="1">
        <v>0</v>
      </c>
      <c r="I1093" s="1" t="s">
        <v>142</v>
      </c>
      <c r="J1093" s="1"/>
      <c r="K1093" s="1"/>
      <c r="L1093" s="1" t="s">
        <v>8905</v>
      </c>
      <c r="M1093" s="1" t="s">
        <v>408</v>
      </c>
      <c r="N1093" s="1">
        <v>0</v>
      </c>
      <c r="O1093" s="1">
        <v>0</v>
      </c>
      <c r="P1093" s="1" t="s">
        <v>103</v>
      </c>
      <c r="Q1093" s="1" t="s">
        <v>268</v>
      </c>
      <c r="R1093" s="1" t="s">
        <v>8906</v>
      </c>
      <c r="S1093" s="1" t="s">
        <v>8907</v>
      </c>
      <c r="T1093" s="1" t="s">
        <v>7821</v>
      </c>
      <c r="U1093" s="1" t="s">
        <v>8908</v>
      </c>
      <c r="V1093" s="1">
        <v>1</v>
      </c>
      <c r="W1093" s="1">
        <v>1</v>
      </c>
      <c r="X1093" s="1">
        <v>0</v>
      </c>
      <c r="Y1093" s="1">
        <v>0</v>
      </c>
      <c r="Z1093" s="1">
        <v>1</v>
      </c>
      <c r="AA1093" s="1" t="s">
        <v>109</v>
      </c>
      <c r="AB1093" s="1" t="s">
        <v>109</v>
      </c>
      <c r="AC1093" s="1">
        <v>5</v>
      </c>
      <c r="AD1093" s="1">
        <v>5</v>
      </c>
      <c r="AE1093" s="1" t="s">
        <v>109</v>
      </c>
      <c r="AF1093" s="1" t="s">
        <v>109</v>
      </c>
      <c r="AG1093" s="1">
        <v>4</v>
      </c>
      <c r="AH1093" s="1" t="s">
        <v>109</v>
      </c>
      <c r="AI1093" s="1" t="s">
        <v>109</v>
      </c>
      <c r="AJ1093" s="1" t="s">
        <v>109</v>
      </c>
      <c r="AK1093" s="1">
        <v>4</v>
      </c>
      <c r="AL1093" s="1">
        <v>5</v>
      </c>
      <c r="AM1093" s="1" t="s">
        <v>109</v>
      </c>
      <c r="AN1093" s="1" t="s">
        <v>109</v>
      </c>
      <c r="AO1093" s="1" t="s">
        <v>109</v>
      </c>
      <c r="AP1093" s="1"/>
      <c r="AQ1093" s="1">
        <v>5</v>
      </c>
      <c r="AR1093" s="1"/>
      <c r="AS1093" s="1" t="s">
        <v>8909</v>
      </c>
      <c r="AT1093" s="1">
        <v>0</v>
      </c>
      <c r="AU1093" s="1">
        <v>0</v>
      </c>
      <c r="AV1093" s="1">
        <v>0</v>
      </c>
      <c r="AW1093" s="1">
        <v>0</v>
      </c>
      <c r="AX1093" s="1">
        <v>1</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5" t="str">
        <f>HYPERLINK("http://www.d20pfsrd.com/magic/all-spells/r/reprobation","Reprobation")</f>
        <v>Reprobation</v>
      </c>
      <c r="BT1093" s="1">
        <v>1129</v>
      </c>
      <c r="BU1093" s="1" t="s">
        <v>109</v>
      </c>
      <c r="BV1093" s="1"/>
      <c r="BW1093" s="1"/>
      <c r="BX1093" s="1"/>
      <c r="BY1093" s="1"/>
      <c r="BZ1093" s="1">
        <v>0</v>
      </c>
      <c r="CA1093" s="1" t="s">
        <v>109</v>
      </c>
      <c r="CB1093" s="1" t="s">
        <v>109</v>
      </c>
      <c r="CC1093" s="1" t="s">
        <v>109</v>
      </c>
      <c r="CD1093" s="1" t="s">
        <v>109</v>
      </c>
      <c r="CE1093" s="1" t="s">
        <v>109</v>
      </c>
      <c r="CF1093" s="1" t="s">
        <v>109</v>
      </c>
      <c r="CG1093" s="1" t="s">
        <v>109</v>
      </c>
      <c r="CH1093" s="1" t="s">
        <v>109</v>
      </c>
      <c r="CI1093" s="1" t="s">
        <v>109</v>
      </c>
      <c r="CJ1093" s="1">
        <v>5</v>
      </c>
      <c r="CK1093" s="1"/>
      <c r="CL1093" s="1">
        <v>0</v>
      </c>
      <c r="CM1093" s="1">
        <v>0</v>
      </c>
      <c r="CN1093" s="1">
        <v>0</v>
      </c>
    </row>
    <row r="1094" spans="1:92" ht="14.25" customHeight="1" x14ac:dyDescent="0.15">
      <c r="A1094" s="1" t="s">
        <v>8910</v>
      </c>
      <c r="B1094" s="1" t="s">
        <v>189</v>
      </c>
      <c r="C1094" s="1"/>
      <c r="D1094" s="1" t="s">
        <v>69</v>
      </c>
      <c r="E1094" s="1" t="s">
        <v>8595</v>
      </c>
      <c r="F1094" s="1" t="s">
        <v>98</v>
      </c>
      <c r="G1094" s="1" t="s">
        <v>333</v>
      </c>
      <c r="H1094" s="1">
        <v>0</v>
      </c>
      <c r="I1094" s="1" t="s">
        <v>122</v>
      </c>
      <c r="J1094" s="1"/>
      <c r="K1094" s="1"/>
      <c r="L1094" s="1" t="s">
        <v>1391</v>
      </c>
      <c r="M1094" s="1" t="s">
        <v>1984</v>
      </c>
      <c r="N1094" s="1">
        <v>0</v>
      </c>
      <c r="O1094" s="1">
        <v>0</v>
      </c>
      <c r="P1094" s="1" t="s">
        <v>1410</v>
      </c>
      <c r="Q1094" s="1" t="s">
        <v>268</v>
      </c>
      <c r="R1094" s="1" t="s">
        <v>8911</v>
      </c>
      <c r="S1094" s="1" t="s">
        <v>8912</v>
      </c>
      <c r="T1094" s="1" t="s">
        <v>7821</v>
      </c>
      <c r="U1094" s="1" t="s">
        <v>8913</v>
      </c>
      <c r="V1094" s="1">
        <v>1</v>
      </c>
      <c r="W1094" s="1">
        <v>0</v>
      </c>
      <c r="X1094" s="1">
        <v>0</v>
      </c>
      <c r="Y1094" s="1">
        <v>0</v>
      </c>
      <c r="Z1094" s="1">
        <v>0</v>
      </c>
      <c r="AA1094" s="1">
        <v>7</v>
      </c>
      <c r="AB1094" s="1">
        <v>7</v>
      </c>
      <c r="AC1094" s="1" t="s">
        <v>109</v>
      </c>
      <c r="AD1094" s="1" t="s">
        <v>109</v>
      </c>
      <c r="AE1094" s="1" t="s">
        <v>109</v>
      </c>
      <c r="AF1094" s="1">
        <v>5</v>
      </c>
      <c r="AG1094" s="1" t="s">
        <v>109</v>
      </c>
      <c r="AH1094" s="1" t="s">
        <v>109</v>
      </c>
      <c r="AI1094" s="1" t="s">
        <v>109</v>
      </c>
      <c r="AJ1094" s="1" t="s">
        <v>109</v>
      </c>
      <c r="AK1094" s="1" t="s">
        <v>109</v>
      </c>
      <c r="AL1094" s="1" t="s">
        <v>109</v>
      </c>
      <c r="AM1094" s="1" t="s">
        <v>109</v>
      </c>
      <c r="AN1094" s="1" t="s">
        <v>109</v>
      </c>
      <c r="AO1094" s="1" t="s">
        <v>109</v>
      </c>
      <c r="AP1094" s="1"/>
      <c r="AQ1094" s="1">
        <v>7</v>
      </c>
      <c r="AR1094" s="1"/>
      <c r="AS1094" s="1" t="s">
        <v>8914</v>
      </c>
      <c r="AT1094" s="1">
        <v>0</v>
      </c>
      <c r="AU1094" s="1">
        <v>0</v>
      </c>
      <c r="AV1094" s="1">
        <v>0</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1</v>
      </c>
      <c r="BR1094" s="1">
        <v>0</v>
      </c>
      <c r="BS1094" s="5" t="str">
        <f>HYPERLINK("http://www.d20pfsrd.com/magic/all-spells/r/resonating-word","Resonating Word")</f>
        <v>Resonating Word</v>
      </c>
      <c r="BT1094" s="1">
        <v>1130</v>
      </c>
      <c r="BU1094" s="1" t="s">
        <v>109</v>
      </c>
      <c r="BV1094" s="1"/>
      <c r="BW1094" s="1"/>
      <c r="BX1094" s="1" t="s">
        <v>8915</v>
      </c>
      <c r="BY1094" s="1"/>
      <c r="BZ1094" s="1">
        <v>1</v>
      </c>
      <c r="CA1094" s="1" t="s">
        <v>109</v>
      </c>
      <c r="CB1094" s="1" t="s">
        <v>109</v>
      </c>
      <c r="CC1094" s="1">
        <v>7</v>
      </c>
      <c r="CD1094" s="1" t="s">
        <v>109</v>
      </c>
      <c r="CE1094" s="1" t="s">
        <v>109</v>
      </c>
      <c r="CF1094" s="1" t="s">
        <v>109</v>
      </c>
      <c r="CG1094" s="1" t="s">
        <v>109</v>
      </c>
      <c r="CH1094" s="1" t="s">
        <v>109</v>
      </c>
      <c r="CI1094" s="1" t="s">
        <v>109</v>
      </c>
      <c r="CJ1094" s="1" t="s">
        <v>109</v>
      </c>
      <c r="CK1094" s="1"/>
      <c r="CL1094" s="1">
        <v>0</v>
      </c>
      <c r="CM1094" s="1">
        <v>0</v>
      </c>
      <c r="CN1094" s="1">
        <v>0</v>
      </c>
    </row>
    <row r="1095" spans="1:92" ht="14.25" customHeight="1" x14ac:dyDescent="0.15">
      <c r="A1095" s="1" t="s">
        <v>8916</v>
      </c>
      <c r="B1095" s="1" t="s">
        <v>308</v>
      </c>
      <c r="C1095" s="1"/>
      <c r="D1095" s="1"/>
      <c r="E1095" s="1" t="s">
        <v>8917</v>
      </c>
      <c r="F1095" s="1" t="s">
        <v>98</v>
      </c>
      <c r="G1095" s="1" t="s">
        <v>141</v>
      </c>
      <c r="H1095" s="1">
        <v>0</v>
      </c>
      <c r="I1095" s="1" t="s">
        <v>161</v>
      </c>
      <c r="J1095" s="1"/>
      <c r="K1095" s="1"/>
      <c r="L1095" s="1" t="s">
        <v>2293</v>
      </c>
      <c r="M1095" s="1" t="s">
        <v>144</v>
      </c>
      <c r="N1095" s="1">
        <v>0</v>
      </c>
      <c r="O1095" s="1">
        <v>0</v>
      </c>
      <c r="P1095" s="1" t="s">
        <v>103</v>
      </c>
      <c r="Q1095" s="1" t="s">
        <v>104</v>
      </c>
      <c r="R1095" s="1" t="s">
        <v>8918</v>
      </c>
      <c r="S1095" s="1" t="s">
        <v>8919</v>
      </c>
      <c r="T1095" s="1" t="s">
        <v>7821</v>
      </c>
      <c r="U1095" s="1" t="s">
        <v>8920</v>
      </c>
      <c r="V1095" s="1">
        <v>1</v>
      </c>
      <c r="W1095" s="1">
        <v>1</v>
      </c>
      <c r="X1095" s="1">
        <v>0</v>
      </c>
      <c r="Y1095" s="1">
        <v>0</v>
      </c>
      <c r="Z1095" s="1">
        <v>0</v>
      </c>
      <c r="AA1095" s="1">
        <v>1</v>
      </c>
      <c r="AB1095" s="1">
        <v>1</v>
      </c>
      <c r="AC1095" s="1">
        <v>1</v>
      </c>
      <c r="AD1095" s="1">
        <v>1</v>
      </c>
      <c r="AE1095" s="1" t="s">
        <v>109</v>
      </c>
      <c r="AF1095" s="1" t="s">
        <v>109</v>
      </c>
      <c r="AG1095" s="1" t="s">
        <v>109</v>
      </c>
      <c r="AH1095" s="1" t="s">
        <v>109</v>
      </c>
      <c r="AI1095" s="1" t="s">
        <v>109</v>
      </c>
      <c r="AJ1095" s="1">
        <v>1</v>
      </c>
      <c r="AK1095" s="1" t="s">
        <v>109</v>
      </c>
      <c r="AL1095" s="1">
        <v>1</v>
      </c>
      <c r="AM1095" s="1" t="s">
        <v>109</v>
      </c>
      <c r="AN1095" s="1" t="s">
        <v>109</v>
      </c>
      <c r="AO1095" s="1" t="s">
        <v>109</v>
      </c>
      <c r="AP1095" s="1"/>
      <c r="AQ1095" s="1">
        <v>1</v>
      </c>
      <c r="AR1095" s="1"/>
      <c r="AS1095" s="1" t="s">
        <v>8921</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5" t="str">
        <f>HYPERLINK("http://www.d20pfsrd.com/magic/all-spells/r/restore-corpse","Restore Corpse")</f>
        <v>Restore Corpse</v>
      </c>
      <c r="BT1095" s="1">
        <v>1131</v>
      </c>
      <c r="BU1095" s="1" t="s">
        <v>109</v>
      </c>
      <c r="BV1095" s="1"/>
      <c r="BW1095" s="1"/>
      <c r="BX1095" s="1"/>
      <c r="BY1095" s="1"/>
      <c r="BZ1095" s="1">
        <v>0</v>
      </c>
      <c r="CA1095" s="1" t="s">
        <v>109</v>
      </c>
      <c r="CB1095" s="1" t="s">
        <v>109</v>
      </c>
      <c r="CC1095" s="1">
        <v>1</v>
      </c>
      <c r="CD1095" s="1" t="s">
        <v>109</v>
      </c>
      <c r="CE1095" s="1" t="s">
        <v>109</v>
      </c>
      <c r="CF1095" s="1">
        <v>1</v>
      </c>
      <c r="CG1095" s="1" t="s">
        <v>109</v>
      </c>
      <c r="CH1095" s="1" t="s">
        <v>109</v>
      </c>
      <c r="CI1095" s="1" t="s">
        <v>109</v>
      </c>
      <c r="CJ1095" s="1">
        <v>1</v>
      </c>
      <c r="CK1095" s="1"/>
      <c r="CL1095" s="1">
        <v>0</v>
      </c>
      <c r="CM1095" s="1">
        <v>0</v>
      </c>
      <c r="CN1095" s="1">
        <v>0</v>
      </c>
    </row>
    <row r="1096" spans="1:92" ht="14.25" customHeight="1" x14ac:dyDescent="0.15">
      <c r="A1096" s="1" t="s">
        <v>8922</v>
      </c>
      <c r="B1096" s="1" t="s">
        <v>95</v>
      </c>
      <c r="C1096" s="1" t="s">
        <v>694</v>
      </c>
      <c r="D1096" s="1"/>
      <c r="E1096" s="1" t="s">
        <v>6467</v>
      </c>
      <c r="F1096" s="1" t="s">
        <v>277</v>
      </c>
      <c r="G1096" s="1" t="s">
        <v>4092</v>
      </c>
      <c r="H1096" s="1">
        <v>1</v>
      </c>
      <c r="I1096" s="1" t="s">
        <v>161</v>
      </c>
      <c r="J1096" s="1"/>
      <c r="K1096" s="1"/>
      <c r="L1096" s="1" t="s">
        <v>7086</v>
      </c>
      <c r="M1096" s="1" t="s">
        <v>144</v>
      </c>
      <c r="N1096" s="1">
        <v>0</v>
      </c>
      <c r="O1096" s="1">
        <v>0</v>
      </c>
      <c r="P1096" s="1" t="s">
        <v>507</v>
      </c>
      <c r="Q1096" s="1" t="s">
        <v>167</v>
      </c>
      <c r="R1096" s="1" t="s">
        <v>8923</v>
      </c>
      <c r="S1096" s="1" t="s">
        <v>8924</v>
      </c>
      <c r="T1096" s="1" t="s">
        <v>7821</v>
      </c>
      <c r="U1096" s="1" t="s">
        <v>8925</v>
      </c>
      <c r="V1096" s="1">
        <v>1</v>
      </c>
      <c r="W1096" s="1">
        <v>1</v>
      </c>
      <c r="X1096" s="1">
        <v>1</v>
      </c>
      <c r="Y1096" s="1">
        <v>0</v>
      </c>
      <c r="Z1096" s="1">
        <v>0</v>
      </c>
      <c r="AA1096" s="1" t="s">
        <v>109</v>
      </c>
      <c r="AB1096" s="1" t="s">
        <v>109</v>
      </c>
      <c r="AC1096" s="1" t="s">
        <v>109</v>
      </c>
      <c r="AD1096" s="1" t="s">
        <v>109</v>
      </c>
      <c r="AE1096" s="1" t="s">
        <v>109</v>
      </c>
      <c r="AF1096" s="1" t="s">
        <v>109</v>
      </c>
      <c r="AG1096" s="1" t="s">
        <v>109</v>
      </c>
      <c r="AH1096" s="1" t="s">
        <v>109</v>
      </c>
      <c r="AI1096" s="1">
        <v>3</v>
      </c>
      <c r="AJ1096" s="1" t="s">
        <v>109</v>
      </c>
      <c r="AK1096" s="1" t="s">
        <v>109</v>
      </c>
      <c r="AL1096" s="1" t="s">
        <v>109</v>
      </c>
      <c r="AM1096" s="1" t="s">
        <v>109</v>
      </c>
      <c r="AN1096" s="1" t="s">
        <v>109</v>
      </c>
      <c r="AO1096" s="1" t="s">
        <v>109</v>
      </c>
      <c r="AP1096" s="1"/>
      <c r="AQ1096" s="1">
        <v>3</v>
      </c>
      <c r="AR1096" s="1"/>
      <c r="AS1096" s="1" t="s">
        <v>8926</v>
      </c>
      <c r="AT1096" s="1">
        <v>0</v>
      </c>
      <c r="AU1096" s="1">
        <v>0</v>
      </c>
      <c r="AV1096" s="1">
        <v>0</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0</v>
      </c>
      <c r="BO1096" s="1">
        <v>0</v>
      </c>
      <c r="BP1096" s="1">
        <v>0</v>
      </c>
      <c r="BQ1096" s="1">
        <v>0</v>
      </c>
      <c r="BR1096" s="1">
        <v>0</v>
      </c>
      <c r="BS1096" s="5" t="str">
        <f>HYPERLINK("http://www.d20pfsrd.com/magic/all-spells/r/restore-eidolon","Restore Eidolon")</f>
        <v>Restore Eidolon</v>
      </c>
      <c r="BT1096" s="1">
        <v>1132</v>
      </c>
      <c r="BU1096" s="1">
        <v>100</v>
      </c>
      <c r="BV1096" s="1"/>
      <c r="BW1096" s="1"/>
      <c r="BX1096" s="1"/>
      <c r="BY1096" s="1"/>
      <c r="BZ1096" s="1">
        <v>0</v>
      </c>
      <c r="CA1096" s="1" t="s">
        <v>109</v>
      </c>
      <c r="CB1096" s="1" t="s">
        <v>109</v>
      </c>
      <c r="CC1096" s="1" t="s">
        <v>109</v>
      </c>
      <c r="CD1096" s="1" t="s">
        <v>109</v>
      </c>
      <c r="CE1096" s="1" t="s">
        <v>109</v>
      </c>
      <c r="CF1096" s="1" t="s">
        <v>109</v>
      </c>
      <c r="CG1096" s="1" t="s">
        <v>109</v>
      </c>
      <c r="CH1096" s="1" t="s">
        <v>109</v>
      </c>
      <c r="CI1096" s="1" t="s">
        <v>109</v>
      </c>
      <c r="CJ1096" s="1" t="s">
        <v>109</v>
      </c>
      <c r="CK1096" s="1"/>
      <c r="CL1096" s="1">
        <v>0</v>
      </c>
      <c r="CM1096" s="1">
        <v>0</v>
      </c>
      <c r="CN1096" s="1">
        <v>0</v>
      </c>
    </row>
    <row r="1097" spans="1:92" ht="14.25" customHeight="1" x14ac:dyDescent="0.15">
      <c r="A1097" s="1" t="s">
        <v>8927</v>
      </c>
      <c r="B1097" s="1" t="s">
        <v>95</v>
      </c>
      <c r="C1097" s="1" t="s">
        <v>694</v>
      </c>
      <c r="D1097" s="1"/>
      <c r="E1097" s="1" t="s">
        <v>6460</v>
      </c>
      <c r="F1097" s="1" t="s">
        <v>1984</v>
      </c>
      <c r="G1097" s="1" t="s">
        <v>141</v>
      </c>
      <c r="H1097" s="1">
        <v>0</v>
      </c>
      <c r="I1097" s="1" t="s">
        <v>161</v>
      </c>
      <c r="J1097" s="1"/>
      <c r="K1097" s="1"/>
      <c r="L1097" s="1" t="s">
        <v>7086</v>
      </c>
      <c r="M1097" s="1" t="s">
        <v>144</v>
      </c>
      <c r="N1097" s="1">
        <v>0</v>
      </c>
      <c r="O1097" s="1">
        <v>0</v>
      </c>
      <c r="P1097" s="1" t="s">
        <v>507</v>
      </c>
      <c r="Q1097" s="1" t="s">
        <v>167</v>
      </c>
      <c r="R1097" s="1" t="s">
        <v>8928</v>
      </c>
      <c r="S1097" s="1" t="s">
        <v>8929</v>
      </c>
      <c r="T1097" s="1" t="s">
        <v>7821</v>
      </c>
      <c r="U1097" s="1" t="s">
        <v>8930</v>
      </c>
      <c r="V1097" s="1">
        <v>1</v>
      </c>
      <c r="W1097" s="1">
        <v>1</v>
      </c>
      <c r="X1097" s="1">
        <v>0</v>
      </c>
      <c r="Y1097" s="1">
        <v>0</v>
      </c>
      <c r="Z1097" s="1">
        <v>0</v>
      </c>
      <c r="AA1097" s="1" t="s">
        <v>109</v>
      </c>
      <c r="AB1097" s="1" t="s">
        <v>109</v>
      </c>
      <c r="AC1097" s="1" t="s">
        <v>109</v>
      </c>
      <c r="AD1097" s="1" t="s">
        <v>109</v>
      </c>
      <c r="AE1097" s="1" t="s">
        <v>109</v>
      </c>
      <c r="AF1097" s="1" t="s">
        <v>109</v>
      </c>
      <c r="AG1097" s="1" t="s">
        <v>109</v>
      </c>
      <c r="AH1097" s="1" t="s">
        <v>109</v>
      </c>
      <c r="AI1097" s="1">
        <v>2</v>
      </c>
      <c r="AJ1097" s="1" t="s">
        <v>109</v>
      </c>
      <c r="AK1097" s="1" t="s">
        <v>109</v>
      </c>
      <c r="AL1097" s="1" t="s">
        <v>109</v>
      </c>
      <c r="AM1097" s="1" t="s">
        <v>109</v>
      </c>
      <c r="AN1097" s="1" t="s">
        <v>109</v>
      </c>
      <c r="AO1097" s="1" t="s">
        <v>109</v>
      </c>
      <c r="AP1097" s="1"/>
      <c r="AQ1097" s="1">
        <v>2</v>
      </c>
      <c r="AR1097" s="1"/>
      <c r="AS1097" s="1" t="s">
        <v>8931</v>
      </c>
      <c r="AT1097" s="1">
        <v>0</v>
      </c>
      <c r="AU1097" s="1">
        <v>0</v>
      </c>
      <c r="AV1097" s="1">
        <v>0</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0</v>
      </c>
      <c r="BR1097" s="1">
        <v>0</v>
      </c>
      <c r="BS1097" s="5" t="str">
        <f>HYPERLINK("http://www.d20pfsrd.com/magic/all-spells/r/restore-eidolon","Restore Eidolon, Lesser")</f>
        <v>Restore Eidolon, Lesser</v>
      </c>
      <c r="BT1097" s="1">
        <v>1133</v>
      </c>
      <c r="BU1097" s="1" t="s">
        <v>109</v>
      </c>
      <c r="BV1097" s="1"/>
      <c r="BW1097" s="1"/>
      <c r="BX1097" s="1"/>
      <c r="BY1097" s="1"/>
      <c r="BZ1097" s="1">
        <v>0</v>
      </c>
      <c r="CA1097" s="1" t="s">
        <v>109</v>
      </c>
      <c r="CB1097" s="1" t="s">
        <v>109</v>
      </c>
      <c r="CC1097" s="1" t="s">
        <v>109</v>
      </c>
      <c r="CD1097" s="1" t="s">
        <v>109</v>
      </c>
      <c r="CE1097" s="1" t="s">
        <v>109</v>
      </c>
      <c r="CF1097" s="1" t="s">
        <v>109</v>
      </c>
      <c r="CG1097" s="1" t="s">
        <v>109</v>
      </c>
      <c r="CH1097" s="1" t="s">
        <v>109</v>
      </c>
      <c r="CI1097" s="1" t="s">
        <v>109</v>
      </c>
      <c r="CJ1097" s="1" t="s">
        <v>109</v>
      </c>
      <c r="CK1097" s="1"/>
      <c r="CL1097" s="1">
        <v>0</v>
      </c>
      <c r="CM1097" s="1">
        <v>0</v>
      </c>
      <c r="CN1097" s="1">
        <v>0</v>
      </c>
    </row>
    <row r="1098" spans="1:92" ht="14.25" customHeight="1" x14ac:dyDescent="0.15">
      <c r="A1098" s="1" t="s">
        <v>8932</v>
      </c>
      <c r="B1098" s="1" t="s">
        <v>584</v>
      </c>
      <c r="C1098" s="1"/>
      <c r="D1098" s="1" t="s">
        <v>55</v>
      </c>
      <c r="E1098" s="1" t="s">
        <v>3283</v>
      </c>
      <c r="F1098" s="1" t="s">
        <v>6545</v>
      </c>
      <c r="G1098" s="1" t="s">
        <v>141</v>
      </c>
      <c r="H1098" s="1">
        <v>0</v>
      </c>
      <c r="I1098" s="1" t="s">
        <v>235</v>
      </c>
      <c r="J1098" s="1"/>
      <c r="K1098" s="1"/>
      <c r="L1098" s="1" t="s">
        <v>236</v>
      </c>
      <c r="M1098" s="1" t="s">
        <v>574</v>
      </c>
      <c r="N1098" s="1">
        <v>1</v>
      </c>
      <c r="O1098" s="1">
        <v>0</v>
      </c>
      <c r="P1098" s="1"/>
      <c r="Q1098" s="1"/>
      <c r="R1098" s="1" t="s">
        <v>8933</v>
      </c>
      <c r="S1098" s="1" t="s">
        <v>8934</v>
      </c>
      <c r="T1098" s="1" t="s">
        <v>7821</v>
      </c>
      <c r="U1098" s="1" t="s">
        <v>8935</v>
      </c>
      <c r="V1098" s="1">
        <v>1</v>
      </c>
      <c r="W1098" s="1">
        <v>1</v>
      </c>
      <c r="X1098" s="1">
        <v>0</v>
      </c>
      <c r="Y1098" s="1">
        <v>0</v>
      </c>
      <c r="Z1098" s="1">
        <v>0</v>
      </c>
      <c r="AA1098" s="1">
        <v>9</v>
      </c>
      <c r="AB1098" s="1">
        <v>9</v>
      </c>
      <c r="AC1098" s="1" t="s">
        <v>109</v>
      </c>
      <c r="AD1098" s="1" t="s">
        <v>109</v>
      </c>
      <c r="AE1098" s="1" t="s">
        <v>109</v>
      </c>
      <c r="AF1098" s="1" t="s">
        <v>109</v>
      </c>
      <c r="AG1098" s="1" t="s">
        <v>109</v>
      </c>
      <c r="AH1098" s="1" t="s">
        <v>109</v>
      </c>
      <c r="AI1098" s="1" t="s">
        <v>109</v>
      </c>
      <c r="AJ1098" s="1" t="s">
        <v>109</v>
      </c>
      <c r="AK1098" s="1" t="s">
        <v>109</v>
      </c>
      <c r="AL1098" s="1" t="s">
        <v>109</v>
      </c>
      <c r="AM1098" s="1" t="s">
        <v>109</v>
      </c>
      <c r="AN1098" s="1" t="s">
        <v>109</v>
      </c>
      <c r="AO1098" s="1" t="s">
        <v>109</v>
      </c>
      <c r="AP1098" s="1"/>
      <c r="AQ1098" s="1">
        <v>9</v>
      </c>
      <c r="AR1098" s="1"/>
      <c r="AS1098" s="1" t="s">
        <v>8936</v>
      </c>
      <c r="AT1098" s="1">
        <v>0</v>
      </c>
      <c r="AU1098" s="1">
        <v>0</v>
      </c>
      <c r="AV1098" s="1">
        <v>0</v>
      </c>
      <c r="AW1098" s="1">
        <v>0</v>
      </c>
      <c r="AX1098" s="1">
        <v>0</v>
      </c>
      <c r="AY1098" s="1">
        <v>0</v>
      </c>
      <c r="AZ1098" s="1">
        <v>0</v>
      </c>
      <c r="BA1098" s="1">
        <v>0</v>
      </c>
      <c r="BB1098" s="1">
        <v>0</v>
      </c>
      <c r="BC1098" s="1">
        <v>1</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5" t="str">
        <f>HYPERLINK("http://www.d20pfsrd.com/magic/all-spells/r/ride-the-lightning","Ride the Lightning")</f>
        <v>Ride the Lightning</v>
      </c>
      <c r="BT1098" s="1">
        <v>1134</v>
      </c>
      <c r="BU1098" s="1" t="s">
        <v>109</v>
      </c>
      <c r="BV1098" s="1"/>
      <c r="BW1098" s="1"/>
      <c r="BX1098" s="1"/>
      <c r="BY1098" s="1"/>
      <c r="BZ1098" s="1">
        <v>0</v>
      </c>
      <c r="CA1098" s="1" t="s">
        <v>109</v>
      </c>
      <c r="CB1098" s="1" t="s">
        <v>109</v>
      </c>
      <c r="CC1098" s="1" t="s">
        <v>109</v>
      </c>
      <c r="CD1098" s="1" t="s">
        <v>109</v>
      </c>
      <c r="CE1098" s="1" t="s">
        <v>109</v>
      </c>
      <c r="CF1098" s="1" t="s">
        <v>109</v>
      </c>
      <c r="CG1098" s="1" t="s">
        <v>109</v>
      </c>
      <c r="CH1098" s="1" t="s">
        <v>109</v>
      </c>
      <c r="CI1098" s="1" t="s">
        <v>109</v>
      </c>
      <c r="CJ1098" s="1" t="s">
        <v>109</v>
      </c>
      <c r="CK1098" s="1"/>
      <c r="CL1098" s="1">
        <v>0</v>
      </c>
      <c r="CM1098" s="1">
        <v>0</v>
      </c>
      <c r="CN1098" s="1">
        <v>0</v>
      </c>
    </row>
    <row r="1099" spans="1:92" ht="14.25" customHeight="1" x14ac:dyDescent="0.15">
      <c r="A1099" s="1" t="s">
        <v>8937</v>
      </c>
      <c r="B1099" s="1" t="s">
        <v>189</v>
      </c>
      <c r="C1099" s="1"/>
      <c r="D1099" s="1" t="s">
        <v>70</v>
      </c>
      <c r="E1099" s="1" t="s">
        <v>8938</v>
      </c>
      <c r="F1099" s="1" t="s">
        <v>98</v>
      </c>
      <c r="G1099" s="1" t="s">
        <v>141</v>
      </c>
      <c r="H1099" s="1">
        <v>0</v>
      </c>
      <c r="I1099" s="1" t="s">
        <v>161</v>
      </c>
      <c r="J1099" s="1"/>
      <c r="K1099" s="1"/>
      <c r="L1099" s="1" t="s">
        <v>506</v>
      </c>
      <c r="M1099" s="1" t="s">
        <v>815</v>
      </c>
      <c r="N1099" s="1">
        <v>1</v>
      </c>
      <c r="O1099" s="1">
        <v>0</v>
      </c>
      <c r="P1099" s="1" t="s">
        <v>507</v>
      </c>
      <c r="Q1099" s="1" t="s">
        <v>167</v>
      </c>
      <c r="R1099" s="1" t="s">
        <v>8939</v>
      </c>
      <c r="S1099" s="1" t="s">
        <v>8940</v>
      </c>
      <c r="T1099" s="1" t="s">
        <v>7821</v>
      </c>
      <c r="U1099" s="1" t="s">
        <v>8941</v>
      </c>
      <c r="V1099" s="1">
        <v>1</v>
      </c>
      <c r="W1099" s="1">
        <v>1</v>
      </c>
      <c r="X1099" s="1">
        <v>0</v>
      </c>
      <c r="Y1099" s="1">
        <v>0</v>
      </c>
      <c r="Z1099" s="1">
        <v>0</v>
      </c>
      <c r="AA1099" s="1">
        <v>4</v>
      </c>
      <c r="AB1099" s="1">
        <v>4</v>
      </c>
      <c r="AC1099" s="1">
        <v>4</v>
      </c>
      <c r="AD1099" s="1">
        <v>4</v>
      </c>
      <c r="AE1099" s="1" t="s">
        <v>109</v>
      </c>
      <c r="AF1099" s="1" t="s">
        <v>109</v>
      </c>
      <c r="AG1099" s="1" t="s">
        <v>109</v>
      </c>
      <c r="AH1099" s="1" t="s">
        <v>109</v>
      </c>
      <c r="AI1099" s="1" t="s">
        <v>109</v>
      </c>
      <c r="AJ1099" s="1">
        <v>4</v>
      </c>
      <c r="AK1099" s="1" t="s">
        <v>109</v>
      </c>
      <c r="AL1099" s="1">
        <v>4</v>
      </c>
      <c r="AM1099" s="1" t="s">
        <v>109</v>
      </c>
      <c r="AN1099" s="1" t="s">
        <v>109</v>
      </c>
      <c r="AO1099" s="1" t="s">
        <v>109</v>
      </c>
      <c r="AP1099" s="1"/>
      <c r="AQ1099" s="1">
        <v>4</v>
      </c>
      <c r="AR1099" s="1"/>
      <c r="AS1099" s="1" t="s">
        <v>8942</v>
      </c>
      <c r="AT1099" s="1">
        <v>0</v>
      </c>
      <c r="AU1099" s="1">
        <v>0</v>
      </c>
      <c r="AV1099" s="1">
        <v>0</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1</v>
      </c>
      <c r="BS1099" s="5" t="str">
        <f>HYPERLINK("http://www.d20pfsrd.com/magic/all-spells/r/ride-the-waves","Ride The Waves")</f>
        <v>Ride The Waves</v>
      </c>
      <c r="BT1099" s="1">
        <v>1135</v>
      </c>
      <c r="BU1099" s="1" t="s">
        <v>109</v>
      </c>
      <c r="BV1099" s="1"/>
      <c r="BW1099" s="1"/>
      <c r="BX1099" s="1"/>
      <c r="BY1099" s="1"/>
      <c r="BZ1099" s="1">
        <v>0</v>
      </c>
      <c r="CA1099" s="1">
        <v>4</v>
      </c>
      <c r="CB1099" s="1">
        <v>4</v>
      </c>
      <c r="CC1099" s="1" t="s">
        <v>109</v>
      </c>
      <c r="CD1099" s="1" t="s">
        <v>109</v>
      </c>
      <c r="CE1099" s="1" t="s">
        <v>109</v>
      </c>
      <c r="CF1099" s="1" t="s">
        <v>109</v>
      </c>
      <c r="CG1099" s="1" t="s">
        <v>109</v>
      </c>
      <c r="CH1099" s="1" t="s">
        <v>109</v>
      </c>
      <c r="CI1099" s="1" t="s">
        <v>109</v>
      </c>
      <c r="CJ1099" s="1">
        <v>4</v>
      </c>
      <c r="CK1099" s="1"/>
      <c r="CL1099" s="1">
        <v>0</v>
      </c>
      <c r="CM1099" s="1">
        <v>0</v>
      </c>
      <c r="CN1099" s="1">
        <v>0</v>
      </c>
    </row>
    <row r="1100" spans="1:92" ht="14.25" customHeight="1" x14ac:dyDescent="0.15">
      <c r="A1100" s="1" t="s">
        <v>8943</v>
      </c>
      <c r="B1100" s="1" t="s">
        <v>584</v>
      </c>
      <c r="C1100" s="1"/>
      <c r="D1100" s="1" t="s">
        <v>61</v>
      </c>
      <c r="E1100" s="1" t="s">
        <v>8944</v>
      </c>
      <c r="F1100" s="1" t="s">
        <v>98</v>
      </c>
      <c r="G1100" s="1" t="s">
        <v>8945</v>
      </c>
      <c r="H1100" s="1">
        <v>0</v>
      </c>
      <c r="I1100" s="1" t="s">
        <v>161</v>
      </c>
      <c r="J1100" s="1" t="s">
        <v>2293</v>
      </c>
      <c r="K1100" s="1"/>
      <c r="L1100" s="1"/>
      <c r="M1100" s="1" t="s">
        <v>465</v>
      </c>
      <c r="N1100" s="1">
        <v>0</v>
      </c>
      <c r="O1100" s="1">
        <v>0</v>
      </c>
      <c r="P1100" s="1" t="s">
        <v>103</v>
      </c>
      <c r="Q1100" s="1" t="s">
        <v>104</v>
      </c>
      <c r="R1100" s="1" t="s">
        <v>8946</v>
      </c>
      <c r="S1100" s="1" t="s">
        <v>8947</v>
      </c>
      <c r="T1100" s="1" t="s">
        <v>7821</v>
      </c>
      <c r="U1100" s="1" t="s">
        <v>8948</v>
      </c>
      <c r="V1100" s="1">
        <v>1</v>
      </c>
      <c r="W1100" s="1">
        <v>1</v>
      </c>
      <c r="X1100" s="1">
        <v>1</v>
      </c>
      <c r="Y1100" s="1">
        <v>0</v>
      </c>
      <c r="Z1100" s="1">
        <v>1</v>
      </c>
      <c r="AA1100" s="1" t="s">
        <v>109</v>
      </c>
      <c r="AB1100" s="1" t="s">
        <v>109</v>
      </c>
      <c r="AC1100" s="1">
        <v>1</v>
      </c>
      <c r="AD1100" s="1" t="s">
        <v>109</v>
      </c>
      <c r="AE1100" s="1" t="s">
        <v>109</v>
      </c>
      <c r="AF1100" s="1" t="s">
        <v>109</v>
      </c>
      <c r="AG1100" s="1">
        <v>1</v>
      </c>
      <c r="AH1100" s="1" t="s">
        <v>109</v>
      </c>
      <c r="AI1100" s="1" t="s">
        <v>109</v>
      </c>
      <c r="AJ1100" s="1">
        <v>1</v>
      </c>
      <c r="AK1100" s="1">
        <v>1</v>
      </c>
      <c r="AL1100" s="1">
        <v>1</v>
      </c>
      <c r="AM1100" s="1" t="s">
        <v>109</v>
      </c>
      <c r="AN1100" s="1" t="s">
        <v>109</v>
      </c>
      <c r="AO1100" s="1" t="s">
        <v>109</v>
      </c>
      <c r="AP1100" s="1"/>
      <c r="AQ1100" s="1">
        <v>1</v>
      </c>
      <c r="AR1100" s="1"/>
      <c r="AS1100" s="1" t="s">
        <v>8949</v>
      </c>
      <c r="AT1100" s="1">
        <v>0</v>
      </c>
      <c r="AU1100" s="1">
        <v>0</v>
      </c>
      <c r="AV1100" s="1">
        <v>0</v>
      </c>
      <c r="AW1100" s="1">
        <v>0</v>
      </c>
      <c r="AX1100" s="1">
        <v>0</v>
      </c>
      <c r="AY1100" s="1">
        <v>0</v>
      </c>
      <c r="AZ1100" s="1">
        <v>0</v>
      </c>
      <c r="BA1100" s="1">
        <v>0</v>
      </c>
      <c r="BB1100" s="1">
        <v>0</v>
      </c>
      <c r="BC1100" s="1">
        <v>0</v>
      </c>
      <c r="BD1100" s="1">
        <v>0</v>
      </c>
      <c r="BE1100" s="1">
        <v>0</v>
      </c>
      <c r="BF1100" s="1">
        <v>0</v>
      </c>
      <c r="BG1100" s="1">
        <v>0</v>
      </c>
      <c r="BH1100" s="1">
        <v>0</v>
      </c>
      <c r="BI1100" s="1">
        <v>1</v>
      </c>
      <c r="BJ1100" s="1">
        <v>0</v>
      </c>
      <c r="BK1100" s="1">
        <v>0</v>
      </c>
      <c r="BL1100" s="1">
        <v>0</v>
      </c>
      <c r="BM1100" s="1">
        <v>0</v>
      </c>
      <c r="BN1100" s="1">
        <v>0</v>
      </c>
      <c r="BO1100" s="1">
        <v>0</v>
      </c>
      <c r="BP1100" s="1">
        <v>0</v>
      </c>
      <c r="BQ1100" s="1">
        <v>0</v>
      </c>
      <c r="BR1100" s="1">
        <v>0</v>
      </c>
      <c r="BS1100" s="5" t="str">
        <f>HYPERLINK("http://www.d20pfsrd.com/magic/all-spells/s/sanctify-corpse","Sanctify Corpse")</f>
        <v>Sanctify Corpse</v>
      </c>
      <c r="BT1100" s="1">
        <v>1136</v>
      </c>
      <c r="BU1100" s="1" t="s">
        <v>109</v>
      </c>
      <c r="BV1100" s="1"/>
      <c r="BW1100" s="1"/>
      <c r="BX1100" s="1"/>
      <c r="BY1100" s="1"/>
      <c r="BZ1100" s="1">
        <v>0</v>
      </c>
      <c r="CA1100" s="1" t="s">
        <v>109</v>
      </c>
      <c r="CB1100" s="1" t="s">
        <v>109</v>
      </c>
      <c r="CC1100" s="1" t="s">
        <v>109</v>
      </c>
      <c r="CD1100" s="1" t="s">
        <v>109</v>
      </c>
      <c r="CE1100" s="1" t="s">
        <v>109</v>
      </c>
      <c r="CF1100" s="1" t="s">
        <v>109</v>
      </c>
      <c r="CG1100" s="1">
        <v>1</v>
      </c>
      <c r="CH1100" s="1" t="s">
        <v>109</v>
      </c>
      <c r="CI1100" s="1" t="s">
        <v>109</v>
      </c>
      <c r="CJ1100" s="1" t="s">
        <v>109</v>
      </c>
      <c r="CK1100" s="1"/>
      <c r="CL1100" s="1">
        <v>0</v>
      </c>
      <c r="CM1100" s="1">
        <v>0</v>
      </c>
      <c r="CN1100" s="1">
        <v>0</v>
      </c>
    </row>
    <row r="1101" spans="1:92" ht="14.25" customHeight="1" x14ac:dyDescent="0.15">
      <c r="A1101" s="1" t="s">
        <v>8950</v>
      </c>
      <c r="B1101" s="1" t="s">
        <v>308</v>
      </c>
      <c r="C1101" s="1"/>
      <c r="D1101" s="1"/>
      <c r="E1101" s="1" t="s">
        <v>8951</v>
      </c>
      <c r="F1101" s="1" t="s">
        <v>98</v>
      </c>
      <c r="G1101" s="1" t="s">
        <v>141</v>
      </c>
      <c r="H1101" s="1">
        <v>0</v>
      </c>
      <c r="I1101" s="1" t="s">
        <v>161</v>
      </c>
      <c r="J1101" s="1"/>
      <c r="K1101" s="1"/>
      <c r="L1101" s="1" t="s">
        <v>8952</v>
      </c>
      <c r="M1101" s="1" t="s">
        <v>8953</v>
      </c>
      <c r="N1101" s="1">
        <v>0</v>
      </c>
      <c r="O1101" s="1">
        <v>0</v>
      </c>
      <c r="P1101" s="1" t="s">
        <v>103</v>
      </c>
      <c r="Q1101" s="1" t="s">
        <v>268</v>
      </c>
      <c r="R1101" s="1" t="s">
        <v>8954</v>
      </c>
      <c r="S1101" s="1" t="s">
        <v>8955</v>
      </c>
      <c r="T1101" s="1" t="s">
        <v>7821</v>
      </c>
      <c r="U1101" s="1" t="s">
        <v>8956</v>
      </c>
      <c r="V1101" s="1">
        <v>1</v>
      </c>
      <c r="W1101" s="1">
        <v>1</v>
      </c>
      <c r="X1101" s="1">
        <v>0</v>
      </c>
      <c r="Y1101" s="1">
        <v>0</v>
      </c>
      <c r="Z1101" s="1">
        <v>0</v>
      </c>
      <c r="AA1101" s="1">
        <v>3</v>
      </c>
      <c r="AB1101" s="1">
        <v>3</v>
      </c>
      <c r="AC1101" s="1">
        <v>3</v>
      </c>
      <c r="AD1101" s="1" t="s">
        <v>109</v>
      </c>
      <c r="AE1101" s="1" t="s">
        <v>109</v>
      </c>
      <c r="AF1101" s="1" t="s">
        <v>109</v>
      </c>
      <c r="AG1101" s="1" t="s">
        <v>109</v>
      </c>
      <c r="AH1101" s="1" t="s">
        <v>109</v>
      </c>
      <c r="AI1101" s="1" t="s">
        <v>109</v>
      </c>
      <c r="AJ1101" s="1">
        <v>3</v>
      </c>
      <c r="AK1101" s="1" t="s">
        <v>109</v>
      </c>
      <c r="AL1101" s="1">
        <v>3</v>
      </c>
      <c r="AM1101" s="1" t="s">
        <v>109</v>
      </c>
      <c r="AN1101" s="1" t="s">
        <v>109</v>
      </c>
      <c r="AO1101" s="1" t="s">
        <v>109</v>
      </c>
      <c r="AP1101" s="1"/>
      <c r="AQ1101" s="1">
        <v>3</v>
      </c>
      <c r="AR1101" s="1"/>
      <c r="AS1101" s="1" t="s">
        <v>8957</v>
      </c>
      <c r="AT1101" s="1">
        <v>0</v>
      </c>
      <c r="AU1101" s="1">
        <v>0</v>
      </c>
      <c r="AV1101" s="1">
        <v>0</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5" t="str">
        <f>HYPERLINK("http://www.d20pfsrd.com/magic/all-spells/s/sands-of-time","Sands of Time")</f>
        <v>Sands of Time</v>
      </c>
      <c r="BT1101" s="1">
        <v>1137</v>
      </c>
      <c r="BU1101" s="1" t="s">
        <v>109</v>
      </c>
      <c r="BV1101" s="1"/>
      <c r="BW1101" s="1"/>
      <c r="BX1101" s="1"/>
      <c r="BY1101" s="1"/>
      <c r="BZ1101" s="1">
        <v>0</v>
      </c>
      <c r="CA1101" s="1" t="s">
        <v>109</v>
      </c>
      <c r="CB1101" s="1">
        <v>4</v>
      </c>
      <c r="CC1101" s="1">
        <v>3</v>
      </c>
      <c r="CD1101" s="1" t="s">
        <v>109</v>
      </c>
      <c r="CE1101" s="1" t="s">
        <v>109</v>
      </c>
      <c r="CF1101" s="1">
        <v>3</v>
      </c>
      <c r="CG1101" s="1">
        <v>3</v>
      </c>
      <c r="CH1101" s="1" t="s">
        <v>109</v>
      </c>
      <c r="CI1101" s="1" t="s">
        <v>109</v>
      </c>
      <c r="CJ1101" s="1" t="s">
        <v>109</v>
      </c>
      <c r="CK1101" s="1"/>
      <c r="CL1101" s="1">
        <v>0</v>
      </c>
      <c r="CM1101" s="1">
        <v>0</v>
      </c>
      <c r="CN1101" s="1">
        <v>0</v>
      </c>
    </row>
    <row r="1102" spans="1:92" ht="14.25" customHeight="1" x14ac:dyDescent="0.15">
      <c r="A1102" s="1" t="s">
        <v>8958</v>
      </c>
      <c r="B1102" s="1" t="s">
        <v>584</v>
      </c>
      <c r="C1102" s="1"/>
      <c r="D1102" s="1" t="s">
        <v>8959</v>
      </c>
      <c r="E1102" s="1" t="s">
        <v>8960</v>
      </c>
      <c r="F1102" s="1" t="s">
        <v>98</v>
      </c>
      <c r="G1102" s="1" t="s">
        <v>141</v>
      </c>
      <c r="H1102" s="1">
        <v>0</v>
      </c>
      <c r="I1102" s="1" t="s">
        <v>122</v>
      </c>
      <c r="J1102" s="1"/>
      <c r="K1102" s="1" t="s">
        <v>8961</v>
      </c>
      <c r="L1102" s="1"/>
      <c r="M1102" s="1" t="s">
        <v>574</v>
      </c>
      <c r="N1102" s="1">
        <v>1</v>
      </c>
      <c r="O1102" s="1">
        <v>0</v>
      </c>
      <c r="P1102" s="1" t="s">
        <v>103</v>
      </c>
      <c r="Q1102" s="1" t="s">
        <v>8631</v>
      </c>
      <c r="R1102" s="1" t="s">
        <v>8962</v>
      </c>
      <c r="S1102" s="1" t="s">
        <v>8963</v>
      </c>
      <c r="T1102" s="1" t="s">
        <v>7821</v>
      </c>
      <c r="U1102" s="1" t="s">
        <v>8964</v>
      </c>
      <c r="V1102" s="1">
        <v>1</v>
      </c>
      <c r="W1102" s="1">
        <v>1</v>
      </c>
      <c r="X1102" s="1">
        <v>0</v>
      </c>
      <c r="Y1102" s="1">
        <v>0</v>
      </c>
      <c r="Z1102" s="1">
        <v>0</v>
      </c>
      <c r="AA1102" s="1">
        <v>7</v>
      </c>
      <c r="AB1102" s="1">
        <v>7</v>
      </c>
      <c r="AC1102" s="1" t="s">
        <v>109</v>
      </c>
      <c r="AD1102" s="1">
        <v>7</v>
      </c>
      <c r="AE1102" s="1" t="s">
        <v>109</v>
      </c>
      <c r="AF1102" s="1" t="s">
        <v>109</v>
      </c>
      <c r="AG1102" s="1" t="s">
        <v>109</v>
      </c>
      <c r="AH1102" s="1" t="s">
        <v>109</v>
      </c>
      <c r="AI1102" s="1" t="s">
        <v>109</v>
      </c>
      <c r="AJ1102" s="1">
        <v>7</v>
      </c>
      <c r="AK1102" s="1" t="s">
        <v>109</v>
      </c>
      <c r="AL1102" s="1" t="s">
        <v>109</v>
      </c>
      <c r="AM1102" s="1" t="s">
        <v>109</v>
      </c>
      <c r="AN1102" s="1" t="s">
        <v>109</v>
      </c>
      <c r="AO1102" s="1" t="s">
        <v>109</v>
      </c>
      <c r="AP1102" s="1"/>
      <c r="AQ1102" s="1">
        <v>7</v>
      </c>
      <c r="AR1102" s="1"/>
      <c r="AS1102" s="1" t="s">
        <v>8965</v>
      </c>
      <c r="AT1102" s="1">
        <v>0</v>
      </c>
      <c r="AU1102" s="1">
        <v>1</v>
      </c>
      <c r="AV1102" s="1">
        <v>0</v>
      </c>
      <c r="AW1102" s="1">
        <v>0</v>
      </c>
      <c r="AX1102" s="1">
        <v>0</v>
      </c>
      <c r="AY1102" s="1">
        <v>0</v>
      </c>
      <c r="AZ1102" s="1">
        <v>0</v>
      </c>
      <c r="BA1102" s="1">
        <v>0</v>
      </c>
      <c r="BB1102" s="1">
        <v>1</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5" t="str">
        <f>HYPERLINK("http://www.d20pfsrd.com/magic/all-spells/s/scouring-winds","Scouring Winds")</f>
        <v>Scouring Winds</v>
      </c>
      <c r="BT1102" s="1">
        <v>1138</v>
      </c>
      <c r="BU1102" s="1" t="s">
        <v>109</v>
      </c>
      <c r="BV1102" s="1"/>
      <c r="BW1102" s="1"/>
      <c r="BX1102" s="1" t="s">
        <v>8966</v>
      </c>
      <c r="BY1102" s="1" t="s">
        <v>8967</v>
      </c>
      <c r="BZ1102" s="1">
        <v>1</v>
      </c>
      <c r="CA1102" s="1" t="s">
        <v>109</v>
      </c>
      <c r="CB1102" s="1" t="s">
        <v>109</v>
      </c>
      <c r="CC1102" s="1" t="s">
        <v>109</v>
      </c>
      <c r="CD1102" s="1" t="s">
        <v>109</v>
      </c>
      <c r="CE1102" s="1" t="s">
        <v>109</v>
      </c>
      <c r="CF1102" s="1" t="s">
        <v>109</v>
      </c>
      <c r="CG1102" s="1" t="s">
        <v>109</v>
      </c>
      <c r="CH1102" s="1" t="s">
        <v>109</v>
      </c>
      <c r="CI1102" s="1" t="s">
        <v>109</v>
      </c>
      <c r="CJ1102" s="1" t="s">
        <v>109</v>
      </c>
      <c r="CK1102" s="1"/>
      <c r="CL1102" s="1">
        <v>0</v>
      </c>
      <c r="CM1102" s="1">
        <v>0</v>
      </c>
      <c r="CN1102" s="1">
        <v>0</v>
      </c>
    </row>
    <row r="1103" spans="1:92" ht="14.25" customHeight="1" x14ac:dyDescent="0.15">
      <c r="A1103" s="1" t="s">
        <v>8968</v>
      </c>
      <c r="B1103" s="1" t="s">
        <v>189</v>
      </c>
      <c r="C1103" s="1"/>
      <c r="D1103" s="1"/>
      <c r="E1103" s="1" t="s">
        <v>8969</v>
      </c>
      <c r="F1103" s="1" t="s">
        <v>98</v>
      </c>
      <c r="G1103" s="1" t="s">
        <v>141</v>
      </c>
      <c r="H1103" s="1">
        <v>0</v>
      </c>
      <c r="I1103" s="1" t="s">
        <v>161</v>
      </c>
      <c r="J1103" s="1"/>
      <c r="K1103" s="1"/>
      <c r="L1103" s="1" t="s">
        <v>8970</v>
      </c>
      <c r="M1103" s="1" t="s">
        <v>144</v>
      </c>
      <c r="N1103" s="1">
        <v>0</v>
      </c>
      <c r="O1103" s="1">
        <v>0</v>
      </c>
      <c r="P1103" s="1" t="s">
        <v>267</v>
      </c>
      <c r="Q1103" s="1" t="s">
        <v>268</v>
      </c>
      <c r="R1103" s="1" t="s">
        <v>8971</v>
      </c>
      <c r="S1103" s="1" t="s">
        <v>8972</v>
      </c>
      <c r="T1103" s="1" t="s">
        <v>7821</v>
      </c>
      <c r="U1103" s="1" t="s">
        <v>8973</v>
      </c>
      <c r="V1103" s="1">
        <v>1</v>
      </c>
      <c r="W1103" s="1">
        <v>1</v>
      </c>
      <c r="X1103" s="1">
        <v>0</v>
      </c>
      <c r="Y1103" s="1">
        <v>0</v>
      </c>
      <c r="Z1103" s="1">
        <v>0</v>
      </c>
      <c r="AA1103" s="1">
        <v>2</v>
      </c>
      <c r="AB1103" s="1">
        <v>2</v>
      </c>
      <c r="AC1103" s="1" t="s">
        <v>109</v>
      </c>
      <c r="AD1103" s="1" t="s">
        <v>109</v>
      </c>
      <c r="AE1103" s="1" t="s">
        <v>109</v>
      </c>
      <c r="AF1103" s="1" t="s">
        <v>109</v>
      </c>
      <c r="AG1103" s="1" t="s">
        <v>109</v>
      </c>
      <c r="AH1103" s="1" t="s">
        <v>109</v>
      </c>
      <c r="AI1103" s="1" t="s">
        <v>109</v>
      </c>
      <c r="AJ1103" s="1" t="s">
        <v>109</v>
      </c>
      <c r="AK1103" s="1" t="s">
        <v>109</v>
      </c>
      <c r="AL1103" s="1" t="s">
        <v>109</v>
      </c>
      <c r="AM1103" s="1" t="s">
        <v>109</v>
      </c>
      <c r="AN1103" s="1" t="s">
        <v>109</v>
      </c>
      <c r="AO1103" s="1" t="s">
        <v>109</v>
      </c>
      <c r="AP1103" s="1"/>
      <c r="AQ1103" s="1">
        <v>2</v>
      </c>
      <c r="AR1103" s="1"/>
      <c r="AS1103" s="1" t="s">
        <v>8974</v>
      </c>
      <c r="AT1103" s="1">
        <v>0</v>
      </c>
      <c r="AU1103" s="1">
        <v>0</v>
      </c>
      <c r="AV1103" s="1">
        <v>0</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5" t="str">
        <f>HYPERLINK("http://www.d20pfsrd.com/magic/all-spells/s/sculpt-simulacrum","Sculpt Simulacrum")</f>
        <v>Sculpt Simulacrum</v>
      </c>
      <c r="BT1103" s="1">
        <v>1139</v>
      </c>
      <c r="BU1103" s="1" t="s">
        <v>109</v>
      </c>
      <c r="BV1103" s="1"/>
      <c r="BW1103" s="1"/>
      <c r="BX1103" s="1"/>
      <c r="BY1103" s="1"/>
      <c r="BZ1103" s="1">
        <v>0</v>
      </c>
      <c r="CA1103" s="1" t="s">
        <v>109</v>
      </c>
      <c r="CB1103" s="1" t="s">
        <v>109</v>
      </c>
      <c r="CC1103" s="1">
        <v>2</v>
      </c>
      <c r="CD1103" s="1" t="s">
        <v>109</v>
      </c>
      <c r="CE1103" s="1" t="s">
        <v>109</v>
      </c>
      <c r="CF1103" s="1" t="s">
        <v>109</v>
      </c>
      <c r="CG1103" s="1" t="s">
        <v>109</v>
      </c>
      <c r="CH1103" s="1" t="s">
        <v>109</v>
      </c>
      <c r="CI1103" s="1" t="s">
        <v>109</v>
      </c>
      <c r="CJ1103" s="1" t="s">
        <v>109</v>
      </c>
      <c r="CK1103" s="1"/>
      <c r="CL1103" s="1">
        <v>0</v>
      </c>
      <c r="CM1103" s="1">
        <v>0</v>
      </c>
      <c r="CN1103" s="1">
        <v>0</v>
      </c>
    </row>
    <row r="1104" spans="1:92" ht="14.25" customHeight="1" x14ac:dyDescent="0.15">
      <c r="A1104" s="1" t="s">
        <v>8975</v>
      </c>
      <c r="B1104" s="1" t="s">
        <v>156</v>
      </c>
      <c r="C1104" s="1" t="s">
        <v>157</v>
      </c>
      <c r="D1104" s="1" t="s">
        <v>8086</v>
      </c>
      <c r="E1104" s="1" t="s">
        <v>8976</v>
      </c>
      <c r="F1104" s="1" t="s">
        <v>98</v>
      </c>
      <c r="G1104" s="1" t="s">
        <v>141</v>
      </c>
      <c r="H1104" s="1">
        <v>0</v>
      </c>
      <c r="I1104" s="1" t="s">
        <v>122</v>
      </c>
      <c r="J1104" s="1"/>
      <c r="K1104" s="1"/>
      <c r="L1104" s="1" t="s">
        <v>716</v>
      </c>
      <c r="M1104" s="1" t="s">
        <v>125</v>
      </c>
      <c r="N1104" s="1">
        <v>0</v>
      </c>
      <c r="O1104" s="1">
        <v>0</v>
      </c>
      <c r="P1104" s="1" t="s">
        <v>301</v>
      </c>
      <c r="Q1104" s="1" t="s">
        <v>268</v>
      </c>
      <c r="R1104" s="1" t="s">
        <v>8977</v>
      </c>
      <c r="S1104" s="1" t="s">
        <v>8978</v>
      </c>
      <c r="T1104" s="1" t="s">
        <v>7821</v>
      </c>
      <c r="U1104" s="1" t="s">
        <v>8979</v>
      </c>
      <c r="V1104" s="1">
        <v>1</v>
      </c>
      <c r="W1104" s="1">
        <v>1</v>
      </c>
      <c r="X1104" s="1">
        <v>0</v>
      </c>
      <c r="Y1104" s="1">
        <v>0</v>
      </c>
      <c r="Z1104" s="1">
        <v>0</v>
      </c>
      <c r="AA1104" s="1">
        <v>6</v>
      </c>
      <c r="AB1104" s="1">
        <v>6</v>
      </c>
      <c r="AC1104" s="1">
        <v>5</v>
      </c>
      <c r="AD1104" s="1" t="s">
        <v>109</v>
      </c>
      <c r="AE1104" s="1" t="s">
        <v>109</v>
      </c>
      <c r="AF1104" s="1">
        <v>4</v>
      </c>
      <c r="AG1104" s="1" t="s">
        <v>109</v>
      </c>
      <c r="AH1104" s="1" t="s">
        <v>109</v>
      </c>
      <c r="AI1104" s="1" t="s">
        <v>109</v>
      </c>
      <c r="AJ1104" s="1" t="s">
        <v>109</v>
      </c>
      <c r="AK1104" s="1" t="s">
        <v>109</v>
      </c>
      <c r="AL1104" s="1">
        <v>5</v>
      </c>
      <c r="AM1104" s="1" t="s">
        <v>109</v>
      </c>
      <c r="AN1104" s="1" t="s">
        <v>109</v>
      </c>
      <c r="AO1104" s="1" t="s">
        <v>109</v>
      </c>
      <c r="AP1104" s="1"/>
      <c r="AQ1104" s="1">
        <v>6</v>
      </c>
      <c r="AR1104" s="1"/>
      <c r="AS1104" s="1" t="s">
        <v>8980</v>
      </c>
      <c r="AT1104" s="1">
        <v>0</v>
      </c>
      <c r="AU1104" s="1">
        <v>0</v>
      </c>
      <c r="AV1104" s="1">
        <v>0</v>
      </c>
      <c r="AW1104" s="1">
        <v>0</v>
      </c>
      <c r="AX1104" s="1">
        <v>0</v>
      </c>
      <c r="AY1104" s="1">
        <v>0</v>
      </c>
      <c r="AZ1104" s="1">
        <v>0</v>
      </c>
      <c r="BA1104" s="1">
        <v>0</v>
      </c>
      <c r="BB1104" s="1">
        <v>0</v>
      </c>
      <c r="BC1104" s="1">
        <v>0</v>
      </c>
      <c r="BD1104" s="1">
        <v>1</v>
      </c>
      <c r="BE1104" s="1">
        <v>0</v>
      </c>
      <c r="BF1104" s="1">
        <v>0</v>
      </c>
      <c r="BG1104" s="1">
        <v>0</v>
      </c>
      <c r="BH1104" s="1">
        <v>0</v>
      </c>
      <c r="BI1104" s="1">
        <v>0</v>
      </c>
      <c r="BJ1104" s="1">
        <v>0</v>
      </c>
      <c r="BK1104" s="1">
        <v>0</v>
      </c>
      <c r="BL1104" s="1">
        <v>0</v>
      </c>
      <c r="BM1104" s="1">
        <v>1</v>
      </c>
      <c r="BN1104" s="1">
        <v>0</v>
      </c>
      <c r="BO1104" s="1">
        <v>0</v>
      </c>
      <c r="BP1104" s="1">
        <v>0</v>
      </c>
      <c r="BQ1104" s="1">
        <v>0</v>
      </c>
      <c r="BR1104" s="1">
        <v>0</v>
      </c>
      <c r="BS1104" s="5" t="str">
        <f>HYPERLINK("http://www.d20pfsrd.com/magic/all-spells/s/serenity","Serenity")</f>
        <v>Serenity</v>
      </c>
      <c r="BT1104" s="1">
        <v>1140</v>
      </c>
      <c r="BU1104" s="1" t="s">
        <v>109</v>
      </c>
      <c r="BV1104" s="1"/>
      <c r="BW1104" s="1" t="s">
        <v>8981</v>
      </c>
      <c r="BX1104" s="1"/>
      <c r="BY1104" s="1"/>
      <c r="BZ1104" s="1">
        <v>0</v>
      </c>
      <c r="CA1104" s="1" t="s">
        <v>109</v>
      </c>
      <c r="CB1104" s="1" t="s">
        <v>109</v>
      </c>
      <c r="CC1104" s="1">
        <v>5</v>
      </c>
      <c r="CD1104" s="1" t="s">
        <v>109</v>
      </c>
      <c r="CE1104" s="1">
        <v>4</v>
      </c>
      <c r="CF1104" s="1" t="s">
        <v>109</v>
      </c>
      <c r="CG1104" s="1" t="s">
        <v>109</v>
      </c>
      <c r="CH1104" s="1" t="s">
        <v>109</v>
      </c>
      <c r="CI1104" s="1" t="s">
        <v>109</v>
      </c>
      <c r="CJ1104" s="1" t="s">
        <v>109</v>
      </c>
      <c r="CK1104" s="1"/>
      <c r="CL1104" s="1">
        <v>0</v>
      </c>
      <c r="CM1104" s="1">
        <v>0</v>
      </c>
      <c r="CN1104" s="1">
        <v>0</v>
      </c>
    </row>
    <row r="1105" spans="1:92" ht="14.25" customHeight="1" x14ac:dyDescent="0.15">
      <c r="A1105" s="1" t="s">
        <v>8982</v>
      </c>
      <c r="B1105" s="1" t="s">
        <v>674</v>
      </c>
      <c r="C1105" s="1" t="s">
        <v>68</v>
      </c>
      <c r="D1105" s="1" t="s">
        <v>68</v>
      </c>
      <c r="E1105" s="1" t="s">
        <v>5937</v>
      </c>
      <c r="F1105" s="1" t="s">
        <v>98</v>
      </c>
      <c r="G1105" s="1" t="s">
        <v>1191</v>
      </c>
      <c r="H1105" s="1">
        <v>0</v>
      </c>
      <c r="I1105" s="1" t="s">
        <v>8402</v>
      </c>
      <c r="J1105" s="1"/>
      <c r="K1105" s="1" t="s">
        <v>8983</v>
      </c>
      <c r="L1105" s="1"/>
      <c r="M1105" s="1" t="s">
        <v>574</v>
      </c>
      <c r="N1105" s="1">
        <v>1</v>
      </c>
      <c r="O1105" s="1">
        <v>0</v>
      </c>
      <c r="P1105" s="1" t="s">
        <v>103</v>
      </c>
      <c r="Q1105" s="1" t="s">
        <v>104</v>
      </c>
      <c r="R1105" s="1" t="s">
        <v>8984</v>
      </c>
      <c r="S1105" s="1" t="s">
        <v>8985</v>
      </c>
      <c r="T1105" s="1" t="s">
        <v>7821</v>
      </c>
      <c r="U1105" s="1" t="s">
        <v>8986</v>
      </c>
      <c r="V1105" s="1">
        <v>1</v>
      </c>
      <c r="W1105" s="1">
        <v>1</v>
      </c>
      <c r="X1105" s="1">
        <v>1</v>
      </c>
      <c r="Y1105" s="1">
        <v>0</v>
      </c>
      <c r="Z1105" s="1">
        <v>0</v>
      </c>
      <c r="AA1105" s="1" t="s">
        <v>109</v>
      </c>
      <c r="AB1105" s="1" t="s">
        <v>109</v>
      </c>
      <c r="AC1105" s="1" t="s">
        <v>109</v>
      </c>
      <c r="AD1105" s="1" t="s">
        <v>109</v>
      </c>
      <c r="AE1105" s="1" t="s">
        <v>109</v>
      </c>
      <c r="AF1105" s="1">
        <v>5</v>
      </c>
      <c r="AG1105" s="1" t="s">
        <v>109</v>
      </c>
      <c r="AH1105" s="1" t="s">
        <v>109</v>
      </c>
      <c r="AI1105" s="1" t="s">
        <v>109</v>
      </c>
      <c r="AJ1105" s="1" t="s">
        <v>109</v>
      </c>
      <c r="AK1105" s="1" t="s">
        <v>109</v>
      </c>
      <c r="AL1105" s="1" t="s">
        <v>109</v>
      </c>
      <c r="AM1105" s="1" t="s">
        <v>109</v>
      </c>
      <c r="AN1105" s="1" t="s">
        <v>109</v>
      </c>
      <c r="AO1105" s="1" t="s">
        <v>109</v>
      </c>
      <c r="AP1105" s="1"/>
      <c r="AQ1105" s="1">
        <v>5</v>
      </c>
      <c r="AR1105" s="1"/>
      <c r="AS1105" s="1" t="s">
        <v>8987</v>
      </c>
      <c r="AT1105" s="1">
        <v>0</v>
      </c>
      <c r="AU1105" s="1">
        <v>0</v>
      </c>
      <c r="AV1105" s="1">
        <v>0</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1</v>
      </c>
      <c r="BQ1105" s="1">
        <v>0</v>
      </c>
      <c r="BR1105" s="1">
        <v>0</v>
      </c>
      <c r="BS1105" s="5" t="str">
        <f>HYPERLINK("http://www.d20pfsrd.com/magic/all-spells/s/shadowbard","Shadowbard")</f>
        <v>Shadowbard</v>
      </c>
      <c r="BT1105" s="1">
        <v>1141</v>
      </c>
      <c r="BU1105" s="1" t="s">
        <v>109</v>
      </c>
      <c r="BV1105" s="1"/>
      <c r="BW1105" s="1"/>
      <c r="BX1105" s="1"/>
      <c r="BY1105" s="1"/>
      <c r="BZ1105" s="1">
        <v>0</v>
      </c>
      <c r="CA1105" s="1" t="s">
        <v>109</v>
      </c>
      <c r="CB1105" s="1" t="s">
        <v>109</v>
      </c>
      <c r="CC1105" s="1" t="s">
        <v>109</v>
      </c>
      <c r="CD1105" s="1" t="s">
        <v>109</v>
      </c>
      <c r="CE1105" s="1" t="s">
        <v>109</v>
      </c>
      <c r="CF1105" s="1" t="s">
        <v>109</v>
      </c>
      <c r="CG1105" s="1" t="s">
        <v>109</v>
      </c>
      <c r="CH1105" s="1" t="s">
        <v>109</v>
      </c>
      <c r="CI1105" s="1" t="s">
        <v>109</v>
      </c>
      <c r="CJ1105" s="1" t="s">
        <v>109</v>
      </c>
      <c r="CK1105" s="1"/>
      <c r="CL1105" s="1">
        <v>0</v>
      </c>
      <c r="CM1105" s="1">
        <v>0</v>
      </c>
      <c r="CN1105" s="1">
        <v>0</v>
      </c>
    </row>
    <row r="1106" spans="1:92" ht="14.25" customHeight="1" x14ac:dyDescent="0.15">
      <c r="A1106" s="1" t="s">
        <v>8988</v>
      </c>
      <c r="B1106" s="1" t="s">
        <v>674</v>
      </c>
      <c r="C1106" s="1" t="s">
        <v>68</v>
      </c>
      <c r="D1106" s="1" t="s">
        <v>68</v>
      </c>
      <c r="E1106" s="1" t="s">
        <v>8989</v>
      </c>
      <c r="F1106" s="1" t="s">
        <v>98</v>
      </c>
      <c r="G1106" s="1" t="s">
        <v>141</v>
      </c>
      <c r="H1106" s="1">
        <v>0</v>
      </c>
      <c r="I1106" s="1" t="s">
        <v>122</v>
      </c>
      <c r="J1106" s="1"/>
      <c r="K1106" s="1"/>
      <c r="L1106" s="1" t="s">
        <v>236</v>
      </c>
      <c r="M1106" s="1" t="s">
        <v>144</v>
      </c>
      <c r="N1106" s="1">
        <v>0</v>
      </c>
      <c r="O1106" s="1">
        <v>0</v>
      </c>
      <c r="P1106" s="1" t="s">
        <v>103</v>
      </c>
      <c r="Q1106" s="1" t="s">
        <v>104</v>
      </c>
      <c r="R1106" s="1" t="s">
        <v>8990</v>
      </c>
      <c r="S1106" s="1" t="s">
        <v>8991</v>
      </c>
      <c r="T1106" s="1" t="s">
        <v>7821</v>
      </c>
      <c r="U1106" s="1" t="s">
        <v>8992</v>
      </c>
      <c r="V1106" s="1">
        <v>1</v>
      </c>
      <c r="W1106" s="1">
        <v>1</v>
      </c>
      <c r="X1106" s="1">
        <v>0</v>
      </c>
      <c r="Y1106" s="1">
        <v>0</v>
      </c>
      <c r="Z1106" s="1">
        <v>0</v>
      </c>
      <c r="AA1106" s="1">
        <v>4</v>
      </c>
      <c r="AB1106" s="1">
        <v>4</v>
      </c>
      <c r="AC1106" s="1" t="s">
        <v>109</v>
      </c>
      <c r="AD1106" s="1" t="s">
        <v>109</v>
      </c>
      <c r="AE1106" s="1" t="s">
        <v>109</v>
      </c>
      <c r="AF1106" s="1">
        <v>4</v>
      </c>
      <c r="AG1106" s="1" t="s">
        <v>109</v>
      </c>
      <c r="AH1106" s="1" t="s">
        <v>109</v>
      </c>
      <c r="AI1106" s="1" t="s">
        <v>109</v>
      </c>
      <c r="AJ1106" s="1">
        <v>4</v>
      </c>
      <c r="AK1106" s="1" t="s">
        <v>109</v>
      </c>
      <c r="AL1106" s="1" t="s">
        <v>109</v>
      </c>
      <c r="AM1106" s="1" t="s">
        <v>109</v>
      </c>
      <c r="AN1106" s="1" t="s">
        <v>109</v>
      </c>
      <c r="AO1106" s="1" t="s">
        <v>109</v>
      </c>
      <c r="AP1106" s="1"/>
      <c r="AQ1106" s="1">
        <v>4</v>
      </c>
      <c r="AR1106" s="1"/>
      <c r="AS1106" s="1" t="s">
        <v>8993</v>
      </c>
      <c r="AT1106" s="1">
        <v>0</v>
      </c>
      <c r="AU1106" s="1">
        <v>0</v>
      </c>
      <c r="AV1106" s="1">
        <v>0</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1</v>
      </c>
      <c r="BQ1106" s="1">
        <v>0</v>
      </c>
      <c r="BR1106" s="1">
        <v>0</v>
      </c>
      <c r="BS1106" s="5" t="str">
        <f>HYPERLINK("http://www.d20pfsrd.com/magic/all-spells/s/shadow-step","Shadow Step")</f>
        <v>Shadow Step</v>
      </c>
      <c r="BT1106" s="1">
        <v>1142</v>
      </c>
      <c r="BU1106" s="1" t="s">
        <v>109</v>
      </c>
      <c r="BV1106" s="1"/>
      <c r="BW1106" s="1"/>
      <c r="BX1106" s="1"/>
      <c r="BY1106" s="1"/>
      <c r="BZ1106" s="1">
        <v>0</v>
      </c>
      <c r="CA1106" s="1" t="s">
        <v>109</v>
      </c>
      <c r="CB1106" s="1" t="s">
        <v>109</v>
      </c>
      <c r="CC1106" s="1">
        <v>4</v>
      </c>
      <c r="CD1106" s="1" t="s">
        <v>109</v>
      </c>
      <c r="CE1106" s="1" t="s">
        <v>109</v>
      </c>
      <c r="CF1106" s="1" t="s">
        <v>109</v>
      </c>
      <c r="CG1106" s="1">
        <v>4</v>
      </c>
      <c r="CH1106" s="1" t="s">
        <v>109</v>
      </c>
      <c r="CI1106" s="1" t="s">
        <v>109</v>
      </c>
      <c r="CJ1106" s="1" t="s">
        <v>109</v>
      </c>
      <c r="CK1106" s="1"/>
      <c r="CL1106" s="1">
        <v>0</v>
      </c>
      <c r="CM1106" s="1">
        <v>0</v>
      </c>
      <c r="CN1106" s="1">
        <v>0</v>
      </c>
    </row>
    <row r="1107" spans="1:92" ht="14.25" customHeight="1" x14ac:dyDescent="0.15">
      <c r="A1107" s="1" t="s">
        <v>8994</v>
      </c>
      <c r="B1107" s="1" t="s">
        <v>674</v>
      </c>
      <c r="C1107" s="1" t="s">
        <v>68</v>
      </c>
      <c r="D1107" s="1" t="s">
        <v>68</v>
      </c>
      <c r="E1107" s="1" t="s">
        <v>8995</v>
      </c>
      <c r="F1107" s="1" t="s">
        <v>98</v>
      </c>
      <c r="G1107" s="1" t="s">
        <v>141</v>
      </c>
      <c r="H1107" s="1">
        <v>0</v>
      </c>
      <c r="I1107" s="1" t="s">
        <v>925</v>
      </c>
      <c r="J1107" s="1"/>
      <c r="K1107" s="1" t="s">
        <v>8996</v>
      </c>
      <c r="L1107" s="1"/>
      <c r="M1107" s="1" t="s">
        <v>3042</v>
      </c>
      <c r="N1107" s="1">
        <v>0</v>
      </c>
      <c r="O1107" s="1">
        <v>0</v>
      </c>
      <c r="P1107" s="1" t="s">
        <v>2465</v>
      </c>
      <c r="Q1107" s="1" t="s">
        <v>268</v>
      </c>
      <c r="R1107" s="1" t="s">
        <v>8997</v>
      </c>
      <c r="S1107" s="1" t="s">
        <v>8998</v>
      </c>
      <c r="T1107" s="1" t="s">
        <v>7821</v>
      </c>
      <c r="U1107" s="1" t="s">
        <v>8999</v>
      </c>
      <c r="V1107" s="1">
        <v>1</v>
      </c>
      <c r="W1107" s="1">
        <v>1</v>
      </c>
      <c r="X1107" s="1">
        <v>0</v>
      </c>
      <c r="Y1107" s="1">
        <v>0</v>
      </c>
      <c r="Z1107" s="1">
        <v>0</v>
      </c>
      <c r="AA1107" s="1">
        <v>1</v>
      </c>
      <c r="AB1107" s="1">
        <v>1</v>
      </c>
      <c r="AC1107" s="1" t="s">
        <v>109</v>
      </c>
      <c r="AD1107" s="1" t="s">
        <v>109</v>
      </c>
      <c r="AE1107" s="1" t="s">
        <v>109</v>
      </c>
      <c r="AF1107" s="1" t="s">
        <v>109</v>
      </c>
      <c r="AG1107" s="1" t="s">
        <v>109</v>
      </c>
      <c r="AH1107" s="1" t="s">
        <v>109</v>
      </c>
      <c r="AI1107" s="1" t="s">
        <v>109</v>
      </c>
      <c r="AJ1107" s="1">
        <v>1</v>
      </c>
      <c r="AK1107" s="1" t="s">
        <v>109</v>
      </c>
      <c r="AL1107" s="1" t="s">
        <v>109</v>
      </c>
      <c r="AM1107" s="1" t="s">
        <v>109</v>
      </c>
      <c r="AN1107" s="1" t="s">
        <v>109</v>
      </c>
      <c r="AO1107" s="1" t="s">
        <v>109</v>
      </c>
      <c r="AP1107" s="1"/>
      <c r="AQ1107" s="1">
        <v>1</v>
      </c>
      <c r="AR1107" s="1"/>
      <c r="AS1107" s="1" t="s">
        <v>9000</v>
      </c>
      <c r="AT1107" s="1">
        <v>0</v>
      </c>
      <c r="AU1107" s="1">
        <v>0</v>
      </c>
      <c r="AV1107" s="1">
        <v>0</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1</v>
      </c>
      <c r="BQ1107" s="1">
        <v>0</v>
      </c>
      <c r="BR1107" s="1">
        <v>0</v>
      </c>
      <c r="BS1107" s="5" t="str">
        <f>HYPERLINK("http://www.d20pfsrd.com/magic/all-spells/s/shadow-weapon","Shadow Weapon")</f>
        <v>Shadow Weapon</v>
      </c>
      <c r="BT1107" s="1">
        <v>1143</v>
      </c>
      <c r="BU1107" s="1" t="s">
        <v>109</v>
      </c>
      <c r="BV1107" s="1"/>
      <c r="BW1107" s="1"/>
      <c r="BX1107" s="1" t="s">
        <v>9001</v>
      </c>
      <c r="BY1107" s="1"/>
      <c r="BZ1107" s="1">
        <v>1</v>
      </c>
      <c r="CA1107" s="1">
        <v>1</v>
      </c>
      <c r="CB1107" s="1" t="s">
        <v>109</v>
      </c>
      <c r="CC1107" s="1">
        <v>1</v>
      </c>
      <c r="CD1107" s="1" t="s">
        <v>109</v>
      </c>
      <c r="CE1107" s="1" t="s">
        <v>109</v>
      </c>
      <c r="CF1107" s="1">
        <v>1</v>
      </c>
      <c r="CG1107" s="1" t="s">
        <v>109</v>
      </c>
      <c r="CH1107" s="1" t="s">
        <v>109</v>
      </c>
      <c r="CI1107" s="1" t="s">
        <v>109</v>
      </c>
      <c r="CJ1107" s="1" t="s">
        <v>109</v>
      </c>
      <c r="CK1107" s="1"/>
      <c r="CL1107" s="1">
        <v>0</v>
      </c>
      <c r="CM1107" s="1">
        <v>0</v>
      </c>
      <c r="CN1107" s="1">
        <v>0</v>
      </c>
    </row>
    <row r="1108" spans="1:92" ht="14.25" customHeight="1" x14ac:dyDescent="0.15">
      <c r="A1108" s="1" t="s">
        <v>9002</v>
      </c>
      <c r="B1108" s="1" t="s">
        <v>584</v>
      </c>
      <c r="C1108" s="1"/>
      <c r="D1108" s="1" t="s">
        <v>9003</v>
      </c>
      <c r="E1108" s="1" t="s">
        <v>8305</v>
      </c>
      <c r="F1108" s="1" t="s">
        <v>98</v>
      </c>
      <c r="G1108" s="1" t="s">
        <v>160</v>
      </c>
      <c r="H1108" s="1">
        <v>0</v>
      </c>
      <c r="I1108" s="1" t="s">
        <v>142</v>
      </c>
      <c r="J1108" s="1"/>
      <c r="K1108" s="1" t="s">
        <v>9004</v>
      </c>
      <c r="L1108" s="1"/>
      <c r="M1108" s="1" t="s">
        <v>9005</v>
      </c>
      <c r="N1108" s="1">
        <v>0</v>
      </c>
      <c r="O1108" s="1">
        <v>0</v>
      </c>
      <c r="P1108" s="1" t="s">
        <v>7902</v>
      </c>
      <c r="Q1108" s="1" t="s">
        <v>268</v>
      </c>
      <c r="R1108" s="1" t="s">
        <v>9006</v>
      </c>
      <c r="S1108" s="1" t="s">
        <v>9007</v>
      </c>
      <c r="T1108" s="1" t="s">
        <v>7821</v>
      </c>
      <c r="U1108" s="1" t="s">
        <v>9008</v>
      </c>
      <c r="V1108" s="1">
        <v>1</v>
      </c>
      <c r="W1108" s="1">
        <v>1</v>
      </c>
      <c r="X1108" s="1">
        <v>0</v>
      </c>
      <c r="Y1108" s="1">
        <v>0</v>
      </c>
      <c r="Z1108" s="1">
        <v>1</v>
      </c>
      <c r="AA1108" s="1" t="s">
        <v>109</v>
      </c>
      <c r="AB1108" s="1" t="s">
        <v>109</v>
      </c>
      <c r="AC1108" s="1">
        <v>2</v>
      </c>
      <c r="AD1108" s="1" t="s">
        <v>109</v>
      </c>
      <c r="AE1108" s="1" t="s">
        <v>109</v>
      </c>
      <c r="AF1108" s="1" t="s">
        <v>109</v>
      </c>
      <c r="AG1108" s="1" t="s">
        <v>109</v>
      </c>
      <c r="AH1108" s="1" t="s">
        <v>109</v>
      </c>
      <c r="AI1108" s="1" t="s">
        <v>109</v>
      </c>
      <c r="AJ1108" s="1" t="s">
        <v>109</v>
      </c>
      <c r="AK1108" s="1" t="s">
        <v>109</v>
      </c>
      <c r="AL1108" s="1">
        <v>2</v>
      </c>
      <c r="AM1108" s="1" t="s">
        <v>109</v>
      </c>
      <c r="AN1108" s="1" t="s">
        <v>109</v>
      </c>
      <c r="AO1108" s="1" t="s">
        <v>109</v>
      </c>
      <c r="AP1108" s="1"/>
      <c r="AQ1108" s="1">
        <v>2</v>
      </c>
      <c r="AR1108" s="1"/>
      <c r="AS1108" s="1" t="s">
        <v>9009</v>
      </c>
      <c r="AT1108" s="1">
        <v>0</v>
      </c>
      <c r="AU1108" s="1">
        <v>0</v>
      </c>
      <c r="AV1108" s="1">
        <v>0</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5" t="str">
        <f>HYPERLINK("http://www.d20pfsrd.com/magic/all-spells/s/shard-of-chaos","Shard of Chaos")</f>
        <v>Shard of Chaos</v>
      </c>
      <c r="BT1108" s="1">
        <v>1144</v>
      </c>
      <c r="BU1108" s="1" t="s">
        <v>109</v>
      </c>
      <c r="BV1108" s="1"/>
      <c r="BW1108" s="1"/>
      <c r="BX1108" s="1"/>
      <c r="BY1108" s="1"/>
      <c r="BZ1108" s="1">
        <v>0</v>
      </c>
      <c r="CA1108" s="1" t="s">
        <v>109</v>
      </c>
      <c r="CB1108" s="1" t="s">
        <v>109</v>
      </c>
      <c r="CC1108" s="1" t="s">
        <v>109</v>
      </c>
      <c r="CD1108" s="1" t="s">
        <v>109</v>
      </c>
      <c r="CE1108" s="1" t="s">
        <v>109</v>
      </c>
      <c r="CF1108" s="1" t="s">
        <v>109</v>
      </c>
      <c r="CG1108" s="1" t="s">
        <v>109</v>
      </c>
      <c r="CH1108" s="1" t="s">
        <v>109</v>
      </c>
      <c r="CI1108" s="1" t="s">
        <v>109</v>
      </c>
      <c r="CJ1108" s="1" t="s">
        <v>109</v>
      </c>
      <c r="CK1108" s="1"/>
      <c r="CL1108" s="1">
        <v>0</v>
      </c>
      <c r="CM1108" s="1">
        <v>0</v>
      </c>
      <c r="CN1108" s="1">
        <v>0</v>
      </c>
    </row>
    <row r="1109" spans="1:92" ht="14.25" customHeight="1" x14ac:dyDescent="0.15">
      <c r="A1109" s="1" t="s">
        <v>9010</v>
      </c>
      <c r="B1109" s="1" t="s">
        <v>254</v>
      </c>
      <c r="C1109" s="1"/>
      <c r="D1109" s="1"/>
      <c r="E1109" s="1" t="s">
        <v>9011</v>
      </c>
      <c r="F1109" s="1" t="s">
        <v>98</v>
      </c>
      <c r="G1109" s="1" t="s">
        <v>141</v>
      </c>
      <c r="H1109" s="1">
        <v>0</v>
      </c>
      <c r="I1109" s="1" t="s">
        <v>161</v>
      </c>
      <c r="J1109" s="1"/>
      <c r="K1109" s="1"/>
      <c r="L1109" s="1" t="s">
        <v>9012</v>
      </c>
      <c r="M1109" s="1" t="s">
        <v>144</v>
      </c>
      <c r="N1109" s="1">
        <v>0</v>
      </c>
      <c r="O1109" s="1">
        <v>0</v>
      </c>
      <c r="P1109" s="1" t="s">
        <v>301</v>
      </c>
      <c r="Q1109" s="1" t="s">
        <v>268</v>
      </c>
      <c r="R1109" s="1" t="s">
        <v>9013</v>
      </c>
      <c r="S1109" s="1" t="s">
        <v>9014</v>
      </c>
      <c r="T1109" s="1" t="s">
        <v>7821</v>
      </c>
      <c r="U1109" s="1" t="s">
        <v>9015</v>
      </c>
      <c r="V1109" s="1">
        <v>1</v>
      </c>
      <c r="W1109" s="1">
        <v>1</v>
      </c>
      <c r="X1109" s="1">
        <v>0</v>
      </c>
      <c r="Y1109" s="1">
        <v>0</v>
      </c>
      <c r="Z1109" s="1">
        <v>0</v>
      </c>
      <c r="AA1109" s="1">
        <v>2</v>
      </c>
      <c r="AB1109" s="1">
        <v>2</v>
      </c>
      <c r="AC1109" s="1" t="s">
        <v>109</v>
      </c>
      <c r="AD1109" s="1" t="s">
        <v>109</v>
      </c>
      <c r="AE1109" s="1" t="s">
        <v>109</v>
      </c>
      <c r="AF1109" s="1">
        <v>2</v>
      </c>
      <c r="AG1109" s="1" t="s">
        <v>109</v>
      </c>
      <c r="AH1109" s="1" t="s">
        <v>109</v>
      </c>
      <c r="AI1109" s="1" t="s">
        <v>109</v>
      </c>
      <c r="AJ1109" s="1">
        <v>2</v>
      </c>
      <c r="AK1109" s="1" t="s">
        <v>109</v>
      </c>
      <c r="AL1109" s="1" t="s">
        <v>109</v>
      </c>
      <c r="AM1109" s="1" t="s">
        <v>109</v>
      </c>
      <c r="AN1109" s="1" t="s">
        <v>109</v>
      </c>
      <c r="AO1109" s="1" t="s">
        <v>109</v>
      </c>
      <c r="AP1109" s="1"/>
      <c r="AQ1109" s="1">
        <v>2</v>
      </c>
      <c r="AR1109" s="1"/>
      <c r="AS1109" s="1" t="s">
        <v>9016</v>
      </c>
      <c r="AT1109" s="1">
        <v>0</v>
      </c>
      <c r="AU1109" s="1">
        <v>0</v>
      </c>
      <c r="AV1109" s="1">
        <v>0</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5" t="str">
        <f>HYPERLINK("http://www.d20pfsrd.com/magic/all-spells/s/share-memory","Share Memory")</f>
        <v>Share Memory</v>
      </c>
      <c r="BT1109" s="1">
        <v>1145</v>
      </c>
      <c r="BU1109" s="1" t="s">
        <v>109</v>
      </c>
      <c r="BV1109" s="1"/>
      <c r="BW1109" s="1"/>
      <c r="BX1109" s="1"/>
      <c r="BY1109" s="1"/>
      <c r="BZ1109" s="1">
        <v>0</v>
      </c>
      <c r="CA1109" s="1" t="s">
        <v>109</v>
      </c>
      <c r="CB1109" s="1" t="s">
        <v>109</v>
      </c>
      <c r="CC1109" s="1">
        <v>2</v>
      </c>
      <c r="CD1109" s="1" t="s">
        <v>109</v>
      </c>
      <c r="CE1109" s="1">
        <v>2</v>
      </c>
      <c r="CF1109" s="1">
        <v>2</v>
      </c>
      <c r="CG1109" s="1" t="s">
        <v>109</v>
      </c>
      <c r="CH1109" s="1" t="s">
        <v>109</v>
      </c>
      <c r="CI1109" s="1" t="s">
        <v>109</v>
      </c>
      <c r="CJ1109" s="1" t="s">
        <v>109</v>
      </c>
      <c r="CK1109" s="1"/>
      <c r="CL1109" s="1">
        <v>0</v>
      </c>
      <c r="CM1109" s="1">
        <v>0</v>
      </c>
      <c r="CN1109" s="1">
        <v>0</v>
      </c>
    </row>
    <row r="1110" spans="1:92" ht="14.25" customHeight="1" x14ac:dyDescent="0.15">
      <c r="A1110" s="1" t="s">
        <v>9017</v>
      </c>
      <c r="B1110" s="1" t="s">
        <v>674</v>
      </c>
      <c r="C1110" s="1" t="s">
        <v>68</v>
      </c>
      <c r="D1110" s="1"/>
      <c r="E1110" s="1" t="s">
        <v>9018</v>
      </c>
      <c r="F1110" s="1" t="s">
        <v>377</v>
      </c>
      <c r="G1110" s="1" t="s">
        <v>9019</v>
      </c>
      <c r="H1110" s="1">
        <v>1</v>
      </c>
      <c r="I1110" s="1" t="s">
        <v>925</v>
      </c>
      <c r="J1110" s="1"/>
      <c r="K1110" s="1" t="s">
        <v>4480</v>
      </c>
      <c r="L1110" s="1"/>
      <c r="M1110" s="1" t="s">
        <v>289</v>
      </c>
      <c r="N1110" s="1">
        <v>0</v>
      </c>
      <c r="O1110" s="1">
        <v>0</v>
      </c>
      <c r="P1110" s="1" t="s">
        <v>103</v>
      </c>
      <c r="Q1110" s="1" t="s">
        <v>104</v>
      </c>
      <c r="R1110" s="1" t="s">
        <v>9020</v>
      </c>
      <c r="S1110" s="1" t="s">
        <v>9021</v>
      </c>
      <c r="T1110" s="1" t="s">
        <v>7821</v>
      </c>
      <c r="U1110" s="1" t="s">
        <v>9022</v>
      </c>
      <c r="V1110" s="1">
        <v>1</v>
      </c>
      <c r="W1110" s="1">
        <v>1</v>
      </c>
      <c r="X1110" s="1">
        <v>1</v>
      </c>
      <c r="Y1110" s="1">
        <v>0</v>
      </c>
      <c r="Z1110" s="1">
        <v>0</v>
      </c>
      <c r="AA1110" s="1">
        <v>4</v>
      </c>
      <c r="AB1110" s="1">
        <v>4</v>
      </c>
      <c r="AC1110" s="1" t="s">
        <v>109</v>
      </c>
      <c r="AD1110" s="1" t="s">
        <v>109</v>
      </c>
      <c r="AE1110" s="1" t="s">
        <v>109</v>
      </c>
      <c r="AF1110" s="1" t="s">
        <v>109</v>
      </c>
      <c r="AG1110" s="1" t="s">
        <v>109</v>
      </c>
      <c r="AH1110" s="1" t="s">
        <v>109</v>
      </c>
      <c r="AI1110" s="1" t="s">
        <v>109</v>
      </c>
      <c r="AJ1110" s="1" t="s">
        <v>109</v>
      </c>
      <c r="AK1110" s="1" t="s">
        <v>109</v>
      </c>
      <c r="AL1110" s="1" t="s">
        <v>109</v>
      </c>
      <c r="AM1110" s="1" t="s">
        <v>109</v>
      </c>
      <c r="AN1110" s="1" t="s">
        <v>109</v>
      </c>
      <c r="AO1110" s="1" t="s">
        <v>109</v>
      </c>
      <c r="AP1110" s="1"/>
      <c r="AQ1110" s="1">
        <v>4</v>
      </c>
      <c r="AR1110" s="1"/>
      <c r="AS1110" s="1" t="s">
        <v>9023</v>
      </c>
      <c r="AT1110" s="1">
        <v>0</v>
      </c>
      <c r="AU1110" s="1">
        <v>0</v>
      </c>
      <c r="AV1110" s="1">
        <v>0</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5" t="str">
        <f>HYPERLINK("http://www.d20pfsrd.com/magic/all-spells/s/simulacrum","Simulacrum, Lesser")</f>
        <v>Simulacrum, Lesser</v>
      </c>
      <c r="BT1110" s="1">
        <v>1146</v>
      </c>
      <c r="BU1110" s="1">
        <v>50</v>
      </c>
      <c r="BV1110" s="1"/>
      <c r="BW1110" s="1"/>
      <c r="BX1110" s="1"/>
      <c r="BY1110" s="1"/>
      <c r="BZ1110" s="1">
        <v>0</v>
      </c>
      <c r="CA1110" s="1" t="s">
        <v>109</v>
      </c>
      <c r="CB1110" s="1" t="s">
        <v>109</v>
      </c>
      <c r="CC1110" s="1">
        <v>4</v>
      </c>
      <c r="CD1110" s="1" t="s">
        <v>109</v>
      </c>
      <c r="CE1110" s="1" t="s">
        <v>109</v>
      </c>
      <c r="CF1110" s="1" t="s">
        <v>109</v>
      </c>
      <c r="CG1110" s="1" t="s">
        <v>109</v>
      </c>
      <c r="CH1110" s="1" t="s">
        <v>109</v>
      </c>
      <c r="CI1110" s="1" t="s">
        <v>109</v>
      </c>
      <c r="CJ1110" s="1" t="s">
        <v>109</v>
      </c>
      <c r="CK1110" s="1"/>
      <c r="CL1110" s="1">
        <v>0</v>
      </c>
      <c r="CM1110" s="1">
        <v>0</v>
      </c>
      <c r="CN1110" s="1">
        <v>0</v>
      </c>
    </row>
    <row r="1111" spans="1:92" ht="14.25" customHeight="1" x14ac:dyDescent="0.15">
      <c r="A1111" s="1" t="s">
        <v>9024</v>
      </c>
      <c r="B1111" s="1" t="s">
        <v>308</v>
      </c>
      <c r="C1111" s="1"/>
      <c r="D1111" s="1"/>
      <c r="E1111" s="1" t="s">
        <v>9025</v>
      </c>
      <c r="F1111" s="1" t="s">
        <v>277</v>
      </c>
      <c r="G1111" s="1" t="s">
        <v>141</v>
      </c>
      <c r="H1111" s="1">
        <v>0</v>
      </c>
      <c r="I1111" s="1" t="s">
        <v>235</v>
      </c>
      <c r="J1111" s="1"/>
      <c r="K1111" s="1"/>
      <c r="L1111" s="1" t="s">
        <v>236</v>
      </c>
      <c r="M1111" s="1" t="s">
        <v>815</v>
      </c>
      <c r="N1111" s="1">
        <v>1</v>
      </c>
      <c r="O1111" s="1">
        <v>0</v>
      </c>
      <c r="P1111" s="1"/>
      <c r="Q1111" s="1"/>
      <c r="R1111" s="1" t="s">
        <v>9026</v>
      </c>
      <c r="S1111" s="1" t="s">
        <v>9027</v>
      </c>
      <c r="T1111" s="1" t="s">
        <v>7821</v>
      </c>
      <c r="U1111" s="1" t="s">
        <v>9028</v>
      </c>
      <c r="V1111" s="1">
        <v>1</v>
      </c>
      <c r="W1111" s="1">
        <v>1</v>
      </c>
      <c r="X1111" s="1">
        <v>0</v>
      </c>
      <c r="Y1111" s="1">
        <v>0</v>
      </c>
      <c r="Z1111" s="1">
        <v>0</v>
      </c>
      <c r="AA1111" s="1">
        <v>2</v>
      </c>
      <c r="AB1111" s="1">
        <v>2</v>
      </c>
      <c r="AC1111" s="1" t="s">
        <v>109</v>
      </c>
      <c r="AD1111" s="1" t="s">
        <v>109</v>
      </c>
      <c r="AE1111" s="1" t="s">
        <v>109</v>
      </c>
      <c r="AF1111" s="1" t="s">
        <v>109</v>
      </c>
      <c r="AG1111" s="1" t="s">
        <v>109</v>
      </c>
      <c r="AH1111" s="1">
        <v>2</v>
      </c>
      <c r="AI1111" s="1" t="s">
        <v>109</v>
      </c>
      <c r="AJ1111" s="1">
        <v>2</v>
      </c>
      <c r="AK1111" s="1" t="s">
        <v>109</v>
      </c>
      <c r="AL1111" s="1" t="s">
        <v>109</v>
      </c>
      <c r="AM1111" s="1" t="s">
        <v>109</v>
      </c>
      <c r="AN1111" s="1" t="s">
        <v>109</v>
      </c>
      <c r="AO1111" s="1" t="s">
        <v>109</v>
      </c>
      <c r="AP1111" s="1"/>
      <c r="AQ1111" s="1">
        <v>2</v>
      </c>
      <c r="AR1111" s="1"/>
      <c r="AS1111" s="1" t="s">
        <v>9029</v>
      </c>
      <c r="AT1111" s="1">
        <v>0</v>
      </c>
      <c r="AU1111" s="1">
        <v>0</v>
      </c>
      <c r="AV1111" s="1">
        <v>0</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5" t="str">
        <f>HYPERLINK("http://www.d20pfsrd.com/magic/all-spells/s/skinsend","Skinsend")</f>
        <v>Skinsend</v>
      </c>
      <c r="BT1111" s="1">
        <v>1147</v>
      </c>
      <c r="BU1111" s="1" t="s">
        <v>109</v>
      </c>
      <c r="BV1111" s="1"/>
      <c r="BW1111" s="1"/>
      <c r="BX1111" s="1"/>
      <c r="BY1111" s="1"/>
      <c r="BZ1111" s="1">
        <v>0</v>
      </c>
      <c r="CA1111" s="1" t="s">
        <v>109</v>
      </c>
      <c r="CB1111" s="1" t="s">
        <v>109</v>
      </c>
      <c r="CC1111" s="1">
        <v>2</v>
      </c>
      <c r="CD1111" s="1" t="s">
        <v>109</v>
      </c>
      <c r="CE1111" s="1" t="s">
        <v>109</v>
      </c>
      <c r="CF1111" s="1">
        <v>2</v>
      </c>
      <c r="CG1111" s="1" t="s">
        <v>109</v>
      </c>
      <c r="CH1111" s="1" t="s">
        <v>109</v>
      </c>
      <c r="CI1111" s="1" t="s">
        <v>109</v>
      </c>
      <c r="CJ1111" s="1" t="s">
        <v>109</v>
      </c>
      <c r="CK1111" s="1"/>
      <c r="CL1111" s="1">
        <v>0</v>
      </c>
      <c r="CM1111" s="1">
        <v>0</v>
      </c>
      <c r="CN1111" s="1">
        <v>0</v>
      </c>
    </row>
    <row r="1112" spans="1:92" ht="14.25" customHeight="1" x14ac:dyDescent="0.15">
      <c r="A1112" s="1" t="s">
        <v>9030</v>
      </c>
      <c r="B1112" s="1" t="s">
        <v>156</v>
      </c>
      <c r="C1112" s="1" t="s">
        <v>157</v>
      </c>
      <c r="D1112" s="1" t="s">
        <v>8086</v>
      </c>
      <c r="E1112" s="1" t="s">
        <v>9031</v>
      </c>
      <c r="F1112" s="1" t="s">
        <v>98</v>
      </c>
      <c r="G1112" s="1" t="s">
        <v>9032</v>
      </c>
      <c r="H1112" s="1">
        <v>0</v>
      </c>
      <c r="I1112" s="1" t="s">
        <v>142</v>
      </c>
      <c r="J1112" s="1"/>
      <c r="K1112" s="1"/>
      <c r="L1112" s="1" t="s">
        <v>1391</v>
      </c>
      <c r="M1112" s="1" t="s">
        <v>8278</v>
      </c>
      <c r="N1112" s="1">
        <v>1</v>
      </c>
      <c r="O1112" s="1">
        <v>0</v>
      </c>
      <c r="P1112" s="1" t="s">
        <v>301</v>
      </c>
      <c r="Q1112" s="1" t="s">
        <v>268</v>
      </c>
      <c r="R1112" s="1" t="s">
        <v>9033</v>
      </c>
      <c r="S1112" s="1" t="s">
        <v>9034</v>
      </c>
      <c r="T1112" s="1" t="s">
        <v>7821</v>
      </c>
      <c r="U1112" s="1" t="s">
        <v>9035</v>
      </c>
      <c r="V1112" s="1">
        <v>1</v>
      </c>
      <c r="W1112" s="1">
        <v>1</v>
      </c>
      <c r="X1112" s="1">
        <v>1</v>
      </c>
      <c r="Y1112" s="1">
        <v>0</v>
      </c>
      <c r="Z1112" s="1">
        <v>0</v>
      </c>
      <c r="AA1112" s="1">
        <v>5</v>
      </c>
      <c r="AB1112" s="1">
        <v>5</v>
      </c>
      <c r="AC1112" s="1" t="s">
        <v>109</v>
      </c>
      <c r="AD1112" s="1" t="s">
        <v>109</v>
      </c>
      <c r="AE1112" s="1" t="s">
        <v>109</v>
      </c>
      <c r="AF1112" s="1">
        <v>3</v>
      </c>
      <c r="AG1112" s="1" t="s">
        <v>109</v>
      </c>
      <c r="AH1112" s="1" t="s">
        <v>109</v>
      </c>
      <c r="AI1112" s="1" t="s">
        <v>109</v>
      </c>
      <c r="AJ1112" s="1">
        <v>5</v>
      </c>
      <c r="AK1112" s="1" t="s">
        <v>109</v>
      </c>
      <c r="AL1112" s="1" t="s">
        <v>109</v>
      </c>
      <c r="AM1112" s="1" t="s">
        <v>109</v>
      </c>
      <c r="AN1112" s="1" t="s">
        <v>109</v>
      </c>
      <c r="AO1112" s="1" t="s">
        <v>109</v>
      </c>
      <c r="AP1112" s="1"/>
      <c r="AQ1112" s="1">
        <v>5</v>
      </c>
      <c r="AR1112" s="1"/>
      <c r="AS1112" s="1" t="s">
        <v>9036</v>
      </c>
      <c r="AT1112" s="1">
        <v>0</v>
      </c>
      <c r="AU1112" s="1">
        <v>0</v>
      </c>
      <c r="AV1112" s="1">
        <v>0</v>
      </c>
      <c r="AW1112" s="1">
        <v>0</v>
      </c>
      <c r="AX1112" s="1">
        <v>0</v>
      </c>
      <c r="AY1112" s="1">
        <v>0</v>
      </c>
      <c r="AZ1112" s="1">
        <v>0</v>
      </c>
      <c r="BA1112" s="1">
        <v>0</v>
      </c>
      <c r="BB1112" s="1">
        <v>0</v>
      </c>
      <c r="BC1112" s="1">
        <v>0</v>
      </c>
      <c r="BD1112" s="1">
        <v>1</v>
      </c>
      <c r="BE1112" s="1">
        <v>0</v>
      </c>
      <c r="BF1112" s="1">
        <v>0</v>
      </c>
      <c r="BG1112" s="1">
        <v>0</v>
      </c>
      <c r="BH1112" s="1">
        <v>0</v>
      </c>
      <c r="BI1112" s="1">
        <v>0</v>
      </c>
      <c r="BJ1112" s="1">
        <v>0</v>
      </c>
      <c r="BK1112" s="1">
        <v>0</v>
      </c>
      <c r="BL1112" s="1">
        <v>0</v>
      </c>
      <c r="BM1112" s="1">
        <v>1</v>
      </c>
      <c r="BN1112" s="1">
        <v>0</v>
      </c>
      <c r="BO1112" s="1">
        <v>0</v>
      </c>
      <c r="BP1112" s="1">
        <v>0</v>
      </c>
      <c r="BQ1112" s="1">
        <v>0</v>
      </c>
      <c r="BR1112" s="1">
        <v>0</v>
      </c>
      <c r="BS1112" s="5" t="str">
        <f>HYPERLINK("http://www.d20pfsrd.com/magic/all-spells/s/smug-narcissism","Smug Narcissism")</f>
        <v>Smug Narcissism</v>
      </c>
      <c r="BT1112" s="1">
        <v>1148</v>
      </c>
      <c r="BU1112" s="1" t="s">
        <v>109</v>
      </c>
      <c r="BV1112" s="1"/>
      <c r="BW1112" s="1"/>
      <c r="BX1112" s="1"/>
      <c r="BY1112" s="1"/>
      <c r="BZ1112" s="1">
        <v>0</v>
      </c>
      <c r="CA1112" s="1" t="s">
        <v>109</v>
      </c>
      <c r="CB1112" s="1" t="s">
        <v>109</v>
      </c>
      <c r="CC1112" s="1">
        <v>5</v>
      </c>
      <c r="CD1112" s="1" t="s">
        <v>109</v>
      </c>
      <c r="CE1112" s="1">
        <v>3</v>
      </c>
      <c r="CF1112" s="1" t="s">
        <v>109</v>
      </c>
      <c r="CG1112" s="1" t="s">
        <v>109</v>
      </c>
      <c r="CH1112" s="1" t="s">
        <v>109</v>
      </c>
      <c r="CI1112" s="1" t="s">
        <v>109</v>
      </c>
      <c r="CJ1112" s="1" t="s">
        <v>109</v>
      </c>
      <c r="CK1112" s="1"/>
      <c r="CL1112" s="1">
        <v>0</v>
      </c>
      <c r="CM1112" s="1">
        <v>0</v>
      </c>
      <c r="CN1112" s="1">
        <v>0</v>
      </c>
    </row>
    <row r="1113" spans="1:92" ht="14.25" customHeight="1" x14ac:dyDescent="0.15">
      <c r="A1113" s="1" t="s">
        <v>9037</v>
      </c>
      <c r="B1113" s="1" t="s">
        <v>189</v>
      </c>
      <c r="C1113" s="1"/>
      <c r="D1113" s="1" t="s">
        <v>6112</v>
      </c>
      <c r="E1113" s="1" t="s">
        <v>9038</v>
      </c>
      <c r="F1113" s="1" t="s">
        <v>98</v>
      </c>
      <c r="G1113" s="1" t="s">
        <v>9039</v>
      </c>
      <c r="H1113" s="1">
        <v>0</v>
      </c>
      <c r="I1113" s="1" t="s">
        <v>100</v>
      </c>
      <c r="J1113" s="1"/>
      <c r="K1113" s="1" t="s">
        <v>9040</v>
      </c>
      <c r="L1113" s="1"/>
      <c r="M1113" s="1" t="s">
        <v>125</v>
      </c>
      <c r="N1113" s="1">
        <v>0</v>
      </c>
      <c r="O1113" s="1">
        <v>0</v>
      </c>
      <c r="P1113" s="1" t="s">
        <v>2092</v>
      </c>
      <c r="Q1113" s="1" t="s">
        <v>268</v>
      </c>
      <c r="R1113" s="1" t="s">
        <v>9041</v>
      </c>
      <c r="S1113" s="1" t="s">
        <v>9042</v>
      </c>
      <c r="T1113" s="1" t="s">
        <v>7821</v>
      </c>
      <c r="U1113" s="1" t="s">
        <v>9043</v>
      </c>
      <c r="V1113" s="1">
        <v>1</v>
      </c>
      <c r="W1113" s="1">
        <v>1</v>
      </c>
      <c r="X1113" s="1">
        <v>1</v>
      </c>
      <c r="Y1113" s="1">
        <v>0</v>
      </c>
      <c r="Z1113" s="1">
        <v>0</v>
      </c>
      <c r="AA1113" s="1">
        <v>1</v>
      </c>
      <c r="AB1113" s="1">
        <v>1</v>
      </c>
      <c r="AC1113" s="1" t="s">
        <v>109</v>
      </c>
      <c r="AD1113" s="1" t="s">
        <v>109</v>
      </c>
      <c r="AE1113" s="1" t="s">
        <v>109</v>
      </c>
      <c r="AF1113" s="1">
        <v>2</v>
      </c>
      <c r="AG1113" s="1" t="s">
        <v>109</v>
      </c>
      <c r="AH1113" s="1" t="s">
        <v>109</v>
      </c>
      <c r="AI1113" s="1" t="s">
        <v>109</v>
      </c>
      <c r="AJ1113" s="1" t="s">
        <v>109</v>
      </c>
      <c r="AK1113" s="1" t="s">
        <v>109</v>
      </c>
      <c r="AL1113" s="1" t="s">
        <v>109</v>
      </c>
      <c r="AM1113" s="1" t="s">
        <v>109</v>
      </c>
      <c r="AN1113" s="1" t="s">
        <v>109</v>
      </c>
      <c r="AO1113" s="1" t="s">
        <v>109</v>
      </c>
      <c r="AP1113" s="1"/>
      <c r="AQ1113" s="1">
        <v>1</v>
      </c>
      <c r="AR1113" s="1"/>
      <c r="AS1113" s="1" t="s">
        <v>9044</v>
      </c>
      <c r="AT1113" s="1">
        <v>0</v>
      </c>
      <c r="AU1113" s="1">
        <v>0</v>
      </c>
      <c r="AV1113" s="1">
        <v>0</v>
      </c>
      <c r="AW1113" s="1">
        <v>0</v>
      </c>
      <c r="AX1113" s="1">
        <v>0</v>
      </c>
      <c r="AY1113" s="1">
        <v>0</v>
      </c>
      <c r="AZ1113" s="1">
        <v>0</v>
      </c>
      <c r="BA1113" s="1">
        <v>0</v>
      </c>
      <c r="BB1113" s="1">
        <v>0</v>
      </c>
      <c r="BC1113" s="1">
        <v>0</v>
      </c>
      <c r="BD1113" s="1">
        <v>0</v>
      </c>
      <c r="BE1113" s="1">
        <v>0</v>
      </c>
      <c r="BF1113" s="1">
        <v>0</v>
      </c>
      <c r="BG1113" s="1">
        <v>1</v>
      </c>
      <c r="BH1113" s="1">
        <v>0</v>
      </c>
      <c r="BI1113" s="1">
        <v>0</v>
      </c>
      <c r="BJ1113" s="1">
        <v>0</v>
      </c>
      <c r="BK1113" s="1">
        <v>0</v>
      </c>
      <c r="BL1113" s="1">
        <v>1</v>
      </c>
      <c r="BM1113" s="1">
        <v>0</v>
      </c>
      <c r="BN1113" s="1">
        <v>0</v>
      </c>
      <c r="BO1113" s="1">
        <v>0</v>
      </c>
      <c r="BP1113" s="1">
        <v>0</v>
      </c>
      <c r="BQ1113" s="1">
        <v>0</v>
      </c>
      <c r="BR1113" s="1">
        <v>0</v>
      </c>
      <c r="BS1113" s="5" t="str">
        <f>HYPERLINK("http://www.d20pfsrd.com/magic/all-spells/s/snapdragon-fireworks","Snapdragon Fireworks")</f>
        <v>Snapdragon Fireworks</v>
      </c>
      <c r="BT1113" s="1">
        <v>1149</v>
      </c>
      <c r="BU1113" s="1" t="s">
        <v>109</v>
      </c>
      <c r="BV1113" s="1"/>
      <c r="BW1113" s="1"/>
      <c r="BX1113" s="1"/>
      <c r="BY1113" s="1"/>
      <c r="BZ1113" s="1">
        <v>0</v>
      </c>
      <c r="CA1113" s="1" t="s">
        <v>109</v>
      </c>
      <c r="CB1113" s="1" t="s">
        <v>109</v>
      </c>
      <c r="CC1113" s="1" t="s">
        <v>109</v>
      </c>
      <c r="CD1113" s="1" t="s">
        <v>109</v>
      </c>
      <c r="CE1113" s="1" t="s">
        <v>109</v>
      </c>
      <c r="CF1113" s="1" t="s">
        <v>109</v>
      </c>
      <c r="CG1113" s="1" t="s">
        <v>109</v>
      </c>
      <c r="CH1113" s="1" t="s">
        <v>109</v>
      </c>
      <c r="CI1113" s="1" t="s">
        <v>109</v>
      </c>
      <c r="CJ1113" s="1" t="s">
        <v>109</v>
      </c>
      <c r="CK1113" s="1"/>
      <c r="CL1113" s="1">
        <v>0</v>
      </c>
      <c r="CM1113" s="1">
        <v>0</v>
      </c>
      <c r="CN1113" s="1">
        <v>0</v>
      </c>
    </row>
    <row r="1114" spans="1:92" ht="14.25" customHeight="1" x14ac:dyDescent="0.15">
      <c r="A1114" s="1" t="s">
        <v>9045</v>
      </c>
      <c r="B1114" s="1" t="s">
        <v>584</v>
      </c>
      <c r="C1114" s="1"/>
      <c r="D1114" s="1" t="s">
        <v>69</v>
      </c>
      <c r="E1114" s="1" t="s">
        <v>9046</v>
      </c>
      <c r="F1114" s="1" t="s">
        <v>98</v>
      </c>
      <c r="G1114" s="1" t="s">
        <v>141</v>
      </c>
      <c r="H1114" s="1">
        <v>0</v>
      </c>
      <c r="I1114" s="1" t="s">
        <v>100</v>
      </c>
      <c r="J1114" s="1"/>
      <c r="K1114" s="1"/>
      <c r="L1114" s="1" t="s">
        <v>211</v>
      </c>
      <c r="M1114" s="1" t="s">
        <v>144</v>
      </c>
      <c r="N1114" s="1">
        <v>0</v>
      </c>
      <c r="O1114" s="1">
        <v>0</v>
      </c>
      <c r="P1114" s="1" t="s">
        <v>9047</v>
      </c>
      <c r="Q1114" s="1" t="s">
        <v>9048</v>
      </c>
      <c r="R1114" s="1" t="s">
        <v>9049</v>
      </c>
      <c r="S1114" s="1" t="s">
        <v>9050</v>
      </c>
      <c r="T1114" s="1" t="s">
        <v>7821</v>
      </c>
      <c r="U1114" s="1" t="s">
        <v>9051</v>
      </c>
      <c r="V1114" s="1">
        <v>1</v>
      </c>
      <c r="W1114" s="1">
        <v>1</v>
      </c>
      <c r="X1114" s="1">
        <v>0</v>
      </c>
      <c r="Y1114" s="1">
        <v>0</v>
      </c>
      <c r="Z1114" s="1">
        <v>0</v>
      </c>
      <c r="AA1114" s="1">
        <v>5</v>
      </c>
      <c r="AB1114" s="1">
        <v>5</v>
      </c>
      <c r="AC1114" s="1" t="s">
        <v>109</v>
      </c>
      <c r="AD1114" s="1" t="s">
        <v>109</v>
      </c>
      <c r="AE1114" s="1" t="s">
        <v>109</v>
      </c>
      <c r="AF1114" s="1">
        <v>4</v>
      </c>
      <c r="AG1114" s="1" t="s">
        <v>109</v>
      </c>
      <c r="AH1114" s="1" t="s">
        <v>109</v>
      </c>
      <c r="AI1114" s="1" t="s">
        <v>109</v>
      </c>
      <c r="AJ1114" s="1" t="s">
        <v>109</v>
      </c>
      <c r="AK1114" s="1" t="s">
        <v>109</v>
      </c>
      <c r="AL1114" s="1" t="s">
        <v>109</v>
      </c>
      <c r="AM1114" s="1" t="s">
        <v>109</v>
      </c>
      <c r="AN1114" s="1" t="s">
        <v>109</v>
      </c>
      <c r="AO1114" s="1" t="s">
        <v>109</v>
      </c>
      <c r="AP1114" s="1"/>
      <c r="AQ1114" s="1">
        <v>5</v>
      </c>
      <c r="AR1114" s="1"/>
      <c r="AS1114" s="1" t="s">
        <v>9052</v>
      </c>
      <c r="AT1114" s="1">
        <v>0</v>
      </c>
      <c r="AU1114" s="1">
        <v>0</v>
      </c>
      <c r="AV1114" s="1">
        <v>0</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1</v>
      </c>
      <c r="BR1114" s="1">
        <v>0</v>
      </c>
      <c r="BS1114" s="5" t="str">
        <f>HYPERLINK("http://www.d20pfsrd.com/magic/all-spells/s/sonic-thrust","Sonic Thrust")</f>
        <v>Sonic Thrust</v>
      </c>
      <c r="BT1114" s="1">
        <v>1150</v>
      </c>
      <c r="BU1114" s="1" t="s">
        <v>109</v>
      </c>
      <c r="BV1114" s="1"/>
      <c r="BW1114" s="1"/>
      <c r="BX1114" s="1"/>
      <c r="BY1114" s="1"/>
      <c r="BZ1114" s="1">
        <v>0</v>
      </c>
      <c r="CA1114" s="1" t="s">
        <v>109</v>
      </c>
      <c r="CB1114" s="1" t="s">
        <v>109</v>
      </c>
      <c r="CC1114" s="1">
        <v>5</v>
      </c>
      <c r="CD1114" s="1" t="s">
        <v>109</v>
      </c>
      <c r="CE1114" s="1" t="s">
        <v>109</v>
      </c>
      <c r="CF1114" s="1" t="s">
        <v>109</v>
      </c>
      <c r="CG1114" s="1" t="s">
        <v>109</v>
      </c>
      <c r="CH1114" s="1" t="s">
        <v>109</v>
      </c>
      <c r="CI1114" s="1" t="s">
        <v>109</v>
      </c>
      <c r="CJ1114" s="1" t="s">
        <v>109</v>
      </c>
      <c r="CK1114" s="1"/>
      <c r="CL1114" s="1">
        <v>0</v>
      </c>
      <c r="CM1114" s="1">
        <v>0</v>
      </c>
      <c r="CN1114" s="1">
        <v>0</v>
      </c>
    </row>
    <row r="1115" spans="1:92" ht="14.25" customHeight="1" x14ac:dyDescent="0.15">
      <c r="A1115" s="1" t="s">
        <v>9053</v>
      </c>
      <c r="B1115" s="1" t="s">
        <v>242</v>
      </c>
      <c r="C1115" s="1"/>
      <c r="D1115" s="1"/>
      <c r="E1115" s="1" t="s">
        <v>9054</v>
      </c>
      <c r="F1115" s="1" t="s">
        <v>355</v>
      </c>
      <c r="G1115" s="1" t="s">
        <v>141</v>
      </c>
      <c r="H1115" s="1">
        <v>0</v>
      </c>
      <c r="I1115" s="1" t="s">
        <v>142</v>
      </c>
      <c r="J1115" s="1"/>
      <c r="K1115" s="1"/>
      <c r="L1115" s="1" t="s">
        <v>8110</v>
      </c>
      <c r="M1115" s="1" t="s">
        <v>144</v>
      </c>
      <c r="N1115" s="1">
        <v>0</v>
      </c>
      <c r="O1115" s="1">
        <v>0</v>
      </c>
      <c r="P1115" s="1" t="s">
        <v>103</v>
      </c>
      <c r="Q1115" s="1" t="s">
        <v>104</v>
      </c>
      <c r="R1115" s="1" t="s">
        <v>9055</v>
      </c>
      <c r="S1115" s="1" t="s">
        <v>9056</v>
      </c>
      <c r="T1115" s="1" t="s">
        <v>7821</v>
      </c>
      <c r="U1115" s="1" t="s">
        <v>9057</v>
      </c>
      <c r="V1115" s="1">
        <v>1</v>
      </c>
      <c r="W1115" s="1">
        <v>1</v>
      </c>
      <c r="X1115" s="1">
        <v>0</v>
      </c>
      <c r="Y1115" s="1">
        <v>0</v>
      </c>
      <c r="Z1115" s="1">
        <v>0</v>
      </c>
      <c r="AA1115" s="1">
        <v>5</v>
      </c>
      <c r="AB1115" s="1">
        <v>5</v>
      </c>
      <c r="AC1115" s="1">
        <v>4</v>
      </c>
      <c r="AD1115" s="1" t="s">
        <v>109</v>
      </c>
      <c r="AE1115" s="1" t="s">
        <v>109</v>
      </c>
      <c r="AF1115" s="1" t="s">
        <v>109</v>
      </c>
      <c r="AG1115" s="1" t="s">
        <v>109</v>
      </c>
      <c r="AH1115" s="1" t="s">
        <v>109</v>
      </c>
      <c r="AI1115" s="1" t="s">
        <v>109</v>
      </c>
      <c r="AJ1115" s="1" t="s">
        <v>109</v>
      </c>
      <c r="AK1115" s="1" t="s">
        <v>109</v>
      </c>
      <c r="AL1115" s="1">
        <v>4</v>
      </c>
      <c r="AM1115" s="1" t="s">
        <v>109</v>
      </c>
      <c r="AN1115" s="1" t="s">
        <v>109</v>
      </c>
      <c r="AO1115" s="1" t="s">
        <v>109</v>
      </c>
      <c r="AP1115" s="1"/>
      <c r="AQ1115" s="1">
        <v>5</v>
      </c>
      <c r="AR1115" s="1"/>
      <c r="AS1115" s="1" t="s">
        <v>9058</v>
      </c>
      <c r="AT1115" s="1">
        <v>0</v>
      </c>
      <c r="AU1115" s="1">
        <v>0</v>
      </c>
      <c r="AV1115" s="1">
        <v>0</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5" t="str">
        <f>HYPERLINK("http://www.d20pfsrd.com/magic/all-spells/s/soothe-construct","Soothe Construct")</f>
        <v>Soothe Construct</v>
      </c>
      <c r="BT1115" s="1">
        <v>1151</v>
      </c>
      <c r="BU1115" s="1" t="s">
        <v>109</v>
      </c>
      <c r="BV1115" s="1"/>
      <c r="BW1115" s="1"/>
      <c r="BX1115" s="1"/>
      <c r="BY1115" s="1"/>
      <c r="BZ1115" s="1">
        <v>0</v>
      </c>
      <c r="CA1115" s="1" t="s">
        <v>109</v>
      </c>
      <c r="CB1115" s="1" t="s">
        <v>109</v>
      </c>
      <c r="CC1115" s="1" t="s">
        <v>109</v>
      </c>
      <c r="CD1115" s="1" t="s">
        <v>109</v>
      </c>
      <c r="CE1115" s="1" t="s">
        <v>109</v>
      </c>
      <c r="CF1115" s="1">
        <v>4</v>
      </c>
      <c r="CG1115" s="1" t="s">
        <v>109</v>
      </c>
      <c r="CH1115" s="1" t="s">
        <v>109</v>
      </c>
      <c r="CI1115" s="1" t="s">
        <v>109</v>
      </c>
      <c r="CJ1115" s="1" t="s">
        <v>109</v>
      </c>
      <c r="CK1115" s="1"/>
      <c r="CL1115" s="1">
        <v>0</v>
      </c>
      <c r="CM1115" s="1">
        <v>0</v>
      </c>
      <c r="CN1115" s="1">
        <v>0</v>
      </c>
    </row>
    <row r="1116" spans="1:92" ht="14.25" customHeight="1" x14ac:dyDescent="0.15">
      <c r="A1116" s="1" t="s">
        <v>9059</v>
      </c>
      <c r="B1116" s="1" t="s">
        <v>584</v>
      </c>
      <c r="C1116" s="1"/>
      <c r="D1116" s="1" t="s">
        <v>61</v>
      </c>
      <c r="E1116" s="1" t="s">
        <v>8305</v>
      </c>
      <c r="F1116" s="1" t="s">
        <v>98</v>
      </c>
      <c r="G1116" s="1" t="s">
        <v>160</v>
      </c>
      <c r="H1116" s="1">
        <v>0</v>
      </c>
      <c r="I1116" s="1" t="s">
        <v>142</v>
      </c>
      <c r="J1116" s="1"/>
      <c r="K1116" s="1" t="s">
        <v>9060</v>
      </c>
      <c r="L1116" s="1"/>
      <c r="M1116" s="1" t="s">
        <v>9061</v>
      </c>
      <c r="N1116" s="1">
        <v>0</v>
      </c>
      <c r="O1116" s="1">
        <v>0</v>
      </c>
      <c r="P1116" s="1" t="s">
        <v>7902</v>
      </c>
      <c r="Q1116" s="1" t="s">
        <v>268</v>
      </c>
      <c r="R1116" s="1" t="s">
        <v>9062</v>
      </c>
      <c r="S1116" s="1" t="s">
        <v>9063</v>
      </c>
      <c r="T1116" s="1" t="s">
        <v>7821</v>
      </c>
      <c r="U1116" s="1" t="s">
        <v>9064</v>
      </c>
      <c r="V1116" s="1">
        <v>1</v>
      </c>
      <c r="W1116" s="1">
        <v>1</v>
      </c>
      <c r="X1116" s="1">
        <v>0</v>
      </c>
      <c r="Y1116" s="1">
        <v>0</v>
      </c>
      <c r="Z1116" s="1">
        <v>1</v>
      </c>
      <c r="AA1116" s="1" t="s">
        <v>109</v>
      </c>
      <c r="AB1116" s="1" t="s">
        <v>109</v>
      </c>
      <c r="AC1116" s="1">
        <v>2</v>
      </c>
      <c r="AD1116" s="1" t="s">
        <v>109</v>
      </c>
      <c r="AE1116" s="1" t="s">
        <v>109</v>
      </c>
      <c r="AF1116" s="1" t="s">
        <v>109</v>
      </c>
      <c r="AG1116" s="1" t="s">
        <v>109</v>
      </c>
      <c r="AH1116" s="1" t="s">
        <v>109</v>
      </c>
      <c r="AI1116" s="1" t="s">
        <v>109</v>
      </c>
      <c r="AJ1116" s="1" t="s">
        <v>109</v>
      </c>
      <c r="AK1116" s="1" t="s">
        <v>109</v>
      </c>
      <c r="AL1116" s="1">
        <v>2</v>
      </c>
      <c r="AM1116" s="1" t="s">
        <v>109</v>
      </c>
      <c r="AN1116" s="1" t="s">
        <v>109</v>
      </c>
      <c r="AO1116" s="1" t="s">
        <v>109</v>
      </c>
      <c r="AP1116" s="1"/>
      <c r="AQ1116" s="1">
        <v>2</v>
      </c>
      <c r="AR1116" s="1"/>
      <c r="AS1116" s="1" t="s">
        <v>9065</v>
      </c>
      <c r="AT1116" s="1">
        <v>0</v>
      </c>
      <c r="AU1116" s="1">
        <v>0</v>
      </c>
      <c r="AV1116" s="1">
        <v>0</v>
      </c>
      <c r="AW1116" s="1">
        <v>0</v>
      </c>
      <c r="AX1116" s="1">
        <v>0</v>
      </c>
      <c r="AY1116" s="1">
        <v>0</v>
      </c>
      <c r="AZ1116" s="1">
        <v>0</v>
      </c>
      <c r="BA1116" s="1">
        <v>0</v>
      </c>
      <c r="BB1116" s="1">
        <v>0</v>
      </c>
      <c r="BC1116" s="1">
        <v>0</v>
      </c>
      <c r="BD1116" s="1">
        <v>0</v>
      </c>
      <c r="BE1116" s="1">
        <v>0</v>
      </c>
      <c r="BF1116" s="1">
        <v>0</v>
      </c>
      <c r="BG1116" s="1">
        <v>0</v>
      </c>
      <c r="BH1116" s="1">
        <v>0</v>
      </c>
      <c r="BI1116" s="1">
        <v>1</v>
      </c>
      <c r="BJ1116" s="1">
        <v>0</v>
      </c>
      <c r="BK1116" s="1">
        <v>0</v>
      </c>
      <c r="BL1116" s="1">
        <v>0</v>
      </c>
      <c r="BM1116" s="1">
        <v>0</v>
      </c>
      <c r="BN1116" s="1">
        <v>0</v>
      </c>
      <c r="BO1116" s="1">
        <v>0</v>
      </c>
      <c r="BP1116" s="1">
        <v>0</v>
      </c>
      <c r="BQ1116" s="1">
        <v>0</v>
      </c>
      <c r="BR1116" s="1">
        <v>0</v>
      </c>
      <c r="BS1116" s="5" t="str">
        <f>HYPERLINK("http://www.d20pfsrd.com/magic/all-spells/s/spear-of-purity","Spear of Purity")</f>
        <v>Spear of Purity</v>
      </c>
      <c r="BT1116" s="1">
        <v>1152</v>
      </c>
      <c r="BU1116" s="1" t="s">
        <v>109</v>
      </c>
      <c r="BV1116" s="1"/>
      <c r="BW1116" s="1"/>
      <c r="BX1116" s="1"/>
      <c r="BY1116" s="1"/>
      <c r="BZ1116" s="1">
        <v>0</v>
      </c>
      <c r="CA1116" s="1" t="s">
        <v>109</v>
      </c>
      <c r="CB1116" s="1" t="s">
        <v>109</v>
      </c>
      <c r="CC1116" s="1" t="s">
        <v>109</v>
      </c>
      <c r="CD1116" s="1" t="s">
        <v>109</v>
      </c>
      <c r="CE1116" s="1" t="s">
        <v>109</v>
      </c>
      <c r="CF1116" s="1" t="s">
        <v>109</v>
      </c>
      <c r="CG1116" s="1" t="s">
        <v>109</v>
      </c>
      <c r="CH1116" s="1" t="s">
        <v>109</v>
      </c>
      <c r="CI1116" s="1" t="s">
        <v>109</v>
      </c>
      <c r="CJ1116" s="1" t="s">
        <v>109</v>
      </c>
      <c r="CK1116" s="1"/>
      <c r="CL1116" s="1">
        <v>0</v>
      </c>
      <c r="CM1116" s="1">
        <v>0</v>
      </c>
      <c r="CN1116" s="1">
        <v>0</v>
      </c>
    </row>
    <row r="1117" spans="1:92" ht="14.25" customHeight="1" x14ac:dyDescent="0.15">
      <c r="A1117" s="1" t="s">
        <v>9066</v>
      </c>
      <c r="B1117" s="1" t="s">
        <v>189</v>
      </c>
      <c r="C1117" s="1"/>
      <c r="D1117" s="1" t="s">
        <v>67</v>
      </c>
      <c r="E1117" s="1" t="s">
        <v>9067</v>
      </c>
      <c r="F1117" s="1" t="s">
        <v>98</v>
      </c>
      <c r="G1117" s="1" t="s">
        <v>333</v>
      </c>
      <c r="H1117" s="1">
        <v>0</v>
      </c>
      <c r="I1117" s="1" t="s">
        <v>142</v>
      </c>
      <c r="J1117" s="1"/>
      <c r="K1117" s="1" t="s">
        <v>9068</v>
      </c>
      <c r="L1117" s="1"/>
      <c r="M1117" s="1" t="s">
        <v>947</v>
      </c>
      <c r="N1117" s="1">
        <v>0</v>
      </c>
      <c r="O1117" s="1">
        <v>0</v>
      </c>
      <c r="P1117" s="1" t="s">
        <v>1410</v>
      </c>
      <c r="Q1117" s="1" t="s">
        <v>104</v>
      </c>
      <c r="R1117" s="1" t="s">
        <v>9069</v>
      </c>
      <c r="S1117" s="1" t="s">
        <v>9070</v>
      </c>
      <c r="T1117" s="1" t="s">
        <v>7821</v>
      </c>
      <c r="U1117" s="1" t="s">
        <v>9071</v>
      </c>
      <c r="V1117" s="1">
        <v>1</v>
      </c>
      <c r="W1117" s="1">
        <v>0</v>
      </c>
      <c r="X1117" s="1">
        <v>0</v>
      </c>
      <c r="Y1117" s="1">
        <v>0</v>
      </c>
      <c r="Z1117" s="1">
        <v>0</v>
      </c>
      <c r="AA1117" s="1" t="s">
        <v>109</v>
      </c>
      <c r="AB1117" s="1" t="s">
        <v>109</v>
      </c>
      <c r="AC1117" s="1">
        <v>4</v>
      </c>
      <c r="AD1117" s="1">
        <v>3</v>
      </c>
      <c r="AE1117" s="1" t="s">
        <v>109</v>
      </c>
      <c r="AF1117" s="1" t="s">
        <v>109</v>
      </c>
      <c r="AG1117" s="1" t="s">
        <v>109</v>
      </c>
      <c r="AH1117" s="1" t="s">
        <v>109</v>
      </c>
      <c r="AI1117" s="1" t="s">
        <v>109</v>
      </c>
      <c r="AJ1117" s="1">
        <v>3</v>
      </c>
      <c r="AK1117" s="1" t="s">
        <v>109</v>
      </c>
      <c r="AL1117" s="1">
        <v>4</v>
      </c>
      <c r="AM1117" s="1" t="s">
        <v>109</v>
      </c>
      <c r="AN1117" s="1" t="s">
        <v>109</v>
      </c>
      <c r="AO1117" s="1" t="s">
        <v>109</v>
      </c>
      <c r="AP1117" s="1"/>
      <c r="AQ1117" s="1">
        <v>4</v>
      </c>
      <c r="AR1117" s="1"/>
      <c r="AS1117" s="1" t="s">
        <v>9072</v>
      </c>
      <c r="AT1117" s="1">
        <v>0</v>
      </c>
      <c r="AU1117" s="1">
        <v>0</v>
      </c>
      <c r="AV1117" s="1">
        <v>0</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1</v>
      </c>
      <c r="BP1117" s="1">
        <v>0</v>
      </c>
      <c r="BQ1117" s="1">
        <v>0</v>
      </c>
      <c r="BR1117" s="1">
        <v>0</v>
      </c>
      <c r="BS1117" s="5" t="str">
        <f>HYPERLINK("http://www.d20pfsrd.com/magic/all-spells/s/spit-venom","Spit Venom")</f>
        <v>Spit Venom</v>
      </c>
      <c r="BT1117" s="1">
        <v>1153</v>
      </c>
      <c r="BU1117" s="1" t="s">
        <v>109</v>
      </c>
      <c r="BV1117" s="1"/>
      <c r="BW1117" s="1"/>
      <c r="BX1117" s="1"/>
      <c r="BY1117" s="1"/>
      <c r="BZ1117" s="1">
        <v>0</v>
      </c>
      <c r="CA1117" s="1" t="s">
        <v>109</v>
      </c>
      <c r="CB1117" s="1">
        <v>4</v>
      </c>
      <c r="CC1117" s="1" t="s">
        <v>109</v>
      </c>
      <c r="CD1117" s="1" t="s">
        <v>109</v>
      </c>
      <c r="CE1117" s="1" t="s">
        <v>109</v>
      </c>
      <c r="CF1117" s="1" t="s">
        <v>109</v>
      </c>
      <c r="CG1117" s="1" t="s">
        <v>109</v>
      </c>
      <c r="CH1117" s="1" t="s">
        <v>109</v>
      </c>
      <c r="CI1117" s="1" t="s">
        <v>109</v>
      </c>
      <c r="CJ1117" s="1">
        <v>3</v>
      </c>
      <c r="CK1117" s="1"/>
      <c r="CL1117" s="1">
        <v>0</v>
      </c>
      <c r="CM1117" s="1">
        <v>0</v>
      </c>
      <c r="CN1117" s="1">
        <v>0</v>
      </c>
    </row>
    <row r="1118" spans="1:92" ht="14.25" customHeight="1" x14ac:dyDescent="0.15">
      <c r="A1118" s="1" t="s">
        <v>9073</v>
      </c>
      <c r="B1118" s="1" t="s">
        <v>308</v>
      </c>
      <c r="C1118" s="1"/>
      <c r="D1118" s="1"/>
      <c r="E1118" s="1" t="s">
        <v>8473</v>
      </c>
      <c r="F1118" s="1" t="s">
        <v>98</v>
      </c>
      <c r="G1118" s="1" t="s">
        <v>333</v>
      </c>
      <c r="H1118" s="1">
        <v>0</v>
      </c>
      <c r="I1118" s="1" t="s">
        <v>122</v>
      </c>
      <c r="J1118" s="1"/>
      <c r="K1118" s="1"/>
      <c r="L1118" s="1" t="s">
        <v>1391</v>
      </c>
      <c r="M1118" s="1" t="s">
        <v>656</v>
      </c>
      <c r="N1118" s="1">
        <v>1</v>
      </c>
      <c r="O1118" s="1">
        <v>0</v>
      </c>
      <c r="P1118" s="1" t="s">
        <v>267</v>
      </c>
      <c r="Q1118" s="1" t="s">
        <v>268</v>
      </c>
      <c r="R1118" s="1" t="s">
        <v>9074</v>
      </c>
      <c r="S1118" s="1" t="s">
        <v>9075</v>
      </c>
      <c r="T1118" s="1" t="s">
        <v>7821</v>
      </c>
      <c r="U1118" s="1" t="s">
        <v>9076</v>
      </c>
      <c r="V1118" s="1">
        <v>1</v>
      </c>
      <c r="W1118" s="1">
        <v>0</v>
      </c>
      <c r="X1118" s="1">
        <v>0</v>
      </c>
      <c r="Y1118" s="1">
        <v>0</v>
      </c>
      <c r="Z1118" s="1">
        <v>0</v>
      </c>
      <c r="AA1118" s="1">
        <v>2</v>
      </c>
      <c r="AB1118" s="1">
        <v>2</v>
      </c>
      <c r="AC1118" s="1" t="s">
        <v>109</v>
      </c>
      <c r="AD1118" s="1" t="s">
        <v>109</v>
      </c>
      <c r="AE1118" s="1" t="s">
        <v>109</v>
      </c>
      <c r="AF1118" s="1">
        <v>2</v>
      </c>
      <c r="AG1118" s="1" t="s">
        <v>109</v>
      </c>
      <c r="AH1118" s="1" t="s">
        <v>109</v>
      </c>
      <c r="AI1118" s="1" t="s">
        <v>109</v>
      </c>
      <c r="AJ1118" s="1">
        <v>2</v>
      </c>
      <c r="AK1118" s="1" t="s">
        <v>109</v>
      </c>
      <c r="AL1118" s="1" t="s">
        <v>109</v>
      </c>
      <c r="AM1118" s="1" t="s">
        <v>109</v>
      </c>
      <c r="AN1118" s="1" t="s">
        <v>109</v>
      </c>
      <c r="AO1118" s="1" t="s">
        <v>109</v>
      </c>
      <c r="AP1118" s="1"/>
      <c r="AQ1118" s="1">
        <v>2</v>
      </c>
      <c r="AR1118" s="1"/>
      <c r="AS1118" s="1" t="s">
        <v>9077</v>
      </c>
      <c r="AT1118" s="1">
        <v>0</v>
      </c>
      <c r="AU1118" s="1">
        <v>0</v>
      </c>
      <c r="AV1118" s="1">
        <v>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5" t="str">
        <f>HYPERLINK("http://www.d20pfsrd.com/magic/all-spells/s/steal-voice","Steal Voice")</f>
        <v>Steal Voice</v>
      </c>
      <c r="BT1118" s="1">
        <v>1154</v>
      </c>
      <c r="BU1118" s="1" t="s">
        <v>109</v>
      </c>
      <c r="BV1118" s="1"/>
      <c r="BW1118" s="1"/>
      <c r="BX1118" s="1"/>
      <c r="BY1118" s="1"/>
      <c r="BZ1118" s="1">
        <v>0</v>
      </c>
      <c r="CA1118" s="1" t="s">
        <v>109</v>
      </c>
      <c r="CB1118" s="1" t="s">
        <v>109</v>
      </c>
      <c r="CC1118" s="1">
        <v>2</v>
      </c>
      <c r="CD1118" s="1" t="s">
        <v>109</v>
      </c>
      <c r="CE1118" s="1">
        <v>2</v>
      </c>
      <c r="CF1118" s="1" t="s">
        <v>109</v>
      </c>
      <c r="CG1118" s="1" t="s">
        <v>109</v>
      </c>
      <c r="CH1118" s="1" t="s">
        <v>109</v>
      </c>
      <c r="CI1118" s="1" t="s">
        <v>109</v>
      </c>
      <c r="CJ1118" s="1" t="s">
        <v>109</v>
      </c>
      <c r="CK1118" s="1"/>
      <c r="CL1118" s="1">
        <v>0</v>
      </c>
      <c r="CM1118" s="1">
        <v>0</v>
      </c>
      <c r="CN1118" s="1">
        <v>0</v>
      </c>
    </row>
    <row r="1119" spans="1:92" ht="14.25" customHeight="1" x14ac:dyDescent="0.15">
      <c r="A1119" s="1" t="s">
        <v>9078</v>
      </c>
      <c r="B1119" s="1" t="s">
        <v>189</v>
      </c>
      <c r="C1119" s="1"/>
      <c r="D1119" s="1"/>
      <c r="E1119" s="1" t="s">
        <v>9079</v>
      </c>
      <c r="F1119" s="1" t="s">
        <v>98</v>
      </c>
      <c r="G1119" s="1" t="s">
        <v>141</v>
      </c>
      <c r="H1119" s="1">
        <v>0</v>
      </c>
      <c r="I1119" s="1" t="s">
        <v>142</v>
      </c>
      <c r="J1119" s="1"/>
      <c r="K1119" s="1"/>
      <c r="L1119" s="1" t="s">
        <v>1391</v>
      </c>
      <c r="M1119" s="1" t="s">
        <v>766</v>
      </c>
      <c r="N1119" s="1">
        <v>0</v>
      </c>
      <c r="O1119" s="1">
        <v>0</v>
      </c>
      <c r="P1119" s="1" t="s">
        <v>103</v>
      </c>
      <c r="Q1119" s="1" t="s">
        <v>268</v>
      </c>
      <c r="R1119" s="1" t="s">
        <v>9080</v>
      </c>
      <c r="S1119" s="1" t="s">
        <v>9081</v>
      </c>
      <c r="T1119" s="1" t="s">
        <v>7821</v>
      </c>
      <c r="U1119" s="1" t="s">
        <v>9082</v>
      </c>
      <c r="V1119" s="1">
        <v>1</v>
      </c>
      <c r="W1119" s="1">
        <v>1</v>
      </c>
      <c r="X1119" s="1">
        <v>0</v>
      </c>
      <c r="Y1119" s="1">
        <v>0</v>
      </c>
      <c r="Z1119" s="1">
        <v>0</v>
      </c>
      <c r="AA1119" s="1">
        <v>3</v>
      </c>
      <c r="AB1119" s="1">
        <v>3</v>
      </c>
      <c r="AC1119" s="1" t="s">
        <v>109</v>
      </c>
      <c r="AD1119" s="1" t="s">
        <v>109</v>
      </c>
      <c r="AE1119" s="1" t="s">
        <v>109</v>
      </c>
      <c r="AF1119" s="1" t="s">
        <v>109</v>
      </c>
      <c r="AG1119" s="1" t="s">
        <v>109</v>
      </c>
      <c r="AH1119" s="1" t="s">
        <v>109</v>
      </c>
      <c r="AI1119" s="1" t="s">
        <v>109</v>
      </c>
      <c r="AJ1119" s="1">
        <v>3</v>
      </c>
      <c r="AK1119" s="1" t="s">
        <v>109</v>
      </c>
      <c r="AL1119" s="1" t="s">
        <v>109</v>
      </c>
      <c r="AM1119" s="1" t="s">
        <v>109</v>
      </c>
      <c r="AN1119" s="1" t="s">
        <v>109</v>
      </c>
      <c r="AO1119" s="1" t="s">
        <v>109</v>
      </c>
      <c r="AP1119" s="1"/>
      <c r="AQ1119" s="1">
        <v>3</v>
      </c>
      <c r="AR1119" s="1"/>
      <c r="AS1119" s="1" t="s">
        <v>9083</v>
      </c>
      <c r="AT1119" s="1">
        <v>0</v>
      </c>
      <c r="AU1119" s="1">
        <v>0</v>
      </c>
      <c r="AV1119" s="1">
        <v>0</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5" t="str">
        <f>HYPERLINK("http://www.d20pfsrd.com/magic/all-spells/s/strangling-hair","Strangling Hair")</f>
        <v>Strangling Hair</v>
      </c>
      <c r="BT1119" s="1">
        <v>1155</v>
      </c>
      <c r="BU1119" s="1" t="s">
        <v>109</v>
      </c>
      <c r="BV1119" s="1"/>
      <c r="BW1119" s="1"/>
      <c r="BX1119" s="1" t="s">
        <v>9084</v>
      </c>
      <c r="BY1119" s="1"/>
      <c r="BZ1119" s="1">
        <v>1</v>
      </c>
      <c r="CA1119" s="1" t="s">
        <v>109</v>
      </c>
      <c r="CB1119" s="1" t="s">
        <v>109</v>
      </c>
      <c r="CC1119" s="1">
        <v>3</v>
      </c>
      <c r="CD1119" s="1" t="s">
        <v>109</v>
      </c>
      <c r="CE1119" s="1" t="s">
        <v>109</v>
      </c>
      <c r="CF1119" s="1" t="s">
        <v>109</v>
      </c>
      <c r="CG1119" s="1" t="s">
        <v>109</v>
      </c>
      <c r="CH1119" s="1" t="s">
        <v>109</v>
      </c>
      <c r="CI1119" s="1" t="s">
        <v>109</v>
      </c>
      <c r="CJ1119" s="1" t="s">
        <v>109</v>
      </c>
      <c r="CK1119" s="1"/>
      <c r="CL1119" s="1">
        <v>0</v>
      </c>
      <c r="CM1119" s="1">
        <v>0</v>
      </c>
      <c r="CN1119" s="1">
        <v>0</v>
      </c>
    </row>
    <row r="1120" spans="1:92" ht="14.25" customHeight="1" x14ac:dyDescent="0.15">
      <c r="A1120" s="1" t="s">
        <v>9085</v>
      </c>
      <c r="B1120" s="1" t="s">
        <v>95</v>
      </c>
      <c r="C1120" s="1" t="s">
        <v>1179</v>
      </c>
      <c r="D1120" s="1"/>
      <c r="E1120" s="1" t="s">
        <v>4876</v>
      </c>
      <c r="F1120" s="1" t="s">
        <v>355</v>
      </c>
      <c r="G1120" s="1" t="s">
        <v>141</v>
      </c>
      <c r="H1120" s="1">
        <v>0</v>
      </c>
      <c r="I1120" s="1" t="s">
        <v>142</v>
      </c>
      <c r="J1120" s="1"/>
      <c r="K1120" s="1" t="s">
        <v>4781</v>
      </c>
      <c r="L1120" s="1"/>
      <c r="M1120" s="1" t="s">
        <v>574</v>
      </c>
      <c r="N1120" s="1">
        <v>1</v>
      </c>
      <c r="O1120" s="1">
        <v>0</v>
      </c>
      <c r="P1120" s="1" t="s">
        <v>103</v>
      </c>
      <c r="Q1120" s="1" t="s">
        <v>104</v>
      </c>
      <c r="R1120" s="1" t="s">
        <v>9086</v>
      </c>
      <c r="S1120" s="1" t="s">
        <v>9087</v>
      </c>
      <c r="T1120" s="1" t="s">
        <v>7821</v>
      </c>
      <c r="U1120" s="1" t="s">
        <v>9088</v>
      </c>
      <c r="V1120" s="1">
        <v>1</v>
      </c>
      <c r="W1120" s="1">
        <v>1</v>
      </c>
      <c r="X1120" s="1">
        <v>0</v>
      </c>
      <c r="Y1120" s="1">
        <v>0</v>
      </c>
      <c r="Z1120" s="1">
        <v>0</v>
      </c>
      <c r="AA1120" s="1" t="s">
        <v>109</v>
      </c>
      <c r="AB1120" s="1" t="s">
        <v>109</v>
      </c>
      <c r="AC1120" s="1" t="s">
        <v>109</v>
      </c>
      <c r="AD1120" s="1">
        <v>9</v>
      </c>
      <c r="AE1120" s="1" t="s">
        <v>109</v>
      </c>
      <c r="AF1120" s="1" t="s">
        <v>109</v>
      </c>
      <c r="AG1120" s="1" t="s">
        <v>109</v>
      </c>
      <c r="AH1120" s="1" t="s">
        <v>109</v>
      </c>
      <c r="AI1120" s="1" t="s">
        <v>109</v>
      </c>
      <c r="AJ1120" s="1" t="s">
        <v>109</v>
      </c>
      <c r="AK1120" s="1" t="s">
        <v>109</v>
      </c>
      <c r="AL1120" s="1" t="s">
        <v>109</v>
      </c>
      <c r="AM1120" s="1" t="s">
        <v>109</v>
      </c>
      <c r="AN1120" s="1" t="s">
        <v>109</v>
      </c>
      <c r="AO1120" s="1" t="s">
        <v>109</v>
      </c>
      <c r="AP1120" s="1"/>
      <c r="AQ1120" s="1">
        <v>9</v>
      </c>
      <c r="AR1120" s="1"/>
      <c r="AS1120" s="1" t="s">
        <v>9089</v>
      </c>
      <c r="AT1120" s="1">
        <v>0</v>
      </c>
      <c r="AU1120" s="1">
        <v>0</v>
      </c>
      <c r="AV1120" s="1">
        <v>0</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5" t="str">
        <f>HYPERLINK("http://www.d20pfsrd.com/magic/all-spells/s/summon-elder-worm","Summon Elder Worm")</f>
        <v>Summon Elder Worm</v>
      </c>
      <c r="BT1120" s="1">
        <v>1156</v>
      </c>
      <c r="BU1120" s="1" t="s">
        <v>109</v>
      </c>
      <c r="BV1120" s="1"/>
      <c r="BW1120" s="1"/>
      <c r="BX1120" s="1"/>
      <c r="BY1120" s="1"/>
      <c r="BZ1120" s="1">
        <v>0</v>
      </c>
      <c r="CA1120" s="1" t="s">
        <v>109</v>
      </c>
      <c r="CB1120" s="1" t="s">
        <v>109</v>
      </c>
      <c r="CC1120" s="1" t="s">
        <v>109</v>
      </c>
      <c r="CD1120" s="1" t="s">
        <v>109</v>
      </c>
      <c r="CE1120" s="1" t="s">
        <v>109</v>
      </c>
      <c r="CF1120" s="1" t="s">
        <v>109</v>
      </c>
      <c r="CG1120" s="1" t="s">
        <v>109</v>
      </c>
      <c r="CH1120" s="1" t="s">
        <v>109</v>
      </c>
      <c r="CI1120" s="1" t="s">
        <v>109</v>
      </c>
      <c r="CJ1120" s="1" t="s">
        <v>109</v>
      </c>
      <c r="CK1120" s="1"/>
      <c r="CL1120" s="1">
        <v>0</v>
      </c>
      <c r="CM1120" s="1">
        <v>0</v>
      </c>
      <c r="CN1120" s="1">
        <v>0</v>
      </c>
    </row>
    <row r="1121" spans="1:92" ht="14.25" customHeight="1" x14ac:dyDescent="0.15">
      <c r="A1121" s="1" t="s">
        <v>9090</v>
      </c>
      <c r="B1121" s="1" t="s">
        <v>95</v>
      </c>
      <c r="C1121" s="1" t="s">
        <v>1179</v>
      </c>
      <c r="D1121" s="1"/>
      <c r="E1121" s="1" t="s">
        <v>4876</v>
      </c>
      <c r="F1121" s="1" t="s">
        <v>355</v>
      </c>
      <c r="G1121" s="1" t="s">
        <v>141</v>
      </c>
      <c r="H1121" s="1">
        <v>0</v>
      </c>
      <c r="I1121" s="1" t="s">
        <v>142</v>
      </c>
      <c r="J1121" s="1"/>
      <c r="K1121" s="1" t="s">
        <v>4781</v>
      </c>
      <c r="L1121" s="1"/>
      <c r="M1121" s="1" t="s">
        <v>574</v>
      </c>
      <c r="N1121" s="1">
        <v>1</v>
      </c>
      <c r="O1121" s="1">
        <v>0</v>
      </c>
      <c r="P1121" s="1" t="s">
        <v>103</v>
      </c>
      <c r="Q1121" s="1" t="s">
        <v>104</v>
      </c>
      <c r="R1121" s="1" t="s">
        <v>9091</v>
      </c>
      <c r="S1121" s="1" t="s">
        <v>9092</v>
      </c>
      <c r="T1121" s="1" t="s">
        <v>7821</v>
      </c>
      <c r="U1121" s="1" t="s">
        <v>9093</v>
      </c>
      <c r="V1121" s="1">
        <v>1</v>
      </c>
      <c r="W1121" s="1">
        <v>1</v>
      </c>
      <c r="X1121" s="1">
        <v>0</v>
      </c>
      <c r="Y1121" s="1">
        <v>0</v>
      </c>
      <c r="Z1121" s="1">
        <v>0</v>
      </c>
      <c r="AA1121" s="1" t="s">
        <v>109</v>
      </c>
      <c r="AB1121" s="1" t="s">
        <v>109</v>
      </c>
      <c r="AC1121" s="1" t="s">
        <v>109</v>
      </c>
      <c r="AD1121" s="1">
        <v>9</v>
      </c>
      <c r="AE1121" s="1" t="s">
        <v>109</v>
      </c>
      <c r="AF1121" s="1" t="s">
        <v>109</v>
      </c>
      <c r="AG1121" s="1" t="s">
        <v>109</v>
      </c>
      <c r="AH1121" s="1" t="s">
        <v>109</v>
      </c>
      <c r="AI1121" s="1" t="s">
        <v>109</v>
      </c>
      <c r="AJ1121" s="1" t="s">
        <v>109</v>
      </c>
      <c r="AK1121" s="1" t="s">
        <v>109</v>
      </c>
      <c r="AL1121" s="1" t="s">
        <v>109</v>
      </c>
      <c r="AM1121" s="1" t="s">
        <v>109</v>
      </c>
      <c r="AN1121" s="1" t="s">
        <v>109</v>
      </c>
      <c r="AO1121" s="1" t="s">
        <v>109</v>
      </c>
      <c r="AP1121" s="1"/>
      <c r="AQ1121" s="1">
        <v>9</v>
      </c>
      <c r="AR1121" s="1"/>
      <c r="AS1121" s="1" t="s">
        <v>9094</v>
      </c>
      <c r="AT1121" s="1">
        <v>0</v>
      </c>
      <c r="AU1121" s="1">
        <v>0</v>
      </c>
      <c r="AV1121" s="1">
        <v>0</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5" t="str">
        <f>HYPERLINK("http://www.d20pfsrd.com/magic/all-spells/s/summon-froghemoth","Summon Froghemoth")</f>
        <v>Summon Froghemoth</v>
      </c>
      <c r="BT1121" s="1">
        <v>1157</v>
      </c>
      <c r="BU1121" s="1" t="s">
        <v>109</v>
      </c>
      <c r="BV1121" s="1"/>
      <c r="BW1121" s="1"/>
      <c r="BX1121" s="1"/>
      <c r="BY1121" s="1"/>
      <c r="BZ1121" s="1">
        <v>0</v>
      </c>
      <c r="CA1121" s="1" t="s">
        <v>109</v>
      </c>
      <c r="CB1121" s="1" t="s">
        <v>109</v>
      </c>
      <c r="CC1121" s="1" t="s">
        <v>109</v>
      </c>
      <c r="CD1121" s="1" t="s">
        <v>109</v>
      </c>
      <c r="CE1121" s="1" t="s">
        <v>109</v>
      </c>
      <c r="CF1121" s="1" t="s">
        <v>109</v>
      </c>
      <c r="CG1121" s="1" t="s">
        <v>109</v>
      </c>
      <c r="CH1121" s="1" t="s">
        <v>109</v>
      </c>
      <c r="CI1121" s="1" t="s">
        <v>109</v>
      </c>
      <c r="CJ1121" s="1" t="s">
        <v>109</v>
      </c>
      <c r="CK1121" s="1"/>
      <c r="CL1121" s="1">
        <v>0</v>
      </c>
      <c r="CM1121" s="1">
        <v>0</v>
      </c>
      <c r="CN1121" s="1">
        <v>0</v>
      </c>
    </row>
    <row r="1122" spans="1:92" ht="14.25" customHeight="1" x14ac:dyDescent="0.15">
      <c r="A1122" s="1" t="s">
        <v>9095</v>
      </c>
      <c r="B1122" s="1" t="s">
        <v>95</v>
      </c>
      <c r="C1122" s="1" t="s">
        <v>1179</v>
      </c>
      <c r="D1122" s="1"/>
      <c r="E1122" s="1" t="s">
        <v>3009</v>
      </c>
      <c r="F1122" s="1" t="s">
        <v>355</v>
      </c>
      <c r="G1122" s="1" t="s">
        <v>160</v>
      </c>
      <c r="H1122" s="1">
        <v>0</v>
      </c>
      <c r="I1122" s="1" t="s">
        <v>142</v>
      </c>
      <c r="J1122" s="1"/>
      <c r="K1122" s="1" t="s">
        <v>9096</v>
      </c>
      <c r="L1122" s="1"/>
      <c r="M1122" s="1" t="s">
        <v>574</v>
      </c>
      <c r="N1122" s="1">
        <v>1</v>
      </c>
      <c r="O1122" s="1">
        <v>0</v>
      </c>
      <c r="P1122" s="1" t="s">
        <v>103</v>
      </c>
      <c r="Q1122" s="1" t="s">
        <v>104</v>
      </c>
      <c r="R1122" s="1" t="s">
        <v>9097</v>
      </c>
      <c r="S1122" s="1" t="s">
        <v>9098</v>
      </c>
      <c r="T1122" s="1" t="s">
        <v>7821</v>
      </c>
      <c r="U1122" s="1" t="s">
        <v>9099</v>
      </c>
      <c r="V1122" s="1">
        <v>1</v>
      </c>
      <c r="W1122" s="1">
        <v>1</v>
      </c>
      <c r="X1122" s="1">
        <v>0</v>
      </c>
      <c r="Y1122" s="1">
        <v>0</v>
      </c>
      <c r="Z1122" s="1">
        <v>1</v>
      </c>
      <c r="AA1122" s="1" t="s">
        <v>109</v>
      </c>
      <c r="AB1122" s="1" t="s">
        <v>109</v>
      </c>
      <c r="AC1122" s="1" t="s">
        <v>109</v>
      </c>
      <c r="AD1122" s="1">
        <v>1</v>
      </c>
      <c r="AE1122" s="1">
        <v>1</v>
      </c>
      <c r="AF1122" s="1" t="s">
        <v>109</v>
      </c>
      <c r="AG1122" s="1" t="s">
        <v>109</v>
      </c>
      <c r="AH1122" s="1" t="s">
        <v>109</v>
      </c>
      <c r="AI1122" s="1" t="s">
        <v>109</v>
      </c>
      <c r="AJ1122" s="1" t="s">
        <v>109</v>
      </c>
      <c r="AK1122" s="1" t="s">
        <v>109</v>
      </c>
      <c r="AL1122" s="1" t="s">
        <v>109</v>
      </c>
      <c r="AM1122" s="1" t="s">
        <v>109</v>
      </c>
      <c r="AN1122" s="1" t="s">
        <v>109</v>
      </c>
      <c r="AO1122" s="1" t="s">
        <v>109</v>
      </c>
      <c r="AP1122" s="1"/>
      <c r="AQ1122" s="1">
        <v>1</v>
      </c>
      <c r="AR1122" s="1"/>
      <c r="AS1122" s="1" t="s">
        <v>9100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5" t="str">
        <f>HYPERLINK("http://www.d20pfsrd.com/magic/all-spells/s/summon-minor-ally","Summon Minor Ally")</f>
        <v>Summon Minor Ally</v>
      </c>
      <c r="BT1122" s="1">
        <v>1158</v>
      </c>
      <c r="BU1122" s="1" t="s">
        <v>109</v>
      </c>
      <c r="BV1122" s="1"/>
      <c r="BW1122" s="1"/>
      <c r="BX1122" s="1"/>
      <c r="BY1122" s="1"/>
      <c r="BZ1122" s="1">
        <v>0</v>
      </c>
      <c r="CA1122" s="1" t="s">
        <v>109</v>
      </c>
      <c r="CB1122" s="1" t="s">
        <v>109</v>
      </c>
      <c r="CC1122" s="1" t="s">
        <v>109</v>
      </c>
      <c r="CD1122" s="1" t="s">
        <v>109</v>
      </c>
      <c r="CE1122" s="1" t="s">
        <v>109</v>
      </c>
      <c r="CF1122" s="1" t="s">
        <v>109</v>
      </c>
      <c r="CG1122" s="1" t="s">
        <v>109</v>
      </c>
      <c r="CH1122" s="1" t="s">
        <v>109</v>
      </c>
      <c r="CI1122" s="1" t="s">
        <v>109</v>
      </c>
      <c r="CJ1122" s="1">
        <v>1</v>
      </c>
      <c r="CK1122" s="1"/>
      <c r="CL1122" s="1">
        <v>0</v>
      </c>
      <c r="CM1122" s="1">
        <v>0</v>
      </c>
      <c r="CN1122" s="1">
        <v>0</v>
      </c>
    </row>
    <row r="1123" spans="1:92" ht="14.25" customHeight="1" x14ac:dyDescent="0.15">
      <c r="A1123" s="1" t="s">
        <v>9101</v>
      </c>
      <c r="B1123" s="1" t="s">
        <v>95</v>
      </c>
      <c r="C1123" s="1" t="s">
        <v>1179</v>
      </c>
      <c r="D1123" s="1"/>
      <c r="E1123" s="1" t="s">
        <v>9102</v>
      </c>
      <c r="F1123" s="1" t="s">
        <v>355</v>
      </c>
      <c r="G1123" s="1" t="s">
        <v>4780</v>
      </c>
      <c r="H1123" s="1">
        <v>0</v>
      </c>
      <c r="I1123" s="1" t="s">
        <v>142</v>
      </c>
      <c r="J1123" s="1"/>
      <c r="K1123" s="1" t="s">
        <v>9096</v>
      </c>
      <c r="L1123" s="1"/>
      <c r="M1123" s="1" t="s">
        <v>574</v>
      </c>
      <c r="N1123" s="1">
        <v>1</v>
      </c>
      <c r="O1123" s="1">
        <v>0</v>
      </c>
      <c r="P1123" s="1" t="s">
        <v>103</v>
      </c>
      <c r="Q1123" s="1" t="s">
        <v>104</v>
      </c>
      <c r="R1123" s="1" t="s">
        <v>9103</v>
      </c>
      <c r="S1123" s="1" t="s">
        <v>9104</v>
      </c>
      <c r="T1123" s="1" t="s">
        <v>7821</v>
      </c>
      <c r="U1123" s="1" t="s">
        <v>9105</v>
      </c>
      <c r="V1123" s="1">
        <v>1</v>
      </c>
      <c r="W1123" s="1">
        <v>1</v>
      </c>
      <c r="X1123" s="1">
        <v>0</v>
      </c>
      <c r="Y1123" s="1">
        <v>0</v>
      </c>
      <c r="Z1123" s="1">
        <v>1</v>
      </c>
      <c r="AA1123" s="1">
        <v>1</v>
      </c>
      <c r="AB1123" s="1">
        <v>1</v>
      </c>
      <c r="AC1123" s="1">
        <v>1</v>
      </c>
      <c r="AD1123" s="1" t="s">
        <v>109</v>
      </c>
      <c r="AE1123" s="1" t="s">
        <v>109</v>
      </c>
      <c r="AF1123" s="1">
        <v>1</v>
      </c>
      <c r="AG1123" s="1" t="s">
        <v>109</v>
      </c>
      <c r="AH1123" s="1" t="s">
        <v>109</v>
      </c>
      <c r="AI1123" s="1">
        <v>1</v>
      </c>
      <c r="AJ1123" s="1">
        <v>1</v>
      </c>
      <c r="AK1123" s="1" t="s">
        <v>109</v>
      </c>
      <c r="AL1123" s="1">
        <v>1</v>
      </c>
      <c r="AM1123" s="1">
        <v>1</v>
      </c>
      <c r="AN1123" s="1" t="s">
        <v>109</v>
      </c>
      <c r="AO1123" s="1" t="s">
        <v>109</v>
      </c>
      <c r="AP1123" s="1"/>
      <c r="AQ1123" s="1">
        <v>1</v>
      </c>
      <c r="AR1123" s="1"/>
      <c r="AS1123" s="1" t="s">
        <v>9100</v>
      </c>
      <c r="AT1123" s="1">
        <v>0</v>
      </c>
      <c r="AU1123" s="1">
        <v>0</v>
      </c>
      <c r="AV1123" s="1">
        <v>0</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5" t="str">
        <f>HYPERLINK("http://www.d20pfsrd.com/magic/all-spells/s/summon-minor-monster","Summon Minor Monster")</f>
        <v>Summon Minor Monster</v>
      </c>
      <c r="BT1123" s="1">
        <v>1159</v>
      </c>
      <c r="BU1123" s="1" t="s">
        <v>109</v>
      </c>
      <c r="BV1123" s="1"/>
      <c r="BW1123" s="1"/>
      <c r="BX1123" s="1"/>
      <c r="BY1123" s="1"/>
      <c r="BZ1123" s="1">
        <v>0</v>
      </c>
      <c r="CA1123" s="1" t="s">
        <v>109</v>
      </c>
      <c r="CB1123" s="1" t="s">
        <v>109</v>
      </c>
      <c r="CC1123" s="1">
        <v>1</v>
      </c>
      <c r="CD1123" s="1" t="s">
        <v>109</v>
      </c>
      <c r="CE1123" s="1" t="s">
        <v>109</v>
      </c>
      <c r="CF1123" s="1" t="s">
        <v>109</v>
      </c>
      <c r="CG1123" s="1" t="s">
        <v>109</v>
      </c>
      <c r="CH1123" s="1" t="s">
        <v>109</v>
      </c>
      <c r="CI1123" s="1" t="s">
        <v>109</v>
      </c>
      <c r="CJ1123" s="1" t="s">
        <v>109</v>
      </c>
      <c r="CK1123" s="1"/>
      <c r="CL1123" s="1">
        <v>0</v>
      </c>
      <c r="CM1123" s="1">
        <v>0</v>
      </c>
      <c r="CN1123" s="1">
        <v>0</v>
      </c>
    </row>
    <row r="1124" spans="1:92" ht="14.25" customHeight="1" x14ac:dyDescent="0.15">
      <c r="A1124" s="1" t="s">
        <v>9106</v>
      </c>
      <c r="B1124" s="1" t="s">
        <v>242</v>
      </c>
      <c r="C1124" s="1"/>
      <c r="D1124" s="1"/>
      <c r="E1124" s="1" t="s">
        <v>9107</v>
      </c>
      <c r="F1124" s="1" t="s">
        <v>98</v>
      </c>
      <c r="G1124" s="1" t="s">
        <v>141</v>
      </c>
      <c r="H1124" s="1">
        <v>0</v>
      </c>
      <c r="I1124" s="1" t="s">
        <v>236</v>
      </c>
      <c r="J1124" s="1"/>
      <c r="K1124" s="1"/>
      <c r="L1124" s="1" t="s">
        <v>235</v>
      </c>
      <c r="M1124" s="1" t="s">
        <v>125</v>
      </c>
      <c r="N1124" s="1">
        <v>0</v>
      </c>
      <c r="O1124" s="1">
        <v>0</v>
      </c>
      <c r="P1124" s="1"/>
      <c r="Q1124" s="1"/>
      <c r="R1124" s="1" t="s">
        <v>9108</v>
      </c>
      <c r="S1124" s="1" t="s">
        <v>9109</v>
      </c>
      <c r="T1124" s="1" t="s">
        <v>7821</v>
      </c>
      <c r="U1124" s="1" t="s">
        <v>9110</v>
      </c>
      <c r="V1124" s="1">
        <v>1</v>
      </c>
      <c r="W1124" s="1">
        <v>1</v>
      </c>
      <c r="X1124" s="1">
        <v>0</v>
      </c>
      <c r="Y1124" s="1">
        <v>0</v>
      </c>
      <c r="Z1124" s="1">
        <v>0</v>
      </c>
      <c r="AA1124" s="1" t="s">
        <v>109</v>
      </c>
      <c r="AB1124" s="1" t="s">
        <v>109</v>
      </c>
      <c r="AC1124" s="1">
        <v>2</v>
      </c>
      <c r="AD1124" s="1" t="s">
        <v>109</v>
      </c>
      <c r="AE1124" s="1" t="s">
        <v>109</v>
      </c>
      <c r="AF1124" s="1" t="s">
        <v>109</v>
      </c>
      <c r="AG1124" s="1" t="s">
        <v>109</v>
      </c>
      <c r="AH1124" s="1" t="s">
        <v>109</v>
      </c>
      <c r="AI1124" s="1" t="s">
        <v>109</v>
      </c>
      <c r="AJ1124" s="1" t="s">
        <v>109</v>
      </c>
      <c r="AK1124" s="1">
        <v>2</v>
      </c>
      <c r="AL1124" s="1">
        <v>2</v>
      </c>
      <c r="AM1124" s="1" t="s">
        <v>109</v>
      </c>
      <c r="AN1124" s="1" t="s">
        <v>109</v>
      </c>
      <c r="AO1124" s="1" t="s">
        <v>109</v>
      </c>
      <c r="AP1124" s="1"/>
      <c r="AQ1124" s="1">
        <v>2</v>
      </c>
      <c r="AR1124" s="1"/>
      <c r="AS1124" s="1" t="s">
        <v>9111</v>
      </c>
      <c r="AT1124" s="1">
        <v>0</v>
      </c>
      <c r="AU1124" s="1">
        <v>0</v>
      </c>
      <c r="AV1124" s="1">
        <v>0</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5" t="str">
        <f>HYPERLINK("http://www.d20pfsrd.com/magic/all-spells/s/surmount-affliction","Surmount Affliction")</f>
        <v>Surmount Affliction</v>
      </c>
      <c r="BT1124" s="1">
        <v>1160</v>
      </c>
      <c r="BU1124" s="1" t="s">
        <v>109</v>
      </c>
      <c r="BV1124" s="1" t="s">
        <v>9112</v>
      </c>
      <c r="BW1124" s="1"/>
      <c r="BX1124" s="1" t="s">
        <v>9113</v>
      </c>
      <c r="BY1124" s="1" t="s">
        <v>9114</v>
      </c>
      <c r="BZ1124" s="1">
        <v>1</v>
      </c>
      <c r="CA1124" s="1" t="s">
        <v>109</v>
      </c>
      <c r="CB1124" s="1" t="s">
        <v>109</v>
      </c>
      <c r="CC1124" s="1" t="s">
        <v>109</v>
      </c>
      <c r="CD1124" s="1" t="s">
        <v>109</v>
      </c>
      <c r="CE1124" s="1" t="s">
        <v>109</v>
      </c>
      <c r="CF1124" s="1" t="s">
        <v>109</v>
      </c>
      <c r="CG1124" s="1">
        <v>2</v>
      </c>
      <c r="CH1124" s="1" t="s">
        <v>109</v>
      </c>
      <c r="CI1124" s="1" t="s">
        <v>109</v>
      </c>
      <c r="CJ1124" s="1" t="s">
        <v>109</v>
      </c>
      <c r="CK1124" s="1"/>
      <c r="CL1124" s="1">
        <v>0</v>
      </c>
      <c r="CM1124" s="1">
        <v>0</v>
      </c>
      <c r="CN1124" s="1">
        <v>0</v>
      </c>
    </row>
    <row r="1125" spans="1:92" ht="14.25" customHeight="1" x14ac:dyDescent="0.15">
      <c r="A1125" s="1" t="s">
        <v>9115</v>
      </c>
      <c r="B1125" s="1" t="s">
        <v>95</v>
      </c>
      <c r="C1125" s="1" t="s">
        <v>694</v>
      </c>
      <c r="D1125" s="1"/>
      <c r="E1125" s="1" t="s">
        <v>9116</v>
      </c>
      <c r="F1125" s="1" t="s">
        <v>395</v>
      </c>
      <c r="G1125" s="1" t="s">
        <v>9117</v>
      </c>
      <c r="H1125" s="1">
        <v>1</v>
      </c>
      <c r="I1125" s="1" t="s">
        <v>4917</v>
      </c>
      <c r="J1125" s="1"/>
      <c r="K1125" s="1" t="s">
        <v>4918</v>
      </c>
      <c r="L1125" s="1"/>
      <c r="M1125" s="1" t="s">
        <v>211</v>
      </c>
      <c r="N1125" s="1">
        <v>0</v>
      </c>
      <c r="O1125" s="1">
        <v>0</v>
      </c>
      <c r="P1125" s="1" t="s">
        <v>9118</v>
      </c>
      <c r="Q1125" s="1" t="s">
        <v>9119</v>
      </c>
      <c r="R1125" s="1" t="s">
        <v>9120</v>
      </c>
      <c r="S1125" s="1" t="s">
        <v>9121</v>
      </c>
      <c r="T1125" s="1" t="s">
        <v>7821</v>
      </c>
      <c r="U1125" s="1" t="s">
        <v>9122</v>
      </c>
      <c r="V1125" s="1">
        <v>1</v>
      </c>
      <c r="W1125" s="1">
        <v>1</v>
      </c>
      <c r="X1125" s="1">
        <v>1</v>
      </c>
      <c r="Y1125" s="1">
        <v>0</v>
      </c>
      <c r="Z1125" s="1">
        <v>0</v>
      </c>
      <c r="AA1125" s="1" t="s">
        <v>109</v>
      </c>
      <c r="AB1125" s="1" t="s">
        <v>109</v>
      </c>
      <c r="AC1125" s="1">
        <v>3</v>
      </c>
      <c r="AD1125" s="1" t="s">
        <v>109</v>
      </c>
      <c r="AE1125" s="1" t="s">
        <v>109</v>
      </c>
      <c r="AF1125" s="1" t="s">
        <v>109</v>
      </c>
      <c r="AG1125" s="1">
        <v>4</v>
      </c>
      <c r="AH1125" s="1" t="s">
        <v>109</v>
      </c>
      <c r="AI1125" s="1" t="s">
        <v>109</v>
      </c>
      <c r="AJ1125" s="1">
        <v>4</v>
      </c>
      <c r="AK1125" s="1" t="s">
        <v>109</v>
      </c>
      <c r="AL1125" s="1">
        <v>3</v>
      </c>
      <c r="AM1125" s="1" t="s">
        <v>109</v>
      </c>
      <c r="AN1125" s="1" t="s">
        <v>109</v>
      </c>
      <c r="AO1125" s="1" t="s">
        <v>109</v>
      </c>
      <c r="AP1125" s="1"/>
      <c r="AQ1125" s="1">
        <v>3</v>
      </c>
      <c r="AR1125" s="1"/>
      <c r="AS1125" s="1" t="s">
        <v>9123</v>
      </c>
      <c r="AT1125" s="1">
        <v>0</v>
      </c>
      <c r="AU1125" s="1">
        <v>0</v>
      </c>
      <c r="AV1125" s="1">
        <v>0</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5" t="str">
        <f>HYPERLINK("http://www.d20pfsrd.com/magic/all-spells/s/symbol-of-healing","Symbol of Healing")</f>
        <v>Symbol of Healing</v>
      </c>
      <c r="BT1125" s="1">
        <v>1161</v>
      </c>
      <c r="BU1125" s="1">
        <v>500</v>
      </c>
      <c r="BV1125" s="1"/>
      <c r="BW1125" s="1"/>
      <c r="BX1125" s="1"/>
      <c r="BY1125" s="1"/>
      <c r="BZ1125" s="1">
        <v>0</v>
      </c>
      <c r="CA1125" s="1" t="s">
        <v>109</v>
      </c>
      <c r="CB1125" s="1" t="s">
        <v>109</v>
      </c>
      <c r="CC1125" s="1" t="s">
        <v>109</v>
      </c>
      <c r="CD1125" s="1" t="s">
        <v>109</v>
      </c>
      <c r="CE1125" s="1" t="s">
        <v>109</v>
      </c>
      <c r="CF1125" s="1">
        <v>3</v>
      </c>
      <c r="CG1125" s="1" t="s">
        <v>109</v>
      </c>
      <c r="CH1125" s="1" t="s">
        <v>109</v>
      </c>
      <c r="CI1125" s="1" t="s">
        <v>109</v>
      </c>
      <c r="CJ1125" s="1" t="s">
        <v>109</v>
      </c>
      <c r="CK1125" s="1"/>
      <c r="CL1125" s="1">
        <v>0</v>
      </c>
      <c r="CM1125" s="1">
        <v>0</v>
      </c>
      <c r="CN1125" s="1">
        <v>0</v>
      </c>
    </row>
    <row r="1126" spans="1:92" ht="14.25" customHeight="1" x14ac:dyDescent="0.15">
      <c r="A1126" s="1" t="s">
        <v>9124</v>
      </c>
      <c r="B1126" s="1" t="s">
        <v>674</v>
      </c>
      <c r="C1126" s="1" t="s">
        <v>2300</v>
      </c>
      <c r="D1126" s="1"/>
      <c r="E1126" s="1" t="s">
        <v>9125</v>
      </c>
      <c r="F1126" s="1" t="s">
        <v>395</v>
      </c>
      <c r="G1126" s="1" t="s">
        <v>9126</v>
      </c>
      <c r="H1126" s="1">
        <v>1</v>
      </c>
      <c r="I1126" s="1" t="s">
        <v>4917</v>
      </c>
      <c r="J1126" s="1"/>
      <c r="K1126" s="1" t="s">
        <v>4918</v>
      </c>
      <c r="L1126" s="1"/>
      <c r="M1126" s="1" t="s">
        <v>211</v>
      </c>
      <c r="N1126" s="1">
        <v>0</v>
      </c>
      <c r="O1126" s="1">
        <v>0</v>
      </c>
      <c r="P1126" s="1" t="s">
        <v>9127</v>
      </c>
      <c r="Q1126" s="1" t="s">
        <v>268</v>
      </c>
      <c r="R1126" s="1" t="s">
        <v>9128</v>
      </c>
      <c r="S1126" s="1" t="s">
        <v>9129</v>
      </c>
      <c r="T1126" s="1" t="s">
        <v>7821</v>
      </c>
      <c r="U1126" s="1" t="s">
        <v>9130</v>
      </c>
      <c r="V1126" s="1">
        <v>1</v>
      </c>
      <c r="W1126" s="1">
        <v>1</v>
      </c>
      <c r="X1126" s="1">
        <v>1</v>
      </c>
      <c r="Y1126" s="1">
        <v>0</v>
      </c>
      <c r="Z1126" s="1">
        <v>0</v>
      </c>
      <c r="AA1126" s="1">
        <v>2</v>
      </c>
      <c r="AB1126" s="1">
        <v>2</v>
      </c>
      <c r="AC1126" s="1" t="s">
        <v>109</v>
      </c>
      <c r="AD1126" s="1" t="s">
        <v>109</v>
      </c>
      <c r="AE1126" s="1" t="s">
        <v>109</v>
      </c>
      <c r="AF1126" s="1" t="s">
        <v>109</v>
      </c>
      <c r="AG1126" s="1" t="s">
        <v>109</v>
      </c>
      <c r="AH1126" s="1" t="s">
        <v>109</v>
      </c>
      <c r="AI1126" s="1" t="s">
        <v>109</v>
      </c>
      <c r="AJ1126" s="1">
        <v>2</v>
      </c>
      <c r="AK1126" s="1" t="s">
        <v>109</v>
      </c>
      <c r="AL1126" s="1" t="s">
        <v>109</v>
      </c>
      <c r="AM1126" s="1" t="s">
        <v>109</v>
      </c>
      <c r="AN1126" s="1" t="s">
        <v>109</v>
      </c>
      <c r="AO1126" s="1" t="s">
        <v>109</v>
      </c>
      <c r="AP1126" s="1"/>
      <c r="AQ1126" s="1">
        <v>2</v>
      </c>
      <c r="AR1126" s="1"/>
      <c r="AS1126" s="1" t="s">
        <v>9131</v>
      </c>
      <c r="AT1126" s="1">
        <v>0</v>
      </c>
      <c r="AU1126" s="1">
        <v>0</v>
      </c>
      <c r="AV1126" s="1">
        <v>0</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5" t="str">
        <f>HYPERLINK("http://www.d20pfsrd.com/magic/all-spells/s/symbol-of-mirroring","Symbol of Mirroring")</f>
        <v>Symbol of Mirroring</v>
      </c>
      <c r="BT1126" s="1">
        <v>1162</v>
      </c>
      <c r="BU1126" s="1">
        <v>100</v>
      </c>
      <c r="BV1126" s="1"/>
      <c r="BW1126" s="1"/>
      <c r="BX1126" s="1"/>
      <c r="BY1126" s="1"/>
      <c r="BZ1126" s="1">
        <v>0</v>
      </c>
      <c r="CA1126" s="1" t="s">
        <v>109</v>
      </c>
      <c r="CB1126" s="1" t="s">
        <v>109</v>
      </c>
      <c r="CC1126" s="1" t="s">
        <v>109</v>
      </c>
      <c r="CD1126" s="1" t="s">
        <v>109</v>
      </c>
      <c r="CE1126" s="1">
        <v>2</v>
      </c>
      <c r="CF1126" s="1">
        <v>2</v>
      </c>
      <c r="CG1126" s="1" t="s">
        <v>109</v>
      </c>
      <c r="CH1126" s="1" t="s">
        <v>109</v>
      </c>
      <c r="CI1126" s="1" t="s">
        <v>109</v>
      </c>
      <c r="CJ1126" s="1" t="s">
        <v>109</v>
      </c>
      <c r="CK1126" s="1"/>
      <c r="CL1126" s="1">
        <v>0</v>
      </c>
      <c r="CM1126" s="1">
        <v>0</v>
      </c>
      <c r="CN1126" s="1">
        <v>0</v>
      </c>
    </row>
    <row r="1127" spans="1:92" ht="14.25" customHeight="1" x14ac:dyDescent="0.15">
      <c r="A1127" s="1" t="s">
        <v>9132</v>
      </c>
      <c r="B1127" s="1" t="s">
        <v>254</v>
      </c>
      <c r="C1127" s="1"/>
      <c r="D1127" s="1"/>
      <c r="E1127" s="1" t="s">
        <v>9133</v>
      </c>
      <c r="F1127" s="1" t="s">
        <v>395</v>
      </c>
      <c r="G1127" s="1" t="s">
        <v>9134</v>
      </c>
      <c r="H1127" s="1">
        <v>1</v>
      </c>
      <c r="I1127" s="1" t="s">
        <v>4917</v>
      </c>
      <c r="J1127" s="1"/>
      <c r="K1127" s="1" t="s">
        <v>4918</v>
      </c>
      <c r="L1127" s="1"/>
      <c r="M1127" s="1" t="s">
        <v>211</v>
      </c>
      <c r="N1127" s="1">
        <v>0</v>
      </c>
      <c r="O1127" s="1">
        <v>0</v>
      </c>
      <c r="P1127" s="1" t="s">
        <v>103</v>
      </c>
      <c r="Q1127" s="1" t="s">
        <v>268</v>
      </c>
      <c r="R1127" s="1" t="s">
        <v>9135</v>
      </c>
      <c r="S1127" s="1" t="s">
        <v>9136</v>
      </c>
      <c r="T1127" s="1" t="s">
        <v>7821</v>
      </c>
      <c r="U1127" s="1" t="s">
        <v>9137</v>
      </c>
      <c r="V1127" s="1">
        <v>1</v>
      </c>
      <c r="W1127" s="1">
        <v>1</v>
      </c>
      <c r="X1127" s="1">
        <v>1</v>
      </c>
      <c r="Y1127" s="1">
        <v>0</v>
      </c>
      <c r="Z1127" s="1">
        <v>0</v>
      </c>
      <c r="AA1127" s="1">
        <v>4</v>
      </c>
      <c r="AB1127" s="1">
        <v>4</v>
      </c>
      <c r="AC1127" s="1">
        <v>4</v>
      </c>
      <c r="AD1127" s="1" t="s">
        <v>109</v>
      </c>
      <c r="AE1127" s="1" t="s">
        <v>109</v>
      </c>
      <c r="AF1127" s="1" t="s">
        <v>109</v>
      </c>
      <c r="AG1127" s="1" t="s">
        <v>109</v>
      </c>
      <c r="AH1127" s="1" t="s">
        <v>109</v>
      </c>
      <c r="AI1127" s="1" t="s">
        <v>109</v>
      </c>
      <c r="AJ1127" s="1">
        <v>4</v>
      </c>
      <c r="AK1127" s="1" t="s">
        <v>109</v>
      </c>
      <c r="AL1127" s="1">
        <v>4</v>
      </c>
      <c r="AM1127" s="1" t="s">
        <v>109</v>
      </c>
      <c r="AN1127" s="1" t="s">
        <v>109</v>
      </c>
      <c r="AO1127" s="1" t="s">
        <v>109</v>
      </c>
      <c r="AP1127" s="1"/>
      <c r="AQ1127" s="1">
        <v>4</v>
      </c>
      <c r="AR1127" s="1"/>
      <c r="AS1127" s="1" t="s">
        <v>9138</v>
      </c>
      <c r="AT1127" s="1">
        <v>0</v>
      </c>
      <c r="AU1127" s="1">
        <v>0</v>
      </c>
      <c r="AV1127" s="1">
        <v>0</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5" t="str">
        <f>HYPERLINK("http://www.d20pfsrd.com/magic/all-spells/s/symbol-of-revelation","Symbol of Revelation")</f>
        <v>Symbol of Revelation</v>
      </c>
      <c r="BT1127" s="1">
        <v>1163</v>
      </c>
      <c r="BU1127" s="1">
        <v>1000</v>
      </c>
      <c r="BV1127" s="1"/>
      <c r="BW1127" s="1"/>
      <c r="BX1127" s="1"/>
      <c r="BY1127" s="1"/>
      <c r="BZ1127" s="1">
        <v>0</v>
      </c>
      <c r="CA1127" s="1" t="s">
        <v>109</v>
      </c>
      <c r="CB1127" s="1" t="s">
        <v>109</v>
      </c>
      <c r="CC1127" s="1" t="s">
        <v>109</v>
      </c>
      <c r="CD1127" s="1" t="s">
        <v>109</v>
      </c>
      <c r="CE1127" s="1" t="s">
        <v>109</v>
      </c>
      <c r="CF1127" s="1">
        <v>3</v>
      </c>
      <c r="CG1127" s="1" t="s">
        <v>109</v>
      </c>
      <c r="CH1127" s="1" t="s">
        <v>109</v>
      </c>
      <c r="CI1127" s="1" t="s">
        <v>109</v>
      </c>
      <c r="CJ1127" s="1" t="s">
        <v>109</v>
      </c>
      <c r="CK1127" s="1"/>
      <c r="CL1127" s="1">
        <v>0</v>
      </c>
      <c r="CM1127" s="1">
        <v>0</v>
      </c>
      <c r="CN1127" s="1">
        <v>0</v>
      </c>
    </row>
    <row r="1128" spans="1:92" ht="14.25" customHeight="1" x14ac:dyDescent="0.15">
      <c r="A1128" s="1" t="s">
        <v>9139</v>
      </c>
      <c r="B1128" s="1" t="s">
        <v>254</v>
      </c>
      <c r="C1128" s="1" t="s">
        <v>393</v>
      </c>
      <c r="D1128" s="1"/>
      <c r="E1128" s="1" t="s">
        <v>9140</v>
      </c>
      <c r="F1128" s="1" t="s">
        <v>395</v>
      </c>
      <c r="G1128" s="1" t="s">
        <v>9134</v>
      </c>
      <c r="H1128" s="1">
        <v>1</v>
      </c>
      <c r="I1128" s="1" t="s">
        <v>4917</v>
      </c>
      <c r="J1128" s="1"/>
      <c r="K1128" s="1" t="s">
        <v>4918</v>
      </c>
      <c r="L1128" s="1"/>
      <c r="M1128" s="1" t="s">
        <v>211</v>
      </c>
      <c r="N1128" s="1">
        <v>0</v>
      </c>
      <c r="O1128" s="1">
        <v>0</v>
      </c>
      <c r="P1128" s="1" t="s">
        <v>103</v>
      </c>
      <c r="Q1128" s="1" t="s">
        <v>104</v>
      </c>
      <c r="R1128" s="1" t="s">
        <v>9141</v>
      </c>
      <c r="S1128" s="1" t="s">
        <v>9142</v>
      </c>
      <c r="T1128" s="1" t="s">
        <v>7821</v>
      </c>
      <c r="U1128" s="1" t="s">
        <v>9143</v>
      </c>
      <c r="V1128" s="1">
        <v>1</v>
      </c>
      <c r="W1128" s="1">
        <v>1</v>
      </c>
      <c r="X1128" s="1">
        <v>1</v>
      </c>
      <c r="Y1128" s="1">
        <v>0</v>
      </c>
      <c r="Z1128" s="1">
        <v>0</v>
      </c>
      <c r="AA1128" s="1">
        <v>5</v>
      </c>
      <c r="AB1128" s="1">
        <v>5</v>
      </c>
      <c r="AC1128" s="1">
        <v>5</v>
      </c>
      <c r="AD1128" s="1" t="s">
        <v>109</v>
      </c>
      <c r="AE1128" s="1" t="s">
        <v>109</v>
      </c>
      <c r="AF1128" s="1" t="s">
        <v>109</v>
      </c>
      <c r="AG1128" s="1" t="s">
        <v>109</v>
      </c>
      <c r="AH1128" s="1" t="s">
        <v>109</v>
      </c>
      <c r="AI1128" s="1" t="s">
        <v>109</v>
      </c>
      <c r="AJ1128" s="1">
        <v>5</v>
      </c>
      <c r="AK1128" s="1" t="s">
        <v>109</v>
      </c>
      <c r="AL1128" s="1">
        <v>5</v>
      </c>
      <c r="AM1128" s="1" t="s">
        <v>109</v>
      </c>
      <c r="AN1128" s="1" t="s">
        <v>109</v>
      </c>
      <c r="AO1128" s="1" t="s">
        <v>109</v>
      </c>
      <c r="AP1128" s="1"/>
      <c r="AQ1128" s="1">
        <v>5</v>
      </c>
      <c r="AR1128" s="1"/>
      <c r="AS1128" s="1" t="s">
        <v>9144</v>
      </c>
      <c r="AT1128" s="1">
        <v>0</v>
      </c>
      <c r="AU1128" s="1">
        <v>0</v>
      </c>
      <c r="AV1128" s="1">
        <v>0</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5" t="str">
        <f>HYPERLINK("http://www.d20pfsrd.com/magic/all-spells/s/symbol-of-scrying","Symbol of Scrying")</f>
        <v>Symbol of Scrying</v>
      </c>
      <c r="BT1128" s="1">
        <v>1164</v>
      </c>
      <c r="BU1128" s="1">
        <v>1000</v>
      </c>
      <c r="BV1128" s="1"/>
      <c r="BW1128" s="1"/>
      <c r="BX1128" s="1"/>
      <c r="BY1128" s="1"/>
      <c r="BZ1128" s="1">
        <v>0</v>
      </c>
      <c r="CA1128" s="1" t="s">
        <v>109</v>
      </c>
      <c r="CB1128" s="1" t="s">
        <v>109</v>
      </c>
      <c r="CC1128" s="1" t="s">
        <v>109</v>
      </c>
      <c r="CD1128" s="1" t="s">
        <v>109</v>
      </c>
      <c r="CE1128" s="1" t="s">
        <v>109</v>
      </c>
      <c r="CF1128" s="1">
        <v>4</v>
      </c>
      <c r="CG1128" s="1" t="s">
        <v>109</v>
      </c>
      <c r="CH1128" s="1" t="s">
        <v>109</v>
      </c>
      <c r="CI1128" s="1" t="s">
        <v>109</v>
      </c>
      <c r="CJ1128" s="1" t="s">
        <v>109</v>
      </c>
      <c r="CK1128" s="1"/>
      <c r="CL1128" s="1">
        <v>0</v>
      </c>
      <c r="CM1128" s="1">
        <v>0</v>
      </c>
      <c r="CN1128" s="1">
        <v>0</v>
      </c>
    </row>
    <row r="1129" spans="1:92" ht="14.25" customHeight="1" x14ac:dyDescent="0.15">
      <c r="A1129" s="1" t="s">
        <v>9145</v>
      </c>
      <c r="B1129" s="1" t="s">
        <v>242</v>
      </c>
      <c r="C1129" s="1"/>
      <c r="D1129" s="1" t="s">
        <v>60</v>
      </c>
      <c r="E1129" s="1" t="s">
        <v>4926</v>
      </c>
      <c r="F1129" s="1" t="s">
        <v>395</v>
      </c>
      <c r="G1129" s="1" t="s">
        <v>9146</v>
      </c>
      <c r="H1129" s="1">
        <v>1</v>
      </c>
      <c r="I1129" s="1" t="s">
        <v>4917</v>
      </c>
      <c r="J1129" s="1"/>
      <c r="K1129" s="1" t="s">
        <v>4918</v>
      </c>
      <c r="L1129" s="1"/>
      <c r="M1129" s="1" t="s">
        <v>408</v>
      </c>
      <c r="N1129" s="1">
        <v>0</v>
      </c>
      <c r="O1129" s="1">
        <v>0</v>
      </c>
      <c r="P1129" s="1" t="s">
        <v>103</v>
      </c>
      <c r="Q1129" s="1" t="s">
        <v>104</v>
      </c>
      <c r="R1129" s="1" t="s">
        <v>9147</v>
      </c>
      <c r="S1129" s="1" t="s">
        <v>9148</v>
      </c>
      <c r="T1129" s="1" t="s">
        <v>7821</v>
      </c>
      <c r="U1129" s="1" t="s">
        <v>9149</v>
      </c>
      <c r="V1129" s="1">
        <v>1</v>
      </c>
      <c r="W1129" s="1">
        <v>1</v>
      </c>
      <c r="X1129" s="1">
        <v>1</v>
      </c>
      <c r="Y1129" s="1">
        <v>0</v>
      </c>
      <c r="Z1129" s="1">
        <v>0</v>
      </c>
      <c r="AA1129" s="1">
        <v>6</v>
      </c>
      <c r="AB1129" s="1">
        <v>6</v>
      </c>
      <c r="AC1129" s="1">
        <v>6</v>
      </c>
      <c r="AD1129" s="1" t="s">
        <v>109</v>
      </c>
      <c r="AE1129" s="1" t="s">
        <v>109</v>
      </c>
      <c r="AF1129" s="1" t="s">
        <v>109</v>
      </c>
      <c r="AG1129" s="1" t="s">
        <v>109</v>
      </c>
      <c r="AH1129" s="1" t="s">
        <v>109</v>
      </c>
      <c r="AI1129" s="1" t="s">
        <v>109</v>
      </c>
      <c r="AJ1129" s="1">
        <v>6</v>
      </c>
      <c r="AK1129" s="1" t="s">
        <v>109</v>
      </c>
      <c r="AL1129" s="1">
        <v>6</v>
      </c>
      <c r="AM1129" s="1" t="s">
        <v>109</v>
      </c>
      <c r="AN1129" s="1" t="s">
        <v>109</v>
      </c>
      <c r="AO1129" s="1" t="s">
        <v>109</v>
      </c>
      <c r="AP1129" s="1"/>
      <c r="AQ1129" s="1">
        <v>6</v>
      </c>
      <c r="AR1129" s="1"/>
      <c r="AS1129" s="1" t="s">
        <v>9150</v>
      </c>
      <c r="AT1129" s="1">
        <v>0</v>
      </c>
      <c r="AU1129" s="1">
        <v>0</v>
      </c>
      <c r="AV1129" s="1">
        <v>0</v>
      </c>
      <c r="AW1129" s="1">
        <v>0</v>
      </c>
      <c r="AX1129" s="1">
        <v>0</v>
      </c>
      <c r="AY1129" s="1">
        <v>0</v>
      </c>
      <c r="AZ1129" s="1">
        <v>0</v>
      </c>
      <c r="BA1129" s="1">
        <v>0</v>
      </c>
      <c r="BB1129" s="1">
        <v>0</v>
      </c>
      <c r="BC1129" s="1">
        <v>0</v>
      </c>
      <c r="BD1129" s="1">
        <v>0</v>
      </c>
      <c r="BE1129" s="1">
        <v>0</v>
      </c>
      <c r="BF1129" s="1">
        <v>0</v>
      </c>
      <c r="BG1129" s="1">
        <v>0</v>
      </c>
      <c r="BH1129" s="1">
        <v>1</v>
      </c>
      <c r="BI1129" s="1">
        <v>0</v>
      </c>
      <c r="BJ1129" s="1">
        <v>0</v>
      </c>
      <c r="BK1129" s="1">
        <v>0</v>
      </c>
      <c r="BL1129" s="1">
        <v>0</v>
      </c>
      <c r="BM1129" s="1">
        <v>0</v>
      </c>
      <c r="BN1129" s="1">
        <v>0</v>
      </c>
      <c r="BO1129" s="1">
        <v>0</v>
      </c>
      <c r="BP1129" s="1">
        <v>0</v>
      </c>
      <c r="BQ1129" s="1">
        <v>0</v>
      </c>
      <c r="BR1129" s="1">
        <v>0</v>
      </c>
      <c r="BS1129" s="5" t="str">
        <f>HYPERLINK("http://www.d20pfsrd.com/magic/all-spells/s/symbol-of-sealing","Symbol of Sealing")</f>
        <v>Symbol of Sealing</v>
      </c>
      <c r="BT1129" s="1">
        <v>1165</v>
      </c>
      <c r="BU1129" s="1">
        <v>5000</v>
      </c>
      <c r="BV1129" s="1"/>
      <c r="BW1129" s="1"/>
      <c r="BX1129" s="1"/>
      <c r="BY1129" s="1"/>
      <c r="BZ1129" s="1">
        <v>0</v>
      </c>
      <c r="CA1129" s="1" t="s">
        <v>109</v>
      </c>
      <c r="CB1129" s="1" t="s">
        <v>109</v>
      </c>
      <c r="CC1129" s="1" t="s">
        <v>109</v>
      </c>
      <c r="CD1129" s="1" t="s">
        <v>109</v>
      </c>
      <c r="CE1129" s="1" t="s">
        <v>109</v>
      </c>
      <c r="CF1129" s="1">
        <v>4</v>
      </c>
      <c r="CG1129" s="1" t="s">
        <v>109</v>
      </c>
      <c r="CH1129" s="1" t="s">
        <v>109</v>
      </c>
      <c r="CI1129" s="1" t="s">
        <v>109</v>
      </c>
      <c r="CJ1129" s="1" t="s">
        <v>109</v>
      </c>
      <c r="CK1129" s="1"/>
      <c r="CL1129" s="1">
        <v>0</v>
      </c>
      <c r="CM1129" s="1">
        <v>0</v>
      </c>
      <c r="CN1129" s="1">
        <v>0</v>
      </c>
    </row>
    <row r="1130" spans="1:92" ht="14.25" customHeight="1" x14ac:dyDescent="0.15">
      <c r="A1130" s="1" t="s">
        <v>9151</v>
      </c>
      <c r="B1130" s="1" t="s">
        <v>189</v>
      </c>
      <c r="C1130" s="1"/>
      <c r="D1130" s="1"/>
      <c r="E1130" s="1" t="s">
        <v>9133</v>
      </c>
      <c r="F1130" s="1" t="s">
        <v>395</v>
      </c>
      <c r="G1130" s="1" t="s">
        <v>9134</v>
      </c>
      <c r="H1130" s="1">
        <v>1</v>
      </c>
      <c r="I1130" s="1" t="s">
        <v>4917</v>
      </c>
      <c r="J1130" s="1"/>
      <c r="K1130" s="1" t="s">
        <v>4918</v>
      </c>
      <c r="L1130" s="1"/>
      <c r="M1130" s="1" t="s">
        <v>211</v>
      </c>
      <c r="N1130" s="1">
        <v>0</v>
      </c>
      <c r="O1130" s="1">
        <v>0</v>
      </c>
      <c r="P1130" s="1" t="s">
        <v>301</v>
      </c>
      <c r="Q1130" s="1" t="s">
        <v>268</v>
      </c>
      <c r="R1130" s="1" t="s">
        <v>9152</v>
      </c>
      <c r="S1130" s="1" t="s">
        <v>9153</v>
      </c>
      <c r="T1130" s="1" t="s">
        <v>7821</v>
      </c>
      <c r="U1130" s="1" t="s">
        <v>9154</v>
      </c>
      <c r="V1130" s="1">
        <v>1</v>
      </c>
      <c r="W1130" s="1">
        <v>1</v>
      </c>
      <c r="X1130" s="1">
        <v>1</v>
      </c>
      <c r="Y1130" s="1">
        <v>0</v>
      </c>
      <c r="Z1130" s="1">
        <v>0</v>
      </c>
      <c r="AA1130" s="1">
        <v>4</v>
      </c>
      <c r="AB1130" s="1">
        <v>4</v>
      </c>
      <c r="AC1130" s="1">
        <v>4</v>
      </c>
      <c r="AD1130" s="1" t="s">
        <v>109</v>
      </c>
      <c r="AE1130" s="1" t="s">
        <v>109</v>
      </c>
      <c r="AF1130" s="1" t="s">
        <v>109</v>
      </c>
      <c r="AG1130" s="1" t="s">
        <v>109</v>
      </c>
      <c r="AH1130" s="1" t="s">
        <v>109</v>
      </c>
      <c r="AI1130" s="1" t="s">
        <v>109</v>
      </c>
      <c r="AJ1130" s="1">
        <v>4</v>
      </c>
      <c r="AK1130" s="1" t="s">
        <v>109</v>
      </c>
      <c r="AL1130" s="1">
        <v>4</v>
      </c>
      <c r="AM1130" s="1" t="s">
        <v>109</v>
      </c>
      <c r="AN1130" s="1" t="s">
        <v>109</v>
      </c>
      <c r="AO1130" s="1" t="s">
        <v>109</v>
      </c>
      <c r="AP1130" s="1"/>
      <c r="AQ1130" s="1">
        <v>4</v>
      </c>
      <c r="AR1130" s="1"/>
      <c r="AS1130" s="1" t="s">
        <v>9155</v>
      </c>
      <c r="AT1130" s="1">
        <v>0</v>
      </c>
      <c r="AU1130" s="1">
        <v>0</v>
      </c>
      <c r="AV1130" s="1">
        <v>0</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5" t="str">
        <f>HYPERLINK("http://www.d20pfsrd.com/magic/all-spells/s/symbol-of-slowing","Symbol of Slowing")</f>
        <v>Symbol of Slowing</v>
      </c>
      <c r="BT1130" s="1">
        <v>1166</v>
      </c>
      <c r="BU1130" s="1">
        <v>1000</v>
      </c>
      <c r="BV1130" s="1"/>
      <c r="BW1130" s="1"/>
      <c r="BX1130" s="1"/>
      <c r="BY1130" s="1"/>
      <c r="BZ1130" s="1">
        <v>0</v>
      </c>
      <c r="CA1130" s="1" t="s">
        <v>109</v>
      </c>
      <c r="CB1130" s="1" t="s">
        <v>109</v>
      </c>
      <c r="CC1130" s="1" t="s">
        <v>109</v>
      </c>
      <c r="CD1130" s="1" t="s">
        <v>109</v>
      </c>
      <c r="CE1130" s="1" t="s">
        <v>109</v>
      </c>
      <c r="CF1130" s="1">
        <v>3</v>
      </c>
      <c r="CG1130" s="1" t="s">
        <v>109</v>
      </c>
      <c r="CH1130" s="1" t="s">
        <v>109</v>
      </c>
      <c r="CI1130" s="1" t="s">
        <v>109</v>
      </c>
      <c r="CJ1130" s="1" t="s">
        <v>109</v>
      </c>
      <c r="CK1130" s="1"/>
      <c r="CL1130" s="1">
        <v>0</v>
      </c>
      <c r="CM1130" s="1">
        <v>0</v>
      </c>
      <c r="CN1130" s="1">
        <v>0</v>
      </c>
    </row>
    <row r="1131" spans="1:92" ht="14.25" customHeight="1" x14ac:dyDescent="0.15">
      <c r="A1131" s="1" t="s">
        <v>9156</v>
      </c>
      <c r="B1131" s="1" t="s">
        <v>156</v>
      </c>
      <c r="C1131" s="1" t="s">
        <v>157</v>
      </c>
      <c r="D1131" s="1" t="s">
        <v>158</v>
      </c>
      <c r="E1131" s="1" t="s">
        <v>9157</v>
      </c>
      <c r="F1131" s="1" t="s">
        <v>395</v>
      </c>
      <c r="G1131" s="1" t="s">
        <v>9158</v>
      </c>
      <c r="H1131" s="1">
        <v>1</v>
      </c>
      <c r="I1131" s="1" t="s">
        <v>4917</v>
      </c>
      <c r="J1131" s="1"/>
      <c r="K1131" s="1" t="s">
        <v>4918</v>
      </c>
      <c r="L1131" s="1"/>
      <c r="M1131" s="1" t="s">
        <v>211</v>
      </c>
      <c r="N1131" s="1">
        <v>0</v>
      </c>
      <c r="O1131" s="1">
        <v>0</v>
      </c>
      <c r="P1131" s="1" t="s">
        <v>301</v>
      </c>
      <c r="Q1131" s="1" t="s">
        <v>268</v>
      </c>
      <c r="R1131" s="1" t="s">
        <v>9159</v>
      </c>
      <c r="S1131" s="1" t="s">
        <v>9160</v>
      </c>
      <c r="T1131" s="1" t="s">
        <v>7821</v>
      </c>
      <c r="U1131" s="1" t="s">
        <v>9161</v>
      </c>
      <c r="V1131" s="1">
        <v>1</v>
      </c>
      <c r="W1131" s="1">
        <v>1</v>
      </c>
      <c r="X1131" s="1">
        <v>1</v>
      </c>
      <c r="Y1131" s="1">
        <v>0</v>
      </c>
      <c r="Z1131" s="1">
        <v>0</v>
      </c>
      <c r="AA1131" s="1">
        <v>9</v>
      </c>
      <c r="AB1131" s="1">
        <v>9</v>
      </c>
      <c r="AC1131" s="1">
        <v>9</v>
      </c>
      <c r="AD1131" s="1" t="s">
        <v>109</v>
      </c>
      <c r="AE1131" s="1" t="s">
        <v>109</v>
      </c>
      <c r="AF1131" s="1" t="s">
        <v>109</v>
      </c>
      <c r="AG1131" s="1" t="s">
        <v>109</v>
      </c>
      <c r="AH1131" s="1" t="s">
        <v>109</v>
      </c>
      <c r="AI1131" s="1" t="s">
        <v>109</v>
      </c>
      <c r="AJ1131" s="1">
        <v>9</v>
      </c>
      <c r="AK1131" s="1" t="s">
        <v>109</v>
      </c>
      <c r="AL1131" s="1">
        <v>9</v>
      </c>
      <c r="AM1131" s="1" t="s">
        <v>109</v>
      </c>
      <c r="AN1131" s="1" t="s">
        <v>109</v>
      </c>
      <c r="AO1131" s="1" t="s">
        <v>109</v>
      </c>
      <c r="AP1131" s="1"/>
      <c r="AQ1131" s="1">
        <v>9</v>
      </c>
      <c r="AR1131" s="1" t="s">
        <v>9162</v>
      </c>
      <c r="AS1131" s="1" t="s">
        <v>9163</v>
      </c>
      <c r="AT1131" s="1">
        <v>0</v>
      </c>
      <c r="AU1131" s="1">
        <v>0</v>
      </c>
      <c r="AV1131" s="1">
        <v>0</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1</v>
      </c>
      <c r="BN1131" s="1">
        <v>0</v>
      </c>
      <c r="BO1131" s="1">
        <v>0</v>
      </c>
      <c r="BP1131" s="1">
        <v>0</v>
      </c>
      <c r="BQ1131" s="1">
        <v>0</v>
      </c>
      <c r="BR1131" s="1">
        <v>0</v>
      </c>
      <c r="BS1131" s="5" t="str">
        <f>HYPERLINK("http://www.d20pfsrd.com/magic/all-spells/s/symbol-of-strife","Symbol of Strife")</f>
        <v>Symbol of Strife</v>
      </c>
      <c r="BT1131" s="1">
        <v>1167</v>
      </c>
      <c r="BU1131" s="1">
        <v>15000</v>
      </c>
      <c r="BV1131" s="1"/>
      <c r="BW1131" s="1"/>
      <c r="BX1131" s="1"/>
      <c r="BY1131" s="1"/>
      <c r="BZ1131" s="1">
        <v>0</v>
      </c>
      <c r="CA1131" s="1" t="s">
        <v>109</v>
      </c>
      <c r="CB1131" s="1" t="s">
        <v>109</v>
      </c>
      <c r="CC1131" s="1" t="s">
        <v>109</v>
      </c>
      <c r="CD1131" s="1" t="s">
        <v>109</v>
      </c>
      <c r="CE1131" s="1" t="s">
        <v>109</v>
      </c>
      <c r="CF1131" s="1">
        <v>6</v>
      </c>
      <c r="CG1131" s="1" t="s">
        <v>109</v>
      </c>
      <c r="CH1131" s="1" t="s">
        <v>109</v>
      </c>
      <c r="CI1131" s="1" t="s">
        <v>109</v>
      </c>
      <c r="CJ1131" s="1" t="s">
        <v>109</v>
      </c>
      <c r="CK1131" s="1"/>
      <c r="CL1131" s="1">
        <v>0</v>
      </c>
      <c r="CM1131" s="1">
        <v>0</v>
      </c>
      <c r="CN1131" s="1">
        <v>0</v>
      </c>
    </row>
    <row r="1132" spans="1:92" ht="14.25" customHeight="1" x14ac:dyDescent="0.15">
      <c r="A1132" s="1" t="s">
        <v>9164</v>
      </c>
      <c r="B1132" s="1" t="s">
        <v>242</v>
      </c>
      <c r="C1132" s="1"/>
      <c r="D1132" s="1"/>
      <c r="E1132" s="1" t="s">
        <v>9157</v>
      </c>
      <c r="F1132" s="1" t="s">
        <v>395</v>
      </c>
      <c r="G1132" s="1" t="s">
        <v>9158</v>
      </c>
      <c r="H1132" s="1">
        <v>1</v>
      </c>
      <c r="I1132" s="1" t="s">
        <v>4917</v>
      </c>
      <c r="J1132" s="1"/>
      <c r="K1132" s="1" t="s">
        <v>4918</v>
      </c>
      <c r="L1132" s="1"/>
      <c r="M1132" s="1" t="s">
        <v>211</v>
      </c>
      <c r="N1132" s="1">
        <v>0</v>
      </c>
      <c r="O1132" s="1">
        <v>0</v>
      </c>
      <c r="P1132" s="1" t="s">
        <v>103</v>
      </c>
      <c r="Q1132" s="1" t="s">
        <v>104</v>
      </c>
      <c r="R1132" s="1" t="s">
        <v>9165</v>
      </c>
      <c r="S1132" s="1" t="s">
        <v>9166</v>
      </c>
      <c r="T1132" s="1" t="s">
        <v>7821</v>
      </c>
      <c r="U1132" s="1" t="s">
        <v>9167</v>
      </c>
      <c r="V1132" s="1">
        <v>1</v>
      </c>
      <c r="W1132" s="1">
        <v>1</v>
      </c>
      <c r="X1132" s="1">
        <v>1</v>
      </c>
      <c r="Y1132" s="1">
        <v>0</v>
      </c>
      <c r="Z1132" s="1">
        <v>0</v>
      </c>
      <c r="AA1132" s="1">
        <v>9</v>
      </c>
      <c r="AB1132" s="1">
        <v>9</v>
      </c>
      <c r="AC1132" s="1">
        <v>9</v>
      </c>
      <c r="AD1132" s="1" t="s">
        <v>109</v>
      </c>
      <c r="AE1132" s="1" t="s">
        <v>109</v>
      </c>
      <c r="AF1132" s="1" t="s">
        <v>109</v>
      </c>
      <c r="AG1132" s="1" t="s">
        <v>109</v>
      </c>
      <c r="AH1132" s="1" t="s">
        <v>109</v>
      </c>
      <c r="AI1132" s="1" t="s">
        <v>109</v>
      </c>
      <c r="AJ1132" s="1">
        <v>9</v>
      </c>
      <c r="AK1132" s="1" t="s">
        <v>109</v>
      </c>
      <c r="AL1132" s="1">
        <v>9</v>
      </c>
      <c r="AM1132" s="1" t="s">
        <v>109</v>
      </c>
      <c r="AN1132" s="1" t="s">
        <v>109</v>
      </c>
      <c r="AO1132" s="1" t="s">
        <v>109</v>
      </c>
      <c r="AP1132" s="1"/>
      <c r="AQ1132" s="1">
        <v>9</v>
      </c>
      <c r="AR1132" s="1"/>
      <c r="AS1132" s="1" t="s">
        <v>9168</v>
      </c>
      <c r="AT1132" s="1">
        <v>0</v>
      </c>
      <c r="AU1132" s="1">
        <v>0</v>
      </c>
      <c r="AV1132" s="1">
        <v>0</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5" t="str">
        <f>HYPERLINK("http://www.d20pfsrd.com/magic/all-spells/s/symbol-of-vulnerability","Symbol of Vulnerability")</f>
        <v>Symbol of Vulnerability</v>
      </c>
      <c r="BT1132" s="1">
        <v>1168</v>
      </c>
      <c r="BU1132" s="1">
        <v>15000</v>
      </c>
      <c r="BV1132" s="1"/>
      <c r="BW1132" s="1"/>
      <c r="BX1132" s="1"/>
      <c r="BY1132" s="1"/>
      <c r="BZ1132" s="1">
        <v>0</v>
      </c>
      <c r="CA1132" s="1" t="s">
        <v>109</v>
      </c>
      <c r="CB1132" s="1" t="s">
        <v>109</v>
      </c>
      <c r="CC1132" s="1" t="s">
        <v>109</v>
      </c>
      <c r="CD1132" s="1" t="s">
        <v>109</v>
      </c>
      <c r="CE1132" s="1" t="s">
        <v>109</v>
      </c>
      <c r="CF1132" s="1">
        <v>6</v>
      </c>
      <c r="CG1132" s="1" t="s">
        <v>109</v>
      </c>
      <c r="CH1132" s="1" t="s">
        <v>109</v>
      </c>
      <c r="CI1132" s="1" t="s">
        <v>109</v>
      </c>
      <c r="CJ1132" s="1" t="s">
        <v>109</v>
      </c>
      <c r="CK1132" s="1"/>
      <c r="CL1132" s="1">
        <v>0</v>
      </c>
      <c r="CM1132" s="1">
        <v>0</v>
      </c>
      <c r="CN1132" s="1">
        <v>0</v>
      </c>
    </row>
    <row r="1133" spans="1:92" ht="14.25" customHeight="1" x14ac:dyDescent="0.15">
      <c r="A1133" s="1" t="s">
        <v>9169</v>
      </c>
      <c r="B1133" s="1" t="s">
        <v>189</v>
      </c>
      <c r="C1133" s="1"/>
      <c r="D1133" s="1"/>
      <c r="E1133" s="1" t="s">
        <v>4527</v>
      </c>
      <c r="F1133" s="1" t="s">
        <v>98</v>
      </c>
      <c r="G1133" s="1" t="s">
        <v>9170</v>
      </c>
      <c r="H1133" s="1">
        <v>0</v>
      </c>
      <c r="I1133" s="1" t="s">
        <v>142</v>
      </c>
      <c r="J1133" s="1"/>
      <c r="K1133" s="1" t="s">
        <v>9171</v>
      </c>
      <c r="L1133" s="1"/>
      <c r="M1133" s="1" t="s">
        <v>144</v>
      </c>
      <c r="N1133" s="1">
        <v>0</v>
      </c>
      <c r="O1133" s="1">
        <v>0</v>
      </c>
      <c r="P1133" s="1" t="s">
        <v>103</v>
      </c>
      <c r="Q1133" s="1" t="s">
        <v>104</v>
      </c>
      <c r="R1133" s="1" t="s">
        <v>9172</v>
      </c>
      <c r="S1133" s="1" t="s">
        <v>9173</v>
      </c>
      <c r="T1133" s="1" t="s">
        <v>7821</v>
      </c>
      <c r="U1133" s="1" t="s">
        <v>9174</v>
      </c>
      <c r="V1133" s="1">
        <v>1</v>
      </c>
      <c r="W1133" s="1">
        <v>1</v>
      </c>
      <c r="X1133" s="1">
        <v>1</v>
      </c>
      <c r="Y1133" s="1">
        <v>0</v>
      </c>
      <c r="Z1133" s="1">
        <v>0</v>
      </c>
      <c r="AA1133" s="1" t="s">
        <v>109</v>
      </c>
      <c r="AB1133" s="1" t="s">
        <v>109</v>
      </c>
      <c r="AC1133" s="1" t="s">
        <v>109</v>
      </c>
      <c r="AD1133" s="1">
        <v>2</v>
      </c>
      <c r="AE1133" s="1" t="s">
        <v>109</v>
      </c>
      <c r="AF1133" s="1" t="s">
        <v>109</v>
      </c>
      <c r="AG1133" s="1" t="s">
        <v>109</v>
      </c>
      <c r="AH1133" s="1" t="s">
        <v>109</v>
      </c>
      <c r="AI1133" s="1" t="s">
        <v>109</v>
      </c>
      <c r="AJ1133" s="1" t="s">
        <v>109</v>
      </c>
      <c r="AK1133" s="1" t="s">
        <v>109</v>
      </c>
      <c r="AL1133" s="1" t="s">
        <v>109</v>
      </c>
      <c r="AM1133" s="1" t="s">
        <v>109</v>
      </c>
      <c r="AN1133" s="1" t="s">
        <v>109</v>
      </c>
      <c r="AO1133" s="1" t="s">
        <v>109</v>
      </c>
      <c r="AP1133" s="1"/>
      <c r="AQ1133" s="1">
        <v>2</v>
      </c>
      <c r="AR1133" s="1"/>
      <c r="AS1133" s="1" t="s">
        <v>9175</v>
      </c>
      <c r="AT1133" s="1">
        <v>0</v>
      </c>
      <c r="AU1133" s="1">
        <v>0</v>
      </c>
      <c r="AV1133" s="1">
        <v>0</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5" t="str">
        <f>HYPERLINK("http://www.d20pfsrd.com/magic/all-spells/t/tar-ball","Tar Ball")</f>
        <v>Tar Ball</v>
      </c>
      <c r="BT1133" s="1">
        <v>1169</v>
      </c>
      <c r="BU1133" s="1" t="s">
        <v>109</v>
      </c>
      <c r="BV1133" s="1"/>
      <c r="BW1133" s="1"/>
      <c r="BX1133" s="1"/>
      <c r="BY1133" s="1"/>
      <c r="BZ1133" s="1">
        <v>0</v>
      </c>
      <c r="CA1133" s="1" t="s">
        <v>109</v>
      </c>
      <c r="CB1133" s="1" t="s">
        <v>109</v>
      </c>
      <c r="CC1133" s="1" t="s">
        <v>109</v>
      </c>
      <c r="CD1133" s="1" t="s">
        <v>109</v>
      </c>
      <c r="CE1133" s="1" t="s">
        <v>109</v>
      </c>
      <c r="CF1133" s="1" t="s">
        <v>109</v>
      </c>
      <c r="CG1133" s="1" t="s">
        <v>109</v>
      </c>
      <c r="CH1133" s="1" t="s">
        <v>109</v>
      </c>
      <c r="CI1133" s="1" t="s">
        <v>109</v>
      </c>
      <c r="CJ1133" s="1">
        <v>2</v>
      </c>
      <c r="CK1133" s="1"/>
      <c r="CL1133" s="1">
        <v>0</v>
      </c>
      <c r="CM1133" s="1">
        <v>0</v>
      </c>
      <c r="CN1133" s="1">
        <v>0</v>
      </c>
    </row>
    <row r="1134" spans="1:92" ht="14.25" customHeight="1" x14ac:dyDescent="0.15">
      <c r="A1134" s="1" t="s">
        <v>9176</v>
      </c>
      <c r="B1134" s="1" t="s">
        <v>308</v>
      </c>
      <c r="C1134" s="1"/>
      <c r="D1134" s="1"/>
      <c r="E1134" s="1" t="s">
        <v>9177</v>
      </c>
      <c r="F1134" s="1" t="s">
        <v>395</v>
      </c>
      <c r="G1134" s="1" t="s">
        <v>9178</v>
      </c>
      <c r="H1134" s="1">
        <v>1</v>
      </c>
      <c r="I1134" s="1" t="s">
        <v>161</v>
      </c>
      <c r="J1134" s="1"/>
      <c r="K1134" s="1"/>
      <c r="L1134" s="1" t="s">
        <v>3910</v>
      </c>
      <c r="M1134" s="1" t="s">
        <v>465</v>
      </c>
      <c r="N1134" s="1">
        <v>0</v>
      </c>
      <c r="O1134" s="1">
        <v>0</v>
      </c>
      <c r="P1134" s="1"/>
      <c r="Q1134" s="1"/>
      <c r="R1134" s="1" t="s">
        <v>9179</v>
      </c>
      <c r="S1134" s="1" t="s">
        <v>9180</v>
      </c>
      <c r="T1134" s="1" t="s">
        <v>7821</v>
      </c>
      <c r="U1134" s="1" t="s">
        <v>9181</v>
      </c>
      <c r="V1134" s="1">
        <v>1</v>
      </c>
      <c r="W1134" s="1">
        <v>1</v>
      </c>
      <c r="X1134" s="1">
        <v>1</v>
      </c>
      <c r="Y1134" s="1">
        <v>0</v>
      </c>
      <c r="Z1134" s="1">
        <v>0</v>
      </c>
      <c r="AA1134" s="1">
        <v>7</v>
      </c>
      <c r="AB1134" s="1">
        <v>7</v>
      </c>
      <c r="AC1134" s="1" t="s">
        <v>109</v>
      </c>
      <c r="AD1134" s="1" t="s">
        <v>109</v>
      </c>
      <c r="AE1134" s="1" t="s">
        <v>109</v>
      </c>
      <c r="AF1134" s="1" t="s">
        <v>109</v>
      </c>
      <c r="AG1134" s="1" t="s">
        <v>109</v>
      </c>
      <c r="AH1134" s="1" t="s">
        <v>109</v>
      </c>
      <c r="AI1134" s="1" t="s">
        <v>109</v>
      </c>
      <c r="AJ1134" s="1">
        <v>7</v>
      </c>
      <c r="AK1134" s="1" t="s">
        <v>109</v>
      </c>
      <c r="AL1134" s="1" t="s">
        <v>109</v>
      </c>
      <c r="AM1134" s="1" t="s">
        <v>109</v>
      </c>
      <c r="AN1134" s="1" t="s">
        <v>109</v>
      </c>
      <c r="AO1134" s="1" t="s">
        <v>109</v>
      </c>
      <c r="AP1134" s="1"/>
      <c r="AQ1134" s="1">
        <v>7</v>
      </c>
      <c r="AR1134" s="1"/>
      <c r="AS1134" s="1" t="s">
        <v>9182</v>
      </c>
      <c r="AT1134" s="1">
        <v>0</v>
      </c>
      <c r="AU1134" s="1">
        <v>0</v>
      </c>
      <c r="AV1134" s="1">
        <v>0</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5" t="str">
        <f>HYPERLINK("http://www.d20pfsrd.com/magic/all-spells/t/temporary-resurrection","Temporary Resurrection")</f>
        <v>Temporary Resurrection</v>
      </c>
      <c r="BT1134" s="1">
        <v>1170</v>
      </c>
      <c r="BU1134" s="1">
        <v>500</v>
      </c>
      <c r="BV1134" s="1"/>
      <c r="BW1134" s="1"/>
      <c r="BX1134" s="1"/>
      <c r="BY1134" s="1"/>
      <c r="BZ1134" s="1">
        <v>0</v>
      </c>
      <c r="CA1134" s="1" t="s">
        <v>109</v>
      </c>
      <c r="CB1134" s="1" t="s">
        <v>109</v>
      </c>
      <c r="CC1134" s="1">
        <v>7</v>
      </c>
      <c r="CD1134" s="1" t="s">
        <v>109</v>
      </c>
      <c r="CE1134" s="1" t="s">
        <v>109</v>
      </c>
      <c r="CF1134" s="1">
        <v>6</v>
      </c>
      <c r="CG1134" s="1" t="s">
        <v>109</v>
      </c>
      <c r="CH1134" s="1" t="s">
        <v>109</v>
      </c>
      <c r="CI1134" s="1" t="s">
        <v>109</v>
      </c>
      <c r="CJ1134" s="1" t="s">
        <v>109</v>
      </c>
      <c r="CK1134" s="1"/>
      <c r="CL1134" s="1">
        <v>0</v>
      </c>
      <c r="CM1134" s="1">
        <v>0</v>
      </c>
      <c r="CN1134" s="1">
        <v>0</v>
      </c>
    </row>
    <row r="1135" spans="1:92" ht="14.25" customHeight="1" x14ac:dyDescent="0.15">
      <c r="A1135" s="1" t="s">
        <v>9183</v>
      </c>
      <c r="B1135" s="1" t="s">
        <v>156</v>
      </c>
      <c r="C1135" s="1" t="s">
        <v>157</v>
      </c>
      <c r="D1135" s="1" t="s">
        <v>8086</v>
      </c>
      <c r="E1135" s="1" t="s">
        <v>9184</v>
      </c>
      <c r="F1135" s="1" t="s">
        <v>98</v>
      </c>
      <c r="G1135" s="1" t="s">
        <v>141</v>
      </c>
      <c r="H1135" s="1">
        <v>0</v>
      </c>
      <c r="I1135" s="1" t="s">
        <v>142</v>
      </c>
      <c r="J1135" s="1"/>
      <c r="K1135" s="1"/>
      <c r="L1135" s="1" t="s">
        <v>9185</v>
      </c>
      <c r="M1135" s="1" t="s">
        <v>125</v>
      </c>
      <c r="N1135" s="1">
        <v>0</v>
      </c>
      <c r="O1135" s="1">
        <v>0</v>
      </c>
      <c r="P1135" s="1" t="s">
        <v>7902</v>
      </c>
      <c r="Q1135" s="1" t="s">
        <v>268</v>
      </c>
      <c r="R1135" s="1" t="s">
        <v>9186</v>
      </c>
      <c r="S1135" s="1" t="s">
        <v>9187</v>
      </c>
      <c r="T1135" s="1" t="s">
        <v>7821</v>
      </c>
      <c r="U1135" s="1" t="s">
        <v>9188</v>
      </c>
      <c r="V1135" s="1">
        <v>1</v>
      </c>
      <c r="W1135" s="1">
        <v>1</v>
      </c>
      <c r="X1135" s="1">
        <v>0</v>
      </c>
      <c r="Y1135" s="1">
        <v>0</v>
      </c>
      <c r="Z1135" s="1">
        <v>0</v>
      </c>
      <c r="AA1135" s="1">
        <v>4</v>
      </c>
      <c r="AB1135" s="1">
        <v>4</v>
      </c>
      <c r="AC1135" s="1">
        <v>4</v>
      </c>
      <c r="AD1135" s="1" t="s">
        <v>109</v>
      </c>
      <c r="AE1135" s="1" t="s">
        <v>109</v>
      </c>
      <c r="AF1135" s="1">
        <v>3</v>
      </c>
      <c r="AG1135" s="1" t="s">
        <v>109</v>
      </c>
      <c r="AH1135" s="1" t="s">
        <v>109</v>
      </c>
      <c r="AI1135" s="1" t="s">
        <v>109</v>
      </c>
      <c r="AJ1135" s="1" t="s">
        <v>109</v>
      </c>
      <c r="AK1135" s="1">
        <v>3</v>
      </c>
      <c r="AL1135" s="1">
        <v>4</v>
      </c>
      <c r="AM1135" s="1" t="s">
        <v>109</v>
      </c>
      <c r="AN1135" s="1" t="s">
        <v>109</v>
      </c>
      <c r="AO1135" s="1" t="s">
        <v>109</v>
      </c>
      <c r="AP1135" s="1"/>
      <c r="AQ1135" s="1">
        <v>4</v>
      </c>
      <c r="AR1135" s="1"/>
      <c r="AS1135" s="1" t="s">
        <v>9189</v>
      </c>
      <c r="AT1135" s="1">
        <v>0</v>
      </c>
      <c r="AU1135" s="1">
        <v>0</v>
      </c>
      <c r="AV1135" s="1">
        <v>0</v>
      </c>
      <c r="AW1135" s="1">
        <v>0</v>
      </c>
      <c r="AX1135" s="1">
        <v>0</v>
      </c>
      <c r="AY1135" s="1">
        <v>0</v>
      </c>
      <c r="AZ1135" s="1">
        <v>0</v>
      </c>
      <c r="BA1135" s="1">
        <v>0</v>
      </c>
      <c r="BB1135" s="1">
        <v>0</v>
      </c>
      <c r="BC1135" s="1">
        <v>0</v>
      </c>
      <c r="BD1135" s="1">
        <v>1</v>
      </c>
      <c r="BE1135" s="1">
        <v>0</v>
      </c>
      <c r="BF1135" s="1">
        <v>0</v>
      </c>
      <c r="BG1135" s="1">
        <v>0</v>
      </c>
      <c r="BH1135" s="1">
        <v>0</v>
      </c>
      <c r="BI1135" s="1">
        <v>0</v>
      </c>
      <c r="BJ1135" s="1">
        <v>0</v>
      </c>
      <c r="BK1135" s="1">
        <v>0</v>
      </c>
      <c r="BL1135" s="1">
        <v>0</v>
      </c>
      <c r="BM1135" s="1">
        <v>1</v>
      </c>
      <c r="BN1135" s="1">
        <v>0</v>
      </c>
      <c r="BO1135" s="1">
        <v>0</v>
      </c>
      <c r="BP1135" s="1">
        <v>0</v>
      </c>
      <c r="BQ1135" s="1">
        <v>0</v>
      </c>
      <c r="BR1135" s="1">
        <v>0</v>
      </c>
      <c r="BS1135" s="5" t="str">
        <f>HYPERLINK("http://www.d20pfsrd.com/magic/all-spells/t/terrible-remorse","Terrible Remorse")</f>
        <v>Terrible Remorse</v>
      </c>
      <c r="BT1135" s="1">
        <v>1171</v>
      </c>
      <c r="BU1135" s="1" t="s">
        <v>109</v>
      </c>
      <c r="BV1135" s="1"/>
      <c r="BW1135" s="1"/>
      <c r="BX1135" s="1"/>
      <c r="BY1135" s="1"/>
      <c r="BZ1135" s="1">
        <v>0</v>
      </c>
      <c r="CA1135" s="1" t="s">
        <v>109</v>
      </c>
      <c r="CB1135" s="1" t="s">
        <v>109</v>
      </c>
      <c r="CC1135" s="1">
        <v>4</v>
      </c>
      <c r="CD1135" s="1" t="s">
        <v>109</v>
      </c>
      <c r="CE1135" s="1">
        <v>3</v>
      </c>
      <c r="CF1135" s="1" t="s">
        <v>109</v>
      </c>
      <c r="CG1135" s="1">
        <v>4</v>
      </c>
      <c r="CH1135" s="1" t="s">
        <v>109</v>
      </c>
      <c r="CI1135" s="1" t="s">
        <v>109</v>
      </c>
      <c r="CJ1135" s="1" t="s">
        <v>109</v>
      </c>
      <c r="CK1135" s="1"/>
      <c r="CL1135" s="1">
        <v>0</v>
      </c>
      <c r="CM1135" s="1">
        <v>0</v>
      </c>
      <c r="CN1135" s="1">
        <v>0</v>
      </c>
    </row>
    <row r="1136" spans="1:92" ht="14.25" customHeight="1" x14ac:dyDescent="0.15">
      <c r="A1136" s="1" t="s">
        <v>9190</v>
      </c>
      <c r="B1136" s="1" t="s">
        <v>95</v>
      </c>
      <c r="C1136" s="1" t="s">
        <v>96</v>
      </c>
      <c r="D1136" s="1" t="s">
        <v>53</v>
      </c>
      <c r="E1136" s="1" t="s">
        <v>9191</v>
      </c>
      <c r="F1136" s="1" t="s">
        <v>98</v>
      </c>
      <c r="G1136" s="1" t="s">
        <v>9192</v>
      </c>
      <c r="H1136" s="1">
        <v>0</v>
      </c>
      <c r="I1136" s="1" t="s">
        <v>161</v>
      </c>
      <c r="J1136" s="1"/>
      <c r="K1136" s="1"/>
      <c r="L1136" s="1" t="s">
        <v>162</v>
      </c>
      <c r="M1136" s="1" t="s">
        <v>144</v>
      </c>
      <c r="N1136" s="1">
        <v>0</v>
      </c>
      <c r="O1136" s="1">
        <v>0</v>
      </c>
      <c r="P1136" s="1" t="s">
        <v>267</v>
      </c>
      <c r="Q1136" s="1" t="s">
        <v>268</v>
      </c>
      <c r="R1136" s="1" t="s">
        <v>9193</v>
      </c>
      <c r="S1136" s="1" t="s">
        <v>9194</v>
      </c>
      <c r="T1136" s="1" t="s">
        <v>7821</v>
      </c>
      <c r="U1136" s="1" t="s">
        <v>9195</v>
      </c>
      <c r="V1136" s="1">
        <v>1</v>
      </c>
      <c r="W1136" s="1">
        <v>1</v>
      </c>
      <c r="X1136" s="1">
        <v>1</v>
      </c>
      <c r="Y1136" s="1">
        <v>0</v>
      </c>
      <c r="Z1136" s="1">
        <v>0</v>
      </c>
      <c r="AA1136" s="1">
        <v>4</v>
      </c>
      <c r="AB1136" s="1">
        <v>4</v>
      </c>
      <c r="AC1136" s="1" t="s">
        <v>109</v>
      </c>
      <c r="AD1136" s="1">
        <v>4</v>
      </c>
      <c r="AE1136" s="1" t="s">
        <v>109</v>
      </c>
      <c r="AF1136" s="1" t="s">
        <v>109</v>
      </c>
      <c r="AG1136" s="1" t="s">
        <v>109</v>
      </c>
      <c r="AH1136" s="1">
        <v>4</v>
      </c>
      <c r="AI1136" s="1" t="s">
        <v>109</v>
      </c>
      <c r="AJ1136" s="1">
        <v>4</v>
      </c>
      <c r="AK1136" s="1" t="s">
        <v>109</v>
      </c>
      <c r="AL1136" s="1" t="s">
        <v>109</v>
      </c>
      <c r="AM1136" s="1" t="s">
        <v>109</v>
      </c>
      <c r="AN1136" s="1" t="s">
        <v>109</v>
      </c>
      <c r="AO1136" s="1" t="s">
        <v>109</v>
      </c>
      <c r="AP1136" s="1"/>
      <c r="AQ1136" s="1">
        <v>4</v>
      </c>
      <c r="AR1136" s="1"/>
      <c r="AS1136" s="1" t="s">
        <v>9196</v>
      </c>
      <c r="AT1136" s="1">
        <v>0</v>
      </c>
      <c r="AU1136" s="1">
        <v>0</v>
      </c>
      <c r="AV1136" s="1">
        <v>0</v>
      </c>
      <c r="AW1136" s="1">
        <v>0</v>
      </c>
      <c r="AX1136" s="1">
        <v>0</v>
      </c>
      <c r="AY1136" s="1">
        <v>0</v>
      </c>
      <c r="AZ1136" s="1">
        <v>0</v>
      </c>
      <c r="BA1136" s="1">
        <v>1</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5" t="str">
        <f>HYPERLINK("http://www.d20pfsrd.com/magic/all-spells/t/touch-of-slime","Touch of Slime")</f>
        <v>Touch of Slime</v>
      </c>
      <c r="BT1136" s="1">
        <v>1172</v>
      </c>
      <c r="BU1136" s="1" t="s">
        <v>109</v>
      </c>
      <c r="BV1136" s="1"/>
      <c r="BW1136" s="1"/>
      <c r="BX1136" s="1"/>
      <c r="BY1136" s="1"/>
      <c r="BZ1136" s="1">
        <v>0</v>
      </c>
      <c r="CA1136" s="1">
        <v>4</v>
      </c>
      <c r="CB1136" s="1" t="s">
        <v>109</v>
      </c>
      <c r="CC1136" s="1">
        <v>4</v>
      </c>
      <c r="CD1136" s="1" t="s">
        <v>109</v>
      </c>
      <c r="CE1136" s="1" t="s">
        <v>109</v>
      </c>
      <c r="CF1136" s="1" t="s">
        <v>109</v>
      </c>
      <c r="CG1136" s="1" t="s">
        <v>109</v>
      </c>
      <c r="CH1136" s="1" t="s">
        <v>109</v>
      </c>
      <c r="CI1136" s="1" t="s">
        <v>109</v>
      </c>
      <c r="CJ1136" s="1">
        <v>4</v>
      </c>
      <c r="CK1136" s="1"/>
      <c r="CL1136" s="1">
        <v>0</v>
      </c>
      <c r="CM1136" s="1">
        <v>0</v>
      </c>
      <c r="CN1136" s="1">
        <v>0</v>
      </c>
    </row>
    <row r="1137" spans="1:92" ht="14.25" customHeight="1" x14ac:dyDescent="0.15">
      <c r="A1137" s="1" t="s">
        <v>9197</v>
      </c>
      <c r="B1137" s="1" t="s">
        <v>308</v>
      </c>
      <c r="C1137" s="1"/>
      <c r="D1137" s="1" t="s">
        <v>67</v>
      </c>
      <c r="E1137" s="1" t="s">
        <v>9198</v>
      </c>
      <c r="F1137" s="1" t="s">
        <v>98</v>
      </c>
      <c r="G1137" s="1" t="s">
        <v>141</v>
      </c>
      <c r="H1137" s="1">
        <v>0</v>
      </c>
      <c r="I1137" s="1" t="s">
        <v>161</v>
      </c>
      <c r="J1137" s="1"/>
      <c r="K1137" s="1"/>
      <c r="L1137" s="1" t="s">
        <v>162</v>
      </c>
      <c r="M1137" s="1" t="s">
        <v>947</v>
      </c>
      <c r="N1137" s="1">
        <v>0</v>
      </c>
      <c r="O1137" s="1">
        <v>0</v>
      </c>
      <c r="P1137" s="1" t="s">
        <v>6066</v>
      </c>
      <c r="Q1137" s="1" t="s">
        <v>268</v>
      </c>
      <c r="R1137" s="1" t="s">
        <v>9199</v>
      </c>
      <c r="S1137" s="1" t="s">
        <v>9200</v>
      </c>
      <c r="T1137" s="1" t="s">
        <v>7821</v>
      </c>
      <c r="U1137" s="1" t="s">
        <v>9201</v>
      </c>
      <c r="V1137" s="1">
        <v>1</v>
      </c>
      <c r="W1137" s="1">
        <v>1</v>
      </c>
      <c r="X1137" s="1">
        <v>0</v>
      </c>
      <c r="Y1137" s="1">
        <v>0</v>
      </c>
      <c r="Z1137" s="1">
        <v>0</v>
      </c>
      <c r="AA1137" s="1">
        <v>3</v>
      </c>
      <c r="AB1137" s="1">
        <v>3</v>
      </c>
      <c r="AC1137" s="1" t="s">
        <v>109</v>
      </c>
      <c r="AD1137" s="1" t="s">
        <v>109</v>
      </c>
      <c r="AE1137" s="1" t="s">
        <v>109</v>
      </c>
      <c r="AF1137" s="1" t="s">
        <v>109</v>
      </c>
      <c r="AG1137" s="1" t="s">
        <v>109</v>
      </c>
      <c r="AH1137" s="1" t="s">
        <v>109</v>
      </c>
      <c r="AI1137" s="1" t="s">
        <v>109</v>
      </c>
      <c r="AJ1137" s="1" t="s">
        <v>109</v>
      </c>
      <c r="AK1137" s="1" t="s">
        <v>109</v>
      </c>
      <c r="AL1137" s="1" t="s">
        <v>109</v>
      </c>
      <c r="AM1137" s="1">
        <v>2</v>
      </c>
      <c r="AN1137" s="1" t="s">
        <v>109</v>
      </c>
      <c r="AO1137" s="1" t="s">
        <v>109</v>
      </c>
      <c r="AP1137" s="1"/>
      <c r="AQ1137" s="1">
        <v>3</v>
      </c>
      <c r="AR1137" s="1"/>
      <c r="AS1137" s="1" t="s">
        <v>9202</v>
      </c>
      <c r="AT1137" s="1">
        <v>0</v>
      </c>
      <c r="AU1137" s="1">
        <v>0</v>
      </c>
      <c r="AV1137" s="1">
        <v>0</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1</v>
      </c>
      <c r="BP1137" s="1">
        <v>0</v>
      </c>
      <c r="BQ1137" s="1">
        <v>0</v>
      </c>
      <c r="BR1137" s="1">
        <v>0</v>
      </c>
      <c r="BS1137" s="5" t="str">
        <f>HYPERLINK("http://www.d20pfsrd.com/magic/all-spells/t/toxic-gift","Toxic Gift")</f>
        <v>Toxic Gift</v>
      </c>
      <c r="BT1137" s="1">
        <v>1173</v>
      </c>
      <c r="BU1137" s="1" t="s">
        <v>109</v>
      </c>
      <c r="BV1137" s="1"/>
      <c r="BW1137" s="1"/>
      <c r="BX1137" s="1"/>
      <c r="BY1137" s="1"/>
      <c r="BZ1137" s="1">
        <v>0</v>
      </c>
      <c r="CA1137" s="1" t="s">
        <v>109</v>
      </c>
      <c r="CB1137" s="1" t="s">
        <v>109</v>
      </c>
      <c r="CC1137" s="1" t="s">
        <v>109</v>
      </c>
      <c r="CD1137" s="1" t="s">
        <v>109</v>
      </c>
      <c r="CE1137" s="1" t="s">
        <v>109</v>
      </c>
      <c r="CF1137" s="1">
        <v>3</v>
      </c>
      <c r="CG1137" s="1" t="s">
        <v>109</v>
      </c>
      <c r="CH1137" s="1" t="s">
        <v>109</v>
      </c>
      <c r="CI1137" s="1" t="s">
        <v>109</v>
      </c>
      <c r="CJ1137" s="1" t="s">
        <v>109</v>
      </c>
      <c r="CK1137" s="1"/>
      <c r="CL1137" s="1">
        <v>0</v>
      </c>
      <c r="CM1137" s="1">
        <v>0</v>
      </c>
      <c r="CN1137" s="1">
        <v>0</v>
      </c>
    </row>
    <row r="1138" spans="1:92" ht="14.25" customHeight="1" x14ac:dyDescent="0.15">
      <c r="A1138" s="1" t="s">
        <v>9203</v>
      </c>
      <c r="B1138" s="1" t="s">
        <v>189</v>
      </c>
      <c r="C1138" s="1"/>
      <c r="D1138" s="1" t="s">
        <v>9204</v>
      </c>
      <c r="E1138" s="1" t="s">
        <v>1199</v>
      </c>
      <c r="F1138" s="1" t="s">
        <v>98</v>
      </c>
      <c r="G1138" s="1" t="s">
        <v>9205</v>
      </c>
      <c r="H1138" s="1">
        <v>1</v>
      </c>
      <c r="I1138" s="1" t="s">
        <v>142</v>
      </c>
      <c r="J1138" s="1"/>
      <c r="K1138" s="1"/>
      <c r="L1138" s="1" t="s">
        <v>563</v>
      </c>
      <c r="M1138" s="1" t="s">
        <v>9206</v>
      </c>
      <c r="N1138" s="1">
        <v>0</v>
      </c>
      <c r="O1138" s="1">
        <v>0</v>
      </c>
      <c r="P1138" s="1" t="s">
        <v>2672</v>
      </c>
      <c r="Q1138" s="1" t="s">
        <v>268</v>
      </c>
      <c r="R1138" s="1" t="s">
        <v>9207</v>
      </c>
      <c r="S1138" s="1" t="s">
        <v>9208</v>
      </c>
      <c r="T1138" s="1" t="s">
        <v>7821</v>
      </c>
      <c r="U1138" s="1" t="s">
        <v>9209</v>
      </c>
      <c r="V1138" s="1">
        <v>1</v>
      </c>
      <c r="W1138" s="1">
        <v>1</v>
      </c>
      <c r="X1138" s="1">
        <v>1</v>
      </c>
      <c r="Y1138" s="1">
        <v>0</v>
      </c>
      <c r="Z1138" s="1">
        <v>0</v>
      </c>
      <c r="AA1138" s="1">
        <v>9</v>
      </c>
      <c r="AB1138" s="1">
        <v>9</v>
      </c>
      <c r="AC1138" s="1" t="s">
        <v>109</v>
      </c>
      <c r="AD1138" s="1" t="s">
        <v>109</v>
      </c>
      <c r="AE1138" s="1" t="s">
        <v>109</v>
      </c>
      <c r="AF1138" s="1" t="s">
        <v>109</v>
      </c>
      <c r="AG1138" s="1" t="s">
        <v>109</v>
      </c>
      <c r="AH1138" s="1" t="s">
        <v>109</v>
      </c>
      <c r="AI1138" s="1" t="s">
        <v>109</v>
      </c>
      <c r="AJ1138" s="1" t="s">
        <v>109</v>
      </c>
      <c r="AK1138" s="1" t="s">
        <v>109</v>
      </c>
      <c r="AL1138" s="1" t="s">
        <v>109</v>
      </c>
      <c r="AM1138" s="1" t="s">
        <v>109</v>
      </c>
      <c r="AN1138" s="1" t="s">
        <v>109</v>
      </c>
      <c r="AO1138" s="1" t="s">
        <v>109</v>
      </c>
      <c r="AP1138" s="1"/>
      <c r="AQ1138" s="1">
        <v>9</v>
      </c>
      <c r="AR1138" s="1"/>
      <c r="AS1138" s="1" t="s">
        <v>9210</v>
      </c>
      <c r="AT1138" s="1">
        <v>1</v>
      </c>
      <c r="AU1138" s="1">
        <v>0</v>
      </c>
      <c r="AV1138" s="1">
        <v>0</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1</v>
      </c>
      <c r="BO1138" s="1">
        <v>0</v>
      </c>
      <c r="BP1138" s="1">
        <v>0</v>
      </c>
      <c r="BQ1138" s="1">
        <v>0</v>
      </c>
      <c r="BR1138" s="1">
        <v>0</v>
      </c>
      <c r="BS1138" s="5" t="str">
        <f>HYPERLINK("http://www.d20pfsrd.com/magic/all-spells/t/transmute-blood-to-acid","Transmute Blood To Acid")</f>
        <v>Transmute Blood To Acid</v>
      </c>
      <c r="BT1138" s="1">
        <v>1174</v>
      </c>
      <c r="BU1138" s="1">
        <v>10</v>
      </c>
      <c r="BV1138" s="1"/>
      <c r="BW1138" s="1"/>
      <c r="BX1138" s="1"/>
      <c r="BY1138" s="1"/>
      <c r="BZ1138" s="1">
        <v>0</v>
      </c>
      <c r="CA1138" s="1" t="s">
        <v>109</v>
      </c>
      <c r="CB1138" s="1" t="s">
        <v>109</v>
      </c>
      <c r="CC1138" s="1">
        <v>9</v>
      </c>
      <c r="CD1138" s="1" t="s">
        <v>109</v>
      </c>
      <c r="CE1138" s="1" t="s">
        <v>109</v>
      </c>
      <c r="CF1138" s="1" t="s">
        <v>109</v>
      </c>
      <c r="CG1138" s="1" t="s">
        <v>109</v>
      </c>
      <c r="CH1138" s="1" t="s">
        <v>109</v>
      </c>
      <c r="CI1138" s="1" t="s">
        <v>109</v>
      </c>
      <c r="CJ1138" s="1" t="s">
        <v>109</v>
      </c>
      <c r="CK1138" s="1"/>
      <c r="CL1138" s="1">
        <v>0</v>
      </c>
      <c r="CM1138" s="1">
        <v>0</v>
      </c>
      <c r="CN1138" s="1">
        <v>0</v>
      </c>
    </row>
    <row r="1139" spans="1:92" ht="14.25" customHeight="1" x14ac:dyDescent="0.15">
      <c r="A1139" s="1" t="s">
        <v>9211</v>
      </c>
      <c r="B1139" s="1" t="s">
        <v>156</v>
      </c>
      <c r="C1139" s="1" t="s">
        <v>157</v>
      </c>
      <c r="D1139" s="1" t="s">
        <v>8086</v>
      </c>
      <c r="E1139" s="1" t="s">
        <v>9212</v>
      </c>
      <c r="F1139" s="1" t="s">
        <v>98</v>
      </c>
      <c r="G1139" s="1" t="s">
        <v>1191</v>
      </c>
      <c r="H1139" s="1">
        <v>0</v>
      </c>
      <c r="I1139" s="1" t="s">
        <v>142</v>
      </c>
      <c r="J1139" s="1"/>
      <c r="K1139" s="1"/>
      <c r="L1139" s="1" t="s">
        <v>1391</v>
      </c>
      <c r="M1139" s="1" t="s">
        <v>280</v>
      </c>
      <c r="N1139" s="1">
        <v>0</v>
      </c>
      <c r="O1139" s="1">
        <v>0</v>
      </c>
      <c r="P1139" s="1" t="s">
        <v>301</v>
      </c>
      <c r="Q1139" s="1" t="s">
        <v>268</v>
      </c>
      <c r="R1139" s="1" t="s">
        <v>9213</v>
      </c>
      <c r="S1139" s="1" t="s">
        <v>9214</v>
      </c>
      <c r="T1139" s="1" t="s">
        <v>7821</v>
      </c>
      <c r="U1139" s="1" t="s">
        <v>9215</v>
      </c>
      <c r="V1139" s="1">
        <v>1</v>
      </c>
      <c r="W1139" s="1">
        <v>1</v>
      </c>
      <c r="X1139" s="1">
        <v>1</v>
      </c>
      <c r="Y1139" s="1">
        <v>0</v>
      </c>
      <c r="Z1139" s="1">
        <v>0</v>
      </c>
      <c r="AA1139" s="1">
        <v>3</v>
      </c>
      <c r="AB1139" s="1">
        <v>3</v>
      </c>
      <c r="AC1139" s="1" t="s">
        <v>109</v>
      </c>
      <c r="AD1139" s="1" t="s">
        <v>109</v>
      </c>
      <c r="AE1139" s="1" t="s">
        <v>109</v>
      </c>
      <c r="AF1139" s="1">
        <v>2</v>
      </c>
      <c r="AG1139" s="1" t="s">
        <v>109</v>
      </c>
      <c r="AH1139" s="1" t="s">
        <v>109</v>
      </c>
      <c r="AI1139" s="1" t="s">
        <v>109</v>
      </c>
      <c r="AJ1139" s="1">
        <v>3</v>
      </c>
      <c r="AK1139" s="1" t="s">
        <v>109</v>
      </c>
      <c r="AL1139" s="1" t="s">
        <v>109</v>
      </c>
      <c r="AM1139" s="1">
        <v>2</v>
      </c>
      <c r="AN1139" s="1" t="s">
        <v>109</v>
      </c>
      <c r="AO1139" s="1" t="s">
        <v>109</v>
      </c>
      <c r="AP1139" s="1"/>
      <c r="AQ1139" s="1">
        <v>3</v>
      </c>
      <c r="AR1139" s="1"/>
      <c r="AS1139" s="1" t="s">
        <v>9216</v>
      </c>
      <c r="AT1139" s="1">
        <v>0</v>
      </c>
      <c r="AU1139" s="1">
        <v>0</v>
      </c>
      <c r="AV1139" s="1">
        <v>0</v>
      </c>
      <c r="AW1139" s="1">
        <v>0</v>
      </c>
      <c r="AX1139" s="1">
        <v>0</v>
      </c>
      <c r="AY1139" s="1">
        <v>0</v>
      </c>
      <c r="AZ1139" s="1">
        <v>0</v>
      </c>
      <c r="BA1139" s="1">
        <v>0</v>
      </c>
      <c r="BB1139" s="1">
        <v>0</v>
      </c>
      <c r="BC1139" s="1">
        <v>0</v>
      </c>
      <c r="BD1139" s="1">
        <v>1</v>
      </c>
      <c r="BE1139" s="1">
        <v>0</v>
      </c>
      <c r="BF1139" s="1">
        <v>0</v>
      </c>
      <c r="BG1139" s="1">
        <v>0</v>
      </c>
      <c r="BH1139" s="1">
        <v>0</v>
      </c>
      <c r="BI1139" s="1">
        <v>0</v>
      </c>
      <c r="BJ1139" s="1">
        <v>0</v>
      </c>
      <c r="BK1139" s="1">
        <v>0</v>
      </c>
      <c r="BL1139" s="1">
        <v>0</v>
      </c>
      <c r="BM1139" s="1">
        <v>1</v>
      </c>
      <c r="BN1139" s="1">
        <v>0</v>
      </c>
      <c r="BO1139" s="1">
        <v>0</v>
      </c>
      <c r="BP1139" s="1">
        <v>0</v>
      </c>
      <c r="BQ1139" s="1">
        <v>0</v>
      </c>
      <c r="BR1139" s="1">
        <v>0</v>
      </c>
      <c r="BS1139" s="5" t="str">
        <f>HYPERLINK("http://www.d20pfsrd.com/magic/all-spells/u/unadulterated-loathing","Unadulterated Loathing")</f>
        <v>Unadulterated Loathing</v>
      </c>
      <c r="BT1139" s="1">
        <v>1175</v>
      </c>
      <c r="BU1139" s="1" t="s">
        <v>109</v>
      </c>
      <c r="BV1139" s="1"/>
      <c r="BW1139" s="1" t="s">
        <v>9217</v>
      </c>
      <c r="BX1139" s="1"/>
      <c r="BY1139" s="1"/>
      <c r="BZ1139" s="1">
        <v>0</v>
      </c>
      <c r="CA1139" s="1" t="s">
        <v>109</v>
      </c>
      <c r="CB1139" s="1" t="s">
        <v>109</v>
      </c>
      <c r="CC1139" s="1">
        <v>3</v>
      </c>
      <c r="CD1139" s="1" t="s">
        <v>109</v>
      </c>
      <c r="CE1139" s="1">
        <v>2</v>
      </c>
      <c r="CF1139" s="1" t="s">
        <v>109</v>
      </c>
      <c r="CG1139" s="1" t="s">
        <v>109</v>
      </c>
      <c r="CH1139" s="1" t="s">
        <v>109</v>
      </c>
      <c r="CI1139" s="1" t="s">
        <v>109</v>
      </c>
      <c r="CJ1139" s="1" t="s">
        <v>109</v>
      </c>
      <c r="CK1139" s="1"/>
      <c r="CL1139" s="1">
        <v>0</v>
      </c>
      <c r="CM1139" s="1">
        <v>0</v>
      </c>
      <c r="CN1139" s="1">
        <v>0</v>
      </c>
    </row>
    <row r="1140" spans="1:92" ht="14.25" customHeight="1" x14ac:dyDescent="0.15">
      <c r="A1140" s="1" t="s">
        <v>9218</v>
      </c>
      <c r="B1140" s="1" t="s">
        <v>242</v>
      </c>
      <c r="C1140" s="1"/>
      <c r="D1140" s="1"/>
      <c r="E1140" s="1" t="s">
        <v>9219</v>
      </c>
      <c r="F1140" s="1" t="s">
        <v>98</v>
      </c>
      <c r="G1140" s="1" t="s">
        <v>9220</v>
      </c>
      <c r="H1140" s="1">
        <v>1</v>
      </c>
      <c r="I1140" s="1" t="s">
        <v>142</v>
      </c>
      <c r="J1140" s="1"/>
      <c r="K1140" s="1"/>
      <c r="L1140" s="1" t="s">
        <v>8110</v>
      </c>
      <c r="M1140" s="1" t="s">
        <v>125</v>
      </c>
      <c r="N1140" s="1">
        <v>0</v>
      </c>
      <c r="O1140" s="1">
        <v>0</v>
      </c>
      <c r="P1140" s="1" t="s">
        <v>507</v>
      </c>
      <c r="Q1140" s="1" t="s">
        <v>104</v>
      </c>
      <c r="R1140" s="1" t="s">
        <v>9221</v>
      </c>
      <c r="S1140" s="1" t="s">
        <v>9222</v>
      </c>
      <c r="T1140" s="1" t="s">
        <v>7821</v>
      </c>
      <c r="U1140" s="1" t="s">
        <v>9223</v>
      </c>
      <c r="V1140" s="1">
        <v>1</v>
      </c>
      <c r="W1140" s="1">
        <v>1</v>
      </c>
      <c r="X1140" s="1">
        <v>1</v>
      </c>
      <c r="Y1140" s="1">
        <v>0</v>
      </c>
      <c r="Z1140" s="1">
        <v>0</v>
      </c>
      <c r="AA1140" s="1">
        <v>5</v>
      </c>
      <c r="AB1140" s="1">
        <v>5</v>
      </c>
      <c r="AC1140" s="1" t="s">
        <v>109</v>
      </c>
      <c r="AD1140" s="1" t="s">
        <v>109</v>
      </c>
      <c r="AE1140" s="1" t="s">
        <v>109</v>
      </c>
      <c r="AF1140" s="1" t="s">
        <v>109</v>
      </c>
      <c r="AG1140" s="1" t="s">
        <v>109</v>
      </c>
      <c r="AH1140" s="1" t="s">
        <v>109</v>
      </c>
      <c r="AI1140" s="1" t="s">
        <v>109</v>
      </c>
      <c r="AJ1140" s="1" t="s">
        <v>109</v>
      </c>
      <c r="AK1140" s="1" t="s">
        <v>109</v>
      </c>
      <c r="AL1140" s="1" t="s">
        <v>109</v>
      </c>
      <c r="AM1140" s="1" t="s">
        <v>109</v>
      </c>
      <c r="AN1140" s="1" t="s">
        <v>109</v>
      </c>
      <c r="AO1140" s="1" t="s">
        <v>109</v>
      </c>
      <c r="AP1140" s="1"/>
      <c r="AQ1140" s="1">
        <v>5</v>
      </c>
      <c r="AR1140" s="1"/>
      <c r="AS1140" s="1" t="s">
        <v>9224</v>
      </c>
      <c r="AT1140" s="1">
        <v>0</v>
      </c>
      <c r="AU1140" s="1">
        <v>0</v>
      </c>
      <c r="AV1140" s="1">
        <v>0</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5" t="str">
        <f>HYPERLINK("http://www.d20pfsrd.com/magic/all-spells/u/unbreakable-construct","Unbreakable Construct")</f>
        <v>Unbreakable Construct</v>
      </c>
      <c r="BT1140" s="1">
        <v>1176</v>
      </c>
      <c r="BU1140" s="1">
        <v>100</v>
      </c>
      <c r="BV1140" s="1"/>
      <c r="BW1140" s="1"/>
      <c r="BX1140" s="1"/>
      <c r="BY1140" s="1"/>
      <c r="BZ1140" s="1">
        <v>0</v>
      </c>
      <c r="CA1140" s="1" t="s">
        <v>109</v>
      </c>
      <c r="CB1140" s="1" t="s">
        <v>109</v>
      </c>
      <c r="CC1140" s="1" t="s">
        <v>109</v>
      </c>
      <c r="CD1140" s="1" t="s">
        <v>109</v>
      </c>
      <c r="CE1140" s="1" t="s">
        <v>109</v>
      </c>
      <c r="CF1140" s="1">
        <v>4</v>
      </c>
      <c r="CG1140" s="1" t="s">
        <v>109</v>
      </c>
      <c r="CH1140" s="1" t="s">
        <v>109</v>
      </c>
      <c r="CI1140" s="1" t="s">
        <v>109</v>
      </c>
      <c r="CJ1140" s="1" t="s">
        <v>109</v>
      </c>
      <c r="CK1140" s="1"/>
      <c r="CL1140" s="1">
        <v>0</v>
      </c>
      <c r="CM1140" s="1">
        <v>0</v>
      </c>
      <c r="CN1140" s="1">
        <v>0</v>
      </c>
    </row>
    <row r="1141" spans="1:92" ht="14.25" customHeight="1" x14ac:dyDescent="0.15">
      <c r="A1141" s="1" t="s">
        <v>9225</v>
      </c>
      <c r="B1141" s="1" t="s">
        <v>189</v>
      </c>
      <c r="C1141" s="1" t="s">
        <v>231</v>
      </c>
      <c r="D1141" s="1"/>
      <c r="E1141" s="1" t="s">
        <v>9226</v>
      </c>
      <c r="F1141" s="1" t="s">
        <v>98</v>
      </c>
      <c r="G1141" s="1" t="s">
        <v>234</v>
      </c>
      <c r="H1141" s="1">
        <v>0</v>
      </c>
      <c r="I1141" s="1" t="s">
        <v>235</v>
      </c>
      <c r="J1141" s="1"/>
      <c r="K1141" s="1"/>
      <c r="L1141" s="1" t="s">
        <v>236</v>
      </c>
      <c r="M1141" s="1" t="s">
        <v>6144</v>
      </c>
      <c r="N1141" s="1">
        <v>1</v>
      </c>
      <c r="O1141" s="1">
        <v>0</v>
      </c>
      <c r="P1141" s="1"/>
      <c r="Q1141" s="1"/>
      <c r="R1141" s="1" t="s">
        <v>9227</v>
      </c>
      <c r="S1141" s="1" t="s">
        <v>9228</v>
      </c>
      <c r="T1141" s="1" t="s">
        <v>7821</v>
      </c>
      <c r="U1141" s="1" t="s">
        <v>9229</v>
      </c>
      <c r="V1141" s="1">
        <v>1</v>
      </c>
      <c r="W1141" s="1">
        <v>1</v>
      </c>
      <c r="X1141" s="1">
        <v>1</v>
      </c>
      <c r="Y1141" s="1">
        <v>0</v>
      </c>
      <c r="Z1141" s="1">
        <v>0</v>
      </c>
      <c r="AA1141" s="1">
        <v>3</v>
      </c>
      <c r="AB1141" s="1">
        <v>3</v>
      </c>
      <c r="AC1141" s="1" t="s">
        <v>109</v>
      </c>
      <c r="AD1141" s="1" t="s">
        <v>109</v>
      </c>
      <c r="AE1141" s="1" t="s">
        <v>109</v>
      </c>
      <c r="AF1141" s="1" t="s">
        <v>109</v>
      </c>
      <c r="AG1141" s="1" t="s">
        <v>109</v>
      </c>
      <c r="AH1141" s="1">
        <v>3</v>
      </c>
      <c r="AI1141" s="1" t="s">
        <v>109</v>
      </c>
      <c r="AJ1141" s="1" t="s">
        <v>109</v>
      </c>
      <c r="AK1141" s="1" t="s">
        <v>109</v>
      </c>
      <c r="AL1141" s="1" t="s">
        <v>109</v>
      </c>
      <c r="AM1141" s="1" t="s">
        <v>109</v>
      </c>
      <c r="AN1141" s="1">
        <v>3</v>
      </c>
      <c r="AO1141" s="1" t="s">
        <v>109</v>
      </c>
      <c r="AP1141" s="1"/>
      <c r="AQ1141" s="1">
        <v>3</v>
      </c>
      <c r="AR1141" s="1"/>
      <c r="AS1141" s="1" t="s">
        <v>9230</v>
      </c>
      <c r="AT1141" s="1">
        <v>0</v>
      </c>
      <c r="AU1141" s="1">
        <v>0</v>
      </c>
      <c r="AV1141" s="1">
        <v>0</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5" t="str">
        <f>HYPERLINK("http://www.d20pfsrd.com/magic/all-spells/u/undead-anatomy-i","Undead Anatomy I")</f>
        <v>Undead Anatomy I</v>
      </c>
      <c r="BT1141" s="1">
        <v>1177</v>
      </c>
      <c r="BU1141" s="1" t="s">
        <v>109</v>
      </c>
      <c r="BV1141" s="1"/>
      <c r="BW1141" s="1"/>
      <c r="BX1141" s="1"/>
      <c r="BY1141" s="1"/>
      <c r="BZ1141" s="1">
        <v>0</v>
      </c>
      <c r="CA1141" s="1">
        <v>3</v>
      </c>
      <c r="CB1141" s="1" t="s">
        <v>109</v>
      </c>
      <c r="CC1141" s="1" t="s">
        <v>109</v>
      </c>
      <c r="CD1141" s="1" t="s">
        <v>109</v>
      </c>
      <c r="CE1141" s="1" t="s">
        <v>109</v>
      </c>
      <c r="CF1141" s="1" t="s">
        <v>109</v>
      </c>
      <c r="CG1141" s="1">
        <v>3</v>
      </c>
      <c r="CH1141" s="1" t="s">
        <v>109</v>
      </c>
      <c r="CI1141" s="1" t="s">
        <v>109</v>
      </c>
      <c r="CJ1141" s="1" t="s">
        <v>109</v>
      </c>
      <c r="CK1141" s="1"/>
      <c r="CL1141" s="1">
        <v>0</v>
      </c>
      <c r="CM1141" s="1">
        <v>0</v>
      </c>
      <c r="CN1141" s="1">
        <v>0</v>
      </c>
    </row>
    <row r="1142" spans="1:92" ht="14.25" customHeight="1" x14ac:dyDescent="0.15">
      <c r="A1142" s="1" t="s">
        <v>9231</v>
      </c>
      <c r="B1142" s="1" t="s">
        <v>189</v>
      </c>
      <c r="C1142" s="1" t="s">
        <v>231</v>
      </c>
      <c r="D1142" s="1"/>
      <c r="E1142" s="1" t="s">
        <v>9232</v>
      </c>
      <c r="F1142" s="1" t="s">
        <v>98</v>
      </c>
      <c r="G1142" s="1" t="s">
        <v>234</v>
      </c>
      <c r="H1142" s="1">
        <v>0</v>
      </c>
      <c r="I1142" s="1" t="s">
        <v>235</v>
      </c>
      <c r="J1142" s="1"/>
      <c r="K1142" s="1"/>
      <c r="L1142" s="1" t="s">
        <v>236</v>
      </c>
      <c r="M1142" s="1" t="s">
        <v>6144</v>
      </c>
      <c r="N1142" s="1">
        <v>1</v>
      </c>
      <c r="O1142" s="1">
        <v>0</v>
      </c>
      <c r="P1142" s="1"/>
      <c r="Q1142" s="1"/>
      <c r="R1142" s="1" t="s">
        <v>9233</v>
      </c>
      <c r="S1142" s="1" t="s">
        <v>9234</v>
      </c>
      <c r="T1142" s="1" t="s">
        <v>7821</v>
      </c>
      <c r="U1142" s="1" t="s">
        <v>9235</v>
      </c>
      <c r="V1142" s="1">
        <v>1</v>
      </c>
      <c r="W1142" s="1">
        <v>1</v>
      </c>
      <c r="X1142" s="1">
        <v>1</v>
      </c>
      <c r="Y1142" s="1">
        <v>0</v>
      </c>
      <c r="Z1142" s="1">
        <v>0</v>
      </c>
      <c r="AA1142" s="1">
        <v>5</v>
      </c>
      <c r="AB1142" s="1">
        <v>5</v>
      </c>
      <c r="AC1142" s="1" t="s">
        <v>109</v>
      </c>
      <c r="AD1142" s="1" t="s">
        <v>109</v>
      </c>
      <c r="AE1142" s="1" t="s">
        <v>109</v>
      </c>
      <c r="AF1142" s="1" t="s">
        <v>109</v>
      </c>
      <c r="AG1142" s="1" t="s">
        <v>109</v>
      </c>
      <c r="AH1142" s="1">
        <v>5</v>
      </c>
      <c r="AI1142" s="1" t="s">
        <v>109</v>
      </c>
      <c r="AJ1142" s="1" t="s">
        <v>109</v>
      </c>
      <c r="AK1142" s="1" t="s">
        <v>109</v>
      </c>
      <c r="AL1142" s="1" t="s">
        <v>109</v>
      </c>
      <c r="AM1142" s="1" t="s">
        <v>109</v>
      </c>
      <c r="AN1142" s="1">
        <v>5</v>
      </c>
      <c r="AO1142" s="1" t="s">
        <v>109</v>
      </c>
      <c r="AP1142" s="1"/>
      <c r="AQ1142" s="1">
        <v>5</v>
      </c>
      <c r="AR1142" s="1"/>
      <c r="AS1142" s="1" t="s">
        <v>9236</v>
      </c>
      <c r="AT1142" s="1">
        <v>0</v>
      </c>
      <c r="AU1142" s="1">
        <v>0</v>
      </c>
      <c r="AV1142" s="1">
        <v>0</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5" t="str">
        <f>HYPERLINK("http://www.d20pfsrd.com/magic/all-spells/u/undead-anatomy-i#TOC-Undead-Anatomy-II","Undead Anatomy II")</f>
        <v>Undead Anatomy II</v>
      </c>
      <c r="BT1142" s="1">
        <v>1178</v>
      </c>
      <c r="BU1142" s="1" t="s">
        <v>109</v>
      </c>
      <c r="BV1142" s="1"/>
      <c r="BW1142" s="1"/>
      <c r="BX1142" s="1"/>
      <c r="BY1142" s="1"/>
      <c r="BZ1142" s="1">
        <v>0</v>
      </c>
      <c r="CA1142" s="1" t="s">
        <v>109</v>
      </c>
      <c r="CB1142" s="1" t="s">
        <v>109</v>
      </c>
      <c r="CC1142" s="1" t="s">
        <v>109</v>
      </c>
      <c r="CD1142" s="1" t="s">
        <v>109</v>
      </c>
      <c r="CE1142" s="1" t="s">
        <v>109</v>
      </c>
      <c r="CF1142" s="1" t="s">
        <v>109</v>
      </c>
      <c r="CG1142" s="1">
        <v>5</v>
      </c>
      <c r="CH1142" s="1" t="s">
        <v>109</v>
      </c>
      <c r="CI1142" s="1" t="s">
        <v>109</v>
      </c>
      <c r="CJ1142" s="1" t="s">
        <v>109</v>
      </c>
      <c r="CK1142" s="1"/>
      <c r="CL1142" s="1">
        <v>0</v>
      </c>
      <c r="CM1142" s="1">
        <v>0</v>
      </c>
      <c r="CN1142" s="1">
        <v>0</v>
      </c>
    </row>
    <row r="1143" spans="1:92" ht="14.25" customHeight="1" x14ac:dyDescent="0.15">
      <c r="A1143" s="1" t="s">
        <v>9237</v>
      </c>
      <c r="B1143" s="1" t="s">
        <v>189</v>
      </c>
      <c r="C1143" s="1" t="s">
        <v>231</v>
      </c>
      <c r="D1143" s="1"/>
      <c r="E1143" s="1" t="s">
        <v>9238</v>
      </c>
      <c r="F1143" s="1" t="s">
        <v>98</v>
      </c>
      <c r="G1143" s="1" t="s">
        <v>234</v>
      </c>
      <c r="H1143" s="1">
        <v>0</v>
      </c>
      <c r="I1143" s="1" t="s">
        <v>235</v>
      </c>
      <c r="J1143" s="1"/>
      <c r="K1143" s="1"/>
      <c r="L1143" s="1" t="s">
        <v>236</v>
      </c>
      <c r="M1143" s="1" t="s">
        <v>6144</v>
      </c>
      <c r="N1143" s="1">
        <v>1</v>
      </c>
      <c r="O1143" s="1">
        <v>0</v>
      </c>
      <c r="P1143" s="1"/>
      <c r="Q1143" s="1"/>
      <c r="R1143" s="1" t="s">
        <v>9239</v>
      </c>
      <c r="S1143" s="1" t="s">
        <v>9240</v>
      </c>
      <c r="T1143" s="1" t="s">
        <v>7821</v>
      </c>
      <c r="U1143" s="1" t="s">
        <v>9241</v>
      </c>
      <c r="V1143" s="1">
        <v>1</v>
      </c>
      <c r="W1143" s="1">
        <v>1</v>
      </c>
      <c r="X1143" s="1">
        <v>1</v>
      </c>
      <c r="Y1143" s="1">
        <v>0</v>
      </c>
      <c r="Z1143" s="1">
        <v>0</v>
      </c>
      <c r="AA1143" s="1">
        <v>6</v>
      </c>
      <c r="AB1143" s="1">
        <v>6</v>
      </c>
      <c r="AC1143" s="1" t="s">
        <v>109</v>
      </c>
      <c r="AD1143" s="1" t="s">
        <v>109</v>
      </c>
      <c r="AE1143" s="1" t="s">
        <v>109</v>
      </c>
      <c r="AF1143" s="1" t="s">
        <v>109</v>
      </c>
      <c r="AG1143" s="1" t="s">
        <v>109</v>
      </c>
      <c r="AH1143" s="1">
        <v>6</v>
      </c>
      <c r="AI1143" s="1" t="s">
        <v>109</v>
      </c>
      <c r="AJ1143" s="1" t="s">
        <v>109</v>
      </c>
      <c r="AK1143" s="1" t="s">
        <v>109</v>
      </c>
      <c r="AL1143" s="1" t="s">
        <v>109</v>
      </c>
      <c r="AM1143" s="1" t="s">
        <v>109</v>
      </c>
      <c r="AN1143" s="1">
        <v>6</v>
      </c>
      <c r="AO1143" s="1" t="s">
        <v>109</v>
      </c>
      <c r="AP1143" s="1"/>
      <c r="AQ1143" s="1">
        <v>6</v>
      </c>
      <c r="AR1143" s="1"/>
      <c r="AS1143" s="1" t="s">
        <v>9242</v>
      </c>
      <c r="AT1143" s="1">
        <v>0</v>
      </c>
      <c r="AU1143" s="1">
        <v>0</v>
      </c>
      <c r="AV1143" s="1">
        <v>0</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5" t="str">
        <f>HYPERLINK("http://www.d20pfsrd.com/magic/all-spells/u/undead-anatomy-i#TOC-Undead-Anatomy-III","Undead Anatomy III")</f>
        <v>Undead Anatomy III</v>
      </c>
      <c r="BT1143" s="1">
        <v>1179</v>
      </c>
      <c r="BU1143" s="1" t="s">
        <v>109</v>
      </c>
      <c r="BV1143" s="1"/>
      <c r="BW1143" s="1"/>
      <c r="BX1143" s="1"/>
      <c r="BY1143" s="1"/>
      <c r="BZ1143" s="1">
        <v>0</v>
      </c>
      <c r="CA1143" s="1" t="s">
        <v>109</v>
      </c>
      <c r="CB1143" s="1" t="s">
        <v>109</v>
      </c>
      <c r="CC1143" s="1" t="s">
        <v>109</v>
      </c>
      <c r="CD1143" s="1" t="s">
        <v>109</v>
      </c>
      <c r="CE1143" s="1" t="s">
        <v>109</v>
      </c>
      <c r="CF1143" s="1" t="s">
        <v>109</v>
      </c>
      <c r="CG1143" s="1">
        <v>6</v>
      </c>
      <c r="CH1143" s="1" t="s">
        <v>109</v>
      </c>
      <c r="CI1143" s="1" t="s">
        <v>109</v>
      </c>
      <c r="CJ1143" s="1" t="s">
        <v>109</v>
      </c>
      <c r="CK1143" s="1"/>
      <c r="CL1143" s="1">
        <v>0</v>
      </c>
      <c r="CM1143" s="1">
        <v>0</v>
      </c>
      <c r="CN1143" s="1">
        <v>0</v>
      </c>
    </row>
    <row r="1144" spans="1:92" ht="14.25" customHeight="1" x14ac:dyDescent="0.15">
      <c r="A1144" s="1" t="s">
        <v>9243</v>
      </c>
      <c r="B1144" s="1" t="s">
        <v>189</v>
      </c>
      <c r="C1144" s="1" t="s">
        <v>231</v>
      </c>
      <c r="D1144" s="1"/>
      <c r="E1144" s="1" t="s">
        <v>2199</v>
      </c>
      <c r="F1144" s="1" t="s">
        <v>98</v>
      </c>
      <c r="G1144" s="1" t="s">
        <v>234</v>
      </c>
      <c r="H1144" s="1">
        <v>0</v>
      </c>
      <c r="I1144" s="1" t="s">
        <v>235</v>
      </c>
      <c r="J1144" s="1"/>
      <c r="K1144" s="1"/>
      <c r="L1144" s="1" t="s">
        <v>236</v>
      </c>
      <c r="M1144" s="1" t="s">
        <v>9244</v>
      </c>
      <c r="N1144" s="1">
        <v>1</v>
      </c>
      <c r="O1144" s="1">
        <v>0</v>
      </c>
      <c r="P1144" s="1"/>
      <c r="Q1144" s="1"/>
      <c r="R1144" s="1" t="s">
        <v>9245</v>
      </c>
      <c r="S1144" s="1" t="s">
        <v>9246</v>
      </c>
      <c r="T1144" s="1" t="s">
        <v>7821</v>
      </c>
      <c r="U1144" s="1" t="s">
        <v>9247</v>
      </c>
      <c r="V1144" s="1">
        <v>1</v>
      </c>
      <c r="W1144" s="1">
        <v>1</v>
      </c>
      <c r="X1144" s="1">
        <v>1</v>
      </c>
      <c r="Y1144" s="1">
        <v>0</v>
      </c>
      <c r="Z1144" s="1">
        <v>0</v>
      </c>
      <c r="AA1144" s="1">
        <v>8</v>
      </c>
      <c r="AB1144" s="1">
        <v>8</v>
      </c>
      <c r="AC1144" s="1" t="s">
        <v>109</v>
      </c>
      <c r="AD1144" s="1" t="s">
        <v>109</v>
      </c>
      <c r="AE1144" s="1" t="s">
        <v>109</v>
      </c>
      <c r="AF1144" s="1" t="s">
        <v>109</v>
      </c>
      <c r="AG1144" s="1" t="s">
        <v>109</v>
      </c>
      <c r="AH1144" s="1" t="s">
        <v>109</v>
      </c>
      <c r="AI1144" s="1" t="s">
        <v>109</v>
      </c>
      <c r="AJ1144" s="1" t="s">
        <v>109</v>
      </c>
      <c r="AK1144" s="1" t="s">
        <v>109</v>
      </c>
      <c r="AL1144" s="1" t="s">
        <v>109</v>
      </c>
      <c r="AM1144" s="1" t="s">
        <v>109</v>
      </c>
      <c r="AN1144" s="1" t="s">
        <v>109</v>
      </c>
      <c r="AO1144" s="1" t="s">
        <v>109</v>
      </c>
      <c r="AP1144" s="1"/>
      <c r="AQ1144" s="1">
        <v>8</v>
      </c>
      <c r="AR1144" s="1"/>
      <c r="AS1144" s="1" t="s">
        <v>9248</v>
      </c>
      <c r="AT1144" s="1">
        <v>0</v>
      </c>
      <c r="AU1144" s="1">
        <v>0</v>
      </c>
      <c r="AV1144" s="1">
        <v>0</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5" t="str">
        <f>HYPERLINK("http://www.d20pfsrd.com/magic/all-spells/u/undead-anatomy-i#TOC-Undead-Anatomy-IV","Undead Anatomy IV")</f>
        <v>Undead Anatomy IV</v>
      </c>
      <c r="BT1144" s="1">
        <v>1180</v>
      </c>
      <c r="BU1144" s="1" t="s">
        <v>109</v>
      </c>
      <c r="BV1144" s="1"/>
      <c r="BW1144" s="1"/>
      <c r="BX1144" s="1"/>
      <c r="BY1144" s="1"/>
      <c r="BZ1144" s="1">
        <v>0</v>
      </c>
      <c r="CA1144" s="1" t="s">
        <v>109</v>
      </c>
      <c r="CB1144" s="1" t="s">
        <v>109</v>
      </c>
      <c r="CC1144" s="1" t="s">
        <v>109</v>
      </c>
      <c r="CD1144" s="1" t="s">
        <v>109</v>
      </c>
      <c r="CE1144" s="1" t="s">
        <v>109</v>
      </c>
      <c r="CF1144" s="1" t="s">
        <v>109</v>
      </c>
      <c r="CG1144" s="1" t="s">
        <v>109</v>
      </c>
      <c r="CH1144" s="1" t="s">
        <v>109</v>
      </c>
      <c r="CI1144" s="1" t="s">
        <v>109</v>
      </c>
      <c r="CJ1144" s="1" t="s">
        <v>109</v>
      </c>
      <c r="CK1144" s="1"/>
      <c r="CL1144" s="1">
        <v>0</v>
      </c>
      <c r="CM1144" s="1">
        <v>0</v>
      </c>
      <c r="CN1144" s="1">
        <v>0</v>
      </c>
    </row>
    <row r="1145" spans="1:92" ht="14.25" customHeight="1" x14ac:dyDescent="0.15">
      <c r="A1145" s="1" t="s">
        <v>9249</v>
      </c>
      <c r="B1145" s="1" t="s">
        <v>189</v>
      </c>
      <c r="C1145" s="1"/>
      <c r="D1145" s="1" t="s">
        <v>9250</v>
      </c>
      <c r="E1145" s="1" t="s">
        <v>5614</v>
      </c>
      <c r="F1145" s="1" t="s">
        <v>98</v>
      </c>
      <c r="G1145" s="1" t="s">
        <v>9251</v>
      </c>
      <c r="H1145" s="1">
        <v>1</v>
      </c>
      <c r="I1145" s="1" t="s">
        <v>122</v>
      </c>
      <c r="J1145" s="1"/>
      <c r="K1145" s="1" t="s">
        <v>8489</v>
      </c>
      <c r="L1145" s="1"/>
      <c r="M1145" s="1" t="s">
        <v>8490</v>
      </c>
      <c r="N1145" s="1">
        <v>0</v>
      </c>
      <c r="O1145" s="1">
        <v>0</v>
      </c>
      <c r="P1145" s="1" t="s">
        <v>8491</v>
      </c>
      <c r="Q1145" s="1" t="s">
        <v>268</v>
      </c>
      <c r="R1145" s="1" t="s">
        <v>9252</v>
      </c>
      <c r="S1145" s="1" t="s">
        <v>9253</v>
      </c>
      <c r="T1145" s="1" t="s">
        <v>7821</v>
      </c>
      <c r="U1145" s="1" t="s">
        <v>9254</v>
      </c>
      <c r="V1145" s="1">
        <v>1</v>
      </c>
      <c r="W1145" s="1">
        <v>1</v>
      </c>
      <c r="X1145" s="1">
        <v>1</v>
      </c>
      <c r="Y1145" s="1">
        <v>0</v>
      </c>
      <c r="Z1145" s="1">
        <v>0</v>
      </c>
      <c r="AA1145" s="1" t="s">
        <v>109</v>
      </c>
      <c r="AB1145" s="1" t="s">
        <v>109</v>
      </c>
      <c r="AC1145" s="1">
        <v>5</v>
      </c>
      <c r="AD1145" s="1" t="s">
        <v>109</v>
      </c>
      <c r="AE1145" s="1" t="s">
        <v>109</v>
      </c>
      <c r="AF1145" s="1" t="s">
        <v>109</v>
      </c>
      <c r="AG1145" s="1" t="s">
        <v>109</v>
      </c>
      <c r="AH1145" s="1" t="s">
        <v>109</v>
      </c>
      <c r="AI1145" s="1" t="s">
        <v>109</v>
      </c>
      <c r="AJ1145" s="1" t="s">
        <v>109</v>
      </c>
      <c r="AK1145" s="1" t="s">
        <v>109</v>
      </c>
      <c r="AL1145" s="1">
        <v>5</v>
      </c>
      <c r="AM1145" s="1" t="s">
        <v>109</v>
      </c>
      <c r="AN1145" s="1" t="s">
        <v>109</v>
      </c>
      <c r="AO1145" s="1" t="s">
        <v>109</v>
      </c>
      <c r="AP1145" s="1"/>
      <c r="AQ1145" s="1">
        <v>5</v>
      </c>
      <c r="AR1145" s="1"/>
      <c r="AS1145" s="1" t="s">
        <v>9255</v>
      </c>
      <c r="AT1145" s="1">
        <v>0</v>
      </c>
      <c r="AU1145" s="1">
        <v>0</v>
      </c>
      <c r="AV1145" s="1">
        <v>0</v>
      </c>
      <c r="AW1145" s="1">
        <v>1</v>
      </c>
      <c r="AX1145" s="1">
        <v>0</v>
      </c>
      <c r="AY1145" s="1">
        <v>0</v>
      </c>
      <c r="AZ1145" s="1">
        <v>0</v>
      </c>
      <c r="BA1145" s="1">
        <v>0</v>
      </c>
      <c r="BB1145" s="1">
        <v>0</v>
      </c>
      <c r="BC1145" s="1">
        <v>0</v>
      </c>
      <c r="BD1145" s="1">
        <v>0</v>
      </c>
      <c r="BE1145" s="1">
        <v>1</v>
      </c>
      <c r="BF1145" s="1">
        <v>0</v>
      </c>
      <c r="BG1145" s="1">
        <v>0</v>
      </c>
      <c r="BH1145" s="1">
        <v>0</v>
      </c>
      <c r="BI1145" s="1">
        <v>0</v>
      </c>
      <c r="BJ1145" s="1">
        <v>0</v>
      </c>
      <c r="BK1145" s="1">
        <v>0</v>
      </c>
      <c r="BL1145" s="1">
        <v>0</v>
      </c>
      <c r="BM1145" s="1">
        <v>0</v>
      </c>
      <c r="BN1145" s="1">
        <v>0</v>
      </c>
      <c r="BO1145" s="1">
        <v>0</v>
      </c>
      <c r="BP1145" s="1">
        <v>0</v>
      </c>
      <c r="BQ1145" s="1">
        <v>0</v>
      </c>
      <c r="BR1145" s="1">
        <v>1</v>
      </c>
      <c r="BS1145" s="5" t="str">
        <f>HYPERLINK("http://www.d20pfsrd.com/magic/all-spells/u/unholy-ice","Unholy Ice")</f>
        <v>Unholy Ice</v>
      </c>
      <c r="BT1145" s="1">
        <v>1181</v>
      </c>
      <c r="BU1145" s="1">
        <v>25</v>
      </c>
      <c r="BV1145" s="1"/>
      <c r="BW1145" s="1"/>
      <c r="BX1145" s="1"/>
      <c r="BY1145" s="1"/>
      <c r="BZ1145" s="1">
        <v>0</v>
      </c>
      <c r="CA1145" s="1" t="s">
        <v>109</v>
      </c>
      <c r="CB1145" s="1" t="s">
        <v>109</v>
      </c>
      <c r="CC1145" s="1" t="s">
        <v>109</v>
      </c>
      <c r="CD1145" s="1" t="s">
        <v>109</v>
      </c>
      <c r="CE1145" s="1" t="s">
        <v>109</v>
      </c>
      <c r="CF1145" s="1" t="s">
        <v>109</v>
      </c>
      <c r="CG1145" s="1" t="s">
        <v>109</v>
      </c>
      <c r="CH1145" s="1" t="s">
        <v>109</v>
      </c>
      <c r="CI1145" s="1" t="s">
        <v>109</v>
      </c>
      <c r="CJ1145" s="1" t="s">
        <v>109</v>
      </c>
      <c r="CK1145" s="1"/>
      <c r="CL1145" s="1">
        <v>0</v>
      </c>
      <c r="CM1145" s="1">
        <v>0</v>
      </c>
      <c r="CN1145" s="1">
        <v>0</v>
      </c>
    </row>
    <row r="1146" spans="1:92" ht="14.25" customHeight="1" x14ac:dyDescent="0.15">
      <c r="A1146" s="1" t="s">
        <v>9256</v>
      </c>
      <c r="B1146" s="1" t="s">
        <v>584</v>
      </c>
      <c r="C1146" s="1"/>
      <c r="D1146" s="1" t="s">
        <v>57</v>
      </c>
      <c r="E1146" s="1" t="s">
        <v>9257</v>
      </c>
      <c r="F1146" s="1" t="s">
        <v>98</v>
      </c>
      <c r="G1146" s="1" t="s">
        <v>141</v>
      </c>
      <c r="H1146" s="1">
        <v>0</v>
      </c>
      <c r="I1146" s="1" t="s">
        <v>161</v>
      </c>
      <c r="J1146" s="1"/>
      <c r="K1146" s="1"/>
      <c r="L1146" s="1" t="s">
        <v>2653</v>
      </c>
      <c r="M1146" s="1" t="s">
        <v>125</v>
      </c>
      <c r="N1146" s="1">
        <v>0</v>
      </c>
      <c r="O1146" s="1">
        <v>0</v>
      </c>
      <c r="P1146" s="1" t="s">
        <v>103</v>
      </c>
      <c r="Q1146" s="1" t="s">
        <v>104</v>
      </c>
      <c r="R1146" s="1" t="s">
        <v>9258</v>
      </c>
      <c r="S1146" s="1" t="s">
        <v>9259</v>
      </c>
      <c r="T1146" s="1" t="s">
        <v>7821</v>
      </c>
      <c r="U1146" s="1" t="s">
        <v>9260</v>
      </c>
      <c r="V1146" s="1">
        <v>1</v>
      </c>
      <c r="W1146" s="1">
        <v>1</v>
      </c>
      <c r="X1146" s="1">
        <v>0</v>
      </c>
      <c r="Y1146" s="1">
        <v>0</v>
      </c>
      <c r="Z1146" s="1">
        <v>0</v>
      </c>
      <c r="AA1146" s="1" t="s">
        <v>109</v>
      </c>
      <c r="AB1146" s="1" t="s">
        <v>109</v>
      </c>
      <c r="AC1146" s="1" t="s">
        <v>109</v>
      </c>
      <c r="AD1146" s="1" t="s">
        <v>109</v>
      </c>
      <c r="AE1146" s="1" t="s">
        <v>109</v>
      </c>
      <c r="AF1146" s="1" t="s">
        <v>109</v>
      </c>
      <c r="AG1146" s="1" t="s">
        <v>109</v>
      </c>
      <c r="AH1146" s="1" t="s">
        <v>109</v>
      </c>
      <c r="AI1146" s="1" t="s">
        <v>109</v>
      </c>
      <c r="AJ1146" s="1" t="s">
        <v>109</v>
      </c>
      <c r="AK1146" s="1" t="s">
        <v>109</v>
      </c>
      <c r="AL1146" s="1" t="s">
        <v>109</v>
      </c>
      <c r="AM1146" s="1">
        <v>4</v>
      </c>
      <c r="AN1146" s="1" t="s">
        <v>109</v>
      </c>
      <c r="AO1146" s="1" t="s">
        <v>109</v>
      </c>
      <c r="AP1146" s="1"/>
      <c r="AQ1146" s="1">
        <v>4</v>
      </c>
      <c r="AR1146" s="1"/>
      <c r="AS1146" s="1" t="s">
        <v>9261</v>
      </c>
      <c r="AT1146" s="1">
        <v>0</v>
      </c>
      <c r="AU1146" s="1">
        <v>0</v>
      </c>
      <c r="AV1146" s="1">
        <v>0</v>
      </c>
      <c r="AW1146" s="1">
        <v>0</v>
      </c>
      <c r="AX1146" s="1">
        <v>0</v>
      </c>
      <c r="AY1146" s="1">
        <v>0</v>
      </c>
      <c r="AZ1146" s="1">
        <v>0</v>
      </c>
      <c r="BA1146" s="1">
        <v>0</v>
      </c>
      <c r="BB1146" s="1">
        <v>0</v>
      </c>
      <c r="BC1146" s="1">
        <v>0</v>
      </c>
      <c r="BD1146" s="1">
        <v>0</v>
      </c>
      <c r="BE1146" s="1">
        <v>1</v>
      </c>
      <c r="BF1146" s="1">
        <v>0</v>
      </c>
      <c r="BG1146" s="1">
        <v>0</v>
      </c>
      <c r="BH1146" s="1">
        <v>0</v>
      </c>
      <c r="BI1146" s="1">
        <v>0</v>
      </c>
      <c r="BJ1146" s="1">
        <v>0</v>
      </c>
      <c r="BK1146" s="1">
        <v>0</v>
      </c>
      <c r="BL1146" s="1">
        <v>0</v>
      </c>
      <c r="BM1146" s="1">
        <v>0</v>
      </c>
      <c r="BN1146" s="1">
        <v>0</v>
      </c>
      <c r="BO1146" s="1">
        <v>0</v>
      </c>
      <c r="BP1146" s="1">
        <v>0</v>
      </c>
      <c r="BQ1146" s="1">
        <v>0</v>
      </c>
      <c r="BR1146" s="1">
        <v>0</v>
      </c>
      <c r="BS1146" s="5" t="str">
        <f>HYPERLINK("http://www.d20pfsrd.com/magic/all-spells/u/unholy-sword","Unholy Sword")</f>
        <v>Unholy Sword</v>
      </c>
      <c r="BT1146" s="1">
        <v>1182</v>
      </c>
      <c r="BU1146" s="1" t="s">
        <v>109</v>
      </c>
      <c r="BV1146" s="1"/>
      <c r="BW1146" s="1"/>
      <c r="BX1146" s="1"/>
      <c r="BY1146" s="1"/>
      <c r="BZ1146" s="1">
        <v>0</v>
      </c>
      <c r="CA1146" s="1" t="s">
        <v>109</v>
      </c>
      <c r="CB1146" s="1" t="s">
        <v>109</v>
      </c>
      <c r="CC1146" s="1" t="s">
        <v>109</v>
      </c>
      <c r="CD1146" s="1" t="s">
        <v>109</v>
      </c>
      <c r="CE1146" s="1" t="s">
        <v>109</v>
      </c>
      <c r="CF1146" s="1" t="s">
        <v>109</v>
      </c>
      <c r="CG1146" s="1" t="s">
        <v>109</v>
      </c>
      <c r="CH1146" s="1" t="s">
        <v>109</v>
      </c>
      <c r="CI1146" s="1" t="s">
        <v>109</v>
      </c>
      <c r="CJ1146" s="1" t="s">
        <v>109</v>
      </c>
      <c r="CK1146" s="1"/>
      <c r="CL1146" s="1">
        <v>0</v>
      </c>
      <c r="CM1146" s="1">
        <v>0</v>
      </c>
      <c r="CN1146" s="1">
        <v>0</v>
      </c>
    </row>
    <row r="1147" spans="1:92" ht="14.25" customHeight="1" x14ac:dyDescent="0.15">
      <c r="A1147" s="1" t="s">
        <v>9262</v>
      </c>
      <c r="B1147" s="1" t="s">
        <v>156</v>
      </c>
      <c r="C1147" s="1" t="s">
        <v>157</v>
      </c>
      <c r="D1147" s="1" t="s">
        <v>8086</v>
      </c>
      <c r="E1147" s="1" t="s">
        <v>9263</v>
      </c>
      <c r="F1147" s="1" t="s">
        <v>98</v>
      </c>
      <c r="G1147" s="1" t="s">
        <v>141</v>
      </c>
      <c r="H1147" s="1">
        <v>0</v>
      </c>
      <c r="I1147" s="1" t="s">
        <v>142</v>
      </c>
      <c r="J1147" s="1"/>
      <c r="K1147" s="1"/>
      <c r="L1147" s="1" t="s">
        <v>1391</v>
      </c>
      <c r="M1147" s="1" t="s">
        <v>355</v>
      </c>
      <c r="N1147" s="1">
        <v>0</v>
      </c>
      <c r="O1147" s="1">
        <v>0</v>
      </c>
      <c r="P1147" s="1" t="s">
        <v>301</v>
      </c>
      <c r="Q1147" s="1" t="s">
        <v>268</v>
      </c>
      <c r="R1147" s="1" t="s">
        <v>9264</v>
      </c>
      <c r="S1147" s="1" t="s">
        <v>9265</v>
      </c>
      <c r="T1147" s="1" t="s">
        <v>7821</v>
      </c>
      <c r="U1147" s="1" t="s">
        <v>9266</v>
      </c>
      <c r="V1147" s="1">
        <v>1</v>
      </c>
      <c r="W1147" s="1">
        <v>1</v>
      </c>
      <c r="X1147" s="1">
        <v>0</v>
      </c>
      <c r="Y1147" s="1">
        <v>0</v>
      </c>
      <c r="Z1147" s="1">
        <v>0</v>
      </c>
      <c r="AA1147" s="1">
        <v>2</v>
      </c>
      <c r="AB1147" s="1">
        <v>2</v>
      </c>
      <c r="AC1147" s="1" t="s">
        <v>109</v>
      </c>
      <c r="AD1147" s="1" t="s">
        <v>109</v>
      </c>
      <c r="AE1147" s="1" t="s">
        <v>109</v>
      </c>
      <c r="AF1147" s="1">
        <v>1</v>
      </c>
      <c r="AG1147" s="1" t="s">
        <v>109</v>
      </c>
      <c r="AH1147" s="1" t="s">
        <v>109</v>
      </c>
      <c r="AI1147" s="1" t="s">
        <v>109</v>
      </c>
      <c r="AJ1147" s="1">
        <v>2</v>
      </c>
      <c r="AK1147" s="1" t="s">
        <v>109</v>
      </c>
      <c r="AL1147" s="1" t="s">
        <v>109</v>
      </c>
      <c r="AM1147" s="1" t="s">
        <v>109</v>
      </c>
      <c r="AN1147" s="1" t="s">
        <v>109</v>
      </c>
      <c r="AO1147" s="1" t="s">
        <v>109</v>
      </c>
      <c r="AP1147" s="1"/>
      <c r="AQ1147" s="1">
        <v>2</v>
      </c>
      <c r="AR1147" s="1"/>
      <c r="AS1147" s="1" t="s">
        <v>9267</v>
      </c>
      <c r="AT1147" s="1">
        <v>0</v>
      </c>
      <c r="AU1147" s="1">
        <v>0</v>
      </c>
      <c r="AV1147" s="1">
        <v>0</v>
      </c>
      <c r="AW1147" s="1">
        <v>0</v>
      </c>
      <c r="AX1147" s="1">
        <v>0</v>
      </c>
      <c r="AY1147" s="1">
        <v>0</v>
      </c>
      <c r="AZ1147" s="1">
        <v>0</v>
      </c>
      <c r="BA1147" s="1">
        <v>0</v>
      </c>
      <c r="BB1147" s="1">
        <v>0</v>
      </c>
      <c r="BC1147" s="1">
        <v>0</v>
      </c>
      <c r="BD1147" s="1">
        <v>1</v>
      </c>
      <c r="BE1147" s="1">
        <v>0</v>
      </c>
      <c r="BF1147" s="1">
        <v>0</v>
      </c>
      <c r="BG1147" s="1">
        <v>0</v>
      </c>
      <c r="BH1147" s="1">
        <v>0</v>
      </c>
      <c r="BI1147" s="1">
        <v>0</v>
      </c>
      <c r="BJ1147" s="1">
        <v>0</v>
      </c>
      <c r="BK1147" s="1">
        <v>0</v>
      </c>
      <c r="BL1147" s="1">
        <v>0</v>
      </c>
      <c r="BM1147" s="1">
        <v>1</v>
      </c>
      <c r="BN1147" s="1">
        <v>0</v>
      </c>
      <c r="BO1147" s="1">
        <v>0</v>
      </c>
      <c r="BP1147" s="1">
        <v>0</v>
      </c>
      <c r="BQ1147" s="1">
        <v>0</v>
      </c>
      <c r="BR1147" s="1">
        <v>0</v>
      </c>
      <c r="BS1147" s="5" t="str">
        <f>HYPERLINK("http://www.d20pfsrd.com/magic/all-spells/u/unnatural-lust","Unnatural Lust")</f>
        <v>Unnatural Lust</v>
      </c>
      <c r="BT1147" s="1">
        <v>1183</v>
      </c>
      <c r="BU1147" s="1" t="s">
        <v>109</v>
      </c>
      <c r="BV1147" s="1"/>
      <c r="BW1147" s="1" t="s">
        <v>9268</v>
      </c>
      <c r="BX1147" s="1"/>
      <c r="BY1147" s="1"/>
      <c r="BZ1147" s="1">
        <v>0</v>
      </c>
      <c r="CA1147" s="1" t="s">
        <v>109</v>
      </c>
      <c r="CB1147" s="1" t="s">
        <v>109</v>
      </c>
      <c r="CC1147" s="1">
        <v>2</v>
      </c>
      <c r="CD1147" s="1" t="s">
        <v>109</v>
      </c>
      <c r="CE1147" s="1">
        <v>1</v>
      </c>
      <c r="CF1147" s="1" t="s">
        <v>109</v>
      </c>
      <c r="CG1147" s="1" t="s">
        <v>109</v>
      </c>
      <c r="CH1147" s="1" t="s">
        <v>109</v>
      </c>
      <c r="CI1147" s="1" t="s">
        <v>109</v>
      </c>
      <c r="CJ1147" s="1" t="s">
        <v>109</v>
      </c>
      <c r="CK1147" s="1"/>
      <c r="CL1147" s="1">
        <v>0</v>
      </c>
      <c r="CM1147" s="1">
        <v>0</v>
      </c>
      <c r="CN1147" s="1">
        <v>0</v>
      </c>
    </row>
    <row r="1148" spans="1:92" ht="14.25" customHeight="1" x14ac:dyDescent="0.15">
      <c r="A1148" s="1" t="s">
        <v>9269</v>
      </c>
      <c r="B1148" s="1" t="s">
        <v>156</v>
      </c>
      <c r="C1148" s="1" t="s">
        <v>157</v>
      </c>
      <c r="D1148" s="1" t="s">
        <v>8086</v>
      </c>
      <c r="E1148" s="1" t="s">
        <v>8257</v>
      </c>
      <c r="F1148" s="1" t="s">
        <v>98</v>
      </c>
      <c r="G1148" s="1" t="s">
        <v>141</v>
      </c>
      <c r="H1148" s="1">
        <v>0</v>
      </c>
      <c r="I1148" s="1" t="s">
        <v>142</v>
      </c>
      <c r="J1148" s="1"/>
      <c r="K1148" s="1"/>
      <c r="L1148" s="1" t="s">
        <v>1391</v>
      </c>
      <c r="M1148" s="1" t="s">
        <v>3042</v>
      </c>
      <c r="N1148" s="1">
        <v>0</v>
      </c>
      <c r="O1148" s="1">
        <v>0</v>
      </c>
      <c r="P1148" s="1" t="s">
        <v>301</v>
      </c>
      <c r="Q1148" s="1" t="s">
        <v>268</v>
      </c>
      <c r="R1148" s="1" t="s">
        <v>9270</v>
      </c>
      <c r="S1148" s="1" t="s">
        <v>9271</v>
      </c>
      <c r="T1148" s="1" t="s">
        <v>7821</v>
      </c>
      <c r="U1148" s="1" t="s">
        <v>9272</v>
      </c>
      <c r="V1148" s="1">
        <v>1</v>
      </c>
      <c r="W1148" s="1">
        <v>1</v>
      </c>
      <c r="X1148" s="1">
        <v>0</v>
      </c>
      <c r="Y1148" s="1">
        <v>0</v>
      </c>
      <c r="Z1148" s="1">
        <v>0</v>
      </c>
      <c r="AA1148" s="1">
        <v>1</v>
      </c>
      <c r="AB1148" s="1">
        <v>1</v>
      </c>
      <c r="AC1148" s="1" t="s">
        <v>109</v>
      </c>
      <c r="AD1148" s="1" t="s">
        <v>109</v>
      </c>
      <c r="AE1148" s="1" t="s">
        <v>109</v>
      </c>
      <c r="AF1148" s="1">
        <v>1</v>
      </c>
      <c r="AG1148" s="1" t="s">
        <v>109</v>
      </c>
      <c r="AH1148" s="1" t="s">
        <v>109</v>
      </c>
      <c r="AI1148" s="1" t="s">
        <v>109</v>
      </c>
      <c r="AJ1148" s="1">
        <v>1</v>
      </c>
      <c r="AK1148" s="1" t="s">
        <v>109</v>
      </c>
      <c r="AL1148" s="1" t="s">
        <v>109</v>
      </c>
      <c r="AM1148" s="1" t="s">
        <v>109</v>
      </c>
      <c r="AN1148" s="1" t="s">
        <v>109</v>
      </c>
      <c r="AO1148" s="1" t="s">
        <v>109</v>
      </c>
      <c r="AP1148" s="1"/>
      <c r="AQ1148" s="1">
        <v>1</v>
      </c>
      <c r="AR1148" s="1"/>
      <c r="AS1148" s="1" t="s">
        <v>9273</v>
      </c>
      <c r="AT1148" s="1">
        <v>0</v>
      </c>
      <c r="AU1148" s="1">
        <v>0</v>
      </c>
      <c r="AV1148" s="1">
        <v>0</v>
      </c>
      <c r="AW1148" s="1">
        <v>0</v>
      </c>
      <c r="AX1148" s="1">
        <v>0</v>
      </c>
      <c r="AY1148" s="1">
        <v>0</v>
      </c>
      <c r="AZ1148" s="1">
        <v>0</v>
      </c>
      <c r="BA1148" s="1">
        <v>0</v>
      </c>
      <c r="BB1148" s="1">
        <v>0</v>
      </c>
      <c r="BC1148" s="1">
        <v>0</v>
      </c>
      <c r="BD1148" s="1">
        <v>1</v>
      </c>
      <c r="BE1148" s="1">
        <v>0</v>
      </c>
      <c r="BF1148" s="1">
        <v>0</v>
      </c>
      <c r="BG1148" s="1">
        <v>0</v>
      </c>
      <c r="BH1148" s="1">
        <v>0</v>
      </c>
      <c r="BI1148" s="1">
        <v>0</v>
      </c>
      <c r="BJ1148" s="1">
        <v>0</v>
      </c>
      <c r="BK1148" s="1">
        <v>0</v>
      </c>
      <c r="BL1148" s="1">
        <v>0</v>
      </c>
      <c r="BM1148" s="1">
        <v>1</v>
      </c>
      <c r="BN1148" s="1">
        <v>0</v>
      </c>
      <c r="BO1148" s="1">
        <v>0</v>
      </c>
      <c r="BP1148" s="1">
        <v>0</v>
      </c>
      <c r="BQ1148" s="1">
        <v>0</v>
      </c>
      <c r="BR1148" s="1">
        <v>0</v>
      </c>
      <c r="BS1148" s="5" t="str">
        <f>HYPERLINK("http://www.d20pfsrd.com/magic/all-spells/u/unprepared-combatant","Unprepared Combatant")</f>
        <v>Unprepared Combatant</v>
      </c>
      <c r="BT1148" s="1">
        <v>1184</v>
      </c>
      <c r="BU1148" s="1" t="s">
        <v>109</v>
      </c>
      <c r="BV1148" s="1"/>
      <c r="BW1148" s="1"/>
      <c r="BX1148" s="1"/>
      <c r="BY1148" s="1"/>
      <c r="BZ1148" s="1">
        <v>0</v>
      </c>
      <c r="CA1148" s="1" t="s">
        <v>109</v>
      </c>
      <c r="CB1148" s="1" t="s">
        <v>109</v>
      </c>
      <c r="CC1148" s="1">
        <v>1</v>
      </c>
      <c r="CD1148" s="1" t="s">
        <v>109</v>
      </c>
      <c r="CE1148" s="1">
        <v>1</v>
      </c>
      <c r="CF1148" s="1" t="s">
        <v>109</v>
      </c>
      <c r="CG1148" s="1" t="s">
        <v>109</v>
      </c>
      <c r="CH1148" s="1" t="s">
        <v>109</v>
      </c>
      <c r="CI1148" s="1" t="s">
        <v>109</v>
      </c>
      <c r="CJ1148" s="1" t="s">
        <v>109</v>
      </c>
      <c r="CK1148" s="1"/>
      <c r="CL1148" s="1">
        <v>0</v>
      </c>
      <c r="CM1148" s="1">
        <v>0</v>
      </c>
      <c r="CN1148" s="1">
        <v>0</v>
      </c>
    </row>
    <row r="1149" spans="1:92" ht="14.25" customHeight="1" x14ac:dyDescent="0.15">
      <c r="A1149" s="1" t="s">
        <v>9274</v>
      </c>
      <c r="B1149" s="1" t="s">
        <v>308</v>
      </c>
      <c r="C1149" s="1"/>
      <c r="D1149" s="1" t="s">
        <v>49</v>
      </c>
      <c r="E1149" s="1" t="s">
        <v>9275</v>
      </c>
      <c r="F1149" s="1" t="s">
        <v>98</v>
      </c>
      <c r="G1149" s="1" t="s">
        <v>1191</v>
      </c>
      <c r="H1149" s="1">
        <v>0</v>
      </c>
      <c r="I1149" s="1" t="s">
        <v>142</v>
      </c>
      <c r="J1149" s="1"/>
      <c r="K1149" s="1"/>
      <c r="L1149" s="1" t="s">
        <v>1391</v>
      </c>
      <c r="M1149" s="1" t="s">
        <v>7620</v>
      </c>
      <c r="N1149" s="1">
        <v>0</v>
      </c>
      <c r="O1149" s="1">
        <v>0</v>
      </c>
      <c r="P1149" s="1" t="s">
        <v>6066</v>
      </c>
      <c r="Q1149" s="1" t="s">
        <v>268</v>
      </c>
      <c r="R1149" s="1" t="s">
        <v>9276</v>
      </c>
      <c r="S1149" s="1" t="s">
        <v>9277</v>
      </c>
      <c r="T1149" s="1" t="s">
        <v>7821</v>
      </c>
      <c r="U1149" s="1" t="s">
        <v>9278</v>
      </c>
      <c r="V1149" s="1">
        <v>1</v>
      </c>
      <c r="W1149" s="1">
        <v>1</v>
      </c>
      <c r="X1149" s="1">
        <v>1</v>
      </c>
      <c r="Y1149" s="1">
        <v>0</v>
      </c>
      <c r="Z1149" s="1">
        <v>0</v>
      </c>
      <c r="AA1149" s="1">
        <v>2</v>
      </c>
      <c r="AB1149" s="1">
        <v>2</v>
      </c>
      <c r="AC1149" s="1" t="s">
        <v>109</v>
      </c>
      <c r="AD1149" s="1">
        <v>2</v>
      </c>
      <c r="AE1149" s="1" t="s">
        <v>109</v>
      </c>
      <c r="AF1149" s="1" t="s">
        <v>109</v>
      </c>
      <c r="AG1149" s="1" t="s">
        <v>109</v>
      </c>
      <c r="AH1149" s="1" t="s">
        <v>109</v>
      </c>
      <c r="AI1149" s="1" t="s">
        <v>109</v>
      </c>
      <c r="AJ1149" s="1">
        <v>2</v>
      </c>
      <c r="AK1149" s="1" t="s">
        <v>109</v>
      </c>
      <c r="AL1149" s="1" t="s">
        <v>109</v>
      </c>
      <c r="AM1149" s="1" t="s">
        <v>109</v>
      </c>
      <c r="AN1149" s="1" t="s">
        <v>109</v>
      </c>
      <c r="AO1149" s="1" t="s">
        <v>109</v>
      </c>
      <c r="AP1149" s="1"/>
      <c r="AQ1149" s="1">
        <v>2</v>
      </c>
      <c r="AR1149" s="1"/>
      <c r="AS1149" s="1" t="s">
        <v>9279</v>
      </c>
      <c r="AT1149" s="1">
        <v>0</v>
      </c>
      <c r="AU1149" s="1">
        <v>0</v>
      </c>
      <c r="AV1149" s="1">
        <v>0</v>
      </c>
      <c r="AW1149" s="1">
        <v>1</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5" t="str">
        <f>HYPERLINK("http://www.d20pfsrd.com/magic/all-spells/u/unshakable-chill","Unshakable Chill")</f>
        <v>Unshakable Chill</v>
      </c>
      <c r="BT1149" s="1">
        <v>1185</v>
      </c>
      <c r="BU1149" s="1" t="s">
        <v>109</v>
      </c>
      <c r="BV1149" s="1"/>
      <c r="BW1149" s="1" t="s">
        <v>9280</v>
      </c>
      <c r="BX1149" s="1" t="s">
        <v>9281</v>
      </c>
      <c r="BY1149" s="1" t="s">
        <v>9282</v>
      </c>
      <c r="BZ1149" s="1">
        <v>1</v>
      </c>
      <c r="CA1149" s="1">
        <v>2</v>
      </c>
      <c r="CB1149" s="1" t="s">
        <v>109</v>
      </c>
      <c r="CC1149" s="1" t="s">
        <v>109</v>
      </c>
      <c r="CD1149" s="1" t="s">
        <v>109</v>
      </c>
      <c r="CE1149" s="1" t="s">
        <v>109</v>
      </c>
      <c r="CF1149" s="1" t="s">
        <v>109</v>
      </c>
      <c r="CG1149" s="1" t="s">
        <v>109</v>
      </c>
      <c r="CH1149" s="1" t="s">
        <v>109</v>
      </c>
      <c r="CI1149" s="1" t="s">
        <v>109</v>
      </c>
      <c r="CJ1149" s="1">
        <v>2</v>
      </c>
      <c r="CK1149" s="1"/>
      <c r="CL1149" s="1">
        <v>0</v>
      </c>
      <c r="CM1149" s="1">
        <v>0</v>
      </c>
      <c r="CN1149" s="1">
        <v>0</v>
      </c>
    </row>
    <row r="1150" spans="1:92" ht="14.25" customHeight="1" x14ac:dyDescent="0.15">
      <c r="A1150" s="1" t="s">
        <v>9283</v>
      </c>
      <c r="B1150" s="1" t="s">
        <v>156</v>
      </c>
      <c r="C1150" s="1"/>
      <c r="D1150" s="1" t="s">
        <v>56</v>
      </c>
      <c r="E1150" s="1" t="s">
        <v>9284</v>
      </c>
      <c r="F1150" s="1" t="s">
        <v>98</v>
      </c>
      <c r="G1150" s="1" t="s">
        <v>9285</v>
      </c>
      <c r="H1150" s="1">
        <v>0</v>
      </c>
      <c r="I1150" s="1" t="s">
        <v>142</v>
      </c>
      <c r="J1150" s="1"/>
      <c r="K1150" s="1"/>
      <c r="L1150" s="1" t="s">
        <v>1391</v>
      </c>
      <c r="M1150" s="1" t="s">
        <v>3042</v>
      </c>
      <c r="N1150" s="1">
        <v>0</v>
      </c>
      <c r="O1150" s="1">
        <v>0</v>
      </c>
      <c r="P1150" s="1" t="s">
        <v>301</v>
      </c>
      <c r="Q1150" s="1" t="s">
        <v>268</v>
      </c>
      <c r="R1150" s="1" t="s">
        <v>9286</v>
      </c>
      <c r="S1150" s="1" t="s">
        <v>9287</v>
      </c>
      <c r="T1150" s="1" t="s">
        <v>7821</v>
      </c>
      <c r="U1150" s="1" t="s">
        <v>9288</v>
      </c>
      <c r="V1150" s="1">
        <v>1</v>
      </c>
      <c r="W1150" s="1">
        <v>1</v>
      </c>
      <c r="X1150" s="1">
        <v>1</v>
      </c>
      <c r="Y1150" s="1">
        <v>0</v>
      </c>
      <c r="Z1150" s="1">
        <v>0</v>
      </c>
      <c r="AA1150" s="1">
        <v>6</v>
      </c>
      <c r="AB1150" s="1">
        <v>6</v>
      </c>
      <c r="AC1150" s="1" t="s">
        <v>109</v>
      </c>
      <c r="AD1150" s="1" t="s">
        <v>109</v>
      </c>
      <c r="AE1150" s="1" t="s">
        <v>109</v>
      </c>
      <c r="AF1150" s="1">
        <v>4</v>
      </c>
      <c r="AG1150" s="1" t="s">
        <v>109</v>
      </c>
      <c r="AH1150" s="1" t="s">
        <v>109</v>
      </c>
      <c r="AI1150" s="1" t="s">
        <v>109</v>
      </c>
      <c r="AJ1150" s="1" t="s">
        <v>109</v>
      </c>
      <c r="AK1150" s="1" t="s">
        <v>109</v>
      </c>
      <c r="AL1150" s="1" t="s">
        <v>109</v>
      </c>
      <c r="AM1150" s="1">
        <v>3</v>
      </c>
      <c r="AN1150" s="1" t="s">
        <v>109</v>
      </c>
      <c r="AO1150" s="1" t="s">
        <v>109</v>
      </c>
      <c r="AP1150" s="1"/>
      <c r="AQ1150" s="1">
        <v>6</v>
      </c>
      <c r="AR1150" s="1"/>
      <c r="AS1150" s="1" t="s">
        <v>9289</v>
      </c>
      <c r="AT1150" s="1">
        <v>0</v>
      </c>
      <c r="AU1150" s="1">
        <v>0</v>
      </c>
      <c r="AV1150" s="1">
        <v>0</v>
      </c>
      <c r="AW1150" s="1">
        <v>0</v>
      </c>
      <c r="AX1150" s="1">
        <v>0</v>
      </c>
      <c r="AY1150" s="1">
        <v>0</v>
      </c>
      <c r="AZ1150" s="1">
        <v>0</v>
      </c>
      <c r="BA1150" s="1">
        <v>0</v>
      </c>
      <c r="BB1150" s="1">
        <v>0</v>
      </c>
      <c r="BC1150" s="1">
        <v>0</v>
      </c>
      <c r="BD1150" s="1">
        <v>1</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5" t="str">
        <f>HYPERLINK("http://www.d20pfsrd.com/magic/all-spells/u/utter-contempt","Utter Contempt")</f>
        <v>Utter Contempt</v>
      </c>
      <c r="BT1150" s="1">
        <v>1186</v>
      </c>
      <c r="BU1150" s="1" t="s">
        <v>109</v>
      </c>
      <c r="BV1150" s="1"/>
      <c r="BW1150" s="1"/>
      <c r="BX1150" s="1"/>
      <c r="BY1150" s="1"/>
      <c r="BZ1150" s="1">
        <v>0</v>
      </c>
      <c r="CA1150" s="1" t="s">
        <v>109</v>
      </c>
      <c r="CB1150" s="1" t="s">
        <v>109</v>
      </c>
      <c r="CC1150" s="1">
        <v>5</v>
      </c>
      <c r="CD1150" s="1" t="s">
        <v>109</v>
      </c>
      <c r="CE1150" s="1">
        <v>4</v>
      </c>
      <c r="CF1150" s="1" t="s">
        <v>109</v>
      </c>
      <c r="CG1150" s="1" t="s">
        <v>109</v>
      </c>
      <c r="CH1150" s="1" t="s">
        <v>109</v>
      </c>
      <c r="CI1150" s="1" t="s">
        <v>109</v>
      </c>
      <c r="CJ1150" s="1" t="s">
        <v>109</v>
      </c>
      <c r="CK1150" s="1"/>
      <c r="CL1150" s="1">
        <v>0</v>
      </c>
      <c r="CM1150" s="1">
        <v>0</v>
      </c>
      <c r="CN1150" s="1">
        <v>0</v>
      </c>
    </row>
    <row r="1151" spans="1:92" ht="14.25" customHeight="1" x14ac:dyDescent="0.15">
      <c r="A1151" s="1" t="s">
        <v>9290</v>
      </c>
      <c r="B1151" s="1" t="s">
        <v>156</v>
      </c>
      <c r="C1151" s="1" t="s">
        <v>157</v>
      </c>
      <c r="D1151" s="1" t="s">
        <v>9291</v>
      </c>
      <c r="E1151" s="1" t="s">
        <v>9292</v>
      </c>
      <c r="F1151" s="1" t="s">
        <v>355</v>
      </c>
      <c r="G1151" s="1" t="s">
        <v>141</v>
      </c>
      <c r="H1151" s="1">
        <v>0</v>
      </c>
      <c r="I1151" s="1" t="s">
        <v>142</v>
      </c>
      <c r="J1151" s="1"/>
      <c r="K1151" s="1"/>
      <c r="L1151" s="1" t="s">
        <v>1391</v>
      </c>
      <c r="M1151" s="1" t="s">
        <v>3042</v>
      </c>
      <c r="N1151" s="1">
        <v>0</v>
      </c>
      <c r="O1151" s="1">
        <v>0</v>
      </c>
      <c r="P1151" s="1" t="s">
        <v>301</v>
      </c>
      <c r="Q1151" s="1" t="s">
        <v>268</v>
      </c>
      <c r="R1151" s="1" t="s">
        <v>9293</v>
      </c>
      <c r="S1151" s="1" t="s">
        <v>9294</v>
      </c>
      <c r="T1151" s="1" t="s">
        <v>7821</v>
      </c>
      <c r="U1151" s="1" t="s">
        <v>9295</v>
      </c>
      <c r="V1151" s="1">
        <v>1</v>
      </c>
      <c r="W1151" s="1">
        <v>1</v>
      </c>
      <c r="X1151" s="1">
        <v>0</v>
      </c>
      <c r="Y1151" s="1">
        <v>0</v>
      </c>
      <c r="Z1151" s="1">
        <v>0</v>
      </c>
      <c r="AA1151" s="1">
        <v>6</v>
      </c>
      <c r="AB1151" s="1">
        <v>6</v>
      </c>
      <c r="AC1151" s="1" t="s">
        <v>109</v>
      </c>
      <c r="AD1151" s="1" t="s">
        <v>109</v>
      </c>
      <c r="AE1151" s="1" t="s">
        <v>109</v>
      </c>
      <c r="AF1151" s="1">
        <v>5</v>
      </c>
      <c r="AG1151" s="1" t="s">
        <v>109</v>
      </c>
      <c r="AH1151" s="1" t="s">
        <v>109</v>
      </c>
      <c r="AI1151" s="1" t="s">
        <v>109</v>
      </c>
      <c r="AJ1151" s="1">
        <v>6</v>
      </c>
      <c r="AK1151" s="1" t="s">
        <v>109</v>
      </c>
      <c r="AL1151" s="1" t="s">
        <v>109</v>
      </c>
      <c r="AM1151" s="1" t="s">
        <v>109</v>
      </c>
      <c r="AN1151" s="1" t="s">
        <v>109</v>
      </c>
      <c r="AO1151" s="1" t="s">
        <v>109</v>
      </c>
      <c r="AP1151" s="1"/>
      <c r="AQ1151" s="1">
        <v>6</v>
      </c>
      <c r="AR1151" s="1"/>
      <c r="AS1151" s="1" t="s">
        <v>9296</v>
      </c>
      <c r="AT1151" s="1">
        <v>0</v>
      </c>
      <c r="AU1151" s="1">
        <v>0</v>
      </c>
      <c r="AV1151" s="1">
        <v>0</v>
      </c>
      <c r="AW1151" s="1">
        <v>0</v>
      </c>
      <c r="AX1151" s="1">
        <v>0</v>
      </c>
      <c r="AY1151" s="1">
        <v>0</v>
      </c>
      <c r="AZ1151" s="1">
        <v>0</v>
      </c>
      <c r="BA1151" s="1">
        <v>0</v>
      </c>
      <c r="BB1151" s="1">
        <v>0</v>
      </c>
      <c r="BC1151" s="1">
        <v>0</v>
      </c>
      <c r="BD1151" s="1">
        <v>1</v>
      </c>
      <c r="BE1151" s="1">
        <v>0</v>
      </c>
      <c r="BF1151" s="1">
        <v>0</v>
      </c>
      <c r="BG1151" s="1">
        <v>0</v>
      </c>
      <c r="BH1151" s="1">
        <v>0</v>
      </c>
      <c r="BI1151" s="1">
        <v>0</v>
      </c>
      <c r="BJ1151" s="1">
        <v>1</v>
      </c>
      <c r="BK1151" s="1">
        <v>0</v>
      </c>
      <c r="BL1151" s="1">
        <v>0</v>
      </c>
      <c r="BM1151" s="1">
        <v>1</v>
      </c>
      <c r="BN1151" s="1">
        <v>0</v>
      </c>
      <c r="BO1151" s="1">
        <v>0</v>
      </c>
      <c r="BP1151" s="1">
        <v>0</v>
      </c>
      <c r="BQ1151" s="1">
        <v>0</v>
      </c>
      <c r="BR1151" s="1">
        <v>0</v>
      </c>
      <c r="BS1151" s="5" t="str">
        <f>HYPERLINK("http://www.d20pfsrd.com/magic/all-spells/v/vengeful-outrage","Vengeful Outrage")</f>
        <v>Vengeful Outrage</v>
      </c>
      <c r="BT1151" s="1">
        <v>1187</v>
      </c>
      <c r="BU1151" s="1" t="s">
        <v>109</v>
      </c>
      <c r="BV1151" s="1"/>
      <c r="BW1151" s="1"/>
      <c r="BX1151" s="1"/>
      <c r="BY1151" s="1"/>
      <c r="BZ1151" s="1">
        <v>0</v>
      </c>
      <c r="CA1151" s="1" t="s">
        <v>109</v>
      </c>
      <c r="CB1151" s="1" t="s">
        <v>109</v>
      </c>
      <c r="CC1151" s="1">
        <v>6</v>
      </c>
      <c r="CD1151" s="1" t="s">
        <v>109</v>
      </c>
      <c r="CE1151" s="1">
        <v>5</v>
      </c>
      <c r="CF1151" s="1" t="s">
        <v>109</v>
      </c>
      <c r="CG1151" s="1" t="s">
        <v>109</v>
      </c>
      <c r="CH1151" s="1" t="s">
        <v>109</v>
      </c>
      <c r="CI1151" s="1" t="s">
        <v>109</v>
      </c>
      <c r="CJ1151" s="1" t="s">
        <v>109</v>
      </c>
      <c r="CK1151" s="1"/>
      <c r="CL1151" s="1">
        <v>0</v>
      </c>
      <c r="CM1151" s="1">
        <v>0</v>
      </c>
      <c r="CN1151" s="1">
        <v>0</v>
      </c>
    </row>
    <row r="1152" spans="1:92" ht="14.25" customHeight="1" x14ac:dyDescent="0.15">
      <c r="A1152" s="1" t="s">
        <v>9297</v>
      </c>
      <c r="B1152" s="1" t="s">
        <v>189</v>
      </c>
      <c r="C1152" s="1" t="s">
        <v>231</v>
      </c>
      <c r="D1152" s="1"/>
      <c r="E1152" s="1" t="s">
        <v>9298</v>
      </c>
      <c r="F1152" s="1" t="s">
        <v>98</v>
      </c>
      <c r="G1152" s="1" t="s">
        <v>234</v>
      </c>
      <c r="H1152" s="1">
        <v>0</v>
      </c>
      <c r="I1152" s="1" t="s">
        <v>235</v>
      </c>
      <c r="J1152" s="1"/>
      <c r="K1152" s="1"/>
      <c r="L1152" s="1" t="s">
        <v>236</v>
      </c>
      <c r="M1152" s="1" t="s">
        <v>3042</v>
      </c>
      <c r="N1152" s="1">
        <v>0</v>
      </c>
      <c r="O1152" s="1">
        <v>0</v>
      </c>
      <c r="P1152" s="1"/>
      <c r="Q1152" s="1"/>
      <c r="R1152" s="1" t="s">
        <v>9299</v>
      </c>
      <c r="S1152" s="1" t="s">
        <v>9300</v>
      </c>
      <c r="T1152" s="1" t="s">
        <v>7821</v>
      </c>
      <c r="U1152" s="1" t="s">
        <v>9301</v>
      </c>
      <c r="V1152" s="1">
        <v>1</v>
      </c>
      <c r="W1152" s="1">
        <v>1</v>
      </c>
      <c r="X1152" s="1">
        <v>1</v>
      </c>
      <c r="Y1152" s="1">
        <v>0</v>
      </c>
      <c r="Z1152" s="1">
        <v>0</v>
      </c>
      <c r="AA1152" s="1">
        <v>4</v>
      </c>
      <c r="AB1152" s="1">
        <v>4</v>
      </c>
      <c r="AC1152" s="1" t="s">
        <v>109</v>
      </c>
      <c r="AD1152" s="1">
        <v>3</v>
      </c>
      <c r="AE1152" s="1" t="s">
        <v>109</v>
      </c>
      <c r="AF1152" s="1" t="s">
        <v>109</v>
      </c>
      <c r="AG1152" s="1" t="s">
        <v>109</v>
      </c>
      <c r="AH1152" s="1">
        <v>4</v>
      </c>
      <c r="AI1152" s="1" t="s">
        <v>109</v>
      </c>
      <c r="AJ1152" s="1">
        <v>3</v>
      </c>
      <c r="AK1152" s="1" t="s">
        <v>109</v>
      </c>
      <c r="AL1152" s="1" t="s">
        <v>109</v>
      </c>
      <c r="AM1152" s="1" t="s">
        <v>109</v>
      </c>
      <c r="AN1152" s="1">
        <v>4</v>
      </c>
      <c r="AO1152" s="1" t="s">
        <v>109</v>
      </c>
      <c r="AP1152" s="1"/>
      <c r="AQ1152" s="1">
        <v>4</v>
      </c>
      <c r="AR1152" s="1"/>
      <c r="AS1152" s="1" t="s">
        <v>9302</v>
      </c>
      <c r="AT1152" s="1">
        <v>0</v>
      </c>
      <c r="AU1152" s="1">
        <v>0</v>
      </c>
      <c r="AV1152" s="1">
        <v>0</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5" t="str">
        <f>HYPERLINK("http://www.d20pfsrd.com/magic/all-spells/v/vermin-shape-i","Vermin Shape I")</f>
        <v>Vermin Shape I</v>
      </c>
      <c r="BT1152" s="1">
        <v>1188</v>
      </c>
      <c r="BU1152" s="1" t="s">
        <v>109</v>
      </c>
      <c r="BV1152" s="1"/>
      <c r="BW1152" s="1"/>
      <c r="BX1152" s="1"/>
      <c r="BY1152" s="1"/>
      <c r="BZ1152" s="1">
        <v>0</v>
      </c>
      <c r="CA1152" s="1">
        <v>4</v>
      </c>
      <c r="CB1152" s="1" t="s">
        <v>109</v>
      </c>
      <c r="CC1152" s="1" t="s">
        <v>109</v>
      </c>
      <c r="CD1152" s="1" t="s">
        <v>109</v>
      </c>
      <c r="CE1152" s="1" t="s">
        <v>109</v>
      </c>
      <c r="CF1152" s="1" t="s">
        <v>109</v>
      </c>
      <c r="CG1152" s="1" t="s">
        <v>109</v>
      </c>
      <c r="CH1152" s="1" t="s">
        <v>109</v>
      </c>
      <c r="CI1152" s="1" t="s">
        <v>109</v>
      </c>
      <c r="CJ1152" s="1">
        <v>3</v>
      </c>
      <c r="CK1152" s="1"/>
      <c r="CL1152" s="1">
        <v>0</v>
      </c>
      <c r="CM1152" s="1">
        <v>0</v>
      </c>
      <c r="CN1152" s="1">
        <v>0</v>
      </c>
    </row>
    <row r="1153" spans="1:92" ht="14.25" customHeight="1" x14ac:dyDescent="0.15">
      <c r="A1153" s="1" t="s">
        <v>9303</v>
      </c>
      <c r="B1153" s="1" t="s">
        <v>189</v>
      </c>
      <c r="C1153" s="1" t="s">
        <v>231</v>
      </c>
      <c r="D1153" s="1"/>
      <c r="E1153" s="1" t="s">
        <v>9304</v>
      </c>
      <c r="F1153" s="1" t="s">
        <v>98</v>
      </c>
      <c r="G1153" s="1" t="s">
        <v>234</v>
      </c>
      <c r="H1153" s="1">
        <v>0</v>
      </c>
      <c r="I1153" s="1" t="s">
        <v>235</v>
      </c>
      <c r="J1153" s="1"/>
      <c r="K1153" s="1"/>
      <c r="L1153" s="1" t="s">
        <v>236</v>
      </c>
      <c r="M1153" s="1" t="s">
        <v>3042</v>
      </c>
      <c r="N1153" s="1">
        <v>0</v>
      </c>
      <c r="O1153" s="1">
        <v>0</v>
      </c>
      <c r="P1153" s="1"/>
      <c r="Q1153" s="1"/>
      <c r="R1153" s="1" t="s">
        <v>9305</v>
      </c>
      <c r="S1153" s="1" t="s">
        <v>9306</v>
      </c>
      <c r="T1153" s="1" t="s">
        <v>7821</v>
      </c>
      <c r="U1153" s="1" t="s">
        <v>9307</v>
      </c>
      <c r="V1153" s="1">
        <v>1</v>
      </c>
      <c r="W1153" s="1">
        <v>1</v>
      </c>
      <c r="X1153" s="1">
        <v>1</v>
      </c>
      <c r="Y1153" s="1">
        <v>0</v>
      </c>
      <c r="Z1153" s="1">
        <v>0</v>
      </c>
      <c r="AA1153" s="1">
        <v>5</v>
      </c>
      <c r="AB1153" s="1">
        <v>5</v>
      </c>
      <c r="AC1153" s="1" t="s">
        <v>109</v>
      </c>
      <c r="AD1153" s="1">
        <v>4</v>
      </c>
      <c r="AE1153" s="1" t="s">
        <v>109</v>
      </c>
      <c r="AF1153" s="1" t="s">
        <v>109</v>
      </c>
      <c r="AG1153" s="1" t="s">
        <v>109</v>
      </c>
      <c r="AH1153" s="1">
        <v>5</v>
      </c>
      <c r="AI1153" s="1" t="s">
        <v>109</v>
      </c>
      <c r="AJ1153" s="1">
        <v>4</v>
      </c>
      <c r="AK1153" s="1" t="s">
        <v>109</v>
      </c>
      <c r="AL1153" s="1" t="s">
        <v>109</v>
      </c>
      <c r="AM1153" s="1" t="s">
        <v>109</v>
      </c>
      <c r="AN1153" s="1">
        <v>5</v>
      </c>
      <c r="AO1153" s="1" t="s">
        <v>109</v>
      </c>
      <c r="AP1153" s="1"/>
      <c r="AQ1153" s="1">
        <v>5</v>
      </c>
      <c r="AR1153" s="1"/>
      <c r="AS1153" s="1" t="s">
        <v>9308</v>
      </c>
      <c r="AT1153" s="1">
        <v>0</v>
      </c>
      <c r="AU1153" s="1">
        <v>0</v>
      </c>
      <c r="AV1153" s="1">
        <v>0</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5" t="str">
        <f>HYPERLINK("http://www.d20pfsrd.com/magic/all-spells/v/vermin-shape-ii","Vermin Shape II")</f>
        <v>Vermin Shape II</v>
      </c>
      <c r="BT1153" s="1">
        <v>1189</v>
      </c>
      <c r="BU1153" s="1" t="s">
        <v>109</v>
      </c>
      <c r="BV1153" s="1"/>
      <c r="BW1153" s="1"/>
      <c r="BX1153" s="1"/>
      <c r="BY1153" s="1"/>
      <c r="BZ1153" s="1">
        <v>0</v>
      </c>
      <c r="CA1153" s="1" t="s">
        <v>109</v>
      </c>
      <c r="CB1153" s="1" t="s">
        <v>109</v>
      </c>
      <c r="CC1153" s="1" t="s">
        <v>109</v>
      </c>
      <c r="CD1153" s="1" t="s">
        <v>109</v>
      </c>
      <c r="CE1153" s="1" t="s">
        <v>109</v>
      </c>
      <c r="CF1153" s="1" t="s">
        <v>109</v>
      </c>
      <c r="CG1153" s="1" t="s">
        <v>109</v>
      </c>
      <c r="CH1153" s="1" t="s">
        <v>109</v>
      </c>
      <c r="CI1153" s="1" t="s">
        <v>109</v>
      </c>
      <c r="CJ1153" s="1">
        <v>4</v>
      </c>
      <c r="CK1153" s="1"/>
      <c r="CL1153" s="1">
        <v>0</v>
      </c>
      <c r="CM1153" s="1">
        <v>0</v>
      </c>
      <c r="CN1153" s="1">
        <v>0</v>
      </c>
    </row>
    <row r="1154" spans="1:92" ht="14.25" customHeight="1" x14ac:dyDescent="0.15">
      <c r="A1154" s="1" t="s">
        <v>9309</v>
      </c>
      <c r="B1154" s="1" t="s">
        <v>242</v>
      </c>
      <c r="C1154" s="1"/>
      <c r="D1154" s="1"/>
      <c r="E1154" s="1" t="s">
        <v>9310</v>
      </c>
      <c r="F1154" s="1" t="s">
        <v>98</v>
      </c>
      <c r="G1154" s="1" t="s">
        <v>141</v>
      </c>
      <c r="H1154" s="1">
        <v>0</v>
      </c>
      <c r="I1154" s="1" t="s">
        <v>161</v>
      </c>
      <c r="J1154" s="1"/>
      <c r="K1154" s="1"/>
      <c r="L1154" s="1" t="s">
        <v>3177</v>
      </c>
      <c r="M1154" s="1" t="s">
        <v>3042</v>
      </c>
      <c r="N1154" s="1">
        <v>0</v>
      </c>
      <c r="O1154" s="1">
        <v>0</v>
      </c>
      <c r="P1154" s="1" t="s">
        <v>103</v>
      </c>
      <c r="Q1154" s="1" t="s">
        <v>104</v>
      </c>
      <c r="R1154" s="1" t="s">
        <v>9311</v>
      </c>
      <c r="S1154" s="1" t="s">
        <v>9312</v>
      </c>
      <c r="T1154" s="1" t="s">
        <v>7821</v>
      </c>
      <c r="U1154" s="1" t="s">
        <v>9313</v>
      </c>
      <c r="V1154" s="1">
        <v>1</v>
      </c>
      <c r="W1154" s="1">
        <v>1</v>
      </c>
      <c r="X1154" s="1">
        <v>0</v>
      </c>
      <c r="Y1154" s="1">
        <v>0</v>
      </c>
      <c r="Z1154" s="1">
        <v>0</v>
      </c>
      <c r="AA1154" s="1" t="s">
        <v>109</v>
      </c>
      <c r="AB1154" s="1" t="s">
        <v>109</v>
      </c>
      <c r="AC1154" s="1" t="s">
        <v>109</v>
      </c>
      <c r="AD1154" s="1" t="s">
        <v>109</v>
      </c>
      <c r="AE1154" s="1" t="s">
        <v>109</v>
      </c>
      <c r="AF1154" s="1" t="s">
        <v>109</v>
      </c>
      <c r="AG1154" s="1">
        <v>2</v>
      </c>
      <c r="AH1154" s="1" t="s">
        <v>109</v>
      </c>
      <c r="AI1154" s="1" t="s">
        <v>109</v>
      </c>
      <c r="AJ1154" s="1" t="s">
        <v>109</v>
      </c>
      <c r="AK1154" s="1" t="s">
        <v>109</v>
      </c>
      <c r="AL1154" s="1" t="s">
        <v>109</v>
      </c>
      <c r="AM1154" s="1">
        <v>2</v>
      </c>
      <c r="AN1154" s="1" t="s">
        <v>109</v>
      </c>
      <c r="AO1154" s="1" t="s">
        <v>109</v>
      </c>
      <c r="AP1154" s="1"/>
      <c r="AQ1154" s="1">
        <v>2</v>
      </c>
      <c r="AR1154" s="1"/>
      <c r="AS1154" s="1" t="s">
        <v>9314</v>
      </c>
      <c r="AT1154" s="1">
        <v>0</v>
      </c>
      <c r="AU1154" s="1">
        <v>0</v>
      </c>
      <c r="AV1154" s="1">
        <v>0</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5" t="str">
        <f>HYPERLINK("http://www.d20pfsrd.com/magic/all-spells/v/vestment-of-the-champion","Vestment of the Champion")</f>
        <v>Vestment of the Champion</v>
      </c>
      <c r="BT1154" s="1">
        <v>1190</v>
      </c>
      <c r="BU1154" s="1" t="s">
        <v>109</v>
      </c>
      <c r="BV1154" s="1"/>
      <c r="BW1154" s="1"/>
      <c r="BX1154" s="1"/>
      <c r="BY1154" s="1"/>
      <c r="BZ1154" s="1">
        <v>0</v>
      </c>
      <c r="CA1154" s="1" t="s">
        <v>109</v>
      </c>
      <c r="CB1154" s="1" t="s">
        <v>109</v>
      </c>
      <c r="CC1154" s="1" t="s">
        <v>109</v>
      </c>
      <c r="CD1154" s="1" t="s">
        <v>109</v>
      </c>
      <c r="CE1154" s="1" t="s">
        <v>109</v>
      </c>
      <c r="CF1154" s="1" t="s">
        <v>109</v>
      </c>
      <c r="CG1154" s="1" t="s">
        <v>109</v>
      </c>
      <c r="CH1154" s="1" t="s">
        <v>109</v>
      </c>
      <c r="CI1154" s="1" t="s">
        <v>109</v>
      </c>
      <c r="CJ1154" s="1" t="s">
        <v>109</v>
      </c>
      <c r="CK1154" s="1"/>
      <c r="CL1154" s="1">
        <v>0</v>
      </c>
      <c r="CM1154" s="1">
        <v>0</v>
      </c>
      <c r="CN1154" s="1">
        <v>0</v>
      </c>
    </row>
    <row r="1155" spans="1:92" ht="14.25" customHeight="1" x14ac:dyDescent="0.15">
      <c r="A1155" s="1" t="s">
        <v>9315</v>
      </c>
      <c r="B1155" s="1" t="s">
        <v>189</v>
      </c>
      <c r="C1155" s="1"/>
      <c r="D1155" s="1"/>
      <c r="E1155" s="1" t="s">
        <v>6342</v>
      </c>
      <c r="F1155" s="1" t="s">
        <v>98</v>
      </c>
      <c r="G1155" s="1" t="s">
        <v>333</v>
      </c>
      <c r="H1155" s="1">
        <v>0</v>
      </c>
      <c r="I1155" s="1" t="s">
        <v>235</v>
      </c>
      <c r="J1155" s="1"/>
      <c r="K1155" s="1"/>
      <c r="L1155" s="1" t="s">
        <v>236</v>
      </c>
      <c r="M1155" s="1" t="s">
        <v>125</v>
      </c>
      <c r="N1155" s="1">
        <v>0</v>
      </c>
      <c r="O1155" s="1">
        <v>0</v>
      </c>
      <c r="P1155" s="1"/>
      <c r="Q1155" s="1"/>
      <c r="R1155" s="1" t="s">
        <v>9316</v>
      </c>
      <c r="S1155" s="1" t="s">
        <v>9317</v>
      </c>
      <c r="T1155" s="1" t="s">
        <v>7821</v>
      </c>
      <c r="U1155" s="1" t="s">
        <v>9318</v>
      </c>
      <c r="V1155" s="1">
        <v>1</v>
      </c>
      <c r="W1155" s="1">
        <v>0</v>
      </c>
      <c r="X1155" s="1">
        <v>0</v>
      </c>
      <c r="Y1155" s="1">
        <v>0</v>
      </c>
      <c r="Z1155" s="1">
        <v>0</v>
      </c>
      <c r="AA1155" s="1" t="s">
        <v>109</v>
      </c>
      <c r="AB1155" s="1" t="s">
        <v>109</v>
      </c>
      <c r="AC1155" s="1" t="s">
        <v>109</v>
      </c>
      <c r="AD1155" s="1" t="s">
        <v>109</v>
      </c>
      <c r="AE1155" s="1" t="s">
        <v>109</v>
      </c>
      <c r="AF1155" s="1">
        <v>4</v>
      </c>
      <c r="AG1155" s="1" t="s">
        <v>109</v>
      </c>
      <c r="AH1155" s="1" t="s">
        <v>109</v>
      </c>
      <c r="AI1155" s="1" t="s">
        <v>109</v>
      </c>
      <c r="AJ1155" s="1" t="s">
        <v>109</v>
      </c>
      <c r="AK1155" s="1" t="s">
        <v>109</v>
      </c>
      <c r="AL1155" s="1" t="s">
        <v>109</v>
      </c>
      <c r="AM1155" s="1" t="s">
        <v>109</v>
      </c>
      <c r="AN1155" s="1" t="s">
        <v>109</v>
      </c>
      <c r="AO1155" s="1" t="s">
        <v>109</v>
      </c>
      <c r="AP1155" s="1"/>
      <c r="AQ1155" s="1">
        <v>4</v>
      </c>
      <c r="AR1155" s="1"/>
      <c r="AS1155" s="1" t="s">
        <v>9319</v>
      </c>
      <c r="AT1155" s="1">
        <v>0</v>
      </c>
      <c r="AU1155" s="1">
        <v>0</v>
      </c>
      <c r="AV1155" s="1">
        <v>0</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5" t="str">
        <f>HYPERLINK("http://www.d20pfsrd.com/magic/all-spells/v/virtuoso-performance","Virtuoso Performance")</f>
        <v>Virtuoso Performance</v>
      </c>
      <c r="BT1155" s="1">
        <v>1191</v>
      </c>
      <c r="BU1155" s="1" t="s">
        <v>109</v>
      </c>
      <c r="BV1155" s="1"/>
      <c r="BW1155" s="1"/>
      <c r="BX1155" s="1"/>
      <c r="BY1155" s="1"/>
      <c r="BZ1155" s="1">
        <v>0</v>
      </c>
      <c r="CA1155" s="1" t="s">
        <v>109</v>
      </c>
      <c r="CB1155" s="1" t="s">
        <v>109</v>
      </c>
      <c r="CC1155" s="1" t="s">
        <v>109</v>
      </c>
      <c r="CD1155" s="1" t="s">
        <v>109</v>
      </c>
      <c r="CE1155" s="1" t="s">
        <v>109</v>
      </c>
      <c r="CF1155" s="1" t="s">
        <v>109</v>
      </c>
      <c r="CG1155" s="1" t="s">
        <v>109</v>
      </c>
      <c r="CH1155" s="1" t="s">
        <v>109</v>
      </c>
      <c r="CI1155" s="1" t="s">
        <v>109</v>
      </c>
      <c r="CJ1155" s="1" t="s">
        <v>109</v>
      </c>
      <c r="CK1155" s="1"/>
      <c r="CL1155" s="1">
        <v>0</v>
      </c>
      <c r="CM1155" s="1">
        <v>0</v>
      </c>
      <c r="CN1155" s="1">
        <v>0</v>
      </c>
    </row>
    <row r="1156" spans="1:92" ht="14.25" customHeight="1" x14ac:dyDescent="0.15">
      <c r="A1156" s="1" t="s">
        <v>9320</v>
      </c>
      <c r="B1156" s="1" t="s">
        <v>674</v>
      </c>
      <c r="C1156" s="1" t="s">
        <v>675</v>
      </c>
      <c r="D1156" s="1" t="s">
        <v>9321</v>
      </c>
      <c r="E1156" s="1" t="s">
        <v>9322</v>
      </c>
      <c r="F1156" s="1" t="s">
        <v>98</v>
      </c>
      <c r="G1156" s="1" t="s">
        <v>9323</v>
      </c>
      <c r="H1156" s="1">
        <v>0</v>
      </c>
      <c r="I1156" s="1" t="s">
        <v>122</v>
      </c>
      <c r="J1156" s="1"/>
      <c r="K1156" s="1" t="s">
        <v>9324</v>
      </c>
      <c r="L1156" s="1"/>
      <c r="M1156" s="1" t="s">
        <v>6144</v>
      </c>
      <c r="N1156" s="1">
        <v>1</v>
      </c>
      <c r="O1156" s="1">
        <v>0</v>
      </c>
      <c r="P1156" s="1" t="s">
        <v>301</v>
      </c>
      <c r="Q1156" s="1" t="s">
        <v>104</v>
      </c>
      <c r="R1156" s="1" t="s">
        <v>9325</v>
      </c>
      <c r="S1156" s="1" t="s">
        <v>9326</v>
      </c>
      <c r="T1156" s="1" t="s">
        <v>7821</v>
      </c>
      <c r="U1156" s="1" t="s">
        <v>9327</v>
      </c>
      <c r="V1156" s="1">
        <v>1</v>
      </c>
      <c r="W1156" s="1">
        <v>0</v>
      </c>
      <c r="X1156" s="1">
        <v>1</v>
      </c>
      <c r="Y1156" s="1">
        <v>0</v>
      </c>
      <c r="Z1156" s="1">
        <v>0</v>
      </c>
      <c r="AA1156" s="1">
        <v>3</v>
      </c>
      <c r="AB1156" s="1">
        <v>3</v>
      </c>
      <c r="AC1156" s="1">
        <v>3</v>
      </c>
      <c r="AD1156" s="1" t="s">
        <v>109</v>
      </c>
      <c r="AE1156" s="1" t="s">
        <v>109</v>
      </c>
      <c r="AF1156" s="1">
        <v>3</v>
      </c>
      <c r="AG1156" s="1" t="s">
        <v>109</v>
      </c>
      <c r="AH1156" s="1" t="s">
        <v>109</v>
      </c>
      <c r="AI1156" s="1" t="s">
        <v>109</v>
      </c>
      <c r="AJ1156" s="1">
        <v>3</v>
      </c>
      <c r="AK1156" s="1" t="s">
        <v>109</v>
      </c>
      <c r="AL1156" s="1">
        <v>3</v>
      </c>
      <c r="AM1156" s="1" t="s">
        <v>109</v>
      </c>
      <c r="AN1156" s="1" t="s">
        <v>109</v>
      </c>
      <c r="AO1156" s="1" t="s">
        <v>109</v>
      </c>
      <c r="AP1156" s="1"/>
      <c r="AQ1156" s="1">
        <v>3</v>
      </c>
      <c r="AR1156" s="1"/>
      <c r="AS1156" s="1" t="s">
        <v>9328</v>
      </c>
      <c r="AT1156" s="1">
        <v>0</v>
      </c>
      <c r="AU1156" s="1">
        <v>0</v>
      </c>
      <c r="AV1156" s="1">
        <v>0</v>
      </c>
      <c r="AW1156" s="1">
        <v>0</v>
      </c>
      <c r="AX1156" s="1">
        <v>0</v>
      </c>
      <c r="AY1156" s="1">
        <v>0</v>
      </c>
      <c r="AZ1156" s="1">
        <v>0</v>
      </c>
      <c r="BA1156" s="1">
        <v>0</v>
      </c>
      <c r="BB1156" s="1">
        <v>0</v>
      </c>
      <c r="BC1156" s="1">
        <v>0</v>
      </c>
      <c r="BD1156" s="1">
        <v>0</v>
      </c>
      <c r="BE1156" s="1">
        <v>1</v>
      </c>
      <c r="BF1156" s="1">
        <v>1</v>
      </c>
      <c r="BG1156" s="1">
        <v>0</v>
      </c>
      <c r="BH1156" s="1">
        <v>0</v>
      </c>
      <c r="BI1156" s="1">
        <v>0</v>
      </c>
      <c r="BJ1156" s="1">
        <v>0</v>
      </c>
      <c r="BK1156" s="1">
        <v>0</v>
      </c>
      <c r="BL1156" s="1">
        <v>0</v>
      </c>
      <c r="BM1156" s="1">
        <v>0</v>
      </c>
      <c r="BN1156" s="1">
        <v>0</v>
      </c>
      <c r="BO1156" s="1">
        <v>0</v>
      </c>
      <c r="BP1156" s="1">
        <v>0</v>
      </c>
      <c r="BQ1156" s="1">
        <v>0</v>
      </c>
      <c r="BR1156" s="1">
        <v>0</v>
      </c>
      <c r="BS1156" s="5" t="str">
        <f>HYPERLINK("http://www.d20pfsrd.com/magic/all-spells/v/vision-of-hell","Vision of Hell")</f>
        <v>Vision of Hell</v>
      </c>
      <c r="BT1156" s="1">
        <v>1192</v>
      </c>
      <c r="BU1156" s="1" t="s">
        <v>109</v>
      </c>
      <c r="BV1156" s="1"/>
      <c r="BW1156" s="1"/>
      <c r="BX1156" s="1"/>
      <c r="BY1156" s="1"/>
      <c r="BZ1156" s="1">
        <v>0</v>
      </c>
      <c r="CA1156" s="1">
        <v>3</v>
      </c>
      <c r="CB1156" s="1" t="s">
        <v>109</v>
      </c>
      <c r="CC1156" s="1">
        <v>3</v>
      </c>
      <c r="CD1156" s="1" t="s">
        <v>109</v>
      </c>
      <c r="CE1156" s="1">
        <v>3</v>
      </c>
      <c r="CF1156" s="1">
        <v>3</v>
      </c>
      <c r="CG1156" s="1" t="s">
        <v>109</v>
      </c>
      <c r="CH1156" s="1" t="s">
        <v>109</v>
      </c>
      <c r="CI1156" s="1" t="s">
        <v>109</v>
      </c>
      <c r="CJ1156" s="1" t="s">
        <v>109</v>
      </c>
      <c r="CK1156" s="1"/>
      <c r="CL1156" s="1">
        <v>0</v>
      </c>
      <c r="CM1156" s="1">
        <v>0</v>
      </c>
      <c r="CN1156" s="1">
        <v>0</v>
      </c>
    </row>
    <row r="1157" spans="1:92" ht="14.25" customHeight="1" x14ac:dyDescent="0.15">
      <c r="A1157" s="1" t="s">
        <v>9329</v>
      </c>
      <c r="B1157" s="1" t="s">
        <v>584</v>
      </c>
      <c r="C1157" s="1"/>
      <c r="D1157" s="1" t="s">
        <v>46</v>
      </c>
      <c r="E1157" s="1" t="s">
        <v>9330</v>
      </c>
      <c r="F1157" s="1" t="s">
        <v>98</v>
      </c>
      <c r="G1157" s="1" t="s">
        <v>9331</v>
      </c>
      <c r="H1157" s="1">
        <v>0</v>
      </c>
      <c r="I1157" s="1" t="s">
        <v>235</v>
      </c>
      <c r="J1157" s="1"/>
      <c r="K1157" s="1"/>
      <c r="L1157" s="1" t="s">
        <v>236</v>
      </c>
      <c r="M1157" s="1" t="s">
        <v>574</v>
      </c>
      <c r="N1157" s="1">
        <v>1</v>
      </c>
      <c r="O1157" s="1">
        <v>0</v>
      </c>
      <c r="P1157" s="1"/>
      <c r="Q1157" s="1"/>
      <c r="R1157" s="1" t="s">
        <v>9332</v>
      </c>
      <c r="S1157" s="1" t="s">
        <v>9333</v>
      </c>
      <c r="T1157" s="1" t="s">
        <v>7821</v>
      </c>
      <c r="U1157" s="1" t="s">
        <v>9334</v>
      </c>
      <c r="V1157" s="1">
        <v>1</v>
      </c>
      <c r="W1157" s="1">
        <v>1</v>
      </c>
      <c r="X1157" s="1">
        <v>1</v>
      </c>
      <c r="Y1157" s="1">
        <v>0</v>
      </c>
      <c r="Z1157" s="1">
        <v>0</v>
      </c>
      <c r="AA1157" s="1">
        <v>4</v>
      </c>
      <c r="AB1157" s="1">
        <v>4</v>
      </c>
      <c r="AC1157" s="1" t="s">
        <v>109</v>
      </c>
      <c r="AD1157" s="1" t="s">
        <v>109</v>
      </c>
      <c r="AE1157" s="1" t="s">
        <v>109</v>
      </c>
      <c r="AF1157" s="1" t="s">
        <v>109</v>
      </c>
      <c r="AG1157" s="1" t="s">
        <v>109</v>
      </c>
      <c r="AH1157" s="1">
        <v>4</v>
      </c>
      <c r="AI1157" s="1">
        <v>4</v>
      </c>
      <c r="AJ1157" s="1" t="s">
        <v>109</v>
      </c>
      <c r="AK1157" s="1" t="s">
        <v>109</v>
      </c>
      <c r="AL1157" s="1" t="s">
        <v>109</v>
      </c>
      <c r="AM1157" s="1" t="s">
        <v>109</v>
      </c>
      <c r="AN1157" s="1" t="s">
        <v>109</v>
      </c>
      <c r="AO1157" s="1" t="s">
        <v>109</v>
      </c>
      <c r="AP1157" s="1"/>
      <c r="AQ1157" s="1">
        <v>4</v>
      </c>
      <c r="AR1157" s="1"/>
      <c r="AS1157" s="1" t="s">
        <v>9335</v>
      </c>
      <c r="AT1157" s="1">
        <v>1</v>
      </c>
      <c r="AU1157" s="1">
        <v>0</v>
      </c>
      <c r="AV1157" s="1">
        <v>0</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5" t="str">
        <f>HYPERLINK("http://www.d20pfsrd.com/magic/all-spells/v/vitriolic-mist","Vitriolic Mist")</f>
        <v>Vitriolic Mist</v>
      </c>
      <c r="BT1157" s="1">
        <v>1193</v>
      </c>
      <c r="BU1157" s="1" t="s">
        <v>109</v>
      </c>
      <c r="BV1157" s="1"/>
      <c r="BW1157" s="1"/>
      <c r="BX1157" s="1"/>
      <c r="BY1157" s="1"/>
      <c r="BZ1157" s="1">
        <v>0</v>
      </c>
      <c r="CA1157" s="1">
        <v>4</v>
      </c>
      <c r="CB1157" s="1" t="s">
        <v>109</v>
      </c>
      <c r="CC1157" s="1" t="s">
        <v>109</v>
      </c>
      <c r="CD1157" s="1" t="s">
        <v>109</v>
      </c>
      <c r="CE1157" s="1" t="s">
        <v>109</v>
      </c>
      <c r="CF1157" s="1" t="s">
        <v>109</v>
      </c>
      <c r="CG1157" s="1" t="s">
        <v>109</v>
      </c>
      <c r="CH1157" s="1" t="s">
        <v>109</v>
      </c>
      <c r="CI1157" s="1" t="s">
        <v>109</v>
      </c>
      <c r="CJ1157" s="1" t="s">
        <v>109</v>
      </c>
      <c r="CK1157" s="1"/>
      <c r="CL1157" s="1">
        <v>0</v>
      </c>
      <c r="CM1157" s="1">
        <v>0</v>
      </c>
      <c r="CN1157" s="1">
        <v>0</v>
      </c>
    </row>
    <row r="1158" spans="1:92" ht="14.25" customHeight="1" x14ac:dyDescent="0.15">
      <c r="A1158" s="1" t="s">
        <v>9336</v>
      </c>
      <c r="B1158" s="1" t="s">
        <v>189</v>
      </c>
      <c r="C1158" s="1"/>
      <c r="D1158" s="1"/>
      <c r="E1158" s="1" t="s">
        <v>9337</v>
      </c>
      <c r="F1158" s="1" t="s">
        <v>98</v>
      </c>
      <c r="G1158" s="1" t="s">
        <v>141</v>
      </c>
      <c r="H1158" s="1">
        <v>0</v>
      </c>
      <c r="I1158" s="1" t="s">
        <v>142</v>
      </c>
      <c r="J1158" s="1"/>
      <c r="K1158" s="1"/>
      <c r="L1158" s="1" t="s">
        <v>836</v>
      </c>
      <c r="M1158" s="1" t="s">
        <v>3042</v>
      </c>
      <c r="N1158" s="1">
        <v>0</v>
      </c>
      <c r="O1158" s="1">
        <v>0</v>
      </c>
      <c r="P1158" s="1" t="s">
        <v>267</v>
      </c>
      <c r="Q1158" s="1" t="s">
        <v>268</v>
      </c>
      <c r="R1158" s="1" t="s">
        <v>9338</v>
      </c>
      <c r="S1158" s="1" t="s">
        <v>9339</v>
      </c>
      <c r="T1158" s="1" t="s">
        <v>7821</v>
      </c>
      <c r="U1158" s="1" t="s">
        <v>9340</v>
      </c>
      <c r="V1158" s="1">
        <v>1</v>
      </c>
      <c r="W1158" s="1">
        <v>1</v>
      </c>
      <c r="X1158" s="1">
        <v>0</v>
      </c>
      <c r="Y1158" s="1">
        <v>0</v>
      </c>
      <c r="Z1158" s="1">
        <v>0</v>
      </c>
      <c r="AA1158" s="1">
        <v>1</v>
      </c>
      <c r="AB1158" s="1">
        <v>1</v>
      </c>
      <c r="AC1158" s="1" t="s">
        <v>109</v>
      </c>
      <c r="AD1158" s="1" t="s">
        <v>109</v>
      </c>
      <c r="AE1158" s="1" t="s">
        <v>109</v>
      </c>
      <c r="AF1158" s="1">
        <v>1</v>
      </c>
      <c r="AG1158" s="1" t="s">
        <v>109</v>
      </c>
      <c r="AH1158" s="1">
        <v>1</v>
      </c>
      <c r="AI1158" s="1" t="s">
        <v>109</v>
      </c>
      <c r="AJ1158" s="1">
        <v>1</v>
      </c>
      <c r="AK1158" s="1">
        <v>1</v>
      </c>
      <c r="AL1158" s="1" t="s">
        <v>109</v>
      </c>
      <c r="AM1158" s="1" t="s">
        <v>109</v>
      </c>
      <c r="AN1158" s="1" t="s">
        <v>109</v>
      </c>
      <c r="AO1158" s="1" t="s">
        <v>109</v>
      </c>
      <c r="AP1158" s="1"/>
      <c r="AQ1158" s="1">
        <v>1</v>
      </c>
      <c r="AR1158" s="1"/>
      <c r="AS1158" s="1" t="s">
        <v>9341</v>
      </c>
      <c r="AT1158" s="1">
        <v>0</v>
      </c>
      <c r="AU1158" s="1">
        <v>0</v>
      </c>
      <c r="AV1158" s="1">
        <v>0</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5" t="str">
        <f>HYPERLINK("http://www.d20pfsrd.com/magic/all-spells/v/vocal-alteration","Vocal Alteration")</f>
        <v>Vocal Alteration</v>
      </c>
      <c r="BT1158" s="1">
        <v>1194</v>
      </c>
      <c r="BU1158" s="1" t="s">
        <v>109</v>
      </c>
      <c r="BV1158" s="1"/>
      <c r="BW1158" s="1"/>
      <c r="BX1158" s="1"/>
      <c r="BY1158" s="1"/>
      <c r="BZ1158" s="1">
        <v>0</v>
      </c>
      <c r="CA1158" s="1" t="s">
        <v>109</v>
      </c>
      <c r="CB1158" s="1" t="s">
        <v>109</v>
      </c>
      <c r="CC1158" s="1">
        <v>1</v>
      </c>
      <c r="CD1158" s="1" t="s">
        <v>109</v>
      </c>
      <c r="CE1158" s="1">
        <v>1</v>
      </c>
      <c r="CF1158" s="1">
        <v>1</v>
      </c>
      <c r="CG1158" s="1" t="s">
        <v>109</v>
      </c>
      <c r="CH1158" s="1" t="s">
        <v>109</v>
      </c>
      <c r="CI1158" s="1" t="s">
        <v>109</v>
      </c>
      <c r="CJ1158" s="1" t="s">
        <v>109</v>
      </c>
      <c r="CK1158" s="1"/>
      <c r="CL1158" s="1">
        <v>0</v>
      </c>
      <c r="CM1158" s="1">
        <v>0</v>
      </c>
      <c r="CN1158" s="1">
        <v>0</v>
      </c>
    </row>
    <row r="1159" spans="1:92" ht="14.25" customHeight="1" x14ac:dyDescent="0.15">
      <c r="A1159" s="1" t="s">
        <v>9342</v>
      </c>
      <c r="B1159" s="1" t="s">
        <v>584</v>
      </c>
      <c r="C1159" s="1"/>
      <c r="D1159" s="1" t="s">
        <v>59</v>
      </c>
      <c r="E1159" s="1" t="s">
        <v>9343</v>
      </c>
      <c r="F1159" s="1" t="s">
        <v>98</v>
      </c>
      <c r="G1159" s="1" t="s">
        <v>9344</v>
      </c>
      <c r="H1159" s="1">
        <v>0</v>
      </c>
      <c r="I1159" s="1" t="s">
        <v>100</v>
      </c>
      <c r="J1159" s="1" t="s">
        <v>2701</v>
      </c>
      <c r="K1159" s="1"/>
      <c r="L1159" s="1"/>
      <c r="M1159" s="1" t="s">
        <v>574</v>
      </c>
      <c r="N1159" s="1">
        <v>1</v>
      </c>
      <c r="O1159" s="1">
        <v>0</v>
      </c>
      <c r="P1159" s="1" t="s">
        <v>103</v>
      </c>
      <c r="Q1159" s="1" t="s">
        <v>268</v>
      </c>
      <c r="R1159" s="1" t="s">
        <v>9345</v>
      </c>
      <c r="S1159" s="1" t="s">
        <v>9346</v>
      </c>
      <c r="T1159" s="1" t="s">
        <v>7821</v>
      </c>
      <c r="U1159" s="1" t="s">
        <v>9347</v>
      </c>
      <c r="V1159" s="1">
        <v>1</v>
      </c>
      <c r="W1159" s="1">
        <v>1</v>
      </c>
      <c r="X1159" s="1">
        <v>1</v>
      </c>
      <c r="Y1159" s="1">
        <v>0</v>
      </c>
      <c r="Z1159" s="1">
        <v>1</v>
      </c>
      <c r="AA1159" s="1">
        <v>4</v>
      </c>
      <c r="AB1159" s="1">
        <v>4</v>
      </c>
      <c r="AC1159" s="1" t="s">
        <v>109</v>
      </c>
      <c r="AD1159" s="1">
        <v>4</v>
      </c>
      <c r="AE1159" s="1" t="s">
        <v>109</v>
      </c>
      <c r="AF1159" s="1" t="s">
        <v>109</v>
      </c>
      <c r="AG1159" s="1" t="s">
        <v>109</v>
      </c>
      <c r="AH1159" s="1" t="s">
        <v>109</v>
      </c>
      <c r="AI1159" s="1" t="s">
        <v>109</v>
      </c>
      <c r="AJ1159" s="1">
        <v>4</v>
      </c>
      <c r="AK1159" s="1" t="s">
        <v>109</v>
      </c>
      <c r="AL1159" s="1" t="s">
        <v>109</v>
      </c>
      <c r="AM1159" s="1" t="s">
        <v>109</v>
      </c>
      <c r="AN1159" s="1" t="s">
        <v>109</v>
      </c>
      <c r="AO1159" s="1" t="s">
        <v>109</v>
      </c>
      <c r="AP1159" s="1"/>
      <c r="AQ1159" s="1">
        <v>4</v>
      </c>
      <c r="AR1159" s="1"/>
      <c r="AS1159" s="1" t="s">
        <v>9348</v>
      </c>
      <c r="AT1159" s="1">
        <v>0</v>
      </c>
      <c r="AU1159" s="1">
        <v>0</v>
      </c>
      <c r="AV1159" s="1">
        <v>0</v>
      </c>
      <c r="AW1159" s="1">
        <v>0</v>
      </c>
      <c r="AX1159" s="1">
        <v>0</v>
      </c>
      <c r="AY1159" s="1">
        <v>0</v>
      </c>
      <c r="AZ1159" s="1">
        <v>0</v>
      </c>
      <c r="BA1159" s="1">
        <v>0</v>
      </c>
      <c r="BB1159" s="1">
        <v>0</v>
      </c>
      <c r="BC1159" s="1">
        <v>0</v>
      </c>
      <c r="BD1159" s="1">
        <v>0</v>
      </c>
      <c r="BE1159" s="1">
        <v>0</v>
      </c>
      <c r="BF1159" s="1">
        <v>0</v>
      </c>
      <c r="BG1159" s="1">
        <v>1</v>
      </c>
      <c r="BH1159" s="1">
        <v>0</v>
      </c>
      <c r="BI1159" s="1">
        <v>0</v>
      </c>
      <c r="BJ1159" s="1">
        <v>0</v>
      </c>
      <c r="BK1159" s="1">
        <v>0</v>
      </c>
      <c r="BL1159" s="1">
        <v>0</v>
      </c>
      <c r="BM1159" s="1">
        <v>0</v>
      </c>
      <c r="BN1159" s="1">
        <v>0</v>
      </c>
      <c r="BO1159" s="1">
        <v>0</v>
      </c>
      <c r="BP1159" s="1">
        <v>0</v>
      </c>
      <c r="BQ1159" s="1">
        <v>0</v>
      </c>
      <c r="BR1159" s="1">
        <v>0</v>
      </c>
      <c r="BS1159" s="5" t="str">
        <f>HYPERLINK("http://www.d20pfsrd.com/magic/all-spells/v/volcanic-storm","Volcanic Storm")</f>
        <v>Volcanic Storm</v>
      </c>
      <c r="BT1159" s="1">
        <v>1195</v>
      </c>
      <c r="BU1159" s="1" t="s">
        <v>109</v>
      </c>
      <c r="BV1159" s="1"/>
      <c r="BW1159" s="1"/>
      <c r="BX1159" s="1"/>
      <c r="BY1159" s="1"/>
      <c r="BZ1159" s="1">
        <v>0</v>
      </c>
      <c r="CA1159" s="1">
        <v>4</v>
      </c>
      <c r="CB1159" s="1" t="s">
        <v>109</v>
      </c>
      <c r="CC1159" s="1" t="s">
        <v>109</v>
      </c>
      <c r="CD1159" s="1" t="s">
        <v>109</v>
      </c>
      <c r="CE1159" s="1" t="s">
        <v>109</v>
      </c>
      <c r="CF1159" s="1" t="s">
        <v>109</v>
      </c>
      <c r="CG1159" s="1" t="s">
        <v>109</v>
      </c>
      <c r="CH1159" s="1" t="s">
        <v>109</v>
      </c>
      <c r="CI1159" s="1" t="s">
        <v>109</v>
      </c>
      <c r="CJ1159" s="1">
        <v>4</v>
      </c>
      <c r="CK1159" s="1"/>
      <c r="CL1159" s="1">
        <v>0</v>
      </c>
      <c r="CM1159" s="1">
        <v>0</v>
      </c>
      <c r="CN1159" s="1">
        <v>0</v>
      </c>
    </row>
    <row r="1160" spans="1:92" ht="14.25" customHeight="1" x14ac:dyDescent="0.15">
      <c r="A1160" s="1" t="s">
        <v>9349</v>
      </c>
      <c r="B1160" s="1" t="s">
        <v>584</v>
      </c>
      <c r="C1160" s="1"/>
      <c r="D1160" s="1" t="s">
        <v>69</v>
      </c>
      <c r="E1160" s="1" t="s">
        <v>9350</v>
      </c>
      <c r="F1160" s="1" t="s">
        <v>98</v>
      </c>
      <c r="G1160" s="1" t="s">
        <v>9351</v>
      </c>
      <c r="H1160" s="1">
        <v>0</v>
      </c>
      <c r="I1160" s="1" t="s">
        <v>122</v>
      </c>
      <c r="J1160" s="1"/>
      <c r="K1160" s="1" t="s">
        <v>9352</v>
      </c>
      <c r="L1160" s="1"/>
      <c r="M1160" s="1" t="s">
        <v>3019</v>
      </c>
      <c r="N1160" s="1">
        <v>0</v>
      </c>
      <c r="O1160" s="1">
        <v>0</v>
      </c>
      <c r="P1160" s="1" t="s">
        <v>103</v>
      </c>
      <c r="Q1160" s="1" t="s">
        <v>268</v>
      </c>
      <c r="R1160" s="1" t="s">
        <v>9353</v>
      </c>
      <c r="S1160" s="1" t="s">
        <v>9354</v>
      </c>
      <c r="T1160" s="1" t="s">
        <v>7821</v>
      </c>
      <c r="U1160" s="1" t="s">
        <v>9355</v>
      </c>
      <c r="V1160" s="1">
        <v>1</v>
      </c>
      <c r="W1160" s="1">
        <v>1</v>
      </c>
      <c r="X1160" s="1">
        <v>1</v>
      </c>
      <c r="Y1160" s="1">
        <v>0</v>
      </c>
      <c r="Z1160" s="1">
        <v>0</v>
      </c>
      <c r="AA1160" s="1">
        <v>5</v>
      </c>
      <c r="AB1160" s="1">
        <v>5</v>
      </c>
      <c r="AC1160" s="1" t="s">
        <v>109</v>
      </c>
      <c r="AD1160" s="1" t="s">
        <v>109</v>
      </c>
      <c r="AE1160" s="1" t="s">
        <v>109</v>
      </c>
      <c r="AF1160" s="1">
        <v>4</v>
      </c>
      <c r="AG1160" s="1" t="s">
        <v>109</v>
      </c>
      <c r="AH1160" s="1" t="s">
        <v>109</v>
      </c>
      <c r="AI1160" s="1" t="s">
        <v>109</v>
      </c>
      <c r="AJ1160" s="1" t="s">
        <v>109</v>
      </c>
      <c r="AK1160" s="1" t="s">
        <v>109</v>
      </c>
      <c r="AL1160" s="1" t="s">
        <v>109</v>
      </c>
      <c r="AM1160" s="1" t="s">
        <v>109</v>
      </c>
      <c r="AN1160" s="1">
        <v>4</v>
      </c>
      <c r="AO1160" s="1" t="s">
        <v>109</v>
      </c>
      <c r="AP1160" s="1"/>
      <c r="AQ1160" s="1">
        <v>5</v>
      </c>
      <c r="AR1160" s="1"/>
      <c r="AS1160" s="1" t="s">
        <v>9356</v>
      </c>
      <c r="AT1160" s="1">
        <v>0</v>
      </c>
      <c r="AU1160" s="1">
        <v>0</v>
      </c>
      <c r="AV1160" s="1">
        <v>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1</v>
      </c>
      <c r="BR1160" s="1">
        <v>0</v>
      </c>
      <c r="BS1160" s="5" t="str">
        <f>HYPERLINK("http://www.d20pfsrd.com/magic/all-spells/w/wall-of-sound","Wall of Sound")</f>
        <v>Wall of Sound</v>
      </c>
      <c r="BT1160" s="1">
        <v>1196</v>
      </c>
      <c r="BU1160" s="1" t="s">
        <v>109</v>
      </c>
      <c r="BV1160" s="1"/>
      <c r="BW1160" s="1"/>
      <c r="BX1160" s="1"/>
      <c r="BY1160" s="1"/>
      <c r="BZ1160" s="1">
        <v>0</v>
      </c>
      <c r="CA1160" s="1">
        <v>4</v>
      </c>
      <c r="CB1160" s="1" t="s">
        <v>109</v>
      </c>
      <c r="CC1160" s="1">
        <v>5</v>
      </c>
      <c r="CD1160" s="1" t="s">
        <v>109</v>
      </c>
      <c r="CE1160" s="1" t="s">
        <v>109</v>
      </c>
      <c r="CF1160" s="1" t="s">
        <v>109</v>
      </c>
      <c r="CG1160" s="1">
        <v>5</v>
      </c>
      <c r="CH1160" s="1" t="s">
        <v>109</v>
      </c>
      <c r="CI1160" s="1" t="s">
        <v>109</v>
      </c>
      <c r="CJ1160" s="1" t="s">
        <v>109</v>
      </c>
      <c r="CK1160" s="1"/>
      <c r="CL1160" s="1">
        <v>0</v>
      </c>
      <c r="CM1160" s="1">
        <v>0</v>
      </c>
      <c r="CN1160" s="1">
        <v>0</v>
      </c>
    </row>
    <row r="1161" spans="1:92" ht="14.25" customHeight="1" x14ac:dyDescent="0.15">
      <c r="A1161" s="1" t="s">
        <v>9357</v>
      </c>
      <c r="B1161" s="1" t="s">
        <v>156</v>
      </c>
      <c r="C1161" s="1" t="s">
        <v>157</v>
      </c>
      <c r="D1161" s="1" t="s">
        <v>158</v>
      </c>
      <c r="E1161" s="1" t="s">
        <v>9358</v>
      </c>
      <c r="F1161" s="1" t="s">
        <v>277</v>
      </c>
      <c r="G1161" s="1" t="s">
        <v>9359</v>
      </c>
      <c r="H1161" s="1">
        <v>0</v>
      </c>
      <c r="I1161" s="1" t="s">
        <v>142</v>
      </c>
      <c r="J1161" s="1"/>
      <c r="K1161" s="1"/>
      <c r="L1161" s="1" t="s">
        <v>9360</v>
      </c>
      <c r="M1161" s="1" t="s">
        <v>289</v>
      </c>
      <c r="N1161" s="1">
        <v>0</v>
      </c>
      <c r="O1161" s="1">
        <v>0</v>
      </c>
      <c r="P1161" s="1" t="s">
        <v>103</v>
      </c>
      <c r="Q1161" s="1" t="s">
        <v>268</v>
      </c>
      <c r="R1161" s="1" t="s">
        <v>9361</v>
      </c>
      <c r="S1161" s="1" t="s">
        <v>9362</v>
      </c>
      <c r="T1161" s="1" t="s">
        <v>7821</v>
      </c>
      <c r="U1161" s="1" t="s">
        <v>9363</v>
      </c>
      <c r="V1161" s="1">
        <v>1</v>
      </c>
      <c r="W1161" s="1">
        <v>1</v>
      </c>
      <c r="X1161" s="1">
        <v>1</v>
      </c>
      <c r="Y1161" s="1">
        <v>0</v>
      </c>
      <c r="Z1161" s="1">
        <v>0</v>
      </c>
      <c r="AA1161" s="1" t="s">
        <v>109</v>
      </c>
      <c r="AB1161" s="1" t="s">
        <v>109</v>
      </c>
      <c r="AC1161" s="1" t="s">
        <v>109</v>
      </c>
      <c r="AD1161" s="1">
        <v>2</v>
      </c>
      <c r="AE1161" s="1">
        <v>1</v>
      </c>
      <c r="AF1161" s="1">
        <v>2</v>
      </c>
      <c r="AG1161" s="1">
        <v>1</v>
      </c>
      <c r="AH1161" s="1" t="s">
        <v>109</v>
      </c>
      <c r="AI1161" s="1" t="s">
        <v>109</v>
      </c>
      <c r="AJ1161" s="1" t="s">
        <v>109</v>
      </c>
      <c r="AK1161" s="1">
        <v>1</v>
      </c>
      <c r="AL1161" s="1" t="s">
        <v>109</v>
      </c>
      <c r="AM1161" s="1">
        <v>1</v>
      </c>
      <c r="AN1161" s="1" t="s">
        <v>109</v>
      </c>
      <c r="AO1161" s="1" t="s">
        <v>109</v>
      </c>
      <c r="AP1161" s="1"/>
      <c r="AQ1161" s="1">
        <v>2</v>
      </c>
      <c r="AR1161" s="1"/>
      <c r="AS1161" s="1" t="s">
        <v>9364</v>
      </c>
      <c r="AT1161" s="1">
        <v>0</v>
      </c>
      <c r="AU1161" s="1">
        <v>0</v>
      </c>
      <c r="AV1161" s="1">
        <v>0</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1</v>
      </c>
      <c r="BN1161" s="1">
        <v>0</v>
      </c>
      <c r="BO1161" s="1">
        <v>0</v>
      </c>
      <c r="BP1161" s="1">
        <v>0</v>
      </c>
      <c r="BQ1161" s="1">
        <v>0</v>
      </c>
      <c r="BR1161" s="1">
        <v>0</v>
      </c>
      <c r="BS1161" s="5" t="str">
        <f>HYPERLINK("http://www.d20pfsrd.com/magic/all-spells/w/wartrain-mount","Wartrain Mount")</f>
        <v>Wartrain Mount</v>
      </c>
      <c r="BT1161" s="1">
        <v>1197</v>
      </c>
      <c r="BU1161" s="1" t="s">
        <v>109</v>
      </c>
      <c r="BV1161" s="1"/>
      <c r="BW1161" s="1"/>
      <c r="BX1161" s="1"/>
      <c r="BY1161" s="1"/>
      <c r="BZ1161" s="1">
        <v>0</v>
      </c>
      <c r="CA1161" s="1" t="s">
        <v>109</v>
      </c>
      <c r="CB1161" s="1" t="s">
        <v>109</v>
      </c>
      <c r="CC1161" s="1" t="s">
        <v>109</v>
      </c>
      <c r="CD1161" s="1" t="s">
        <v>109</v>
      </c>
      <c r="CE1161" s="1">
        <v>2</v>
      </c>
      <c r="CF1161" s="1" t="s">
        <v>109</v>
      </c>
      <c r="CG1161" s="1" t="s">
        <v>109</v>
      </c>
      <c r="CH1161" s="1" t="s">
        <v>109</v>
      </c>
      <c r="CI1161" s="1" t="s">
        <v>109</v>
      </c>
      <c r="CJ1161" s="1">
        <v>1</v>
      </c>
      <c r="CK1161" s="1"/>
      <c r="CL1161" s="1">
        <v>0</v>
      </c>
      <c r="CM1161" s="1">
        <v>0</v>
      </c>
      <c r="CN1161" s="1">
        <v>0</v>
      </c>
    </row>
    <row r="1162" spans="1:92" ht="14.25" customHeight="1" x14ac:dyDescent="0.15">
      <c r="A1162" s="1" t="s">
        <v>9365</v>
      </c>
      <c r="B1162" s="1" t="s">
        <v>156</v>
      </c>
      <c r="C1162" s="1" t="s">
        <v>157</v>
      </c>
      <c r="D1162" s="1" t="s">
        <v>8086</v>
      </c>
      <c r="E1162" s="1" t="s">
        <v>9366</v>
      </c>
      <c r="F1162" s="1" t="s">
        <v>98</v>
      </c>
      <c r="G1162" s="1" t="s">
        <v>141</v>
      </c>
      <c r="H1162" s="1">
        <v>0</v>
      </c>
      <c r="I1162" s="1" t="s">
        <v>1192</v>
      </c>
      <c r="J1162" s="1" t="s">
        <v>726</v>
      </c>
      <c r="K1162" s="1"/>
      <c r="L1162" s="1"/>
      <c r="M1162" s="1" t="s">
        <v>9367</v>
      </c>
      <c r="N1162" s="1">
        <v>0</v>
      </c>
      <c r="O1162" s="1">
        <v>0</v>
      </c>
      <c r="P1162" s="1" t="s">
        <v>7902</v>
      </c>
      <c r="Q1162" s="1" t="s">
        <v>268</v>
      </c>
      <c r="R1162" s="1" t="s">
        <v>9368</v>
      </c>
      <c r="S1162" s="1" t="s">
        <v>9369</v>
      </c>
      <c r="T1162" s="1" t="s">
        <v>7821</v>
      </c>
      <c r="U1162" s="1" t="s">
        <v>9370</v>
      </c>
      <c r="V1162" s="1">
        <v>1</v>
      </c>
      <c r="W1162" s="1">
        <v>1</v>
      </c>
      <c r="X1162" s="1">
        <v>0</v>
      </c>
      <c r="Y1162" s="1">
        <v>0</v>
      </c>
      <c r="Z1162" s="1">
        <v>0</v>
      </c>
      <c r="AA1162" s="1">
        <v>7</v>
      </c>
      <c r="AB1162" s="1">
        <v>7</v>
      </c>
      <c r="AC1162" s="1">
        <v>7</v>
      </c>
      <c r="AD1162" s="1" t="s">
        <v>109</v>
      </c>
      <c r="AE1162" s="1" t="s">
        <v>109</v>
      </c>
      <c r="AF1162" s="1">
        <v>6</v>
      </c>
      <c r="AG1162" s="1" t="s">
        <v>109</v>
      </c>
      <c r="AH1162" s="1" t="s">
        <v>109</v>
      </c>
      <c r="AI1162" s="1" t="s">
        <v>109</v>
      </c>
      <c r="AJ1162" s="1">
        <v>7</v>
      </c>
      <c r="AK1162" s="1" t="s">
        <v>109</v>
      </c>
      <c r="AL1162" s="1">
        <v>7</v>
      </c>
      <c r="AM1162" s="1" t="s">
        <v>109</v>
      </c>
      <c r="AN1162" s="1" t="s">
        <v>109</v>
      </c>
      <c r="AO1162" s="1" t="s">
        <v>109</v>
      </c>
      <c r="AP1162" s="1"/>
      <c r="AQ1162" s="1">
        <v>7</v>
      </c>
      <c r="AR1162" s="1"/>
      <c r="AS1162" s="1" t="s">
        <v>9371</v>
      </c>
      <c r="AT1162" s="1">
        <v>0</v>
      </c>
      <c r="AU1162" s="1">
        <v>0</v>
      </c>
      <c r="AV1162" s="1">
        <v>0</v>
      </c>
      <c r="AW1162" s="1">
        <v>0</v>
      </c>
      <c r="AX1162" s="1">
        <v>0</v>
      </c>
      <c r="AY1162" s="1">
        <v>0</v>
      </c>
      <c r="AZ1162" s="1">
        <v>0</v>
      </c>
      <c r="BA1162" s="1">
        <v>0</v>
      </c>
      <c r="BB1162" s="1">
        <v>0</v>
      </c>
      <c r="BC1162" s="1">
        <v>0</v>
      </c>
      <c r="BD1162" s="1">
        <v>1</v>
      </c>
      <c r="BE1162" s="1">
        <v>0</v>
      </c>
      <c r="BF1162" s="1">
        <v>0</v>
      </c>
      <c r="BG1162" s="1">
        <v>0</v>
      </c>
      <c r="BH1162" s="1">
        <v>0</v>
      </c>
      <c r="BI1162" s="1">
        <v>0</v>
      </c>
      <c r="BJ1162" s="1">
        <v>0</v>
      </c>
      <c r="BK1162" s="1">
        <v>0</v>
      </c>
      <c r="BL1162" s="1">
        <v>0</v>
      </c>
      <c r="BM1162" s="1">
        <v>1</v>
      </c>
      <c r="BN1162" s="1">
        <v>0</v>
      </c>
      <c r="BO1162" s="1">
        <v>0</v>
      </c>
      <c r="BP1162" s="1">
        <v>0</v>
      </c>
      <c r="BQ1162" s="1">
        <v>0</v>
      </c>
      <c r="BR1162" s="1">
        <v>0</v>
      </c>
      <c r="BS1162" s="5" t="str">
        <f>HYPERLINK("http://www.d20pfsrd.com/magic/all-spells/w/waves-of-ecstasy","Waves of Ecstasy")</f>
        <v>Waves of Ecstasy</v>
      </c>
      <c r="BT1162" s="1">
        <v>1198</v>
      </c>
      <c r="BU1162" s="1" t="s">
        <v>109</v>
      </c>
      <c r="BV1162" s="1"/>
      <c r="BW1162" s="1"/>
      <c r="BX1162" s="1"/>
      <c r="BY1162" s="1"/>
      <c r="BZ1162" s="1">
        <v>0</v>
      </c>
      <c r="CA1162" s="1" t="s">
        <v>109</v>
      </c>
      <c r="CB1162" s="1" t="s">
        <v>109</v>
      </c>
      <c r="CC1162" s="1">
        <v>7</v>
      </c>
      <c r="CD1162" s="1" t="s">
        <v>109</v>
      </c>
      <c r="CE1162" s="1">
        <v>6</v>
      </c>
      <c r="CF1162" s="1" t="s">
        <v>109</v>
      </c>
      <c r="CG1162" s="1" t="s">
        <v>109</v>
      </c>
      <c r="CH1162" s="1" t="s">
        <v>109</v>
      </c>
      <c r="CI1162" s="1" t="s">
        <v>109</v>
      </c>
      <c r="CJ1162" s="1" t="s">
        <v>109</v>
      </c>
      <c r="CK1162" s="1"/>
      <c r="CL1162" s="1">
        <v>0</v>
      </c>
      <c r="CM1162" s="1">
        <v>0</v>
      </c>
      <c r="CN1162" s="1">
        <v>0</v>
      </c>
    </row>
    <row r="1163" spans="1:92" ht="14.25" customHeight="1" x14ac:dyDescent="0.15">
      <c r="A1163" s="1" t="s">
        <v>9372</v>
      </c>
      <c r="B1163" s="1" t="s">
        <v>95</v>
      </c>
      <c r="C1163" s="1" t="s">
        <v>96</v>
      </c>
      <c r="D1163" s="1"/>
      <c r="E1163" s="1" t="s">
        <v>9373</v>
      </c>
      <c r="F1163" s="1" t="s">
        <v>277</v>
      </c>
      <c r="G1163" s="1" t="s">
        <v>160</v>
      </c>
      <c r="H1163" s="1">
        <v>0</v>
      </c>
      <c r="I1163" s="1" t="s">
        <v>9374</v>
      </c>
      <c r="J1163" s="1"/>
      <c r="K1163" s="1" t="s">
        <v>9375</v>
      </c>
      <c r="L1163" s="1"/>
      <c r="M1163" s="1" t="s">
        <v>815</v>
      </c>
      <c r="N1163" s="1">
        <v>1</v>
      </c>
      <c r="O1163" s="1">
        <v>0</v>
      </c>
      <c r="P1163" s="1" t="s">
        <v>103</v>
      </c>
      <c r="Q1163" s="1" t="s">
        <v>104</v>
      </c>
      <c r="R1163" s="1" t="s">
        <v>9376</v>
      </c>
      <c r="S1163" s="1" t="s">
        <v>9377</v>
      </c>
      <c r="T1163" s="1" t="s">
        <v>7821</v>
      </c>
      <c r="U1163" s="1" t="s">
        <v>9378</v>
      </c>
      <c r="V1163" s="1">
        <v>1</v>
      </c>
      <c r="W1163" s="1">
        <v>1</v>
      </c>
      <c r="X1163" s="1">
        <v>0</v>
      </c>
      <c r="Y1163" s="1">
        <v>0</v>
      </c>
      <c r="Z1163" s="1">
        <v>1</v>
      </c>
      <c r="AA1163" s="1">
        <v>2</v>
      </c>
      <c r="AB1163" s="1">
        <v>2</v>
      </c>
      <c r="AC1163" s="1">
        <v>2</v>
      </c>
      <c r="AD1163" s="1">
        <v>2</v>
      </c>
      <c r="AE1163" s="1">
        <v>2</v>
      </c>
      <c r="AF1163" s="1" t="s">
        <v>109</v>
      </c>
      <c r="AG1163" s="1" t="s">
        <v>109</v>
      </c>
      <c r="AH1163" s="1" t="s">
        <v>109</v>
      </c>
      <c r="AI1163" s="1">
        <v>2</v>
      </c>
      <c r="AJ1163" s="1">
        <v>2</v>
      </c>
      <c r="AK1163" s="1" t="s">
        <v>109</v>
      </c>
      <c r="AL1163" s="1">
        <v>2</v>
      </c>
      <c r="AM1163" s="1" t="s">
        <v>109</v>
      </c>
      <c r="AN1163" s="1" t="s">
        <v>109</v>
      </c>
      <c r="AO1163" s="1" t="s">
        <v>109</v>
      </c>
      <c r="AP1163" s="1"/>
      <c r="AQ1163" s="1">
        <v>2</v>
      </c>
      <c r="AR1163" s="1"/>
      <c r="AS1163" s="1" t="s">
        <v>9379</v>
      </c>
      <c r="AT1163" s="1">
        <v>0</v>
      </c>
      <c r="AU1163" s="1">
        <v>0</v>
      </c>
      <c r="AV1163" s="1">
        <v>0</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5" t="str">
        <f>HYPERLINK("http://www.d20pfsrd.com/magic/all-spells/w/web-shelter","Web Shelter")</f>
        <v>Web Shelter</v>
      </c>
      <c r="BT1163" s="1">
        <v>1199</v>
      </c>
      <c r="BU1163" s="1" t="s">
        <v>109</v>
      </c>
      <c r="BV1163" s="1"/>
      <c r="BW1163" s="1"/>
      <c r="BX1163" s="1"/>
      <c r="BY1163" s="1"/>
      <c r="BZ1163" s="1">
        <v>0</v>
      </c>
      <c r="CA1163" s="1" t="s">
        <v>109</v>
      </c>
      <c r="CB1163" s="1">
        <v>2</v>
      </c>
      <c r="CC1163" s="1" t="s">
        <v>109</v>
      </c>
      <c r="CD1163" s="1" t="s">
        <v>109</v>
      </c>
      <c r="CE1163" s="1" t="s">
        <v>109</v>
      </c>
      <c r="CF1163" s="1" t="s">
        <v>109</v>
      </c>
      <c r="CG1163" s="1" t="s">
        <v>109</v>
      </c>
      <c r="CH1163" s="1" t="s">
        <v>109</v>
      </c>
      <c r="CI1163" s="1" t="s">
        <v>109</v>
      </c>
      <c r="CJ1163" s="1">
        <v>2</v>
      </c>
      <c r="CK1163" s="1"/>
      <c r="CL1163" s="1">
        <v>0</v>
      </c>
      <c r="CM1163" s="1">
        <v>0</v>
      </c>
      <c r="CN1163" s="1">
        <v>0</v>
      </c>
    </row>
    <row r="1164" spans="1:92" ht="14.25" customHeight="1" x14ac:dyDescent="0.15">
      <c r="A1164" s="1" t="s">
        <v>9380</v>
      </c>
      <c r="B1164" s="1" t="s">
        <v>254</v>
      </c>
      <c r="C1164" s="1" t="s">
        <v>393</v>
      </c>
      <c r="D1164" s="1"/>
      <c r="E1164" s="1" t="s">
        <v>9381</v>
      </c>
      <c r="F1164" s="1" t="s">
        <v>98</v>
      </c>
      <c r="G1164" s="1" t="s">
        <v>141</v>
      </c>
      <c r="H1164" s="1">
        <v>0</v>
      </c>
      <c r="I1164" s="1" t="s">
        <v>100</v>
      </c>
      <c r="J1164" s="1"/>
      <c r="K1164" s="1"/>
      <c r="L1164" s="1" t="s">
        <v>563</v>
      </c>
      <c r="M1164" s="1" t="s">
        <v>6144</v>
      </c>
      <c r="N1164" s="1">
        <v>1</v>
      </c>
      <c r="O1164" s="1">
        <v>0</v>
      </c>
      <c r="P1164" s="1" t="s">
        <v>507</v>
      </c>
      <c r="Q1164" s="1" t="s">
        <v>167</v>
      </c>
      <c r="R1164" s="1" t="s">
        <v>9382</v>
      </c>
      <c r="S1164" s="1" t="s">
        <v>9383</v>
      </c>
      <c r="T1164" s="1" t="s">
        <v>7821</v>
      </c>
      <c r="U1164" s="1" t="s">
        <v>9384</v>
      </c>
      <c r="V1164" s="1">
        <v>1</v>
      </c>
      <c r="W1164" s="1">
        <v>1</v>
      </c>
      <c r="X1164" s="1">
        <v>0</v>
      </c>
      <c r="Y1164" s="1">
        <v>0</v>
      </c>
      <c r="Z1164" s="1">
        <v>0</v>
      </c>
      <c r="AA1164" s="1" t="s">
        <v>109</v>
      </c>
      <c r="AB1164" s="1" t="s">
        <v>109</v>
      </c>
      <c r="AC1164" s="1" t="s">
        <v>109</v>
      </c>
      <c r="AD1164" s="1" t="s">
        <v>109</v>
      </c>
      <c r="AE1164" s="1" t="s">
        <v>109</v>
      </c>
      <c r="AF1164" s="1">
        <v>3</v>
      </c>
      <c r="AG1164" s="1" t="s">
        <v>109</v>
      </c>
      <c r="AH1164" s="1" t="s">
        <v>109</v>
      </c>
      <c r="AI1164" s="1" t="s">
        <v>109</v>
      </c>
      <c r="AJ1164" s="1">
        <v>3</v>
      </c>
      <c r="AK1164" s="1">
        <v>3</v>
      </c>
      <c r="AL1164" s="1" t="s">
        <v>109</v>
      </c>
      <c r="AM1164" s="1" t="s">
        <v>109</v>
      </c>
      <c r="AN1164" s="1" t="s">
        <v>109</v>
      </c>
      <c r="AO1164" s="1" t="s">
        <v>109</v>
      </c>
      <c r="AP1164" s="1"/>
      <c r="AQ1164" s="1">
        <v>3</v>
      </c>
      <c r="AR1164" s="1"/>
      <c r="AS1164" s="1" t="s">
        <v>9385</v>
      </c>
      <c r="AT1164" s="1">
        <v>0</v>
      </c>
      <c r="AU1164" s="1">
        <v>0</v>
      </c>
      <c r="AV1164" s="1">
        <v>0</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5" t="str">
        <f>HYPERLINK("http://www.d20pfsrd.com/magic/all-spells/w/witness","Witness")</f>
        <v>Witness</v>
      </c>
      <c r="BT1164" s="1">
        <v>1200</v>
      </c>
      <c r="BU1164" s="1" t="s">
        <v>109</v>
      </c>
      <c r="BV1164" s="1"/>
      <c r="BW1164" s="1"/>
      <c r="BX1164" s="1"/>
      <c r="BY1164" s="1"/>
      <c r="BZ1164" s="1">
        <v>0</v>
      </c>
      <c r="CA1164" s="1" t="s">
        <v>109</v>
      </c>
      <c r="CB1164" s="1" t="s">
        <v>109</v>
      </c>
      <c r="CC1164" s="1">
        <v>3</v>
      </c>
      <c r="CD1164" s="1" t="s">
        <v>109</v>
      </c>
      <c r="CE1164" s="1">
        <v>3</v>
      </c>
      <c r="CF1164" s="1">
        <v>3</v>
      </c>
      <c r="CG1164" s="1" t="s">
        <v>109</v>
      </c>
      <c r="CH1164" s="1" t="s">
        <v>109</v>
      </c>
      <c r="CI1164" s="1" t="s">
        <v>109</v>
      </c>
      <c r="CJ1164" s="1" t="s">
        <v>109</v>
      </c>
      <c r="CK1164" s="1"/>
      <c r="CL1164" s="1">
        <v>0</v>
      </c>
      <c r="CM1164" s="1">
        <v>0</v>
      </c>
      <c r="CN1164" s="1">
        <v>0</v>
      </c>
    </row>
    <row r="1165" spans="1:92" ht="14.25" customHeight="1" x14ac:dyDescent="0.15">
      <c r="A1165" s="1" t="s">
        <v>9386</v>
      </c>
      <c r="B1165" s="1" t="s">
        <v>95</v>
      </c>
      <c r="C1165" s="1" t="s">
        <v>96</v>
      </c>
      <c r="D1165" s="1"/>
      <c r="E1165" s="1" t="s">
        <v>5724</v>
      </c>
      <c r="F1165" s="1" t="s">
        <v>98</v>
      </c>
      <c r="G1165" s="1" t="s">
        <v>141</v>
      </c>
      <c r="H1165" s="1">
        <v>0</v>
      </c>
      <c r="I1165" s="1" t="s">
        <v>122</v>
      </c>
      <c r="J1165" s="1"/>
      <c r="K1165" s="1" t="s">
        <v>9387</v>
      </c>
      <c r="L1165" s="1"/>
      <c r="M1165" s="1" t="s">
        <v>815</v>
      </c>
      <c r="N1165" s="1">
        <v>1</v>
      </c>
      <c r="O1165" s="1">
        <v>0</v>
      </c>
      <c r="P1165" s="1" t="s">
        <v>103</v>
      </c>
      <c r="Q1165" s="1" t="s">
        <v>104</v>
      </c>
      <c r="R1165" s="1" t="s">
        <v>9388</v>
      </c>
      <c r="S1165" s="1" t="s">
        <v>9389</v>
      </c>
      <c r="T1165" s="1" t="s">
        <v>7821</v>
      </c>
      <c r="U1165" s="1" t="s">
        <v>9390</v>
      </c>
      <c r="V1165" s="1">
        <v>1</v>
      </c>
      <c r="W1165" s="1">
        <v>1</v>
      </c>
      <c r="X1165" s="1">
        <v>0</v>
      </c>
      <c r="Y1165" s="1">
        <v>0</v>
      </c>
      <c r="Z1165" s="1">
        <v>0</v>
      </c>
      <c r="AA1165" s="1">
        <v>9</v>
      </c>
      <c r="AB1165" s="1">
        <v>9</v>
      </c>
      <c r="AC1165" s="1">
        <v>9</v>
      </c>
      <c r="AD1165" s="1" t="s">
        <v>109</v>
      </c>
      <c r="AE1165" s="1" t="s">
        <v>109</v>
      </c>
      <c r="AF1165" s="1" t="s">
        <v>109</v>
      </c>
      <c r="AG1165" s="1" t="s">
        <v>109</v>
      </c>
      <c r="AH1165" s="1" t="s">
        <v>109</v>
      </c>
      <c r="AI1165" s="1" t="s">
        <v>109</v>
      </c>
      <c r="AJ1165" s="1" t="s">
        <v>109</v>
      </c>
      <c r="AK1165" s="1" t="s">
        <v>109</v>
      </c>
      <c r="AL1165" s="1">
        <v>9</v>
      </c>
      <c r="AM1165" s="1" t="s">
        <v>109</v>
      </c>
      <c r="AN1165" s="1" t="s">
        <v>109</v>
      </c>
      <c r="AO1165" s="1" t="s">
        <v>109</v>
      </c>
      <c r="AP1165" s="1"/>
      <c r="AQ1165" s="1">
        <v>9</v>
      </c>
      <c r="AR1165" s="1" t="s">
        <v>9391</v>
      </c>
      <c r="AS1165" s="1" t="s">
        <v>9392</v>
      </c>
      <c r="AT1165" s="1">
        <v>0</v>
      </c>
      <c r="AU1165" s="1">
        <v>0</v>
      </c>
      <c r="AV1165" s="1">
        <v>0</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5" t="str">
        <f>HYPERLINK("http://www.d20pfsrd.com/magic/all-spells/w/wooden-phalanx","Wooden Phalanx")</f>
        <v>Wooden Phalanx</v>
      </c>
      <c r="BT1165" s="1">
        <v>1201</v>
      </c>
      <c r="BU1165" s="1" t="s">
        <v>109</v>
      </c>
      <c r="BV1165" s="1"/>
      <c r="BW1165" s="1" t="s">
        <v>9393</v>
      </c>
      <c r="BX1165" s="1"/>
      <c r="BY1165" s="1"/>
      <c r="BZ1165" s="1">
        <v>0</v>
      </c>
      <c r="CA1165" s="1" t="s">
        <v>109</v>
      </c>
      <c r="CB1165" s="1" t="s">
        <v>109</v>
      </c>
      <c r="CC1165" s="1" t="s">
        <v>109</v>
      </c>
      <c r="CD1165" s="1" t="s">
        <v>109</v>
      </c>
      <c r="CE1165" s="1" t="s">
        <v>109</v>
      </c>
      <c r="CF1165" s="1" t="s">
        <v>109</v>
      </c>
      <c r="CG1165" s="1" t="s">
        <v>109</v>
      </c>
      <c r="CH1165" s="1" t="s">
        <v>109</v>
      </c>
      <c r="CI1165" s="1" t="s">
        <v>109</v>
      </c>
      <c r="CJ1165" s="1" t="s">
        <v>109</v>
      </c>
      <c r="CK1165" s="1"/>
      <c r="CL1165" s="1">
        <v>0</v>
      </c>
      <c r="CM1165" s="1">
        <v>0</v>
      </c>
      <c r="CN1165" s="1">
        <v>0</v>
      </c>
    </row>
    <row r="1166" spans="1:92" ht="14.25" customHeight="1" x14ac:dyDescent="0.15">
      <c r="A1166" s="1" t="s">
        <v>9394</v>
      </c>
      <c r="B1166" s="1" t="s">
        <v>242</v>
      </c>
      <c r="C1166" s="1"/>
      <c r="D1166" s="1"/>
      <c r="E1166" s="1" t="s">
        <v>638</v>
      </c>
      <c r="F1166" s="1" t="s">
        <v>1963</v>
      </c>
      <c r="G1166" s="1" t="s">
        <v>6142</v>
      </c>
      <c r="H1166" s="1">
        <v>0</v>
      </c>
      <c r="I1166" s="1" t="s">
        <v>142</v>
      </c>
      <c r="J1166" s="1"/>
      <c r="K1166" s="1"/>
      <c r="L1166" s="1" t="s">
        <v>8618</v>
      </c>
      <c r="M1166" s="1" t="s">
        <v>144</v>
      </c>
      <c r="N1166" s="1">
        <v>0</v>
      </c>
      <c r="O1166" s="1">
        <v>0</v>
      </c>
      <c r="P1166" s="1" t="s">
        <v>9395</v>
      </c>
      <c r="Q1166" s="1" t="s">
        <v>167</v>
      </c>
      <c r="R1166" s="1" t="s">
        <v>9396</v>
      </c>
      <c r="S1166" s="1" t="s">
        <v>9397</v>
      </c>
      <c r="T1166" s="1" t="s">
        <v>7821</v>
      </c>
      <c r="U1166" s="1" t="s">
        <v>9398</v>
      </c>
      <c r="V1166" s="1">
        <v>1</v>
      </c>
      <c r="W1166" s="1">
        <v>0</v>
      </c>
      <c r="X1166" s="1">
        <v>0</v>
      </c>
      <c r="Y1166" s="1">
        <v>0</v>
      </c>
      <c r="Z1166" s="1">
        <v>1</v>
      </c>
      <c r="AA1166" s="1" t="s">
        <v>109</v>
      </c>
      <c r="AB1166" s="1" t="s">
        <v>109</v>
      </c>
      <c r="AC1166" s="1" t="s">
        <v>109</v>
      </c>
      <c r="AD1166" s="1" t="s">
        <v>109</v>
      </c>
      <c r="AE1166" s="1" t="s">
        <v>109</v>
      </c>
      <c r="AF1166" s="1" t="s">
        <v>109</v>
      </c>
      <c r="AG1166" s="1">
        <v>1</v>
      </c>
      <c r="AH1166" s="1" t="s">
        <v>109</v>
      </c>
      <c r="AI1166" s="1" t="s">
        <v>109</v>
      </c>
      <c r="AJ1166" s="1" t="s">
        <v>109</v>
      </c>
      <c r="AK1166" s="1" t="s">
        <v>109</v>
      </c>
      <c r="AL1166" s="1" t="s">
        <v>109</v>
      </c>
      <c r="AM1166" s="1" t="s">
        <v>109</v>
      </c>
      <c r="AN1166" s="1" t="s">
        <v>109</v>
      </c>
      <c r="AO1166" s="1" t="s">
        <v>109</v>
      </c>
      <c r="AP1166" s="1"/>
      <c r="AQ1166" s="1">
        <v>1</v>
      </c>
      <c r="AR1166" s="1"/>
      <c r="AS1166" s="1" t="s">
        <v>9399</v>
      </c>
      <c r="AT1166" s="1">
        <v>0</v>
      </c>
      <c r="AU1166" s="1">
        <v>0</v>
      </c>
      <c r="AV1166" s="1">
        <v>0</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5" t="str">
        <f>HYPERLINK("http://www.d20pfsrd.com/magic/all-spells/w/word-of-resolve","Word of Resolve")</f>
        <v>Word of Resolve</v>
      </c>
      <c r="BT1166" s="1">
        <v>1202</v>
      </c>
      <c r="BU1166" s="1" t="s">
        <v>109</v>
      </c>
      <c r="BV1166" s="1"/>
      <c r="BW1166" s="1"/>
      <c r="BX1166" s="1"/>
      <c r="BY1166" s="1"/>
      <c r="BZ1166" s="1">
        <v>0</v>
      </c>
      <c r="CA1166" s="1" t="s">
        <v>109</v>
      </c>
      <c r="CB1166" s="1" t="s">
        <v>109</v>
      </c>
      <c r="CC1166" s="1" t="s">
        <v>109</v>
      </c>
      <c r="CD1166" s="1" t="s">
        <v>109</v>
      </c>
      <c r="CE1166" s="1" t="s">
        <v>109</v>
      </c>
      <c r="CF1166" s="1" t="s">
        <v>109</v>
      </c>
      <c r="CG1166" s="1" t="s">
        <v>109</v>
      </c>
      <c r="CH1166" s="1" t="s">
        <v>109</v>
      </c>
      <c r="CI1166" s="1" t="s">
        <v>109</v>
      </c>
      <c r="CJ1166" s="1" t="s">
        <v>109</v>
      </c>
      <c r="CK1166" s="1"/>
      <c r="CL1166" s="1">
        <v>0</v>
      </c>
      <c r="CM1166" s="1">
        <v>0</v>
      </c>
      <c r="CN1166" s="1">
        <v>0</v>
      </c>
    </row>
    <row r="1167" spans="1:92" ht="14.25" customHeight="1" x14ac:dyDescent="0.15">
      <c r="A1167" s="1" t="s">
        <v>9400</v>
      </c>
      <c r="B1167" s="1" t="s">
        <v>189</v>
      </c>
      <c r="C1167" s="1" t="s">
        <v>231</v>
      </c>
      <c r="D1167" s="1"/>
      <c r="E1167" s="1" t="s">
        <v>9401</v>
      </c>
      <c r="F1167" s="1" t="s">
        <v>98</v>
      </c>
      <c r="G1167" s="1" t="s">
        <v>141</v>
      </c>
      <c r="H1167" s="1">
        <v>0</v>
      </c>
      <c r="I1167" s="1" t="s">
        <v>161</v>
      </c>
      <c r="J1167" s="1"/>
      <c r="K1167" s="1"/>
      <c r="L1167" s="1" t="s">
        <v>506</v>
      </c>
      <c r="M1167" s="1" t="s">
        <v>289</v>
      </c>
      <c r="N1167" s="1">
        <v>0</v>
      </c>
      <c r="O1167" s="1">
        <v>0</v>
      </c>
      <c r="P1167" s="1"/>
      <c r="Q1167" s="1"/>
      <c r="R1167" s="1" t="s">
        <v>9402</v>
      </c>
      <c r="S1167" s="1" t="s">
        <v>9403</v>
      </c>
      <c r="T1167" s="1" t="s">
        <v>7821</v>
      </c>
      <c r="U1167" s="1" t="s">
        <v>9404</v>
      </c>
      <c r="V1167" s="1">
        <v>1</v>
      </c>
      <c r="W1167" s="1">
        <v>1</v>
      </c>
      <c r="X1167" s="1">
        <v>0</v>
      </c>
      <c r="Y1167" s="1">
        <v>0</v>
      </c>
      <c r="Z1167" s="1">
        <v>0</v>
      </c>
      <c r="AA1167" s="1">
        <v>1</v>
      </c>
      <c r="AB1167" s="1">
        <v>1</v>
      </c>
      <c r="AC1167" s="1" t="s">
        <v>109</v>
      </c>
      <c r="AD1167" s="1" t="s">
        <v>109</v>
      </c>
      <c r="AE1167" s="1" t="s">
        <v>109</v>
      </c>
      <c r="AF1167" s="1">
        <v>1</v>
      </c>
      <c r="AG1167" s="1" t="s">
        <v>109</v>
      </c>
      <c r="AH1167" s="1">
        <v>1</v>
      </c>
      <c r="AI1167" s="1" t="s">
        <v>109</v>
      </c>
      <c r="AJ1167" s="1">
        <v>1</v>
      </c>
      <c r="AK1167" s="1" t="s">
        <v>109</v>
      </c>
      <c r="AL1167" s="1" t="s">
        <v>109</v>
      </c>
      <c r="AM1167" s="1" t="s">
        <v>109</v>
      </c>
      <c r="AN1167" s="1" t="s">
        <v>109</v>
      </c>
      <c r="AO1167" s="1" t="s">
        <v>109</v>
      </c>
      <c r="AP1167" s="1"/>
      <c r="AQ1167" s="1">
        <v>1</v>
      </c>
      <c r="AR1167" s="1"/>
      <c r="AS1167" s="1" t="s">
        <v>9405</v>
      </c>
      <c r="AT1167" s="1">
        <v>0</v>
      </c>
      <c r="AU1167" s="1">
        <v>0</v>
      </c>
      <c r="AV1167" s="1">
        <v>0</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5" t="str">
        <f>HYPERLINK("http://www.d20pfsrd.com/magic/all-spells/y/youthful-appearance","Youthful Appearance")</f>
        <v>Youthful Appearance</v>
      </c>
      <c r="BT1167" s="1">
        <v>1203</v>
      </c>
      <c r="BU1167" s="1" t="s">
        <v>109</v>
      </c>
      <c r="BV1167" s="1"/>
      <c r="BW1167" s="1"/>
      <c r="BX1167" s="1"/>
      <c r="BY1167" s="1"/>
      <c r="BZ1167" s="1">
        <v>0</v>
      </c>
      <c r="CA1167" s="1" t="s">
        <v>109</v>
      </c>
      <c r="CB1167" s="1" t="s">
        <v>109</v>
      </c>
      <c r="CC1167" s="1">
        <v>1</v>
      </c>
      <c r="CD1167" s="1" t="s">
        <v>109</v>
      </c>
      <c r="CE1167" s="1" t="s">
        <v>109</v>
      </c>
      <c r="CF1167" s="1">
        <v>1</v>
      </c>
      <c r="CG1167" s="1" t="s">
        <v>109</v>
      </c>
      <c r="CH1167" s="1" t="s">
        <v>109</v>
      </c>
      <c r="CI1167" s="1" t="s">
        <v>109</v>
      </c>
      <c r="CJ1167" s="1" t="s">
        <v>109</v>
      </c>
      <c r="CK1167" s="1"/>
      <c r="CL1167" s="1">
        <v>0</v>
      </c>
      <c r="CM1167" s="1">
        <v>0</v>
      </c>
      <c r="CN1167" s="1">
        <v>0</v>
      </c>
    </row>
    <row r="1168" spans="1:92" ht="14.25" customHeight="1" x14ac:dyDescent="0.15">
      <c r="A1168" s="1" t="s">
        <v>9406</v>
      </c>
      <c r="B1168" s="1" t="s">
        <v>189</v>
      </c>
      <c r="C1168" s="1"/>
      <c r="D1168" s="1"/>
      <c r="E1168" s="1" t="s">
        <v>9407</v>
      </c>
      <c r="F1168" s="1" t="s">
        <v>1963</v>
      </c>
      <c r="G1168" s="1" t="s">
        <v>141</v>
      </c>
      <c r="H1168" s="1">
        <v>0</v>
      </c>
      <c r="I1168" s="1" t="s">
        <v>122</v>
      </c>
      <c r="J1168" s="1"/>
      <c r="K1168" s="1"/>
      <c r="L1168" s="1" t="s">
        <v>9408</v>
      </c>
      <c r="M1168" s="1" t="s">
        <v>9409</v>
      </c>
      <c r="N1168" s="1">
        <v>0</v>
      </c>
      <c r="O1168" s="1">
        <v>0</v>
      </c>
      <c r="P1168" s="1" t="s">
        <v>9410</v>
      </c>
      <c r="Q1168" s="1" t="s">
        <v>268</v>
      </c>
      <c r="R1168" s="1" t="s">
        <v>9411</v>
      </c>
      <c r="S1168" s="1" t="s">
        <v>9412</v>
      </c>
      <c r="T1168" s="1" t="s">
        <v>9413</v>
      </c>
      <c r="U1168" s="1" t="s">
        <v>9414</v>
      </c>
      <c r="V1168" s="1">
        <v>1</v>
      </c>
      <c r="W1168" s="1">
        <v>1</v>
      </c>
      <c r="X1168" s="1">
        <v>0</v>
      </c>
      <c r="Y1168" s="1">
        <v>0</v>
      </c>
      <c r="Z1168" s="1">
        <v>0</v>
      </c>
      <c r="AA1168" s="1">
        <v>2</v>
      </c>
      <c r="AB1168" s="1">
        <v>2</v>
      </c>
      <c r="AC1168" s="1">
        <v>2</v>
      </c>
      <c r="AD1168" s="1" t="s">
        <v>109</v>
      </c>
      <c r="AE1168" s="1" t="s">
        <v>109</v>
      </c>
      <c r="AF1168" s="1" t="s">
        <v>109</v>
      </c>
      <c r="AG1168" s="1" t="s">
        <v>109</v>
      </c>
      <c r="AH1168" s="1" t="s">
        <v>109</v>
      </c>
      <c r="AI1168" s="1" t="s">
        <v>109</v>
      </c>
      <c r="AJ1168" s="1">
        <v>2</v>
      </c>
      <c r="AK1168" s="1" t="s">
        <v>109</v>
      </c>
      <c r="AL1168" s="1">
        <v>2</v>
      </c>
      <c r="AM1168" s="1" t="s">
        <v>109</v>
      </c>
      <c r="AN1168" s="1" t="s">
        <v>109</v>
      </c>
      <c r="AO1168" s="1" t="s">
        <v>109</v>
      </c>
      <c r="AP1168" s="1"/>
      <c r="AQ1168" s="1">
        <v>2</v>
      </c>
      <c r="AR1168" s="1"/>
      <c r="AS1168" s="1"/>
      <c r="AT1168" s="1">
        <v>0</v>
      </c>
      <c r="AU1168" s="1">
        <v>0</v>
      </c>
      <c r="AV1168" s="1">
        <v>0</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t="s">
        <v>109</v>
      </c>
      <c r="BT1168" s="1">
        <v>1204</v>
      </c>
      <c r="BU1168" s="1" t="s">
        <v>109</v>
      </c>
      <c r="BV1168" s="1"/>
      <c r="BW1168" s="1"/>
      <c r="BX1168" s="1"/>
      <c r="BY1168" s="1"/>
      <c r="BZ1168" s="1">
        <v>0</v>
      </c>
      <c r="CA1168" s="1" t="s">
        <v>109</v>
      </c>
      <c r="CB1168" s="1" t="s">
        <v>109</v>
      </c>
      <c r="CC1168" s="1" t="s">
        <v>109</v>
      </c>
      <c r="CD1168" s="1" t="s">
        <v>109</v>
      </c>
      <c r="CE1168" s="1" t="s">
        <v>109</v>
      </c>
      <c r="CF1168" s="1" t="s">
        <v>109</v>
      </c>
      <c r="CG1168" s="1" t="s">
        <v>109</v>
      </c>
      <c r="CH1168" s="1" t="s">
        <v>109</v>
      </c>
      <c r="CI1168" s="1" t="s">
        <v>109</v>
      </c>
      <c r="CJ1168" s="1" t="s">
        <v>109</v>
      </c>
      <c r="CK1168" s="1"/>
      <c r="CL1168" s="1">
        <v>0</v>
      </c>
      <c r="CM1168" s="1">
        <v>0</v>
      </c>
      <c r="CN1168" s="1">
        <v>0</v>
      </c>
    </row>
    <row r="1169" spans="1:92" ht="14.25" customHeight="1" x14ac:dyDescent="0.15">
      <c r="A1169" s="1" t="s">
        <v>9415</v>
      </c>
      <c r="B1169" s="1" t="s">
        <v>189</v>
      </c>
      <c r="C1169" s="1"/>
      <c r="D1169" s="1"/>
      <c r="E1169" s="1" t="s">
        <v>9416</v>
      </c>
      <c r="F1169" s="1" t="s">
        <v>98</v>
      </c>
      <c r="G1169" s="1" t="s">
        <v>9417</v>
      </c>
      <c r="H1169" s="1">
        <v>0</v>
      </c>
      <c r="I1169" s="1" t="s">
        <v>161</v>
      </c>
      <c r="J1169" s="1"/>
      <c r="K1169" s="1"/>
      <c r="L1169" s="1" t="s">
        <v>506</v>
      </c>
      <c r="M1169" s="1" t="s">
        <v>5642</v>
      </c>
      <c r="N1169" s="1">
        <v>0</v>
      </c>
      <c r="O1169" s="1">
        <v>0</v>
      </c>
      <c r="P1169" s="1" t="s">
        <v>507</v>
      </c>
      <c r="Q1169" s="1" t="s">
        <v>104</v>
      </c>
      <c r="R1169" s="1" t="s">
        <v>9418</v>
      </c>
      <c r="S1169" s="1" t="s">
        <v>9419</v>
      </c>
      <c r="T1169" s="1" t="s">
        <v>9413</v>
      </c>
      <c r="U1169" s="1" t="s">
        <v>9420</v>
      </c>
      <c r="V1169" s="1">
        <v>1</v>
      </c>
      <c r="W1169" s="1">
        <v>1</v>
      </c>
      <c r="X1169" s="1">
        <v>1</v>
      </c>
      <c r="Y1169" s="1">
        <v>0</v>
      </c>
      <c r="Z1169" s="1">
        <v>0</v>
      </c>
      <c r="AA1169" s="1">
        <v>2</v>
      </c>
      <c r="AB1169" s="1">
        <v>2</v>
      </c>
      <c r="AC1169" s="1" t="s">
        <v>109</v>
      </c>
      <c r="AD1169" s="1">
        <v>2</v>
      </c>
      <c r="AE1169" s="1">
        <v>2</v>
      </c>
      <c r="AF1169" s="1" t="s">
        <v>109</v>
      </c>
      <c r="AG1169" s="1" t="s">
        <v>109</v>
      </c>
      <c r="AH1169" s="1" t="s">
        <v>109</v>
      </c>
      <c r="AI1169" s="1" t="s">
        <v>109</v>
      </c>
      <c r="AJ1169" s="1" t="s">
        <v>109</v>
      </c>
      <c r="AK1169" s="1" t="s">
        <v>109</v>
      </c>
      <c r="AL1169" s="1" t="s">
        <v>109</v>
      </c>
      <c r="AM1169" s="1" t="s">
        <v>109</v>
      </c>
      <c r="AN1169" s="1" t="s">
        <v>109</v>
      </c>
      <c r="AO1169" s="1" t="s">
        <v>109</v>
      </c>
      <c r="AP1169" s="1"/>
      <c r="AQ1169" s="1">
        <v>2</v>
      </c>
      <c r="AR1169" s="1"/>
      <c r="AS1169" s="1"/>
      <c r="AT1169" s="1">
        <v>0</v>
      </c>
      <c r="AU1169" s="1">
        <v>0</v>
      </c>
      <c r="AV1169" s="1">
        <v>0</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t="s">
        <v>109</v>
      </c>
      <c r="BT1169" s="1">
        <v>1205</v>
      </c>
      <c r="BU1169" s="1" t="s">
        <v>109</v>
      </c>
      <c r="BV1169" s="1"/>
      <c r="BW1169" s="1"/>
      <c r="BX1169" s="1"/>
      <c r="BY1169" s="1"/>
      <c r="BZ1169" s="1">
        <v>0</v>
      </c>
      <c r="CA1169" s="1" t="s">
        <v>109</v>
      </c>
      <c r="CB1169" s="1" t="s">
        <v>109</v>
      </c>
      <c r="CC1169" s="1" t="s">
        <v>109</v>
      </c>
      <c r="CD1169" s="1" t="s">
        <v>109</v>
      </c>
      <c r="CE1169" s="1" t="s">
        <v>109</v>
      </c>
      <c r="CF1169" s="1" t="s">
        <v>109</v>
      </c>
      <c r="CG1169" s="1" t="s">
        <v>109</v>
      </c>
      <c r="CH1169" s="1" t="s">
        <v>109</v>
      </c>
      <c r="CI1169" s="1" t="s">
        <v>109</v>
      </c>
      <c r="CJ1169" s="1">
        <v>2</v>
      </c>
      <c r="CK1169" s="1"/>
      <c r="CL1169" s="1">
        <v>0</v>
      </c>
      <c r="CM1169" s="1">
        <v>0</v>
      </c>
      <c r="CN1169" s="1">
        <v>0</v>
      </c>
    </row>
    <row r="1170" spans="1:92" ht="14.25" customHeight="1" x14ac:dyDescent="0.15">
      <c r="A1170" s="1" t="s">
        <v>9421</v>
      </c>
      <c r="B1170" s="1" t="s">
        <v>584</v>
      </c>
      <c r="C1170" s="1"/>
      <c r="D1170" s="1" t="s">
        <v>55</v>
      </c>
      <c r="E1170" s="1" t="s">
        <v>5779</v>
      </c>
      <c r="F1170" s="1" t="s">
        <v>98</v>
      </c>
      <c r="G1170" s="1" t="s">
        <v>141</v>
      </c>
      <c r="H1170" s="1">
        <v>0</v>
      </c>
      <c r="I1170" s="1" t="s">
        <v>122</v>
      </c>
      <c r="J1170" s="1"/>
      <c r="K1170" s="1"/>
      <c r="L1170" s="1" t="s">
        <v>573</v>
      </c>
      <c r="M1170" s="1" t="s">
        <v>144</v>
      </c>
      <c r="N1170" s="1">
        <v>0</v>
      </c>
      <c r="O1170" s="1">
        <v>0</v>
      </c>
      <c r="P1170" s="1" t="s">
        <v>1410</v>
      </c>
      <c r="Q1170" s="1" t="s">
        <v>268</v>
      </c>
      <c r="R1170" s="1" t="s">
        <v>9422</v>
      </c>
      <c r="S1170" s="1" t="s">
        <v>9423</v>
      </c>
      <c r="T1170" s="1" t="s">
        <v>9413</v>
      </c>
      <c r="U1170" s="1" t="s">
        <v>9424</v>
      </c>
      <c r="V1170" s="1">
        <v>1</v>
      </c>
      <c r="W1170" s="1">
        <v>1</v>
      </c>
      <c r="X1170" s="1">
        <v>0</v>
      </c>
      <c r="Y1170" s="1">
        <v>0</v>
      </c>
      <c r="Z1170" s="1">
        <v>0</v>
      </c>
      <c r="AA1170" s="1">
        <v>3</v>
      </c>
      <c r="AB1170" s="1">
        <v>3</v>
      </c>
      <c r="AC1170" s="1" t="s">
        <v>109</v>
      </c>
      <c r="AD1170" s="1">
        <v>3</v>
      </c>
      <c r="AE1170" s="1" t="s">
        <v>109</v>
      </c>
      <c r="AF1170" s="1" t="s">
        <v>109</v>
      </c>
      <c r="AG1170" s="1" t="s">
        <v>109</v>
      </c>
      <c r="AH1170" s="1" t="s">
        <v>109</v>
      </c>
      <c r="AI1170" s="1" t="s">
        <v>109</v>
      </c>
      <c r="AJ1170" s="1" t="s">
        <v>109</v>
      </c>
      <c r="AK1170" s="1" t="s">
        <v>109</v>
      </c>
      <c r="AL1170" s="1" t="s">
        <v>109</v>
      </c>
      <c r="AM1170" s="1" t="s">
        <v>109</v>
      </c>
      <c r="AN1170" s="1" t="s">
        <v>109</v>
      </c>
      <c r="AO1170" s="1" t="s">
        <v>109</v>
      </c>
      <c r="AP1170" s="1"/>
      <c r="AQ1170" s="1">
        <v>3</v>
      </c>
      <c r="AR1170" s="1"/>
      <c r="AS1170" s="1"/>
      <c r="AT1170" s="1">
        <v>0</v>
      </c>
      <c r="AU1170" s="1">
        <v>0</v>
      </c>
      <c r="AV1170" s="1">
        <v>0</v>
      </c>
      <c r="AW1170" s="1">
        <v>0</v>
      </c>
      <c r="AX1170" s="1">
        <v>0</v>
      </c>
      <c r="AY1170" s="1">
        <v>0</v>
      </c>
      <c r="AZ1170" s="1">
        <v>0</v>
      </c>
      <c r="BA1170" s="1">
        <v>0</v>
      </c>
      <c r="BB1170" s="1">
        <v>0</v>
      </c>
      <c r="BC1170" s="1">
        <v>1</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t="s">
        <v>109</v>
      </c>
      <c r="BT1170" s="1">
        <v>1206</v>
      </c>
      <c r="BU1170" s="1" t="s">
        <v>109</v>
      </c>
      <c r="BV1170" s="1"/>
      <c r="BW1170" s="1"/>
      <c r="BX1170" s="1"/>
      <c r="BY1170" s="1"/>
      <c r="BZ1170" s="1">
        <v>0</v>
      </c>
      <c r="CA1170" s="1" t="s">
        <v>109</v>
      </c>
      <c r="CB1170" s="1" t="s">
        <v>109</v>
      </c>
      <c r="CC1170" s="1" t="s">
        <v>109</v>
      </c>
      <c r="CD1170" s="1" t="s">
        <v>109</v>
      </c>
      <c r="CE1170" s="1" t="s">
        <v>109</v>
      </c>
      <c r="CF1170" s="1" t="s">
        <v>109</v>
      </c>
      <c r="CG1170" s="1" t="s">
        <v>109</v>
      </c>
      <c r="CH1170" s="1" t="s">
        <v>109</v>
      </c>
      <c r="CI1170" s="1" t="s">
        <v>109</v>
      </c>
      <c r="CJ1170" s="1">
        <v>3</v>
      </c>
      <c r="CK1170" s="1"/>
      <c r="CL1170" s="1">
        <v>0</v>
      </c>
      <c r="CM1170" s="1">
        <v>0</v>
      </c>
      <c r="CN1170" s="1">
        <v>0</v>
      </c>
    </row>
    <row r="1171" spans="1:92" ht="14.25" customHeight="1" x14ac:dyDescent="0.15">
      <c r="A1171" s="1" t="s">
        <v>9425</v>
      </c>
      <c r="B1171" s="1" t="s">
        <v>584</v>
      </c>
      <c r="C1171" s="1"/>
      <c r="D1171" s="1" t="s">
        <v>47</v>
      </c>
      <c r="E1171" s="1" t="s">
        <v>9426</v>
      </c>
      <c r="F1171" s="1" t="s">
        <v>98</v>
      </c>
      <c r="G1171" s="1" t="s">
        <v>9427</v>
      </c>
      <c r="H1171" s="1">
        <v>0</v>
      </c>
      <c r="I1171" s="1" t="s">
        <v>142</v>
      </c>
      <c r="J1171" s="1"/>
      <c r="K1171" s="1"/>
      <c r="L1171" s="1" t="s">
        <v>1548</v>
      </c>
      <c r="M1171" s="1" t="s">
        <v>9428</v>
      </c>
      <c r="N1171" s="1">
        <v>1</v>
      </c>
      <c r="O1171" s="1">
        <v>0</v>
      </c>
      <c r="P1171" s="1" t="s">
        <v>507</v>
      </c>
      <c r="Q1171" s="1" t="s">
        <v>268</v>
      </c>
      <c r="R1171" s="1" t="s">
        <v>9429</v>
      </c>
      <c r="S1171" s="1" t="s">
        <v>9430</v>
      </c>
      <c r="T1171" s="1" t="s">
        <v>9431</v>
      </c>
      <c r="U1171" s="1" t="s">
        <v>9432</v>
      </c>
      <c r="V1171" s="1">
        <v>1</v>
      </c>
      <c r="W1171" s="1">
        <v>1</v>
      </c>
      <c r="X1171" s="1">
        <v>1</v>
      </c>
      <c r="Y1171" s="1">
        <v>0</v>
      </c>
      <c r="Z1171" s="1">
        <v>0</v>
      </c>
      <c r="AA1171" s="1">
        <v>0</v>
      </c>
      <c r="AB1171" s="1">
        <v>0</v>
      </c>
      <c r="AC1171" s="1" t="s">
        <v>109</v>
      </c>
      <c r="AD1171" s="1" t="s">
        <v>109</v>
      </c>
      <c r="AE1171" s="1" t="s">
        <v>109</v>
      </c>
      <c r="AF1171" s="1" t="s">
        <v>109</v>
      </c>
      <c r="AG1171" s="1" t="s">
        <v>109</v>
      </c>
      <c r="AH1171" s="1" t="s">
        <v>109</v>
      </c>
      <c r="AI1171" s="1" t="s">
        <v>109</v>
      </c>
      <c r="AJ1171" s="1" t="s">
        <v>109</v>
      </c>
      <c r="AK1171" s="1" t="s">
        <v>109</v>
      </c>
      <c r="AL1171" s="1" t="s">
        <v>109</v>
      </c>
      <c r="AM1171" s="1" t="s">
        <v>109</v>
      </c>
      <c r="AN1171" s="1" t="s">
        <v>109</v>
      </c>
      <c r="AO1171" s="1" t="s">
        <v>109</v>
      </c>
      <c r="AP1171" s="1"/>
      <c r="AQ1171" s="1">
        <v>0</v>
      </c>
      <c r="AR1171" s="1"/>
      <c r="AS1171" s="1"/>
      <c r="AT1171" s="1">
        <v>0</v>
      </c>
      <c r="AU1171" s="1">
        <v>1</v>
      </c>
      <c r="AV1171" s="1">
        <v>0</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t="s">
        <v>109</v>
      </c>
      <c r="BT1171" s="1">
        <v>1207</v>
      </c>
      <c r="BU1171" s="1" t="s">
        <v>109</v>
      </c>
      <c r="BV1171" s="1"/>
      <c r="BW1171" s="1"/>
      <c r="BX1171" s="1"/>
      <c r="BY1171" s="1"/>
      <c r="BZ1171" s="1">
        <v>0</v>
      </c>
      <c r="CA1171" s="1" t="s">
        <v>109</v>
      </c>
      <c r="CB1171" s="1" t="s">
        <v>109</v>
      </c>
      <c r="CC1171" s="1" t="s">
        <v>109</v>
      </c>
      <c r="CD1171" s="1" t="s">
        <v>109</v>
      </c>
      <c r="CE1171" s="1" t="s">
        <v>109</v>
      </c>
      <c r="CF1171" s="1" t="s">
        <v>109</v>
      </c>
      <c r="CG1171" s="1" t="s">
        <v>109</v>
      </c>
      <c r="CH1171" s="1" t="s">
        <v>109</v>
      </c>
      <c r="CI1171" s="1" t="s">
        <v>109</v>
      </c>
      <c r="CJ1171" s="1" t="s">
        <v>109</v>
      </c>
      <c r="CK1171" s="1"/>
      <c r="CL1171" s="1">
        <v>0</v>
      </c>
      <c r="CM1171" s="1">
        <v>0</v>
      </c>
      <c r="CN1171" s="1">
        <v>0</v>
      </c>
    </row>
    <row r="1172" spans="1:92" ht="14.25" customHeight="1" x14ac:dyDescent="0.15">
      <c r="A1172" s="1" t="s">
        <v>9433</v>
      </c>
      <c r="B1172" s="1" t="s">
        <v>95</v>
      </c>
      <c r="C1172" s="1" t="s">
        <v>96</v>
      </c>
      <c r="D1172" s="1" t="s">
        <v>70</v>
      </c>
      <c r="E1172" s="1" t="s">
        <v>9426</v>
      </c>
      <c r="F1172" s="1" t="s">
        <v>98</v>
      </c>
      <c r="G1172" s="1" t="s">
        <v>141</v>
      </c>
      <c r="H1172" s="1">
        <v>0</v>
      </c>
      <c r="I1172" s="1" t="s">
        <v>142</v>
      </c>
      <c r="J1172" s="1"/>
      <c r="K1172" s="1"/>
      <c r="L1172" s="1" t="s">
        <v>9434</v>
      </c>
      <c r="M1172" s="1" t="s">
        <v>355</v>
      </c>
      <c r="N1172" s="1">
        <v>0</v>
      </c>
      <c r="O1172" s="1">
        <v>0</v>
      </c>
      <c r="P1172" s="1" t="s">
        <v>5002</v>
      </c>
      <c r="Q1172" s="1" t="s">
        <v>630</v>
      </c>
      <c r="R1172" s="1" t="s">
        <v>9435</v>
      </c>
      <c r="S1172" s="1" t="s">
        <v>9436</v>
      </c>
      <c r="T1172" s="1" t="s">
        <v>9431</v>
      </c>
      <c r="U1172" s="1" t="s">
        <v>9437</v>
      </c>
      <c r="V1172" s="1">
        <v>1</v>
      </c>
      <c r="W1172" s="1">
        <v>1</v>
      </c>
      <c r="X1172" s="1">
        <v>0</v>
      </c>
      <c r="Y1172" s="1">
        <v>0</v>
      </c>
      <c r="Z1172" s="1">
        <v>0</v>
      </c>
      <c r="AA1172" s="1">
        <v>0</v>
      </c>
      <c r="AB1172" s="1">
        <v>0</v>
      </c>
      <c r="AC1172" s="1" t="s">
        <v>109</v>
      </c>
      <c r="AD1172" s="1" t="s">
        <v>109</v>
      </c>
      <c r="AE1172" s="1" t="s">
        <v>109</v>
      </c>
      <c r="AF1172" s="1" t="s">
        <v>109</v>
      </c>
      <c r="AG1172" s="1" t="s">
        <v>109</v>
      </c>
      <c r="AH1172" s="1" t="s">
        <v>109</v>
      </c>
      <c r="AI1172" s="1" t="s">
        <v>109</v>
      </c>
      <c r="AJ1172" s="1" t="s">
        <v>109</v>
      </c>
      <c r="AK1172" s="1" t="s">
        <v>109</v>
      </c>
      <c r="AL1172" s="1" t="s">
        <v>109</v>
      </c>
      <c r="AM1172" s="1" t="s">
        <v>109</v>
      </c>
      <c r="AN1172" s="1" t="s">
        <v>109</v>
      </c>
      <c r="AO1172" s="1" t="s">
        <v>109</v>
      </c>
      <c r="AP1172" s="1"/>
      <c r="AQ1172" s="1">
        <v>0</v>
      </c>
      <c r="AR1172" s="1"/>
      <c r="AS1172" s="1"/>
      <c r="AT1172" s="1">
        <v>0</v>
      </c>
      <c r="AU1172" s="1">
        <v>0</v>
      </c>
      <c r="AV1172" s="1">
        <v>0</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1</v>
      </c>
      <c r="BS1172" s="1" t="s">
        <v>109</v>
      </c>
      <c r="BT1172" s="1">
        <v>1208</v>
      </c>
      <c r="BU1172" s="1" t="s">
        <v>109</v>
      </c>
      <c r="BV1172" s="1"/>
      <c r="BW1172" s="1"/>
      <c r="BX1172" s="1"/>
      <c r="BY1172" s="1"/>
      <c r="BZ1172" s="1">
        <v>0</v>
      </c>
      <c r="CA1172" s="1" t="s">
        <v>109</v>
      </c>
      <c r="CB1172" s="1" t="s">
        <v>109</v>
      </c>
      <c r="CC1172" s="1" t="s">
        <v>109</v>
      </c>
      <c r="CD1172" s="1" t="s">
        <v>109</v>
      </c>
      <c r="CE1172" s="1" t="s">
        <v>109</v>
      </c>
      <c r="CF1172" s="1" t="s">
        <v>109</v>
      </c>
      <c r="CG1172" s="1" t="s">
        <v>109</v>
      </c>
      <c r="CH1172" s="1" t="s">
        <v>109</v>
      </c>
      <c r="CI1172" s="1" t="s">
        <v>109</v>
      </c>
      <c r="CJ1172" s="1" t="s">
        <v>109</v>
      </c>
      <c r="CK1172" s="1"/>
      <c r="CL1172" s="1">
        <v>0</v>
      </c>
      <c r="CM1172" s="1">
        <v>0</v>
      </c>
      <c r="CN1172" s="1">
        <v>0</v>
      </c>
    </row>
    <row r="1173" spans="1:92" ht="14.25" customHeight="1" x14ac:dyDescent="0.15">
      <c r="A1173" s="1" t="s">
        <v>9438</v>
      </c>
      <c r="B1173" s="1" t="s">
        <v>189</v>
      </c>
      <c r="C1173" s="1"/>
      <c r="D1173" s="1" t="s">
        <v>55</v>
      </c>
      <c r="E1173" s="1" t="s">
        <v>9426</v>
      </c>
      <c r="F1173" s="1" t="s">
        <v>98</v>
      </c>
      <c r="G1173" s="1" t="s">
        <v>141</v>
      </c>
      <c r="H1173" s="1">
        <v>0</v>
      </c>
      <c r="I1173" s="1" t="s">
        <v>142</v>
      </c>
      <c r="J1173" s="1"/>
      <c r="K1173" s="1" t="s">
        <v>9439</v>
      </c>
      <c r="L1173" s="1"/>
      <c r="M1173" s="1" t="s">
        <v>144</v>
      </c>
      <c r="N1173" s="1">
        <v>0</v>
      </c>
      <c r="O1173" s="1">
        <v>0</v>
      </c>
      <c r="P1173" s="1" t="s">
        <v>103</v>
      </c>
      <c r="Q1173" s="1" t="s">
        <v>9440</v>
      </c>
      <c r="R1173" s="1" t="s">
        <v>9441</v>
      </c>
      <c r="S1173" s="1" t="s">
        <v>9442</v>
      </c>
      <c r="T1173" s="1" t="s">
        <v>9431</v>
      </c>
      <c r="U1173" s="1" t="s">
        <v>9443</v>
      </c>
      <c r="V1173" s="1">
        <v>1</v>
      </c>
      <c r="W1173" s="1">
        <v>1</v>
      </c>
      <c r="X1173" s="1">
        <v>0</v>
      </c>
      <c r="Y1173" s="1">
        <v>0</v>
      </c>
      <c r="Z1173" s="1">
        <v>0</v>
      </c>
      <c r="AA1173" s="1">
        <v>0</v>
      </c>
      <c r="AB1173" s="1">
        <v>0</v>
      </c>
      <c r="AC1173" s="1" t="s">
        <v>109</v>
      </c>
      <c r="AD1173" s="1" t="s">
        <v>109</v>
      </c>
      <c r="AE1173" s="1" t="s">
        <v>109</v>
      </c>
      <c r="AF1173" s="1" t="s">
        <v>109</v>
      </c>
      <c r="AG1173" s="1" t="s">
        <v>109</v>
      </c>
      <c r="AH1173" s="1" t="s">
        <v>109</v>
      </c>
      <c r="AI1173" s="1" t="s">
        <v>109</v>
      </c>
      <c r="AJ1173" s="1" t="s">
        <v>109</v>
      </c>
      <c r="AK1173" s="1" t="s">
        <v>109</v>
      </c>
      <c r="AL1173" s="1" t="s">
        <v>109</v>
      </c>
      <c r="AM1173" s="1" t="s">
        <v>109</v>
      </c>
      <c r="AN1173" s="1" t="s">
        <v>109</v>
      </c>
      <c r="AO1173" s="1" t="s">
        <v>109</v>
      </c>
      <c r="AP1173" s="1"/>
      <c r="AQ1173" s="1">
        <v>0</v>
      </c>
      <c r="AR1173" s="1"/>
      <c r="AS1173" s="1"/>
      <c r="AT1173" s="1">
        <v>0</v>
      </c>
      <c r="AU1173" s="1">
        <v>0</v>
      </c>
      <c r="AV1173" s="1">
        <v>0</v>
      </c>
      <c r="AW1173" s="1">
        <v>0</v>
      </c>
      <c r="AX1173" s="1">
        <v>0</v>
      </c>
      <c r="AY1173" s="1">
        <v>0</v>
      </c>
      <c r="AZ1173" s="1">
        <v>0</v>
      </c>
      <c r="BA1173" s="1">
        <v>0</v>
      </c>
      <c r="BB1173" s="1">
        <v>0</v>
      </c>
      <c r="BC1173" s="1">
        <v>1</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t="s">
        <v>109</v>
      </c>
      <c r="BT1173" s="1">
        <v>1209</v>
      </c>
      <c r="BU1173" s="1" t="s">
        <v>109</v>
      </c>
      <c r="BV1173" s="1"/>
      <c r="BW1173" s="1"/>
      <c r="BX1173" s="1"/>
      <c r="BY1173" s="1"/>
      <c r="BZ1173" s="1">
        <v>0</v>
      </c>
      <c r="CA1173" s="1" t="s">
        <v>109</v>
      </c>
      <c r="CB1173" s="1" t="s">
        <v>109</v>
      </c>
      <c r="CC1173" s="1" t="s">
        <v>109</v>
      </c>
      <c r="CD1173" s="1" t="s">
        <v>109</v>
      </c>
      <c r="CE1173" s="1" t="s">
        <v>109</v>
      </c>
      <c r="CF1173" s="1" t="s">
        <v>109</v>
      </c>
      <c r="CG1173" s="1" t="s">
        <v>109</v>
      </c>
      <c r="CH1173" s="1" t="s">
        <v>109</v>
      </c>
      <c r="CI1173" s="1" t="s">
        <v>109</v>
      </c>
      <c r="CJ1173" s="1" t="s">
        <v>109</v>
      </c>
      <c r="CK1173" s="1"/>
      <c r="CL1173" s="1">
        <v>0</v>
      </c>
      <c r="CM1173" s="1">
        <v>0</v>
      </c>
      <c r="CN1173" s="1">
        <v>0</v>
      </c>
    </row>
    <row r="1174" spans="1:92" ht="14.25" customHeight="1" x14ac:dyDescent="0.15">
      <c r="A1174" s="1" t="s">
        <v>9444</v>
      </c>
      <c r="B1174" s="1" t="s">
        <v>584</v>
      </c>
      <c r="C1174" s="1"/>
      <c r="D1174" s="1" t="s">
        <v>51</v>
      </c>
      <c r="E1174" s="1" t="s">
        <v>9426</v>
      </c>
      <c r="F1174" s="1" t="s">
        <v>98</v>
      </c>
      <c r="G1174" s="1" t="s">
        <v>9445</v>
      </c>
      <c r="H1174" s="1">
        <v>0</v>
      </c>
      <c r="I1174" s="1" t="s">
        <v>161</v>
      </c>
      <c r="J1174" s="1"/>
      <c r="K1174" s="1"/>
      <c r="L1174" s="1" t="s">
        <v>3434</v>
      </c>
      <c r="M1174" s="1" t="s">
        <v>6625</v>
      </c>
      <c r="N1174" s="1">
        <v>1</v>
      </c>
      <c r="O1174" s="1">
        <v>0</v>
      </c>
      <c r="P1174" s="1" t="s">
        <v>507</v>
      </c>
      <c r="Q1174" s="1" t="s">
        <v>268</v>
      </c>
      <c r="R1174" s="1" t="s">
        <v>9446</v>
      </c>
      <c r="S1174" s="1" t="s">
        <v>9447</v>
      </c>
      <c r="T1174" s="1" t="s">
        <v>9431</v>
      </c>
      <c r="U1174" s="1" t="s">
        <v>9448</v>
      </c>
      <c r="V1174" s="1">
        <v>1</v>
      </c>
      <c r="W1174" s="1">
        <v>1</v>
      </c>
      <c r="X1174" s="1">
        <v>1</v>
      </c>
      <c r="Y1174" s="1">
        <v>0</v>
      </c>
      <c r="Z1174" s="1">
        <v>0</v>
      </c>
      <c r="AA1174" s="1">
        <v>0</v>
      </c>
      <c r="AB1174" s="1">
        <v>0</v>
      </c>
      <c r="AC1174" s="1" t="s">
        <v>109</v>
      </c>
      <c r="AD1174" s="1" t="s">
        <v>109</v>
      </c>
      <c r="AE1174" s="1" t="s">
        <v>109</v>
      </c>
      <c r="AF1174" s="1" t="s">
        <v>109</v>
      </c>
      <c r="AG1174" s="1" t="s">
        <v>109</v>
      </c>
      <c r="AH1174" s="1" t="s">
        <v>109</v>
      </c>
      <c r="AI1174" s="1" t="s">
        <v>109</v>
      </c>
      <c r="AJ1174" s="1" t="s">
        <v>109</v>
      </c>
      <c r="AK1174" s="1" t="s">
        <v>109</v>
      </c>
      <c r="AL1174" s="1" t="s">
        <v>109</v>
      </c>
      <c r="AM1174" s="1" t="s">
        <v>109</v>
      </c>
      <c r="AN1174" s="1" t="s">
        <v>109</v>
      </c>
      <c r="AO1174" s="1" t="s">
        <v>109</v>
      </c>
      <c r="AP1174" s="1"/>
      <c r="AQ1174" s="1">
        <v>0</v>
      </c>
      <c r="AR1174" s="1"/>
      <c r="AS1174" s="1"/>
      <c r="AT1174" s="1">
        <v>0</v>
      </c>
      <c r="AU1174" s="1">
        <v>0</v>
      </c>
      <c r="AV1174" s="1">
        <v>0</v>
      </c>
      <c r="AW1174" s="1">
        <v>0</v>
      </c>
      <c r="AX1174" s="1">
        <v>0</v>
      </c>
      <c r="AY1174" s="1">
        <v>1</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t="s">
        <v>109</v>
      </c>
      <c r="BT1174" s="1">
        <v>1210</v>
      </c>
      <c r="BU1174" s="1" t="s">
        <v>109</v>
      </c>
      <c r="BV1174" s="1"/>
      <c r="BW1174" s="1"/>
      <c r="BX1174" s="1"/>
      <c r="BY1174" s="1"/>
      <c r="BZ1174" s="1">
        <v>0</v>
      </c>
      <c r="CA1174" s="1" t="s">
        <v>109</v>
      </c>
      <c r="CB1174" s="1" t="s">
        <v>109</v>
      </c>
      <c r="CC1174" s="1" t="s">
        <v>109</v>
      </c>
      <c r="CD1174" s="1" t="s">
        <v>109</v>
      </c>
      <c r="CE1174" s="1" t="s">
        <v>109</v>
      </c>
      <c r="CF1174" s="1" t="s">
        <v>109</v>
      </c>
      <c r="CG1174" s="1" t="s">
        <v>109</v>
      </c>
      <c r="CH1174" s="1" t="s">
        <v>109</v>
      </c>
      <c r="CI1174" s="1" t="s">
        <v>109</v>
      </c>
      <c r="CJ1174" s="1" t="s">
        <v>109</v>
      </c>
      <c r="CK1174" s="1"/>
      <c r="CL1174" s="1">
        <v>0</v>
      </c>
      <c r="CM1174" s="1">
        <v>0</v>
      </c>
      <c r="CN1174" s="1">
        <v>0</v>
      </c>
    </row>
    <row r="1175" spans="1:92" ht="14.25" customHeight="1" x14ac:dyDescent="0.15">
      <c r="A1175" s="1" t="s">
        <v>9449</v>
      </c>
      <c r="B1175" s="1" t="s">
        <v>189</v>
      </c>
      <c r="C1175" s="1"/>
      <c r="D1175" s="1" t="s">
        <v>54</v>
      </c>
      <c r="E1175" s="1" t="s">
        <v>9426</v>
      </c>
      <c r="F1175" s="1" t="s">
        <v>98</v>
      </c>
      <c r="G1175" s="1" t="s">
        <v>3010</v>
      </c>
      <c r="H1175" s="1">
        <v>0</v>
      </c>
      <c r="I1175" s="1" t="s">
        <v>161</v>
      </c>
      <c r="J1175" s="1"/>
      <c r="K1175" s="1"/>
      <c r="L1175" s="1" t="s">
        <v>506</v>
      </c>
      <c r="M1175" s="1" t="s">
        <v>9450</v>
      </c>
      <c r="N1175" s="1">
        <v>1</v>
      </c>
      <c r="O1175" s="1">
        <v>0</v>
      </c>
      <c r="P1175" s="1" t="s">
        <v>507</v>
      </c>
      <c r="Q1175" s="1" t="s">
        <v>268</v>
      </c>
      <c r="R1175" s="1" t="s">
        <v>9451</v>
      </c>
      <c r="S1175" s="1" t="s">
        <v>9452</v>
      </c>
      <c r="T1175" s="1" t="s">
        <v>9431</v>
      </c>
      <c r="U1175" s="1" t="s">
        <v>9453</v>
      </c>
      <c r="V1175" s="1">
        <v>1</v>
      </c>
      <c r="W1175" s="1">
        <v>1</v>
      </c>
      <c r="X1175" s="1">
        <v>1</v>
      </c>
      <c r="Y1175" s="1">
        <v>0</v>
      </c>
      <c r="Z1175" s="1">
        <v>0</v>
      </c>
      <c r="AA1175" s="1">
        <v>0</v>
      </c>
      <c r="AB1175" s="1">
        <v>0</v>
      </c>
      <c r="AC1175" s="1" t="s">
        <v>109</v>
      </c>
      <c r="AD1175" s="1" t="s">
        <v>109</v>
      </c>
      <c r="AE1175" s="1" t="s">
        <v>109</v>
      </c>
      <c r="AF1175" s="1" t="s">
        <v>109</v>
      </c>
      <c r="AG1175" s="1" t="s">
        <v>109</v>
      </c>
      <c r="AH1175" s="1" t="s">
        <v>109</v>
      </c>
      <c r="AI1175" s="1" t="s">
        <v>109</v>
      </c>
      <c r="AJ1175" s="1" t="s">
        <v>109</v>
      </c>
      <c r="AK1175" s="1" t="s">
        <v>109</v>
      </c>
      <c r="AL1175" s="1" t="s">
        <v>109</v>
      </c>
      <c r="AM1175" s="1" t="s">
        <v>109</v>
      </c>
      <c r="AN1175" s="1" t="s">
        <v>109</v>
      </c>
      <c r="AO1175" s="1" t="s">
        <v>109</v>
      </c>
      <c r="AP1175" s="1"/>
      <c r="AQ1175" s="1">
        <v>0</v>
      </c>
      <c r="AR1175" s="1"/>
      <c r="AS1175" s="1"/>
      <c r="AT1175" s="1">
        <v>0</v>
      </c>
      <c r="AU1175" s="1">
        <v>0</v>
      </c>
      <c r="AV1175" s="1">
        <v>0</v>
      </c>
      <c r="AW1175" s="1">
        <v>0</v>
      </c>
      <c r="AX1175" s="1">
        <v>0</v>
      </c>
      <c r="AY1175" s="1">
        <v>0</v>
      </c>
      <c r="AZ1175" s="1">
        <v>0</v>
      </c>
      <c r="BA1175" s="1">
        <v>0</v>
      </c>
      <c r="BB1175" s="1">
        <v>1</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t="s">
        <v>109</v>
      </c>
      <c r="BT1175" s="1">
        <v>1211</v>
      </c>
      <c r="BU1175" s="1" t="s">
        <v>109</v>
      </c>
      <c r="BV1175" s="1"/>
      <c r="BW1175" s="1"/>
      <c r="BX1175" s="1"/>
      <c r="BY1175" s="1"/>
      <c r="BZ1175" s="1">
        <v>0</v>
      </c>
      <c r="CA1175" s="1" t="s">
        <v>109</v>
      </c>
      <c r="CB1175" s="1" t="s">
        <v>109</v>
      </c>
      <c r="CC1175" s="1" t="s">
        <v>109</v>
      </c>
      <c r="CD1175" s="1" t="s">
        <v>109</v>
      </c>
      <c r="CE1175" s="1" t="s">
        <v>109</v>
      </c>
      <c r="CF1175" s="1" t="s">
        <v>109</v>
      </c>
      <c r="CG1175" s="1" t="s">
        <v>109</v>
      </c>
      <c r="CH1175" s="1" t="s">
        <v>109</v>
      </c>
      <c r="CI1175" s="1" t="s">
        <v>109</v>
      </c>
      <c r="CJ1175" s="1" t="s">
        <v>109</v>
      </c>
      <c r="CK1175" s="1"/>
      <c r="CL1175" s="1">
        <v>0</v>
      </c>
      <c r="CM1175" s="1">
        <v>0</v>
      </c>
      <c r="CN1175" s="1">
        <v>0</v>
      </c>
    </row>
    <row r="1176" spans="1:92" ht="14.25" customHeight="1" x14ac:dyDescent="0.15">
      <c r="A1176" s="1" t="s">
        <v>9454</v>
      </c>
      <c r="B1176" s="1" t="s">
        <v>584</v>
      </c>
      <c r="C1176" s="1"/>
      <c r="D1176" s="1" t="s">
        <v>60</v>
      </c>
      <c r="E1176" s="1" t="s">
        <v>9426</v>
      </c>
      <c r="F1176" s="1" t="s">
        <v>98</v>
      </c>
      <c r="G1176" s="1" t="s">
        <v>141</v>
      </c>
      <c r="H1176" s="1">
        <v>0</v>
      </c>
      <c r="I1176" s="1" t="s">
        <v>142</v>
      </c>
      <c r="J1176" s="1"/>
      <c r="K1176" s="1" t="s">
        <v>9455</v>
      </c>
      <c r="L1176" s="1"/>
      <c r="M1176" s="1"/>
      <c r="N1176" s="1">
        <v>0</v>
      </c>
      <c r="O1176" s="1">
        <v>0</v>
      </c>
      <c r="P1176" s="1" t="s">
        <v>103</v>
      </c>
      <c r="Q1176" s="1" t="s">
        <v>268</v>
      </c>
      <c r="R1176" s="1" t="s">
        <v>9456</v>
      </c>
      <c r="S1176" s="1" t="s">
        <v>9457</v>
      </c>
      <c r="T1176" s="1" t="s">
        <v>9431</v>
      </c>
      <c r="U1176" s="1" t="s">
        <v>9458</v>
      </c>
      <c r="V1176" s="1">
        <v>1</v>
      </c>
      <c r="W1176" s="1">
        <v>1</v>
      </c>
      <c r="X1176" s="1">
        <v>0</v>
      </c>
      <c r="Y1176" s="1">
        <v>0</v>
      </c>
      <c r="Z1176" s="1">
        <v>0</v>
      </c>
      <c r="AA1176" s="1">
        <v>0</v>
      </c>
      <c r="AB1176" s="1">
        <v>0</v>
      </c>
      <c r="AC1176" s="1" t="s">
        <v>109</v>
      </c>
      <c r="AD1176" s="1" t="s">
        <v>109</v>
      </c>
      <c r="AE1176" s="1" t="s">
        <v>109</v>
      </c>
      <c r="AF1176" s="1" t="s">
        <v>109</v>
      </c>
      <c r="AG1176" s="1" t="s">
        <v>109</v>
      </c>
      <c r="AH1176" s="1" t="s">
        <v>109</v>
      </c>
      <c r="AI1176" s="1" t="s">
        <v>109</v>
      </c>
      <c r="AJ1176" s="1" t="s">
        <v>109</v>
      </c>
      <c r="AK1176" s="1" t="s">
        <v>109</v>
      </c>
      <c r="AL1176" s="1" t="s">
        <v>109</v>
      </c>
      <c r="AM1176" s="1" t="s">
        <v>109</v>
      </c>
      <c r="AN1176" s="1" t="s">
        <v>109</v>
      </c>
      <c r="AO1176" s="1" t="s">
        <v>109</v>
      </c>
      <c r="AP1176" s="1"/>
      <c r="AQ1176" s="1">
        <v>0</v>
      </c>
      <c r="AR1176" s="1"/>
      <c r="AS1176" s="1"/>
      <c r="AT1176" s="1">
        <v>0</v>
      </c>
      <c r="AU1176" s="1">
        <v>0</v>
      </c>
      <c r="AV1176" s="1">
        <v>0</v>
      </c>
      <c r="AW1176" s="1">
        <v>0</v>
      </c>
      <c r="AX1176" s="1">
        <v>0</v>
      </c>
      <c r="AY1176" s="1">
        <v>0</v>
      </c>
      <c r="AZ1176" s="1">
        <v>0</v>
      </c>
      <c r="BA1176" s="1">
        <v>0</v>
      </c>
      <c r="BB1176" s="1">
        <v>0</v>
      </c>
      <c r="BC1176" s="1">
        <v>0</v>
      </c>
      <c r="BD1176" s="1">
        <v>0</v>
      </c>
      <c r="BE1176" s="1">
        <v>0</v>
      </c>
      <c r="BF1176" s="1">
        <v>0</v>
      </c>
      <c r="BG1176" s="1">
        <v>0</v>
      </c>
      <c r="BH1176" s="1">
        <v>1</v>
      </c>
      <c r="BI1176" s="1">
        <v>0</v>
      </c>
      <c r="BJ1176" s="1">
        <v>0</v>
      </c>
      <c r="BK1176" s="1">
        <v>0</v>
      </c>
      <c r="BL1176" s="1">
        <v>0</v>
      </c>
      <c r="BM1176" s="1">
        <v>0</v>
      </c>
      <c r="BN1176" s="1">
        <v>0</v>
      </c>
      <c r="BO1176" s="1">
        <v>0</v>
      </c>
      <c r="BP1176" s="1">
        <v>0</v>
      </c>
      <c r="BQ1176" s="1">
        <v>0</v>
      </c>
      <c r="BR1176" s="1">
        <v>0</v>
      </c>
      <c r="BS1176" s="1" t="s">
        <v>109</v>
      </c>
      <c r="BT1176" s="1">
        <v>1212</v>
      </c>
      <c r="BU1176" s="1" t="s">
        <v>109</v>
      </c>
      <c r="BV1176" s="1"/>
      <c r="BW1176" s="1"/>
      <c r="BX1176" s="1"/>
      <c r="BY1176" s="1"/>
      <c r="BZ1176" s="1">
        <v>0</v>
      </c>
      <c r="CA1176" s="1" t="s">
        <v>109</v>
      </c>
      <c r="CB1176" s="1" t="s">
        <v>109</v>
      </c>
      <c r="CC1176" s="1" t="s">
        <v>109</v>
      </c>
      <c r="CD1176" s="1" t="s">
        <v>109</v>
      </c>
      <c r="CE1176" s="1" t="s">
        <v>109</v>
      </c>
      <c r="CF1176" s="1" t="s">
        <v>109</v>
      </c>
      <c r="CG1176" s="1" t="s">
        <v>109</v>
      </c>
      <c r="CH1176" s="1" t="s">
        <v>109</v>
      </c>
      <c r="CI1176" s="1" t="s">
        <v>109</v>
      </c>
      <c r="CJ1176" s="1" t="s">
        <v>109</v>
      </c>
      <c r="CK1176" s="1"/>
      <c r="CL1176" s="1">
        <v>0</v>
      </c>
      <c r="CM1176" s="1">
        <v>0</v>
      </c>
      <c r="CN1176" s="1">
        <v>0</v>
      </c>
    </row>
    <row r="1177" spans="1:92" ht="14.25" customHeight="1" x14ac:dyDescent="0.15">
      <c r="A1177" s="1" t="s">
        <v>9459</v>
      </c>
      <c r="B1177" s="1" t="s">
        <v>674</v>
      </c>
      <c r="C1177" s="1" t="s">
        <v>944</v>
      </c>
      <c r="D1177" s="1"/>
      <c r="E1177" s="1" t="s">
        <v>5732</v>
      </c>
      <c r="F1177" s="1" t="s">
        <v>6545</v>
      </c>
      <c r="G1177" s="1" t="s">
        <v>141</v>
      </c>
      <c r="H1177" s="1">
        <v>0</v>
      </c>
      <c r="I1177" s="1" t="s">
        <v>161</v>
      </c>
      <c r="J1177" s="1"/>
      <c r="K1177" s="1"/>
      <c r="L1177" s="1" t="s">
        <v>9460</v>
      </c>
      <c r="M1177" s="1" t="s">
        <v>3042</v>
      </c>
      <c r="N1177" s="1">
        <v>0</v>
      </c>
      <c r="O1177" s="1">
        <v>0</v>
      </c>
      <c r="P1177" s="1" t="s">
        <v>2475</v>
      </c>
      <c r="Q1177" s="1" t="s">
        <v>216</v>
      </c>
      <c r="R1177" s="1" t="s">
        <v>9461</v>
      </c>
      <c r="S1177" s="1" t="s">
        <v>9462</v>
      </c>
      <c r="T1177" s="1" t="s">
        <v>9413</v>
      </c>
      <c r="U1177" s="1" t="s">
        <v>9463</v>
      </c>
      <c r="V1177" s="1">
        <v>1</v>
      </c>
      <c r="W1177" s="1">
        <v>1</v>
      </c>
      <c r="X1177" s="1">
        <v>0</v>
      </c>
      <c r="Y1177" s="1">
        <v>0</v>
      </c>
      <c r="Z1177" s="1">
        <v>0</v>
      </c>
      <c r="AA1177" s="1">
        <v>1</v>
      </c>
      <c r="AB1177" s="1">
        <v>1</v>
      </c>
      <c r="AC1177" s="1" t="s">
        <v>109</v>
      </c>
      <c r="AD1177" s="1" t="s">
        <v>109</v>
      </c>
      <c r="AE1177" s="1" t="s">
        <v>109</v>
      </c>
      <c r="AF1177" s="1">
        <v>1</v>
      </c>
      <c r="AG1177" s="1" t="s">
        <v>109</v>
      </c>
      <c r="AH1177" s="1" t="s">
        <v>109</v>
      </c>
      <c r="AI1177" s="1" t="s">
        <v>109</v>
      </c>
      <c r="AJ1177" s="1" t="s">
        <v>109</v>
      </c>
      <c r="AK1177" s="1" t="s">
        <v>109</v>
      </c>
      <c r="AL1177" s="1" t="s">
        <v>109</v>
      </c>
      <c r="AM1177" s="1" t="s">
        <v>109</v>
      </c>
      <c r="AN1177" s="1" t="s">
        <v>109</v>
      </c>
      <c r="AO1177" s="1" t="s">
        <v>109</v>
      </c>
      <c r="AP1177" s="1"/>
      <c r="AQ1177" s="1">
        <v>1</v>
      </c>
      <c r="AR1177" s="1"/>
      <c r="AS1177" s="1"/>
      <c r="AT1177" s="1">
        <v>0</v>
      </c>
      <c r="AU1177" s="1">
        <v>0</v>
      </c>
      <c r="AV1177" s="1">
        <v>0</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t="s">
        <v>109</v>
      </c>
      <c r="BT1177" s="1">
        <v>1213</v>
      </c>
      <c r="BU1177" s="1" t="s">
        <v>109</v>
      </c>
      <c r="BV1177" s="1"/>
      <c r="BW1177" s="1"/>
      <c r="BX1177" s="1"/>
      <c r="BY1177" s="1"/>
      <c r="BZ1177" s="1">
        <v>0</v>
      </c>
      <c r="CA1177" s="1" t="s">
        <v>109</v>
      </c>
      <c r="CB1177" s="1" t="s">
        <v>109</v>
      </c>
      <c r="CC1177" s="1" t="s">
        <v>109</v>
      </c>
      <c r="CD1177" s="1" t="s">
        <v>109</v>
      </c>
      <c r="CE1177" s="1" t="s">
        <v>109</v>
      </c>
      <c r="CF1177" s="1" t="s">
        <v>109</v>
      </c>
      <c r="CG1177" s="1" t="s">
        <v>109</v>
      </c>
      <c r="CH1177" s="1" t="s">
        <v>109</v>
      </c>
      <c r="CI1177" s="1" t="s">
        <v>109</v>
      </c>
      <c r="CJ1177" s="1" t="s">
        <v>109</v>
      </c>
      <c r="CK1177" s="1"/>
      <c r="CL1177" s="1">
        <v>0</v>
      </c>
      <c r="CM1177" s="1">
        <v>0</v>
      </c>
      <c r="CN1177" s="1">
        <v>0</v>
      </c>
    </row>
    <row r="1178" spans="1:92" ht="14.25" customHeight="1" x14ac:dyDescent="0.15">
      <c r="A1178" s="1" t="s">
        <v>9464</v>
      </c>
      <c r="B1178" s="1" t="s">
        <v>674</v>
      </c>
      <c r="C1178" s="1" t="s">
        <v>944</v>
      </c>
      <c r="D1178" s="1"/>
      <c r="E1178" s="1" t="s">
        <v>5536</v>
      </c>
      <c r="F1178" s="1" t="s">
        <v>6545</v>
      </c>
      <c r="G1178" s="1" t="s">
        <v>141</v>
      </c>
      <c r="H1178" s="1">
        <v>0</v>
      </c>
      <c r="I1178" s="1" t="s">
        <v>142</v>
      </c>
      <c r="J1178" s="1"/>
      <c r="K1178" s="1"/>
      <c r="L1178" s="1" t="s">
        <v>9465</v>
      </c>
      <c r="M1178" s="1" t="s">
        <v>3042</v>
      </c>
      <c r="N1178" s="1">
        <v>0</v>
      </c>
      <c r="O1178" s="1">
        <v>0</v>
      </c>
      <c r="P1178" s="1" t="s">
        <v>2475</v>
      </c>
      <c r="Q1178" s="1" t="s">
        <v>216</v>
      </c>
      <c r="R1178" s="1" t="s">
        <v>9466</v>
      </c>
      <c r="S1178" s="1" t="s">
        <v>9467</v>
      </c>
      <c r="T1178" s="1" t="s">
        <v>9413</v>
      </c>
      <c r="U1178" s="1" t="s">
        <v>9468</v>
      </c>
      <c r="V1178" s="1">
        <v>1</v>
      </c>
      <c r="W1178" s="1">
        <v>1</v>
      </c>
      <c r="X1178" s="1">
        <v>0</v>
      </c>
      <c r="Y1178" s="1">
        <v>0</v>
      </c>
      <c r="Z1178" s="1">
        <v>0</v>
      </c>
      <c r="AA1178" s="1">
        <v>3</v>
      </c>
      <c r="AB1178" s="1">
        <v>3</v>
      </c>
      <c r="AC1178" s="1" t="s">
        <v>109</v>
      </c>
      <c r="AD1178" s="1" t="s">
        <v>109</v>
      </c>
      <c r="AE1178" s="1" t="s">
        <v>109</v>
      </c>
      <c r="AF1178" s="1" t="s">
        <v>109</v>
      </c>
      <c r="AG1178" s="1" t="s">
        <v>109</v>
      </c>
      <c r="AH1178" s="1" t="s">
        <v>109</v>
      </c>
      <c r="AI1178" s="1" t="s">
        <v>109</v>
      </c>
      <c r="AJ1178" s="1" t="s">
        <v>109</v>
      </c>
      <c r="AK1178" s="1" t="s">
        <v>109</v>
      </c>
      <c r="AL1178" s="1" t="s">
        <v>109</v>
      </c>
      <c r="AM1178" s="1" t="s">
        <v>109</v>
      </c>
      <c r="AN1178" s="1" t="s">
        <v>109</v>
      </c>
      <c r="AO1178" s="1" t="s">
        <v>109</v>
      </c>
      <c r="AP1178" s="1"/>
      <c r="AQ1178" s="1">
        <v>3</v>
      </c>
      <c r="AR1178" s="1"/>
      <c r="AS1178" s="1"/>
      <c r="AT1178" s="1">
        <v>0</v>
      </c>
      <c r="AU1178" s="1">
        <v>0</v>
      </c>
      <c r="AV1178" s="1">
        <v>0</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t="s">
        <v>109</v>
      </c>
      <c r="BT1178" s="1">
        <v>1214</v>
      </c>
      <c r="BU1178" s="1" t="s">
        <v>109</v>
      </c>
      <c r="BV1178" s="1"/>
      <c r="BW1178" s="1"/>
      <c r="BX1178" s="1"/>
      <c r="BY1178" s="1"/>
      <c r="BZ1178" s="1">
        <v>0</v>
      </c>
      <c r="CA1178" s="1" t="s">
        <v>109</v>
      </c>
      <c r="CB1178" s="1" t="s">
        <v>109</v>
      </c>
      <c r="CC1178" s="1" t="s">
        <v>109</v>
      </c>
      <c r="CD1178" s="1" t="s">
        <v>109</v>
      </c>
      <c r="CE1178" s="1" t="s">
        <v>109</v>
      </c>
      <c r="CF1178" s="1" t="s">
        <v>109</v>
      </c>
      <c r="CG1178" s="1" t="s">
        <v>109</v>
      </c>
      <c r="CH1178" s="1" t="s">
        <v>109</v>
      </c>
      <c r="CI1178" s="1" t="s">
        <v>109</v>
      </c>
      <c r="CJ1178" s="1" t="s">
        <v>109</v>
      </c>
      <c r="CK1178" s="1"/>
      <c r="CL1178" s="1">
        <v>0</v>
      </c>
      <c r="CM1178" s="1">
        <v>0</v>
      </c>
      <c r="CN1178" s="1">
        <v>0</v>
      </c>
    </row>
    <row r="1179" spans="1:92" ht="14.25" customHeight="1" x14ac:dyDescent="0.15">
      <c r="A1179" s="1" t="s">
        <v>9469</v>
      </c>
      <c r="B1179" s="1" t="s">
        <v>95</v>
      </c>
      <c r="C1179" s="1" t="s">
        <v>1179</v>
      </c>
      <c r="D1179" s="1" t="s">
        <v>9470</v>
      </c>
      <c r="E1179" s="1" t="s">
        <v>9471</v>
      </c>
      <c r="F1179" s="1" t="s">
        <v>355</v>
      </c>
      <c r="G1179" s="1" t="s">
        <v>9472</v>
      </c>
      <c r="H1179" s="1">
        <v>0</v>
      </c>
      <c r="I1179" s="1" t="s">
        <v>142</v>
      </c>
      <c r="J1179" s="1"/>
      <c r="K1179" s="1" t="s">
        <v>9473</v>
      </c>
      <c r="L1179" s="1"/>
      <c r="M1179" s="1" t="s">
        <v>5642</v>
      </c>
      <c r="N1179" s="1">
        <v>0</v>
      </c>
      <c r="O1179" s="1">
        <v>0</v>
      </c>
      <c r="P1179" s="1" t="s">
        <v>103</v>
      </c>
      <c r="Q1179" s="1" t="s">
        <v>104</v>
      </c>
      <c r="R1179" s="1" t="s">
        <v>9474</v>
      </c>
      <c r="S1179" s="1" t="s">
        <v>9475</v>
      </c>
      <c r="T1179" s="1" t="s">
        <v>9413</v>
      </c>
      <c r="U1179" s="1" t="s">
        <v>9476</v>
      </c>
      <c r="V1179" s="1">
        <v>1</v>
      </c>
      <c r="W1179" s="1">
        <v>1</v>
      </c>
      <c r="X1179" s="1">
        <v>0</v>
      </c>
      <c r="Y1179" s="1">
        <v>0</v>
      </c>
      <c r="Z1179" s="1">
        <v>1</v>
      </c>
      <c r="AA1179" s="1">
        <v>4</v>
      </c>
      <c r="AB1179" s="1">
        <v>4</v>
      </c>
      <c r="AC1179" s="1">
        <v>4</v>
      </c>
      <c r="AD1179" s="1" t="s">
        <v>109</v>
      </c>
      <c r="AE1179" s="1" t="s">
        <v>109</v>
      </c>
      <c r="AF1179" s="1">
        <v>4</v>
      </c>
      <c r="AG1179" s="1" t="s">
        <v>109</v>
      </c>
      <c r="AH1179" s="1" t="s">
        <v>109</v>
      </c>
      <c r="AI1179" s="1">
        <v>4</v>
      </c>
      <c r="AJ1179" s="1">
        <v>4</v>
      </c>
      <c r="AK1179" s="1" t="s">
        <v>109</v>
      </c>
      <c r="AL1179" s="1">
        <v>4</v>
      </c>
      <c r="AM1179" s="1" t="s">
        <v>109</v>
      </c>
      <c r="AN1179" s="1" t="s">
        <v>109</v>
      </c>
      <c r="AO1179" s="1" t="s">
        <v>109</v>
      </c>
      <c r="AP1179" s="1"/>
      <c r="AQ1179" s="1">
        <v>4</v>
      </c>
      <c r="AR1179" s="1"/>
      <c r="AS1179" s="1"/>
      <c r="AT1179" s="1">
        <v>0</v>
      </c>
      <c r="AU1179" s="1">
        <v>0</v>
      </c>
      <c r="AV1179" s="1">
        <v>0</v>
      </c>
      <c r="AW1179" s="1">
        <v>0</v>
      </c>
      <c r="AX1179" s="1">
        <v>0</v>
      </c>
      <c r="AY1179" s="1">
        <v>0</v>
      </c>
      <c r="AZ1179" s="1">
        <v>0</v>
      </c>
      <c r="BA1179" s="1">
        <v>0</v>
      </c>
      <c r="BB1179" s="1">
        <v>0</v>
      </c>
      <c r="BC1179" s="1">
        <v>0</v>
      </c>
      <c r="BD1179" s="1">
        <v>0</v>
      </c>
      <c r="BE1179" s="1">
        <v>1</v>
      </c>
      <c r="BF1179" s="1">
        <v>0</v>
      </c>
      <c r="BG1179" s="1">
        <v>0</v>
      </c>
      <c r="BH1179" s="1">
        <v>0</v>
      </c>
      <c r="BI1179" s="1">
        <v>0</v>
      </c>
      <c r="BJ1179" s="1">
        <v>0</v>
      </c>
      <c r="BK1179" s="1">
        <v>1</v>
      </c>
      <c r="BL1179" s="1">
        <v>0</v>
      </c>
      <c r="BM1179" s="1">
        <v>0</v>
      </c>
      <c r="BN1179" s="1">
        <v>0</v>
      </c>
      <c r="BO1179" s="1">
        <v>0</v>
      </c>
      <c r="BP1179" s="1">
        <v>0</v>
      </c>
      <c r="BQ1179" s="1">
        <v>0</v>
      </c>
      <c r="BR1179" s="1">
        <v>0</v>
      </c>
      <c r="BS1179" s="1" t="s">
        <v>109</v>
      </c>
      <c r="BT1179" s="1">
        <v>1215</v>
      </c>
      <c r="BU1179" s="1" t="s">
        <v>109</v>
      </c>
      <c r="BV1179" s="1"/>
      <c r="BW1179" s="1"/>
      <c r="BX1179" s="1"/>
      <c r="BY1179" s="1"/>
      <c r="BZ1179" s="1">
        <v>0</v>
      </c>
      <c r="CA1179" s="1" t="s">
        <v>109</v>
      </c>
      <c r="CB1179" s="1" t="s">
        <v>109</v>
      </c>
      <c r="CC1179" s="1" t="s">
        <v>109</v>
      </c>
      <c r="CD1179" s="1" t="s">
        <v>109</v>
      </c>
      <c r="CE1179" s="1" t="s">
        <v>109</v>
      </c>
      <c r="CF1179" s="1" t="s">
        <v>109</v>
      </c>
      <c r="CG1179" s="1" t="s">
        <v>109</v>
      </c>
      <c r="CH1179" s="1" t="s">
        <v>109</v>
      </c>
      <c r="CI1179" s="1" t="s">
        <v>109</v>
      </c>
      <c r="CJ1179" s="1" t="s">
        <v>109</v>
      </c>
      <c r="CK1179" s="1"/>
      <c r="CL1179" s="1">
        <v>0</v>
      </c>
      <c r="CM1179" s="1">
        <v>0</v>
      </c>
      <c r="CN1179" s="1">
        <v>0</v>
      </c>
    </row>
    <row r="1180" spans="1:92" ht="14.25" customHeight="1" x14ac:dyDescent="0.15">
      <c r="A1180" s="1" t="s">
        <v>9477</v>
      </c>
      <c r="B1180" s="1" t="s">
        <v>95</v>
      </c>
      <c r="C1180" s="1" t="s">
        <v>1179</v>
      </c>
      <c r="D1180" s="1" t="s">
        <v>9470</v>
      </c>
      <c r="E1180" s="1" t="s">
        <v>9478</v>
      </c>
      <c r="F1180" s="1" t="s">
        <v>355</v>
      </c>
      <c r="G1180" s="1" t="s">
        <v>9479</v>
      </c>
      <c r="H1180" s="1">
        <v>0</v>
      </c>
      <c r="I1180" s="1" t="s">
        <v>142</v>
      </c>
      <c r="J1180" s="1"/>
      <c r="K1180" s="1" t="s">
        <v>9480</v>
      </c>
      <c r="L1180" s="1"/>
      <c r="M1180" s="1" t="s">
        <v>125</v>
      </c>
      <c r="N1180" s="1">
        <v>0</v>
      </c>
      <c r="O1180" s="1">
        <v>0</v>
      </c>
      <c r="P1180" s="1" t="s">
        <v>103</v>
      </c>
      <c r="Q1180" s="1" t="s">
        <v>104</v>
      </c>
      <c r="R1180" s="1" t="s">
        <v>9481</v>
      </c>
      <c r="S1180" s="1" t="s">
        <v>9482</v>
      </c>
      <c r="T1180" s="1" t="s">
        <v>9413</v>
      </c>
      <c r="U1180" s="1" t="s">
        <v>9483</v>
      </c>
      <c r="V1180" s="1">
        <v>1</v>
      </c>
      <c r="W1180" s="1">
        <v>1</v>
      </c>
      <c r="X1180" s="1">
        <v>0</v>
      </c>
      <c r="Y1180" s="1">
        <v>0</v>
      </c>
      <c r="Z1180" s="1">
        <v>1</v>
      </c>
      <c r="AA1180" s="1">
        <v>5</v>
      </c>
      <c r="AB1180" s="1">
        <v>5</v>
      </c>
      <c r="AC1180" s="1">
        <v>5</v>
      </c>
      <c r="AD1180" s="1" t="s">
        <v>109</v>
      </c>
      <c r="AE1180" s="1" t="s">
        <v>109</v>
      </c>
      <c r="AF1180" s="1">
        <v>5</v>
      </c>
      <c r="AG1180" s="1" t="s">
        <v>109</v>
      </c>
      <c r="AH1180" s="1" t="s">
        <v>109</v>
      </c>
      <c r="AI1180" s="1">
        <v>5</v>
      </c>
      <c r="AJ1180" s="1">
        <v>5</v>
      </c>
      <c r="AK1180" s="1" t="s">
        <v>109</v>
      </c>
      <c r="AL1180" s="1">
        <v>5</v>
      </c>
      <c r="AM1180" s="1" t="s">
        <v>109</v>
      </c>
      <c r="AN1180" s="1" t="s">
        <v>109</v>
      </c>
      <c r="AO1180" s="1" t="s">
        <v>109</v>
      </c>
      <c r="AP1180" s="1"/>
      <c r="AQ1180" s="1">
        <v>5</v>
      </c>
      <c r="AR1180" s="1"/>
      <c r="AS1180" s="1"/>
      <c r="AT1180" s="1">
        <v>0</v>
      </c>
      <c r="AU1180" s="1">
        <v>0</v>
      </c>
      <c r="AV1180" s="1">
        <v>0</v>
      </c>
      <c r="AW1180" s="1">
        <v>0</v>
      </c>
      <c r="AX1180" s="1">
        <v>0</v>
      </c>
      <c r="AY1180" s="1">
        <v>0</v>
      </c>
      <c r="AZ1180" s="1">
        <v>0</v>
      </c>
      <c r="BA1180" s="1">
        <v>0</v>
      </c>
      <c r="BB1180" s="1">
        <v>0</v>
      </c>
      <c r="BC1180" s="1">
        <v>0</v>
      </c>
      <c r="BD1180" s="1">
        <v>0</v>
      </c>
      <c r="BE1180" s="1">
        <v>1</v>
      </c>
      <c r="BF1180" s="1">
        <v>0</v>
      </c>
      <c r="BG1180" s="1">
        <v>0</v>
      </c>
      <c r="BH1180" s="1">
        <v>0</v>
      </c>
      <c r="BI1180" s="1">
        <v>0</v>
      </c>
      <c r="BJ1180" s="1">
        <v>0</v>
      </c>
      <c r="BK1180" s="1">
        <v>1</v>
      </c>
      <c r="BL1180" s="1">
        <v>0</v>
      </c>
      <c r="BM1180" s="1">
        <v>0</v>
      </c>
      <c r="BN1180" s="1">
        <v>0</v>
      </c>
      <c r="BO1180" s="1">
        <v>0</v>
      </c>
      <c r="BP1180" s="1">
        <v>0</v>
      </c>
      <c r="BQ1180" s="1">
        <v>0</v>
      </c>
      <c r="BR1180" s="1">
        <v>0</v>
      </c>
      <c r="BS1180" s="1" t="s">
        <v>109</v>
      </c>
      <c r="BT1180" s="1">
        <v>1216</v>
      </c>
      <c r="BU1180" s="1" t="s">
        <v>109</v>
      </c>
      <c r="BV1180" s="1"/>
      <c r="BW1180" s="1"/>
      <c r="BX1180" s="1"/>
      <c r="BY1180" s="1"/>
      <c r="BZ1180" s="1">
        <v>0</v>
      </c>
      <c r="CA1180" s="1" t="s">
        <v>109</v>
      </c>
      <c r="CB1180" s="1" t="s">
        <v>109</v>
      </c>
      <c r="CC1180" s="1" t="s">
        <v>109</v>
      </c>
      <c r="CD1180" s="1" t="s">
        <v>109</v>
      </c>
      <c r="CE1180" s="1" t="s">
        <v>109</v>
      </c>
      <c r="CF1180" s="1" t="s">
        <v>109</v>
      </c>
      <c r="CG1180" s="1" t="s">
        <v>109</v>
      </c>
      <c r="CH1180" s="1" t="s">
        <v>109</v>
      </c>
      <c r="CI1180" s="1" t="s">
        <v>109</v>
      </c>
      <c r="CJ1180" s="1" t="s">
        <v>109</v>
      </c>
      <c r="CK1180" s="1"/>
      <c r="CL1180" s="1">
        <v>0</v>
      </c>
      <c r="CM1180" s="1">
        <v>0</v>
      </c>
      <c r="CN1180" s="1">
        <v>0</v>
      </c>
    </row>
    <row r="1181" spans="1:92" ht="14.25" customHeight="1" x14ac:dyDescent="0.15">
      <c r="A1181" s="1" t="s">
        <v>9484</v>
      </c>
      <c r="B1181" s="1" t="s">
        <v>242</v>
      </c>
      <c r="C1181" s="1"/>
      <c r="D1181" s="1" t="s">
        <v>60</v>
      </c>
      <c r="E1181" s="1" t="s">
        <v>3283</v>
      </c>
      <c r="F1181" s="1" t="s">
        <v>98</v>
      </c>
      <c r="G1181" s="1" t="s">
        <v>9485</v>
      </c>
      <c r="H1181" s="1">
        <v>1</v>
      </c>
      <c r="I1181" s="1" t="s">
        <v>161</v>
      </c>
      <c r="J1181" s="1" t="s">
        <v>5850</v>
      </c>
      <c r="K1181" s="1"/>
      <c r="L1181" s="1"/>
      <c r="M1181" s="1" t="s">
        <v>574</v>
      </c>
      <c r="N1181" s="1">
        <v>1</v>
      </c>
      <c r="O1181" s="1">
        <v>0</v>
      </c>
      <c r="P1181" s="1" t="s">
        <v>103</v>
      </c>
      <c r="Q1181" s="1" t="s">
        <v>211</v>
      </c>
      <c r="R1181" s="1" t="s">
        <v>9486</v>
      </c>
      <c r="S1181" s="1" t="s">
        <v>9487</v>
      </c>
      <c r="T1181" s="1" t="s">
        <v>9413</v>
      </c>
      <c r="U1181" s="1" t="s">
        <v>9488</v>
      </c>
      <c r="V1181" s="1">
        <v>1</v>
      </c>
      <c r="W1181" s="1">
        <v>1</v>
      </c>
      <c r="X1181" s="1">
        <v>1</v>
      </c>
      <c r="Y1181" s="1">
        <v>0</v>
      </c>
      <c r="Z1181" s="1">
        <v>0</v>
      </c>
      <c r="AA1181" s="1">
        <v>9</v>
      </c>
      <c r="AB1181" s="1">
        <v>9</v>
      </c>
      <c r="AC1181" s="1" t="s">
        <v>109</v>
      </c>
      <c r="AD1181" s="1" t="s">
        <v>109</v>
      </c>
      <c r="AE1181" s="1" t="s">
        <v>109</v>
      </c>
      <c r="AF1181" s="1" t="s">
        <v>109</v>
      </c>
      <c r="AG1181" s="1" t="s">
        <v>109</v>
      </c>
      <c r="AH1181" s="1" t="s">
        <v>109</v>
      </c>
      <c r="AI1181" s="1" t="s">
        <v>109</v>
      </c>
      <c r="AJ1181" s="1" t="s">
        <v>109</v>
      </c>
      <c r="AK1181" s="1" t="s">
        <v>109</v>
      </c>
      <c r="AL1181" s="1" t="s">
        <v>109</v>
      </c>
      <c r="AM1181" s="1" t="s">
        <v>109</v>
      </c>
      <c r="AN1181" s="1" t="s">
        <v>109</v>
      </c>
      <c r="AO1181" s="1" t="s">
        <v>109</v>
      </c>
      <c r="AP1181" s="1"/>
      <c r="AQ1181" s="1">
        <v>9</v>
      </c>
      <c r="AR1181" s="1"/>
      <c r="AS1181" s="1"/>
      <c r="AT1181" s="1">
        <v>0</v>
      </c>
      <c r="AU1181" s="1">
        <v>0</v>
      </c>
      <c r="AV1181" s="1">
        <v>0</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t="s">
        <v>109</v>
      </c>
      <c r="BT1181" s="1">
        <v>1217</v>
      </c>
      <c r="BU1181" s="1">
        <v>100</v>
      </c>
      <c r="BV1181" s="1"/>
      <c r="BW1181" s="1"/>
      <c r="BX1181" s="1"/>
      <c r="BY1181" s="1"/>
      <c r="BZ1181" s="1">
        <v>0</v>
      </c>
      <c r="CA1181" s="1" t="s">
        <v>109</v>
      </c>
      <c r="CB1181" s="1" t="s">
        <v>109</v>
      </c>
      <c r="CC1181" s="1" t="s">
        <v>109</v>
      </c>
      <c r="CD1181" s="1" t="s">
        <v>109</v>
      </c>
      <c r="CE1181" s="1" t="s">
        <v>109</v>
      </c>
      <c r="CF1181" s="1" t="s">
        <v>109</v>
      </c>
      <c r="CG1181" s="1" t="s">
        <v>109</v>
      </c>
      <c r="CH1181" s="1" t="s">
        <v>109</v>
      </c>
      <c r="CI1181" s="1" t="s">
        <v>109</v>
      </c>
      <c r="CJ1181" s="1" t="s">
        <v>109</v>
      </c>
      <c r="CK1181" s="1"/>
      <c r="CL1181" s="1">
        <v>0</v>
      </c>
      <c r="CM1181" s="1">
        <v>0</v>
      </c>
      <c r="CN1181" s="1">
        <v>0</v>
      </c>
    </row>
    <row r="1182" spans="1:92" ht="14.25" customHeight="1" x14ac:dyDescent="0.15">
      <c r="A1182" s="1" t="s">
        <v>9489</v>
      </c>
      <c r="B1182" s="1" t="s">
        <v>242</v>
      </c>
      <c r="C1182" s="1"/>
      <c r="D1182" s="1"/>
      <c r="E1182" s="1" t="s">
        <v>5536</v>
      </c>
      <c r="F1182" s="1" t="s">
        <v>98</v>
      </c>
      <c r="G1182" s="1" t="s">
        <v>9490</v>
      </c>
      <c r="H1182" s="1">
        <v>1</v>
      </c>
      <c r="I1182" s="1" t="s">
        <v>235</v>
      </c>
      <c r="J1182" s="1"/>
      <c r="K1182" s="1"/>
      <c r="L1182" s="1" t="s">
        <v>236</v>
      </c>
      <c r="M1182" s="1" t="s">
        <v>9491</v>
      </c>
      <c r="N1182" s="1">
        <v>1</v>
      </c>
      <c r="O1182" s="1">
        <v>0</v>
      </c>
      <c r="P1182" s="1"/>
      <c r="Q1182" s="1"/>
      <c r="R1182" s="1" t="s">
        <v>9492</v>
      </c>
      <c r="S1182" s="1" t="s">
        <v>9493</v>
      </c>
      <c r="T1182" s="1" t="s">
        <v>9494</v>
      </c>
      <c r="U1182" s="1" t="s">
        <v>9495</v>
      </c>
      <c r="V1182" s="1">
        <v>1</v>
      </c>
      <c r="W1182" s="1">
        <v>1</v>
      </c>
      <c r="X1182" s="1">
        <v>1</v>
      </c>
      <c r="Y1182" s="1">
        <v>0</v>
      </c>
      <c r="Z1182" s="1">
        <v>0</v>
      </c>
      <c r="AA1182" s="1">
        <v>3</v>
      </c>
      <c r="AB1182" s="1">
        <v>3</v>
      </c>
      <c r="AC1182" s="1" t="s">
        <v>109</v>
      </c>
      <c r="AD1182" s="1" t="s">
        <v>109</v>
      </c>
      <c r="AE1182" s="1" t="s">
        <v>109</v>
      </c>
      <c r="AF1182" s="1" t="s">
        <v>109</v>
      </c>
      <c r="AG1182" s="1" t="s">
        <v>109</v>
      </c>
      <c r="AH1182" s="1" t="s">
        <v>109</v>
      </c>
      <c r="AI1182" s="1" t="s">
        <v>109</v>
      </c>
      <c r="AJ1182" s="1" t="s">
        <v>109</v>
      </c>
      <c r="AK1182" s="1" t="s">
        <v>109</v>
      </c>
      <c r="AL1182" s="1" t="s">
        <v>109</v>
      </c>
      <c r="AM1182" s="1" t="s">
        <v>109</v>
      </c>
      <c r="AN1182" s="1" t="s">
        <v>109</v>
      </c>
      <c r="AO1182" s="1" t="s">
        <v>109</v>
      </c>
      <c r="AP1182" s="1" t="s">
        <v>9496</v>
      </c>
      <c r="AQ1182" s="1">
        <v>3</v>
      </c>
      <c r="AR1182" s="1"/>
      <c r="AS1182" s="1"/>
      <c r="AT1182" s="1">
        <v>0</v>
      </c>
      <c r="AU1182" s="1">
        <v>0</v>
      </c>
      <c r="AV1182" s="1">
        <v>0</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0</v>
      </c>
      <c r="BQ1182" s="1">
        <v>0</v>
      </c>
      <c r="BR1182" s="1">
        <v>0</v>
      </c>
      <c r="BS1182" s="1" t="s">
        <v>109</v>
      </c>
      <c r="BT1182" s="1">
        <v>1218</v>
      </c>
      <c r="BU1182" s="1">
        <v>10</v>
      </c>
      <c r="BV1182" s="1"/>
      <c r="BW1182" s="1"/>
      <c r="BX1182" s="1"/>
      <c r="BY1182" s="1"/>
      <c r="BZ1182" s="1">
        <v>0</v>
      </c>
      <c r="CA1182" s="1" t="s">
        <v>109</v>
      </c>
      <c r="CB1182" s="1" t="s">
        <v>109</v>
      </c>
      <c r="CC1182" s="1" t="s">
        <v>109</v>
      </c>
      <c r="CD1182" s="1" t="s">
        <v>109</v>
      </c>
      <c r="CE1182" s="1" t="s">
        <v>109</v>
      </c>
      <c r="CF1182" s="1" t="s">
        <v>109</v>
      </c>
      <c r="CG1182" s="1" t="s">
        <v>109</v>
      </c>
      <c r="CH1182" s="1" t="s">
        <v>109</v>
      </c>
      <c r="CI1182" s="1" t="s">
        <v>109</v>
      </c>
      <c r="CJ1182" s="1" t="s">
        <v>109</v>
      </c>
      <c r="CK1182" s="1"/>
      <c r="CL1182" s="1">
        <v>0</v>
      </c>
      <c r="CM1182" s="1">
        <v>0</v>
      </c>
      <c r="CN1182" s="1">
        <v>0</v>
      </c>
    </row>
    <row r="1183" spans="1:92" ht="14.25" customHeight="1" x14ac:dyDescent="0.15">
      <c r="A1183" s="1" t="s">
        <v>9497</v>
      </c>
      <c r="B1183" s="1" t="s">
        <v>584</v>
      </c>
      <c r="C1183" s="1"/>
      <c r="D1183" s="1" t="s">
        <v>59</v>
      </c>
      <c r="E1183" s="1" t="s">
        <v>981</v>
      </c>
      <c r="F1183" s="1" t="s">
        <v>98</v>
      </c>
      <c r="G1183" s="1" t="s">
        <v>141</v>
      </c>
      <c r="H1183" s="1">
        <v>0</v>
      </c>
      <c r="I1183" s="1" t="s">
        <v>142</v>
      </c>
      <c r="J1183" s="1"/>
      <c r="K1183" s="1"/>
      <c r="L1183" s="1" t="s">
        <v>9498</v>
      </c>
      <c r="M1183" s="1" t="s">
        <v>144</v>
      </c>
      <c r="N1183" s="1">
        <v>0</v>
      </c>
      <c r="O1183" s="1">
        <v>0</v>
      </c>
      <c r="P1183" s="1" t="s">
        <v>727</v>
      </c>
      <c r="Q1183" s="1" t="s">
        <v>268</v>
      </c>
      <c r="R1183" s="1" t="s">
        <v>9499</v>
      </c>
      <c r="S1183" s="1" t="s">
        <v>9500</v>
      </c>
      <c r="T1183" s="1" t="s">
        <v>9494</v>
      </c>
      <c r="U1183" s="1" t="s">
        <v>9501</v>
      </c>
      <c r="V1183" s="1">
        <v>1</v>
      </c>
      <c r="W1183" s="1">
        <v>1</v>
      </c>
      <c r="X1183" s="1">
        <v>0</v>
      </c>
      <c r="Y1183" s="1">
        <v>0</v>
      </c>
      <c r="Z1183" s="1">
        <v>0</v>
      </c>
      <c r="AA1183" s="1">
        <v>2</v>
      </c>
      <c r="AB1183" s="1">
        <v>2</v>
      </c>
      <c r="AC1183" s="1" t="s">
        <v>109</v>
      </c>
      <c r="AD1183" s="1" t="s">
        <v>109</v>
      </c>
      <c r="AE1183" s="1" t="s">
        <v>109</v>
      </c>
      <c r="AF1183" s="1" t="s">
        <v>109</v>
      </c>
      <c r="AG1183" s="1" t="s">
        <v>109</v>
      </c>
      <c r="AH1183" s="1" t="s">
        <v>109</v>
      </c>
      <c r="AI1183" s="1" t="s">
        <v>109</v>
      </c>
      <c r="AJ1183" s="1" t="s">
        <v>109</v>
      </c>
      <c r="AK1183" s="1" t="s">
        <v>109</v>
      </c>
      <c r="AL1183" s="1" t="s">
        <v>109</v>
      </c>
      <c r="AM1183" s="1" t="s">
        <v>109</v>
      </c>
      <c r="AN1183" s="1" t="s">
        <v>109</v>
      </c>
      <c r="AO1183" s="1" t="s">
        <v>109</v>
      </c>
      <c r="AP1183" s="1" t="s">
        <v>9502</v>
      </c>
      <c r="AQ1183" s="1">
        <v>2</v>
      </c>
      <c r="AR1183" s="1"/>
      <c r="AS1183" s="1"/>
      <c r="AT1183" s="1">
        <v>0</v>
      </c>
      <c r="AU1183" s="1">
        <v>0</v>
      </c>
      <c r="AV1183" s="1">
        <v>0</v>
      </c>
      <c r="AW1183" s="1">
        <v>0</v>
      </c>
      <c r="AX1183" s="1">
        <v>0</v>
      </c>
      <c r="AY1183" s="1">
        <v>0</v>
      </c>
      <c r="AZ1183" s="1">
        <v>0</v>
      </c>
      <c r="BA1183" s="1">
        <v>0</v>
      </c>
      <c r="BB1183" s="1">
        <v>0</v>
      </c>
      <c r="BC1183" s="1">
        <v>0</v>
      </c>
      <c r="BD1183" s="1">
        <v>0</v>
      </c>
      <c r="BE1183" s="1">
        <v>0</v>
      </c>
      <c r="BF1183" s="1">
        <v>0</v>
      </c>
      <c r="BG1183" s="1">
        <v>1</v>
      </c>
      <c r="BH1183" s="1">
        <v>0</v>
      </c>
      <c r="BI1183" s="1">
        <v>0</v>
      </c>
      <c r="BJ1183" s="1">
        <v>0</v>
      </c>
      <c r="BK1183" s="1">
        <v>0</v>
      </c>
      <c r="BL1183" s="1">
        <v>0</v>
      </c>
      <c r="BM1183" s="1">
        <v>0</v>
      </c>
      <c r="BN1183" s="1">
        <v>0</v>
      </c>
      <c r="BO1183" s="1">
        <v>0</v>
      </c>
      <c r="BP1183" s="1">
        <v>0</v>
      </c>
      <c r="BQ1183" s="1">
        <v>0</v>
      </c>
      <c r="BR1183" s="1">
        <v>0</v>
      </c>
      <c r="BS1183" s="1" t="s">
        <v>109</v>
      </c>
      <c r="BT1183" s="1">
        <v>1219</v>
      </c>
      <c r="BU1183" s="1" t="s">
        <v>109</v>
      </c>
      <c r="BV1183" s="1"/>
      <c r="BW1183" s="1"/>
      <c r="BX1183" s="1"/>
      <c r="BY1183" s="1"/>
      <c r="BZ1183" s="1">
        <v>0</v>
      </c>
      <c r="CA1183" s="1" t="s">
        <v>109</v>
      </c>
      <c r="CB1183" s="1" t="s">
        <v>109</v>
      </c>
      <c r="CC1183" s="1" t="s">
        <v>109</v>
      </c>
      <c r="CD1183" s="1" t="s">
        <v>109</v>
      </c>
      <c r="CE1183" s="1" t="s">
        <v>109</v>
      </c>
      <c r="CF1183" s="1" t="s">
        <v>109</v>
      </c>
      <c r="CG1183" s="1" t="s">
        <v>109</v>
      </c>
      <c r="CH1183" s="1" t="s">
        <v>109</v>
      </c>
      <c r="CI1183" s="1" t="s">
        <v>109</v>
      </c>
      <c r="CJ1183" s="1" t="s">
        <v>109</v>
      </c>
      <c r="CK1183" s="1"/>
      <c r="CL1183" s="1">
        <v>0</v>
      </c>
      <c r="CM1183" s="1">
        <v>0</v>
      </c>
      <c r="CN1183" s="1">
        <v>0</v>
      </c>
    </row>
    <row r="1184" spans="1:92" ht="14.25" customHeight="1" x14ac:dyDescent="0.15">
      <c r="A1184" s="1" t="s">
        <v>9503</v>
      </c>
      <c r="B1184" s="1" t="s">
        <v>189</v>
      </c>
      <c r="C1184" s="1"/>
      <c r="D1184" s="1" t="s">
        <v>70</v>
      </c>
      <c r="E1184" s="1" t="s">
        <v>9504</v>
      </c>
      <c r="F1184" s="1" t="s">
        <v>98</v>
      </c>
      <c r="G1184" s="1" t="s">
        <v>9505</v>
      </c>
      <c r="H1184" s="1">
        <v>0</v>
      </c>
      <c r="I1184" s="1" t="s">
        <v>161</v>
      </c>
      <c r="J1184" s="1"/>
      <c r="K1184" s="1"/>
      <c r="L1184" s="1" t="s">
        <v>9506</v>
      </c>
      <c r="M1184" s="1" t="s">
        <v>144</v>
      </c>
      <c r="N1184" s="1">
        <v>0</v>
      </c>
      <c r="O1184" s="1">
        <v>0</v>
      </c>
      <c r="P1184" s="1" t="s">
        <v>103</v>
      </c>
      <c r="Q1184" s="1" t="s">
        <v>104</v>
      </c>
      <c r="R1184" s="1" t="s">
        <v>9507</v>
      </c>
      <c r="S1184" s="1" t="s">
        <v>9508</v>
      </c>
      <c r="T1184" s="1" t="s">
        <v>9494</v>
      </c>
      <c r="U1184" s="1" t="s">
        <v>9509</v>
      </c>
      <c r="V1184" s="1">
        <v>1</v>
      </c>
      <c r="W1184" s="1">
        <v>1</v>
      </c>
      <c r="X1184" s="1">
        <v>1</v>
      </c>
      <c r="Y1184" s="1">
        <v>0</v>
      </c>
      <c r="Z1184" s="1">
        <v>1</v>
      </c>
      <c r="AA1184" s="1">
        <v>2</v>
      </c>
      <c r="AB1184" s="1">
        <v>2</v>
      </c>
      <c r="AC1184" s="1">
        <v>2</v>
      </c>
      <c r="AD1184" s="1">
        <v>1</v>
      </c>
      <c r="AE1184" s="1" t="s">
        <v>109</v>
      </c>
      <c r="AF1184" s="1" t="s">
        <v>109</v>
      </c>
      <c r="AG1184" s="1" t="s">
        <v>109</v>
      </c>
      <c r="AH1184" s="1" t="s">
        <v>109</v>
      </c>
      <c r="AI1184" s="1" t="s">
        <v>109</v>
      </c>
      <c r="AJ1184" s="1" t="s">
        <v>109</v>
      </c>
      <c r="AK1184" s="1" t="s">
        <v>109</v>
      </c>
      <c r="AL1184" s="1">
        <v>2</v>
      </c>
      <c r="AM1184" s="1" t="s">
        <v>109</v>
      </c>
      <c r="AN1184" s="1" t="s">
        <v>109</v>
      </c>
      <c r="AO1184" s="1" t="s">
        <v>109</v>
      </c>
      <c r="AP1184" s="1" t="s">
        <v>9510</v>
      </c>
      <c r="AQ1184" s="1">
        <v>2</v>
      </c>
      <c r="AR1184" s="1"/>
      <c r="AS1184" s="1"/>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1</v>
      </c>
      <c r="BS1184" s="1" t="s">
        <v>109</v>
      </c>
      <c r="BT1184" s="1">
        <v>1221</v>
      </c>
      <c r="BU1184" s="1" t="s">
        <v>109</v>
      </c>
      <c r="BV1184" s="1"/>
      <c r="BW1184" s="1"/>
      <c r="BX1184" s="1"/>
      <c r="BY1184" s="1"/>
      <c r="BZ1184" s="1">
        <v>0</v>
      </c>
      <c r="CA1184" s="1" t="s">
        <v>109</v>
      </c>
      <c r="CB1184" s="1" t="s">
        <v>109</v>
      </c>
      <c r="CC1184" s="1" t="s">
        <v>109</v>
      </c>
      <c r="CD1184" s="1" t="s">
        <v>109</v>
      </c>
      <c r="CE1184" s="1" t="s">
        <v>109</v>
      </c>
      <c r="CF1184" s="1" t="s">
        <v>109</v>
      </c>
      <c r="CG1184" s="1" t="s">
        <v>109</v>
      </c>
      <c r="CH1184" s="1" t="s">
        <v>109</v>
      </c>
      <c r="CI1184" s="1" t="s">
        <v>109</v>
      </c>
      <c r="CJ1184" s="1">
        <v>1</v>
      </c>
      <c r="CK1184" s="1"/>
      <c r="CL1184" s="1">
        <v>0</v>
      </c>
      <c r="CM1184" s="1">
        <v>0</v>
      </c>
      <c r="CN1184" s="1">
        <v>0</v>
      </c>
    </row>
    <row r="1185" spans="1:92" ht="14.25" customHeight="1" x14ac:dyDescent="0.15">
      <c r="A1185" s="1" t="s">
        <v>9511</v>
      </c>
      <c r="B1185" s="1" t="s">
        <v>95</v>
      </c>
      <c r="C1185" s="1" t="s">
        <v>1179</v>
      </c>
      <c r="D1185" s="1"/>
      <c r="E1185" s="1" t="s">
        <v>9512</v>
      </c>
      <c r="F1185" s="1" t="s">
        <v>395</v>
      </c>
      <c r="G1185" s="1" t="s">
        <v>9513</v>
      </c>
      <c r="H1185" s="1">
        <v>0</v>
      </c>
      <c r="I1185" s="1" t="s">
        <v>142</v>
      </c>
      <c r="J1185" s="1"/>
      <c r="K1185" s="1" t="s">
        <v>4781</v>
      </c>
      <c r="L1185" s="1"/>
      <c r="M1185" s="1" t="s">
        <v>9428</v>
      </c>
      <c r="N1185" s="1">
        <v>1</v>
      </c>
      <c r="O1185" s="1">
        <v>0</v>
      </c>
      <c r="P1185" s="1" t="s">
        <v>103</v>
      </c>
      <c r="Q1185" s="1" t="s">
        <v>104</v>
      </c>
      <c r="R1185" s="1" t="s">
        <v>9514</v>
      </c>
      <c r="S1185" s="1" t="s">
        <v>9515</v>
      </c>
      <c r="T1185" s="1" t="s">
        <v>9494</v>
      </c>
      <c r="U1185" s="1" t="s">
        <v>9516</v>
      </c>
      <c r="V1185" s="1">
        <v>1</v>
      </c>
      <c r="W1185" s="1">
        <v>1</v>
      </c>
      <c r="X1185" s="1">
        <v>1</v>
      </c>
      <c r="Y1185" s="1">
        <v>0</v>
      </c>
      <c r="Z1185" s="1">
        <v>1</v>
      </c>
      <c r="AA1185" s="1">
        <v>3</v>
      </c>
      <c r="AB1185" s="1">
        <v>3</v>
      </c>
      <c r="AC1185" s="1">
        <v>3</v>
      </c>
      <c r="AD1185" s="1">
        <v>3</v>
      </c>
      <c r="AE1185" s="1">
        <v>3</v>
      </c>
      <c r="AF1185" s="1" t="s">
        <v>109</v>
      </c>
      <c r="AG1185" s="1" t="s">
        <v>109</v>
      </c>
      <c r="AH1185" s="1" t="s">
        <v>109</v>
      </c>
      <c r="AI1185" s="1">
        <v>3</v>
      </c>
      <c r="AJ1185" s="1" t="s">
        <v>109</v>
      </c>
      <c r="AK1185" s="1" t="s">
        <v>109</v>
      </c>
      <c r="AL1185" s="1">
        <v>3</v>
      </c>
      <c r="AM1185" s="1" t="s">
        <v>109</v>
      </c>
      <c r="AN1185" s="1" t="s">
        <v>109</v>
      </c>
      <c r="AO1185" s="1" t="s">
        <v>109</v>
      </c>
      <c r="AP1185" s="1" t="s">
        <v>9517</v>
      </c>
      <c r="AQ1185" s="1">
        <v>3</v>
      </c>
      <c r="AR1185" s="1"/>
      <c r="AS1185" s="1"/>
      <c r="AT1185" s="1">
        <v>0</v>
      </c>
      <c r="AU1185" s="1">
        <v>0</v>
      </c>
      <c r="AV1185" s="1">
        <v>0</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t="s">
        <v>109</v>
      </c>
      <c r="BT1185" s="1">
        <v>1222</v>
      </c>
      <c r="BU1185" s="1" t="s">
        <v>109</v>
      </c>
      <c r="BV1185" s="1"/>
      <c r="BW1185" s="1"/>
      <c r="BX1185" s="1"/>
      <c r="BY1185" s="1"/>
      <c r="BZ1185" s="1">
        <v>0</v>
      </c>
      <c r="CA1185" s="1" t="s">
        <v>109</v>
      </c>
      <c r="CB1185" s="1" t="s">
        <v>109</v>
      </c>
      <c r="CC1185" s="1" t="s">
        <v>109</v>
      </c>
      <c r="CD1185" s="1" t="s">
        <v>109</v>
      </c>
      <c r="CE1185" s="1" t="s">
        <v>109</v>
      </c>
      <c r="CF1185" s="1" t="s">
        <v>109</v>
      </c>
      <c r="CG1185" s="1" t="s">
        <v>109</v>
      </c>
      <c r="CH1185" s="1" t="s">
        <v>109</v>
      </c>
      <c r="CI1185" s="1" t="s">
        <v>109</v>
      </c>
      <c r="CJ1185" s="1">
        <v>3</v>
      </c>
      <c r="CK1185" s="1"/>
      <c r="CL1185" s="1">
        <v>0</v>
      </c>
      <c r="CM1185" s="1">
        <v>0</v>
      </c>
      <c r="CN1185" s="1">
        <v>0</v>
      </c>
    </row>
    <row r="1186" spans="1:92" ht="14.25" customHeight="1" x14ac:dyDescent="0.15">
      <c r="A1186" s="1" t="s">
        <v>9518</v>
      </c>
      <c r="B1186" s="1" t="s">
        <v>584</v>
      </c>
      <c r="C1186" s="1"/>
      <c r="D1186" s="1" t="s">
        <v>60</v>
      </c>
      <c r="E1186" s="1" t="s">
        <v>5536</v>
      </c>
      <c r="F1186" s="1" t="s">
        <v>98</v>
      </c>
      <c r="G1186" s="1" t="s">
        <v>141</v>
      </c>
      <c r="H1186" s="1">
        <v>0</v>
      </c>
      <c r="I1186" s="1" t="s">
        <v>142</v>
      </c>
      <c r="J1186" s="1"/>
      <c r="K1186" s="1"/>
      <c r="L1186" s="1" t="s">
        <v>9519</v>
      </c>
      <c r="M1186" s="1" t="s">
        <v>144</v>
      </c>
      <c r="N1186" s="1">
        <v>0</v>
      </c>
      <c r="O1186" s="1">
        <v>0</v>
      </c>
      <c r="P1186" s="1" t="s">
        <v>7818</v>
      </c>
      <c r="Q1186" s="1" t="s">
        <v>268</v>
      </c>
      <c r="R1186" s="1" t="s">
        <v>9520</v>
      </c>
      <c r="S1186" s="1" t="s">
        <v>9521</v>
      </c>
      <c r="T1186" s="1" t="s">
        <v>9522</v>
      </c>
      <c r="U1186" s="1" t="s">
        <v>9523</v>
      </c>
      <c r="V1186" s="1">
        <v>1</v>
      </c>
      <c r="W1186" s="1">
        <v>1</v>
      </c>
      <c r="X1186" s="1">
        <v>0</v>
      </c>
      <c r="Y1186" s="1">
        <v>0</v>
      </c>
      <c r="Z1186" s="1">
        <v>0</v>
      </c>
      <c r="AA1186" s="1">
        <v>3</v>
      </c>
      <c r="AB1186" s="1">
        <v>3</v>
      </c>
      <c r="AC1186" s="1" t="s">
        <v>109</v>
      </c>
      <c r="AD1186" s="1" t="s">
        <v>109</v>
      </c>
      <c r="AE1186" s="1" t="s">
        <v>109</v>
      </c>
      <c r="AF1186" s="1" t="s">
        <v>109</v>
      </c>
      <c r="AG1186" s="1" t="s">
        <v>109</v>
      </c>
      <c r="AH1186" s="1" t="s">
        <v>109</v>
      </c>
      <c r="AI1186" s="1" t="s">
        <v>109</v>
      </c>
      <c r="AJ1186" s="1" t="s">
        <v>109</v>
      </c>
      <c r="AK1186" s="1" t="s">
        <v>109</v>
      </c>
      <c r="AL1186" s="1" t="s">
        <v>109</v>
      </c>
      <c r="AM1186" s="1" t="s">
        <v>109</v>
      </c>
      <c r="AN1186" s="1" t="s">
        <v>109</v>
      </c>
      <c r="AO1186" s="1" t="s">
        <v>109</v>
      </c>
      <c r="AP1186" s="1"/>
      <c r="AQ1186" s="1">
        <v>3</v>
      </c>
      <c r="AR1186" s="1"/>
      <c r="AS1186" s="1"/>
      <c r="AT1186" s="1">
        <v>0</v>
      </c>
      <c r="AU1186" s="1">
        <v>0</v>
      </c>
      <c r="AV1186" s="1">
        <v>0</v>
      </c>
      <c r="AW1186" s="1">
        <v>0</v>
      </c>
      <c r="AX1186" s="1">
        <v>0</v>
      </c>
      <c r="AY1186" s="1">
        <v>0</v>
      </c>
      <c r="AZ1186" s="1">
        <v>0</v>
      </c>
      <c r="BA1186" s="1">
        <v>0</v>
      </c>
      <c r="BB1186" s="1">
        <v>0</v>
      </c>
      <c r="BC1186" s="1">
        <v>0</v>
      </c>
      <c r="BD1186" s="1">
        <v>0</v>
      </c>
      <c r="BE1186" s="1">
        <v>0</v>
      </c>
      <c r="BF1186" s="1">
        <v>0</v>
      </c>
      <c r="BG1186" s="1">
        <v>0</v>
      </c>
      <c r="BH1186" s="1">
        <v>1</v>
      </c>
      <c r="BI1186" s="1">
        <v>0</v>
      </c>
      <c r="BJ1186" s="1">
        <v>0</v>
      </c>
      <c r="BK1186" s="1">
        <v>0</v>
      </c>
      <c r="BL1186" s="1">
        <v>0</v>
      </c>
      <c r="BM1186" s="1">
        <v>0</v>
      </c>
      <c r="BN1186" s="1">
        <v>0</v>
      </c>
      <c r="BO1186" s="1">
        <v>0</v>
      </c>
      <c r="BP1186" s="1">
        <v>0</v>
      </c>
      <c r="BQ1186" s="1">
        <v>0</v>
      </c>
      <c r="BR1186" s="1">
        <v>0</v>
      </c>
      <c r="BS1186" s="1" t="s">
        <v>109</v>
      </c>
      <c r="BT1186" s="1">
        <v>1223</v>
      </c>
      <c r="BU1186" s="1" t="s">
        <v>109</v>
      </c>
      <c r="BV1186" s="1"/>
      <c r="BW1186" s="1"/>
      <c r="BX1186" s="1"/>
      <c r="BY1186" s="1"/>
      <c r="BZ1186" s="1">
        <v>0</v>
      </c>
      <c r="CA1186" s="1" t="s">
        <v>109</v>
      </c>
      <c r="CB1186" s="1" t="s">
        <v>109</v>
      </c>
      <c r="CC1186" s="1" t="s">
        <v>109</v>
      </c>
      <c r="CD1186" s="1" t="s">
        <v>109</v>
      </c>
      <c r="CE1186" s="1" t="s">
        <v>109</v>
      </c>
      <c r="CF1186" s="1" t="s">
        <v>109</v>
      </c>
      <c r="CG1186" s="1" t="s">
        <v>109</v>
      </c>
      <c r="CH1186" s="1" t="s">
        <v>109</v>
      </c>
      <c r="CI1186" s="1" t="s">
        <v>109</v>
      </c>
      <c r="CJ1186" s="1" t="s">
        <v>109</v>
      </c>
      <c r="CK1186" s="1"/>
      <c r="CL1186" s="1">
        <v>0</v>
      </c>
      <c r="CM1186" s="1">
        <v>0</v>
      </c>
      <c r="CN1186" s="1">
        <v>0</v>
      </c>
    </row>
    <row r="1187" spans="1:92" ht="14.25" customHeight="1" x14ac:dyDescent="0.15">
      <c r="A1187" s="1" t="s">
        <v>9524</v>
      </c>
      <c r="B1187" s="1" t="s">
        <v>242</v>
      </c>
      <c r="C1187" s="1"/>
      <c r="D1187" s="1"/>
      <c r="E1187" s="1" t="s">
        <v>9525</v>
      </c>
      <c r="F1187" s="1" t="s">
        <v>98</v>
      </c>
      <c r="G1187" s="1" t="s">
        <v>9526</v>
      </c>
      <c r="H1187" s="1">
        <v>0</v>
      </c>
      <c r="I1187" s="1" t="s">
        <v>356</v>
      </c>
      <c r="J1187" s="1" t="s">
        <v>357</v>
      </c>
      <c r="K1187" s="1"/>
      <c r="L1187" s="1"/>
      <c r="M1187" s="1" t="s">
        <v>6144</v>
      </c>
      <c r="N1187" s="1">
        <v>1</v>
      </c>
      <c r="O1187" s="1">
        <v>0</v>
      </c>
      <c r="P1187" s="1" t="s">
        <v>9527</v>
      </c>
      <c r="Q1187" s="1" t="s">
        <v>268</v>
      </c>
      <c r="R1187" s="1" t="s">
        <v>9528</v>
      </c>
      <c r="S1187" s="1" t="s">
        <v>9529</v>
      </c>
      <c r="T1187" s="1" t="s">
        <v>9522</v>
      </c>
      <c r="U1187" s="1" t="s">
        <v>9530</v>
      </c>
      <c r="V1187" s="1">
        <v>1</v>
      </c>
      <c r="W1187" s="1">
        <v>1</v>
      </c>
      <c r="X1187" s="1">
        <v>1</v>
      </c>
      <c r="Y1187" s="1">
        <v>0</v>
      </c>
      <c r="Z1187" s="1">
        <v>1</v>
      </c>
      <c r="AA1187" s="1">
        <v>6</v>
      </c>
      <c r="AB1187" s="1">
        <v>6</v>
      </c>
      <c r="AC1187" s="1">
        <v>5</v>
      </c>
      <c r="AD1187" s="1" t="s">
        <v>109</v>
      </c>
      <c r="AE1187" s="1" t="s">
        <v>109</v>
      </c>
      <c r="AF1187" s="1" t="s">
        <v>109</v>
      </c>
      <c r="AG1187" s="1" t="s">
        <v>109</v>
      </c>
      <c r="AH1187" s="1" t="s">
        <v>109</v>
      </c>
      <c r="AI1187" s="1" t="s">
        <v>109</v>
      </c>
      <c r="AJ1187" s="1">
        <v>6</v>
      </c>
      <c r="AK1187" s="1">
        <v>4</v>
      </c>
      <c r="AL1187" s="1">
        <v>5</v>
      </c>
      <c r="AM1187" s="1" t="s">
        <v>109</v>
      </c>
      <c r="AN1187" s="1" t="s">
        <v>109</v>
      </c>
      <c r="AO1187" s="1" t="s">
        <v>109</v>
      </c>
      <c r="AP1187" s="1"/>
      <c r="AQ1187" s="1">
        <v>6</v>
      </c>
      <c r="AR1187" s="1"/>
      <c r="AS1187" s="1"/>
      <c r="AT1187" s="1">
        <v>0</v>
      </c>
      <c r="AU1187" s="1">
        <v>0</v>
      </c>
      <c r="AV1187" s="1">
        <v>0</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t="s">
        <v>109</v>
      </c>
      <c r="BT1187" s="1">
        <v>1224</v>
      </c>
      <c r="BU1187" s="1" t="s">
        <v>109</v>
      </c>
      <c r="BV1187" s="1"/>
      <c r="BW1187" s="1"/>
      <c r="BX1187" s="1"/>
      <c r="BY1187" s="1"/>
      <c r="BZ1187" s="1">
        <v>0</v>
      </c>
      <c r="CA1187" s="1" t="s">
        <v>109</v>
      </c>
      <c r="CB1187" s="1" t="s">
        <v>109</v>
      </c>
      <c r="CC1187" s="1" t="s">
        <v>109</v>
      </c>
      <c r="CD1187" s="1" t="s">
        <v>109</v>
      </c>
      <c r="CE1187" s="1" t="s">
        <v>109</v>
      </c>
      <c r="CF1187" s="1" t="s">
        <v>109</v>
      </c>
      <c r="CG1187" s="1" t="s">
        <v>109</v>
      </c>
      <c r="CH1187" s="1" t="s">
        <v>109</v>
      </c>
      <c r="CI1187" s="1" t="s">
        <v>109</v>
      </c>
      <c r="CJ1187" s="1" t="s">
        <v>109</v>
      </c>
      <c r="CK1187" s="1"/>
      <c r="CL1187" s="1">
        <v>0</v>
      </c>
      <c r="CM1187" s="1">
        <v>0</v>
      </c>
      <c r="CN1187" s="1">
        <v>0</v>
      </c>
    </row>
    <row r="1188" spans="1:92" ht="14.25" customHeight="1" x14ac:dyDescent="0.15">
      <c r="A1188" s="1" t="s">
        <v>9531</v>
      </c>
      <c r="B1188" s="1" t="s">
        <v>189</v>
      </c>
      <c r="C1188" s="1"/>
      <c r="D1188" s="1"/>
      <c r="E1188" s="1" t="s">
        <v>9532</v>
      </c>
      <c r="F1188" s="1" t="s">
        <v>98</v>
      </c>
      <c r="G1188" s="1" t="s">
        <v>141</v>
      </c>
      <c r="H1188" s="1">
        <v>0</v>
      </c>
      <c r="I1188" s="1" t="s">
        <v>161</v>
      </c>
      <c r="J1188" s="1"/>
      <c r="K1188" s="1"/>
      <c r="L1188" s="1" t="s">
        <v>9533</v>
      </c>
      <c r="M1188" s="1" t="s">
        <v>125</v>
      </c>
      <c r="N1188" s="1">
        <v>0</v>
      </c>
      <c r="O1188" s="1">
        <v>0</v>
      </c>
      <c r="P1188" s="1" t="s">
        <v>103</v>
      </c>
      <c r="Q1188" s="1" t="s">
        <v>104</v>
      </c>
      <c r="R1188" s="1" t="s">
        <v>9534</v>
      </c>
      <c r="S1188" s="1" t="s">
        <v>9535</v>
      </c>
      <c r="T1188" s="1" t="s">
        <v>7821</v>
      </c>
      <c r="U1188" s="1" t="s">
        <v>9536</v>
      </c>
      <c r="V1188" s="1">
        <v>1</v>
      </c>
      <c r="W1188" s="1">
        <v>1</v>
      </c>
      <c r="X1188" s="1">
        <v>0</v>
      </c>
      <c r="Y1188" s="1">
        <v>0</v>
      </c>
      <c r="Z1188" s="1">
        <v>0</v>
      </c>
      <c r="AA1188" s="1">
        <v>2</v>
      </c>
      <c r="AB1188" s="1">
        <v>2</v>
      </c>
      <c r="AC1188" s="1" t="s">
        <v>109</v>
      </c>
      <c r="AD1188" s="1" t="s">
        <v>109</v>
      </c>
      <c r="AE1188" s="1" t="s">
        <v>109</v>
      </c>
      <c r="AF1188" s="1">
        <v>2</v>
      </c>
      <c r="AG1188" s="1" t="s">
        <v>109</v>
      </c>
      <c r="AH1188" s="1" t="s">
        <v>109</v>
      </c>
      <c r="AI1188" s="1" t="s">
        <v>109</v>
      </c>
      <c r="AJ1188" s="1">
        <v>2</v>
      </c>
      <c r="AK1188" s="1" t="s">
        <v>109</v>
      </c>
      <c r="AL1188" s="1" t="s">
        <v>109</v>
      </c>
      <c r="AM1188" s="1" t="s">
        <v>109</v>
      </c>
      <c r="AN1188" s="1" t="s">
        <v>109</v>
      </c>
      <c r="AO1188" s="1" t="s">
        <v>109</v>
      </c>
      <c r="AP1188" s="1"/>
      <c r="AQ1188" s="1">
        <v>2</v>
      </c>
      <c r="AR1188" s="1"/>
      <c r="AS1188" s="1" t="s">
        <v>9537</v>
      </c>
      <c r="AT1188" s="1">
        <v>0</v>
      </c>
      <c r="AU1188" s="1">
        <v>0</v>
      </c>
      <c r="AV1188" s="1">
        <v>0</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t="s">
        <v>109</v>
      </c>
      <c r="BT1188" s="1">
        <v>1234</v>
      </c>
      <c r="BU1188" s="1" t="s">
        <v>109</v>
      </c>
      <c r="BV1188" s="1"/>
      <c r="BW1188" s="1"/>
      <c r="BX1188" s="1"/>
      <c r="BY1188" s="1"/>
      <c r="BZ1188" s="1">
        <v>0</v>
      </c>
      <c r="CA1188" s="1" t="s">
        <v>109</v>
      </c>
      <c r="CB1188" s="1" t="s">
        <v>109</v>
      </c>
      <c r="CC1188" s="1" t="s">
        <v>109</v>
      </c>
      <c r="CD1188" s="1" t="s">
        <v>109</v>
      </c>
      <c r="CE1188" s="1" t="s">
        <v>109</v>
      </c>
      <c r="CF1188" s="1">
        <v>2</v>
      </c>
      <c r="CG1188" s="1" t="s">
        <v>109</v>
      </c>
      <c r="CH1188" s="1" t="s">
        <v>109</v>
      </c>
      <c r="CI1188" s="1" t="s">
        <v>109</v>
      </c>
      <c r="CJ1188" s="1" t="s">
        <v>109</v>
      </c>
      <c r="CK1188" s="1"/>
      <c r="CL1188" s="1">
        <v>0</v>
      </c>
      <c r="CM1188" s="1">
        <v>0</v>
      </c>
      <c r="CN1188" s="1">
        <v>0</v>
      </c>
    </row>
    <row r="1189" spans="1:92" ht="14.25" customHeight="1" x14ac:dyDescent="0.15">
      <c r="A1189" s="1" t="s">
        <v>9538</v>
      </c>
      <c r="B1189" s="1" t="s">
        <v>254</v>
      </c>
      <c r="C1189" s="1"/>
      <c r="D1189" s="1"/>
      <c r="E1189" s="1" t="s">
        <v>9539</v>
      </c>
      <c r="F1189" s="1" t="s">
        <v>98</v>
      </c>
      <c r="G1189" s="1" t="s">
        <v>9540</v>
      </c>
      <c r="H1189" s="1">
        <v>1</v>
      </c>
      <c r="I1189" s="1" t="s">
        <v>235</v>
      </c>
      <c r="J1189" s="1"/>
      <c r="K1189" s="1"/>
      <c r="L1189" s="1" t="s">
        <v>236</v>
      </c>
      <c r="M1189" s="1" t="s">
        <v>6144</v>
      </c>
      <c r="N1189" s="1">
        <v>1</v>
      </c>
      <c r="O1189" s="1">
        <v>0</v>
      </c>
      <c r="P1189" s="1"/>
      <c r="Q1189" s="1"/>
      <c r="R1189" s="1" t="s">
        <v>9541</v>
      </c>
      <c r="S1189" s="1" t="s">
        <v>9542</v>
      </c>
      <c r="T1189" s="1" t="s">
        <v>9543</v>
      </c>
      <c r="U1189" s="1" t="s">
        <v>9544</v>
      </c>
      <c r="V1189" s="1">
        <v>1</v>
      </c>
      <c r="W1189" s="1">
        <v>1</v>
      </c>
      <c r="X1189" s="1">
        <v>0</v>
      </c>
      <c r="Y1189" s="1">
        <v>0</v>
      </c>
      <c r="Z1189" s="1">
        <v>0</v>
      </c>
      <c r="AA1189" s="1">
        <v>2</v>
      </c>
      <c r="AB1189" s="1">
        <v>2</v>
      </c>
      <c r="AC1189" s="1" t="s">
        <v>109</v>
      </c>
      <c r="AD1189" s="1" t="s">
        <v>109</v>
      </c>
      <c r="AE1189" s="1" t="s">
        <v>109</v>
      </c>
      <c r="AF1189" s="1">
        <v>2</v>
      </c>
      <c r="AG1189" s="1" t="s">
        <v>109</v>
      </c>
      <c r="AH1189" s="1">
        <v>2</v>
      </c>
      <c r="AI1189" s="1" t="s">
        <v>109</v>
      </c>
      <c r="AJ1189" s="1" t="s">
        <v>109</v>
      </c>
      <c r="AK1189" s="1" t="s">
        <v>109</v>
      </c>
      <c r="AL1189" s="1" t="s">
        <v>109</v>
      </c>
      <c r="AM1189" s="1" t="s">
        <v>109</v>
      </c>
      <c r="AN1189" s="1" t="s">
        <v>109</v>
      </c>
      <c r="AO1189" s="1" t="s">
        <v>109</v>
      </c>
      <c r="AP1189" s="1"/>
      <c r="AQ1189" s="1">
        <v>2</v>
      </c>
      <c r="AR1189" s="1"/>
      <c r="AS1189" s="1"/>
      <c r="AT1189" s="1">
        <v>0</v>
      </c>
      <c r="AU1189" s="1">
        <v>0</v>
      </c>
      <c r="AV1189" s="1">
        <v>0</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t="s">
        <v>109</v>
      </c>
      <c r="BT1189" s="1">
        <v>1235</v>
      </c>
      <c r="BU1189" s="1">
        <v>100</v>
      </c>
      <c r="BV1189" s="1"/>
      <c r="BW1189" s="1"/>
      <c r="BX1189" s="1"/>
      <c r="BY1189" s="1"/>
      <c r="BZ1189" s="1">
        <v>0</v>
      </c>
      <c r="CA1189" s="1" t="s">
        <v>109</v>
      </c>
      <c r="CB1189" s="1" t="s">
        <v>109</v>
      </c>
      <c r="CC1189" s="1" t="s">
        <v>109</v>
      </c>
      <c r="CD1189" s="1" t="s">
        <v>109</v>
      </c>
      <c r="CE1189" s="1" t="s">
        <v>109</v>
      </c>
      <c r="CF1189" s="1" t="s">
        <v>109</v>
      </c>
      <c r="CG1189" s="1" t="s">
        <v>109</v>
      </c>
      <c r="CH1189" s="1" t="s">
        <v>109</v>
      </c>
      <c r="CI1189" s="1" t="s">
        <v>109</v>
      </c>
      <c r="CJ1189" s="1" t="s">
        <v>109</v>
      </c>
      <c r="CK1189" s="1"/>
      <c r="CL1189" s="1">
        <v>0</v>
      </c>
      <c r="CM1189" s="1">
        <v>0</v>
      </c>
      <c r="CN1189" s="1">
        <v>0</v>
      </c>
    </row>
    <row r="1190" spans="1:92" ht="14.25" customHeight="1" x14ac:dyDescent="0.15">
      <c r="A1190" s="1" t="s">
        <v>9545</v>
      </c>
      <c r="B1190" s="1" t="s">
        <v>242</v>
      </c>
      <c r="C1190" s="1"/>
      <c r="D1190" s="1"/>
      <c r="E1190" s="1" t="s">
        <v>5543</v>
      </c>
      <c r="F1190" s="1" t="s">
        <v>98</v>
      </c>
      <c r="G1190" s="1" t="s">
        <v>9546</v>
      </c>
      <c r="H1190" s="1">
        <v>1</v>
      </c>
      <c r="I1190" s="1" t="s">
        <v>235</v>
      </c>
      <c r="J1190" s="1"/>
      <c r="K1190" s="1"/>
      <c r="L1190" s="1" t="s">
        <v>236</v>
      </c>
      <c r="M1190" s="1" t="s">
        <v>9547</v>
      </c>
      <c r="N1190" s="1">
        <v>0</v>
      </c>
      <c r="O1190" s="1">
        <v>0</v>
      </c>
      <c r="P1190" s="1"/>
      <c r="Q1190" s="1"/>
      <c r="R1190" s="1" t="s">
        <v>9548</v>
      </c>
      <c r="S1190" s="1" t="s">
        <v>9549</v>
      </c>
      <c r="T1190" s="1" t="s">
        <v>9543</v>
      </c>
      <c r="U1190" s="1" t="s">
        <v>9550</v>
      </c>
      <c r="V1190" s="1">
        <v>1</v>
      </c>
      <c r="W1190" s="1">
        <v>1</v>
      </c>
      <c r="X1190" s="1">
        <v>1</v>
      </c>
      <c r="Y1190" s="1">
        <v>0</v>
      </c>
      <c r="Z1190" s="1">
        <v>0</v>
      </c>
      <c r="AA1190" s="1">
        <v>4</v>
      </c>
      <c r="AB1190" s="1">
        <v>4</v>
      </c>
      <c r="AC1190" s="1" t="s">
        <v>109</v>
      </c>
      <c r="AD1190" s="1" t="s">
        <v>109</v>
      </c>
      <c r="AE1190" s="1" t="s">
        <v>109</v>
      </c>
      <c r="AF1190" s="1" t="s">
        <v>109</v>
      </c>
      <c r="AG1190" s="1" t="s">
        <v>109</v>
      </c>
      <c r="AH1190" s="1" t="s">
        <v>109</v>
      </c>
      <c r="AI1190" s="1" t="s">
        <v>109</v>
      </c>
      <c r="AJ1190" s="1" t="s">
        <v>109</v>
      </c>
      <c r="AK1190" s="1" t="s">
        <v>109</v>
      </c>
      <c r="AL1190" s="1" t="s">
        <v>109</v>
      </c>
      <c r="AM1190" s="1" t="s">
        <v>109</v>
      </c>
      <c r="AN1190" s="1" t="s">
        <v>109</v>
      </c>
      <c r="AO1190" s="1" t="s">
        <v>109</v>
      </c>
      <c r="AP1190" s="1"/>
      <c r="AQ1190" s="1">
        <v>4</v>
      </c>
      <c r="AR1190" s="1"/>
      <c r="AS1190" s="1"/>
      <c r="AT1190" s="1">
        <v>0</v>
      </c>
      <c r="AU1190" s="1">
        <v>0</v>
      </c>
      <c r="AV1190" s="1">
        <v>0</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t="s">
        <v>109</v>
      </c>
      <c r="BT1190" s="1">
        <v>1236</v>
      </c>
      <c r="BU1190" s="1">
        <v>100</v>
      </c>
      <c r="BV1190" s="1"/>
      <c r="BW1190" s="1"/>
      <c r="BX1190" s="1"/>
      <c r="BY1190" s="1"/>
      <c r="BZ1190" s="1">
        <v>0</v>
      </c>
      <c r="CA1190" s="1" t="s">
        <v>109</v>
      </c>
      <c r="CB1190" s="1" t="s">
        <v>109</v>
      </c>
      <c r="CC1190" s="1" t="s">
        <v>109</v>
      </c>
      <c r="CD1190" s="1" t="s">
        <v>109</v>
      </c>
      <c r="CE1190" s="1" t="s">
        <v>109</v>
      </c>
      <c r="CF1190" s="1" t="s">
        <v>109</v>
      </c>
      <c r="CG1190" s="1" t="s">
        <v>109</v>
      </c>
      <c r="CH1190" s="1" t="s">
        <v>109</v>
      </c>
      <c r="CI1190" s="1" t="s">
        <v>109</v>
      </c>
      <c r="CJ1190" s="1" t="s">
        <v>109</v>
      </c>
      <c r="CK1190" s="1"/>
      <c r="CL1190" s="1">
        <v>0</v>
      </c>
      <c r="CM1190" s="1">
        <v>0</v>
      </c>
      <c r="CN1190" s="1">
        <v>0</v>
      </c>
    </row>
    <row r="1191" spans="1:92" ht="14.25" customHeight="1" x14ac:dyDescent="0.15">
      <c r="A1191" s="1" t="s">
        <v>9551</v>
      </c>
      <c r="B1191" s="1" t="s">
        <v>156</v>
      </c>
      <c r="C1191" s="1" t="s">
        <v>157</v>
      </c>
      <c r="D1191" s="1"/>
      <c r="E1191" s="1" t="s">
        <v>9552</v>
      </c>
      <c r="F1191" s="1" t="s">
        <v>98</v>
      </c>
      <c r="G1191" s="1" t="s">
        <v>160</v>
      </c>
      <c r="H1191" s="1">
        <v>0</v>
      </c>
      <c r="I1191" s="1" t="s">
        <v>142</v>
      </c>
      <c r="J1191" s="1"/>
      <c r="K1191" s="1"/>
      <c r="L1191" s="1" t="s">
        <v>9553</v>
      </c>
      <c r="M1191" s="1" t="s">
        <v>574</v>
      </c>
      <c r="N1191" s="1">
        <v>1</v>
      </c>
      <c r="O1191" s="1">
        <v>0</v>
      </c>
      <c r="P1191" s="1" t="s">
        <v>301</v>
      </c>
      <c r="Q1191" s="1" t="s">
        <v>268</v>
      </c>
      <c r="R1191" s="1" t="s">
        <v>9554</v>
      </c>
      <c r="S1191" s="1" t="s">
        <v>9555</v>
      </c>
      <c r="T1191" s="1" t="s">
        <v>9543</v>
      </c>
      <c r="U1191" s="1" t="s">
        <v>9556</v>
      </c>
      <c r="V1191" s="1">
        <v>1</v>
      </c>
      <c r="W1191" s="1">
        <v>1</v>
      </c>
      <c r="X1191" s="1">
        <v>0</v>
      </c>
      <c r="Y1191" s="1">
        <v>0</v>
      </c>
      <c r="Z1191" s="1">
        <v>1</v>
      </c>
      <c r="AA1191" s="1">
        <v>4</v>
      </c>
      <c r="AB1191" s="1">
        <v>4</v>
      </c>
      <c r="AC1191" s="1" t="s">
        <v>109</v>
      </c>
      <c r="AD1191" s="1">
        <v>3</v>
      </c>
      <c r="AE1191" s="1" t="s">
        <v>109</v>
      </c>
      <c r="AF1191" s="1" t="s">
        <v>109</v>
      </c>
      <c r="AG1191" s="1" t="s">
        <v>109</v>
      </c>
      <c r="AH1191" s="1" t="s">
        <v>109</v>
      </c>
      <c r="AI1191" s="1">
        <v>3</v>
      </c>
      <c r="AJ1191" s="1">
        <v>4</v>
      </c>
      <c r="AK1191" s="1">
        <v>3</v>
      </c>
      <c r="AL1191" s="1" t="s">
        <v>109</v>
      </c>
      <c r="AM1191" s="1" t="s">
        <v>109</v>
      </c>
      <c r="AN1191" s="1" t="s">
        <v>109</v>
      </c>
      <c r="AO1191" s="1" t="s">
        <v>109</v>
      </c>
      <c r="AP1191" s="1"/>
      <c r="AQ1191" s="1">
        <v>4</v>
      </c>
      <c r="AR1191" s="1"/>
      <c r="AS1191" s="1"/>
      <c r="AT1191" s="1">
        <v>0</v>
      </c>
      <c r="AU1191" s="1">
        <v>0</v>
      </c>
      <c r="AV1191" s="1">
        <v>0</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t="s">
        <v>109</v>
      </c>
      <c r="BT1191" s="1">
        <v>1237</v>
      </c>
      <c r="BU1191" s="1" t="s">
        <v>109</v>
      </c>
      <c r="BV1191" s="1"/>
      <c r="BW1191" s="1"/>
      <c r="BX1191" s="1"/>
      <c r="BY1191" s="1"/>
      <c r="BZ1191" s="1">
        <v>0</v>
      </c>
      <c r="CA1191" s="1" t="s">
        <v>109</v>
      </c>
      <c r="CB1191" s="1" t="s">
        <v>109</v>
      </c>
      <c r="CC1191" s="1" t="s">
        <v>109</v>
      </c>
      <c r="CD1191" s="1" t="s">
        <v>109</v>
      </c>
      <c r="CE1191" s="1" t="s">
        <v>109</v>
      </c>
      <c r="CF1191" s="1" t="s">
        <v>109</v>
      </c>
      <c r="CG1191" s="1" t="s">
        <v>109</v>
      </c>
      <c r="CH1191" s="1" t="s">
        <v>109</v>
      </c>
      <c r="CI1191" s="1" t="s">
        <v>109</v>
      </c>
      <c r="CJ1191" s="1">
        <v>3</v>
      </c>
      <c r="CK1191" s="1"/>
      <c r="CL1191" s="1">
        <v>0</v>
      </c>
      <c r="CM1191" s="1">
        <v>0</v>
      </c>
      <c r="CN1191" s="1">
        <v>0</v>
      </c>
    </row>
    <row r="1192" spans="1:92" ht="14.25" customHeight="1" x14ac:dyDescent="0.15">
      <c r="A1192" s="1" t="s">
        <v>9557</v>
      </c>
      <c r="B1192" s="1" t="s">
        <v>156</v>
      </c>
      <c r="C1192" s="1" t="s">
        <v>157</v>
      </c>
      <c r="D1192" s="1"/>
      <c r="E1192" s="1" t="s">
        <v>9558</v>
      </c>
      <c r="F1192" s="1" t="s">
        <v>98</v>
      </c>
      <c r="G1192" s="1" t="s">
        <v>160</v>
      </c>
      <c r="H1192" s="1">
        <v>0</v>
      </c>
      <c r="I1192" s="1" t="s">
        <v>122</v>
      </c>
      <c r="J1192" s="1"/>
      <c r="K1192" s="1"/>
      <c r="L1192" s="1" t="s">
        <v>9559</v>
      </c>
      <c r="M1192" s="1" t="s">
        <v>574</v>
      </c>
      <c r="N1192" s="1">
        <v>1</v>
      </c>
      <c r="O1192" s="1">
        <v>0</v>
      </c>
      <c r="P1192" s="1" t="s">
        <v>301</v>
      </c>
      <c r="Q1192" s="1" t="s">
        <v>268</v>
      </c>
      <c r="R1192" s="1" t="s">
        <v>9560</v>
      </c>
      <c r="S1192" s="1" t="s">
        <v>9561</v>
      </c>
      <c r="T1192" s="1" t="s">
        <v>9543</v>
      </c>
      <c r="U1192" s="1" t="s">
        <v>9562</v>
      </c>
      <c r="V1192" s="1">
        <v>1</v>
      </c>
      <c r="W1192" s="1">
        <v>1</v>
      </c>
      <c r="X1192" s="1">
        <v>0</v>
      </c>
      <c r="Y1192" s="1">
        <v>0</v>
      </c>
      <c r="Z1192" s="1">
        <v>1</v>
      </c>
      <c r="AA1192" s="1">
        <v>7</v>
      </c>
      <c r="AB1192" s="1">
        <v>7</v>
      </c>
      <c r="AC1192" s="1" t="s">
        <v>109</v>
      </c>
      <c r="AD1192" s="1">
        <v>6</v>
      </c>
      <c r="AE1192" s="1" t="s">
        <v>109</v>
      </c>
      <c r="AF1192" s="1" t="s">
        <v>109</v>
      </c>
      <c r="AG1192" s="1" t="s">
        <v>109</v>
      </c>
      <c r="AH1192" s="1" t="s">
        <v>109</v>
      </c>
      <c r="AI1192" s="1">
        <v>6</v>
      </c>
      <c r="AJ1192" s="1">
        <v>7</v>
      </c>
      <c r="AK1192" s="1">
        <v>6</v>
      </c>
      <c r="AL1192" s="1" t="s">
        <v>109</v>
      </c>
      <c r="AM1192" s="1" t="s">
        <v>109</v>
      </c>
      <c r="AN1192" s="1" t="s">
        <v>109</v>
      </c>
      <c r="AO1192" s="1" t="s">
        <v>109</v>
      </c>
      <c r="AP1192" s="1"/>
      <c r="AQ1192" s="1">
        <v>7</v>
      </c>
      <c r="AR1192" s="1"/>
      <c r="AS1192" s="1"/>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t="s">
        <v>109</v>
      </c>
      <c r="BT1192" s="1">
        <v>1238</v>
      </c>
      <c r="BU1192" s="1" t="s">
        <v>109</v>
      </c>
      <c r="BV1192" s="1"/>
      <c r="BW1192" s="1"/>
      <c r="BX1192" s="1"/>
      <c r="BY1192" s="1"/>
      <c r="BZ1192" s="1">
        <v>0</v>
      </c>
      <c r="CA1192" s="1" t="s">
        <v>109</v>
      </c>
      <c r="CB1192" s="1" t="s">
        <v>109</v>
      </c>
      <c r="CC1192" s="1" t="s">
        <v>109</v>
      </c>
      <c r="CD1192" s="1" t="s">
        <v>109</v>
      </c>
      <c r="CE1192" s="1" t="s">
        <v>109</v>
      </c>
      <c r="CF1192" s="1" t="s">
        <v>109</v>
      </c>
      <c r="CG1192" s="1" t="s">
        <v>109</v>
      </c>
      <c r="CH1192" s="1" t="s">
        <v>109</v>
      </c>
      <c r="CI1192" s="1" t="s">
        <v>109</v>
      </c>
      <c r="CJ1192" s="1">
        <v>6</v>
      </c>
      <c r="CK1192" s="1"/>
      <c r="CL1192" s="1">
        <v>0</v>
      </c>
      <c r="CM1192" s="1">
        <v>0</v>
      </c>
      <c r="CN1192" s="1">
        <v>0</v>
      </c>
    </row>
    <row r="1193" spans="1:92" ht="14.25" customHeight="1" x14ac:dyDescent="0.15">
      <c r="A1193" s="1" t="s">
        <v>9563</v>
      </c>
      <c r="B1193" s="1" t="s">
        <v>308</v>
      </c>
      <c r="C1193" s="1"/>
      <c r="D1193" s="1" t="s">
        <v>64</v>
      </c>
      <c r="E1193" s="1" t="s">
        <v>9564</v>
      </c>
      <c r="F1193" s="1" t="s">
        <v>98</v>
      </c>
      <c r="G1193" s="1" t="s">
        <v>141</v>
      </c>
      <c r="H1193" s="1">
        <v>0</v>
      </c>
      <c r="I1193" s="1" t="s">
        <v>122</v>
      </c>
      <c r="J1193" s="1"/>
      <c r="K1193" s="1" t="s">
        <v>9565</v>
      </c>
      <c r="L1193" s="1"/>
      <c r="M1193" s="1" t="s">
        <v>6144</v>
      </c>
      <c r="N1193" s="1">
        <v>1</v>
      </c>
      <c r="O1193" s="1">
        <v>0</v>
      </c>
      <c r="P1193" s="1" t="s">
        <v>103</v>
      </c>
      <c r="Q1193" s="1" t="s">
        <v>104</v>
      </c>
      <c r="R1193" s="1" t="s">
        <v>9566</v>
      </c>
      <c r="S1193" s="1" t="s">
        <v>9567</v>
      </c>
      <c r="T1193" s="1" t="s">
        <v>9543</v>
      </c>
      <c r="U1193" s="1" t="s">
        <v>9568</v>
      </c>
      <c r="V1193" s="1">
        <v>1</v>
      </c>
      <c r="W1193" s="1">
        <v>1</v>
      </c>
      <c r="X1193" s="1">
        <v>0</v>
      </c>
      <c r="Y1193" s="1">
        <v>0</v>
      </c>
      <c r="Z1193" s="1">
        <v>0</v>
      </c>
      <c r="AA1193" s="1">
        <v>2</v>
      </c>
      <c r="AB1193" s="1">
        <v>2</v>
      </c>
      <c r="AC1193" s="1" t="s">
        <v>109</v>
      </c>
      <c r="AD1193" s="1" t="s">
        <v>109</v>
      </c>
      <c r="AE1193" s="1" t="s">
        <v>109</v>
      </c>
      <c r="AF1193" s="1" t="s">
        <v>109</v>
      </c>
      <c r="AG1193" s="1" t="s">
        <v>109</v>
      </c>
      <c r="AH1193" s="1" t="s">
        <v>109</v>
      </c>
      <c r="AI1193" s="1" t="s">
        <v>109</v>
      </c>
      <c r="AJ1193" s="1">
        <v>2</v>
      </c>
      <c r="AK1193" s="1" t="s">
        <v>109</v>
      </c>
      <c r="AL1193" s="1" t="s">
        <v>109</v>
      </c>
      <c r="AM1193" s="1" t="s">
        <v>109</v>
      </c>
      <c r="AN1193" s="1" t="s">
        <v>109</v>
      </c>
      <c r="AO1193" s="1" t="s">
        <v>109</v>
      </c>
      <c r="AP1193" s="1"/>
      <c r="AQ1193" s="1">
        <v>2</v>
      </c>
      <c r="AR1193" s="1"/>
      <c r="AS1193" s="1"/>
      <c r="AT1193" s="1">
        <v>0</v>
      </c>
      <c r="AU1193" s="1">
        <v>0</v>
      </c>
      <c r="AV1193" s="1">
        <v>0</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1</v>
      </c>
      <c r="BM1193" s="1">
        <v>0</v>
      </c>
      <c r="BN1193" s="1">
        <v>0</v>
      </c>
      <c r="BO1193" s="1">
        <v>0</v>
      </c>
      <c r="BP1193" s="1">
        <v>0</v>
      </c>
      <c r="BQ1193" s="1">
        <v>0</v>
      </c>
      <c r="BR1193" s="1">
        <v>0</v>
      </c>
      <c r="BS1193" s="1" t="s">
        <v>109</v>
      </c>
      <c r="BT1193" s="1">
        <v>1239</v>
      </c>
      <c r="BU1193" s="1" t="s">
        <v>109</v>
      </c>
      <c r="BV1193" s="1"/>
      <c r="BW1193" s="1"/>
      <c r="BX1193" s="1"/>
      <c r="BY1193" s="1"/>
      <c r="BZ1193" s="1">
        <v>0</v>
      </c>
      <c r="CA1193" s="1" t="s">
        <v>109</v>
      </c>
      <c r="CB1193" s="1" t="s">
        <v>109</v>
      </c>
      <c r="CC1193" s="1" t="s">
        <v>109</v>
      </c>
      <c r="CD1193" s="1" t="s">
        <v>109</v>
      </c>
      <c r="CE1193" s="1" t="s">
        <v>109</v>
      </c>
      <c r="CF1193" s="1" t="s">
        <v>109</v>
      </c>
      <c r="CG1193" s="1" t="s">
        <v>109</v>
      </c>
      <c r="CH1193" s="1" t="s">
        <v>109</v>
      </c>
      <c r="CI1193" s="1" t="s">
        <v>109</v>
      </c>
      <c r="CJ1193" s="1" t="s">
        <v>109</v>
      </c>
      <c r="CK1193" s="1"/>
      <c r="CL1193" s="1">
        <v>0</v>
      </c>
      <c r="CM1193" s="1">
        <v>0</v>
      </c>
      <c r="CN1193" s="1">
        <v>0</v>
      </c>
    </row>
    <row r="1194" spans="1:92" ht="14.25" customHeight="1" x14ac:dyDescent="0.15">
      <c r="A1194" s="1" t="s">
        <v>9569</v>
      </c>
      <c r="B1194" s="1" t="s">
        <v>254</v>
      </c>
      <c r="C1194" s="1"/>
      <c r="D1194" s="1"/>
      <c r="E1194" s="1" t="s">
        <v>9570</v>
      </c>
      <c r="F1194" s="1" t="s">
        <v>355</v>
      </c>
      <c r="G1194" s="1" t="s">
        <v>9571</v>
      </c>
      <c r="H1194" s="1">
        <v>1</v>
      </c>
      <c r="I1194" s="1" t="s">
        <v>161</v>
      </c>
      <c r="J1194" s="1"/>
      <c r="K1194" s="1"/>
      <c r="L1194" s="1" t="s">
        <v>9572</v>
      </c>
      <c r="M1194" s="1" t="s">
        <v>5811</v>
      </c>
      <c r="N1194" s="1">
        <v>1</v>
      </c>
      <c r="O1194" s="1">
        <v>0</v>
      </c>
      <c r="P1194" s="1" t="s">
        <v>629</v>
      </c>
      <c r="Q1194" s="1" t="s">
        <v>630</v>
      </c>
      <c r="R1194" s="1" t="s">
        <v>9573</v>
      </c>
      <c r="S1194" s="1" t="s">
        <v>9574</v>
      </c>
      <c r="T1194" s="1" t="s">
        <v>9543</v>
      </c>
      <c r="U1194" s="1" t="s">
        <v>9575</v>
      </c>
      <c r="V1194" s="1">
        <v>1</v>
      </c>
      <c r="W1194" s="1">
        <v>1</v>
      </c>
      <c r="X1194" s="1">
        <v>1</v>
      </c>
      <c r="Y1194" s="1">
        <v>0</v>
      </c>
      <c r="Z1194" s="1">
        <v>0</v>
      </c>
      <c r="AA1194" s="1">
        <v>3</v>
      </c>
      <c r="AB1194" s="1">
        <v>3</v>
      </c>
      <c r="AC1194" s="1">
        <v>4</v>
      </c>
      <c r="AD1194" s="1" t="s">
        <v>109</v>
      </c>
      <c r="AE1194" s="1" t="s">
        <v>109</v>
      </c>
      <c r="AF1194" s="1" t="s">
        <v>109</v>
      </c>
      <c r="AG1194" s="1" t="s">
        <v>109</v>
      </c>
      <c r="AH1194" s="1" t="s">
        <v>109</v>
      </c>
      <c r="AI1194" s="1" t="s">
        <v>109</v>
      </c>
      <c r="AJ1194" s="1" t="s">
        <v>109</v>
      </c>
      <c r="AK1194" s="1" t="s">
        <v>109</v>
      </c>
      <c r="AL1194" s="1">
        <v>4</v>
      </c>
      <c r="AM1194" s="1" t="s">
        <v>109</v>
      </c>
      <c r="AN1194" s="1" t="s">
        <v>109</v>
      </c>
      <c r="AO1194" s="1" t="s">
        <v>109</v>
      </c>
      <c r="AP1194" s="1"/>
      <c r="AQ1194" s="1">
        <v>3</v>
      </c>
      <c r="AR1194" s="1"/>
      <c r="AS1194" s="1"/>
      <c r="AT1194" s="1">
        <v>0</v>
      </c>
      <c r="AU1194" s="1">
        <v>0</v>
      </c>
      <c r="AV1194" s="1">
        <v>0</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t="s">
        <v>109</v>
      </c>
      <c r="BT1194" s="1">
        <v>1240</v>
      </c>
      <c r="BU1194" s="1">
        <v>100</v>
      </c>
      <c r="BV1194" s="1"/>
      <c r="BW1194" s="1"/>
      <c r="BX1194" s="1"/>
      <c r="BY1194" s="1"/>
      <c r="BZ1194" s="1">
        <v>0</v>
      </c>
      <c r="CA1194" s="1" t="s">
        <v>109</v>
      </c>
      <c r="CB1194" s="1" t="s">
        <v>109</v>
      </c>
      <c r="CC1194" s="1" t="s">
        <v>109</v>
      </c>
      <c r="CD1194" s="1" t="s">
        <v>109</v>
      </c>
      <c r="CE1194" s="1" t="s">
        <v>109</v>
      </c>
      <c r="CF1194" s="1" t="s">
        <v>109</v>
      </c>
      <c r="CG1194" s="1" t="s">
        <v>109</v>
      </c>
      <c r="CH1194" s="1" t="s">
        <v>109</v>
      </c>
      <c r="CI1194" s="1" t="s">
        <v>109</v>
      </c>
      <c r="CJ1194" s="1" t="s">
        <v>109</v>
      </c>
      <c r="CK1194" s="1"/>
      <c r="CL1194" s="1">
        <v>0</v>
      </c>
      <c r="CM1194" s="1">
        <v>0</v>
      </c>
      <c r="CN1194" s="1">
        <v>0</v>
      </c>
    </row>
    <row r="1195" spans="1:92" ht="14.25" customHeight="1" x14ac:dyDescent="0.15">
      <c r="A1195" s="1" t="s">
        <v>9576</v>
      </c>
      <c r="B1195" s="1" t="s">
        <v>308</v>
      </c>
      <c r="C1195" s="1"/>
      <c r="D1195" s="1"/>
      <c r="E1195" s="1" t="s">
        <v>9564</v>
      </c>
      <c r="F1195" s="1" t="s">
        <v>98</v>
      </c>
      <c r="G1195" s="1" t="s">
        <v>9577</v>
      </c>
      <c r="H1195" s="1">
        <v>0</v>
      </c>
      <c r="I1195" s="1" t="s">
        <v>142</v>
      </c>
      <c r="J1195" s="1"/>
      <c r="K1195" s="1"/>
      <c r="L1195" s="1" t="s">
        <v>1391</v>
      </c>
      <c r="M1195" s="1" t="s">
        <v>144</v>
      </c>
      <c r="N1195" s="1">
        <v>0</v>
      </c>
      <c r="O1195" s="1">
        <v>0</v>
      </c>
      <c r="P1195" s="1" t="s">
        <v>267</v>
      </c>
      <c r="Q1195" s="1" t="s">
        <v>268</v>
      </c>
      <c r="R1195" s="1" t="s">
        <v>9578</v>
      </c>
      <c r="S1195" s="1" t="s">
        <v>9579</v>
      </c>
      <c r="T1195" s="1" t="s">
        <v>9543</v>
      </c>
      <c r="U1195" s="1" t="s">
        <v>9580</v>
      </c>
      <c r="V1195" s="1">
        <v>0</v>
      </c>
      <c r="W1195" s="1">
        <v>1</v>
      </c>
      <c r="X1195" s="1">
        <v>1</v>
      </c>
      <c r="Y1195" s="1">
        <v>0</v>
      </c>
      <c r="Z1195" s="1">
        <v>0</v>
      </c>
      <c r="AA1195" s="1">
        <v>2</v>
      </c>
      <c r="AB1195" s="1">
        <v>2</v>
      </c>
      <c r="AC1195" s="1" t="s">
        <v>109</v>
      </c>
      <c r="AD1195" s="1" t="s">
        <v>109</v>
      </c>
      <c r="AE1195" s="1" t="s">
        <v>109</v>
      </c>
      <c r="AF1195" s="1" t="s">
        <v>109</v>
      </c>
      <c r="AG1195" s="1" t="s">
        <v>109</v>
      </c>
      <c r="AH1195" s="1" t="s">
        <v>109</v>
      </c>
      <c r="AI1195" s="1" t="s">
        <v>109</v>
      </c>
      <c r="AJ1195" s="1">
        <v>2</v>
      </c>
      <c r="AK1195" s="1" t="s">
        <v>109</v>
      </c>
      <c r="AL1195" s="1" t="s">
        <v>109</v>
      </c>
      <c r="AM1195" s="1" t="s">
        <v>109</v>
      </c>
      <c r="AN1195" s="1" t="s">
        <v>109</v>
      </c>
      <c r="AO1195" s="1" t="s">
        <v>109</v>
      </c>
      <c r="AP1195" s="1"/>
      <c r="AQ1195" s="1">
        <v>2</v>
      </c>
      <c r="AR1195" s="1"/>
      <c r="AS1195" s="1"/>
      <c r="AT1195" s="1">
        <v>0</v>
      </c>
      <c r="AU1195" s="1">
        <v>0</v>
      </c>
      <c r="AV1195" s="1">
        <v>0</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t="s">
        <v>109</v>
      </c>
      <c r="BT1195" s="1">
        <v>1241</v>
      </c>
      <c r="BU1195" s="1" t="s">
        <v>109</v>
      </c>
      <c r="BV1195" s="1"/>
      <c r="BW1195" s="1"/>
      <c r="BX1195" s="1"/>
      <c r="BY1195" s="1"/>
      <c r="BZ1195" s="1">
        <v>0</v>
      </c>
      <c r="CA1195" s="1" t="s">
        <v>109</v>
      </c>
      <c r="CB1195" s="1" t="s">
        <v>109</v>
      </c>
      <c r="CC1195" s="1" t="s">
        <v>109</v>
      </c>
      <c r="CD1195" s="1" t="s">
        <v>109</v>
      </c>
      <c r="CE1195" s="1" t="s">
        <v>109</v>
      </c>
      <c r="CF1195" s="1" t="s">
        <v>109</v>
      </c>
      <c r="CG1195" s="1" t="s">
        <v>109</v>
      </c>
      <c r="CH1195" s="1" t="s">
        <v>109</v>
      </c>
      <c r="CI1195" s="1" t="s">
        <v>109</v>
      </c>
      <c r="CJ1195" s="1" t="s">
        <v>109</v>
      </c>
      <c r="CK1195" s="1"/>
      <c r="CL1195" s="1">
        <v>0</v>
      </c>
      <c r="CM1195" s="1">
        <v>0</v>
      </c>
      <c r="CN1195" s="1">
        <v>0</v>
      </c>
    </row>
    <row r="1196" spans="1:92" ht="14.25" customHeight="1" x14ac:dyDescent="0.15">
      <c r="A1196" s="1" t="s">
        <v>9581</v>
      </c>
      <c r="B1196" s="1" t="s">
        <v>254</v>
      </c>
      <c r="C1196" s="1"/>
      <c r="D1196" s="1"/>
      <c r="E1196" s="1" t="s">
        <v>9582</v>
      </c>
      <c r="F1196" s="1" t="s">
        <v>98</v>
      </c>
      <c r="G1196" s="1" t="s">
        <v>9583</v>
      </c>
      <c r="H1196" s="1">
        <v>0</v>
      </c>
      <c r="I1196" s="1" t="s">
        <v>161</v>
      </c>
      <c r="J1196" s="1"/>
      <c r="K1196" s="1"/>
      <c r="L1196" s="1" t="s">
        <v>506</v>
      </c>
      <c r="M1196" s="1" t="s">
        <v>144</v>
      </c>
      <c r="N1196" s="1">
        <v>0</v>
      </c>
      <c r="O1196" s="1">
        <v>0</v>
      </c>
      <c r="P1196" s="1" t="s">
        <v>103</v>
      </c>
      <c r="Q1196" s="1" t="s">
        <v>167</v>
      </c>
      <c r="R1196" s="1" t="s">
        <v>9584</v>
      </c>
      <c r="S1196" s="1" t="s">
        <v>9585</v>
      </c>
      <c r="T1196" s="1" t="s">
        <v>9543</v>
      </c>
      <c r="U1196" s="1" t="s">
        <v>9586</v>
      </c>
      <c r="V1196" s="1">
        <v>1</v>
      </c>
      <c r="W1196" s="1">
        <v>1</v>
      </c>
      <c r="X1196" s="1">
        <v>1</v>
      </c>
      <c r="Y1196" s="1">
        <v>0</v>
      </c>
      <c r="Z1196" s="1">
        <v>0</v>
      </c>
      <c r="AA1196" s="1">
        <v>1</v>
      </c>
      <c r="AB1196" s="1">
        <v>1</v>
      </c>
      <c r="AC1196" s="1" t="s">
        <v>109</v>
      </c>
      <c r="AD1196" s="1" t="s">
        <v>109</v>
      </c>
      <c r="AE1196" s="1" t="s">
        <v>109</v>
      </c>
      <c r="AF1196" s="1" t="s">
        <v>109</v>
      </c>
      <c r="AG1196" s="1" t="s">
        <v>109</v>
      </c>
      <c r="AH1196" s="1">
        <v>1</v>
      </c>
      <c r="AI1196" s="1" t="s">
        <v>109</v>
      </c>
      <c r="AJ1196" s="1" t="s">
        <v>109</v>
      </c>
      <c r="AK1196" s="1">
        <v>1</v>
      </c>
      <c r="AL1196" s="1" t="s">
        <v>109</v>
      </c>
      <c r="AM1196" s="1" t="s">
        <v>109</v>
      </c>
      <c r="AN1196" s="1" t="s">
        <v>109</v>
      </c>
      <c r="AO1196" s="1" t="s">
        <v>109</v>
      </c>
      <c r="AP1196" s="1"/>
      <c r="AQ1196" s="1">
        <v>1</v>
      </c>
      <c r="AR1196" s="1"/>
      <c r="AS1196" s="1"/>
      <c r="AT1196" s="1">
        <v>0</v>
      </c>
      <c r="AU1196" s="1">
        <v>0</v>
      </c>
      <c r="AV1196" s="1">
        <v>0</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t="s">
        <v>109</v>
      </c>
      <c r="BT1196" s="1">
        <v>1242</v>
      </c>
      <c r="BU1196" s="1" t="s">
        <v>109</v>
      </c>
      <c r="BV1196" s="1"/>
      <c r="BW1196" s="1"/>
      <c r="BX1196" s="1"/>
      <c r="BY1196" s="1"/>
      <c r="BZ1196" s="1">
        <v>0</v>
      </c>
      <c r="CA1196" s="1" t="s">
        <v>109</v>
      </c>
      <c r="CB1196" s="1" t="s">
        <v>109</v>
      </c>
      <c r="CC1196" s="1" t="s">
        <v>109</v>
      </c>
      <c r="CD1196" s="1" t="s">
        <v>109</v>
      </c>
      <c r="CE1196" s="1" t="s">
        <v>109</v>
      </c>
      <c r="CF1196" s="1" t="s">
        <v>109</v>
      </c>
      <c r="CG1196" s="1" t="s">
        <v>109</v>
      </c>
      <c r="CH1196" s="1" t="s">
        <v>109</v>
      </c>
      <c r="CI1196" s="1" t="s">
        <v>109</v>
      </c>
      <c r="CJ1196" s="1" t="s">
        <v>109</v>
      </c>
      <c r="CK1196" s="1"/>
      <c r="CL1196" s="1">
        <v>0</v>
      </c>
      <c r="CM1196" s="1">
        <v>0</v>
      </c>
      <c r="CN1196" s="1">
        <v>0</v>
      </c>
    </row>
    <row r="1197" spans="1:92" ht="14.25" customHeight="1" x14ac:dyDescent="0.15">
      <c r="A1197" s="1" t="s">
        <v>9587</v>
      </c>
      <c r="B1197" s="1" t="s">
        <v>156</v>
      </c>
      <c r="C1197" s="1" t="s">
        <v>157</v>
      </c>
      <c r="D1197" s="1" t="s">
        <v>158</v>
      </c>
      <c r="E1197" s="1" t="s">
        <v>9588</v>
      </c>
      <c r="F1197" s="1" t="s">
        <v>395</v>
      </c>
      <c r="G1197" s="1" t="s">
        <v>9589</v>
      </c>
      <c r="H1197" s="1">
        <v>1</v>
      </c>
      <c r="I1197" s="1" t="s">
        <v>235</v>
      </c>
      <c r="J1197" s="1"/>
      <c r="K1197" s="1"/>
      <c r="L1197" s="1" t="s">
        <v>8687</v>
      </c>
      <c r="M1197" s="1" t="s">
        <v>9590</v>
      </c>
      <c r="N1197" s="1">
        <v>0</v>
      </c>
      <c r="O1197" s="1">
        <v>0</v>
      </c>
      <c r="P1197" s="1"/>
      <c r="Q1197" s="1"/>
      <c r="R1197" s="1" t="s">
        <v>9591</v>
      </c>
      <c r="S1197" s="1" t="s">
        <v>9592</v>
      </c>
      <c r="T1197" s="1" t="s">
        <v>9543</v>
      </c>
      <c r="U1197" s="1" t="s">
        <v>9593</v>
      </c>
      <c r="V1197" s="1">
        <v>1</v>
      </c>
      <c r="W1197" s="1">
        <v>1</v>
      </c>
      <c r="X1197" s="1">
        <v>1</v>
      </c>
      <c r="Y1197" s="1">
        <v>0</v>
      </c>
      <c r="Z1197" s="1">
        <v>0</v>
      </c>
      <c r="AA1197" s="1">
        <v>5</v>
      </c>
      <c r="AB1197" s="1">
        <v>5</v>
      </c>
      <c r="AC1197" s="1" t="s">
        <v>109</v>
      </c>
      <c r="AD1197" s="1" t="s">
        <v>109</v>
      </c>
      <c r="AE1197" s="1" t="s">
        <v>109</v>
      </c>
      <c r="AF1197" s="1">
        <v>3</v>
      </c>
      <c r="AG1197" s="1" t="s">
        <v>109</v>
      </c>
      <c r="AH1197" s="1" t="s">
        <v>109</v>
      </c>
      <c r="AI1197" s="1" t="s">
        <v>109</v>
      </c>
      <c r="AJ1197" s="1" t="s">
        <v>109</v>
      </c>
      <c r="AK1197" s="1" t="s">
        <v>109</v>
      </c>
      <c r="AL1197" s="1" t="s">
        <v>109</v>
      </c>
      <c r="AM1197" s="1" t="s">
        <v>109</v>
      </c>
      <c r="AN1197" s="1" t="s">
        <v>109</v>
      </c>
      <c r="AO1197" s="1" t="s">
        <v>109</v>
      </c>
      <c r="AP1197" s="1"/>
      <c r="AQ1197" s="1">
        <v>5</v>
      </c>
      <c r="AR1197" s="1"/>
      <c r="AS1197" s="1"/>
      <c r="AT1197" s="1">
        <v>0</v>
      </c>
      <c r="AU1197" s="1">
        <v>0</v>
      </c>
      <c r="AV1197" s="1">
        <v>0</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1</v>
      </c>
      <c r="BN1197" s="1">
        <v>0</v>
      </c>
      <c r="BO1197" s="1">
        <v>0</v>
      </c>
      <c r="BP1197" s="1">
        <v>0</v>
      </c>
      <c r="BQ1197" s="1">
        <v>0</v>
      </c>
      <c r="BR1197" s="1">
        <v>0</v>
      </c>
      <c r="BS1197" s="1" t="s">
        <v>109</v>
      </c>
      <c r="BT1197" s="1">
        <v>1243</v>
      </c>
      <c r="BU1197" s="1">
        <v>500</v>
      </c>
      <c r="BV1197" s="1"/>
      <c r="BW1197" s="1"/>
      <c r="BX1197" s="1"/>
      <c r="BY1197" s="1"/>
      <c r="BZ1197" s="1">
        <v>0</v>
      </c>
      <c r="CA1197" s="1" t="s">
        <v>109</v>
      </c>
      <c r="CB1197" s="1" t="s">
        <v>109</v>
      </c>
      <c r="CC1197" s="1" t="s">
        <v>109</v>
      </c>
      <c r="CD1197" s="1" t="s">
        <v>109</v>
      </c>
      <c r="CE1197" s="1" t="s">
        <v>109</v>
      </c>
      <c r="CF1197" s="1" t="s">
        <v>109</v>
      </c>
      <c r="CG1197" s="1" t="s">
        <v>109</v>
      </c>
      <c r="CH1197" s="1" t="s">
        <v>109</v>
      </c>
      <c r="CI1197" s="1" t="s">
        <v>109</v>
      </c>
      <c r="CJ1197" s="1" t="s">
        <v>109</v>
      </c>
      <c r="CK1197" s="1"/>
      <c r="CL1197" s="1">
        <v>0</v>
      </c>
      <c r="CM1197" s="1">
        <v>0</v>
      </c>
      <c r="CN1197" s="1">
        <v>0</v>
      </c>
    </row>
    <row r="1198" spans="1:92" ht="14.25" customHeight="1" x14ac:dyDescent="0.15">
      <c r="A1198" s="1" t="s">
        <v>9594</v>
      </c>
      <c r="B1198" s="1" t="s">
        <v>308</v>
      </c>
      <c r="C1198" s="1"/>
      <c r="D1198" s="1"/>
      <c r="E1198" s="1" t="s">
        <v>9595</v>
      </c>
      <c r="F1198" s="1" t="s">
        <v>98</v>
      </c>
      <c r="G1198" s="1" t="s">
        <v>9596</v>
      </c>
      <c r="H1198" s="1">
        <v>0</v>
      </c>
      <c r="I1198" s="1" t="s">
        <v>161</v>
      </c>
      <c r="J1198" s="1"/>
      <c r="K1198" s="1"/>
      <c r="L1198" s="1" t="s">
        <v>9597</v>
      </c>
      <c r="M1198" s="1" t="s">
        <v>3042</v>
      </c>
      <c r="N1198" s="1">
        <v>0</v>
      </c>
      <c r="O1198" s="1">
        <v>0</v>
      </c>
      <c r="P1198" s="1" t="s">
        <v>507</v>
      </c>
      <c r="Q1198" s="1" t="s">
        <v>268</v>
      </c>
      <c r="R1198" s="1" t="s">
        <v>9598</v>
      </c>
      <c r="S1198" s="1" t="s">
        <v>9599</v>
      </c>
      <c r="T1198" s="1" t="s">
        <v>9543</v>
      </c>
      <c r="U1198" s="1" t="s">
        <v>9600</v>
      </c>
      <c r="V1198" s="1">
        <v>1</v>
      </c>
      <c r="W1198" s="1">
        <v>1</v>
      </c>
      <c r="X1198" s="1">
        <v>1</v>
      </c>
      <c r="Y1198" s="1">
        <v>0</v>
      </c>
      <c r="Z1198" s="1">
        <v>0</v>
      </c>
      <c r="AA1198" s="1" t="s">
        <v>109</v>
      </c>
      <c r="AB1198" s="1" t="s">
        <v>109</v>
      </c>
      <c r="AC1198" s="1">
        <v>3</v>
      </c>
      <c r="AD1198" s="1" t="s">
        <v>109</v>
      </c>
      <c r="AE1198" s="1" t="s">
        <v>109</v>
      </c>
      <c r="AF1198" s="1" t="s">
        <v>109</v>
      </c>
      <c r="AG1198" s="1" t="s">
        <v>109</v>
      </c>
      <c r="AH1198" s="1" t="s">
        <v>109</v>
      </c>
      <c r="AI1198" s="1" t="s">
        <v>109</v>
      </c>
      <c r="AJ1198" s="1">
        <v>3</v>
      </c>
      <c r="AK1198" s="1" t="s">
        <v>109</v>
      </c>
      <c r="AL1198" s="1">
        <v>3</v>
      </c>
      <c r="AM1198" s="1" t="s">
        <v>109</v>
      </c>
      <c r="AN1198" s="1" t="s">
        <v>109</v>
      </c>
      <c r="AO1198" s="1" t="s">
        <v>109</v>
      </c>
      <c r="AP1198" s="1"/>
      <c r="AQ1198" s="1">
        <v>3</v>
      </c>
      <c r="AR1198" s="1"/>
      <c r="AS1198" s="1"/>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t="s">
        <v>109</v>
      </c>
      <c r="BT1198" s="1">
        <v>1244</v>
      </c>
      <c r="BU1198" s="1" t="s">
        <v>109</v>
      </c>
      <c r="BV1198" s="1"/>
      <c r="BW1198" s="1"/>
      <c r="BX1198" s="1"/>
      <c r="BY1198" s="1"/>
      <c r="BZ1198" s="1">
        <v>0</v>
      </c>
      <c r="CA1198" s="1" t="s">
        <v>109</v>
      </c>
      <c r="CB1198" s="1" t="s">
        <v>109</v>
      </c>
      <c r="CC1198" s="1" t="s">
        <v>109</v>
      </c>
      <c r="CD1198" s="1" t="s">
        <v>109</v>
      </c>
      <c r="CE1198" s="1" t="s">
        <v>109</v>
      </c>
      <c r="CF1198" s="1" t="s">
        <v>109</v>
      </c>
      <c r="CG1198" s="1" t="s">
        <v>109</v>
      </c>
      <c r="CH1198" s="1" t="s">
        <v>109</v>
      </c>
      <c r="CI1198" s="1" t="s">
        <v>109</v>
      </c>
      <c r="CJ1198" s="1" t="s">
        <v>109</v>
      </c>
      <c r="CK1198" s="1"/>
      <c r="CL1198" s="1">
        <v>0</v>
      </c>
      <c r="CM1198" s="1">
        <v>0</v>
      </c>
      <c r="CN1198" s="1">
        <v>0</v>
      </c>
    </row>
    <row r="1199" spans="1:92" ht="14.25" customHeight="1" x14ac:dyDescent="0.15">
      <c r="A1199" s="1" t="s">
        <v>9601</v>
      </c>
      <c r="B1199" s="1" t="s">
        <v>156</v>
      </c>
      <c r="C1199" s="1" t="s">
        <v>157</v>
      </c>
      <c r="D1199" s="1" t="s">
        <v>158</v>
      </c>
      <c r="E1199" s="1" t="s">
        <v>9602</v>
      </c>
      <c r="F1199" s="1" t="s">
        <v>98</v>
      </c>
      <c r="G1199" s="1" t="s">
        <v>160</v>
      </c>
      <c r="H1199" s="1">
        <v>0</v>
      </c>
      <c r="I1199" s="1" t="s">
        <v>161</v>
      </c>
      <c r="J1199" s="1"/>
      <c r="K1199" s="1"/>
      <c r="L1199" s="1" t="s">
        <v>506</v>
      </c>
      <c r="M1199" s="1" t="s">
        <v>125</v>
      </c>
      <c r="N1199" s="1">
        <v>0</v>
      </c>
      <c r="O1199" s="1">
        <v>0</v>
      </c>
      <c r="P1199" s="1" t="s">
        <v>507</v>
      </c>
      <c r="Q1199" s="1" t="s">
        <v>268</v>
      </c>
      <c r="R1199" s="1" t="s">
        <v>9603</v>
      </c>
      <c r="S1199" s="1" t="s">
        <v>9604</v>
      </c>
      <c r="T1199" s="1" t="s">
        <v>9543</v>
      </c>
      <c r="U1199" s="1" t="s">
        <v>9605</v>
      </c>
      <c r="V1199" s="1">
        <v>1</v>
      </c>
      <c r="W1199" s="1">
        <v>1</v>
      </c>
      <c r="X1199" s="1">
        <v>0</v>
      </c>
      <c r="Y1199" s="1">
        <v>0</v>
      </c>
      <c r="Z1199" s="1">
        <v>1</v>
      </c>
      <c r="AA1199" s="1" t="s">
        <v>109</v>
      </c>
      <c r="AB1199" s="1" t="s">
        <v>109</v>
      </c>
      <c r="AC1199" s="1">
        <v>2</v>
      </c>
      <c r="AD1199" s="1" t="s">
        <v>109</v>
      </c>
      <c r="AE1199" s="1" t="s">
        <v>109</v>
      </c>
      <c r="AF1199" s="1" t="s">
        <v>109</v>
      </c>
      <c r="AG1199" s="1">
        <v>1</v>
      </c>
      <c r="AH1199" s="1">
        <v>2</v>
      </c>
      <c r="AI1199" s="1" t="s">
        <v>109</v>
      </c>
      <c r="AJ1199" s="1">
        <v>2</v>
      </c>
      <c r="AK1199" s="1">
        <v>1</v>
      </c>
      <c r="AL1199" s="1">
        <v>2</v>
      </c>
      <c r="AM1199" s="1" t="s">
        <v>109</v>
      </c>
      <c r="AN1199" s="1" t="s">
        <v>109</v>
      </c>
      <c r="AO1199" s="1" t="s">
        <v>109</v>
      </c>
      <c r="AP1199" s="1"/>
      <c r="AQ1199" s="1">
        <v>2</v>
      </c>
      <c r="AR1199" s="1"/>
      <c r="AS1199" s="1"/>
      <c r="AT1199" s="1">
        <v>0</v>
      </c>
      <c r="AU1199" s="1">
        <v>0</v>
      </c>
      <c r="AV1199" s="1">
        <v>0</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1</v>
      </c>
      <c r="BN1199" s="1">
        <v>0</v>
      </c>
      <c r="BO1199" s="1">
        <v>0</v>
      </c>
      <c r="BP1199" s="1">
        <v>0</v>
      </c>
      <c r="BQ1199" s="1">
        <v>0</v>
      </c>
      <c r="BR1199" s="1">
        <v>0</v>
      </c>
      <c r="BS1199" s="1" t="s">
        <v>109</v>
      </c>
      <c r="BT1199" s="1">
        <v>1245</v>
      </c>
      <c r="BU1199" s="1" t="s">
        <v>109</v>
      </c>
      <c r="BV1199" s="1"/>
      <c r="BW1199" s="1"/>
      <c r="BX1199" s="1"/>
      <c r="BY1199" s="1"/>
      <c r="BZ1199" s="1">
        <v>0</v>
      </c>
      <c r="CA1199" s="1" t="s">
        <v>109</v>
      </c>
      <c r="CB1199" s="1" t="s">
        <v>109</v>
      </c>
      <c r="CC1199" s="1" t="s">
        <v>109</v>
      </c>
      <c r="CD1199" s="1" t="s">
        <v>109</v>
      </c>
      <c r="CE1199" s="1" t="s">
        <v>109</v>
      </c>
      <c r="CF1199" s="1" t="s">
        <v>109</v>
      </c>
      <c r="CG1199" s="1" t="s">
        <v>109</v>
      </c>
      <c r="CH1199" s="1" t="s">
        <v>109</v>
      </c>
      <c r="CI1199" s="1" t="s">
        <v>109</v>
      </c>
      <c r="CJ1199" s="1" t="s">
        <v>109</v>
      </c>
      <c r="CK1199" s="1"/>
      <c r="CL1199" s="1">
        <v>0</v>
      </c>
      <c r="CM1199" s="1">
        <v>0</v>
      </c>
      <c r="CN1199" s="1">
        <v>0</v>
      </c>
    </row>
    <row r="1200" spans="1:92" ht="14.25" customHeight="1" x14ac:dyDescent="0.15">
      <c r="A1200" s="1" t="s">
        <v>9606</v>
      </c>
      <c r="B1200" s="1" t="s">
        <v>674</v>
      </c>
      <c r="C1200" s="1" t="s">
        <v>2300</v>
      </c>
      <c r="D1200" s="1"/>
      <c r="E1200" s="1" t="s">
        <v>9607</v>
      </c>
      <c r="F1200" s="1" t="s">
        <v>5503</v>
      </c>
      <c r="G1200" s="1" t="s">
        <v>9608</v>
      </c>
      <c r="H1200" s="1">
        <v>1</v>
      </c>
      <c r="I1200" s="1" t="s">
        <v>161</v>
      </c>
      <c r="J1200" s="1"/>
      <c r="K1200" s="1"/>
      <c r="L1200" s="1" t="s">
        <v>9609</v>
      </c>
      <c r="M1200" s="1" t="s">
        <v>9610</v>
      </c>
      <c r="N1200" s="1">
        <v>0</v>
      </c>
      <c r="O1200" s="1">
        <v>0</v>
      </c>
      <c r="P1200" s="1" t="s">
        <v>629</v>
      </c>
      <c r="Q1200" s="1" t="s">
        <v>630</v>
      </c>
      <c r="R1200" s="1" t="s">
        <v>9611</v>
      </c>
      <c r="S1200" s="1" t="s">
        <v>9612</v>
      </c>
      <c r="T1200" s="1" t="s">
        <v>9543</v>
      </c>
      <c r="U1200" s="1" t="s">
        <v>9613</v>
      </c>
      <c r="V1200" s="1">
        <v>1</v>
      </c>
      <c r="W1200" s="1">
        <v>1</v>
      </c>
      <c r="X1200" s="1">
        <v>0</v>
      </c>
      <c r="Y1200" s="1">
        <v>0</v>
      </c>
      <c r="Z1200" s="1">
        <v>0</v>
      </c>
      <c r="AA1200" s="1">
        <v>3</v>
      </c>
      <c r="AB1200" s="1">
        <v>3</v>
      </c>
      <c r="AC1200" s="1" t="s">
        <v>109</v>
      </c>
      <c r="AD1200" s="1" t="s">
        <v>109</v>
      </c>
      <c r="AE1200" s="1" t="s">
        <v>109</v>
      </c>
      <c r="AF1200" s="1">
        <v>3</v>
      </c>
      <c r="AG1200" s="1" t="s">
        <v>109</v>
      </c>
      <c r="AH1200" s="1" t="s">
        <v>109</v>
      </c>
      <c r="AI1200" s="1" t="s">
        <v>109</v>
      </c>
      <c r="AJ1200" s="1" t="s">
        <v>109</v>
      </c>
      <c r="AK1200" s="1" t="s">
        <v>109</v>
      </c>
      <c r="AL1200" s="1" t="s">
        <v>109</v>
      </c>
      <c r="AM1200" s="1" t="s">
        <v>109</v>
      </c>
      <c r="AN1200" s="1" t="s">
        <v>109</v>
      </c>
      <c r="AO1200" s="1" t="s">
        <v>109</v>
      </c>
      <c r="AP1200" s="1"/>
      <c r="AQ1200" s="1">
        <v>3</v>
      </c>
      <c r="AR1200" s="1"/>
      <c r="AS1200" s="1"/>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t="s">
        <v>109</v>
      </c>
      <c r="BT1200" s="1">
        <v>1246</v>
      </c>
      <c r="BU1200" s="1">
        <v>500</v>
      </c>
      <c r="BV1200" s="1"/>
      <c r="BW1200" s="1"/>
      <c r="BX1200" s="1"/>
      <c r="BY1200" s="1"/>
      <c r="BZ1200" s="1">
        <v>0</v>
      </c>
      <c r="CA1200" s="1" t="s">
        <v>109</v>
      </c>
      <c r="CB1200" s="1" t="s">
        <v>109</v>
      </c>
      <c r="CC1200" s="1" t="s">
        <v>109</v>
      </c>
      <c r="CD1200" s="1" t="s">
        <v>109</v>
      </c>
      <c r="CE1200" s="1" t="s">
        <v>109</v>
      </c>
      <c r="CF1200" s="1" t="s">
        <v>109</v>
      </c>
      <c r="CG1200" s="1" t="s">
        <v>109</v>
      </c>
      <c r="CH1200" s="1" t="s">
        <v>109</v>
      </c>
      <c r="CI1200" s="1" t="s">
        <v>109</v>
      </c>
      <c r="CJ1200" s="1" t="s">
        <v>109</v>
      </c>
      <c r="CK1200" s="1"/>
      <c r="CL1200" s="1">
        <v>0</v>
      </c>
      <c r="CM1200" s="1">
        <v>0</v>
      </c>
      <c r="CN1200" s="1">
        <v>0</v>
      </c>
    </row>
    <row r="1201" spans="1:92" ht="14.25" customHeight="1" x14ac:dyDescent="0.15">
      <c r="A1201" s="1" t="s">
        <v>9614</v>
      </c>
      <c r="B1201" s="1" t="s">
        <v>189</v>
      </c>
      <c r="C1201" s="1"/>
      <c r="D1201" s="1"/>
      <c r="E1201" s="1" t="s">
        <v>9615</v>
      </c>
      <c r="F1201" s="1" t="s">
        <v>98</v>
      </c>
      <c r="G1201" s="1" t="s">
        <v>9616</v>
      </c>
      <c r="H1201" s="1">
        <v>0</v>
      </c>
      <c r="I1201" s="1" t="s">
        <v>235</v>
      </c>
      <c r="J1201" s="1"/>
      <c r="K1201" s="1"/>
      <c r="L1201" s="1" t="s">
        <v>236</v>
      </c>
      <c r="M1201" s="1" t="s">
        <v>3042</v>
      </c>
      <c r="N1201" s="1">
        <v>0</v>
      </c>
      <c r="O1201" s="1">
        <v>0</v>
      </c>
      <c r="P1201" s="1"/>
      <c r="Q1201" s="1"/>
      <c r="R1201" s="1" t="s">
        <v>9617</v>
      </c>
      <c r="S1201" s="1" t="s">
        <v>9618</v>
      </c>
      <c r="T1201" s="1" t="s">
        <v>9543</v>
      </c>
      <c r="U1201" s="1" t="s">
        <v>9619</v>
      </c>
      <c r="V1201" s="1">
        <v>1</v>
      </c>
      <c r="W1201" s="1">
        <v>1</v>
      </c>
      <c r="X1201" s="1">
        <v>1</v>
      </c>
      <c r="Y1201" s="1">
        <v>0</v>
      </c>
      <c r="Z1201" s="1">
        <v>0</v>
      </c>
      <c r="AA1201" s="1">
        <v>3</v>
      </c>
      <c r="AB1201" s="1">
        <v>3</v>
      </c>
      <c r="AC1201" s="1" t="s">
        <v>109</v>
      </c>
      <c r="AD1201" s="1" t="s">
        <v>109</v>
      </c>
      <c r="AE1201" s="1" t="s">
        <v>109</v>
      </c>
      <c r="AF1201" s="1" t="s">
        <v>109</v>
      </c>
      <c r="AG1201" s="1" t="s">
        <v>109</v>
      </c>
      <c r="AH1201" s="1">
        <v>2</v>
      </c>
      <c r="AI1201" s="1" t="s">
        <v>109</v>
      </c>
      <c r="AJ1201" s="1">
        <v>3</v>
      </c>
      <c r="AK1201" s="1" t="s">
        <v>109</v>
      </c>
      <c r="AL1201" s="1" t="s">
        <v>109</v>
      </c>
      <c r="AM1201" s="1" t="s">
        <v>109</v>
      </c>
      <c r="AN1201" s="1">
        <v>3</v>
      </c>
      <c r="AO1201" s="1" t="s">
        <v>109</v>
      </c>
      <c r="AP1201" s="1"/>
      <c r="AQ1201" s="1">
        <v>3</v>
      </c>
      <c r="AR1201" s="1"/>
      <c r="AS1201" s="1"/>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t="s">
        <v>109</v>
      </c>
      <c r="BT1201" s="1">
        <v>1247</v>
      </c>
      <c r="BU1201" s="1" t="s">
        <v>109</v>
      </c>
      <c r="BV1201" s="1"/>
      <c r="BW1201" s="1"/>
      <c r="BX1201" s="1"/>
      <c r="BY1201" s="1"/>
      <c r="BZ1201" s="1">
        <v>0</v>
      </c>
      <c r="CA1201" s="1" t="s">
        <v>109</v>
      </c>
      <c r="CB1201" s="1" t="s">
        <v>109</v>
      </c>
      <c r="CC1201" s="1" t="s">
        <v>109</v>
      </c>
      <c r="CD1201" s="1" t="s">
        <v>109</v>
      </c>
      <c r="CE1201" s="1" t="s">
        <v>109</v>
      </c>
      <c r="CF1201" s="1" t="s">
        <v>109</v>
      </c>
      <c r="CG1201" s="1" t="s">
        <v>109</v>
      </c>
      <c r="CH1201" s="1" t="s">
        <v>109</v>
      </c>
      <c r="CI1201" s="1" t="s">
        <v>109</v>
      </c>
      <c r="CJ1201" s="1" t="s">
        <v>109</v>
      </c>
      <c r="CK1201" s="1"/>
      <c r="CL1201" s="1">
        <v>0</v>
      </c>
      <c r="CM1201" s="1">
        <v>0</v>
      </c>
      <c r="CN1201" s="1">
        <v>0</v>
      </c>
    </row>
    <row r="1202" spans="1:92" ht="14.25" customHeight="1" x14ac:dyDescent="0.15">
      <c r="A1202" s="1" t="s">
        <v>9620</v>
      </c>
      <c r="B1202" s="1" t="s">
        <v>189</v>
      </c>
      <c r="C1202" s="1"/>
      <c r="D1202" s="1"/>
      <c r="E1202" s="1" t="s">
        <v>9621</v>
      </c>
      <c r="F1202" s="1" t="s">
        <v>98</v>
      </c>
      <c r="G1202" s="1" t="s">
        <v>9622</v>
      </c>
      <c r="H1202" s="1">
        <v>0</v>
      </c>
      <c r="I1202" s="1" t="s">
        <v>6497</v>
      </c>
      <c r="J1202" s="1" t="s">
        <v>9623</v>
      </c>
      <c r="K1202" s="1"/>
      <c r="L1202" s="1"/>
      <c r="M1202" s="1" t="s">
        <v>465</v>
      </c>
      <c r="N1202" s="1">
        <v>0</v>
      </c>
      <c r="O1202" s="1">
        <v>0</v>
      </c>
      <c r="P1202" s="1" t="s">
        <v>629</v>
      </c>
      <c r="Q1202" s="1" t="s">
        <v>630</v>
      </c>
      <c r="R1202" s="1" t="s">
        <v>9624</v>
      </c>
      <c r="S1202" s="1" t="s">
        <v>9625</v>
      </c>
      <c r="T1202" s="1" t="s">
        <v>9626</v>
      </c>
      <c r="U1202" s="1" t="s">
        <v>9627</v>
      </c>
      <c r="V1202" s="1">
        <v>1</v>
      </c>
      <c r="W1202" s="1">
        <v>1</v>
      </c>
      <c r="X1202" s="1">
        <v>1</v>
      </c>
      <c r="Y1202" s="1">
        <v>0</v>
      </c>
      <c r="Z1202" s="1">
        <v>0</v>
      </c>
      <c r="AA1202" s="1">
        <v>3</v>
      </c>
      <c r="AB1202" s="1">
        <v>3</v>
      </c>
      <c r="AC1202" s="1">
        <v>3</v>
      </c>
      <c r="AD1202" s="1" t="s">
        <v>109</v>
      </c>
      <c r="AE1202" s="1" t="s">
        <v>109</v>
      </c>
      <c r="AF1202" s="1">
        <v>3</v>
      </c>
      <c r="AG1202" s="1" t="s">
        <v>109</v>
      </c>
      <c r="AH1202" s="1" t="s">
        <v>109</v>
      </c>
      <c r="AI1202" s="1" t="s">
        <v>109</v>
      </c>
      <c r="AJ1202" s="1" t="s">
        <v>109</v>
      </c>
      <c r="AK1202" s="1" t="s">
        <v>109</v>
      </c>
      <c r="AL1202" s="1">
        <v>3</v>
      </c>
      <c r="AM1202" s="1" t="s">
        <v>109</v>
      </c>
      <c r="AN1202" s="1" t="s">
        <v>109</v>
      </c>
      <c r="AO1202" s="1" t="s">
        <v>109</v>
      </c>
      <c r="AP1202" s="1"/>
      <c r="AQ1202" s="1">
        <v>3</v>
      </c>
      <c r="AR1202" s="1"/>
      <c r="AS1202" s="1"/>
      <c r="AT1202" s="1">
        <v>0</v>
      </c>
      <c r="AU1202" s="1">
        <v>0</v>
      </c>
      <c r="AV1202" s="1">
        <v>0</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t="s">
        <v>109</v>
      </c>
      <c r="BT1202" s="1">
        <v>1248</v>
      </c>
      <c r="BU1202" s="1" t="s">
        <v>109</v>
      </c>
      <c r="BV1202" s="1"/>
      <c r="BW1202" s="1"/>
      <c r="BX1202" s="1"/>
      <c r="BY1202" s="1"/>
      <c r="BZ1202" s="1">
        <v>0</v>
      </c>
      <c r="CA1202" s="1" t="s">
        <v>109</v>
      </c>
      <c r="CB1202" s="1" t="s">
        <v>109</v>
      </c>
      <c r="CC1202" s="1" t="s">
        <v>109</v>
      </c>
      <c r="CD1202" s="1" t="s">
        <v>109</v>
      </c>
      <c r="CE1202" s="1" t="s">
        <v>109</v>
      </c>
      <c r="CF1202" s="1" t="s">
        <v>109</v>
      </c>
      <c r="CG1202" s="1" t="s">
        <v>109</v>
      </c>
      <c r="CH1202" s="1" t="s">
        <v>109</v>
      </c>
      <c r="CI1202" s="1" t="s">
        <v>109</v>
      </c>
      <c r="CJ1202" s="1" t="s">
        <v>109</v>
      </c>
      <c r="CK1202" s="1"/>
      <c r="CL1202" s="1">
        <v>0</v>
      </c>
      <c r="CM1202" s="1">
        <v>0</v>
      </c>
      <c r="CN1202" s="1">
        <v>0</v>
      </c>
    </row>
    <row r="1203" spans="1:92" ht="14.25" customHeight="1" x14ac:dyDescent="0.15">
      <c r="A1203" s="1" t="s">
        <v>9628</v>
      </c>
      <c r="B1203" s="1" t="s">
        <v>584</v>
      </c>
      <c r="C1203" s="1"/>
      <c r="D1203" s="1" t="s">
        <v>7273</v>
      </c>
      <c r="E1203" s="1" t="s">
        <v>9629</v>
      </c>
      <c r="F1203" s="1" t="s">
        <v>98</v>
      </c>
      <c r="G1203" s="1" t="s">
        <v>9630</v>
      </c>
      <c r="H1203" s="1">
        <v>0</v>
      </c>
      <c r="I1203" s="1" t="s">
        <v>235</v>
      </c>
      <c r="J1203" s="1"/>
      <c r="K1203" s="1"/>
      <c r="L1203" s="1" t="s">
        <v>236</v>
      </c>
      <c r="M1203" s="1" t="s">
        <v>9631</v>
      </c>
      <c r="N1203" s="1">
        <v>0</v>
      </c>
      <c r="O1203" s="1">
        <v>0</v>
      </c>
      <c r="P1203" s="1" t="s">
        <v>727</v>
      </c>
      <c r="Q1203" s="1" t="s">
        <v>268</v>
      </c>
      <c r="R1203" s="1" t="s">
        <v>9632</v>
      </c>
      <c r="S1203" s="1" t="s">
        <v>9633</v>
      </c>
      <c r="T1203" s="1" t="s">
        <v>9626</v>
      </c>
      <c r="U1203" s="1" t="s">
        <v>9634</v>
      </c>
      <c r="V1203" s="1">
        <v>1</v>
      </c>
      <c r="W1203" s="1">
        <v>1</v>
      </c>
      <c r="X1203" s="1">
        <v>1</v>
      </c>
      <c r="Y1203" s="1">
        <v>0</v>
      </c>
      <c r="Z1203" s="1">
        <v>0</v>
      </c>
      <c r="AA1203" s="1">
        <v>2</v>
      </c>
      <c r="AB1203" s="1">
        <v>2</v>
      </c>
      <c r="AC1203" s="1" t="s">
        <v>109</v>
      </c>
      <c r="AD1203" s="1">
        <v>2</v>
      </c>
      <c r="AE1203" s="1" t="s">
        <v>109</v>
      </c>
      <c r="AF1203" s="1" t="s">
        <v>109</v>
      </c>
      <c r="AG1203" s="1" t="s">
        <v>109</v>
      </c>
      <c r="AH1203" s="1">
        <v>2</v>
      </c>
      <c r="AI1203" s="1" t="s">
        <v>109</v>
      </c>
      <c r="AJ1203" s="1" t="s">
        <v>109</v>
      </c>
      <c r="AK1203" s="1" t="s">
        <v>109</v>
      </c>
      <c r="AL1203" s="1" t="s">
        <v>109</v>
      </c>
      <c r="AM1203" s="1" t="s">
        <v>109</v>
      </c>
      <c r="AN1203" s="1" t="s">
        <v>109</v>
      </c>
      <c r="AO1203" s="1" t="s">
        <v>109</v>
      </c>
      <c r="AP1203" s="1"/>
      <c r="AQ1203" s="1">
        <v>2</v>
      </c>
      <c r="AR1203" s="1"/>
      <c r="AS1203" s="1"/>
      <c r="AT1203" s="1">
        <v>0</v>
      </c>
      <c r="AU1203" s="1">
        <v>1</v>
      </c>
      <c r="AV1203" s="1">
        <v>0</v>
      </c>
      <c r="AW1203" s="1">
        <v>0</v>
      </c>
      <c r="AX1203" s="1">
        <v>0</v>
      </c>
      <c r="AY1203" s="1">
        <v>0</v>
      </c>
      <c r="AZ1203" s="1">
        <v>0</v>
      </c>
      <c r="BA1203" s="1">
        <v>0</v>
      </c>
      <c r="BB1203" s="1">
        <v>0</v>
      </c>
      <c r="BC1203" s="1">
        <v>0</v>
      </c>
      <c r="BD1203" s="1">
        <v>0</v>
      </c>
      <c r="BE1203" s="1">
        <v>0</v>
      </c>
      <c r="BF1203" s="1">
        <v>0</v>
      </c>
      <c r="BG1203" s="1">
        <v>1</v>
      </c>
      <c r="BH1203" s="1">
        <v>0</v>
      </c>
      <c r="BI1203" s="1">
        <v>0</v>
      </c>
      <c r="BJ1203" s="1">
        <v>0</v>
      </c>
      <c r="BK1203" s="1">
        <v>0</v>
      </c>
      <c r="BL1203" s="1">
        <v>0</v>
      </c>
      <c r="BM1203" s="1">
        <v>0</v>
      </c>
      <c r="BN1203" s="1">
        <v>0</v>
      </c>
      <c r="BO1203" s="1">
        <v>0</v>
      </c>
      <c r="BP1203" s="1">
        <v>0</v>
      </c>
      <c r="BQ1203" s="1">
        <v>0</v>
      </c>
      <c r="BR1203" s="1">
        <v>0</v>
      </c>
      <c r="BS1203" s="1" t="s">
        <v>109</v>
      </c>
      <c r="BT1203" s="1">
        <v>1249</v>
      </c>
      <c r="BU1203" s="1" t="s">
        <v>109</v>
      </c>
      <c r="BV1203" s="1"/>
      <c r="BW1203" s="1"/>
      <c r="BX1203" s="1"/>
      <c r="BY1203" s="1"/>
      <c r="BZ1203" s="1">
        <v>0</v>
      </c>
      <c r="CA1203" s="1" t="s">
        <v>109</v>
      </c>
      <c r="CB1203" s="1" t="s">
        <v>109</v>
      </c>
      <c r="CC1203" s="1" t="s">
        <v>109</v>
      </c>
      <c r="CD1203" s="1" t="s">
        <v>109</v>
      </c>
      <c r="CE1203" s="1" t="s">
        <v>109</v>
      </c>
      <c r="CF1203" s="1" t="s">
        <v>109</v>
      </c>
      <c r="CG1203" s="1" t="s">
        <v>109</v>
      </c>
      <c r="CH1203" s="1" t="s">
        <v>109</v>
      </c>
      <c r="CI1203" s="1" t="s">
        <v>109</v>
      </c>
      <c r="CJ1203" s="1">
        <v>2</v>
      </c>
      <c r="CK1203" s="1"/>
      <c r="CL1203" s="1">
        <v>0</v>
      </c>
      <c r="CM1203" s="1">
        <v>0</v>
      </c>
      <c r="CN1203" s="1">
        <v>0</v>
      </c>
    </row>
    <row r="1204" spans="1:92" ht="14.25" customHeight="1" x14ac:dyDescent="0.15">
      <c r="A1204" s="1" t="s">
        <v>9635</v>
      </c>
      <c r="B1204" s="1" t="s">
        <v>308</v>
      </c>
      <c r="C1204" s="1"/>
      <c r="D1204" s="1"/>
      <c r="E1204" s="1" t="s">
        <v>9564</v>
      </c>
      <c r="F1204" s="1" t="s">
        <v>98</v>
      </c>
      <c r="G1204" s="1" t="s">
        <v>9636</v>
      </c>
      <c r="H1204" s="1">
        <v>0</v>
      </c>
      <c r="I1204" s="1" t="s">
        <v>915</v>
      </c>
      <c r="J1204" s="1"/>
      <c r="K1204" s="1"/>
      <c r="L1204" s="1" t="s">
        <v>7789</v>
      </c>
      <c r="M1204" s="1" t="s">
        <v>9637</v>
      </c>
      <c r="N1204" s="1">
        <v>0</v>
      </c>
      <c r="O1204" s="1">
        <v>0</v>
      </c>
      <c r="P1204" s="1" t="s">
        <v>103</v>
      </c>
      <c r="Q1204" s="1" t="s">
        <v>268</v>
      </c>
      <c r="R1204" s="1" t="s">
        <v>9638</v>
      </c>
      <c r="S1204" s="1" t="s">
        <v>9639</v>
      </c>
      <c r="T1204" s="1" t="s">
        <v>9626</v>
      </c>
      <c r="U1204" s="1" t="s">
        <v>9640</v>
      </c>
      <c r="V1204" s="1">
        <v>1</v>
      </c>
      <c r="W1204" s="1">
        <v>1</v>
      </c>
      <c r="X1204" s="1">
        <v>1</v>
      </c>
      <c r="Y1204" s="1">
        <v>0</v>
      </c>
      <c r="Z1204" s="1">
        <v>0</v>
      </c>
      <c r="AA1204" s="1">
        <v>2</v>
      </c>
      <c r="AB1204" s="1">
        <v>2</v>
      </c>
      <c r="AC1204" s="1" t="s">
        <v>109</v>
      </c>
      <c r="AD1204" s="1" t="s">
        <v>109</v>
      </c>
      <c r="AE1204" s="1" t="s">
        <v>109</v>
      </c>
      <c r="AF1204" s="1" t="s">
        <v>109</v>
      </c>
      <c r="AG1204" s="1" t="s">
        <v>109</v>
      </c>
      <c r="AH1204" s="1" t="s">
        <v>109</v>
      </c>
      <c r="AI1204" s="1" t="s">
        <v>109</v>
      </c>
      <c r="AJ1204" s="1">
        <v>2</v>
      </c>
      <c r="AK1204" s="1" t="s">
        <v>109</v>
      </c>
      <c r="AL1204" s="1" t="s">
        <v>109</v>
      </c>
      <c r="AM1204" s="1" t="s">
        <v>109</v>
      </c>
      <c r="AN1204" s="1" t="s">
        <v>109</v>
      </c>
      <c r="AO1204" s="1" t="s">
        <v>109</v>
      </c>
      <c r="AP1204" s="1"/>
      <c r="AQ1204" s="1">
        <v>2</v>
      </c>
      <c r="AR1204" s="1"/>
      <c r="AS1204" s="1"/>
      <c r="AT1204" s="1">
        <v>0</v>
      </c>
      <c r="AU1204" s="1">
        <v>0</v>
      </c>
      <c r="AV1204" s="1">
        <v>0</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t="s">
        <v>109</v>
      </c>
      <c r="BT1204" s="1">
        <v>1250</v>
      </c>
      <c r="BU1204" s="1" t="s">
        <v>109</v>
      </c>
      <c r="BV1204" s="1"/>
      <c r="BW1204" s="1"/>
      <c r="BX1204" s="1"/>
      <c r="BY1204" s="1"/>
      <c r="BZ1204" s="1">
        <v>0</v>
      </c>
      <c r="CA1204" s="1" t="s">
        <v>109</v>
      </c>
      <c r="CB1204" s="1" t="s">
        <v>109</v>
      </c>
      <c r="CC1204" s="1" t="s">
        <v>109</v>
      </c>
      <c r="CD1204" s="1" t="s">
        <v>109</v>
      </c>
      <c r="CE1204" s="1" t="s">
        <v>109</v>
      </c>
      <c r="CF1204" s="1" t="s">
        <v>109</v>
      </c>
      <c r="CG1204" s="1" t="s">
        <v>109</v>
      </c>
      <c r="CH1204" s="1" t="s">
        <v>109</v>
      </c>
      <c r="CI1204" s="1" t="s">
        <v>109</v>
      </c>
      <c r="CJ1204" s="1" t="s">
        <v>109</v>
      </c>
      <c r="CK1204" s="1"/>
      <c r="CL1204" s="1">
        <v>0</v>
      </c>
      <c r="CM1204" s="1">
        <v>0</v>
      </c>
      <c r="CN1204" s="1">
        <v>0</v>
      </c>
    </row>
    <row r="1205" spans="1:92" ht="14.25" customHeight="1" x14ac:dyDescent="0.15">
      <c r="A1205" s="1" t="s">
        <v>9641</v>
      </c>
      <c r="B1205" s="1" t="s">
        <v>242</v>
      </c>
      <c r="C1205" s="1"/>
      <c r="D1205" s="1"/>
      <c r="E1205" s="1" t="s">
        <v>3283</v>
      </c>
      <c r="F1205" s="1" t="s">
        <v>98</v>
      </c>
      <c r="G1205" s="1" t="s">
        <v>9642</v>
      </c>
      <c r="H1205" s="1">
        <v>1</v>
      </c>
      <c r="I1205" s="1" t="s">
        <v>356</v>
      </c>
      <c r="J1205" s="1" t="s">
        <v>357</v>
      </c>
      <c r="K1205" s="1"/>
      <c r="L1205" s="1"/>
      <c r="M1205" s="1" t="s">
        <v>815</v>
      </c>
      <c r="N1205" s="1">
        <v>1</v>
      </c>
      <c r="O1205" s="1">
        <v>0</v>
      </c>
      <c r="P1205" s="1" t="s">
        <v>103</v>
      </c>
      <c r="Q1205" s="1" t="s">
        <v>211</v>
      </c>
      <c r="R1205" s="1" t="s">
        <v>9643</v>
      </c>
      <c r="S1205" s="1" t="s">
        <v>9644</v>
      </c>
      <c r="T1205" s="1" t="s">
        <v>9645</v>
      </c>
      <c r="U1205" s="1" t="s">
        <v>9646</v>
      </c>
      <c r="V1205" s="1">
        <v>1</v>
      </c>
      <c r="W1205" s="1">
        <v>1</v>
      </c>
      <c r="X1205" s="1">
        <v>0</v>
      </c>
      <c r="Y1205" s="1">
        <v>0</v>
      </c>
      <c r="Z1205" s="1">
        <v>0</v>
      </c>
      <c r="AA1205" s="1">
        <v>9</v>
      </c>
      <c r="AB1205" s="1">
        <v>9</v>
      </c>
      <c r="AC1205" s="1" t="s">
        <v>109</v>
      </c>
      <c r="AD1205" s="1" t="s">
        <v>109</v>
      </c>
      <c r="AE1205" s="1" t="s">
        <v>109</v>
      </c>
      <c r="AF1205" s="1" t="s">
        <v>109</v>
      </c>
      <c r="AG1205" s="1" t="s">
        <v>109</v>
      </c>
      <c r="AH1205" s="1" t="s">
        <v>109</v>
      </c>
      <c r="AI1205" s="1" t="s">
        <v>109</v>
      </c>
      <c r="AJ1205" s="1" t="s">
        <v>109</v>
      </c>
      <c r="AK1205" s="1" t="s">
        <v>109</v>
      </c>
      <c r="AL1205" s="1" t="s">
        <v>109</v>
      </c>
      <c r="AM1205" s="1" t="s">
        <v>109</v>
      </c>
      <c r="AN1205" s="1" t="s">
        <v>109</v>
      </c>
      <c r="AO1205" s="1" t="s">
        <v>109</v>
      </c>
      <c r="AP1205" s="1"/>
      <c r="AQ1205" s="1">
        <v>9</v>
      </c>
      <c r="AR1205" s="1"/>
      <c r="AS1205" s="1"/>
      <c r="AT1205" s="1">
        <v>0</v>
      </c>
      <c r="AU1205" s="1">
        <v>0</v>
      </c>
      <c r="AV1205" s="1">
        <v>0</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t="s">
        <v>109</v>
      </c>
      <c r="BT1205" s="1">
        <v>1251</v>
      </c>
      <c r="BU1205" s="1">
        <v>1000</v>
      </c>
      <c r="BV1205" s="1"/>
      <c r="BW1205" s="1"/>
      <c r="BX1205" s="1" t="s">
        <v>9647</v>
      </c>
      <c r="BY1205" s="1"/>
      <c r="BZ1205" s="1">
        <v>1</v>
      </c>
      <c r="CA1205" s="1" t="s">
        <v>109</v>
      </c>
      <c r="CB1205" s="1" t="s">
        <v>109</v>
      </c>
      <c r="CC1205" s="1" t="s">
        <v>109</v>
      </c>
      <c r="CD1205" s="1" t="s">
        <v>109</v>
      </c>
      <c r="CE1205" s="1" t="s">
        <v>109</v>
      </c>
      <c r="CF1205" s="1" t="s">
        <v>109</v>
      </c>
      <c r="CG1205" s="1" t="s">
        <v>109</v>
      </c>
      <c r="CH1205" s="1" t="s">
        <v>109</v>
      </c>
      <c r="CI1205" s="1" t="s">
        <v>109</v>
      </c>
      <c r="CJ1205" s="1" t="s">
        <v>109</v>
      </c>
      <c r="CK1205" s="1"/>
      <c r="CL1205" s="1">
        <v>0</v>
      </c>
      <c r="CM1205" s="1">
        <v>0</v>
      </c>
      <c r="CN1205" s="1">
        <v>0</v>
      </c>
    </row>
    <row r="1206" spans="1:92" ht="14.25" customHeight="1" x14ac:dyDescent="0.15">
      <c r="A1206" s="1" t="s">
        <v>9648</v>
      </c>
      <c r="B1206" s="1" t="s">
        <v>189</v>
      </c>
      <c r="C1206" s="1"/>
      <c r="D1206" s="1"/>
      <c r="E1206" s="1" t="s">
        <v>9649</v>
      </c>
      <c r="F1206" s="1" t="s">
        <v>98</v>
      </c>
      <c r="G1206" s="1" t="s">
        <v>333</v>
      </c>
      <c r="H1206" s="1">
        <v>0</v>
      </c>
      <c r="I1206" s="1" t="s">
        <v>235</v>
      </c>
      <c r="J1206" s="1"/>
      <c r="K1206" s="1"/>
      <c r="L1206" s="1" t="s">
        <v>236</v>
      </c>
      <c r="M1206" s="1" t="s">
        <v>144</v>
      </c>
      <c r="N1206" s="1">
        <v>0</v>
      </c>
      <c r="O1206" s="1">
        <v>0</v>
      </c>
      <c r="P1206" s="1"/>
      <c r="Q1206" s="1"/>
      <c r="R1206" s="1" t="s">
        <v>9650</v>
      </c>
      <c r="S1206" s="1" t="s">
        <v>9651</v>
      </c>
      <c r="T1206" s="1" t="s">
        <v>9645</v>
      </c>
      <c r="U1206" s="1" t="s">
        <v>9652</v>
      </c>
      <c r="V1206" s="1">
        <v>1</v>
      </c>
      <c r="W1206" s="1">
        <v>0</v>
      </c>
      <c r="X1206" s="1">
        <v>0</v>
      </c>
      <c r="Y1206" s="1">
        <v>0</v>
      </c>
      <c r="Z1206" s="1">
        <v>0</v>
      </c>
      <c r="AA1206" s="1" t="s">
        <v>109</v>
      </c>
      <c r="AB1206" s="1" t="s">
        <v>109</v>
      </c>
      <c r="AC1206" s="1" t="s">
        <v>109</v>
      </c>
      <c r="AD1206" s="1" t="s">
        <v>109</v>
      </c>
      <c r="AE1206" s="1" t="s">
        <v>109</v>
      </c>
      <c r="AF1206" s="1">
        <v>2</v>
      </c>
      <c r="AG1206" s="1" t="s">
        <v>109</v>
      </c>
      <c r="AH1206" s="1" t="s">
        <v>109</v>
      </c>
      <c r="AI1206" s="1" t="s">
        <v>109</v>
      </c>
      <c r="AJ1206" s="1" t="s">
        <v>109</v>
      </c>
      <c r="AK1206" s="1" t="s">
        <v>109</v>
      </c>
      <c r="AL1206" s="1" t="s">
        <v>109</v>
      </c>
      <c r="AM1206" s="1" t="s">
        <v>109</v>
      </c>
      <c r="AN1206" s="1">
        <v>2</v>
      </c>
      <c r="AO1206" s="1" t="s">
        <v>109</v>
      </c>
      <c r="AP1206" s="1"/>
      <c r="AQ1206" s="1">
        <v>2</v>
      </c>
      <c r="AR1206" s="1"/>
      <c r="AS1206" s="1"/>
      <c r="AT1206" s="1">
        <v>0</v>
      </c>
      <c r="AU1206" s="1">
        <v>0</v>
      </c>
      <c r="AV1206" s="1">
        <v>0</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t="s">
        <v>109</v>
      </c>
      <c r="BT1206" s="1">
        <v>1252</v>
      </c>
      <c r="BU1206" s="1" t="s">
        <v>109</v>
      </c>
      <c r="BV1206" s="1"/>
      <c r="BW1206" s="1"/>
      <c r="BX1206" s="1"/>
      <c r="BY1206" s="1"/>
      <c r="BZ1206" s="1">
        <v>0</v>
      </c>
      <c r="CA1206" s="1" t="s">
        <v>109</v>
      </c>
      <c r="CB1206" s="1" t="s">
        <v>109</v>
      </c>
      <c r="CC1206" s="1" t="s">
        <v>109</v>
      </c>
      <c r="CD1206" s="1" t="s">
        <v>109</v>
      </c>
      <c r="CE1206" s="1" t="s">
        <v>109</v>
      </c>
      <c r="CF1206" s="1" t="s">
        <v>109</v>
      </c>
      <c r="CG1206" s="1" t="s">
        <v>109</v>
      </c>
      <c r="CH1206" s="1" t="s">
        <v>109</v>
      </c>
      <c r="CI1206" s="1" t="s">
        <v>109</v>
      </c>
      <c r="CJ1206" s="1" t="s">
        <v>109</v>
      </c>
      <c r="CK1206" s="1"/>
      <c r="CL1206" s="1">
        <v>0</v>
      </c>
      <c r="CM1206" s="1">
        <v>0</v>
      </c>
      <c r="CN1206" s="1">
        <v>0</v>
      </c>
    </row>
    <row r="1207" spans="1:92" ht="14.25" customHeight="1" x14ac:dyDescent="0.15">
      <c r="A1207" s="1" t="s">
        <v>9653</v>
      </c>
      <c r="B1207" s="1" t="s">
        <v>189</v>
      </c>
      <c r="C1207" s="1"/>
      <c r="D1207" s="1"/>
      <c r="E1207" s="1" t="s">
        <v>9654</v>
      </c>
      <c r="F1207" s="1" t="s">
        <v>98</v>
      </c>
      <c r="G1207" s="1" t="s">
        <v>333</v>
      </c>
      <c r="H1207" s="1">
        <v>0</v>
      </c>
      <c r="I1207" s="1" t="s">
        <v>235</v>
      </c>
      <c r="J1207" s="1"/>
      <c r="K1207" s="1"/>
      <c r="L1207" s="1" t="s">
        <v>236</v>
      </c>
      <c r="M1207" s="1" t="s">
        <v>144</v>
      </c>
      <c r="N1207" s="1">
        <v>0</v>
      </c>
      <c r="O1207" s="1">
        <v>0</v>
      </c>
      <c r="P1207" s="1"/>
      <c r="Q1207" s="1"/>
      <c r="R1207" s="1" t="s">
        <v>9655</v>
      </c>
      <c r="S1207" s="1" t="s">
        <v>9656</v>
      </c>
      <c r="T1207" s="1" t="s">
        <v>9645</v>
      </c>
      <c r="U1207" s="1" t="s">
        <v>9657</v>
      </c>
      <c r="V1207" s="1">
        <v>1</v>
      </c>
      <c r="W1207" s="1">
        <v>0</v>
      </c>
      <c r="X1207" s="1">
        <v>0</v>
      </c>
      <c r="Y1207" s="1">
        <v>0</v>
      </c>
      <c r="Z1207" s="1">
        <v>0</v>
      </c>
      <c r="AA1207" s="1" t="s">
        <v>109</v>
      </c>
      <c r="AB1207" s="1" t="s">
        <v>109</v>
      </c>
      <c r="AC1207" s="1" t="s">
        <v>109</v>
      </c>
      <c r="AD1207" s="1" t="s">
        <v>109</v>
      </c>
      <c r="AE1207" s="1" t="s">
        <v>109</v>
      </c>
      <c r="AF1207" s="1">
        <v>5</v>
      </c>
      <c r="AG1207" s="1" t="s">
        <v>109</v>
      </c>
      <c r="AH1207" s="1" t="s">
        <v>109</v>
      </c>
      <c r="AI1207" s="1" t="s">
        <v>109</v>
      </c>
      <c r="AJ1207" s="1" t="s">
        <v>109</v>
      </c>
      <c r="AK1207" s="1" t="s">
        <v>109</v>
      </c>
      <c r="AL1207" s="1" t="s">
        <v>109</v>
      </c>
      <c r="AM1207" s="1" t="s">
        <v>109</v>
      </c>
      <c r="AN1207" s="1">
        <v>5</v>
      </c>
      <c r="AO1207" s="1" t="s">
        <v>109</v>
      </c>
      <c r="AP1207" s="1"/>
      <c r="AQ1207" s="1">
        <v>5</v>
      </c>
      <c r="AR1207" s="1"/>
      <c r="AS1207" s="1"/>
      <c r="AT1207" s="1">
        <v>0</v>
      </c>
      <c r="AU1207" s="1">
        <v>0</v>
      </c>
      <c r="AV1207" s="1">
        <v>0</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t="s">
        <v>109</v>
      </c>
      <c r="BT1207" s="1">
        <v>1253</v>
      </c>
      <c r="BU1207" s="1" t="s">
        <v>109</v>
      </c>
      <c r="BV1207" s="1"/>
      <c r="BW1207" s="1"/>
      <c r="BX1207" s="1"/>
      <c r="BY1207" s="1"/>
      <c r="BZ1207" s="1">
        <v>0</v>
      </c>
      <c r="CA1207" s="1" t="s">
        <v>109</v>
      </c>
      <c r="CB1207" s="1" t="s">
        <v>109</v>
      </c>
      <c r="CC1207" s="1" t="s">
        <v>109</v>
      </c>
      <c r="CD1207" s="1" t="s">
        <v>109</v>
      </c>
      <c r="CE1207" s="1" t="s">
        <v>109</v>
      </c>
      <c r="CF1207" s="1" t="s">
        <v>109</v>
      </c>
      <c r="CG1207" s="1" t="s">
        <v>109</v>
      </c>
      <c r="CH1207" s="1" t="s">
        <v>109</v>
      </c>
      <c r="CI1207" s="1" t="s">
        <v>109</v>
      </c>
      <c r="CJ1207" s="1" t="s">
        <v>109</v>
      </c>
      <c r="CK1207" s="1"/>
      <c r="CL1207" s="1">
        <v>0</v>
      </c>
      <c r="CM1207" s="1">
        <v>0</v>
      </c>
      <c r="CN1207" s="1">
        <v>0</v>
      </c>
    </row>
    <row r="1208" spans="1:92" ht="14.25" customHeight="1" x14ac:dyDescent="0.15">
      <c r="A1208" s="1" t="s">
        <v>9658</v>
      </c>
      <c r="B1208" s="1" t="s">
        <v>189</v>
      </c>
      <c r="C1208" s="1"/>
      <c r="D1208" s="1" t="s">
        <v>69</v>
      </c>
      <c r="E1208" s="1" t="s">
        <v>9659</v>
      </c>
      <c r="F1208" s="1" t="s">
        <v>98</v>
      </c>
      <c r="G1208" s="1" t="s">
        <v>9660</v>
      </c>
      <c r="H1208" s="1">
        <v>0</v>
      </c>
      <c r="I1208" s="1" t="s">
        <v>9661</v>
      </c>
      <c r="J1208" s="1"/>
      <c r="K1208" s="1" t="s">
        <v>9662</v>
      </c>
      <c r="L1208" s="1"/>
      <c r="M1208" s="1" t="s">
        <v>9663</v>
      </c>
      <c r="N1208" s="1">
        <v>0</v>
      </c>
      <c r="O1208" s="1">
        <v>0</v>
      </c>
      <c r="P1208" s="1" t="s">
        <v>9664</v>
      </c>
      <c r="Q1208" s="1" t="s">
        <v>9665</v>
      </c>
      <c r="R1208" s="1" t="s">
        <v>9666</v>
      </c>
      <c r="S1208" s="1" t="s">
        <v>9667</v>
      </c>
      <c r="T1208" s="1" t="s">
        <v>9645</v>
      </c>
      <c r="U1208" s="1" t="s">
        <v>9668</v>
      </c>
      <c r="V1208" s="1">
        <v>1</v>
      </c>
      <c r="W1208" s="1">
        <v>1</v>
      </c>
      <c r="X1208" s="1">
        <v>1</v>
      </c>
      <c r="Y1208" s="1">
        <v>0</v>
      </c>
      <c r="Z1208" s="1">
        <v>0</v>
      </c>
      <c r="AA1208" s="1">
        <v>3</v>
      </c>
      <c r="AB1208" s="1">
        <v>3</v>
      </c>
      <c r="AC1208" s="1" t="s">
        <v>109</v>
      </c>
      <c r="AD1208" s="1">
        <v>4</v>
      </c>
      <c r="AE1208" s="1">
        <v>3</v>
      </c>
      <c r="AF1208" s="1" t="s">
        <v>109</v>
      </c>
      <c r="AG1208" s="1" t="s">
        <v>109</v>
      </c>
      <c r="AH1208" s="1" t="s">
        <v>109</v>
      </c>
      <c r="AI1208" s="1" t="s">
        <v>109</v>
      </c>
      <c r="AJ1208" s="1">
        <v>4</v>
      </c>
      <c r="AK1208" s="1" t="s">
        <v>109</v>
      </c>
      <c r="AL1208" s="1" t="s">
        <v>109</v>
      </c>
      <c r="AM1208" s="1" t="s">
        <v>109</v>
      </c>
      <c r="AN1208" s="1" t="s">
        <v>109</v>
      </c>
      <c r="AO1208" s="1" t="s">
        <v>109</v>
      </c>
      <c r="AP1208" s="1"/>
      <c r="AQ1208" s="1">
        <v>3</v>
      </c>
      <c r="AR1208" s="1"/>
      <c r="AS1208" s="1"/>
      <c r="AT1208" s="1">
        <v>0</v>
      </c>
      <c r="AU1208" s="1">
        <v>0</v>
      </c>
      <c r="AV1208" s="1">
        <v>0</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1</v>
      </c>
      <c r="BR1208" s="1">
        <v>0</v>
      </c>
      <c r="BS1208" s="1" t="s">
        <v>109</v>
      </c>
      <c r="BT1208" s="1">
        <v>1254</v>
      </c>
      <c r="BU1208" s="1" t="s">
        <v>109</v>
      </c>
      <c r="BV1208" s="1"/>
      <c r="BW1208" s="1"/>
      <c r="BX1208" s="1"/>
      <c r="BY1208" s="1"/>
      <c r="BZ1208" s="1">
        <v>0</v>
      </c>
      <c r="CA1208" s="1" t="s">
        <v>109</v>
      </c>
      <c r="CB1208" s="1" t="s">
        <v>109</v>
      </c>
      <c r="CC1208" s="1" t="s">
        <v>109</v>
      </c>
      <c r="CD1208" s="1" t="s">
        <v>109</v>
      </c>
      <c r="CE1208" s="1" t="s">
        <v>109</v>
      </c>
      <c r="CF1208" s="1" t="s">
        <v>109</v>
      </c>
      <c r="CG1208" s="1" t="s">
        <v>109</v>
      </c>
      <c r="CH1208" s="1" t="s">
        <v>109</v>
      </c>
      <c r="CI1208" s="1" t="s">
        <v>109</v>
      </c>
      <c r="CJ1208" s="1">
        <v>3</v>
      </c>
      <c r="CK1208" s="1"/>
      <c r="CL1208" s="1">
        <v>0</v>
      </c>
      <c r="CM1208" s="1">
        <v>0</v>
      </c>
      <c r="CN1208" s="1">
        <v>0</v>
      </c>
    </row>
    <row r="1209" spans="1:92" ht="14.25" customHeight="1" x14ac:dyDescent="0.15">
      <c r="A1209" s="1" t="s">
        <v>9669</v>
      </c>
      <c r="B1209" s="1" t="s">
        <v>189</v>
      </c>
      <c r="C1209" s="1"/>
      <c r="D1209" s="1"/>
      <c r="E1209" s="1" t="s">
        <v>9670</v>
      </c>
      <c r="F1209" s="1" t="s">
        <v>6545</v>
      </c>
      <c r="G1209" s="1" t="s">
        <v>141</v>
      </c>
      <c r="H1209" s="1">
        <v>0</v>
      </c>
      <c r="I1209" s="1" t="s">
        <v>9671</v>
      </c>
      <c r="J1209" s="1"/>
      <c r="K1209" s="1"/>
      <c r="L1209" s="1" t="s">
        <v>9672</v>
      </c>
      <c r="M1209" s="1" t="s">
        <v>144</v>
      </c>
      <c r="N1209" s="1">
        <v>0</v>
      </c>
      <c r="O1209" s="1">
        <v>0</v>
      </c>
      <c r="P1209" s="1"/>
      <c r="Q1209" s="1"/>
      <c r="R1209" s="1" t="s">
        <v>9673</v>
      </c>
      <c r="S1209" s="1" t="s">
        <v>9674</v>
      </c>
      <c r="T1209" s="1" t="s">
        <v>9645</v>
      </c>
      <c r="U1209" s="1" t="s">
        <v>9675</v>
      </c>
      <c r="V1209" s="1">
        <v>1</v>
      </c>
      <c r="W1209" s="1">
        <v>1</v>
      </c>
      <c r="X1209" s="1">
        <v>0</v>
      </c>
      <c r="Y1209" s="1">
        <v>0</v>
      </c>
      <c r="Z1209" s="1">
        <v>0</v>
      </c>
      <c r="AA1209" s="1" t="s">
        <v>109</v>
      </c>
      <c r="AB1209" s="1" t="s">
        <v>109</v>
      </c>
      <c r="AC1209" s="1" t="s">
        <v>109</v>
      </c>
      <c r="AD1209" s="1" t="s">
        <v>109</v>
      </c>
      <c r="AE1209" s="1">
        <v>1</v>
      </c>
      <c r="AF1209" s="1">
        <v>1</v>
      </c>
      <c r="AG1209" s="1" t="s">
        <v>109</v>
      </c>
      <c r="AH1209" s="1" t="s">
        <v>109</v>
      </c>
      <c r="AI1209" s="1" t="s">
        <v>109</v>
      </c>
      <c r="AJ1209" s="1" t="s">
        <v>109</v>
      </c>
      <c r="AK1209" s="1" t="s">
        <v>109</v>
      </c>
      <c r="AL1209" s="1" t="s">
        <v>109</v>
      </c>
      <c r="AM1209" s="1" t="s">
        <v>109</v>
      </c>
      <c r="AN1209" s="1">
        <v>1</v>
      </c>
      <c r="AO1209" s="1" t="s">
        <v>109</v>
      </c>
      <c r="AP1209" s="1"/>
      <c r="AQ1209" s="1">
        <v>1</v>
      </c>
      <c r="AR1209" s="1"/>
      <c r="AS1209" s="1"/>
      <c r="AT1209" s="1">
        <v>0</v>
      </c>
      <c r="AU1209" s="1">
        <v>0</v>
      </c>
      <c r="AV1209" s="1">
        <v>0</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0</v>
      </c>
      <c r="BQ1209" s="1">
        <v>0</v>
      </c>
      <c r="BR1209" s="1">
        <v>0</v>
      </c>
      <c r="BS1209" s="1" t="s">
        <v>109</v>
      </c>
      <c r="BT1209" s="1">
        <v>1255</v>
      </c>
      <c r="BU1209" s="1" t="s">
        <v>109</v>
      </c>
      <c r="BV1209" s="1"/>
      <c r="BW1209" s="1"/>
      <c r="BX1209" s="1"/>
      <c r="BY1209" s="1"/>
      <c r="BZ1209" s="1">
        <v>0</v>
      </c>
      <c r="CA1209" s="1" t="s">
        <v>109</v>
      </c>
      <c r="CB1209" s="1" t="s">
        <v>109</v>
      </c>
      <c r="CC1209" s="1" t="s">
        <v>109</v>
      </c>
      <c r="CD1209" s="1" t="s">
        <v>109</v>
      </c>
      <c r="CE1209" s="1" t="s">
        <v>109</v>
      </c>
      <c r="CF1209" s="1" t="s">
        <v>109</v>
      </c>
      <c r="CG1209" s="1" t="s">
        <v>109</v>
      </c>
      <c r="CH1209" s="1" t="s">
        <v>109</v>
      </c>
      <c r="CI1209" s="1" t="s">
        <v>109</v>
      </c>
      <c r="CJ1209" s="1">
        <v>1</v>
      </c>
      <c r="CK1209" s="1"/>
      <c r="CL1209" s="1">
        <v>0</v>
      </c>
      <c r="CM1209" s="1">
        <v>0</v>
      </c>
      <c r="CN1209" s="1">
        <v>0</v>
      </c>
    </row>
    <row r="1210" spans="1:92" ht="14.25" customHeight="1" x14ac:dyDescent="0.15">
      <c r="A1210" s="1" t="s">
        <v>9676</v>
      </c>
      <c r="B1210" s="1" t="s">
        <v>189</v>
      </c>
      <c r="C1210" s="1"/>
      <c r="D1210" s="1" t="s">
        <v>61</v>
      </c>
      <c r="E1210" s="1" t="s">
        <v>9677</v>
      </c>
      <c r="F1210" s="1" t="s">
        <v>98</v>
      </c>
      <c r="G1210" s="1" t="s">
        <v>9678</v>
      </c>
      <c r="H1210" s="1">
        <v>0</v>
      </c>
      <c r="I1210" s="1" t="s">
        <v>161</v>
      </c>
      <c r="J1210" s="1"/>
      <c r="K1210" s="1"/>
      <c r="L1210" s="1" t="s">
        <v>2653</v>
      </c>
      <c r="M1210" s="1" t="s">
        <v>3042</v>
      </c>
      <c r="N1210" s="1">
        <v>0</v>
      </c>
      <c r="O1210" s="1">
        <v>0</v>
      </c>
      <c r="P1210" s="1" t="s">
        <v>267</v>
      </c>
      <c r="Q1210" s="1" t="s">
        <v>104</v>
      </c>
      <c r="R1210" s="1" t="s">
        <v>9679</v>
      </c>
      <c r="S1210" s="1" t="s">
        <v>9680</v>
      </c>
      <c r="T1210" s="1" t="s">
        <v>9645</v>
      </c>
      <c r="U1210" s="1" t="s">
        <v>9681</v>
      </c>
      <c r="V1210" s="1">
        <v>1</v>
      </c>
      <c r="W1210" s="1">
        <v>1</v>
      </c>
      <c r="X1210" s="1">
        <v>1</v>
      </c>
      <c r="Y1210" s="1">
        <v>0</v>
      </c>
      <c r="Z1210" s="1">
        <v>0</v>
      </c>
      <c r="AA1210" s="1" t="s">
        <v>109</v>
      </c>
      <c r="AB1210" s="1" t="s">
        <v>109</v>
      </c>
      <c r="AC1210" s="1">
        <v>4</v>
      </c>
      <c r="AD1210" s="1" t="s">
        <v>109</v>
      </c>
      <c r="AE1210" s="1" t="s">
        <v>109</v>
      </c>
      <c r="AF1210" s="1" t="s">
        <v>109</v>
      </c>
      <c r="AG1210" s="1">
        <v>4</v>
      </c>
      <c r="AH1210" s="1" t="s">
        <v>109</v>
      </c>
      <c r="AI1210" s="1" t="s">
        <v>109</v>
      </c>
      <c r="AJ1210" s="1" t="s">
        <v>109</v>
      </c>
      <c r="AK1210" s="1">
        <v>4</v>
      </c>
      <c r="AL1210" s="1">
        <v>4</v>
      </c>
      <c r="AM1210" s="1" t="s">
        <v>109</v>
      </c>
      <c r="AN1210" s="1" t="s">
        <v>109</v>
      </c>
      <c r="AO1210" s="1" t="s">
        <v>109</v>
      </c>
      <c r="AP1210" s="1"/>
      <c r="AQ1210" s="1">
        <v>4</v>
      </c>
      <c r="AR1210" s="1"/>
      <c r="AS1210" s="1"/>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1</v>
      </c>
      <c r="BJ1210" s="1">
        <v>0</v>
      </c>
      <c r="BK1210" s="1">
        <v>0</v>
      </c>
      <c r="BL1210" s="1">
        <v>0</v>
      </c>
      <c r="BM1210" s="1">
        <v>0</v>
      </c>
      <c r="BN1210" s="1">
        <v>0</v>
      </c>
      <c r="BO1210" s="1">
        <v>0</v>
      </c>
      <c r="BP1210" s="1">
        <v>0</v>
      </c>
      <c r="BQ1210" s="1">
        <v>0</v>
      </c>
      <c r="BR1210" s="1">
        <v>0</v>
      </c>
      <c r="BS1210" s="1" t="s">
        <v>109</v>
      </c>
      <c r="BT1210" s="1">
        <v>1256</v>
      </c>
      <c r="BU1210" s="1" t="s">
        <v>109</v>
      </c>
      <c r="BV1210" s="1"/>
      <c r="BW1210" s="1"/>
      <c r="BX1210" s="1" t="s">
        <v>9682</v>
      </c>
      <c r="BY1210" s="1" t="s">
        <v>9683</v>
      </c>
      <c r="BZ1210" s="1">
        <v>1</v>
      </c>
      <c r="CA1210" s="1" t="s">
        <v>109</v>
      </c>
      <c r="CB1210" s="1" t="s">
        <v>109</v>
      </c>
      <c r="CC1210" s="1" t="s">
        <v>109</v>
      </c>
      <c r="CD1210" s="1" t="s">
        <v>109</v>
      </c>
      <c r="CE1210" s="1" t="s">
        <v>109</v>
      </c>
      <c r="CF1210" s="1" t="s">
        <v>109</v>
      </c>
      <c r="CG1210" s="1" t="s">
        <v>109</v>
      </c>
      <c r="CH1210" s="1" t="s">
        <v>109</v>
      </c>
      <c r="CI1210" s="1" t="s">
        <v>109</v>
      </c>
      <c r="CJ1210" s="1" t="s">
        <v>109</v>
      </c>
      <c r="CK1210" s="1"/>
      <c r="CL1210" s="1">
        <v>0</v>
      </c>
      <c r="CM1210" s="1">
        <v>0</v>
      </c>
      <c r="CN1210" s="1">
        <v>0</v>
      </c>
    </row>
    <row r="1211" spans="1:92" ht="14.25" customHeight="1" x14ac:dyDescent="0.15">
      <c r="A1211" s="1" t="s">
        <v>9684</v>
      </c>
      <c r="B1211" s="1" t="s">
        <v>95</v>
      </c>
      <c r="C1211" s="1" t="s">
        <v>1179</v>
      </c>
      <c r="D1211" s="1" t="s">
        <v>61</v>
      </c>
      <c r="E1211" s="1" t="s">
        <v>9685</v>
      </c>
      <c r="F1211" s="1" t="s">
        <v>98</v>
      </c>
      <c r="G1211" s="1" t="s">
        <v>9686</v>
      </c>
      <c r="H1211" s="1">
        <v>0</v>
      </c>
      <c r="I1211" s="1" t="s">
        <v>235</v>
      </c>
      <c r="J1211" s="1"/>
      <c r="K1211" s="1"/>
      <c r="L1211" s="1" t="s">
        <v>236</v>
      </c>
      <c r="M1211" s="1" t="s">
        <v>9687</v>
      </c>
      <c r="N1211" s="1">
        <v>0</v>
      </c>
      <c r="O1211" s="1">
        <v>0</v>
      </c>
      <c r="P1211" s="1"/>
      <c r="Q1211" s="1"/>
      <c r="R1211" s="1" t="s">
        <v>9688</v>
      </c>
      <c r="S1211" s="1" t="s">
        <v>9689</v>
      </c>
      <c r="T1211" s="1" t="s">
        <v>9645</v>
      </c>
      <c r="U1211" s="1" t="s">
        <v>9690</v>
      </c>
      <c r="V1211" s="1">
        <v>1</v>
      </c>
      <c r="W1211" s="1">
        <v>1</v>
      </c>
      <c r="X1211" s="1">
        <v>1</v>
      </c>
      <c r="Y1211" s="1">
        <v>0</v>
      </c>
      <c r="Z1211" s="1">
        <v>0</v>
      </c>
      <c r="AA1211" s="1" t="s">
        <v>109</v>
      </c>
      <c r="AB1211" s="1" t="s">
        <v>109</v>
      </c>
      <c r="AC1211" s="1">
        <v>6</v>
      </c>
      <c r="AD1211" s="1" t="s">
        <v>109</v>
      </c>
      <c r="AE1211" s="1" t="s">
        <v>109</v>
      </c>
      <c r="AF1211" s="1" t="s">
        <v>109</v>
      </c>
      <c r="AG1211" s="1">
        <v>4</v>
      </c>
      <c r="AH1211" s="1" t="s">
        <v>109</v>
      </c>
      <c r="AI1211" s="1">
        <v>5</v>
      </c>
      <c r="AJ1211" s="1" t="s">
        <v>109</v>
      </c>
      <c r="AK1211" s="1" t="s">
        <v>109</v>
      </c>
      <c r="AL1211" s="1">
        <v>6</v>
      </c>
      <c r="AM1211" s="1" t="s">
        <v>109</v>
      </c>
      <c r="AN1211" s="1" t="s">
        <v>109</v>
      </c>
      <c r="AO1211" s="1" t="s">
        <v>109</v>
      </c>
      <c r="AP1211" s="1"/>
      <c r="AQ1211" s="1">
        <v>6</v>
      </c>
      <c r="AR1211" s="1"/>
      <c r="AS1211" s="1"/>
      <c r="AT1211" s="1">
        <v>0</v>
      </c>
      <c r="AU1211" s="1">
        <v>0</v>
      </c>
      <c r="AV1211" s="1">
        <v>0</v>
      </c>
      <c r="AW1211" s="1">
        <v>0</v>
      </c>
      <c r="AX1211" s="1">
        <v>0</v>
      </c>
      <c r="AY1211" s="1">
        <v>0</v>
      </c>
      <c r="AZ1211" s="1">
        <v>0</v>
      </c>
      <c r="BA1211" s="1">
        <v>0</v>
      </c>
      <c r="BB1211" s="1">
        <v>0</v>
      </c>
      <c r="BC1211" s="1">
        <v>0</v>
      </c>
      <c r="BD1211" s="1">
        <v>0</v>
      </c>
      <c r="BE1211" s="1">
        <v>0</v>
      </c>
      <c r="BF1211" s="1">
        <v>0</v>
      </c>
      <c r="BG1211" s="1">
        <v>0</v>
      </c>
      <c r="BH1211" s="1">
        <v>0</v>
      </c>
      <c r="BI1211" s="1">
        <v>1</v>
      </c>
      <c r="BJ1211" s="1">
        <v>0</v>
      </c>
      <c r="BK1211" s="1">
        <v>0</v>
      </c>
      <c r="BL1211" s="1">
        <v>0</v>
      </c>
      <c r="BM1211" s="1">
        <v>0</v>
      </c>
      <c r="BN1211" s="1">
        <v>0</v>
      </c>
      <c r="BO1211" s="1">
        <v>0</v>
      </c>
      <c r="BP1211" s="1">
        <v>0</v>
      </c>
      <c r="BQ1211" s="1">
        <v>0</v>
      </c>
      <c r="BR1211" s="1">
        <v>0</v>
      </c>
      <c r="BS1211" s="1" t="s">
        <v>109</v>
      </c>
      <c r="BT1211" s="1">
        <v>1257</v>
      </c>
      <c r="BU1211" s="1" t="s">
        <v>109</v>
      </c>
      <c r="BV1211" s="1"/>
      <c r="BW1211" s="1"/>
      <c r="BX1211" s="1"/>
      <c r="BY1211" s="1"/>
      <c r="BZ1211" s="1">
        <v>0</v>
      </c>
      <c r="CA1211" s="1" t="s">
        <v>109</v>
      </c>
      <c r="CB1211" s="1" t="s">
        <v>109</v>
      </c>
      <c r="CC1211" s="1" t="s">
        <v>109</v>
      </c>
      <c r="CD1211" s="1" t="s">
        <v>109</v>
      </c>
      <c r="CE1211" s="1" t="s">
        <v>109</v>
      </c>
      <c r="CF1211" s="1" t="s">
        <v>109</v>
      </c>
      <c r="CG1211" s="1" t="s">
        <v>109</v>
      </c>
      <c r="CH1211" s="1" t="s">
        <v>109</v>
      </c>
      <c r="CI1211" s="1" t="s">
        <v>109</v>
      </c>
      <c r="CJ1211" s="1" t="s">
        <v>109</v>
      </c>
      <c r="CK1211" s="1"/>
      <c r="CL1211" s="1">
        <v>0</v>
      </c>
      <c r="CM1211" s="1">
        <v>0</v>
      </c>
      <c r="CN1211" s="1">
        <v>0</v>
      </c>
    </row>
    <row r="1212" spans="1:92" ht="14.25" customHeight="1" x14ac:dyDescent="0.15">
      <c r="A1212" s="1" t="s">
        <v>9691</v>
      </c>
      <c r="B1212" s="1" t="s">
        <v>189</v>
      </c>
      <c r="C1212" s="1"/>
      <c r="D1212" s="1"/>
      <c r="E1212" s="1" t="s">
        <v>9564</v>
      </c>
      <c r="F1212" s="1" t="s">
        <v>98</v>
      </c>
      <c r="G1212" s="1" t="s">
        <v>9692</v>
      </c>
      <c r="H1212" s="1">
        <v>0</v>
      </c>
      <c r="I1212" s="1" t="s">
        <v>142</v>
      </c>
      <c r="J1212" s="1"/>
      <c r="K1212" s="1"/>
      <c r="L1212" s="1" t="s">
        <v>1391</v>
      </c>
      <c r="M1212" s="1" t="s">
        <v>125</v>
      </c>
      <c r="N1212" s="1">
        <v>0</v>
      </c>
      <c r="O1212" s="1">
        <v>0</v>
      </c>
      <c r="P1212" s="1" t="s">
        <v>301</v>
      </c>
      <c r="Q1212" s="1" t="s">
        <v>268</v>
      </c>
      <c r="R1212" s="1" t="s">
        <v>9693</v>
      </c>
      <c r="S1212" s="1" t="s">
        <v>9694</v>
      </c>
      <c r="T1212" s="1" t="s">
        <v>9645</v>
      </c>
      <c r="U1212" s="1" t="s">
        <v>9695</v>
      </c>
      <c r="V1212" s="1">
        <v>1</v>
      </c>
      <c r="W1212" s="1">
        <v>1</v>
      </c>
      <c r="X1212" s="1">
        <v>1</v>
      </c>
      <c r="Y1212" s="1">
        <v>0</v>
      </c>
      <c r="Z1212" s="1">
        <v>0</v>
      </c>
      <c r="AA1212" s="1">
        <v>2</v>
      </c>
      <c r="AB1212" s="1">
        <v>2</v>
      </c>
      <c r="AC1212" s="1" t="s">
        <v>109</v>
      </c>
      <c r="AD1212" s="1" t="s">
        <v>109</v>
      </c>
      <c r="AE1212" s="1" t="s">
        <v>109</v>
      </c>
      <c r="AF1212" s="1" t="s">
        <v>109</v>
      </c>
      <c r="AG1212" s="1" t="s">
        <v>109</v>
      </c>
      <c r="AH1212" s="1" t="s">
        <v>109</v>
      </c>
      <c r="AI1212" s="1" t="s">
        <v>109</v>
      </c>
      <c r="AJ1212" s="1">
        <v>2</v>
      </c>
      <c r="AK1212" s="1" t="s">
        <v>109</v>
      </c>
      <c r="AL1212" s="1" t="s">
        <v>109</v>
      </c>
      <c r="AM1212" s="1" t="s">
        <v>109</v>
      </c>
      <c r="AN1212" s="1" t="s">
        <v>109</v>
      </c>
      <c r="AO1212" s="1" t="s">
        <v>109</v>
      </c>
      <c r="AP1212" s="1"/>
      <c r="AQ1212" s="1">
        <v>2</v>
      </c>
      <c r="AR1212" s="1"/>
      <c r="AS1212" s="1"/>
      <c r="AT1212" s="1">
        <v>0</v>
      </c>
      <c r="AU1212" s="1">
        <v>0</v>
      </c>
      <c r="AV1212" s="1">
        <v>0</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t="s">
        <v>109</v>
      </c>
      <c r="BT1212" s="1">
        <v>1258</v>
      </c>
      <c r="BU1212" s="1" t="s">
        <v>109</v>
      </c>
      <c r="BV1212" s="1"/>
      <c r="BW1212" s="1"/>
      <c r="BX1212" s="1"/>
      <c r="BY1212" s="1"/>
      <c r="BZ1212" s="1">
        <v>0</v>
      </c>
      <c r="CA1212" s="1" t="s">
        <v>109</v>
      </c>
      <c r="CB1212" s="1" t="s">
        <v>109</v>
      </c>
      <c r="CC1212" s="1" t="s">
        <v>109</v>
      </c>
      <c r="CD1212" s="1" t="s">
        <v>109</v>
      </c>
      <c r="CE1212" s="1" t="s">
        <v>109</v>
      </c>
      <c r="CF1212" s="1" t="s">
        <v>109</v>
      </c>
      <c r="CG1212" s="1" t="s">
        <v>109</v>
      </c>
      <c r="CH1212" s="1" t="s">
        <v>109</v>
      </c>
      <c r="CI1212" s="1" t="s">
        <v>109</v>
      </c>
      <c r="CJ1212" s="1" t="s">
        <v>109</v>
      </c>
      <c r="CK1212" s="1"/>
      <c r="CL1212" s="1">
        <v>0</v>
      </c>
      <c r="CM1212" s="1">
        <v>0</v>
      </c>
      <c r="CN1212" s="1">
        <v>0</v>
      </c>
    </row>
    <row r="1213" spans="1:92" ht="14.25" customHeight="1" x14ac:dyDescent="0.15">
      <c r="A1213" s="1" t="s">
        <v>9696</v>
      </c>
      <c r="B1213" s="1" t="s">
        <v>189</v>
      </c>
      <c r="C1213" s="1"/>
      <c r="D1213" s="1"/>
      <c r="E1213" s="1" t="s">
        <v>2427</v>
      </c>
      <c r="F1213" s="1" t="s">
        <v>98</v>
      </c>
      <c r="G1213" s="1" t="s">
        <v>9692</v>
      </c>
      <c r="H1213" s="1">
        <v>0</v>
      </c>
      <c r="I1213" s="1" t="s">
        <v>122</v>
      </c>
      <c r="J1213" s="1" t="s">
        <v>716</v>
      </c>
      <c r="K1213" s="1"/>
      <c r="L1213" s="1"/>
      <c r="M1213" s="1" t="s">
        <v>3042</v>
      </c>
      <c r="N1213" s="1">
        <v>0</v>
      </c>
      <c r="O1213" s="1">
        <v>0</v>
      </c>
      <c r="P1213" s="1" t="s">
        <v>301</v>
      </c>
      <c r="Q1213" s="1" t="s">
        <v>268</v>
      </c>
      <c r="R1213" s="1" t="s">
        <v>9697</v>
      </c>
      <c r="S1213" s="1" t="s">
        <v>9698</v>
      </c>
      <c r="T1213" s="1" t="s">
        <v>9645</v>
      </c>
      <c r="U1213" s="1" t="s">
        <v>9699</v>
      </c>
      <c r="V1213" s="1">
        <v>1</v>
      </c>
      <c r="W1213" s="1">
        <v>1</v>
      </c>
      <c r="X1213" s="1">
        <v>1</v>
      </c>
      <c r="Y1213" s="1">
        <v>0</v>
      </c>
      <c r="Z1213" s="1">
        <v>0</v>
      </c>
      <c r="AA1213" s="1">
        <v>6</v>
      </c>
      <c r="AB1213" s="1">
        <v>6</v>
      </c>
      <c r="AC1213" s="1" t="s">
        <v>109</v>
      </c>
      <c r="AD1213" s="1" t="s">
        <v>109</v>
      </c>
      <c r="AE1213" s="1" t="s">
        <v>109</v>
      </c>
      <c r="AF1213" s="1" t="s">
        <v>109</v>
      </c>
      <c r="AG1213" s="1" t="s">
        <v>109</v>
      </c>
      <c r="AH1213" s="1" t="s">
        <v>109</v>
      </c>
      <c r="AI1213" s="1" t="s">
        <v>109</v>
      </c>
      <c r="AJ1213" s="1">
        <v>6</v>
      </c>
      <c r="AK1213" s="1" t="s">
        <v>109</v>
      </c>
      <c r="AL1213" s="1" t="s">
        <v>109</v>
      </c>
      <c r="AM1213" s="1" t="s">
        <v>109</v>
      </c>
      <c r="AN1213" s="1" t="s">
        <v>109</v>
      </c>
      <c r="AO1213" s="1" t="s">
        <v>109</v>
      </c>
      <c r="AP1213" s="1"/>
      <c r="AQ1213" s="1">
        <v>6</v>
      </c>
      <c r="AR1213" s="1"/>
      <c r="AS1213" s="1"/>
      <c r="AT1213" s="1">
        <v>0</v>
      </c>
      <c r="AU1213" s="1">
        <v>0</v>
      </c>
      <c r="AV1213" s="1">
        <v>0</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t="s">
        <v>109</v>
      </c>
      <c r="BT1213" s="1">
        <v>1259</v>
      </c>
      <c r="BU1213" s="1" t="s">
        <v>109</v>
      </c>
      <c r="BV1213" s="1"/>
      <c r="BW1213" s="1"/>
      <c r="BX1213" s="1"/>
      <c r="BY1213" s="1"/>
      <c r="BZ1213" s="1">
        <v>0</v>
      </c>
      <c r="CA1213" s="1" t="s">
        <v>109</v>
      </c>
      <c r="CB1213" s="1" t="s">
        <v>109</v>
      </c>
      <c r="CC1213" s="1" t="s">
        <v>109</v>
      </c>
      <c r="CD1213" s="1" t="s">
        <v>109</v>
      </c>
      <c r="CE1213" s="1" t="s">
        <v>109</v>
      </c>
      <c r="CF1213" s="1" t="s">
        <v>109</v>
      </c>
      <c r="CG1213" s="1" t="s">
        <v>109</v>
      </c>
      <c r="CH1213" s="1" t="s">
        <v>109</v>
      </c>
      <c r="CI1213" s="1" t="s">
        <v>109</v>
      </c>
      <c r="CJ1213" s="1" t="s">
        <v>109</v>
      </c>
      <c r="CK1213" s="1"/>
      <c r="CL1213" s="1">
        <v>0</v>
      </c>
      <c r="CM1213" s="1">
        <v>0</v>
      </c>
      <c r="CN1213" s="1">
        <v>0</v>
      </c>
    </row>
    <row r="1214" spans="1:92" ht="14.25" customHeight="1" x14ac:dyDescent="0.15">
      <c r="A1214" s="1" t="s">
        <v>9700</v>
      </c>
      <c r="B1214" s="1" t="s">
        <v>189</v>
      </c>
      <c r="C1214" s="1" t="s">
        <v>231</v>
      </c>
      <c r="D1214" s="1"/>
      <c r="E1214" s="1" t="s">
        <v>981</v>
      </c>
      <c r="F1214" s="1" t="s">
        <v>98</v>
      </c>
      <c r="G1214" s="1" t="s">
        <v>9701</v>
      </c>
      <c r="H1214" s="1">
        <v>0</v>
      </c>
      <c r="I1214" s="1" t="s">
        <v>142</v>
      </c>
      <c r="J1214" s="1"/>
      <c r="K1214" s="1"/>
      <c r="L1214" s="1" t="s">
        <v>9702</v>
      </c>
      <c r="M1214" s="1" t="s">
        <v>125</v>
      </c>
      <c r="N1214" s="1">
        <v>0</v>
      </c>
      <c r="O1214" s="1">
        <v>0</v>
      </c>
      <c r="P1214" s="1" t="s">
        <v>267</v>
      </c>
      <c r="Q1214" s="1" t="s">
        <v>268</v>
      </c>
      <c r="R1214" s="1" t="s">
        <v>9703</v>
      </c>
      <c r="S1214" s="1" t="s">
        <v>9704</v>
      </c>
      <c r="T1214" s="1" t="s">
        <v>9645</v>
      </c>
      <c r="U1214" s="1" t="s">
        <v>9705</v>
      </c>
      <c r="V1214" s="1">
        <v>1</v>
      </c>
      <c r="W1214" s="1">
        <v>1</v>
      </c>
      <c r="X1214" s="1">
        <v>1</v>
      </c>
      <c r="Y1214" s="1">
        <v>0</v>
      </c>
      <c r="Z1214" s="1">
        <v>0</v>
      </c>
      <c r="AA1214" s="1">
        <v>2</v>
      </c>
      <c r="AB1214" s="1">
        <v>2</v>
      </c>
      <c r="AC1214" s="1" t="s">
        <v>109</v>
      </c>
      <c r="AD1214" s="1" t="s">
        <v>109</v>
      </c>
      <c r="AE1214" s="1" t="s">
        <v>109</v>
      </c>
      <c r="AF1214" s="1" t="s">
        <v>109</v>
      </c>
      <c r="AG1214" s="1" t="s">
        <v>109</v>
      </c>
      <c r="AH1214" s="1" t="s">
        <v>109</v>
      </c>
      <c r="AI1214" s="1" t="s">
        <v>109</v>
      </c>
      <c r="AJ1214" s="1" t="s">
        <v>109</v>
      </c>
      <c r="AK1214" s="1" t="s">
        <v>109</v>
      </c>
      <c r="AL1214" s="1" t="s">
        <v>109</v>
      </c>
      <c r="AM1214" s="1" t="s">
        <v>109</v>
      </c>
      <c r="AN1214" s="1" t="s">
        <v>109</v>
      </c>
      <c r="AO1214" s="1" t="s">
        <v>109</v>
      </c>
      <c r="AP1214" s="1"/>
      <c r="AQ1214" s="1">
        <v>2</v>
      </c>
      <c r="AR1214" s="1"/>
      <c r="AS1214" s="1"/>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t="s">
        <v>109</v>
      </c>
      <c r="BT1214" s="1">
        <v>1260</v>
      </c>
      <c r="BU1214" s="1" t="s">
        <v>109</v>
      </c>
      <c r="BV1214" s="1"/>
      <c r="BW1214" s="1"/>
      <c r="BX1214" s="1" t="s">
        <v>9706</v>
      </c>
      <c r="BY1214" s="1" t="s">
        <v>9707</v>
      </c>
      <c r="BZ1214" s="1">
        <v>1</v>
      </c>
      <c r="CA1214" s="1" t="s">
        <v>109</v>
      </c>
      <c r="CB1214" s="1" t="s">
        <v>109</v>
      </c>
      <c r="CC1214" s="1" t="s">
        <v>109</v>
      </c>
      <c r="CD1214" s="1" t="s">
        <v>109</v>
      </c>
      <c r="CE1214" s="1" t="s">
        <v>109</v>
      </c>
      <c r="CF1214" s="1" t="s">
        <v>109</v>
      </c>
      <c r="CG1214" s="1" t="s">
        <v>109</v>
      </c>
      <c r="CH1214" s="1" t="s">
        <v>109</v>
      </c>
      <c r="CI1214" s="1" t="s">
        <v>109</v>
      </c>
      <c r="CJ1214" s="1" t="s">
        <v>109</v>
      </c>
      <c r="CK1214" s="1"/>
      <c r="CL1214" s="1">
        <v>0</v>
      </c>
      <c r="CM1214" s="1">
        <v>0</v>
      </c>
      <c r="CN1214" s="1">
        <v>0</v>
      </c>
    </row>
    <row r="1215" spans="1:92" ht="14.25" customHeight="1" x14ac:dyDescent="0.15">
      <c r="A1215" s="1" t="s">
        <v>9708</v>
      </c>
      <c r="B1215" s="1" t="s">
        <v>584</v>
      </c>
      <c r="C1215" s="1"/>
      <c r="D1215" s="1" t="s">
        <v>60</v>
      </c>
      <c r="E1215" s="1" t="s">
        <v>9709</v>
      </c>
      <c r="F1215" s="1" t="s">
        <v>6545</v>
      </c>
      <c r="G1215" s="1" t="s">
        <v>141</v>
      </c>
      <c r="H1215" s="1">
        <v>0</v>
      </c>
      <c r="I1215" s="1" t="s">
        <v>9710</v>
      </c>
      <c r="J1215" s="1"/>
      <c r="K1215" s="1"/>
      <c r="L1215" s="1" t="s">
        <v>7789</v>
      </c>
      <c r="M1215" s="1" t="s">
        <v>144</v>
      </c>
      <c r="N1215" s="1">
        <v>0</v>
      </c>
      <c r="O1215" s="1">
        <v>0</v>
      </c>
      <c r="P1215" s="1" t="s">
        <v>1410</v>
      </c>
      <c r="Q1215" s="1" t="s">
        <v>268</v>
      </c>
      <c r="R1215" s="1" t="s">
        <v>9711</v>
      </c>
      <c r="S1215" s="1" t="s">
        <v>9712</v>
      </c>
      <c r="T1215" s="1" t="s">
        <v>9645</v>
      </c>
      <c r="U1215" s="1" t="s">
        <v>9713</v>
      </c>
      <c r="V1215" s="1">
        <v>1</v>
      </c>
      <c r="W1215" s="1">
        <v>1</v>
      </c>
      <c r="X1215" s="1">
        <v>0</v>
      </c>
      <c r="Y1215" s="1">
        <v>0</v>
      </c>
      <c r="Z1215" s="1">
        <v>0</v>
      </c>
      <c r="AA1215" s="1" t="s">
        <v>109</v>
      </c>
      <c r="AB1215" s="1" t="s">
        <v>109</v>
      </c>
      <c r="AC1215" s="1">
        <v>4</v>
      </c>
      <c r="AD1215" s="1" t="s">
        <v>109</v>
      </c>
      <c r="AE1215" s="1" t="s">
        <v>109</v>
      </c>
      <c r="AF1215" s="1" t="s">
        <v>109</v>
      </c>
      <c r="AG1215" s="1">
        <v>4</v>
      </c>
      <c r="AH1215" s="1" t="s">
        <v>109</v>
      </c>
      <c r="AI1215" s="1" t="s">
        <v>109</v>
      </c>
      <c r="AJ1215" s="1" t="s">
        <v>109</v>
      </c>
      <c r="AK1215" s="1">
        <v>4</v>
      </c>
      <c r="AL1215" s="1">
        <v>4</v>
      </c>
      <c r="AM1215" s="1" t="s">
        <v>109</v>
      </c>
      <c r="AN1215" s="1">
        <v>4</v>
      </c>
      <c r="AO1215" s="1" t="s">
        <v>109</v>
      </c>
      <c r="AP1215" s="1"/>
      <c r="AQ1215" s="1">
        <v>4</v>
      </c>
      <c r="AR1215" s="1"/>
      <c r="AS1215" s="1"/>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1</v>
      </c>
      <c r="BI1215" s="1">
        <v>0</v>
      </c>
      <c r="BJ1215" s="1">
        <v>0</v>
      </c>
      <c r="BK1215" s="1">
        <v>0</v>
      </c>
      <c r="BL1215" s="1">
        <v>0</v>
      </c>
      <c r="BM1215" s="1">
        <v>0</v>
      </c>
      <c r="BN1215" s="1">
        <v>0</v>
      </c>
      <c r="BO1215" s="1">
        <v>0</v>
      </c>
      <c r="BP1215" s="1">
        <v>0</v>
      </c>
      <c r="BQ1215" s="1">
        <v>0</v>
      </c>
      <c r="BR1215" s="1">
        <v>0</v>
      </c>
      <c r="BS1215" s="1" t="s">
        <v>109</v>
      </c>
      <c r="BT1215" s="1">
        <v>1261</v>
      </c>
      <c r="BU1215" s="1" t="s">
        <v>109</v>
      </c>
      <c r="BV1215" s="1"/>
      <c r="BW1215" s="1"/>
      <c r="BX1215" s="1"/>
      <c r="BY1215" s="1"/>
      <c r="BZ1215" s="1">
        <v>0</v>
      </c>
      <c r="CA1215" s="1" t="s">
        <v>109</v>
      </c>
      <c r="CB1215" s="1" t="s">
        <v>109</v>
      </c>
      <c r="CC1215" s="1" t="s">
        <v>109</v>
      </c>
      <c r="CD1215" s="1" t="s">
        <v>109</v>
      </c>
      <c r="CE1215" s="1" t="s">
        <v>109</v>
      </c>
      <c r="CF1215" s="1" t="s">
        <v>109</v>
      </c>
      <c r="CG1215" s="1" t="s">
        <v>109</v>
      </c>
      <c r="CH1215" s="1" t="s">
        <v>109</v>
      </c>
      <c r="CI1215" s="1" t="s">
        <v>109</v>
      </c>
      <c r="CJ1215" s="1" t="s">
        <v>109</v>
      </c>
      <c r="CK1215" s="1"/>
      <c r="CL1215" s="1">
        <v>0</v>
      </c>
      <c r="CM1215" s="1">
        <v>0</v>
      </c>
      <c r="CN1215" s="1">
        <v>0</v>
      </c>
    </row>
    <row r="1216" spans="1:92" ht="14.25" customHeight="1" x14ac:dyDescent="0.15">
      <c r="A1216" s="1" t="s">
        <v>9714</v>
      </c>
      <c r="B1216" s="1" t="s">
        <v>308</v>
      </c>
      <c r="C1216" s="1"/>
      <c r="D1216" s="1"/>
      <c r="E1216" s="1" t="s">
        <v>9715</v>
      </c>
      <c r="F1216" s="1" t="s">
        <v>98</v>
      </c>
      <c r="G1216" s="1" t="s">
        <v>9716</v>
      </c>
      <c r="H1216" s="1">
        <v>0</v>
      </c>
      <c r="I1216" s="1" t="s">
        <v>142</v>
      </c>
      <c r="J1216" s="1"/>
      <c r="K1216" s="1" t="s">
        <v>9717</v>
      </c>
      <c r="L1216" s="1"/>
      <c r="M1216" s="1" t="s">
        <v>125</v>
      </c>
      <c r="N1216" s="1">
        <v>0</v>
      </c>
      <c r="O1216" s="1">
        <v>0</v>
      </c>
      <c r="P1216" s="1" t="s">
        <v>103</v>
      </c>
      <c r="Q1216" s="1" t="s">
        <v>268</v>
      </c>
      <c r="R1216" s="1" t="s">
        <v>9718</v>
      </c>
      <c r="S1216" s="1" t="s">
        <v>9719</v>
      </c>
      <c r="T1216" s="1" t="s">
        <v>9645</v>
      </c>
      <c r="U1216" s="1" t="s">
        <v>9720</v>
      </c>
      <c r="V1216" s="1">
        <v>1</v>
      </c>
      <c r="W1216" s="1">
        <v>1</v>
      </c>
      <c r="X1216" s="1">
        <v>1</v>
      </c>
      <c r="Y1216" s="1">
        <v>0</v>
      </c>
      <c r="Z1216" s="1">
        <v>0</v>
      </c>
      <c r="AA1216" s="1">
        <v>4</v>
      </c>
      <c r="AB1216" s="1">
        <v>4</v>
      </c>
      <c r="AC1216" s="1" t="s">
        <v>109</v>
      </c>
      <c r="AD1216" s="1" t="s">
        <v>109</v>
      </c>
      <c r="AE1216" s="1" t="s">
        <v>109</v>
      </c>
      <c r="AF1216" s="1" t="s">
        <v>109</v>
      </c>
      <c r="AG1216" s="1" t="s">
        <v>109</v>
      </c>
      <c r="AH1216" s="1" t="s">
        <v>109</v>
      </c>
      <c r="AI1216" s="1" t="s">
        <v>109</v>
      </c>
      <c r="AJ1216" s="1">
        <v>4</v>
      </c>
      <c r="AK1216" s="1" t="s">
        <v>109</v>
      </c>
      <c r="AL1216" s="1" t="s">
        <v>109</v>
      </c>
      <c r="AM1216" s="1" t="s">
        <v>109</v>
      </c>
      <c r="AN1216" s="1" t="s">
        <v>109</v>
      </c>
      <c r="AO1216" s="1" t="s">
        <v>109</v>
      </c>
      <c r="AP1216" s="1"/>
      <c r="AQ1216" s="1">
        <v>4</v>
      </c>
      <c r="AR1216" s="1"/>
      <c r="AS1216" s="1"/>
      <c r="AT1216" s="1">
        <v>0</v>
      </c>
      <c r="AU1216" s="1">
        <v>0</v>
      </c>
      <c r="AV1216" s="1">
        <v>0</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t="s">
        <v>109</v>
      </c>
      <c r="BT1216" s="1">
        <v>1262</v>
      </c>
      <c r="BU1216" s="1" t="s">
        <v>109</v>
      </c>
      <c r="BV1216" s="1"/>
      <c r="BW1216" s="1"/>
      <c r="BX1216" s="1"/>
      <c r="BY1216" s="1"/>
      <c r="BZ1216" s="1">
        <v>0</v>
      </c>
      <c r="CA1216" s="1" t="s">
        <v>109</v>
      </c>
      <c r="CB1216" s="1" t="s">
        <v>109</v>
      </c>
      <c r="CC1216" s="1" t="s">
        <v>109</v>
      </c>
      <c r="CD1216" s="1" t="s">
        <v>109</v>
      </c>
      <c r="CE1216" s="1" t="s">
        <v>109</v>
      </c>
      <c r="CF1216" s="1" t="s">
        <v>109</v>
      </c>
      <c r="CG1216" s="1" t="s">
        <v>109</v>
      </c>
      <c r="CH1216" s="1" t="s">
        <v>109</v>
      </c>
      <c r="CI1216" s="1" t="s">
        <v>109</v>
      </c>
      <c r="CJ1216" s="1" t="s">
        <v>109</v>
      </c>
      <c r="CK1216" s="1"/>
      <c r="CL1216" s="1">
        <v>0</v>
      </c>
      <c r="CM1216" s="1">
        <v>0</v>
      </c>
      <c r="CN1216" s="1">
        <v>0</v>
      </c>
    </row>
    <row r="1217" spans="1:92" ht="14.25" customHeight="1" x14ac:dyDescent="0.15">
      <c r="A1217" s="1" t="s">
        <v>9721</v>
      </c>
      <c r="B1217" s="1" t="s">
        <v>189</v>
      </c>
      <c r="C1217" s="1" t="s">
        <v>231</v>
      </c>
      <c r="D1217" s="1"/>
      <c r="E1217" s="1" t="s">
        <v>9722</v>
      </c>
      <c r="F1217" s="1" t="s">
        <v>98</v>
      </c>
      <c r="G1217" s="1" t="s">
        <v>9723</v>
      </c>
      <c r="H1217" s="1">
        <v>0</v>
      </c>
      <c r="I1217" s="1" t="s">
        <v>235</v>
      </c>
      <c r="J1217" s="1"/>
      <c r="K1217" s="1"/>
      <c r="L1217" s="1" t="s">
        <v>236</v>
      </c>
      <c r="M1217" s="1" t="s">
        <v>125</v>
      </c>
      <c r="N1217" s="1">
        <v>0</v>
      </c>
      <c r="O1217" s="1">
        <v>0</v>
      </c>
      <c r="P1217" s="1"/>
      <c r="Q1217" s="1"/>
      <c r="R1217" s="1" t="s">
        <v>9724</v>
      </c>
      <c r="S1217" s="1" t="s">
        <v>9725</v>
      </c>
      <c r="T1217" s="1" t="s">
        <v>9645</v>
      </c>
      <c r="U1217" s="1" t="s">
        <v>9726</v>
      </c>
      <c r="V1217" s="1">
        <v>1</v>
      </c>
      <c r="W1217" s="1">
        <v>1</v>
      </c>
      <c r="X1217" s="1">
        <v>1</v>
      </c>
      <c r="Y1217" s="1">
        <v>0</v>
      </c>
      <c r="Z1217" s="1">
        <v>0</v>
      </c>
      <c r="AA1217" s="1">
        <v>5</v>
      </c>
      <c r="AB1217" s="1">
        <v>5</v>
      </c>
      <c r="AC1217" s="1">
        <v>5</v>
      </c>
      <c r="AD1217" s="1">
        <v>5</v>
      </c>
      <c r="AE1217" s="1" t="s">
        <v>109</v>
      </c>
      <c r="AF1217" s="1" t="s">
        <v>109</v>
      </c>
      <c r="AG1217" s="1" t="s">
        <v>109</v>
      </c>
      <c r="AH1217" s="1" t="s">
        <v>109</v>
      </c>
      <c r="AI1217" s="1">
        <v>5</v>
      </c>
      <c r="AJ1217" s="1" t="s">
        <v>109</v>
      </c>
      <c r="AK1217" s="1" t="s">
        <v>109</v>
      </c>
      <c r="AL1217" s="1">
        <v>5</v>
      </c>
      <c r="AM1217" s="1" t="s">
        <v>109</v>
      </c>
      <c r="AN1217" s="1" t="s">
        <v>109</v>
      </c>
      <c r="AO1217" s="1" t="s">
        <v>109</v>
      </c>
      <c r="AP1217" s="1"/>
      <c r="AQ1217" s="1">
        <v>5</v>
      </c>
      <c r="AR1217" s="1"/>
      <c r="AS1217" s="1"/>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t="s">
        <v>109</v>
      </c>
      <c r="BT1217" s="1">
        <v>1263</v>
      </c>
      <c r="BU1217" s="1" t="s">
        <v>109</v>
      </c>
      <c r="BV1217" s="1"/>
      <c r="BW1217" s="1"/>
      <c r="BX1217" s="1"/>
      <c r="BY1217" s="1"/>
      <c r="BZ1217" s="1">
        <v>0</v>
      </c>
      <c r="CA1217" s="1" t="s">
        <v>109</v>
      </c>
      <c r="CB1217" s="1" t="s">
        <v>109</v>
      </c>
      <c r="CC1217" s="1" t="s">
        <v>109</v>
      </c>
      <c r="CD1217" s="1" t="s">
        <v>109</v>
      </c>
      <c r="CE1217" s="1" t="s">
        <v>109</v>
      </c>
      <c r="CF1217" s="1" t="s">
        <v>109</v>
      </c>
      <c r="CG1217" s="1" t="s">
        <v>109</v>
      </c>
      <c r="CH1217" s="1" t="s">
        <v>109</v>
      </c>
      <c r="CI1217" s="1" t="s">
        <v>109</v>
      </c>
      <c r="CJ1217" s="1">
        <v>5</v>
      </c>
      <c r="CK1217" s="1"/>
      <c r="CL1217" s="1">
        <v>0</v>
      </c>
      <c r="CM1217" s="1">
        <v>0</v>
      </c>
      <c r="CN1217" s="1">
        <v>0</v>
      </c>
    </row>
    <row r="1218" spans="1:92" ht="14.25" customHeight="1" x14ac:dyDescent="0.15">
      <c r="A1218" s="1" t="s">
        <v>9727</v>
      </c>
      <c r="B1218" s="1" t="s">
        <v>584</v>
      </c>
      <c r="C1218" s="1"/>
      <c r="D1218" s="1" t="s">
        <v>9728</v>
      </c>
      <c r="E1218" s="1" t="s">
        <v>1101</v>
      </c>
      <c r="F1218" s="1" t="s">
        <v>98</v>
      </c>
      <c r="G1218" s="1" t="s">
        <v>9729</v>
      </c>
      <c r="H1218" s="1">
        <v>0</v>
      </c>
      <c r="I1218" s="1" t="s">
        <v>142</v>
      </c>
      <c r="J1218" s="1" t="s">
        <v>9730</v>
      </c>
      <c r="K1218" s="1"/>
      <c r="L1218" s="1"/>
      <c r="M1218" s="1" t="s">
        <v>574</v>
      </c>
      <c r="N1218" s="1">
        <v>1</v>
      </c>
      <c r="O1218" s="1">
        <v>0</v>
      </c>
      <c r="P1218" s="1" t="s">
        <v>103</v>
      </c>
      <c r="Q1218" s="1" t="s">
        <v>8631</v>
      </c>
      <c r="R1218" s="1" t="s">
        <v>9731</v>
      </c>
      <c r="S1218" s="1" t="s">
        <v>9732</v>
      </c>
      <c r="T1218" s="1" t="s">
        <v>9645</v>
      </c>
      <c r="U1218" s="1" t="s">
        <v>9733</v>
      </c>
      <c r="V1218" s="1">
        <v>1</v>
      </c>
      <c r="W1218" s="1">
        <v>1</v>
      </c>
      <c r="X1218" s="1">
        <v>1</v>
      </c>
      <c r="Y1218" s="1">
        <v>0</v>
      </c>
      <c r="Z1218" s="1">
        <v>0</v>
      </c>
      <c r="AA1218" s="1">
        <v>7</v>
      </c>
      <c r="AB1218" s="1">
        <v>7</v>
      </c>
      <c r="AC1218" s="1" t="s">
        <v>109</v>
      </c>
      <c r="AD1218" s="1" t="s">
        <v>109</v>
      </c>
      <c r="AE1218" s="1" t="s">
        <v>109</v>
      </c>
      <c r="AF1218" s="1" t="s">
        <v>109</v>
      </c>
      <c r="AG1218" s="1" t="s">
        <v>109</v>
      </c>
      <c r="AH1218" s="1" t="s">
        <v>109</v>
      </c>
      <c r="AI1218" s="1" t="s">
        <v>109</v>
      </c>
      <c r="AJ1218" s="1" t="s">
        <v>109</v>
      </c>
      <c r="AK1218" s="1" t="s">
        <v>109</v>
      </c>
      <c r="AL1218" s="1" t="s">
        <v>109</v>
      </c>
      <c r="AM1218" s="1" t="s">
        <v>109</v>
      </c>
      <c r="AN1218" s="1" t="s">
        <v>109</v>
      </c>
      <c r="AO1218" s="1" t="s">
        <v>109</v>
      </c>
      <c r="AP1218" s="1"/>
      <c r="AQ1218" s="1">
        <v>7</v>
      </c>
      <c r="AR1218" s="1"/>
      <c r="AS1218" s="1"/>
      <c r="AT1218" s="1">
        <v>0</v>
      </c>
      <c r="AU1218" s="1">
        <v>0</v>
      </c>
      <c r="AV1218" s="1">
        <v>0</v>
      </c>
      <c r="AW1218" s="1">
        <v>0</v>
      </c>
      <c r="AX1218" s="1">
        <v>0</v>
      </c>
      <c r="AY1218" s="1">
        <v>1</v>
      </c>
      <c r="AZ1218" s="1">
        <v>0</v>
      </c>
      <c r="BA1218" s="1">
        <v>0</v>
      </c>
      <c r="BB1218" s="1">
        <v>0</v>
      </c>
      <c r="BC1218" s="1">
        <v>0</v>
      </c>
      <c r="BD1218" s="1">
        <v>0</v>
      </c>
      <c r="BE1218" s="1">
        <v>0</v>
      </c>
      <c r="BF1218" s="1">
        <v>0</v>
      </c>
      <c r="BG1218" s="1">
        <v>0</v>
      </c>
      <c r="BH1218" s="1">
        <v>1</v>
      </c>
      <c r="BI1218" s="1">
        <v>0</v>
      </c>
      <c r="BJ1218" s="1">
        <v>0</v>
      </c>
      <c r="BK1218" s="1">
        <v>0</v>
      </c>
      <c r="BL1218" s="1">
        <v>0</v>
      </c>
      <c r="BM1218" s="1">
        <v>0</v>
      </c>
      <c r="BN1218" s="1">
        <v>0</v>
      </c>
      <c r="BO1218" s="1">
        <v>0</v>
      </c>
      <c r="BP1218" s="1">
        <v>0</v>
      </c>
      <c r="BQ1218" s="1">
        <v>0</v>
      </c>
      <c r="BR1218" s="1">
        <v>0</v>
      </c>
      <c r="BS1218" s="1" t="s">
        <v>109</v>
      </c>
      <c r="BT1218" s="1">
        <v>1264</v>
      </c>
      <c r="BU1218" s="1" t="s">
        <v>109</v>
      </c>
      <c r="BV1218" s="1"/>
      <c r="BW1218" s="1"/>
      <c r="BX1218" s="1"/>
      <c r="BY1218" s="1"/>
      <c r="BZ1218" s="1">
        <v>0</v>
      </c>
      <c r="CA1218" s="1" t="s">
        <v>109</v>
      </c>
      <c r="CB1218" s="1" t="s">
        <v>109</v>
      </c>
      <c r="CC1218" s="1" t="s">
        <v>109</v>
      </c>
      <c r="CD1218" s="1" t="s">
        <v>109</v>
      </c>
      <c r="CE1218" s="1" t="s">
        <v>109</v>
      </c>
      <c r="CF1218" s="1" t="s">
        <v>109</v>
      </c>
      <c r="CG1218" s="1" t="s">
        <v>109</v>
      </c>
      <c r="CH1218" s="1" t="s">
        <v>109</v>
      </c>
      <c r="CI1218" s="1" t="s">
        <v>109</v>
      </c>
      <c r="CJ1218" s="1" t="s">
        <v>109</v>
      </c>
      <c r="CK1218" s="1"/>
      <c r="CL1218" s="1">
        <v>0</v>
      </c>
      <c r="CM1218" s="1">
        <v>0</v>
      </c>
      <c r="CN1218" s="1">
        <v>0</v>
      </c>
    </row>
    <row r="1219" spans="1:92" ht="14.25" customHeight="1" x14ac:dyDescent="0.15">
      <c r="A1219" s="1" t="s">
        <v>9734</v>
      </c>
      <c r="B1219" s="1" t="s">
        <v>254</v>
      </c>
      <c r="C1219" s="1"/>
      <c r="D1219" s="1"/>
      <c r="E1219" s="1" t="s">
        <v>9735</v>
      </c>
      <c r="F1219" s="1" t="s">
        <v>98</v>
      </c>
      <c r="G1219" s="1" t="s">
        <v>9736</v>
      </c>
      <c r="H1219" s="1">
        <v>0</v>
      </c>
      <c r="I1219" s="1" t="s">
        <v>235</v>
      </c>
      <c r="J1219" s="1"/>
      <c r="K1219" s="1"/>
      <c r="L1219" s="1" t="s">
        <v>236</v>
      </c>
      <c r="M1219" s="1" t="s">
        <v>3042</v>
      </c>
      <c r="N1219" s="1">
        <v>0</v>
      </c>
      <c r="O1219" s="1">
        <v>0</v>
      </c>
      <c r="P1219" s="1"/>
      <c r="Q1219" s="1"/>
      <c r="R1219" s="1" t="s">
        <v>9737</v>
      </c>
      <c r="S1219" s="1" t="s">
        <v>9738</v>
      </c>
      <c r="T1219" s="1" t="s">
        <v>9645</v>
      </c>
      <c r="U1219" s="1" t="s">
        <v>9739</v>
      </c>
      <c r="V1219" s="1">
        <v>1</v>
      </c>
      <c r="W1219" s="1">
        <v>1</v>
      </c>
      <c r="X1219" s="1">
        <v>1</v>
      </c>
      <c r="Y1219" s="1">
        <v>0</v>
      </c>
      <c r="Z1219" s="1">
        <v>0</v>
      </c>
      <c r="AA1219" s="1" t="s">
        <v>109</v>
      </c>
      <c r="AB1219" s="1" t="s">
        <v>109</v>
      </c>
      <c r="AC1219" s="1" t="s">
        <v>109</v>
      </c>
      <c r="AD1219" s="1" t="s">
        <v>109</v>
      </c>
      <c r="AE1219" s="1">
        <v>2</v>
      </c>
      <c r="AF1219" s="1" t="s">
        <v>109</v>
      </c>
      <c r="AG1219" s="1" t="s">
        <v>109</v>
      </c>
      <c r="AH1219" s="1" t="s">
        <v>109</v>
      </c>
      <c r="AI1219" s="1" t="s">
        <v>109</v>
      </c>
      <c r="AJ1219" s="1" t="s">
        <v>109</v>
      </c>
      <c r="AK1219" s="1">
        <v>2</v>
      </c>
      <c r="AL1219" s="1" t="s">
        <v>109</v>
      </c>
      <c r="AM1219" s="1" t="s">
        <v>109</v>
      </c>
      <c r="AN1219" s="1" t="s">
        <v>109</v>
      </c>
      <c r="AO1219" s="1" t="s">
        <v>109</v>
      </c>
      <c r="AP1219" s="1"/>
      <c r="AQ1219" s="1">
        <v>2</v>
      </c>
      <c r="AR1219" s="1"/>
      <c r="AS1219" s="1"/>
      <c r="AT1219" s="1">
        <v>0</v>
      </c>
      <c r="AU1219" s="1">
        <v>0</v>
      </c>
      <c r="AV1219" s="1">
        <v>0</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t="s">
        <v>109</v>
      </c>
      <c r="BT1219" s="1">
        <v>1265</v>
      </c>
      <c r="BU1219" s="1" t="s">
        <v>109</v>
      </c>
      <c r="BV1219" s="1"/>
      <c r="BW1219" s="1"/>
      <c r="BX1219" s="1"/>
      <c r="BY1219" s="1"/>
      <c r="BZ1219" s="1">
        <v>0</v>
      </c>
      <c r="CA1219" s="1" t="s">
        <v>109</v>
      </c>
      <c r="CB1219" s="1" t="s">
        <v>109</v>
      </c>
      <c r="CC1219" s="1" t="s">
        <v>109</v>
      </c>
      <c r="CD1219" s="1" t="s">
        <v>109</v>
      </c>
      <c r="CE1219" s="1" t="s">
        <v>109</v>
      </c>
      <c r="CF1219" s="1" t="s">
        <v>109</v>
      </c>
      <c r="CG1219" s="1" t="s">
        <v>109</v>
      </c>
      <c r="CH1219" s="1" t="s">
        <v>109</v>
      </c>
      <c r="CI1219" s="1" t="s">
        <v>109</v>
      </c>
      <c r="CJ1219" s="1">
        <v>2</v>
      </c>
      <c r="CK1219" s="1"/>
      <c r="CL1219" s="1">
        <v>0</v>
      </c>
      <c r="CM1219" s="1">
        <v>0</v>
      </c>
      <c r="CN1219" s="1">
        <v>0</v>
      </c>
    </row>
    <row r="1220" spans="1:92" ht="14.25" customHeight="1" x14ac:dyDescent="0.15">
      <c r="A1220" s="1" t="s">
        <v>9740</v>
      </c>
      <c r="B1220" s="1" t="s">
        <v>189</v>
      </c>
      <c r="C1220" s="1"/>
      <c r="D1220" s="1"/>
      <c r="E1220" s="1" t="s">
        <v>9741</v>
      </c>
      <c r="F1220" s="1" t="s">
        <v>3514</v>
      </c>
      <c r="G1220" s="1" t="s">
        <v>9742</v>
      </c>
      <c r="H1220" s="1">
        <v>1</v>
      </c>
      <c r="I1220" s="1" t="s">
        <v>161</v>
      </c>
      <c r="J1220" s="1"/>
      <c r="K1220" s="1"/>
      <c r="L1220" s="1" t="s">
        <v>9743</v>
      </c>
      <c r="M1220" s="1" t="s">
        <v>289</v>
      </c>
      <c r="N1220" s="1">
        <v>0</v>
      </c>
      <c r="O1220" s="1">
        <v>0</v>
      </c>
      <c r="P1220" s="1" t="s">
        <v>103</v>
      </c>
      <c r="Q1220" s="1" t="s">
        <v>104</v>
      </c>
      <c r="R1220" s="1" t="s">
        <v>9744</v>
      </c>
      <c r="S1220" s="1" t="s">
        <v>9745</v>
      </c>
      <c r="T1220" s="1" t="s">
        <v>9645</v>
      </c>
      <c r="U1220" s="1" t="s">
        <v>9746</v>
      </c>
      <c r="V1220" s="1">
        <v>1</v>
      </c>
      <c r="W1220" s="1">
        <v>1</v>
      </c>
      <c r="X1220" s="1">
        <v>1</v>
      </c>
      <c r="Y1220" s="1">
        <v>0</v>
      </c>
      <c r="Z1220" s="1">
        <v>0</v>
      </c>
      <c r="AA1220" s="1">
        <v>6</v>
      </c>
      <c r="AB1220" s="1">
        <v>6</v>
      </c>
      <c r="AC1220" s="1">
        <v>6</v>
      </c>
      <c r="AD1220" s="1" t="s">
        <v>109</v>
      </c>
      <c r="AE1220" s="1" t="s">
        <v>109</v>
      </c>
      <c r="AF1220" s="1" t="s">
        <v>109</v>
      </c>
      <c r="AG1220" s="1" t="s">
        <v>109</v>
      </c>
      <c r="AH1220" s="1" t="s">
        <v>109</v>
      </c>
      <c r="AI1220" s="1" t="s">
        <v>109</v>
      </c>
      <c r="AJ1220" s="1" t="s">
        <v>109</v>
      </c>
      <c r="AK1220" s="1" t="s">
        <v>109</v>
      </c>
      <c r="AL1220" s="1">
        <v>6</v>
      </c>
      <c r="AM1220" s="1" t="s">
        <v>109</v>
      </c>
      <c r="AN1220" s="1">
        <v>5</v>
      </c>
      <c r="AO1220" s="1" t="s">
        <v>109</v>
      </c>
      <c r="AP1220" s="1"/>
      <c r="AQ1220" s="1">
        <v>6</v>
      </c>
      <c r="AR1220" s="1"/>
      <c r="AS1220" s="1"/>
      <c r="AT1220" s="1">
        <v>0</v>
      </c>
      <c r="AU1220" s="1">
        <v>0</v>
      </c>
      <c r="AV1220" s="1">
        <v>0</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t="s">
        <v>109</v>
      </c>
      <c r="BT1220" s="1">
        <v>1267</v>
      </c>
      <c r="BU1220" s="1">
        <v>1000</v>
      </c>
      <c r="BV1220" s="1"/>
      <c r="BW1220" s="1"/>
      <c r="BX1220" s="1"/>
      <c r="BY1220" s="1"/>
      <c r="BZ1220" s="1">
        <v>0</v>
      </c>
      <c r="CA1220" s="1" t="s">
        <v>109</v>
      </c>
      <c r="CB1220" s="1" t="s">
        <v>109</v>
      </c>
      <c r="CC1220" s="1" t="s">
        <v>109</v>
      </c>
      <c r="CD1220" s="1" t="s">
        <v>109</v>
      </c>
      <c r="CE1220" s="1" t="s">
        <v>109</v>
      </c>
      <c r="CF1220" s="1" t="s">
        <v>109</v>
      </c>
      <c r="CG1220" s="1" t="s">
        <v>109</v>
      </c>
      <c r="CH1220" s="1" t="s">
        <v>109</v>
      </c>
      <c r="CI1220" s="1" t="s">
        <v>109</v>
      </c>
      <c r="CJ1220" s="1" t="s">
        <v>109</v>
      </c>
      <c r="CK1220" s="1"/>
      <c r="CL1220" s="1">
        <v>0</v>
      </c>
      <c r="CM1220" s="1">
        <v>0</v>
      </c>
      <c r="CN1220" s="1">
        <v>0</v>
      </c>
    </row>
    <row r="1221" spans="1:92" ht="14.25" customHeight="1" x14ac:dyDescent="0.15">
      <c r="A1221" s="1" t="s">
        <v>9747</v>
      </c>
      <c r="B1221" s="1" t="s">
        <v>308</v>
      </c>
      <c r="C1221" s="1"/>
      <c r="D1221" s="1" t="s">
        <v>57</v>
      </c>
      <c r="E1221" s="1" t="s">
        <v>9748</v>
      </c>
      <c r="F1221" s="1" t="s">
        <v>98</v>
      </c>
      <c r="G1221" s="1" t="s">
        <v>9749</v>
      </c>
      <c r="H1221" s="1">
        <v>0</v>
      </c>
      <c r="I1221" s="1" t="s">
        <v>9750</v>
      </c>
      <c r="J1221" s="1"/>
      <c r="K1221" s="1" t="s">
        <v>9751</v>
      </c>
      <c r="L1221" s="1"/>
      <c r="M1221" s="1" t="s">
        <v>125</v>
      </c>
      <c r="N1221" s="1">
        <v>0</v>
      </c>
      <c r="O1221" s="1">
        <v>0</v>
      </c>
      <c r="P1221" s="1" t="s">
        <v>9752</v>
      </c>
      <c r="Q1221" s="1" t="s">
        <v>104</v>
      </c>
      <c r="R1221" s="1" t="s">
        <v>9753</v>
      </c>
      <c r="S1221" s="1" t="s">
        <v>9754</v>
      </c>
      <c r="T1221" s="1" t="s">
        <v>9645</v>
      </c>
      <c r="U1221" s="1" t="s">
        <v>9755</v>
      </c>
      <c r="V1221" s="1">
        <v>1</v>
      </c>
      <c r="W1221" s="1">
        <v>1</v>
      </c>
      <c r="X1221" s="1">
        <v>1</v>
      </c>
      <c r="Y1221" s="1">
        <v>0</v>
      </c>
      <c r="Z1221" s="1">
        <v>1</v>
      </c>
      <c r="AA1221" s="1">
        <v>5</v>
      </c>
      <c r="AB1221" s="1">
        <v>5</v>
      </c>
      <c r="AC1221" s="1">
        <v>5</v>
      </c>
      <c r="AD1221" s="1" t="s">
        <v>109</v>
      </c>
      <c r="AE1221" s="1" t="s">
        <v>109</v>
      </c>
      <c r="AF1221" s="1" t="s">
        <v>109</v>
      </c>
      <c r="AG1221" s="1" t="s">
        <v>109</v>
      </c>
      <c r="AH1221" s="1" t="s">
        <v>109</v>
      </c>
      <c r="AI1221" s="1" t="s">
        <v>109</v>
      </c>
      <c r="AJ1221" s="1">
        <v>5</v>
      </c>
      <c r="AK1221" s="1" t="s">
        <v>109</v>
      </c>
      <c r="AL1221" s="1">
        <v>5</v>
      </c>
      <c r="AM1221" s="1" t="s">
        <v>109</v>
      </c>
      <c r="AN1221" s="1" t="s">
        <v>109</v>
      </c>
      <c r="AO1221" s="1" t="s">
        <v>109</v>
      </c>
      <c r="AP1221" s="1"/>
      <c r="AQ1221" s="1">
        <v>5</v>
      </c>
      <c r="AR1221" s="1"/>
      <c r="AS1221" s="1"/>
      <c r="AT1221" s="1">
        <v>0</v>
      </c>
      <c r="AU1221" s="1">
        <v>0</v>
      </c>
      <c r="AV1221" s="1">
        <v>0</v>
      </c>
      <c r="AW1221" s="1">
        <v>0</v>
      </c>
      <c r="AX1221" s="1">
        <v>0</v>
      </c>
      <c r="AY1221" s="1">
        <v>0</v>
      </c>
      <c r="AZ1221" s="1">
        <v>0</v>
      </c>
      <c r="BA1221" s="1">
        <v>0</v>
      </c>
      <c r="BB1221" s="1">
        <v>0</v>
      </c>
      <c r="BC1221" s="1">
        <v>0</v>
      </c>
      <c r="BD1221" s="1">
        <v>0</v>
      </c>
      <c r="BE1221" s="1">
        <v>1</v>
      </c>
      <c r="BF1221" s="1">
        <v>0</v>
      </c>
      <c r="BG1221" s="1">
        <v>0</v>
      </c>
      <c r="BH1221" s="1">
        <v>0</v>
      </c>
      <c r="BI1221" s="1">
        <v>0</v>
      </c>
      <c r="BJ1221" s="1">
        <v>0</v>
      </c>
      <c r="BK1221" s="1">
        <v>0</v>
      </c>
      <c r="BL1221" s="1">
        <v>0</v>
      </c>
      <c r="BM1221" s="1">
        <v>0</v>
      </c>
      <c r="BN1221" s="1">
        <v>0</v>
      </c>
      <c r="BO1221" s="1">
        <v>0</v>
      </c>
      <c r="BP1221" s="1">
        <v>0</v>
      </c>
      <c r="BQ1221" s="1">
        <v>0</v>
      </c>
      <c r="BR1221" s="1">
        <v>0</v>
      </c>
      <c r="BS1221" s="1" t="s">
        <v>109</v>
      </c>
      <c r="BT1221" s="1">
        <v>1268</v>
      </c>
      <c r="BU1221" s="1" t="s">
        <v>109</v>
      </c>
      <c r="BV1221" s="1"/>
      <c r="BW1221" s="1"/>
      <c r="BX1221" s="1"/>
      <c r="BY1221" s="1"/>
      <c r="BZ1221" s="1">
        <v>0</v>
      </c>
      <c r="CA1221" s="1" t="s">
        <v>109</v>
      </c>
      <c r="CB1221" s="1" t="s">
        <v>109</v>
      </c>
      <c r="CC1221" s="1" t="s">
        <v>109</v>
      </c>
      <c r="CD1221" s="1" t="s">
        <v>109</v>
      </c>
      <c r="CE1221" s="1" t="s">
        <v>109</v>
      </c>
      <c r="CF1221" s="1" t="s">
        <v>109</v>
      </c>
      <c r="CG1221" s="1" t="s">
        <v>109</v>
      </c>
      <c r="CH1221" s="1" t="s">
        <v>109</v>
      </c>
      <c r="CI1221" s="1" t="s">
        <v>109</v>
      </c>
      <c r="CJ1221" s="1" t="s">
        <v>109</v>
      </c>
      <c r="CK1221" s="1"/>
      <c r="CL1221" s="1">
        <v>0</v>
      </c>
      <c r="CM1221" s="1">
        <v>0</v>
      </c>
      <c r="CN1221" s="1">
        <v>0</v>
      </c>
    </row>
    <row r="1222" spans="1:92" ht="14.25" customHeight="1" x14ac:dyDescent="0.15">
      <c r="A1222" s="1" t="s">
        <v>9756</v>
      </c>
      <c r="B1222" s="1" t="s">
        <v>189</v>
      </c>
      <c r="C1222" s="1"/>
      <c r="D1222" s="1"/>
      <c r="E1222" s="1" t="s">
        <v>9757</v>
      </c>
      <c r="F1222" s="1" t="s">
        <v>98</v>
      </c>
      <c r="G1222" s="1" t="s">
        <v>9758</v>
      </c>
      <c r="H1222" s="1">
        <v>1</v>
      </c>
      <c r="I1222" s="1" t="s">
        <v>161</v>
      </c>
      <c r="J1222" s="1" t="s">
        <v>9759</v>
      </c>
      <c r="K1222" s="1"/>
      <c r="L1222" s="1"/>
      <c r="M1222" s="1" t="s">
        <v>125</v>
      </c>
      <c r="N1222" s="1">
        <v>0</v>
      </c>
      <c r="O1222" s="1">
        <v>0</v>
      </c>
      <c r="P1222" s="1" t="s">
        <v>301</v>
      </c>
      <c r="Q1222" s="1" t="s">
        <v>268</v>
      </c>
      <c r="R1222" s="1" t="s">
        <v>9760</v>
      </c>
      <c r="S1222" s="1" t="s">
        <v>9761</v>
      </c>
      <c r="T1222" s="1" t="s">
        <v>9645</v>
      </c>
      <c r="U1222" s="1" t="s">
        <v>9762</v>
      </c>
      <c r="V1222" s="1">
        <v>1</v>
      </c>
      <c r="W1222" s="1">
        <v>1</v>
      </c>
      <c r="X1222" s="1">
        <v>1</v>
      </c>
      <c r="Y1222" s="1">
        <v>0</v>
      </c>
      <c r="Z1222" s="1">
        <v>0</v>
      </c>
      <c r="AA1222" s="1" t="s">
        <v>109</v>
      </c>
      <c r="AB1222" s="1" t="s">
        <v>109</v>
      </c>
      <c r="AC1222" s="1" t="s">
        <v>109</v>
      </c>
      <c r="AD1222" s="1">
        <v>4</v>
      </c>
      <c r="AE1222" s="1" t="s">
        <v>109</v>
      </c>
      <c r="AF1222" s="1">
        <v>4</v>
      </c>
      <c r="AG1222" s="1" t="s">
        <v>109</v>
      </c>
      <c r="AH1222" s="1" t="s">
        <v>109</v>
      </c>
      <c r="AI1222" s="1" t="s">
        <v>109</v>
      </c>
      <c r="AJ1222" s="1" t="s">
        <v>109</v>
      </c>
      <c r="AK1222" s="1" t="s">
        <v>109</v>
      </c>
      <c r="AL1222" s="1" t="s">
        <v>109</v>
      </c>
      <c r="AM1222" s="1" t="s">
        <v>109</v>
      </c>
      <c r="AN1222" s="1" t="s">
        <v>109</v>
      </c>
      <c r="AO1222" s="1" t="s">
        <v>109</v>
      </c>
      <c r="AP1222" s="1"/>
      <c r="AQ1222" s="1">
        <v>4</v>
      </c>
      <c r="AR1222" s="1"/>
      <c r="AS1222" s="1"/>
      <c r="AT1222" s="1">
        <v>0</v>
      </c>
      <c r="AU1222" s="1">
        <v>0</v>
      </c>
      <c r="AV1222" s="1">
        <v>0</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t="s">
        <v>109</v>
      </c>
      <c r="BT1222" s="1">
        <v>1269</v>
      </c>
      <c r="BU1222" s="1">
        <v>100</v>
      </c>
      <c r="BV1222" s="1"/>
      <c r="BW1222" s="1"/>
      <c r="BX1222" s="1"/>
      <c r="BY1222" s="1"/>
      <c r="BZ1222" s="1">
        <v>0</v>
      </c>
      <c r="CA1222" s="1" t="s">
        <v>109</v>
      </c>
      <c r="CB1222" s="1" t="s">
        <v>109</v>
      </c>
      <c r="CC1222" s="1" t="s">
        <v>109</v>
      </c>
      <c r="CD1222" s="1" t="s">
        <v>109</v>
      </c>
      <c r="CE1222" s="1" t="s">
        <v>109</v>
      </c>
      <c r="CF1222" s="1" t="s">
        <v>109</v>
      </c>
      <c r="CG1222" s="1" t="s">
        <v>109</v>
      </c>
      <c r="CH1222" s="1" t="s">
        <v>109</v>
      </c>
      <c r="CI1222" s="1" t="s">
        <v>109</v>
      </c>
      <c r="CJ1222" s="1">
        <v>4</v>
      </c>
      <c r="CK1222" s="1"/>
      <c r="CL1222" s="1">
        <v>0</v>
      </c>
      <c r="CM1222" s="1">
        <v>0</v>
      </c>
      <c r="CN1222" s="1">
        <v>0</v>
      </c>
    </row>
    <row r="1223" spans="1:92" ht="14.25" customHeight="1" x14ac:dyDescent="0.15">
      <c r="A1223" s="1" t="s">
        <v>9763</v>
      </c>
      <c r="B1223" s="1" t="s">
        <v>95</v>
      </c>
      <c r="C1223" s="1"/>
      <c r="D1223" s="1" t="s">
        <v>6874</v>
      </c>
      <c r="E1223" s="1" t="s">
        <v>9764</v>
      </c>
      <c r="F1223" s="1" t="s">
        <v>277</v>
      </c>
      <c r="G1223" s="1" t="s">
        <v>160</v>
      </c>
      <c r="H1223" s="1">
        <v>0</v>
      </c>
      <c r="I1223" s="1" t="s">
        <v>9765</v>
      </c>
      <c r="J1223" s="1"/>
      <c r="K1223" s="1"/>
      <c r="L1223" s="1" t="s">
        <v>9766</v>
      </c>
      <c r="M1223" s="1" t="s">
        <v>3042</v>
      </c>
      <c r="N1223" s="1">
        <v>0</v>
      </c>
      <c r="O1223" s="1">
        <v>0</v>
      </c>
      <c r="P1223" s="1" t="s">
        <v>380</v>
      </c>
      <c r="Q1223" s="1" t="s">
        <v>268</v>
      </c>
      <c r="R1223" s="1" t="s">
        <v>9767</v>
      </c>
      <c r="S1223" s="1" t="s">
        <v>9768</v>
      </c>
      <c r="T1223" s="1" t="s">
        <v>9645</v>
      </c>
      <c r="U1223" s="1" t="s">
        <v>9769</v>
      </c>
      <c r="V1223" s="1">
        <v>1</v>
      </c>
      <c r="W1223" s="1">
        <v>1</v>
      </c>
      <c r="X1223" s="1">
        <v>0</v>
      </c>
      <c r="Y1223" s="1">
        <v>0</v>
      </c>
      <c r="Z1223" s="1">
        <v>1</v>
      </c>
      <c r="AA1223" s="1" t="s">
        <v>109</v>
      </c>
      <c r="AB1223" s="1" t="s">
        <v>109</v>
      </c>
      <c r="AC1223" s="1">
        <v>3</v>
      </c>
      <c r="AD1223" s="1" t="s">
        <v>109</v>
      </c>
      <c r="AE1223" s="1" t="s">
        <v>109</v>
      </c>
      <c r="AF1223" s="1" t="s">
        <v>109</v>
      </c>
      <c r="AG1223" s="1">
        <v>2</v>
      </c>
      <c r="AH1223" s="1" t="s">
        <v>109</v>
      </c>
      <c r="AI1223" s="1" t="s">
        <v>109</v>
      </c>
      <c r="AJ1223" s="1" t="s">
        <v>109</v>
      </c>
      <c r="AK1223" s="1">
        <v>3</v>
      </c>
      <c r="AL1223" s="1">
        <v>3</v>
      </c>
      <c r="AM1223" s="1" t="s">
        <v>109</v>
      </c>
      <c r="AN1223" s="1" t="s">
        <v>109</v>
      </c>
      <c r="AO1223" s="1" t="s">
        <v>109</v>
      </c>
      <c r="AP1223" s="1"/>
      <c r="AQ1223" s="1">
        <v>3</v>
      </c>
      <c r="AR1223" s="1"/>
      <c r="AS1223" s="1"/>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1</v>
      </c>
      <c r="BJ1223" s="1">
        <v>0</v>
      </c>
      <c r="BK1223" s="1">
        <v>0</v>
      </c>
      <c r="BL1223" s="1">
        <v>1</v>
      </c>
      <c r="BM1223" s="1">
        <v>0</v>
      </c>
      <c r="BN1223" s="1">
        <v>0</v>
      </c>
      <c r="BO1223" s="1">
        <v>0</v>
      </c>
      <c r="BP1223" s="1">
        <v>0</v>
      </c>
      <c r="BQ1223" s="1">
        <v>0</v>
      </c>
      <c r="BR1223" s="1">
        <v>0</v>
      </c>
      <c r="BS1223" s="1" t="s">
        <v>109</v>
      </c>
      <c r="BT1223" s="1">
        <v>1270</v>
      </c>
      <c r="BU1223" s="1" t="s">
        <v>109</v>
      </c>
      <c r="BV1223" s="1"/>
      <c r="BW1223" s="1"/>
      <c r="BX1223" s="1"/>
      <c r="BY1223" s="1"/>
      <c r="BZ1223" s="1">
        <v>0</v>
      </c>
      <c r="CA1223" s="1" t="s">
        <v>109</v>
      </c>
      <c r="CB1223" s="1" t="s">
        <v>109</v>
      </c>
      <c r="CC1223" s="1" t="s">
        <v>109</v>
      </c>
      <c r="CD1223" s="1" t="s">
        <v>109</v>
      </c>
      <c r="CE1223" s="1" t="s">
        <v>109</v>
      </c>
      <c r="CF1223" s="1" t="s">
        <v>109</v>
      </c>
      <c r="CG1223" s="1" t="s">
        <v>109</v>
      </c>
      <c r="CH1223" s="1" t="s">
        <v>109</v>
      </c>
      <c r="CI1223" s="1" t="s">
        <v>109</v>
      </c>
      <c r="CJ1223" s="1" t="s">
        <v>109</v>
      </c>
      <c r="CK1223" s="1"/>
      <c r="CL1223" s="1">
        <v>0</v>
      </c>
      <c r="CM1223" s="1">
        <v>0</v>
      </c>
      <c r="CN1223" s="1">
        <v>0</v>
      </c>
    </row>
    <row r="1224" spans="1:92" ht="14.25" customHeight="1" x14ac:dyDescent="0.15">
      <c r="A1224" s="1" t="s">
        <v>9770</v>
      </c>
      <c r="B1224" s="1" t="s">
        <v>156</v>
      </c>
      <c r="C1224" s="1" t="s">
        <v>157</v>
      </c>
      <c r="D1224" s="1" t="s">
        <v>158</v>
      </c>
      <c r="E1224" s="1" t="s">
        <v>2403</v>
      </c>
      <c r="F1224" s="1" t="s">
        <v>98</v>
      </c>
      <c r="G1224" s="1" t="s">
        <v>9771</v>
      </c>
      <c r="H1224" s="1">
        <v>0</v>
      </c>
      <c r="I1224" s="1" t="s">
        <v>142</v>
      </c>
      <c r="J1224" s="1"/>
      <c r="K1224" s="1"/>
      <c r="L1224" s="1" t="s">
        <v>7789</v>
      </c>
      <c r="M1224" s="1" t="s">
        <v>125</v>
      </c>
      <c r="N1224" s="1">
        <v>0</v>
      </c>
      <c r="O1224" s="1">
        <v>0</v>
      </c>
      <c r="P1224" s="1" t="s">
        <v>301</v>
      </c>
      <c r="Q1224" s="1" t="s">
        <v>268</v>
      </c>
      <c r="R1224" s="1" t="s">
        <v>9772</v>
      </c>
      <c r="S1224" s="1" t="s">
        <v>9773</v>
      </c>
      <c r="T1224" s="1" t="s">
        <v>9645</v>
      </c>
      <c r="U1224" s="1" t="s">
        <v>9774</v>
      </c>
      <c r="V1224" s="1">
        <v>1</v>
      </c>
      <c r="W1224" s="1">
        <v>1</v>
      </c>
      <c r="X1224" s="1">
        <v>1</v>
      </c>
      <c r="Y1224" s="1">
        <v>0</v>
      </c>
      <c r="Z1224" s="1">
        <v>0</v>
      </c>
      <c r="AA1224" s="1" t="s">
        <v>109</v>
      </c>
      <c r="AB1224" s="1" t="s">
        <v>109</v>
      </c>
      <c r="AC1224" s="1" t="s">
        <v>109</v>
      </c>
      <c r="AD1224" s="1" t="s">
        <v>109</v>
      </c>
      <c r="AE1224" s="1" t="s">
        <v>109</v>
      </c>
      <c r="AF1224" s="1">
        <v>3</v>
      </c>
      <c r="AG1224" s="1" t="s">
        <v>109</v>
      </c>
      <c r="AH1224" s="1" t="s">
        <v>109</v>
      </c>
      <c r="AI1224" s="1" t="s">
        <v>109</v>
      </c>
      <c r="AJ1224" s="1" t="s">
        <v>109</v>
      </c>
      <c r="AK1224" s="1" t="s">
        <v>109</v>
      </c>
      <c r="AL1224" s="1" t="s">
        <v>109</v>
      </c>
      <c r="AM1224" s="1" t="s">
        <v>109</v>
      </c>
      <c r="AN1224" s="1" t="s">
        <v>109</v>
      </c>
      <c r="AO1224" s="1" t="s">
        <v>109</v>
      </c>
      <c r="AP1224" s="1"/>
      <c r="AQ1224" s="1">
        <v>3</v>
      </c>
      <c r="AR1224" s="1"/>
      <c r="AS1224" s="1"/>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1</v>
      </c>
      <c r="BN1224" s="1">
        <v>0</v>
      </c>
      <c r="BO1224" s="1">
        <v>0</v>
      </c>
      <c r="BP1224" s="1">
        <v>0</v>
      </c>
      <c r="BQ1224" s="1">
        <v>0</v>
      </c>
      <c r="BR1224" s="1">
        <v>0</v>
      </c>
      <c r="BS1224" s="1" t="s">
        <v>109</v>
      </c>
      <c r="BT1224" s="1">
        <v>1271</v>
      </c>
      <c r="BU1224" s="1" t="s">
        <v>109</v>
      </c>
      <c r="BV1224" s="1"/>
      <c r="BW1224" s="1"/>
      <c r="BX1224" s="1"/>
      <c r="BY1224" s="1"/>
      <c r="BZ1224" s="1">
        <v>0</v>
      </c>
      <c r="CA1224" s="1" t="s">
        <v>109</v>
      </c>
      <c r="CB1224" s="1" t="s">
        <v>109</v>
      </c>
      <c r="CC1224" s="1" t="s">
        <v>109</v>
      </c>
      <c r="CD1224" s="1" t="s">
        <v>109</v>
      </c>
      <c r="CE1224" s="1" t="s">
        <v>109</v>
      </c>
      <c r="CF1224" s="1" t="s">
        <v>109</v>
      </c>
      <c r="CG1224" s="1" t="s">
        <v>109</v>
      </c>
      <c r="CH1224" s="1" t="s">
        <v>109</v>
      </c>
      <c r="CI1224" s="1" t="s">
        <v>109</v>
      </c>
      <c r="CJ1224" s="1" t="s">
        <v>109</v>
      </c>
      <c r="CK1224" s="1"/>
      <c r="CL1224" s="1">
        <v>0</v>
      </c>
      <c r="CM1224" s="1">
        <v>0</v>
      </c>
      <c r="CN1224" s="1">
        <v>0</v>
      </c>
    </row>
    <row r="1225" spans="1:92" ht="14.25" customHeight="1" x14ac:dyDescent="0.15">
      <c r="A1225" s="1" t="s">
        <v>9775</v>
      </c>
      <c r="B1225" s="1" t="s">
        <v>189</v>
      </c>
      <c r="C1225" s="1"/>
      <c r="D1225" s="1" t="s">
        <v>61</v>
      </c>
      <c r="E1225" s="1" t="s">
        <v>7708</v>
      </c>
      <c r="F1225" s="1" t="s">
        <v>1963</v>
      </c>
      <c r="G1225" s="1" t="s">
        <v>333</v>
      </c>
      <c r="H1225" s="1">
        <v>0</v>
      </c>
      <c r="I1225" s="1" t="s">
        <v>235</v>
      </c>
      <c r="J1225" s="1"/>
      <c r="K1225" s="1"/>
      <c r="L1225" s="1" t="s">
        <v>236</v>
      </c>
      <c r="M1225" s="1" t="s">
        <v>125</v>
      </c>
      <c r="N1225" s="1">
        <v>0</v>
      </c>
      <c r="O1225" s="1">
        <v>0</v>
      </c>
      <c r="P1225" s="1" t="s">
        <v>103</v>
      </c>
      <c r="Q1225" s="1" t="s">
        <v>104</v>
      </c>
      <c r="R1225" s="1" t="s">
        <v>9776</v>
      </c>
      <c r="S1225" s="1" t="s">
        <v>9777</v>
      </c>
      <c r="T1225" s="1" t="s">
        <v>9645</v>
      </c>
      <c r="U1225" s="1" t="s">
        <v>9778</v>
      </c>
      <c r="V1225" s="1">
        <v>1</v>
      </c>
      <c r="W1225" s="1">
        <v>0</v>
      </c>
      <c r="X1225" s="1">
        <v>0</v>
      </c>
      <c r="Y1225" s="1">
        <v>0</v>
      </c>
      <c r="Z1225" s="1">
        <v>0</v>
      </c>
      <c r="AA1225" s="1" t="s">
        <v>109</v>
      </c>
      <c r="AB1225" s="1" t="s">
        <v>109</v>
      </c>
      <c r="AC1225" s="1">
        <v>2</v>
      </c>
      <c r="AD1225" s="1" t="s">
        <v>109</v>
      </c>
      <c r="AE1225" s="1" t="s">
        <v>109</v>
      </c>
      <c r="AF1225" s="1" t="s">
        <v>109</v>
      </c>
      <c r="AG1225" s="1">
        <v>2</v>
      </c>
      <c r="AH1225" s="1" t="s">
        <v>109</v>
      </c>
      <c r="AI1225" s="1" t="s">
        <v>109</v>
      </c>
      <c r="AJ1225" s="1" t="s">
        <v>109</v>
      </c>
      <c r="AK1225" s="1" t="s">
        <v>109</v>
      </c>
      <c r="AL1225" s="1">
        <v>2</v>
      </c>
      <c r="AM1225" s="1" t="s">
        <v>109</v>
      </c>
      <c r="AN1225" s="1" t="s">
        <v>109</v>
      </c>
      <c r="AO1225" s="1" t="s">
        <v>109</v>
      </c>
      <c r="AP1225" s="1"/>
      <c r="AQ1225" s="1">
        <v>2</v>
      </c>
      <c r="AR1225" s="1"/>
      <c r="AS1225" s="1"/>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1</v>
      </c>
      <c r="BJ1225" s="1">
        <v>0</v>
      </c>
      <c r="BK1225" s="1">
        <v>0</v>
      </c>
      <c r="BL1225" s="1">
        <v>0</v>
      </c>
      <c r="BM1225" s="1">
        <v>0</v>
      </c>
      <c r="BN1225" s="1">
        <v>0</v>
      </c>
      <c r="BO1225" s="1">
        <v>0</v>
      </c>
      <c r="BP1225" s="1">
        <v>0</v>
      </c>
      <c r="BQ1225" s="1">
        <v>0</v>
      </c>
      <c r="BR1225" s="1">
        <v>0</v>
      </c>
      <c r="BS1225" s="1" t="s">
        <v>109</v>
      </c>
      <c r="BT1225" s="1">
        <v>1272</v>
      </c>
      <c r="BU1225" s="1" t="s">
        <v>109</v>
      </c>
      <c r="BV1225" s="1"/>
      <c r="BW1225" s="1" t="s">
        <v>9779</v>
      </c>
      <c r="BX1225" s="1"/>
      <c r="BY1225" s="1"/>
      <c r="BZ1225" s="1">
        <v>0</v>
      </c>
      <c r="CA1225" s="1" t="s">
        <v>109</v>
      </c>
      <c r="CB1225" s="1" t="s">
        <v>109</v>
      </c>
      <c r="CC1225" s="1" t="s">
        <v>109</v>
      </c>
      <c r="CD1225" s="1" t="s">
        <v>109</v>
      </c>
      <c r="CE1225" s="1" t="s">
        <v>109</v>
      </c>
      <c r="CF1225" s="1" t="s">
        <v>109</v>
      </c>
      <c r="CG1225" s="1" t="s">
        <v>109</v>
      </c>
      <c r="CH1225" s="1" t="s">
        <v>109</v>
      </c>
      <c r="CI1225" s="1" t="s">
        <v>109</v>
      </c>
      <c r="CJ1225" s="1" t="s">
        <v>109</v>
      </c>
      <c r="CK1225" s="1"/>
      <c r="CL1225" s="1">
        <v>0</v>
      </c>
      <c r="CM1225" s="1">
        <v>0</v>
      </c>
      <c r="CN1225" s="1">
        <v>0</v>
      </c>
    </row>
    <row r="1226" spans="1:92" ht="14.25" customHeight="1" x14ac:dyDescent="0.15">
      <c r="A1226" s="1" t="s">
        <v>9780</v>
      </c>
      <c r="B1226" s="1" t="s">
        <v>95</v>
      </c>
      <c r="C1226" s="1" t="s">
        <v>694</v>
      </c>
      <c r="D1226" s="1" t="s">
        <v>69</v>
      </c>
      <c r="E1226" s="1" t="s">
        <v>9781</v>
      </c>
      <c r="F1226" s="1" t="s">
        <v>98</v>
      </c>
      <c r="G1226" s="1" t="s">
        <v>9782</v>
      </c>
      <c r="H1226" s="1">
        <v>0</v>
      </c>
      <c r="I1226" s="1" t="s">
        <v>915</v>
      </c>
      <c r="J1226" s="1" t="s">
        <v>9783</v>
      </c>
      <c r="K1226" s="1"/>
      <c r="L1226" s="1"/>
      <c r="M1226" s="1" t="s">
        <v>9784</v>
      </c>
      <c r="N1226" s="1">
        <v>0</v>
      </c>
      <c r="O1226" s="1">
        <v>0</v>
      </c>
      <c r="P1226" s="1" t="s">
        <v>103</v>
      </c>
      <c r="Q1226" s="1" t="s">
        <v>167</v>
      </c>
      <c r="R1226" s="1" t="s">
        <v>9785</v>
      </c>
      <c r="S1226" s="1" t="s">
        <v>9786</v>
      </c>
      <c r="T1226" s="1" t="s">
        <v>9645</v>
      </c>
      <c r="U1226" s="1" t="s">
        <v>9787</v>
      </c>
      <c r="V1226" s="1">
        <v>1</v>
      </c>
      <c r="W1226" s="1">
        <v>1</v>
      </c>
      <c r="X1226" s="1">
        <v>1</v>
      </c>
      <c r="Y1226" s="1">
        <v>0</v>
      </c>
      <c r="Z1226" s="1">
        <v>0</v>
      </c>
      <c r="AA1226" s="1" t="s">
        <v>109</v>
      </c>
      <c r="AB1226" s="1" t="s">
        <v>109</v>
      </c>
      <c r="AC1226" s="1">
        <v>6</v>
      </c>
      <c r="AD1226" s="1" t="s">
        <v>109</v>
      </c>
      <c r="AE1226" s="1" t="s">
        <v>109</v>
      </c>
      <c r="AF1226" s="1">
        <v>5</v>
      </c>
      <c r="AG1226" s="1" t="s">
        <v>109</v>
      </c>
      <c r="AH1226" s="1" t="s">
        <v>109</v>
      </c>
      <c r="AI1226" s="1" t="s">
        <v>109</v>
      </c>
      <c r="AJ1226" s="1" t="s">
        <v>109</v>
      </c>
      <c r="AK1226" s="1" t="s">
        <v>109</v>
      </c>
      <c r="AL1226" s="1">
        <v>6</v>
      </c>
      <c r="AM1226" s="1" t="s">
        <v>109</v>
      </c>
      <c r="AN1226" s="1" t="s">
        <v>109</v>
      </c>
      <c r="AO1226" s="1" t="s">
        <v>109</v>
      </c>
      <c r="AP1226" s="1"/>
      <c r="AQ1226" s="1">
        <v>6</v>
      </c>
      <c r="AR1226" s="1"/>
      <c r="AS1226" s="1"/>
      <c r="AT1226" s="1">
        <v>0</v>
      </c>
      <c r="AU1226" s="1">
        <v>0</v>
      </c>
      <c r="AV1226" s="1">
        <v>0</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1</v>
      </c>
      <c r="BR1226" s="1">
        <v>0</v>
      </c>
      <c r="BS1226" s="1" t="s">
        <v>109</v>
      </c>
      <c r="BT1226" s="1">
        <v>1273</v>
      </c>
      <c r="BU1226" s="1" t="s">
        <v>109</v>
      </c>
      <c r="BV1226" s="1"/>
      <c r="BW1226" s="1"/>
      <c r="BX1226" s="1"/>
      <c r="BY1226" s="1"/>
      <c r="BZ1226" s="1">
        <v>0</v>
      </c>
      <c r="CA1226" s="1" t="s">
        <v>109</v>
      </c>
      <c r="CB1226" s="1" t="s">
        <v>109</v>
      </c>
      <c r="CC1226" s="1" t="s">
        <v>109</v>
      </c>
      <c r="CD1226" s="1" t="s">
        <v>109</v>
      </c>
      <c r="CE1226" s="1" t="s">
        <v>109</v>
      </c>
      <c r="CF1226" s="1" t="s">
        <v>109</v>
      </c>
      <c r="CG1226" s="1" t="s">
        <v>109</v>
      </c>
      <c r="CH1226" s="1" t="s">
        <v>109</v>
      </c>
      <c r="CI1226" s="1" t="s">
        <v>109</v>
      </c>
      <c r="CJ1226" s="1" t="s">
        <v>109</v>
      </c>
      <c r="CK1226" s="1"/>
      <c r="CL1226" s="1">
        <v>0</v>
      </c>
      <c r="CM1226" s="1">
        <v>0</v>
      </c>
      <c r="CN1226" s="1">
        <v>0</v>
      </c>
    </row>
    <row r="1227" spans="1:92" ht="14.25" customHeight="1" x14ac:dyDescent="0.15">
      <c r="A1227" s="1" t="s">
        <v>9788</v>
      </c>
      <c r="B1227" s="1" t="s">
        <v>189</v>
      </c>
      <c r="C1227" s="1"/>
      <c r="D1227" s="1"/>
      <c r="E1227" s="1" t="s">
        <v>5810</v>
      </c>
      <c r="F1227" s="1" t="s">
        <v>98</v>
      </c>
      <c r="G1227" s="1" t="s">
        <v>9789</v>
      </c>
      <c r="H1227" s="1">
        <v>1</v>
      </c>
      <c r="I1227" s="1" t="s">
        <v>235</v>
      </c>
      <c r="J1227" s="1"/>
      <c r="K1227" s="1"/>
      <c r="L1227" s="1" t="s">
        <v>236</v>
      </c>
      <c r="M1227" s="1" t="s">
        <v>289</v>
      </c>
      <c r="N1227" s="1">
        <v>0</v>
      </c>
      <c r="O1227" s="1">
        <v>0</v>
      </c>
      <c r="P1227" s="1"/>
      <c r="Q1227" s="1"/>
      <c r="R1227" s="1" t="s">
        <v>9790</v>
      </c>
      <c r="S1227" s="1" t="s">
        <v>9791</v>
      </c>
      <c r="T1227" s="1" t="s">
        <v>9645</v>
      </c>
      <c r="U1227" s="1" t="s">
        <v>9792</v>
      </c>
      <c r="V1227" s="1">
        <v>1</v>
      </c>
      <c r="W1227" s="1">
        <v>1</v>
      </c>
      <c r="X1227" s="1">
        <v>1</v>
      </c>
      <c r="Y1227" s="1">
        <v>0</v>
      </c>
      <c r="Z1227" s="1">
        <v>0</v>
      </c>
      <c r="AA1227" s="1" t="s">
        <v>109</v>
      </c>
      <c r="AB1227" s="1" t="s">
        <v>109</v>
      </c>
      <c r="AC1227" s="1" t="s">
        <v>109</v>
      </c>
      <c r="AD1227" s="1" t="s">
        <v>109</v>
      </c>
      <c r="AE1227" s="1" t="s">
        <v>109</v>
      </c>
      <c r="AF1227" s="1" t="s">
        <v>109</v>
      </c>
      <c r="AG1227" s="1" t="s">
        <v>109</v>
      </c>
      <c r="AH1227" s="1">
        <v>3</v>
      </c>
      <c r="AI1227" s="1" t="s">
        <v>109</v>
      </c>
      <c r="AJ1227" s="1" t="s">
        <v>109</v>
      </c>
      <c r="AK1227" s="1" t="s">
        <v>109</v>
      </c>
      <c r="AL1227" s="1" t="s">
        <v>109</v>
      </c>
      <c r="AM1227" s="1" t="s">
        <v>109</v>
      </c>
      <c r="AN1227" s="1" t="s">
        <v>109</v>
      </c>
      <c r="AO1227" s="1" t="s">
        <v>109</v>
      </c>
      <c r="AP1227" s="1"/>
      <c r="AQ1227" s="1">
        <v>3</v>
      </c>
      <c r="AR1227" s="1"/>
      <c r="AS1227" s="1"/>
      <c r="AT1227" s="1">
        <v>0</v>
      </c>
      <c r="AU1227" s="1">
        <v>0</v>
      </c>
      <c r="AV1227" s="1">
        <v>0</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t="s">
        <v>109</v>
      </c>
      <c r="BT1227" s="1">
        <v>1274</v>
      </c>
      <c r="BU1227" s="1">
        <v>500</v>
      </c>
      <c r="BV1227" s="1"/>
      <c r="BW1227" s="1"/>
      <c r="BX1227" s="1"/>
      <c r="BY1227" s="1"/>
      <c r="BZ1227" s="1">
        <v>0</v>
      </c>
      <c r="CA1227" s="1" t="s">
        <v>109</v>
      </c>
      <c r="CB1227" s="1" t="s">
        <v>109</v>
      </c>
      <c r="CC1227" s="1" t="s">
        <v>109</v>
      </c>
      <c r="CD1227" s="1" t="s">
        <v>109</v>
      </c>
      <c r="CE1227" s="1" t="s">
        <v>109</v>
      </c>
      <c r="CF1227" s="1" t="s">
        <v>109</v>
      </c>
      <c r="CG1227" s="1" t="s">
        <v>109</v>
      </c>
      <c r="CH1227" s="1" t="s">
        <v>109</v>
      </c>
      <c r="CI1227" s="1" t="s">
        <v>109</v>
      </c>
      <c r="CJ1227" s="1" t="s">
        <v>109</v>
      </c>
      <c r="CK1227" s="1"/>
      <c r="CL1227" s="1">
        <v>0</v>
      </c>
      <c r="CM1227" s="1">
        <v>0</v>
      </c>
      <c r="CN1227" s="1">
        <v>0</v>
      </c>
    </row>
    <row r="1228" spans="1:92" ht="14.25" customHeight="1" x14ac:dyDescent="0.15">
      <c r="A1228" s="1" t="s">
        <v>9793</v>
      </c>
      <c r="B1228" s="1" t="s">
        <v>156</v>
      </c>
      <c r="C1228" s="1" t="s">
        <v>157</v>
      </c>
      <c r="D1228" s="1" t="s">
        <v>158</v>
      </c>
      <c r="E1228" s="1" t="s">
        <v>9794</v>
      </c>
      <c r="F1228" s="1" t="s">
        <v>98</v>
      </c>
      <c r="G1228" s="1" t="s">
        <v>9795</v>
      </c>
      <c r="H1228" s="1">
        <v>0</v>
      </c>
      <c r="I1228" s="1" t="s">
        <v>9796</v>
      </c>
      <c r="J1228" s="1"/>
      <c r="K1228" s="1"/>
      <c r="L1228" s="1" t="s">
        <v>9797</v>
      </c>
      <c r="M1228" s="1" t="s">
        <v>125</v>
      </c>
      <c r="N1228" s="1">
        <v>0</v>
      </c>
      <c r="O1228" s="1">
        <v>0</v>
      </c>
      <c r="P1228" s="1" t="s">
        <v>301</v>
      </c>
      <c r="Q1228" s="1" t="s">
        <v>268</v>
      </c>
      <c r="R1228" s="1" t="s">
        <v>9798</v>
      </c>
      <c r="S1228" s="1" t="s">
        <v>9799</v>
      </c>
      <c r="T1228" s="1" t="s">
        <v>9645</v>
      </c>
      <c r="U1228" s="1" t="s">
        <v>9800</v>
      </c>
      <c r="V1228" s="1">
        <v>1</v>
      </c>
      <c r="W1228" s="1">
        <v>1</v>
      </c>
      <c r="X1228" s="1">
        <v>1</v>
      </c>
      <c r="Y1228" s="1">
        <v>0</v>
      </c>
      <c r="Z1228" s="1">
        <v>0</v>
      </c>
      <c r="AA1228" s="1">
        <v>3</v>
      </c>
      <c r="AB1228" s="1">
        <v>3</v>
      </c>
      <c r="AC1228" s="1" t="s">
        <v>109</v>
      </c>
      <c r="AD1228" s="1" t="s">
        <v>109</v>
      </c>
      <c r="AE1228" s="1" t="s">
        <v>109</v>
      </c>
      <c r="AF1228" s="1">
        <v>2</v>
      </c>
      <c r="AG1228" s="1" t="s">
        <v>109</v>
      </c>
      <c r="AH1228" s="1" t="s">
        <v>109</v>
      </c>
      <c r="AI1228" s="1" t="s">
        <v>109</v>
      </c>
      <c r="AJ1228" s="1">
        <v>3</v>
      </c>
      <c r="AK1228" s="1" t="s">
        <v>109</v>
      </c>
      <c r="AL1228" s="1" t="s">
        <v>109</v>
      </c>
      <c r="AM1228" s="1" t="s">
        <v>109</v>
      </c>
      <c r="AN1228" s="1" t="s">
        <v>109</v>
      </c>
      <c r="AO1228" s="1" t="s">
        <v>109</v>
      </c>
      <c r="AP1228" s="1"/>
      <c r="AQ1228" s="1">
        <v>3</v>
      </c>
      <c r="AR1228" s="1"/>
      <c r="AS1228" s="1"/>
      <c r="AT1228" s="1">
        <v>0</v>
      </c>
      <c r="AU1228" s="1">
        <v>0</v>
      </c>
      <c r="AV1228" s="1">
        <v>0</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1</v>
      </c>
      <c r="BN1228" s="1">
        <v>0</v>
      </c>
      <c r="BO1228" s="1">
        <v>0</v>
      </c>
      <c r="BP1228" s="1">
        <v>0</v>
      </c>
      <c r="BQ1228" s="1">
        <v>0</v>
      </c>
      <c r="BR1228" s="1">
        <v>0</v>
      </c>
      <c r="BS1228" s="1" t="s">
        <v>109</v>
      </c>
      <c r="BT1228" s="1">
        <v>1275</v>
      </c>
      <c r="BU1228" s="1" t="s">
        <v>109</v>
      </c>
      <c r="BV1228" s="1"/>
      <c r="BW1228" s="1"/>
      <c r="BX1228" s="1"/>
      <c r="BY1228" s="1"/>
      <c r="BZ1228" s="1">
        <v>0</v>
      </c>
      <c r="CA1228" s="1" t="s">
        <v>109</v>
      </c>
      <c r="CB1228" s="1" t="s">
        <v>109</v>
      </c>
      <c r="CC1228" s="1" t="s">
        <v>109</v>
      </c>
      <c r="CD1228" s="1" t="s">
        <v>109</v>
      </c>
      <c r="CE1228" s="1" t="s">
        <v>109</v>
      </c>
      <c r="CF1228" s="1" t="s">
        <v>109</v>
      </c>
      <c r="CG1228" s="1" t="s">
        <v>109</v>
      </c>
      <c r="CH1228" s="1" t="s">
        <v>109</v>
      </c>
      <c r="CI1228" s="1" t="s">
        <v>109</v>
      </c>
      <c r="CJ1228" s="1" t="s">
        <v>109</v>
      </c>
      <c r="CK1228" s="1"/>
      <c r="CL1228" s="1">
        <v>0</v>
      </c>
      <c r="CM1228" s="1">
        <v>0</v>
      </c>
      <c r="CN1228" s="1">
        <v>0</v>
      </c>
    </row>
    <row r="1229" spans="1:92" ht="14.25" customHeight="1" x14ac:dyDescent="0.15">
      <c r="A1229" s="1" t="s">
        <v>9801</v>
      </c>
      <c r="B1229" s="1" t="s">
        <v>674</v>
      </c>
      <c r="C1229" s="1" t="s">
        <v>68</v>
      </c>
      <c r="D1229" s="1" t="s">
        <v>51</v>
      </c>
      <c r="E1229" s="1" t="s">
        <v>9802</v>
      </c>
      <c r="F1229" s="1" t="s">
        <v>98</v>
      </c>
      <c r="G1229" s="1" t="s">
        <v>9803</v>
      </c>
      <c r="H1229" s="1">
        <v>0</v>
      </c>
      <c r="I1229" s="1" t="s">
        <v>925</v>
      </c>
      <c r="J1229" s="1"/>
      <c r="K1229" s="1" t="s">
        <v>9804</v>
      </c>
      <c r="L1229" s="1"/>
      <c r="M1229" s="1" t="s">
        <v>125</v>
      </c>
      <c r="N1229" s="1">
        <v>0</v>
      </c>
      <c r="O1229" s="1">
        <v>0</v>
      </c>
      <c r="P1229" s="1" t="s">
        <v>2475</v>
      </c>
      <c r="Q1229" s="1" t="s">
        <v>104</v>
      </c>
      <c r="R1229" s="1" t="s">
        <v>9805</v>
      </c>
      <c r="S1229" s="1" t="s">
        <v>9806</v>
      </c>
      <c r="T1229" s="1" t="s">
        <v>9645</v>
      </c>
      <c r="U1229" s="1" t="s">
        <v>9807</v>
      </c>
      <c r="V1229" s="1">
        <v>1</v>
      </c>
      <c r="W1229" s="1">
        <v>1</v>
      </c>
      <c r="X1229" s="1">
        <v>1</v>
      </c>
      <c r="Y1229" s="1">
        <v>0</v>
      </c>
      <c r="Z1229" s="1">
        <v>0</v>
      </c>
      <c r="AA1229" s="1">
        <v>4</v>
      </c>
      <c r="AB1229" s="1">
        <v>4</v>
      </c>
      <c r="AC1229" s="1">
        <v>4</v>
      </c>
      <c r="AD1229" s="1" t="s">
        <v>109</v>
      </c>
      <c r="AE1229" s="1" t="s">
        <v>109</v>
      </c>
      <c r="AF1229" s="1" t="s">
        <v>109</v>
      </c>
      <c r="AG1229" s="1" t="s">
        <v>109</v>
      </c>
      <c r="AH1229" s="1" t="s">
        <v>109</v>
      </c>
      <c r="AI1229" s="1" t="s">
        <v>109</v>
      </c>
      <c r="AJ1229" s="1" t="s">
        <v>109</v>
      </c>
      <c r="AK1229" s="1">
        <v>4</v>
      </c>
      <c r="AL1229" s="1">
        <v>4</v>
      </c>
      <c r="AM1229" s="1" t="s">
        <v>109</v>
      </c>
      <c r="AN1229" s="1" t="s">
        <v>109</v>
      </c>
      <c r="AO1229" s="1" t="s">
        <v>109</v>
      </c>
      <c r="AP1229" s="1"/>
      <c r="AQ1229" s="1">
        <v>4</v>
      </c>
      <c r="AR1229" s="1"/>
      <c r="AS1229" s="1"/>
      <c r="AT1229" s="1">
        <v>0</v>
      </c>
      <c r="AU1229" s="1">
        <v>0</v>
      </c>
      <c r="AV1229" s="1">
        <v>0</v>
      </c>
      <c r="AW1229" s="1">
        <v>0</v>
      </c>
      <c r="AX1229" s="1">
        <v>0</v>
      </c>
      <c r="AY1229" s="1">
        <v>1</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t="s">
        <v>109</v>
      </c>
      <c r="BT1229" s="1">
        <v>1276</v>
      </c>
      <c r="BU1229" s="1" t="s">
        <v>109</v>
      </c>
      <c r="BV1229" s="1"/>
      <c r="BW1229" s="1"/>
      <c r="BX1229" s="1"/>
      <c r="BY1229" s="1"/>
      <c r="BZ1229" s="1">
        <v>0</v>
      </c>
      <c r="CA1229" s="1" t="s">
        <v>109</v>
      </c>
      <c r="CB1229" s="1" t="s">
        <v>109</v>
      </c>
      <c r="CC1229" s="1" t="s">
        <v>109</v>
      </c>
      <c r="CD1229" s="1" t="s">
        <v>109</v>
      </c>
      <c r="CE1229" s="1" t="s">
        <v>109</v>
      </c>
      <c r="CF1229" s="1" t="s">
        <v>109</v>
      </c>
      <c r="CG1229" s="1" t="s">
        <v>109</v>
      </c>
      <c r="CH1229" s="1" t="s">
        <v>109</v>
      </c>
      <c r="CI1229" s="1" t="s">
        <v>109</v>
      </c>
      <c r="CJ1229" s="1" t="s">
        <v>109</v>
      </c>
      <c r="CK1229" s="1"/>
      <c r="CL1229" s="1">
        <v>0</v>
      </c>
      <c r="CM1229" s="1">
        <v>0</v>
      </c>
      <c r="CN1229" s="1">
        <v>0</v>
      </c>
    </row>
    <row r="1230" spans="1:92" ht="14.25" customHeight="1" x14ac:dyDescent="0.15">
      <c r="A1230" s="1" t="s">
        <v>9808</v>
      </c>
      <c r="B1230" s="1" t="s">
        <v>584</v>
      </c>
      <c r="C1230" s="1"/>
      <c r="D1230" s="1" t="s">
        <v>60</v>
      </c>
      <c r="E1230" s="1" t="s">
        <v>9809</v>
      </c>
      <c r="F1230" s="1" t="s">
        <v>98</v>
      </c>
      <c r="G1230" s="1" t="s">
        <v>9810</v>
      </c>
      <c r="H1230" s="1">
        <v>1</v>
      </c>
      <c r="I1230" s="1" t="s">
        <v>1192</v>
      </c>
      <c r="J1230" s="1"/>
      <c r="K1230" s="1"/>
      <c r="L1230" s="1" t="s">
        <v>7789</v>
      </c>
      <c r="M1230" s="1" t="s">
        <v>9811</v>
      </c>
      <c r="N1230" s="1">
        <v>0</v>
      </c>
      <c r="O1230" s="1">
        <v>0</v>
      </c>
      <c r="P1230" s="1" t="s">
        <v>9812</v>
      </c>
      <c r="Q1230" s="1" t="s">
        <v>268</v>
      </c>
      <c r="R1230" s="1" t="s">
        <v>9813</v>
      </c>
      <c r="S1230" s="1" t="s">
        <v>9814</v>
      </c>
      <c r="T1230" s="1" t="s">
        <v>9645</v>
      </c>
      <c r="U1230" s="1" t="s">
        <v>9815</v>
      </c>
      <c r="V1230" s="1">
        <v>1</v>
      </c>
      <c r="W1230" s="1">
        <v>1</v>
      </c>
      <c r="X1230" s="1">
        <v>1</v>
      </c>
      <c r="Y1230" s="1">
        <v>0</v>
      </c>
      <c r="Z1230" s="1">
        <v>0</v>
      </c>
      <c r="AA1230" s="1" t="s">
        <v>109</v>
      </c>
      <c r="AB1230" s="1" t="s">
        <v>109</v>
      </c>
      <c r="AC1230" s="1" t="s">
        <v>109</v>
      </c>
      <c r="AD1230" s="1" t="s">
        <v>109</v>
      </c>
      <c r="AE1230" s="1" t="s">
        <v>109</v>
      </c>
      <c r="AF1230" s="1" t="s">
        <v>109</v>
      </c>
      <c r="AG1230" s="1" t="s">
        <v>109</v>
      </c>
      <c r="AH1230" s="1" t="s">
        <v>109</v>
      </c>
      <c r="AI1230" s="1" t="s">
        <v>109</v>
      </c>
      <c r="AJ1230" s="1" t="s">
        <v>109</v>
      </c>
      <c r="AK1230" s="1" t="s">
        <v>109</v>
      </c>
      <c r="AL1230" s="1" t="s">
        <v>109</v>
      </c>
      <c r="AM1230" s="1" t="s">
        <v>109</v>
      </c>
      <c r="AN1230" s="1">
        <v>3</v>
      </c>
      <c r="AO1230" s="1" t="s">
        <v>109</v>
      </c>
      <c r="AP1230" s="1"/>
      <c r="AQ1230" s="1">
        <v>3</v>
      </c>
      <c r="AR1230" s="1"/>
      <c r="AS1230" s="1"/>
      <c r="AT1230" s="1">
        <v>0</v>
      </c>
      <c r="AU1230" s="1">
        <v>0</v>
      </c>
      <c r="AV1230" s="1">
        <v>0</v>
      </c>
      <c r="AW1230" s="1">
        <v>0</v>
      </c>
      <c r="AX1230" s="1">
        <v>0</v>
      </c>
      <c r="AY1230" s="1">
        <v>0</v>
      </c>
      <c r="AZ1230" s="1">
        <v>0</v>
      </c>
      <c r="BA1230" s="1">
        <v>0</v>
      </c>
      <c r="BB1230" s="1">
        <v>0</v>
      </c>
      <c r="BC1230" s="1">
        <v>0</v>
      </c>
      <c r="BD1230" s="1">
        <v>0</v>
      </c>
      <c r="BE1230" s="1">
        <v>0</v>
      </c>
      <c r="BF1230" s="1">
        <v>0</v>
      </c>
      <c r="BG1230" s="1">
        <v>0</v>
      </c>
      <c r="BH1230" s="1">
        <v>1</v>
      </c>
      <c r="BI1230" s="1">
        <v>0</v>
      </c>
      <c r="BJ1230" s="1">
        <v>0</v>
      </c>
      <c r="BK1230" s="1">
        <v>0</v>
      </c>
      <c r="BL1230" s="1">
        <v>0</v>
      </c>
      <c r="BM1230" s="1">
        <v>0</v>
      </c>
      <c r="BN1230" s="1">
        <v>0</v>
      </c>
      <c r="BO1230" s="1">
        <v>0</v>
      </c>
      <c r="BP1230" s="1">
        <v>0</v>
      </c>
      <c r="BQ1230" s="1">
        <v>0</v>
      </c>
      <c r="BR1230" s="1">
        <v>0</v>
      </c>
      <c r="BS1230" s="1" t="s">
        <v>109</v>
      </c>
      <c r="BT1230" s="1">
        <v>1277</v>
      </c>
      <c r="BU1230" s="1">
        <v>100</v>
      </c>
      <c r="BV1230" s="1"/>
      <c r="BW1230" s="1"/>
      <c r="BX1230" s="1"/>
      <c r="BY1230" s="1"/>
      <c r="BZ1230" s="1">
        <v>0</v>
      </c>
      <c r="CA1230" s="1" t="s">
        <v>109</v>
      </c>
      <c r="CB1230" s="1" t="s">
        <v>109</v>
      </c>
      <c r="CC1230" s="1" t="s">
        <v>109</v>
      </c>
      <c r="CD1230" s="1" t="s">
        <v>109</v>
      </c>
      <c r="CE1230" s="1" t="s">
        <v>109</v>
      </c>
      <c r="CF1230" s="1" t="s">
        <v>109</v>
      </c>
      <c r="CG1230" s="1" t="s">
        <v>109</v>
      </c>
      <c r="CH1230" s="1" t="s">
        <v>109</v>
      </c>
      <c r="CI1230" s="1" t="s">
        <v>109</v>
      </c>
      <c r="CJ1230" s="1" t="s">
        <v>109</v>
      </c>
      <c r="CK1230" s="1"/>
      <c r="CL1230" s="1">
        <v>0</v>
      </c>
      <c r="CM1230" s="1">
        <v>0</v>
      </c>
      <c r="CN1230" s="1">
        <v>0</v>
      </c>
    </row>
    <row r="1231" spans="1:92" ht="14.25" customHeight="1" x14ac:dyDescent="0.15">
      <c r="A1231" s="1" t="s">
        <v>9816</v>
      </c>
      <c r="B1231" s="1" t="s">
        <v>242</v>
      </c>
      <c r="C1231" s="1"/>
      <c r="D1231" s="1"/>
      <c r="E1231" s="1" t="s">
        <v>9748</v>
      </c>
      <c r="F1231" s="1" t="s">
        <v>98</v>
      </c>
      <c r="G1231" s="1" t="s">
        <v>9817</v>
      </c>
      <c r="H1231" s="1">
        <v>0</v>
      </c>
      <c r="I1231" s="1" t="s">
        <v>161</v>
      </c>
      <c r="J1231" s="1"/>
      <c r="K1231" s="1"/>
      <c r="L1231" s="1" t="s">
        <v>506</v>
      </c>
      <c r="M1231" s="1" t="s">
        <v>144</v>
      </c>
      <c r="N1231" s="1">
        <v>0</v>
      </c>
      <c r="O1231" s="1">
        <v>0</v>
      </c>
      <c r="P1231" s="1" t="s">
        <v>103</v>
      </c>
      <c r="Q1231" s="1" t="s">
        <v>104</v>
      </c>
      <c r="R1231" s="1" t="s">
        <v>9818</v>
      </c>
      <c r="S1231" s="1" t="s">
        <v>9819</v>
      </c>
      <c r="T1231" s="1" t="s">
        <v>9645</v>
      </c>
      <c r="U1231" s="1" t="s">
        <v>9820</v>
      </c>
      <c r="V1231" s="1">
        <v>1</v>
      </c>
      <c r="W1231" s="1">
        <v>1</v>
      </c>
      <c r="X1231" s="1">
        <v>1</v>
      </c>
      <c r="Y1231" s="1">
        <v>0</v>
      </c>
      <c r="Z1231" s="1">
        <v>0</v>
      </c>
      <c r="AA1231" s="1">
        <v>5</v>
      </c>
      <c r="AB1231" s="1">
        <v>5</v>
      </c>
      <c r="AC1231" s="1">
        <v>5</v>
      </c>
      <c r="AD1231" s="1" t="s">
        <v>109</v>
      </c>
      <c r="AE1231" s="1" t="s">
        <v>109</v>
      </c>
      <c r="AF1231" s="1" t="s">
        <v>109</v>
      </c>
      <c r="AG1231" s="1" t="s">
        <v>109</v>
      </c>
      <c r="AH1231" s="1" t="s">
        <v>109</v>
      </c>
      <c r="AI1231" s="1" t="s">
        <v>109</v>
      </c>
      <c r="AJ1231" s="1">
        <v>5</v>
      </c>
      <c r="AK1231" s="1" t="s">
        <v>109</v>
      </c>
      <c r="AL1231" s="1">
        <v>5</v>
      </c>
      <c r="AM1231" s="1" t="s">
        <v>109</v>
      </c>
      <c r="AN1231" s="1" t="s">
        <v>109</v>
      </c>
      <c r="AO1231" s="1" t="s">
        <v>109</v>
      </c>
      <c r="AP1231" s="1"/>
      <c r="AQ1231" s="1">
        <v>5</v>
      </c>
      <c r="AR1231" s="1"/>
      <c r="AS1231" s="1"/>
      <c r="AT1231" s="1">
        <v>0</v>
      </c>
      <c r="AU1231" s="1">
        <v>0</v>
      </c>
      <c r="AV1231" s="1">
        <v>0</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t="s">
        <v>109</v>
      </c>
      <c r="BT1231" s="1">
        <v>1278</v>
      </c>
      <c r="BU1231" s="1" t="s">
        <v>109</v>
      </c>
      <c r="BV1231" s="1"/>
      <c r="BW1231" s="1"/>
      <c r="BX1231" s="1"/>
      <c r="BY1231" s="1"/>
      <c r="BZ1231" s="1">
        <v>0</v>
      </c>
      <c r="CA1231" s="1" t="s">
        <v>109</v>
      </c>
      <c r="CB1231" s="1" t="s">
        <v>109</v>
      </c>
      <c r="CC1231" s="1" t="s">
        <v>109</v>
      </c>
      <c r="CD1231" s="1" t="s">
        <v>109</v>
      </c>
      <c r="CE1231" s="1" t="s">
        <v>109</v>
      </c>
      <c r="CF1231" s="1" t="s">
        <v>109</v>
      </c>
      <c r="CG1231" s="1" t="s">
        <v>109</v>
      </c>
      <c r="CH1231" s="1" t="s">
        <v>109</v>
      </c>
      <c r="CI1231" s="1" t="s">
        <v>109</v>
      </c>
      <c r="CJ1231" s="1" t="s">
        <v>109</v>
      </c>
      <c r="CK1231" s="1"/>
      <c r="CL1231" s="1">
        <v>0</v>
      </c>
      <c r="CM1231" s="1">
        <v>0</v>
      </c>
      <c r="CN1231" s="1">
        <v>0</v>
      </c>
    </row>
    <row r="1232" spans="1:92" ht="14.25" customHeight="1" x14ac:dyDescent="0.15">
      <c r="A1232" s="1" t="s">
        <v>9821</v>
      </c>
      <c r="B1232" s="1" t="s">
        <v>95</v>
      </c>
      <c r="C1232" s="1" t="s">
        <v>694</v>
      </c>
      <c r="D1232" s="1"/>
      <c r="E1232" s="1" t="s">
        <v>6342</v>
      </c>
      <c r="F1232" s="1" t="s">
        <v>98</v>
      </c>
      <c r="G1232" s="1" t="s">
        <v>141</v>
      </c>
      <c r="H1232" s="1">
        <v>0</v>
      </c>
      <c r="I1232" s="1" t="s">
        <v>142</v>
      </c>
      <c r="J1232" s="1"/>
      <c r="K1232" s="1"/>
      <c r="L1232" s="1" t="s">
        <v>6282</v>
      </c>
      <c r="M1232" s="1" t="s">
        <v>9822</v>
      </c>
      <c r="N1232" s="1">
        <v>0</v>
      </c>
      <c r="O1232" s="1">
        <v>0</v>
      </c>
      <c r="P1232" s="1"/>
      <c r="Q1232" s="1"/>
      <c r="R1232" s="1" t="s">
        <v>9823</v>
      </c>
      <c r="S1232" s="1" t="s">
        <v>9824</v>
      </c>
      <c r="T1232" s="1" t="s">
        <v>9645</v>
      </c>
      <c r="U1232" s="1" t="s">
        <v>9825</v>
      </c>
      <c r="V1232" s="1">
        <v>1</v>
      </c>
      <c r="W1232" s="1">
        <v>1</v>
      </c>
      <c r="X1232" s="1">
        <v>0</v>
      </c>
      <c r="Y1232" s="1">
        <v>0</v>
      </c>
      <c r="Z1232" s="1">
        <v>0</v>
      </c>
      <c r="AA1232" s="1" t="s">
        <v>109</v>
      </c>
      <c r="AB1232" s="1" t="s">
        <v>109</v>
      </c>
      <c r="AC1232" s="1" t="s">
        <v>109</v>
      </c>
      <c r="AD1232" s="1" t="s">
        <v>109</v>
      </c>
      <c r="AE1232" s="1" t="s">
        <v>109</v>
      </c>
      <c r="AF1232" s="1">
        <v>4</v>
      </c>
      <c r="AG1232" s="1" t="s">
        <v>109</v>
      </c>
      <c r="AH1232" s="1" t="s">
        <v>109</v>
      </c>
      <c r="AI1232" s="1" t="s">
        <v>109</v>
      </c>
      <c r="AJ1232" s="1" t="s">
        <v>109</v>
      </c>
      <c r="AK1232" s="1" t="s">
        <v>109</v>
      </c>
      <c r="AL1232" s="1" t="s">
        <v>109</v>
      </c>
      <c r="AM1232" s="1" t="s">
        <v>109</v>
      </c>
      <c r="AN1232" s="1" t="s">
        <v>109</v>
      </c>
      <c r="AO1232" s="1" t="s">
        <v>109</v>
      </c>
      <c r="AP1232" s="1"/>
      <c r="AQ1232" s="1">
        <v>4</v>
      </c>
      <c r="AR1232" s="1"/>
      <c r="AS1232" s="1"/>
      <c r="AT1232" s="1">
        <v>0</v>
      </c>
      <c r="AU1232" s="1">
        <v>0</v>
      </c>
      <c r="AV1232" s="1">
        <v>0</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t="s">
        <v>109</v>
      </c>
      <c r="BT1232" s="1">
        <v>1279</v>
      </c>
      <c r="BU1232" s="1" t="s">
        <v>109</v>
      </c>
      <c r="BV1232" s="1"/>
      <c r="BW1232" s="1"/>
      <c r="BX1232" s="1"/>
      <c r="BY1232" s="1"/>
      <c r="BZ1232" s="1">
        <v>0</v>
      </c>
      <c r="CA1232" s="1" t="s">
        <v>109</v>
      </c>
      <c r="CB1232" s="1" t="s">
        <v>109</v>
      </c>
      <c r="CC1232" s="1" t="s">
        <v>109</v>
      </c>
      <c r="CD1232" s="1" t="s">
        <v>109</v>
      </c>
      <c r="CE1232" s="1" t="s">
        <v>109</v>
      </c>
      <c r="CF1232" s="1" t="s">
        <v>109</v>
      </c>
      <c r="CG1232" s="1" t="s">
        <v>109</v>
      </c>
      <c r="CH1232" s="1" t="s">
        <v>109</v>
      </c>
      <c r="CI1232" s="1" t="s">
        <v>109</v>
      </c>
      <c r="CJ1232" s="1" t="s">
        <v>109</v>
      </c>
      <c r="CK1232" s="1"/>
      <c r="CL1232" s="1">
        <v>0</v>
      </c>
      <c r="CM1232" s="1">
        <v>0</v>
      </c>
      <c r="CN1232" s="1">
        <v>0</v>
      </c>
    </row>
    <row r="1233" spans="1:92" ht="14.25" customHeight="1" x14ac:dyDescent="0.15">
      <c r="A1233" s="1" t="s">
        <v>9826</v>
      </c>
      <c r="B1233" s="1" t="s">
        <v>242</v>
      </c>
      <c r="C1233" s="1"/>
      <c r="D1233" s="1"/>
      <c r="E1233" s="1" t="s">
        <v>8537</v>
      </c>
      <c r="F1233" s="1" t="s">
        <v>355</v>
      </c>
      <c r="G1233" s="1" t="s">
        <v>9827</v>
      </c>
      <c r="H1233" s="1">
        <v>0</v>
      </c>
      <c r="I1233" s="1" t="s">
        <v>235</v>
      </c>
      <c r="J1233" s="1"/>
      <c r="K1233" s="1"/>
      <c r="L1233" s="1" t="s">
        <v>236</v>
      </c>
      <c r="M1233" s="1" t="s">
        <v>125</v>
      </c>
      <c r="N1233" s="1">
        <v>0</v>
      </c>
      <c r="O1233" s="1">
        <v>0</v>
      </c>
      <c r="P1233" s="1"/>
      <c r="Q1233" s="1"/>
      <c r="R1233" s="1" t="s">
        <v>9828</v>
      </c>
      <c r="S1233" s="1" t="s">
        <v>9829</v>
      </c>
      <c r="T1233" s="1" t="s">
        <v>9645</v>
      </c>
      <c r="U1233" s="1" t="s">
        <v>9830</v>
      </c>
      <c r="V1233" s="1">
        <v>1</v>
      </c>
      <c r="W1233" s="1">
        <v>1</v>
      </c>
      <c r="X1233" s="1">
        <v>1</v>
      </c>
      <c r="Y1233" s="1">
        <v>0</v>
      </c>
      <c r="Z1233" s="1">
        <v>0</v>
      </c>
      <c r="AA1233" s="1">
        <v>5</v>
      </c>
      <c r="AB1233" s="1">
        <v>5</v>
      </c>
      <c r="AC1233" s="1" t="s">
        <v>109</v>
      </c>
      <c r="AD1233" s="1" t="s">
        <v>109</v>
      </c>
      <c r="AE1233" s="1" t="s">
        <v>109</v>
      </c>
      <c r="AF1233" s="1" t="s">
        <v>109</v>
      </c>
      <c r="AG1233" s="1" t="s">
        <v>109</v>
      </c>
      <c r="AH1233" s="1" t="s">
        <v>109</v>
      </c>
      <c r="AI1233" s="1" t="s">
        <v>109</v>
      </c>
      <c r="AJ1233" s="1" t="s">
        <v>109</v>
      </c>
      <c r="AK1233" s="1" t="s">
        <v>109</v>
      </c>
      <c r="AL1233" s="1" t="s">
        <v>109</v>
      </c>
      <c r="AM1233" s="1" t="s">
        <v>109</v>
      </c>
      <c r="AN1233" s="1" t="s">
        <v>109</v>
      </c>
      <c r="AO1233" s="1" t="s">
        <v>109</v>
      </c>
      <c r="AP1233" s="1"/>
      <c r="AQ1233" s="1">
        <v>5</v>
      </c>
      <c r="AR1233" s="1"/>
      <c r="AS1233" s="1"/>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t="s">
        <v>109</v>
      </c>
      <c r="BT1233" s="1">
        <v>1280</v>
      </c>
      <c r="BU1233" s="1" t="s">
        <v>109</v>
      </c>
      <c r="BV1233" s="1"/>
      <c r="BW1233" s="1"/>
      <c r="BX1233" s="1"/>
      <c r="BY1233" s="1"/>
      <c r="BZ1233" s="1">
        <v>0</v>
      </c>
      <c r="CA1233" s="1" t="s">
        <v>109</v>
      </c>
      <c r="CB1233" s="1" t="s">
        <v>109</v>
      </c>
      <c r="CC1233" s="1" t="s">
        <v>109</v>
      </c>
      <c r="CD1233" s="1" t="s">
        <v>109</v>
      </c>
      <c r="CE1233" s="1" t="s">
        <v>109</v>
      </c>
      <c r="CF1233" s="1" t="s">
        <v>109</v>
      </c>
      <c r="CG1233" s="1" t="s">
        <v>109</v>
      </c>
      <c r="CH1233" s="1" t="s">
        <v>109</v>
      </c>
      <c r="CI1233" s="1" t="s">
        <v>109</v>
      </c>
      <c r="CJ1233" s="1" t="s">
        <v>109</v>
      </c>
      <c r="CK1233" s="1"/>
      <c r="CL1233" s="1">
        <v>0</v>
      </c>
      <c r="CM1233" s="1">
        <v>0</v>
      </c>
      <c r="CN1233" s="1">
        <v>0</v>
      </c>
    </row>
    <row r="1234" spans="1:92" ht="14.25" customHeight="1" x14ac:dyDescent="0.15">
      <c r="A1234" s="1" t="s">
        <v>9831</v>
      </c>
      <c r="B1234" s="1" t="s">
        <v>242</v>
      </c>
      <c r="C1234" s="1"/>
      <c r="D1234" s="1"/>
      <c r="E1234" s="1" t="s">
        <v>2199</v>
      </c>
      <c r="F1234" s="1" t="s">
        <v>355</v>
      </c>
      <c r="G1234" s="1" t="s">
        <v>9827</v>
      </c>
      <c r="H1234" s="1">
        <v>0</v>
      </c>
      <c r="I1234" s="1" t="s">
        <v>235</v>
      </c>
      <c r="J1234" s="1"/>
      <c r="K1234" s="1"/>
      <c r="L1234" s="1" t="s">
        <v>236</v>
      </c>
      <c r="M1234" s="1" t="s">
        <v>125</v>
      </c>
      <c r="N1234" s="1">
        <v>0</v>
      </c>
      <c r="O1234" s="1">
        <v>0</v>
      </c>
      <c r="P1234" s="1"/>
      <c r="Q1234" s="1"/>
      <c r="R1234" s="1" t="s">
        <v>9832</v>
      </c>
      <c r="S1234" s="1" t="s">
        <v>9833</v>
      </c>
      <c r="T1234" s="1" t="s">
        <v>9645</v>
      </c>
      <c r="U1234" s="1" t="s">
        <v>9834</v>
      </c>
      <c r="V1234" s="1">
        <v>1</v>
      </c>
      <c r="W1234" s="1">
        <v>1</v>
      </c>
      <c r="X1234" s="1">
        <v>1</v>
      </c>
      <c r="Y1234" s="1">
        <v>0</v>
      </c>
      <c r="Z1234" s="1">
        <v>0</v>
      </c>
      <c r="AA1234" s="1">
        <v>8</v>
      </c>
      <c r="AB1234" s="1">
        <v>8</v>
      </c>
      <c r="AC1234" s="1" t="s">
        <v>109</v>
      </c>
      <c r="AD1234" s="1" t="s">
        <v>109</v>
      </c>
      <c r="AE1234" s="1" t="s">
        <v>109</v>
      </c>
      <c r="AF1234" s="1" t="s">
        <v>109</v>
      </c>
      <c r="AG1234" s="1" t="s">
        <v>109</v>
      </c>
      <c r="AH1234" s="1" t="s">
        <v>109</v>
      </c>
      <c r="AI1234" s="1" t="s">
        <v>109</v>
      </c>
      <c r="AJ1234" s="1" t="s">
        <v>109</v>
      </c>
      <c r="AK1234" s="1" t="s">
        <v>109</v>
      </c>
      <c r="AL1234" s="1" t="s">
        <v>109</v>
      </c>
      <c r="AM1234" s="1" t="s">
        <v>109</v>
      </c>
      <c r="AN1234" s="1" t="s">
        <v>109</v>
      </c>
      <c r="AO1234" s="1" t="s">
        <v>109</v>
      </c>
      <c r="AP1234" s="1"/>
      <c r="AQ1234" s="1">
        <v>8</v>
      </c>
      <c r="AR1234" s="1"/>
      <c r="AS1234" s="1"/>
      <c r="AT1234" s="1">
        <v>0</v>
      </c>
      <c r="AU1234" s="1">
        <v>0</v>
      </c>
      <c r="AV1234" s="1">
        <v>0</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t="s">
        <v>109</v>
      </c>
      <c r="BT1234" s="1">
        <v>1281</v>
      </c>
      <c r="BU1234" s="1" t="s">
        <v>109</v>
      </c>
      <c r="BV1234" s="1"/>
      <c r="BW1234" s="1"/>
      <c r="BX1234" s="1"/>
      <c r="BY1234" s="1"/>
      <c r="BZ1234" s="1">
        <v>0</v>
      </c>
      <c r="CA1234" s="1" t="s">
        <v>109</v>
      </c>
      <c r="CB1234" s="1" t="s">
        <v>109</v>
      </c>
      <c r="CC1234" s="1" t="s">
        <v>109</v>
      </c>
      <c r="CD1234" s="1" t="s">
        <v>109</v>
      </c>
      <c r="CE1234" s="1" t="s">
        <v>109</v>
      </c>
      <c r="CF1234" s="1" t="s">
        <v>109</v>
      </c>
      <c r="CG1234" s="1" t="s">
        <v>109</v>
      </c>
      <c r="CH1234" s="1" t="s">
        <v>109</v>
      </c>
      <c r="CI1234" s="1" t="s">
        <v>109</v>
      </c>
      <c r="CJ1234" s="1" t="s">
        <v>109</v>
      </c>
      <c r="CK1234" s="1"/>
      <c r="CL1234" s="1">
        <v>0</v>
      </c>
      <c r="CM1234" s="1">
        <v>0</v>
      </c>
      <c r="CN1234" s="1">
        <v>0</v>
      </c>
    </row>
    <row r="1235" spans="1:92" ht="14.25" customHeight="1" x14ac:dyDescent="0.15">
      <c r="A1235" s="1" t="s">
        <v>9835</v>
      </c>
      <c r="B1235" s="1" t="s">
        <v>242</v>
      </c>
      <c r="C1235" s="1"/>
      <c r="D1235" s="1"/>
      <c r="E1235" s="1" t="s">
        <v>5753</v>
      </c>
      <c r="F1235" s="1" t="s">
        <v>98</v>
      </c>
      <c r="G1235" s="1" t="s">
        <v>9836</v>
      </c>
      <c r="H1235" s="1">
        <v>0</v>
      </c>
      <c r="I1235" s="1" t="s">
        <v>122</v>
      </c>
      <c r="J1235" s="1" t="s">
        <v>2034</v>
      </c>
      <c r="K1235" s="1"/>
      <c r="L1235" s="1"/>
      <c r="M1235" s="1" t="s">
        <v>6625</v>
      </c>
      <c r="N1235" s="1">
        <v>1</v>
      </c>
      <c r="O1235" s="1">
        <v>1</v>
      </c>
      <c r="P1235" s="1"/>
      <c r="Q1235" s="1"/>
      <c r="R1235" s="1" t="s">
        <v>9837</v>
      </c>
      <c r="S1235" s="1" t="s">
        <v>9838</v>
      </c>
      <c r="T1235" s="1" t="s">
        <v>9645</v>
      </c>
      <c r="U1235" s="1" t="s">
        <v>9839</v>
      </c>
      <c r="V1235" s="1">
        <v>1</v>
      </c>
      <c r="W1235" s="1">
        <v>1</v>
      </c>
      <c r="X1235" s="1">
        <v>1</v>
      </c>
      <c r="Y1235" s="1">
        <v>0</v>
      </c>
      <c r="Z1235" s="1">
        <v>0</v>
      </c>
      <c r="AA1235" s="1">
        <v>8</v>
      </c>
      <c r="AB1235" s="1">
        <v>8</v>
      </c>
      <c r="AC1235" s="1">
        <v>8</v>
      </c>
      <c r="AD1235" s="1" t="s">
        <v>109</v>
      </c>
      <c r="AE1235" s="1" t="s">
        <v>109</v>
      </c>
      <c r="AF1235" s="1" t="s">
        <v>109</v>
      </c>
      <c r="AG1235" s="1" t="s">
        <v>109</v>
      </c>
      <c r="AH1235" s="1" t="s">
        <v>109</v>
      </c>
      <c r="AI1235" s="1" t="s">
        <v>109</v>
      </c>
      <c r="AJ1235" s="1" t="s">
        <v>109</v>
      </c>
      <c r="AK1235" s="1" t="s">
        <v>109</v>
      </c>
      <c r="AL1235" s="1">
        <v>8</v>
      </c>
      <c r="AM1235" s="1" t="s">
        <v>109</v>
      </c>
      <c r="AN1235" s="1" t="s">
        <v>109</v>
      </c>
      <c r="AO1235" s="1" t="s">
        <v>109</v>
      </c>
      <c r="AP1235" s="1"/>
      <c r="AQ1235" s="1">
        <v>8</v>
      </c>
      <c r="AR1235" s="1"/>
      <c r="AS1235" s="1"/>
      <c r="AT1235" s="1">
        <v>0</v>
      </c>
      <c r="AU1235" s="1">
        <v>0</v>
      </c>
      <c r="AV1235" s="1">
        <v>0</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t="s">
        <v>109</v>
      </c>
      <c r="BT1235" s="1">
        <v>1282</v>
      </c>
      <c r="BU1235" s="1" t="s">
        <v>109</v>
      </c>
      <c r="BV1235" s="1"/>
      <c r="BW1235" s="1"/>
      <c r="BX1235" s="1"/>
      <c r="BY1235" s="1"/>
      <c r="BZ1235" s="1">
        <v>0</v>
      </c>
      <c r="CA1235" s="1" t="s">
        <v>109</v>
      </c>
      <c r="CB1235" s="1" t="s">
        <v>109</v>
      </c>
      <c r="CC1235" s="1" t="s">
        <v>109</v>
      </c>
      <c r="CD1235" s="1" t="s">
        <v>109</v>
      </c>
      <c r="CE1235" s="1" t="s">
        <v>109</v>
      </c>
      <c r="CF1235" s="1" t="s">
        <v>109</v>
      </c>
      <c r="CG1235" s="1" t="s">
        <v>109</v>
      </c>
      <c r="CH1235" s="1" t="s">
        <v>109</v>
      </c>
      <c r="CI1235" s="1" t="s">
        <v>109</v>
      </c>
      <c r="CJ1235" s="1" t="s">
        <v>109</v>
      </c>
      <c r="CK1235" s="1"/>
      <c r="CL1235" s="1">
        <v>0</v>
      </c>
      <c r="CM1235" s="1">
        <v>0</v>
      </c>
      <c r="CN1235" s="1">
        <v>0</v>
      </c>
    </row>
    <row r="1236" spans="1:92" ht="14.25" customHeight="1" x14ac:dyDescent="0.15">
      <c r="A1236" s="1" t="s">
        <v>9840</v>
      </c>
      <c r="B1236" s="1" t="s">
        <v>242</v>
      </c>
      <c r="C1236" s="1"/>
      <c r="D1236" s="1"/>
      <c r="E1236" s="1" t="s">
        <v>5518</v>
      </c>
      <c r="F1236" s="1" t="s">
        <v>98</v>
      </c>
      <c r="G1236" s="1" t="s">
        <v>9836</v>
      </c>
      <c r="H1236" s="1">
        <v>0</v>
      </c>
      <c r="I1236" s="1" t="s">
        <v>356</v>
      </c>
      <c r="J1236" s="1" t="s">
        <v>4038</v>
      </c>
      <c r="K1236" s="1"/>
      <c r="L1236" s="1"/>
      <c r="M1236" s="1" t="s">
        <v>125</v>
      </c>
      <c r="N1236" s="1">
        <v>0</v>
      </c>
      <c r="O1236" s="1">
        <v>0</v>
      </c>
      <c r="P1236" s="1"/>
      <c r="Q1236" s="1"/>
      <c r="R1236" s="1" t="s">
        <v>9841</v>
      </c>
      <c r="S1236" s="1" t="s">
        <v>9842</v>
      </c>
      <c r="T1236" s="1" t="s">
        <v>9645</v>
      </c>
      <c r="U1236" s="1" t="s">
        <v>9843</v>
      </c>
      <c r="V1236" s="1">
        <v>1</v>
      </c>
      <c r="W1236" s="1">
        <v>1</v>
      </c>
      <c r="X1236" s="1">
        <v>1</v>
      </c>
      <c r="Y1236" s="1">
        <v>0</v>
      </c>
      <c r="Z1236" s="1">
        <v>0</v>
      </c>
      <c r="AA1236" s="1">
        <v>4</v>
      </c>
      <c r="AB1236" s="1">
        <v>4</v>
      </c>
      <c r="AC1236" s="1">
        <v>4</v>
      </c>
      <c r="AD1236" s="1" t="s">
        <v>109</v>
      </c>
      <c r="AE1236" s="1" t="s">
        <v>109</v>
      </c>
      <c r="AF1236" s="1" t="s">
        <v>109</v>
      </c>
      <c r="AG1236" s="1" t="s">
        <v>109</v>
      </c>
      <c r="AH1236" s="1" t="s">
        <v>109</v>
      </c>
      <c r="AI1236" s="1" t="s">
        <v>109</v>
      </c>
      <c r="AJ1236" s="1" t="s">
        <v>109</v>
      </c>
      <c r="AK1236" s="1" t="s">
        <v>109</v>
      </c>
      <c r="AL1236" s="1">
        <v>4</v>
      </c>
      <c r="AM1236" s="1" t="s">
        <v>109</v>
      </c>
      <c r="AN1236" s="1" t="s">
        <v>109</v>
      </c>
      <c r="AO1236" s="1" t="s">
        <v>109</v>
      </c>
      <c r="AP1236" s="1"/>
      <c r="AQ1236" s="1">
        <v>4</v>
      </c>
      <c r="AR1236" s="1"/>
      <c r="AS1236" s="1"/>
      <c r="AT1236" s="1">
        <v>0</v>
      </c>
      <c r="AU1236" s="1">
        <v>0</v>
      </c>
      <c r="AV1236" s="1">
        <v>0</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t="s">
        <v>109</v>
      </c>
      <c r="BT1236" s="1">
        <v>1283</v>
      </c>
      <c r="BU1236" s="1" t="s">
        <v>109</v>
      </c>
      <c r="BV1236" s="1"/>
      <c r="BW1236" s="1"/>
      <c r="BX1236" s="1"/>
      <c r="BY1236" s="1"/>
      <c r="BZ1236" s="1">
        <v>0</v>
      </c>
      <c r="CA1236" s="1" t="s">
        <v>109</v>
      </c>
      <c r="CB1236" s="1" t="s">
        <v>109</v>
      </c>
      <c r="CC1236" s="1" t="s">
        <v>109</v>
      </c>
      <c r="CD1236" s="1" t="s">
        <v>109</v>
      </c>
      <c r="CE1236" s="1" t="s">
        <v>109</v>
      </c>
      <c r="CF1236" s="1" t="s">
        <v>109</v>
      </c>
      <c r="CG1236" s="1" t="s">
        <v>109</v>
      </c>
      <c r="CH1236" s="1" t="s">
        <v>109</v>
      </c>
      <c r="CI1236" s="1" t="s">
        <v>109</v>
      </c>
      <c r="CJ1236" s="1" t="s">
        <v>109</v>
      </c>
      <c r="CK1236" s="1"/>
      <c r="CL1236" s="1">
        <v>0</v>
      </c>
      <c r="CM1236" s="1">
        <v>0</v>
      </c>
      <c r="CN1236" s="1">
        <v>0</v>
      </c>
    </row>
    <row r="1237" spans="1:92" ht="14.25" customHeight="1" x14ac:dyDescent="0.15">
      <c r="A1237" s="1" t="s">
        <v>9844</v>
      </c>
      <c r="B1237" s="1" t="s">
        <v>189</v>
      </c>
      <c r="C1237" s="1"/>
      <c r="D1237" s="1"/>
      <c r="E1237" s="1" t="s">
        <v>9845</v>
      </c>
      <c r="F1237" s="1" t="s">
        <v>277</v>
      </c>
      <c r="G1237" s="1" t="s">
        <v>9846</v>
      </c>
      <c r="H1237" s="1">
        <v>1</v>
      </c>
      <c r="I1237" s="1" t="s">
        <v>9847</v>
      </c>
      <c r="J1237" s="1"/>
      <c r="K1237" s="1" t="s">
        <v>9848</v>
      </c>
      <c r="L1237" s="1"/>
      <c r="M1237" s="1" t="s">
        <v>144</v>
      </c>
      <c r="N1237" s="1">
        <v>0</v>
      </c>
      <c r="O1237" s="1">
        <v>0</v>
      </c>
      <c r="P1237" s="1" t="s">
        <v>103</v>
      </c>
      <c r="Q1237" s="1" t="s">
        <v>104</v>
      </c>
      <c r="R1237" s="1" t="s">
        <v>9849</v>
      </c>
      <c r="S1237" s="1" t="s">
        <v>9850</v>
      </c>
      <c r="T1237" s="1" t="s">
        <v>9645</v>
      </c>
      <c r="U1237" s="1" t="s">
        <v>9851</v>
      </c>
      <c r="V1237" s="1">
        <v>1</v>
      </c>
      <c r="W1237" s="1">
        <v>1</v>
      </c>
      <c r="X1237" s="1">
        <v>1</v>
      </c>
      <c r="Y1237" s="1">
        <v>0</v>
      </c>
      <c r="Z1237" s="1">
        <v>0</v>
      </c>
      <c r="AA1237" s="1">
        <v>2</v>
      </c>
      <c r="AB1237" s="1">
        <v>2</v>
      </c>
      <c r="AC1237" s="1" t="s">
        <v>109</v>
      </c>
      <c r="AD1237" s="1" t="s">
        <v>109</v>
      </c>
      <c r="AE1237" s="1" t="s">
        <v>109</v>
      </c>
      <c r="AF1237" s="1">
        <v>2</v>
      </c>
      <c r="AG1237" s="1" t="s">
        <v>109</v>
      </c>
      <c r="AH1237" s="1">
        <v>2</v>
      </c>
      <c r="AI1237" s="1" t="s">
        <v>109</v>
      </c>
      <c r="AJ1237" s="1">
        <v>2</v>
      </c>
      <c r="AK1237" s="1" t="s">
        <v>109</v>
      </c>
      <c r="AL1237" s="1" t="s">
        <v>109</v>
      </c>
      <c r="AM1237" s="1" t="s">
        <v>109</v>
      </c>
      <c r="AN1237" s="1" t="s">
        <v>109</v>
      </c>
      <c r="AO1237" s="1" t="s">
        <v>109</v>
      </c>
      <c r="AP1237" s="1"/>
      <c r="AQ1237" s="1">
        <v>2</v>
      </c>
      <c r="AR1237" s="1"/>
      <c r="AS1237" s="1"/>
      <c r="AT1237" s="1">
        <v>0</v>
      </c>
      <c r="AU1237" s="1">
        <v>0</v>
      </c>
      <c r="AV1237" s="1">
        <v>0</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t="s">
        <v>109</v>
      </c>
      <c r="BT1237" s="1">
        <v>1284</v>
      </c>
      <c r="BU1237" s="1">
        <v>500</v>
      </c>
      <c r="BV1237" s="1"/>
      <c r="BW1237" s="1"/>
      <c r="BX1237" s="1"/>
      <c r="BY1237" s="1"/>
      <c r="BZ1237" s="1">
        <v>0</v>
      </c>
      <c r="CA1237" s="1" t="s">
        <v>109</v>
      </c>
      <c r="CB1237" s="1" t="s">
        <v>109</v>
      </c>
      <c r="CC1237" s="1" t="s">
        <v>109</v>
      </c>
      <c r="CD1237" s="1" t="s">
        <v>109</v>
      </c>
      <c r="CE1237" s="1" t="s">
        <v>109</v>
      </c>
      <c r="CF1237" s="1" t="s">
        <v>109</v>
      </c>
      <c r="CG1237" s="1" t="s">
        <v>109</v>
      </c>
      <c r="CH1237" s="1" t="s">
        <v>109</v>
      </c>
      <c r="CI1237" s="1" t="s">
        <v>109</v>
      </c>
      <c r="CJ1237" s="1" t="s">
        <v>109</v>
      </c>
      <c r="CK1237" s="1"/>
      <c r="CL1237" s="1">
        <v>0</v>
      </c>
      <c r="CM1237" s="1">
        <v>0</v>
      </c>
      <c r="CN1237" s="1">
        <v>0</v>
      </c>
    </row>
    <row r="1238" spans="1:92" ht="14.25" customHeight="1" x14ac:dyDescent="0.15">
      <c r="A1238" s="1" t="s">
        <v>9852</v>
      </c>
      <c r="B1238" s="1" t="s">
        <v>189</v>
      </c>
      <c r="C1238" s="1"/>
      <c r="D1238" s="1"/>
      <c r="E1238" s="1" t="s">
        <v>9853</v>
      </c>
      <c r="F1238" s="1" t="s">
        <v>98</v>
      </c>
      <c r="G1238" s="1" t="s">
        <v>9854</v>
      </c>
      <c r="H1238" s="1">
        <v>0</v>
      </c>
      <c r="I1238" s="1" t="s">
        <v>161</v>
      </c>
      <c r="J1238" s="1"/>
      <c r="K1238" s="1"/>
      <c r="L1238" s="1" t="s">
        <v>9855</v>
      </c>
      <c r="M1238" s="1" t="s">
        <v>144</v>
      </c>
      <c r="N1238" s="1">
        <v>0</v>
      </c>
      <c r="O1238" s="1">
        <v>0</v>
      </c>
      <c r="P1238" s="1" t="s">
        <v>267</v>
      </c>
      <c r="Q1238" s="1" t="s">
        <v>268</v>
      </c>
      <c r="R1238" s="1" t="s">
        <v>9856</v>
      </c>
      <c r="S1238" s="1" t="s">
        <v>9857</v>
      </c>
      <c r="T1238" s="1" t="s">
        <v>9645</v>
      </c>
      <c r="U1238" s="1" t="s">
        <v>9858</v>
      </c>
      <c r="V1238" s="1">
        <v>1</v>
      </c>
      <c r="W1238" s="1">
        <v>1</v>
      </c>
      <c r="X1238" s="1">
        <v>1</v>
      </c>
      <c r="Y1238" s="1">
        <v>0</v>
      </c>
      <c r="Z1238" s="1">
        <v>0</v>
      </c>
      <c r="AA1238" s="1">
        <v>1</v>
      </c>
      <c r="AB1238" s="1">
        <v>1</v>
      </c>
      <c r="AC1238" s="1" t="s">
        <v>109</v>
      </c>
      <c r="AD1238" s="1" t="s">
        <v>109</v>
      </c>
      <c r="AE1238" s="1" t="s">
        <v>109</v>
      </c>
      <c r="AF1238" s="1">
        <v>1</v>
      </c>
      <c r="AG1238" s="1" t="s">
        <v>109</v>
      </c>
      <c r="AH1238" s="1" t="s">
        <v>109</v>
      </c>
      <c r="AI1238" s="1" t="s">
        <v>109</v>
      </c>
      <c r="AJ1238" s="1">
        <v>1</v>
      </c>
      <c r="AK1238" s="1" t="s">
        <v>109</v>
      </c>
      <c r="AL1238" s="1" t="s">
        <v>109</v>
      </c>
      <c r="AM1238" s="1" t="s">
        <v>109</v>
      </c>
      <c r="AN1238" s="1" t="s">
        <v>109</v>
      </c>
      <c r="AO1238" s="1" t="s">
        <v>109</v>
      </c>
      <c r="AP1238" s="1"/>
      <c r="AQ1238" s="1">
        <v>1</v>
      </c>
      <c r="AR1238" s="1"/>
      <c r="AS1238" s="1"/>
      <c r="AT1238" s="1">
        <v>0</v>
      </c>
      <c r="AU1238" s="1">
        <v>0</v>
      </c>
      <c r="AV1238" s="1">
        <v>0</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t="s">
        <v>109</v>
      </c>
      <c r="BT1238" s="1">
        <v>1285</v>
      </c>
      <c r="BU1238" s="1" t="s">
        <v>109</v>
      </c>
      <c r="BV1238" s="1"/>
      <c r="BW1238" s="1"/>
      <c r="BX1238" s="1"/>
      <c r="BY1238" s="1"/>
      <c r="BZ1238" s="1">
        <v>0</v>
      </c>
      <c r="CA1238" s="1" t="s">
        <v>109</v>
      </c>
      <c r="CB1238" s="1" t="s">
        <v>109</v>
      </c>
      <c r="CC1238" s="1" t="s">
        <v>109</v>
      </c>
      <c r="CD1238" s="1" t="s">
        <v>109</v>
      </c>
      <c r="CE1238" s="1" t="s">
        <v>109</v>
      </c>
      <c r="CF1238" s="1" t="s">
        <v>109</v>
      </c>
      <c r="CG1238" s="1" t="s">
        <v>109</v>
      </c>
      <c r="CH1238" s="1" t="s">
        <v>109</v>
      </c>
      <c r="CI1238" s="1" t="s">
        <v>109</v>
      </c>
      <c r="CJ1238" s="1" t="s">
        <v>109</v>
      </c>
      <c r="CK1238" s="1"/>
      <c r="CL1238" s="1">
        <v>0</v>
      </c>
      <c r="CM1238" s="1">
        <v>0</v>
      </c>
      <c r="CN1238" s="1">
        <v>0</v>
      </c>
    </row>
    <row r="1239" spans="1:92" ht="14.25" customHeight="1" x14ac:dyDescent="0.15">
      <c r="A1239" s="1" t="s">
        <v>9859</v>
      </c>
      <c r="B1239" s="1" t="s">
        <v>584</v>
      </c>
      <c r="C1239" s="1"/>
      <c r="D1239" s="1" t="s">
        <v>49</v>
      </c>
      <c r="E1239" s="1" t="s">
        <v>5779</v>
      </c>
      <c r="F1239" s="1" t="s">
        <v>98</v>
      </c>
      <c r="G1239" s="1" t="s">
        <v>141</v>
      </c>
      <c r="H1239" s="1">
        <v>0</v>
      </c>
      <c r="I1239" s="1" t="s">
        <v>100</v>
      </c>
      <c r="J1239" s="1"/>
      <c r="K1239" s="1" t="s">
        <v>9860</v>
      </c>
      <c r="L1239" s="1"/>
      <c r="M1239" s="1" t="s">
        <v>9861</v>
      </c>
      <c r="N1239" s="1">
        <v>0</v>
      </c>
      <c r="O1239" s="1">
        <v>0</v>
      </c>
      <c r="P1239" s="1" t="s">
        <v>103</v>
      </c>
      <c r="Q1239" s="1" t="s">
        <v>268</v>
      </c>
      <c r="R1239" s="1" t="s">
        <v>9862</v>
      </c>
      <c r="S1239" s="1" t="s">
        <v>9863</v>
      </c>
      <c r="T1239" s="1" t="s">
        <v>9645</v>
      </c>
      <c r="U1239" s="1" t="s">
        <v>9864</v>
      </c>
      <c r="V1239" s="1">
        <v>1</v>
      </c>
      <c r="W1239" s="1">
        <v>1</v>
      </c>
      <c r="X1239" s="1">
        <v>0</v>
      </c>
      <c r="Y1239" s="1">
        <v>0</v>
      </c>
      <c r="Z1239" s="1">
        <v>0</v>
      </c>
      <c r="AA1239" s="1">
        <v>3</v>
      </c>
      <c r="AB1239" s="1">
        <v>3</v>
      </c>
      <c r="AC1239" s="1" t="s">
        <v>109</v>
      </c>
      <c r="AD1239" s="1">
        <v>3</v>
      </c>
      <c r="AE1239" s="1" t="s">
        <v>109</v>
      </c>
      <c r="AF1239" s="1" t="s">
        <v>109</v>
      </c>
      <c r="AG1239" s="1" t="s">
        <v>109</v>
      </c>
      <c r="AH1239" s="1" t="s">
        <v>109</v>
      </c>
      <c r="AI1239" s="1" t="s">
        <v>109</v>
      </c>
      <c r="AJ1239" s="1" t="s">
        <v>109</v>
      </c>
      <c r="AK1239" s="1" t="s">
        <v>109</v>
      </c>
      <c r="AL1239" s="1" t="s">
        <v>109</v>
      </c>
      <c r="AM1239" s="1" t="s">
        <v>109</v>
      </c>
      <c r="AN1239" s="1" t="s">
        <v>109</v>
      </c>
      <c r="AO1239" s="1" t="s">
        <v>109</v>
      </c>
      <c r="AP1239" s="1"/>
      <c r="AQ1239" s="1">
        <v>3</v>
      </c>
      <c r="AR1239" s="1"/>
      <c r="AS1239" s="1"/>
      <c r="AT1239" s="1">
        <v>0</v>
      </c>
      <c r="AU1239" s="1">
        <v>0</v>
      </c>
      <c r="AV1239" s="1">
        <v>0</v>
      </c>
      <c r="AW1239" s="1">
        <v>1</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t="s">
        <v>109</v>
      </c>
      <c r="BT1239" s="1">
        <v>1286</v>
      </c>
      <c r="BU1239" s="1" t="s">
        <v>109</v>
      </c>
      <c r="BV1239" s="1"/>
      <c r="BW1239" s="1"/>
      <c r="BX1239" s="1"/>
      <c r="BY1239" s="1"/>
      <c r="BZ1239" s="1">
        <v>0</v>
      </c>
      <c r="CA1239" s="1" t="s">
        <v>109</v>
      </c>
      <c r="CB1239" s="1" t="s">
        <v>109</v>
      </c>
      <c r="CC1239" s="1" t="s">
        <v>109</v>
      </c>
      <c r="CD1239" s="1" t="s">
        <v>109</v>
      </c>
      <c r="CE1239" s="1" t="s">
        <v>109</v>
      </c>
      <c r="CF1239" s="1" t="s">
        <v>109</v>
      </c>
      <c r="CG1239" s="1" t="s">
        <v>109</v>
      </c>
      <c r="CH1239" s="1" t="s">
        <v>109</v>
      </c>
      <c r="CI1239" s="1" t="s">
        <v>109</v>
      </c>
      <c r="CJ1239" s="1">
        <v>3</v>
      </c>
      <c r="CK1239" s="1"/>
      <c r="CL1239" s="1">
        <v>0</v>
      </c>
      <c r="CM1239" s="1">
        <v>0</v>
      </c>
      <c r="CN1239" s="1">
        <v>0</v>
      </c>
    </row>
    <row r="1240" spans="1:92" ht="14.25" customHeight="1" x14ac:dyDescent="0.15">
      <c r="A1240" s="1" t="s">
        <v>9865</v>
      </c>
      <c r="B1240" s="1" t="s">
        <v>189</v>
      </c>
      <c r="C1240" s="1"/>
      <c r="D1240" s="1"/>
      <c r="E1240" s="1" t="s">
        <v>6819</v>
      </c>
      <c r="F1240" s="1" t="s">
        <v>98</v>
      </c>
      <c r="G1240" s="1" t="s">
        <v>9866</v>
      </c>
      <c r="H1240" s="1">
        <v>0</v>
      </c>
      <c r="I1240" s="1" t="s">
        <v>235</v>
      </c>
      <c r="J1240" s="1"/>
      <c r="K1240" s="1"/>
      <c r="L1240" s="1" t="s">
        <v>236</v>
      </c>
      <c r="M1240" s="1" t="s">
        <v>9867</v>
      </c>
      <c r="N1240" s="1">
        <v>0</v>
      </c>
      <c r="O1240" s="1">
        <v>0</v>
      </c>
      <c r="P1240" s="1"/>
      <c r="Q1240" s="1"/>
      <c r="R1240" s="1" t="s">
        <v>9868</v>
      </c>
      <c r="S1240" s="1" t="s">
        <v>9869</v>
      </c>
      <c r="T1240" s="1" t="s">
        <v>9645</v>
      </c>
      <c r="U1240" s="1" t="s">
        <v>9870</v>
      </c>
      <c r="V1240" s="1">
        <v>1</v>
      </c>
      <c r="W1240" s="1">
        <v>1</v>
      </c>
      <c r="X1240" s="1">
        <v>1</v>
      </c>
      <c r="Y1240" s="1">
        <v>0</v>
      </c>
      <c r="Z1240" s="1">
        <v>0</v>
      </c>
      <c r="AA1240" s="1" t="s">
        <v>109</v>
      </c>
      <c r="AB1240" s="1" t="s">
        <v>109</v>
      </c>
      <c r="AC1240" s="1" t="s">
        <v>109</v>
      </c>
      <c r="AD1240" s="1" t="s">
        <v>109</v>
      </c>
      <c r="AE1240" s="1">
        <v>3</v>
      </c>
      <c r="AF1240" s="1" t="s">
        <v>109</v>
      </c>
      <c r="AG1240" s="1" t="s">
        <v>109</v>
      </c>
      <c r="AH1240" s="1" t="s">
        <v>109</v>
      </c>
      <c r="AI1240" s="1" t="s">
        <v>109</v>
      </c>
      <c r="AJ1240" s="1" t="s">
        <v>109</v>
      </c>
      <c r="AK1240" s="1" t="s">
        <v>109</v>
      </c>
      <c r="AL1240" s="1" t="s">
        <v>109</v>
      </c>
      <c r="AM1240" s="1" t="s">
        <v>109</v>
      </c>
      <c r="AN1240" s="1" t="s">
        <v>109</v>
      </c>
      <c r="AO1240" s="1" t="s">
        <v>109</v>
      </c>
      <c r="AP1240" s="1"/>
      <c r="AQ1240" s="1">
        <v>3</v>
      </c>
      <c r="AR1240" s="1"/>
      <c r="AS1240" s="1"/>
      <c r="AT1240" s="1">
        <v>0</v>
      </c>
      <c r="AU1240" s="1">
        <v>0</v>
      </c>
      <c r="AV1240" s="1">
        <v>0</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t="s">
        <v>109</v>
      </c>
      <c r="BT1240" s="1">
        <v>1287</v>
      </c>
      <c r="BU1240" s="1" t="s">
        <v>109</v>
      </c>
      <c r="BV1240" s="1"/>
      <c r="BW1240" s="1"/>
      <c r="BX1240" s="1"/>
      <c r="BY1240" s="1"/>
      <c r="BZ1240" s="1">
        <v>0</v>
      </c>
      <c r="CA1240" s="1" t="s">
        <v>109</v>
      </c>
      <c r="CB1240" s="1" t="s">
        <v>109</v>
      </c>
      <c r="CC1240" s="1" t="s">
        <v>109</v>
      </c>
      <c r="CD1240" s="1" t="s">
        <v>109</v>
      </c>
      <c r="CE1240" s="1" t="s">
        <v>109</v>
      </c>
      <c r="CF1240" s="1" t="s">
        <v>109</v>
      </c>
      <c r="CG1240" s="1" t="s">
        <v>109</v>
      </c>
      <c r="CH1240" s="1" t="s">
        <v>109</v>
      </c>
      <c r="CI1240" s="1" t="s">
        <v>109</v>
      </c>
      <c r="CJ1240" s="1">
        <v>3</v>
      </c>
      <c r="CK1240" s="1"/>
      <c r="CL1240" s="1">
        <v>0</v>
      </c>
      <c r="CM1240" s="1">
        <v>0</v>
      </c>
      <c r="CN1240" s="1">
        <v>0</v>
      </c>
    </row>
    <row r="1241" spans="1:92" ht="14.25" customHeight="1" x14ac:dyDescent="0.15">
      <c r="A1241" s="1" t="s">
        <v>9871</v>
      </c>
      <c r="B1241" s="1" t="s">
        <v>189</v>
      </c>
      <c r="C1241" s="1"/>
      <c r="D1241" s="1"/>
      <c r="E1241" s="1" t="s">
        <v>9872</v>
      </c>
      <c r="F1241" s="1" t="s">
        <v>355</v>
      </c>
      <c r="G1241" s="1" t="s">
        <v>9873</v>
      </c>
      <c r="H1241" s="1">
        <v>0</v>
      </c>
      <c r="I1241" s="1" t="s">
        <v>161</v>
      </c>
      <c r="J1241" s="1"/>
      <c r="K1241" s="1"/>
      <c r="L1241" s="1" t="s">
        <v>9874</v>
      </c>
      <c r="M1241" s="1" t="s">
        <v>3042</v>
      </c>
      <c r="N1241" s="1">
        <v>0</v>
      </c>
      <c r="O1241" s="1">
        <v>0</v>
      </c>
      <c r="P1241" s="1" t="s">
        <v>215</v>
      </c>
      <c r="Q1241" s="1" t="s">
        <v>216</v>
      </c>
      <c r="R1241" s="1" t="s">
        <v>9875</v>
      </c>
      <c r="S1241" s="1" t="s">
        <v>9876</v>
      </c>
      <c r="T1241" s="1" t="s">
        <v>9645</v>
      </c>
      <c r="U1241" s="1" t="s">
        <v>9877</v>
      </c>
      <c r="V1241" s="1">
        <v>1</v>
      </c>
      <c r="W1241" s="1">
        <v>1</v>
      </c>
      <c r="X1241" s="1">
        <v>0</v>
      </c>
      <c r="Y1241" s="1">
        <v>0</v>
      </c>
      <c r="Z1241" s="1">
        <v>0</v>
      </c>
      <c r="AA1241" s="1" t="s">
        <v>109</v>
      </c>
      <c r="AB1241" s="1" t="s">
        <v>109</v>
      </c>
      <c r="AC1241" s="1">
        <v>1</v>
      </c>
      <c r="AD1241" s="1" t="s">
        <v>109</v>
      </c>
      <c r="AE1241" s="1" t="s">
        <v>109</v>
      </c>
      <c r="AF1241" s="1">
        <v>1</v>
      </c>
      <c r="AG1241" s="1" t="s">
        <v>109</v>
      </c>
      <c r="AH1241" s="1" t="s">
        <v>109</v>
      </c>
      <c r="AI1241" s="1" t="s">
        <v>109</v>
      </c>
      <c r="AJ1241" s="1" t="s">
        <v>109</v>
      </c>
      <c r="AK1241" s="1">
        <v>1</v>
      </c>
      <c r="AL1241" s="1">
        <v>1</v>
      </c>
      <c r="AM1241" s="1" t="s">
        <v>109</v>
      </c>
      <c r="AN1241" s="1">
        <v>1</v>
      </c>
      <c r="AO1241" s="1" t="s">
        <v>109</v>
      </c>
      <c r="AP1241" s="1"/>
      <c r="AQ1241" s="1">
        <v>1</v>
      </c>
      <c r="AR1241" s="1"/>
      <c r="AS1241" s="1"/>
      <c r="AT1241" s="1">
        <v>0</v>
      </c>
      <c r="AU1241" s="1">
        <v>0</v>
      </c>
      <c r="AV1241" s="1">
        <v>0</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t="s">
        <v>109</v>
      </c>
      <c r="BT1241" s="1">
        <v>1288</v>
      </c>
      <c r="BU1241" s="1" t="s">
        <v>109</v>
      </c>
      <c r="BV1241" s="1"/>
      <c r="BW1241" s="1"/>
      <c r="BX1241" s="1"/>
      <c r="BY1241" s="1"/>
      <c r="BZ1241" s="1">
        <v>0</v>
      </c>
      <c r="CA1241" s="1" t="s">
        <v>109</v>
      </c>
      <c r="CB1241" s="1" t="s">
        <v>109</v>
      </c>
      <c r="CC1241" s="1" t="s">
        <v>109</v>
      </c>
      <c r="CD1241" s="1" t="s">
        <v>109</v>
      </c>
      <c r="CE1241" s="1" t="s">
        <v>109</v>
      </c>
      <c r="CF1241" s="1" t="s">
        <v>109</v>
      </c>
      <c r="CG1241" s="1" t="s">
        <v>109</v>
      </c>
      <c r="CH1241" s="1" t="s">
        <v>109</v>
      </c>
      <c r="CI1241" s="1" t="s">
        <v>109</v>
      </c>
      <c r="CJ1241" s="1" t="s">
        <v>109</v>
      </c>
      <c r="CK1241" s="1"/>
      <c r="CL1241" s="1">
        <v>0</v>
      </c>
      <c r="CM1241" s="1">
        <v>0</v>
      </c>
      <c r="CN1241" s="1">
        <v>0</v>
      </c>
    </row>
    <row r="1242" spans="1:92" ht="14.25" customHeight="1" x14ac:dyDescent="0.15">
      <c r="A1242" s="1" t="s">
        <v>9878</v>
      </c>
      <c r="B1242" s="1" t="s">
        <v>189</v>
      </c>
      <c r="C1242" s="1"/>
      <c r="D1242" s="1"/>
      <c r="E1242" s="1" t="s">
        <v>387</v>
      </c>
      <c r="F1242" s="1" t="s">
        <v>98</v>
      </c>
      <c r="G1242" s="1" t="s">
        <v>9879</v>
      </c>
      <c r="H1242" s="1">
        <v>0</v>
      </c>
      <c r="I1242" s="1" t="s">
        <v>142</v>
      </c>
      <c r="J1242" s="1" t="s">
        <v>573</v>
      </c>
      <c r="K1242" s="1"/>
      <c r="L1242" s="1"/>
      <c r="M1242" s="1" t="s">
        <v>3042</v>
      </c>
      <c r="N1242" s="1">
        <v>0</v>
      </c>
      <c r="O1242" s="1">
        <v>0</v>
      </c>
      <c r="P1242" s="1" t="s">
        <v>301</v>
      </c>
      <c r="Q1242" s="1" t="s">
        <v>268</v>
      </c>
      <c r="R1242" s="1" t="s">
        <v>9880</v>
      </c>
      <c r="S1242" s="1" t="s">
        <v>9881</v>
      </c>
      <c r="T1242" s="1" t="s">
        <v>9645</v>
      </c>
      <c r="U1242" s="1" t="s">
        <v>9882</v>
      </c>
      <c r="V1242" s="1">
        <v>1</v>
      </c>
      <c r="W1242" s="1">
        <v>1</v>
      </c>
      <c r="X1242" s="1">
        <v>1</v>
      </c>
      <c r="Y1242" s="1">
        <v>0</v>
      </c>
      <c r="Z1242" s="1">
        <v>0</v>
      </c>
      <c r="AA1242" s="1" t="s">
        <v>109</v>
      </c>
      <c r="AB1242" s="1" t="s">
        <v>109</v>
      </c>
      <c r="AC1242" s="1" t="s">
        <v>109</v>
      </c>
      <c r="AD1242" s="1">
        <v>4</v>
      </c>
      <c r="AE1242" s="1" t="s">
        <v>109</v>
      </c>
      <c r="AF1242" s="1" t="s">
        <v>109</v>
      </c>
      <c r="AG1242" s="1" t="s">
        <v>109</v>
      </c>
      <c r="AH1242" s="1" t="s">
        <v>109</v>
      </c>
      <c r="AI1242" s="1" t="s">
        <v>109</v>
      </c>
      <c r="AJ1242" s="1" t="s">
        <v>109</v>
      </c>
      <c r="AK1242" s="1" t="s">
        <v>109</v>
      </c>
      <c r="AL1242" s="1" t="s">
        <v>109</v>
      </c>
      <c r="AM1242" s="1" t="s">
        <v>109</v>
      </c>
      <c r="AN1242" s="1" t="s">
        <v>109</v>
      </c>
      <c r="AO1242" s="1" t="s">
        <v>109</v>
      </c>
      <c r="AP1242" s="1"/>
      <c r="AQ1242" s="1">
        <v>4</v>
      </c>
      <c r="AR1242" s="1"/>
      <c r="AS1242" s="1"/>
      <c r="AT1242" s="1">
        <v>0</v>
      </c>
      <c r="AU1242" s="1">
        <v>0</v>
      </c>
      <c r="AV1242" s="1">
        <v>0</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t="s">
        <v>109</v>
      </c>
      <c r="BT1242" s="1">
        <v>1289</v>
      </c>
      <c r="BU1242" s="1" t="s">
        <v>109</v>
      </c>
      <c r="BV1242" s="1"/>
      <c r="BW1242" s="1"/>
      <c r="BX1242" s="1"/>
      <c r="BY1242" s="1"/>
      <c r="BZ1242" s="1">
        <v>0</v>
      </c>
      <c r="CA1242" s="1" t="s">
        <v>109</v>
      </c>
      <c r="CB1242" s="1" t="s">
        <v>109</v>
      </c>
      <c r="CC1242" s="1" t="s">
        <v>109</v>
      </c>
      <c r="CD1242" s="1" t="s">
        <v>109</v>
      </c>
      <c r="CE1242" s="1" t="s">
        <v>109</v>
      </c>
      <c r="CF1242" s="1" t="s">
        <v>109</v>
      </c>
      <c r="CG1242" s="1" t="s">
        <v>109</v>
      </c>
      <c r="CH1242" s="1" t="s">
        <v>109</v>
      </c>
      <c r="CI1242" s="1" t="s">
        <v>109</v>
      </c>
      <c r="CJ1242" s="1">
        <v>4</v>
      </c>
      <c r="CK1242" s="1"/>
      <c r="CL1242" s="1">
        <v>0</v>
      </c>
      <c r="CM1242" s="1">
        <v>0</v>
      </c>
      <c r="CN1242" s="1">
        <v>0</v>
      </c>
    </row>
    <row r="1243" spans="1:92" ht="14.25" customHeight="1" x14ac:dyDescent="0.15">
      <c r="A1243" s="1" t="s">
        <v>9883</v>
      </c>
      <c r="B1243" s="1" t="s">
        <v>95</v>
      </c>
      <c r="C1243" s="1" t="s">
        <v>96</v>
      </c>
      <c r="D1243" s="1" t="s">
        <v>60</v>
      </c>
      <c r="E1243" s="1" t="s">
        <v>9884</v>
      </c>
      <c r="F1243" s="1" t="s">
        <v>98</v>
      </c>
      <c r="G1243" s="1" t="s">
        <v>9885</v>
      </c>
      <c r="H1243" s="1">
        <v>0</v>
      </c>
      <c r="I1243" s="1" t="s">
        <v>161</v>
      </c>
      <c r="J1243" s="1"/>
      <c r="K1243" s="1"/>
      <c r="L1243" s="1" t="s">
        <v>506</v>
      </c>
      <c r="M1243" s="1" t="s">
        <v>3385</v>
      </c>
      <c r="N1243" s="1">
        <v>0</v>
      </c>
      <c r="O1243" s="1">
        <v>0</v>
      </c>
      <c r="P1243" s="1" t="s">
        <v>507</v>
      </c>
      <c r="Q1243" s="1" t="s">
        <v>104</v>
      </c>
      <c r="R1243" s="1" t="s">
        <v>9886</v>
      </c>
      <c r="S1243" s="1" t="s">
        <v>9887</v>
      </c>
      <c r="T1243" s="1" t="s">
        <v>9888</v>
      </c>
      <c r="U1243" s="1" t="s">
        <v>9889</v>
      </c>
      <c r="V1243" s="1">
        <v>1</v>
      </c>
      <c r="W1243" s="1">
        <v>1</v>
      </c>
      <c r="X1243" s="1">
        <v>1</v>
      </c>
      <c r="Y1243" s="1">
        <v>0</v>
      </c>
      <c r="Z1243" s="1">
        <v>0</v>
      </c>
      <c r="AA1243" s="1">
        <v>3</v>
      </c>
      <c r="AB1243" s="1">
        <v>3</v>
      </c>
      <c r="AC1243" s="1" t="s">
        <v>109</v>
      </c>
      <c r="AD1243" s="1" t="s">
        <v>109</v>
      </c>
      <c r="AE1243" s="1" t="s">
        <v>109</v>
      </c>
      <c r="AF1243" s="1" t="s">
        <v>109</v>
      </c>
      <c r="AG1243" s="1" t="s">
        <v>109</v>
      </c>
      <c r="AH1243" s="1">
        <v>2</v>
      </c>
      <c r="AI1243" s="1">
        <v>2</v>
      </c>
      <c r="AJ1243" s="1" t="s">
        <v>109</v>
      </c>
      <c r="AK1243" s="1" t="s">
        <v>109</v>
      </c>
      <c r="AL1243" s="1" t="s">
        <v>109</v>
      </c>
      <c r="AM1243" s="1" t="s">
        <v>109</v>
      </c>
      <c r="AN1243" s="1">
        <v>2</v>
      </c>
      <c r="AO1243" s="1" t="s">
        <v>109</v>
      </c>
      <c r="AP1243" s="1"/>
      <c r="AQ1243" s="1">
        <v>3</v>
      </c>
      <c r="AR1243" s="1"/>
      <c r="AS1243" s="1" t="s">
        <v>9890</v>
      </c>
      <c r="AT1243" s="1">
        <v>0</v>
      </c>
      <c r="AU1243" s="1">
        <v>0</v>
      </c>
      <c r="AV1243" s="1">
        <v>0</v>
      </c>
      <c r="AW1243" s="1">
        <v>0</v>
      </c>
      <c r="AX1243" s="1">
        <v>0</v>
      </c>
      <c r="AY1243" s="1">
        <v>0</v>
      </c>
      <c r="AZ1243" s="1">
        <v>0</v>
      </c>
      <c r="BA1243" s="1">
        <v>0</v>
      </c>
      <c r="BB1243" s="1">
        <v>0</v>
      </c>
      <c r="BC1243" s="1">
        <v>0</v>
      </c>
      <c r="BD1243" s="1">
        <v>0</v>
      </c>
      <c r="BE1243" s="1">
        <v>0</v>
      </c>
      <c r="BF1243" s="1">
        <v>0</v>
      </c>
      <c r="BG1243" s="1">
        <v>0</v>
      </c>
      <c r="BH1243" s="1">
        <v>1</v>
      </c>
      <c r="BI1243" s="1">
        <v>0</v>
      </c>
      <c r="BJ1243" s="1">
        <v>0</v>
      </c>
      <c r="BK1243" s="1">
        <v>0</v>
      </c>
      <c r="BL1243" s="1">
        <v>0</v>
      </c>
      <c r="BM1243" s="1">
        <v>0</v>
      </c>
      <c r="BN1243" s="1">
        <v>0</v>
      </c>
      <c r="BO1243" s="1">
        <v>0</v>
      </c>
      <c r="BP1243" s="1">
        <v>0</v>
      </c>
      <c r="BQ1243" s="1">
        <v>0</v>
      </c>
      <c r="BR1243" s="1">
        <v>0</v>
      </c>
      <c r="BS1243" s="5" t="str">
        <f>HYPERLINK("http://www.d20pfsrd.com/magic/all-spells/a/ablative-barrier","Ablative Barrier")</f>
        <v>Ablative Barrier</v>
      </c>
      <c r="BT1243" s="1">
        <v>1290</v>
      </c>
      <c r="BU1243" s="1" t="s">
        <v>109</v>
      </c>
      <c r="BV1243" s="1"/>
      <c r="BW1243" s="1"/>
      <c r="BX1243" s="1" t="s">
        <v>9891</v>
      </c>
      <c r="BY1243" s="1"/>
      <c r="BZ1243" s="1">
        <v>1</v>
      </c>
      <c r="CA1243" s="1">
        <v>2</v>
      </c>
      <c r="CB1243" s="1" t="s">
        <v>109</v>
      </c>
      <c r="CC1243" s="1">
        <v>3</v>
      </c>
      <c r="CD1243" s="1" t="s">
        <v>109</v>
      </c>
      <c r="CE1243" s="1" t="s">
        <v>109</v>
      </c>
      <c r="CF1243" s="1">
        <v>2</v>
      </c>
      <c r="CG1243" s="1" t="s">
        <v>109</v>
      </c>
      <c r="CH1243" s="1" t="s">
        <v>109</v>
      </c>
      <c r="CI1243" s="1" t="s">
        <v>109</v>
      </c>
      <c r="CJ1243" s="1" t="s">
        <v>109</v>
      </c>
      <c r="CK1243" s="1"/>
      <c r="CL1243" s="1">
        <v>0</v>
      </c>
      <c r="CM1243" s="1">
        <v>0</v>
      </c>
      <c r="CN1243" s="1">
        <v>0</v>
      </c>
    </row>
    <row r="1244" spans="1:92" ht="14.25" customHeight="1" x14ac:dyDescent="0.15">
      <c r="A1244" s="1" t="s">
        <v>9892</v>
      </c>
      <c r="B1244" s="1" t="s">
        <v>308</v>
      </c>
      <c r="C1244" s="1"/>
      <c r="D1244" s="1"/>
      <c r="E1244" s="1" t="s">
        <v>9893</v>
      </c>
      <c r="F1244" s="1" t="s">
        <v>98</v>
      </c>
      <c r="G1244" s="1" t="s">
        <v>9894</v>
      </c>
      <c r="H1244" s="1">
        <v>0</v>
      </c>
      <c r="I1244" s="1" t="s">
        <v>235</v>
      </c>
      <c r="J1244" s="1"/>
      <c r="K1244" s="1"/>
      <c r="L1244" s="1" t="s">
        <v>236</v>
      </c>
      <c r="M1244" s="1" t="s">
        <v>9547</v>
      </c>
      <c r="N1244" s="1">
        <v>0</v>
      </c>
      <c r="O1244" s="1">
        <v>0</v>
      </c>
      <c r="P1244" s="1" t="s">
        <v>211</v>
      </c>
      <c r="Q1244" s="1" t="s">
        <v>104</v>
      </c>
      <c r="R1244" s="1" t="s">
        <v>9895</v>
      </c>
      <c r="S1244" s="1" t="s">
        <v>9896</v>
      </c>
      <c r="T1244" s="1" t="s">
        <v>9888</v>
      </c>
      <c r="U1244" s="1" t="s">
        <v>9897</v>
      </c>
      <c r="V1244" s="1">
        <v>1</v>
      </c>
      <c r="W1244" s="1">
        <v>1</v>
      </c>
      <c r="X1244" s="1">
        <v>1</v>
      </c>
      <c r="Y1244" s="1">
        <v>0</v>
      </c>
      <c r="Z1244" s="1">
        <v>0</v>
      </c>
      <c r="AA1244" s="1">
        <v>5</v>
      </c>
      <c r="AB1244" s="1">
        <v>5</v>
      </c>
      <c r="AC1244" s="1" t="s">
        <v>109</v>
      </c>
      <c r="AD1244" s="1">
        <v>4</v>
      </c>
      <c r="AE1244" s="1" t="s">
        <v>109</v>
      </c>
      <c r="AF1244" s="1" t="s">
        <v>109</v>
      </c>
      <c r="AG1244" s="1" t="s">
        <v>109</v>
      </c>
      <c r="AH1244" s="1">
        <v>3</v>
      </c>
      <c r="AI1244" s="1" t="s">
        <v>109</v>
      </c>
      <c r="AJ1244" s="1">
        <v>4</v>
      </c>
      <c r="AK1244" s="1" t="s">
        <v>109</v>
      </c>
      <c r="AL1244" s="1" t="s">
        <v>109</v>
      </c>
      <c r="AM1244" s="1" t="s">
        <v>109</v>
      </c>
      <c r="AN1244" s="1" t="s">
        <v>109</v>
      </c>
      <c r="AO1244" s="1" t="s">
        <v>109</v>
      </c>
      <c r="AP1244" s="1"/>
      <c r="AQ1244" s="1">
        <v>4</v>
      </c>
      <c r="AR1244" s="1"/>
      <c r="AS1244" s="1" t="s">
        <v>9898</v>
      </c>
      <c r="AT1244" s="1">
        <v>0</v>
      </c>
      <c r="AU1244" s="1">
        <v>0</v>
      </c>
      <c r="AV1244" s="1">
        <v>0</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5" t="str">
        <f>HYPERLINK("http://www.d20pfsrd.com/magic/all-spells/a/absorb-toxicity","Absorb Toxicity")</f>
        <v>Absorb Toxicity</v>
      </c>
      <c r="BT1244" s="1">
        <v>1291</v>
      </c>
      <c r="BU1244" s="1" t="s">
        <v>109</v>
      </c>
      <c r="BV1244" s="1"/>
      <c r="BW1244" s="1"/>
      <c r="BX1244" s="1"/>
      <c r="BY1244" s="1"/>
      <c r="BZ1244" s="1">
        <v>0</v>
      </c>
      <c r="CA1244" s="1" t="s">
        <v>109</v>
      </c>
      <c r="CB1244" s="1" t="s">
        <v>109</v>
      </c>
      <c r="CC1244" s="1">
        <v>5</v>
      </c>
      <c r="CD1244" s="1" t="s">
        <v>109</v>
      </c>
      <c r="CE1244" s="1" t="s">
        <v>109</v>
      </c>
      <c r="CF1244" s="1" t="s">
        <v>109</v>
      </c>
      <c r="CG1244" s="1" t="s">
        <v>109</v>
      </c>
      <c r="CH1244" s="1" t="s">
        <v>109</v>
      </c>
      <c r="CI1244" s="1" t="s">
        <v>109</v>
      </c>
      <c r="CJ1244" s="1">
        <v>4</v>
      </c>
      <c r="CK1244" s="1"/>
      <c r="CL1244" s="1">
        <v>0</v>
      </c>
      <c r="CM1244" s="1">
        <v>0</v>
      </c>
      <c r="CN1244" s="1">
        <v>0</v>
      </c>
    </row>
    <row r="1245" spans="1:92" ht="14.25" customHeight="1" x14ac:dyDescent="0.15">
      <c r="A1245" s="1" t="s">
        <v>9899</v>
      </c>
      <c r="B1245" s="1" t="s">
        <v>95</v>
      </c>
      <c r="C1245" s="1" t="s">
        <v>1179</v>
      </c>
      <c r="D1245" s="1"/>
      <c r="E1245" s="1" t="s">
        <v>9900</v>
      </c>
      <c r="F1245" s="1" t="s">
        <v>98</v>
      </c>
      <c r="G1245" s="1" t="s">
        <v>9901</v>
      </c>
      <c r="H1245" s="1">
        <v>0</v>
      </c>
      <c r="I1245" s="1"/>
      <c r="J1245" s="1"/>
      <c r="K1245" s="1"/>
      <c r="L1245" s="1" t="s">
        <v>9902</v>
      </c>
      <c r="M1245" s="1" t="s">
        <v>3042</v>
      </c>
      <c r="N1245" s="1">
        <v>0</v>
      </c>
      <c r="O1245" s="1">
        <v>0</v>
      </c>
      <c r="P1245" s="1" t="s">
        <v>103</v>
      </c>
      <c r="Q1245" s="1" t="s">
        <v>104</v>
      </c>
      <c r="R1245" s="1" t="s">
        <v>9903</v>
      </c>
      <c r="S1245" s="1" t="s">
        <v>9904</v>
      </c>
      <c r="T1245" s="1" t="s">
        <v>9888</v>
      </c>
      <c r="U1245" s="1" t="s">
        <v>9905</v>
      </c>
      <c r="V1245" s="1">
        <v>1</v>
      </c>
      <c r="W1245" s="1">
        <v>1</v>
      </c>
      <c r="X1245" s="1">
        <v>1</v>
      </c>
      <c r="Y1245" s="1">
        <v>0</v>
      </c>
      <c r="Z1245" s="1">
        <v>1</v>
      </c>
      <c r="AA1245" s="1">
        <v>1</v>
      </c>
      <c r="AB1245" s="1">
        <v>1</v>
      </c>
      <c r="AC1245" s="1">
        <v>1</v>
      </c>
      <c r="AD1245" s="1" t="s">
        <v>109</v>
      </c>
      <c r="AE1245" s="1">
        <v>1</v>
      </c>
      <c r="AF1245" s="1">
        <v>1</v>
      </c>
      <c r="AG1245" s="1" t="s">
        <v>109</v>
      </c>
      <c r="AH1245" s="1" t="s">
        <v>109</v>
      </c>
      <c r="AI1245" s="1" t="s">
        <v>109</v>
      </c>
      <c r="AJ1245" s="1" t="s">
        <v>109</v>
      </c>
      <c r="AK1245" s="1" t="s">
        <v>109</v>
      </c>
      <c r="AL1245" s="1">
        <v>1</v>
      </c>
      <c r="AM1245" s="1" t="s">
        <v>109</v>
      </c>
      <c r="AN1245" s="1" t="s">
        <v>109</v>
      </c>
      <c r="AO1245" s="1" t="s">
        <v>109</v>
      </c>
      <c r="AP1245" s="1"/>
      <c r="AQ1245" s="1">
        <v>1</v>
      </c>
      <c r="AR1245" s="1"/>
      <c r="AS1245" s="1" t="s">
        <v>9906</v>
      </c>
      <c r="AT1245" s="1">
        <v>0</v>
      </c>
      <c r="AU1245" s="1">
        <v>0</v>
      </c>
      <c r="AV1245" s="1">
        <v>0</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5" t="str">
        <f>HYPERLINK("http://www.d20pfsrd.com/magic/all-spells/a/abundant-ammunition","Abundant Ammunition")</f>
        <v>Abundant Ammunition</v>
      </c>
      <c r="BT1245" s="1">
        <v>1292</v>
      </c>
      <c r="BU1245" s="1" t="s">
        <v>109</v>
      </c>
      <c r="BV1245" s="1"/>
      <c r="BW1245" s="1"/>
      <c r="BX1245" s="1"/>
      <c r="BY1245" s="1"/>
      <c r="BZ1245" s="1">
        <v>0</v>
      </c>
      <c r="CA1245" s="1" t="s">
        <v>109</v>
      </c>
      <c r="CB1245" s="1" t="s">
        <v>109</v>
      </c>
      <c r="CC1245" s="1">
        <v>1</v>
      </c>
      <c r="CD1245" s="1" t="s">
        <v>109</v>
      </c>
      <c r="CE1245" s="1" t="s">
        <v>109</v>
      </c>
      <c r="CF1245" s="1" t="s">
        <v>109</v>
      </c>
      <c r="CG1245" s="1" t="s">
        <v>109</v>
      </c>
      <c r="CH1245" s="1" t="s">
        <v>109</v>
      </c>
      <c r="CI1245" s="1" t="s">
        <v>109</v>
      </c>
      <c r="CJ1245" s="1">
        <v>1</v>
      </c>
      <c r="CK1245" s="1"/>
      <c r="CL1245" s="1">
        <v>0</v>
      </c>
      <c r="CM1245" s="1">
        <v>0</v>
      </c>
      <c r="CN1245" s="1">
        <v>0</v>
      </c>
    </row>
    <row r="1246" spans="1:92" ht="14.25" customHeight="1" x14ac:dyDescent="0.15">
      <c r="A1246" s="1" t="s">
        <v>9907</v>
      </c>
      <c r="B1246" s="1" t="s">
        <v>242</v>
      </c>
      <c r="C1246" s="1"/>
      <c r="D1246" s="1" t="s">
        <v>60</v>
      </c>
      <c r="E1246" s="1" t="s">
        <v>9908</v>
      </c>
      <c r="F1246" s="1" t="s">
        <v>98</v>
      </c>
      <c r="G1246" s="1" t="s">
        <v>9909</v>
      </c>
      <c r="H1246" s="1">
        <v>0</v>
      </c>
      <c r="I1246" s="1" t="s">
        <v>235</v>
      </c>
      <c r="J1246" s="1"/>
      <c r="K1246" s="1"/>
      <c r="L1246" s="1" t="s">
        <v>236</v>
      </c>
      <c r="M1246" s="1" t="s">
        <v>6798</v>
      </c>
      <c r="N1246" s="1">
        <v>0</v>
      </c>
      <c r="O1246" s="1">
        <v>0</v>
      </c>
      <c r="P1246" s="1"/>
      <c r="Q1246" s="1"/>
      <c r="R1246" s="1" t="s">
        <v>9910</v>
      </c>
      <c r="S1246" s="1" t="s">
        <v>9911</v>
      </c>
      <c r="T1246" s="1" t="s">
        <v>9888</v>
      </c>
      <c r="U1246" s="1" t="s">
        <v>9912</v>
      </c>
      <c r="V1246" s="1">
        <v>1</v>
      </c>
      <c r="W1246" s="1">
        <v>1</v>
      </c>
      <c r="X1246" s="1">
        <v>1</v>
      </c>
      <c r="Y1246" s="1">
        <v>0</v>
      </c>
      <c r="Z1246" s="1">
        <v>0</v>
      </c>
      <c r="AA1246" s="1">
        <v>1</v>
      </c>
      <c r="AB1246" s="1">
        <v>1</v>
      </c>
      <c r="AC1246" s="1" t="s">
        <v>109</v>
      </c>
      <c r="AD1246" s="1" t="s">
        <v>109</v>
      </c>
      <c r="AE1246" s="1" t="s">
        <v>109</v>
      </c>
      <c r="AF1246" s="1">
        <v>1</v>
      </c>
      <c r="AG1246" s="1" t="s">
        <v>109</v>
      </c>
      <c r="AH1246" s="1">
        <v>1</v>
      </c>
      <c r="AI1246" s="1" t="s">
        <v>109</v>
      </c>
      <c r="AJ1246" s="1" t="s">
        <v>109</v>
      </c>
      <c r="AK1246" s="1" t="s">
        <v>109</v>
      </c>
      <c r="AL1246" s="1" t="s">
        <v>109</v>
      </c>
      <c r="AM1246" s="1" t="s">
        <v>109</v>
      </c>
      <c r="AN1246" s="1">
        <v>1</v>
      </c>
      <c r="AO1246" s="1" t="s">
        <v>109</v>
      </c>
      <c r="AP1246" s="1"/>
      <c r="AQ1246" s="1">
        <v>1</v>
      </c>
      <c r="AR1246" s="1"/>
      <c r="AS1246" s="1" t="s">
        <v>9913</v>
      </c>
      <c r="AT1246" s="1">
        <v>0</v>
      </c>
      <c r="AU1246" s="1">
        <v>0</v>
      </c>
      <c r="AV1246" s="1">
        <v>0</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5" t="str">
        <f>HYPERLINK("http://www.d20pfsrd.com/magic/all-spells/a/adjuring-step","Adjuring Step")</f>
        <v>Adjuring Step</v>
      </c>
      <c r="BT1246" s="1">
        <v>1293</v>
      </c>
      <c r="BU1246" s="1" t="s">
        <v>109</v>
      </c>
      <c r="BV1246" s="1"/>
      <c r="BW1246" s="1"/>
      <c r="BX1246" s="1"/>
      <c r="BY1246" s="1"/>
      <c r="BZ1246" s="1">
        <v>0</v>
      </c>
      <c r="CA1246" s="1" t="s">
        <v>109</v>
      </c>
      <c r="CB1246" s="1" t="s">
        <v>109</v>
      </c>
      <c r="CC1246" s="1">
        <v>1</v>
      </c>
      <c r="CD1246" s="1" t="s">
        <v>109</v>
      </c>
      <c r="CE1246" s="1" t="s">
        <v>109</v>
      </c>
      <c r="CF1246" s="1">
        <v>1</v>
      </c>
      <c r="CG1246" s="1" t="s">
        <v>109</v>
      </c>
      <c r="CH1246" s="1" t="s">
        <v>109</v>
      </c>
      <c r="CI1246" s="1" t="s">
        <v>109</v>
      </c>
      <c r="CJ1246" s="1" t="s">
        <v>109</v>
      </c>
      <c r="CK1246" s="1"/>
      <c r="CL1246" s="1">
        <v>0</v>
      </c>
      <c r="CM1246" s="1">
        <v>0</v>
      </c>
      <c r="CN1246" s="1">
        <v>0</v>
      </c>
    </row>
    <row r="1247" spans="1:92" ht="14.25" customHeight="1" x14ac:dyDescent="0.15">
      <c r="A1247" s="1" t="s">
        <v>9914</v>
      </c>
      <c r="B1247" s="1" t="s">
        <v>156</v>
      </c>
      <c r="C1247" s="1"/>
      <c r="D1247" s="1" t="s">
        <v>8086</v>
      </c>
      <c r="E1247" s="1" t="s">
        <v>9263</v>
      </c>
      <c r="F1247" s="1" t="s">
        <v>98</v>
      </c>
      <c r="G1247" s="1" t="s">
        <v>141</v>
      </c>
      <c r="H1247" s="1">
        <v>0</v>
      </c>
      <c r="I1247" s="1" t="s">
        <v>142</v>
      </c>
      <c r="J1247" s="1"/>
      <c r="K1247" s="1"/>
      <c r="L1247" s="1" t="s">
        <v>1391</v>
      </c>
      <c r="M1247" s="1" t="s">
        <v>3042</v>
      </c>
      <c r="N1247" s="1">
        <v>0</v>
      </c>
      <c r="O1247" s="1">
        <v>0</v>
      </c>
      <c r="P1247" s="1" t="s">
        <v>507</v>
      </c>
      <c r="Q1247" s="1" t="s">
        <v>268</v>
      </c>
      <c r="R1247" s="1" t="s">
        <v>9915</v>
      </c>
      <c r="S1247" s="1" t="s">
        <v>9916</v>
      </c>
      <c r="T1247" s="1" t="s">
        <v>9888</v>
      </c>
      <c r="U1247" s="1" t="s">
        <v>9917</v>
      </c>
      <c r="V1247" s="1">
        <v>1</v>
      </c>
      <c r="W1247" s="1">
        <v>1</v>
      </c>
      <c r="X1247" s="1">
        <v>0</v>
      </c>
      <c r="Y1247" s="1">
        <v>0</v>
      </c>
      <c r="Z1247" s="1">
        <v>0</v>
      </c>
      <c r="AA1247" s="1">
        <v>2</v>
      </c>
      <c r="AB1247" s="1">
        <v>2</v>
      </c>
      <c r="AC1247" s="1" t="s">
        <v>109</v>
      </c>
      <c r="AD1247" s="1" t="s">
        <v>109</v>
      </c>
      <c r="AE1247" s="1" t="s">
        <v>109</v>
      </c>
      <c r="AF1247" s="1">
        <v>1</v>
      </c>
      <c r="AG1247" s="1" t="s">
        <v>109</v>
      </c>
      <c r="AH1247" s="1" t="s">
        <v>109</v>
      </c>
      <c r="AI1247" s="1" t="s">
        <v>109</v>
      </c>
      <c r="AJ1247" s="1">
        <v>2</v>
      </c>
      <c r="AK1247" s="1" t="s">
        <v>109</v>
      </c>
      <c r="AL1247" s="1" t="s">
        <v>109</v>
      </c>
      <c r="AM1247" s="1" t="s">
        <v>109</v>
      </c>
      <c r="AN1247" s="1" t="s">
        <v>109</v>
      </c>
      <c r="AO1247" s="1" t="s">
        <v>109</v>
      </c>
      <c r="AP1247" s="1"/>
      <c r="AQ1247" s="1">
        <v>2</v>
      </c>
      <c r="AR1247" s="1"/>
      <c r="AS1247" s="1" t="s">
        <v>9918</v>
      </c>
      <c r="AT1247" s="1">
        <v>0</v>
      </c>
      <c r="AU1247" s="1">
        <v>0</v>
      </c>
      <c r="AV1247" s="1">
        <v>0</v>
      </c>
      <c r="AW1247" s="1">
        <v>0</v>
      </c>
      <c r="AX1247" s="1">
        <v>0</v>
      </c>
      <c r="AY1247" s="1">
        <v>0</v>
      </c>
      <c r="AZ1247" s="1">
        <v>0</v>
      </c>
      <c r="BA1247" s="1">
        <v>0</v>
      </c>
      <c r="BB1247" s="1">
        <v>0</v>
      </c>
      <c r="BC1247" s="1">
        <v>0</v>
      </c>
      <c r="BD1247" s="1">
        <v>1</v>
      </c>
      <c r="BE1247" s="1">
        <v>0</v>
      </c>
      <c r="BF1247" s="1">
        <v>0</v>
      </c>
      <c r="BG1247" s="1">
        <v>0</v>
      </c>
      <c r="BH1247" s="1">
        <v>0</v>
      </c>
      <c r="BI1247" s="1">
        <v>0</v>
      </c>
      <c r="BJ1247" s="1">
        <v>0</v>
      </c>
      <c r="BK1247" s="1">
        <v>0</v>
      </c>
      <c r="BL1247" s="1">
        <v>0</v>
      </c>
      <c r="BM1247" s="1">
        <v>1</v>
      </c>
      <c r="BN1247" s="1">
        <v>0</v>
      </c>
      <c r="BO1247" s="1">
        <v>0</v>
      </c>
      <c r="BP1247" s="1">
        <v>0</v>
      </c>
      <c r="BQ1247" s="1">
        <v>0</v>
      </c>
      <c r="BR1247" s="1">
        <v>0</v>
      </c>
      <c r="BS1247" s="5" t="str">
        <f>HYPERLINK("http://www.d20pfsrd.com/magic/all-spells/a/adoration","Adoration")</f>
        <v>Adoration</v>
      </c>
      <c r="BT1247" s="1">
        <v>1294</v>
      </c>
      <c r="BU1247" s="1" t="s">
        <v>109</v>
      </c>
      <c r="BV1247" s="1"/>
      <c r="BW1247" s="1"/>
      <c r="BX1247" s="1"/>
      <c r="BY1247" s="1"/>
      <c r="BZ1247" s="1">
        <v>0</v>
      </c>
      <c r="CA1247" s="1" t="s">
        <v>109</v>
      </c>
      <c r="CB1247" s="1" t="s">
        <v>109</v>
      </c>
      <c r="CC1247" s="1">
        <v>2</v>
      </c>
      <c r="CD1247" s="1" t="s">
        <v>109</v>
      </c>
      <c r="CE1247" s="1">
        <v>1</v>
      </c>
      <c r="CF1247" s="1" t="s">
        <v>109</v>
      </c>
      <c r="CG1247" s="1" t="s">
        <v>109</v>
      </c>
      <c r="CH1247" s="1" t="s">
        <v>109</v>
      </c>
      <c r="CI1247" s="1" t="s">
        <v>109</v>
      </c>
      <c r="CJ1247" s="1" t="s">
        <v>109</v>
      </c>
      <c r="CK1247" s="1"/>
      <c r="CL1247" s="1">
        <v>0</v>
      </c>
      <c r="CM1247" s="1">
        <v>0</v>
      </c>
      <c r="CN1247" s="1">
        <v>0</v>
      </c>
    </row>
    <row r="1248" spans="1:92" ht="14.25" customHeight="1" x14ac:dyDescent="0.15">
      <c r="A1248" s="1" t="s">
        <v>9919</v>
      </c>
      <c r="B1248" s="1" t="s">
        <v>95</v>
      </c>
      <c r="C1248" s="1" t="s">
        <v>96</v>
      </c>
      <c r="D1248" s="1"/>
      <c r="E1248" s="1" t="s">
        <v>9920</v>
      </c>
      <c r="F1248" s="1" t="s">
        <v>98</v>
      </c>
      <c r="G1248" s="1" t="s">
        <v>9921</v>
      </c>
      <c r="H1248" s="1">
        <v>0</v>
      </c>
      <c r="I1248" s="1" t="s">
        <v>161</v>
      </c>
      <c r="J1248" s="1"/>
      <c r="K1248" s="1"/>
      <c r="L1248" s="1" t="s">
        <v>9922</v>
      </c>
      <c r="M1248" s="1" t="s">
        <v>3042</v>
      </c>
      <c r="N1248" s="1">
        <v>0</v>
      </c>
      <c r="O1248" s="1">
        <v>0</v>
      </c>
      <c r="P1248" s="1" t="s">
        <v>507</v>
      </c>
      <c r="Q1248" s="1" t="s">
        <v>167</v>
      </c>
      <c r="R1248" s="1" t="s">
        <v>9923</v>
      </c>
      <c r="S1248" s="1" t="s">
        <v>9924</v>
      </c>
      <c r="T1248" s="1" t="s">
        <v>9888</v>
      </c>
      <c r="U1248" s="1" t="s">
        <v>9925</v>
      </c>
      <c r="V1248" s="1">
        <v>0</v>
      </c>
      <c r="W1248" s="1">
        <v>1</v>
      </c>
      <c r="X1248" s="1">
        <v>1</v>
      </c>
      <c r="Y1248" s="1">
        <v>0</v>
      </c>
      <c r="Z1248" s="1">
        <v>1</v>
      </c>
      <c r="AA1248" s="1">
        <v>1</v>
      </c>
      <c r="AB1248" s="1">
        <v>1</v>
      </c>
      <c r="AC1248" s="1">
        <v>1</v>
      </c>
      <c r="AD1248" s="1">
        <v>1</v>
      </c>
      <c r="AE1248" s="1">
        <v>1</v>
      </c>
      <c r="AF1248" s="1" t="s">
        <v>109</v>
      </c>
      <c r="AG1248" s="1" t="s">
        <v>109</v>
      </c>
      <c r="AH1248" s="1" t="s">
        <v>109</v>
      </c>
      <c r="AI1248" s="1" t="s">
        <v>109</v>
      </c>
      <c r="AJ1248" s="1">
        <v>1</v>
      </c>
      <c r="AK1248" s="1" t="s">
        <v>109</v>
      </c>
      <c r="AL1248" s="1">
        <v>1</v>
      </c>
      <c r="AM1248" s="1" t="s">
        <v>109</v>
      </c>
      <c r="AN1248" s="1" t="s">
        <v>109</v>
      </c>
      <c r="AO1248" s="1" t="s">
        <v>109</v>
      </c>
      <c r="AP1248" s="1"/>
      <c r="AQ1248" s="1">
        <v>1</v>
      </c>
      <c r="AR1248" s="1"/>
      <c r="AS1248" s="1" t="s">
        <v>9926</v>
      </c>
      <c r="AT1248" s="1">
        <v>0</v>
      </c>
      <c r="AU1248" s="1">
        <v>0</v>
      </c>
      <c r="AV1248" s="1">
        <v>0</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5" t="str">
        <f>HYPERLINK("http://www.d20pfsrd.com/magic/all-spells/a/air-bubble","Air Bubble")</f>
        <v>Air Bubble</v>
      </c>
      <c r="BT1248" s="1">
        <v>1295</v>
      </c>
      <c r="BU1248" s="1" t="s">
        <v>109</v>
      </c>
      <c r="BV1248" s="1"/>
      <c r="BW1248" s="1"/>
      <c r="BX1248" s="1"/>
      <c r="BY1248" s="1"/>
      <c r="BZ1248" s="1">
        <v>0</v>
      </c>
      <c r="CA1248" s="1" t="s">
        <v>109</v>
      </c>
      <c r="CB1248" s="1" t="s">
        <v>109</v>
      </c>
      <c r="CC1248" s="1">
        <v>1</v>
      </c>
      <c r="CD1248" s="1" t="s">
        <v>109</v>
      </c>
      <c r="CE1248" s="1" t="s">
        <v>109</v>
      </c>
      <c r="CF1248" s="1" t="s">
        <v>109</v>
      </c>
      <c r="CG1248" s="1" t="s">
        <v>109</v>
      </c>
      <c r="CH1248" s="1" t="s">
        <v>109</v>
      </c>
      <c r="CI1248" s="1" t="s">
        <v>109</v>
      </c>
      <c r="CJ1248" s="1">
        <v>1</v>
      </c>
      <c r="CK1248" s="1"/>
      <c r="CL1248" s="1">
        <v>0</v>
      </c>
      <c r="CM1248" s="1">
        <v>0</v>
      </c>
      <c r="CN1248" s="1">
        <v>0</v>
      </c>
    </row>
    <row r="1249" spans="1:92" ht="14.25" customHeight="1" x14ac:dyDescent="0.15">
      <c r="A1249" s="1" t="s">
        <v>9927</v>
      </c>
      <c r="B1249" s="1" t="s">
        <v>189</v>
      </c>
      <c r="C1249" s="1"/>
      <c r="D1249" s="1" t="s">
        <v>47</v>
      </c>
      <c r="E1249" s="1" t="s">
        <v>9928</v>
      </c>
      <c r="F1249" s="1" t="s">
        <v>98</v>
      </c>
      <c r="G1249" s="1" t="s">
        <v>160</v>
      </c>
      <c r="H1249" s="1">
        <v>0</v>
      </c>
      <c r="I1249" s="1" t="s">
        <v>161</v>
      </c>
      <c r="J1249" s="1"/>
      <c r="K1249" s="1"/>
      <c r="L1249" s="1" t="s">
        <v>9929</v>
      </c>
      <c r="M1249" s="1" t="s">
        <v>194</v>
      </c>
      <c r="N1249" s="1">
        <v>0</v>
      </c>
      <c r="O1249" s="1">
        <v>0</v>
      </c>
      <c r="P1249" s="1" t="s">
        <v>103</v>
      </c>
      <c r="Q1249" s="1" t="s">
        <v>167</v>
      </c>
      <c r="R1249" s="1" t="s">
        <v>9930</v>
      </c>
      <c r="S1249" s="1" t="s">
        <v>9931</v>
      </c>
      <c r="T1249" s="1" t="s">
        <v>9888</v>
      </c>
      <c r="U1249" s="1" t="s">
        <v>9932</v>
      </c>
      <c r="V1249" s="1">
        <v>1</v>
      </c>
      <c r="W1249" s="1">
        <v>1</v>
      </c>
      <c r="X1249" s="1">
        <v>0</v>
      </c>
      <c r="Y1249" s="1">
        <v>0</v>
      </c>
      <c r="Z1249" s="1">
        <v>1</v>
      </c>
      <c r="AA1249" s="1" t="s">
        <v>109</v>
      </c>
      <c r="AB1249" s="1" t="s">
        <v>109</v>
      </c>
      <c r="AC1249" s="1">
        <v>5</v>
      </c>
      <c r="AD1249" s="1">
        <v>5</v>
      </c>
      <c r="AE1249" s="1" t="s">
        <v>109</v>
      </c>
      <c r="AF1249" s="1" t="s">
        <v>109</v>
      </c>
      <c r="AG1249" s="1" t="s">
        <v>109</v>
      </c>
      <c r="AH1249" s="1">
        <v>5</v>
      </c>
      <c r="AI1249" s="1" t="s">
        <v>109</v>
      </c>
      <c r="AJ1249" s="1" t="s">
        <v>109</v>
      </c>
      <c r="AK1249" s="1" t="s">
        <v>109</v>
      </c>
      <c r="AL1249" s="1">
        <v>5</v>
      </c>
      <c r="AM1249" s="1" t="s">
        <v>109</v>
      </c>
      <c r="AN1249" s="1" t="s">
        <v>109</v>
      </c>
      <c r="AO1249" s="1" t="s">
        <v>109</v>
      </c>
      <c r="AP1249" s="1"/>
      <c r="AQ1249" s="1">
        <v>5</v>
      </c>
      <c r="AR1249" s="1"/>
      <c r="AS1249" s="1" t="s">
        <v>9933</v>
      </c>
      <c r="AT1249" s="1">
        <v>0</v>
      </c>
      <c r="AU1249" s="1">
        <v>1</v>
      </c>
      <c r="AV1249" s="1">
        <v>0</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5" t="str">
        <f>HYPERLINK("http://www.d20pfsrd.com/magic/all-spells/a/air-walk#TOC-Air-Walk-Communal","Air Walk, Communal")</f>
        <v>Air Walk, Communal</v>
      </c>
      <c r="BT1249" s="1">
        <v>1296</v>
      </c>
      <c r="BU1249" s="1" t="s">
        <v>109</v>
      </c>
      <c r="BV1249" s="1"/>
      <c r="BW1249" s="1"/>
      <c r="BX1249" s="1"/>
      <c r="BY1249" s="1"/>
      <c r="BZ1249" s="1">
        <v>0</v>
      </c>
      <c r="CA1249" s="1" t="s">
        <v>109</v>
      </c>
      <c r="CB1249" s="1" t="s">
        <v>109</v>
      </c>
      <c r="CC1249" s="1" t="s">
        <v>109</v>
      </c>
      <c r="CD1249" s="1" t="s">
        <v>109</v>
      </c>
      <c r="CE1249" s="1" t="s">
        <v>109</v>
      </c>
      <c r="CF1249" s="1">
        <v>5</v>
      </c>
      <c r="CG1249" s="1" t="s">
        <v>109</v>
      </c>
      <c r="CH1249" s="1" t="s">
        <v>109</v>
      </c>
      <c r="CI1249" s="1" t="s">
        <v>109</v>
      </c>
      <c r="CJ1249" s="1">
        <v>5</v>
      </c>
      <c r="CK1249" s="1"/>
      <c r="CL1249" s="1">
        <v>0</v>
      </c>
      <c r="CM1249" s="1">
        <v>0</v>
      </c>
      <c r="CN1249" s="1">
        <v>0</v>
      </c>
    </row>
    <row r="1250" spans="1:92" ht="14.25" customHeight="1" x14ac:dyDescent="0.15">
      <c r="A1250" s="1" t="s">
        <v>9934</v>
      </c>
      <c r="B1250" s="1" t="s">
        <v>189</v>
      </c>
      <c r="C1250" s="1" t="s">
        <v>231</v>
      </c>
      <c r="D1250" s="1"/>
      <c r="E1250" s="1" t="s">
        <v>9935</v>
      </c>
      <c r="F1250" s="1" t="s">
        <v>98</v>
      </c>
      <c r="G1250" s="1" t="s">
        <v>9936</v>
      </c>
      <c r="H1250" s="1">
        <v>0</v>
      </c>
      <c r="I1250" s="1" t="s">
        <v>235</v>
      </c>
      <c r="J1250" s="1"/>
      <c r="K1250" s="1"/>
      <c r="L1250" s="1" t="s">
        <v>236</v>
      </c>
      <c r="M1250" s="1" t="s">
        <v>6144</v>
      </c>
      <c r="N1250" s="1">
        <v>1</v>
      </c>
      <c r="O1250" s="1">
        <v>0</v>
      </c>
      <c r="P1250" s="1" t="s">
        <v>103</v>
      </c>
      <c r="Q1250" s="1" t="s">
        <v>167</v>
      </c>
      <c r="R1250" s="1" t="s">
        <v>9937</v>
      </c>
      <c r="S1250" s="1" t="s">
        <v>9938</v>
      </c>
      <c r="T1250" s="1" t="s">
        <v>9888</v>
      </c>
      <c r="U1250" s="1" t="s">
        <v>9939</v>
      </c>
      <c r="V1250" s="1">
        <v>1</v>
      </c>
      <c r="W1250" s="1">
        <v>1</v>
      </c>
      <c r="X1250" s="1">
        <v>1</v>
      </c>
      <c r="Y1250" s="1">
        <v>0</v>
      </c>
      <c r="Z1250" s="1">
        <v>1</v>
      </c>
      <c r="AA1250" s="1">
        <v>2</v>
      </c>
      <c r="AB1250" s="1">
        <v>2</v>
      </c>
      <c r="AC1250" s="1" t="s">
        <v>109</v>
      </c>
      <c r="AD1250" s="1">
        <v>2</v>
      </c>
      <c r="AE1250" s="1">
        <v>2</v>
      </c>
      <c r="AF1250" s="1" t="s">
        <v>109</v>
      </c>
      <c r="AG1250" s="1" t="s">
        <v>109</v>
      </c>
      <c r="AH1250" s="1">
        <v>2</v>
      </c>
      <c r="AI1250" s="1" t="s">
        <v>109</v>
      </c>
      <c r="AJ1250" s="1" t="s">
        <v>109</v>
      </c>
      <c r="AK1250" s="1" t="s">
        <v>109</v>
      </c>
      <c r="AL1250" s="1" t="s">
        <v>109</v>
      </c>
      <c r="AM1250" s="1" t="s">
        <v>109</v>
      </c>
      <c r="AN1250" s="1">
        <v>2</v>
      </c>
      <c r="AO1250" s="1" t="s">
        <v>109</v>
      </c>
      <c r="AP1250" s="1"/>
      <c r="AQ1250" s="1">
        <v>2</v>
      </c>
      <c r="AR1250" s="1"/>
      <c r="AS1250" s="1" t="s">
        <v>9940</v>
      </c>
      <c r="AT1250" s="1">
        <v>0</v>
      </c>
      <c r="AU1250" s="1">
        <v>0</v>
      </c>
      <c r="AV1250" s="1">
        <v>0</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5" t="str">
        <f>HYPERLINK("http://www.d20pfsrd.com/magic/all-spells/a/animal-aspect","Animal Aspect")</f>
        <v>Animal Aspect</v>
      </c>
      <c r="BT1250" s="1">
        <v>1297</v>
      </c>
      <c r="BU1250" s="1" t="s">
        <v>109</v>
      </c>
      <c r="BV1250" s="1"/>
      <c r="BW1250" s="1"/>
      <c r="BX1250" s="1" t="s">
        <v>9941</v>
      </c>
      <c r="BY1250" s="1"/>
      <c r="BZ1250" s="1">
        <v>1</v>
      </c>
      <c r="CA1250" s="1">
        <v>2</v>
      </c>
      <c r="CB1250" s="1" t="s">
        <v>109</v>
      </c>
      <c r="CC1250" s="1">
        <v>2</v>
      </c>
      <c r="CD1250" s="1" t="s">
        <v>109</v>
      </c>
      <c r="CE1250" s="1" t="s">
        <v>109</v>
      </c>
      <c r="CF1250" s="1" t="s">
        <v>109</v>
      </c>
      <c r="CG1250" s="1" t="s">
        <v>109</v>
      </c>
      <c r="CH1250" s="1" t="s">
        <v>109</v>
      </c>
      <c r="CI1250" s="1" t="s">
        <v>109</v>
      </c>
      <c r="CJ1250" s="1">
        <v>2</v>
      </c>
      <c r="CK1250" s="1"/>
      <c r="CL1250" s="1">
        <v>0</v>
      </c>
      <c r="CM1250" s="1">
        <v>0</v>
      </c>
      <c r="CN1250" s="1">
        <v>0</v>
      </c>
    </row>
    <row r="1251" spans="1:92" ht="14.25" customHeight="1" x14ac:dyDescent="0.15">
      <c r="A1251" s="1" t="s">
        <v>9942</v>
      </c>
      <c r="B1251" s="1" t="s">
        <v>189</v>
      </c>
      <c r="C1251" s="1" t="s">
        <v>231</v>
      </c>
      <c r="D1251" s="1"/>
      <c r="E1251" s="1" t="s">
        <v>9943</v>
      </c>
      <c r="F1251" s="1" t="s">
        <v>98</v>
      </c>
      <c r="G1251" s="1" t="s">
        <v>9936</v>
      </c>
      <c r="H1251" s="1">
        <v>0</v>
      </c>
      <c r="I1251" s="1" t="s">
        <v>235</v>
      </c>
      <c r="J1251" s="1"/>
      <c r="K1251" s="1"/>
      <c r="L1251" s="1" t="s">
        <v>236</v>
      </c>
      <c r="M1251" s="1" t="s">
        <v>6144</v>
      </c>
      <c r="N1251" s="1">
        <v>1</v>
      </c>
      <c r="O1251" s="1">
        <v>0</v>
      </c>
      <c r="P1251" s="1" t="s">
        <v>103</v>
      </c>
      <c r="Q1251" s="1" t="s">
        <v>167</v>
      </c>
      <c r="R1251" s="1" t="s">
        <v>9944</v>
      </c>
      <c r="S1251" s="1" t="s">
        <v>9945</v>
      </c>
      <c r="T1251" s="1" t="s">
        <v>9888</v>
      </c>
      <c r="U1251" s="1" t="s">
        <v>9946</v>
      </c>
      <c r="V1251" s="1">
        <v>1</v>
      </c>
      <c r="W1251" s="1">
        <v>1</v>
      </c>
      <c r="X1251" s="1">
        <v>1</v>
      </c>
      <c r="Y1251" s="1">
        <v>0</v>
      </c>
      <c r="Z1251" s="1">
        <v>1</v>
      </c>
      <c r="AA1251" s="1">
        <v>4</v>
      </c>
      <c r="AB1251" s="1">
        <v>4</v>
      </c>
      <c r="AC1251" s="1" t="s">
        <v>109</v>
      </c>
      <c r="AD1251" s="1">
        <v>3</v>
      </c>
      <c r="AE1251" s="1">
        <v>3</v>
      </c>
      <c r="AF1251" s="1" t="s">
        <v>109</v>
      </c>
      <c r="AG1251" s="1" t="s">
        <v>109</v>
      </c>
      <c r="AH1251" s="1">
        <v>3</v>
      </c>
      <c r="AI1251" s="1" t="s">
        <v>109</v>
      </c>
      <c r="AJ1251" s="1" t="s">
        <v>109</v>
      </c>
      <c r="AK1251" s="1" t="s">
        <v>109</v>
      </c>
      <c r="AL1251" s="1" t="s">
        <v>109</v>
      </c>
      <c r="AM1251" s="1" t="s">
        <v>109</v>
      </c>
      <c r="AN1251" s="1">
        <v>3</v>
      </c>
      <c r="AO1251" s="1" t="s">
        <v>109</v>
      </c>
      <c r="AP1251" s="1"/>
      <c r="AQ1251" s="1">
        <v>4</v>
      </c>
      <c r="AR1251" s="1" t="s">
        <v>9947</v>
      </c>
      <c r="AS1251" s="1" t="s">
        <v>9948</v>
      </c>
      <c r="AT1251" s="1">
        <v>0</v>
      </c>
      <c r="AU1251" s="1">
        <v>0</v>
      </c>
      <c r="AV1251" s="1">
        <v>0</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5" t="str">
        <f>HYPERLINK("http://www.d20pfsrd.com/magic/all-spells/a/animal-aspect#TOC-Animal-Aspect-Greater","Animal Aspect, Greater")</f>
        <v>Animal Aspect, Greater</v>
      </c>
      <c r="BT1251" s="1">
        <v>1298</v>
      </c>
      <c r="BU1251" s="1" t="s">
        <v>109</v>
      </c>
      <c r="BV1251" s="1"/>
      <c r="BW1251" s="1"/>
      <c r="BX1251" s="1"/>
      <c r="BY1251" s="1"/>
      <c r="BZ1251" s="1">
        <v>0</v>
      </c>
      <c r="CA1251" s="1">
        <v>3</v>
      </c>
      <c r="CB1251" s="1" t="s">
        <v>109</v>
      </c>
      <c r="CC1251" s="1">
        <v>4</v>
      </c>
      <c r="CD1251" s="1" t="s">
        <v>109</v>
      </c>
      <c r="CE1251" s="1" t="s">
        <v>109</v>
      </c>
      <c r="CF1251" s="1" t="s">
        <v>109</v>
      </c>
      <c r="CG1251" s="1" t="s">
        <v>109</v>
      </c>
      <c r="CH1251" s="1" t="s">
        <v>109</v>
      </c>
      <c r="CI1251" s="1" t="s">
        <v>109</v>
      </c>
      <c r="CJ1251" s="1">
        <v>3</v>
      </c>
      <c r="CK1251" s="1"/>
      <c r="CL1251" s="1">
        <v>0</v>
      </c>
      <c r="CM1251" s="1">
        <v>0</v>
      </c>
      <c r="CN1251" s="1">
        <v>0</v>
      </c>
    </row>
    <row r="1252" spans="1:92" ht="14.25" customHeight="1" x14ac:dyDescent="0.15">
      <c r="A1252" s="1" t="s">
        <v>9949</v>
      </c>
      <c r="B1252" s="1" t="s">
        <v>189</v>
      </c>
      <c r="C1252" s="1"/>
      <c r="D1252" s="1"/>
      <c r="E1252" s="1" t="s">
        <v>9950</v>
      </c>
      <c r="F1252" s="1" t="s">
        <v>98</v>
      </c>
      <c r="G1252" s="1" t="s">
        <v>5862</v>
      </c>
      <c r="H1252" s="1">
        <v>0</v>
      </c>
      <c r="I1252" s="1" t="s">
        <v>161</v>
      </c>
      <c r="J1252" s="1"/>
      <c r="K1252" s="1"/>
      <c r="L1252" s="1" t="s">
        <v>9929</v>
      </c>
      <c r="M1252" s="1" t="s">
        <v>246</v>
      </c>
      <c r="N1252" s="1">
        <v>0</v>
      </c>
      <c r="O1252" s="1">
        <v>0</v>
      </c>
      <c r="P1252" s="1" t="s">
        <v>1382</v>
      </c>
      <c r="Q1252" s="1" t="s">
        <v>167</v>
      </c>
      <c r="R1252" s="1" t="s">
        <v>9951</v>
      </c>
      <c r="S1252" s="1" t="s">
        <v>9952</v>
      </c>
      <c r="T1252" s="1" t="s">
        <v>9888</v>
      </c>
      <c r="U1252" s="1" t="s">
        <v>9953</v>
      </c>
      <c r="V1252" s="1">
        <v>1</v>
      </c>
      <c r="W1252" s="1">
        <v>1</v>
      </c>
      <c r="X1252" s="1">
        <v>1</v>
      </c>
      <c r="Y1252" s="1">
        <v>0</v>
      </c>
      <c r="Z1252" s="1">
        <v>1</v>
      </c>
      <c r="AA1252" s="1">
        <v>2</v>
      </c>
      <c r="AB1252" s="1">
        <v>2</v>
      </c>
      <c r="AC1252" s="1">
        <v>2</v>
      </c>
      <c r="AD1252" s="1">
        <v>2</v>
      </c>
      <c r="AE1252" s="1">
        <v>2</v>
      </c>
      <c r="AF1252" s="1" t="s">
        <v>109</v>
      </c>
      <c r="AG1252" s="1" t="s">
        <v>109</v>
      </c>
      <c r="AH1252" s="1">
        <v>2</v>
      </c>
      <c r="AI1252" s="1">
        <v>2</v>
      </c>
      <c r="AJ1252" s="1" t="s">
        <v>109</v>
      </c>
      <c r="AK1252" s="1" t="s">
        <v>109</v>
      </c>
      <c r="AL1252" s="1">
        <v>2</v>
      </c>
      <c r="AM1252" s="1" t="s">
        <v>109</v>
      </c>
      <c r="AN1252" s="1" t="s">
        <v>109</v>
      </c>
      <c r="AO1252" s="1" t="s">
        <v>109</v>
      </c>
      <c r="AP1252" s="1"/>
      <c r="AQ1252" s="1">
        <v>2</v>
      </c>
      <c r="AR1252" s="1"/>
      <c r="AS1252" s="1" t="s">
        <v>9954</v>
      </c>
      <c r="AT1252" s="1">
        <v>0</v>
      </c>
      <c r="AU1252" s="1">
        <v>0</v>
      </c>
      <c r="AV1252" s="1">
        <v>0</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5" t="str">
        <f>HYPERLINK("http://www.d20pfsrd.com/magic/all-spells/a/ant-haul#TOC-Ant-Haul-Communal","Ant Haul, Communal")</f>
        <v>Ant Haul, Communal</v>
      </c>
      <c r="BT1252" s="1">
        <v>1299</v>
      </c>
      <c r="BU1252" s="1" t="s">
        <v>109</v>
      </c>
      <c r="BV1252" s="1"/>
      <c r="BW1252" s="1"/>
      <c r="BX1252" s="1"/>
      <c r="BY1252" s="1"/>
      <c r="BZ1252" s="1">
        <v>0</v>
      </c>
      <c r="CA1252" s="1" t="s">
        <v>109</v>
      </c>
      <c r="CB1252" s="1" t="s">
        <v>109</v>
      </c>
      <c r="CC1252" s="1">
        <v>2</v>
      </c>
      <c r="CD1252" s="1" t="s">
        <v>109</v>
      </c>
      <c r="CE1252" s="1" t="s">
        <v>109</v>
      </c>
      <c r="CF1252" s="1">
        <v>2</v>
      </c>
      <c r="CG1252" s="1" t="s">
        <v>109</v>
      </c>
      <c r="CH1252" s="1" t="s">
        <v>109</v>
      </c>
      <c r="CI1252" s="1" t="s">
        <v>109</v>
      </c>
      <c r="CJ1252" s="1">
        <v>2</v>
      </c>
      <c r="CK1252" s="1"/>
      <c r="CL1252" s="1">
        <v>0</v>
      </c>
      <c r="CM1252" s="1">
        <v>0</v>
      </c>
      <c r="CN1252" s="1">
        <v>0</v>
      </c>
    </row>
    <row r="1253" spans="1:92" ht="14.25" customHeight="1" x14ac:dyDescent="0.15">
      <c r="A1253" s="1" t="s">
        <v>9955</v>
      </c>
      <c r="B1253" s="1" t="s">
        <v>189</v>
      </c>
      <c r="C1253" s="1"/>
      <c r="D1253" s="1"/>
      <c r="E1253" s="1" t="s">
        <v>1101</v>
      </c>
      <c r="F1253" s="1" t="s">
        <v>355</v>
      </c>
      <c r="G1253" s="1" t="s">
        <v>9956</v>
      </c>
      <c r="H1253" s="1">
        <v>1</v>
      </c>
      <c r="I1253" s="1" t="s">
        <v>142</v>
      </c>
      <c r="J1253" s="1"/>
      <c r="K1253" s="1" t="s">
        <v>9957</v>
      </c>
      <c r="L1253" s="1"/>
      <c r="M1253" s="1" t="s">
        <v>125</v>
      </c>
      <c r="N1253" s="1">
        <v>0</v>
      </c>
      <c r="O1253" s="1">
        <v>0</v>
      </c>
      <c r="P1253" s="1" t="s">
        <v>103</v>
      </c>
      <c r="Q1253" s="1" t="s">
        <v>104</v>
      </c>
      <c r="R1253" s="1" t="s">
        <v>9958</v>
      </c>
      <c r="S1253" s="1" t="s">
        <v>9959</v>
      </c>
      <c r="T1253" s="1" t="s">
        <v>9888</v>
      </c>
      <c r="U1253" s="1" t="s">
        <v>9960</v>
      </c>
      <c r="V1253" s="1">
        <v>1</v>
      </c>
      <c r="W1253" s="1">
        <v>1</v>
      </c>
      <c r="X1253" s="1">
        <v>0</v>
      </c>
      <c r="Y1253" s="1">
        <v>0</v>
      </c>
      <c r="Z1253" s="1">
        <v>0</v>
      </c>
      <c r="AA1253" s="1">
        <v>7</v>
      </c>
      <c r="AB1253" s="1">
        <v>7</v>
      </c>
      <c r="AC1253" s="1" t="s">
        <v>109</v>
      </c>
      <c r="AD1253" s="1" t="s">
        <v>109</v>
      </c>
      <c r="AE1253" s="1" t="s">
        <v>109</v>
      </c>
      <c r="AF1253" s="1" t="s">
        <v>109</v>
      </c>
      <c r="AG1253" s="1" t="s">
        <v>109</v>
      </c>
      <c r="AH1253" s="1" t="s">
        <v>109</v>
      </c>
      <c r="AI1253" s="1" t="s">
        <v>109</v>
      </c>
      <c r="AJ1253" s="1" t="s">
        <v>109</v>
      </c>
      <c r="AK1253" s="1" t="s">
        <v>109</v>
      </c>
      <c r="AL1253" s="1" t="s">
        <v>109</v>
      </c>
      <c r="AM1253" s="1" t="s">
        <v>109</v>
      </c>
      <c r="AN1253" s="1" t="s">
        <v>109</v>
      </c>
      <c r="AO1253" s="1" t="s">
        <v>109</v>
      </c>
      <c r="AP1253" s="1"/>
      <c r="AQ1253" s="1">
        <v>7</v>
      </c>
      <c r="AR1253" s="1"/>
      <c r="AS1253" s="1" t="s">
        <v>9961</v>
      </c>
      <c r="AT1253" s="1">
        <v>0</v>
      </c>
      <c r="AU1253" s="1">
        <v>0</v>
      </c>
      <c r="AV1253" s="1">
        <v>0</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5" t="str">
        <f>HYPERLINK("http://www.d20pfsrd.com/magic/all-spells/a/arcane-cannon","Arcane Cannon")</f>
        <v>Arcane Cannon</v>
      </c>
      <c r="BT1253" s="1">
        <v>1300</v>
      </c>
      <c r="BU1253" s="1">
        <v>5000</v>
      </c>
      <c r="BV1253" s="1"/>
      <c r="BW1253" s="1"/>
      <c r="BX1253" s="1"/>
      <c r="BY1253" s="1"/>
      <c r="BZ1253" s="1">
        <v>0</v>
      </c>
      <c r="CA1253" s="1" t="s">
        <v>109</v>
      </c>
      <c r="CB1253" s="1" t="s">
        <v>109</v>
      </c>
      <c r="CC1253" s="1" t="s">
        <v>109</v>
      </c>
      <c r="CD1253" s="1" t="s">
        <v>109</v>
      </c>
      <c r="CE1253" s="1" t="s">
        <v>109</v>
      </c>
      <c r="CF1253" s="1" t="s">
        <v>109</v>
      </c>
      <c r="CG1253" s="1" t="s">
        <v>109</v>
      </c>
      <c r="CH1253" s="1" t="s">
        <v>109</v>
      </c>
      <c r="CI1253" s="1" t="s">
        <v>109</v>
      </c>
      <c r="CJ1253" s="1" t="s">
        <v>109</v>
      </c>
      <c r="CK1253" s="1"/>
      <c r="CL1253" s="1">
        <v>0</v>
      </c>
      <c r="CM1253" s="1">
        <v>0</v>
      </c>
      <c r="CN1253" s="1">
        <v>0</v>
      </c>
    </row>
    <row r="1254" spans="1:92" ht="14.25" customHeight="1" x14ac:dyDescent="0.15">
      <c r="A1254" s="1" t="s">
        <v>9962</v>
      </c>
      <c r="B1254" s="1" t="s">
        <v>156</v>
      </c>
      <c r="C1254" s="1" t="s">
        <v>157</v>
      </c>
      <c r="D1254" s="1" t="s">
        <v>158</v>
      </c>
      <c r="E1254" s="1" t="s">
        <v>9963</v>
      </c>
      <c r="F1254" s="1" t="s">
        <v>98</v>
      </c>
      <c r="G1254" s="1" t="s">
        <v>9964</v>
      </c>
      <c r="H1254" s="1">
        <v>0</v>
      </c>
      <c r="I1254" s="1" t="s">
        <v>142</v>
      </c>
      <c r="J1254" s="1"/>
      <c r="K1254" s="1"/>
      <c r="L1254" s="1" t="s">
        <v>1391</v>
      </c>
      <c r="M1254" s="1" t="s">
        <v>3042</v>
      </c>
      <c r="N1254" s="1">
        <v>0</v>
      </c>
      <c r="O1254" s="1">
        <v>0</v>
      </c>
      <c r="P1254" s="1" t="s">
        <v>507</v>
      </c>
      <c r="Q1254" s="1" t="s">
        <v>167</v>
      </c>
      <c r="R1254" s="1" t="s">
        <v>9965</v>
      </c>
      <c r="S1254" s="1" t="s">
        <v>9966</v>
      </c>
      <c r="T1254" s="1" t="s">
        <v>9888</v>
      </c>
      <c r="U1254" s="1" t="s">
        <v>9967</v>
      </c>
      <c r="V1254" s="1">
        <v>1</v>
      </c>
      <c r="W1254" s="1">
        <v>1</v>
      </c>
      <c r="X1254" s="1">
        <v>1</v>
      </c>
      <c r="Y1254" s="1">
        <v>0</v>
      </c>
      <c r="Z1254" s="1">
        <v>0</v>
      </c>
      <c r="AA1254" s="1">
        <v>2</v>
      </c>
      <c r="AB1254" s="1">
        <v>2</v>
      </c>
      <c r="AC1254" s="1">
        <v>2</v>
      </c>
      <c r="AD1254" s="1" t="s">
        <v>109</v>
      </c>
      <c r="AE1254" s="1" t="s">
        <v>109</v>
      </c>
      <c r="AF1254" s="1" t="s">
        <v>109</v>
      </c>
      <c r="AG1254" s="1">
        <v>2</v>
      </c>
      <c r="AH1254" s="1">
        <v>2</v>
      </c>
      <c r="AI1254" s="1" t="s">
        <v>109</v>
      </c>
      <c r="AJ1254" s="1">
        <v>2</v>
      </c>
      <c r="AK1254" s="1">
        <v>2</v>
      </c>
      <c r="AL1254" s="1">
        <v>2</v>
      </c>
      <c r="AM1254" s="1">
        <v>2</v>
      </c>
      <c r="AN1254" s="1">
        <v>2</v>
      </c>
      <c r="AO1254" s="1" t="s">
        <v>109</v>
      </c>
      <c r="AP1254" s="1"/>
      <c r="AQ1254" s="1">
        <v>2</v>
      </c>
      <c r="AR1254" s="1"/>
      <c r="AS1254" s="1" t="s">
        <v>9968</v>
      </c>
      <c r="AT1254" s="1">
        <v>0</v>
      </c>
      <c r="AU1254" s="1">
        <v>0</v>
      </c>
      <c r="AV1254" s="1">
        <v>0</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1</v>
      </c>
      <c r="BN1254" s="1">
        <v>0</v>
      </c>
      <c r="BO1254" s="1">
        <v>0</v>
      </c>
      <c r="BP1254" s="1">
        <v>0</v>
      </c>
      <c r="BQ1254" s="1">
        <v>0</v>
      </c>
      <c r="BR1254" s="1">
        <v>0</v>
      </c>
      <c r="BS1254" s="5" t="str">
        <f>HYPERLINK("http://www.d20pfsrd.com/magic/all-spells/b/bestow-weapon-proficiency","Bestow Weapon Proficiency")</f>
        <v>Bestow Weapon Proficiency</v>
      </c>
      <c r="BT1254" s="1">
        <v>1301</v>
      </c>
      <c r="BU1254" s="1" t="s">
        <v>109</v>
      </c>
      <c r="BV1254" s="1"/>
      <c r="BW1254" s="1"/>
      <c r="BX1254" s="1"/>
      <c r="BY1254" s="1"/>
      <c r="BZ1254" s="1">
        <v>0</v>
      </c>
      <c r="CA1254" s="1" t="s">
        <v>109</v>
      </c>
      <c r="CB1254" s="1" t="s">
        <v>109</v>
      </c>
      <c r="CC1254" s="1">
        <v>2</v>
      </c>
      <c r="CD1254" s="1" t="s">
        <v>109</v>
      </c>
      <c r="CE1254" s="1" t="s">
        <v>109</v>
      </c>
      <c r="CF1254" s="1">
        <v>2</v>
      </c>
      <c r="CG1254" s="1" t="s">
        <v>109</v>
      </c>
      <c r="CH1254" s="1" t="s">
        <v>109</v>
      </c>
      <c r="CI1254" s="1" t="s">
        <v>109</v>
      </c>
      <c r="CJ1254" s="1" t="s">
        <v>109</v>
      </c>
      <c r="CK1254" s="1"/>
      <c r="CL1254" s="1">
        <v>0</v>
      </c>
      <c r="CM1254" s="1">
        <v>0</v>
      </c>
      <c r="CN1254" s="1">
        <v>0</v>
      </c>
    </row>
    <row r="1255" spans="1:92" ht="14.25" customHeight="1" x14ac:dyDescent="0.15">
      <c r="A1255" s="1" t="s">
        <v>9969</v>
      </c>
      <c r="B1255" s="1" t="s">
        <v>584</v>
      </c>
      <c r="C1255" s="1"/>
      <c r="D1255" s="1" t="s">
        <v>9970</v>
      </c>
      <c r="E1255" s="1" t="s">
        <v>9971</v>
      </c>
      <c r="F1255" s="1" t="s">
        <v>98</v>
      </c>
      <c r="G1255" s="1" t="s">
        <v>141</v>
      </c>
      <c r="H1255" s="1">
        <v>0</v>
      </c>
      <c r="I1255" s="1" t="s">
        <v>235</v>
      </c>
      <c r="J1255" s="1" t="s">
        <v>9972</v>
      </c>
      <c r="K1255" s="1"/>
      <c r="L1255" s="1"/>
      <c r="M1255" s="1" t="s">
        <v>144</v>
      </c>
      <c r="N1255" s="1">
        <v>0</v>
      </c>
      <c r="O1255" s="1">
        <v>0</v>
      </c>
      <c r="P1255" s="1" t="s">
        <v>6156</v>
      </c>
      <c r="Q1255" s="1" t="s">
        <v>9973</v>
      </c>
      <c r="R1255" s="1" t="s">
        <v>9974</v>
      </c>
      <c r="S1255" s="1" t="s">
        <v>9975</v>
      </c>
      <c r="T1255" s="1" t="s">
        <v>9888</v>
      </c>
      <c r="U1255" s="1" t="s">
        <v>9976</v>
      </c>
      <c r="V1255" s="1">
        <v>1</v>
      </c>
      <c r="W1255" s="1">
        <v>1</v>
      </c>
      <c r="X1255" s="1">
        <v>0</v>
      </c>
      <c r="Y1255" s="1">
        <v>0</v>
      </c>
      <c r="Z1255" s="1">
        <v>0</v>
      </c>
      <c r="AA1255" s="1" t="s">
        <v>109</v>
      </c>
      <c r="AB1255" s="1" t="s">
        <v>109</v>
      </c>
      <c r="AC1255" s="1" t="s">
        <v>109</v>
      </c>
      <c r="AD1255" s="1" t="s">
        <v>109</v>
      </c>
      <c r="AE1255" s="1" t="s">
        <v>109</v>
      </c>
      <c r="AF1255" s="1">
        <v>2</v>
      </c>
      <c r="AG1255" s="1" t="s">
        <v>109</v>
      </c>
      <c r="AH1255" s="1">
        <v>2</v>
      </c>
      <c r="AI1255" s="1" t="s">
        <v>109</v>
      </c>
      <c r="AJ1255" s="1" t="s">
        <v>109</v>
      </c>
      <c r="AK1255" s="1">
        <v>2</v>
      </c>
      <c r="AL1255" s="1" t="s">
        <v>109</v>
      </c>
      <c r="AM1255" s="1" t="s">
        <v>109</v>
      </c>
      <c r="AN1255" s="1" t="s">
        <v>109</v>
      </c>
      <c r="AO1255" s="1" t="s">
        <v>109</v>
      </c>
      <c r="AP1255" s="1"/>
      <c r="AQ1255" s="1">
        <v>2</v>
      </c>
      <c r="AR1255" s="1"/>
      <c r="AS1255" s="1" t="s">
        <v>9977</v>
      </c>
      <c r="AT1255" s="1">
        <v>0</v>
      </c>
      <c r="AU1255" s="1">
        <v>0</v>
      </c>
      <c r="AV1255" s="1">
        <v>0</v>
      </c>
      <c r="AW1255" s="1">
        <v>0</v>
      </c>
      <c r="AX1255" s="1">
        <v>0</v>
      </c>
      <c r="AY1255" s="1">
        <v>0</v>
      </c>
      <c r="AZ1255" s="1">
        <v>0</v>
      </c>
      <c r="BA1255" s="1">
        <v>0</v>
      </c>
      <c r="BB1255" s="1">
        <v>0</v>
      </c>
      <c r="BC1255" s="1">
        <v>0</v>
      </c>
      <c r="BD1255" s="1">
        <v>0</v>
      </c>
      <c r="BE1255" s="1">
        <v>0</v>
      </c>
      <c r="BF1255" s="1">
        <v>0</v>
      </c>
      <c r="BG1255" s="1">
        <v>1</v>
      </c>
      <c r="BH1255" s="1">
        <v>0</v>
      </c>
      <c r="BI1255" s="1">
        <v>0</v>
      </c>
      <c r="BJ1255" s="1">
        <v>1</v>
      </c>
      <c r="BK1255" s="1">
        <v>0</v>
      </c>
      <c r="BL1255" s="1">
        <v>0</v>
      </c>
      <c r="BM1255" s="1">
        <v>0</v>
      </c>
      <c r="BN1255" s="1">
        <v>0</v>
      </c>
      <c r="BO1255" s="1">
        <v>0</v>
      </c>
      <c r="BP1255" s="1">
        <v>0</v>
      </c>
      <c r="BQ1255" s="1">
        <v>0</v>
      </c>
      <c r="BR1255" s="1">
        <v>0</v>
      </c>
      <c r="BS1255" s="5" t="str">
        <f>HYPERLINK("http://www.d20pfsrd.com/magic/all-spells/b/blistering-invective","Blistering Invective")</f>
        <v>Blistering Invective</v>
      </c>
      <c r="BT1255" s="1">
        <v>1302</v>
      </c>
      <c r="BU1255" s="1" t="s">
        <v>109</v>
      </c>
      <c r="BV1255" s="1"/>
      <c r="BW1255" s="1"/>
      <c r="BX1255" s="1" t="s">
        <v>9978</v>
      </c>
      <c r="BY1255" s="1" t="s">
        <v>9979</v>
      </c>
      <c r="BZ1255" s="1">
        <v>1</v>
      </c>
      <c r="CA1255" s="1" t="s">
        <v>109</v>
      </c>
      <c r="CB1255" s="1" t="s">
        <v>109</v>
      </c>
      <c r="CC1255" s="1" t="s">
        <v>109</v>
      </c>
      <c r="CD1255" s="1" t="s">
        <v>109</v>
      </c>
      <c r="CE1255" s="1">
        <v>2</v>
      </c>
      <c r="CF1255" s="1" t="s">
        <v>109</v>
      </c>
      <c r="CG1255" s="1" t="s">
        <v>109</v>
      </c>
      <c r="CH1255" s="1" t="s">
        <v>109</v>
      </c>
      <c r="CI1255" s="1" t="s">
        <v>109</v>
      </c>
      <c r="CJ1255" s="1" t="s">
        <v>109</v>
      </c>
      <c r="CK1255" s="1"/>
      <c r="CL1255" s="1">
        <v>0</v>
      </c>
      <c r="CM1255" s="1">
        <v>0</v>
      </c>
      <c r="CN1255" s="1">
        <v>0</v>
      </c>
    </row>
    <row r="1256" spans="1:92" ht="14.25" customHeight="1" x14ac:dyDescent="0.15">
      <c r="A1256" s="1" t="s">
        <v>9980</v>
      </c>
      <c r="B1256" s="1" t="s">
        <v>189</v>
      </c>
      <c r="C1256" s="1"/>
      <c r="D1256" s="1"/>
      <c r="E1256" s="1" t="s">
        <v>9981</v>
      </c>
      <c r="F1256" s="1" t="s">
        <v>6545</v>
      </c>
      <c r="G1256" s="1" t="s">
        <v>333</v>
      </c>
      <c r="H1256" s="1">
        <v>0</v>
      </c>
      <c r="I1256" s="1" t="s">
        <v>235</v>
      </c>
      <c r="J1256" s="1"/>
      <c r="K1256" s="1"/>
      <c r="L1256" s="1" t="s">
        <v>9982</v>
      </c>
      <c r="M1256" s="1" t="s">
        <v>574</v>
      </c>
      <c r="N1256" s="1">
        <v>1</v>
      </c>
      <c r="O1256" s="1">
        <v>0</v>
      </c>
      <c r="P1256" s="1" t="s">
        <v>215</v>
      </c>
      <c r="Q1256" s="1" t="s">
        <v>216</v>
      </c>
      <c r="R1256" s="1" t="s">
        <v>9983</v>
      </c>
      <c r="S1256" s="1" t="s">
        <v>9984</v>
      </c>
      <c r="T1256" s="1" t="s">
        <v>9888</v>
      </c>
      <c r="U1256" s="1" t="s">
        <v>9985</v>
      </c>
      <c r="V1256" s="1">
        <v>1</v>
      </c>
      <c r="W1256" s="1">
        <v>0</v>
      </c>
      <c r="X1256" s="1">
        <v>0</v>
      </c>
      <c r="Y1256" s="1">
        <v>0</v>
      </c>
      <c r="Z1256" s="1">
        <v>0</v>
      </c>
      <c r="AA1256" s="1" t="s">
        <v>109</v>
      </c>
      <c r="AB1256" s="1" t="s">
        <v>109</v>
      </c>
      <c r="AC1256" s="1" t="s">
        <v>109</v>
      </c>
      <c r="AD1256" s="1" t="s">
        <v>109</v>
      </c>
      <c r="AE1256" s="1">
        <v>1</v>
      </c>
      <c r="AF1256" s="1" t="s">
        <v>109</v>
      </c>
      <c r="AG1256" s="1">
        <v>1</v>
      </c>
      <c r="AH1256" s="1" t="s">
        <v>109</v>
      </c>
      <c r="AI1256" s="1" t="s">
        <v>109</v>
      </c>
      <c r="AJ1256" s="1" t="s">
        <v>109</v>
      </c>
      <c r="AK1256" s="1">
        <v>1</v>
      </c>
      <c r="AL1256" s="1" t="s">
        <v>109</v>
      </c>
      <c r="AM1256" s="1" t="s">
        <v>109</v>
      </c>
      <c r="AN1256" s="1" t="s">
        <v>109</v>
      </c>
      <c r="AO1256" s="1" t="s">
        <v>109</v>
      </c>
      <c r="AP1256" s="1"/>
      <c r="AQ1256" s="1">
        <v>1</v>
      </c>
      <c r="AR1256" s="1"/>
      <c r="AS1256" s="1" t="s">
        <v>9986</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5" t="str">
        <f>HYPERLINK("http://www.d20pfsrd.com/magic/all-spells/b/bowstaff","Bowstaff")</f>
        <v>Bowstaff</v>
      </c>
      <c r="BT1256" s="1">
        <v>1303</v>
      </c>
      <c r="BU1256" s="1" t="s">
        <v>109</v>
      </c>
      <c r="BV1256" s="1"/>
      <c r="BW1256" s="1"/>
      <c r="BX1256" s="1"/>
      <c r="BY1256" s="1"/>
      <c r="BZ1256" s="1">
        <v>0</v>
      </c>
      <c r="CA1256" s="1" t="s">
        <v>109</v>
      </c>
      <c r="CB1256" s="1" t="s">
        <v>109</v>
      </c>
      <c r="CC1256" s="1" t="s">
        <v>109</v>
      </c>
      <c r="CD1256" s="1" t="s">
        <v>109</v>
      </c>
      <c r="CE1256" s="1" t="s">
        <v>109</v>
      </c>
      <c r="CF1256" s="1">
        <v>2</v>
      </c>
      <c r="CG1256" s="1" t="s">
        <v>109</v>
      </c>
      <c r="CH1256" s="1" t="s">
        <v>109</v>
      </c>
      <c r="CI1256" s="1" t="s">
        <v>109</v>
      </c>
      <c r="CJ1256" s="1">
        <v>1</v>
      </c>
      <c r="CK1256" s="1"/>
      <c r="CL1256" s="1">
        <v>0</v>
      </c>
      <c r="CM1256" s="1">
        <v>0</v>
      </c>
      <c r="CN1256" s="1">
        <v>0</v>
      </c>
    </row>
    <row r="1257" spans="1:92" ht="14.25" customHeight="1" x14ac:dyDescent="0.15">
      <c r="A1257" s="1" t="s">
        <v>9987</v>
      </c>
      <c r="B1257" s="1" t="s">
        <v>308</v>
      </c>
      <c r="C1257" s="1"/>
      <c r="D1257" s="1"/>
      <c r="E1257" s="1" t="s">
        <v>9988</v>
      </c>
      <c r="F1257" s="1" t="s">
        <v>98</v>
      </c>
      <c r="G1257" s="1" t="s">
        <v>141</v>
      </c>
      <c r="H1257" s="1">
        <v>0</v>
      </c>
      <c r="I1257" s="1" t="s">
        <v>161</v>
      </c>
      <c r="J1257" s="1" t="s">
        <v>9989</v>
      </c>
      <c r="K1257" s="1"/>
      <c r="L1257" s="1"/>
      <c r="M1257" s="1" t="s">
        <v>6798</v>
      </c>
      <c r="N1257" s="1">
        <v>0</v>
      </c>
      <c r="O1257" s="1">
        <v>0</v>
      </c>
      <c r="P1257" s="1" t="s">
        <v>215</v>
      </c>
      <c r="Q1257" s="1" t="s">
        <v>216</v>
      </c>
      <c r="R1257" s="1" t="s">
        <v>9990</v>
      </c>
      <c r="S1257" s="1" t="s">
        <v>9991</v>
      </c>
      <c r="T1257" s="1" t="s">
        <v>9888</v>
      </c>
      <c r="U1257" s="1" t="s">
        <v>9992</v>
      </c>
      <c r="V1257" s="1">
        <v>1</v>
      </c>
      <c r="W1257" s="1">
        <v>1</v>
      </c>
      <c r="X1257" s="1">
        <v>0</v>
      </c>
      <c r="Y1257" s="1">
        <v>0</v>
      </c>
      <c r="Z1257" s="1">
        <v>0</v>
      </c>
      <c r="AA1257" s="1">
        <v>2</v>
      </c>
      <c r="AB1257" s="1">
        <v>2</v>
      </c>
      <c r="AC1257" s="1" t="s">
        <v>109</v>
      </c>
      <c r="AD1257" s="1" t="s">
        <v>109</v>
      </c>
      <c r="AE1257" s="1">
        <v>2</v>
      </c>
      <c r="AF1257" s="1" t="s">
        <v>109</v>
      </c>
      <c r="AG1257" s="1" t="s">
        <v>109</v>
      </c>
      <c r="AH1257" s="1" t="s">
        <v>109</v>
      </c>
      <c r="AI1257" s="1" t="s">
        <v>109</v>
      </c>
      <c r="AJ1257" s="1" t="s">
        <v>109</v>
      </c>
      <c r="AK1257" s="1">
        <v>2</v>
      </c>
      <c r="AL1257" s="1" t="s">
        <v>109</v>
      </c>
      <c r="AM1257" s="1" t="s">
        <v>109</v>
      </c>
      <c r="AN1257" s="1">
        <v>2</v>
      </c>
      <c r="AO1257" s="1" t="s">
        <v>109</v>
      </c>
      <c r="AP1257" s="1"/>
      <c r="AQ1257" s="1">
        <v>2</v>
      </c>
      <c r="AR1257" s="1"/>
      <c r="AS1257" s="1" t="s">
        <v>9993</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5" t="str">
        <f>HYPERLINK("http://www.d20pfsrd.com/magic/all-spells/b/brow-gasher","Brow Gasher")</f>
        <v>Brow Gasher</v>
      </c>
      <c r="BT1257" s="1">
        <v>1304</v>
      </c>
      <c r="BU1257" s="1" t="s">
        <v>109</v>
      </c>
      <c r="BV1257" s="1"/>
      <c r="BW1257" s="1"/>
      <c r="BX1257" s="1"/>
      <c r="BY1257" s="1"/>
      <c r="BZ1257" s="1">
        <v>0</v>
      </c>
      <c r="CA1257" s="1">
        <v>2</v>
      </c>
      <c r="CB1257" s="1" t="s">
        <v>109</v>
      </c>
      <c r="CC1257" s="1" t="s">
        <v>109</v>
      </c>
      <c r="CD1257" s="1" t="s">
        <v>109</v>
      </c>
      <c r="CE1257" s="1" t="s">
        <v>109</v>
      </c>
      <c r="CF1257" s="1">
        <v>2</v>
      </c>
      <c r="CG1257" s="1" t="s">
        <v>109</v>
      </c>
      <c r="CH1257" s="1" t="s">
        <v>109</v>
      </c>
      <c r="CI1257" s="1" t="s">
        <v>109</v>
      </c>
      <c r="CJ1257" s="1">
        <v>2</v>
      </c>
      <c r="CK1257" s="1"/>
      <c r="CL1257" s="1">
        <v>0</v>
      </c>
      <c r="CM1257" s="1">
        <v>0</v>
      </c>
      <c r="CN1257" s="1">
        <v>0</v>
      </c>
    </row>
    <row r="1258" spans="1:92" ht="14.25" customHeight="1" x14ac:dyDescent="0.15">
      <c r="A1258" s="1" t="s">
        <v>9994</v>
      </c>
      <c r="B1258" s="1" t="s">
        <v>242</v>
      </c>
      <c r="C1258" s="1"/>
      <c r="D1258" s="1"/>
      <c r="E1258" s="1" t="s">
        <v>9995</v>
      </c>
      <c r="F1258" s="1" t="s">
        <v>98</v>
      </c>
      <c r="G1258" s="1" t="s">
        <v>9996</v>
      </c>
      <c r="H1258" s="1">
        <v>0</v>
      </c>
      <c r="I1258" s="1" t="s">
        <v>161</v>
      </c>
      <c r="J1258" s="1"/>
      <c r="K1258" s="1"/>
      <c r="L1258" s="1" t="s">
        <v>506</v>
      </c>
      <c r="M1258" s="1" t="s">
        <v>6625</v>
      </c>
      <c r="N1258" s="1">
        <v>1</v>
      </c>
      <c r="O1258" s="1">
        <v>0</v>
      </c>
      <c r="P1258" s="1" t="s">
        <v>507</v>
      </c>
      <c r="Q1258" s="1" t="s">
        <v>167</v>
      </c>
      <c r="R1258" s="1" t="s">
        <v>9997</v>
      </c>
      <c r="S1258" s="1" t="s">
        <v>9998</v>
      </c>
      <c r="T1258" s="1" t="s">
        <v>9888</v>
      </c>
      <c r="U1258" s="1" t="s">
        <v>9999</v>
      </c>
      <c r="V1258" s="1">
        <v>1</v>
      </c>
      <c r="W1258" s="1">
        <v>1</v>
      </c>
      <c r="X1258" s="1">
        <v>1</v>
      </c>
      <c r="Y1258" s="1">
        <v>0</v>
      </c>
      <c r="Z1258" s="1">
        <v>0</v>
      </c>
      <c r="AA1258" s="1">
        <v>2</v>
      </c>
      <c r="AB1258" s="1">
        <v>2</v>
      </c>
      <c r="AC1258" s="1" t="s">
        <v>109</v>
      </c>
      <c r="AD1258" s="1" t="s">
        <v>109</v>
      </c>
      <c r="AE1258" s="1" t="s">
        <v>109</v>
      </c>
      <c r="AF1258" s="1" t="s">
        <v>109</v>
      </c>
      <c r="AG1258" s="1" t="s">
        <v>109</v>
      </c>
      <c r="AH1258" s="1">
        <v>2</v>
      </c>
      <c r="AI1258" s="1" t="s">
        <v>109</v>
      </c>
      <c r="AJ1258" s="1" t="s">
        <v>109</v>
      </c>
      <c r="AK1258" s="1" t="s">
        <v>109</v>
      </c>
      <c r="AL1258" s="1" t="s">
        <v>109</v>
      </c>
      <c r="AM1258" s="1" t="s">
        <v>109</v>
      </c>
      <c r="AN1258" s="1" t="s">
        <v>109</v>
      </c>
      <c r="AO1258" s="1" t="s">
        <v>109</v>
      </c>
      <c r="AP1258" s="1"/>
      <c r="AQ1258" s="1">
        <v>2</v>
      </c>
      <c r="AR1258" s="1"/>
      <c r="AS1258" s="1" t="s">
        <v>10000</v>
      </c>
      <c r="AT1258" s="1">
        <v>0</v>
      </c>
      <c r="AU1258" s="1">
        <v>0</v>
      </c>
      <c r="AV1258" s="1">
        <v>0</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5" t="str">
        <f>HYPERLINK("http://www.d20pfsrd.com/magic/all-spells/b/bullet-shield","Bullet Shield")</f>
        <v>Bullet Shield</v>
      </c>
      <c r="BT1258" s="1">
        <v>1305</v>
      </c>
      <c r="BU1258" s="1" t="s">
        <v>109</v>
      </c>
      <c r="BV1258" s="1"/>
      <c r="BW1258" s="1"/>
      <c r="BX1258" s="1"/>
      <c r="BY1258" s="1"/>
      <c r="BZ1258" s="1">
        <v>0</v>
      </c>
      <c r="CA1258" s="1">
        <v>2</v>
      </c>
      <c r="CB1258" s="1" t="s">
        <v>109</v>
      </c>
      <c r="CC1258" s="1">
        <v>2</v>
      </c>
      <c r="CD1258" s="1" t="s">
        <v>109</v>
      </c>
      <c r="CE1258" s="1" t="s">
        <v>109</v>
      </c>
      <c r="CF1258" s="1">
        <v>2</v>
      </c>
      <c r="CG1258" s="1" t="s">
        <v>109</v>
      </c>
      <c r="CH1258" s="1" t="s">
        <v>109</v>
      </c>
      <c r="CI1258" s="1" t="s">
        <v>109</v>
      </c>
      <c r="CJ1258" s="1" t="s">
        <v>109</v>
      </c>
      <c r="CK1258" s="1"/>
      <c r="CL1258" s="1">
        <v>0</v>
      </c>
      <c r="CM1258" s="1">
        <v>0</v>
      </c>
      <c r="CN1258" s="1">
        <v>0</v>
      </c>
    </row>
    <row r="1259" spans="1:92" ht="14.25" customHeight="1" x14ac:dyDescent="0.15">
      <c r="A1259" s="1" t="s">
        <v>10001</v>
      </c>
      <c r="B1259" s="1" t="s">
        <v>189</v>
      </c>
      <c r="C1259" s="1"/>
      <c r="D1259" s="1"/>
      <c r="E1259" s="1" t="s">
        <v>10002</v>
      </c>
      <c r="F1259" s="1" t="s">
        <v>6545</v>
      </c>
      <c r="G1259" s="1" t="s">
        <v>333</v>
      </c>
      <c r="H1259" s="1">
        <v>0</v>
      </c>
      <c r="I1259" s="1" t="s">
        <v>235</v>
      </c>
      <c r="J1259" s="1"/>
      <c r="K1259" s="1"/>
      <c r="L1259" s="1" t="s">
        <v>236</v>
      </c>
      <c r="M1259" s="1" t="s">
        <v>211</v>
      </c>
      <c r="N1259" s="1">
        <v>0</v>
      </c>
      <c r="O1259" s="1">
        <v>0</v>
      </c>
      <c r="P1259" s="1"/>
      <c r="Q1259" s="1"/>
      <c r="R1259" s="1" t="s">
        <v>10003</v>
      </c>
      <c r="S1259" s="1" t="s">
        <v>10004</v>
      </c>
      <c r="T1259" s="1" t="s">
        <v>9888</v>
      </c>
      <c r="U1259" s="1" t="s">
        <v>10005</v>
      </c>
      <c r="V1259" s="1">
        <v>1</v>
      </c>
      <c r="W1259" s="1">
        <v>0</v>
      </c>
      <c r="X1259" s="1">
        <v>0</v>
      </c>
      <c r="Y1259" s="1">
        <v>0</v>
      </c>
      <c r="Z1259" s="1">
        <v>0</v>
      </c>
      <c r="AA1259" s="1" t="s">
        <v>109</v>
      </c>
      <c r="AB1259" s="1" t="s">
        <v>109</v>
      </c>
      <c r="AC1259" s="1" t="s">
        <v>109</v>
      </c>
      <c r="AD1259" s="1" t="s">
        <v>109</v>
      </c>
      <c r="AE1259" s="1">
        <v>3</v>
      </c>
      <c r="AF1259" s="1" t="s">
        <v>109</v>
      </c>
      <c r="AG1259" s="1">
        <v>3</v>
      </c>
      <c r="AH1259" s="1">
        <v>3</v>
      </c>
      <c r="AI1259" s="1" t="s">
        <v>109</v>
      </c>
      <c r="AJ1259" s="1" t="s">
        <v>109</v>
      </c>
      <c r="AK1259" s="1">
        <v>3</v>
      </c>
      <c r="AL1259" s="1" t="s">
        <v>109</v>
      </c>
      <c r="AM1259" s="1">
        <v>3</v>
      </c>
      <c r="AN1259" s="1">
        <v>3</v>
      </c>
      <c r="AO1259" s="1" t="s">
        <v>109</v>
      </c>
      <c r="AP1259" s="1"/>
      <c r="AQ1259" s="1">
        <v>3</v>
      </c>
      <c r="AR1259" s="1"/>
      <c r="AS1259" s="1" t="s">
        <v>10006</v>
      </c>
      <c r="AT1259" s="1">
        <v>0</v>
      </c>
      <c r="AU1259" s="1">
        <v>0</v>
      </c>
      <c r="AV1259" s="1">
        <v>0</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5" t="str">
        <f>HYPERLINK("http://www.d20pfsrd.com/magic/all-spells/b/burst-of-speed","Burst of Speed")</f>
        <v>Burst of Speed</v>
      </c>
      <c r="BT1259" s="1">
        <v>1306</v>
      </c>
      <c r="BU1259" s="1" t="s">
        <v>109</v>
      </c>
      <c r="BV1259" s="1"/>
      <c r="BW1259" s="1"/>
      <c r="BX1259" s="1"/>
      <c r="BY1259" s="1"/>
      <c r="BZ1259" s="1">
        <v>0</v>
      </c>
      <c r="CA1259" s="1">
        <v>3</v>
      </c>
      <c r="CB1259" s="1" t="s">
        <v>109</v>
      </c>
      <c r="CC1259" s="1">
        <v>3</v>
      </c>
      <c r="CD1259" s="1" t="s">
        <v>109</v>
      </c>
      <c r="CE1259" s="1" t="s">
        <v>109</v>
      </c>
      <c r="CF1259" s="1" t="s">
        <v>109</v>
      </c>
      <c r="CG1259" s="1" t="s">
        <v>109</v>
      </c>
      <c r="CH1259" s="1" t="s">
        <v>109</v>
      </c>
      <c r="CI1259" s="1" t="s">
        <v>109</v>
      </c>
      <c r="CJ1259" s="1">
        <v>3</v>
      </c>
      <c r="CK1259" s="1"/>
      <c r="CL1259" s="1">
        <v>0</v>
      </c>
      <c r="CM1259" s="1">
        <v>0</v>
      </c>
      <c r="CN1259" s="1">
        <v>0</v>
      </c>
    </row>
    <row r="1260" spans="1:92" ht="14.25" customHeight="1" x14ac:dyDescent="0.15">
      <c r="A1260" s="1" t="s">
        <v>10007</v>
      </c>
      <c r="B1260" s="1" t="s">
        <v>584</v>
      </c>
      <c r="C1260" s="1"/>
      <c r="D1260" s="1" t="s">
        <v>60</v>
      </c>
      <c r="E1260" s="1" t="s">
        <v>7527</v>
      </c>
      <c r="F1260" s="1" t="s">
        <v>98</v>
      </c>
      <c r="G1260" s="1" t="s">
        <v>141</v>
      </c>
      <c r="H1260" s="1">
        <v>0</v>
      </c>
      <c r="I1260" s="1" t="s">
        <v>235</v>
      </c>
      <c r="J1260" s="1"/>
      <c r="K1260" s="1"/>
      <c r="L1260" s="1" t="s">
        <v>236</v>
      </c>
      <c r="M1260" s="1" t="s">
        <v>125</v>
      </c>
      <c r="N1260" s="1">
        <v>0</v>
      </c>
      <c r="O1260" s="1">
        <v>0</v>
      </c>
      <c r="P1260" s="1"/>
      <c r="Q1260" s="1"/>
      <c r="R1260" s="1" t="s">
        <v>10008</v>
      </c>
      <c r="S1260" s="1" t="s">
        <v>10009</v>
      </c>
      <c r="T1260" s="1" t="s">
        <v>9888</v>
      </c>
      <c r="U1260" s="1" t="s">
        <v>10010</v>
      </c>
      <c r="V1260" s="1">
        <v>1</v>
      </c>
      <c r="W1260" s="1">
        <v>1</v>
      </c>
      <c r="X1260" s="1">
        <v>0</v>
      </c>
      <c r="Y1260" s="1">
        <v>0</v>
      </c>
      <c r="Z1260" s="1">
        <v>0</v>
      </c>
      <c r="AA1260" s="1" t="s">
        <v>109</v>
      </c>
      <c r="AB1260" s="1" t="s">
        <v>109</v>
      </c>
      <c r="AC1260" s="1" t="s">
        <v>109</v>
      </c>
      <c r="AD1260" s="1" t="s">
        <v>109</v>
      </c>
      <c r="AE1260" s="1" t="s">
        <v>109</v>
      </c>
      <c r="AF1260" s="1" t="s">
        <v>109</v>
      </c>
      <c r="AG1260" s="1" t="s">
        <v>109</v>
      </c>
      <c r="AH1260" s="1">
        <v>6</v>
      </c>
      <c r="AI1260" s="1" t="s">
        <v>109</v>
      </c>
      <c r="AJ1260" s="1" t="s">
        <v>109</v>
      </c>
      <c r="AK1260" s="1" t="s">
        <v>109</v>
      </c>
      <c r="AL1260" s="1" t="s">
        <v>109</v>
      </c>
      <c r="AM1260" s="1" t="s">
        <v>109</v>
      </c>
      <c r="AN1260" s="1" t="s">
        <v>109</v>
      </c>
      <c r="AO1260" s="1" t="s">
        <v>109</v>
      </c>
      <c r="AP1260" s="1"/>
      <c r="AQ1260" s="1">
        <v>6</v>
      </c>
      <c r="AR1260" s="1"/>
      <c r="AS1260" s="1" t="s">
        <v>10011</v>
      </c>
      <c r="AT1260" s="1">
        <v>0</v>
      </c>
      <c r="AU1260" s="1">
        <v>0</v>
      </c>
      <c r="AV1260" s="1">
        <v>0</v>
      </c>
      <c r="AW1260" s="1">
        <v>0</v>
      </c>
      <c r="AX1260" s="1">
        <v>0</v>
      </c>
      <c r="AY1260" s="1">
        <v>0</v>
      </c>
      <c r="AZ1260" s="1">
        <v>0</v>
      </c>
      <c r="BA1260" s="1">
        <v>0</v>
      </c>
      <c r="BB1260" s="1">
        <v>0</v>
      </c>
      <c r="BC1260" s="1">
        <v>0</v>
      </c>
      <c r="BD1260" s="1">
        <v>0</v>
      </c>
      <c r="BE1260" s="1">
        <v>0</v>
      </c>
      <c r="BF1260" s="1">
        <v>0</v>
      </c>
      <c r="BG1260" s="1">
        <v>0</v>
      </c>
      <c r="BH1260" s="1">
        <v>1</v>
      </c>
      <c r="BI1260" s="1">
        <v>0</v>
      </c>
      <c r="BJ1260" s="1">
        <v>0</v>
      </c>
      <c r="BK1260" s="1">
        <v>0</v>
      </c>
      <c r="BL1260" s="1">
        <v>0</v>
      </c>
      <c r="BM1260" s="1">
        <v>0</v>
      </c>
      <c r="BN1260" s="1">
        <v>0</v>
      </c>
      <c r="BO1260" s="1">
        <v>0</v>
      </c>
      <c r="BP1260" s="1">
        <v>0</v>
      </c>
      <c r="BQ1260" s="1">
        <v>0</v>
      </c>
      <c r="BR1260" s="1">
        <v>0</v>
      </c>
      <c r="BS1260" s="5" t="str">
        <f>HYPERLINK("http://www.d20pfsrd.com/magic/all-spells/c/caging-bomb-admixture","Caging Bomb Admixture")</f>
        <v>Caging Bomb Admixture</v>
      </c>
      <c r="BT1260" s="1">
        <v>1307</v>
      </c>
      <c r="BU1260" s="1" t="s">
        <v>109</v>
      </c>
      <c r="BV1260" s="1"/>
      <c r="BW1260" s="1"/>
      <c r="BX1260" s="1"/>
      <c r="BY1260" s="1"/>
      <c r="BZ1260" s="1">
        <v>0</v>
      </c>
      <c r="CA1260" s="1" t="s">
        <v>109</v>
      </c>
      <c r="CB1260" s="1" t="s">
        <v>109</v>
      </c>
      <c r="CC1260" s="1" t="s">
        <v>109</v>
      </c>
      <c r="CD1260" s="1" t="s">
        <v>109</v>
      </c>
      <c r="CE1260" s="1" t="s">
        <v>109</v>
      </c>
      <c r="CF1260" s="1" t="s">
        <v>109</v>
      </c>
      <c r="CG1260" s="1" t="s">
        <v>109</v>
      </c>
      <c r="CH1260" s="1" t="s">
        <v>109</v>
      </c>
      <c r="CI1260" s="1" t="s">
        <v>109</v>
      </c>
      <c r="CJ1260" s="1" t="s">
        <v>109</v>
      </c>
      <c r="CK1260" s="1"/>
      <c r="CL1260" s="1">
        <v>0</v>
      </c>
      <c r="CM1260" s="1">
        <v>0</v>
      </c>
      <c r="CN1260" s="1">
        <v>0</v>
      </c>
    </row>
    <row r="1261" spans="1:92" ht="14.25" customHeight="1" x14ac:dyDescent="0.15">
      <c r="A1261" s="1" t="s">
        <v>10012</v>
      </c>
      <c r="B1261" s="1" t="s">
        <v>189</v>
      </c>
      <c r="C1261" s="1"/>
      <c r="D1261" s="1"/>
      <c r="E1261" s="1" t="s">
        <v>10013</v>
      </c>
      <c r="F1261" s="1" t="s">
        <v>98</v>
      </c>
      <c r="G1261" s="1" t="s">
        <v>10014</v>
      </c>
      <c r="H1261" s="1">
        <v>0</v>
      </c>
      <c r="I1261" s="1" t="s">
        <v>161</v>
      </c>
      <c r="J1261" s="1"/>
      <c r="K1261" s="1"/>
      <c r="L1261" s="1" t="s">
        <v>506</v>
      </c>
      <c r="M1261" s="1" t="s">
        <v>6625</v>
      </c>
      <c r="N1261" s="1">
        <v>1</v>
      </c>
      <c r="O1261" s="1">
        <v>0</v>
      </c>
      <c r="P1261" s="1" t="s">
        <v>507</v>
      </c>
      <c r="Q1261" s="1" t="s">
        <v>167</v>
      </c>
      <c r="R1261" s="1" t="s">
        <v>10015</v>
      </c>
      <c r="S1261" s="1" t="s">
        <v>10016</v>
      </c>
      <c r="T1261" s="1" t="s">
        <v>9888</v>
      </c>
      <c r="U1261" s="1" t="s">
        <v>10017</v>
      </c>
      <c r="V1261" s="1">
        <v>1</v>
      </c>
      <c r="W1261" s="1">
        <v>1</v>
      </c>
      <c r="X1261" s="1">
        <v>1</v>
      </c>
      <c r="Y1261" s="1">
        <v>0</v>
      </c>
      <c r="Z1261" s="1">
        <v>1</v>
      </c>
      <c r="AA1261" s="1">
        <v>2</v>
      </c>
      <c r="AB1261" s="1">
        <v>2</v>
      </c>
      <c r="AC1261" s="1" t="s">
        <v>109</v>
      </c>
      <c r="AD1261" s="1">
        <v>2</v>
      </c>
      <c r="AE1261" s="1" t="s">
        <v>109</v>
      </c>
      <c r="AF1261" s="1" t="s">
        <v>109</v>
      </c>
      <c r="AG1261" s="1" t="s">
        <v>109</v>
      </c>
      <c r="AH1261" s="1">
        <v>2</v>
      </c>
      <c r="AI1261" s="1" t="s">
        <v>109</v>
      </c>
      <c r="AJ1261" s="1" t="s">
        <v>109</v>
      </c>
      <c r="AK1261" s="1" t="s">
        <v>109</v>
      </c>
      <c r="AL1261" s="1" t="s">
        <v>109</v>
      </c>
      <c r="AM1261" s="1" t="s">
        <v>109</v>
      </c>
      <c r="AN1261" s="1" t="s">
        <v>109</v>
      </c>
      <c r="AO1261" s="1" t="s">
        <v>109</v>
      </c>
      <c r="AP1261" s="1"/>
      <c r="AQ1261" s="1">
        <v>2</v>
      </c>
      <c r="AR1261" s="1"/>
      <c r="AS1261" s="1" t="s">
        <v>10018</v>
      </c>
      <c r="AT1261" s="1">
        <v>0</v>
      </c>
      <c r="AU1261" s="1">
        <v>0</v>
      </c>
      <c r="AV1261" s="1">
        <v>0</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5" t="str">
        <f>HYPERLINK("http://www.d20pfsrd.com/magic/all-spells/c/certain-grip","Certain Grip")</f>
        <v>Certain Grip</v>
      </c>
      <c r="BT1261" s="1">
        <v>1308</v>
      </c>
      <c r="BU1261" s="1" t="s">
        <v>109</v>
      </c>
      <c r="BV1261" s="1"/>
      <c r="BW1261" s="1"/>
      <c r="BX1261" s="1"/>
      <c r="BY1261" s="1"/>
      <c r="BZ1261" s="1">
        <v>0</v>
      </c>
      <c r="CA1261" s="1">
        <v>2</v>
      </c>
      <c r="CB1261" s="1" t="s">
        <v>109</v>
      </c>
      <c r="CC1261" s="1" t="s">
        <v>109</v>
      </c>
      <c r="CD1261" s="1" t="s">
        <v>109</v>
      </c>
      <c r="CE1261" s="1" t="s">
        <v>109</v>
      </c>
      <c r="CF1261" s="1">
        <v>2</v>
      </c>
      <c r="CG1261" s="1" t="s">
        <v>109</v>
      </c>
      <c r="CH1261" s="1" t="s">
        <v>109</v>
      </c>
      <c r="CI1261" s="1" t="s">
        <v>109</v>
      </c>
      <c r="CJ1261" s="1">
        <v>2</v>
      </c>
      <c r="CK1261" s="1"/>
      <c r="CL1261" s="1">
        <v>0</v>
      </c>
      <c r="CM1261" s="1">
        <v>0</v>
      </c>
      <c r="CN1261" s="1">
        <v>0</v>
      </c>
    </row>
    <row r="1262" spans="1:92" ht="14.25" customHeight="1" x14ac:dyDescent="0.15">
      <c r="A1262" s="1" t="s">
        <v>10019</v>
      </c>
      <c r="B1262" s="1" t="s">
        <v>584</v>
      </c>
      <c r="C1262" s="1"/>
      <c r="D1262" s="1" t="s">
        <v>60</v>
      </c>
      <c r="E1262" s="1" t="s">
        <v>10020</v>
      </c>
      <c r="F1262" s="1" t="s">
        <v>98</v>
      </c>
      <c r="G1262" s="1" t="s">
        <v>10021</v>
      </c>
      <c r="H1262" s="1">
        <v>0</v>
      </c>
      <c r="I1262" s="1" t="s">
        <v>142</v>
      </c>
      <c r="J1262" s="1"/>
      <c r="K1262" s="1" t="s">
        <v>10022</v>
      </c>
      <c r="L1262" s="1"/>
      <c r="M1262" s="1" t="s">
        <v>574</v>
      </c>
      <c r="N1262" s="1">
        <v>1</v>
      </c>
      <c r="O1262" s="1">
        <v>0</v>
      </c>
      <c r="P1262" s="1" t="s">
        <v>103</v>
      </c>
      <c r="Q1262" s="1" t="s">
        <v>268</v>
      </c>
      <c r="R1262" s="1" t="s">
        <v>10023</v>
      </c>
      <c r="S1262" s="1" t="s">
        <v>10024</v>
      </c>
      <c r="T1262" s="1" t="s">
        <v>9888</v>
      </c>
      <c r="U1262" s="1" t="s">
        <v>10025</v>
      </c>
      <c r="V1262" s="1">
        <v>1</v>
      </c>
      <c r="W1262" s="1">
        <v>1</v>
      </c>
      <c r="X1262" s="1">
        <v>1</v>
      </c>
      <c r="Y1262" s="1">
        <v>0</v>
      </c>
      <c r="Z1262" s="1">
        <v>1</v>
      </c>
      <c r="AA1262" s="1">
        <v>3</v>
      </c>
      <c r="AB1262" s="1">
        <v>3</v>
      </c>
      <c r="AC1262" s="1">
        <v>3</v>
      </c>
      <c r="AD1262" s="1" t="s">
        <v>109</v>
      </c>
      <c r="AE1262" s="1" t="s">
        <v>109</v>
      </c>
      <c r="AF1262" s="1" t="s">
        <v>109</v>
      </c>
      <c r="AG1262" s="1" t="s">
        <v>109</v>
      </c>
      <c r="AH1262" s="1" t="s">
        <v>109</v>
      </c>
      <c r="AI1262" s="1" t="s">
        <v>109</v>
      </c>
      <c r="AJ1262" s="1" t="s">
        <v>109</v>
      </c>
      <c r="AK1262" s="1" t="s">
        <v>109</v>
      </c>
      <c r="AL1262" s="1">
        <v>3</v>
      </c>
      <c r="AM1262" s="1" t="s">
        <v>109</v>
      </c>
      <c r="AN1262" s="1" t="s">
        <v>109</v>
      </c>
      <c r="AO1262" s="1" t="s">
        <v>109</v>
      </c>
      <c r="AP1262" s="1"/>
      <c r="AQ1262" s="1">
        <v>3</v>
      </c>
      <c r="AR1262" s="1" t="s">
        <v>10026</v>
      </c>
      <c r="AS1262" s="1" t="s">
        <v>10027</v>
      </c>
      <c r="AT1262" s="1">
        <v>0</v>
      </c>
      <c r="AU1262" s="1">
        <v>0</v>
      </c>
      <c r="AV1262" s="1">
        <v>0</v>
      </c>
      <c r="AW1262" s="1">
        <v>0</v>
      </c>
      <c r="AX1262" s="1">
        <v>0</v>
      </c>
      <c r="AY1262" s="1">
        <v>0</v>
      </c>
      <c r="AZ1262" s="1">
        <v>0</v>
      </c>
      <c r="BA1262" s="1">
        <v>0</v>
      </c>
      <c r="BB1262" s="1">
        <v>0</v>
      </c>
      <c r="BC1262" s="1">
        <v>0</v>
      </c>
      <c r="BD1262" s="1">
        <v>0</v>
      </c>
      <c r="BE1262" s="1">
        <v>0</v>
      </c>
      <c r="BF1262" s="1">
        <v>0</v>
      </c>
      <c r="BG1262" s="1">
        <v>0</v>
      </c>
      <c r="BH1262" s="1">
        <v>1</v>
      </c>
      <c r="BI1262" s="1">
        <v>0</v>
      </c>
      <c r="BJ1262" s="1">
        <v>0</v>
      </c>
      <c r="BK1262" s="1">
        <v>0</v>
      </c>
      <c r="BL1262" s="1">
        <v>0</v>
      </c>
      <c r="BM1262" s="1">
        <v>0</v>
      </c>
      <c r="BN1262" s="1">
        <v>0</v>
      </c>
      <c r="BO1262" s="1">
        <v>0</v>
      </c>
      <c r="BP1262" s="1">
        <v>0</v>
      </c>
      <c r="BQ1262" s="1">
        <v>0</v>
      </c>
      <c r="BR1262" s="1">
        <v>0</v>
      </c>
      <c r="BS1262" s="5" t="str">
        <f>HYPERLINK("http://www.d20pfsrd.com/magic/all-spells/c/chain-of-perdition","Chain of Perdition")</f>
        <v>Chain of Perdition</v>
      </c>
      <c r="BT1262" s="1">
        <v>1309</v>
      </c>
      <c r="BU1262" s="1" t="s">
        <v>109</v>
      </c>
      <c r="BV1262" s="1"/>
      <c r="BW1262" s="1"/>
      <c r="BX1262" s="1"/>
      <c r="BY1262" s="1"/>
      <c r="BZ1262" s="1">
        <v>0</v>
      </c>
      <c r="CA1262" s="1">
        <v>3</v>
      </c>
      <c r="CB1262" s="1" t="s">
        <v>109</v>
      </c>
      <c r="CC1262" s="1">
        <v>3</v>
      </c>
      <c r="CD1262" s="1" t="s">
        <v>109</v>
      </c>
      <c r="CE1262" s="1" t="s">
        <v>109</v>
      </c>
      <c r="CF1262" s="1" t="s">
        <v>109</v>
      </c>
      <c r="CG1262" s="1" t="s">
        <v>109</v>
      </c>
      <c r="CH1262" s="1" t="s">
        <v>109</v>
      </c>
      <c r="CI1262" s="1" t="s">
        <v>109</v>
      </c>
      <c r="CJ1262" s="1" t="s">
        <v>109</v>
      </c>
      <c r="CK1262" s="1"/>
      <c r="CL1262" s="1">
        <v>0</v>
      </c>
      <c r="CM1262" s="1">
        <v>0</v>
      </c>
      <c r="CN1262" s="1">
        <v>0</v>
      </c>
    </row>
    <row r="1263" spans="1:92" ht="14.25" customHeight="1" x14ac:dyDescent="0.15">
      <c r="A1263" s="1" t="s">
        <v>10028</v>
      </c>
      <c r="B1263" s="1" t="s">
        <v>156</v>
      </c>
      <c r="C1263" s="1" t="s">
        <v>834</v>
      </c>
      <c r="D1263" s="1" t="s">
        <v>158</v>
      </c>
      <c r="E1263" s="1" t="s">
        <v>1534</v>
      </c>
      <c r="F1263" s="1" t="s">
        <v>98</v>
      </c>
      <c r="G1263" s="1" t="s">
        <v>141</v>
      </c>
      <c r="H1263" s="1">
        <v>0</v>
      </c>
      <c r="I1263" s="1" t="s">
        <v>142</v>
      </c>
      <c r="J1263" s="1"/>
      <c r="K1263" s="1"/>
      <c r="L1263" s="1" t="s">
        <v>10029</v>
      </c>
      <c r="M1263" s="1" t="s">
        <v>3042</v>
      </c>
      <c r="N1263" s="1">
        <v>0</v>
      </c>
      <c r="O1263" s="1">
        <v>0</v>
      </c>
      <c r="P1263" s="1"/>
      <c r="Q1263" s="1"/>
      <c r="R1263" s="1" t="s">
        <v>10030</v>
      </c>
      <c r="S1263" s="1" t="s">
        <v>10031</v>
      </c>
      <c r="T1263" s="1" t="s">
        <v>9888</v>
      </c>
      <c r="U1263" s="1" t="s">
        <v>10032</v>
      </c>
      <c r="V1263" s="1">
        <v>1</v>
      </c>
      <c r="W1263" s="1">
        <v>1</v>
      </c>
      <c r="X1263" s="1">
        <v>0</v>
      </c>
      <c r="Y1263" s="1">
        <v>0</v>
      </c>
      <c r="Z1263" s="1">
        <v>0</v>
      </c>
      <c r="AA1263" s="1" t="s">
        <v>109</v>
      </c>
      <c r="AB1263" s="1" t="s">
        <v>109</v>
      </c>
      <c r="AC1263" s="1" t="s">
        <v>109</v>
      </c>
      <c r="AD1263" s="1">
        <v>3</v>
      </c>
      <c r="AE1263" s="1">
        <v>3</v>
      </c>
      <c r="AF1263" s="1" t="s">
        <v>109</v>
      </c>
      <c r="AG1263" s="1" t="s">
        <v>109</v>
      </c>
      <c r="AH1263" s="1" t="s">
        <v>109</v>
      </c>
      <c r="AI1263" s="1" t="s">
        <v>109</v>
      </c>
      <c r="AJ1263" s="1" t="s">
        <v>109</v>
      </c>
      <c r="AK1263" s="1" t="s">
        <v>109</v>
      </c>
      <c r="AL1263" s="1" t="s">
        <v>109</v>
      </c>
      <c r="AM1263" s="1" t="s">
        <v>109</v>
      </c>
      <c r="AN1263" s="1" t="s">
        <v>109</v>
      </c>
      <c r="AO1263" s="1" t="s">
        <v>109</v>
      </c>
      <c r="AP1263" s="1"/>
      <c r="AQ1263" s="1">
        <v>3</v>
      </c>
      <c r="AR1263" s="1"/>
      <c r="AS1263" s="1" t="s">
        <v>10033</v>
      </c>
      <c r="AT1263" s="1">
        <v>0</v>
      </c>
      <c r="AU1263" s="1">
        <v>0</v>
      </c>
      <c r="AV1263" s="1">
        <v>0</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1</v>
      </c>
      <c r="BN1263" s="1">
        <v>0</v>
      </c>
      <c r="BO1263" s="1">
        <v>0</v>
      </c>
      <c r="BP1263" s="1">
        <v>0</v>
      </c>
      <c r="BQ1263" s="1">
        <v>0</v>
      </c>
      <c r="BR1263" s="1">
        <v>0</v>
      </c>
      <c r="BS1263" s="5" t="str">
        <f>HYPERLINK("http://www.d20pfsrd.com/magic/all-spells/c/companion-mind-link","Companion Mind Link")</f>
        <v>Companion Mind Link</v>
      </c>
      <c r="BT1263" s="1">
        <v>1310</v>
      </c>
      <c r="BU1263" s="1" t="s">
        <v>109</v>
      </c>
      <c r="BV1263" s="1"/>
      <c r="BW1263" s="1"/>
      <c r="BX1263" s="1"/>
      <c r="BY1263" s="1"/>
      <c r="BZ1263" s="1">
        <v>0</v>
      </c>
      <c r="CA1263" s="1" t="s">
        <v>109</v>
      </c>
      <c r="CB1263" s="1" t="s">
        <v>109</v>
      </c>
      <c r="CC1263" s="1" t="s">
        <v>109</v>
      </c>
      <c r="CD1263" s="1" t="s">
        <v>109</v>
      </c>
      <c r="CE1263" s="1" t="s">
        <v>109</v>
      </c>
      <c r="CF1263" s="1" t="s">
        <v>109</v>
      </c>
      <c r="CG1263" s="1" t="s">
        <v>109</v>
      </c>
      <c r="CH1263" s="1" t="s">
        <v>109</v>
      </c>
      <c r="CI1263" s="1" t="s">
        <v>109</v>
      </c>
      <c r="CJ1263" s="1">
        <v>3</v>
      </c>
      <c r="CK1263" s="1"/>
      <c r="CL1263" s="1">
        <v>0</v>
      </c>
      <c r="CM1263" s="1">
        <v>0</v>
      </c>
      <c r="CN1263" s="1">
        <v>0</v>
      </c>
    </row>
    <row r="1264" spans="1:92" ht="14.25" customHeight="1" x14ac:dyDescent="0.15">
      <c r="A1264" s="1" t="s">
        <v>10034</v>
      </c>
      <c r="B1264" s="1" t="s">
        <v>156</v>
      </c>
      <c r="C1264" s="1" t="s">
        <v>157</v>
      </c>
      <c r="D1264" s="1" t="s">
        <v>158</v>
      </c>
      <c r="E1264" s="1" t="s">
        <v>10035</v>
      </c>
      <c r="F1264" s="1" t="s">
        <v>98</v>
      </c>
      <c r="G1264" s="1" t="s">
        <v>7085</v>
      </c>
      <c r="H1264" s="1">
        <v>0</v>
      </c>
      <c r="I1264" s="1" t="s">
        <v>235</v>
      </c>
      <c r="J1264" s="1"/>
      <c r="K1264" s="1"/>
      <c r="L1264" s="1" t="s">
        <v>236</v>
      </c>
      <c r="M1264" s="1" t="s">
        <v>125</v>
      </c>
      <c r="N1264" s="1">
        <v>0</v>
      </c>
      <c r="O1264" s="1">
        <v>0</v>
      </c>
      <c r="P1264" s="1" t="s">
        <v>211</v>
      </c>
      <c r="Q1264" s="1" t="s">
        <v>211</v>
      </c>
      <c r="R1264" s="1" t="s">
        <v>10036</v>
      </c>
      <c r="S1264" s="1" t="s">
        <v>10037</v>
      </c>
      <c r="T1264" s="1" t="s">
        <v>9888</v>
      </c>
      <c r="U1264" s="1" t="s">
        <v>10038</v>
      </c>
      <c r="V1264" s="1">
        <v>1</v>
      </c>
      <c r="W1264" s="1">
        <v>1</v>
      </c>
      <c r="X1264" s="1">
        <v>1</v>
      </c>
      <c r="Y1264" s="1">
        <v>0</v>
      </c>
      <c r="Z1264" s="1">
        <v>0</v>
      </c>
      <c r="AA1264" s="1" t="s">
        <v>109</v>
      </c>
      <c r="AB1264" s="1" t="s">
        <v>109</v>
      </c>
      <c r="AC1264" s="1">
        <v>1</v>
      </c>
      <c r="AD1264" s="1" t="s">
        <v>109</v>
      </c>
      <c r="AE1264" s="1">
        <v>1</v>
      </c>
      <c r="AF1264" s="1">
        <v>1</v>
      </c>
      <c r="AG1264" s="1">
        <v>1</v>
      </c>
      <c r="AH1264" s="1" t="s">
        <v>109</v>
      </c>
      <c r="AI1264" s="1">
        <v>1</v>
      </c>
      <c r="AJ1264" s="1">
        <v>1</v>
      </c>
      <c r="AK1264" s="1">
        <v>1</v>
      </c>
      <c r="AL1264" s="1">
        <v>1</v>
      </c>
      <c r="AM1264" s="1" t="s">
        <v>109</v>
      </c>
      <c r="AN1264" s="1" t="s">
        <v>109</v>
      </c>
      <c r="AO1264" s="1" t="s">
        <v>109</v>
      </c>
      <c r="AP1264" s="1"/>
      <c r="AQ1264" s="1">
        <v>1</v>
      </c>
      <c r="AR1264" s="1"/>
      <c r="AS1264" s="1" t="s">
        <v>10039</v>
      </c>
      <c r="AT1264" s="1">
        <v>0</v>
      </c>
      <c r="AU1264" s="1">
        <v>0</v>
      </c>
      <c r="AV1264" s="1">
        <v>0</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1</v>
      </c>
      <c r="BN1264" s="1">
        <v>0</v>
      </c>
      <c r="BO1264" s="1">
        <v>0</v>
      </c>
      <c r="BP1264" s="1">
        <v>0</v>
      </c>
      <c r="BQ1264" s="1">
        <v>0</v>
      </c>
      <c r="BR1264" s="1">
        <v>0</v>
      </c>
      <c r="BS1264" s="5" t="str">
        <f>HYPERLINK("http://www.d20pfsrd.com/magic/all-spells/c/compel-hostility","Compel Hostility")</f>
        <v>Compel Hostility</v>
      </c>
      <c r="BT1264" s="1">
        <v>1311</v>
      </c>
      <c r="BU1264" s="1" t="s">
        <v>109</v>
      </c>
      <c r="BV1264" s="1"/>
      <c r="BW1264" s="1"/>
      <c r="BX1264" s="1"/>
      <c r="BY1264" s="1"/>
      <c r="BZ1264" s="1">
        <v>0</v>
      </c>
      <c r="CA1264" s="1" t="s">
        <v>109</v>
      </c>
      <c r="CB1264" s="1" t="s">
        <v>109</v>
      </c>
      <c r="CC1264" s="1">
        <v>1</v>
      </c>
      <c r="CD1264" s="1" t="s">
        <v>109</v>
      </c>
      <c r="CE1264" s="1">
        <v>1</v>
      </c>
      <c r="CF1264" s="1" t="s">
        <v>109</v>
      </c>
      <c r="CG1264" s="1" t="s">
        <v>109</v>
      </c>
      <c r="CH1264" s="1" t="s">
        <v>109</v>
      </c>
      <c r="CI1264" s="1" t="s">
        <v>109</v>
      </c>
      <c r="CJ1264" s="1">
        <v>1</v>
      </c>
      <c r="CK1264" s="1"/>
      <c r="CL1264" s="1">
        <v>0</v>
      </c>
      <c r="CM1264" s="1">
        <v>0</v>
      </c>
      <c r="CN1264" s="1">
        <v>0</v>
      </c>
    </row>
    <row r="1265" spans="1:92" ht="14.25" customHeight="1" x14ac:dyDescent="0.15">
      <c r="A1265" s="1" t="s">
        <v>10040</v>
      </c>
      <c r="B1265" s="1" t="s">
        <v>189</v>
      </c>
      <c r="C1265" s="1"/>
      <c r="D1265" s="1"/>
      <c r="E1265" s="1" t="s">
        <v>10041</v>
      </c>
      <c r="F1265" s="1" t="s">
        <v>98</v>
      </c>
      <c r="G1265" s="1" t="s">
        <v>10042</v>
      </c>
      <c r="H1265" s="1">
        <v>0</v>
      </c>
      <c r="I1265" s="1" t="s">
        <v>142</v>
      </c>
      <c r="J1265" s="1"/>
      <c r="K1265" s="1"/>
      <c r="L1265" s="1" t="s">
        <v>10043</v>
      </c>
      <c r="M1265" s="1" t="s">
        <v>144</v>
      </c>
      <c r="N1265" s="1">
        <v>0</v>
      </c>
      <c r="O1265" s="1">
        <v>0</v>
      </c>
      <c r="P1265" s="1" t="s">
        <v>629</v>
      </c>
      <c r="Q1265" s="1" t="s">
        <v>630</v>
      </c>
      <c r="R1265" s="1" t="s">
        <v>10044</v>
      </c>
      <c r="S1265" s="1" t="s">
        <v>10045</v>
      </c>
      <c r="T1265" s="1" t="s">
        <v>9888</v>
      </c>
      <c r="U1265" s="1" t="s">
        <v>10046</v>
      </c>
      <c r="V1265" s="1">
        <v>1</v>
      </c>
      <c r="W1265" s="1">
        <v>1</v>
      </c>
      <c r="X1265" s="1">
        <v>1</v>
      </c>
      <c r="Y1265" s="1">
        <v>0</v>
      </c>
      <c r="Z1265" s="1">
        <v>1</v>
      </c>
      <c r="AA1265" s="1">
        <v>1</v>
      </c>
      <c r="AB1265" s="1">
        <v>1</v>
      </c>
      <c r="AC1265" s="1" t="s">
        <v>109</v>
      </c>
      <c r="AD1265" s="1">
        <v>1</v>
      </c>
      <c r="AE1265" s="1" t="s">
        <v>109</v>
      </c>
      <c r="AF1265" s="1" t="s">
        <v>109</v>
      </c>
      <c r="AG1265" s="1" t="s">
        <v>109</v>
      </c>
      <c r="AH1265" s="1" t="s">
        <v>109</v>
      </c>
      <c r="AI1265" s="1" t="s">
        <v>109</v>
      </c>
      <c r="AJ1265" s="1">
        <v>1</v>
      </c>
      <c r="AK1265" s="1" t="s">
        <v>109</v>
      </c>
      <c r="AL1265" s="1" t="s">
        <v>109</v>
      </c>
      <c r="AM1265" s="1" t="s">
        <v>109</v>
      </c>
      <c r="AN1265" s="1" t="s">
        <v>109</v>
      </c>
      <c r="AO1265" s="1" t="s">
        <v>109</v>
      </c>
      <c r="AP1265" s="1"/>
      <c r="AQ1265" s="1">
        <v>1</v>
      </c>
      <c r="AR1265" s="1"/>
      <c r="AS1265" s="1" t="s">
        <v>10047</v>
      </c>
      <c r="AT1265" s="1">
        <v>0</v>
      </c>
      <c r="AU1265" s="1">
        <v>0</v>
      </c>
      <c r="AV1265" s="1">
        <v>0</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5" t="str">
        <f>HYPERLINK("http://www.d20pfsrd.com/magic/all-spells/d/damp-powder","Damp Powder")</f>
        <v>Damp Powder</v>
      </c>
      <c r="BT1265" s="1">
        <v>1312</v>
      </c>
      <c r="BU1265" s="1" t="s">
        <v>109</v>
      </c>
      <c r="BV1265" s="1"/>
      <c r="BW1265" s="1"/>
      <c r="BX1265" s="1"/>
      <c r="BY1265" s="1"/>
      <c r="BZ1265" s="1">
        <v>0</v>
      </c>
      <c r="CA1265" s="1" t="s">
        <v>109</v>
      </c>
      <c r="CB1265" s="1" t="s">
        <v>109</v>
      </c>
      <c r="CC1265" s="1" t="s">
        <v>109</v>
      </c>
      <c r="CD1265" s="1" t="s">
        <v>109</v>
      </c>
      <c r="CE1265" s="1" t="s">
        <v>109</v>
      </c>
      <c r="CF1265" s="1" t="s">
        <v>109</v>
      </c>
      <c r="CG1265" s="1" t="s">
        <v>109</v>
      </c>
      <c r="CH1265" s="1" t="s">
        <v>109</v>
      </c>
      <c r="CI1265" s="1" t="s">
        <v>109</v>
      </c>
      <c r="CJ1265" s="1">
        <v>1</v>
      </c>
      <c r="CK1265" s="1"/>
      <c r="CL1265" s="1">
        <v>0</v>
      </c>
      <c r="CM1265" s="1">
        <v>0</v>
      </c>
      <c r="CN1265" s="1">
        <v>0</v>
      </c>
    </row>
    <row r="1266" spans="1:92" ht="14.25" customHeight="1" x14ac:dyDescent="0.15">
      <c r="A1266" s="1" t="s">
        <v>10048</v>
      </c>
      <c r="B1266" s="1" t="s">
        <v>189</v>
      </c>
      <c r="C1266" s="1"/>
      <c r="D1266" s="1"/>
      <c r="E1266" s="1" t="s">
        <v>10049</v>
      </c>
      <c r="F1266" s="1" t="s">
        <v>98</v>
      </c>
      <c r="G1266" s="1" t="s">
        <v>1294</v>
      </c>
      <c r="H1266" s="1">
        <v>0</v>
      </c>
      <c r="I1266" s="1" t="s">
        <v>161</v>
      </c>
      <c r="J1266" s="1"/>
      <c r="K1266" s="1"/>
      <c r="L1266" s="1" t="s">
        <v>9929</v>
      </c>
      <c r="M1266" s="1" t="s">
        <v>289</v>
      </c>
      <c r="N1266" s="1">
        <v>0</v>
      </c>
      <c r="O1266" s="1">
        <v>0</v>
      </c>
      <c r="P1266" s="1" t="s">
        <v>507</v>
      </c>
      <c r="Q1266" s="1" t="s">
        <v>167</v>
      </c>
      <c r="R1266" s="1" t="s">
        <v>10050</v>
      </c>
      <c r="S1266" s="1" t="s">
        <v>10051</v>
      </c>
      <c r="T1266" s="1" t="s">
        <v>9888</v>
      </c>
      <c r="U1266" s="1" t="s">
        <v>10052</v>
      </c>
      <c r="V1266" s="1">
        <v>1</v>
      </c>
      <c r="W1266" s="1">
        <v>1</v>
      </c>
      <c r="X1266" s="1">
        <v>1</v>
      </c>
      <c r="Y1266" s="1">
        <v>0</v>
      </c>
      <c r="Z1266" s="1">
        <v>0</v>
      </c>
      <c r="AA1266" s="1">
        <v>3</v>
      </c>
      <c r="AB1266" s="1">
        <v>3</v>
      </c>
      <c r="AC1266" s="1" t="s">
        <v>109</v>
      </c>
      <c r="AD1266" s="1" t="s">
        <v>109</v>
      </c>
      <c r="AE1266" s="1">
        <v>4</v>
      </c>
      <c r="AF1266" s="1" t="s">
        <v>109</v>
      </c>
      <c r="AG1266" s="1" t="s">
        <v>109</v>
      </c>
      <c r="AH1266" s="1">
        <v>3</v>
      </c>
      <c r="AI1266" s="1" t="s">
        <v>109</v>
      </c>
      <c r="AJ1266" s="1" t="s">
        <v>109</v>
      </c>
      <c r="AK1266" s="1" t="s">
        <v>109</v>
      </c>
      <c r="AL1266" s="1" t="s">
        <v>109</v>
      </c>
      <c r="AM1266" s="1">
        <v>3</v>
      </c>
      <c r="AN1266" s="1" t="s">
        <v>109</v>
      </c>
      <c r="AO1266" s="1" t="s">
        <v>109</v>
      </c>
      <c r="AP1266" s="1"/>
      <c r="AQ1266" s="1">
        <v>3</v>
      </c>
      <c r="AR1266" s="1"/>
      <c r="AS1266" s="1" t="s">
        <v>10053</v>
      </c>
      <c r="AT1266" s="1">
        <v>0</v>
      </c>
      <c r="AU1266" s="1">
        <v>0</v>
      </c>
      <c r="AV1266" s="1">
        <v>0</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5" t="str">
        <f>HYPERLINK("http://www.d20pfsrd.com/magic/all-spells/d/darkvision#TOC-Darkvision-Communal","Darkvision, Communal")</f>
        <v>Darkvision, Communal</v>
      </c>
      <c r="BT1266" s="1">
        <v>1313</v>
      </c>
      <c r="BU1266" s="1" t="s">
        <v>109</v>
      </c>
      <c r="BV1266" s="1"/>
      <c r="BW1266" s="1"/>
      <c r="BX1266" s="1"/>
      <c r="BY1266" s="1"/>
      <c r="BZ1266" s="1">
        <v>0</v>
      </c>
      <c r="CA1266" s="1" t="s">
        <v>109</v>
      </c>
      <c r="CB1266" s="1" t="s">
        <v>109</v>
      </c>
      <c r="CC1266" s="1">
        <v>3</v>
      </c>
      <c r="CD1266" s="1" t="s">
        <v>109</v>
      </c>
      <c r="CE1266" s="1" t="s">
        <v>109</v>
      </c>
      <c r="CF1266" s="1">
        <v>3</v>
      </c>
      <c r="CG1266" s="1" t="s">
        <v>109</v>
      </c>
      <c r="CH1266" s="1" t="s">
        <v>109</v>
      </c>
      <c r="CI1266" s="1" t="s">
        <v>109</v>
      </c>
      <c r="CJ1266" s="1">
        <v>4</v>
      </c>
      <c r="CK1266" s="1"/>
      <c r="CL1266" s="1">
        <v>0</v>
      </c>
      <c r="CM1266" s="1">
        <v>0</v>
      </c>
      <c r="CN1266" s="1">
        <v>0</v>
      </c>
    </row>
    <row r="1267" spans="1:92" ht="14.25" customHeight="1" x14ac:dyDescent="0.15">
      <c r="A1267" s="1" t="s">
        <v>10054</v>
      </c>
      <c r="B1267" s="1" t="s">
        <v>584</v>
      </c>
      <c r="C1267" s="1"/>
      <c r="D1267" s="1" t="s">
        <v>64</v>
      </c>
      <c r="E1267" s="1" t="s">
        <v>10055</v>
      </c>
      <c r="F1267" s="1" t="s">
        <v>98</v>
      </c>
      <c r="G1267" s="1" t="s">
        <v>141</v>
      </c>
      <c r="H1267" s="1">
        <v>0</v>
      </c>
      <c r="I1267" s="1" t="s">
        <v>161</v>
      </c>
      <c r="J1267" s="1"/>
      <c r="K1267" s="1"/>
      <c r="L1267" s="1" t="s">
        <v>10056</v>
      </c>
      <c r="M1267" s="1" t="s">
        <v>5642</v>
      </c>
      <c r="N1267" s="1">
        <v>0</v>
      </c>
      <c r="O1267" s="1">
        <v>0</v>
      </c>
      <c r="P1267" s="1" t="s">
        <v>10057</v>
      </c>
      <c r="Q1267" s="1" t="s">
        <v>216</v>
      </c>
      <c r="R1267" s="1" t="s">
        <v>10058</v>
      </c>
      <c r="S1267" s="1" t="s">
        <v>10059</v>
      </c>
      <c r="T1267" s="1" t="s">
        <v>9888</v>
      </c>
      <c r="U1267" s="1" t="s">
        <v>10060</v>
      </c>
      <c r="V1267" s="1">
        <v>1</v>
      </c>
      <c r="W1267" s="1">
        <v>1</v>
      </c>
      <c r="X1267" s="1">
        <v>0</v>
      </c>
      <c r="Y1267" s="1">
        <v>0</v>
      </c>
      <c r="Z1267" s="1">
        <v>0</v>
      </c>
      <c r="AA1267" s="1" t="s">
        <v>109</v>
      </c>
      <c r="AB1267" s="1" t="s">
        <v>109</v>
      </c>
      <c r="AC1267" s="1">
        <v>3</v>
      </c>
      <c r="AD1267" s="1" t="s">
        <v>109</v>
      </c>
      <c r="AE1267" s="1" t="s">
        <v>109</v>
      </c>
      <c r="AF1267" s="1" t="s">
        <v>109</v>
      </c>
      <c r="AG1267" s="1">
        <v>3</v>
      </c>
      <c r="AH1267" s="1" t="s">
        <v>109</v>
      </c>
      <c r="AI1267" s="1" t="s">
        <v>109</v>
      </c>
      <c r="AJ1267" s="1" t="s">
        <v>109</v>
      </c>
      <c r="AK1267" s="1">
        <v>3</v>
      </c>
      <c r="AL1267" s="1">
        <v>3</v>
      </c>
      <c r="AM1267" s="1" t="s">
        <v>109</v>
      </c>
      <c r="AN1267" s="1" t="s">
        <v>109</v>
      </c>
      <c r="AO1267" s="1" t="s">
        <v>109</v>
      </c>
      <c r="AP1267" s="1"/>
      <c r="AQ1267" s="1">
        <v>3</v>
      </c>
      <c r="AR1267" s="1"/>
      <c r="AS1267" s="1" t="s">
        <v>10061</v>
      </c>
      <c r="AT1267" s="1">
        <v>0</v>
      </c>
      <c r="AU1267" s="1">
        <v>0</v>
      </c>
      <c r="AV1267" s="1">
        <v>0</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1</v>
      </c>
      <c r="BM1267" s="1">
        <v>0</v>
      </c>
      <c r="BN1267" s="1">
        <v>0</v>
      </c>
      <c r="BO1267" s="1">
        <v>0</v>
      </c>
      <c r="BP1267" s="1">
        <v>0</v>
      </c>
      <c r="BQ1267" s="1">
        <v>0</v>
      </c>
      <c r="BR1267" s="1">
        <v>0</v>
      </c>
      <c r="BS1267" s="5" t="str">
        <f>HYPERLINK("http://www.d20pfsrd.com/magic/all-spells/d/daybreak-arrow","Daybreak Arrow")</f>
        <v>Daybreak Arrow</v>
      </c>
      <c r="BT1267" s="1">
        <v>1314</v>
      </c>
      <c r="BU1267" s="1" t="s">
        <v>109</v>
      </c>
      <c r="BV1267" s="1"/>
      <c r="BW1267" s="1"/>
      <c r="BX1267" s="1" t="s">
        <v>10062</v>
      </c>
      <c r="BY1267" s="1"/>
      <c r="BZ1267" s="1">
        <v>1</v>
      </c>
      <c r="CA1267" s="1" t="s">
        <v>109</v>
      </c>
      <c r="CB1267" s="1" t="s">
        <v>109</v>
      </c>
      <c r="CC1267" s="1" t="s">
        <v>109</v>
      </c>
      <c r="CD1267" s="1" t="s">
        <v>109</v>
      </c>
      <c r="CE1267" s="1" t="s">
        <v>109</v>
      </c>
      <c r="CF1267" s="1">
        <v>3</v>
      </c>
      <c r="CG1267" s="1" t="s">
        <v>109</v>
      </c>
      <c r="CH1267" s="1" t="s">
        <v>109</v>
      </c>
      <c r="CI1267" s="1" t="s">
        <v>109</v>
      </c>
      <c r="CJ1267" s="1" t="s">
        <v>109</v>
      </c>
      <c r="CK1267" s="1"/>
      <c r="CL1267" s="1">
        <v>0</v>
      </c>
      <c r="CM1267" s="1">
        <v>0</v>
      </c>
      <c r="CN1267" s="1">
        <v>0</v>
      </c>
    </row>
    <row r="1268" spans="1:92" ht="14.25" customHeight="1" x14ac:dyDescent="0.15">
      <c r="A1268" s="1" t="s">
        <v>10063</v>
      </c>
      <c r="B1268" s="1" t="s">
        <v>308</v>
      </c>
      <c r="C1268" s="1"/>
      <c r="D1268" s="1" t="s">
        <v>52</v>
      </c>
      <c r="E1268" s="1" t="s">
        <v>10064</v>
      </c>
      <c r="F1268" s="1" t="s">
        <v>98</v>
      </c>
      <c r="G1268" s="1" t="s">
        <v>141</v>
      </c>
      <c r="H1268" s="1">
        <v>0</v>
      </c>
      <c r="I1268" s="1" t="s">
        <v>235</v>
      </c>
      <c r="J1268" s="1"/>
      <c r="K1268" s="1"/>
      <c r="L1268" s="1" t="s">
        <v>236</v>
      </c>
      <c r="M1268" s="1" t="s">
        <v>3042</v>
      </c>
      <c r="N1268" s="1">
        <v>0</v>
      </c>
      <c r="O1268" s="1">
        <v>0</v>
      </c>
      <c r="P1268" s="1"/>
      <c r="Q1268" s="1"/>
      <c r="R1268" s="1" t="s">
        <v>10065</v>
      </c>
      <c r="S1268" s="1" t="s">
        <v>10066</v>
      </c>
      <c r="T1268" s="1" t="s">
        <v>9888</v>
      </c>
      <c r="U1268" s="1" t="s">
        <v>10067</v>
      </c>
      <c r="V1268" s="1">
        <v>1</v>
      </c>
      <c r="W1268" s="1">
        <v>1</v>
      </c>
      <c r="X1268" s="1">
        <v>0</v>
      </c>
      <c r="Y1268" s="1">
        <v>0</v>
      </c>
      <c r="Z1268" s="1">
        <v>0</v>
      </c>
      <c r="AA1268" s="1" t="s">
        <v>109</v>
      </c>
      <c r="AB1268" s="1" t="s">
        <v>109</v>
      </c>
      <c r="AC1268" s="1">
        <v>3</v>
      </c>
      <c r="AD1268" s="1" t="s">
        <v>109</v>
      </c>
      <c r="AE1268" s="1" t="s">
        <v>109</v>
      </c>
      <c r="AF1268" s="1" t="s">
        <v>109</v>
      </c>
      <c r="AG1268" s="1">
        <v>3</v>
      </c>
      <c r="AH1268" s="1" t="s">
        <v>109</v>
      </c>
      <c r="AI1268" s="1" t="s">
        <v>109</v>
      </c>
      <c r="AJ1268" s="1" t="s">
        <v>109</v>
      </c>
      <c r="AK1268" s="1">
        <v>3</v>
      </c>
      <c r="AL1268" s="1">
        <v>3</v>
      </c>
      <c r="AM1268" s="1">
        <v>3</v>
      </c>
      <c r="AN1268" s="1" t="s">
        <v>109</v>
      </c>
      <c r="AO1268" s="1" t="s">
        <v>109</v>
      </c>
      <c r="AP1268" s="1"/>
      <c r="AQ1268" s="1">
        <v>3</v>
      </c>
      <c r="AR1268" s="1"/>
      <c r="AS1268" s="1" t="s">
        <v>10068</v>
      </c>
      <c r="AT1268" s="1">
        <v>0</v>
      </c>
      <c r="AU1268" s="1">
        <v>0</v>
      </c>
      <c r="AV1268" s="1">
        <v>0</v>
      </c>
      <c r="AW1268" s="1">
        <v>0</v>
      </c>
      <c r="AX1268" s="1">
        <v>0</v>
      </c>
      <c r="AY1268" s="1">
        <v>0</v>
      </c>
      <c r="AZ1268" s="1">
        <v>1</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5" t="str">
        <f>HYPERLINK("http://www.d20pfsrd.com/magic/all-spells/d/deadly-juggernaut","Deadly Juggernaut")</f>
        <v>Deadly Juggernaut</v>
      </c>
      <c r="BT1268" s="1">
        <v>1315</v>
      </c>
      <c r="BU1268" s="1" t="s">
        <v>109</v>
      </c>
      <c r="BV1268" s="1"/>
      <c r="BW1268" s="1"/>
      <c r="BX1268" s="1"/>
      <c r="BY1268" s="1"/>
      <c r="BZ1268" s="1">
        <v>0</v>
      </c>
      <c r="CA1268" s="1" t="s">
        <v>109</v>
      </c>
      <c r="CB1268" s="1" t="s">
        <v>109</v>
      </c>
      <c r="CC1268" s="1" t="s">
        <v>109</v>
      </c>
      <c r="CD1268" s="1" t="s">
        <v>109</v>
      </c>
      <c r="CE1268" s="1" t="s">
        <v>109</v>
      </c>
      <c r="CF1268" s="1" t="s">
        <v>109</v>
      </c>
      <c r="CG1268" s="1" t="s">
        <v>109</v>
      </c>
      <c r="CH1268" s="1" t="s">
        <v>109</v>
      </c>
      <c r="CI1268" s="1" t="s">
        <v>109</v>
      </c>
      <c r="CJ1268" s="1" t="s">
        <v>109</v>
      </c>
      <c r="CK1268" s="1"/>
      <c r="CL1268" s="1">
        <v>0</v>
      </c>
      <c r="CM1268" s="1">
        <v>0</v>
      </c>
      <c r="CN1268" s="1">
        <v>0</v>
      </c>
    </row>
    <row r="1269" spans="1:92" ht="14.25" customHeight="1" x14ac:dyDescent="0.15">
      <c r="A1269" s="1" t="s">
        <v>10069</v>
      </c>
      <c r="B1269" s="1" t="s">
        <v>254</v>
      </c>
      <c r="C1269" s="1"/>
      <c r="D1269" s="1"/>
      <c r="E1269" s="1" t="s">
        <v>10070</v>
      </c>
      <c r="F1269" s="1" t="s">
        <v>355</v>
      </c>
      <c r="G1269" s="1" t="s">
        <v>141</v>
      </c>
      <c r="H1269" s="1">
        <v>0</v>
      </c>
      <c r="I1269" s="1" t="s">
        <v>235</v>
      </c>
      <c r="J1269" s="1"/>
      <c r="K1269" s="1"/>
      <c r="L1269" s="1" t="s">
        <v>236</v>
      </c>
      <c r="M1269" s="1" t="s">
        <v>289</v>
      </c>
      <c r="N1269" s="1">
        <v>0</v>
      </c>
      <c r="O1269" s="1">
        <v>0</v>
      </c>
      <c r="P1269" s="1"/>
      <c r="Q1269" s="1"/>
      <c r="R1269" s="1" t="s">
        <v>10071</v>
      </c>
      <c r="S1269" s="1" t="s">
        <v>10072</v>
      </c>
      <c r="T1269" s="1" t="s">
        <v>9888</v>
      </c>
      <c r="U1269" s="1" t="s">
        <v>10073</v>
      </c>
      <c r="V1269" s="1">
        <v>1</v>
      </c>
      <c r="W1269" s="1">
        <v>1</v>
      </c>
      <c r="X1269" s="1">
        <v>0</v>
      </c>
      <c r="Y1269" s="1">
        <v>0</v>
      </c>
      <c r="Z1269" s="1">
        <v>0</v>
      </c>
      <c r="AA1269" s="1" t="s">
        <v>109</v>
      </c>
      <c r="AB1269" s="1" t="s">
        <v>109</v>
      </c>
      <c r="AC1269" s="1">
        <v>1</v>
      </c>
      <c r="AD1269" s="1">
        <v>1</v>
      </c>
      <c r="AE1269" s="1">
        <v>1</v>
      </c>
      <c r="AF1269" s="1">
        <v>1</v>
      </c>
      <c r="AG1269" s="1" t="s">
        <v>109</v>
      </c>
      <c r="AH1269" s="1" t="s">
        <v>109</v>
      </c>
      <c r="AI1269" s="1" t="s">
        <v>109</v>
      </c>
      <c r="AJ1269" s="1" t="s">
        <v>109</v>
      </c>
      <c r="AK1269" s="1">
        <v>1</v>
      </c>
      <c r="AL1269" s="1">
        <v>1</v>
      </c>
      <c r="AM1269" s="1" t="s">
        <v>109</v>
      </c>
      <c r="AN1269" s="1" t="s">
        <v>109</v>
      </c>
      <c r="AO1269" s="1" t="s">
        <v>109</v>
      </c>
      <c r="AP1269" s="1"/>
      <c r="AQ1269" s="1">
        <v>1</v>
      </c>
      <c r="AR1269" s="1"/>
      <c r="AS1269" s="1" t="s">
        <v>10074</v>
      </c>
      <c r="AT1269" s="1">
        <v>0</v>
      </c>
      <c r="AU1269" s="1">
        <v>0</v>
      </c>
      <c r="AV1269" s="1">
        <v>0</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5" t="str">
        <f>HYPERLINK("http://www.d20pfsrd.com/magic/all-spells/d/deadeye's-lore","Deadeye's Lore")</f>
        <v>Deadeye's Lore</v>
      </c>
      <c r="BT1269" s="1">
        <v>1316</v>
      </c>
      <c r="BU1269" s="1" t="s">
        <v>109</v>
      </c>
      <c r="BV1269" s="1"/>
      <c r="BW1269" s="1"/>
      <c r="BX1269" s="1"/>
      <c r="BY1269" s="1"/>
      <c r="BZ1269" s="1">
        <v>0</v>
      </c>
      <c r="CA1269" s="1" t="s">
        <v>109</v>
      </c>
      <c r="CB1269" s="1" t="s">
        <v>109</v>
      </c>
      <c r="CC1269" s="1" t="s">
        <v>109</v>
      </c>
      <c r="CD1269" s="1" t="s">
        <v>109</v>
      </c>
      <c r="CE1269" s="1" t="s">
        <v>109</v>
      </c>
      <c r="CF1269" s="1" t="s">
        <v>109</v>
      </c>
      <c r="CG1269" s="1" t="s">
        <v>109</v>
      </c>
      <c r="CH1269" s="1" t="s">
        <v>109</v>
      </c>
      <c r="CI1269" s="1" t="s">
        <v>109</v>
      </c>
      <c r="CJ1269" s="1">
        <v>1</v>
      </c>
      <c r="CK1269" s="1"/>
      <c r="CL1269" s="1">
        <v>0</v>
      </c>
      <c r="CM1269" s="1">
        <v>0</v>
      </c>
      <c r="CN1269" s="1">
        <v>0</v>
      </c>
    </row>
    <row r="1270" spans="1:92" ht="14.25" customHeight="1" x14ac:dyDescent="0.15">
      <c r="A1270" s="1" t="s">
        <v>10075</v>
      </c>
      <c r="B1270" s="1" t="s">
        <v>156</v>
      </c>
      <c r="C1270" s="1" t="s">
        <v>157</v>
      </c>
      <c r="D1270" s="1" t="s">
        <v>158</v>
      </c>
      <c r="E1270" s="1" t="s">
        <v>10076</v>
      </c>
      <c r="F1270" s="1" t="s">
        <v>98</v>
      </c>
      <c r="G1270" s="1" t="s">
        <v>160</v>
      </c>
      <c r="H1270" s="1">
        <v>0</v>
      </c>
      <c r="I1270" s="1" t="s">
        <v>122</v>
      </c>
      <c r="J1270" s="1"/>
      <c r="K1270" s="1"/>
      <c r="L1270" s="1" t="s">
        <v>1391</v>
      </c>
      <c r="M1270" s="1" t="s">
        <v>10077</v>
      </c>
      <c r="N1270" s="1">
        <v>1</v>
      </c>
      <c r="O1270" s="1">
        <v>0</v>
      </c>
      <c r="P1270" s="1" t="s">
        <v>103</v>
      </c>
      <c r="Q1270" s="1" t="s">
        <v>268</v>
      </c>
      <c r="R1270" s="1" t="s">
        <v>10078</v>
      </c>
      <c r="S1270" s="1" t="s">
        <v>10079</v>
      </c>
      <c r="T1270" s="1" t="s">
        <v>9888</v>
      </c>
      <c r="U1270" s="1" t="s">
        <v>10080</v>
      </c>
      <c r="V1270" s="1">
        <v>1</v>
      </c>
      <c r="W1270" s="1">
        <v>1</v>
      </c>
      <c r="X1270" s="1">
        <v>0</v>
      </c>
      <c r="Y1270" s="1">
        <v>0</v>
      </c>
      <c r="Z1270" s="1">
        <v>1</v>
      </c>
      <c r="AA1270" s="1" t="s">
        <v>109</v>
      </c>
      <c r="AB1270" s="1" t="s">
        <v>109</v>
      </c>
      <c r="AC1270" s="1">
        <v>4</v>
      </c>
      <c r="AD1270" s="1" t="s">
        <v>109</v>
      </c>
      <c r="AE1270" s="1" t="s">
        <v>109</v>
      </c>
      <c r="AF1270" s="1" t="s">
        <v>109</v>
      </c>
      <c r="AG1270" s="1" t="s">
        <v>109</v>
      </c>
      <c r="AH1270" s="1" t="s">
        <v>109</v>
      </c>
      <c r="AI1270" s="1" t="s">
        <v>109</v>
      </c>
      <c r="AJ1270" s="1">
        <v>4</v>
      </c>
      <c r="AK1270" s="1" t="s">
        <v>109</v>
      </c>
      <c r="AL1270" s="1">
        <v>4</v>
      </c>
      <c r="AM1270" s="1" t="s">
        <v>109</v>
      </c>
      <c r="AN1270" s="1" t="s">
        <v>109</v>
      </c>
      <c r="AO1270" s="1" t="s">
        <v>109</v>
      </c>
      <c r="AP1270" s="1"/>
      <c r="AQ1270" s="1">
        <v>4</v>
      </c>
      <c r="AR1270" s="1"/>
      <c r="AS1270" s="1" t="s">
        <v>10081</v>
      </c>
      <c r="AT1270" s="1">
        <v>0</v>
      </c>
      <c r="AU1270" s="1">
        <v>0</v>
      </c>
      <c r="AV1270" s="1">
        <v>0</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1</v>
      </c>
      <c r="BN1270" s="1">
        <v>0</v>
      </c>
      <c r="BO1270" s="1">
        <v>0</v>
      </c>
      <c r="BP1270" s="1">
        <v>0</v>
      </c>
      <c r="BQ1270" s="1">
        <v>0</v>
      </c>
      <c r="BR1270" s="1">
        <v>0</v>
      </c>
      <c r="BS1270" s="5" t="str">
        <f>HYPERLINK("http://www.d20pfsrd.com/magic/all-spells/d/debilitating-portent","Debilitating Portent")</f>
        <v>Debilitating Portent</v>
      </c>
      <c r="BT1270" s="1">
        <v>1317</v>
      </c>
      <c r="BU1270" s="1" t="s">
        <v>109</v>
      </c>
      <c r="BV1270" s="1"/>
      <c r="BW1270" s="1"/>
      <c r="BX1270" s="1"/>
      <c r="BY1270" s="1"/>
      <c r="BZ1270" s="1">
        <v>0</v>
      </c>
      <c r="CA1270" s="1" t="s">
        <v>109</v>
      </c>
      <c r="CB1270" s="1" t="s">
        <v>109</v>
      </c>
      <c r="CC1270" s="1">
        <v>4</v>
      </c>
      <c r="CD1270" s="1" t="s">
        <v>109</v>
      </c>
      <c r="CE1270" s="1" t="s">
        <v>109</v>
      </c>
      <c r="CF1270" s="1" t="s">
        <v>109</v>
      </c>
      <c r="CG1270" s="1">
        <v>4</v>
      </c>
      <c r="CH1270" s="1" t="s">
        <v>109</v>
      </c>
      <c r="CI1270" s="1" t="s">
        <v>109</v>
      </c>
      <c r="CJ1270" s="1" t="s">
        <v>109</v>
      </c>
      <c r="CK1270" s="1"/>
      <c r="CL1270" s="1">
        <v>0</v>
      </c>
      <c r="CM1270" s="1">
        <v>0</v>
      </c>
      <c r="CN1270" s="1">
        <v>0</v>
      </c>
    </row>
    <row r="1271" spans="1:92" ht="14.25" customHeight="1" x14ac:dyDescent="0.15">
      <c r="A1271" s="1" t="s">
        <v>10082</v>
      </c>
      <c r="B1271" s="1" t="s">
        <v>95</v>
      </c>
      <c r="C1271" s="1" t="s">
        <v>694</v>
      </c>
      <c r="D1271" s="1"/>
      <c r="E1271" s="1" t="s">
        <v>10083</v>
      </c>
      <c r="F1271" s="1" t="s">
        <v>98</v>
      </c>
      <c r="G1271" s="1" t="s">
        <v>160</v>
      </c>
      <c r="H1271" s="1">
        <v>0</v>
      </c>
      <c r="I1271" s="1" t="s">
        <v>161</v>
      </c>
      <c r="J1271" s="1"/>
      <c r="K1271" s="1"/>
      <c r="L1271" s="1" t="s">
        <v>9929</v>
      </c>
      <c r="M1271" s="1" t="s">
        <v>289</v>
      </c>
      <c r="N1271" s="1">
        <v>0</v>
      </c>
      <c r="O1271" s="1">
        <v>0</v>
      </c>
      <c r="P1271" s="1" t="s">
        <v>1382</v>
      </c>
      <c r="Q1271" s="1" t="s">
        <v>167</v>
      </c>
      <c r="R1271" s="1" t="s">
        <v>10084</v>
      </c>
      <c r="S1271" s="1" t="s">
        <v>10085</v>
      </c>
      <c r="T1271" s="1" t="s">
        <v>9888</v>
      </c>
      <c r="U1271" s="1" t="s">
        <v>10086</v>
      </c>
      <c r="V1271" s="1">
        <v>1</v>
      </c>
      <c r="W1271" s="1">
        <v>1</v>
      </c>
      <c r="X1271" s="1">
        <v>0</v>
      </c>
      <c r="Y1271" s="1">
        <v>0</v>
      </c>
      <c r="Z1271" s="1">
        <v>1</v>
      </c>
      <c r="AA1271" s="1" t="s">
        <v>109</v>
      </c>
      <c r="AB1271" s="1" t="s">
        <v>109</v>
      </c>
      <c r="AC1271" s="1">
        <v>3</v>
      </c>
      <c r="AD1271" s="1">
        <v>3</v>
      </c>
      <c r="AE1271" s="1">
        <v>3</v>
      </c>
      <c r="AF1271" s="1">
        <v>3</v>
      </c>
      <c r="AG1271" s="1">
        <v>3</v>
      </c>
      <c r="AH1271" s="1">
        <v>3</v>
      </c>
      <c r="AI1271" s="1" t="s">
        <v>109</v>
      </c>
      <c r="AJ1271" s="1">
        <v>3</v>
      </c>
      <c r="AK1271" s="1">
        <v>3</v>
      </c>
      <c r="AL1271" s="1">
        <v>3</v>
      </c>
      <c r="AM1271" s="1" t="s">
        <v>109</v>
      </c>
      <c r="AN1271" s="1" t="s">
        <v>109</v>
      </c>
      <c r="AO1271" s="1" t="s">
        <v>109</v>
      </c>
      <c r="AP1271" s="1"/>
      <c r="AQ1271" s="1">
        <v>3</v>
      </c>
      <c r="AR1271" s="1"/>
      <c r="AS1271" s="1" t="s">
        <v>10087</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5" t="str">
        <f>HYPERLINK("http://www.d20pfsrd.com/magic/all-spells/d/delay-poison#TOC-Delay-Poison-Communal","Delay Poison, Communal")</f>
        <v>Delay Poison, Communal</v>
      </c>
      <c r="BT1271" s="1">
        <v>1318</v>
      </c>
      <c r="BU1271" s="1" t="s">
        <v>109</v>
      </c>
      <c r="BV1271" s="1"/>
      <c r="BW1271" s="1"/>
      <c r="BX1271" s="1"/>
      <c r="BY1271" s="1"/>
      <c r="BZ1271" s="1">
        <v>0</v>
      </c>
      <c r="CA1271" s="1" t="s">
        <v>109</v>
      </c>
      <c r="CB1271" s="1" t="s">
        <v>109</v>
      </c>
      <c r="CC1271" s="1" t="s">
        <v>109</v>
      </c>
      <c r="CD1271" s="1" t="s">
        <v>109</v>
      </c>
      <c r="CE1271" s="1" t="s">
        <v>109</v>
      </c>
      <c r="CF1271" s="1" t="s">
        <v>109</v>
      </c>
      <c r="CG1271" s="1" t="s">
        <v>109</v>
      </c>
      <c r="CH1271" s="1" t="s">
        <v>109</v>
      </c>
      <c r="CI1271" s="1" t="s">
        <v>109</v>
      </c>
      <c r="CJ1271" s="1">
        <v>3</v>
      </c>
      <c r="CK1271" s="1"/>
      <c r="CL1271" s="1">
        <v>0</v>
      </c>
      <c r="CM1271" s="1">
        <v>0</v>
      </c>
      <c r="CN1271" s="1">
        <v>0</v>
      </c>
    </row>
    <row r="1272" spans="1:92" ht="14.25" customHeight="1" x14ac:dyDescent="0.15">
      <c r="A1272" s="1" t="s">
        <v>10088</v>
      </c>
      <c r="B1272" s="1" t="s">
        <v>189</v>
      </c>
      <c r="C1272" s="1"/>
      <c r="D1272" s="1"/>
      <c r="E1272" s="1" t="s">
        <v>9564</v>
      </c>
      <c r="F1272" s="1" t="s">
        <v>98</v>
      </c>
      <c r="G1272" s="1" t="s">
        <v>10089</v>
      </c>
      <c r="H1272" s="1">
        <v>0</v>
      </c>
      <c r="I1272" s="1" t="s">
        <v>142</v>
      </c>
      <c r="J1272" s="1"/>
      <c r="K1272" s="1"/>
      <c r="L1272" s="1" t="s">
        <v>10043</v>
      </c>
      <c r="M1272" s="1" t="s">
        <v>144</v>
      </c>
      <c r="N1272" s="1">
        <v>0</v>
      </c>
      <c r="O1272" s="1">
        <v>0</v>
      </c>
      <c r="P1272" s="1" t="s">
        <v>629</v>
      </c>
      <c r="Q1272" s="1" t="s">
        <v>630</v>
      </c>
      <c r="R1272" s="1" t="s">
        <v>10090</v>
      </c>
      <c r="S1272" s="1" t="s">
        <v>10091</v>
      </c>
      <c r="T1272" s="1" t="s">
        <v>9888</v>
      </c>
      <c r="U1272" s="1" t="s">
        <v>10092</v>
      </c>
      <c r="V1272" s="1">
        <v>1</v>
      </c>
      <c r="W1272" s="1">
        <v>1</v>
      </c>
      <c r="X1272" s="1">
        <v>1</v>
      </c>
      <c r="Y1272" s="1">
        <v>0</v>
      </c>
      <c r="Z1272" s="1">
        <v>0</v>
      </c>
      <c r="AA1272" s="1">
        <v>2</v>
      </c>
      <c r="AB1272" s="1">
        <v>2</v>
      </c>
      <c r="AC1272" s="1" t="s">
        <v>109</v>
      </c>
      <c r="AD1272" s="1" t="s">
        <v>109</v>
      </c>
      <c r="AE1272" s="1" t="s">
        <v>109</v>
      </c>
      <c r="AF1272" s="1" t="s">
        <v>109</v>
      </c>
      <c r="AG1272" s="1" t="s">
        <v>109</v>
      </c>
      <c r="AH1272" s="1" t="s">
        <v>109</v>
      </c>
      <c r="AI1272" s="1" t="s">
        <v>109</v>
      </c>
      <c r="AJ1272" s="1">
        <v>2</v>
      </c>
      <c r="AK1272" s="1" t="s">
        <v>109</v>
      </c>
      <c r="AL1272" s="1" t="s">
        <v>109</v>
      </c>
      <c r="AM1272" s="1" t="s">
        <v>109</v>
      </c>
      <c r="AN1272" s="1" t="s">
        <v>109</v>
      </c>
      <c r="AO1272" s="1" t="s">
        <v>109</v>
      </c>
      <c r="AP1272" s="1"/>
      <c r="AQ1272" s="1">
        <v>2</v>
      </c>
      <c r="AR1272" s="1"/>
      <c r="AS1272" s="1" t="s">
        <v>10093</v>
      </c>
      <c r="AT1272" s="1">
        <v>0</v>
      </c>
      <c r="AU1272" s="1">
        <v>0</v>
      </c>
      <c r="AV1272" s="1">
        <v>0</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5" t="str">
        <f>HYPERLINK("http://www.d20pfsrd.com/magic/all-spells/d/destabilize-powder","Destabilize Powder")</f>
        <v>Destabilize Powder</v>
      </c>
      <c r="BT1272" s="1">
        <v>1319</v>
      </c>
      <c r="BU1272" s="1" t="s">
        <v>109</v>
      </c>
      <c r="BV1272" s="1"/>
      <c r="BW1272" s="1"/>
      <c r="BX1272" s="1"/>
      <c r="BY1272" s="1"/>
      <c r="BZ1272" s="1">
        <v>0</v>
      </c>
      <c r="CA1272" s="1" t="s">
        <v>109</v>
      </c>
      <c r="CB1272" s="1" t="s">
        <v>109</v>
      </c>
      <c r="CC1272" s="1" t="s">
        <v>109</v>
      </c>
      <c r="CD1272" s="1" t="s">
        <v>109</v>
      </c>
      <c r="CE1272" s="1" t="s">
        <v>109</v>
      </c>
      <c r="CF1272" s="1" t="s">
        <v>109</v>
      </c>
      <c r="CG1272" s="1" t="s">
        <v>109</v>
      </c>
      <c r="CH1272" s="1" t="s">
        <v>109</v>
      </c>
      <c r="CI1272" s="1" t="s">
        <v>109</v>
      </c>
      <c r="CJ1272" s="1" t="s">
        <v>109</v>
      </c>
      <c r="CK1272" s="1"/>
      <c r="CL1272" s="1">
        <v>0</v>
      </c>
      <c r="CM1272" s="1">
        <v>0</v>
      </c>
      <c r="CN1272" s="1">
        <v>0</v>
      </c>
    </row>
    <row r="1273" spans="1:92" ht="14.25" customHeight="1" x14ac:dyDescent="0.15">
      <c r="A1273" s="1" t="s">
        <v>10094</v>
      </c>
      <c r="B1273" s="1" t="s">
        <v>584</v>
      </c>
      <c r="C1273" s="1"/>
      <c r="D1273" s="1" t="s">
        <v>64</v>
      </c>
      <c r="E1273" s="1" t="s">
        <v>10095</v>
      </c>
      <c r="F1273" s="1" t="s">
        <v>355</v>
      </c>
      <c r="G1273" s="1" t="s">
        <v>141</v>
      </c>
      <c r="H1273" s="1">
        <v>0</v>
      </c>
      <c r="I1273" s="1" t="s">
        <v>161</v>
      </c>
      <c r="J1273" s="1"/>
      <c r="K1273" s="1"/>
      <c r="L1273" s="1" t="s">
        <v>1285</v>
      </c>
      <c r="M1273" s="1" t="s">
        <v>5642</v>
      </c>
      <c r="N1273" s="1">
        <v>0</v>
      </c>
      <c r="O1273" s="1">
        <v>0</v>
      </c>
      <c r="P1273" s="1" t="s">
        <v>103</v>
      </c>
      <c r="Q1273" s="1" t="s">
        <v>104</v>
      </c>
      <c r="R1273" s="1" t="s">
        <v>10096</v>
      </c>
      <c r="S1273" s="1" t="s">
        <v>10097</v>
      </c>
      <c r="T1273" s="1" t="s">
        <v>9888</v>
      </c>
      <c r="U1273" s="1" t="s">
        <v>10098</v>
      </c>
      <c r="V1273" s="1">
        <v>1</v>
      </c>
      <c r="W1273" s="1">
        <v>1</v>
      </c>
      <c r="X1273" s="1">
        <v>0</v>
      </c>
      <c r="Y1273" s="1">
        <v>0</v>
      </c>
      <c r="Z1273" s="1">
        <v>0</v>
      </c>
      <c r="AA1273" s="1" t="s">
        <v>109</v>
      </c>
      <c r="AB1273" s="1" t="s">
        <v>109</v>
      </c>
      <c r="AC1273" s="1">
        <v>3</v>
      </c>
      <c r="AD1273" s="1" t="s">
        <v>109</v>
      </c>
      <c r="AE1273" s="1" t="s">
        <v>109</v>
      </c>
      <c r="AF1273" s="1">
        <v>2</v>
      </c>
      <c r="AG1273" s="1" t="s">
        <v>109</v>
      </c>
      <c r="AH1273" s="1" t="s">
        <v>109</v>
      </c>
      <c r="AI1273" s="1" t="s">
        <v>109</v>
      </c>
      <c r="AJ1273" s="1" t="s">
        <v>109</v>
      </c>
      <c r="AK1273" s="1">
        <v>2</v>
      </c>
      <c r="AL1273" s="1">
        <v>3</v>
      </c>
      <c r="AM1273" s="1" t="s">
        <v>109</v>
      </c>
      <c r="AN1273" s="1" t="s">
        <v>109</v>
      </c>
      <c r="AO1273" s="1" t="s">
        <v>109</v>
      </c>
      <c r="AP1273" s="1"/>
      <c r="AQ1273" s="1">
        <v>3</v>
      </c>
      <c r="AR1273" s="1"/>
      <c r="AS1273" s="1" t="s">
        <v>10099</v>
      </c>
      <c r="AT1273" s="1">
        <v>0</v>
      </c>
      <c r="AU1273" s="1">
        <v>0</v>
      </c>
      <c r="AV1273" s="1">
        <v>0</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1</v>
      </c>
      <c r="BM1273" s="1">
        <v>0</v>
      </c>
      <c r="BN1273" s="1">
        <v>0</v>
      </c>
      <c r="BO1273" s="1">
        <v>0</v>
      </c>
      <c r="BP1273" s="1">
        <v>0</v>
      </c>
      <c r="BQ1273" s="1">
        <v>0</v>
      </c>
      <c r="BR1273" s="1">
        <v>0</v>
      </c>
      <c r="BS1273" s="5" t="str">
        <f>HYPERLINK("http://www.d20pfsrd.com/magic/all-spells/d/discovery-torch","Discovery Torch")</f>
        <v>Discovery Torch</v>
      </c>
      <c r="BT1273" s="1">
        <v>1320</v>
      </c>
      <c r="BU1273" s="1" t="s">
        <v>109</v>
      </c>
      <c r="BV1273" s="1"/>
      <c r="BW1273" s="1"/>
      <c r="BX1273" s="1"/>
      <c r="BY1273" s="1"/>
      <c r="BZ1273" s="1">
        <v>0</v>
      </c>
      <c r="CA1273" s="1" t="s">
        <v>109</v>
      </c>
      <c r="CB1273" s="1" t="s">
        <v>109</v>
      </c>
      <c r="CC1273" s="1" t="s">
        <v>109</v>
      </c>
      <c r="CD1273" s="1" t="s">
        <v>109</v>
      </c>
      <c r="CE1273" s="1" t="s">
        <v>109</v>
      </c>
      <c r="CF1273" s="1" t="s">
        <v>109</v>
      </c>
      <c r="CG1273" s="1" t="s">
        <v>109</v>
      </c>
      <c r="CH1273" s="1" t="s">
        <v>109</v>
      </c>
      <c r="CI1273" s="1" t="s">
        <v>109</v>
      </c>
      <c r="CJ1273" s="1" t="s">
        <v>109</v>
      </c>
      <c r="CK1273" s="1"/>
      <c r="CL1273" s="1">
        <v>0</v>
      </c>
      <c r="CM1273" s="1">
        <v>0</v>
      </c>
      <c r="CN1273" s="1">
        <v>0</v>
      </c>
    </row>
    <row r="1274" spans="1:92" ht="14.25" customHeight="1" x14ac:dyDescent="0.15">
      <c r="A1274" s="1" t="s">
        <v>10100</v>
      </c>
      <c r="B1274" s="1" t="s">
        <v>189</v>
      </c>
      <c r="C1274" s="1"/>
      <c r="D1274" s="1" t="s">
        <v>61</v>
      </c>
      <c r="E1274" s="1" t="s">
        <v>5912</v>
      </c>
      <c r="F1274" s="1" t="s">
        <v>98</v>
      </c>
      <c r="G1274" s="1" t="s">
        <v>141</v>
      </c>
      <c r="H1274" s="1">
        <v>0</v>
      </c>
      <c r="I1274" s="1" t="s">
        <v>161</v>
      </c>
      <c r="J1274" s="1"/>
      <c r="K1274" s="1"/>
      <c r="L1274" s="1" t="s">
        <v>10101</v>
      </c>
      <c r="M1274" s="1" t="s">
        <v>6798</v>
      </c>
      <c r="N1274" s="1">
        <v>0</v>
      </c>
      <c r="O1274" s="1">
        <v>0</v>
      </c>
      <c r="P1274" s="1" t="s">
        <v>103</v>
      </c>
      <c r="Q1274" s="1" t="s">
        <v>104</v>
      </c>
      <c r="R1274" s="1" t="s">
        <v>10102</v>
      </c>
      <c r="S1274" s="1" t="s">
        <v>10103</v>
      </c>
      <c r="T1274" s="1" t="s">
        <v>9888</v>
      </c>
      <c r="U1274" s="1" t="s">
        <v>10104</v>
      </c>
      <c r="V1274" s="1">
        <v>1</v>
      </c>
      <c r="W1274" s="1">
        <v>1</v>
      </c>
      <c r="X1274" s="1">
        <v>0</v>
      </c>
      <c r="Y1274" s="1">
        <v>0</v>
      </c>
      <c r="Z1274" s="1">
        <v>0</v>
      </c>
      <c r="AA1274" s="1" t="s">
        <v>109</v>
      </c>
      <c r="AB1274" s="1" t="s">
        <v>109</v>
      </c>
      <c r="AC1274" s="1" t="s">
        <v>109</v>
      </c>
      <c r="AD1274" s="1" t="s">
        <v>109</v>
      </c>
      <c r="AE1274" s="1" t="s">
        <v>109</v>
      </c>
      <c r="AF1274" s="1" t="s">
        <v>109</v>
      </c>
      <c r="AG1274" s="1">
        <v>2</v>
      </c>
      <c r="AH1274" s="1" t="s">
        <v>109</v>
      </c>
      <c r="AI1274" s="1" t="s">
        <v>109</v>
      </c>
      <c r="AJ1274" s="1" t="s">
        <v>109</v>
      </c>
      <c r="AK1274" s="1" t="s">
        <v>109</v>
      </c>
      <c r="AL1274" s="1" t="s">
        <v>109</v>
      </c>
      <c r="AM1274" s="1" t="s">
        <v>109</v>
      </c>
      <c r="AN1274" s="1" t="s">
        <v>109</v>
      </c>
      <c r="AO1274" s="1" t="s">
        <v>109</v>
      </c>
      <c r="AP1274" s="1"/>
      <c r="AQ1274" s="1">
        <v>2</v>
      </c>
      <c r="AR1274" s="1"/>
      <c r="AS1274" s="1" t="s">
        <v>10105</v>
      </c>
      <c r="AT1274" s="1">
        <v>0</v>
      </c>
      <c r="AU1274" s="1">
        <v>0</v>
      </c>
      <c r="AV1274" s="1">
        <v>0</v>
      </c>
      <c r="AW1274" s="1">
        <v>0</v>
      </c>
      <c r="AX1274" s="1">
        <v>0</v>
      </c>
      <c r="AY1274" s="1">
        <v>0</v>
      </c>
      <c r="AZ1274" s="1">
        <v>0</v>
      </c>
      <c r="BA1274" s="1">
        <v>0</v>
      </c>
      <c r="BB1274" s="1">
        <v>0</v>
      </c>
      <c r="BC1274" s="1">
        <v>0</v>
      </c>
      <c r="BD1274" s="1">
        <v>0</v>
      </c>
      <c r="BE1274" s="1">
        <v>0</v>
      </c>
      <c r="BF1274" s="1">
        <v>0</v>
      </c>
      <c r="BG1274" s="1">
        <v>0</v>
      </c>
      <c r="BH1274" s="1">
        <v>0</v>
      </c>
      <c r="BI1274" s="1">
        <v>1</v>
      </c>
      <c r="BJ1274" s="1">
        <v>0</v>
      </c>
      <c r="BK1274" s="1">
        <v>0</v>
      </c>
      <c r="BL1274" s="1">
        <v>0</v>
      </c>
      <c r="BM1274" s="1">
        <v>0</v>
      </c>
      <c r="BN1274" s="1">
        <v>0</v>
      </c>
      <c r="BO1274" s="1">
        <v>0</v>
      </c>
      <c r="BP1274" s="1">
        <v>0</v>
      </c>
      <c r="BQ1274" s="1">
        <v>0</v>
      </c>
      <c r="BR1274" s="1">
        <v>0</v>
      </c>
      <c r="BS1274" s="5" t="str">
        <f>HYPERLINK("http://www.d20pfsrd.com/magic/all-spells/d/divine-arrow","Divine Arrow")</f>
        <v>Divine Arrow</v>
      </c>
      <c r="BT1274" s="1">
        <v>1321</v>
      </c>
      <c r="BU1274" s="1" t="s">
        <v>109</v>
      </c>
      <c r="BV1274" s="1"/>
      <c r="BW1274" s="1"/>
      <c r="BX1274" s="1"/>
      <c r="BY1274" s="1"/>
      <c r="BZ1274" s="1">
        <v>0</v>
      </c>
      <c r="CA1274" s="1" t="s">
        <v>109</v>
      </c>
      <c r="CB1274" s="1" t="s">
        <v>109</v>
      </c>
      <c r="CC1274" s="1" t="s">
        <v>109</v>
      </c>
      <c r="CD1274" s="1" t="s">
        <v>109</v>
      </c>
      <c r="CE1274" s="1" t="s">
        <v>109</v>
      </c>
      <c r="CF1274" s="1" t="s">
        <v>109</v>
      </c>
      <c r="CG1274" s="1" t="s">
        <v>109</v>
      </c>
      <c r="CH1274" s="1" t="s">
        <v>109</v>
      </c>
      <c r="CI1274" s="1" t="s">
        <v>109</v>
      </c>
      <c r="CJ1274" s="1" t="s">
        <v>109</v>
      </c>
      <c r="CK1274" s="1"/>
      <c r="CL1274" s="1">
        <v>0</v>
      </c>
      <c r="CM1274" s="1">
        <v>0</v>
      </c>
      <c r="CN1274" s="1">
        <v>0</v>
      </c>
    </row>
    <row r="1275" spans="1:92" ht="14.25" customHeight="1" x14ac:dyDescent="0.15">
      <c r="A1275" s="1" t="s">
        <v>10106</v>
      </c>
      <c r="B1275" s="1" t="s">
        <v>189</v>
      </c>
      <c r="C1275" s="1" t="s">
        <v>231</v>
      </c>
      <c r="D1275" s="1"/>
      <c r="E1275" s="1" t="s">
        <v>10107</v>
      </c>
      <c r="F1275" s="1" t="s">
        <v>98</v>
      </c>
      <c r="G1275" s="1" t="s">
        <v>10108</v>
      </c>
      <c r="H1275" s="1">
        <v>0</v>
      </c>
      <c r="I1275" s="1" t="s">
        <v>235</v>
      </c>
      <c r="J1275" s="1"/>
      <c r="K1275" s="1"/>
      <c r="L1275" s="1" t="s">
        <v>236</v>
      </c>
      <c r="M1275" s="1" t="s">
        <v>125</v>
      </c>
      <c r="N1275" s="1">
        <v>0</v>
      </c>
      <c r="O1275" s="1">
        <v>0</v>
      </c>
      <c r="P1275" s="1"/>
      <c r="Q1275" s="1"/>
      <c r="R1275" s="1" t="s">
        <v>10109</v>
      </c>
      <c r="S1275" s="1" t="s">
        <v>10110</v>
      </c>
      <c r="T1275" s="1" t="s">
        <v>9888</v>
      </c>
      <c r="U1275" s="1" t="s">
        <v>10111</v>
      </c>
      <c r="V1275" s="1">
        <v>1</v>
      </c>
      <c r="W1275" s="1">
        <v>1</v>
      </c>
      <c r="X1275" s="1">
        <v>1</v>
      </c>
      <c r="Y1275" s="1">
        <v>0</v>
      </c>
      <c r="Z1275" s="1">
        <v>0</v>
      </c>
      <c r="AA1275" s="1" t="s">
        <v>109</v>
      </c>
      <c r="AB1275" s="1" t="s">
        <v>109</v>
      </c>
      <c r="AC1275" s="1">
        <v>6</v>
      </c>
      <c r="AD1275" s="1">
        <v>6</v>
      </c>
      <c r="AE1275" s="1" t="s">
        <v>109</v>
      </c>
      <c r="AF1275" s="1" t="s">
        <v>109</v>
      </c>
      <c r="AG1275" s="1" t="s">
        <v>109</v>
      </c>
      <c r="AH1275" s="1">
        <v>5</v>
      </c>
      <c r="AI1275" s="1" t="s">
        <v>109</v>
      </c>
      <c r="AJ1275" s="1">
        <v>6</v>
      </c>
      <c r="AK1275" s="1" t="s">
        <v>109</v>
      </c>
      <c r="AL1275" s="1">
        <v>6</v>
      </c>
      <c r="AM1275" s="1" t="s">
        <v>109</v>
      </c>
      <c r="AN1275" s="1" t="s">
        <v>109</v>
      </c>
      <c r="AO1275" s="1" t="s">
        <v>109</v>
      </c>
      <c r="AP1275" s="1"/>
      <c r="AQ1275" s="1">
        <v>6</v>
      </c>
      <c r="AR1275" s="1"/>
      <c r="AS1275" s="1" t="s">
        <v>10112</v>
      </c>
      <c r="AT1275" s="1">
        <v>0</v>
      </c>
      <c r="AU1275" s="1">
        <v>0</v>
      </c>
      <c r="AV1275" s="1">
        <v>0</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5" t="str">
        <f>HYPERLINK("http://www.d20pfsrd.com/magic/all-spells/d/dust-form","Dust Form")</f>
        <v>Dust Form</v>
      </c>
      <c r="BT1275" s="1">
        <v>1322</v>
      </c>
      <c r="BU1275" s="1" t="s">
        <v>109</v>
      </c>
      <c r="BV1275" s="1"/>
      <c r="BW1275" s="1"/>
      <c r="BX1275" s="1"/>
      <c r="BY1275" s="1"/>
      <c r="BZ1275" s="1">
        <v>0</v>
      </c>
      <c r="CA1275" s="1" t="s">
        <v>109</v>
      </c>
      <c r="CB1275" s="1" t="s">
        <v>109</v>
      </c>
      <c r="CC1275" s="1">
        <v>6</v>
      </c>
      <c r="CD1275" s="1" t="s">
        <v>109</v>
      </c>
      <c r="CE1275" s="1" t="s">
        <v>109</v>
      </c>
      <c r="CF1275" s="1" t="s">
        <v>109</v>
      </c>
      <c r="CG1275" s="1" t="s">
        <v>109</v>
      </c>
      <c r="CH1275" s="1" t="s">
        <v>109</v>
      </c>
      <c r="CI1275" s="1" t="s">
        <v>109</v>
      </c>
      <c r="CJ1275" s="1">
        <v>6</v>
      </c>
      <c r="CK1275" s="1"/>
      <c r="CL1275" s="1">
        <v>0</v>
      </c>
      <c r="CM1275" s="1">
        <v>0</v>
      </c>
      <c r="CN1275" s="1">
        <v>0</v>
      </c>
    </row>
    <row r="1276" spans="1:92" ht="14.25" customHeight="1" x14ac:dyDescent="0.15">
      <c r="A1276" s="1" t="s">
        <v>10113</v>
      </c>
      <c r="B1276" s="1" t="s">
        <v>189</v>
      </c>
      <c r="C1276" s="1"/>
      <c r="D1276" s="1"/>
      <c r="E1276" s="1" t="s">
        <v>10114</v>
      </c>
      <c r="F1276" s="1" t="s">
        <v>98</v>
      </c>
      <c r="G1276" s="1" t="s">
        <v>141</v>
      </c>
      <c r="H1276" s="1">
        <v>0</v>
      </c>
      <c r="I1276" s="1" t="s">
        <v>235</v>
      </c>
      <c r="J1276" s="1"/>
      <c r="K1276" s="1"/>
      <c r="L1276" s="1" t="s">
        <v>236</v>
      </c>
      <c r="M1276" s="1" t="s">
        <v>3042</v>
      </c>
      <c r="N1276" s="1">
        <v>0</v>
      </c>
      <c r="O1276" s="1">
        <v>0</v>
      </c>
      <c r="P1276" s="1"/>
      <c r="Q1276" s="1"/>
      <c r="R1276" s="1" t="s">
        <v>10115</v>
      </c>
      <c r="S1276" s="1" t="s">
        <v>10116</v>
      </c>
      <c r="T1276" s="1" t="s">
        <v>9888</v>
      </c>
      <c r="U1276" s="1" t="s">
        <v>10117</v>
      </c>
      <c r="V1276" s="1">
        <v>1</v>
      </c>
      <c r="W1276" s="1">
        <v>1</v>
      </c>
      <c r="X1276" s="1">
        <v>0</v>
      </c>
      <c r="Y1276" s="1">
        <v>0</v>
      </c>
      <c r="Z1276" s="1">
        <v>0</v>
      </c>
      <c r="AA1276" s="1" t="s">
        <v>109</v>
      </c>
      <c r="AB1276" s="1" t="s">
        <v>109</v>
      </c>
      <c r="AC1276" s="1">
        <v>2</v>
      </c>
      <c r="AD1276" s="1" t="s">
        <v>109</v>
      </c>
      <c r="AE1276" s="1">
        <v>2</v>
      </c>
      <c r="AF1276" s="1" t="s">
        <v>109</v>
      </c>
      <c r="AG1276" s="1">
        <v>2</v>
      </c>
      <c r="AH1276" s="1" t="s">
        <v>109</v>
      </c>
      <c r="AI1276" s="1" t="s">
        <v>109</v>
      </c>
      <c r="AJ1276" s="1" t="s">
        <v>109</v>
      </c>
      <c r="AK1276" s="1">
        <v>2</v>
      </c>
      <c r="AL1276" s="1">
        <v>2</v>
      </c>
      <c r="AM1276" s="1" t="s">
        <v>109</v>
      </c>
      <c r="AN1276" s="1">
        <v>2</v>
      </c>
      <c r="AO1276" s="1" t="s">
        <v>109</v>
      </c>
      <c r="AP1276" s="1"/>
      <c r="AQ1276" s="1">
        <v>2</v>
      </c>
      <c r="AR1276" s="1"/>
      <c r="AS1276" s="1" t="s">
        <v>10118</v>
      </c>
      <c r="AT1276" s="1">
        <v>0</v>
      </c>
      <c r="AU1276" s="1">
        <v>0</v>
      </c>
      <c r="AV1276" s="1">
        <v>0</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5" t="str">
        <f>HYPERLINK("http://www.d20pfsrd.com/magic/all-spells/e/effortless-armor","Effortless Armor")</f>
        <v>Effortless Armor</v>
      </c>
      <c r="BT1276" s="1">
        <v>1323</v>
      </c>
      <c r="BU1276" s="1" t="s">
        <v>109</v>
      </c>
      <c r="BV1276" s="1"/>
      <c r="BW1276" s="1"/>
      <c r="BX1276" s="1"/>
      <c r="BY1276" s="1"/>
      <c r="BZ1276" s="1">
        <v>0</v>
      </c>
      <c r="CA1276" s="1" t="s">
        <v>109</v>
      </c>
      <c r="CB1276" s="1" t="s">
        <v>109</v>
      </c>
      <c r="CC1276" s="1">
        <v>2</v>
      </c>
      <c r="CD1276" s="1" t="s">
        <v>109</v>
      </c>
      <c r="CE1276" s="1" t="s">
        <v>109</v>
      </c>
      <c r="CF1276" s="1">
        <v>2</v>
      </c>
      <c r="CG1276" s="1" t="s">
        <v>109</v>
      </c>
      <c r="CH1276" s="1" t="s">
        <v>109</v>
      </c>
      <c r="CI1276" s="1" t="s">
        <v>109</v>
      </c>
      <c r="CJ1276" s="1">
        <v>2</v>
      </c>
      <c r="CK1276" s="1"/>
      <c r="CL1276" s="1">
        <v>0</v>
      </c>
      <c r="CM1276" s="1">
        <v>0</v>
      </c>
      <c r="CN1276" s="1">
        <v>0</v>
      </c>
    </row>
    <row r="1277" spans="1:92" ht="14.25" customHeight="1" x14ac:dyDescent="0.15">
      <c r="A1277" s="1" t="s">
        <v>10119</v>
      </c>
      <c r="B1277" s="1" t="s">
        <v>242</v>
      </c>
      <c r="C1277" s="1"/>
      <c r="D1277" s="1"/>
      <c r="E1277" s="1" t="s">
        <v>10120</v>
      </c>
      <c r="F1277" s="1" t="s">
        <v>98</v>
      </c>
      <c r="G1277" s="1" t="s">
        <v>141</v>
      </c>
      <c r="H1277" s="1">
        <v>0</v>
      </c>
      <c r="I1277" s="1" t="s">
        <v>161</v>
      </c>
      <c r="J1277" s="1"/>
      <c r="K1277" s="1"/>
      <c r="L1277" s="1" t="s">
        <v>9929</v>
      </c>
      <c r="M1277" s="1" t="s">
        <v>465</v>
      </c>
      <c r="N1277" s="1">
        <v>0</v>
      </c>
      <c r="O1277" s="1">
        <v>0</v>
      </c>
      <c r="P1277" s="1" t="s">
        <v>507</v>
      </c>
      <c r="Q1277" s="1" t="s">
        <v>167</v>
      </c>
      <c r="R1277" s="1" t="s">
        <v>10121</v>
      </c>
      <c r="S1277" s="1" t="s">
        <v>10122</v>
      </c>
      <c r="T1277" s="1" t="s">
        <v>9888</v>
      </c>
      <c r="U1277" s="1" t="s">
        <v>10123</v>
      </c>
      <c r="V1277" s="1">
        <v>1</v>
      </c>
      <c r="W1277" s="1">
        <v>1</v>
      </c>
      <c r="X1277" s="1">
        <v>0</v>
      </c>
      <c r="Y1277" s="1">
        <v>0</v>
      </c>
      <c r="Z1277" s="1">
        <v>0</v>
      </c>
      <c r="AA1277" s="1">
        <v>2</v>
      </c>
      <c r="AB1277" s="1">
        <v>2</v>
      </c>
      <c r="AC1277" s="1">
        <v>2</v>
      </c>
      <c r="AD1277" s="1">
        <v>2</v>
      </c>
      <c r="AE1277" s="1">
        <v>2</v>
      </c>
      <c r="AF1277" s="1" t="s">
        <v>109</v>
      </c>
      <c r="AG1277" s="1">
        <v>2</v>
      </c>
      <c r="AH1277" s="1">
        <v>3</v>
      </c>
      <c r="AI1277" s="1" t="s">
        <v>109</v>
      </c>
      <c r="AJ1277" s="1" t="s">
        <v>109</v>
      </c>
      <c r="AK1277" s="1" t="s">
        <v>109</v>
      </c>
      <c r="AL1277" s="1">
        <v>2</v>
      </c>
      <c r="AM1277" s="1" t="s">
        <v>109</v>
      </c>
      <c r="AN1277" s="1" t="s">
        <v>109</v>
      </c>
      <c r="AO1277" s="1" t="s">
        <v>109</v>
      </c>
      <c r="AP1277" s="1"/>
      <c r="AQ1277" s="1">
        <v>2</v>
      </c>
      <c r="AR1277" s="1"/>
      <c r="AS1277" s="1" t="s">
        <v>10124</v>
      </c>
      <c r="AT1277" s="1">
        <v>0</v>
      </c>
      <c r="AU1277" s="1">
        <v>0</v>
      </c>
      <c r="AV1277" s="1">
        <v>0</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5" t="str">
        <f>HYPERLINK("http://www.d20pfsrd.com/magic/all-spells/e/endure-elements#TOC-Endure-Elements-Communal","Endure Elements, Communal")</f>
        <v>Endure Elements, Communal</v>
      </c>
      <c r="BT1277" s="1">
        <v>1324</v>
      </c>
      <c r="BU1277" s="1" t="s">
        <v>109</v>
      </c>
      <c r="BV1277" s="1"/>
      <c r="BW1277" s="1"/>
      <c r="BX1277" s="1"/>
      <c r="BY1277" s="1"/>
      <c r="BZ1277" s="1">
        <v>0</v>
      </c>
      <c r="CA1277" s="1" t="s">
        <v>109</v>
      </c>
      <c r="CB1277" s="1" t="s">
        <v>109</v>
      </c>
      <c r="CC1277" s="1">
        <v>2</v>
      </c>
      <c r="CD1277" s="1" t="s">
        <v>109</v>
      </c>
      <c r="CE1277" s="1" t="s">
        <v>109</v>
      </c>
      <c r="CF1277" s="1" t="s">
        <v>109</v>
      </c>
      <c r="CG1277" s="1" t="s">
        <v>109</v>
      </c>
      <c r="CH1277" s="1" t="s">
        <v>109</v>
      </c>
      <c r="CI1277" s="1" t="s">
        <v>109</v>
      </c>
      <c r="CJ1277" s="1">
        <v>2</v>
      </c>
      <c r="CK1277" s="1"/>
      <c r="CL1277" s="1">
        <v>0</v>
      </c>
      <c r="CM1277" s="1">
        <v>0</v>
      </c>
      <c r="CN1277" s="1">
        <v>0</v>
      </c>
    </row>
    <row r="1278" spans="1:92" ht="14.25" customHeight="1" x14ac:dyDescent="0.15">
      <c r="A1278" s="1" t="s">
        <v>10125</v>
      </c>
      <c r="B1278" s="1" t="s">
        <v>189</v>
      </c>
      <c r="C1278" s="1"/>
      <c r="D1278" s="1" t="s">
        <v>10126</v>
      </c>
      <c r="E1278" s="1" t="s">
        <v>10127</v>
      </c>
      <c r="F1278" s="1" t="s">
        <v>395</v>
      </c>
      <c r="G1278" s="1" t="s">
        <v>10128</v>
      </c>
      <c r="H1278" s="1">
        <v>0</v>
      </c>
      <c r="I1278" s="1" t="s">
        <v>142</v>
      </c>
      <c r="J1278" s="1"/>
      <c r="K1278" s="1"/>
      <c r="L1278" s="1" t="s">
        <v>10129</v>
      </c>
      <c r="M1278" s="1" t="s">
        <v>7934</v>
      </c>
      <c r="N1278" s="1">
        <v>0</v>
      </c>
      <c r="O1278" s="1">
        <v>0</v>
      </c>
      <c r="P1278" s="1" t="s">
        <v>10057</v>
      </c>
      <c r="Q1278" s="1" t="s">
        <v>10130</v>
      </c>
      <c r="R1278" s="1" t="s">
        <v>10131</v>
      </c>
      <c r="S1278" s="1" t="s">
        <v>10132</v>
      </c>
      <c r="T1278" s="1" t="s">
        <v>9888</v>
      </c>
      <c r="U1278" s="1" t="s">
        <v>10133</v>
      </c>
      <c r="V1278" s="1">
        <v>1</v>
      </c>
      <c r="W1278" s="1">
        <v>1</v>
      </c>
      <c r="X1278" s="1">
        <v>1</v>
      </c>
      <c r="Y1278" s="1">
        <v>0</v>
      </c>
      <c r="Z1278" s="1">
        <v>0</v>
      </c>
      <c r="AA1278" s="1">
        <v>5</v>
      </c>
      <c r="AB1278" s="1">
        <v>5</v>
      </c>
      <c r="AC1278" s="1" t="s">
        <v>109</v>
      </c>
      <c r="AD1278" s="1" t="s">
        <v>109</v>
      </c>
      <c r="AE1278" s="1" t="s">
        <v>109</v>
      </c>
      <c r="AF1278" s="1" t="s">
        <v>109</v>
      </c>
      <c r="AG1278" s="1" t="s">
        <v>109</v>
      </c>
      <c r="AH1278" s="1" t="s">
        <v>109</v>
      </c>
      <c r="AI1278" s="1">
        <v>5</v>
      </c>
      <c r="AJ1278" s="1" t="s">
        <v>109</v>
      </c>
      <c r="AK1278" s="1" t="s">
        <v>109</v>
      </c>
      <c r="AL1278" s="1" t="s">
        <v>109</v>
      </c>
      <c r="AM1278" s="1" t="s">
        <v>109</v>
      </c>
      <c r="AN1278" s="1" t="s">
        <v>109</v>
      </c>
      <c r="AO1278" s="1" t="s">
        <v>109</v>
      </c>
      <c r="AP1278" s="1"/>
      <c r="AQ1278" s="1">
        <v>5</v>
      </c>
      <c r="AR1278" s="1"/>
      <c r="AS1278" s="1" t="s">
        <v>10134</v>
      </c>
      <c r="AT1278" s="1">
        <v>0</v>
      </c>
      <c r="AU1278" s="1">
        <v>0</v>
      </c>
      <c r="AV1278" s="1">
        <v>0</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0</v>
      </c>
      <c r="BR1278" s="1">
        <v>0</v>
      </c>
      <c r="BS1278" s="5" t="str">
        <f>HYPERLINK("http://www.d20pfsrd.com/magic/all-spells/e/energy-siege-shot","Energy Siege Shot")</f>
        <v>Energy Siege Shot</v>
      </c>
      <c r="BT1278" s="1">
        <v>1325</v>
      </c>
      <c r="BU1278" s="1" t="s">
        <v>109</v>
      </c>
      <c r="BV1278" s="1"/>
      <c r="BW1278" s="1"/>
      <c r="BX1278" s="1"/>
      <c r="BY1278" s="1"/>
      <c r="BZ1278" s="1">
        <v>0</v>
      </c>
      <c r="CA1278" s="1" t="s">
        <v>109</v>
      </c>
      <c r="CB1278" s="1" t="s">
        <v>109</v>
      </c>
      <c r="CC1278" s="1" t="s">
        <v>109</v>
      </c>
      <c r="CD1278" s="1" t="s">
        <v>109</v>
      </c>
      <c r="CE1278" s="1" t="s">
        <v>109</v>
      </c>
      <c r="CF1278" s="1">
        <v>5</v>
      </c>
      <c r="CG1278" s="1" t="s">
        <v>109</v>
      </c>
      <c r="CH1278" s="1" t="s">
        <v>109</v>
      </c>
      <c r="CI1278" s="1" t="s">
        <v>109</v>
      </c>
      <c r="CJ1278" s="1" t="s">
        <v>109</v>
      </c>
      <c r="CK1278" s="1"/>
      <c r="CL1278" s="1">
        <v>0</v>
      </c>
      <c r="CM1278" s="1">
        <v>0</v>
      </c>
      <c r="CN1278" s="1">
        <v>0</v>
      </c>
    </row>
    <row r="1279" spans="1:92" ht="14.25" customHeight="1" x14ac:dyDescent="0.15">
      <c r="A1279" s="1" t="s">
        <v>10135</v>
      </c>
      <c r="B1279" s="1" t="s">
        <v>189</v>
      </c>
      <c r="C1279" s="1"/>
      <c r="D1279" s="1" t="s">
        <v>10126</v>
      </c>
      <c r="E1279" s="1" t="s">
        <v>10136</v>
      </c>
      <c r="F1279" s="1" t="s">
        <v>395</v>
      </c>
      <c r="G1279" s="1" t="s">
        <v>10128</v>
      </c>
      <c r="H1279" s="1">
        <v>0</v>
      </c>
      <c r="I1279" s="1" t="s">
        <v>142</v>
      </c>
      <c r="J1279" s="1"/>
      <c r="K1279" s="1"/>
      <c r="L1279" s="1" t="s">
        <v>10137</v>
      </c>
      <c r="M1279" s="1" t="s">
        <v>7934</v>
      </c>
      <c r="N1279" s="1">
        <v>0</v>
      </c>
      <c r="O1279" s="1">
        <v>0</v>
      </c>
      <c r="P1279" s="1" t="s">
        <v>10057</v>
      </c>
      <c r="Q1279" s="1" t="s">
        <v>10130</v>
      </c>
      <c r="R1279" s="1" t="s">
        <v>10138</v>
      </c>
      <c r="S1279" s="1" t="s">
        <v>10139</v>
      </c>
      <c r="T1279" s="1" t="s">
        <v>9888</v>
      </c>
      <c r="U1279" s="1" t="s">
        <v>10140</v>
      </c>
      <c r="V1279" s="1">
        <v>1</v>
      </c>
      <c r="W1279" s="1">
        <v>1</v>
      </c>
      <c r="X1279" s="1">
        <v>1</v>
      </c>
      <c r="Y1279" s="1">
        <v>0</v>
      </c>
      <c r="Z1279" s="1">
        <v>0</v>
      </c>
      <c r="AA1279" s="1">
        <v>6</v>
      </c>
      <c r="AB1279" s="1">
        <v>6</v>
      </c>
      <c r="AC1279" s="1" t="s">
        <v>109</v>
      </c>
      <c r="AD1279" s="1" t="s">
        <v>109</v>
      </c>
      <c r="AE1279" s="1" t="s">
        <v>109</v>
      </c>
      <c r="AF1279" s="1" t="s">
        <v>109</v>
      </c>
      <c r="AG1279" s="1" t="s">
        <v>109</v>
      </c>
      <c r="AH1279" s="1" t="s">
        <v>109</v>
      </c>
      <c r="AI1279" s="1">
        <v>6</v>
      </c>
      <c r="AJ1279" s="1" t="s">
        <v>109</v>
      </c>
      <c r="AK1279" s="1" t="s">
        <v>109</v>
      </c>
      <c r="AL1279" s="1" t="s">
        <v>109</v>
      </c>
      <c r="AM1279" s="1" t="s">
        <v>109</v>
      </c>
      <c r="AN1279" s="1" t="s">
        <v>109</v>
      </c>
      <c r="AO1279" s="1" t="s">
        <v>109</v>
      </c>
      <c r="AP1279" s="1"/>
      <c r="AQ1279" s="1">
        <v>6</v>
      </c>
      <c r="AR1279" s="1"/>
      <c r="AS1279" s="1" t="s">
        <v>10141</v>
      </c>
      <c r="AT1279" s="1">
        <v>0</v>
      </c>
      <c r="AU1279" s="1">
        <v>0</v>
      </c>
      <c r="AV1279" s="1">
        <v>0</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5" t="str">
        <f>HYPERLINK("http://www.d20pfsrd.com/magic/all-spells/e/energy-siege-shot#TOC-Energy-Siege-Shot-Greater","Energy Siege Shot, Greater")</f>
        <v>Energy Siege Shot, Greater</v>
      </c>
      <c r="BT1279" s="1">
        <v>1326</v>
      </c>
      <c r="BU1279" s="1" t="s">
        <v>109</v>
      </c>
      <c r="BV1279" s="1"/>
      <c r="BW1279" s="1"/>
      <c r="BX1279" s="1"/>
      <c r="BY1279" s="1"/>
      <c r="BZ1279" s="1">
        <v>0</v>
      </c>
      <c r="CA1279" s="1" t="s">
        <v>109</v>
      </c>
      <c r="CB1279" s="1" t="s">
        <v>109</v>
      </c>
      <c r="CC1279" s="1" t="s">
        <v>109</v>
      </c>
      <c r="CD1279" s="1" t="s">
        <v>109</v>
      </c>
      <c r="CE1279" s="1" t="s">
        <v>109</v>
      </c>
      <c r="CF1279" s="1">
        <v>6</v>
      </c>
      <c r="CG1279" s="1" t="s">
        <v>109</v>
      </c>
      <c r="CH1279" s="1" t="s">
        <v>109</v>
      </c>
      <c r="CI1279" s="1" t="s">
        <v>109</v>
      </c>
      <c r="CJ1279" s="1" t="s">
        <v>109</v>
      </c>
      <c r="CK1279" s="1"/>
      <c r="CL1279" s="1">
        <v>0</v>
      </c>
      <c r="CM1279" s="1">
        <v>0</v>
      </c>
      <c r="CN1279" s="1">
        <v>0</v>
      </c>
    </row>
    <row r="1280" spans="1:92" ht="14.25" customHeight="1" x14ac:dyDescent="0.15">
      <c r="A1280" s="1" t="s">
        <v>10142</v>
      </c>
      <c r="B1280" s="1" t="s">
        <v>189</v>
      </c>
      <c r="C1280" s="1"/>
      <c r="D1280" s="1"/>
      <c r="E1280" s="1" t="s">
        <v>7382</v>
      </c>
      <c r="F1280" s="1" t="s">
        <v>355</v>
      </c>
      <c r="G1280" s="1" t="s">
        <v>10143</v>
      </c>
      <c r="H1280" s="1">
        <v>1</v>
      </c>
      <c r="I1280" s="1" t="s">
        <v>161</v>
      </c>
      <c r="J1280" s="1"/>
      <c r="K1280" s="1"/>
      <c r="L1280" s="1" t="s">
        <v>10144</v>
      </c>
      <c r="M1280" s="1" t="s">
        <v>144</v>
      </c>
      <c r="N1280" s="1">
        <v>0</v>
      </c>
      <c r="O1280" s="1">
        <v>0</v>
      </c>
      <c r="P1280" s="1" t="s">
        <v>103</v>
      </c>
      <c r="Q1280" s="1" t="s">
        <v>104</v>
      </c>
      <c r="R1280" s="1" t="s">
        <v>10145</v>
      </c>
      <c r="S1280" s="1" t="s">
        <v>10146</v>
      </c>
      <c r="T1280" s="1" t="s">
        <v>9888</v>
      </c>
      <c r="U1280" s="1" t="s">
        <v>10147</v>
      </c>
      <c r="V1280" s="1">
        <v>1</v>
      </c>
      <c r="W1280" s="1">
        <v>1</v>
      </c>
      <c r="X1280" s="1">
        <v>1</v>
      </c>
      <c r="Y1280" s="1">
        <v>0</v>
      </c>
      <c r="Z1280" s="1">
        <v>0</v>
      </c>
      <c r="AA1280" s="1">
        <v>1</v>
      </c>
      <c r="AB1280" s="1">
        <v>1</v>
      </c>
      <c r="AC1280" s="1" t="s">
        <v>109</v>
      </c>
      <c r="AD1280" s="1" t="s">
        <v>109</v>
      </c>
      <c r="AE1280" s="1" t="s">
        <v>109</v>
      </c>
      <c r="AF1280" s="1" t="s">
        <v>109</v>
      </c>
      <c r="AG1280" s="1" t="s">
        <v>109</v>
      </c>
      <c r="AH1280" s="1" t="s">
        <v>109</v>
      </c>
      <c r="AI1280" s="1" t="s">
        <v>109</v>
      </c>
      <c r="AJ1280" s="1" t="s">
        <v>109</v>
      </c>
      <c r="AK1280" s="1" t="s">
        <v>109</v>
      </c>
      <c r="AL1280" s="1" t="s">
        <v>109</v>
      </c>
      <c r="AM1280" s="1" t="s">
        <v>109</v>
      </c>
      <c r="AN1280" s="1" t="s">
        <v>109</v>
      </c>
      <c r="AO1280" s="1" t="s">
        <v>109</v>
      </c>
      <c r="AP1280" s="1"/>
      <c r="AQ1280" s="1">
        <v>1</v>
      </c>
      <c r="AR1280" s="1"/>
      <c r="AS1280" s="1" t="s">
        <v>10148</v>
      </c>
      <c r="AT1280" s="1">
        <v>0</v>
      </c>
      <c r="AU1280" s="1">
        <v>0</v>
      </c>
      <c r="AV1280" s="1">
        <v>0</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5" t="str">
        <f>HYPERLINK("http://www.d20pfsrd.com/magic/all-spells/f/fabricate-bullets","Fabricate Bullets")</f>
        <v>Fabricate Bullets</v>
      </c>
      <c r="BT1280" s="1">
        <v>1327</v>
      </c>
      <c r="BU1280" s="1">
        <v>2</v>
      </c>
      <c r="BV1280" s="1"/>
      <c r="BW1280" s="1"/>
      <c r="BX1280" s="1"/>
      <c r="BY1280" s="1"/>
      <c r="BZ1280" s="1">
        <v>0</v>
      </c>
      <c r="CA1280" s="1" t="s">
        <v>109</v>
      </c>
      <c r="CB1280" s="1" t="s">
        <v>109</v>
      </c>
      <c r="CC1280" s="1" t="s">
        <v>109</v>
      </c>
      <c r="CD1280" s="1" t="s">
        <v>109</v>
      </c>
      <c r="CE1280" s="1" t="s">
        <v>109</v>
      </c>
      <c r="CF1280" s="1" t="s">
        <v>109</v>
      </c>
      <c r="CG1280" s="1" t="s">
        <v>109</v>
      </c>
      <c r="CH1280" s="1" t="s">
        <v>109</v>
      </c>
      <c r="CI1280" s="1" t="s">
        <v>109</v>
      </c>
      <c r="CJ1280" s="1" t="s">
        <v>109</v>
      </c>
      <c r="CK1280" s="1"/>
      <c r="CL1280" s="1">
        <v>0</v>
      </c>
      <c r="CM1280" s="1">
        <v>0</v>
      </c>
      <c r="CN1280" s="1">
        <v>0</v>
      </c>
    </row>
    <row r="1281" spans="1:92" ht="14.25" customHeight="1" x14ac:dyDescent="0.15">
      <c r="A1281" s="1" t="s">
        <v>10149</v>
      </c>
      <c r="B1281" s="1" t="s">
        <v>95</v>
      </c>
      <c r="C1281" s="1" t="s">
        <v>96</v>
      </c>
      <c r="D1281" s="1" t="s">
        <v>59</v>
      </c>
      <c r="E1281" s="1" t="s">
        <v>981</v>
      </c>
      <c r="F1281" s="1" t="s">
        <v>98</v>
      </c>
      <c r="G1281" s="1" t="s">
        <v>10150</v>
      </c>
      <c r="H1281" s="1">
        <v>0</v>
      </c>
      <c r="I1281" s="1" t="s">
        <v>142</v>
      </c>
      <c r="J1281" s="1"/>
      <c r="K1281" s="1" t="s">
        <v>10151</v>
      </c>
      <c r="L1281" s="1"/>
      <c r="M1281" s="1" t="s">
        <v>574</v>
      </c>
      <c r="N1281" s="1">
        <v>1</v>
      </c>
      <c r="O1281" s="1">
        <v>0</v>
      </c>
      <c r="P1281" s="1" t="s">
        <v>103</v>
      </c>
      <c r="Q1281" s="1" t="s">
        <v>268</v>
      </c>
      <c r="R1281" s="1" t="s">
        <v>10152</v>
      </c>
      <c r="S1281" s="1" t="s">
        <v>10153</v>
      </c>
      <c r="T1281" s="1" t="s">
        <v>9888</v>
      </c>
      <c r="U1281" s="1" t="s">
        <v>10154</v>
      </c>
      <c r="V1281" s="1">
        <v>1</v>
      </c>
      <c r="W1281" s="1">
        <v>1</v>
      </c>
      <c r="X1281" s="1">
        <v>1</v>
      </c>
      <c r="Y1281" s="1">
        <v>0</v>
      </c>
      <c r="Z1281" s="1">
        <v>0</v>
      </c>
      <c r="AA1281" s="1">
        <v>2</v>
      </c>
      <c r="AB1281" s="1">
        <v>2</v>
      </c>
      <c r="AC1281" s="1" t="s">
        <v>109</v>
      </c>
      <c r="AD1281" s="1" t="s">
        <v>109</v>
      </c>
      <c r="AE1281" s="1" t="s">
        <v>109</v>
      </c>
      <c r="AF1281" s="1" t="s">
        <v>109</v>
      </c>
      <c r="AG1281" s="1" t="s">
        <v>109</v>
      </c>
      <c r="AH1281" s="1" t="s">
        <v>109</v>
      </c>
      <c r="AI1281" s="1" t="s">
        <v>109</v>
      </c>
      <c r="AJ1281" s="1" t="s">
        <v>109</v>
      </c>
      <c r="AK1281" s="1" t="s">
        <v>109</v>
      </c>
      <c r="AL1281" s="1" t="s">
        <v>109</v>
      </c>
      <c r="AM1281" s="1" t="s">
        <v>109</v>
      </c>
      <c r="AN1281" s="1" t="s">
        <v>109</v>
      </c>
      <c r="AO1281" s="1" t="s">
        <v>109</v>
      </c>
      <c r="AP1281" s="1"/>
      <c r="AQ1281" s="1">
        <v>2</v>
      </c>
      <c r="AR1281" s="1"/>
      <c r="AS1281" s="1" t="s">
        <v>10155</v>
      </c>
      <c r="AT1281" s="1">
        <v>0</v>
      </c>
      <c r="AU1281" s="1">
        <v>0</v>
      </c>
      <c r="AV1281" s="1">
        <v>0</v>
      </c>
      <c r="AW1281" s="1">
        <v>0</v>
      </c>
      <c r="AX1281" s="1">
        <v>0</v>
      </c>
      <c r="AY1281" s="1">
        <v>0</v>
      </c>
      <c r="AZ1281" s="1">
        <v>0</v>
      </c>
      <c r="BA1281" s="1">
        <v>0</v>
      </c>
      <c r="BB1281" s="1">
        <v>0</v>
      </c>
      <c r="BC1281" s="1">
        <v>0</v>
      </c>
      <c r="BD1281" s="1">
        <v>0</v>
      </c>
      <c r="BE1281" s="1">
        <v>0</v>
      </c>
      <c r="BF1281" s="1">
        <v>0</v>
      </c>
      <c r="BG1281" s="1">
        <v>1</v>
      </c>
      <c r="BH1281" s="1">
        <v>0</v>
      </c>
      <c r="BI1281" s="1">
        <v>0</v>
      </c>
      <c r="BJ1281" s="1">
        <v>0</v>
      </c>
      <c r="BK1281" s="1">
        <v>0</v>
      </c>
      <c r="BL1281" s="1">
        <v>0</v>
      </c>
      <c r="BM1281" s="1">
        <v>0</v>
      </c>
      <c r="BN1281" s="1">
        <v>0</v>
      </c>
      <c r="BO1281" s="1">
        <v>0</v>
      </c>
      <c r="BP1281" s="1">
        <v>0</v>
      </c>
      <c r="BQ1281" s="1">
        <v>0</v>
      </c>
      <c r="BR1281" s="1">
        <v>0</v>
      </c>
      <c r="BS1281" s="5" t="str">
        <f>HYPERLINK("http://www.d20pfsrd.com/magic/all-spells/f/fiery-shuriken","Fiery Shuriken")</f>
        <v>Fiery Shuriken</v>
      </c>
      <c r="BT1281" s="1">
        <v>1328</v>
      </c>
      <c r="BU1281" s="1" t="s">
        <v>109</v>
      </c>
      <c r="BV1281" s="1"/>
      <c r="BW1281" s="1"/>
      <c r="BX1281" s="1"/>
      <c r="BY1281" s="1"/>
      <c r="BZ1281" s="1">
        <v>0</v>
      </c>
      <c r="CA1281" s="1" t="s">
        <v>109</v>
      </c>
      <c r="CB1281" s="1" t="s">
        <v>109</v>
      </c>
      <c r="CC1281" s="1" t="s">
        <v>109</v>
      </c>
      <c r="CD1281" s="1" t="s">
        <v>109</v>
      </c>
      <c r="CE1281" s="1" t="s">
        <v>109</v>
      </c>
      <c r="CF1281" s="1" t="s">
        <v>109</v>
      </c>
      <c r="CG1281" s="1" t="s">
        <v>109</v>
      </c>
      <c r="CH1281" s="1" t="s">
        <v>109</v>
      </c>
      <c r="CI1281" s="1" t="s">
        <v>109</v>
      </c>
      <c r="CJ1281" s="1" t="s">
        <v>109</v>
      </c>
      <c r="CK1281" s="1"/>
      <c r="CL1281" s="1">
        <v>0</v>
      </c>
      <c r="CM1281" s="1">
        <v>0</v>
      </c>
      <c r="CN1281" s="1">
        <v>0</v>
      </c>
    </row>
    <row r="1282" spans="1:92" ht="14.25" customHeight="1" x14ac:dyDescent="0.15">
      <c r="A1282" s="1" t="s">
        <v>10156</v>
      </c>
      <c r="B1282" s="1" t="s">
        <v>254</v>
      </c>
      <c r="C1282" s="1"/>
      <c r="D1282" s="1"/>
      <c r="E1282" s="1" t="s">
        <v>10157</v>
      </c>
      <c r="F1282" s="1" t="s">
        <v>98</v>
      </c>
      <c r="G1282" s="1" t="s">
        <v>160</v>
      </c>
      <c r="H1282" s="1">
        <v>0</v>
      </c>
      <c r="I1282" s="1" t="s">
        <v>235</v>
      </c>
      <c r="J1282" s="1"/>
      <c r="K1282" s="1"/>
      <c r="L1282" s="1" t="s">
        <v>236</v>
      </c>
      <c r="M1282" s="1" t="s">
        <v>144</v>
      </c>
      <c r="N1282" s="1">
        <v>0</v>
      </c>
      <c r="O1282" s="1">
        <v>0</v>
      </c>
      <c r="P1282" s="1" t="s">
        <v>103</v>
      </c>
      <c r="Q1282" s="1" t="s">
        <v>104</v>
      </c>
      <c r="R1282" s="1" t="s">
        <v>10158</v>
      </c>
      <c r="S1282" s="1" t="s">
        <v>10159</v>
      </c>
      <c r="T1282" s="1" t="s">
        <v>9888</v>
      </c>
      <c r="U1282" s="1" t="s">
        <v>10160</v>
      </c>
      <c r="V1282" s="1">
        <v>1</v>
      </c>
      <c r="W1282" s="1">
        <v>1</v>
      </c>
      <c r="X1282" s="1">
        <v>0</v>
      </c>
      <c r="Y1282" s="1">
        <v>0</v>
      </c>
      <c r="Z1282" s="1">
        <v>1</v>
      </c>
      <c r="AA1282" s="1" t="s">
        <v>109</v>
      </c>
      <c r="AB1282" s="1" t="s">
        <v>109</v>
      </c>
      <c r="AC1282" s="1" t="s">
        <v>109</v>
      </c>
      <c r="AD1282" s="1" t="s">
        <v>109</v>
      </c>
      <c r="AE1282" s="1">
        <v>4</v>
      </c>
      <c r="AF1282" s="1" t="s">
        <v>109</v>
      </c>
      <c r="AG1282" s="1" t="s">
        <v>109</v>
      </c>
      <c r="AH1282" s="1" t="s">
        <v>109</v>
      </c>
      <c r="AI1282" s="1" t="s">
        <v>109</v>
      </c>
      <c r="AJ1282" s="1" t="s">
        <v>109</v>
      </c>
      <c r="AK1282" s="1">
        <v>4</v>
      </c>
      <c r="AL1282" s="1" t="s">
        <v>109</v>
      </c>
      <c r="AM1282" s="1" t="s">
        <v>109</v>
      </c>
      <c r="AN1282" s="1" t="s">
        <v>109</v>
      </c>
      <c r="AO1282" s="1" t="s">
        <v>109</v>
      </c>
      <c r="AP1282" s="1"/>
      <c r="AQ1282" s="1">
        <v>4</v>
      </c>
      <c r="AR1282" s="1"/>
      <c r="AS1282" s="1" t="s">
        <v>10161</v>
      </c>
      <c r="AT1282" s="1">
        <v>0</v>
      </c>
      <c r="AU1282" s="1">
        <v>0</v>
      </c>
      <c r="AV1282" s="1">
        <v>0</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5" t="str">
        <f>HYPERLINK("http://www.d20pfsrd.com/magic/all-spells/f/find-quarry","Find Quarry")</f>
        <v>Find Quarry</v>
      </c>
      <c r="BT1282" s="1">
        <v>1329</v>
      </c>
      <c r="BU1282" s="1" t="s">
        <v>109</v>
      </c>
      <c r="BV1282" s="1"/>
      <c r="BW1282" s="1"/>
      <c r="BX1282" s="1"/>
      <c r="BY1282" s="1"/>
      <c r="BZ1282" s="1">
        <v>0</v>
      </c>
      <c r="CA1282" s="1" t="s">
        <v>109</v>
      </c>
      <c r="CB1282" s="1" t="s">
        <v>109</v>
      </c>
      <c r="CC1282" s="1" t="s">
        <v>109</v>
      </c>
      <c r="CD1282" s="1" t="s">
        <v>109</v>
      </c>
      <c r="CE1282" s="1" t="s">
        <v>109</v>
      </c>
      <c r="CF1282" s="1" t="s">
        <v>109</v>
      </c>
      <c r="CG1282" s="1" t="s">
        <v>109</v>
      </c>
      <c r="CH1282" s="1" t="s">
        <v>109</v>
      </c>
      <c r="CI1282" s="1" t="s">
        <v>109</v>
      </c>
      <c r="CJ1282" s="1">
        <v>4</v>
      </c>
      <c r="CK1282" s="1"/>
      <c r="CL1282" s="1">
        <v>0</v>
      </c>
      <c r="CM1282" s="1">
        <v>0</v>
      </c>
      <c r="CN1282" s="1">
        <v>0</v>
      </c>
    </row>
    <row r="1283" spans="1:92" ht="14.25" customHeight="1" x14ac:dyDescent="0.15">
      <c r="A1283" s="1" t="s">
        <v>10162</v>
      </c>
      <c r="B1283" s="1" t="s">
        <v>189</v>
      </c>
      <c r="C1283" s="1"/>
      <c r="D1283" s="1"/>
      <c r="E1283" s="1" t="s">
        <v>10163</v>
      </c>
      <c r="F1283" s="1" t="s">
        <v>98</v>
      </c>
      <c r="G1283" s="1" t="s">
        <v>10164</v>
      </c>
      <c r="H1283" s="1">
        <v>0</v>
      </c>
      <c r="I1283" s="1" t="s">
        <v>142</v>
      </c>
      <c r="J1283" s="1"/>
      <c r="K1283" s="1"/>
      <c r="L1283" s="1" t="s">
        <v>10165</v>
      </c>
      <c r="M1283" s="1" t="s">
        <v>144</v>
      </c>
      <c r="N1283" s="1">
        <v>0</v>
      </c>
      <c r="O1283" s="1">
        <v>0</v>
      </c>
      <c r="P1283" s="1" t="s">
        <v>10166</v>
      </c>
      <c r="Q1283" s="1" t="s">
        <v>4992</v>
      </c>
      <c r="R1283" s="1" t="s">
        <v>10167</v>
      </c>
      <c r="S1283" s="1" t="s">
        <v>10168</v>
      </c>
      <c r="T1283" s="1" t="s">
        <v>9888</v>
      </c>
      <c r="U1283" s="1" t="s">
        <v>10169</v>
      </c>
      <c r="V1283" s="1">
        <v>1</v>
      </c>
      <c r="W1283" s="1">
        <v>1</v>
      </c>
      <c r="X1283" s="1">
        <v>1</v>
      </c>
      <c r="Y1283" s="1">
        <v>0</v>
      </c>
      <c r="Z1283" s="1">
        <v>0</v>
      </c>
      <c r="AA1283" s="1">
        <v>3</v>
      </c>
      <c r="AB1283" s="1">
        <v>3</v>
      </c>
      <c r="AC1283" s="1" t="s">
        <v>109</v>
      </c>
      <c r="AD1283" s="1" t="s">
        <v>109</v>
      </c>
      <c r="AE1283" s="1" t="s">
        <v>109</v>
      </c>
      <c r="AF1283" s="1" t="s">
        <v>109</v>
      </c>
      <c r="AG1283" s="1" t="s">
        <v>109</v>
      </c>
      <c r="AH1283" s="1" t="s">
        <v>109</v>
      </c>
      <c r="AI1283" s="1" t="s">
        <v>109</v>
      </c>
      <c r="AJ1283" s="1">
        <v>3</v>
      </c>
      <c r="AK1283" s="1" t="s">
        <v>109</v>
      </c>
      <c r="AL1283" s="1" t="s">
        <v>109</v>
      </c>
      <c r="AM1283" s="1" t="s">
        <v>109</v>
      </c>
      <c r="AN1283" s="1" t="s">
        <v>109</v>
      </c>
      <c r="AO1283" s="1" t="s">
        <v>109</v>
      </c>
      <c r="AP1283" s="1"/>
      <c r="AQ1283" s="1">
        <v>3</v>
      </c>
      <c r="AR1283" s="1"/>
      <c r="AS1283" s="1" t="s">
        <v>10170</v>
      </c>
      <c r="AT1283" s="1">
        <v>0</v>
      </c>
      <c r="AU1283" s="1">
        <v>0</v>
      </c>
      <c r="AV1283" s="1">
        <v>0</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5" t="str">
        <f>HYPERLINK("http://www.d20pfsrd.com/magic/all-spells/f/flash-fire","Flash Fire")</f>
        <v>Flash Fire</v>
      </c>
      <c r="BT1283" s="1">
        <v>1330</v>
      </c>
      <c r="BU1283" s="1" t="s">
        <v>109</v>
      </c>
      <c r="BV1283" s="1"/>
      <c r="BW1283" s="1"/>
      <c r="BX1283" s="1"/>
      <c r="BY1283" s="1"/>
      <c r="BZ1283" s="1">
        <v>0</v>
      </c>
      <c r="CA1283" s="1" t="s">
        <v>109</v>
      </c>
      <c r="CB1283" s="1" t="s">
        <v>109</v>
      </c>
      <c r="CC1283" s="1" t="s">
        <v>109</v>
      </c>
      <c r="CD1283" s="1" t="s">
        <v>109</v>
      </c>
      <c r="CE1283" s="1" t="s">
        <v>109</v>
      </c>
      <c r="CF1283" s="1" t="s">
        <v>109</v>
      </c>
      <c r="CG1283" s="1" t="s">
        <v>109</v>
      </c>
      <c r="CH1283" s="1" t="s">
        <v>109</v>
      </c>
      <c r="CI1283" s="1" t="s">
        <v>109</v>
      </c>
      <c r="CJ1283" s="1" t="s">
        <v>109</v>
      </c>
      <c r="CK1283" s="1"/>
      <c r="CL1283" s="1">
        <v>0</v>
      </c>
      <c r="CM1283" s="1">
        <v>0</v>
      </c>
      <c r="CN1283" s="1">
        <v>0</v>
      </c>
    </row>
    <row r="1284" spans="1:92" ht="14.25" customHeight="1" x14ac:dyDescent="0.15">
      <c r="A1284" s="1" t="s">
        <v>10171</v>
      </c>
      <c r="B1284" s="1" t="s">
        <v>242</v>
      </c>
      <c r="C1284" s="1"/>
      <c r="D1284" s="1"/>
      <c r="E1284" s="1" t="s">
        <v>4840</v>
      </c>
      <c r="F1284" s="1" t="s">
        <v>355</v>
      </c>
      <c r="G1284" s="1" t="s">
        <v>10172</v>
      </c>
      <c r="H1284" s="1">
        <v>0</v>
      </c>
      <c r="I1284" s="1" t="s">
        <v>142</v>
      </c>
      <c r="J1284" s="1"/>
      <c r="K1284" s="1"/>
      <c r="L1284" s="1" t="s">
        <v>10173</v>
      </c>
      <c r="M1284" s="1" t="s">
        <v>3042</v>
      </c>
      <c r="N1284" s="1">
        <v>0</v>
      </c>
      <c r="O1284" s="1">
        <v>0</v>
      </c>
      <c r="P1284" s="1" t="s">
        <v>103</v>
      </c>
      <c r="Q1284" s="1" t="s">
        <v>104</v>
      </c>
      <c r="R1284" s="1" t="s">
        <v>10174</v>
      </c>
      <c r="S1284" s="1" t="s">
        <v>10175</v>
      </c>
      <c r="T1284" s="1" t="s">
        <v>9888</v>
      </c>
      <c r="U1284" s="1" t="s">
        <v>10176</v>
      </c>
      <c r="V1284" s="1">
        <v>1</v>
      </c>
      <c r="W1284" s="1">
        <v>1</v>
      </c>
      <c r="X1284" s="1">
        <v>1</v>
      </c>
      <c r="Y1284" s="1">
        <v>0</v>
      </c>
      <c r="Z1284" s="1">
        <v>0</v>
      </c>
      <c r="AA1284" s="1" t="s">
        <v>109</v>
      </c>
      <c r="AB1284" s="1" t="s">
        <v>109</v>
      </c>
      <c r="AC1284" s="1" t="s">
        <v>109</v>
      </c>
      <c r="AD1284" s="1">
        <v>2</v>
      </c>
      <c r="AE1284" s="1">
        <v>2</v>
      </c>
      <c r="AF1284" s="1" t="s">
        <v>109</v>
      </c>
      <c r="AG1284" s="1" t="s">
        <v>109</v>
      </c>
      <c r="AH1284" s="1" t="s">
        <v>109</v>
      </c>
      <c r="AI1284" s="1" t="s">
        <v>109</v>
      </c>
      <c r="AJ1284" s="1" t="s">
        <v>109</v>
      </c>
      <c r="AK1284" s="1" t="s">
        <v>109</v>
      </c>
      <c r="AL1284" s="1" t="s">
        <v>109</v>
      </c>
      <c r="AM1284" s="1" t="s">
        <v>109</v>
      </c>
      <c r="AN1284" s="1" t="s">
        <v>109</v>
      </c>
      <c r="AO1284" s="1" t="s">
        <v>109</v>
      </c>
      <c r="AP1284" s="1"/>
      <c r="AQ1284" s="1">
        <v>2</v>
      </c>
      <c r="AR1284" s="1"/>
      <c r="AS1284" s="1" t="s">
        <v>10177</v>
      </c>
      <c r="AT1284" s="1">
        <v>0</v>
      </c>
      <c r="AU1284" s="1">
        <v>0</v>
      </c>
      <c r="AV1284" s="1">
        <v>0</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5" t="str">
        <f>HYPERLINK("http://www.d20pfsrd.com/magic/all-spells/f/forest-friend","Forest Friend")</f>
        <v>Forest Friend</v>
      </c>
      <c r="BT1284" s="1">
        <v>1331</v>
      </c>
      <c r="BU1284" s="1" t="s">
        <v>109</v>
      </c>
      <c r="BV1284" s="1"/>
      <c r="BW1284" s="1"/>
      <c r="BX1284" s="1"/>
      <c r="BY1284" s="1"/>
      <c r="BZ1284" s="1">
        <v>0</v>
      </c>
      <c r="CA1284" s="1" t="s">
        <v>109</v>
      </c>
      <c r="CB1284" s="1" t="s">
        <v>109</v>
      </c>
      <c r="CC1284" s="1" t="s">
        <v>109</v>
      </c>
      <c r="CD1284" s="1" t="s">
        <v>109</v>
      </c>
      <c r="CE1284" s="1" t="s">
        <v>109</v>
      </c>
      <c r="CF1284" s="1" t="s">
        <v>109</v>
      </c>
      <c r="CG1284" s="1" t="s">
        <v>109</v>
      </c>
      <c r="CH1284" s="1" t="s">
        <v>109</v>
      </c>
      <c r="CI1284" s="1" t="s">
        <v>109</v>
      </c>
      <c r="CJ1284" s="1">
        <v>2</v>
      </c>
      <c r="CK1284" s="1"/>
      <c r="CL1284" s="1">
        <v>0</v>
      </c>
      <c r="CM1284" s="1">
        <v>0</v>
      </c>
      <c r="CN1284" s="1">
        <v>0</v>
      </c>
    </row>
    <row r="1285" spans="1:92" ht="14.25" customHeight="1" x14ac:dyDescent="0.15">
      <c r="A1285" s="1" t="s">
        <v>10178</v>
      </c>
      <c r="B1285" s="1" t="s">
        <v>189</v>
      </c>
      <c r="C1285" s="1" t="s">
        <v>231</v>
      </c>
      <c r="D1285" s="1"/>
      <c r="E1285" s="1" t="s">
        <v>10179</v>
      </c>
      <c r="F1285" s="1" t="s">
        <v>98</v>
      </c>
      <c r="G1285" s="1" t="s">
        <v>10180</v>
      </c>
      <c r="H1285" s="1">
        <v>0</v>
      </c>
      <c r="I1285" s="1" t="s">
        <v>235</v>
      </c>
      <c r="J1285" s="1"/>
      <c r="K1285" s="1"/>
      <c r="L1285" s="1" t="s">
        <v>236</v>
      </c>
      <c r="M1285" s="1" t="s">
        <v>3042</v>
      </c>
      <c r="N1285" s="1">
        <v>0</v>
      </c>
      <c r="O1285" s="1">
        <v>0</v>
      </c>
      <c r="P1285" s="1"/>
      <c r="Q1285" s="1"/>
      <c r="R1285" s="1" t="s">
        <v>10181</v>
      </c>
      <c r="S1285" s="1" t="s">
        <v>10182</v>
      </c>
      <c r="T1285" s="1" t="s">
        <v>9888</v>
      </c>
      <c r="U1285" s="1" t="s">
        <v>10183</v>
      </c>
      <c r="V1285" s="1">
        <v>1</v>
      </c>
      <c r="W1285" s="1">
        <v>1</v>
      </c>
      <c r="X1285" s="1">
        <v>1</v>
      </c>
      <c r="Y1285" s="1">
        <v>0</v>
      </c>
      <c r="Z1285" s="1">
        <v>0</v>
      </c>
      <c r="AA1285" s="1">
        <v>8</v>
      </c>
      <c r="AB1285" s="1">
        <v>8</v>
      </c>
      <c r="AC1285" s="1">
        <v>8</v>
      </c>
      <c r="AD1285" s="1">
        <v>8</v>
      </c>
      <c r="AE1285" s="1" t="s">
        <v>109</v>
      </c>
      <c r="AF1285" s="1" t="s">
        <v>109</v>
      </c>
      <c r="AG1285" s="1" t="s">
        <v>109</v>
      </c>
      <c r="AH1285" s="1" t="s">
        <v>109</v>
      </c>
      <c r="AI1285" s="1" t="s">
        <v>109</v>
      </c>
      <c r="AJ1285" s="1">
        <v>8</v>
      </c>
      <c r="AK1285" s="1" t="s">
        <v>109</v>
      </c>
      <c r="AL1285" s="1">
        <v>8</v>
      </c>
      <c r="AM1285" s="1" t="s">
        <v>109</v>
      </c>
      <c r="AN1285" s="1" t="s">
        <v>109</v>
      </c>
      <c r="AO1285" s="1" t="s">
        <v>109</v>
      </c>
      <c r="AP1285" s="1"/>
      <c r="AQ1285" s="1">
        <v>8</v>
      </c>
      <c r="AR1285" s="1"/>
      <c r="AS1285" s="1" t="s">
        <v>10184</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5" t="str">
        <f>HYPERLINK("http://www.d20pfsrd.com/magic/all-spells/f/frightful-aspect","Frightful Aspect")</f>
        <v>Frightful Aspect</v>
      </c>
      <c r="BT1285" s="1">
        <v>1332</v>
      </c>
      <c r="BU1285" s="1" t="s">
        <v>109</v>
      </c>
      <c r="BV1285" s="1"/>
      <c r="BW1285" s="1"/>
      <c r="BX1285" s="1"/>
      <c r="BY1285" s="1"/>
      <c r="BZ1285" s="1">
        <v>0</v>
      </c>
      <c r="CA1285" s="1" t="s">
        <v>109</v>
      </c>
      <c r="CB1285" s="1" t="s">
        <v>109</v>
      </c>
      <c r="CC1285" s="1">
        <v>8</v>
      </c>
      <c r="CD1285" s="1" t="s">
        <v>109</v>
      </c>
      <c r="CE1285" s="1" t="s">
        <v>109</v>
      </c>
      <c r="CF1285" s="1" t="s">
        <v>109</v>
      </c>
      <c r="CG1285" s="1" t="s">
        <v>109</v>
      </c>
      <c r="CH1285" s="1" t="s">
        <v>109</v>
      </c>
      <c r="CI1285" s="1" t="s">
        <v>109</v>
      </c>
      <c r="CJ1285" s="1" t="s">
        <v>109</v>
      </c>
      <c r="CK1285" s="1"/>
      <c r="CL1285" s="1">
        <v>0</v>
      </c>
      <c r="CM1285" s="1">
        <v>0</v>
      </c>
      <c r="CN1285" s="1">
        <v>0</v>
      </c>
    </row>
    <row r="1286" spans="1:92" ht="14.25" customHeight="1" x14ac:dyDescent="0.15">
      <c r="A1286" s="1" t="s">
        <v>10185</v>
      </c>
      <c r="B1286" s="1" t="s">
        <v>584</v>
      </c>
      <c r="C1286" s="1"/>
      <c r="D1286" s="1" t="s">
        <v>49</v>
      </c>
      <c r="E1286" s="1" t="s">
        <v>10186</v>
      </c>
      <c r="F1286" s="1" t="s">
        <v>98</v>
      </c>
      <c r="G1286" s="1" t="s">
        <v>141</v>
      </c>
      <c r="H1286" s="1">
        <v>0</v>
      </c>
      <c r="I1286" s="1" t="s">
        <v>142</v>
      </c>
      <c r="J1286" s="1" t="s">
        <v>10187</v>
      </c>
      <c r="K1286" s="1"/>
      <c r="L1286" s="1"/>
      <c r="M1286" s="1" t="s">
        <v>10188</v>
      </c>
      <c r="N1286" s="1">
        <v>0</v>
      </c>
      <c r="O1286" s="1">
        <v>0</v>
      </c>
      <c r="P1286" s="1" t="s">
        <v>1410</v>
      </c>
      <c r="Q1286" s="1" t="s">
        <v>268</v>
      </c>
      <c r="R1286" s="1" t="s">
        <v>10189</v>
      </c>
      <c r="S1286" s="1" t="s">
        <v>10190</v>
      </c>
      <c r="T1286" s="1" t="s">
        <v>9888</v>
      </c>
      <c r="U1286" s="1" t="s">
        <v>10191</v>
      </c>
      <c r="V1286" s="1">
        <v>1</v>
      </c>
      <c r="W1286" s="1">
        <v>1</v>
      </c>
      <c r="X1286" s="1">
        <v>0</v>
      </c>
      <c r="Y1286" s="1">
        <v>0</v>
      </c>
      <c r="Z1286" s="1">
        <v>0</v>
      </c>
      <c r="AA1286" s="1">
        <v>2</v>
      </c>
      <c r="AB1286" s="1">
        <v>2</v>
      </c>
      <c r="AC1286" s="1" t="s">
        <v>109</v>
      </c>
      <c r="AD1286" s="1">
        <v>2</v>
      </c>
      <c r="AE1286" s="1" t="s">
        <v>109</v>
      </c>
      <c r="AF1286" s="1" t="s">
        <v>109</v>
      </c>
      <c r="AG1286" s="1" t="s">
        <v>109</v>
      </c>
      <c r="AH1286" s="1" t="s">
        <v>109</v>
      </c>
      <c r="AI1286" s="1" t="s">
        <v>109</v>
      </c>
      <c r="AJ1286" s="1">
        <v>2</v>
      </c>
      <c r="AK1286" s="1" t="s">
        <v>109</v>
      </c>
      <c r="AL1286" s="1" t="s">
        <v>109</v>
      </c>
      <c r="AM1286" s="1" t="s">
        <v>109</v>
      </c>
      <c r="AN1286" s="1" t="s">
        <v>109</v>
      </c>
      <c r="AO1286" s="1" t="s">
        <v>109</v>
      </c>
      <c r="AP1286" s="1"/>
      <c r="AQ1286" s="1">
        <v>2</v>
      </c>
      <c r="AR1286" s="1"/>
      <c r="AS1286" s="1" t="s">
        <v>10192</v>
      </c>
      <c r="AT1286" s="1">
        <v>0</v>
      </c>
      <c r="AU1286" s="1">
        <v>0</v>
      </c>
      <c r="AV1286" s="1">
        <v>0</v>
      </c>
      <c r="AW1286" s="1">
        <v>1</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5" t="str">
        <f>HYPERLINK("http://www.d20pfsrd.com/magic/all-spells/f/frost-fall","Frost Fall")</f>
        <v>Frost Fall</v>
      </c>
      <c r="BT1286" s="1">
        <v>1333</v>
      </c>
      <c r="BU1286" s="1" t="s">
        <v>109</v>
      </c>
      <c r="BV1286" s="1"/>
      <c r="BW1286" s="1"/>
      <c r="BX1286" s="1"/>
      <c r="BY1286" s="1"/>
      <c r="BZ1286" s="1">
        <v>0</v>
      </c>
      <c r="CA1286" s="1" t="s">
        <v>109</v>
      </c>
      <c r="CB1286" s="1" t="s">
        <v>109</v>
      </c>
      <c r="CC1286" s="1" t="s">
        <v>109</v>
      </c>
      <c r="CD1286" s="1" t="s">
        <v>109</v>
      </c>
      <c r="CE1286" s="1" t="s">
        <v>109</v>
      </c>
      <c r="CF1286" s="1">
        <v>2</v>
      </c>
      <c r="CG1286" s="1" t="s">
        <v>109</v>
      </c>
      <c r="CH1286" s="1" t="s">
        <v>109</v>
      </c>
      <c r="CI1286" s="1" t="s">
        <v>109</v>
      </c>
      <c r="CJ1286" s="1">
        <v>2</v>
      </c>
      <c r="CK1286" s="1"/>
      <c r="CL1286" s="1">
        <v>0</v>
      </c>
      <c r="CM1286" s="1">
        <v>0</v>
      </c>
      <c r="CN1286" s="1">
        <v>0</v>
      </c>
    </row>
    <row r="1287" spans="1:92" ht="14.25" customHeight="1" x14ac:dyDescent="0.15">
      <c r="A1287" s="1" t="s">
        <v>10193</v>
      </c>
      <c r="B1287" s="1" t="s">
        <v>674</v>
      </c>
      <c r="C1287" s="1" t="s">
        <v>675</v>
      </c>
      <c r="D1287" s="1"/>
      <c r="E1287" s="1" t="s">
        <v>10194</v>
      </c>
      <c r="F1287" s="1" t="s">
        <v>98</v>
      </c>
      <c r="G1287" s="1" t="s">
        <v>2345</v>
      </c>
      <c r="H1287" s="1">
        <v>0</v>
      </c>
      <c r="I1287" s="1" t="s">
        <v>10195</v>
      </c>
      <c r="J1287" s="1"/>
      <c r="K1287" s="1"/>
      <c r="L1287" s="1" t="s">
        <v>10196</v>
      </c>
      <c r="M1287" s="1" t="s">
        <v>574</v>
      </c>
      <c r="N1287" s="1">
        <v>1</v>
      </c>
      <c r="O1287" s="1">
        <v>0</v>
      </c>
      <c r="P1287" s="1"/>
      <c r="Q1287" s="1"/>
      <c r="R1287" s="1" t="s">
        <v>10197</v>
      </c>
      <c r="S1287" s="1" t="s">
        <v>10198</v>
      </c>
      <c r="T1287" s="1" t="s">
        <v>9888</v>
      </c>
      <c r="U1287" s="1" t="s">
        <v>10199</v>
      </c>
      <c r="V1287" s="1">
        <v>0</v>
      </c>
      <c r="W1287" s="1">
        <v>1</v>
      </c>
      <c r="X1287" s="1">
        <v>0</v>
      </c>
      <c r="Y1287" s="1">
        <v>0</v>
      </c>
      <c r="Z1287" s="1">
        <v>0</v>
      </c>
      <c r="AA1287" s="1">
        <v>0</v>
      </c>
      <c r="AB1287" s="1">
        <v>0</v>
      </c>
      <c r="AC1287" s="1" t="s">
        <v>109</v>
      </c>
      <c r="AD1287" s="1" t="s">
        <v>109</v>
      </c>
      <c r="AE1287" s="1" t="s">
        <v>109</v>
      </c>
      <c r="AF1287" s="1">
        <v>0</v>
      </c>
      <c r="AG1287" s="1" t="s">
        <v>109</v>
      </c>
      <c r="AH1287" s="1" t="s">
        <v>109</v>
      </c>
      <c r="AI1287" s="1" t="s">
        <v>109</v>
      </c>
      <c r="AJ1287" s="1" t="s">
        <v>109</v>
      </c>
      <c r="AK1287" s="1" t="s">
        <v>109</v>
      </c>
      <c r="AL1287" s="1" t="s">
        <v>109</v>
      </c>
      <c r="AM1287" s="1" t="s">
        <v>109</v>
      </c>
      <c r="AN1287" s="1" t="s">
        <v>109</v>
      </c>
      <c r="AO1287" s="1" t="s">
        <v>109</v>
      </c>
      <c r="AP1287" s="1"/>
      <c r="AQ1287" s="1">
        <v>0</v>
      </c>
      <c r="AR1287" s="1"/>
      <c r="AS1287" s="1" t="s">
        <v>10200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5" t="str">
        <f>HYPERLINK("http://www.d20pfsrd.com/magic/all-spells/h/haunted-fey-aspect","Haunted Fey Aspect")</f>
        <v>Haunted Fey Aspect</v>
      </c>
      <c r="BT1287" s="1">
        <v>1334</v>
      </c>
      <c r="BU1287" s="1" t="s">
        <v>109</v>
      </c>
      <c r="BV1287" s="1"/>
      <c r="BW1287" s="1"/>
      <c r="BX1287" s="1"/>
      <c r="BY1287" s="1"/>
      <c r="BZ1287" s="1">
        <v>0</v>
      </c>
      <c r="CA1287" s="1" t="s">
        <v>109</v>
      </c>
      <c r="CB1287" s="1" t="s">
        <v>109</v>
      </c>
      <c r="CC1287" s="1">
        <v>0</v>
      </c>
      <c r="CD1287" s="1" t="s">
        <v>109</v>
      </c>
      <c r="CE1287" s="1">
        <v>0</v>
      </c>
      <c r="CF1287" s="1" t="s">
        <v>109</v>
      </c>
      <c r="CG1287" s="1" t="s">
        <v>109</v>
      </c>
      <c r="CH1287" s="1" t="s">
        <v>109</v>
      </c>
      <c r="CI1287" s="1" t="s">
        <v>109</v>
      </c>
      <c r="CJ1287" s="1" t="s">
        <v>109</v>
      </c>
      <c r="CK1287" s="1"/>
      <c r="CL1287" s="1">
        <v>0</v>
      </c>
      <c r="CM1287" s="1">
        <v>0</v>
      </c>
      <c r="CN1287" s="1">
        <v>0</v>
      </c>
    </row>
    <row r="1288" spans="1:92" ht="14.25" customHeight="1" x14ac:dyDescent="0.15">
      <c r="A1288" s="1" t="s">
        <v>10201</v>
      </c>
      <c r="B1288" s="1" t="s">
        <v>308</v>
      </c>
      <c r="C1288" s="1"/>
      <c r="D1288" s="1"/>
      <c r="E1288" s="1" t="s">
        <v>10202</v>
      </c>
      <c r="F1288" s="1" t="s">
        <v>98</v>
      </c>
      <c r="G1288" s="1" t="s">
        <v>10203</v>
      </c>
      <c r="H1288" s="1">
        <v>0</v>
      </c>
      <c r="I1288" s="1" t="s">
        <v>161</v>
      </c>
      <c r="J1288" s="1"/>
      <c r="K1288" s="1"/>
      <c r="L1288" s="1" t="s">
        <v>506</v>
      </c>
      <c r="M1288" s="1" t="s">
        <v>6798</v>
      </c>
      <c r="N1288" s="1">
        <v>0</v>
      </c>
      <c r="O1288" s="1">
        <v>0</v>
      </c>
      <c r="P1288" s="1" t="s">
        <v>103</v>
      </c>
      <c r="Q1288" s="1" t="s">
        <v>268</v>
      </c>
      <c r="R1288" s="1" t="s">
        <v>10204</v>
      </c>
      <c r="S1288" s="1" t="s">
        <v>10205</v>
      </c>
      <c r="T1288" s="1" t="s">
        <v>9888</v>
      </c>
      <c r="U1288" s="1" t="s">
        <v>10206</v>
      </c>
      <c r="V1288" s="1">
        <v>1</v>
      </c>
      <c r="W1288" s="1">
        <v>1</v>
      </c>
      <c r="X1288" s="1">
        <v>1</v>
      </c>
      <c r="Y1288" s="1">
        <v>0</v>
      </c>
      <c r="Z1288" s="1">
        <v>0</v>
      </c>
      <c r="AA1288" s="1">
        <v>3</v>
      </c>
      <c r="AB1288" s="1">
        <v>3</v>
      </c>
      <c r="AC1288" s="1" t="s">
        <v>109</v>
      </c>
      <c r="AD1288" s="1" t="s">
        <v>109</v>
      </c>
      <c r="AE1288" s="1" t="s">
        <v>109</v>
      </c>
      <c r="AF1288" s="1" t="s">
        <v>109</v>
      </c>
      <c r="AG1288" s="1" t="s">
        <v>109</v>
      </c>
      <c r="AH1288" s="1" t="s">
        <v>109</v>
      </c>
      <c r="AI1288" s="1" t="s">
        <v>109</v>
      </c>
      <c r="AJ1288" s="1">
        <v>3</v>
      </c>
      <c r="AK1288" s="1" t="s">
        <v>109</v>
      </c>
      <c r="AL1288" s="1" t="s">
        <v>109</v>
      </c>
      <c r="AM1288" s="1" t="s">
        <v>109</v>
      </c>
      <c r="AN1288" s="1" t="s">
        <v>109</v>
      </c>
      <c r="AO1288" s="1" t="s">
        <v>109</v>
      </c>
      <c r="AP1288" s="1"/>
      <c r="AQ1288" s="1">
        <v>3</v>
      </c>
      <c r="AR1288" s="1"/>
      <c r="AS1288" s="1" t="s">
        <v>10207</v>
      </c>
      <c r="AT1288" s="1">
        <v>0</v>
      </c>
      <c r="AU1288" s="1">
        <v>0</v>
      </c>
      <c r="AV1288" s="1">
        <v>0</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5" t="str">
        <f>HYPERLINK("http://www.d20pfsrd.com/magic/all-spells/h/healing-thief","Healing Thief")</f>
        <v>Healing Thief</v>
      </c>
      <c r="BT1288" s="1">
        <v>1335</v>
      </c>
      <c r="BU1288" s="1" t="s">
        <v>109</v>
      </c>
      <c r="BV1288" s="1"/>
      <c r="BW1288" s="1"/>
      <c r="BX1288" s="1" t="s">
        <v>10208</v>
      </c>
      <c r="BY1288" s="1" t="s">
        <v>10209</v>
      </c>
      <c r="BZ1288" s="1">
        <v>1</v>
      </c>
      <c r="CA1288" s="1" t="s">
        <v>109</v>
      </c>
      <c r="CB1288" s="1" t="s">
        <v>109</v>
      </c>
      <c r="CC1288" s="1">
        <v>3</v>
      </c>
      <c r="CD1288" s="1" t="s">
        <v>109</v>
      </c>
      <c r="CE1288" s="1">
        <v>1</v>
      </c>
      <c r="CF1288" s="1">
        <v>3</v>
      </c>
      <c r="CG1288" s="1" t="s">
        <v>109</v>
      </c>
      <c r="CH1288" s="1" t="s">
        <v>109</v>
      </c>
      <c r="CI1288" s="1" t="s">
        <v>109</v>
      </c>
      <c r="CJ1288" s="1" t="s">
        <v>109</v>
      </c>
      <c r="CK1288" s="1"/>
      <c r="CL1288" s="1">
        <v>0</v>
      </c>
      <c r="CM1288" s="1">
        <v>0</v>
      </c>
      <c r="CN1288" s="1">
        <v>0</v>
      </c>
    </row>
    <row r="1289" spans="1:92" ht="14.25" customHeight="1" x14ac:dyDescent="0.15">
      <c r="A1289" s="1" t="s">
        <v>10210</v>
      </c>
      <c r="B1289" s="1" t="s">
        <v>156</v>
      </c>
      <c r="C1289" s="1" t="s">
        <v>157</v>
      </c>
      <c r="D1289" s="1" t="s">
        <v>158</v>
      </c>
      <c r="E1289" s="1" t="s">
        <v>2613</v>
      </c>
      <c r="F1289" s="1" t="s">
        <v>395</v>
      </c>
      <c r="G1289" s="1" t="s">
        <v>141</v>
      </c>
      <c r="H1289" s="1">
        <v>0</v>
      </c>
      <c r="I1289" s="1" t="s">
        <v>142</v>
      </c>
      <c r="J1289" s="1"/>
      <c r="K1289" s="1"/>
      <c r="L1289" s="1" t="s">
        <v>2511</v>
      </c>
      <c r="M1289" s="1" t="s">
        <v>10211</v>
      </c>
      <c r="N1289" s="1">
        <v>0</v>
      </c>
      <c r="O1289" s="1">
        <v>0</v>
      </c>
      <c r="P1289" s="1" t="s">
        <v>507</v>
      </c>
      <c r="Q1289" s="1" t="s">
        <v>167</v>
      </c>
      <c r="R1289" s="1" t="s">
        <v>10212</v>
      </c>
      <c r="S1289" s="1" t="s">
        <v>10213</v>
      </c>
      <c r="T1289" s="1" t="s">
        <v>9888</v>
      </c>
      <c r="U1289" s="1" t="s">
        <v>10214</v>
      </c>
      <c r="V1289" s="1">
        <v>1</v>
      </c>
      <c r="W1289" s="1">
        <v>1</v>
      </c>
      <c r="X1289" s="1">
        <v>0</v>
      </c>
      <c r="Y1289" s="1">
        <v>0</v>
      </c>
      <c r="Z1289" s="1">
        <v>0</v>
      </c>
      <c r="AA1289" s="1">
        <v>9</v>
      </c>
      <c r="AB1289" s="1">
        <v>9</v>
      </c>
      <c r="AC1289" s="1" t="s">
        <v>109</v>
      </c>
      <c r="AD1289" s="1" t="s">
        <v>109</v>
      </c>
      <c r="AE1289" s="1" t="s">
        <v>109</v>
      </c>
      <c r="AF1289" s="1" t="s">
        <v>109</v>
      </c>
      <c r="AG1289" s="1" t="s">
        <v>109</v>
      </c>
      <c r="AH1289" s="1" t="s">
        <v>109</v>
      </c>
      <c r="AI1289" s="1" t="s">
        <v>109</v>
      </c>
      <c r="AJ1289" s="1">
        <v>9</v>
      </c>
      <c r="AK1289" s="1" t="s">
        <v>109</v>
      </c>
      <c r="AL1289" s="1" t="s">
        <v>109</v>
      </c>
      <c r="AM1289" s="1" t="s">
        <v>109</v>
      </c>
      <c r="AN1289" s="1" t="s">
        <v>109</v>
      </c>
      <c r="AO1289" s="1" t="s">
        <v>109</v>
      </c>
      <c r="AP1289" s="1"/>
      <c r="AQ1289" s="1">
        <v>9</v>
      </c>
      <c r="AR1289" s="1"/>
      <c r="AS1289" s="1" t="s">
        <v>10215</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1</v>
      </c>
      <c r="BN1289" s="1">
        <v>0</v>
      </c>
      <c r="BO1289" s="1">
        <v>0</v>
      </c>
      <c r="BP1289" s="1">
        <v>0</v>
      </c>
      <c r="BQ1289" s="1">
        <v>0</v>
      </c>
      <c r="BR1289" s="1">
        <v>0</v>
      </c>
      <c r="BS1289" s="5" t="str">
        <f>HYPERLINK("http://www.d20pfsrd.com/magic/all-spells/h/heroic-invocation","Heroic Invocation")</f>
        <v>Heroic Invocation</v>
      </c>
      <c r="BT1289" s="1">
        <v>1336</v>
      </c>
      <c r="BU1289" s="1" t="s">
        <v>109</v>
      </c>
      <c r="BV1289" s="1"/>
      <c r="BW1289" s="1"/>
      <c r="BX1289" s="1"/>
      <c r="BY1289" s="1"/>
      <c r="BZ1289" s="1">
        <v>0</v>
      </c>
      <c r="CA1289" s="1" t="s">
        <v>109</v>
      </c>
      <c r="CB1289" s="1" t="s">
        <v>109</v>
      </c>
      <c r="CC1289" s="1">
        <v>9</v>
      </c>
      <c r="CD1289" s="1" t="s">
        <v>109</v>
      </c>
      <c r="CE1289" s="1" t="s">
        <v>109</v>
      </c>
      <c r="CF1289" s="1" t="s">
        <v>109</v>
      </c>
      <c r="CG1289" s="1" t="s">
        <v>109</v>
      </c>
      <c r="CH1289" s="1" t="s">
        <v>109</v>
      </c>
      <c r="CI1289" s="1" t="s">
        <v>109</v>
      </c>
      <c r="CJ1289" s="1" t="s">
        <v>109</v>
      </c>
      <c r="CK1289" s="1"/>
      <c r="CL1289" s="1">
        <v>0</v>
      </c>
      <c r="CM1289" s="1">
        <v>0</v>
      </c>
      <c r="CN1289" s="1">
        <v>0</v>
      </c>
    </row>
    <row r="1290" spans="1:92" ht="14.25" customHeight="1" x14ac:dyDescent="0.15">
      <c r="A1290" s="1" t="s">
        <v>10216</v>
      </c>
      <c r="B1290" s="1" t="s">
        <v>95</v>
      </c>
      <c r="C1290" s="1" t="s">
        <v>1522</v>
      </c>
      <c r="D1290" s="1"/>
      <c r="E1290" s="1" t="s">
        <v>10217</v>
      </c>
      <c r="F1290" s="1" t="s">
        <v>98</v>
      </c>
      <c r="G1290" s="1" t="s">
        <v>10218</v>
      </c>
      <c r="H1290" s="1">
        <v>0</v>
      </c>
      <c r="I1290" s="1" t="s">
        <v>142</v>
      </c>
      <c r="J1290" s="1"/>
      <c r="K1290" s="1"/>
      <c r="L1290" s="1" t="s">
        <v>10219</v>
      </c>
      <c r="M1290" s="1" t="s">
        <v>6798</v>
      </c>
      <c r="N1290" s="1">
        <v>0</v>
      </c>
      <c r="O1290" s="1">
        <v>0</v>
      </c>
      <c r="P1290" s="1" t="s">
        <v>301</v>
      </c>
      <c r="Q1290" s="1" t="s">
        <v>268</v>
      </c>
      <c r="R1290" s="1" t="s">
        <v>10220</v>
      </c>
      <c r="S1290" s="1" t="s">
        <v>10221</v>
      </c>
      <c r="T1290" s="1" t="s">
        <v>9888</v>
      </c>
      <c r="U1290" s="1" t="s">
        <v>10222</v>
      </c>
      <c r="V1290" s="1">
        <v>1</v>
      </c>
      <c r="W1290" s="1">
        <v>1</v>
      </c>
      <c r="X1290" s="1">
        <v>1</v>
      </c>
      <c r="Y1290" s="1">
        <v>0</v>
      </c>
      <c r="Z1290" s="1">
        <v>0</v>
      </c>
      <c r="AA1290" s="1">
        <v>5</v>
      </c>
      <c r="AB1290" s="1">
        <v>5</v>
      </c>
      <c r="AC1290" s="1" t="s">
        <v>109</v>
      </c>
      <c r="AD1290" s="1" t="s">
        <v>109</v>
      </c>
      <c r="AE1290" s="1" t="s">
        <v>109</v>
      </c>
      <c r="AF1290" s="1" t="s">
        <v>109</v>
      </c>
      <c r="AG1290" s="1" t="s">
        <v>109</v>
      </c>
      <c r="AH1290" s="1" t="s">
        <v>109</v>
      </c>
      <c r="AI1290" s="1">
        <v>4</v>
      </c>
      <c r="AJ1290" s="1">
        <v>5</v>
      </c>
      <c r="AK1290" s="1" t="s">
        <v>109</v>
      </c>
      <c r="AL1290" s="1" t="s">
        <v>109</v>
      </c>
      <c r="AM1290" s="1" t="s">
        <v>109</v>
      </c>
      <c r="AN1290" s="1" t="s">
        <v>109</v>
      </c>
      <c r="AO1290" s="1" t="s">
        <v>109</v>
      </c>
      <c r="AP1290" s="1"/>
      <c r="AQ1290" s="1">
        <v>5</v>
      </c>
      <c r="AR1290" s="1"/>
      <c r="AS1290" s="1" t="s">
        <v>10223</v>
      </c>
      <c r="AT1290" s="1">
        <v>0</v>
      </c>
      <c r="AU1290" s="1">
        <v>0</v>
      </c>
      <c r="AV1290" s="1">
        <v>0</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5" t="str">
        <f>HYPERLINK("http://www.d20pfsrd.com/magic/all-spells/h/hostile-juxtaposition","Hostile Juxtaposition")</f>
        <v>Hostile Juxtaposition</v>
      </c>
      <c r="BT1290" s="1">
        <v>1337</v>
      </c>
      <c r="BU1290" s="1" t="s">
        <v>109</v>
      </c>
      <c r="BV1290" s="1"/>
      <c r="BW1290" s="1"/>
      <c r="BX1290" s="1"/>
      <c r="BY1290" s="1"/>
      <c r="BZ1290" s="1">
        <v>0</v>
      </c>
      <c r="CA1290" s="1" t="s">
        <v>109</v>
      </c>
      <c r="CB1290" s="1" t="s">
        <v>109</v>
      </c>
      <c r="CC1290" s="1">
        <v>5</v>
      </c>
      <c r="CD1290" s="1" t="s">
        <v>109</v>
      </c>
      <c r="CE1290" s="1" t="s">
        <v>109</v>
      </c>
      <c r="CF1290" s="1" t="s">
        <v>109</v>
      </c>
      <c r="CG1290" s="1" t="s">
        <v>109</v>
      </c>
      <c r="CH1290" s="1" t="s">
        <v>109</v>
      </c>
      <c r="CI1290" s="1" t="s">
        <v>109</v>
      </c>
      <c r="CJ1290" s="1" t="s">
        <v>109</v>
      </c>
      <c r="CK1290" s="1"/>
      <c r="CL1290" s="1">
        <v>0</v>
      </c>
      <c r="CM1290" s="1">
        <v>0</v>
      </c>
      <c r="CN1290" s="1">
        <v>0</v>
      </c>
    </row>
    <row r="1291" spans="1:92" ht="14.25" customHeight="1" x14ac:dyDescent="0.15">
      <c r="A1291" s="1" t="s">
        <v>10224</v>
      </c>
      <c r="B1291" s="1" t="s">
        <v>95</v>
      </c>
      <c r="C1291" s="1" t="s">
        <v>1522</v>
      </c>
      <c r="D1291" s="1"/>
      <c r="E1291" s="1" t="s">
        <v>10225</v>
      </c>
      <c r="F1291" s="1" t="s">
        <v>98</v>
      </c>
      <c r="G1291" s="1" t="s">
        <v>10218</v>
      </c>
      <c r="H1291" s="1">
        <v>0</v>
      </c>
      <c r="I1291" s="1" t="s">
        <v>142</v>
      </c>
      <c r="J1291" s="1"/>
      <c r="K1291" s="1"/>
      <c r="L1291" s="1" t="s">
        <v>10226</v>
      </c>
      <c r="M1291" s="1" t="s">
        <v>6798</v>
      </c>
      <c r="N1291" s="1">
        <v>0</v>
      </c>
      <c r="O1291" s="1">
        <v>0</v>
      </c>
      <c r="P1291" s="1" t="s">
        <v>301</v>
      </c>
      <c r="Q1291" s="1" t="s">
        <v>268</v>
      </c>
      <c r="R1291" s="1" t="s">
        <v>10227</v>
      </c>
      <c r="S1291" s="1" t="s">
        <v>10228</v>
      </c>
      <c r="T1291" s="1" t="s">
        <v>9888</v>
      </c>
      <c r="U1291" s="1" t="s">
        <v>10229</v>
      </c>
      <c r="V1291" s="1">
        <v>1</v>
      </c>
      <c r="W1291" s="1">
        <v>1</v>
      </c>
      <c r="X1291" s="1">
        <v>1</v>
      </c>
      <c r="Y1291" s="1">
        <v>0</v>
      </c>
      <c r="Z1291" s="1">
        <v>0</v>
      </c>
      <c r="AA1291" s="1">
        <v>7</v>
      </c>
      <c r="AB1291" s="1">
        <v>7</v>
      </c>
      <c r="AC1291" s="1" t="s">
        <v>109</v>
      </c>
      <c r="AD1291" s="1" t="s">
        <v>109</v>
      </c>
      <c r="AE1291" s="1" t="s">
        <v>109</v>
      </c>
      <c r="AF1291" s="1" t="s">
        <v>109</v>
      </c>
      <c r="AG1291" s="1" t="s">
        <v>109</v>
      </c>
      <c r="AH1291" s="1" t="s">
        <v>109</v>
      </c>
      <c r="AI1291" s="1">
        <v>6</v>
      </c>
      <c r="AJ1291" s="1">
        <v>7</v>
      </c>
      <c r="AK1291" s="1" t="s">
        <v>109</v>
      </c>
      <c r="AL1291" s="1" t="s">
        <v>109</v>
      </c>
      <c r="AM1291" s="1" t="s">
        <v>109</v>
      </c>
      <c r="AN1291" s="1" t="s">
        <v>109</v>
      </c>
      <c r="AO1291" s="1" t="s">
        <v>109</v>
      </c>
      <c r="AP1291" s="1"/>
      <c r="AQ1291" s="1">
        <v>7</v>
      </c>
      <c r="AR1291" s="1"/>
      <c r="AS1291" s="1" t="s">
        <v>10230</v>
      </c>
      <c r="AT1291" s="1">
        <v>0</v>
      </c>
      <c r="AU1291" s="1">
        <v>0</v>
      </c>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5" t="str">
        <f>HYPERLINK("http://www.d20pfsrd.com/magic/all-spells/h/hostile-juxtaposition#TOC-Hostile-Juxtaposition-Greater","Hostile Juxtaposition, Greater")</f>
        <v>Hostile Juxtaposition, Greater</v>
      </c>
      <c r="BT1291" s="1">
        <v>1338</v>
      </c>
      <c r="BU1291" s="1" t="s">
        <v>109</v>
      </c>
      <c r="BV1291" s="1"/>
      <c r="BW1291" s="1"/>
      <c r="BX1291" s="1"/>
      <c r="BY1291" s="1"/>
      <c r="BZ1291" s="1">
        <v>0</v>
      </c>
      <c r="CA1291" s="1" t="s">
        <v>109</v>
      </c>
      <c r="CB1291" s="1" t="s">
        <v>109</v>
      </c>
      <c r="CC1291" s="1">
        <v>7</v>
      </c>
      <c r="CD1291" s="1" t="s">
        <v>109</v>
      </c>
      <c r="CE1291" s="1">
        <v>4</v>
      </c>
      <c r="CF1291" s="1" t="s">
        <v>109</v>
      </c>
      <c r="CG1291" s="1" t="s">
        <v>109</v>
      </c>
      <c r="CH1291" s="1" t="s">
        <v>109</v>
      </c>
      <c r="CI1291" s="1" t="s">
        <v>109</v>
      </c>
      <c r="CJ1291" s="1" t="s">
        <v>109</v>
      </c>
      <c r="CK1291" s="1"/>
      <c r="CL1291" s="1">
        <v>0</v>
      </c>
      <c r="CM1291" s="1">
        <v>0</v>
      </c>
      <c r="CN1291" s="1">
        <v>0</v>
      </c>
    </row>
    <row r="1292" spans="1:92" ht="14.25" customHeight="1" x14ac:dyDescent="0.15">
      <c r="A1292" s="1" t="s">
        <v>10231</v>
      </c>
      <c r="B1292" s="1" t="s">
        <v>189</v>
      </c>
      <c r="C1292" s="1"/>
      <c r="D1292" s="1"/>
      <c r="E1292" s="1" t="s">
        <v>10232</v>
      </c>
      <c r="F1292" s="1" t="s">
        <v>98</v>
      </c>
      <c r="G1292" s="1" t="s">
        <v>10233</v>
      </c>
      <c r="H1292" s="1">
        <v>0</v>
      </c>
      <c r="I1292" s="1" t="s">
        <v>142</v>
      </c>
      <c r="J1292" s="1"/>
      <c r="K1292" s="1"/>
      <c r="L1292" s="1" t="s">
        <v>1391</v>
      </c>
      <c r="M1292" s="1" t="s">
        <v>125</v>
      </c>
      <c r="N1292" s="1">
        <v>0</v>
      </c>
      <c r="O1292" s="1">
        <v>0</v>
      </c>
      <c r="P1292" s="1" t="s">
        <v>301</v>
      </c>
      <c r="Q1292" s="1" t="s">
        <v>268</v>
      </c>
      <c r="R1292" s="1" t="s">
        <v>10234</v>
      </c>
      <c r="S1292" s="1" t="s">
        <v>10235</v>
      </c>
      <c r="T1292" s="1" t="s">
        <v>9888</v>
      </c>
      <c r="U1292" s="1" t="s">
        <v>10236</v>
      </c>
      <c r="V1292" s="1">
        <v>1</v>
      </c>
      <c r="W1292" s="1">
        <v>1</v>
      </c>
      <c r="X1292" s="1">
        <v>1</v>
      </c>
      <c r="Y1292" s="1">
        <v>0</v>
      </c>
      <c r="Z1292" s="1">
        <v>0</v>
      </c>
      <c r="AA1292" s="1">
        <v>3</v>
      </c>
      <c r="AB1292" s="1">
        <v>3</v>
      </c>
      <c r="AC1292" s="1" t="s">
        <v>109</v>
      </c>
      <c r="AD1292" s="1" t="s">
        <v>109</v>
      </c>
      <c r="AE1292" s="1" t="s">
        <v>109</v>
      </c>
      <c r="AF1292" s="1" t="s">
        <v>109</v>
      </c>
      <c r="AG1292" s="1" t="s">
        <v>109</v>
      </c>
      <c r="AH1292" s="1" t="s">
        <v>109</v>
      </c>
      <c r="AI1292" s="1" t="s">
        <v>109</v>
      </c>
      <c r="AJ1292" s="1">
        <v>3</v>
      </c>
      <c r="AK1292" s="1" t="s">
        <v>109</v>
      </c>
      <c r="AL1292" s="1" t="s">
        <v>109</v>
      </c>
      <c r="AM1292" s="1" t="s">
        <v>109</v>
      </c>
      <c r="AN1292" s="1" t="s">
        <v>109</v>
      </c>
      <c r="AO1292" s="1" t="s">
        <v>109</v>
      </c>
      <c r="AP1292" s="1"/>
      <c r="AQ1292" s="1">
        <v>3</v>
      </c>
      <c r="AR1292" s="1"/>
      <c r="AS1292" s="1" t="s">
        <v>10237</v>
      </c>
      <c r="AT1292" s="1">
        <v>0</v>
      </c>
      <c r="AU1292" s="1">
        <v>0</v>
      </c>
      <c r="AV1292" s="1">
        <v>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5" t="str">
        <f>HYPERLINK("http://www.d20pfsrd.com/magic/all-spells/h/hostile-levitation","Hostile Levitation")</f>
        <v>Hostile Levitation</v>
      </c>
      <c r="BT1292" s="1">
        <v>1339</v>
      </c>
      <c r="BU1292" s="1" t="s">
        <v>109</v>
      </c>
      <c r="BV1292" s="1"/>
      <c r="BW1292" s="1"/>
      <c r="BX1292" s="1"/>
      <c r="BY1292" s="1"/>
      <c r="BZ1292" s="1">
        <v>0</v>
      </c>
      <c r="CA1292" s="1">
        <v>3</v>
      </c>
      <c r="CB1292" s="1" t="s">
        <v>109</v>
      </c>
      <c r="CC1292" s="1">
        <v>3</v>
      </c>
      <c r="CD1292" s="1" t="s">
        <v>109</v>
      </c>
      <c r="CE1292" s="1">
        <v>3</v>
      </c>
      <c r="CF1292" s="1">
        <v>3</v>
      </c>
      <c r="CG1292" s="1">
        <v>3</v>
      </c>
      <c r="CH1292" s="1" t="s">
        <v>109</v>
      </c>
      <c r="CI1292" s="1" t="s">
        <v>109</v>
      </c>
      <c r="CJ1292" s="1" t="s">
        <v>109</v>
      </c>
      <c r="CK1292" s="1"/>
      <c r="CL1292" s="1">
        <v>0</v>
      </c>
      <c r="CM1292" s="1">
        <v>0</v>
      </c>
      <c r="CN1292" s="1">
        <v>0</v>
      </c>
    </row>
    <row r="1293" spans="1:92" ht="14.25" customHeight="1" x14ac:dyDescent="0.15">
      <c r="A1293" s="1" t="s">
        <v>10238</v>
      </c>
      <c r="B1293" s="1" t="s">
        <v>674</v>
      </c>
      <c r="C1293" s="1" t="s">
        <v>2300</v>
      </c>
      <c r="D1293" s="1"/>
      <c r="E1293" s="1" t="s">
        <v>10239</v>
      </c>
      <c r="F1293" s="1" t="s">
        <v>98</v>
      </c>
      <c r="G1293" s="1" t="s">
        <v>141</v>
      </c>
      <c r="H1293" s="1">
        <v>0</v>
      </c>
      <c r="I1293" s="1" t="s">
        <v>235</v>
      </c>
      <c r="J1293" s="1"/>
      <c r="K1293" s="1"/>
      <c r="L1293" s="1" t="s">
        <v>236</v>
      </c>
      <c r="M1293" s="1" t="s">
        <v>3042</v>
      </c>
      <c r="N1293" s="1">
        <v>0</v>
      </c>
      <c r="O1293" s="1">
        <v>0</v>
      </c>
      <c r="P1293" s="1" t="s">
        <v>10240</v>
      </c>
      <c r="Q1293" s="1" t="s">
        <v>104</v>
      </c>
      <c r="R1293" s="1" t="s">
        <v>10241</v>
      </c>
      <c r="S1293" s="1" t="s">
        <v>10242</v>
      </c>
      <c r="T1293" s="1" t="s">
        <v>9888</v>
      </c>
      <c r="U1293" s="1" t="s">
        <v>10243</v>
      </c>
      <c r="V1293" s="1">
        <v>1</v>
      </c>
      <c r="W1293" s="1">
        <v>1</v>
      </c>
      <c r="X1293" s="1">
        <v>0</v>
      </c>
      <c r="Y1293" s="1">
        <v>0</v>
      </c>
      <c r="Z1293" s="1">
        <v>0</v>
      </c>
      <c r="AA1293" s="1">
        <v>1</v>
      </c>
      <c r="AB1293" s="1">
        <v>1</v>
      </c>
      <c r="AC1293" s="1" t="s">
        <v>109</v>
      </c>
      <c r="AD1293" s="1" t="s">
        <v>109</v>
      </c>
      <c r="AE1293" s="1" t="s">
        <v>109</v>
      </c>
      <c r="AF1293" s="1" t="s">
        <v>109</v>
      </c>
      <c r="AG1293" s="1" t="s">
        <v>109</v>
      </c>
      <c r="AH1293" s="1">
        <v>1</v>
      </c>
      <c r="AI1293" s="1" t="s">
        <v>109</v>
      </c>
      <c r="AJ1293" s="1" t="s">
        <v>109</v>
      </c>
      <c r="AK1293" s="1" t="s">
        <v>109</v>
      </c>
      <c r="AL1293" s="1" t="s">
        <v>109</v>
      </c>
      <c r="AM1293" s="1" t="s">
        <v>109</v>
      </c>
      <c r="AN1293" s="1">
        <v>1</v>
      </c>
      <c r="AO1293" s="1" t="s">
        <v>109</v>
      </c>
      <c r="AP1293" s="1"/>
      <c r="AQ1293" s="1">
        <v>1</v>
      </c>
      <c r="AR1293" s="1"/>
      <c r="AS1293" s="1" t="s">
        <v>10244</v>
      </c>
      <c r="AT1293" s="1">
        <v>0</v>
      </c>
      <c r="AU1293" s="1">
        <v>0</v>
      </c>
      <c r="AV1293" s="1">
        <v>0</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5" t="str">
        <f>HYPERLINK("http://www.d20pfsrd.com/magic/all-spells/i/illusion-of-calm","Illusion of Calm")</f>
        <v>Illusion of Calm</v>
      </c>
      <c r="BT1293" s="1">
        <v>1340</v>
      </c>
      <c r="BU1293" s="1" t="s">
        <v>109</v>
      </c>
      <c r="BV1293" s="1"/>
      <c r="BW1293" s="1"/>
      <c r="BX1293" s="1"/>
      <c r="BY1293" s="1"/>
      <c r="BZ1293" s="1">
        <v>0</v>
      </c>
      <c r="CA1293" s="1" t="s">
        <v>109</v>
      </c>
      <c r="CB1293" s="1" t="s">
        <v>109</v>
      </c>
      <c r="CC1293" s="1">
        <v>1</v>
      </c>
      <c r="CD1293" s="1" t="s">
        <v>109</v>
      </c>
      <c r="CE1293" s="1">
        <v>1</v>
      </c>
      <c r="CF1293" s="1">
        <v>1</v>
      </c>
      <c r="CG1293" s="1" t="s">
        <v>109</v>
      </c>
      <c r="CH1293" s="1" t="s">
        <v>109</v>
      </c>
      <c r="CI1293" s="1" t="s">
        <v>109</v>
      </c>
      <c r="CJ1293" s="1" t="s">
        <v>109</v>
      </c>
      <c r="CK1293" s="1"/>
      <c r="CL1293" s="1">
        <v>0</v>
      </c>
      <c r="CM1293" s="1">
        <v>0</v>
      </c>
      <c r="CN1293" s="1">
        <v>0</v>
      </c>
    </row>
    <row r="1294" spans="1:92" ht="14.25" customHeight="1" x14ac:dyDescent="0.15">
      <c r="A1294" s="1" t="s">
        <v>10245</v>
      </c>
      <c r="B1294" s="1" t="s">
        <v>189</v>
      </c>
      <c r="C1294" s="1"/>
      <c r="D1294" s="1"/>
      <c r="E1294" s="1" t="s">
        <v>213</v>
      </c>
      <c r="F1294" s="1" t="s">
        <v>98</v>
      </c>
      <c r="G1294" s="1" t="s">
        <v>141</v>
      </c>
      <c r="H1294" s="1">
        <v>0</v>
      </c>
      <c r="I1294" s="1" t="s">
        <v>161</v>
      </c>
      <c r="J1294" s="1"/>
      <c r="K1294" s="1"/>
      <c r="L1294" s="1" t="s">
        <v>639</v>
      </c>
      <c r="M1294" s="1" t="s">
        <v>10246</v>
      </c>
      <c r="N1294" s="1">
        <v>0</v>
      </c>
      <c r="O1294" s="1">
        <v>0</v>
      </c>
      <c r="P1294" s="1" t="s">
        <v>10247</v>
      </c>
      <c r="Q1294" s="1" t="s">
        <v>10248</v>
      </c>
      <c r="R1294" s="1" t="s">
        <v>10249</v>
      </c>
      <c r="S1294" s="1" t="s">
        <v>10250</v>
      </c>
      <c r="T1294" s="1" t="s">
        <v>9888</v>
      </c>
      <c r="U1294" s="1" t="s">
        <v>10251</v>
      </c>
      <c r="V1294" s="1">
        <v>1</v>
      </c>
      <c r="W1294" s="1">
        <v>1</v>
      </c>
      <c r="X1294" s="1">
        <v>0</v>
      </c>
      <c r="Y1294" s="1">
        <v>0</v>
      </c>
      <c r="Z1294" s="1">
        <v>0</v>
      </c>
      <c r="AA1294" s="1" t="s">
        <v>109</v>
      </c>
      <c r="AB1294" s="1" t="s">
        <v>109</v>
      </c>
      <c r="AC1294" s="1">
        <v>2</v>
      </c>
      <c r="AD1294" s="1" t="s">
        <v>109</v>
      </c>
      <c r="AE1294" s="1" t="s">
        <v>109</v>
      </c>
      <c r="AF1294" s="1" t="s">
        <v>109</v>
      </c>
      <c r="AG1294" s="1" t="s">
        <v>109</v>
      </c>
      <c r="AH1294" s="1" t="s">
        <v>109</v>
      </c>
      <c r="AI1294" s="1" t="s">
        <v>109</v>
      </c>
      <c r="AJ1294" s="1" t="s">
        <v>109</v>
      </c>
      <c r="AK1294" s="1">
        <v>2</v>
      </c>
      <c r="AL1294" s="1">
        <v>2</v>
      </c>
      <c r="AM1294" s="1" t="s">
        <v>109</v>
      </c>
      <c r="AN1294" s="1" t="s">
        <v>109</v>
      </c>
      <c r="AO1294" s="1" t="s">
        <v>109</v>
      </c>
      <c r="AP1294" s="1"/>
      <c r="AQ1294" s="1">
        <v>2</v>
      </c>
      <c r="AR1294" s="1" t="s">
        <v>10252</v>
      </c>
      <c r="AS1294" s="1" t="s">
        <v>10253</v>
      </c>
      <c r="AT1294" s="1">
        <v>0</v>
      </c>
      <c r="AU1294" s="1">
        <v>0</v>
      </c>
      <c r="AV1294" s="1">
        <v>0</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5" t="str">
        <f>HYPERLINK("http://www.d20pfsrd.com/magic/all-spells/i/instrument-of-agony","Instrument of Agony")</f>
        <v>Instrument of Agony</v>
      </c>
      <c r="BT1294" s="1">
        <v>1341</v>
      </c>
      <c r="BU1294" s="1" t="s">
        <v>109</v>
      </c>
      <c r="BV1294" s="1"/>
      <c r="BW1294" s="1"/>
      <c r="BX1294" s="1"/>
      <c r="BY1294" s="1"/>
      <c r="BZ1294" s="1">
        <v>0</v>
      </c>
      <c r="CA1294" s="1" t="s">
        <v>109</v>
      </c>
      <c r="CB1294" s="1" t="s">
        <v>109</v>
      </c>
      <c r="CC1294" s="1" t="s">
        <v>109</v>
      </c>
      <c r="CD1294" s="1" t="s">
        <v>109</v>
      </c>
      <c r="CE1294" s="1" t="s">
        <v>109</v>
      </c>
      <c r="CF1294" s="1" t="s">
        <v>109</v>
      </c>
      <c r="CG1294" s="1" t="s">
        <v>109</v>
      </c>
      <c r="CH1294" s="1" t="s">
        <v>109</v>
      </c>
      <c r="CI1294" s="1" t="s">
        <v>109</v>
      </c>
      <c r="CJ1294" s="1" t="s">
        <v>109</v>
      </c>
      <c r="CK1294" s="1"/>
      <c r="CL1294" s="1">
        <v>0</v>
      </c>
      <c r="CM1294" s="1">
        <v>0</v>
      </c>
      <c r="CN1294" s="1">
        <v>0</v>
      </c>
    </row>
    <row r="1295" spans="1:92" ht="14.25" customHeight="1" x14ac:dyDescent="0.15">
      <c r="A1295" s="1" t="s">
        <v>10254</v>
      </c>
      <c r="B1295" s="1" t="s">
        <v>584</v>
      </c>
      <c r="C1295" s="1"/>
      <c r="D1295" s="1" t="s">
        <v>55</v>
      </c>
      <c r="E1295" s="1" t="s">
        <v>5624</v>
      </c>
      <c r="F1295" s="1" t="s">
        <v>98</v>
      </c>
      <c r="G1295" s="1" t="s">
        <v>160</v>
      </c>
      <c r="H1295" s="1">
        <v>0</v>
      </c>
      <c r="I1295" s="1" t="s">
        <v>122</v>
      </c>
      <c r="J1295" s="1"/>
      <c r="K1295" s="1"/>
      <c r="L1295" s="1" t="s">
        <v>1391</v>
      </c>
      <c r="M1295" s="1" t="s">
        <v>10077</v>
      </c>
      <c r="N1295" s="1">
        <v>1</v>
      </c>
      <c r="O1295" s="1">
        <v>0</v>
      </c>
      <c r="P1295" s="1" t="s">
        <v>103</v>
      </c>
      <c r="Q1295" s="1" t="s">
        <v>268</v>
      </c>
      <c r="R1295" s="1" t="s">
        <v>10255</v>
      </c>
      <c r="S1295" s="1" t="s">
        <v>10256</v>
      </c>
      <c r="T1295" s="1" t="s">
        <v>9888</v>
      </c>
      <c r="U1295" s="1" t="s">
        <v>10257</v>
      </c>
      <c r="V1295" s="1">
        <v>1</v>
      </c>
      <c r="W1295" s="1">
        <v>1</v>
      </c>
      <c r="X1295" s="1">
        <v>0</v>
      </c>
      <c r="Y1295" s="1">
        <v>0</v>
      </c>
      <c r="Z1295" s="1">
        <v>1</v>
      </c>
      <c r="AA1295" s="1" t="s">
        <v>109</v>
      </c>
      <c r="AB1295" s="1" t="s">
        <v>109</v>
      </c>
      <c r="AC1295" s="1">
        <v>7</v>
      </c>
      <c r="AD1295" s="1" t="s">
        <v>109</v>
      </c>
      <c r="AE1295" s="1" t="s">
        <v>109</v>
      </c>
      <c r="AF1295" s="1" t="s">
        <v>109</v>
      </c>
      <c r="AG1295" s="1" t="s">
        <v>109</v>
      </c>
      <c r="AH1295" s="1" t="s">
        <v>109</v>
      </c>
      <c r="AI1295" s="1" t="s">
        <v>109</v>
      </c>
      <c r="AJ1295" s="1" t="s">
        <v>109</v>
      </c>
      <c r="AK1295" s="1" t="s">
        <v>109</v>
      </c>
      <c r="AL1295" s="1">
        <v>7</v>
      </c>
      <c r="AM1295" s="1" t="s">
        <v>109</v>
      </c>
      <c r="AN1295" s="1" t="s">
        <v>109</v>
      </c>
      <c r="AO1295" s="1" t="s">
        <v>109</v>
      </c>
      <c r="AP1295" s="1"/>
      <c r="AQ1295" s="1">
        <v>7</v>
      </c>
      <c r="AR1295" s="1"/>
      <c r="AS1295" s="1" t="s">
        <v>10258</v>
      </c>
      <c r="AT1295" s="1">
        <v>0</v>
      </c>
      <c r="AU1295" s="1">
        <v>0</v>
      </c>
      <c r="AV1295" s="1">
        <v>0</v>
      </c>
      <c r="AW1295" s="1">
        <v>0</v>
      </c>
      <c r="AX1295" s="1">
        <v>0</v>
      </c>
      <c r="AY1295" s="1">
        <v>0</v>
      </c>
      <c r="AZ1295" s="1">
        <v>0</v>
      </c>
      <c r="BA1295" s="1">
        <v>0</v>
      </c>
      <c r="BB1295" s="1">
        <v>0</v>
      </c>
      <c r="BC1295" s="1">
        <v>1</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5" t="str">
        <f>HYPERLINK("http://www.d20pfsrd.com/magic/all-spells/j/jolting-portent","Jolting Portent")</f>
        <v>Jolting Portent</v>
      </c>
      <c r="BT1295" s="1">
        <v>1342</v>
      </c>
      <c r="BU1295" s="1" t="s">
        <v>109</v>
      </c>
      <c r="BV1295" s="1"/>
      <c r="BW1295" s="1"/>
      <c r="BX1295" s="1"/>
      <c r="BY1295" s="1"/>
      <c r="BZ1295" s="1">
        <v>0</v>
      </c>
      <c r="CA1295" s="1" t="s">
        <v>109</v>
      </c>
      <c r="CB1295" s="1" t="s">
        <v>109</v>
      </c>
      <c r="CC1295" s="1" t="s">
        <v>109</v>
      </c>
      <c r="CD1295" s="1" t="s">
        <v>109</v>
      </c>
      <c r="CE1295" s="1" t="s">
        <v>109</v>
      </c>
      <c r="CF1295" s="1" t="s">
        <v>109</v>
      </c>
      <c r="CG1295" s="1" t="s">
        <v>109</v>
      </c>
      <c r="CH1295" s="1" t="s">
        <v>109</v>
      </c>
      <c r="CI1295" s="1" t="s">
        <v>109</v>
      </c>
      <c r="CJ1295" s="1" t="s">
        <v>109</v>
      </c>
      <c r="CK1295" s="1"/>
      <c r="CL1295" s="1">
        <v>0</v>
      </c>
      <c r="CM1295" s="1">
        <v>0</v>
      </c>
      <c r="CN1295" s="1">
        <v>0</v>
      </c>
    </row>
    <row r="1296" spans="1:92" ht="14.25" customHeight="1" x14ac:dyDescent="0.15">
      <c r="A1296" s="1" t="s">
        <v>10259</v>
      </c>
      <c r="B1296" s="1" t="s">
        <v>584</v>
      </c>
      <c r="C1296" s="1"/>
      <c r="D1296" s="1" t="s">
        <v>64</v>
      </c>
      <c r="E1296" s="1" t="s">
        <v>6035</v>
      </c>
      <c r="F1296" s="1" t="s">
        <v>98</v>
      </c>
      <c r="G1296" s="1" t="s">
        <v>141</v>
      </c>
      <c r="H1296" s="1">
        <v>0</v>
      </c>
      <c r="I1296" s="1" t="s">
        <v>235</v>
      </c>
      <c r="J1296" s="1" t="s">
        <v>5885</v>
      </c>
      <c r="K1296" s="1"/>
      <c r="L1296" s="1"/>
      <c r="M1296" s="1" t="s">
        <v>10260</v>
      </c>
      <c r="N1296" s="1">
        <v>0</v>
      </c>
      <c r="O1296" s="1">
        <v>0</v>
      </c>
      <c r="P1296" s="1" t="s">
        <v>211</v>
      </c>
      <c r="Q1296" s="1" t="s">
        <v>268</v>
      </c>
      <c r="R1296" s="1" t="s">
        <v>10261</v>
      </c>
      <c r="S1296" s="1" t="s">
        <v>10262</v>
      </c>
      <c r="T1296" s="1" t="s">
        <v>9888</v>
      </c>
      <c r="U1296" s="1" t="s">
        <v>10263</v>
      </c>
      <c r="V1296" s="1">
        <v>1</v>
      </c>
      <c r="W1296" s="1">
        <v>1</v>
      </c>
      <c r="X1296" s="1">
        <v>0</v>
      </c>
      <c r="Y1296" s="1">
        <v>0</v>
      </c>
      <c r="Z1296" s="1">
        <v>0</v>
      </c>
      <c r="AA1296" s="1" t="s">
        <v>109</v>
      </c>
      <c r="AB1296" s="1" t="s">
        <v>109</v>
      </c>
      <c r="AC1296" s="1" t="s">
        <v>109</v>
      </c>
      <c r="AD1296" s="1" t="s">
        <v>109</v>
      </c>
      <c r="AE1296" s="1" t="s">
        <v>109</v>
      </c>
      <c r="AF1296" s="1" t="s">
        <v>109</v>
      </c>
      <c r="AG1296" s="1" t="s">
        <v>109</v>
      </c>
      <c r="AH1296" s="1" t="s">
        <v>109</v>
      </c>
      <c r="AI1296" s="1" t="s">
        <v>109</v>
      </c>
      <c r="AJ1296" s="1" t="s">
        <v>109</v>
      </c>
      <c r="AK1296" s="1">
        <v>4</v>
      </c>
      <c r="AL1296" s="1" t="s">
        <v>109</v>
      </c>
      <c r="AM1296" s="1" t="s">
        <v>109</v>
      </c>
      <c r="AN1296" s="1" t="s">
        <v>109</v>
      </c>
      <c r="AO1296" s="1" t="s">
        <v>109</v>
      </c>
      <c r="AP1296" s="1"/>
      <c r="AQ1296" s="1">
        <v>4</v>
      </c>
      <c r="AR1296" s="1"/>
      <c r="AS1296" s="1" t="s">
        <v>10264</v>
      </c>
      <c r="AT1296" s="1">
        <v>0</v>
      </c>
      <c r="AU1296" s="1">
        <v>0</v>
      </c>
      <c r="AV1296" s="1">
        <v>0</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1</v>
      </c>
      <c r="BM1296" s="1">
        <v>0</v>
      </c>
      <c r="BN1296" s="1">
        <v>0</v>
      </c>
      <c r="BO1296" s="1">
        <v>0</v>
      </c>
      <c r="BP1296" s="1">
        <v>0</v>
      </c>
      <c r="BQ1296" s="1">
        <v>0</v>
      </c>
      <c r="BR1296" s="1">
        <v>0</v>
      </c>
      <c r="BS1296" s="5" t="str">
        <f>HYPERLINK("http://www.d20pfsrd.com/magic/all-spells/j/judgment-light","Judgment Light")</f>
        <v>Judgment Light</v>
      </c>
      <c r="BT1296" s="1">
        <v>1343</v>
      </c>
      <c r="BU1296" s="1" t="s">
        <v>109</v>
      </c>
      <c r="BV1296" s="1"/>
      <c r="BW1296" s="1"/>
      <c r="BX1296" s="1"/>
      <c r="BY1296" s="1"/>
      <c r="BZ1296" s="1">
        <v>0</v>
      </c>
      <c r="CA1296" s="1" t="s">
        <v>109</v>
      </c>
      <c r="CB1296" s="1" t="s">
        <v>109</v>
      </c>
      <c r="CC1296" s="1" t="s">
        <v>109</v>
      </c>
      <c r="CD1296" s="1" t="s">
        <v>109</v>
      </c>
      <c r="CE1296" s="1" t="s">
        <v>109</v>
      </c>
      <c r="CF1296" s="1" t="s">
        <v>109</v>
      </c>
      <c r="CG1296" s="1" t="s">
        <v>109</v>
      </c>
      <c r="CH1296" s="1" t="s">
        <v>109</v>
      </c>
      <c r="CI1296" s="1" t="s">
        <v>109</v>
      </c>
      <c r="CJ1296" s="1" t="s">
        <v>109</v>
      </c>
      <c r="CK1296" s="1"/>
      <c r="CL1296" s="1">
        <v>0</v>
      </c>
      <c r="CM1296" s="1">
        <v>0</v>
      </c>
      <c r="CN1296" s="1">
        <v>0</v>
      </c>
    </row>
    <row r="1297" spans="1:92" ht="14.25" customHeight="1" x14ac:dyDescent="0.15">
      <c r="A1297" s="1" t="s">
        <v>10265</v>
      </c>
      <c r="B1297" s="1" t="s">
        <v>189</v>
      </c>
      <c r="C1297" s="1"/>
      <c r="D1297" s="1"/>
      <c r="E1297" s="1" t="s">
        <v>10266</v>
      </c>
      <c r="F1297" s="1" t="s">
        <v>98</v>
      </c>
      <c r="G1297" s="1" t="s">
        <v>10267</v>
      </c>
      <c r="H1297" s="1">
        <v>0</v>
      </c>
      <c r="I1297" s="1" t="s">
        <v>161</v>
      </c>
      <c r="J1297" s="1"/>
      <c r="K1297" s="1"/>
      <c r="L1297" s="1" t="s">
        <v>10268</v>
      </c>
      <c r="M1297" s="1" t="s">
        <v>125</v>
      </c>
      <c r="N1297" s="1">
        <v>0</v>
      </c>
      <c r="O1297" s="1">
        <v>0</v>
      </c>
      <c r="P1297" s="1" t="s">
        <v>215</v>
      </c>
      <c r="Q1297" s="1" t="s">
        <v>216</v>
      </c>
      <c r="R1297" s="1" t="s">
        <v>10269</v>
      </c>
      <c r="S1297" s="1" t="s">
        <v>10270</v>
      </c>
      <c r="T1297" s="1" t="s">
        <v>9888</v>
      </c>
      <c r="U1297" s="1" t="s">
        <v>10271</v>
      </c>
      <c r="V1297" s="1">
        <v>1</v>
      </c>
      <c r="W1297" s="1">
        <v>1</v>
      </c>
      <c r="X1297" s="1">
        <v>1</v>
      </c>
      <c r="Y1297" s="1">
        <v>0</v>
      </c>
      <c r="Z1297" s="1">
        <v>0</v>
      </c>
      <c r="AA1297" s="1">
        <v>1</v>
      </c>
      <c r="AB1297" s="1">
        <v>1</v>
      </c>
      <c r="AC1297" s="1" t="s">
        <v>109</v>
      </c>
      <c r="AD1297" s="1" t="s">
        <v>109</v>
      </c>
      <c r="AE1297" s="1" t="s">
        <v>109</v>
      </c>
      <c r="AF1297" s="1">
        <v>1</v>
      </c>
      <c r="AG1297" s="1" t="s">
        <v>109</v>
      </c>
      <c r="AH1297" s="1" t="s">
        <v>109</v>
      </c>
      <c r="AI1297" s="1">
        <v>1</v>
      </c>
      <c r="AJ1297" s="1">
        <v>1</v>
      </c>
      <c r="AK1297" s="1" t="s">
        <v>109</v>
      </c>
      <c r="AL1297" s="1" t="s">
        <v>109</v>
      </c>
      <c r="AM1297" s="1" t="s">
        <v>109</v>
      </c>
      <c r="AN1297" s="1">
        <v>1</v>
      </c>
      <c r="AO1297" s="1" t="s">
        <v>109</v>
      </c>
      <c r="AP1297" s="1"/>
      <c r="AQ1297" s="1">
        <v>1</v>
      </c>
      <c r="AR1297" s="1"/>
      <c r="AS1297" s="1" t="s">
        <v>10272</v>
      </c>
      <c r="AT1297" s="1">
        <v>0</v>
      </c>
      <c r="AU1297" s="1">
        <v>0</v>
      </c>
      <c r="AV1297" s="1">
        <v>0</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5" t="str">
        <f>HYPERLINK("http://www.d20pfsrd.com/magic/all-spells/j/jury-rig","Jury-Rig")</f>
        <v>Jury-Rig</v>
      </c>
      <c r="BT1297" s="1">
        <v>1344</v>
      </c>
      <c r="BU1297" s="1" t="s">
        <v>109</v>
      </c>
      <c r="BV1297" s="1"/>
      <c r="BW1297" s="1"/>
      <c r="BX1297" s="1"/>
      <c r="BY1297" s="1"/>
      <c r="BZ1297" s="1">
        <v>0</v>
      </c>
      <c r="CA1297" s="1" t="s">
        <v>109</v>
      </c>
      <c r="CB1297" s="1" t="s">
        <v>109</v>
      </c>
      <c r="CC1297" s="1">
        <v>1</v>
      </c>
      <c r="CD1297" s="1" t="s">
        <v>109</v>
      </c>
      <c r="CE1297" s="1" t="s">
        <v>109</v>
      </c>
      <c r="CF1297" s="1">
        <v>1</v>
      </c>
      <c r="CG1297" s="1" t="s">
        <v>109</v>
      </c>
      <c r="CH1297" s="1" t="s">
        <v>109</v>
      </c>
      <c r="CI1297" s="1" t="s">
        <v>109</v>
      </c>
      <c r="CJ1297" s="1" t="s">
        <v>109</v>
      </c>
      <c r="CK1297" s="1"/>
      <c r="CL1297" s="1">
        <v>0</v>
      </c>
      <c r="CM1297" s="1">
        <v>0</v>
      </c>
      <c r="CN1297" s="1">
        <v>0</v>
      </c>
    </row>
    <row r="1298" spans="1:92" ht="14.25" customHeight="1" x14ac:dyDescent="0.15">
      <c r="A1298" s="1" t="s">
        <v>10273</v>
      </c>
      <c r="B1298" s="1" t="s">
        <v>189</v>
      </c>
      <c r="C1298" s="1"/>
      <c r="D1298" s="1"/>
      <c r="E1298" s="1" t="s">
        <v>10274</v>
      </c>
      <c r="F1298" s="1" t="s">
        <v>98</v>
      </c>
      <c r="G1298" s="1" t="s">
        <v>10275</v>
      </c>
      <c r="H1298" s="1">
        <v>0</v>
      </c>
      <c r="I1298" s="1" t="s">
        <v>161</v>
      </c>
      <c r="J1298" s="1"/>
      <c r="K1298" s="1"/>
      <c r="L1298" s="1" t="s">
        <v>506</v>
      </c>
      <c r="M1298" s="1" t="s">
        <v>125</v>
      </c>
      <c r="N1298" s="1">
        <v>0</v>
      </c>
      <c r="O1298" s="1">
        <v>0</v>
      </c>
      <c r="P1298" s="1" t="s">
        <v>5812</v>
      </c>
      <c r="Q1298" s="1" t="s">
        <v>630</v>
      </c>
      <c r="R1298" s="1" t="s">
        <v>10276</v>
      </c>
      <c r="S1298" s="1" t="s">
        <v>10277</v>
      </c>
      <c r="T1298" s="1" t="s">
        <v>9888</v>
      </c>
      <c r="U1298" s="1" t="s">
        <v>10278</v>
      </c>
      <c r="V1298" s="1">
        <v>1</v>
      </c>
      <c r="W1298" s="1">
        <v>1</v>
      </c>
      <c r="X1298" s="1">
        <v>1</v>
      </c>
      <c r="Y1298" s="1">
        <v>0</v>
      </c>
      <c r="Z1298" s="1">
        <v>0</v>
      </c>
      <c r="AA1298" s="1">
        <v>2</v>
      </c>
      <c r="AB1298" s="1">
        <v>2</v>
      </c>
      <c r="AC1298" s="1" t="s">
        <v>109</v>
      </c>
      <c r="AD1298" s="1" t="s">
        <v>109</v>
      </c>
      <c r="AE1298" s="1" t="s">
        <v>109</v>
      </c>
      <c r="AF1298" s="1" t="s">
        <v>109</v>
      </c>
      <c r="AG1298" s="1" t="s">
        <v>109</v>
      </c>
      <c r="AH1298" s="1">
        <v>2</v>
      </c>
      <c r="AI1298" s="1" t="s">
        <v>109</v>
      </c>
      <c r="AJ1298" s="1" t="s">
        <v>109</v>
      </c>
      <c r="AK1298" s="1" t="s">
        <v>109</v>
      </c>
      <c r="AL1298" s="1" t="s">
        <v>109</v>
      </c>
      <c r="AM1298" s="1" t="s">
        <v>109</v>
      </c>
      <c r="AN1298" s="1" t="s">
        <v>109</v>
      </c>
      <c r="AO1298" s="1" t="s">
        <v>109</v>
      </c>
      <c r="AP1298" s="1"/>
      <c r="AQ1298" s="1">
        <v>2</v>
      </c>
      <c r="AR1298" s="1"/>
      <c r="AS1298" s="1" t="s">
        <v>10279</v>
      </c>
      <c r="AT1298" s="1">
        <v>0</v>
      </c>
      <c r="AU1298" s="1">
        <v>0</v>
      </c>
      <c r="AV1298" s="1">
        <v>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5" t="str">
        <f>HYPERLINK("http://www.d20pfsrd.com/magic/all-spells/k/kinetic-reverberation","Kinetic Reverberation")</f>
        <v>Kinetic Reverberation</v>
      </c>
      <c r="BT1298" s="1">
        <v>1345</v>
      </c>
      <c r="BU1298" s="1" t="s">
        <v>109</v>
      </c>
      <c r="BV1298" s="1"/>
      <c r="BW1298" s="1"/>
      <c r="BX1298" s="1"/>
      <c r="BY1298" s="1"/>
      <c r="BZ1298" s="1">
        <v>0</v>
      </c>
      <c r="CA1298" s="1" t="s">
        <v>109</v>
      </c>
      <c r="CB1298" s="1" t="s">
        <v>109</v>
      </c>
      <c r="CC1298" s="1">
        <v>2</v>
      </c>
      <c r="CD1298" s="1" t="s">
        <v>109</v>
      </c>
      <c r="CE1298" s="1" t="s">
        <v>109</v>
      </c>
      <c r="CF1298" s="1" t="s">
        <v>109</v>
      </c>
      <c r="CG1298" s="1" t="s">
        <v>109</v>
      </c>
      <c r="CH1298" s="1" t="s">
        <v>109</v>
      </c>
      <c r="CI1298" s="1" t="s">
        <v>109</v>
      </c>
      <c r="CJ1298" s="1" t="s">
        <v>109</v>
      </c>
      <c r="CK1298" s="1"/>
      <c r="CL1298" s="1">
        <v>0</v>
      </c>
      <c r="CM1298" s="1">
        <v>0</v>
      </c>
      <c r="CN1298" s="1">
        <v>0</v>
      </c>
    </row>
    <row r="1299" spans="1:92" ht="14.25" customHeight="1" x14ac:dyDescent="0.15">
      <c r="A1299" s="1" t="s">
        <v>10280</v>
      </c>
      <c r="B1299" s="1" t="s">
        <v>156</v>
      </c>
      <c r="C1299" s="1" t="s">
        <v>157</v>
      </c>
      <c r="D1299" s="1" t="s">
        <v>158</v>
      </c>
      <c r="E1299" s="1" t="s">
        <v>6304</v>
      </c>
      <c r="F1299" s="1" t="s">
        <v>98</v>
      </c>
      <c r="G1299" s="1" t="s">
        <v>141</v>
      </c>
      <c r="H1299" s="1">
        <v>0</v>
      </c>
      <c r="I1299" s="1" t="s">
        <v>235</v>
      </c>
      <c r="J1299" s="1"/>
      <c r="K1299" s="1"/>
      <c r="L1299" s="1" t="s">
        <v>236</v>
      </c>
      <c r="M1299" s="1" t="s">
        <v>125</v>
      </c>
      <c r="N1299" s="1">
        <v>0</v>
      </c>
      <c r="O1299" s="1">
        <v>0</v>
      </c>
      <c r="P1299" s="1" t="s">
        <v>10281</v>
      </c>
      <c r="Q1299" s="1" t="s">
        <v>268</v>
      </c>
      <c r="R1299" s="1" t="s">
        <v>10282</v>
      </c>
      <c r="S1299" s="1" t="s">
        <v>10283</v>
      </c>
      <c r="T1299" s="1" t="s">
        <v>9888</v>
      </c>
      <c r="U1299" s="1" t="s">
        <v>10284</v>
      </c>
      <c r="V1299" s="1">
        <v>1</v>
      </c>
      <c r="W1299" s="1">
        <v>1</v>
      </c>
      <c r="X1299" s="1">
        <v>0</v>
      </c>
      <c r="Y1299" s="1">
        <v>0</v>
      </c>
      <c r="Z1299" s="1">
        <v>0</v>
      </c>
      <c r="AA1299" s="1" t="s">
        <v>109</v>
      </c>
      <c r="AB1299" s="1" t="s">
        <v>109</v>
      </c>
      <c r="AC1299" s="1" t="s">
        <v>109</v>
      </c>
      <c r="AD1299" s="1" t="s">
        <v>109</v>
      </c>
      <c r="AE1299" s="1" t="s">
        <v>109</v>
      </c>
      <c r="AF1299" s="1" t="s">
        <v>109</v>
      </c>
      <c r="AG1299" s="1" t="s">
        <v>109</v>
      </c>
      <c r="AH1299" s="1">
        <v>5</v>
      </c>
      <c r="AI1299" s="1" t="s">
        <v>109</v>
      </c>
      <c r="AJ1299" s="1" t="s">
        <v>109</v>
      </c>
      <c r="AK1299" s="1" t="s">
        <v>109</v>
      </c>
      <c r="AL1299" s="1" t="s">
        <v>109</v>
      </c>
      <c r="AM1299" s="1" t="s">
        <v>109</v>
      </c>
      <c r="AN1299" s="1" t="s">
        <v>109</v>
      </c>
      <c r="AO1299" s="1" t="s">
        <v>109</v>
      </c>
      <c r="AP1299" s="1"/>
      <c r="AQ1299" s="1">
        <v>5</v>
      </c>
      <c r="AR1299" s="1"/>
      <c r="AS1299" s="1" t="s">
        <v>10285</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1</v>
      </c>
      <c r="BN1299" s="1">
        <v>0</v>
      </c>
      <c r="BO1299" s="1">
        <v>0</v>
      </c>
      <c r="BP1299" s="1">
        <v>0</v>
      </c>
      <c r="BQ1299" s="1">
        <v>0</v>
      </c>
      <c r="BR1299" s="1">
        <v>0</v>
      </c>
      <c r="BS1299" s="5" t="str">
        <f>HYPERLINK("http://www.d20pfsrd.com/magic/all-spells/l/languid-bomb-admixture","Languid Bomb Admixture")</f>
        <v>Languid Bomb Admixture</v>
      </c>
      <c r="BT1299" s="1">
        <v>1346</v>
      </c>
      <c r="BU1299" s="1" t="s">
        <v>109</v>
      </c>
      <c r="BV1299" s="1"/>
      <c r="BW1299" s="1"/>
      <c r="BX1299" s="1"/>
      <c r="BY1299" s="1"/>
      <c r="BZ1299" s="1">
        <v>0</v>
      </c>
      <c r="CA1299" s="1" t="s">
        <v>109</v>
      </c>
      <c r="CB1299" s="1" t="s">
        <v>109</v>
      </c>
      <c r="CC1299" s="1" t="s">
        <v>109</v>
      </c>
      <c r="CD1299" s="1" t="s">
        <v>109</v>
      </c>
      <c r="CE1299" s="1" t="s">
        <v>109</v>
      </c>
      <c r="CF1299" s="1" t="s">
        <v>109</v>
      </c>
      <c r="CG1299" s="1" t="s">
        <v>109</v>
      </c>
      <c r="CH1299" s="1" t="s">
        <v>109</v>
      </c>
      <c r="CI1299" s="1" t="s">
        <v>109</v>
      </c>
      <c r="CJ1299" s="1" t="s">
        <v>109</v>
      </c>
      <c r="CK1299" s="1"/>
      <c r="CL1299" s="1">
        <v>0</v>
      </c>
      <c r="CM1299" s="1">
        <v>0</v>
      </c>
      <c r="CN1299" s="1">
        <v>0</v>
      </c>
    </row>
    <row r="1300" spans="1:92" ht="14.25" customHeight="1" x14ac:dyDescent="0.15">
      <c r="A1300" s="1" t="s">
        <v>10286</v>
      </c>
      <c r="B1300" s="1" t="s">
        <v>189</v>
      </c>
      <c r="C1300" s="1"/>
      <c r="D1300" s="1"/>
      <c r="E1300" s="1" t="s">
        <v>10287</v>
      </c>
      <c r="F1300" s="1" t="s">
        <v>1963</v>
      </c>
      <c r="G1300" s="1" t="s">
        <v>333</v>
      </c>
      <c r="H1300" s="1">
        <v>0</v>
      </c>
      <c r="I1300" s="1" t="s">
        <v>142</v>
      </c>
      <c r="J1300" s="1"/>
      <c r="K1300" s="1"/>
      <c r="L1300" s="1" t="s">
        <v>1391</v>
      </c>
      <c r="M1300" s="1" t="s">
        <v>144</v>
      </c>
      <c r="N1300" s="1">
        <v>0</v>
      </c>
      <c r="O1300" s="1">
        <v>0</v>
      </c>
      <c r="P1300" s="1" t="s">
        <v>507</v>
      </c>
      <c r="Q1300" s="1" t="s">
        <v>167</v>
      </c>
      <c r="R1300" s="1" t="s">
        <v>5671</v>
      </c>
      <c r="S1300" s="1" t="s">
        <v>10288</v>
      </c>
      <c r="T1300" s="1" t="s">
        <v>9888</v>
      </c>
      <c r="U1300" s="1" t="s">
        <v>10289</v>
      </c>
      <c r="V1300" s="1">
        <v>1</v>
      </c>
      <c r="W1300" s="1">
        <v>0</v>
      </c>
      <c r="X1300" s="1">
        <v>0</v>
      </c>
      <c r="Y1300" s="1">
        <v>0</v>
      </c>
      <c r="Z1300" s="1">
        <v>0</v>
      </c>
      <c r="AA1300" s="1">
        <v>1</v>
      </c>
      <c r="AB1300" s="1">
        <v>1</v>
      </c>
      <c r="AC1300" s="1">
        <v>1</v>
      </c>
      <c r="AD1300" s="1">
        <v>1</v>
      </c>
      <c r="AE1300" s="1">
        <v>1</v>
      </c>
      <c r="AF1300" s="1">
        <v>1</v>
      </c>
      <c r="AG1300" s="1">
        <v>1</v>
      </c>
      <c r="AH1300" s="1" t="s">
        <v>109</v>
      </c>
      <c r="AI1300" s="1" t="s">
        <v>109</v>
      </c>
      <c r="AJ1300" s="1" t="s">
        <v>109</v>
      </c>
      <c r="AK1300" s="1" t="s">
        <v>109</v>
      </c>
      <c r="AL1300" s="1">
        <v>1</v>
      </c>
      <c r="AM1300" s="1" t="s">
        <v>109</v>
      </c>
      <c r="AN1300" s="1" t="s">
        <v>109</v>
      </c>
      <c r="AO1300" s="1" t="s">
        <v>109</v>
      </c>
      <c r="AP1300" s="1"/>
      <c r="AQ1300" s="1">
        <v>1</v>
      </c>
      <c r="AR1300" s="1"/>
      <c r="AS1300" s="1" t="s">
        <v>10290</v>
      </c>
      <c r="AT1300" s="1">
        <v>0</v>
      </c>
      <c r="AU1300" s="1">
        <v>0</v>
      </c>
      <c r="AV1300" s="1">
        <v>0</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5" t="str">
        <f>HYPERLINK("http://www.d20pfsrd.com/magic/all-spells/l/liberating-command","Liberating Command")</f>
        <v>Liberating Command</v>
      </c>
      <c r="BT1300" s="1">
        <v>1347</v>
      </c>
      <c r="BU1300" s="1" t="s">
        <v>109</v>
      </c>
      <c r="BV1300" s="1"/>
      <c r="BW1300" s="1"/>
      <c r="BX1300" s="1"/>
      <c r="BY1300" s="1"/>
      <c r="BZ1300" s="1">
        <v>0</v>
      </c>
      <c r="CA1300" s="1" t="s">
        <v>109</v>
      </c>
      <c r="CB1300" s="1" t="s">
        <v>109</v>
      </c>
      <c r="CC1300" s="1">
        <v>1</v>
      </c>
      <c r="CD1300" s="1" t="s">
        <v>109</v>
      </c>
      <c r="CE1300" s="1" t="s">
        <v>109</v>
      </c>
      <c r="CF1300" s="1">
        <v>1</v>
      </c>
      <c r="CG1300" s="1" t="s">
        <v>109</v>
      </c>
      <c r="CH1300" s="1" t="s">
        <v>109</v>
      </c>
      <c r="CI1300" s="1" t="s">
        <v>109</v>
      </c>
      <c r="CJ1300" s="1">
        <v>1</v>
      </c>
      <c r="CK1300" s="1"/>
      <c r="CL1300" s="1">
        <v>0</v>
      </c>
      <c r="CM1300" s="1">
        <v>0</v>
      </c>
      <c r="CN1300" s="1">
        <v>0</v>
      </c>
    </row>
    <row r="1301" spans="1:92" ht="14.25" customHeight="1" x14ac:dyDescent="0.15">
      <c r="A1301" s="1" t="s">
        <v>10291</v>
      </c>
      <c r="B1301" s="1" t="s">
        <v>95</v>
      </c>
      <c r="C1301" s="1" t="s">
        <v>694</v>
      </c>
      <c r="D1301" s="1"/>
      <c r="E1301" s="1" t="s">
        <v>7084</v>
      </c>
      <c r="F1301" s="1" t="s">
        <v>98</v>
      </c>
      <c r="G1301" s="1" t="s">
        <v>141</v>
      </c>
      <c r="H1301" s="1">
        <v>0</v>
      </c>
      <c r="I1301" s="1" t="s">
        <v>235</v>
      </c>
      <c r="J1301" s="1"/>
      <c r="K1301" s="1"/>
      <c r="L1301" s="1" t="s">
        <v>236</v>
      </c>
      <c r="M1301" s="1" t="s">
        <v>125</v>
      </c>
      <c r="N1301" s="1">
        <v>0</v>
      </c>
      <c r="O1301" s="1">
        <v>0</v>
      </c>
      <c r="P1301" s="1"/>
      <c r="Q1301" s="1"/>
      <c r="R1301" s="1" t="s">
        <v>10292</v>
      </c>
      <c r="S1301" s="1" t="s">
        <v>10293</v>
      </c>
      <c r="T1301" s="1" t="s">
        <v>9888</v>
      </c>
      <c r="U1301" s="1" t="s">
        <v>10294</v>
      </c>
      <c r="V1301" s="1">
        <v>1</v>
      </c>
      <c r="W1301" s="1">
        <v>1</v>
      </c>
      <c r="X1301" s="1">
        <v>0</v>
      </c>
      <c r="Y1301" s="1">
        <v>0</v>
      </c>
      <c r="Z1301" s="1">
        <v>0</v>
      </c>
      <c r="AA1301" s="1" t="s">
        <v>109</v>
      </c>
      <c r="AB1301" s="1" t="s">
        <v>109</v>
      </c>
      <c r="AC1301" s="1" t="s">
        <v>109</v>
      </c>
      <c r="AD1301" s="1" t="s">
        <v>109</v>
      </c>
      <c r="AE1301" s="1" t="s">
        <v>109</v>
      </c>
      <c r="AF1301" s="1" t="s">
        <v>109</v>
      </c>
      <c r="AG1301" s="1" t="s">
        <v>109</v>
      </c>
      <c r="AH1301" s="1" t="s">
        <v>109</v>
      </c>
      <c r="AI1301" s="1">
        <v>1</v>
      </c>
      <c r="AJ1301" s="1" t="s">
        <v>109</v>
      </c>
      <c r="AK1301" s="1" t="s">
        <v>109</v>
      </c>
      <c r="AL1301" s="1" t="s">
        <v>109</v>
      </c>
      <c r="AM1301" s="1" t="s">
        <v>109</v>
      </c>
      <c r="AN1301" s="1" t="s">
        <v>109</v>
      </c>
      <c r="AO1301" s="1" t="s">
        <v>109</v>
      </c>
      <c r="AP1301" s="1"/>
      <c r="AQ1301" s="1">
        <v>1</v>
      </c>
      <c r="AR1301" s="1"/>
      <c r="AS1301" s="1" t="s">
        <v>10295</v>
      </c>
      <c r="AT1301" s="1">
        <v>0</v>
      </c>
      <c r="AU1301" s="1">
        <v>0</v>
      </c>
      <c r="AV1301" s="1">
        <v>0</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5" t="str">
        <f>HYPERLINK("http://www.d20pfsrd.com/magic/all-spells/l/life-conduit","Life Conduit")</f>
        <v>Life Conduit</v>
      </c>
      <c r="BT1301" s="1">
        <v>1348</v>
      </c>
      <c r="BU1301" s="1" t="s">
        <v>109</v>
      </c>
      <c r="BV1301" s="1"/>
      <c r="BW1301" s="1"/>
      <c r="BX1301" s="1"/>
      <c r="BY1301" s="1"/>
      <c r="BZ1301" s="1">
        <v>0</v>
      </c>
      <c r="CA1301" s="1" t="s">
        <v>109</v>
      </c>
      <c r="CB1301" s="1" t="s">
        <v>109</v>
      </c>
      <c r="CC1301" s="1" t="s">
        <v>109</v>
      </c>
      <c r="CD1301" s="1" t="s">
        <v>109</v>
      </c>
      <c r="CE1301" s="1" t="s">
        <v>109</v>
      </c>
      <c r="CF1301" s="1" t="s">
        <v>109</v>
      </c>
      <c r="CG1301" s="1" t="s">
        <v>109</v>
      </c>
      <c r="CH1301" s="1" t="s">
        <v>109</v>
      </c>
      <c r="CI1301" s="1" t="s">
        <v>109</v>
      </c>
      <c r="CJ1301" s="1" t="s">
        <v>109</v>
      </c>
      <c r="CK1301" s="1"/>
      <c r="CL1301" s="1">
        <v>0</v>
      </c>
      <c r="CM1301" s="1">
        <v>0</v>
      </c>
      <c r="CN1301" s="1">
        <v>0</v>
      </c>
    </row>
    <row r="1302" spans="1:92" ht="14.25" customHeight="1" x14ac:dyDescent="0.15">
      <c r="A1302" s="1" t="s">
        <v>10296</v>
      </c>
      <c r="B1302" s="1" t="s">
        <v>95</v>
      </c>
      <c r="C1302" s="1" t="s">
        <v>694</v>
      </c>
      <c r="D1302" s="1"/>
      <c r="E1302" s="1" t="s">
        <v>7097</v>
      </c>
      <c r="F1302" s="1" t="s">
        <v>98</v>
      </c>
      <c r="G1302" s="1" t="s">
        <v>141</v>
      </c>
      <c r="H1302" s="1">
        <v>0</v>
      </c>
      <c r="I1302" s="1" t="s">
        <v>235</v>
      </c>
      <c r="J1302" s="1"/>
      <c r="K1302" s="1"/>
      <c r="L1302" s="1" t="s">
        <v>236</v>
      </c>
      <c r="M1302" s="1" t="s">
        <v>125</v>
      </c>
      <c r="N1302" s="1">
        <v>0</v>
      </c>
      <c r="O1302" s="1">
        <v>0</v>
      </c>
      <c r="P1302" s="1"/>
      <c r="Q1302" s="1"/>
      <c r="R1302" s="1" t="s">
        <v>10297</v>
      </c>
      <c r="S1302" s="1" t="s">
        <v>10298</v>
      </c>
      <c r="T1302" s="1" t="s">
        <v>9888</v>
      </c>
      <c r="U1302" s="1" t="s">
        <v>10299</v>
      </c>
      <c r="V1302" s="1">
        <v>1</v>
      </c>
      <c r="W1302" s="1">
        <v>1</v>
      </c>
      <c r="X1302" s="1">
        <v>0</v>
      </c>
      <c r="Y1302" s="1">
        <v>0</v>
      </c>
      <c r="Z1302" s="1">
        <v>0</v>
      </c>
      <c r="AA1302" s="1" t="s">
        <v>109</v>
      </c>
      <c r="AB1302" s="1" t="s">
        <v>109</v>
      </c>
      <c r="AC1302" s="1" t="s">
        <v>109</v>
      </c>
      <c r="AD1302" s="1" t="s">
        <v>109</v>
      </c>
      <c r="AE1302" s="1" t="s">
        <v>109</v>
      </c>
      <c r="AF1302" s="1" t="s">
        <v>109</v>
      </c>
      <c r="AG1302" s="1" t="s">
        <v>109</v>
      </c>
      <c r="AH1302" s="1" t="s">
        <v>109</v>
      </c>
      <c r="AI1302" s="1">
        <v>5</v>
      </c>
      <c r="AJ1302" s="1" t="s">
        <v>109</v>
      </c>
      <c r="AK1302" s="1" t="s">
        <v>109</v>
      </c>
      <c r="AL1302" s="1" t="s">
        <v>109</v>
      </c>
      <c r="AM1302" s="1" t="s">
        <v>109</v>
      </c>
      <c r="AN1302" s="1" t="s">
        <v>109</v>
      </c>
      <c r="AO1302" s="1" t="s">
        <v>109</v>
      </c>
      <c r="AP1302" s="1"/>
      <c r="AQ1302" s="1">
        <v>5</v>
      </c>
      <c r="AR1302" s="1"/>
      <c r="AS1302" s="1" t="s">
        <v>10300</v>
      </c>
      <c r="AT1302" s="1">
        <v>0</v>
      </c>
      <c r="AU1302" s="1">
        <v>0</v>
      </c>
      <c r="AV1302" s="1">
        <v>0</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5" t="str">
        <f>HYPERLINK("http://www.d20pfsrd.com/magic/all-spells/l/life-conduit#TOC-Life-Conduit-Greater","Life Conduit, Greater")</f>
        <v>Life Conduit, Greater</v>
      </c>
      <c r="BT1302" s="1">
        <v>1349</v>
      </c>
      <c r="BU1302" s="1" t="s">
        <v>109</v>
      </c>
      <c r="BV1302" s="1"/>
      <c r="BW1302" s="1"/>
      <c r="BX1302" s="1"/>
      <c r="BY1302" s="1"/>
      <c r="BZ1302" s="1">
        <v>0</v>
      </c>
      <c r="CA1302" s="1" t="s">
        <v>109</v>
      </c>
      <c r="CB1302" s="1" t="s">
        <v>109</v>
      </c>
      <c r="CC1302" s="1" t="s">
        <v>109</v>
      </c>
      <c r="CD1302" s="1" t="s">
        <v>109</v>
      </c>
      <c r="CE1302" s="1" t="s">
        <v>109</v>
      </c>
      <c r="CF1302" s="1" t="s">
        <v>109</v>
      </c>
      <c r="CG1302" s="1" t="s">
        <v>109</v>
      </c>
      <c r="CH1302" s="1" t="s">
        <v>109</v>
      </c>
      <c r="CI1302" s="1" t="s">
        <v>109</v>
      </c>
      <c r="CJ1302" s="1" t="s">
        <v>109</v>
      </c>
      <c r="CK1302" s="1"/>
      <c r="CL1302" s="1">
        <v>0</v>
      </c>
      <c r="CM1302" s="1">
        <v>0</v>
      </c>
      <c r="CN1302" s="1">
        <v>0</v>
      </c>
    </row>
    <row r="1303" spans="1:92" ht="14.25" customHeight="1" x14ac:dyDescent="0.15">
      <c r="A1303" s="1" t="s">
        <v>10301</v>
      </c>
      <c r="B1303" s="1" t="s">
        <v>95</v>
      </c>
      <c r="C1303" s="1" t="s">
        <v>694</v>
      </c>
      <c r="D1303" s="1"/>
      <c r="E1303" s="1" t="s">
        <v>6467</v>
      </c>
      <c r="F1303" s="1" t="s">
        <v>98</v>
      </c>
      <c r="G1303" s="1" t="s">
        <v>141</v>
      </c>
      <c r="H1303" s="1">
        <v>0</v>
      </c>
      <c r="I1303" s="1" t="s">
        <v>235</v>
      </c>
      <c r="J1303" s="1"/>
      <c r="K1303" s="1"/>
      <c r="L1303" s="1" t="s">
        <v>236</v>
      </c>
      <c r="M1303" s="1" t="s">
        <v>125</v>
      </c>
      <c r="N1303" s="1">
        <v>0</v>
      </c>
      <c r="O1303" s="1">
        <v>0</v>
      </c>
      <c r="P1303" s="1"/>
      <c r="Q1303" s="1"/>
      <c r="R1303" s="1" t="s">
        <v>10302</v>
      </c>
      <c r="S1303" s="1" t="s">
        <v>10303</v>
      </c>
      <c r="T1303" s="1" t="s">
        <v>9888</v>
      </c>
      <c r="U1303" s="1" t="s">
        <v>10304</v>
      </c>
      <c r="V1303" s="1">
        <v>1</v>
      </c>
      <c r="W1303" s="1">
        <v>1</v>
      </c>
      <c r="X1303" s="1">
        <v>0</v>
      </c>
      <c r="Y1303" s="1">
        <v>0</v>
      </c>
      <c r="Z1303" s="1">
        <v>0</v>
      </c>
      <c r="AA1303" s="1" t="s">
        <v>109</v>
      </c>
      <c r="AB1303" s="1" t="s">
        <v>109</v>
      </c>
      <c r="AC1303" s="1" t="s">
        <v>109</v>
      </c>
      <c r="AD1303" s="1" t="s">
        <v>109</v>
      </c>
      <c r="AE1303" s="1" t="s">
        <v>109</v>
      </c>
      <c r="AF1303" s="1" t="s">
        <v>109</v>
      </c>
      <c r="AG1303" s="1" t="s">
        <v>109</v>
      </c>
      <c r="AH1303" s="1" t="s">
        <v>109</v>
      </c>
      <c r="AI1303" s="1">
        <v>3</v>
      </c>
      <c r="AJ1303" s="1" t="s">
        <v>109</v>
      </c>
      <c r="AK1303" s="1" t="s">
        <v>109</v>
      </c>
      <c r="AL1303" s="1" t="s">
        <v>109</v>
      </c>
      <c r="AM1303" s="1" t="s">
        <v>109</v>
      </c>
      <c r="AN1303" s="1" t="s">
        <v>109</v>
      </c>
      <c r="AO1303" s="1" t="s">
        <v>109</v>
      </c>
      <c r="AP1303" s="1"/>
      <c r="AQ1303" s="1">
        <v>3</v>
      </c>
      <c r="AR1303" s="1"/>
      <c r="AS1303" s="1" t="s">
        <v>10305</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5" t="str">
        <f>HYPERLINK("http://www.d20pfsrd.com/magic/all-spells/l/life-conduit#TOC-Life-Conduit-Improved","Life Conduit, Improved")</f>
        <v>Life Conduit, Improved</v>
      </c>
      <c r="BT1303" s="1">
        <v>1350</v>
      </c>
      <c r="BU1303" s="1" t="s">
        <v>109</v>
      </c>
      <c r="BV1303" s="1"/>
      <c r="BW1303" s="1"/>
      <c r="BX1303" s="1"/>
      <c r="BY1303" s="1"/>
      <c r="BZ1303" s="1">
        <v>0</v>
      </c>
      <c r="CA1303" s="1" t="s">
        <v>109</v>
      </c>
      <c r="CB1303" s="1" t="s">
        <v>109</v>
      </c>
      <c r="CC1303" s="1" t="s">
        <v>109</v>
      </c>
      <c r="CD1303" s="1" t="s">
        <v>109</v>
      </c>
      <c r="CE1303" s="1" t="s">
        <v>109</v>
      </c>
      <c r="CF1303" s="1" t="s">
        <v>109</v>
      </c>
      <c r="CG1303" s="1" t="s">
        <v>109</v>
      </c>
      <c r="CH1303" s="1" t="s">
        <v>109</v>
      </c>
      <c r="CI1303" s="1" t="s">
        <v>109</v>
      </c>
      <c r="CJ1303" s="1" t="s">
        <v>109</v>
      </c>
      <c r="CK1303" s="1"/>
      <c r="CL1303" s="1">
        <v>0</v>
      </c>
      <c r="CM1303" s="1">
        <v>0</v>
      </c>
      <c r="CN1303" s="1">
        <v>0</v>
      </c>
    </row>
    <row r="1304" spans="1:92" ht="14.25" customHeight="1" x14ac:dyDescent="0.15">
      <c r="A1304" s="1" t="s">
        <v>10306</v>
      </c>
      <c r="B1304" s="1" t="s">
        <v>584</v>
      </c>
      <c r="C1304" s="1"/>
      <c r="D1304" s="1" t="s">
        <v>55</v>
      </c>
      <c r="E1304" s="1" t="s">
        <v>5810</v>
      </c>
      <c r="F1304" s="1" t="s">
        <v>98</v>
      </c>
      <c r="G1304" s="1" t="s">
        <v>141</v>
      </c>
      <c r="H1304" s="1">
        <v>0</v>
      </c>
      <c r="I1304" s="1" t="s">
        <v>235</v>
      </c>
      <c r="J1304" s="1"/>
      <c r="K1304" s="1"/>
      <c r="L1304" s="1" t="s">
        <v>236</v>
      </c>
      <c r="M1304" s="1" t="s">
        <v>125</v>
      </c>
      <c r="N1304" s="1">
        <v>0</v>
      </c>
      <c r="O1304" s="1">
        <v>0</v>
      </c>
      <c r="P1304" s="1" t="s">
        <v>9973</v>
      </c>
      <c r="Q1304" s="1" t="s">
        <v>9973</v>
      </c>
      <c r="R1304" s="1" t="s">
        <v>10307</v>
      </c>
      <c r="S1304" s="1" t="s">
        <v>10308</v>
      </c>
      <c r="T1304" s="1" t="s">
        <v>9888</v>
      </c>
      <c r="U1304" s="1" t="s">
        <v>10309</v>
      </c>
      <c r="V1304" s="1">
        <v>1</v>
      </c>
      <c r="W1304" s="1">
        <v>1</v>
      </c>
      <c r="X1304" s="1">
        <v>0</v>
      </c>
      <c r="Y1304" s="1">
        <v>0</v>
      </c>
      <c r="Z1304" s="1">
        <v>0</v>
      </c>
      <c r="AA1304" s="1" t="s">
        <v>109</v>
      </c>
      <c r="AB1304" s="1" t="s">
        <v>109</v>
      </c>
      <c r="AC1304" s="1" t="s">
        <v>109</v>
      </c>
      <c r="AD1304" s="1" t="s">
        <v>109</v>
      </c>
      <c r="AE1304" s="1" t="s">
        <v>109</v>
      </c>
      <c r="AF1304" s="1" t="s">
        <v>109</v>
      </c>
      <c r="AG1304" s="1" t="s">
        <v>109</v>
      </c>
      <c r="AH1304" s="1">
        <v>3</v>
      </c>
      <c r="AI1304" s="1" t="s">
        <v>109</v>
      </c>
      <c r="AJ1304" s="1" t="s">
        <v>109</v>
      </c>
      <c r="AK1304" s="1" t="s">
        <v>109</v>
      </c>
      <c r="AL1304" s="1" t="s">
        <v>109</v>
      </c>
      <c r="AM1304" s="1" t="s">
        <v>109</v>
      </c>
      <c r="AN1304" s="1" t="s">
        <v>109</v>
      </c>
      <c r="AO1304" s="1" t="s">
        <v>109</v>
      </c>
      <c r="AP1304" s="1"/>
      <c r="AQ1304" s="1">
        <v>3</v>
      </c>
      <c r="AR1304" s="1"/>
      <c r="AS1304" s="1" t="s">
        <v>10310</v>
      </c>
      <c r="AT1304" s="1">
        <v>0</v>
      </c>
      <c r="AU1304" s="1">
        <v>0</v>
      </c>
      <c r="AV1304" s="1">
        <v>0</v>
      </c>
      <c r="AW1304" s="1">
        <v>0</v>
      </c>
      <c r="AX1304" s="1">
        <v>0</v>
      </c>
      <c r="AY1304" s="1">
        <v>0</v>
      </c>
      <c r="AZ1304" s="1">
        <v>0</v>
      </c>
      <c r="BA1304" s="1">
        <v>0</v>
      </c>
      <c r="BB1304" s="1">
        <v>0</v>
      </c>
      <c r="BC1304" s="1">
        <v>1</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5" t="str">
        <f>HYPERLINK("http://www.d20pfsrd.com/magic/all-spells/l/lightning-lash-bomb-admixture","Lightning Lash Bomb Admixture")</f>
        <v>Lightning Lash Bomb Admixture</v>
      </c>
      <c r="BT1304" s="1">
        <v>1351</v>
      </c>
      <c r="BU1304" s="1" t="s">
        <v>109</v>
      </c>
      <c r="BV1304" s="1"/>
      <c r="BW1304" s="1"/>
      <c r="BX1304" s="1"/>
      <c r="BY1304" s="1"/>
      <c r="BZ1304" s="1">
        <v>0</v>
      </c>
      <c r="CA1304" s="1" t="s">
        <v>109</v>
      </c>
      <c r="CB1304" s="1" t="s">
        <v>109</v>
      </c>
      <c r="CC1304" s="1" t="s">
        <v>109</v>
      </c>
      <c r="CD1304" s="1" t="s">
        <v>109</v>
      </c>
      <c r="CE1304" s="1" t="s">
        <v>109</v>
      </c>
      <c r="CF1304" s="1" t="s">
        <v>109</v>
      </c>
      <c r="CG1304" s="1" t="s">
        <v>109</v>
      </c>
      <c r="CH1304" s="1" t="s">
        <v>109</v>
      </c>
      <c r="CI1304" s="1" t="s">
        <v>109</v>
      </c>
      <c r="CJ1304" s="1" t="s">
        <v>109</v>
      </c>
      <c r="CK1304" s="1"/>
      <c r="CL1304" s="1">
        <v>0</v>
      </c>
      <c r="CM1304" s="1">
        <v>0</v>
      </c>
      <c r="CN1304" s="1">
        <v>0</v>
      </c>
    </row>
    <row r="1305" spans="1:92" ht="14.25" customHeight="1" x14ac:dyDescent="0.15">
      <c r="A1305" s="1" t="s">
        <v>10311</v>
      </c>
      <c r="B1305" s="1" t="s">
        <v>189</v>
      </c>
      <c r="C1305" s="1"/>
      <c r="D1305" s="1"/>
      <c r="E1305" s="1" t="s">
        <v>6216</v>
      </c>
      <c r="F1305" s="1" t="s">
        <v>6545</v>
      </c>
      <c r="G1305" s="1" t="s">
        <v>160</v>
      </c>
      <c r="H1305" s="1">
        <v>0</v>
      </c>
      <c r="I1305" s="1" t="s">
        <v>235</v>
      </c>
      <c r="J1305" s="1"/>
      <c r="K1305" s="1"/>
      <c r="L1305" s="1" t="s">
        <v>236</v>
      </c>
      <c r="M1305" s="1" t="s">
        <v>355</v>
      </c>
      <c r="N1305" s="1">
        <v>0</v>
      </c>
      <c r="O1305" s="1">
        <v>0</v>
      </c>
      <c r="P1305" s="1" t="s">
        <v>104</v>
      </c>
      <c r="Q1305" s="1" t="s">
        <v>268</v>
      </c>
      <c r="R1305" s="1" t="s">
        <v>10312</v>
      </c>
      <c r="S1305" s="1" t="s">
        <v>10313</v>
      </c>
      <c r="T1305" s="1" t="s">
        <v>9888</v>
      </c>
      <c r="U1305" s="1" t="s">
        <v>10314</v>
      </c>
      <c r="V1305" s="1">
        <v>1</v>
      </c>
      <c r="W1305" s="1">
        <v>1</v>
      </c>
      <c r="X1305" s="1">
        <v>0</v>
      </c>
      <c r="Y1305" s="1">
        <v>0</v>
      </c>
      <c r="Z1305" s="1">
        <v>1</v>
      </c>
      <c r="AA1305" s="1" t="s">
        <v>109</v>
      </c>
      <c r="AB1305" s="1" t="s">
        <v>109</v>
      </c>
      <c r="AC1305" s="1" t="s">
        <v>109</v>
      </c>
      <c r="AD1305" s="1" t="s">
        <v>109</v>
      </c>
      <c r="AE1305" s="1" t="s">
        <v>109</v>
      </c>
      <c r="AF1305" s="1" t="s">
        <v>109</v>
      </c>
      <c r="AG1305" s="1">
        <v>2</v>
      </c>
      <c r="AH1305" s="1" t="s">
        <v>109</v>
      </c>
      <c r="AI1305" s="1" t="s">
        <v>109</v>
      </c>
      <c r="AJ1305" s="1" t="s">
        <v>109</v>
      </c>
      <c r="AK1305" s="1">
        <v>2</v>
      </c>
      <c r="AL1305" s="1" t="s">
        <v>109</v>
      </c>
      <c r="AM1305" s="1">
        <v>2</v>
      </c>
      <c r="AN1305" s="1" t="s">
        <v>109</v>
      </c>
      <c r="AO1305" s="1" t="s">
        <v>109</v>
      </c>
      <c r="AP1305" s="1"/>
      <c r="AQ1305" s="1">
        <v>2</v>
      </c>
      <c r="AR1305" s="1"/>
      <c r="AS1305" s="1" t="s">
        <v>10315</v>
      </c>
      <c r="AT1305" s="1">
        <v>0</v>
      </c>
      <c r="AU1305" s="1">
        <v>0</v>
      </c>
      <c r="AV1305" s="1">
        <v>0</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5" t="str">
        <f>HYPERLINK("http://www.d20pfsrd.com/magic/all-spells/l/litany-of-defense","Litany of Defense")</f>
        <v>Litany of Defense</v>
      </c>
      <c r="BT1305" s="1">
        <v>1352</v>
      </c>
      <c r="BU1305" s="1" t="s">
        <v>109</v>
      </c>
      <c r="BV1305" s="1"/>
      <c r="BW1305" s="1"/>
      <c r="BX1305" s="1"/>
      <c r="BY1305" s="1"/>
      <c r="BZ1305" s="1">
        <v>0</v>
      </c>
      <c r="CA1305" s="1" t="s">
        <v>109</v>
      </c>
      <c r="CB1305" s="1" t="s">
        <v>109</v>
      </c>
      <c r="CC1305" s="1" t="s">
        <v>109</v>
      </c>
      <c r="CD1305" s="1" t="s">
        <v>109</v>
      </c>
      <c r="CE1305" s="1" t="s">
        <v>109</v>
      </c>
      <c r="CF1305" s="1" t="s">
        <v>109</v>
      </c>
      <c r="CG1305" s="1" t="s">
        <v>109</v>
      </c>
      <c r="CH1305" s="1" t="s">
        <v>109</v>
      </c>
      <c r="CI1305" s="1" t="s">
        <v>109</v>
      </c>
      <c r="CJ1305" s="1" t="s">
        <v>109</v>
      </c>
      <c r="CK1305" s="1"/>
      <c r="CL1305" s="1">
        <v>0</v>
      </c>
      <c r="CM1305" s="1">
        <v>0</v>
      </c>
      <c r="CN1305" s="1">
        <v>0</v>
      </c>
    </row>
    <row r="1306" spans="1:92" ht="14.25" customHeight="1" x14ac:dyDescent="0.15">
      <c r="A1306" s="1" t="s">
        <v>10316</v>
      </c>
      <c r="B1306" s="1" t="s">
        <v>156</v>
      </c>
      <c r="C1306" s="1" t="s">
        <v>834</v>
      </c>
      <c r="D1306" s="1" t="s">
        <v>954</v>
      </c>
      <c r="E1306" s="1" t="s">
        <v>10317</v>
      </c>
      <c r="F1306" s="1" t="s">
        <v>6545</v>
      </c>
      <c r="G1306" s="1" t="s">
        <v>160</v>
      </c>
      <c r="H1306" s="1">
        <v>0</v>
      </c>
      <c r="I1306" s="1" t="s">
        <v>142</v>
      </c>
      <c r="J1306" s="1"/>
      <c r="K1306" s="1"/>
      <c r="L1306" s="1" t="s">
        <v>1391</v>
      </c>
      <c r="M1306" s="1" t="s">
        <v>355</v>
      </c>
      <c r="N1306" s="1">
        <v>0</v>
      </c>
      <c r="O1306" s="1">
        <v>0</v>
      </c>
      <c r="P1306" s="1" t="s">
        <v>104</v>
      </c>
      <c r="Q1306" s="1" t="s">
        <v>268</v>
      </c>
      <c r="R1306" s="1" t="s">
        <v>10318</v>
      </c>
      <c r="S1306" s="1" t="s">
        <v>10319</v>
      </c>
      <c r="T1306" s="1" t="s">
        <v>9888</v>
      </c>
      <c r="U1306" s="1" t="s">
        <v>10320</v>
      </c>
      <c r="V1306" s="1">
        <v>1</v>
      </c>
      <c r="W1306" s="1">
        <v>1</v>
      </c>
      <c r="X1306" s="1">
        <v>0</v>
      </c>
      <c r="Y1306" s="1">
        <v>0</v>
      </c>
      <c r="Z1306" s="1">
        <v>1</v>
      </c>
      <c r="AA1306" s="1" t="s">
        <v>109</v>
      </c>
      <c r="AB1306" s="1" t="s">
        <v>109</v>
      </c>
      <c r="AC1306" s="1" t="s">
        <v>109</v>
      </c>
      <c r="AD1306" s="1" t="s">
        <v>109</v>
      </c>
      <c r="AE1306" s="1" t="s">
        <v>109</v>
      </c>
      <c r="AF1306" s="1" t="s">
        <v>109</v>
      </c>
      <c r="AG1306" s="1">
        <v>2</v>
      </c>
      <c r="AH1306" s="1" t="s">
        <v>109</v>
      </c>
      <c r="AI1306" s="1" t="s">
        <v>109</v>
      </c>
      <c r="AJ1306" s="1" t="s">
        <v>109</v>
      </c>
      <c r="AK1306" s="1">
        <v>3</v>
      </c>
      <c r="AL1306" s="1" t="s">
        <v>109</v>
      </c>
      <c r="AM1306" s="1">
        <v>2</v>
      </c>
      <c r="AN1306" s="1" t="s">
        <v>109</v>
      </c>
      <c r="AO1306" s="1" t="s">
        <v>109</v>
      </c>
      <c r="AP1306" s="1"/>
      <c r="AQ1306" s="1">
        <v>2</v>
      </c>
      <c r="AR1306" s="1"/>
      <c r="AS1306" s="1" t="s">
        <v>10321</v>
      </c>
      <c r="AT1306" s="1">
        <v>0</v>
      </c>
      <c r="AU1306" s="1">
        <v>0</v>
      </c>
      <c r="AV1306" s="1">
        <v>0</v>
      </c>
      <c r="AW1306" s="1">
        <v>0</v>
      </c>
      <c r="AX1306" s="1">
        <v>0</v>
      </c>
      <c r="AY1306" s="1">
        <v>0</v>
      </c>
      <c r="AZ1306" s="1">
        <v>0</v>
      </c>
      <c r="BA1306" s="1">
        <v>0</v>
      </c>
      <c r="BB1306" s="1">
        <v>0</v>
      </c>
      <c r="BC1306" s="1">
        <v>0</v>
      </c>
      <c r="BD1306" s="1">
        <v>0</v>
      </c>
      <c r="BE1306" s="1">
        <v>0</v>
      </c>
      <c r="BF1306" s="1">
        <v>0</v>
      </c>
      <c r="BG1306" s="1">
        <v>0</v>
      </c>
      <c r="BH1306" s="1">
        <v>0</v>
      </c>
      <c r="BI1306" s="1">
        <v>0</v>
      </c>
      <c r="BJ1306" s="1">
        <v>1</v>
      </c>
      <c r="BK1306" s="1">
        <v>0</v>
      </c>
      <c r="BL1306" s="1">
        <v>0</v>
      </c>
      <c r="BM1306" s="1">
        <v>1</v>
      </c>
      <c r="BN1306" s="1">
        <v>0</v>
      </c>
      <c r="BO1306" s="1">
        <v>0</v>
      </c>
      <c r="BP1306" s="1">
        <v>0</v>
      </c>
      <c r="BQ1306" s="1">
        <v>0</v>
      </c>
      <c r="BR1306" s="1">
        <v>0</v>
      </c>
      <c r="BS1306" s="5" t="str">
        <f>HYPERLINK("http://www.d20pfsrd.com/magic/all-spells/l/litany-of-eloquence","Litany of Eloquence")</f>
        <v>Litany of Eloquence</v>
      </c>
      <c r="BT1306" s="1">
        <v>1353</v>
      </c>
      <c r="BU1306" s="1" t="s">
        <v>109</v>
      </c>
      <c r="BV1306" s="1"/>
      <c r="BW1306" s="1"/>
      <c r="BX1306" s="1"/>
      <c r="BY1306" s="1"/>
      <c r="BZ1306" s="1">
        <v>0</v>
      </c>
      <c r="CA1306" s="1" t="s">
        <v>109</v>
      </c>
      <c r="CB1306" s="1" t="s">
        <v>109</v>
      </c>
      <c r="CC1306" s="1" t="s">
        <v>109</v>
      </c>
      <c r="CD1306" s="1" t="s">
        <v>109</v>
      </c>
      <c r="CE1306" s="1" t="s">
        <v>109</v>
      </c>
      <c r="CF1306" s="1" t="s">
        <v>109</v>
      </c>
      <c r="CG1306" s="1" t="s">
        <v>109</v>
      </c>
      <c r="CH1306" s="1" t="s">
        <v>109</v>
      </c>
      <c r="CI1306" s="1" t="s">
        <v>109</v>
      </c>
      <c r="CJ1306" s="1" t="s">
        <v>109</v>
      </c>
      <c r="CK1306" s="1"/>
      <c r="CL1306" s="1">
        <v>0</v>
      </c>
      <c r="CM1306" s="1">
        <v>0</v>
      </c>
      <c r="CN1306" s="1">
        <v>0</v>
      </c>
    </row>
    <row r="1307" spans="1:92" ht="14.25" customHeight="1" x14ac:dyDescent="0.15">
      <c r="A1307" s="1" t="s">
        <v>10322</v>
      </c>
      <c r="B1307" s="1" t="s">
        <v>95</v>
      </c>
      <c r="C1307" s="1" t="s">
        <v>3570</v>
      </c>
      <c r="D1307" s="1" t="s">
        <v>3274</v>
      </c>
      <c r="E1307" s="1" t="s">
        <v>10317</v>
      </c>
      <c r="F1307" s="1" t="s">
        <v>6545</v>
      </c>
      <c r="G1307" s="1" t="s">
        <v>160</v>
      </c>
      <c r="H1307" s="1">
        <v>0</v>
      </c>
      <c r="I1307" s="1" t="s">
        <v>142</v>
      </c>
      <c r="J1307" s="1"/>
      <c r="K1307" s="1"/>
      <c r="L1307" s="1" t="s">
        <v>1391</v>
      </c>
      <c r="M1307" s="1" t="s">
        <v>355</v>
      </c>
      <c r="N1307" s="1">
        <v>0</v>
      </c>
      <c r="O1307" s="1">
        <v>0</v>
      </c>
      <c r="P1307" s="1" t="s">
        <v>301</v>
      </c>
      <c r="Q1307" s="1" t="s">
        <v>268</v>
      </c>
      <c r="R1307" s="1" t="s">
        <v>10323</v>
      </c>
      <c r="S1307" s="1" t="s">
        <v>10324</v>
      </c>
      <c r="T1307" s="1" t="s">
        <v>9888</v>
      </c>
      <c r="U1307" s="1" t="s">
        <v>10325</v>
      </c>
      <c r="V1307" s="1">
        <v>1</v>
      </c>
      <c r="W1307" s="1">
        <v>1</v>
      </c>
      <c r="X1307" s="1">
        <v>0</v>
      </c>
      <c r="Y1307" s="1">
        <v>0</v>
      </c>
      <c r="Z1307" s="1">
        <v>1</v>
      </c>
      <c r="AA1307" s="1" t="s">
        <v>109</v>
      </c>
      <c r="AB1307" s="1" t="s">
        <v>109</v>
      </c>
      <c r="AC1307" s="1" t="s">
        <v>109</v>
      </c>
      <c r="AD1307" s="1" t="s">
        <v>109</v>
      </c>
      <c r="AE1307" s="1" t="s">
        <v>109</v>
      </c>
      <c r="AF1307" s="1" t="s">
        <v>109</v>
      </c>
      <c r="AG1307" s="1">
        <v>2</v>
      </c>
      <c r="AH1307" s="1" t="s">
        <v>109</v>
      </c>
      <c r="AI1307" s="1" t="s">
        <v>109</v>
      </c>
      <c r="AJ1307" s="1" t="s">
        <v>109</v>
      </c>
      <c r="AK1307" s="1">
        <v>3</v>
      </c>
      <c r="AL1307" s="1" t="s">
        <v>109</v>
      </c>
      <c r="AM1307" s="1">
        <v>2</v>
      </c>
      <c r="AN1307" s="1" t="s">
        <v>109</v>
      </c>
      <c r="AO1307" s="1" t="s">
        <v>109</v>
      </c>
      <c r="AP1307" s="1"/>
      <c r="AQ1307" s="1">
        <v>2</v>
      </c>
      <c r="AR1307" s="1"/>
      <c r="AS1307" s="1" t="s">
        <v>10326</v>
      </c>
      <c r="AT1307" s="1">
        <v>0</v>
      </c>
      <c r="AU1307" s="1">
        <v>0</v>
      </c>
      <c r="AV1307" s="1">
        <v>0</v>
      </c>
      <c r="AW1307" s="1">
        <v>0</v>
      </c>
      <c r="AX1307" s="1">
        <v>0</v>
      </c>
      <c r="AY1307" s="1">
        <v>0</v>
      </c>
      <c r="AZ1307" s="1">
        <v>0</v>
      </c>
      <c r="BA1307" s="1">
        <v>0</v>
      </c>
      <c r="BB1307" s="1">
        <v>0</v>
      </c>
      <c r="BC1307" s="1">
        <v>0</v>
      </c>
      <c r="BD1307" s="1">
        <v>0</v>
      </c>
      <c r="BE1307" s="1">
        <v>0</v>
      </c>
      <c r="BF1307" s="1">
        <v>0</v>
      </c>
      <c r="BG1307" s="1">
        <v>0</v>
      </c>
      <c r="BH1307" s="1">
        <v>0</v>
      </c>
      <c r="BI1307" s="1">
        <v>0</v>
      </c>
      <c r="BJ1307" s="1">
        <v>1</v>
      </c>
      <c r="BK1307" s="1">
        <v>0</v>
      </c>
      <c r="BL1307" s="1">
        <v>0</v>
      </c>
      <c r="BM1307" s="1">
        <v>0</v>
      </c>
      <c r="BN1307" s="1">
        <v>0</v>
      </c>
      <c r="BO1307" s="1">
        <v>0</v>
      </c>
      <c r="BP1307" s="1">
        <v>0</v>
      </c>
      <c r="BQ1307" s="1">
        <v>0</v>
      </c>
      <c r="BR1307" s="1">
        <v>0</v>
      </c>
      <c r="BS1307" s="5" t="str">
        <f>HYPERLINK("http://www.d20pfsrd.com/magic/all-spells/l/litany-of-entanglement","Litany of Entanglement")</f>
        <v>Litany of Entanglement</v>
      </c>
      <c r="BT1307" s="1">
        <v>1354</v>
      </c>
      <c r="BU1307" s="1" t="s">
        <v>109</v>
      </c>
      <c r="BV1307" s="1"/>
      <c r="BW1307" s="1"/>
      <c r="BX1307" s="1"/>
      <c r="BY1307" s="1"/>
      <c r="BZ1307" s="1">
        <v>0</v>
      </c>
      <c r="CA1307" s="1" t="s">
        <v>109</v>
      </c>
      <c r="CB1307" s="1" t="s">
        <v>109</v>
      </c>
      <c r="CC1307" s="1" t="s">
        <v>109</v>
      </c>
      <c r="CD1307" s="1" t="s">
        <v>109</v>
      </c>
      <c r="CE1307" s="1" t="s">
        <v>109</v>
      </c>
      <c r="CF1307" s="1" t="s">
        <v>109</v>
      </c>
      <c r="CG1307" s="1" t="s">
        <v>109</v>
      </c>
      <c r="CH1307" s="1" t="s">
        <v>109</v>
      </c>
      <c r="CI1307" s="1" t="s">
        <v>109</v>
      </c>
      <c r="CJ1307" s="1" t="s">
        <v>109</v>
      </c>
      <c r="CK1307" s="1"/>
      <c r="CL1307" s="1">
        <v>0</v>
      </c>
      <c r="CM1307" s="1">
        <v>0</v>
      </c>
      <c r="CN1307" s="1">
        <v>0</v>
      </c>
    </row>
    <row r="1308" spans="1:92" ht="14.25" customHeight="1" x14ac:dyDescent="0.15">
      <c r="A1308" s="1" t="s">
        <v>10327</v>
      </c>
      <c r="B1308" s="1" t="s">
        <v>95</v>
      </c>
      <c r="C1308" s="1" t="s">
        <v>1522</v>
      </c>
      <c r="D1308" s="1" t="s">
        <v>3274</v>
      </c>
      <c r="E1308" s="1" t="s">
        <v>10328</v>
      </c>
      <c r="F1308" s="1" t="s">
        <v>6545</v>
      </c>
      <c r="G1308" s="1" t="s">
        <v>160</v>
      </c>
      <c r="H1308" s="1">
        <v>0</v>
      </c>
      <c r="I1308" s="1" t="s">
        <v>142</v>
      </c>
      <c r="J1308" s="1"/>
      <c r="K1308" s="1"/>
      <c r="L1308" s="1" t="s">
        <v>10329</v>
      </c>
      <c r="M1308" s="1" t="s">
        <v>144</v>
      </c>
      <c r="N1308" s="1">
        <v>0</v>
      </c>
      <c r="O1308" s="1">
        <v>0</v>
      </c>
      <c r="P1308" s="1" t="s">
        <v>104</v>
      </c>
      <c r="Q1308" s="1" t="s">
        <v>268</v>
      </c>
      <c r="R1308" s="1" t="s">
        <v>10330</v>
      </c>
      <c r="S1308" s="1" t="s">
        <v>10331</v>
      </c>
      <c r="T1308" s="1" t="s">
        <v>9888</v>
      </c>
      <c r="U1308" s="1" t="s">
        <v>10332</v>
      </c>
      <c r="V1308" s="1">
        <v>1</v>
      </c>
      <c r="W1308" s="1">
        <v>1</v>
      </c>
      <c r="X1308" s="1">
        <v>0</v>
      </c>
      <c r="Y1308" s="1">
        <v>0</v>
      </c>
      <c r="Z1308" s="1">
        <v>1</v>
      </c>
      <c r="AA1308" s="1" t="s">
        <v>109</v>
      </c>
      <c r="AB1308" s="1" t="s">
        <v>109</v>
      </c>
      <c r="AC1308" s="1" t="s">
        <v>109</v>
      </c>
      <c r="AD1308" s="1" t="s">
        <v>109</v>
      </c>
      <c r="AE1308" s="1" t="s">
        <v>109</v>
      </c>
      <c r="AF1308" s="1" t="s">
        <v>109</v>
      </c>
      <c r="AG1308" s="1">
        <v>3</v>
      </c>
      <c r="AH1308" s="1" t="s">
        <v>109</v>
      </c>
      <c r="AI1308" s="1" t="s">
        <v>109</v>
      </c>
      <c r="AJ1308" s="1" t="s">
        <v>109</v>
      </c>
      <c r="AK1308" s="1">
        <v>4</v>
      </c>
      <c r="AL1308" s="1" t="s">
        <v>109</v>
      </c>
      <c r="AM1308" s="1">
        <v>3</v>
      </c>
      <c r="AN1308" s="1" t="s">
        <v>109</v>
      </c>
      <c r="AO1308" s="1" t="s">
        <v>109</v>
      </c>
      <c r="AP1308" s="1"/>
      <c r="AQ1308" s="1">
        <v>3</v>
      </c>
      <c r="AR1308" s="1"/>
      <c r="AS1308" s="1" t="s">
        <v>10333</v>
      </c>
      <c r="AT1308" s="1">
        <v>0</v>
      </c>
      <c r="AU1308" s="1">
        <v>0</v>
      </c>
      <c r="AV1308" s="1">
        <v>0</v>
      </c>
      <c r="AW1308" s="1">
        <v>0</v>
      </c>
      <c r="AX1308" s="1">
        <v>0</v>
      </c>
      <c r="AY1308" s="1">
        <v>0</v>
      </c>
      <c r="AZ1308" s="1">
        <v>0</v>
      </c>
      <c r="BA1308" s="1">
        <v>0</v>
      </c>
      <c r="BB1308" s="1">
        <v>0</v>
      </c>
      <c r="BC1308" s="1">
        <v>0</v>
      </c>
      <c r="BD1308" s="1">
        <v>0</v>
      </c>
      <c r="BE1308" s="1">
        <v>0</v>
      </c>
      <c r="BF1308" s="1">
        <v>0</v>
      </c>
      <c r="BG1308" s="1">
        <v>0</v>
      </c>
      <c r="BH1308" s="1">
        <v>0</v>
      </c>
      <c r="BI1308" s="1">
        <v>0</v>
      </c>
      <c r="BJ1308" s="1">
        <v>1</v>
      </c>
      <c r="BK1308" s="1">
        <v>0</v>
      </c>
      <c r="BL1308" s="1">
        <v>0</v>
      </c>
      <c r="BM1308" s="1">
        <v>0</v>
      </c>
      <c r="BN1308" s="1">
        <v>0</v>
      </c>
      <c r="BO1308" s="1">
        <v>0</v>
      </c>
      <c r="BP1308" s="1">
        <v>0</v>
      </c>
      <c r="BQ1308" s="1">
        <v>0</v>
      </c>
      <c r="BR1308" s="1">
        <v>0</v>
      </c>
      <c r="BS1308" s="5" t="str">
        <f>HYPERLINK("http://www.d20pfsrd.com/magic/all-spells/l/litany-of-escape","Litany of Escape")</f>
        <v>Litany of Escape</v>
      </c>
      <c r="BT1308" s="1">
        <v>1355</v>
      </c>
      <c r="BU1308" s="1" t="s">
        <v>109</v>
      </c>
      <c r="BV1308" s="1"/>
      <c r="BW1308" s="1"/>
      <c r="BX1308" s="1"/>
      <c r="BY1308" s="1"/>
      <c r="BZ1308" s="1">
        <v>0</v>
      </c>
      <c r="CA1308" s="1" t="s">
        <v>109</v>
      </c>
      <c r="CB1308" s="1" t="s">
        <v>109</v>
      </c>
      <c r="CC1308" s="1" t="s">
        <v>109</v>
      </c>
      <c r="CD1308" s="1" t="s">
        <v>109</v>
      </c>
      <c r="CE1308" s="1" t="s">
        <v>109</v>
      </c>
      <c r="CF1308" s="1" t="s">
        <v>109</v>
      </c>
      <c r="CG1308" s="1" t="s">
        <v>109</v>
      </c>
      <c r="CH1308" s="1" t="s">
        <v>109</v>
      </c>
      <c r="CI1308" s="1" t="s">
        <v>109</v>
      </c>
      <c r="CJ1308" s="1" t="s">
        <v>109</v>
      </c>
      <c r="CK1308" s="1"/>
      <c r="CL1308" s="1">
        <v>0</v>
      </c>
      <c r="CM1308" s="1">
        <v>0</v>
      </c>
      <c r="CN1308" s="1">
        <v>0</v>
      </c>
    </row>
    <row r="1309" spans="1:92" ht="14.25" customHeight="1" x14ac:dyDescent="0.15">
      <c r="A1309" s="1" t="s">
        <v>10334</v>
      </c>
      <c r="B1309" s="1" t="s">
        <v>156</v>
      </c>
      <c r="C1309" s="1" t="s">
        <v>834</v>
      </c>
      <c r="D1309" s="1" t="s">
        <v>954</v>
      </c>
      <c r="E1309" s="1" t="s">
        <v>10335</v>
      </c>
      <c r="F1309" s="1" t="s">
        <v>6545</v>
      </c>
      <c r="G1309" s="1" t="s">
        <v>160</v>
      </c>
      <c r="H1309" s="1">
        <v>0</v>
      </c>
      <c r="I1309" s="1" t="s">
        <v>142</v>
      </c>
      <c r="J1309" s="1"/>
      <c r="K1309" s="1"/>
      <c r="L1309" s="1" t="s">
        <v>1391</v>
      </c>
      <c r="M1309" s="1" t="s">
        <v>10336</v>
      </c>
      <c r="N1309" s="1">
        <v>0</v>
      </c>
      <c r="O1309" s="1">
        <v>0</v>
      </c>
      <c r="P1309" s="1" t="s">
        <v>10337</v>
      </c>
      <c r="Q1309" s="1" t="s">
        <v>268</v>
      </c>
      <c r="R1309" s="1" t="s">
        <v>10338</v>
      </c>
      <c r="S1309" s="1" t="s">
        <v>10339</v>
      </c>
      <c r="T1309" s="1" t="s">
        <v>9888</v>
      </c>
      <c r="U1309" s="1" t="s">
        <v>10340</v>
      </c>
      <c r="V1309" s="1">
        <v>1</v>
      </c>
      <c r="W1309" s="1">
        <v>1</v>
      </c>
      <c r="X1309" s="1">
        <v>0</v>
      </c>
      <c r="Y1309" s="1">
        <v>0</v>
      </c>
      <c r="Z1309" s="1">
        <v>1</v>
      </c>
      <c r="AA1309" s="1" t="s">
        <v>109</v>
      </c>
      <c r="AB1309" s="1" t="s">
        <v>109</v>
      </c>
      <c r="AC1309" s="1" t="s">
        <v>109</v>
      </c>
      <c r="AD1309" s="1" t="s">
        <v>109</v>
      </c>
      <c r="AE1309" s="1" t="s">
        <v>109</v>
      </c>
      <c r="AF1309" s="1" t="s">
        <v>109</v>
      </c>
      <c r="AG1309" s="1" t="s">
        <v>109</v>
      </c>
      <c r="AH1309" s="1" t="s">
        <v>109</v>
      </c>
      <c r="AI1309" s="1" t="s">
        <v>109</v>
      </c>
      <c r="AJ1309" s="1" t="s">
        <v>109</v>
      </c>
      <c r="AK1309" s="1">
        <v>6</v>
      </c>
      <c r="AL1309" s="1" t="s">
        <v>109</v>
      </c>
      <c r="AM1309" s="1">
        <v>4</v>
      </c>
      <c r="AN1309" s="1" t="s">
        <v>109</v>
      </c>
      <c r="AO1309" s="1" t="s">
        <v>109</v>
      </c>
      <c r="AP1309" s="1"/>
      <c r="AQ1309" s="1" t="s">
        <v>109</v>
      </c>
      <c r="AR1309" s="1"/>
      <c r="AS1309" s="1" t="s">
        <v>10341</v>
      </c>
      <c r="AT1309" s="1">
        <v>0</v>
      </c>
      <c r="AU1309" s="1">
        <v>0</v>
      </c>
      <c r="AV1309" s="1">
        <v>0</v>
      </c>
      <c r="AW1309" s="1">
        <v>0</v>
      </c>
      <c r="AX1309" s="1">
        <v>0</v>
      </c>
      <c r="AY1309" s="1">
        <v>0</v>
      </c>
      <c r="AZ1309" s="1">
        <v>0</v>
      </c>
      <c r="BA1309" s="1">
        <v>0</v>
      </c>
      <c r="BB1309" s="1">
        <v>0</v>
      </c>
      <c r="BC1309" s="1">
        <v>0</v>
      </c>
      <c r="BD1309" s="1">
        <v>0</v>
      </c>
      <c r="BE1309" s="1">
        <v>0</v>
      </c>
      <c r="BF1309" s="1">
        <v>0</v>
      </c>
      <c r="BG1309" s="1">
        <v>0</v>
      </c>
      <c r="BH1309" s="1">
        <v>0</v>
      </c>
      <c r="BI1309" s="1">
        <v>0</v>
      </c>
      <c r="BJ1309" s="1">
        <v>1</v>
      </c>
      <c r="BK1309" s="1">
        <v>0</v>
      </c>
      <c r="BL1309" s="1">
        <v>0</v>
      </c>
      <c r="BM1309" s="1">
        <v>1</v>
      </c>
      <c r="BN1309" s="1">
        <v>0</v>
      </c>
      <c r="BO1309" s="1">
        <v>0</v>
      </c>
      <c r="BP1309" s="1">
        <v>0</v>
      </c>
      <c r="BQ1309" s="1">
        <v>0</v>
      </c>
      <c r="BR1309" s="1">
        <v>0</v>
      </c>
      <c r="BS1309" s="5" t="str">
        <f>HYPERLINK("http://www.d20pfsrd.com/magic/all-spells/l/litany-of-madness","Litany of Madness")</f>
        <v>Litany of Madness</v>
      </c>
      <c r="BT1309" s="1">
        <v>1356</v>
      </c>
      <c r="BU1309" s="1" t="s">
        <v>109</v>
      </c>
      <c r="BV1309" s="1"/>
      <c r="BW1309" s="1"/>
      <c r="BX1309" s="1"/>
      <c r="BY1309" s="1"/>
      <c r="BZ1309" s="1">
        <v>0</v>
      </c>
      <c r="CA1309" s="1" t="s">
        <v>109</v>
      </c>
      <c r="CB1309" s="1" t="s">
        <v>109</v>
      </c>
      <c r="CC1309" s="1" t="s">
        <v>109</v>
      </c>
      <c r="CD1309" s="1" t="s">
        <v>109</v>
      </c>
      <c r="CE1309" s="1" t="s">
        <v>109</v>
      </c>
      <c r="CF1309" s="1" t="s">
        <v>109</v>
      </c>
      <c r="CG1309" s="1" t="s">
        <v>109</v>
      </c>
      <c r="CH1309" s="1" t="s">
        <v>109</v>
      </c>
      <c r="CI1309" s="1" t="s">
        <v>109</v>
      </c>
      <c r="CJ1309" s="1" t="s">
        <v>109</v>
      </c>
      <c r="CK1309" s="1"/>
      <c r="CL1309" s="1">
        <v>0</v>
      </c>
      <c r="CM1309" s="1">
        <v>0</v>
      </c>
      <c r="CN1309" s="1">
        <v>0</v>
      </c>
    </row>
    <row r="1310" spans="1:92" ht="14.25" customHeight="1" x14ac:dyDescent="0.15">
      <c r="A1310" s="1" t="s">
        <v>10342</v>
      </c>
      <c r="B1310" s="1" t="s">
        <v>584</v>
      </c>
      <c r="C1310" s="1"/>
      <c r="D1310" s="1" t="s">
        <v>10343</v>
      </c>
      <c r="E1310" s="1" t="s">
        <v>7146</v>
      </c>
      <c r="F1310" s="1" t="s">
        <v>6545</v>
      </c>
      <c r="G1310" s="1" t="s">
        <v>160</v>
      </c>
      <c r="H1310" s="1">
        <v>0</v>
      </c>
      <c r="I1310" s="1" t="s">
        <v>142</v>
      </c>
      <c r="J1310" s="1"/>
      <c r="K1310" s="1"/>
      <c r="L1310" s="1" t="s">
        <v>1391</v>
      </c>
      <c r="M1310" s="1" t="s">
        <v>355</v>
      </c>
      <c r="N1310" s="1">
        <v>0</v>
      </c>
      <c r="O1310" s="1">
        <v>0</v>
      </c>
      <c r="P1310" s="1" t="s">
        <v>301</v>
      </c>
      <c r="Q1310" s="1" t="s">
        <v>268</v>
      </c>
      <c r="R1310" s="1" t="s">
        <v>10344</v>
      </c>
      <c r="S1310" s="1" t="s">
        <v>10345</v>
      </c>
      <c r="T1310" s="1" t="s">
        <v>9888</v>
      </c>
      <c r="U1310" s="1" t="s">
        <v>10346</v>
      </c>
      <c r="V1310" s="1">
        <v>1</v>
      </c>
      <c r="W1310" s="1">
        <v>1</v>
      </c>
      <c r="X1310" s="1">
        <v>0</v>
      </c>
      <c r="Y1310" s="1">
        <v>0</v>
      </c>
      <c r="Z1310" s="1">
        <v>1</v>
      </c>
      <c r="AA1310" s="1" t="s">
        <v>109</v>
      </c>
      <c r="AB1310" s="1" t="s">
        <v>109</v>
      </c>
      <c r="AC1310" s="1" t="s">
        <v>109</v>
      </c>
      <c r="AD1310" s="1" t="s">
        <v>109</v>
      </c>
      <c r="AE1310" s="1" t="s">
        <v>109</v>
      </c>
      <c r="AF1310" s="1" t="s">
        <v>109</v>
      </c>
      <c r="AG1310" s="1">
        <v>2</v>
      </c>
      <c r="AH1310" s="1" t="s">
        <v>109</v>
      </c>
      <c r="AI1310" s="1" t="s">
        <v>109</v>
      </c>
      <c r="AJ1310" s="1" t="s">
        <v>109</v>
      </c>
      <c r="AK1310" s="1">
        <v>3</v>
      </c>
      <c r="AL1310" s="1" t="s">
        <v>109</v>
      </c>
      <c r="AM1310" s="1" t="s">
        <v>109</v>
      </c>
      <c r="AN1310" s="1" t="s">
        <v>109</v>
      </c>
      <c r="AO1310" s="1" t="s">
        <v>109</v>
      </c>
      <c r="AP1310" s="1"/>
      <c r="AQ1310" s="1">
        <v>2</v>
      </c>
      <c r="AR1310" s="1"/>
      <c r="AS1310" s="1" t="s">
        <v>10347</v>
      </c>
      <c r="AT1310" s="1">
        <v>0</v>
      </c>
      <c r="AU1310" s="1">
        <v>0</v>
      </c>
      <c r="AV1310" s="1">
        <v>0</v>
      </c>
      <c r="AW1310" s="1">
        <v>0</v>
      </c>
      <c r="AX1310" s="1">
        <v>0</v>
      </c>
      <c r="AY1310" s="1">
        <v>0</v>
      </c>
      <c r="AZ1310" s="1">
        <v>0</v>
      </c>
      <c r="BA1310" s="1">
        <v>0</v>
      </c>
      <c r="BB1310" s="1">
        <v>0</v>
      </c>
      <c r="BC1310" s="1">
        <v>0</v>
      </c>
      <c r="BD1310" s="1">
        <v>0</v>
      </c>
      <c r="BE1310" s="1">
        <v>0</v>
      </c>
      <c r="BF1310" s="1">
        <v>0</v>
      </c>
      <c r="BG1310" s="1">
        <v>0</v>
      </c>
      <c r="BH1310" s="1">
        <v>0</v>
      </c>
      <c r="BI1310" s="1">
        <v>1</v>
      </c>
      <c r="BJ1310" s="1">
        <v>1</v>
      </c>
      <c r="BK1310" s="1">
        <v>0</v>
      </c>
      <c r="BL1310" s="1">
        <v>0</v>
      </c>
      <c r="BM1310" s="1">
        <v>0</v>
      </c>
      <c r="BN1310" s="1">
        <v>0</v>
      </c>
      <c r="BO1310" s="1">
        <v>0</v>
      </c>
      <c r="BP1310" s="1">
        <v>0</v>
      </c>
      <c r="BQ1310" s="1">
        <v>0</v>
      </c>
      <c r="BR1310" s="1">
        <v>0</v>
      </c>
      <c r="BS1310" s="5" t="str">
        <f>HYPERLINK("http://www.d20pfsrd.com/magic/all-spells/l/litany-of-righteousness","Litany of Righteousness")</f>
        <v>Litany of Righteousness</v>
      </c>
      <c r="BT1310" s="1">
        <v>1357</v>
      </c>
      <c r="BU1310" s="1" t="s">
        <v>109</v>
      </c>
      <c r="BV1310" s="1"/>
      <c r="BW1310" s="1"/>
      <c r="BX1310" s="1"/>
      <c r="BY1310" s="1"/>
      <c r="BZ1310" s="1">
        <v>0</v>
      </c>
      <c r="CA1310" s="1" t="s">
        <v>109</v>
      </c>
      <c r="CB1310" s="1" t="s">
        <v>109</v>
      </c>
      <c r="CC1310" s="1" t="s">
        <v>109</v>
      </c>
      <c r="CD1310" s="1" t="s">
        <v>109</v>
      </c>
      <c r="CE1310" s="1" t="s">
        <v>109</v>
      </c>
      <c r="CF1310" s="1" t="s">
        <v>109</v>
      </c>
      <c r="CG1310" s="1" t="s">
        <v>109</v>
      </c>
      <c r="CH1310" s="1" t="s">
        <v>109</v>
      </c>
      <c r="CI1310" s="1" t="s">
        <v>109</v>
      </c>
      <c r="CJ1310" s="1" t="s">
        <v>109</v>
      </c>
      <c r="CK1310" s="1"/>
      <c r="CL1310" s="1">
        <v>0</v>
      </c>
      <c r="CM1310" s="1">
        <v>0</v>
      </c>
      <c r="CN1310" s="1">
        <v>0</v>
      </c>
    </row>
    <row r="1311" spans="1:92" ht="14.25" customHeight="1" x14ac:dyDescent="0.15">
      <c r="A1311" s="1" t="s">
        <v>10348</v>
      </c>
      <c r="B1311" s="1" t="s">
        <v>254</v>
      </c>
      <c r="C1311" s="1"/>
      <c r="D1311" s="1"/>
      <c r="E1311" s="1" t="s">
        <v>10328</v>
      </c>
      <c r="F1311" s="1" t="s">
        <v>6545</v>
      </c>
      <c r="G1311" s="1" t="s">
        <v>160</v>
      </c>
      <c r="H1311" s="1">
        <v>0</v>
      </c>
      <c r="I1311" s="1" t="s">
        <v>235</v>
      </c>
      <c r="J1311" s="1"/>
      <c r="K1311" s="1"/>
      <c r="L1311" s="1" t="s">
        <v>236</v>
      </c>
      <c r="M1311" s="1" t="s">
        <v>355</v>
      </c>
      <c r="N1311" s="1">
        <v>0</v>
      </c>
      <c r="O1311" s="1">
        <v>0</v>
      </c>
      <c r="P1311" s="1" t="s">
        <v>104</v>
      </c>
      <c r="Q1311" s="1" t="s">
        <v>268</v>
      </c>
      <c r="R1311" s="1" t="s">
        <v>10349</v>
      </c>
      <c r="S1311" s="1" t="s">
        <v>10350</v>
      </c>
      <c r="T1311" s="1" t="s">
        <v>9888</v>
      </c>
      <c r="U1311" s="1" t="s">
        <v>10351</v>
      </c>
      <c r="V1311" s="1">
        <v>1</v>
      </c>
      <c r="W1311" s="1">
        <v>1</v>
      </c>
      <c r="X1311" s="1">
        <v>0</v>
      </c>
      <c r="Y1311" s="1">
        <v>0</v>
      </c>
      <c r="Z1311" s="1">
        <v>1</v>
      </c>
      <c r="AA1311" s="1" t="s">
        <v>109</v>
      </c>
      <c r="AB1311" s="1" t="s">
        <v>109</v>
      </c>
      <c r="AC1311" s="1" t="s">
        <v>109</v>
      </c>
      <c r="AD1311" s="1" t="s">
        <v>109</v>
      </c>
      <c r="AE1311" s="1" t="s">
        <v>109</v>
      </c>
      <c r="AF1311" s="1" t="s">
        <v>109</v>
      </c>
      <c r="AG1311" s="1">
        <v>3</v>
      </c>
      <c r="AH1311" s="1" t="s">
        <v>109</v>
      </c>
      <c r="AI1311" s="1" t="s">
        <v>109</v>
      </c>
      <c r="AJ1311" s="1" t="s">
        <v>109</v>
      </c>
      <c r="AK1311" s="1">
        <v>4</v>
      </c>
      <c r="AL1311" s="1" t="s">
        <v>109</v>
      </c>
      <c r="AM1311" s="1">
        <v>3</v>
      </c>
      <c r="AN1311" s="1" t="s">
        <v>109</v>
      </c>
      <c r="AO1311" s="1" t="s">
        <v>109</v>
      </c>
      <c r="AP1311" s="1"/>
      <c r="AQ1311" s="1">
        <v>3</v>
      </c>
      <c r="AR1311" s="1"/>
      <c r="AS1311" s="1" t="s">
        <v>10352</v>
      </c>
      <c r="AT1311" s="1">
        <v>0</v>
      </c>
      <c r="AU1311" s="1">
        <v>0</v>
      </c>
      <c r="AV1311" s="1">
        <v>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5" t="str">
        <f>HYPERLINK("http://www.d20pfsrd.com/magic/all-spells/l/litany-of-sight","Litany of Sight")</f>
        <v>Litany of Sight</v>
      </c>
      <c r="BT1311" s="1">
        <v>1358</v>
      </c>
      <c r="BU1311" s="1" t="s">
        <v>109</v>
      </c>
      <c r="BV1311" s="1"/>
      <c r="BW1311" s="1"/>
      <c r="BX1311" s="1"/>
      <c r="BY1311" s="1"/>
      <c r="BZ1311" s="1">
        <v>0</v>
      </c>
      <c r="CA1311" s="1" t="s">
        <v>109</v>
      </c>
      <c r="CB1311" s="1" t="s">
        <v>109</v>
      </c>
      <c r="CC1311" s="1" t="s">
        <v>109</v>
      </c>
      <c r="CD1311" s="1" t="s">
        <v>109</v>
      </c>
      <c r="CE1311" s="1" t="s">
        <v>109</v>
      </c>
      <c r="CF1311" s="1" t="s">
        <v>109</v>
      </c>
      <c r="CG1311" s="1" t="s">
        <v>109</v>
      </c>
      <c r="CH1311" s="1" t="s">
        <v>109</v>
      </c>
      <c r="CI1311" s="1" t="s">
        <v>109</v>
      </c>
      <c r="CJ1311" s="1" t="s">
        <v>109</v>
      </c>
      <c r="CK1311" s="1"/>
      <c r="CL1311" s="1">
        <v>0</v>
      </c>
      <c r="CM1311" s="1">
        <v>0</v>
      </c>
      <c r="CN1311" s="1">
        <v>0</v>
      </c>
    </row>
    <row r="1312" spans="1:92" ht="14.25" customHeight="1" x14ac:dyDescent="0.15">
      <c r="A1312" s="1" t="s">
        <v>10353</v>
      </c>
      <c r="B1312" s="1" t="s">
        <v>156</v>
      </c>
      <c r="C1312" s="1" t="s">
        <v>157</v>
      </c>
      <c r="D1312" s="1" t="s">
        <v>954</v>
      </c>
      <c r="E1312" s="1" t="s">
        <v>10354</v>
      </c>
      <c r="F1312" s="1" t="s">
        <v>6545</v>
      </c>
      <c r="G1312" s="1" t="s">
        <v>160</v>
      </c>
      <c r="H1312" s="1">
        <v>0</v>
      </c>
      <c r="I1312" s="1" t="s">
        <v>142</v>
      </c>
      <c r="J1312" s="1"/>
      <c r="K1312" s="1"/>
      <c r="L1312" s="1" t="s">
        <v>1391</v>
      </c>
      <c r="M1312" s="1" t="s">
        <v>355</v>
      </c>
      <c r="N1312" s="1">
        <v>0</v>
      </c>
      <c r="O1312" s="1">
        <v>0</v>
      </c>
      <c r="P1312" s="1" t="s">
        <v>104</v>
      </c>
      <c r="Q1312" s="1" t="s">
        <v>268</v>
      </c>
      <c r="R1312" s="1" t="s">
        <v>10355</v>
      </c>
      <c r="S1312" s="1" t="s">
        <v>10356</v>
      </c>
      <c r="T1312" s="1" t="s">
        <v>9888</v>
      </c>
      <c r="U1312" s="1" t="s">
        <v>10357</v>
      </c>
      <c r="V1312" s="1">
        <v>1</v>
      </c>
      <c r="W1312" s="1">
        <v>1</v>
      </c>
      <c r="X1312" s="1">
        <v>0</v>
      </c>
      <c r="Y1312" s="1">
        <v>0</v>
      </c>
      <c r="Z1312" s="1">
        <v>1</v>
      </c>
      <c r="AA1312" s="1" t="s">
        <v>109</v>
      </c>
      <c r="AB1312" s="1" t="s">
        <v>109</v>
      </c>
      <c r="AC1312" s="1" t="s">
        <v>109</v>
      </c>
      <c r="AD1312" s="1" t="s">
        <v>109</v>
      </c>
      <c r="AE1312" s="1" t="s">
        <v>109</v>
      </c>
      <c r="AF1312" s="1" t="s">
        <v>109</v>
      </c>
      <c r="AG1312" s="1">
        <v>1</v>
      </c>
      <c r="AH1312" s="1" t="s">
        <v>109</v>
      </c>
      <c r="AI1312" s="1" t="s">
        <v>109</v>
      </c>
      <c r="AJ1312" s="1" t="s">
        <v>109</v>
      </c>
      <c r="AK1312" s="1">
        <v>1</v>
      </c>
      <c r="AL1312" s="1" t="s">
        <v>109</v>
      </c>
      <c r="AM1312" s="1">
        <v>1</v>
      </c>
      <c r="AN1312" s="1" t="s">
        <v>109</v>
      </c>
      <c r="AO1312" s="1" t="s">
        <v>109</v>
      </c>
      <c r="AP1312" s="1"/>
      <c r="AQ1312" s="1">
        <v>1</v>
      </c>
      <c r="AR1312" s="1"/>
      <c r="AS1312" s="1" t="s">
        <v>10358</v>
      </c>
      <c r="AT1312" s="1">
        <v>0</v>
      </c>
      <c r="AU1312" s="1">
        <v>0</v>
      </c>
      <c r="AV1312" s="1">
        <v>0</v>
      </c>
      <c r="AW1312" s="1">
        <v>0</v>
      </c>
      <c r="AX1312" s="1">
        <v>0</v>
      </c>
      <c r="AY1312" s="1">
        <v>0</v>
      </c>
      <c r="AZ1312" s="1">
        <v>0</v>
      </c>
      <c r="BA1312" s="1">
        <v>0</v>
      </c>
      <c r="BB1312" s="1">
        <v>0</v>
      </c>
      <c r="BC1312" s="1">
        <v>0</v>
      </c>
      <c r="BD1312" s="1">
        <v>0</v>
      </c>
      <c r="BE1312" s="1">
        <v>0</v>
      </c>
      <c r="BF1312" s="1">
        <v>0</v>
      </c>
      <c r="BG1312" s="1">
        <v>0</v>
      </c>
      <c r="BH1312" s="1">
        <v>0</v>
      </c>
      <c r="BI1312" s="1">
        <v>0</v>
      </c>
      <c r="BJ1312" s="1">
        <v>1</v>
      </c>
      <c r="BK1312" s="1">
        <v>0</v>
      </c>
      <c r="BL1312" s="1">
        <v>0</v>
      </c>
      <c r="BM1312" s="1">
        <v>1</v>
      </c>
      <c r="BN1312" s="1">
        <v>0</v>
      </c>
      <c r="BO1312" s="1">
        <v>0</v>
      </c>
      <c r="BP1312" s="1">
        <v>0</v>
      </c>
      <c r="BQ1312" s="1">
        <v>0</v>
      </c>
      <c r="BR1312" s="1">
        <v>0</v>
      </c>
      <c r="BS1312" s="5" t="str">
        <f>HYPERLINK("http://www.d20pfsrd.com/magic/all-spells/l/litany-of-sloth","Litany of Sloth")</f>
        <v>Litany of Sloth</v>
      </c>
      <c r="BT1312" s="1">
        <v>1359</v>
      </c>
      <c r="BU1312" s="1" t="s">
        <v>109</v>
      </c>
      <c r="BV1312" s="1"/>
      <c r="BW1312" s="1"/>
      <c r="BX1312" s="1"/>
      <c r="BY1312" s="1"/>
      <c r="BZ1312" s="1">
        <v>0</v>
      </c>
      <c r="CA1312" s="1" t="s">
        <v>109</v>
      </c>
      <c r="CB1312" s="1" t="s">
        <v>109</v>
      </c>
      <c r="CC1312" s="1" t="s">
        <v>109</v>
      </c>
      <c r="CD1312" s="1" t="s">
        <v>109</v>
      </c>
      <c r="CE1312" s="1" t="s">
        <v>109</v>
      </c>
      <c r="CF1312" s="1" t="s">
        <v>109</v>
      </c>
      <c r="CG1312" s="1" t="s">
        <v>109</v>
      </c>
      <c r="CH1312" s="1" t="s">
        <v>109</v>
      </c>
      <c r="CI1312" s="1" t="s">
        <v>109</v>
      </c>
      <c r="CJ1312" s="1" t="s">
        <v>109</v>
      </c>
      <c r="CK1312" s="1"/>
      <c r="CL1312" s="1">
        <v>0</v>
      </c>
      <c r="CM1312" s="1">
        <v>0</v>
      </c>
      <c r="CN1312" s="1">
        <v>0</v>
      </c>
    </row>
    <row r="1313" spans="1:92" ht="14.25" customHeight="1" x14ac:dyDescent="0.15">
      <c r="A1313" s="1" t="s">
        <v>10359</v>
      </c>
      <c r="B1313" s="1" t="s">
        <v>584</v>
      </c>
      <c r="C1313" s="1"/>
      <c r="D1313" s="1" t="s">
        <v>10360</v>
      </c>
      <c r="E1313" s="1" t="s">
        <v>7103</v>
      </c>
      <c r="F1313" s="1" t="s">
        <v>6545</v>
      </c>
      <c r="G1313" s="1" t="s">
        <v>160</v>
      </c>
      <c r="H1313" s="1">
        <v>0</v>
      </c>
      <c r="I1313" s="1" t="s">
        <v>142</v>
      </c>
      <c r="J1313" s="1"/>
      <c r="K1313" s="1"/>
      <c r="L1313" s="1" t="s">
        <v>1391</v>
      </c>
      <c r="M1313" s="1" t="s">
        <v>355</v>
      </c>
      <c r="N1313" s="1">
        <v>0</v>
      </c>
      <c r="O1313" s="1">
        <v>0</v>
      </c>
      <c r="P1313" s="1" t="s">
        <v>267</v>
      </c>
      <c r="Q1313" s="1" t="s">
        <v>268</v>
      </c>
      <c r="R1313" s="1" t="s">
        <v>10361</v>
      </c>
      <c r="S1313" s="1" t="s">
        <v>10362</v>
      </c>
      <c r="T1313" s="1" t="s">
        <v>9888</v>
      </c>
      <c r="U1313" s="1" t="s">
        <v>10363</v>
      </c>
      <c r="V1313" s="1">
        <v>1</v>
      </c>
      <c r="W1313" s="1">
        <v>1</v>
      </c>
      <c r="X1313" s="1">
        <v>0</v>
      </c>
      <c r="Y1313" s="1">
        <v>0</v>
      </c>
      <c r="Z1313" s="1">
        <v>1</v>
      </c>
      <c r="AA1313" s="1" t="s">
        <v>109</v>
      </c>
      <c r="AB1313" s="1" t="s">
        <v>109</v>
      </c>
      <c r="AC1313" s="1" t="s">
        <v>109</v>
      </c>
      <c r="AD1313" s="1" t="s">
        <v>109</v>
      </c>
      <c r="AE1313" s="1" t="s">
        <v>109</v>
      </c>
      <c r="AF1313" s="1" t="s">
        <v>109</v>
      </c>
      <c r="AG1313" s="1">
        <v>4</v>
      </c>
      <c r="AH1313" s="1" t="s">
        <v>109</v>
      </c>
      <c r="AI1313" s="1" t="s">
        <v>109</v>
      </c>
      <c r="AJ1313" s="1" t="s">
        <v>109</v>
      </c>
      <c r="AK1313" s="1">
        <v>5</v>
      </c>
      <c r="AL1313" s="1" t="s">
        <v>109</v>
      </c>
      <c r="AM1313" s="1">
        <v>4</v>
      </c>
      <c r="AN1313" s="1" t="s">
        <v>109</v>
      </c>
      <c r="AO1313" s="1" t="s">
        <v>109</v>
      </c>
      <c r="AP1313" s="1"/>
      <c r="AQ1313" s="1">
        <v>4</v>
      </c>
      <c r="AR1313" s="1"/>
      <c r="AS1313" s="1" t="s">
        <v>10364</v>
      </c>
      <c r="AT1313" s="1">
        <v>0</v>
      </c>
      <c r="AU1313" s="1">
        <v>0</v>
      </c>
      <c r="AV1313" s="1">
        <v>0</v>
      </c>
      <c r="AW1313" s="1">
        <v>0</v>
      </c>
      <c r="AX1313" s="1">
        <v>0</v>
      </c>
      <c r="AY1313" s="1">
        <v>0</v>
      </c>
      <c r="AZ1313" s="1">
        <v>0</v>
      </c>
      <c r="BA1313" s="1">
        <v>0</v>
      </c>
      <c r="BB1313" s="1">
        <v>0</v>
      </c>
      <c r="BC1313" s="1">
        <v>0</v>
      </c>
      <c r="BD1313" s="1">
        <v>0</v>
      </c>
      <c r="BE1313" s="1">
        <v>0</v>
      </c>
      <c r="BF1313" s="1">
        <v>0</v>
      </c>
      <c r="BG1313" s="1">
        <v>0</v>
      </c>
      <c r="BH1313" s="1">
        <v>0</v>
      </c>
      <c r="BI1313" s="1">
        <v>0</v>
      </c>
      <c r="BJ1313" s="1">
        <v>1</v>
      </c>
      <c r="BK1313" s="1">
        <v>0</v>
      </c>
      <c r="BL1313" s="1">
        <v>0</v>
      </c>
      <c r="BM1313" s="1">
        <v>0</v>
      </c>
      <c r="BN1313" s="1">
        <v>0</v>
      </c>
      <c r="BO1313" s="1">
        <v>0</v>
      </c>
      <c r="BP1313" s="1">
        <v>0</v>
      </c>
      <c r="BQ1313" s="1">
        <v>1</v>
      </c>
      <c r="BR1313" s="1">
        <v>0</v>
      </c>
      <c r="BS1313" s="5" t="str">
        <f>HYPERLINK("http://www.d20pfsrd.com/magic/all-spells/l/litany-of-thunder","Litany of Thunder")</f>
        <v>Litany of Thunder</v>
      </c>
      <c r="BT1313" s="1">
        <v>1360</v>
      </c>
      <c r="BU1313" s="1" t="s">
        <v>109</v>
      </c>
      <c r="BV1313" s="1"/>
      <c r="BW1313" s="1"/>
      <c r="BX1313" s="1"/>
      <c r="BY1313" s="1"/>
      <c r="BZ1313" s="1">
        <v>0</v>
      </c>
      <c r="CA1313" s="1" t="s">
        <v>109</v>
      </c>
      <c r="CB1313" s="1" t="s">
        <v>109</v>
      </c>
      <c r="CC1313" s="1" t="s">
        <v>109</v>
      </c>
      <c r="CD1313" s="1" t="s">
        <v>109</v>
      </c>
      <c r="CE1313" s="1" t="s">
        <v>109</v>
      </c>
      <c r="CF1313" s="1" t="s">
        <v>109</v>
      </c>
      <c r="CG1313" s="1" t="s">
        <v>109</v>
      </c>
      <c r="CH1313" s="1" t="s">
        <v>109</v>
      </c>
      <c r="CI1313" s="1" t="s">
        <v>109</v>
      </c>
      <c r="CJ1313" s="1" t="s">
        <v>109</v>
      </c>
      <c r="CK1313" s="1"/>
      <c r="CL1313" s="1">
        <v>0</v>
      </c>
      <c r="CM1313" s="1">
        <v>0</v>
      </c>
      <c r="CN1313" s="1">
        <v>0</v>
      </c>
    </row>
    <row r="1314" spans="1:92" ht="14.25" customHeight="1" x14ac:dyDescent="0.15">
      <c r="A1314" s="1" t="s">
        <v>10365</v>
      </c>
      <c r="B1314" s="1" t="s">
        <v>189</v>
      </c>
      <c r="C1314" s="1"/>
      <c r="D1314" s="1" t="s">
        <v>3274</v>
      </c>
      <c r="E1314" s="1" t="s">
        <v>7103</v>
      </c>
      <c r="F1314" s="1" t="s">
        <v>6545</v>
      </c>
      <c r="G1314" s="1" t="s">
        <v>160</v>
      </c>
      <c r="H1314" s="1">
        <v>0</v>
      </c>
      <c r="I1314" s="1" t="s">
        <v>142</v>
      </c>
      <c r="J1314" s="1"/>
      <c r="K1314" s="1"/>
      <c r="L1314" s="1" t="s">
        <v>1391</v>
      </c>
      <c r="M1314" s="1" t="s">
        <v>355</v>
      </c>
      <c r="N1314" s="1">
        <v>0</v>
      </c>
      <c r="O1314" s="1">
        <v>0</v>
      </c>
      <c r="P1314" s="1" t="s">
        <v>104</v>
      </c>
      <c r="Q1314" s="1" t="s">
        <v>268</v>
      </c>
      <c r="R1314" s="1" t="s">
        <v>10366</v>
      </c>
      <c r="S1314" s="1" t="s">
        <v>10367</v>
      </c>
      <c r="T1314" s="1" t="s">
        <v>9888</v>
      </c>
      <c r="U1314" s="1" t="s">
        <v>10368</v>
      </c>
      <c r="V1314" s="1">
        <v>1</v>
      </c>
      <c r="W1314" s="1">
        <v>1</v>
      </c>
      <c r="X1314" s="1">
        <v>0</v>
      </c>
      <c r="Y1314" s="1">
        <v>0</v>
      </c>
      <c r="Z1314" s="1">
        <v>1</v>
      </c>
      <c r="AA1314" s="1" t="s">
        <v>109</v>
      </c>
      <c r="AB1314" s="1" t="s">
        <v>109</v>
      </c>
      <c r="AC1314" s="1" t="s">
        <v>109</v>
      </c>
      <c r="AD1314" s="1" t="s">
        <v>109</v>
      </c>
      <c r="AE1314" s="1" t="s">
        <v>109</v>
      </c>
      <c r="AF1314" s="1" t="s">
        <v>109</v>
      </c>
      <c r="AG1314" s="1">
        <v>4</v>
      </c>
      <c r="AH1314" s="1" t="s">
        <v>109</v>
      </c>
      <c r="AI1314" s="1" t="s">
        <v>109</v>
      </c>
      <c r="AJ1314" s="1" t="s">
        <v>109</v>
      </c>
      <c r="AK1314" s="1">
        <v>5</v>
      </c>
      <c r="AL1314" s="1" t="s">
        <v>109</v>
      </c>
      <c r="AM1314" s="1">
        <v>4</v>
      </c>
      <c r="AN1314" s="1" t="s">
        <v>109</v>
      </c>
      <c r="AO1314" s="1" t="s">
        <v>109</v>
      </c>
      <c r="AP1314" s="1"/>
      <c r="AQ1314" s="1">
        <v>4</v>
      </c>
      <c r="AR1314" s="1"/>
      <c r="AS1314" s="1" t="s">
        <v>10369</v>
      </c>
      <c r="AT1314" s="1">
        <v>0</v>
      </c>
      <c r="AU1314" s="1">
        <v>0</v>
      </c>
      <c r="AV1314" s="1">
        <v>0</v>
      </c>
      <c r="AW1314" s="1">
        <v>0</v>
      </c>
      <c r="AX1314" s="1">
        <v>0</v>
      </c>
      <c r="AY1314" s="1">
        <v>0</v>
      </c>
      <c r="AZ1314" s="1">
        <v>0</v>
      </c>
      <c r="BA1314" s="1">
        <v>0</v>
      </c>
      <c r="BB1314" s="1">
        <v>0</v>
      </c>
      <c r="BC1314" s="1">
        <v>0</v>
      </c>
      <c r="BD1314" s="1">
        <v>0</v>
      </c>
      <c r="BE1314" s="1">
        <v>0</v>
      </c>
      <c r="BF1314" s="1">
        <v>0</v>
      </c>
      <c r="BG1314" s="1">
        <v>0</v>
      </c>
      <c r="BH1314" s="1">
        <v>0</v>
      </c>
      <c r="BI1314" s="1">
        <v>0</v>
      </c>
      <c r="BJ1314" s="1">
        <v>1</v>
      </c>
      <c r="BK1314" s="1">
        <v>0</v>
      </c>
      <c r="BL1314" s="1">
        <v>0</v>
      </c>
      <c r="BM1314" s="1">
        <v>0</v>
      </c>
      <c r="BN1314" s="1">
        <v>0</v>
      </c>
      <c r="BO1314" s="1">
        <v>0</v>
      </c>
      <c r="BP1314" s="1">
        <v>0</v>
      </c>
      <c r="BQ1314" s="1">
        <v>0</v>
      </c>
      <c r="BR1314" s="1">
        <v>0</v>
      </c>
      <c r="BS1314" s="5" t="str">
        <f>HYPERLINK("http://www.d20pfsrd.com/magic/all-spells/l/litany-of-vengeance","Litany of Vengeance")</f>
        <v>Litany of Vengeance</v>
      </c>
      <c r="BT1314" s="1">
        <v>1361</v>
      </c>
      <c r="BU1314" s="1" t="s">
        <v>109</v>
      </c>
      <c r="BV1314" s="1"/>
      <c r="BW1314" s="1"/>
      <c r="BX1314" s="1"/>
      <c r="BY1314" s="1"/>
      <c r="BZ1314" s="1">
        <v>0</v>
      </c>
      <c r="CA1314" s="1" t="s">
        <v>109</v>
      </c>
      <c r="CB1314" s="1" t="s">
        <v>109</v>
      </c>
      <c r="CC1314" s="1" t="s">
        <v>109</v>
      </c>
      <c r="CD1314" s="1" t="s">
        <v>109</v>
      </c>
      <c r="CE1314" s="1" t="s">
        <v>109</v>
      </c>
      <c r="CF1314" s="1" t="s">
        <v>109</v>
      </c>
      <c r="CG1314" s="1" t="s">
        <v>109</v>
      </c>
      <c r="CH1314" s="1" t="s">
        <v>109</v>
      </c>
      <c r="CI1314" s="1" t="s">
        <v>109</v>
      </c>
      <c r="CJ1314" s="1" t="s">
        <v>109</v>
      </c>
      <c r="CK1314" s="1"/>
      <c r="CL1314" s="1">
        <v>0</v>
      </c>
      <c r="CM1314" s="1">
        <v>0</v>
      </c>
      <c r="CN1314" s="1">
        <v>0</v>
      </c>
    </row>
    <row r="1315" spans="1:92" ht="14.25" customHeight="1" x14ac:dyDescent="0.15">
      <c r="A1315" s="1" t="s">
        <v>10370</v>
      </c>
      <c r="B1315" s="1" t="s">
        <v>189</v>
      </c>
      <c r="C1315" s="1"/>
      <c r="D1315" s="1"/>
      <c r="E1315" s="1" t="s">
        <v>10317</v>
      </c>
      <c r="F1315" s="1" t="s">
        <v>6545</v>
      </c>
      <c r="G1315" s="1" t="s">
        <v>160</v>
      </c>
      <c r="H1315" s="1">
        <v>0</v>
      </c>
      <c r="I1315" s="1" t="s">
        <v>235</v>
      </c>
      <c r="J1315" s="1"/>
      <c r="K1315" s="1"/>
      <c r="L1315" s="1" t="s">
        <v>236</v>
      </c>
      <c r="M1315" s="1" t="s">
        <v>355</v>
      </c>
      <c r="N1315" s="1">
        <v>0</v>
      </c>
      <c r="O1315" s="1">
        <v>0</v>
      </c>
      <c r="P1315" s="1"/>
      <c r="Q1315" s="1"/>
      <c r="R1315" s="1" t="s">
        <v>10371</v>
      </c>
      <c r="S1315" s="1" t="s">
        <v>10372</v>
      </c>
      <c r="T1315" s="1" t="s">
        <v>9888</v>
      </c>
      <c r="U1315" s="1" t="s">
        <v>10373</v>
      </c>
      <c r="V1315" s="1">
        <v>1</v>
      </c>
      <c r="W1315" s="1">
        <v>1</v>
      </c>
      <c r="X1315" s="1">
        <v>0</v>
      </c>
      <c r="Y1315" s="1">
        <v>0</v>
      </c>
      <c r="Z1315" s="1">
        <v>1</v>
      </c>
      <c r="AA1315" s="1" t="s">
        <v>109</v>
      </c>
      <c r="AB1315" s="1" t="s">
        <v>109</v>
      </c>
      <c r="AC1315" s="1" t="s">
        <v>109</v>
      </c>
      <c r="AD1315" s="1" t="s">
        <v>109</v>
      </c>
      <c r="AE1315" s="1" t="s">
        <v>109</v>
      </c>
      <c r="AF1315" s="1" t="s">
        <v>109</v>
      </c>
      <c r="AG1315" s="1">
        <v>2</v>
      </c>
      <c r="AH1315" s="1" t="s">
        <v>109</v>
      </c>
      <c r="AI1315" s="1" t="s">
        <v>109</v>
      </c>
      <c r="AJ1315" s="1" t="s">
        <v>109</v>
      </c>
      <c r="AK1315" s="1">
        <v>3</v>
      </c>
      <c r="AL1315" s="1" t="s">
        <v>109</v>
      </c>
      <c r="AM1315" s="1">
        <v>2</v>
      </c>
      <c r="AN1315" s="1" t="s">
        <v>109</v>
      </c>
      <c r="AO1315" s="1" t="s">
        <v>109</v>
      </c>
      <c r="AP1315" s="1"/>
      <c r="AQ1315" s="1">
        <v>2</v>
      </c>
      <c r="AR1315" s="1"/>
      <c r="AS1315" s="1" t="s">
        <v>10374</v>
      </c>
      <c r="AT1315" s="1">
        <v>0</v>
      </c>
      <c r="AU1315" s="1">
        <v>0</v>
      </c>
      <c r="AV1315" s="1">
        <v>0</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5" t="str">
        <f>HYPERLINK("http://www.d20pfsrd.com/magic/all-spells/l/litany-of-warding","Litany of Warding")</f>
        <v>Litany of Warding</v>
      </c>
      <c r="BT1315" s="1">
        <v>1362</v>
      </c>
      <c r="BU1315" s="1" t="s">
        <v>109</v>
      </c>
      <c r="BV1315" s="1"/>
      <c r="BW1315" s="1"/>
      <c r="BX1315" s="1"/>
      <c r="BY1315" s="1"/>
      <c r="BZ1315" s="1">
        <v>0</v>
      </c>
      <c r="CA1315" s="1" t="s">
        <v>109</v>
      </c>
      <c r="CB1315" s="1" t="s">
        <v>109</v>
      </c>
      <c r="CC1315" s="1" t="s">
        <v>109</v>
      </c>
      <c r="CD1315" s="1" t="s">
        <v>109</v>
      </c>
      <c r="CE1315" s="1" t="s">
        <v>109</v>
      </c>
      <c r="CF1315" s="1" t="s">
        <v>109</v>
      </c>
      <c r="CG1315" s="1" t="s">
        <v>109</v>
      </c>
      <c r="CH1315" s="1" t="s">
        <v>109</v>
      </c>
      <c r="CI1315" s="1" t="s">
        <v>109</v>
      </c>
      <c r="CJ1315" s="1" t="s">
        <v>109</v>
      </c>
      <c r="CK1315" s="1"/>
      <c r="CL1315" s="1">
        <v>0</v>
      </c>
      <c r="CM1315" s="1">
        <v>0</v>
      </c>
      <c r="CN1315" s="1">
        <v>0</v>
      </c>
    </row>
    <row r="1316" spans="1:92" ht="14.25" customHeight="1" x14ac:dyDescent="0.15">
      <c r="A1316" s="1" t="s">
        <v>10375</v>
      </c>
      <c r="B1316" s="1" t="s">
        <v>308</v>
      </c>
      <c r="C1316" s="1"/>
      <c r="D1316" s="1" t="s">
        <v>3274</v>
      </c>
      <c r="E1316" s="1" t="s">
        <v>10376</v>
      </c>
      <c r="F1316" s="1" t="s">
        <v>6545</v>
      </c>
      <c r="G1316" s="1" t="s">
        <v>160</v>
      </c>
      <c r="H1316" s="1">
        <v>0</v>
      </c>
      <c r="I1316" s="1" t="s">
        <v>142</v>
      </c>
      <c r="J1316" s="1"/>
      <c r="K1316" s="1"/>
      <c r="L1316" s="1" t="s">
        <v>1391</v>
      </c>
      <c r="M1316" s="1" t="s">
        <v>355</v>
      </c>
      <c r="N1316" s="1">
        <v>0</v>
      </c>
      <c r="O1316" s="1">
        <v>0</v>
      </c>
      <c r="P1316" s="1" t="s">
        <v>104</v>
      </c>
      <c r="Q1316" s="1" t="s">
        <v>268</v>
      </c>
      <c r="R1316" s="1" t="s">
        <v>10377</v>
      </c>
      <c r="S1316" s="1" t="s">
        <v>10378</v>
      </c>
      <c r="T1316" s="1" t="s">
        <v>9888</v>
      </c>
      <c r="U1316" s="1" t="s">
        <v>10379</v>
      </c>
      <c r="V1316" s="1">
        <v>1</v>
      </c>
      <c r="W1316" s="1">
        <v>1</v>
      </c>
      <c r="X1316" s="1">
        <v>0</v>
      </c>
      <c r="Y1316" s="1">
        <v>0</v>
      </c>
      <c r="Z1316" s="1">
        <v>1</v>
      </c>
      <c r="AA1316" s="1" t="s">
        <v>109</v>
      </c>
      <c r="AB1316" s="1" t="s">
        <v>109</v>
      </c>
      <c r="AC1316" s="1" t="s">
        <v>109</v>
      </c>
      <c r="AD1316" s="1" t="s">
        <v>109</v>
      </c>
      <c r="AE1316" s="1" t="s">
        <v>109</v>
      </c>
      <c r="AF1316" s="1" t="s">
        <v>109</v>
      </c>
      <c r="AG1316" s="1" t="s">
        <v>109</v>
      </c>
      <c r="AH1316" s="1" t="s">
        <v>109</v>
      </c>
      <c r="AI1316" s="1" t="s">
        <v>109</v>
      </c>
      <c r="AJ1316" s="1" t="s">
        <v>109</v>
      </c>
      <c r="AK1316" s="1">
        <v>1</v>
      </c>
      <c r="AL1316" s="1" t="s">
        <v>109</v>
      </c>
      <c r="AM1316" s="1">
        <v>1</v>
      </c>
      <c r="AN1316" s="1" t="s">
        <v>109</v>
      </c>
      <c r="AO1316" s="1" t="s">
        <v>109</v>
      </c>
      <c r="AP1316" s="1"/>
      <c r="AQ1316" s="1">
        <v>1</v>
      </c>
      <c r="AR1316" s="1"/>
      <c r="AS1316" s="1" t="s">
        <v>10380</v>
      </c>
      <c r="AT1316" s="1">
        <v>0</v>
      </c>
      <c r="AU1316" s="1">
        <v>0</v>
      </c>
      <c r="AV1316" s="1">
        <v>0</v>
      </c>
      <c r="AW1316" s="1">
        <v>0</v>
      </c>
      <c r="AX1316" s="1">
        <v>0</v>
      </c>
      <c r="AY1316" s="1">
        <v>0</v>
      </c>
      <c r="AZ1316" s="1">
        <v>0</v>
      </c>
      <c r="BA1316" s="1">
        <v>0</v>
      </c>
      <c r="BB1316" s="1">
        <v>0</v>
      </c>
      <c r="BC1316" s="1">
        <v>0</v>
      </c>
      <c r="BD1316" s="1">
        <v>0</v>
      </c>
      <c r="BE1316" s="1">
        <v>0</v>
      </c>
      <c r="BF1316" s="1">
        <v>0</v>
      </c>
      <c r="BG1316" s="1">
        <v>0</v>
      </c>
      <c r="BH1316" s="1">
        <v>0</v>
      </c>
      <c r="BI1316" s="1">
        <v>0</v>
      </c>
      <c r="BJ1316" s="1">
        <v>1</v>
      </c>
      <c r="BK1316" s="1">
        <v>0</v>
      </c>
      <c r="BL1316" s="1">
        <v>0</v>
      </c>
      <c r="BM1316" s="1">
        <v>0</v>
      </c>
      <c r="BN1316" s="1">
        <v>0</v>
      </c>
      <c r="BO1316" s="1">
        <v>0</v>
      </c>
      <c r="BP1316" s="1">
        <v>0</v>
      </c>
      <c r="BQ1316" s="1">
        <v>0</v>
      </c>
      <c r="BR1316" s="1">
        <v>0</v>
      </c>
      <c r="BS1316" s="5" t="str">
        <f>HYPERLINK("http://www.d20pfsrd.com/magic/all-spells/l/litany-of-weakness","Litany of Weakness")</f>
        <v>Litany of Weakness</v>
      </c>
      <c r="BT1316" s="1">
        <v>1363</v>
      </c>
      <c r="BU1316" s="1" t="s">
        <v>109</v>
      </c>
      <c r="BV1316" s="1"/>
      <c r="BW1316" s="1"/>
      <c r="BX1316" s="1"/>
      <c r="BY1316" s="1"/>
      <c r="BZ1316" s="1">
        <v>0</v>
      </c>
      <c r="CA1316" s="1" t="s">
        <v>109</v>
      </c>
      <c r="CB1316" s="1" t="s">
        <v>109</v>
      </c>
      <c r="CC1316" s="1" t="s">
        <v>109</v>
      </c>
      <c r="CD1316" s="1" t="s">
        <v>109</v>
      </c>
      <c r="CE1316" s="1" t="s">
        <v>109</v>
      </c>
      <c r="CF1316" s="1" t="s">
        <v>109</v>
      </c>
      <c r="CG1316" s="1" t="s">
        <v>109</v>
      </c>
      <c r="CH1316" s="1" t="s">
        <v>109</v>
      </c>
      <c r="CI1316" s="1" t="s">
        <v>109</v>
      </c>
      <c r="CJ1316" s="1" t="s">
        <v>109</v>
      </c>
      <c r="CK1316" s="1"/>
      <c r="CL1316" s="1">
        <v>0</v>
      </c>
      <c r="CM1316" s="1">
        <v>0</v>
      </c>
      <c r="CN1316" s="1">
        <v>0</v>
      </c>
    </row>
    <row r="1317" spans="1:92" ht="14.25" customHeight="1" x14ac:dyDescent="0.15">
      <c r="A1317" s="1" t="s">
        <v>10381</v>
      </c>
      <c r="B1317" s="1" t="s">
        <v>254</v>
      </c>
      <c r="C1317" s="1"/>
      <c r="D1317" s="1"/>
      <c r="E1317" s="1" t="s">
        <v>10382</v>
      </c>
      <c r="F1317" s="1" t="s">
        <v>98</v>
      </c>
      <c r="G1317" s="1" t="s">
        <v>10383</v>
      </c>
      <c r="H1317" s="1">
        <v>0</v>
      </c>
      <c r="I1317" s="1" t="s">
        <v>235</v>
      </c>
      <c r="J1317" s="1"/>
      <c r="K1317" s="1"/>
      <c r="L1317" s="1" t="s">
        <v>236</v>
      </c>
      <c r="M1317" s="1" t="s">
        <v>3042</v>
      </c>
      <c r="N1317" s="1">
        <v>0</v>
      </c>
      <c r="O1317" s="1">
        <v>0</v>
      </c>
      <c r="P1317" s="1"/>
      <c r="Q1317" s="1"/>
      <c r="R1317" s="1" t="s">
        <v>10384</v>
      </c>
      <c r="S1317" s="1" t="s">
        <v>10385</v>
      </c>
      <c r="T1317" s="1" t="s">
        <v>9888</v>
      </c>
      <c r="U1317" s="1" t="s">
        <v>10386</v>
      </c>
      <c r="V1317" s="1">
        <v>1</v>
      </c>
      <c r="W1317" s="1">
        <v>1</v>
      </c>
      <c r="X1317" s="1">
        <v>1</v>
      </c>
      <c r="Y1317" s="1">
        <v>0</v>
      </c>
      <c r="Z1317" s="1">
        <v>1</v>
      </c>
      <c r="AA1317" s="1">
        <v>3</v>
      </c>
      <c r="AB1317" s="1">
        <v>3</v>
      </c>
      <c r="AC1317" s="1" t="s">
        <v>109</v>
      </c>
      <c r="AD1317" s="1" t="s">
        <v>109</v>
      </c>
      <c r="AE1317" s="1">
        <v>2</v>
      </c>
      <c r="AF1317" s="1" t="s">
        <v>109</v>
      </c>
      <c r="AG1317" s="1" t="s">
        <v>109</v>
      </c>
      <c r="AH1317" s="1" t="s">
        <v>109</v>
      </c>
      <c r="AI1317" s="1" t="s">
        <v>109</v>
      </c>
      <c r="AJ1317" s="1">
        <v>3</v>
      </c>
      <c r="AK1317" s="1">
        <v>3</v>
      </c>
      <c r="AL1317" s="1" t="s">
        <v>109</v>
      </c>
      <c r="AM1317" s="1" t="s">
        <v>109</v>
      </c>
      <c r="AN1317" s="1">
        <v>3</v>
      </c>
      <c r="AO1317" s="1" t="s">
        <v>109</v>
      </c>
      <c r="AP1317" s="1"/>
      <c r="AQ1317" s="1">
        <v>3</v>
      </c>
      <c r="AR1317" s="1"/>
      <c r="AS1317" s="1" t="s">
        <v>10387</v>
      </c>
      <c r="AT1317" s="1">
        <v>0</v>
      </c>
      <c r="AU1317" s="1">
        <v>0</v>
      </c>
      <c r="AV1317" s="1">
        <v>0</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5" t="str">
        <f>HYPERLINK("http://www.d20pfsrd.com/magic/all-spells/l/locate-weakness","Locate Weakness")</f>
        <v>Locate Weakness</v>
      </c>
      <c r="BT1317" s="1">
        <v>1364</v>
      </c>
      <c r="BU1317" s="1" t="s">
        <v>109</v>
      </c>
      <c r="BV1317" s="1"/>
      <c r="BW1317" s="1"/>
      <c r="BX1317" s="1"/>
      <c r="BY1317" s="1"/>
      <c r="BZ1317" s="1">
        <v>0</v>
      </c>
      <c r="CA1317" s="1">
        <v>3</v>
      </c>
      <c r="CB1317" s="1" t="s">
        <v>109</v>
      </c>
      <c r="CC1317" s="1">
        <v>3</v>
      </c>
      <c r="CD1317" s="1" t="s">
        <v>109</v>
      </c>
      <c r="CE1317" s="1" t="s">
        <v>109</v>
      </c>
      <c r="CF1317" s="1">
        <v>3</v>
      </c>
      <c r="CG1317" s="1" t="s">
        <v>109</v>
      </c>
      <c r="CH1317" s="1" t="s">
        <v>109</v>
      </c>
      <c r="CI1317" s="1" t="s">
        <v>109</v>
      </c>
      <c r="CJ1317" s="1">
        <v>2</v>
      </c>
      <c r="CK1317" s="1"/>
      <c r="CL1317" s="1">
        <v>0</v>
      </c>
      <c r="CM1317" s="1">
        <v>0</v>
      </c>
      <c r="CN1317" s="1">
        <v>0</v>
      </c>
    </row>
    <row r="1318" spans="1:92" ht="14.25" customHeight="1" x14ac:dyDescent="0.15">
      <c r="A1318" s="1" t="s">
        <v>10388</v>
      </c>
      <c r="B1318" s="1" t="s">
        <v>156</v>
      </c>
      <c r="C1318" s="1" t="s">
        <v>157</v>
      </c>
      <c r="D1318" s="1" t="s">
        <v>158</v>
      </c>
      <c r="E1318" s="1" t="s">
        <v>10389</v>
      </c>
      <c r="F1318" s="1" t="s">
        <v>98</v>
      </c>
      <c r="G1318" s="1" t="s">
        <v>141</v>
      </c>
      <c r="H1318" s="1">
        <v>0</v>
      </c>
      <c r="I1318" s="1" t="s">
        <v>142</v>
      </c>
      <c r="J1318" s="1"/>
      <c r="K1318" s="1"/>
      <c r="L1318" s="1" t="s">
        <v>1391</v>
      </c>
      <c r="M1318" s="1" t="s">
        <v>125</v>
      </c>
      <c r="N1318" s="1">
        <v>0</v>
      </c>
      <c r="O1318" s="1">
        <v>0</v>
      </c>
      <c r="P1318" s="1" t="s">
        <v>301</v>
      </c>
      <c r="Q1318" s="1" t="s">
        <v>268</v>
      </c>
      <c r="R1318" s="1" t="s">
        <v>10390</v>
      </c>
      <c r="S1318" s="1" t="s">
        <v>10391</v>
      </c>
      <c r="T1318" s="1" t="s">
        <v>9888</v>
      </c>
      <c r="U1318" s="1" t="s">
        <v>10392</v>
      </c>
      <c r="V1318" s="1">
        <v>1</v>
      </c>
      <c r="W1318" s="1">
        <v>1</v>
      </c>
      <c r="X1318" s="1">
        <v>0</v>
      </c>
      <c r="Y1318" s="1">
        <v>0</v>
      </c>
      <c r="Z1318" s="1">
        <v>0</v>
      </c>
      <c r="AA1318" s="1">
        <v>1</v>
      </c>
      <c r="AB1318" s="1">
        <v>1</v>
      </c>
      <c r="AC1318" s="1" t="s">
        <v>109</v>
      </c>
      <c r="AD1318" s="1" t="s">
        <v>109</v>
      </c>
      <c r="AE1318" s="1" t="s">
        <v>109</v>
      </c>
      <c r="AF1318" s="1">
        <v>1</v>
      </c>
      <c r="AG1318" s="1" t="s">
        <v>109</v>
      </c>
      <c r="AH1318" s="1" t="s">
        <v>109</v>
      </c>
      <c r="AI1318" s="1" t="s">
        <v>109</v>
      </c>
      <c r="AJ1318" s="1">
        <v>1</v>
      </c>
      <c r="AK1318" s="1">
        <v>1</v>
      </c>
      <c r="AL1318" s="1" t="s">
        <v>109</v>
      </c>
      <c r="AM1318" s="1" t="s">
        <v>109</v>
      </c>
      <c r="AN1318" s="1">
        <v>1</v>
      </c>
      <c r="AO1318" s="1" t="s">
        <v>109</v>
      </c>
      <c r="AP1318" s="1"/>
      <c r="AQ1318" s="1">
        <v>1</v>
      </c>
      <c r="AR1318" s="1"/>
      <c r="AS1318" s="1" t="s">
        <v>10393</v>
      </c>
      <c r="AT1318" s="1">
        <v>0</v>
      </c>
      <c r="AU1318" s="1">
        <v>0</v>
      </c>
      <c r="AV1318" s="1">
        <v>0</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1</v>
      </c>
      <c r="BN1318" s="1">
        <v>0</v>
      </c>
      <c r="BO1318" s="1">
        <v>0</v>
      </c>
      <c r="BP1318" s="1">
        <v>0</v>
      </c>
      <c r="BQ1318" s="1">
        <v>0</v>
      </c>
      <c r="BR1318" s="1">
        <v>0</v>
      </c>
      <c r="BS1318" s="5" t="str">
        <f>HYPERLINK("http://www.d20pfsrd.com/magic/all-spells/l/lock-gaze","Lock Gaze")</f>
        <v>Lock Gaze</v>
      </c>
      <c r="BT1318" s="1">
        <v>1365</v>
      </c>
      <c r="BU1318" s="1" t="s">
        <v>109</v>
      </c>
      <c r="BV1318" s="1"/>
      <c r="BW1318" s="1"/>
      <c r="BX1318" s="1"/>
      <c r="BY1318" s="1"/>
      <c r="BZ1318" s="1">
        <v>0</v>
      </c>
      <c r="CA1318" s="1" t="s">
        <v>109</v>
      </c>
      <c r="CB1318" s="1" t="s">
        <v>109</v>
      </c>
      <c r="CC1318" s="1">
        <v>1</v>
      </c>
      <c r="CD1318" s="1" t="s">
        <v>109</v>
      </c>
      <c r="CE1318" s="1">
        <v>1</v>
      </c>
      <c r="CF1318" s="1" t="s">
        <v>109</v>
      </c>
      <c r="CG1318" s="1" t="s">
        <v>109</v>
      </c>
      <c r="CH1318" s="1" t="s">
        <v>109</v>
      </c>
      <c r="CI1318" s="1" t="s">
        <v>109</v>
      </c>
      <c r="CJ1318" s="1" t="s">
        <v>109</v>
      </c>
      <c r="CK1318" s="1"/>
      <c r="CL1318" s="1">
        <v>0</v>
      </c>
      <c r="CM1318" s="1">
        <v>0</v>
      </c>
      <c r="CN1318" s="1">
        <v>0</v>
      </c>
    </row>
    <row r="1319" spans="1:92" ht="14.25" customHeight="1" x14ac:dyDescent="0.15">
      <c r="A1319" s="1" t="s">
        <v>10394</v>
      </c>
      <c r="B1319" s="1" t="s">
        <v>189</v>
      </c>
      <c r="C1319" s="1"/>
      <c r="D1319" s="1"/>
      <c r="E1319" s="1" t="s">
        <v>10395</v>
      </c>
      <c r="F1319" s="1" t="s">
        <v>98</v>
      </c>
      <c r="G1319" s="1" t="s">
        <v>10396</v>
      </c>
      <c r="H1319" s="1">
        <v>0</v>
      </c>
      <c r="I1319" s="1" t="s">
        <v>235</v>
      </c>
      <c r="J1319" s="1"/>
      <c r="K1319" s="1"/>
      <c r="L1319" s="1" t="s">
        <v>236</v>
      </c>
      <c r="M1319" s="1" t="s">
        <v>3042</v>
      </c>
      <c r="N1319" s="1">
        <v>0</v>
      </c>
      <c r="O1319" s="1">
        <v>0</v>
      </c>
      <c r="P1319" s="1"/>
      <c r="Q1319" s="1"/>
      <c r="R1319" s="1" t="s">
        <v>10397</v>
      </c>
      <c r="S1319" s="1" t="s">
        <v>10398</v>
      </c>
      <c r="T1319" s="1" t="s">
        <v>9888</v>
      </c>
      <c r="U1319" s="1" t="s">
        <v>10399</v>
      </c>
      <c r="V1319" s="1">
        <v>1</v>
      </c>
      <c r="W1319" s="1">
        <v>1</v>
      </c>
      <c r="X1319" s="1">
        <v>1</v>
      </c>
      <c r="Y1319" s="1">
        <v>0</v>
      </c>
      <c r="Z1319" s="1">
        <v>1</v>
      </c>
      <c r="AA1319" s="1">
        <v>1</v>
      </c>
      <c r="AB1319" s="1">
        <v>1</v>
      </c>
      <c r="AC1319" s="1" t="s">
        <v>109</v>
      </c>
      <c r="AD1319" s="1" t="s">
        <v>109</v>
      </c>
      <c r="AE1319" s="1">
        <v>1</v>
      </c>
      <c r="AF1319" s="1" t="s">
        <v>109</v>
      </c>
      <c r="AG1319" s="1">
        <v>1</v>
      </c>
      <c r="AH1319" s="1">
        <v>1</v>
      </c>
      <c r="AI1319" s="1" t="s">
        <v>109</v>
      </c>
      <c r="AJ1319" s="1" t="s">
        <v>109</v>
      </c>
      <c r="AK1319" s="1">
        <v>1</v>
      </c>
      <c r="AL1319" s="1" t="s">
        <v>109</v>
      </c>
      <c r="AM1319" s="1">
        <v>1</v>
      </c>
      <c r="AN1319" s="1">
        <v>1</v>
      </c>
      <c r="AO1319" s="1" t="s">
        <v>109</v>
      </c>
      <c r="AP1319" s="1"/>
      <c r="AQ1319" s="1">
        <v>1</v>
      </c>
      <c r="AR1319" s="1"/>
      <c r="AS1319" s="1" t="s">
        <v>10400</v>
      </c>
      <c r="AT1319" s="1">
        <v>0</v>
      </c>
      <c r="AU1319" s="1">
        <v>0</v>
      </c>
      <c r="AV1319" s="1">
        <v>0</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5" t="str">
        <f>HYPERLINK("http://www.d20pfsrd.com/magic/all-spells/l/longshot","Longshot")</f>
        <v>Longshot</v>
      </c>
      <c r="BT1319" s="1">
        <v>1366</v>
      </c>
      <c r="BU1319" s="1" t="s">
        <v>109</v>
      </c>
      <c r="BV1319" s="1"/>
      <c r="BW1319" s="1"/>
      <c r="BX1319" s="1"/>
      <c r="BY1319" s="1"/>
      <c r="BZ1319" s="1">
        <v>0</v>
      </c>
      <c r="CA1319" s="1" t="s">
        <v>109</v>
      </c>
      <c r="CB1319" s="1" t="s">
        <v>109</v>
      </c>
      <c r="CC1319" s="1">
        <v>1</v>
      </c>
      <c r="CD1319" s="1" t="s">
        <v>109</v>
      </c>
      <c r="CE1319" s="1" t="s">
        <v>109</v>
      </c>
      <c r="CF1319" s="1">
        <v>1</v>
      </c>
      <c r="CG1319" s="1" t="s">
        <v>109</v>
      </c>
      <c r="CH1319" s="1" t="s">
        <v>109</v>
      </c>
      <c r="CI1319" s="1" t="s">
        <v>109</v>
      </c>
      <c r="CJ1319" s="1">
        <v>1</v>
      </c>
      <c r="CK1319" s="1"/>
      <c r="CL1319" s="1">
        <v>0</v>
      </c>
      <c r="CM1319" s="1">
        <v>0</v>
      </c>
      <c r="CN1319" s="1">
        <v>0</v>
      </c>
    </row>
    <row r="1320" spans="1:92" ht="14.25" customHeight="1" x14ac:dyDescent="0.15">
      <c r="A1320" s="1" t="s">
        <v>10401</v>
      </c>
      <c r="B1320" s="1" t="s">
        <v>189</v>
      </c>
      <c r="C1320" s="1"/>
      <c r="D1320" s="1"/>
      <c r="E1320" s="1" t="s">
        <v>10402</v>
      </c>
      <c r="F1320" s="1" t="s">
        <v>98</v>
      </c>
      <c r="G1320" s="1" t="s">
        <v>160</v>
      </c>
      <c r="H1320" s="1">
        <v>0</v>
      </c>
      <c r="I1320" s="1" t="s">
        <v>161</v>
      </c>
      <c r="J1320" s="1"/>
      <c r="K1320" s="1"/>
      <c r="L1320" s="1" t="s">
        <v>10403</v>
      </c>
      <c r="M1320" s="1" t="s">
        <v>10246</v>
      </c>
      <c r="N1320" s="1">
        <v>0</v>
      </c>
      <c r="O1320" s="1">
        <v>0</v>
      </c>
      <c r="P1320" s="1" t="s">
        <v>215</v>
      </c>
      <c r="Q1320" s="1" t="s">
        <v>216</v>
      </c>
      <c r="R1320" s="1" t="s">
        <v>10404</v>
      </c>
      <c r="S1320" s="1" t="s">
        <v>10405</v>
      </c>
      <c r="T1320" s="1" t="s">
        <v>9888</v>
      </c>
      <c r="U1320" s="1" t="s">
        <v>10406</v>
      </c>
      <c r="V1320" s="1">
        <v>1</v>
      </c>
      <c r="W1320" s="1">
        <v>1</v>
      </c>
      <c r="X1320" s="1">
        <v>0</v>
      </c>
      <c r="Y1320" s="1">
        <v>0</v>
      </c>
      <c r="Z1320" s="1">
        <v>1</v>
      </c>
      <c r="AA1320" s="1">
        <v>2</v>
      </c>
      <c r="AB1320" s="1">
        <v>2</v>
      </c>
      <c r="AC1320" s="1">
        <v>2</v>
      </c>
      <c r="AD1320" s="1" t="s">
        <v>109</v>
      </c>
      <c r="AE1320" s="1" t="s">
        <v>109</v>
      </c>
      <c r="AF1320" s="1" t="s">
        <v>109</v>
      </c>
      <c r="AG1320" s="1">
        <v>2</v>
      </c>
      <c r="AH1320" s="1" t="s">
        <v>109</v>
      </c>
      <c r="AI1320" s="1" t="s">
        <v>109</v>
      </c>
      <c r="AJ1320" s="1" t="s">
        <v>109</v>
      </c>
      <c r="AK1320" s="1">
        <v>2</v>
      </c>
      <c r="AL1320" s="1">
        <v>2</v>
      </c>
      <c r="AM1320" s="1">
        <v>2</v>
      </c>
      <c r="AN1320" s="1" t="s">
        <v>109</v>
      </c>
      <c r="AO1320" s="1" t="s">
        <v>109</v>
      </c>
      <c r="AP1320" s="1"/>
      <c r="AQ1320" s="1">
        <v>2</v>
      </c>
      <c r="AR1320" s="1"/>
      <c r="AS1320" s="1" t="s">
        <v>10407</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5" t="str">
        <f>HYPERLINK("http://www.d20pfsrd.com/magic/all-spells/m/magic-siege-engine","Magic Siege Engine")</f>
        <v>Magic Siege Engine</v>
      </c>
      <c r="BT1320" s="1">
        <v>1367</v>
      </c>
      <c r="BU1320" s="1" t="s">
        <v>109</v>
      </c>
      <c r="BV1320" s="1"/>
      <c r="BW1320" s="1"/>
      <c r="BX1320" s="1"/>
      <c r="BY1320" s="1"/>
      <c r="BZ1320" s="1">
        <v>0</v>
      </c>
      <c r="CA1320" s="1" t="s">
        <v>109</v>
      </c>
      <c r="CB1320" s="1" t="s">
        <v>109</v>
      </c>
      <c r="CC1320" s="1" t="s">
        <v>109</v>
      </c>
      <c r="CD1320" s="1" t="s">
        <v>109</v>
      </c>
      <c r="CE1320" s="1" t="s">
        <v>109</v>
      </c>
      <c r="CF1320" s="1">
        <v>2</v>
      </c>
      <c r="CG1320" s="1" t="s">
        <v>109</v>
      </c>
      <c r="CH1320" s="1" t="s">
        <v>109</v>
      </c>
      <c r="CI1320" s="1" t="s">
        <v>109</v>
      </c>
      <c r="CJ1320" s="1" t="s">
        <v>109</v>
      </c>
      <c r="CK1320" s="1"/>
      <c r="CL1320" s="1">
        <v>0</v>
      </c>
      <c r="CM1320" s="1">
        <v>0</v>
      </c>
      <c r="CN1320" s="1">
        <v>0</v>
      </c>
    </row>
    <row r="1321" spans="1:92" ht="14.25" customHeight="1" x14ac:dyDescent="0.15">
      <c r="A1321" s="1" t="s">
        <v>10408</v>
      </c>
      <c r="B1321" s="1" t="s">
        <v>189</v>
      </c>
      <c r="C1321" s="1"/>
      <c r="D1321" s="1"/>
      <c r="E1321" s="1" t="s">
        <v>10409</v>
      </c>
      <c r="F1321" s="1" t="s">
        <v>98</v>
      </c>
      <c r="G1321" s="1" t="s">
        <v>10410</v>
      </c>
      <c r="H1321" s="1">
        <v>0</v>
      </c>
      <c r="I1321" s="1" t="s">
        <v>142</v>
      </c>
      <c r="J1321" s="1"/>
      <c r="K1321" s="1"/>
      <c r="L1321" s="1" t="s">
        <v>10403</v>
      </c>
      <c r="M1321" s="1" t="s">
        <v>289</v>
      </c>
      <c r="N1321" s="1">
        <v>0</v>
      </c>
      <c r="O1321" s="1">
        <v>0</v>
      </c>
      <c r="P1321" s="1" t="s">
        <v>215</v>
      </c>
      <c r="Q1321" s="1" t="s">
        <v>216</v>
      </c>
      <c r="R1321" s="1" t="s">
        <v>10411</v>
      </c>
      <c r="S1321" s="1" t="s">
        <v>10412</v>
      </c>
      <c r="T1321" s="1" t="s">
        <v>9888</v>
      </c>
      <c r="U1321" s="1" t="s">
        <v>10413</v>
      </c>
      <c r="V1321" s="1">
        <v>1</v>
      </c>
      <c r="W1321" s="1">
        <v>1</v>
      </c>
      <c r="X1321" s="1">
        <v>1</v>
      </c>
      <c r="Y1321" s="1">
        <v>0</v>
      </c>
      <c r="Z1321" s="1">
        <v>1</v>
      </c>
      <c r="AA1321" s="1">
        <v>4</v>
      </c>
      <c r="AB1321" s="1">
        <v>4</v>
      </c>
      <c r="AC1321" s="1">
        <v>5</v>
      </c>
      <c r="AD1321" s="1" t="s">
        <v>109</v>
      </c>
      <c r="AE1321" s="1" t="s">
        <v>109</v>
      </c>
      <c r="AF1321" s="1" t="s">
        <v>109</v>
      </c>
      <c r="AG1321" s="1">
        <v>4</v>
      </c>
      <c r="AH1321" s="1" t="s">
        <v>109</v>
      </c>
      <c r="AI1321" s="1" t="s">
        <v>109</v>
      </c>
      <c r="AJ1321" s="1" t="s">
        <v>109</v>
      </c>
      <c r="AK1321" s="1">
        <v>4</v>
      </c>
      <c r="AL1321" s="1">
        <v>5</v>
      </c>
      <c r="AM1321" s="1">
        <v>4</v>
      </c>
      <c r="AN1321" s="1" t="s">
        <v>109</v>
      </c>
      <c r="AO1321" s="1" t="s">
        <v>109</v>
      </c>
      <c r="AP1321" s="1"/>
      <c r="AQ1321" s="1">
        <v>4</v>
      </c>
      <c r="AR1321" s="1"/>
      <c r="AS1321" s="1" t="s">
        <v>10414</v>
      </c>
      <c r="AT1321" s="1">
        <v>0</v>
      </c>
      <c r="AU1321" s="1">
        <v>0</v>
      </c>
      <c r="AV1321" s="1">
        <v>0</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5" t="str">
        <f>HYPERLINK("http://www.d20pfsrd.com/magic/all-spells/m/magic-siege-engine#TOC-Magic-Siege-Engine-Greater","Magic Siege Engine, Greater")</f>
        <v>Magic Siege Engine, Greater</v>
      </c>
      <c r="BT1321" s="1">
        <v>1368</v>
      </c>
      <c r="BU1321" s="1" t="s">
        <v>109</v>
      </c>
      <c r="BV1321" s="1"/>
      <c r="BW1321" s="1"/>
      <c r="BX1321" s="1"/>
      <c r="BY1321" s="1"/>
      <c r="BZ1321" s="1">
        <v>0</v>
      </c>
      <c r="CA1321" s="1" t="s">
        <v>109</v>
      </c>
      <c r="CB1321" s="1" t="s">
        <v>109</v>
      </c>
      <c r="CC1321" s="1" t="s">
        <v>109</v>
      </c>
      <c r="CD1321" s="1" t="s">
        <v>109</v>
      </c>
      <c r="CE1321" s="1" t="s">
        <v>109</v>
      </c>
      <c r="CF1321" s="1">
        <v>4</v>
      </c>
      <c r="CG1321" s="1" t="s">
        <v>109</v>
      </c>
      <c r="CH1321" s="1" t="s">
        <v>109</v>
      </c>
      <c r="CI1321" s="1" t="s">
        <v>109</v>
      </c>
      <c r="CJ1321" s="1" t="s">
        <v>109</v>
      </c>
      <c r="CK1321" s="1"/>
      <c r="CL1321" s="1">
        <v>0</v>
      </c>
      <c r="CM1321" s="1">
        <v>0</v>
      </c>
      <c r="CN1321" s="1">
        <v>0</v>
      </c>
    </row>
    <row r="1322" spans="1:92" ht="14.25" customHeight="1" x14ac:dyDescent="0.15">
      <c r="A1322" s="1" t="s">
        <v>10415</v>
      </c>
      <c r="B1322" s="1" t="s">
        <v>674</v>
      </c>
      <c r="C1322" s="1" t="s">
        <v>675</v>
      </c>
      <c r="D1322" s="1"/>
      <c r="E1322" s="1" t="s">
        <v>10416</v>
      </c>
      <c r="F1322" s="1" t="s">
        <v>98</v>
      </c>
      <c r="G1322" s="1" t="s">
        <v>6903</v>
      </c>
      <c r="H1322" s="1">
        <v>0</v>
      </c>
      <c r="I1322" s="1" t="s">
        <v>161</v>
      </c>
      <c r="J1322" s="1"/>
      <c r="K1322" s="1"/>
      <c r="L1322" s="1" t="s">
        <v>10417</v>
      </c>
      <c r="M1322" s="1" t="s">
        <v>5811</v>
      </c>
      <c r="N1322" s="1">
        <v>1</v>
      </c>
      <c r="O1322" s="1">
        <v>0</v>
      </c>
      <c r="P1322" s="1" t="s">
        <v>281</v>
      </c>
      <c r="Q1322" s="1" t="s">
        <v>104</v>
      </c>
      <c r="R1322" s="1" t="s">
        <v>10418</v>
      </c>
      <c r="S1322" s="1" t="s">
        <v>10419</v>
      </c>
      <c r="T1322" s="1" t="s">
        <v>9888</v>
      </c>
      <c r="U1322" s="1" t="s">
        <v>10420</v>
      </c>
      <c r="V1322" s="1">
        <v>1</v>
      </c>
      <c r="W1322" s="1">
        <v>1</v>
      </c>
      <c r="X1322" s="1">
        <v>1</v>
      </c>
      <c r="Y1322" s="1">
        <v>0</v>
      </c>
      <c r="Z1322" s="1">
        <v>0</v>
      </c>
      <c r="AA1322" s="1" t="s">
        <v>109</v>
      </c>
      <c r="AB1322" s="1" t="s">
        <v>109</v>
      </c>
      <c r="AC1322" s="1" t="s">
        <v>109</v>
      </c>
      <c r="AD1322" s="1" t="s">
        <v>109</v>
      </c>
      <c r="AE1322" s="1" t="s">
        <v>109</v>
      </c>
      <c r="AF1322" s="1" t="s">
        <v>109</v>
      </c>
      <c r="AG1322" s="1" t="s">
        <v>109</v>
      </c>
      <c r="AH1322" s="1" t="s">
        <v>109</v>
      </c>
      <c r="AI1322" s="1" t="s">
        <v>109</v>
      </c>
      <c r="AJ1322" s="1">
        <v>2</v>
      </c>
      <c r="AK1322" s="1" t="s">
        <v>109</v>
      </c>
      <c r="AL1322" s="1" t="s">
        <v>109</v>
      </c>
      <c r="AM1322" s="1" t="s">
        <v>109</v>
      </c>
      <c r="AN1322" s="1" t="s">
        <v>109</v>
      </c>
      <c r="AO1322" s="1" t="s">
        <v>109</v>
      </c>
      <c r="AP1322" s="1"/>
      <c r="AQ1322" s="1">
        <v>2</v>
      </c>
      <c r="AR1322" s="1"/>
      <c r="AS1322" s="1" t="s">
        <v>10421</v>
      </c>
      <c r="AT1322" s="1">
        <v>0</v>
      </c>
      <c r="AU1322" s="1">
        <v>0</v>
      </c>
      <c r="AV1322" s="1">
        <v>0</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5" t="str">
        <f>HYPERLINK("http://www.d20pfsrd.com/magic/all-spells/m/mask-dweomer#TOC-Mask-Dweomer-Communal","Mask Dweomer, Communal")</f>
        <v>Mask Dweomer, Communal</v>
      </c>
      <c r="BT1322" s="1">
        <v>1369</v>
      </c>
      <c r="BU1322" s="1" t="s">
        <v>109</v>
      </c>
      <c r="BV1322" s="1"/>
      <c r="BW1322" s="1"/>
      <c r="BX1322" s="1"/>
      <c r="BY1322" s="1"/>
      <c r="BZ1322" s="1">
        <v>0</v>
      </c>
      <c r="CA1322" s="1" t="s">
        <v>109</v>
      </c>
      <c r="CB1322" s="1" t="s">
        <v>109</v>
      </c>
      <c r="CC1322" s="1">
        <v>2</v>
      </c>
      <c r="CD1322" s="1" t="s">
        <v>109</v>
      </c>
      <c r="CE1322" s="1" t="s">
        <v>109</v>
      </c>
      <c r="CF1322" s="1">
        <v>2</v>
      </c>
      <c r="CG1322" s="1" t="s">
        <v>109</v>
      </c>
      <c r="CH1322" s="1" t="s">
        <v>109</v>
      </c>
      <c r="CI1322" s="1" t="s">
        <v>109</v>
      </c>
      <c r="CJ1322" s="1" t="s">
        <v>109</v>
      </c>
      <c r="CK1322" s="1"/>
      <c r="CL1322" s="1">
        <v>0</v>
      </c>
      <c r="CM1322" s="1">
        <v>0</v>
      </c>
      <c r="CN1322" s="1">
        <v>0</v>
      </c>
    </row>
    <row r="1323" spans="1:92" ht="14.25" customHeight="1" x14ac:dyDescent="0.15">
      <c r="A1323" s="1" t="s">
        <v>10422</v>
      </c>
      <c r="B1323" s="1" t="s">
        <v>242</v>
      </c>
      <c r="C1323" s="1"/>
      <c r="D1323" s="1"/>
      <c r="E1323" s="1" t="s">
        <v>10423</v>
      </c>
      <c r="F1323" s="1" t="s">
        <v>98</v>
      </c>
      <c r="G1323" s="1" t="s">
        <v>141</v>
      </c>
      <c r="H1323" s="1">
        <v>0</v>
      </c>
      <c r="I1323" s="1" t="s">
        <v>142</v>
      </c>
      <c r="J1323" s="1"/>
      <c r="K1323" s="1"/>
      <c r="L1323" s="1" t="s">
        <v>1391</v>
      </c>
      <c r="M1323" s="1" t="s">
        <v>465</v>
      </c>
      <c r="N1323" s="1">
        <v>0</v>
      </c>
      <c r="O1323" s="1">
        <v>0</v>
      </c>
      <c r="P1323" s="1" t="s">
        <v>507</v>
      </c>
      <c r="Q1323" s="1" t="s">
        <v>167</v>
      </c>
      <c r="R1323" s="1" t="s">
        <v>10424</v>
      </c>
      <c r="S1323" s="1" t="s">
        <v>10425</v>
      </c>
      <c r="T1323" s="1" t="s">
        <v>9888</v>
      </c>
      <c r="U1323" s="1" t="s">
        <v>10426</v>
      </c>
      <c r="V1323" s="1">
        <v>1</v>
      </c>
      <c r="W1323" s="1">
        <v>1</v>
      </c>
      <c r="X1323" s="1">
        <v>0</v>
      </c>
      <c r="Y1323" s="1">
        <v>0</v>
      </c>
      <c r="Z1323" s="1">
        <v>0</v>
      </c>
      <c r="AA1323" s="1">
        <v>9</v>
      </c>
      <c r="AB1323" s="1">
        <v>9</v>
      </c>
      <c r="AC1323" s="1" t="s">
        <v>109</v>
      </c>
      <c r="AD1323" s="1" t="s">
        <v>109</v>
      </c>
      <c r="AE1323" s="1" t="s">
        <v>109</v>
      </c>
      <c r="AF1323" s="1" t="s">
        <v>109</v>
      </c>
      <c r="AG1323" s="1" t="s">
        <v>109</v>
      </c>
      <c r="AH1323" s="1" t="s">
        <v>109</v>
      </c>
      <c r="AI1323" s="1" t="s">
        <v>109</v>
      </c>
      <c r="AJ1323" s="1">
        <v>9</v>
      </c>
      <c r="AK1323" s="1" t="s">
        <v>109</v>
      </c>
      <c r="AL1323" s="1" t="s">
        <v>109</v>
      </c>
      <c r="AM1323" s="1" t="s">
        <v>109</v>
      </c>
      <c r="AN1323" s="1" t="s">
        <v>109</v>
      </c>
      <c r="AO1323" s="1" t="s">
        <v>109</v>
      </c>
      <c r="AP1323" s="1"/>
      <c r="AQ1323" s="1">
        <v>9</v>
      </c>
      <c r="AR1323" s="1"/>
      <c r="AS1323" s="1" t="s">
        <v>10427</v>
      </c>
      <c r="AT1323" s="1">
        <v>0</v>
      </c>
      <c r="AU1323" s="1">
        <v>0</v>
      </c>
      <c r="AV1323" s="1">
        <v>0</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5" t="str">
        <f>HYPERLINK("http://www.d20pfsrd.com/magic/all-spells/m/mind-blank#TOC-Mind-Blank-Communal","Mind Blank, Communal")</f>
        <v>Mind Blank, Communal</v>
      </c>
      <c r="BT1323" s="1">
        <v>1370</v>
      </c>
      <c r="BU1323" s="1" t="s">
        <v>109</v>
      </c>
      <c r="BV1323" s="1"/>
      <c r="BW1323" s="1"/>
      <c r="BX1323" s="1"/>
      <c r="BY1323" s="1"/>
      <c r="BZ1323" s="1">
        <v>0</v>
      </c>
      <c r="CA1323" s="1" t="s">
        <v>109</v>
      </c>
      <c r="CB1323" s="1" t="s">
        <v>109</v>
      </c>
      <c r="CC1323" s="1">
        <v>8</v>
      </c>
      <c r="CD1323" s="1" t="s">
        <v>109</v>
      </c>
      <c r="CE1323" s="1" t="s">
        <v>109</v>
      </c>
      <c r="CF1323" s="1" t="s">
        <v>109</v>
      </c>
      <c r="CG1323" s="1" t="s">
        <v>109</v>
      </c>
      <c r="CH1323" s="1" t="s">
        <v>109</v>
      </c>
      <c r="CI1323" s="1" t="s">
        <v>109</v>
      </c>
      <c r="CJ1323" s="1" t="s">
        <v>109</v>
      </c>
      <c r="CK1323" s="1"/>
      <c r="CL1323" s="1">
        <v>0</v>
      </c>
      <c r="CM1323" s="1">
        <v>0</v>
      </c>
      <c r="CN1323" s="1">
        <v>0</v>
      </c>
    </row>
    <row r="1324" spans="1:92" ht="14.25" customHeight="1" x14ac:dyDescent="0.15">
      <c r="A1324" s="1" t="s">
        <v>10428</v>
      </c>
      <c r="B1324" s="1" t="s">
        <v>189</v>
      </c>
      <c r="C1324" s="1"/>
      <c r="D1324" s="1"/>
      <c r="E1324" s="1" t="s">
        <v>10429</v>
      </c>
      <c r="F1324" s="1" t="s">
        <v>98</v>
      </c>
      <c r="G1324" s="1" t="s">
        <v>10430</v>
      </c>
      <c r="H1324" s="1">
        <v>0</v>
      </c>
      <c r="I1324" s="1" t="s">
        <v>235</v>
      </c>
      <c r="J1324" s="1"/>
      <c r="K1324" s="1"/>
      <c r="L1324" s="1" t="s">
        <v>236</v>
      </c>
      <c r="M1324" s="1" t="s">
        <v>211</v>
      </c>
      <c r="N1324" s="1">
        <v>0</v>
      </c>
      <c r="O1324" s="1">
        <v>0</v>
      </c>
      <c r="P1324" s="1"/>
      <c r="Q1324" s="1"/>
      <c r="R1324" s="1" t="s">
        <v>10431</v>
      </c>
      <c r="S1324" s="1" t="s">
        <v>10432</v>
      </c>
      <c r="T1324" s="1" t="s">
        <v>9888</v>
      </c>
      <c r="U1324" s="1" t="s">
        <v>10433</v>
      </c>
      <c r="V1324" s="1">
        <v>1</v>
      </c>
      <c r="W1324" s="1">
        <v>1</v>
      </c>
      <c r="X1324" s="1">
        <v>1</v>
      </c>
      <c r="Y1324" s="1">
        <v>0</v>
      </c>
      <c r="Z1324" s="1">
        <v>0</v>
      </c>
      <c r="AA1324" s="1">
        <v>1</v>
      </c>
      <c r="AB1324" s="1">
        <v>1</v>
      </c>
      <c r="AC1324" s="1" t="s">
        <v>109</v>
      </c>
      <c r="AD1324" s="1" t="s">
        <v>109</v>
      </c>
      <c r="AE1324" s="1" t="s">
        <v>109</v>
      </c>
      <c r="AF1324" s="1" t="s">
        <v>109</v>
      </c>
      <c r="AG1324" s="1" t="s">
        <v>109</v>
      </c>
      <c r="AH1324" s="1" t="s">
        <v>109</v>
      </c>
      <c r="AI1324" s="1" t="s">
        <v>109</v>
      </c>
      <c r="AJ1324" s="1" t="s">
        <v>109</v>
      </c>
      <c r="AK1324" s="1" t="s">
        <v>109</v>
      </c>
      <c r="AL1324" s="1" t="s">
        <v>109</v>
      </c>
      <c r="AM1324" s="1" t="s">
        <v>109</v>
      </c>
      <c r="AN1324" s="1">
        <v>1</v>
      </c>
      <c r="AO1324" s="1" t="s">
        <v>109</v>
      </c>
      <c r="AP1324" s="1"/>
      <c r="AQ1324" s="1">
        <v>1</v>
      </c>
      <c r="AR1324" s="1"/>
      <c r="AS1324" s="1" t="s">
        <v>10434</v>
      </c>
      <c r="AT1324" s="1">
        <v>0</v>
      </c>
      <c r="AU1324" s="1">
        <v>0</v>
      </c>
      <c r="AV1324" s="1">
        <v>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5" t="str">
        <f>HYPERLINK("http://www.d20pfsrd.com/magic/all-spells/m/mirror-strike","Mirror Strike")</f>
        <v>Mirror Strike</v>
      </c>
      <c r="BT1324" s="1">
        <v>1371</v>
      </c>
      <c r="BU1324" s="1" t="s">
        <v>109</v>
      </c>
      <c r="BV1324" s="1"/>
      <c r="BW1324" s="1"/>
      <c r="BX1324" s="1"/>
      <c r="BY1324" s="1"/>
      <c r="BZ1324" s="1">
        <v>0</v>
      </c>
      <c r="CA1324" s="1">
        <v>1</v>
      </c>
      <c r="CB1324" s="1" t="s">
        <v>109</v>
      </c>
      <c r="CC1324" s="1">
        <v>1</v>
      </c>
      <c r="CD1324" s="1" t="s">
        <v>109</v>
      </c>
      <c r="CE1324" s="1" t="s">
        <v>109</v>
      </c>
      <c r="CF1324" s="1" t="s">
        <v>109</v>
      </c>
      <c r="CG1324" s="1" t="s">
        <v>109</v>
      </c>
      <c r="CH1324" s="1" t="s">
        <v>109</v>
      </c>
      <c r="CI1324" s="1" t="s">
        <v>109</v>
      </c>
      <c r="CJ1324" s="1" t="s">
        <v>109</v>
      </c>
      <c r="CK1324" s="1"/>
      <c r="CL1324" s="1">
        <v>0</v>
      </c>
      <c r="CM1324" s="1">
        <v>0</v>
      </c>
      <c r="CN1324" s="1">
        <v>0</v>
      </c>
    </row>
    <row r="1325" spans="1:92" ht="14.25" customHeight="1" x14ac:dyDescent="0.15">
      <c r="A1325" s="1" t="s">
        <v>10435</v>
      </c>
      <c r="B1325" s="1" t="s">
        <v>156</v>
      </c>
      <c r="C1325" s="1" t="s">
        <v>157</v>
      </c>
      <c r="D1325" s="1" t="s">
        <v>158</v>
      </c>
      <c r="E1325" s="1" t="s">
        <v>10436</v>
      </c>
      <c r="F1325" s="1" t="s">
        <v>98</v>
      </c>
      <c r="G1325" s="1" t="s">
        <v>10437</v>
      </c>
      <c r="H1325" s="1">
        <v>0</v>
      </c>
      <c r="I1325" s="1" t="s">
        <v>475</v>
      </c>
      <c r="J1325" s="1"/>
      <c r="K1325" s="1"/>
      <c r="L1325" s="1" t="s">
        <v>10438</v>
      </c>
      <c r="M1325" s="1" t="s">
        <v>8243</v>
      </c>
      <c r="N1325" s="1">
        <v>0</v>
      </c>
      <c r="O1325" s="1">
        <v>0</v>
      </c>
      <c r="P1325" s="1" t="s">
        <v>103</v>
      </c>
      <c r="Q1325" s="1" t="s">
        <v>167</v>
      </c>
      <c r="R1325" s="1" t="s">
        <v>10439</v>
      </c>
      <c r="S1325" s="1" t="s">
        <v>10440</v>
      </c>
      <c r="T1325" s="1" t="s">
        <v>9888</v>
      </c>
      <c r="U1325" s="1" t="s">
        <v>10441</v>
      </c>
      <c r="V1325" s="1">
        <v>1</v>
      </c>
      <c r="W1325" s="1">
        <v>1</v>
      </c>
      <c r="X1325" s="1">
        <v>1</v>
      </c>
      <c r="Y1325" s="1">
        <v>0</v>
      </c>
      <c r="Z1325" s="1">
        <v>1</v>
      </c>
      <c r="AA1325" s="1">
        <v>1</v>
      </c>
      <c r="AB1325" s="1">
        <v>1</v>
      </c>
      <c r="AC1325" s="1">
        <v>1</v>
      </c>
      <c r="AD1325" s="1" t="s">
        <v>109</v>
      </c>
      <c r="AE1325" s="1" t="s">
        <v>109</v>
      </c>
      <c r="AF1325" s="1">
        <v>1</v>
      </c>
      <c r="AG1325" s="1" t="s">
        <v>109</v>
      </c>
      <c r="AH1325" s="1" t="s">
        <v>109</v>
      </c>
      <c r="AI1325" s="1" t="s">
        <v>109</v>
      </c>
      <c r="AJ1325" s="1" t="s">
        <v>109</v>
      </c>
      <c r="AK1325" s="1" t="s">
        <v>109</v>
      </c>
      <c r="AL1325" s="1">
        <v>1</v>
      </c>
      <c r="AM1325" s="1" t="s">
        <v>109</v>
      </c>
      <c r="AN1325" s="1" t="s">
        <v>109</v>
      </c>
      <c r="AO1325" s="1" t="s">
        <v>109</v>
      </c>
      <c r="AP1325" s="1"/>
      <c r="AQ1325" s="1">
        <v>1</v>
      </c>
      <c r="AR1325" s="1"/>
      <c r="AS1325" s="1" t="s">
        <v>10442</v>
      </c>
      <c r="AT1325" s="1">
        <v>0</v>
      </c>
      <c r="AU1325" s="1">
        <v>0</v>
      </c>
      <c r="AV1325" s="1">
        <v>0</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1</v>
      </c>
      <c r="BN1325" s="1">
        <v>0</v>
      </c>
      <c r="BO1325" s="1">
        <v>0</v>
      </c>
      <c r="BP1325" s="1">
        <v>0</v>
      </c>
      <c r="BQ1325" s="1">
        <v>0</v>
      </c>
      <c r="BR1325" s="1">
        <v>0</v>
      </c>
      <c r="BS1325" s="5" t="str">
        <f>HYPERLINK("http://www.d20pfsrd.com/magic/all-spells/m/moment-of-greatness","Moment of Greatness")</f>
        <v>Moment of Greatness</v>
      </c>
      <c r="BT1325" s="1">
        <v>1372</v>
      </c>
      <c r="BU1325" s="1" t="s">
        <v>109</v>
      </c>
      <c r="BV1325" s="1" t="s">
        <v>10443</v>
      </c>
      <c r="BW1325" s="1"/>
      <c r="BX1325" s="1"/>
      <c r="BY1325" s="1"/>
      <c r="BZ1325" s="1">
        <v>0</v>
      </c>
      <c r="CA1325" s="1" t="s">
        <v>109</v>
      </c>
      <c r="CB1325" s="1" t="s">
        <v>109</v>
      </c>
      <c r="CC1325" s="1">
        <v>1</v>
      </c>
      <c r="CD1325" s="1" t="s">
        <v>109</v>
      </c>
      <c r="CE1325" s="1" t="s">
        <v>109</v>
      </c>
      <c r="CF1325" s="1" t="s">
        <v>109</v>
      </c>
      <c r="CG1325" s="1" t="s">
        <v>109</v>
      </c>
      <c r="CH1325" s="1" t="s">
        <v>109</v>
      </c>
      <c r="CI1325" s="1" t="s">
        <v>109</v>
      </c>
      <c r="CJ1325" s="1" t="s">
        <v>109</v>
      </c>
      <c r="CK1325" s="1"/>
      <c r="CL1325" s="1">
        <v>0</v>
      </c>
      <c r="CM1325" s="1">
        <v>0</v>
      </c>
      <c r="CN1325" s="1">
        <v>0</v>
      </c>
    </row>
    <row r="1326" spans="1:92" ht="14.25" customHeight="1" x14ac:dyDescent="0.15">
      <c r="A1326" s="1" t="s">
        <v>10444</v>
      </c>
      <c r="B1326" s="1" t="s">
        <v>95</v>
      </c>
      <c r="C1326" s="1" t="s">
        <v>1179</v>
      </c>
      <c r="D1326" s="1"/>
      <c r="E1326" s="1" t="s">
        <v>10445</v>
      </c>
      <c r="F1326" s="1" t="s">
        <v>355</v>
      </c>
      <c r="G1326" s="1" t="s">
        <v>3395</v>
      </c>
      <c r="H1326" s="1">
        <v>0</v>
      </c>
      <c r="I1326" s="1" t="s">
        <v>142</v>
      </c>
      <c r="J1326" s="1"/>
      <c r="K1326" s="1" t="s">
        <v>10446</v>
      </c>
      <c r="L1326" s="1"/>
      <c r="M1326" s="1" t="s">
        <v>6719</v>
      </c>
      <c r="N1326" s="1">
        <v>1</v>
      </c>
      <c r="O1326" s="1">
        <v>0</v>
      </c>
      <c r="P1326" s="1" t="s">
        <v>103</v>
      </c>
      <c r="Q1326" s="1" t="s">
        <v>104</v>
      </c>
      <c r="R1326" s="1" t="s">
        <v>10447</v>
      </c>
      <c r="S1326" s="1" t="s">
        <v>10448</v>
      </c>
      <c r="T1326" s="1" t="s">
        <v>9888</v>
      </c>
      <c r="U1326" s="1" t="s">
        <v>10449</v>
      </c>
      <c r="V1326" s="1">
        <v>1</v>
      </c>
      <c r="W1326" s="1">
        <v>1</v>
      </c>
      <c r="X1326" s="1">
        <v>1</v>
      </c>
      <c r="Y1326" s="1">
        <v>0</v>
      </c>
      <c r="Z1326" s="1">
        <v>0</v>
      </c>
      <c r="AA1326" s="1">
        <v>2</v>
      </c>
      <c r="AB1326" s="1">
        <v>2</v>
      </c>
      <c r="AC1326" s="1" t="s">
        <v>109</v>
      </c>
      <c r="AD1326" s="1" t="s">
        <v>109</v>
      </c>
      <c r="AE1326" s="1" t="s">
        <v>109</v>
      </c>
      <c r="AF1326" s="1" t="s">
        <v>109</v>
      </c>
      <c r="AG1326" s="1" t="s">
        <v>109</v>
      </c>
      <c r="AH1326" s="1" t="s">
        <v>109</v>
      </c>
      <c r="AI1326" s="1">
        <v>2</v>
      </c>
      <c r="AJ1326" s="1">
        <v>2</v>
      </c>
      <c r="AK1326" s="1" t="s">
        <v>109</v>
      </c>
      <c r="AL1326" s="1" t="s">
        <v>109</v>
      </c>
      <c r="AM1326" s="1" t="s">
        <v>109</v>
      </c>
      <c r="AN1326" s="1">
        <v>2</v>
      </c>
      <c r="AO1326" s="1" t="s">
        <v>109</v>
      </c>
      <c r="AP1326" s="1"/>
      <c r="AQ1326" s="1">
        <v>2</v>
      </c>
      <c r="AR1326" s="1"/>
      <c r="AS1326" s="1" t="s">
        <v>10450</v>
      </c>
      <c r="AT1326" s="1">
        <v>0</v>
      </c>
      <c r="AU1326" s="1">
        <v>0</v>
      </c>
      <c r="AV1326" s="1">
        <v>0</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5" t="str">
        <f>HYPERLINK("http://www.d20pfsrd.com/magic/all-spells/m/mount#TOC-Mount-Communal","Mount, Communal")</f>
        <v>Mount, Communal</v>
      </c>
      <c r="BT1326" s="1">
        <v>1373</v>
      </c>
      <c r="BU1326" s="1" t="s">
        <v>109</v>
      </c>
      <c r="BV1326" s="1"/>
      <c r="BW1326" s="1"/>
      <c r="BX1326" s="1"/>
      <c r="BY1326" s="1"/>
      <c r="BZ1326" s="1">
        <v>0</v>
      </c>
      <c r="CA1326" s="1" t="s">
        <v>109</v>
      </c>
      <c r="CB1326" s="1" t="s">
        <v>109</v>
      </c>
      <c r="CC1326" s="1" t="s">
        <v>109</v>
      </c>
      <c r="CD1326" s="1" t="s">
        <v>109</v>
      </c>
      <c r="CE1326" s="1" t="s">
        <v>109</v>
      </c>
      <c r="CF1326" s="1">
        <v>2</v>
      </c>
      <c r="CG1326" s="1" t="s">
        <v>109</v>
      </c>
      <c r="CH1326" s="1" t="s">
        <v>109</v>
      </c>
      <c r="CI1326" s="1" t="s">
        <v>109</v>
      </c>
      <c r="CJ1326" s="1" t="s">
        <v>109</v>
      </c>
      <c r="CK1326" s="1"/>
      <c r="CL1326" s="1">
        <v>0</v>
      </c>
      <c r="CM1326" s="1">
        <v>0</v>
      </c>
      <c r="CN1326" s="1">
        <v>0</v>
      </c>
    </row>
    <row r="1327" spans="1:92" ht="14.25" customHeight="1" x14ac:dyDescent="0.15">
      <c r="A1327" s="1" t="s">
        <v>10451</v>
      </c>
      <c r="B1327" s="1" t="s">
        <v>189</v>
      </c>
      <c r="C1327" s="1"/>
      <c r="D1327" s="1"/>
      <c r="E1327" s="1" t="s">
        <v>7541</v>
      </c>
      <c r="F1327" s="1" t="s">
        <v>98</v>
      </c>
      <c r="G1327" s="1" t="s">
        <v>10452</v>
      </c>
      <c r="H1327" s="1">
        <v>0</v>
      </c>
      <c r="I1327" s="1" t="s">
        <v>161</v>
      </c>
      <c r="J1327" s="1"/>
      <c r="K1327" s="1"/>
      <c r="L1327" s="1" t="s">
        <v>506</v>
      </c>
      <c r="M1327" s="1" t="s">
        <v>9637</v>
      </c>
      <c r="N1327" s="1">
        <v>0</v>
      </c>
      <c r="O1327" s="1">
        <v>0</v>
      </c>
      <c r="P1327" s="1" t="s">
        <v>1382</v>
      </c>
      <c r="Q1327" s="1" t="s">
        <v>167</v>
      </c>
      <c r="R1327" s="1" t="s">
        <v>10453</v>
      </c>
      <c r="S1327" s="1" t="s">
        <v>10454</v>
      </c>
      <c r="T1327" s="1" t="s">
        <v>9888</v>
      </c>
      <c r="U1327" s="1" t="s">
        <v>10455</v>
      </c>
      <c r="V1327" s="1">
        <v>1</v>
      </c>
      <c r="W1327" s="1">
        <v>1</v>
      </c>
      <c r="X1327" s="1">
        <v>1</v>
      </c>
      <c r="Y1327" s="1">
        <v>0</v>
      </c>
      <c r="Z1327" s="1">
        <v>0</v>
      </c>
      <c r="AA1327" s="1" t="s">
        <v>109</v>
      </c>
      <c r="AB1327" s="1" t="s">
        <v>109</v>
      </c>
      <c r="AC1327" s="1" t="s">
        <v>109</v>
      </c>
      <c r="AD1327" s="1" t="s">
        <v>109</v>
      </c>
      <c r="AE1327" s="1" t="s">
        <v>109</v>
      </c>
      <c r="AF1327" s="1" t="s">
        <v>109</v>
      </c>
      <c r="AG1327" s="1" t="s">
        <v>109</v>
      </c>
      <c r="AH1327" s="1">
        <v>4</v>
      </c>
      <c r="AI1327" s="1" t="s">
        <v>109</v>
      </c>
      <c r="AJ1327" s="1" t="s">
        <v>109</v>
      </c>
      <c r="AK1327" s="1" t="s">
        <v>109</v>
      </c>
      <c r="AL1327" s="1" t="s">
        <v>109</v>
      </c>
      <c r="AM1327" s="1" t="s">
        <v>109</v>
      </c>
      <c r="AN1327" s="1" t="s">
        <v>109</v>
      </c>
      <c r="AO1327" s="1" t="s">
        <v>109</v>
      </c>
      <c r="AP1327" s="1"/>
      <c r="AQ1327" s="1">
        <v>4</v>
      </c>
      <c r="AR1327" s="1"/>
      <c r="AS1327" s="1" t="s">
        <v>10456</v>
      </c>
      <c r="AT1327" s="1">
        <v>0</v>
      </c>
      <c r="AU1327" s="1">
        <v>0</v>
      </c>
      <c r="AV1327" s="1">
        <v>0</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5" t="str">
        <f>HYPERLINK("http://www.d20pfsrd.com/magic/all-spells/m/mutagenic-touch","Mutagenic Touch")</f>
        <v>Mutagenic Touch</v>
      </c>
      <c r="BT1327" s="1">
        <v>1374</v>
      </c>
      <c r="BU1327" s="1" t="s">
        <v>109</v>
      </c>
      <c r="BV1327" s="1"/>
      <c r="BW1327" s="1"/>
      <c r="BX1327" s="1"/>
      <c r="BY1327" s="1"/>
      <c r="BZ1327" s="1">
        <v>0</v>
      </c>
      <c r="CA1327" s="1" t="s">
        <v>109</v>
      </c>
      <c r="CB1327" s="1" t="s">
        <v>109</v>
      </c>
      <c r="CC1327" s="1" t="s">
        <v>109</v>
      </c>
      <c r="CD1327" s="1" t="s">
        <v>109</v>
      </c>
      <c r="CE1327" s="1" t="s">
        <v>109</v>
      </c>
      <c r="CF1327" s="1" t="s">
        <v>109</v>
      </c>
      <c r="CG1327" s="1" t="s">
        <v>109</v>
      </c>
      <c r="CH1327" s="1" t="s">
        <v>109</v>
      </c>
      <c r="CI1327" s="1" t="s">
        <v>109</v>
      </c>
      <c r="CJ1327" s="1" t="s">
        <v>109</v>
      </c>
      <c r="CK1327" s="1"/>
      <c r="CL1327" s="1">
        <v>0</v>
      </c>
      <c r="CM1327" s="1">
        <v>0</v>
      </c>
      <c r="CN1327" s="1">
        <v>0</v>
      </c>
    </row>
    <row r="1328" spans="1:92" ht="14.25" customHeight="1" x14ac:dyDescent="0.15">
      <c r="A1328" s="1" t="s">
        <v>10457</v>
      </c>
      <c r="B1328" s="1" t="s">
        <v>254</v>
      </c>
      <c r="C1328" s="1"/>
      <c r="D1328" s="1"/>
      <c r="E1328" s="1" t="s">
        <v>10458</v>
      </c>
      <c r="F1328" s="1" t="s">
        <v>98</v>
      </c>
      <c r="G1328" s="1" t="s">
        <v>10459</v>
      </c>
      <c r="H1328" s="1">
        <v>0</v>
      </c>
      <c r="I1328" s="1" t="s">
        <v>161</v>
      </c>
      <c r="J1328" s="1"/>
      <c r="K1328" s="1"/>
      <c r="L1328" s="1" t="s">
        <v>10460</v>
      </c>
      <c r="M1328" s="1" t="s">
        <v>9547</v>
      </c>
      <c r="N1328" s="1">
        <v>0</v>
      </c>
      <c r="O1328" s="1">
        <v>0</v>
      </c>
      <c r="P1328" s="1" t="s">
        <v>215</v>
      </c>
      <c r="Q1328" s="1" t="s">
        <v>216</v>
      </c>
      <c r="R1328" s="1" t="s">
        <v>10461</v>
      </c>
      <c r="S1328" s="1" t="s">
        <v>10462</v>
      </c>
      <c r="T1328" s="1" t="s">
        <v>9888</v>
      </c>
      <c r="U1328" s="1" t="s">
        <v>10463</v>
      </c>
      <c r="V1328" s="1">
        <v>1</v>
      </c>
      <c r="W1328" s="1">
        <v>1</v>
      </c>
      <c r="X1328" s="1">
        <v>1</v>
      </c>
      <c r="Y1328" s="1">
        <v>0</v>
      </c>
      <c r="Z1328" s="1">
        <v>1</v>
      </c>
      <c r="AA1328" s="1">
        <v>4</v>
      </c>
      <c r="AB1328" s="1">
        <v>4</v>
      </c>
      <c r="AC1328" s="1" t="s">
        <v>109</v>
      </c>
      <c r="AD1328" s="1" t="s">
        <v>109</v>
      </c>
      <c r="AE1328" s="1">
        <v>3</v>
      </c>
      <c r="AF1328" s="1" t="s">
        <v>109</v>
      </c>
      <c r="AG1328" s="1" t="s">
        <v>109</v>
      </c>
      <c r="AH1328" s="1" t="s">
        <v>109</v>
      </c>
      <c r="AI1328" s="1" t="s">
        <v>109</v>
      </c>
      <c r="AJ1328" s="1">
        <v>4</v>
      </c>
      <c r="AK1328" s="1">
        <v>4</v>
      </c>
      <c r="AL1328" s="1" t="s">
        <v>109</v>
      </c>
      <c r="AM1328" s="1" t="s">
        <v>109</v>
      </c>
      <c r="AN1328" s="1" t="s">
        <v>109</v>
      </c>
      <c r="AO1328" s="1" t="s">
        <v>109</v>
      </c>
      <c r="AP1328" s="1"/>
      <c r="AQ1328" s="1">
        <v>4</v>
      </c>
      <c r="AR1328" s="1"/>
      <c r="AS1328" s="1" t="s">
        <v>10464</v>
      </c>
      <c r="AT1328" s="1">
        <v>0</v>
      </c>
      <c r="AU1328" s="1">
        <v>0</v>
      </c>
      <c r="AV1328" s="1">
        <v>0</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5" t="str">
        <f>HYPERLINK("http://www.d20pfsrd.com/magic/all-spells/n/named-bullet","Named Bullet")</f>
        <v>Named Bullet</v>
      </c>
      <c r="BT1328" s="1">
        <v>1375</v>
      </c>
      <c r="BU1328" s="1" t="s">
        <v>109</v>
      </c>
      <c r="BV1328" s="1"/>
      <c r="BW1328" s="1"/>
      <c r="BX1328" s="1" t="s">
        <v>10465</v>
      </c>
      <c r="BY1328" s="1" t="s">
        <v>10466</v>
      </c>
      <c r="BZ1328" s="1">
        <v>1</v>
      </c>
      <c r="CA1328" s="1" t="s">
        <v>109</v>
      </c>
      <c r="CB1328" s="1" t="s">
        <v>109</v>
      </c>
      <c r="CC1328" s="1">
        <v>4</v>
      </c>
      <c r="CD1328" s="1" t="s">
        <v>109</v>
      </c>
      <c r="CE1328" s="1" t="s">
        <v>109</v>
      </c>
      <c r="CF1328" s="1" t="s">
        <v>109</v>
      </c>
      <c r="CG1328" s="1" t="s">
        <v>109</v>
      </c>
      <c r="CH1328" s="1" t="s">
        <v>109</v>
      </c>
      <c r="CI1328" s="1" t="s">
        <v>109</v>
      </c>
      <c r="CJ1328" s="1">
        <v>3</v>
      </c>
      <c r="CK1328" s="1"/>
      <c r="CL1328" s="1">
        <v>0</v>
      </c>
      <c r="CM1328" s="1">
        <v>0</v>
      </c>
      <c r="CN1328" s="1">
        <v>0</v>
      </c>
    </row>
    <row r="1329" spans="1:92" ht="14.25" customHeight="1" x14ac:dyDescent="0.15">
      <c r="A1329" s="1" t="s">
        <v>10467</v>
      </c>
      <c r="B1329" s="1" t="s">
        <v>254</v>
      </c>
      <c r="C1329" s="1"/>
      <c r="D1329" s="1"/>
      <c r="E1329" s="1" t="s">
        <v>10468</v>
      </c>
      <c r="F1329" s="1" t="s">
        <v>98</v>
      </c>
      <c r="G1329" s="1" t="s">
        <v>10459</v>
      </c>
      <c r="H1329" s="1">
        <v>0</v>
      </c>
      <c r="I1329" s="1" t="s">
        <v>161</v>
      </c>
      <c r="J1329" s="1"/>
      <c r="K1329" s="1"/>
      <c r="L1329" s="1" t="s">
        <v>10460</v>
      </c>
      <c r="M1329" s="1" t="s">
        <v>9547</v>
      </c>
      <c r="N1329" s="1">
        <v>0</v>
      </c>
      <c r="O1329" s="1">
        <v>0</v>
      </c>
      <c r="P1329" s="1" t="s">
        <v>215</v>
      </c>
      <c r="Q1329" s="1" t="s">
        <v>216</v>
      </c>
      <c r="R1329" s="1" t="s">
        <v>10469</v>
      </c>
      <c r="S1329" s="1" t="s">
        <v>10470</v>
      </c>
      <c r="T1329" s="1" t="s">
        <v>9888</v>
      </c>
      <c r="U1329" s="1" t="s">
        <v>10471</v>
      </c>
      <c r="V1329" s="1">
        <v>1</v>
      </c>
      <c r="W1329" s="1">
        <v>1</v>
      </c>
      <c r="X1329" s="1">
        <v>1</v>
      </c>
      <c r="Y1329" s="1">
        <v>0</v>
      </c>
      <c r="Z1329" s="1">
        <v>1</v>
      </c>
      <c r="AA1329" s="1">
        <v>6</v>
      </c>
      <c r="AB1329" s="1">
        <v>6</v>
      </c>
      <c r="AC1329" s="1" t="s">
        <v>109</v>
      </c>
      <c r="AD1329" s="1" t="s">
        <v>109</v>
      </c>
      <c r="AE1329" s="1">
        <v>4</v>
      </c>
      <c r="AF1329" s="1" t="s">
        <v>109</v>
      </c>
      <c r="AG1329" s="1" t="s">
        <v>109</v>
      </c>
      <c r="AH1329" s="1" t="s">
        <v>109</v>
      </c>
      <c r="AI1329" s="1" t="s">
        <v>109</v>
      </c>
      <c r="AJ1329" s="1">
        <v>6</v>
      </c>
      <c r="AK1329" s="1">
        <v>6</v>
      </c>
      <c r="AL1329" s="1" t="s">
        <v>109</v>
      </c>
      <c r="AM1329" s="1" t="s">
        <v>109</v>
      </c>
      <c r="AN1329" s="1" t="s">
        <v>109</v>
      </c>
      <c r="AO1329" s="1" t="s">
        <v>109</v>
      </c>
      <c r="AP1329" s="1"/>
      <c r="AQ1329" s="1">
        <v>6</v>
      </c>
      <c r="AR1329" s="1"/>
      <c r="AS1329" s="1" t="s">
        <v>10472</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5" t="str">
        <f>HYPERLINK("http://www.d20pfsrd.com/magic/all-spells/n/named-bullet#TOC-Named-Bullet-Greater","Named Bullet, Greater")</f>
        <v>Named Bullet, Greater</v>
      </c>
      <c r="BT1329" s="1">
        <v>1376</v>
      </c>
      <c r="BU1329" s="1" t="s">
        <v>109</v>
      </c>
      <c r="BV1329" s="1"/>
      <c r="BW1329" s="1"/>
      <c r="BX1329" s="1"/>
      <c r="BY1329" s="1"/>
      <c r="BZ1329" s="1">
        <v>0</v>
      </c>
      <c r="CA1329" s="1" t="s">
        <v>109</v>
      </c>
      <c r="CB1329" s="1" t="s">
        <v>109</v>
      </c>
      <c r="CC1329" s="1">
        <v>6</v>
      </c>
      <c r="CD1329" s="1" t="s">
        <v>109</v>
      </c>
      <c r="CE1329" s="1" t="s">
        <v>109</v>
      </c>
      <c r="CF1329" s="1" t="s">
        <v>109</v>
      </c>
      <c r="CG1329" s="1" t="s">
        <v>109</v>
      </c>
      <c r="CH1329" s="1" t="s">
        <v>109</v>
      </c>
      <c r="CI1329" s="1" t="s">
        <v>109</v>
      </c>
      <c r="CJ1329" s="1">
        <v>4</v>
      </c>
      <c r="CK1329" s="1"/>
      <c r="CL1329" s="1">
        <v>0</v>
      </c>
      <c r="CM1329" s="1">
        <v>0</v>
      </c>
      <c r="CN1329" s="1">
        <v>0</v>
      </c>
    </row>
    <row r="1330" spans="1:92" ht="14.25" customHeight="1" x14ac:dyDescent="0.15">
      <c r="A1330" s="1" t="s">
        <v>10473</v>
      </c>
      <c r="B1330" s="1" t="s">
        <v>674</v>
      </c>
      <c r="C1330" s="1" t="s">
        <v>675</v>
      </c>
      <c r="D1330" s="1"/>
      <c r="E1330" s="1" t="s">
        <v>10474</v>
      </c>
      <c r="F1330" s="1" t="s">
        <v>98</v>
      </c>
      <c r="G1330" s="1" t="s">
        <v>2345</v>
      </c>
      <c r="H1330" s="1">
        <v>0</v>
      </c>
      <c r="I1330" s="1" t="s">
        <v>142</v>
      </c>
      <c r="J1330" s="1"/>
      <c r="K1330" s="1"/>
      <c r="L1330" s="1" t="s">
        <v>1391</v>
      </c>
      <c r="M1330" s="1" t="s">
        <v>125</v>
      </c>
      <c r="N1330" s="1">
        <v>0</v>
      </c>
      <c r="O1330" s="1">
        <v>0</v>
      </c>
      <c r="P1330" s="1" t="s">
        <v>301</v>
      </c>
      <c r="Q1330" s="1" t="s">
        <v>268</v>
      </c>
      <c r="R1330" s="1" t="s">
        <v>10475</v>
      </c>
      <c r="S1330" s="1" t="s">
        <v>10476</v>
      </c>
      <c r="T1330" s="1" t="s">
        <v>9888</v>
      </c>
      <c r="U1330" s="1" t="s">
        <v>10477</v>
      </c>
      <c r="V1330" s="1">
        <v>0</v>
      </c>
      <c r="W1330" s="1">
        <v>1</v>
      </c>
      <c r="X1330" s="1">
        <v>0</v>
      </c>
      <c r="Y1330" s="1">
        <v>0</v>
      </c>
      <c r="Z1330" s="1">
        <v>0</v>
      </c>
      <c r="AA1330" s="1">
        <v>1</v>
      </c>
      <c r="AB1330" s="1">
        <v>1</v>
      </c>
      <c r="AC1330" s="1" t="s">
        <v>109</v>
      </c>
      <c r="AD1330" s="1" t="s">
        <v>109</v>
      </c>
      <c r="AE1330" s="1" t="s">
        <v>109</v>
      </c>
      <c r="AF1330" s="1">
        <v>1</v>
      </c>
      <c r="AG1330" s="1" t="s">
        <v>109</v>
      </c>
      <c r="AH1330" s="1" t="s">
        <v>109</v>
      </c>
      <c r="AI1330" s="1" t="s">
        <v>109</v>
      </c>
      <c r="AJ1330" s="1">
        <v>1</v>
      </c>
      <c r="AK1330" s="1" t="s">
        <v>109</v>
      </c>
      <c r="AL1330" s="1" t="s">
        <v>109</v>
      </c>
      <c r="AM1330" s="1" t="s">
        <v>109</v>
      </c>
      <c r="AN1330" s="1">
        <v>1</v>
      </c>
      <c r="AO1330" s="1" t="s">
        <v>109</v>
      </c>
      <c r="AP1330" s="1"/>
      <c r="AQ1330" s="1">
        <v>1</v>
      </c>
      <c r="AR1330" s="1"/>
      <c r="AS1330" s="1" t="s">
        <v>10478</v>
      </c>
      <c r="AT1330" s="1">
        <v>0</v>
      </c>
      <c r="AU1330" s="1">
        <v>0</v>
      </c>
      <c r="AV1330" s="1">
        <v>0</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5" t="str">
        <f>HYPERLINK("http://www.d20pfsrd.com/magic/all-spells/n/negative-reaction","Negative Reaction")</f>
        <v>Negative Reaction</v>
      </c>
      <c r="BT1330" s="1">
        <v>1377</v>
      </c>
      <c r="BU1330" s="1" t="s">
        <v>109</v>
      </c>
      <c r="BV1330" s="1"/>
      <c r="BW1330" s="1"/>
      <c r="BX1330" s="1"/>
      <c r="BY1330" s="1"/>
      <c r="BZ1330" s="1">
        <v>0</v>
      </c>
      <c r="CA1330" s="1" t="s">
        <v>109</v>
      </c>
      <c r="CB1330" s="1" t="s">
        <v>109</v>
      </c>
      <c r="CC1330" s="1">
        <v>1</v>
      </c>
      <c r="CD1330" s="1" t="s">
        <v>109</v>
      </c>
      <c r="CE1330" s="1" t="s">
        <v>109</v>
      </c>
      <c r="CF1330" s="1" t="s">
        <v>109</v>
      </c>
      <c r="CG1330" s="1" t="s">
        <v>109</v>
      </c>
      <c r="CH1330" s="1" t="s">
        <v>109</v>
      </c>
      <c r="CI1330" s="1" t="s">
        <v>109</v>
      </c>
      <c r="CJ1330" s="1" t="s">
        <v>109</v>
      </c>
      <c r="CK1330" s="1"/>
      <c r="CL1330" s="1">
        <v>0</v>
      </c>
      <c r="CM1330" s="1">
        <v>0</v>
      </c>
      <c r="CN1330" s="1">
        <v>0</v>
      </c>
    </row>
    <row r="1331" spans="1:92" ht="14.25" customHeight="1" x14ac:dyDescent="0.15">
      <c r="A1331" s="1" t="s">
        <v>10479</v>
      </c>
      <c r="B1331" s="1" t="s">
        <v>242</v>
      </c>
      <c r="C1331" s="1"/>
      <c r="D1331" s="1"/>
      <c r="E1331" s="1" t="s">
        <v>10480</v>
      </c>
      <c r="F1331" s="1" t="s">
        <v>98</v>
      </c>
      <c r="G1331" s="1" t="s">
        <v>10481</v>
      </c>
      <c r="H1331" s="1">
        <v>1</v>
      </c>
      <c r="I1331" s="1" t="s">
        <v>161</v>
      </c>
      <c r="J1331" s="1"/>
      <c r="K1331" s="1"/>
      <c r="L1331" s="1" t="s">
        <v>10417</v>
      </c>
      <c r="M1331" s="1" t="s">
        <v>289</v>
      </c>
      <c r="N1331" s="1">
        <v>0</v>
      </c>
      <c r="O1331" s="1">
        <v>0</v>
      </c>
      <c r="P1331" s="1" t="s">
        <v>215</v>
      </c>
      <c r="Q1331" s="1" t="s">
        <v>216</v>
      </c>
      <c r="R1331" s="1" t="s">
        <v>10482</v>
      </c>
      <c r="S1331" s="1" t="s">
        <v>10483</v>
      </c>
      <c r="T1331" s="1" t="s">
        <v>9888</v>
      </c>
      <c r="U1331" s="1" t="s">
        <v>10484</v>
      </c>
      <c r="V1331" s="1">
        <v>1</v>
      </c>
      <c r="W1331" s="1">
        <v>1</v>
      </c>
      <c r="X1331" s="1">
        <v>1</v>
      </c>
      <c r="Y1331" s="1">
        <v>0</v>
      </c>
      <c r="Z1331" s="1">
        <v>0</v>
      </c>
      <c r="AA1331" s="1">
        <v>4</v>
      </c>
      <c r="AB1331" s="1">
        <v>4</v>
      </c>
      <c r="AC1331" s="1" t="s">
        <v>109</v>
      </c>
      <c r="AD1331" s="1" t="s">
        <v>109</v>
      </c>
      <c r="AE1331" s="1" t="s">
        <v>109</v>
      </c>
      <c r="AF1331" s="1" t="s">
        <v>109</v>
      </c>
      <c r="AG1331" s="1" t="s">
        <v>109</v>
      </c>
      <c r="AH1331" s="1" t="s">
        <v>109</v>
      </c>
      <c r="AI1331" s="1" t="s">
        <v>109</v>
      </c>
      <c r="AJ1331" s="1" t="s">
        <v>109</v>
      </c>
      <c r="AK1331" s="1" t="s">
        <v>109</v>
      </c>
      <c r="AL1331" s="1" t="s">
        <v>109</v>
      </c>
      <c r="AM1331" s="1">
        <v>4</v>
      </c>
      <c r="AN1331" s="1" t="s">
        <v>109</v>
      </c>
      <c r="AO1331" s="1" t="s">
        <v>109</v>
      </c>
      <c r="AP1331" s="1"/>
      <c r="AQ1331" s="1">
        <v>4</v>
      </c>
      <c r="AR1331" s="1"/>
      <c r="AS1331" s="1" t="s">
        <v>10485</v>
      </c>
      <c r="AT1331" s="1">
        <v>0</v>
      </c>
      <c r="AU1331" s="1">
        <v>0</v>
      </c>
      <c r="AV1331" s="1">
        <v>0</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5" t="str">
        <f>HYPERLINK("http://www.d20pfsrd.com/magic/all-spells/n/nondetection#TOC-Nondetection-Communal","Nondetection, Communal")</f>
        <v>Nondetection, Communal</v>
      </c>
      <c r="BT1331" s="1">
        <v>1378</v>
      </c>
      <c r="BU1331" s="1">
        <v>25</v>
      </c>
      <c r="BV1331" s="1"/>
      <c r="BW1331" s="1"/>
      <c r="BX1331" s="1"/>
      <c r="BY1331" s="1"/>
      <c r="BZ1331" s="1">
        <v>0</v>
      </c>
      <c r="CA1331" s="1" t="s">
        <v>109</v>
      </c>
      <c r="CB1331" s="1" t="s">
        <v>109</v>
      </c>
      <c r="CC1331" s="1">
        <v>4</v>
      </c>
      <c r="CD1331" s="1" t="s">
        <v>109</v>
      </c>
      <c r="CE1331" s="1">
        <v>4</v>
      </c>
      <c r="CF1331" s="1">
        <v>4</v>
      </c>
      <c r="CG1331" s="1" t="s">
        <v>109</v>
      </c>
      <c r="CH1331" s="1" t="s">
        <v>109</v>
      </c>
      <c r="CI1331" s="1" t="s">
        <v>109</v>
      </c>
      <c r="CJ1331" s="1" t="s">
        <v>109</v>
      </c>
      <c r="CK1331" s="1"/>
      <c r="CL1331" s="1">
        <v>0</v>
      </c>
      <c r="CM1331" s="1">
        <v>0</v>
      </c>
      <c r="CN1331" s="1">
        <v>0</v>
      </c>
    </row>
    <row r="1332" spans="1:92" ht="14.25" customHeight="1" x14ac:dyDescent="0.15">
      <c r="A1332" s="1" t="s">
        <v>10486</v>
      </c>
      <c r="B1332" s="1" t="s">
        <v>189</v>
      </c>
      <c r="C1332" s="1"/>
      <c r="D1332" s="1" t="s">
        <v>7610</v>
      </c>
      <c r="E1332" s="1" t="s">
        <v>10487</v>
      </c>
      <c r="F1332" s="1" t="s">
        <v>98</v>
      </c>
      <c r="G1332" s="1" t="s">
        <v>10488</v>
      </c>
      <c r="H1332" s="1">
        <v>0</v>
      </c>
      <c r="I1332" s="1" t="s">
        <v>142</v>
      </c>
      <c r="J1332" s="1" t="s">
        <v>824</v>
      </c>
      <c r="K1332" s="1"/>
      <c r="L1332" s="1"/>
      <c r="M1332" s="1" t="s">
        <v>144</v>
      </c>
      <c r="N1332" s="1">
        <v>0</v>
      </c>
      <c r="O1332" s="1">
        <v>0</v>
      </c>
      <c r="P1332" s="1" t="s">
        <v>6156</v>
      </c>
      <c r="Q1332" s="1" t="s">
        <v>104</v>
      </c>
      <c r="R1332" s="1" t="s">
        <v>10489</v>
      </c>
      <c r="S1332" s="1" t="s">
        <v>10490</v>
      </c>
      <c r="T1332" s="1" t="s">
        <v>9888</v>
      </c>
      <c r="U1332" s="1" t="s">
        <v>10491</v>
      </c>
      <c r="V1332" s="1">
        <v>1</v>
      </c>
      <c r="W1332" s="1">
        <v>1</v>
      </c>
      <c r="X1332" s="1">
        <v>1</v>
      </c>
      <c r="Y1332" s="1">
        <v>0</v>
      </c>
      <c r="Z1332" s="1">
        <v>1</v>
      </c>
      <c r="AA1332" s="1">
        <v>4</v>
      </c>
      <c r="AB1332" s="1">
        <v>4</v>
      </c>
      <c r="AC1332" s="1" t="s">
        <v>109</v>
      </c>
      <c r="AD1332" s="1">
        <v>4</v>
      </c>
      <c r="AE1332" s="1" t="s">
        <v>109</v>
      </c>
      <c r="AF1332" s="1" t="s">
        <v>109</v>
      </c>
      <c r="AG1332" s="1" t="s">
        <v>109</v>
      </c>
      <c r="AH1332" s="1" t="s">
        <v>109</v>
      </c>
      <c r="AI1332" s="1">
        <v>3</v>
      </c>
      <c r="AJ1332" s="1" t="s">
        <v>109</v>
      </c>
      <c r="AK1332" s="1" t="s">
        <v>109</v>
      </c>
      <c r="AL1332" s="1" t="s">
        <v>109</v>
      </c>
      <c r="AM1332" s="1" t="s">
        <v>109</v>
      </c>
      <c r="AN1332" s="1" t="s">
        <v>109</v>
      </c>
      <c r="AO1332" s="1" t="s">
        <v>109</v>
      </c>
      <c r="AP1332" s="1"/>
      <c r="AQ1332" s="1">
        <v>4</v>
      </c>
      <c r="AR1332" s="1"/>
      <c r="AS1332" s="1" t="s">
        <v>10492</v>
      </c>
      <c r="AT1332" s="1">
        <v>0</v>
      </c>
      <c r="AU1332" s="1">
        <v>0</v>
      </c>
      <c r="AV1332" s="1">
        <v>0</v>
      </c>
      <c r="AW1332" s="1">
        <v>0</v>
      </c>
      <c r="AX1332" s="1">
        <v>0</v>
      </c>
      <c r="AY1332" s="1">
        <v>0</v>
      </c>
      <c r="AZ1332" s="1">
        <v>0</v>
      </c>
      <c r="BA1332" s="1">
        <v>0</v>
      </c>
      <c r="BB1332" s="1">
        <v>1</v>
      </c>
      <c r="BC1332" s="1">
        <v>0</v>
      </c>
      <c r="BD1332" s="1">
        <v>0</v>
      </c>
      <c r="BE1332" s="1">
        <v>0</v>
      </c>
      <c r="BF1332" s="1">
        <v>0</v>
      </c>
      <c r="BG1332" s="1">
        <v>1</v>
      </c>
      <c r="BH1332" s="1">
        <v>0</v>
      </c>
      <c r="BI1332" s="1">
        <v>0</v>
      </c>
      <c r="BJ1332" s="1">
        <v>0</v>
      </c>
      <c r="BK1332" s="1">
        <v>0</v>
      </c>
      <c r="BL1332" s="1">
        <v>0</v>
      </c>
      <c r="BM1332" s="1">
        <v>0</v>
      </c>
      <c r="BN1332" s="1">
        <v>0</v>
      </c>
      <c r="BO1332" s="1">
        <v>0</v>
      </c>
      <c r="BP1332" s="1">
        <v>0</v>
      </c>
      <c r="BQ1332" s="1">
        <v>0</v>
      </c>
      <c r="BR1332" s="1">
        <v>0</v>
      </c>
      <c r="BS1332" s="5" t="str">
        <f>HYPERLINK("http://www.d20pfsrd.com/magic/all-spells/o/obsidian-flow","Obsidian Flow")</f>
        <v>Obsidian Flow</v>
      </c>
      <c r="BT1332" s="1">
        <v>1379</v>
      </c>
      <c r="BU1332" s="1" t="s">
        <v>109</v>
      </c>
      <c r="BV1332" s="1"/>
      <c r="BW1332" s="1"/>
      <c r="BX1332" s="1"/>
      <c r="BY1332" s="1"/>
      <c r="BZ1332" s="1">
        <v>0</v>
      </c>
      <c r="CA1332" s="1" t="s">
        <v>109</v>
      </c>
      <c r="CB1332" s="1" t="s">
        <v>109</v>
      </c>
      <c r="CC1332" s="1" t="s">
        <v>109</v>
      </c>
      <c r="CD1332" s="1" t="s">
        <v>109</v>
      </c>
      <c r="CE1332" s="1" t="s">
        <v>109</v>
      </c>
      <c r="CF1332" s="1" t="s">
        <v>109</v>
      </c>
      <c r="CG1332" s="1" t="s">
        <v>109</v>
      </c>
      <c r="CH1332" s="1" t="s">
        <v>109</v>
      </c>
      <c r="CI1332" s="1" t="s">
        <v>109</v>
      </c>
      <c r="CJ1332" s="1">
        <v>4</v>
      </c>
      <c r="CK1332" s="1"/>
      <c r="CL1332" s="1">
        <v>0</v>
      </c>
      <c r="CM1332" s="1">
        <v>0</v>
      </c>
      <c r="CN1332" s="1">
        <v>0</v>
      </c>
    </row>
    <row r="1333" spans="1:92" ht="14.25" customHeight="1" x14ac:dyDescent="0.15">
      <c r="A1333" s="1" t="s">
        <v>10493</v>
      </c>
      <c r="B1333" s="1" t="s">
        <v>242</v>
      </c>
      <c r="C1333" s="1"/>
      <c r="D1333" s="1"/>
      <c r="E1333" s="1" t="s">
        <v>10494</v>
      </c>
      <c r="F1333" s="1" t="s">
        <v>98</v>
      </c>
      <c r="G1333" s="1" t="s">
        <v>2345</v>
      </c>
      <c r="H1333" s="1">
        <v>0</v>
      </c>
      <c r="I1333" s="1" t="s">
        <v>142</v>
      </c>
      <c r="J1333" s="1"/>
      <c r="K1333" s="1"/>
      <c r="L1333" s="1" t="s">
        <v>10495</v>
      </c>
      <c r="M1333" s="1" t="s">
        <v>3042</v>
      </c>
      <c r="N1333" s="1">
        <v>0</v>
      </c>
      <c r="O1333" s="1">
        <v>0</v>
      </c>
      <c r="P1333" s="1" t="s">
        <v>629</v>
      </c>
      <c r="Q1333" s="1" t="s">
        <v>630</v>
      </c>
      <c r="R1333" s="1" t="s">
        <v>10496</v>
      </c>
      <c r="S1333" s="1" t="s">
        <v>10497</v>
      </c>
      <c r="T1333" s="1" t="s">
        <v>9888</v>
      </c>
      <c r="U1333" s="1" t="s">
        <v>10498</v>
      </c>
      <c r="V1333" s="1">
        <v>0</v>
      </c>
      <c r="W1333" s="1">
        <v>1</v>
      </c>
      <c r="X1333" s="1">
        <v>0</v>
      </c>
      <c r="Y1333" s="1">
        <v>0</v>
      </c>
      <c r="Z1333" s="1">
        <v>0</v>
      </c>
      <c r="AA1333" s="1">
        <v>1</v>
      </c>
      <c r="AB1333" s="1">
        <v>1</v>
      </c>
      <c r="AC1333" s="1" t="s">
        <v>109</v>
      </c>
      <c r="AD1333" s="1" t="s">
        <v>109</v>
      </c>
      <c r="AE1333" s="1" t="s">
        <v>109</v>
      </c>
      <c r="AF1333" s="1" t="s">
        <v>109</v>
      </c>
      <c r="AG1333" s="1" t="s">
        <v>109</v>
      </c>
      <c r="AH1333" s="1" t="s">
        <v>109</v>
      </c>
      <c r="AI1333" s="1" t="s">
        <v>109</v>
      </c>
      <c r="AJ1333" s="1">
        <v>1</v>
      </c>
      <c r="AK1333" s="1">
        <v>1</v>
      </c>
      <c r="AL1333" s="1" t="s">
        <v>109</v>
      </c>
      <c r="AM1333" s="1" t="s">
        <v>109</v>
      </c>
      <c r="AN1333" s="1" t="s">
        <v>109</v>
      </c>
      <c r="AO1333" s="1" t="s">
        <v>109</v>
      </c>
      <c r="AP1333" s="1"/>
      <c r="AQ1333" s="1">
        <v>1</v>
      </c>
      <c r="AR1333" s="1"/>
      <c r="AS1333" s="1" t="s">
        <v>10499</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5" t="str">
        <f>HYPERLINK("http://www.d20pfsrd.com/magic/all-spells/p/peacebond","Peacebond")</f>
        <v>Peacebond</v>
      </c>
      <c r="BT1333" s="1">
        <v>1380</v>
      </c>
      <c r="BU1333" s="1" t="s">
        <v>109</v>
      </c>
      <c r="BV1333" s="1"/>
      <c r="BW1333" s="1"/>
      <c r="BX1333" s="1"/>
      <c r="BY1333" s="1"/>
      <c r="BZ1333" s="1">
        <v>0</v>
      </c>
      <c r="CA1333" s="1" t="s">
        <v>109</v>
      </c>
      <c r="CB1333" s="1" t="s">
        <v>109</v>
      </c>
      <c r="CC1333" s="1">
        <v>1</v>
      </c>
      <c r="CD1333" s="1" t="s">
        <v>109</v>
      </c>
      <c r="CE1333" s="1" t="s">
        <v>109</v>
      </c>
      <c r="CF1333" s="1">
        <v>1</v>
      </c>
      <c r="CG1333" s="1" t="s">
        <v>109</v>
      </c>
      <c r="CH1333" s="1" t="s">
        <v>109</v>
      </c>
      <c r="CI1333" s="1" t="s">
        <v>109</v>
      </c>
      <c r="CJ1333" s="1" t="s">
        <v>109</v>
      </c>
      <c r="CK1333" s="1"/>
      <c r="CL1333" s="1">
        <v>0</v>
      </c>
      <c r="CM1333" s="1">
        <v>0</v>
      </c>
      <c r="CN1333" s="1">
        <v>0</v>
      </c>
    </row>
    <row r="1334" spans="1:92" ht="14.25" customHeight="1" x14ac:dyDescent="0.15">
      <c r="A1334" s="1" t="s">
        <v>10500</v>
      </c>
      <c r="B1334" s="1" t="s">
        <v>95</v>
      </c>
      <c r="C1334" s="1" t="s">
        <v>96</v>
      </c>
      <c r="D1334" s="1"/>
      <c r="E1334" s="1" t="s">
        <v>10501</v>
      </c>
      <c r="F1334" s="1" t="s">
        <v>98</v>
      </c>
      <c r="G1334" s="1" t="s">
        <v>10502</v>
      </c>
      <c r="H1334" s="1">
        <v>0</v>
      </c>
      <c r="I1334" s="1" t="s">
        <v>1192</v>
      </c>
      <c r="J1334" s="1" t="s">
        <v>726</v>
      </c>
      <c r="K1334" s="1"/>
      <c r="L1334" s="1"/>
      <c r="M1334" s="1" t="s">
        <v>144</v>
      </c>
      <c r="N1334" s="1">
        <v>0</v>
      </c>
      <c r="O1334" s="1">
        <v>0</v>
      </c>
      <c r="P1334" s="1" t="s">
        <v>727</v>
      </c>
      <c r="Q1334" s="1" t="s">
        <v>104</v>
      </c>
      <c r="R1334" s="1" t="s">
        <v>10503</v>
      </c>
      <c r="S1334" s="1" t="s">
        <v>10504</v>
      </c>
      <c r="T1334" s="1" t="s">
        <v>9888</v>
      </c>
      <c r="U1334" s="1" t="s">
        <v>10505</v>
      </c>
      <c r="V1334" s="1">
        <v>1</v>
      </c>
      <c r="W1334" s="1">
        <v>1</v>
      </c>
      <c r="X1334" s="1">
        <v>1</v>
      </c>
      <c r="Y1334" s="1">
        <v>0</v>
      </c>
      <c r="Z1334" s="1">
        <v>0</v>
      </c>
      <c r="AA1334" s="1">
        <v>3</v>
      </c>
      <c r="AB1334" s="1">
        <v>3</v>
      </c>
      <c r="AC1334" s="1" t="s">
        <v>109</v>
      </c>
      <c r="AD1334" s="1" t="s">
        <v>109</v>
      </c>
      <c r="AE1334" s="1" t="s">
        <v>109</v>
      </c>
      <c r="AF1334" s="1" t="s">
        <v>109</v>
      </c>
      <c r="AG1334" s="1" t="s">
        <v>109</v>
      </c>
      <c r="AH1334" s="1" t="s">
        <v>109</v>
      </c>
      <c r="AI1334" s="1">
        <v>3</v>
      </c>
      <c r="AJ1334" s="1" t="s">
        <v>109</v>
      </c>
      <c r="AK1334" s="1" t="s">
        <v>109</v>
      </c>
      <c r="AL1334" s="1" t="s">
        <v>109</v>
      </c>
      <c r="AM1334" s="1" t="s">
        <v>109</v>
      </c>
      <c r="AN1334" s="1">
        <v>4</v>
      </c>
      <c r="AO1334" s="1" t="s">
        <v>109</v>
      </c>
      <c r="AP1334" s="1"/>
      <c r="AQ1334" s="1">
        <v>3</v>
      </c>
      <c r="AR1334" s="1"/>
      <c r="AS1334" s="1" t="s">
        <v>10506</v>
      </c>
      <c r="AT1334" s="1">
        <v>0</v>
      </c>
      <c r="AU1334" s="1">
        <v>0</v>
      </c>
      <c r="AV1334" s="1">
        <v>0</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5" t="str">
        <f>HYPERLINK("http://www.d20pfsrd.com/magic/all-spells/p/pellet-blast","Pellet Blast")</f>
        <v>Pellet Blast</v>
      </c>
      <c r="BT1334" s="1">
        <v>1381</v>
      </c>
      <c r="BU1334" s="1" t="s">
        <v>109</v>
      </c>
      <c r="BV1334" s="1"/>
      <c r="BW1334" s="1"/>
      <c r="BX1334" s="1"/>
      <c r="BY1334" s="1"/>
      <c r="BZ1334" s="1">
        <v>0</v>
      </c>
      <c r="CA1334" s="1">
        <v>4</v>
      </c>
      <c r="CB1334" s="1" t="s">
        <v>109</v>
      </c>
      <c r="CC1334" s="1">
        <v>3</v>
      </c>
      <c r="CD1334" s="1" t="s">
        <v>109</v>
      </c>
      <c r="CE1334" s="1" t="s">
        <v>109</v>
      </c>
      <c r="CF1334" s="1" t="s">
        <v>109</v>
      </c>
      <c r="CG1334" s="1" t="s">
        <v>109</v>
      </c>
      <c r="CH1334" s="1" t="s">
        <v>109</v>
      </c>
      <c r="CI1334" s="1" t="s">
        <v>109</v>
      </c>
      <c r="CJ1334" s="1" t="s">
        <v>109</v>
      </c>
      <c r="CK1334" s="1"/>
      <c r="CL1334" s="1">
        <v>0</v>
      </c>
      <c r="CM1334" s="1">
        <v>0</v>
      </c>
      <c r="CN1334" s="1">
        <v>0</v>
      </c>
    </row>
    <row r="1335" spans="1:92" ht="14.25" customHeight="1" x14ac:dyDescent="0.15">
      <c r="A1335" s="1" t="s">
        <v>10507</v>
      </c>
      <c r="B1335" s="1" t="s">
        <v>95</v>
      </c>
      <c r="C1335" s="1" t="s">
        <v>96</v>
      </c>
      <c r="D1335" s="1"/>
      <c r="E1335" s="1" t="s">
        <v>10508</v>
      </c>
      <c r="F1335" s="1" t="s">
        <v>395</v>
      </c>
      <c r="G1335" s="1" t="s">
        <v>141</v>
      </c>
      <c r="H1335" s="1">
        <v>0</v>
      </c>
      <c r="I1335" s="1" t="s">
        <v>925</v>
      </c>
      <c r="J1335" s="1"/>
      <c r="K1335" s="1" t="s">
        <v>10509</v>
      </c>
      <c r="L1335" s="1"/>
      <c r="M1335" s="1" t="s">
        <v>815</v>
      </c>
      <c r="N1335" s="1">
        <v>1</v>
      </c>
      <c r="O1335" s="1">
        <v>0</v>
      </c>
      <c r="P1335" s="1" t="s">
        <v>103</v>
      </c>
      <c r="Q1335" s="1" t="s">
        <v>104</v>
      </c>
      <c r="R1335" s="1" t="s">
        <v>10510</v>
      </c>
      <c r="S1335" s="1" t="s">
        <v>10511</v>
      </c>
      <c r="T1335" s="1" t="s">
        <v>9888</v>
      </c>
      <c r="U1335" s="1" t="s">
        <v>10512</v>
      </c>
      <c r="V1335" s="1">
        <v>1</v>
      </c>
      <c r="W1335" s="1">
        <v>1</v>
      </c>
      <c r="X1335" s="1">
        <v>0</v>
      </c>
      <c r="Y1335" s="1">
        <v>0</v>
      </c>
      <c r="Z1335" s="1">
        <v>0</v>
      </c>
      <c r="AA1335" s="1">
        <v>4</v>
      </c>
      <c r="AB1335" s="1">
        <v>4</v>
      </c>
      <c r="AC1335" s="1" t="s">
        <v>109</v>
      </c>
      <c r="AD1335" s="1" t="s">
        <v>109</v>
      </c>
      <c r="AE1335" s="1" t="s">
        <v>109</v>
      </c>
      <c r="AF1335" s="1" t="s">
        <v>109</v>
      </c>
      <c r="AG1335" s="1" t="s">
        <v>109</v>
      </c>
      <c r="AH1335" s="1" t="s">
        <v>109</v>
      </c>
      <c r="AI1335" s="1">
        <v>3</v>
      </c>
      <c r="AJ1335" s="1" t="s">
        <v>109</v>
      </c>
      <c r="AK1335" s="1" t="s">
        <v>109</v>
      </c>
      <c r="AL1335" s="1" t="s">
        <v>109</v>
      </c>
      <c r="AM1335" s="1" t="s">
        <v>109</v>
      </c>
      <c r="AN1335" s="1" t="s">
        <v>109</v>
      </c>
      <c r="AO1335" s="1" t="s">
        <v>109</v>
      </c>
      <c r="AP1335" s="1"/>
      <c r="AQ1335" s="1">
        <v>4</v>
      </c>
      <c r="AR1335" s="1"/>
      <c r="AS1335" s="1" t="s">
        <v>10513</v>
      </c>
      <c r="AT1335" s="1">
        <v>0</v>
      </c>
      <c r="AU1335" s="1">
        <v>0</v>
      </c>
      <c r="AV1335" s="1">
        <v>0</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5" t="str">
        <f>HYPERLINK("http://www.d20pfsrd.com/magic/all-spells/p/phantom-chariot","Phantom Chariot")</f>
        <v>Phantom Chariot</v>
      </c>
      <c r="BT1335" s="1">
        <v>1382</v>
      </c>
      <c r="BU1335" s="1" t="s">
        <v>109</v>
      </c>
      <c r="BV1335" s="1"/>
      <c r="BW1335" s="1"/>
      <c r="BX1335" s="1"/>
      <c r="BY1335" s="1"/>
      <c r="BZ1335" s="1">
        <v>0</v>
      </c>
      <c r="CA1335" s="1" t="s">
        <v>109</v>
      </c>
      <c r="CB1335" s="1" t="s">
        <v>109</v>
      </c>
      <c r="CC1335" s="1" t="s">
        <v>109</v>
      </c>
      <c r="CD1335" s="1" t="s">
        <v>109</v>
      </c>
      <c r="CE1335" s="1" t="s">
        <v>109</v>
      </c>
      <c r="CF1335" s="1">
        <v>4</v>
      </c>
      <c r="CG1335" s="1">
        <v>4</v>
      </c>
      <c r="CH1335" s="1" t="s">
        <v>109</v>
      </c>
      <c r="CI1335" s="1" t="s">
        <v>109</v>
      </c>
      <c r="CJ1335" s="1" t="s">
        <v>109</v>
      </c>
      <c r="CK1335" s="1"/>
      <c r="CL1335" s="1">
        <v>0</v>
      </c>
      <c r="CM1335" s="1">
        <v>0</v>
      </c>
      <c r="CN1335" s="1">
        <v>0</v>
      </c>
    </row>
    <row r="1336" spans="1:92" ht="14.25" customHeight="1" x14ac:dyDescent="0.15">
      <c r="A1336" s="1" t="s">
        <v>10514</v>
      </c>
      <c r="B1336" s="1" t="s">
        <v>95</v>
      </c>
      <c r="C1336" s="1" t="s">
        <v>96</v>
      </c>
      <c r="D1336" s="1"/>
      <c r="E1336" s="1" t="s">
        <v>10515</v>
      </c>
      <c r="F1336" s="1" t="s">
        <v>395</v>
      </c>
      <c r="G1336" s="1" t="s">
        <v>141</v>
      </c>
      <c r="H1336" s="1">
        <v>0</v>
      </c>
      <c r="I1336" s="1" t="s">
        <v>356</v>
      </c>
      <c r="J1336" s="1"/>
      <c r="K1336" s="1" t="s">
        <v>10516</v>
      </c>
      <c r="L1336" s="1"/>
      <c r="M1336" s="1" t="s">
        <v>815</v>
      </c>
      <c r="N1336" s="1">
        <v>1</v>
      </c>
      <c r="O1336" s="1">
        <v>0</v>
      </c>
      <c r="P1336" s="1" t="s">
        <v>103</v>
      </c>
      <c r="Q1336" s="1" t="s">
        <v>104</v>
      </c>
      <c r="R1336" s="1" t="s">
        <v>10517</v>
      </c>
      <c r="S1336" s="1" t="s">
        <v>10518</v>
      </c>
      <c r="T1336" s="1" t="s">
        <v>9888</v>
      </c>
      <c r="U1336" s="1" t="s">
        <v>10519</v>
      </c>
      <c r="V1336" s="1">
        <v>1</v>
      </c>
      <c r="W1336" s="1">
        <v>1</v>
      </c>
      <c r="X1336" s="1">
        <v>0</v>
      </c>
      <c r="Y1336" s="1">
        <v>0</v>
      </c>
      <c r="Z1336" s="1">
        <v>0</v>
      </c>
      <c r="AA1336" s="1">
        <v>3</v>
      </c>
      <c r="AB1336" s="1">
        <v>3</v>
      </c>
      <c r="AC1336" s="1" t="s">
        <v>109</v>
      </c>
      <c r="AD1336" s="1" t="s">
        <v>109</v>
      </c>
      <c r="AE1336" s="1" t="s">
        <v>109</v>
      </c>
      <c r="AF1336" s="1">
        <v>3</v>
      </c>
      <c r="AG1336" s="1" t="s">
        <v>109</v>
      </c>
      <c r="AH1336" s="1" t="s">
        <v>109</v>
      </c>
      <c r="AI1336" s="1" t="s">
        <v>109</v>
      </c>
      <c r="AJ1336" s="1" t="s">
        <v>109</v>
      </c>
      <c r="AK1336" s="1" t="s">
        <v>109</v>
      </c>
      <c r="AL1336" s="1" t="s">
        <v>109</v>
      </c>
      <c r="AM1336" s="1" t="s">
        <v>109</v>
      </c>
      <c r="AN1336" s="1" t="s">
        <v>109</v>
      </c>
      <c r="AO1336" s="1" t="s">
        <v>109</v>
      </c>
      <c r="AP1336" s="1"/>
      <c r="AQ1336" s="1">
        <v>3</v>
      </c>
      <c r="AR1336" s="1"/>
      <c r="AS1336" s="1" t="s">
        <v>10520</v>
      </c>
      <c r="AT1336" s="1">
        <v>0</v>
      </c>
      <c r="AU1336" s="1">
        <v>0</v>
      </c>
      <c r="AV1336" s="1">
        <v>0</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5" t="str">
        <f>HYPERLINK("http://www.d20pfsrd.com/magic/all-spells/p/phantom-driver","Phantom Driver")</f>
        <v>Phantom Driver</v>
      </c>
      <c r="BT1336" s="1">
        <v>1383</v>
      </c>
      <c r="BU1336" s="1" t="s">
        <v>109</v>
      </c>
      <c r="BV1336" s="1"/>
      <c r="BW1336" s="1"/>
      <c r="BX1336" s="1"/>
      <c r="BY1336" s="1"/>
      <c r="BZ1336" s="1">
        <v>0</v>
      </c>
      <c r="CA1336" s="1" t="s">
        <v>109</v>
      </c>
      <c r="CB1336" s="1" t="s">
        <v>109</v>
      </c>
      <c r="CC1336" s="1" t="s">
        <v>109</v>
      </c>
      <c r="CD1336" s="1" t="s">
        <v>109</v>
      </c>
      <c r="CE1336" s="1" t="s">
        <v>109</v>
      </c>
      <c r="CF1336" s="1">
        <v>3</v>
      </c>
      <c r="CG1336" s="1">
        <v>3</v>
      </c>
      <c r="CH1336" s="1" t="s">
        <v>109</v>
      </c>
      <c r="CI1336" s="1" t="s">
        <v>109</v>
      </c>
      <c r="CJ1336" s="1" t="s">
        <v>109</v>
      </c>
      <c r="CK1336" s="1"/>
      <c r="CL1336" s="1">
        <v>0</v>
      </c>
      <c r="CM1336" s="1">
        <v>0</v>
      </c>
      <c r="CN1336" s="1">
        <v>0</v>
      </c>
    </row>
    <row r="1337" spans="1:92" ht="14.25" customHeight="1" x14ac:dyDescent="0.15">
      <c r="A1337" s="1" t="s">
        <v>10521</v>
      </c>
      <c r="B1337" s="1" t="s">
        <v>95</v>
      </c>
      <c r="C1337" s="1" t="s">
        <v>96</v>
      </c>
      <c r="D1337" s="1"/>
      <c r="E1337" s="1" t="s">
        <v>10522</v>
      </c>
      <c r="F1337" s="1" t="s">
        <v>395</v>
      </c>
      <c r="G1337" s="1" t="s">
        <v>141</v>
      </c>
      <c r="H1337" s="1">
        <v>0</v>
      </c>
      <c r="I1337" s="1" t="s">
        <v>142</v>
      </c>
      <c r="J1337" s="1"/>
      <c r="K1337" s="1" t="s">
        <v>10523</v>
      </c>
      <c r="L1337" s="1"/>
      <c r="M1337" s="1" t="s">
        <v>815</v>
      </c>
      <c r="N1337" s="1">
        <v>1</v>
      </c>
      <c r="O1337" s="1">
        <v>0</v>
      </c>
      <c r="P1337" s="1" t="s">
        <v>103</v>
      </c>
      <c r="Q1337" s="1" t="s">
        <v>104</v>
      </c>
      <c r="R1337" s="1" t="s">
        <v>10524</v>
      </c>
      <c r="S1337" s="1" t="s">
        <v>10525</v>
      </c>
      <c r="T1337" s="1" t="s">
        <v>9888</v>
      </c>
      <c r="U1337" s="1" t="s">
        <v>10526</v>
      </c>
      <c r="V1337" s="1">
        <v>1</v>
      </c>
      <c r="W1337" s="1">
        <v>1</v>
      </c>
      <c r="X1337" s="1">
        <v>0</v>
      </c>
      <c r="Y1337" s="1">
        <v>0</v>
      </c>
      <c r="Z1337" s="1">
        <v>0</v>
      </c>
      <c r="AA1337" s="1">
        <v>4</v>
      </c>
      <c r="AB1337" s="1">
        <v>4</v>
      </c>
      <c r="AC1337" s="1" t="s">
        <v>109</v>
      </c>
      <c r="AD1337" s="1" t="s">
        <v>109</v>
      </c>
      <c r="AE1337" s="1" t="s">
        <v>109</v>
      </c>
      <c r="AF1337" s="1">
        <v>4</v>
      </c>
      <c r="AG1337" s="1" t="s">
        <v>109</v>
      </c>
      <c r="AH1337" s="1" t="s">
        <v>109</v>
      </c>
      <c r="AI1337" s="1">
        <v>3</v>
      </c>
      <c r="AJ1337" s="1" t="s">
        <v>109</v>
      </c>
      <c r="AK1337" s="1" t="s">
        <v>109</v>
      </c>
      <c r="AL1337" s="1" t="s">
        <v>109</v>
      </c>
      <c r="AM1337" s="1" t="s">
        <v>109</v>
      </c>
      <c r="AN1337" s="1" t="s">
        <v>109</v>
      </c>
      <c r="AO1337" s="1" t="s">
        <v>109</v>
      </c>
      <c r="AP1337" s="1"/>
      <c r="AQ1337" s="1">
        <v>4</v>
      </c>
      <c r="AR1337" s="1"/>
      <c r="AS1337" s="1" t="s">
        <v>10527</v>
      </c>
      <c r="AT1337" s="1">
        <v>0</v>
      </c>
      <c r="AU1337" s="1">
        <v>0</v>
      </c>
      <c r="AV1337" s="1">
        <v>0</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5" t="str">
        <f>HYPERLINK("http://www.d20pfsrd.com/magic/all-spells/p/phantom-steed#TOC-Phantom-Steed-Communal","Phantom Steed, Communal")</f>
        <v>Phantom Steed, Communal</v>
      </c>
      <c r="BT1337" s="1">
        <v>1384</v>
      </c>
      <c r="BU1337" s="1" t="s">
        <v>109</v>
      </c>
      <c r="BV1337" s="1"/>
      <c r="BW1337" s="1"/>
      <c r="BX1337" s="1"/>
      <c r="BY1337" s="1"/>
      <c r="BZ1337" s="1">
        <v>0</v>
      </c>
      <c r="CA1337" s="1" t="s">
        <v>109</v>
      </c>
      <c r="CB1337" s="1" t="s">
        <v>109</v>
      </c>
      <c r="CC1337" s="1" t="s">
        <v>109</v>
      </c>
      <c r="CD1337" s="1" t="s">
        <v>109</v>
      </c>
      <c r="CE1337" s="1" t="s">
        <v>109</v>
      </c>
      <c r="CF1337" s="1">
        <v>4</v>
      </c>
      <c r="CG1337" s="1">
        <v>4</v>
      </c>
      <c r="CH1337" s="1" t="s">
        <v>109</v>
      </c>
      <c r="CI1337" s="1" t="s">
        <v>109</v>
      </c>
      <c r="CJ1337" s="1" t="s">
        <v>109</v>
      </c>
      <c r="CK1337" s="1"/>
      <c r="CL1337" s="1">
        <v>0</v>
      </c>
      <c r="CM1337" s="1">
        <v>0</v>
      </c>
      <c r="CN1337" s="1">
        <v>0</v>
      </c>
    </row>
    <row r="1338" spans="1:92" ht="14.25" customHeight="1" x14ac:dyDescent="0.15">
      <c r="A1338" s="1" t="s">
        <v>10528</v>
      </c>
      <c r="B1338" s="1" t="s">
        <v>584</v>
      </c>
      <c r="C1338" s="1"/>
      <c r="D1338" s="1" t="s">
        <v>60</v>
      </c>
      <c r="E1338" s="1" t="s">
        <v>10529</v>
      </c>
      <c r="F1338" s="1" t="s">
        <v>98</v>
      </c>
      <c r="G1338" s="1" t="s">
        <v>2345</v>
      </c>
      <c r="H1338" s="1">
        <v>0</v>
      </c>
      <c r="I1338" s="1" t="s">
        <v>142</v>
      </c>
      <c r="J1338" s="1"/>
      <c r="K1338" s="1"/>
      <c r="L1338" s="1" t="s">
        <v>10530</v>
      </c>
      <c r="M1338" s="1" t="s">
        <v>211</v>
      </c>
      <c r="N1338" s="1">
        <v>0</v>
      </c>
      <c r="O1338" s="1">
        <v>0</v>
      </c>
      <c r="P1338" s="1" t="s">
        <v>103</v>
      </c>
      <c r="Q1338" s="1" t="s">
        <v>630</v>
      </c>
      <c r="R1338" s="1" t="s">
        <v>10531</v>
      </c>
      <c r="S1338" s="1" t="s">
        <v>10532</v>
      </c>
      <c r="T1338" s="1" t="s">
        <v>9888</v>
      </c>
      <c r="U1338" s="1" t="s">
        <v>10533</v>
      </c>
      <c r="V1338" s="1">
        <v>0</v>
      </c>
      <c r="W1338" s="1">
        <v>1</v>
      </c>
      <c r="X1338" s="1">
        <v>0</v>
      </c>
      <c r="Y1338" s="1">
        <v>0</v>
      </c>
      <c r="Z1338" s="1">
        <v>0</v>
      </c>
      <c r="AA1338" s="1">
        <v>2</v>
      </c>
      <c r="AB1338" s="1">
        <v>2</v>
      </c>
      <c r="AC1338" s="1">
        <v>2</v>
      </c>
      <c r="AD1338" s="1" t="s">
        <v>109</v>
      </c>
      <c r="AE1338" s="1" t="s">
        <v>109</v>
      </c>
      <c r="AF1338" s="1">
        <v>2</v>
      </c>
      <c r="AG1338" s="1" t="s">
        <v>109</v>
      </c>
      <c r="AH1338" s="1" t="s">
        <v>109</v>
      </c>
      <c r="AI1338" s="1" t="s">
        <v>109</v>
      </c>
      <c r="AJ1338" s="1" t="s">
        <v>109</v>
      </c>
      <c r="AK1338" s="1" t="s">
        <v>109</v>
      </c>
      <c r="AL1338" s="1">
        <v>2</v>
      </c>
      <c r="AM1338" s="1" t="s">
        <v>109</v>
      </c>
      <c r="AN1338" s="1">
        <v>2</v>
      </c>
      <c r="AO1338" s="1" t="s">
        <v>109</v>
      </c>
      <c r="AP1338" s="1"/>
      <c r="AQ1338" s="1">
        <v>2</v>
      </c>
      <c r="AR1338" s="1"/>
      <c r="AS1338" s="1" t="s">
        <v>10534</v>
      </c>
      <c r="AT1338" s="1">
        <v>0</v>
      </c>
      <c r="AU1338" s="1">
        <v>0</v>
      </c>
      <c r="AV1338" s="1">
        <v>0</v>
      </c>
      <c r="AW1338" s="1">
        <v>0</v>
      </c>
      <c r="AX1338" s="1">
        <v>0</v>
      </c>
      <c r="AY1338" s="1">
        <v>0</v>
      </c>
      <c r="AZ1338" s="1">
        <v>0</v>
      </c>
      <c r="BA1338" s="1">
        <v>0</v>
      </c>
      <c r="BB1338" s="1">
        <v>0</v>
      </c>
      <c r="BC1338" s="1">
        <v>0</v>
      </c>
      <c r="BD1338" s="1">
        <v>0</v>
      </c>
      <c r="BE1338" s="1">
        <v>0</v>
      </c>
      <c r="BF1338" s="1">
        <v>0</v>
      </c>
      <c r="BG1338" s="1">
        <v>0</v>
      </c>
      <c r="BH1338" s="1">
        <v>1</v>
      </c>
      <c r="BI1338" s="1">
        <v>0</v>
      </c>
      <c r="BJ1338" s="1">
        <v>0</v>
      </c>
      <c r="BK1338" s="1">
        <v>0</v>
      </c>
      <c r="BL1338" s="1">
        <v>0</v>
      </c>
      <c r="BM1338" s="1">
        <v>0</v>
      </c>
      <c r="BN1338" s="1">
        <v>0</v>
      </c>
      <c r="BO1338" s="1">
        <v>0</v>
      </c>
      <c r="BP1338" s="1">
        <v>0</v>
      </c>
      <c r="BQ1338" s="1">
        <v>0</v>
      </c>
      <c r="BR1338" s="1">
        <v>0</v>
      </c>
      <c r="BS1338" s="5" t="str">
        <f>HYPERLINK("http://www.d20pfsrd.com/magic/all-spells/p/pilfering-hand","Pilfering Hand")</f>
        <v>Pilfering Hand</v>
      </c>
      <c r="BT1338" s="1">
        <v>1385</v>
      </c>
      <c r="BU1338" s="1" t="s">
        <v>109</v>
      </c>
      <c r="BV1338" s="1"/>
      <c r="BW1338" s="1"/>
      <c r="BX1338" s="1"/>
      <c r="BY1338" s="1"/>
      <c r="BZ1338" s="1">
        <v>0</v>
      </c>
      <c r="CA1338" s="1" t="s">
        <v>109</v>
      </c>
      <c r="CB1338" s="1" t="s">
        <v>109</v>
      </c>
      <c r="CC1338" s="1">
        <v>2</v>
      </c>
      <c r="CD1338" s="1" t="s">
        <v>109</v>
      </c>
      <c r="CE1338" s="1">
        <v>2</v>
      </c>
      <c r="CF1338" s="1">
        <v>2</v>
      </c>
      <c r="CG1338" s="1">
        <v>2</v>
      </c>
      <c r="CH1338" s="1" t="s">
        <v>109</v>
      </c>
      <c r="CI1338" s="1" t="s">
        <v>109</v>
      </c>
      <c r="CJ1338" s="1" t="s">
        <v>109</v>
      </c>
      <c r="CK1338" s="1"/>
      <c r="CL1338" s="1">
        <v>0</v>
      </c>
      <c r="CM1338" s="1">
        <v>0</v>
      </c>
      <c r="CN1338" s="1">
        <v>0</v>
      </c>
    </row>
    <row r="1339" spans="1:92" ht="14.25" customHeight="1" x14ac:dyDescent="0.15">
      <c r="A1339" s="1" t="s">
        <v>10535</v>
      </c>
      <c r="B1339" s="1" t="s">
        <v>242</v>
      </c>
      <c r="C1339" s="1"/>
      <c r="D1339" s="1"/>
      <c r="E1339" s="1" t="s">
        <v>10536</v>
      </c>
      <c r="F1339" s="1" t="s">
        <v>98</v>
      </c>
      <c r="G1339" s="1" t="s">
        <v>3812</v>
      </c>
      <c r="H1339" s="1">
        <v>0</v>
      </c>
      <c r="I1339" s="1" t="s">
        <v>161</v>
      </c>
      <c r="J1339" s="1"/>
      <c r="K1339" s="1"/>
      <c r="L1339" s="1" t="s">
        <v>9929</v>
      </c>
      <c r="M1339" s="1" t="s">
        <v>3385</v>
      </c>
      <c r="N1339" s="1">
        <v>0</v>
      </c>
      <c r="O1339" s="1">
        <v>0</v>
      </c>
      <c r="P1339" s="1" t="s">
        <v>507</v>
      </c>
      <c r="Q1339" s="1" t="s">
        <v>167</v>
      </c>
      <c r="R1339" s="1" t="s">
        <v>10537</v>
      </c>
      <c r="S1339" s="1" t="s">
        <v>10538</v>
      </c>
      <c r="T1339" s="1" t="s">
        <v>9888</v>
      </c>
      <c r="U1339" s="1" t="s">
        <v>10539</v>
      </c>
      <c r="V1339" s="1">
        <v>1</v>
      </c>
      <c r="W1339" s="1">
        <v>1</v>
      </c>
      <c r="X1339" s="1">
        <v>0</v>
      </c>
      <c r="Y1339" s="1">
        <v>0</v>
      </c>
      <c r="Z1339" s="1">
        <v>0</v>
      </c>
      <c r="AA1339" s="1">
        <v>3</v>
      </c>
      <c r="AB1339" s="1">
        <v>3</v>
      </c>
      <c r="AC1339" s="1" t="s">
        <v>109</v>
      </c>
      <c r="AD1339" s="1" t="s">
        <v>109</v>
      </c>
      <c r="AE1339" s="1" t="s">
        <v>109</v>
      </c>
      <c r="AF1339" s="1" t="s">
        <v>109</v>
      </c>
      <c r="AG1339" s="1" t="s">
        <v>109</v>
      </c>
      <c r="AH1339" s="1">
        <v>3</v>
      </c>
      <c r="AI1339" s="1">
        <v>3</v>
      </c>
      <c r="AJ1339" s="1" t="s">
        <v>109</v>
      </c>
      <c r="AK1339" s="1" t="s">
        <v>109</v>
      </c>
      <c r="AL1339" s="1" t="s">
        <v>109</v>
      </c>
      <c r="AM1339" s="1" t="s">
        <v>109</v>
      </c>
      <c r="AN1339" s="1" t="s">
        <v>109</v>
      </c>
      <c r="AO1339" s="1" t="s">
        <v>109</v>
      </c>
      <c r="AP1339" s="1"/>
      <c r="AQ1339" s="1">
        <v>3</v>
      </c>
      <c r="AR1339" s="1"/>
      <c r="AS1339" s="1" t="s">
        <v>10540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5" t="str">
        <f>HYPERLINK("http://www.d20pfsrd.com/magic/all-spells/p/protection-from-arrows#TOC-Protection-from-Arrows-Communal","Protection from Arrows, Communal")</f>
        <v>Protection from Arrows, Communal</v>
      </c>
      <c r="BT1339" s="1">
        <v>1386</v>
      </c>
      <c r="BU1339" s="1" t="s">
        <v>109</v>
      </c>
      <c r="BV1339" s="1"/>
      <c r="BW1339" s="1"/>
      <c r="BX1339" s="1"/>
      <c r="BY1339" s="1"/>
      <c r="BZ1339" s="1">
        <v>0</v>
      </c>
      <c r="CA1339" s="1" t="s">
        <v>109</v>
      </c>
      <c r="CB1339" s="1" t="s">
        <v>109</v>
      </c>
      <c r="CC1339" s="1">
        <v>3</v>
      </c>
      <c r="CD1339" s="1" t="s">
        <v>109</v>
      </c>
      <c r="CE1339" s="1" t="s">
        <v>109</v>
      </c>
      <c r="CF1339" s="1" t="s">
        <v>109</v>
      </c>
      <c r="CG1339" s="1" t="s">
        <v>109</v>
      </c>
      <c r="CH1339" s="1" t="s">
        <v>109</v>
      </c>
      <c r="CI1339" s="1" t="s">
        <v>109</v>
      </c>
      <c r="CJ1339" s="1" t="s">
        <v>109</v>
      </c>
      <c r="CK1339" s="1"/>
      <c r="CL1339" s="1">
        <v>0</v>
      </c>
      <c r="CM1339" s="1">
        <v>0</v>
      </c>
      <c r="CN1339" s="1">
        <v>0</v>
      </c>
    </row>
    <row r="1340" spans="1:92" ht="14.25" customHeight="1" x14ac:dyDescent="0.15">
      <c r="A1340" s="1" t="s">
        <v>10541</v>
      </c>
      <c r="B1340" s="1" t="s">
        <v>242</v>
      </c>
      <c r="C1340" s="1"/>
      <c r="D1340" s="1" t="s">
        <v>63</v>
      </c>
      <c r="E1340" s="1" t="s">
        <v>10542</v>
      </c>
      <c r="F1340" s="1" t="s">
        <v>98</v>
      </c>
      <c r="G1340" s="1" t="s">
        <v>3820</v>
      </c>
      <c r="H1340" s="1">
        <v>0</v>
      </c>
      <c r="I1340" s="1" t="s">
        <v>161</v>
      </c>
      <c r="J1340" s="1"/>
      <c r="K1340" s="1"/>
      <c r="L1340" s="1" t="s">
        <v>9929</v>
      </c>
      <c r="M1340" s="1" t="s">
        <v>587</v>
      </c>
      <c r="N1340" s="1">
        <v>1</v>
      </c>
      <c r="O1340" s="1">
        <v>0</v>
      </c>
      <c r="P1340" s="1" t="s">
        <v>507</v>
      </c>
      <c r="Q1340" s="1" t="s">
        <v>3102</v>
      </c>
      <c r="R1340" s="1" t="s">
        <v>10543</v>
      </c>
      <c r="S1340" s="1" t="s">
        <v>10544</v>
      </c>
      <c r="T1340" s="1" t="s">
        <v>9888</v>
      </c>
      <c r="U1340" s="1" t="s">
        <v>10545</v>
      </c>
      <c r="V1340" s="1">
        <v>1</v>
      </c>
      <c r="W1340" s="1">
        <v>1</v>
      </c>
      <c r="X1340" s="1">
        <v>1</v>
      </c>
      <c r="Y1340" s="1">
        <v>0</v>
      </c>
      <c r="Z1340" s="1">
        <v>1</v>
      </c>
      <c r="AA1340" s="1">
        <v>2</v>
      </c>
      <c r="AB1340" s="1">
        <v>2</v>
      </c>
      <c r="AC1340" s="1">
        <v>2</v>
      </c>
      <c r="AD1340" s="1" t="s">
        <v>109</v>
      </c>
      <c r="AE1340" s="1" t="s">
        <v>109</v>
      </c>
      <c r="AF1340" s="1" t="s">
        <v>109</v>
      </c>
      <c r="AG1340" s="1">
        <v>2</v>
      </c>
      <c r="AH1340" s="1" t="s">
        <v>109</v>
      </c>
      <c r="AI1340" s="1">
        <v>2</v>
      </c>
      <c r="AJ1340" s="1" t="s">
        <v>109</v>
      </c>
      <c r="AK1340" s="1">
        <v>2</v>
      </c>
      <c r="AL1340" s="1">
        <v>2</v>
      </c>
      <c r="AM1340" s="1" t="s">
        <v>109</v>
      </c>
      <c r="AN1340" s="1" t="s">
        <v>109</v>
      </c>
      <c r="AO1340" s="1" t="s">
        <v>109</v>
      </c>
      <c r="AP1340" s="1"/>
      <c r="AQ1340" s="1">
        <v>2</v>
      </c>
      <c r="AR1340" s="1"/>
      <c r="AS1340" s="1" t="s">
        <v>10546</v>
      </c>
      <c r="AT1340" s="1">
        <v>0</v>
      </c>
      <c r="AU1340" s="1">
        <v>0</v>
      </c>
      <c r="AV1340" s="1">
        <v>0</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1</v>
      </c>
      <c r="BL1340" s="1">
        <v>0</v>
      </c>
      <c r="BM1340" s="1">
        <v>0</v>
      </c>
      <c r="BN1340" s="1">
        <v>0</v>
      </c>
      <c r="BO1340" s="1">
        <v>0</v>
      </c>
      <c r="BP1340" s="1">
        <v>0</v>
      </c>
      <c r="BQ1340" s="1">
        <v>0</v>
      </c>
      <c r="BR1340" s="1">
        <v>0</v>
      </c>
      <c r="BS1340" s="5" t="str">
        <f>HYPERLINK("http://www.d20pfsrd.com/magic/all-spells/p/protection-from-chaos#TOC-Protection-from-Chaos-Communal","Protection from Chaos, Communal")</f>
        <v>Protection from Chaos, Communal</v>
      </c>
      <c r="BT1340" s="1">
        <v>1387</v>
      </c>
      <c r="BU1340" s="1" t="s">
        <v>109</v>
      </c>
      <c r="BV1340" s="1"/>
      <c r="BW1340" s="1"/>
      <c r="BX1340" s="1"/>
      <c r="BY1340" s="1"/>
      <c r="BZ1340" s="1">
        <v>0</v>
      </c>
      <c r="CA1340" s="1" t="s">
        <v>109</v>
      </c>
      <c r="CB1340" s="1" t="s">
        <v>109</v>
      </c>
      <c r="CC1340" s="1" t="s">
        <v>109</v>
      </c>
      <c r="CD1340" s="1" t="s">
        <v>109</v>
      </c>
      <c r="CE1340" s="1" t="s">
        <v>109</v>
      </c>
      <c r="CF1340" s="1" t="s">
        <v>109</v>
      </c>
      <c r="CG1340" s="1" t="s">
        <v>109</v>
      </c>
      <c r="CH1340" s="1" t="s">
        <v>109</v>
      </c>
      <c r="CI1340" s="1" t="s">
        <v>109</v>
      </c>
      <c r="CJ1340" s="1" t="s">
        <v>109</v>
      </c>
      <c r="CK1340" s="1"/>
      <c r="CL1340" s="1">
        <v>0</v>
      </c>
      <c r="CM1340" s="1">
        <v>0</v>
      </c>
      <c r="CN1340" s="1">
        <v>0</v>
      </c>
    </row>
    <row r="1341" spans="1:92" ht="14.25" customHeight="1" x14ac:dyDescent="0.15">
      <c r="A1341" s="1" t="s">
        <v>10547</v>
      </c>
      <c r="B1341" s="1" t="s">
        <v>242</v>
      </c>
      <c r="C1341" s="1"/>
      <c r="D1341" s="1"/>
      <c r="E1341" s="1" t="s">
        <v>10548</v>
      </c>
      <c r="F1341" s="1" t="s">
        <v>98</v>
      </c>
      <c r="G1341" s="1" t="s">
        <v>160</v>
      </c>
      <c r="H1341" s="1">
        <v>0</v>
      </c>
      <c r="I1341" s="1" t="s">
        <v>161</v>
      </c>
      <c r="J1341" s="1"/>
      <c r="K1341" s="1"/>
      <c r="L1341" s="1" t="s">
        <v>9929</v>
      </c>
      <c r="M1341" s="1" t="s">
        <v>4715</v>
      </c>
      <c r="N1341" s="1">
        <v>0</v>
      </c>
      <c r="O1341" s="1">
        <v>0</v>
      </c>
      <c r="P1341" s="1" t="s">
        <v>1382</v>
      </c>
      <c r="Q1341" s="1" t="s">
        <v>167</v>
      </c>
      <c r="R1341" s="1" t="s">
        <v>10549</v>
      </c>
      <c r="S1341" s="1" t="s">
        <v>10550</v>
      </c>
      <c r="T1341" s="1" t="s">
        <v>9888</v>
      </c>
      <c r="U1341" s="1" t="s">
        <v>10551</v>
      </c>
      <c r="V1341" s="1">
        <v>1</v>
      </c>
      <c r="W1341" s="1">
        <v>1</v>
      </c>
      <c r="X1341" s="1">
        <v>0</v>
      </c>
      <c r="Y1341" s="1">
        <v>0</v>
      </c>
      <c r="Z1341" s="1">
        <v>1</v>
      </c>
      <c r="AA1341" s="1">
        <v>4</v>
      </c>
      <c r="AB1341" s="1">
        <v>4</v>
      </c>
      <c r="AC1341" s="1">
        <v>4</v>
      </c>
      <c r="AD1341" s="1">
        <v>4</v>
      </c>
      <c r="AE1341" s="1">
        <v>3</v>
      </c>
      <c r="AF1341" s="1" t="s">
        <v>109</v>
      </c>
      <c r="AG1341" s="1" t="s">
        <v>109</v>
      </c>
      <c r="AH1341" s="1" t="s">
        <v>109</v>
      </c>
      <c r="AI1341" s="1">
        <v>4</v>
      </c>
      <c r="AJ1341" s="1" t="s">
        <v>109</v>
      </c>
      <c r="AK1341" s="1">
        <v>4</v>
      </c>
      <c r="AL1341" s="1">
        <v>4</v>
      </c>
      <c r="AM1341" s="1" t="s">
        <v>109</v>
      </c>
      <c r="AN1341" s="1" t="s">
        <v>109</v>
      </c>
      <c r="AO1341" s="1" t="s">
        <v>109</v>
      </c>
      <c r="AP1341" s="1"/>
      <c r="AQ1341" s="1">
        <v>4</v>
      </c>
      <c r="AR1341" s="1"/>
      <c r="AS1341" s="1" t="s">
        <v>10552</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5" t="str">
        <f>HYPERLINK("http://www.d20pfsrd.com/magic/all-spells/p/protection-from-energy#TOC-Protection-from-Energy-Communal","Protection from Energy, Communal")</f>
        <v>Protection from Energy, Communal</v>
      </c>
      <c r="BT1341" s="1">
        <v>1388</v>
      </c>
      <c r="BU1341" s="1" t="s">
        <v>109</v>
      </c>
      <c r="BV1341" s="1"/>
      <c r="BW1341" s="1"/>
      <c r="BX1341" s="1"/>
      <c r="BY1341" s="1"/>
      <c r="BZ1341" s="1">
        <v>0</v>
      </c>
      <c r="CA1341" s="1" t="s">
        <v>109</v>
      </c>
      <c r="CB1341" s="1" t="s">
        <v>109</v>
      </c>
      <c r="CC1341" s="1">
        <v>4</v>
      </c>
      <c r="CD1341" s="1" t="s">
        <v>109</v>
      </c>
      <c r="CE1341" s="1" t="s">
        <v>109</v>
      </c>
      <c r="CF1341" s="1" t="s">
        <v>109</v>
      </c>
      <c r="CG1341" s="1" t="s">
        <v>109</v>
      </c>
      <c r="CH1341" s="1" t="s">
        <v>109</v>
      </c>
      <c r="CI1341" s="1" t="s">
        <v>109</v>
      </c>
      <c r="CJ1341" s="1">
        <v>3</v>
      </c>
      <c r="CK1341" s="1"/>
      <c r="CL1341" s="1">
        <v>0</v>
      </c>
      <c r="CM1341" s="1">
        <v>0</v>
      </c>
      <c r="CN1341" s="1">
        <v>0</v>
      </c>
    </row>
    <row r="1342" spans="1:92" ht="14.25" customHeight="1" x14ac:dyDescent="0.15">
      <c r="A1342" s="1" t="s">
        <v>10553</v>
      </c>
      <c r="B1342" s="1" t="s">
        <v>242</v>
      </c>
      <c r="C1342" s="1"/>
      <c r="D1342" s="1" t="s">
        <v>61</v>
      </c>
      <c r="E1342" s="1" t="s">
        <v>10542</v>
      </c>
      <c r="F1342" s="1" t="s">
        <v>98</v>
      </c>
      <c r="G1342" s="1" t="s">
        <v>3820</v>
      </c>
      <c r="H1342" s="1">
        <v>0</v>
      </c>
      <c r="I1342" s="1" t="s">
        <v>161</v>
      </c>
      <c r="J1342" s="1"/>
      <c r="K1342" s="1"/>
      <c r="L1342" s="1" t="s">
        <v>9929</v>
      </c>
      <c r="M1342" s="1" t="s">
        <v>587</v>
      </c>
      <c r="N1342" s="1">
        <v>1</v>
      </c>
      <c r="O1342" s="1">
        <v>0</v>
      </c>
      <c r="P1342" s="1" t="s">
        <v>507</v>
      </c>
      <c r="Q1342" s="1" t="s">
        <v>3102</v>
      </c>
      <c r="R1342" s="1" t="s">
        <v>10554</v>
      </c>
      <c r="S1342" s="1" t="s">
        <v>10555</v>
      </c>
      <c r="T1342" s="1" t="s">
        <v>9888</v>
      </c>
      <c r="U1342" s="1" t="s">
        <v>10556</v>
      </c>
      <c r="V1342" s="1">
        <v>1</v>
      </c>
      <c r="W1342" s="1">
        <v>1</v>
      </c>
      <c r="X1342" s="1">
        <v>1</v>
      </c>
      <c r="Y1342" s="1">
        <v>0</v>
      </c>
      <c r="Z1342" s="1">
        <v>1</v>
      </c>
      <c r="AA1342" s="1">
        <v>2</v>
      </c>
      <c r="AB1342" s="1">
        <v>2</v>
      </c>
      <c r="AC1342" s="1">
        <v>2</v>
      </c>
      <c r="AD1342" s="1" t="s">
        <v>109</v>
      </c>
      <c r="AE1342" s="1" t="s">
        <v>109</v>
      </c>
      <c r="AF1342" s="1" t="s">
        <v>109</v>
      </c>
      <c r="AG1342" s="1">
        <v>2</v>
      </c>
      <c r="AH1342" s="1" t="s">
        <v>109</v>
      </c>
      <c r="AI1342" s="1">
        <v>2</v>
      </c>
      <c r="AJ1342" s="1" t="s">
        <v>109</v>
      </c>
      <c r="AK1342" s="1">
        <v>2</v>
      </c>
      <c r="AL1342" s="1">
        <v>2</v>
      </c>
      <c r="AM1342" s="1" t="s">
        <v>109</v>
      </c>
      <c r="AN1342" s="1" t="s">
        <v>109</v>
      </c>
      <c r="AO1342" s="1" t="s">
        <v>109</v>
      </c>
      <c r="AP1342" s="1"/>
      <c r="AQ1342" s="1">
        <v>2</v>
      </c>
      <c r="AR1342" s="1"/>
      <c r="AS1342" s="1" t="s">
        <v>10557</v>
      </c>
      <c r="AT1342" s="1">
        <v>0</v>
      </c>
      <c r="AU1342" s="1">
        <v>0</v>
      </c>
      <c r="AV1342" s="1">
        <v>0</v>
      </c>
      <c r="AW1342" s="1">
        <v>0</v>
      </c>
      <c r="AX1342" s="1">
        <v>0</v>
      </c>
      <c r="AY1342" s="1">
        <v>0</v>
      </c>
      <c r="AZ1342" s="1">
        <v>0</v>
      </c>
      <c r="BA1342" s="1">
        <v>0</v>
      </c>
      <c r="BB1342" s="1">
        <v>0</v>
      </c>
      <c r="BC1342" s="1">
        <v>0</v>
      </c>
      <c r="BD1342" s="1">
        <v>0</v>
      </c>
      <c r="BE1342" s="1">
        <v>0</v>
      </c>
      <c r="BF1342" s="1">
        <v>0</v>
      </c>
      <c r="BG1342" s="1">
        <v>0</v>
      </c>
      <c r="BH1342" s="1">
        <v>0</v>
      </c>
      <c r="BI1342" s="1">
        <v>1</v>
      </c>
      <c r="BJ1342" s="1">
        <v>0</v>
      </c>
      <c r="BK1342" s="1">
        <v>0</v>
      </c>
      <c r="BL1342" s="1">
        <v>0</v>
      </c>
      <c r="BM1342" s="1">
        <v>0</v>
      </c>
      <c r="BN1342" s="1">
        <v>0</v>
      </c>
      <c r="BO1342" s="1">
        <v>0</v>
      </c>
      <c r="BP1342" s="1">
        <v>0</v>
      </c>
      <c r="BQ1342" s="1">
        <v>0</v>
      </c>
      <c r="BR1342" s="1">
        <v>0</v>
      </c>
      <c r="BS1342" s="5" t="str">
        <f>HYPERLINK("http://www.d20pfsrd.com/magic/all-spells/p/protection-from-evil#TOC-Protection-from-Evil-Communal","Protection from Evil, Communal")</f>
        <v>Protection from Evil, Communal</v>
      </c>
      <c r="BT1342" s="1">
        <v>1389</v>
      </c>
      <c r="BU1342" s="1" t="s">
        <v>109</v>
      </c>
      <c r="BV1342" s="1"/>
      <c r="BW1342" s="1"/>
      <c r="BX1342" s="1"/>
      <c r="BY1342" s="1"/>
      <c r="BZ1342" s="1">
        <v>0</v>
      </c>
      <c r="CA1342" s="1" t="s">
        <v>109</v>
      </c>
      <c r="CB1342" s="1" t="s">
        <v>109</v>
      </c>
      <c r="CC1342" s="1" t="s">
        <v>109</v>
      </c>
      <c r="CD1342" s="1" t="s">
        <v>109</v>
      </c>
      <c r="CE1342" s="1" t="s">
        <v>109</v>
      </c>
      <c r="CF1342" s="1" t="s">
        <v>109</v>
      </c>
      <c r="CG1342" s="1" t="s">
        <v>109</v>
      </c>
      <c r="CH1342" s="1" t="s">
        <v>109</v>
      </c>
      <c r="CI1342" s="1" t="s">
        <v>109</v>
      </c>
      <c r="CJ1342" s="1" t="s">
        <v>109</v>
      </c>
      <c r="CK1342" s="1"/>
      <c r="CL1342" s="1">
        <v>0</v>
      </c>
      <c r="CM1342" s="1">
        <v>0</v>
      </c>
      <c r="CN1342" s="1">
        <v>0</v>
      </c>
    </row>
    <row r="1343" spans="1:92" ht="14.25" customHeight="1" x14ac:dyDescent="0.15">
      <c r="A1343" s="1" t="s">
        <v>10558</v>
      </c>
      <c r="B1343" s="1" t="s">
        <v>242</v>
      </c>
      <c r="C1343" s="1"/>
      <c r="D1343" s="1" t="s">
        <v>57</v>
      </c>
      <c r="E1343" s="1" t="s">
        <v>10559</v>
      </c>
      <c r="F1343" s="1" t="s">
        <v>98</v>
      </c>
      <c r="G1343" s="1" t="s">
        <v>3820</v>
      </c>
      <c r="H1343" s="1">
        <v>0</v>
      </c>
      <c r="I1343" s="1" t="s">
        <v>161</v>
      </c>
      <c r="J1343" s="1"/>
      <c r="K1343" s="1"/>
      <c r="L1343" s="1" t="s">
        <v>9929</v>
      </c>
      <c r="M1343" s="1" t="s">
        <v>587</v>
      </c>
      <c r="N1343" s="1">
        <v>1</v>
      </c>
      <c r="O1343" s="1">
        <v>0</v>
      </c>
      <c r="P1343" s="1" t="s">
        <v>507</v>
      </c>
      <c r="Q1343" s="1" t="s">
        <v>3102</v>
      </c>
      <c r="R1343" s="1" t="s">
        <v>10560</v>
      </c>
      <c r="S1343" s="1" t="s">
        <v>10561</v>
      </c>
      <c r="T1343" s="1" t="s">
        <v>9888</v>
      </c>
      <c r="U1343" s="1" t="s">
        <v>10562</v>
      </c>
      <c r="V1343" s="1">
        <v>1</v>
      </c>
      <c r="W1343" s="1">
        <v>1</v>
      </c>
      <c r="X1343" s="1">
        <v>1</v>
      </c>
      <c r="Y1343" s="1">
        <v>0</v>
      </c>
      <c r="Z1343" s="1">
        <v>1</v>
      </c>
      <c r="AA1343" s="1">
        <v>2</v>
      </c>
      <c r="AB1343" s="1">
        <v>2</v>
      </c>
      <c r="AC1343" s="1">
        <v>2</v>
      </c>
      <c r="AD1343" s="1" t="s">
        <v>109</v>
      </c>
      <c r="AE1343" s="1" t="s">
        <v>109</v>
      </c>
      <c r="AF1343" s="1" t="s">
        <v>109</v>
      </c>
      <c r="AG1343" s="1">
        <v>2</v>
      </c>
      <c r="AH1343" s="1" t="s">
        <v>109</v>
      </c>
      <c r="AI1343" s="1">
        <v>2</v>
      </c>
      <c r="AJ1343" s="1" t="s">
        <v>109</v>
      </c>
      <c r="AK1343" s="1">
        <v>2</v>
      </c>
      <c r="AL1343" s="1">
        <v>2</v>
      </c>
      <c r="AM1343" s="1">
        <v>2</v>
      </c>
      <c r="AN1343" s="1" t="s">
        <v>109</v>
      </c>
      <c r="AO1343" s="1" t="s">
        <v>109</v>
      </c>
      <c r="AP1343" s="1"/>
      <c r="AQ1343" s="1">
        <v>2</v>
      </c>
      <c r="AR1343" s="1"/>
      <c r="AS1343" s="1" t="s">
        <v>10563</v>
      </c>
      <c r="AT1343" s="1">
        <v>0</v>
      </c>
      <c r="AU1343" s="1">
        <v>0</v>
      </c>
      <c r="AV1343" s="1">
        <v>0</v>
      </c>
      <c r="AW1343" s="1">
        <v>0</v>
      </c>
      <c r="AX1343" s="1">
        <v>0</v>
      </c>
      <c r="AY1343" s="1">
        <v>0</v>
      </c>
      <c r="AZ1343" s="1">
        <v>0</v>
      </c>
      <c r="BA1343" s="1">
        <v>0</v>
      </c>
      <c r="BB1343" s="1">
        <v>0</v>
      </c>
      <c r="BC1343" s="1">
        <v>0</v>
      </c>
      <c r="BD1343" s="1">
        <v>0</v>
      </c>
      <c r="BE1343" s="1">
        <v>1</v>
      </c>
      <c r="BF1343" s="1">
        <v>0</v>
      </c>
      <c r="BG1343" s="1">
        <v>0</v>
      </c>
      <c r="BH1343" s="1">
        <v>0</v>
      </c>
      <c r="BI1343" s="1">
        <v>0</v>
      </c>
      <c r="BJ1343" s="1">
        <v>0</v>
      </c>
      <c r="BK1343" s="1">
        <v>0</v>
      </c>
      <c r="BL1343" s="1">
        <v>0</v>
      </c>
      <c r="BM1343" s="1">
        <v>0</v>
      </c>
      <c r="BN1343" s="1">
        <v>0</v>
      </c>
      <c r="BO1343" s="1">
        <v>0</v>
      </c>
      <c r="BP1343" s="1">
        <v>0</v>
      </c>
      <c r="BQ1343" s="1">
        <v>0</v>
      </c>
      <c r="BR1343" s="1">
        <v>0</v>
      </c>
      <c r="BS1343" s="5" t="str">
        <f>HYPERLINK("http://www.d20pfsrd.com/magic/all-spells/p/protection-from-good#TOC-Protection-from-Good-Communal","Protection from Good, Communal")</f>
        <v>Protection from Good, Communal</v>
      </c>
      <c r="BT1343" s="1">
        <v>1390</v>
      </c>
      <c r="BU1343" s="1" t="s">
        <v>109</v>
      </c>
      <c r="BV1343" s="1"/>
      <c r="BW1343" s="1"/>
      <c r="BX1343" s="1"/>
      <c r="BY1343" s="1"/>
      <c r="BZ1343" s="1">
        <v>0</v>
      </c>
      <c r="CA1343" s="1" t="s">
        <v>109</v>
      </c>
      <c r="CB1343" s="1" t="s">
        <v>109</v>
      </c>
      <c r="CC1343" s="1" t="s">
        <v>109</v>
      </c>
      <c r="CD1343" s="1" t="s">
        <v>109</v>
      </c>
      <c r="CE1343" s="1" t="s">
        <v>109</v>
      </c>
      <c r="CF1343" s="1" t="s">
        <v>109</v>
      </c>
      <c r="CG1343" s="1" t="s">
        <v>109</v>
      </c>
      <c r="CH1343" s="1" t="s">
        <v>109</v>
      </c>
      <c r="CI1343" s="1" t="s">
        <v>109</v>
      </c>
      <c r="CJ1343" s="1" t="s">
        <v>109</v>
      </c>
      <c r="CK1343" s="1"/>
      <c r="CL1343" s="1">
        <v>0</v>
      </c>
      <c r="CM1343" s="1">
        <v>0</v>
      </c>
      <c r="CN1343" s="1">
        <v>0</v>
      </c>
    </row>
    <row r="1344" spans="1:92" ht="14.25" customHeight="1" x14ac:dyDescent="0.15">
      <c r="A1344" s="1" t="s">
        <v>10564</v>
      </c>
      <c r="B1344" s="1" t="s">
        <v>242</v>
      </c>
      <c r="C1344" s="1"/>
      <c r="D1344" s="1" t="s">
        <v>57</v>
      </c>
      <c r="E1344" s="1" t="s">
        <v>10559</v>
      </c>
      <c r="F1344" s="1" t="s">
        <v>98</v>
      </c>
      <c r="G1344" s="1" t="s">
        <v>3820</v>
      </c>
      <c r="H1344" s="1">
        <v>0</v>
      </c>
      <c r="I1344" s="1" t="s">
        <v>161</v>
      </c>
      <c r="J1344" s="1"/>
      <c r="K1344" s="1"/>
      <c r="L1344" s="1" t="s">
        <v>9929</v>
      </c>
      <c r="M1344" s="1" t="s">
        <v>587</v>
      </c>
      <c r="N1344" s="1">
        <v>1</v>
      </c>
      <c r="O1344" s="1">
        <v>0</v>
      </c>
      <c r="P1344" s="1" t="s">
        <v>507</v>
      </c>
      <c r="Q1344" s="1" t="s">
        <v>3102</v>
      </c>
      <c r="R1344" s="1" t="s">
        <v>10565</v>
      </c>
      <c r="S1344" s="1" t="s">
        <v>10566</v>
      </c>
      <c r="T1344" s="1" t="s">
        <v>9888</v>
      </c>
      <c r="U1344" s="1" t="s">
        <v>10567</v>
      </c>
      <c r="V1344" s="1">
        <v>1</v>
      </c>
      <c r="W1344" s="1">
        <v>1</v>
      </c>
      <c r="X1344" s="1">
        <v>1</v>
      </c>
      <c r="Y1344" s="1">
        <v>0</v>
      </c>
      <c r="Z1344" s="1">
        <v>1</v>
      </c>
      <c r="AA1344" s="1">
        <v>2</v>
      </c>
      <c r="AB1344" s="1">
        <v>2</v>
      </c>
      <c r="AC1344" s="1">
        <v>2</v>
      </c>
      <c r="AD1344" s="1" t="s">
        <v>109</v>
      </c>
      <c r="AE1344" s="1" t="s">
        <v>109</v>
      </c>
      <c r="AF1344" s="1" t="s">
        <v>109</v>
      </c>
      <c r="AG1344" s="1">
        <v>2</v>
      </c>
      <c r="AH1344" s="1" t="s">
        <v>109</v>
      </c>
      <c r="AI1344" s="1">
        <v>2</v>
      </c>
      <c r="AJ1344" s="1" t="s">
        <v>109</v>
      </c>
      <c r="AK1344" s="1">
        <v>2</v>
      </c>
      <c r="AL1344" s="1">
        <v>2</v>
      </c>
      <c r="AM1344" s="1">
        <v>2</v>
      </c>
      <c r="AN1344" s="1" t="s">
        <v>109</v>
      </c>
      <c r="AO1344" s="1" t="s">
        <v>109</v>
      </c>
      <c r="AP1344" s="1"/>
      <c r="AQ1344" s="1">
        <v>2</v>
      </c>
      <c r="AR1344" s="1"/>
      <c r="AS1344" s="1" t="s">
        <v>10568</v>
      </c>
      <c r="AT1344" s="1">
        <v>0</v>
      </c>
      <c r="AU1344" s="1">
        <v>0</v>
      </c>
      <c r="AV1344" s="1">
        <v>0</v>
      </c>
      <c r="AW1344" s="1">
        <v>0</v>
      </c>
      <c r="AX1344" s="1">
        <v>0</v>
      </c>
      <c r="AY1344" s="1">
        <v>0</v>
      </c>
      <c r="AZ1344" s="1">
        <v>0</v>
      </c>
      <c r="BA1344" s="1">
        <v>0</v>
      </c>
      <c r="BB1344" s="1">
        <v>0</v>
      </c>
      <c r="BC1344" s="1">
        <v>0</v>
      </c>
      <c r="BD1344" s="1">
        <v>0</v>
      </c>
      <c r="BE1344" s="1">
        <v>1</v>
      </c>
      <c r="BF1344" s="1">
        <v>0</v>
      </c>
      <c r="BG1344" s="1">
        <v>0</v>
      </c>
      <c r="BH1344" s="1">
        <v>0</v>
      </c>
      <c r="BI1344" s="1">
        <v>0</v>
      </c>
      <c r="BJ1344" s="1">
        <v>0</v>
      </c>
      <c r="BK1344" s="1">
        <v>0</v>
      </c>
      <c r="BL1344" s="1">
        <v>0</v>
      </c>
      <c r="BM1344" s="1">
        <v>0</v>
      </c>
      <c r="BN1344" s="1">
        <v>0</v>
      </c>
      <c r="BO1344" s="1">
        <v>0</v>
      </c>
      <c r="BP1344" s="1">
        <v>0</v>
      </c>
      <c r="BQ1344" s="1">
        <v>0</v>
      </c>
      <c r="BR1344" s="1">
        <v>0</v>
      </c>
      <c r="BS1344" s="5" t="str">
        <f>HYPERLINK("http://www.d20pfsrd.com/magic/all-spells/p/protection-from-law#TOC-Protection-from-Law-Communal","Protection from Law, Communal")</f>
        <v>Protection from Law, Communal</v>
      </c>
      <c r="BT1344" s="1">
        <v>1391</v>
      </c>
      <c r="BU1344" s="1" t="s">
        <v>109</v>
      </c>
      <c r="BV1344" s="1"/>
      <c r="BW1344" s="1"/>
      <c r="BX1344" s="1"/>
      <c r="BY1344" s="1"/>
      <c r="BZ1344" s="1">
        <v>0</v>
      </c>
      <c r="CA1344" s="1" t="s">
        <v>109</v>
      </c>
      <c r="CB1344" s="1" t="s">
        <v>109</v>
      </c>
      <c r="CC1344" s="1" t="s">
        <v>109</v>
      </c>
      <c r="CD1344" s="1" t="s">
        <v>109</v>
      </c>
      <c r="CE1344" s="1" t="s">
        <v>109</v>
      </c>
      <c r="CF1344" s="1" t="s">
        <v>109</v>
      </c>
      <c r="CG1344" s="1" t="s">
        <v>109</v>
      </c>
      <c r="CH1344" s="1" t="s">
        <v>109</v>
      </c>
      <c r="CI1344" s="1" t="s">
        <v>109</v>
      </c>
      <c r="CJ1344" s="1" t="s">
        <v>109</v>
      </c>
      <c r="CK1344" s="1"/>
      <c r="CL1344" s="1">
        <v>0</v>
      </c>
      <c r="CM1344" s="1">
        <v>0</v>
      </c>
      <c r="CN1344" s="1">
        <v>0</v>
      </c>
    </row>
    <row r="1345" spans="1:92" ht="14.25" customHeight="1" x14ac:dyDescent="0.15">
      <c r="A1345" s="1" t="s">
        <v>10569</v>
      </c>
      <c r="B1345" s="1" t="s">
        <v>189</v>
      </c>
      <c r="C1345" s="1" t="s">
        <v>231</v>
      </c>
      <c r="D1345" s="1"/>
      <c r="E1345" s="1" t="s">
        <v>7863</v>
      </c>
      <c r="F1345" s="1" t="s">
        <v>98</v>
      </c>
      <c r="G1345" s="1" t="s">
        <v>10570</v>
      </c>
      <c r="H1345" s="1">
        <v>0</v>
      </c>
      <c r="I1345" s="1" t="s">
        <v>142</v>
      </c>
      <c r="J1345" s="1"/>
      <c r="K1345" s="1"/>
      <c r="L1345" s="1" t="s">
        <v>844</v>
      </c>
      <c r="M1345" s="1" t="s">
        <v>125</v>
      </c>
      <c r="N1345" s="1">
        <v>0</v>
      </c>
      <c r="O1345" s="1">
        <v>0</v>
      </c>
      <c r="P1345" s="1" t="s">
        <v>10571</v>
      </c>
      <c r="Q1345" s="1" t="s">
        <v>268</v>
      </c>
      <c r="R1345" s="1" t="s">
        <v>10572</v>
      </c>
      <c r="S1345" s="1" t="s">
        <v>10573</v>
      </c>
      <c r="T1345" s="1" t="s">
        <v>9888</v>
      </c>
      <c r="U1345" s="1" t="s">
        <v>10574</v>
      </c>
      <c r="V1345" s="1">
        <v>1</v>
      </c>
      <c r="W1345" s="1">
        <v>1</v>
      </c>
      <c r="X1345" s="1">
        <v>1</v>
      </c>
      <c r="Y1345" s="1">
        <v>0</v>
      </c>
      <c r="Z1345" s="1">
        <v>0</v>
      </c>
      <c r="AA1345" s="1">
        <v>3</v>
      </c>
      <c r="AB1345" s="1">
        <v>3</v>
      </c>
      <c r="AC1345" s="1" t="s">
        <v>109</v>
      </c>
      <c r="AD1345" s="1">
        <v>3</v>
      </c>
      <c r="AE1345" s="1" t="s">
        <v>109</v>
      </c>
      <c r="AF1345" s="1" t="s">
        <v>109</v>
      </c>
      <c r="AG1345" s="1" t="s">
        <v>109</v>
      </c>
      <c r="AH1345" s="1" t="s">
        <v>109</v>
      </c>
      <c r="AI1345" s="1" t="s">
        <v>109</v>
      </c>
      <c r="AJ1345" s="1">
        <v>3</v>
      </c>
      <c r="AK1345" s="1" t="s">
        <v>109</v>
      </c>
      <c r="AL1345" s="1" t="s">
        <v>109</v>
      </c>
      <c r="AM1345" s="1" t="s">
        <v>109</v>
      </c>
      <c r="AN1345" s="1" t="s">
        <v>109</v>
      </c>
      <c r="AO1345" s="1" t="s">
        <v>109</v>
      </c>
      <c r="AP1345" s="1"/>
      <c r="AQ1345" s="1">
        <v>3</v>
      </c>
      <c r="AR1345" s="1"/>
      <c r="AS1345" s="1" t="s">
        <v>10575</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5" t="str">
        <f>HYPERLINK("http://www.d20pfsrd.com/magic/all-spells/p/pup-shape","Pup Shape")</f>
        <v>Pup Shape</v>
      </c>
      <c r="BT1345" s="1">
        <v>1392</v>
      </c>
      <c r="BU1345" s="1" t="s">
        <v>109</v>
      </c>
      <c r="BV1345" s="1"/>
      <c r="BW1345" s="1"/>
      <c r="BX1345" s="1"/>
      <c r="BY1345" s="1"/>
      <c r="BZ1345" s="1">
        <v>0</v>
      </c>
      <c r="CA1345" s="1" t="s">
        <v>109</v>
      </c>
      <c r="CB1345" s="1" t="s">
        <v>109</v>
      </c>
      <c r="CC1345" s="1" t="s">
        <v>109</v>
      </c>
      <c r="CD1345" s="1" t="s">
        <v>109</v>
      </c>
      <c r="CE1345" s="1" t="s">
        <v>109</v>
      </c>
      <c r="CF1345" s="1" t="s">
        <v>109</v>
      </c>
      <c r="CG1345" s="1" t="s">
        <v>109</v>
      </c>
      <c r="CH1345" s="1" t="s">
        <v>109</v>
      </c>
      <c r="CI1345" s="1" t="s">
        <v>109</v>
      </c>
      <c r="CJ1345" s="1">
        <v>3</v>
      </c>
      <c r="CK1345" s="1"/>
      <c r="CL1345" s="1">
        <v>0</v>
      </c>
      <c r="CM1345" s="1">
        <v>0</v>
      </c>
      <c r="CN1345" s="1">
        <v>0</v>
      </c>
    </row>
    <row r="1346" spans="1:92" ht="14.25" customHeight="1" x14ac:dyDescent="0.15">
      <c r="A1346" s="1" t="s">
        <v>10576</v>
      </c>
      <c r="B1346" s="1" t="s">
        <v>156</v>
      </c>
      <c r="C1346" s="1" t="s">
        <v>157</v>
      </c>
      <c r="D1346" s="1" t="s">
        <v>158</v>
      </c>
      <c r="E1346" s="1" t="s">
        <v>10577</v>
      </c>
      <c r="F1346" s="1" t="s">
        <v>98</v>
      </c>
      <c r="G1346" s="1" t="s">
        <v>141</v>
      </c>
      <c r="H1346" s="1">
        <v>0</v>
      </c>
      <c r="I1346" s="1" t="s">
        <v>142</v>
      </c>
      <c r="J1346" s="1"/>
      <c r="K1346" s="1"/>
      <c r="L1346" s="1" t="s">
        <v>1391</v>
      </c>
      <c r="M1346" s="1" t="s">
        <v>8243</v>
      </c>
      <c r="N1346" s="1">
        <v>0</v>
      </c>
      <c r="O1346" s="1">
        <v>0</v>
      </c>
      <c r="P1346" s="1" t="s">
        <v>301</v>
      </c>
      <c r="Q1346" s="1" t="s">
        <v>268</v>
      </c>
      <c r="R1346" s="1" t="s">
        <v>10578</v>
      </c>
      <c r="S1346" s="1" t="s">
        <v>10579</v>
      </c>
      <c r="T1346" s="1" t="s">
        <v>9888</v>
      </c>
      <c r="U1346" s="1" t="s">
        <v>10580</v>
      </c>
      <c r="V1346" s="1">
        <v>1</v>
      </c>
      <c r="W1346" s="1">
        <v>1</v>
      </c>
      <c r="X1346" s="1">
        <v>0</v>
      </c>
      <c r="Y1346" s="1">
        <v>0</v>
      </c>
      <c r="Z1346" s="1">
        <v>0</v>
      </c>
      <c r="AA1346" s="1">
        <v>2</v>
      </c>
      <c r="AB1346" s="1">
        <v>2</v>
      </c>
      <c r="AC1346" s="1" t="s">
        <v>109</v>
      </c>
      <c r="AD1346" s="1" t="s">
        <v>109</v>
      </c>
      <c r="AE1346" s="1" t="s">
        <v>109</v>
      </c>
      <c r="AF1346" s="1">
        <v>2</v>
      </c>
      <c r="AG1346" s="1" t="s">
        <v>109</v>
      </c>
      <c r="AH1346" s="1" t="s">
        <v>109</v>
      </c>
      <c r="AI1346" s="1" t="s">
        <v>109</v>
      </c>
      <c r="AJ1346" s="1">
        <v>2</v>
      </c>
      <c r="AK1346" s="1">
        <v>2</v>
      </c>
      <c r="AL1346" s="1" t="s">
        <v>109</v>
      </c>
      <c r="AM1346" s="1" t="s">
        <v>109</v>
      </c>
      <c r="AN1346" s="1" t="s">
        <v>109</v>
      </c>
      <c r="AO1346" s="1" t="s">
        <v>109</v>
      </c>
      <c r="AP1346" s="1"/>
      <c r="AQ1346" s="1">
        <v>2</v>
      </c>
      <c r="AR1346" s="1" t="s">
        <v>10581</v>
      </c>
      <c r="AS1346" s="1" t="s">
        <v>10582</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1</v>
      </c>
      <c r="BN1346" s="1">
        <v>0</v>
      </c>
      <c r="BO1346" s="1">
        <v>0</v>
      </c>
      <c r="BP1346" s="1">
        <v>0</v>
      </c>
      <c r="BQ1346" s="1">
        <v>0</v>
      </c>
      <c r="BR1346" s="1">
        <v>0</v>
      </c>
      <c r="BS1346" s="5" t="str">
        <f>HYPERLINK("http://www.d20pfsrd.com/magic/all-spells/q/qualm","Qualm")</f>
        <v>Qualm</v>
      </c>
      <c r="BT1346" s="1">
        <v>1393</v>
      </c>
      <c r="BU1346" s="1" t="s">
        <v>109</v>
      </c>
      <c r="BV1346" s="1"/>
      <c r="BW1346" s="1"/>
      <c r="BX1346" s="1"/>
      <c r="BY1346" s="1"/>
      <c r="BZ1346" s="1">
        <v>0</v>
      </c>
      <c r="CA1346" s="1" t="s">
        <v>109</v>
      </c>
      <c r="CB1346" s="1" t="s">
        <v>109</v>
      </c>
      <c r="CC1346" s="1">
        <v>2</v>
      </c>
      <c r="CD1346" s="1" t="s">
        <v>109</v>
      </c>
      <c r="CE1346" s="1">
        <v>2</v>
      </c>
      <c r="CF1346" s="1" t="s">
        <v>109</v>
      </c>
      <c r="CG1346" s="1" t="s">
        <v>109</v>
      </c>
      <c r="CH1346" s="1" t="s">
        <v>109</v>
      </c>
      <c r="CI1346" s="1" t="s">
        <v>109</v>
      </c>
      <c r="CJ1346" s="1" t="s">
        <v>109</v>
      </c>
      <c r="CK1346" s="1"/>
      <c r="CL1346" s="1">
        <v>0</v>
      </c>
      <c r="CM1346" s="1">
        <v>0</v>
      </c>
      <c r="CN1346" s="1">
        <v>0</v>
      </c>
    </row>
    <row r="1347" spans="1:92" ht="14.25" customHeight="1" x14ac:dyDescent="0.15">
      <c r="A1347" s="1" t="s">
        <v>10583</v>
      </c>
      <c r="B1347" s="1" t="s">
        <v>189</v>
      </c>
      <c r="C1347" s="1"/>
      <c r="D1347" s="1"/>
      <c r="E1347" s="1" t="s">
        <v>9564</v>
      </c>
      <c r="F1347" s="1" t="s">
        <v>98</v>
      </c>
      <c r="G1347" s="1" t="s">
        <v>10584</v>
      </c>
      <c r="H1347" s="1">
        <v>0</v>
      </c>
      <c r="I1347" s="1" t="s">
        <v>142</v>
      </c>
      <c r="J1347" s="1"/>
      <c r="K1347" s="1"/>
      <c r="L1347" s="1" t="s">
        <v>10165</v>
      </c>
      <c r="M1347" s="1" t="s">
        <v>144</v>
      </c>
      <c r="N1347" s="1">
        <v>0</v>
      </c>
      <c r="O1347" s="1">
        <v>0</v>
      </c>
      <c r="P1347" s="1" t="s">
        <v>629</v>
      </c>
      <c r="Q1347" s="1" t="s">
        <v>630</v>
      </c>
      <c r="R1347" s="1" t="s">
        <v>10585</v>
      </c>
      <c r="S1347" s="1" t="s">
        <v>10586</v>
      </c>
      <c r="T1347" s="1" t="s">
        <v>9888</v>
      </c>
      <c r="U1347" s="1" t="s">
        <v>10587</v>
      </c>
      <c r="V1347" s="1">
        <v>1</v>
      </c>
      <c r="W1347" s="1">
        <v>1</v>
      </c>
      <c r="X1347" s="1">
        <v>1</v>
      </c>
      <c r="Y1347" s="1">
        <v>0</v>
      </c>
      <c r="Z1347" s="1">
        <v>0</v>
      </c>
      <c r="AA1347" s="1">
        <v>2</v>
      </c>
      <c r="AB1347" s="1">
        <v>2</v>
      </c>
      <c r="AC1347" s="1" t="s">
        <v>109</v>
      </c>
      <c r="AD1347" s="1" t="s">
        <v>109</v>
      </c>
      <c r="AE1347" s="1" t="s">
        <v>109</v>
      </c>
      <c r="AF1347" s="1" t="s">
        <v>109</v>
      </c>
      <c r="AG1347" s="1" t="s">
        <v>109</v>
      </c>
      <c r="AH1347" s="1" t="s">
        <v>109</v>
      </c>
      <c r="AI1347" s="1" t="s">
        <v>109</v>
      </c>
      <c r="AJ1347" s="1">
        <v>2</v>
      </c>
      <c r="AK1347" s="1" t="s">
        <v>109</v>
      </c>
      <c r="AL1347" s="1" t="s">
        <v>109</v>
      </c>
      <c r="AM1347" s="1" t="s">
        <v>109</v>
      </c>
      <c r="AN1347" s="1" t="s">
        <v>109</v>
      </c>
      <c r="AO1347" s="1" t="s">
        <v>109</v>
      </c>
      <c r="AP1347" s="1"/>
      <c r="AQ1347" s="1">
        <v>2</v>
      </c>
      <c r="AR1347" s="1"/>
      <c r="AS1347" s="1" t="s">
        <v>10588</v>
      </c>
      <c r="AT1347" s="1">
        <v>0</v>
      </c>
      <c r="AU1347" s="1">
        <v>0</v>
      </c>
      <c r="AV1347" s="1">
        <v>0</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5" t="str">
        <f>HYPERLINK("http://www.d20pfsrd.com/magic/all-spells/r/recoil-fire","Recoil Fire")</f>
        <v>Recoil Fire</v>
      </c>
      <c r="BT1347" s="1">
        <v>1394</v>
      </c>
      <c r="BU1347" s="1" t="s">
        <v>109</v>
      </c>
      <c r="BV1347" s="1"/>
      <c r="BW1347" s="1"/>
      <c r="BX1347" s="1"/>
      <c r="BY1347" s="1"/>
      <c r="BZ1347" s="1">
        <v>0</v>
      </c>
      <c r="CA1347" s="1" t="s">
        <v>109</v>
      </c>
      <c r="CB1347" s="1" t="s">
        <v>109</v>
      </c>
      <c r="CC1347" s="1" t="s">
        <v>109</v>
      </c>
      <c r="CD1347" s="1" t="s">
        <v>109</v>
      </c>
      <c r="CE1347" s="1" t="s">
        <v>109</v>
      </c>
      <c r="CF1347" s="1" t="s">
        <v>109</v>
      </c>
      <c r="CG1347" s="1" t="s">
        <v>109</v>
      </c>
      <c r="CH1347" s="1" t="s">
        <v>109</v>
      </c>
      <c r="CI1347" s="1" t="s">
        <v>109</v>
      </c>
      <c r="CJ1347" s="1" t="s">
        <v>109</v>
      </c>
      <c r="CK1347" s="1"/>
      <c r="CL1347" s="1">
        <v>0</v>
      </c>
      <c r="CM1347" s="1">
        <v>0</v>
      </c>
      <c r="CN1347" s="1">
        <v>0</v>
      </c>
    </row>
    <row r="1348" spans="1:92" ht="14.25" customHeight="1" x14ac:dyDescent="0.15">
      <c r="A1348" s="1" t="s">
        <v>10589</v>
      </c>
      <c r="B1348" s="1" t="s">
        <v>189</v>
      </c>
      <c r="C1348" s="1"/>
      <c r="D1348" s="1"/>
      <c r="E1348" s="1" t="s">
        <v>10590</v>
      </c>
      <c r="F1348" s="1" t="s">
        <v>98</v>
      </c>
      <c r="G1348" s="1" t="s">
        <v>10591</v>
      </c>
      <c r="H1348" s="1">
        <v>0</v>
      </c>
      <c r="I1348" s="1" t="s">
        <v>161</v>
      </c>
      <c r="J1348" s="1"/>
      <c r="K1348" s="1"/>
      <c r="L1348" s="1" t="s">
        <v>10592</v>
      </c>
      <c r="M1348" s="1" t="s">
        <v>5642</v>
      </c>
      <c r="N1348" s="1">
        <v>0</v>
      </c>
      <c r="O1348" s="1">
        <v>0</v>
      </c>
      <c r="P1348" s="1" t="s">
        <v>215</v>
      </c>
      <c r="Q1348" s="1" t="s">
        <v>216</v>
      </c>
      <c r="R1348" s="1" t="s">
        <v>10593</v>
      </c>
      <c r="S1348" s="1" t="s">
        <v>10594</v>
      </c>
      <c r="T1348" s="1" t="s">
        <v>9888</v>
      </c>
      <c r="U1348" s="1" t="s">
        <v>10595</v>
      </c>
      <c r="V1348" s="1">
        <v>1</v>
      </c>
      <c r="W1348" s="1">
        <v>1</v>
      </c>
      <c r="X1348" s="1">
        <v>1</v>
      </c>
      <c r="Y1348" s="1">
        <v>0</v>
      </c>
      <c r="Z1348" s="1">
        <v>1</v>
      </c>
      <c r="AA1348" s="1">
        <v>1</v>
      </c>
      <c r="AB1348" s="1">
        <v>1</v>
      </c>
      <c r="AC1348" s="1">
        <v>1</v>
      </c>
      <c r="AD1348" s="1" t="s">
        <v>109</v>
      </c>
      <c r="AE1348" s="1" t="s">
        <v>109</v>
      </c>
      <c r="AF1348" s="1" t="s">
        <v>109</v>
      </c>
      <c r="AG1348" s="1" t="s">
        <v>109</v>
      </c>
      <c r="AH1348" s="1" t="s">
        <v>109</v>
      </c>
      <c r="AI1348" s="1" t="s">
        <v>109</v>
      </c>
      <c r="AJ1348" s="1">
        <v>1</v>
      </c>
      <c r="AK1348" s="1" t="s">
        <v>109</v>
      </c>
      <c r="AL1348" s="1">
        <v>1</v>
      </c>
      <c r="AM1348" s="1" t="s">
        <v>109</v>
      </c>
      <c r="AN1348" s="1">
        <v>1</v>
      </c>
      <c r="AO1348" s="1" t="s">
        <v>109</v>
      </c>
      <c r="AP1348" s="1"/>
      <c r="AQ1348" s="1">
        <v>1</v>
      </c>
      <c r="AR1348" s="1"/>
      <c r="AS1348" s="1" t="s">
        <v>10596</v>
      </c>
      <c r="AT1348" s="1">
        <v>0</v>
      </c>
      <c r="AU1348" s="1">
        <v>0</v>
      </c>
      <c r="AV1348" s="1">
        <v>0</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5" t="str">
        <f>HYPERLINK("http://www.d20pfsrd.com/magic/all-spells/r/reinforce-armaments","Reinforce Armaments")</f>
        <v>Reinforce Armaments</v>
      </c>
      <c r="BT1348" s="1">
        <v>1395</v>
      </c>
      <c r="BU1348" s="1" t="s">
        <v>109</v>
      </c>
      <c r="BV1348" s="1"/>
      <c r="BW1348" s="1"/>
      <c r="BX1348" s="1"/>
      <c r="BY1348" s="1"/>
      <c r="BZ1348" s="1">
        <v>0</v>
      </c>
      <c r="CA1348" s="1" t="s">
        <v>109</v>
      </c>
      <c r="CB1348" s="1" t="s">
        <v>109</v>
      </c>
      <c r="CC1348" s="1" t="s">
        <v>109</v>
      </c>
      <c r="CD1348" s="1" t="s">
        <v>109</v>
      </c>
      <c r="CE1348" s="1" t="s">
        <v>109</v>
      </c>
      <c r="CF1348" s="1">
        <v>1</v>
      </c>
      <c r="CG1348" s="1" t="s">
        <v>109</v>
      </c>
      <c r="CH1348" s="1" t="s">
        <v>109</v>
      </c>
      <c r="CI1348" s="1" t="s">
        <v>109</v>
      </c>
      <c r="CJ1348" s="1" t="s">
        <v>109</v>
      </c>
      <c r="CK1348" s="1"/>
      <c r="CL1348" s="1">
        <v>0</v>
      </c>
      <c r="CM1348" s="1">
        <v>0</v>
      </c>
      <c r="CN1348" s="1">
        <v>0</v>
      </c>
    </row>
    <row r="1349" spans="1:92" ht="14.25" customHeight="1" x14ac:dyDescent="0.15">
      <c r="A1349" s="1" t="s">
        <v>10597</v>
      </c>
      <c r="B1349" s="1" t="s">
        <v>189</v>
      </c>
      <c r="C1349" s="1"/>
      <c r="D1349" s="1"/>
      <c r="E1349" s="1" t="s">
        <v>10598</v>
      </c>
      <c r="F1349" s="1" t="s">
        <v>98</v>
      </c>
      <c r="G1349" s="1" t="s">
        <v>10591</v>
      </c>
      <c r="H1349" s="1">
        <v>0</v>
      </c>
      <c r="I1349" s="1" t="s">
        <v>161</v>
      </c>
      <c r="J1349" s="1"/>
      <c r="K1349" s="1"/>
      <c r="L1349" s="1" t="s">
        <v>10599</v>
      </c>
      <c r="M1349" s="1" t="s">
        <v>5642</v>
      </c>
      <c r="N1349" s="1">
        <v>0</v>
      </c>
      <c r="O1349" s="1">
        <v>0</v>
      </c>
      <c r="P1349" s="1" t="s">
        <v>215</v>
      </c>
      <c r="Q1349" s="1" t="s">
        <v>216</v>
      </c>
      <c r="R1349" s="1" t="s">
        <v>10600</v>
      </c>
      <c r="S1349" s="1" t="s">
        <v>10601</v>
      </c>
      <c r="T1349" s="1" t="s">
        <v>9888</v>
      </c>
      <c r="U1349" s="1" t="s">
        <v>10602</v>
      </c>
      <c r="V1349" s="1">
        <v>1</v>
      </c>
      <c r="W1349" s="1">
        <v>1</v>
      </c>
      <c r="X1349" s="1">
        <v>1</v>
      </c>
      <c r="Y1349" s="1">
        <v>0</v>
      </c>
      <c r="Z1349" s="1">
        <v>1</v>
      </c>
      <c r="AA1349" s="1">
        <v>2</v>
      </c>
      <c r="AB1349" s="1">
        <v>2</v>
      </c>
      <c r="AC1349" s="1">
        <v>2</v>
      </c>
      <c r="AD1349" s="1" t="s">
        <v>109</v>
      </c>
      <c r="AE1349" s="1" t="s">
        <v>109</v>
      </c>
      <c r="AF1349" s="1" t="s">
        <v>109</v>
      </c>
      <c r="AG1349" s="1" t="s">
        <v>109</v>
      </c>
      <c r="AH1349" s="1" t="s">
        <v>109</v>
      </c>
      <c r="AI1349" s="1" t="s">
        <v>109</v>
      </c>
      <c r="AJ1349" s="1">
        <v>2</v>
      </c>
      <c r="AK1349" s="1" t="s">
        <v>109</v>
      </c>
      <c r="AL1349" s="1">
        <v>2</v>
      </c>
      <c r="AM1349" s="1" t="s">
        <v>109</v>
      </c>
      <c r="AN1349" s="1">
        <v>2</v>
      </c>
      <c r="AO1349" s="1" t="s">
        <v>109</v>
      </c>
      <c r="AP1349" s="1"/>
      <c r="AQ1349" s="1">
        <v>2</v>
      </c>
      <c r="AR1349" s="1"/>
      <c r="AS1349" s="1" t="s">
        <v>10603</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5" t="str">
        <f>HYPERLINK("http://www.d20pfsrd.com/magic/all-spells/r/reinforce-armaments#TOC-Reinforce-Armaments-Communal","Reinforce Armaments, Communal")</f>
        <v>Reinforce Armaments, Communal</v>
      </c>
      <c r="BT1349" s="1">
        <v>1396</v>
      </c>
      <c r="BU1349" s="1" t="s">
        <v>109</v>
      </c>
      <c r="BV1349" s="1"/>
      <c r="BW1349" s="1"/>
      <c r="BX1349" s="1"/>
      <c r="BY1349" s="1"/>
      <c r="BZ1349" s="1">
        <v>0</v>
      </c>
      <c r="CA1349" s="1" t="s">
        <v>109</v>
      </c>
      <c r="CB1349" s="1" t="s">
        <v>109</v>
      </c>
      <c r="CC1349" s="1" t="s">
        <v>109</v>
      </c>
      <c r="CD1349" s="1" t="s">
        <v>109</v>
      </c>
      <c r="CE1349" s="1" t="s">
        <v>109</v>
      </c>
      <c r="CF1349" s="1">
        <v>2</v>
      </c>
      <c r="CG1349" s="1" t="s">
        <v>109</v>
      </c>
      <c r="CH1349" s="1" t="s">
        <v>109</v>
      </c>
      <c r="CI1349" s="1" t="s">
        <v>109</v>
      </c>
      <c r="CJ1349" s="1" t="s">
        <v>109</v>
      </c>
      <c r="CK1349" s="1"/>
      <c r="CL1349" s="1">
        <v>0</v>
      </c>
      <c r="CM1349" s="1">
        <v>0</v>
      </c>
      <c r="CN1349" s="1">
        <v>0</v>
      </c>
    </row>
    <row r="1350" spans="1:92" ht="14.25" customHeight="1" x14ac:dyDescent="0.15">
      <c r="A1350" s="1" t="s">
        <v>10604</v>
      </c>
      <c r="B1350" s="1" t="s">
        <v>95</v>
      </c>
      <c r="C1350" s="1" t="s">
        <v>96</v>
      </c>
      <c r="D1350" s="1"/>
      <c r="E1350" s="1" t="s">
        <v>10605</v>
      </c>
      <c r="F1350" s="1" t="s">
        <v>98</v>
      </c>
      <c r="G1350" s="1" t="s">
        <v>141</v>
      </c>
      <c r="H1350" s="1">
        <v>0</v>
      </c>
      <c r="I1350" s="1" t="s">
        <v>161</v>
      </c>
      <c r="J1350" s="1"/>
      <c r="K1350" s="1"/>
      <c r="L1350" s="1" t="s">
        <v>10606</v>
      </c>
      <c r="M1350" s="1" t="s">
        <v>10607</v>
      </c>
      <c r="N1350" s="1">
        <v>1</v>
      </c>
      <c r="O1350" s="1">
        <v>0</v>
      </c>
      <c r="P1350" s="1" t="s">
        <v>10608</v>
      </c>
      <c r="Q1350" s="1" t="s">
        <v>6589</v>
      </c>
      <c r="R1350" s="1" t="s">
        <v>10609</v>
      </c>
      <c r="S1350" s="1" t="s">
        <v>10610</v>
      </c>
      <c r="T1350" s="1" t="s">
        <v>9888</v>
      </c>
      <c r="U1350" s="1" t="s">
        <v>10611</v>
      </c>
      <c r="V1350" s="1">
        <v>1</v>
      </c>
      <c r="W1350" s="1">
        <v>1</v>
      </c>
      <c r="X1350" s="1">
        <v>0</v>
      </c>
      <c r="Y1350" s="1">
        <v>0</v>
      </c>
      <c r="Z1350" s="1">
        <v>0</v>
      </c>
      <c r="AA1350" s="1">
        <v>2</v>
      </c>
      <c r="AB1350" s="1">
        <v>2</v>
      </c>
      <c r="AC1350" s="1" t="s">
        <v>109</v>
      </c>
      <c r="AD1350" s="1" t="s">
        <v>109</v>
      </c>
      <c r="AE1350" s="1">
        <v>2</v>
      </c>
      <c r="AF1350" s="1" t="s">
        <v>109</v>
      </c>
      <c r="AG1350" s="1" t="s">
        <v>109</v>
      </c>
      <c r="AH1350" s="1" t="s">
        <v>109</v>
      </c>
      <c r="AI1350" s="1" t="s">
        <v>109</v>
      </c>
      <c r="AJ1350" s="1" t="s">
        <v>109</v>
      </c>
      <c r="AK1350" s="1" t="s">
        <v>109</v>
      </c>
      <c r="AL1350" s="1" t="s">
        <v>109</v>
      </c>
      <c r="AM1350" s="1" t="s">
        <v>109</v>
      </c>
      <c r="AN1350" s="1">
        <v>2</v>
      </c>
      <c r="AO1350" s="1" t="s">
        <v>109</v>
      </c>
      <c r="AP1350" s="1"/>
      <c r="AQ1350" s="1">
        <v>2</v>
      </c>
      <c r="AR1350" s="1"/>
      <c r="AS1350" s="1" t="s">
        <v>10612</v>
      </c>
      <c r="AT1350" s="1">
        <v>0</v>
      </c>
      <c r="AU1350" s="1">
        <v>0</v>
      </c>
      <c r="AV1350" s="1">
        <v>0</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5" t="str">
        <f>HYPERLINK("http://www.d20pfsrd.com/magic/all-spells/r/reloading-hands","Reloading Hands")</f>
        <v>Reloading Hands</v>
      </c>
      <c r="BT1350" s="1">
        <v>1397</v>
      </c>
      <c r="BU1350" s="1" t="s">
        <v>109</v>
      </c>
      <c r="BV1350" s="1"/>
      <c r="BW1350" s="1"/>
      <c r="BX1350" s="1"/>
      <c r="BY1350" s="1"/>
      <c r="BZ1350" s="1">
        <v>0</v>
      </c>
      <c r="CA1350" s="1" t="s">
        <v>109</v>
      </c>
      <c r="CB1350" s="1" t="s">
        <v>109</v>
      </c>
      <c r="CC1350" s="1" t="s">
        <v>109</v>
      </c>
      <c r="CD1350" s="1" t="s">
        <v>109</v>
      </c>
      <c r="CE1350" s="1" t="s">
        <v>109</v>
      </c>
      <c r="CF1350" s="1" t="s">
        <v>109</v>
      </c>
      <c r="CG1350" s="1" t="s">
        <v>109</v>
      </c>
      <c r="CH1350" s="1" t="s">
        <v>109</v>
      </c>
      <c r="CI1350" s="1" t="s">
        <v>109</v>
      </c>
      <c r="CJ1350" s="1">
        <v>2</v>
      </c>
      <c r="CK1350" s="1"/>
      <c r="CL1350" s="1">
        <v>0</v>
      </c>
      <c r="CM1350" s="1">
        <v>0</v>
      </c>
      <c r="CN1350" s="1">
        <v>0</v>
      </c>
    </row>
    <row r="1351" spans="1:92" ht="14.25" customHeight="1" x14ac:dyDescent="0.15">
      <c r="A1351" s="1" t="s">
        <v>10613</v>
      </c>
      <c r="B1351" s="1" t="s">
        <v>189</v>
      </c>
      <c r="C1351" s="1"/>
      <c r="D1351" s="1"/>
      <c r="E1351" s="1" t="s">
        <v>10614</v>
      </c>
      <c r="F1351" s="1" t="s">
        <v>98</v>
      </c>
      <c r="G1351" s="1" t="s">
        <v>141</v>
      </c>
      <c r="H1351" s="1">
        <v>0</v>
      </c>
      <c r="I1351" s="1" t="s">
        <v>235</v>
      </c>
      <c r="J1351" s="1"/>
      <c r="K1351" s="1"/>
      <c r="L1351" s="1" t="s">
        <v>236</v>
      </c>
      <c r="M1351" s="1" t="s">
        <v>5642</v>
      </c>
      <c r="N1351" s="1">
        <v>0</v>
      </c>
      <c r="O1351" s="1">
        <v>0</v>
      </c>
      <c r="P1351" s="1" t="s">
        <v>211</v>
      </c>
      <c r="Q1351" s="1" t="s">
        <v>104</v>
      </c>
      <c r="R1351" s="1" t="s">
        <v>10615</v>
      </c>
      <c r="S1351" s="1" t="s">
        <v>10616</v>
      </c>
      <c r="T1351" s="1" t="s">
        <v>9888</v>
      </c>
      <c r="U1351" s="1" t="s">
        <v>10617</v>
      </c>
      <c r="V1351" s="1">
        <v>1</v>
      </c>
      <c r="W1351" s="1">
        <v>1</v>
      </c>
      <c r="X1351" s="1">
        <v>0</v>
      </c>
      <c r="Y1351" s="1">
        <v>0</v>
      </c>
      <c r="Z1351" s="1">
        <v>0</v>
      </c>
      <c r="AA1351" s="1">
        <v>3</v>
      </c>
      <c r="AB1351" s="1">
        <v>3</v>
      </c>
      <c r="AC1351" s="1" t="s">
        <v>109</v>
      </c>
      <c r="AD1351" s="1">
        <v>3</v>
      </c>
      <c r="AE1351" s="1" t="s">
        <v>109</v>
      </c>
      <c r="AF1351" s="1" t="s">
        <v>109</v>
      </c>
      <c r="AG1351" s="1" t="s">
        <v>109</v>
      </c>
      <c r="AH1351" s="1">
        <v>3</v>
      </c>
      <c r="AI1351" s="1" t="s">
        <v>109</v>
      </c>
      <c r="AJ1351" s="1" t="s">
        <v>109</v>
      </c>
      <c r="AK1351" s="1" t="s">
        <v>109</v>
      </c>
      <c r="AL1351" s="1" t="s">
        <v>109</v>
      </c>
      <c r="AM1351" s="1" t="s">
        <v>109</v>
      </c>
      <c r="AN1351" s="1" t="s">
        <v>109</v>
      </c>
      <c r="AO1351" s="1" t="s">
        <v>109</v>
      </c>
      <c r="AP1351" s="1"/>
      <c r="AQ1351" s="1">
        <v>3</v>
      </c>
      <c r="AR1351" s="1"/>
      <c r="AS1351" s="1" t="s">
        <v>10618</v>
      </c>
      <c r="AT1351" s="1">
        <v>0</v>
      </c>
      <c r="AU1351" s="1">
        <v>0</v>
      </c>
      <c r="AV1351" s="1">
        <v>0</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5" t="str">
        <f>HYPERLINK("http://www.d20pfsrd.com/magic/all-spells/r/resinous-skin","Resinous Skin")</f>
        <v>Resinous Skin</v>
      </c>
      <c r="BT1351" s="1">
        <v>1398</v>
      </c>
      <c r="BU1351" s="1" t="s">
        <v>109</v>
      </c>
      <c r="BV1351" s="1"/>
      <c r="BW1351" s="1"/>
      <c r="BX1351" s="1"/>
      <c r="BY1351" s="1"/>
      <c r="BZ1351" s="1">
        <v>0</v>
      </c>
      <c r="CA1351" s="1">
        <v>3</v>
      </c>
      <c r="CB1351" s="1" t="s">
        <v>109</v>
      </c>
      <c r="CC1351" s="1">
        <v>3</v>
      </c>
      <c r="CD1351" s="1" t="s">
        <v>109</v>
      </c>
      <c r="CE1351" s="1" t="s">
        <v>109</v>
      </c>
      <c r="CF1351" s="1" t="s">
        <v>109</v>
      </c>
      <c r="CG1351" s="1" t="s">
        <v>109</v>
      </c>
      <c r="CH1351" s="1" t="s">
        <v>109</v>
      </c>
      <c r="CI1351" s="1" t="s">
        <v>109</v>
      </c>
      <c r="CJ1351" s="1">
        <v>3</v>
      </c>
      <c r="CK1351" s="1"/>
      <c r="CL1351" s="1">
        <v>0</v>
      </c>
      <c r="CM1351" s="1">
        <v>0</v>
      </c>
      <c r="CN1351" s="1">
        <v>0</v>
      </c>
    </row>
    <row r="1352" spans="1:92" ht="14.25" customHeight="1" x14ac:dyDescent="0.15">
      <c r="A1352" s="1" t="s">
        <v>10619</v>
      </c>
      <c r="B1352" s="1" t="s">
        <v>242</v>
      </c>
      <c r="C1352" s="1"/>
      <c r="D1352" s="1"/>
      <c r="E1352" s="1" t="s">
        <v>10620</v>
      </c>
      <c r="F1352" s="1" t="s">
        <v>98</v>
      </c>
      <c r="G1352" s="1" t="s">
        <v>160</v>
      </c>
      <c r="H1352" s="1">
        <v>0</v>
      </c>
      <c r="I1352" s="1" t="s">
        <v>161</v>
      </c>
      <c r="J1352" s="1"/>
      <c r="K1352" s="1"/>
      <c r="L1352" s="1" t="s">
        <v>9929</v>
      </c>
      <c r="M1352" s="1" t="s">
        <v>194</v>
      </c>
      <c r="N1352" s="1">
        <v>0</v>
      </c>
      <c r="O1352" s="1">
        <v>0</v>
      </c>
      <c r="P1352" s="1" t="s">
        <v>1382</v>
      </c>
      <c r="Q1352" s="1" t="s">
        <v>167</v>
      </c>
      <c r="R1352" s="1" t="s">
        <v>10621</v>
      </c>
      <c r="S1352" s="1" t="s">
        <v>10622</v>
      </c>
      <c r="T1352" s="1" t="s">
        <v>9888</v>
      </c>
      <c r="U1352" s="1" t="s">
        <v>10623</v>
      </c>
      <c r="V1352" s="1">
        <v>1</v>
      </c>
      <c r="W1352" s="1">
        <v>1</v>
      </c>
      <c r="X1352" s="1">
        <v>0</v>
      </c>
      <c r="Y1352" s="1">
        <v>0</v>
      </c>
      <c r="Z1352" s="1">
        <v>1</v>
      </c>
      <c r="AA1352" s="1">
        <v>3</v>
      </c>
      <c r="AB1352" s="1">
        <v>3</v>
      </c>
      <c r="AC1352" s="1">
        <v>3</v>
      </c>
      <c r="AD1352" s="1">
        <v>3</v>
      </c>
      <c r="AE1352" s="1">
        <v>3</v>
      </c>
      <c r="AF1352" s="1" t="s">
        <v>109</v>
      </c>
      <c r="AG1352" s="1">
        <v>3</v>
      </c>
      <c r="AH1352" s="1">
        <v>3</v>
      </c>
      <c r="AI1352" s="1">
        <v>3</v>
      </c>
      <c r="AJ1352" s="1" t="s">
        <v>109</v>
      </c>
      <c r="AK1352" s="1">
        <v>3</v>
      </c>
      <c r="AL1352" s="1">
        <v>3</v>
      </c>
      <c r="AM1352" s="1" t="s">
        <v>109</v>
      </c>
      <c r="AN1352" s="1" t="s">
        <v>109</v>
      </c>
      <c r="AO1352" s="1" t="s">
        <v>109</v>
      </c>
      <c r="AP1352" s="1"/>
      <c r="AQ1352" s="1">
        <v>3</v>
      </c>
      <c r="AR1352" s="1"/>
      <c r="AS1352" s="1" t="s">
        <v>10624</v>
      </c>
      <c r="AT1352" s="1">
        <v>0</v>
      </c>
      <c r="AU1352" s="1">
        <v>0</v>
      </c>
      <c r="AV1352" s="1">
        <v>0</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5" t="str">
        <f>HYPERLINK("http://www.d20pfsrd.com/magic/all-spells/r/resist-energy#TOC-Resist-Energy-Communal","Resist Energy, Communal")</f>
        <v>Resist Energy, Communal</v>
      </c>
      <c r="BT1352" s="1">
        <v>1399</v>
      </c>
      <c r="BU1352" s="1" t="s">
        <v>109</v>
      </c>
      <c r="BV1352" s="1"/>
      <c r="BW1352" s="1"/>
      <c r="BX1352" s="1"/>
      <c r="BY1352" s="1"/>
      <c r="BZ1352" s="1">
        <v>0</v>
      </c>
      <c r="CA1352" s="1" t="s">
        <v>109</v>
      </c>
      <c r="CB1352" s="1" t="s">
        <v>109</v>
      </c>
      <c r="CC1352" s="1">
        <v>3</v>
      </c>
      <c r="CD1352" s="1" t="s">
        <v>109</v>
      </c>
      <c r="CE1352" s="1" t="s">
        <v>109</v>
      </c>
      <c r="CF1352" s="1">
        <v>3</v>
      </c>
      <c r="CG1352" s="1" t="s">
        <v>109</v>
      </c>
      <c r="CH1352" s="1" t="s">
        <v>109</v>
      </c>
      <c r="CI1352" s="1" t="s">
        <v>109</v>
      </c>
      <c r="CJ1352" s="1">
        <v>3</v>
      </c>
      <c r="CK1352" s="1"/>
      <c r="CL1352" s="1">
        <v>0</v>
      </c>
      <c r="CM1352" s="1">
        <v>0</v>
      </c>
      <c r="CN1352" s="1">
        <v>0</v>
      </c>
    </row>
    <row r="1353" spans="1:92" ht="14.25" customHeight="1" x14ac:dyDescent="0.15">
      <c r="A1353" s="1" t="s">
        <v>10625</v>
      </c>
      <c r="B1353" s="1" t="s">
        <v>95</v>
      </c>
      <c r="C1353" s="1" t="s">
        <v>1522</v>
      </c>
      <c r="D1353" s="1"/>
      <c r="E1353" s="1" t="s">
        <v>10626</v>
      </c>
      <c r="F1353" s="1" t="s">
        <v>98</v>
      </c>
      <c r="G1353" s="1" t="s">
        <v>141</v>
      </c>
      <c r="H1353" s="1">
        <v>0</v>
      </c>
      <c r="I1353" s="1" t="s">
        <v>142</v>
      </c>
      <c r="J1353" s="1"/>
      <c r="K1353" s="1"/>
      <c r="L1353" s="1" t="s">
        <v>10627</v>
      </c>
      <c r="M1353" s="1" t="s">
        <v>3042</v>
      </c>
      <c r="N1353" s="1">
        <v>0</v>
      </c>
      <c r="O1353" s="1">
        <v>0</v>
      </c>
      <c r="P1353" s="1" t="s">
        <v>215</v>
      </c>
      <c r="Q1353" s="1" t="s">
        <v>216</v>
      </c>
      <c r="R1353" s="1" t="s">
        <v>10628</v>
      </c>
      <c r="S1353" s="1" t="s">
        <v>10629</v>
      </c>
      <c r="T1353" s="1" t="s">
        <v>9888</v>
      </c>
      <c r="U1353" s="1" t="s">
        <v>10630</v>
      </c>
      <c r="V1353" s="1">
        <v>1</v>
      </c>
      <c r="W1353" s="1">
        <v>1</v>
      </c>
      <c r="X1353" s="1">
        <v>0</v>
      </c>
      <c r="Y1353" s="1">
        <v>0</v>
      </c>
      <c r="Z1353" s="1">
        <v>0</v>
      </c>
      <c r="AA1353" s="1">
        <v>2</v>
      </c>
      <c r="AB1353" s="1">
        <v>2</v>
      </c>
      <c r="AC1353" s="1">
        <v>2</v>
      </c>
      <c r="AD1353" s="1" t="s">
        <v>109</v>
      </c>
      <c r="AE1353" s="1">
        <v>1</v>
      </c>
      <c r="AF1353" s="1">
        <v>2</v>
      </c>
      <c r="AG1353" s="1" t="s">
        <v>109</v>
      </c>
      <c r="AH1353" s="1" t="s">
        <v>109</v>
      </c>
      <c r="AI1353" s="1" t="s">
        <v>109</v>
      </c>
      <c r="AJ1353" s="1">
        <v>2</v>
      </c>
      <c r="AK1353" s="1">
        <v>1</v>
      </c>
      <c r="AL1353" s="1">
        <v>2</v>
      </c>
      <c r="AM1353" s="1" t="s">
        <v>109</v>
      </c>
      <c r="AN1353" s="1">
        <v>1</v>
      </c>
      <c r="AO1353" s="1" t="s">
        <v>109</v>
      </c>
      <c r="AP1353" s="1"/>
      <c r="AQ1353" s="1">
        <v>2</v>
      </c>
      <c r="AR1353" s="1"/>
      <c r="AS1353" s="1" t="s">
        <v>10631</v>
      </c>
      <c r="AT1353" s="1">
        <v>0</v>
      </c>
      <c r="AU1353" s="1">
        <v>0</v>
      </c>
      <c r="AV1353" s="1">
        <v>0</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5" t="str">
        <f>HYPERLINK("http://www.d20pfsrd.com/magic/all-spells/r/returning-weapon","Returning Weapon")</f>
        <v>Returning Weapon</v>
      </c>
      <c r="BT1353" s="1">
        <v>1400</v>
      </c>
      <c r="BU1353" s="1" t="s">
        <v>109</v>
      </c>
      <c r="BV1353" s="1"/>
      <c r="BW1353" s="1"/>
      <c r="BX1353" s="1"/>
      <c r="BY1353" s="1"/>
      <c r="BZ1353" s="1">
        <v>0</v>
      </c>
      <c r="CA1353" s="1">
        <v>1</v>
      </c>
      <c r="CB1353" s="1" t="s">
        <v>109</v>
      </c>
      <c r="CC1353" s="1">
        <v>2</v>
      </c>
      <c r="CD1353" s="1" t="s">
        <v>109</v>
      </c>
      <c r="CE1353" s="1" t="s">
        <v>109</v>
      </c>
      <c r="CF1353" s="1">
        <v>1</v>
      </c>
      <c r="CG1353" s="1" t="s">
        <v>109</v>
      </c>
      <c r="CH1353" s="1" t="s">
        <v>109</v>
      </c>
      <c r="CI1353" s="1" t="s">
        <v>109</v>
      </c>
      <c r="CJ1353" s="1">
        <v>1</v>
      </c>
      <c r="CK1353" s="1"/>
      <c r="CL1353" s="1">
        <v>0</v>
      </c>
      <c r="CM1353" s="1">
        <v>0</v>
      </c>
      <c r="CN1353" s="1">
        <v>0</v>
      </c>
    </row>
    <row r="1354" spans="1:92" ht="14.25" customHeight="1" x14ac:dyDescent="0.15">
      <c r="A1354" s="1" t="s">
        <v>10632</v>
      </c>
      <c r="B1354" s="1" t="s">
        <v>95</v>
      </c>
      <c r="C1354" s="1" t="s">
        <v>1522</v>
      </c>
      <c r="D1354" s="1"/>
      <c r="E1354" s="1" t="s">
        <v>10633</v>
      </c>
      <c r="F1354" s="1" t="s">
        <v>98</v>
      </c>
      <c r="G1354" s="1" t="s">
        <v>141</v>
      </c>
      <c r="H1354" s="1">
        <v>0</v>
      </c>
      <c r="I1354" s="1" t="s">
        <v>142</v>
      </c>
      <c r="J1354" s="1"/>
      <c r="K1354" s="1"/>
      <c r="L1354" s="1" t="s">
        <v>10634</v>
      </c>
      <c r="M1354" s="1" t="s">
        <v>3042</v>
      </c>
      <c r="N1354" s="1">
        <v>0</v>
      </c>
      <c r="O1354" s="1">
        <v>0</v>
      </c>
      <c r="P1354" s="1" t="s">
        <v>215</v>
      </c>
      <c r="Q1354" s="1" t="s">
        <v>216</v>
      </c>
      <c r="R1354" s="1" t="s">
        <v>10628</v>
      </c>
      <c r="S1354" s="1" t="s">
        <v>10629</v>
      </c>
      <c r="T1354" s="1" t="s">
        <v>9888</v>
      </c>
      <c r="U1354" s="1" t="s">
        <v>10635</v>
      </c>
      <c r="V1354" s="1">
        <v>1</v>
      </c>
      <c r="W1354" s="1">
        <v>1</v>
      </c>
      <c r="X1354" s="1">
        <v>0</v>
      </c>
      <c r="Y1354" s="1">
        <v>0</v>
      </c>
      <c r="Z1354" s="1">
        <v>0</v>
      </c>
      <c r="AA1354" s="1">
        <v>3</v>
      </c>
      <c r="AB1354" s="1">
        <v>3</v>
      </c>
      <c r="AC1354" s="1">
        <v>3</v>
      </c>
      <c r="AD1354" s="1" t="s">
        <v>109</v>
      </c>
      <c r="AE1354" s="1">
        <v>2</v>
      </c>
      <c r="AF1354" s="1">
        <v>3</v>
      </c>
      <c r="AG1354" s="1" t="s">
        <v>109</v>
      </c>
      <c r="AH1354" s="1" t="s">
        <v>109</v>
      </c>
      <c r="AI1354" s="1" t="s">
        <v>109</v>
      </c>
      <c r="AJ1354" s="1">
        <v>3</v>
      </c>
      <c r="AK1354" s="1">
        <v>2</v>
      </c>
      <c r="AL1354" s="1">
        <v>3</v>
      </c>
      <c r="AM1354" s="1" t="s">
        <v>109</v>
      </c>
      <c r="AN1354" s="1">
        <v>2</v>
      </c>
      <c r="AO1354" s="1" t="s">
        <v>109</v>
      </c>
      <c r="AP1354" s="1"/>
      <c r="AQ1354" s="1">
        <v>3</v>
      </c>
      <c r="AR1354" s="1"/>
      <c r="AS1354" s="1" t="s">
        <v>10636</v>
      </c>
      <c r="AT1354" s="1">
        <v>0</v>
      </c>
      <c r="AU1354" s="1">
        <v>0</v>
      </c>
      <c r="AV1354" s="1">
        <v>0</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5" t="str">
        <f>HYPERLINK("http://www.d20pfsrd.com/magic/all-spells/r/returning-weapon#TOC-Returning-Weapon-Communal","Returning Weapon, Communal")</f>
        <v>Returning Weapon, Communal</v>
      </c>
      <c r="BT1354" s="1">
        <v>1401</v>
      </c>
      <c r="BU1354" s="1" t="s">
        <v>109</v>
      </c>
      <c r="BV1354" s="1"/>
      <c r="BW1354" s="1"/>
      <c r="BX1354" s="1"/>
      <c r="BY1354" s="1"/>
      <c r="BZ1354" s="1">
        <v>0</v>
      </c>
      <c r="CA1354" s="1" t="s">
        <v>109</v>
      </c>
      <c r="CB1354" s="1" t="s">
        <v>109</v>
      </c>
      <c r="CC1354" s="1">
        <v>3</v>
      </c>
      <c r="CD1354" s="1" t="s">
        <v>109</v>
      </c>
      <c r="CE1354" s="1" t="s">
        <v>109</v>
      </c>
      <c r="CF1354" s="1">
        <v>2</v>
      </c>
      <c r="CG1354" s="1" t="s">
        <v>109</v>
      </c>
      <c r="CH1354" s="1" t="s">
        <v>109</v>
      </c>
      <c r="CI1354" s="1" t="s">
        <v>109</v>
      </c>
      <c r="CJ1354" s="1">
        <v>2</v>
      </c>
      <c r="CK1354" s="1"/>
      <c r="CL1354" s="1">
        <v>0</v>
      </c>
      <c r="CM1354" s="1">
        <v>0</v>
      </c>
      <c r="CN1354" s="1">
        <v>0</v>
      </c>
    </row>
    <row r="1355" spans="1:92" ht="14.25" customHeight="1" x14ac:dyDescent="0.15">
      <c r="A1355" s="1" t="s">
        <v>10637</v>
      </c>
      <c r="B1355" s="1" t="s">
        <v>584</v>
      </c>
      <c r="C1355" s="1"/>
      <c r="D1355" s="1"/>
      <c r="E1355" s="1" t="s">
        <v>5883</v>
      </c>
      <c r="F1355" s="1" t="s">
        <v>98</v>
      </c>
      <c r="G1355" s="1" t="s">
        <v>10638</v>
      </c>
      <c r="H1355" s="1">
        <v>0</v>
      </c>
      <c r="I1355" s="1" t="s">
        <v>142</v>
      </c>
      <c r="J1355" s="1"/>
      <c r="K1355" s="1"/>
      <c r="L1355" s="1" t="s">
        <v>10639</v>
      </c>
      <c r="M1355" s="1" t="s">
        <v>6798</v>
      </c>
      <c r="N1355" s="1">
        <v>0</v>
      </c>
      <c r="O1355" s="1">
        <v>0</v>
      </c>
      <c r="P1355" s="1" t="s">
        <v>215</v>
      </c>
      <c r="Q1355" s="1" t="s">
        <v>216</v>
      </c>
      <c r="R1355" s="1" t="s">
        <v>10640</v>
      </c>
      <c r="S1355" s="1" t="s">
        <v>10641</v>
      </c>
      <c r="T1355" s="1" t="s">
        <v>9888</v>
      </c>
      <c r="U1355" s="1" t="s">
        <v>10642</v>
      </c>
      <c r="V1355" s="1">
        <v>1</v>
      </c>
      <c r="W1355" s="1">
        <v>1</v>
      </c>
      <c r="X1355" s="1">
        <v>1</v>
      </c>
      <c r="Y1355" s="1">
        <v>0</v>
      </c>
      <c r="Z1355" s="1">
        <v>0</v>
      </c>
      <c r="AA1355" s="1">
        <v>2</v>
      </c>
      <c r="AB1355" s="1">
        <v>2</v>
      </c>
      <c r="AC1355" s="1" t="s">
        <v>109</v>
      </c>
      <c r="AD1355" s="1" t="s">
        <v>109</v>
      </c>
      <c r="AE1355" s="1">
        <v>2</v>
      </c>
      <c r="AF1355" s="1" t="s">
        <v>109</v>
      </c>
      <c r="AG1355" s="1" t="s">
        <v>109</v>
      </c>
      <c r="AH1355" s="1" t="s">
        <v>109</v>
      </c>
      <c r="AI1355" s="1" t="s">
        <v>109</v>
      </c>
      <c r="AJ1355" s="1" t="s">
        <v>109</v>
      </c>
      <c r="AK1355" s="1" t="s">
        <v>109</v>
      </c>
      <c r="AL1355" s="1" t="s">
        <v>109</v>
      </c>
      <c r="AM1355" s="1" t="s">
        <v>109</v>
      </c>
      <c r="AN1355" s="1" t="s">
        <v>109</v>
      </c>
      <c r="AO1355" s="1" t="s">
        <v>109</v>
      </c>
      <c r="AP1355" s="1"/>
      <c r="AQ1355" s="1">
        <v>2</v>
      </c>
      <c r="AR1355" s="1"/>
      <c r="AS1355" s="1" t="s">
        <v>10643</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5" t="str">
        <f>HYPERLINK("http://www.d20pfsrd.com/magic/all-spells/r/ricochet-shot","Ricochet Shot")</f>
        <v>Ricochet Shot</v>
      </c>
      <c r="BT1355" s="1">
        <v>1402</v>
      </c>
      <c r="BU1355" s="1" t="s">
        <v>109</v>
      </c>
      <c r="BV1355" s="1"/>
      <c r="BW1355" s="1"/>
      <c r="BX1355" s="1" t="s">
        <v>10644</v>
      </c>
      <c r="BY1355" s="1" t="s">
        <v>10645</v>
      </c>
      <c r="BZ1355" s="1">
        <v>1</v>
      </c>
      <c r="CA1355" s="1" t="s">
        <v>109</v>
      </c>
      <c r="CB1355" s="1" t="s">
        <v>109</v>
      </c>
      <c r="CC1355" s="1" t="s">
        <v>109</v>
      </c>
      <c r="CD1355" s="1" t="s">
        <v>109</v>
      </c>
      <c r="CE1355" s="1" t="s">
        <v>109</v>
      </c>
      <c r="CF1355" s="1" t="s">
        <v>109</v>
      </c>
      <c r="CG1355" s="1" t="s">
        <v>109</v>
      </c>
      <c r="CH1355" s="1" t="s">
        <v>109</v>
      </c>
      <c r="CI1355" s="1" t="s">
        <v>109</v>
      </c>
      <c r="CJ1355" s="1">
        <v>2</v>
      </c>
      <c r="CK1355" s="1"/>
      <c r="CL1355" s="1">
        <v>0</v>
      </c>
      <c r="CM1355" s="1">
        <v>0</v>
      </c>
      <c r="CN1355" s="1">
        <v>0</v>
      </c>
    </row>
    <row r="1356" spans="1:92" ht="14.25" customHeight="1" x14ac:dyDescent="0.15">
      <c r="A1356" s="1" t="s">
        <v>10646</v>
      </c>
      <c r="B1356" s="1" t="s">
        <v>254</v>
      </c>
      <c r="C1356" s="1"/>
      <c r="D1356" s="1"/>
      <c r="E1356" s="1" t="s">
        <v>10647</v>
      </c>
      <c r="F1356" s="1" t="s">
        <v>98</v>
      </c>
      <c r="G1356" s="1" t="s">
        <v>10648</v>
      </c>
      <c r="H1356" s="1">
        <v>0</v>
      </c>
      <c r="I1356" s="1" t="s">
        <v>235</v>
      </c>
      <c r="J1356" s="1"/>
      <c r="K1356" s="1"/>
      <c r="L1356" s="1" t="s">
        <v>236</v>
      </c>
      <c r="M1356" s="1" t="s">
        <v>7630</v>
      </c>
      <c r="N1356" s="1">
        <v>0</v>
      </c>
      <c r="O1356" s="1">
        <v>0</v>
      </c>
      <c r="P1356" s="1"/>
      <c r="Q1356" s="1"/>
      <c r="R1356" s="1" t="s">
        <v>10649</v>
      </c>
      <c r="S1356" s="1" t="s">
        <v>10650</v>
      </c>
      <c r="T1356" s="1" t="s">
        <v>9888</v>
      </c>
      <c r="U1356" s="1" t="s">
        <v>10651</v>
      </c>
      <c r="V1356" s="1">
        <v>1</v>
      </c>
      <c r="W1356" s="1">
        <v>1</v>
      </c>
      <c r="X1356" s="1">
        <v>1</v>
      </c>
      <c r="Y1356" s="1">
        <v>0</v>
      </c>
      <c r="Z1356" s="1">
        <v>0</v>
      </c>
      <c r="AA1356" s="1">
        <v>1</v>
      </c>
      <c r="AB1356" s="1">
        <v>1</v>
      </c>
      <c r="AC1356" s="1" t="s">
        <v>109</v>
      </c>
      <c r="AD1356" s="1" t="s">
        <v>109</v>
      </c>
      <c r="AE1356" s="1" t="s">
        <v>109</v>
      </c>
      <c r="AF1356" s="1">
        <v>1</v>
      </c>
      <c r="AG1356" s="1" t="s">
        <v>109</v>
      </c>
      <c r="AH1356" s="1">
        <v>1</v>
      </c>
      <c r="AI1356" s="1" t="s">
        <v>109</v>
      </c>
      <c r="AJ1356" s="1" t="s">
        <v>109</v>
      </c>
      <c r="AK1356" s="1" t="s">
        <v>109</v>
      </c>
      <c r="AL1356" s="1" t="s">
        <v>109</v>
      </c>
      <c r="AM1356" s="1" t="s">
        <v>109</v>
      </c>
      <c r="AN1356" s="1" t="s">
        <v>109</v>
      </c>
      <c r="AO1356" s="1" t="s">
        <v>109</v>
      </c>
      <c r="AP1356" s="1"/>
      <c r="AQ1356" s="1">
        <v>1</v>
      </c>
      <c r="AR1356" s="1"/>
      <c r="AS1356" s="1" t="s">
        <v>10652</v>
      </c>
      <c r="AT1356" s="1">
        <v>0</v>
      </c>
      <c r="AU1356" s="1">
        <v>0</v>
      </c>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5" t="str">
        <f>HYPERLINK("http://www.d20pfsrd.com/magic/all-spells/s/see-alignment","See Alignment")</f>
        <v>See Alignment</v>
      </c>
      <c r="BT1356" s="1">
        <v>1403</v>
      </c>
      <c r="BU1356" s="1" t="s">
        <v>109</v>
      </c>
      <c r="BV1356" s="1"/>
      <c r="BW1356" s="1"/>
      <c r="BX1356" s="1"/>
      <c r="BY1356" s="1"/>
      <c r="BZ1356" s="1">
        <v>0</v>
      </c>
      <c r="CA1356" s="1" t="s">
        <v>109</v>
      </c>
      <c r="CB1356" s="1" t="s">
        <v>109</v>
      </c>
      <c r="CC1356" s="1">
        <v>1</v>
      </c>
      <c r="CD1356" s="1" t="s">
        <v>109</v>
      </c>
      <c r="CE1356" s="1" t="s">
        <v>109</v>
      </c>
      <c r="CF1356" s="1" t="s">
        <v>109</v>
      </c>
      <c r="CG1356" s="1" t="s">
        <v>109</v>
      </c>
      <c r="CH1356" s="1" t="s">
        <v>109</v>
      </c>
      <c r="CI1356" s="1" t="s">
        <v>109</v>
      </c>
      <c r="CJ1356" s="1" t="s">
        <v>109</v>
      </c>
      <c r="CK1356" s="1"/>
      <c r="CL1356" s="1">
        <v>0</v>
      </c>
      <c r="CM1356" s="1">
        <v>0</v>
      </c>
      <c r="CN1356" s="1">
        <v>0</v>
      </c>
    </row>
    <row r="1357" spans="1:92" ht="14.25" customHeight="1" x14ac:dyDescent="0.15">
      <c r="A1357" s="1" t="s">
        <v>10653</v>
      </c>
      <c r="B1357" s="1" t="s">
        <v>95</v>
      </c>
      <c r="C1357" s="1" t="s">
        <v>96</v>
      </c>
      <c r="D1357" s="1"/>
      <c r="E1357" s="1" t="s">
        <v>5835</v>
      </c>
      <c r="F1357" s="1" t="s">
        <v>98</v>
      </c>
      <c r="G1357" s="1" t="s">
        <v>141</v>
      </c>
      <c r="H1357" s="1">
        <v>0</v>
      </c>
      <c r="I1357" s="1" t="s">
        <v>235</v>
      </c>
      <c r="J1357" s="1"/>
      <c r="K1357" s="1"/>
      <c r="L1357" s="1" t="s">
        <v>236</v>
      </c>
      <c r="M1357" s="1" t="s">
        <v>125</v>
      </c>
      <c r="N1357" s="1">
        <v>0</v>
      </c>
      <c r="O1357" s="1">
        <v>0</v>
      </c>
      <c r="P1357" s="1" t="s">
        <v>9973</v>
      </c>
      <c r="Q1357" s="1" t="s">
        <v>9973</v>
      </c>
      <c r="R1357" s="1" t="s">
        <v>10654</v>
      </c>
      <c r="S1357" s="1" t="s">
        <v>10655</v>
      </c>
      <c r="T1357" s="1" t="s">
        <v>9888</v>
      </c>
      <c r="U1357" s="1" t="s">
        <v>10656</v>
      </c>
      <c r="V1357" s="1">
        <v>1</v>
      </c>
      <c r="W1357" s="1">
        <v>1</v>
      </c>
      <c r="X1357" s="1">
        <v>0</v>
      </c>
      <c r="Y1357" s="1">
        <v>0</v>
      </c>
      <c r="Z1357" s="1">
        <v>0</v>
      </c>
      <c r="AA1357" s="1" t="s">
        <v>109</v>
      </c>
      <c r="AB1357" s="1" t="s">
        <v>109</v>
      </c>
      <c r="AC1357" s="1" t="s">
        <v>109</v>
      </c>
      <c r="AD1357" s="1" t="s">
        <v>109</v>
      </c>
      <c r="AE1357" s="1" t="s">
        <v>109</v>
      </c>
      <c r="AF1357" s="1" t="s">
        <v>109</v>
      </c>
      <c r="AG1357" s="1" t="s">
        <v>109</v>
      </c>
      <c r="AH1357" s="1">
        <v>2</v>
      </c>
      <c r="AI1357" s="1" t="s">
        <v>109</v>
      </c>
      <c r="AJ1357" s="1" t="s">
        <v>109</v>
      </c>
      <c r="AK1357" s="1" t="s">
        <v>109</v>
      </c>
      <c r="AL1357" s="1" t="s">
        <v>109</v>
      </c>
      <c r="AM1357" s="1" t="s">
        <v>109</v>
      </c>
      <c r="AN1357" s="1" t="s">
        <v>109</v>
      </c>
      <c r="AO1357" s="1" t="s">
        <v>109</v>
      </c>
      <c r="AP1357" s="1"/>
      <c r="AQ1357" s="1">
        <v>2</v>
      </c>
      <c r="AR1357" s="1"/>
      <c r="AS1357" s="1" t="s">
        <v>10657</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5" t="str">
        <f>HYPERLINK("http://www.d20pfsrd.com/magic/all-spells/s/shadow-bomb-admixture","Shadow Bomb Admixture")</f>
        <v>Shadow Bomb Admixture</v>
      </c>
      <c r="BT1357" s="1">
        <v>1404</v>
      </c>
      <c r="BU1357" s="1" t="s">
        <v>109</v>
      </c>
      <c r="BV1357" s="1"/>
      <c r="BW1357" s="1"/>
      <c r="BX1357" s="1"/>
      <c r="BY1357" s="1"/>
      <c r="BZ1357" s="1">
        <v>0</v>
      </c>
      <c r="CA1357" s="1" t="s">
        <v>109</v>
      </c>
      <c r="CB1357" s="1" t="s">
        <v>109</v>
      </c>
      <c r="CC1357" s="1" t="s">
        <v>109</v>
      </c>
      <c r="CD1357" s="1" t="s">
        <v>109</v>
      </c>
      <c r="CE1357" s="1" t="s">
        <v>109</v>
      </c>
      <c r="CF1357" s="1" t="s">
        <v>109</v>
      </c>
      <c r="CG1357" s="1" t="s">
        <v>109</v>
      </c>
      <c r="CH1357" s="1" t="s">
        <v>109</v>
      </c>
      <c r="CI1357" s="1" t="s">
        <v>109</v>
      </c>
      <c r="CJ1357" s="1" t="s">
        <v>109</v>
      </c>
      <c r="CK1357" s="1"/>
      <c r="CL1357" s="1">
        <v>0</v>
      </c>
      <c r="CM1357" s="1">
        <v>0</v>
      </c>
      <c r="CN1357" s="1">
        <v>0</v>
      </c>
    </row>
    <row r="1358" spans="1:92" ht="14.25" customHeight="1" x14ac:dyDescent="0.15">
      <c r="A1358" s="1" t="s">
        <v>10658</v>
      </c>
      <c r="B1358" s="1" t="s">
        <v>254</v>
      </c>
      <c r="C1358" s="1"/>
      <c r="D1358" s="1"/>
      <c r="E1358" s="1" t="s">
        <v>10659</v>
      </c>
      <c r="F1358" s="1" t="s">
        <v>98</v>
      </c>
      <c r="G1358" s="1" t="s">
        <v>7231</v>
      </c>
      <c r="H1358" s="1">
        <v>0</v>
      </c>
      <c r="I1358" s="1" t="s">
        <v>161</v>
      </c>
      <c r="J1358" s="1"/>
      <c r="K1358" s="1"/>
      <c r="L1358" s="1" t="s">
        <v>9929</v>
      </c>
      <c r="M1358" s="1" t="s">
        <v>465</v>
      </c>
      <c r="N1358" s="1">
        <v>0</v>
      </c>
      <c r="O1358" s="1">
        <v>0</v>
      </c>
      <c r="P1358" s="1" t="s">
        <v>507</v>
      </c>
      <c r="Q1358" s="1" t="s">
        <v>167</v>
      </c>
      <c r="R1358" s="1" t="s">
        <v>10660</v>
      </c>
      <c r="S1358" s="1" t="s">
        <v>10661</v>
      </c>
      <c r="T1358" s="1" t="s">
        <v>9888</v>
      </c>
      <c r="U1358" s="1" t="s">
        <v>10662</v>
      </c>
      <c r="V1358" s="1">
        <v>1</v>
      </c>
      <c r="W1358" s="1">
        <v>1</v>
      </c>
      <c r="X1358" s="1">
        <v>1</v>
      </c>
      <c r="Y1358" s="1">
        <v>0</v>
      </c>
      <c r="Z1358" s="1">
        <v>0</v>
      </c>
      <c r="AA1358" s="1">
        <v>3</v>
      </c>
      <c r="AB1358" s="1">
        <v>3</v>
      </c>
      <c r="AC1358" s="1">
        <v>3</v>
      </c>
      <c r="AD1358" s="1">
        <v>3</v>
      </c>
      <c r="AE1358" s="1" t="s">
        <v>109</v>
      </c>
      <c r="AF1358" s="1">
        <v>2</v>
      </c>
      <c r="AG1358" s="1" t="s">
        <v>109</v>
      </c>
      <c r="AH1358" s="1" t="s">
        <v>109</v>
      </c>
      <c r="AI1358" s="1" t="s">
        <v>109</v>
      </c>
      <c r="AJ1358" s="1" t="s">
        <v>109</v>
      </c>
      <c r="AK1358" s="1" t="s">
        <v>109</v>
      </c>
      <c r="AL1358" s="1">
        <v>3</v>
      </c>
      <c r="AM1358" s="1" t="s">
        <v>109</v>
      </c>
      <c r="AN1358" s="1" t="s">
        <v>109</v>
      </c>
      <c r="AO1358" s="1" t="s">
        <v>109</v>
      </c>
      <c r="AP1358" s="1"/>
      <c r="AQ1358" s="1">
        <v>3</v>
      </c>
      <c r="AR1358" s="1"/>
      <c r="AS1358" s="1" t="s">
        <v>10663</v>
      </c>
      <c r="AT1358" s="1">
        <v>0</v>
      </c>
      <c r="AU1358" s="1">
        <v>0</v>
      </c>
      <c r="AV1358" s="1">
        <v>0</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5" t="str">
        <f>HYPERLINK("http://www.d20pfsrd.com/magic/all-spells/s/share-language#TOC-Share-Language-Communal","Share Language, Communal")</f>
        <v>Share Language, Communal</v>
      </c>
      <c r="BT1358" s="1">
        <v>1405</v>
      </c>
      <c r="BU1358" s="1" t="s">
        <v>109</v>
      </c>
      <c r="BV1358" s="1"/>
      <c r="BW1358" s="1"/>
      <c r="BX1358" s="1"/>
      <c r="BY1358" s="1"/>
      <c r="BZ1358" s="1">
        <v>0</v>
      </c>
      <c r="CA1358" s="1" t="s">
        <v>109</v>
      </c>
      <c r="CB1358" s="1" t="s">
        <v>109</v>
      </c>
      <c r="CC1358" s="1">
        <v>2</v>
      </c>
      <c r="CD1358" s="1" t="s">
        <v>109</v>
      </c>
      <c r="CE1358" s="1">
        <v>2</v>
      </c>
      <c r="CF1358" s="1">
        <v>3</v>
      </c>
      <c r="CG1358" s="1" t="s">
        <v>109</v>
      </c>
      <c r="CH1358" s="1" t="s">
        <v>109</v>
      </c>
      <c r="CI1358" s="1" t="s">
        <v>109</v>
      </c>
      <c r="CJ1358" s="1">
        <v>3</v>
      </c>
      <c r="CK1358" s="1"/>
      <c r="CL1358" s="1">
        <v>0</v>
      </c>
      <c r="CM1358" s="1">
        <v>0</v>
      </c>
      <c r="CN1358" s="1">
        <v>0</v>
      </c>
    </row>
    <row r="1359" spans="1:92" ht="14.25" customHeight="1" x14ac:dyDescent="0.15">
      <c r="A1359" s="1" t="s">
        <v>10664</v>
      </c>
      <c r="B1359" s="1" t="s">
        <v>242</v>
      </c>
      <c r="C1359" s="1"/>
      <c r="D1359" s="1" t="s">
        <v>10665</v>
      </c>
      <c r="E1359" s="1" t="s">
        <v>10666</v>
      </c>
      <c r="F1359" s="1" t="s">
        <v>98</v>
      </c>
      <c r="G1359" s="1" t="s">
        <v>141</v>
      </c>
      <c r="H1359" s="1">
        <v>0</v>
      </c>
      <c r="I1359" s="1" t="s">
        <v>235</v>
      </c>
      <c r="J1359" s="1"/>
      <c r="K1359" s="1"/>
      <c r="L1359" s="1" t="s">
        <v>236</v>
      </c>
      <c r="M1359" s="1" t="s">
        <v>10667</v>
      </c>
      <c r="N1359" s="1">
        <v>1</v>
      </c>
      <c r="O1359" s="1">
        <v>0</v>
      </c>
      <c r="P1359" s="1"/>
      <c r="Q1359" s="1"/>
      <c r="R1359" s="1" t="s">
        <v>10668</v>
      </c>
      <c r="S1359" s="1" t="s">
        <v>10669</v>
      </c>
      <c r="T1359" s="1" t="s">
        <v>9888</v>
      </c>
      <c r="U1359" s="1" t="s">
        <v>10670</v>
      </c>
      <c r="V1359" s="1">
        <v>1</v>
      </c>
      <c r="W1359" s="1">
        <v>1</v>
      </c>
      <c r="X1359" s="1">
        <v>0</v>
      </c>
      <c r="Y1359" s="1">
        <v>0</v>
      </c>
      <c r="Z1359" s="1">
        <v>0</v>
      </c>
      <c r="AA1359" s="1">
        <v>1</v>
      </c>
      <c r="AB1359" s="1">
        <v>1</v>
      </c>
      <c r="AC1359" s="1" t="s">
        <v>109</v>
      </c>
      <c r="AD1359" s="1" t="s">
        <v>109</v>
      </c>
      <c r="AE1359" s="1" t="s">
        <v>109</v>
      </c>
      <c r="AF1359" s="1" t="s">
        <v>109</v>
      </c>
      <c r="AG1359" s="1" t="s">
        <v>109</v>
      </c>
      <c r="AH1359" s="1">
        <v>1</v>
      </c>
      <c r="AI1359" s="1" t="s">
        <v>109</v>
      </c>
      <c r="AJ1359" s="1" t="s">
        <v>109</v>
      </c>
      <c r="AK1359" s="1" t="s">
        <v>109</v>
      </c>
      <c r="AL1359" s="1" t="s">
        <v>109</v>
      </c>
      <c r="AM1359" s="1" t="s">
        <v>109</v>
      </c>
      <c r="AN1359" s="1">
        <v>1</v>
      </c>
      <c r="AO1359" s="1" t="s">
        <v>109</v>
      </c>
      <c r="AP1359" s="1"/>
      <c r="AQ1359" s="1">
        <v>1</v>
      </c>
      <c r="AR1359" s="1"/>
      <c r="AS1359" s="1" t="s">
        <v>10671</v>
      </c>
      <c r="AT1359" s="1">
        <v>0</v>
      </c>
      <c r="AU1359" s="1">
        <v>0</v>
      </c>
      <c r="AV1359" s="1">
        <v>0</v>
      </c>
      <c r="AW1359" s="1">
        <v>0</v>
      </c>
      <c r="AX1359" s="1">
        <v>0</v>
      </c>
      <c r="AY1359" s="1">
        <v>0</v>
      </c>
      <c r="AZ1359" s="1">
        <v>0</v>
      </c>
      <c r="BA1359" s="1">
        <v>0</v>
      </c>
      <c r="BB1359" s="1">
        <v>0</v>
      </c>
      <c r="BC1359" s="1">
        <v>1</v>
      </c>
      <c r="BD1359" s="1">
        <v>0</v>
      </c>
      <c r="BE1359" s="1">
        <v>0</v>
      </c>
      <c r="BF1359" s="1">
        <v>0</v>
      </c>
      <c r="BG1359" s="1">
        <v>0</v>
      </c>
      <c r="BH1359" s="1">
        <v>1</v>
      </c>
      <c r="BI1359" s="1">
        <v>0</v>
      </c>
      <c r="BJ1359" s="1">
        <v>0</v>
      </c>
      <c r="BK1359" s="1">
        <v>0</v>
      </c>
      <c r="BL1359" s="1">
        <v>0</v>
      </c>
      <c r="BM1359" s="1">
        <v>0</v>
      </c>
      <c r="BN1359" s="1">
        <v>0</v>
      </c>
      <c r="BO1359" s="1">
        <v>0</v>
      </c>
      <c r="BP1359" s="1">
        <v>0</v>
      </c>
      <c r="BQ1359" s="1">
        <v>0</v>
      </c>
      <c r="BR1359" s="1">
        <v>0</v>
      </c>
      <c r="BS1359" s="5" t="str">
        <f>HYPERLINK("http://www.d20pfsrd.com/magic/all-spells/s/shock-shield","Shock Shield")</f>
        <v>Shock Shield</v>
      </c>
      <c r="BT1359" s="1">
        <v>1406</v>
      </c>
      <c r="BU1359" s="1" t="s">
        <v>109</v>
      </c>
      <c r="BV1359" s="1"/>
      <c r="BW1359" s="1"/>
      <c r="BX1359" s="1"/>
      <c r="BY1359" s="1"/>
      <c r="BZ1359" s="1">
        <v>0</v>
      </c>
      <c r="CA1359" s="1">
        <v>1</v>
      </c>
      <c r="CB1359" s="1" t="s">
        <v>109</v>
      </c>
      <c r="CC1359" s="1" t="s">
        <v>109</v>
      </c>
      <c r="CD1359" s="1" t="s">
        <v>109</v>
      </c>
      <c r="CE1359" s="1" t="s">
        <v>109</v>
      </c>
      <c r="CF1359" s="1">
        <v>1</v>
      </c>
      <c r="CG1359" s="1" t="s">
        <v>109</v>
      </c>
      <c r="CH1359" s="1" t="s">
        <v>109</v>
      </c>
      <c r="CI1359" s="1" t="s">
        <v>109</v>
      </c>
      <c r="CJ1359" s="1" t="s">
        <v>109</v>
      </c>
      <c r="CK1359" s="1"/>
      <c r="CL1359" s="1">
        <v>0</v>
      </c>
      <c r="CM1359" s="1">
        <v>0</v>
      </c>
      <c r="CN1359" s="1">
        <v>0</v>
      </c>
    </row>
    <row r="1360" spans="1:92" ht="14.25" customHeight="1" x14ac:dyDescent="0.15">
      <c r="A1360" s="1" t="s">
        <v>10672</v>
      </c>
      <c r="B1360" s="1" t="s">
        <v>674</v>
      </c>
      <c r="C1360" s="1" t="s">
        <v>2300</v>
      </c>
      <c r="D1360" s="1" t="s">
        <v>55</v>
      </c>
      <c r="E1360" s="1" t="s">
        <v>10673</v>
      </c>
      <c r="F1360" s="1" t="s">
        <v>98</v>
      </c>
      <c r="G1360" s="1" t="s">
        <v>141</v>
      </c>
      <c r="H1360" s="1">
        <v>0</v>
      </c>
      <c r="I1360" s="1" t="s">
        <v>235</v>
      </c>
      <c r="J1360" s="1"/>
      <c r="K1360" s="1"/>
      <c r="L1360" s="1" t="s">
        <v>236</v>
      </c>
      <c r="M1360" s="1" t="s">
        <v>3042</v>
      </c>
      <c r="N1360" s="1">
        <v>0</v>
      </c>
      <c r="O1360" s="1">
        <v>0</v>
      </c>
      <c r="P1360" s="1" t="s">
        <v>103</v>
      </c>
      <c r="Q1360" s="1" t="s">
        <v>211</v>
      </c>
      <c r="R1360" s="1" t="s">
        <v>10674</v>
      </c>
      <c r="S1360" s="1" t="s">
        <v>10675</v>
      </c>
      <c r="T1360" s="1" t="s">
        <v>9888</v>
      </c>
      <c r="U1360" s="1" t="s">
        <v>10676</v>
      </c>
      <c r="V1360" s="1">
        <v>1</v>
      </c>
      <c r="W1360" s="1">
        <v>1</v>
      </c>
      <c r="X1360" s="1">
        <v>0</v>
      </c>
      <c r="Y1360" s="1">
        <v>0</v>
      </c>
      <c r="Z1360" s="1">
        <v>0</v>
      </c>
      <c r="AA1360" s="1">
        <v>4</v>
      </c>
      <c r="AB1360" s="1">
        <v>4</v>
      </c>
      <c r="AC1360" s="1" t="s">
        <v>109</v>
      </c>
      <c r="AD1360" s="1" t="s">
        <v>109</v>
      </c>
      <c r="AE1360" s="1" t="s">
        <v>109</v>
      </c>
      <c r="AF1360" s="1">
        <v>4</v>
      </c>
      <c r="AG1360" s="1" t="s">
        <v>109</v>
      </c>
      <c r="AH1360" s="1" t="s">
        <v>109</v>
      </c>
      <c r="AI1360" s="1" t="s">
        <v>109</v>
      </c>
      <c r="AJ1360" s="1" t="s">
        <v>109</v>
      </c>
      <c r="AK1360" s="1" t="s">
        <v>109</v>
      </c>
      <c r="AL1360" s="1" t="s">
        <v>109</v>
      </c>
      <c r="AM1360" s="1" t="s">
        <v>109</v>
      </c>
      <c r="AN1360" s="1" t="s">
        <v>109</v>
      </c>
      <c r="AO1360" s="1" t="s">
        <v>109</v>
      </c>
      <c r="AP1360" s="1"/>
      <c r="AQ1360" s="1">
        <v>4</v>
      </c>
      <c r="AR1360" s="1"/>
      <c r="AS1360" s="1" t="s">
        <v>10677</v>
      </c>
      <c r="AT1360" s="1">
        <v>0</v>
      </c>
      <c r="AU1360" s="1">
        <v>0</v>
      </c>
      <c r="AV1360" s="1">
        <v>0</v>
      </c>
      <c r="AW1360" s="1">
        <v>0</v>
      </c>
      <c r="AX1360" s="1">
        <v>0</v>
      </c>
      <c r="AY1360" s="1">
        <v>0</v>
      </c>
      <c r="AZ1360" s="1">
        <v>0</v>
      </c>
      <c r="BA1360" s="1">
        <v>0</v>
      </c>
      <c r="BB1360" s="1">
        <v>0</v>
      </c>
      <c r="BC1360" s="1">
        <v>1</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5" t="str">
        <f>HYPERLINK("http://www.d20pfsrd.com/magic/all-spells/s/shocking-image","Shocking Image")</f>
        <v>Shocking Image</v>
      </c>
      <c r="BT1360" s="1">
        <v>1407</v>
      </c>
      <c r="BU1360" s="1" t="s">
        <v>109</v>
      </c>
      <c r="BV1360" s="1"/>
      <c r="BW1360" s="1"/>
      <c r="BX1360" s="1"/>
      <c r="BY1360" s="1"/>
      <c r="BZ1360" s="1">
        <v>0</v>
      </c>
      <c r="CA1360" s="1">
        <v>4</v>
      </c>
      <c r="CB1360" s="1" t="s">
        <v>109</v>
      </c>
      <c r="CC1360" s="1" t="s">
        <v>109</v>
      </c>
      <c r="CD1360" s="1" t="s">
        <v>109</v>
      </c>
      <c r="CE1360" s="1">
        <v>4</v>
      </c>
      <c r="CF1360" s="1">
        <v>4</v>
      </c>
      <c r="CG1360" s="1" t="s">
        <v>109</v>
      </c>
      <c r="CH1360" s="1" t="s">
        <v>109</v>
      </c>
      <c r="CI1360" s="1" t="s">
        <v>109</v>
      </c>
      <c r="CJ1360" s="1" t="s">
        <v>109</v>
      </c>
      <c r="CK1360" s="1"/>
      <c r="CL1360" s="1">
        <v>0</v>
      </c>
      <c r="CM1360" s="1">
        <v>0</v>
      </c>
      <c r="CN1360" s="1">
        <v>0</v>
      </c>
    </row>
    <row r="1361" spans="1:92" ht="14.25" customHeight="1" x14ac:dyDescent="0.15">
      <c r="A1361" s="1" t="s">
        <v>10678</v>
      </c>
      <c r="B1361" s="1" t="s">
        <v>189</v>
      </c>
      <c r="C1361" s="1"/>
      <c r="D1361" s="1"/>
      <c r="E1361" s="1" t="s">
        <v>812</v>
      </c>
      <c r="F1361" s="1" t="s">
        <v>395</v>
      </c>
      <c r="G1361" s="1" t="s">
        <v>160</v>
      </c>
      <c r="H1361" s="1">
        <v>0</v>
      </c>
      <c r="I1361" s="1" t="s">
        <v>142</v>
      </c>
      <c r="J1361" s="1"/>
      <c r="K1361" s="1"/>
      <c r="L1361" s="1" t="s">
        <v>10679</v>
      </c>
      <c r="M1361" s="1" t="s">
        <v>815</v>
      </c>
      <c r="N1361" s="1">
        <v>1</v>
      </c>
      <c r="O1361" s="1">
        <v>0</v>
      </c>
      <c r="P1361" s="1" t="s">
        <v>103</v>
      </c>
      <c r="Q1361" s="1" t="s">
        <v>104</v>
      </c>
      <c r="R1361" s="1" t="s">
        <v>10680</v>
      </c>
      <c r="S1361" s="1" t="s">
        <v>10681</v>
      </c>
      <c r="T1361" s="1" t="s">
        <v>9888</v>
      </c>
      <c r="U1361" s="1" t="s">
        <v>10682</v>
      </c>
      <c r="V1361" s="1">
        <v>1</v>
      </c>
      <c r="W1361" s="1">
        <v>1</v>
      </c>
      <c r="X1361" s="1">
        <v>0</v>
      </c>
      <c r="Y1361" s="1">
        <v>0</v>
      </c>
      <c r="Z1361" s="1">
        <v>1</v>
      </c>
      <c r="AA1361" s="1" t="s">
        <v>109</v>
      </c>
      <c r="AB1361" s="1" t="s">
        <v>109</v>
      </c>
      <c r="AC1361" s="1" t="s">
        <v>109</v>
      </c>
      <c r="AD1361" s="1">
        <v>7</v>
      </c>
      <c r="AE1361" s="1" t="s">
        <v>109</v>
      </c>
      <c r="AF1361" s="1" t="s">
        <v>109</v>
      </c>
      <c r="AG1361" s="1" t="s">
        <v>109</v>
      </c>
      <c r="AH1361" s="1" t="s">
        <v>109</v>
      </c>
      <c r="AI1361" s="1" t="s">
        <v>109</v>
      </c>
      <c r="AJ1361" s="1" t="s">
        <v>109</v>
      </c>
      <c r="AK1361" s="1" t="s">
        <v>109</v>
      </c>
      <c r="AL1361" s="1" t="s">
        <v>109</v>
      </c>
      <c r="AM1361" s="1" t="s">
        <v>109</v>
      </c>
      <c r="AN1361" s="1" t="s">
        <v>109</v>
      </c>
      <c r="AO1361" s="1" t="s">
        <v>109</v>
      </c>
      <c r="AP1361" s="1"/>
      <c r="AQ1361" s="1">
        <v>7</v>
      </c>
      <c r="AR1361" s="1"/>
      <c r="AS1361" s="1" t="s">
        <v>10683</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5" t="str">
        <f>HYPERLINK("http://www.d20pfsrd.com/magic/all-spells/s/siege-of-trees","Siege of Trees")</f>
        <v>Siege of Trees</v>
      </c>
      <c r="BT1361" s="1">
        <v>1408</v>
      </c>
      <c r="BU1361" s="1" t="s">
        <v>109</v>
      </c>
      <c r="BV1361" s="1"/>
      <c r="BW1361" s="1"/>
      <c r="BX1361" s="1"/>
      <c r="BY1361" s="1"/>
      <c r="BZ1361" s="1">
        <v>0</v>
      </c>
      <c r="CA1361" s="1" t="s">
        <v>109</v>
      </c>
      <c r="CB1361" s="1" t="s">
        <v>109</v>
      </c>
      <c r="CC1361" s="1" t="s">
        <v>109</v>
      </c>
      <c r="CD1361" s="1" t="s">
        <v>109</v>
      </c>
      <c r="CE1361" s="1" t="s">
        <v>109</v>
      </c>
      <c r="CF1361" s="1" t="s">
        <v>109</v>
      </c>
      <c r="CG1361" s="1" t="s">
        <v>109</v>
      </c>
      <c r="CH1361" s="1" t="s">
        <v>109</v>
      </c>
      <c r="CI1361" s="1" t="s">
        <v>109</v>
      </c>
      <c r="CJ1361" s="1" t="s">
        <v>109</v>
      </c>
      <c r="CK1361" s="1"/>
      <c r="CL1361" s="1">
        <v>0</v>
      </c>
      <c r="CM1361" s="1">
        <v>0</v>
      </c>
      <c r="CN1361" s="1">
        <v>0</v>
      </c>
    </row>
    <row r="1362" spans="1:92" ht="14.25" customHeight="1" x14ac:dyDescent="0.15">
      <c r="A1362" s="1" t="s">
        <v>10684</v>
      </c>
      <c r="B1362" s="1" t="s">
        <v>189</v>
      </c>
      <c r="C1362" s="1"/>
      <c r="D1362" s="1"/>
      <c r="E1362" s="1" t="s">
        <v>4876</v>
      </c>
      <c r="F1362" s="1" t="s">
        <v>395</v>
      </c>
      <c r="G1362" s="1" t="s">
        <v>10685</v>
      </c>
      <c r="H1362" s="1">
        <v>0</v>
      </c>
      <c r="I1362" s="1" t="s">
        <v>142</v>
      </c>
      <c r="J1362" s="1"/>
      <c r="K1362" s="1"/>
      <c r="L1362" s="1" t="s">
        <v>10686</v>
      </c>
      <c r="M1362" s="1" t="s">
        <v>815</v>
      </c>
      <c r="N1362" s="1">
        <v>1</v>
      </c>
      <c r="O1362" s="1">
        <v>0</v>
      </c>
      <c r="P1362" s="1" t="s">
        <v>103</v>
      </c>
      <c r="Q1362" s="1" t="s">
        <v>104</v>
      </c>
      <c r="R1362" s="1" t="s">
        <v>10687</v>
      </c>
      <c r="S1362" s="1" t="s">
        <v>10688</v>
      </c>
      <c r="T1362" s="1" t="s">
        <v>9888</v>
      </c>
      <c r="U1362" s="1" t="s">
        <v>10689</v>
      </c>
      <c r="V1362" s="1">
        <v>1</v>
      </c>
      <c r="W1362" s="1">
        <v>1</v>
      </c>
      <c r="X1362" s="1">
        <v>0</v>
      </c>
      <c r="Y1362" s="1">
        <v>0</v>
      </c>
      <c r="Z1362" s="1">
        <v>0</v>
      </c>
      <c r="AA1362" s="1" t="s">
        <v>109</v>
      </c>
      <c r="AB1362" s="1" t="s">
        <v>109</v>
      </c>
      <c r="AC1362" s="1" t="s">
        <v>109</v>
      </c>
      <c r="AD1362" s="1">
        <v>9</v>
      </c>
      <c r="AE1362" s="1" t="s">
        <v>109</v>
      </c>
      <c r="AF1362" s="1" t="s">
        <v>109</v>
      </c>
      <c r="AG1362" s="1" t="s">
        <v>109</v>
      </c>
      <c r="AH1362" s="1" t="s">
        <v>109</v>
      </c>
      <c r="AI1362" s="1" t="s">
        <v>109</v>
      </c>
      <c r="AJ1362" s="1" t="s">
        <v>109</v>
      </c>
      <c r="AK1362" s="1" t="s">
        <v>109</v>
      </c>
      <c r="AL1362" s="1" t="s">
        <v>109</v>
      </c>
      <c r="AM1362" s="1" t="s">
        <v>109</v>
      </c>
      <c r="AN1362" s="1" t="s">
        <v>109</v>
      </c>
      <c r="AO1362" s="1" t="s">
        <v>109</v>
      </c>
      <c r="AP1362" s="1"/>
      <c r="AQ1362" s="1">
        <v>9</v>
      </c>
      <c r="AR1362" s="1"/>
      <c r="AS1362" s="1" t="s">
        <v>10690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5" t="str">
        <f>HYPERLINK("http://www.d20pfsrd.com/magic/all-spells/s/siege-of-trees#TOC-Siege-of-Trees-Greater","Siege of Trees, Greater")</f>
        <v>Siege of Trees, Greater</v>
      </c>
      <c r="BT1362" s="1">
        <v>1409</v>
      </c>
      <c r="BU1362" s="1" t="s">
        <v>109</v>
      </c>
      <c r="BV1362" s="1"/>
      <c r="BW1362" s="1"/>
      <c r="BX1362" s="1"/>
      <c r="BY1362" s="1"/>
      <c r="BZ1362" s="1">
        <v>0</v>
      </c>
      <c r="CA1362" s="1" t="s">
        <v>109</v>
      </c>
      <c r="CB1362" s="1" t="s">
        <v>109</v>
      </c>
      <c r="CC1362" s="1" t="s">
        <v>109</v>
      </c>
      <c r="CD1362" s="1" t="s">
        <v>109</v>
      </c>
      <c r="CE1362" s="1" t="s">
        <v>109</v>
      </c>
      <c r="CF1362" s="1" t="s">
        <v>109</v>
      </c>
      <c r="CG1362" s="1" t="s">
        <v>109</v>
      </c>
      <c r="CH1362" s="1" t="s">
        <v>109</v>
      </c>
      <c r="CI1362" s="1" t="s">
        <v>109</v>
      </c>
      <c r="CJ1362" s="1" t="s">
        <v>109</v>
      </c>
      <c r="CK1362" s="1"/>
      <c r="CL1362" s="1">
        <v>0</v>
      </c>
      <c r="CM1362" s="1">
        <v>0</v>
      </c>
      <c r="CN1362" s="1">
        <v>0</v>
      </c>
    </row>
    <row r="1363" spans="1:92" ht="14.25" customHeight="1" x14ac:dyDescent="0.15">
      <c r="A1363" s="1" t="s">
        <v>10691</v>
      </c>
      <c r="B1363" s="1" t="s">
        <v>242</v>
      </c>
      <c r="C1363" s="1"/>
      <c r="D1363" s="1"/>
      <c r="E1363" s="1" t="s">
        <v>10692</v>
      </c>
      <c r="F1363" s="1" t="s">
        <v>98</v>
      </c>
      <c r="G1363" s="1" t="s">
        <v>160</v>
      </c>
      <c r="H1363" s="1">
        <v>0</v>
      </c>
      <c r="I1363" s="1" t="s">
        <v>161</v>
      </c>
      <c r="J1363" s="1"/>
      <c r="K1363" s="1"/>
      <c r="L1363" s="1" t="s">
        <v>9929</v>
      </c>
      <c r="M1363" s="1" t="s">
        <v>194</v>
      </c>
      <c r="N1363" s="1">
        <v>0</v>
      </c>
      <c r="O1363" s="1">
        <v>0</v>
      </c>
      <c r="P1363" s="1" t="s">
        <v>507</v>
      </c>
      <c r="Q1363" s="1" t="s">
        <v>167</v>
      </c>
      <c r="R1363" s="1" t="s">
        <v>10693</v>
      </c>
      <c r="S1363" s="1" t="s">
        <v>10694</v>
      </c>
      <c r="T1363" s="1" t="s">
        <v>9888</v>
      </c>
      <c r="U1363" s="1" t="s">
        <v>10695</v>
      </c>
      <c r="V1363" s="1">
        <v>1</v>
      </c>
      <c r="W1363" s="1">
        <v>1</v>
      </c>
      <c r="X1363" s="1">
        <v>0</v>
      </c>
      <c r="Y1363" s="1">
        <v>0</v>
      </c>
      <c r="Z1363" s="1">
        <v>1</v>
      </c>
      <c r="AA1363" s="1" t="s">
        <v>109</v>
      </c>
      <c r="AB1363" s="1" t="s">
        <v>109</v>
      </c>
      <c r="AC1363" s="1">
        <v>5</v>
      </c>
      <c r="AD1363" s="1" t="s">
        <v>109</v>
      </c>
      <c r="AE1363" s="1" t="s">
        <v>109</v>
      </c>
      <c r="AF1363" s="1" t="s">
        <v>109</v>
      </c>
      <c r="AG1363" s="1" t="s">
        <v>109</v>
      </c>
      <c r="AH1363" s="1" t="s">
        <v>109</v>
      </c>
      <c r="AI1363" s="1" t="s">
        <v>109</v>
      </c>
      <c r="AJ1363" s="1" t="s">
        <v>109</v>
      </c>
      <c r="AK1363" s="1">
        <v>5</v>
      </c>
      <c r="AL1363" s="1">
        <v>5</v>
      </c>
      <c r="AM1363" s="1" t="s">
        <v>109</v>
      </c>
      <c r="AN1363" s="1" t="s">
        <v>109</v>
      </c>
      <c r="AO1363" s="1" t="s">
        <v>109</v>
      </c>
      <c r="AP1363" s="1"/>
      <c r="AQ1363" s="1">
        <v>5</v>
      </c>
      <c r="AR1363" s="1"/>
      <c r="AS1363" s="1" t="s">
        <v>10696</v>
      </c>
      <c r="AT1363" s="1">
        <v>0</v>
      </c>
      <c r="AU1363" s="1">
        <v>0</v>
      </c>
      <c r="AV1363" s="1">
        <v>0</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5" t="str">
        <f>HYPERLINK("http://www.d20pfsrd.com/magic/all-spells/s/spell-immunity#TOC-Spell-Immunity-Communal","Spell Immunity, Communal")</f>
        <v>Spell Immunity, Communal</v>
      </c>
      <c r="BT1363" s="1">
        <v>1410</v>
      </c>
      <c r="BU1363" s="1" t="s">
        <v>109</v>
      </c>
      <c r="BV1363" s="1"/>
      <c r="BW1363" s="1"/>
      <c r="BX1363" s="1"/>
      <c r="BY1363" s="1"/>
      <c r="BZ1363" s="1">
        <v>0</v>
      </c>
      <c r="CA1363" s="1" t="s">
        <v>109</v>
      </c>
      <c r="CB1363" s="1" t="s">
        <v>109</v>
      </c>
      <c r="CC1363" s="1">
        <v>5</v>
      </c>
      <c r="CD1363" s="1" t="s">
        <v>109</v>
      </c>
      <c r="CE1363" s="1" t="s">
        <v>109</v>
      </c>
      <c r="CF1363" s="1">
        <v>5</v>
      </c>
      <c r="CG1363" s="1" t="s">
        <v>109</v>
      </c>
      <c r="CH1363" s="1" t="s">
        <v>109</v>
      </c>
      <c r="CI1363" s="1" t="s">
        <v>109</v>
      </c>
      <c r="CJ1363" s="1" t="s">
        <v>109</v>
      </c>
      <c r="CK1363" s="1"/>
      <c r="CL1363" s="1">
        <v>0</v>
      </c>
      <c r="CM1363" s="1">
        <v>0</v>
      </c>
      <c r="CN1363" s="1">
        <v>0</v>
      </c>
    </row>
    <row r="1364" spans="1:92" ht="14.25" customHeight="1" x14ac:dyDescent="0.15">
      <c r="A1364" s="1" t="s">
        <v>10697</v>
      </c>
      <c r="B1364" s="1" t="s">
        <v>242</v>
      </c>
      <c r="C1364" s="1"/>
      <c r="D1364" s="1"/>
      <c r="E1364" s="1" t="s">
        <v>2746</v>
      </c>
      <c r="F1364" s="1" t="s">
        <v>98</v>
      </c>
      <c r="G1364" s="1" t="s">
        <v>160</v>
      </c>
      <c r="H1364" s="1">
        <v>0</v>
      </c>
      <c r="I1364" s="1" t="s">
        <v>161</v>
      </c>
      <c r="J1364" s="1"/>
      <c r="K1364" s="1"/>
      <c r="L1364" s="1" t="s">
        <v>9929</v>
      </c>
      <c r="M1364" s="1" t="s">
        <v>194</v>
      </c>
      <c r="N1364" s="1">
        <v>0</v>
      </c>
      <c r="O1364" s="1">
        <v>0</v>
      </c>
      <c r="P1364" s="1" t="s">
        <v>507</v>
      </c>
      <c r="Q1364" s="1" t="s">
        <v>167</v>
      </c>
      <c r="R1364" s="1" t="s">
        <v>10698</v>
      </c>
      <c r="S1364" s="1" t="s">
        <v>10699</v>
      </c>
      <c r="T1364" s="1" t="s">
        <v>9888</v>
      </c>
      <c r="U1364" s="1" t="s">
        <v>10700</v>
      </c>
      <c r="V1364" s="1">
        <v>1</v>
      </c>
      <c r="W1364" s="1">
        <v>1</v>
      </c>
      <c r="X1364" s="1">
        <v>0</v>
      </c>
      <c r="Y1364" s="1">
        <v>0</v>
      </c>
      <c r="Z1364" s="1">
        <v>1</v>
      </c>
      <c r="AA1364" s="1" t="s">
        <v>109</v>
      </c>
      <c r="AB1364" s="1" t="s">
        <v>109</v>
      </c>
      <c r="AC1364" s="1">
        <v>9</v>
      </c>
      <c r="AD1364" s="1" t="s">
        <v>109</v>
      </c>
      <c r="AE1364" s="1" t="s">
        <v>109</v>
      </c>
      <c r="AF1364" s="1" t="s">
        <v>109</v>
      </c>
      <c r="AG1364" s="1" t="s">
        <v>109</v>
      </c>
      <c r="AH1364" s="1" t="s">
        <v>109</v>
      </c>
      <c r="AI1364" s="1" t="s">
        <v>109</v>
      </c>
      <c r="AJ1364" s="1" t="s">
        <v>109</v>
      </c>
      <c r="AK1364" s="1" t="s">
        <v>109</v>
      </c>
      <c r="AL1364" s="1">
        <v>9</v>
      </c>
      <c r="AM1364" s="1" t="s">
        <v>109</v>
      </c>
      <c r="AN1364" s="1" t="s">
        <v>109</v>
      </c>
      <c r="AO1364" s="1" t="s">
        <v>109</v>
      </c>
      <c r="AP1364" s="1"/>
      <c r="AQ1364" s="1">
        <v>9</v>
      </c>
      <c r="AR1364" s="1"/>
      <c r="AS1364" s="1" t="s">
        <v>10701</v>
      </c>
      <c r="AT1364" s="1">
        <v>0</v>
      </c>
      <c r="AU1364" s="1">
        <v>0</v>
      </c>
      <c r="AV1364" s="1">
        <v>0</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5" t="str">
        <f>HYPERLINK("http://www.d20pfsrd.com/magic/all-spells/s/spell-immunity#TOC-Spell-Immunity-Greater-Communal","Spell Immunity, Greater Communal")</f>
        <v>Spell Immunity, Greater Communal</v>
      </c>
      <c r="BT1364" s="1">
        <v>1411</v>
      </c>
      <c r="BU1364" s="1" t="s">
        <v>109</v>
      </c>
      <c r="BV1364" s="1"/>
      <c r="BW1364" s="1"/>
      <c r="BX1364" s="1"/>
      <c r="BY1364" s="1"/>
      <c r="BZ1364" s="1">
        <v>0</v>
      </c>
      <c r="CA1364" s="1" t="s">
        <v>109</v>
      </c>
      <c r="CB1364" s="1" t="s">
        <v>109</v>
      </c>
      <c r="CC1364" s="1">
        <v>9</v>
      </c>
      <c r="CD1364" s="1" t="s">
        <v>109</v>
      </c>
      <c r="CE1364" s="1" t="s">
        <v>109</v>
      </c>
      <c r="CF1364" s="1" t="s">
        <v>109</v>
      </c>
      <c r="CG1364" s="1" t="s">
        <v>109</v>
      </c>
      <c r="CH1364" s="1" t="s">
        <v>109</v>
      </c>
      <c r="CI1364" s="1" t="s">
        <v>109</v>
      </c>
      <c r="CJ1364" s="1" t="s">
        <v>109</v>
      </c>
      <c r="CK1364" s="1"/>
      <c r="CL1364" s="1">
        <v>0</v>
      </c>
      <c r="CM1364" s="1">
        <v>0</v>
      </c>
      <c r="CN1364" s="1">
        <v>0</v>
      </c>
    </row>
    <row r="1365" spans="1:92" ht="14.25" customHeight="1" x14ac:dyDescent="0.15">
      <c r="A1365" s="1" t="s">
        <v>10702</v>
      </c>
      <c r="B1365" s="1" t="s">
        <v>189</v>
      </c>
      <c r="C1365" s="1"/>
      <c r="D1365" s="1"/>
      <c r="E1365" s="1" t="s">
        <v>10703</v>
      </c>
      <c r="F1365" s="1" t="s">
        <v>98</v>
      </c>
      <c r="G1365" s="1" t="s">
        <v>4639</v>
      </c>
      <c r="H1365" s="1">
        <v>0</v>
      </c>
      <c r="I1365" s="1" t="s">
        <v>161</v>
      </c>
      <c r="J1365" s="1"/>
      <c r="K1365" s="1"/>
      <c r="L1365" s="1" t="s">
        <v>9929</v>
      </c>
      <c r="M1365" s="1" t="s">
        <v>194</v>
      </c>
      <c r="N1365" s="1">
        <v>0</v>
      </c>
      <c r="O1365" s="1">
        <v>0</v>
      </c>
      <c r="P1365" s="1" t="s">
        <v>507</v>
      </c>
      <c r="Q1365" s="1" t="s">
        <v>167</v>
      </c>
      <c r="R1365" s="1" t="s">
        <v>10704</v>
      </c>
      <c r="S1365" s="1" t="s">
        <v>10705</v>
      </c>
      <c r="T1365" s="1" t="s">
        <v>9888</v>
      </c>
      <c r="U1365" s="1" t="s">
        <v>10706</v>
      </c>
      <c r="V1365" s="1">
        <v>1</v>
      </c>
      <c r="W1365" s="1">
        <v>1</v>
      </c>
      <c r="X1365" s="1">
        <v>1</v>
      </c>
      <c r="Y1365" s="1">
        <v>0</v>
      </c>
      <c r="Z1365" s="1">
        <v>0</v>
      </c>
      <c r="AA1365" s="1">
        <v>3</v>
      </c>
      <c r="AB1365" s="1">
        <v>3</v>
      </c>
      <c r="AC1365" s="1" t="s">
        <v>109</v>
      </c>
      <c r="AD1365" s="1">
        <v>3</v>
      </c>
      <c r="AE1365" s="1" t="s">
        <v>109</v>
      </c>
      <c r="AF1365" s="1" t="s">
        <v>109</v>
      </c>
      <c r="AG1365" s="1" t="s">
        <v>109</v>
      </c>
      <c r="AH1365" s="1">
        <v>3</v>
      </c>
      <c r="AI1365" s="1">
        <v>3</v>
      </c>
      <c r="AJ1365" s="1" t="s">
        <v>109</v>
      </c>
      <c r="AK1365" s="1" t="s">
        <v>109</v>
      </c>
      <c r="AL1365" s="1" t="s">
        <v>109</v>
      </c>
      <c r="AM1365" s="1" t="s">
        <v>109</v>
      </c>
      <c r="AN1365" s="1" t="s">
        <v>109</v>
      </c>
      <c r="AO1365" s="1" t="s">
        <v>109</v>
      </c>
      <c r="AP1365" s="1"/>
      <c r="AQ1365" s="1">
        <v>3</v>
      </c>
      <c r="AR1365" s="1"/>
      <c r="AS1365" s="1" t="s">
        <v>10707</v>
      </c>
      <c r="AT1365" s="1">
        <v>0</v>
      </c>
      <c r="AU1365" s="1">
        <v>0</v>
      </c>
      <c r="AV1365" s="1">
        <v>0</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5" t="str">
        <f>HYPERLINK("http://www.d20pfsrd.com/magic/all-spells/s/spider-climb#TOC-Spider-Climb-Communal","Spider Climb, Communal")</f>
        <v>Spider Climb, Communal</v>
      </c>
      <c r="BT1365" s="1">
        <v>1412</v>
      </c>
      <c r="BU1365" s="1" t="s">
        <v>109</v>
      </c>
      <c r="BV1365" s="1"/>
      <c r="BW1365" s="1"/>
      <c r="BX1365" s="1"/>
      <c r="BY1365" s="1"/>
      <c r="BZ1365" s="1">
        <v>0</v>
      </c>
      <c r="CA1365" s="1" t="s">
        <v>109</v>
      </c>
      <c r="CB1365" s="1" t="s">
        <v>109</v>
      </c>
      <c r="CC1365" s="1">
        <v>3</v>
      </c>
      <c r="CD1365" s="1" t="s">
        <v>109</v>
      </c>
      <c r="CE1365" s="1" t="s">
        <v>109</v>
      </c>
      <c r="CF1365" s="1">
        <v>3</v>
      </c>
      <c r="CG1365" s="1" t="s">
        <v>109</v>
      </c>
      <c r="CH1365" s="1" t="s">
        <v>109</v>
      </c>
      <c r="CI1365" s="1" t="s">
        <v>109</v>
      </c>
      <c r="CJ1365" s="1">
        <v>3</v>
      </c>
      <c r="CK1365" s="1"/>
      <c r="CL1365" s="1">
        <v>0</v>
      </c>
      <c r="CM1365" s="1">
        <v>0</v>
      </c>
      <c r="CN1365" s="1">
        <v>0</v>
      </c>
    </row>
    <row r="1366" spans="1:92" ht="14.25" customHeight="1" x14ac:dyDescent="0.15">
      <c r="A1366" s="1" t="s">
        <v>10708</v>
      </c>
      <c r="B1366" s="1" t="s">
        <v>584</v>
      </c>
      <c r="C1366" s="1"/>
      <c r="D1366" s="1" t="s">
        <v>59</v>
      </c>
      <c r="E1366" s="1" t="s">
        <v>8969</v>
      </c>
      <c r="F1366" s="1" t="s">
        <v>98</v>
      </c>
      <c r="G1366" s="1" t="s">
        <v>10709</v>
      </c>
      <c r="H1366" s="1">
        <v>0</v>
      </c>
      <c r="I1366" s="1" t="s">
        <v>122</v>
      </c>
      <c r="J1366" s="1"/>
      <c r="K1366" s="1"/>
      <c r="L1366" s="1" t="s">
        <v>1391</v>
      </c>
      <c r="M1366" s="1" t="s">
        <v>144</v>
      </c>
      <c r="N1366" s="1">
        <v>0</v>
      </c>
      <c r="O1366" s="1">
        <v>0</v>
      </c>
      <c r="P1366" s="1" t="s">
        <v>10710</v>
      </c>
      <c r="Q1366" s="1" t="s">
        <v>268</v>
      </c>
      <c r="R1366" s="1" t="s">
        <v>10711</v>
      </c>
      <c r="S1366" s="1" t="s">
        <v>10712</v>
      </c>
      <c r="T1366" s="1" t="s">
        <v>9888</v>
      </c>
      <c r="U1366" s="1" t="s">
        <v>10713</v>
      </c>
      <c r="V1366" s="1">
        <v>1</v>
      </c>
      <c r="W1366" s="1">
        <v>1</v>
      </c>
      <c r="X1366" s="1">
        <v>1</v>
      </c>
      <c r="Y1366" s="1">
        <v>0</v>
      </c>
      <c r="Z1366" s="1">
        <v>0</v>
      </c>
      <c r="AA1366" s="1">
        <v>2</v>
      </c>
      <c r="AB1366" s="1">
        <v>2</v>
      </c>
      <c r="AC1366" s="1" t="s">
        <v>109</v>
      </c>
      <c r="AD1366" s="1" t="s">
        <v>109</v>
      </c>
      <c r="AE1366" s="1" t="s">
        <v>109</v>
      </c>
      <c r="AF1366" s="1" t="s">
        <v>109</v>
      </c>
      <c r="AG1366" s="1" t="s">
        <v>109</v>
      </c>
      <c r="AH1366" s="1" t="s">
        <v>109</v>
      </c>
      <c r="AI1366" s="1" t="s">
        <v>109</v>
      </c>
      <c r="AJ1366" s="1" t="s">
        <v>109</v>
      </c>
      <c r="AK1366" s="1" t="s">
        <v>109</v>
      </c>
      <c r="AL1366" s="1" t="s">
        <v>109</v>
      </c>
      <c r="AM1366" s="1" t="s">
        <v>109</v>
      </c>
      <c r="AN1366" s="1" t="s">
        <v>109</v>
      </c>
      <c r="AO1366" s="1" t="s">
        <v>109</v>
      </c>
      <c r="AP1366" s="1"/>
      <c r="AQ1366" s="1">
        <v>2</v>
      </c>
      <c r="AR1366" s="1"/>
      <c r="AS1366" s="1" t="s">
        <v>10714</v>
      </c>
      <c r="AT1366" s="1">
        <v>0</v>
      </c>
      <c r="AU1366" s="1">
        <v>0</v>
      </c>
      <c r="AV1366" s="1">
        <v>0</v>
      </c>
      <c r="AW1366" s="1">
        <v>0</v>
      </c>
      <c r="AX1366" s="1">
        <v>0</v>
      </c>
      <c r="AY1366" s="1">
        <v>0</v>
      </c>
      <c r="AZ1366" s="1">
        <v>0</v>
      </c>
      <c r="BA1366" s="1">
        <v>0</v>
      </c>
      <c r="BB1366" s="1">
        <v>0</v>
      </c>
      <c r="BC1366" s="1">
        <v>0</v>
      </c>
      <c r="BD1366" s="1">
        <v>0</v>
      </c>
      <c r="BE1366" s="1">
        <v>0</v>
      </c>
      <c r="BF1366" s="1">
        <v>0</v>
      </c>
      <c r="BG1366" s="1">
        <v>1</v>
      </c>
      <c r="BH1366" s="1">
        <v>0</v>
      </c>
      <c r="BI1366" s="1">
        <v>0</v>
      </c>
      <c r="BJ1366" s="1">
        <v>0</v>
      </c>
      <c r="BK1366" s="1">
        <v>0</v>
      </c>
      <c r="BL1366" s="1">
        <v>0</v>
      </c>
      <c r="BM1366" s="1">
        <v>0</v>
      </c>
      <c r="BN1366" s="1">
        <v>0</v>
      </c>
      <c r="BO1366" s="1">
        <v>0</v>
      </c>
      <c r="BP1366" s="1">
        <v>0</v>
      </c>
      <c r="BQ1366" s="1">
        <v>0</v>
      </c>
      <c r="BR1366" s="1">
        <v>0</v>
      </c>
      <c r="BS1366" s="5" t="str">
        <f>HYPERLINK("http://www.d20pfsrd.com/magic/all-spells/s/spontaneous-immolation","Spontaneous Immolation")</f>
        <v>Spontaneous Immolation</v>
      </c>
      <c r="BT1366" s="1">
        <v>1413</v>
      </c>
      <c r="BU1366" s="1" t="s">
        <v>109</v>
      </c>
      <c r="BV1366" s="1"/>
      <c r="BW1366" s="1"/>
      <c r="BX1366" s="1"/>
      <c r="BY1366" s="1"/>
      <c r="BZ1366" s="1">
        <v>0</v>
      </c>
      <c r="CA1366" s="1" t="s">
        <v>109</v>
      </c>
      <c r="CB1366" s="1" t="s">
        <v>109</v>
      </c>
      <c r="CC1366" s="1">
        <v>2</v>
      </c>
      <c r="CD1366" s="1" t="s">
        <v>109</v>
      </c>
      <c r="CE1366" s="1" t="s">
        <v>109</v>
      </c>
      <c r="CF1366" s="1" t="s">
        <v>109</v>
      </c>
      <c r="CG1366" s="1" t="s">
        <v>109</v>
      </c>
      <c r="CH1366" s="1" t="s">
        <v>109</v>
      </c>
      <c r="CI1366" s="1" t="s">
        <v>109</v>
      </c>
      <c r="CJ1366" s="1" t="s">
        <v>109</v>
      </c>
      <c r="CK1366" s="1"/>
      <c r="CL1366" s="1">
        <v>0</v>
      </c>
      <c r="CM1366" s="1">
        <v>0</v>
      </c>
      <c r="CN1366" s="1">
        <v>0</v>
      </c>
    </row>
    <row r="1367" spans="1:92" ht="14.25" customHeight="1" x14ac:dyDescent="0.15">
      <c r="A1367" s="1" t="s">
        <v>10715</v>
      </c>
      <c r="B1367" s="1" t="s">
        <v>189</v>
      </c>
      <c r="C1367" s="1"/>
      <c r="D1367" s="1"/>
      <c r="E1367" s="1" t="s">
        <v>9564</v>
      </c>
      <c r="F1367" s="1" t="s">
        <v>98</v>
      </c>
      <c r="G1367" s="1" t="s">
        <v>10089</v>
      </c>
      <c r="H1367" s="1">
        <v>0</v>
      </c>
      <c r="I1367" s="1" t="s">
        <v>142</v>
      </c>
      <c r="J1367" s="1"/>
      <c r="K1367" s="1"/>
      <c r="L1367" s="1" t="s">
        <v>10043</v>
      </c>
      <c r="M1367" s="1" t="s">
        <v>144</v>
      </c>
      <c r="N1367" s="1">
        <v>0</v>
      </c>
      <c r="O1367" s="1">
        <v>0</v>
      </c>
      <c r="P1367" s="1" t="s">
        <v>215</v>
      </c>
      <c r="Q1367" s="1" t="s">
        <v>216</v>
      </c>
      <c r="R1367" s="1" t="s">
        <v>10716</v>
      </c>
      <c r="S1367" s="1" t="s">
        <v>10717</v>
      </c>
      <c r="T1367" s="1" t="s">
        <v>9888</v>
      </c>
      <c r="U1367" s="1" t="s">
        <v>10718</v>
      </c>
      <c r="V1367" s="1">
        <v>1</v>
      </c>
      <c r="W1367" s="1">
        <v>1</v>
      </c>
      <c r="X1367" s="1">
        <v>1</v>
      </c>
      <c r="Y1367" s="1">
        <v>0</v>
      </c>
      <c r="Z1367" s="1">
        <v>0</v>
      </c>
      <c r="AA1367" s="1">
        <v>2</v>
      </c>
      <c r="AB1367" s="1">
        <v>2</v>
      </c>
      <c r="AC1367" s="1" t="s">
        <v>109</v>
      </c>
      <c r="AD1367" s="1" t="s">
        <v>109</v>
      </c>
      <c r="AE1367" s="1" t="s">
        <v>109</v>
      </c>
      <c r="AF1367" s="1" t="s">
        <v>109</v>
      </c>
      <c r="AG1367" s="1" t="s">
        <v>109</v>
      </c>
      <c r="AH1367" s="1" t="s">
        <v>109</v>
      </c>
      <c r="AI1367" s="1" t="s">
        <v>109</v>
      </c>
      <c r="AJ1367" s="1">
        <v>2</v>
      </c>
      <c r="AK1367" s="1" t="s">
        <v>109</v>
      </c>
      <c r="AL1367" s="1" t="s">
        <v>109</v>
      </c>
      <c r="AM1367" s="1" t="s">
        <v>109</v>
      </c>
      <c r="AN1367" s="1" t="s">
        <v>109</v>
      </c>
      <c r="AO1367" s="1" t="s">
        <v>109</v>
      </c>
      <c r="AP1367" s="1"/>
      <c r="AQ1367" s="1">
        <v>2</v>
      </c>
      <c r="AR1367" s="1"/>
      <c r="AS1367" s="1" t="s">
        <v>10719</v>
      </c>
      <c r="AT1367" s="1">
        <v>0</v>
      </c>
      <c r="AU1367" s="1">
        <v>0</v>
      </c>
      <c r="AV1367" s="1">
        <v>0</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5" t="str">
        <f>HYPERLINK("http://www.d20pfsrd.com/magic/all-spells/s/stabilize-powder","Stabilize Powder")</f>
        <v>Stabilize Powder</v>
      </c>
      <c r="BT1367" s="1">
        <v>1414</v>
      </c>
      <c r="BU1367" s="1" t="s">
        <v>109</v>
      </c>
      <c r="BV1367" s="1"/>
      <c r="BW1367" s="1"/>
      <c r="BX1367" s="1"/>
      <c r="BY1367" s="1"/>
      <c r="BZ1367" s="1">
        <v>0</v>
      </c>
      <c r="CA1367" s="1" t="s">
        <v>109</v>
      </c>
      <c r="CB1367" s="1" t="s">
        <v>109</v>
      </c>
      <c r="CC1367" s="1" t="s">
        <v>109</v>
      </c>
      <c r="CD1367" s="1" t="s">
        <v>109</v>
      </c>
      <c r="CE1367" s="1" t="s">
        <v>109</v>
      </c>
      <c r="CF1367" s="1" t="s">
        <v>109</v>
      </c>
      <c r="CG1367" s="1" t="s">
        <v>109</v>
      </c>
      <c r="CH1367" s="1" t="s">
        <v>109</v>
      </c>
      <c r="CI1367" s="1" t="s">
        <v>109</v>
      </c>
      <c r="CJ1367" s="1" t="s">
        <v>109</v>
      </c>
      <c r="CK1367" s="1"/>
      <c r="CL1367" s="1">
        <v>0</v>
      </c>
      <c r="CM1367" s="1">
        <v>0</v>
      </c>
      <c r="CN1367" s="1">
        <v>0</v>
      </c>
    </row>
    <row r="1368" spans="1:92" ht="14.25" customHeight="1" x14ac:dyDescent="0.15">
      <c r="A1368" s="1" t="s">
        <v>10720</v>
      </c>
      <c r="B1368" s="1" t="s">
        <v>242</v>
      </c>
      <c r="C1368" s="1"/>
      <c r="D1368" s="1"/>
      <c r="E1368" s="1" t="s">
        <v>10721</v>
      </c>
      <c r="F1368" s="1" t="s">
        <v>98</v>
      </c>
      <c r="G1368" s="1" t="s">
        <v>10722</v>
      </c>
      <c r="H1368" s="1">
        <v>1</v>
      </c>
      <c r="I1368" s="1" t="s">
        <v>161</v>
      </c>
      <c r="J1368" s="1"/>
      <c r="K1368" s="1"/>
      <c r="L1368" s="1" t="s">
        <v>9929</v>
      </c>
      <c r="M1368" s="1" t="s">
        <v>4715</v>
      </c>
      <c r="N1368" s="1">
        <v>0</v>
      </c>
      <c r="O1368" s="1">
        <v>0</v>
      </c>
      <c r="P1368" s="1" t="s">
        <v>507</v>
      </c>
      <c r="Q1368" s="1" t="s">
        <v>167</v>
      </c>
      <c r="R1368" s="1" t="s">
        <v>10723</v>
      </c>
      <c r="S1368" s="1" t="s">
        <v>10724</v>
      </c>
      <c r="T1368" s="1" t="s">
        <v>9888</v>
      </c>
      <c r="U1368" s="1" t="s">
        <v>10725</v>
      </c>
      <c r="V1368" s="1">
        <v>1</v>
      </c>
      <c r="W1368" s="1">
        <v>1</v>
      </c>
      <c r="X1368" s="1">
        <v>1</v>
      </c>
      <c r="Y1368" s="1">
        <v>0</v>
      </c>
      <c r="Z1368" s="1">
        <v>0</v>
      </c>
      <c r="AA1368" s="1">
        <v>5</v>
      </c>
      <c r="AB1368" s="1">
        <v>5</v>
      </c>
      <c r="AC1368" s="1" t="s">
        <v>109</v>
      </c>
      <c r="AD1368" s="1">
        <v>6</v>
      </c>
      <c r="AE1368" s="1" t="s">
        <v>109</v>
      </c>
      <c r="AF1368" s="1" t="s">
        <v>109</v>
      </c>
      <c r="AG1368" s="1" t="s">
        <v>109</v>
      </c>
      <c r="AH1368" s="1">
        <v>5</v>
      </c>
      <c r="AI1368" s="1">
        <v>4</v>
      </c>
      <c r="AJ1368" s="1" t="s">
        <v>109</v>
      </c>
      <c r="AK1368" s="1">
        <v>5</v>
      </c>
      <c r="AL1368" s="1" t="s">
        <v>109</v>
      </c>
      <c r="AM1368" s="1" t="s">
        <v>109</v>
      </c>
      <c r="AN1368" s="1" t="s">
        <v>109</v>
      </c>
      <c r="AO1368" s="1" t="s">
        <v>109</v>
      </c>
      <c r="AP1368" s="1"/>
      <c r="AQ1368" s="1">
        <v>5</v>
      </c>
      <c r="AR1368" s="1"/>
      <c r="AS1368" s="1" t="s">
        <v>10726</v>
      </c>
      <c r="AT1368" s="1">
        <v>0</v>
      </c>
      <c r="AU1368" s="1">
        <v>0</v>
      </c>
      <c r="AV1368" s="1">
        <v>0</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5" t="str">
        <f>HYPERLINK("http://www.d20pfsrd.com/magic/all-spells/s/stoneskin#TOC-Stoneskin-Communal","Stoneskin, Communal")</f>
        <v>Stoneskin, Communal</v>
      </c>
      <c r="BT1368" s="1">
        <v>1415</v>
      </c>
      <c r="BU1368" s="1">
        <v>250</v>
      </c>
      <c r="BV1368" s="1"/>
      <c r="BW1368" s="1"/>
      <c r="BX1368" s="1"/>
      <c r="BY1368" s="1"/>
      <c r="BZ1368" s="1">
        <v>0</v>
      </c>
      <c r="CA1368" s="1" t="s">
        <v>109</v>
      </c>
      <c r="CB1368" s="1" t="s">
        <v>109</v>
      </c>
      <c r="CC1368" s="1">
        <v>5</v>
      </c>
      <c r="CD1368" s="1" t="s">
        <v>109</v>
      </c>
      <c r="CE1368" s="1" t="s">
        <v>109</v>
      </c>
      <c r="CF1368" s="1" t="s">
        <v>109</v>
      </c>
      <c r="CG1368" s="1" t="s">
        <v>109</v>
      </c>
      <c r="CH1368" s="1" t="s">
        <v>109</v>
      </c>
      <c r="CI1368" s="1" t="s">
        <v>109</v>
      </c>
      <c r="CJ1368" s="1">
        <v>6</v>
      </c>
      <c r="CK1368" s="1"/>
      <c r="CL1368" s="1">
        <v>0</v>
      </c>
      <c r="CM1368" s="1">
        <v>0</v>
      </c>
      <c r="CN1368" s="1">
        <v>0</v>
      </c>
    </row>
    <row r="1369" spans="1:92" ht="14.25" customHeight="1" x14ac:dyDescent="0.15">
      <c r="A1369" s="1" t="s">
        <v>10727</v>
      </c>
      <c r="B1369" s="1" t="s">
        <v>308</v>
      </c>
      <c r="C1369" s="1"/>
      <c r="D1369" s="1"/>
      <c r="E1369" s="1" t="s">
        <v>10728</v>
      </c>
      <c r="F1369" s="1" t="s">
        <v>98</v>
      </c>
      <c r="G1369" s="1" t="s">
        <v>10729</v>
      </c>
      <c r="H1369" s="1">
        <v>0</v>
      </c>
      <c r="I1369" s="1" t="s">
        <v>142</v>
      </c>
      <c r="J1369" s="1"/>
      <c r="K1369" s="1"/>
      <c r="L1369" s="1" t="s">
        <v>10730</v>
      </c>
      <c r="M1369" s="1" t="s">
        <v>3042</v>
      </c>
      <c r="N1369" s="1">
        <v>0</v>
      </c>
      <c r="O1369" s="1">
        <v>0</v>
      </c>
      <c r="P1369" s="1" t="s">
        <v>301</v>
      </c>
      <c r="Q1369" s="1" t="s">
        <v>268</v>
      </c>
      <c r="R1369" s="1" t="s">
        <v>10731</v>
      </c>
      <c r="S1369" s="1" t="s">
        <v>10732</v>
      </c>
      <c r="T1369" s="1" t="s">
        <v>9888</v>
      </c>
      <c r="U1369" s="1" t="s">
        <v>10733</v>
      </c>
      <c r="V1369" s="1">
        <v>1</v>
      </c>
      <c r="W1369" s="1">
        <v>1</v>
      </c>
      <c r="X1369" s="1">
        <v>1</v>
      </c>
      <c r="Y1369" s="1">
        <v>0</v>
      </c>
      <c r="Z1369" s="1">
        <v>0</v>
      </c>
      <c r="AA1369" s="1">
        <v>5</v>
      </c>
      <c r="AB1369" s="1">
        <v>5</v>
      </c>
      <c r="AC1369" s="1">
        <v>4</v>
      </c>
      <c r="AD1369" s="1" t="s">
        <v>109</v>
      </c>
      <c r="AE1369" s="1" t="s">
        <v>109</v>
      </c>
      <c r="AF1369" s="1" t="s">
        <v>109</v>
      </c>
      <c r="AG1369" s="1" t="s">
        <v>109</v>
      </c>
      <c r="AH1369" s="1" t="s">
        <v>109</v>
      </c>
      <c r="AI1369" s="1">
        <v>4</v>
      </c>
      <c r="AJ1369" s="1">
        <v>5</v>
      </c>
      <c r="AK1369" s="1" t="s">
        <v>109</v>
      </c>
      <c r="AL1369" s="1">
        <v>4</v>
      </c>
      <c r="AM1369" s="1" t="s">
        <v>109</v>
      </c>
      <c r="AN1369" s="1" t="s">
        <v>109</v>
      </c>
      <c r="AO1369" s="1" t="s">
        <v>109</v>
      </c>
      <c r="AP1369" s="1"/>
      <c r="AQ1369" s="1">
        <v>5</v>
      </c>
      <c r="AR1369" s="1"/>
      <c r="AS1369" s="1" t="s">
        <v>10734</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5" t="str">
        <f>HYPERLINK("http://www.d20pfsrd.com/magic/all-spells/s/summoner-conduit","Summoner Conduit")</f>
        <v>Summoner Conduit</v>
      </c>
      <c r="BT1369" s="1">
        <v>1416</v>
      </c>
      <c r="BU1369" s="1" t="s">
        <v>109</v>
      </c>
      <c r="BV1369" s="1"/>
      <c r="BW1369" s="1"/>
      <c r="BX1369" s="1"/>
      <c r="BY1369" s="1"/>
      <c r="BZ1369" s="1">
        <v>0</v>
      </c>
      <c r="CA1369" s="1" t="s">
        <v>109</v>
      </c>
      <c r="CB1369" s="1" t="s">
        <v>109</v>
      </c>
      <c r="CC1369" s="1">
        <v>5</v>
      </c>
      <c r="CD1369" s="1" t="s">
        <v>109</v>
      </c>
      <c r="CE1369" s="1" t="s">
        <v>109</v>
      </c>
      <c r="CF1369" s="1">
        <v>4</v>
      </c>
      <c r="CG1369" s="1" t="s">
        <v>109</v>
      </c>
      <c r="CH1369" s="1" t="s">
        <v>109</v>
      </c>
      <c r="CI1369" s="1" t="s">
        <v>109</v>
      </c>
      <c r="CJ1369" s="1" t="s">
        <v>109</v>
      </c>
      <c r="CK1369" s="1"/>
      <c r="CL1369" s="1">
        <v>0</v>
      </c>
      <c r="CM1369" s="1">
        <v>0</v>
      </c>
      <c r="CN1369" s="1">
        <v>0</v>
      </c>
    </row>
    <row r="1370" spans="1:92" ht="14.25" customHeight="1" x14ac:dyDescent="0.15">
      <c r="A1370" s="1" t="s">
        <v>10735</v>
      </c>
      <c r="B1370" s="1" t="s">
        <v>189</v>
      </c>
      <c r="C1370" s="1"/>
      <c r="D1370" s="1" t="s">
        <v>59</v>
      </c>
      <c r="E1370" s="1" t="s">
        <v>10736</v>
      </c>
      <c r="F1370" s="1" t="s">
        <v>98</v>
      </c>
      <c r="G1370" s="1" t="s">
        <v>141</v>
      </c>
      <c r="H1370" s="1">
        <v>0</v>
      </c>
      <c r="I1370" s="1" t="s">
        <v>161</v>
      </c>
      <c r="J1370" s="1"/>
      <c r="K1370" s="1"/>
      <c r="L1370" s="1" t="s">
        <v>1643</v>
      </c>
      <c r="M1370" s="1" t="s">
        <v>7718</v>
      </c>
      <c r="N1370" s="1">
        <v>0</v>
      </c>
      <c r="O1370" s="1">
        <v>0</v>
      </c>
      <c r="P1370" s="1" t="s">
        <v>5812</v>
      </c>
      <c r="Q1370" s="1" t="s">
        <v>630</v>
      </c>
      <c r="R1370" s="1" t="s">
        <v>10737</v>
      </c>
      <c r="S1370" s="1" t="s">
        <v>10738</v>
      </c>
      <c r="T1370" s="1" t="s">
        <v>9888</v>
      </c>
      <c r="U1370" s="1" t="s">
        <v>10739</v>
      </c>
      <c r="V1370" s="1">
        <v>1</v>
      </c>
      <c r="W1370" s="1">
        <v>1</v>
      </c>
      <c r="X1370" s="1">
        <v>0</v>
      </c>
      <c r="Y1370" s="1">
        <v>0</v>
      </c>
      <c r="Z1370" s="1">
        <v>0</v>
      </c>
      <c r="AA1370" s="1" t="s">
        <v>109</v>
      </c>
      <c r="AB1370" s="1" t="s">
        <v>109</v>
      </c>
      <c r="AC1370" s="1">
        <v>1</v>
      </c>
      <c r="AD1370" s="1" t="s">
        <v>109</v>
      </c>
      <c r="AE1370" s="1">
        <v>1</v>
      </c>
      <c r="AF1370" s="1" t="s">
        <v>109</v>
      </c>
      <c r="AG1370" s="1">
        <v>1</v>
      </c>
      <c r="AH1370" s="1" t="s">
        <v>109</v>
      </c>
      <c r="AI1370" s="1" t="s">
        <v>109</v>
      </c>
      <c r="AJ1370" s="1" t="s">
        <v>109</v>
      </c>
      <c r="AK1370" s="1" t="s">
        <v>109</v>
      </c>
      <c r="AL1370" s="1">
        <v>1</v>
      </c>
      <c r="AM1370" s="1" t="s">
        <v>109</v>
      </c>
      <c r="AN1370" s="1" t="s">
        <v>109</v>
      </c>
      <c r="AO1370" s="1" t="s">
        <v>109</v>
      </c>
      <c r="AP1370" s="1"/>
      <c r="AQ1370" s="1">
        <v>1</v>
      </c>
      <c r="AR1370" s="1"/>
      <c r="AS1370" s="1" t="s">
        <v>10740</v>
      </c>
      <c r="AT1370" s="1">
        <v>0</v>
      </c>
      <c r="AU1370" s="1">
        <v>0</v>
      </c>
      <c r="AV1370" s="1">
        <v>0</v>
      </c>
      <c r="AW1370" s="1">
        <v>0</v>
      </c>
      <c r="AX1370" s="1">
        <v>0</v>
      </c>
      <c r="AY1370" s="1">
        <v>0</v>
      </c>
      <c r="AZ1370" s="1">
        <v>0</v>
      </c>
      <c r="BA1370" s="1">
        <v>0</v>
      </c>
      <c r="BB1370" s="1">
        <v>0</v>
      </c>
      <c r="BC1370" s="1">
        <v>0</v>
      </c>
      <c r="BD1370" s="1">
        <v>0</v>
      </c>
      <c r="BE1370" s="1">
        <v>0</v>
      </c>
      <c r="BF1370" s="1">
        <v>0</v>
      </c>
      <c r="BG1370" s="1">
        <v>1</v>
      </c>
      <c r="BH1370" s="1">
        <v>0</v>
      </c>
      <c r="BI1370" s="1">
        <v>0</v>
      </c>
      <c r="BJ1370" s="1">
        <v>0</v>
      </c>
      <c r="BK1370" s="1">
        <v>0</v>
      </c>
      <c r="BL1370" s="1">
        <v>0</v>
      </c>
      <c r="BM1370" s="1">
        <v>0</v>
      </c>
      <c r="BN1370" s="1">
        <v>0</v>
      </c>
      <c r="BO1370" s="1">
        <v>0</v>
      </c>
      <c r="BP1370" s="1">
        <v>0</v>
      </c>
      <c r="BQ1370" s="1">
        <v>0</v>
      </c>
      <c r="BR1370" s="1">
        <v>0</v>
      </c>
      <c r="BS1370" s="5" t="str">
        <f>HYPERLINK("http://www.d20pfsrd.com/magic/all-spells/s/sun-metal","Sun Metal")</f>
        <v>Sun Metal</v>
      </c>
      <c r="BT1370" s="1">
        <v>1417</v>
      </c>
      <c r="BU1370" s="1" t="s">
        <v>109</v>
      </c>
      <c r="BV1370" s="1"/>
      <c r="BW1370" s="1"/>
      <c r="BX1370" s="1" t="s">
        <v>10741</v>
      </c>
      <c r="BY1370" s="1"/>
      <c r="BZ1370" s="1">
        <v>1</v>
      </c>
      <c r="CA1370" s="1" t="s">
        <v>109</v>
      </c>
      <c r="CB1370" s="1" t="s">
        <v>109</v>
      </c>
      <c r="CC1370" s="1" t="s">
        <v>109</v>
      </c>
      <c r="CD1370" s="1" t="s">
        <v>109</v>
      </c>
      <c r="CE1370" s="1" t="s">
        <v>109</v>
      </c>
      <c r="CF1370" s="1" t="s">
        <v>109</v>
      </c>
      <c r="CG1370" s="1" t="s">
        <v>109</v>
      </c>
      <c r="CH1370" s="1" t="s">
        <v>109</v>
      </c>
      <c r="CI1370" s="1" t="s">
        <v>109</v>
      </c>
      <c r="CJ1370" s="1">
        <v>1</v>
      </c>
      <c r="CK1370" s="1"/>
      <c r="CL1370" s="1">
        <v>0</v>
      </c>
      <c r="CM1370" s="1">
        <v>0</v>
      </c>
      <c r="CN1370" s="1">
        <v>0</v>
      </c>
    </row>
    <row r="1371" spans="1:92" ht="14.25" customHeight="1" x14ac:dyDescent="0.15">
      <c r="A1371" s="1" t="s">
        <v>10742</v>
      </c>
      <c r="B1371" s="1" t="s">
        <v>674</v>
      </c>
      <c r="C1371" s="1" t="s">
        <v>68</v>
      </c>
      <c r="D1371" s="1"/>
      <c r="E1371" s="1" t="s">
        <v>10743</v>
      </c>
      <c r="F1371" s="1" t="s">
        <v>395</v>
      </c>
      <c r="G1371" s="1" t="s">
        <v>10744</v>
      </c>
      <c r="H1371" s="1">
        <v>1</v>
      </c>
      <c r="I1371" s="1" t="s">
        <v>4917</v>
      </c>
      <c r="J1371" s="1"/>
      <c r="K1371" s="1" t="s">
        <v>4918</v>
      </c>
      <c r="L1371" s="1"/>
      <c r="M1371" s="1" t="s">
        <v>211</v>
      </c>
      <c r="N1371" s="1">
        <v>0</v>
      </c>
      <c r="O1371" s="1">
        <v>0</v>
      </c>
      <c r="P1371" s="1" t="s">
        <v>10745</v>
      </c>
      <c r="Q1371" s="1" t="s">
        <v>10746</v>
      </c>
      <c r="R1371" s="1" t="s">
        <v>10747</v>
      </c>
      <c r="S1371" s="1" t="s">
        <v>10748</v>
      </c>
      <c r="T1371" s="1" t="s">
        <v>9888</v>
      </c>
      <c r="U1371" s="1" t="s">
        <v>10749</v>
      </c>
      <c r="V1371" s="1">
        <v>1</v>
      </c>
      <c r="W1371" s="1">
        <v>1</v>
      </c>
      <c r="X1371" s="1">
        <v>1</v>
      </c>
      <c r="Y1371" s="1">
        <v>0</v>
      </c>
      <c r="Z1371" s="1">
        <v>0</v>
      </c>
      <c r="AA1371" s="1">
        <v>5</v>
      </c>
      <c r="AB1371" s="1">
        <v>5</v>
      </c>
      <c r="AC1371" s="1">
        <v>5</v>
      </c>
      <c r="AD1371" s="1" t="s">
        <v>109</v>
      </c>
      <c r="AE1371" s="1" t="s">
        <v>109</v>
      </c>
      <c r="AF1371" s="1" t="s">
        <v>109</v>
      </c>
      <c r="AG1371" s="1" t="s">
        <v>109</v>
      </c>
      <c r="AH1371" s="1" t="s">
        <v>109</v>
      </c>
      <c r="AI1371" s="1" t="s">
        <v>109</v>
      </c>
      <c r="AJ1371" s="1">
        <v>5</v>
      </c>
      <c r="AK1371" s="1" t="s">
        <v>109</v>
      </c>
      <c r="AL1371" s="1">
        <v>5</v>
      </c>
      <c r="AM1371" s="1" t="s">
        <v>109</v>
      </c>
      <c r="AN1371" s="1">
        <v>5</v>
      </c>
      <c r="AO1371" s="1" t="s">
        <v>109</v>
      </c>
      <c r="AP1371" s="1"/>
      <c r="AQ1371" s="1">
        <v>5</v>
      </c>
      <c r="AR1371" s="1"/>
      <c r="AS1371" s="1" t="s">
        <v>10750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5" t="str">
        <f>HYPERLINK("http://www.d20pfsrd.com/magic/all-spells/s/symbol-of-striking","Symbol of Striking")</f>
        <v>Symbol of Striking</v>
      </c>
      <c r="BT1371" s="1">
        <v>1418</v>
      </c>
      <c r="BU1371" s="1">
        <v>300</v>
      </c>
      <c r="BV1371" s="1"/>
      <c r="BW1371" s="1"/>
      <c r="BX1371" s="1"/>
      <c r="BY1371" s="1"/>
      <c r="BZ1371" s="1">
        <v>0</v>
      </c>
      <c r="CA1371" s="1" t="s">
        <v>109</v>
      </c>
      <c r="CB1371" s="1" t="s">
        <v>109</v>
      </c>
      <c r="CC1371" s="1" t="s">
        <v>109</v>
      </c>
      <c r="CD1371" s="1" t="s">
        <v>109</v>
      </c>
      <c r="CE1371" s="1" t="s">
        <v>109</v>
      </c>
      <c r="CF1371" s="1" t="s">
        <v>109</v>
      </c>
      <c r="CG1371" s="1" t="s">
        <v>109</v>
      </c>
      <c r="CH1371" s="1" t="s">
        <v>109</v>
      </c>
      <c r="CI1371" s="1" t="s">
        <v>109</v>
      </c>
      <c r="CJ1371" s="1" t="s">
        <v>109</v>
      </c>
      <c r="CK1371" s="1"/>
      <c r="CL1371" s="1">
        <v>0</v>
      </c>
      <c r="CM1371" s="1">
        <v>0</v>
      </c>
      <c r="CN1371" s="1">
        <v>0</v>
      </c>
    </row>
    <row r="1372" spans="1:92" ht="14.25" customHeight="1" x14ac:dyDescent="0.15">
      <c r="A1372" s="1" t="s">
        <v>10751</v>
      </c>
      <c r="B1372" s="1" t="s">
        <v>156</v>
      </c>
      <c r="C1372" s="1" t="s">
        <v>157</v>
      </c>
      <c r="D1372" s="1" t="s">
        <v>158</v>
      </c>
      <c r="E1372" s="1" t="s">
        <v>10752</v>
      </c>
      <c r="F1372" s="1" t="s">
        <v>98</v>
      </c>
      <c r="G1372" s="1" t="s">
        <v>10753</v>
      </c>
      <c r="H1372" s="1">
        <v>0</v>
      </c>
      <c r="I1372" s="1" t="s">
        <v>1192</v>
      </c>
      <c r="J1372" s="1" t="s">
        <v>10754</v>
      </c>
      <c r="K1372" s="1"/>
      <c r="L1372" s="1"/>
      <c r="M1372" s="1" t="s">
        <v>574</v>
      </c>
      <c r="N1372" s="1">
        <v>1</v>
      </c>
      <c r="O1372" s="1">
        <v>0</v>
      </c>
      <c r="P1372" s="1" t="s">
        <v>507</v>
      </c>
      <c r="Q1372" s="1" t="s">
        <v>167</v>
      </c>
      <c r="R1372" s="1" t="s">
        <v>10755</v>
      </c>
      <c r="S1372" s="1" t="s">
        <v>10756</v>
      </c>
      <c r="T1372" s="1" t="s">
        <v>9888</v>
      </c>
      <c r="U1372" s="1" t="s">
        <v>10757</v>
      </c>
      <c r="V1372" s="1">
        <v>1</v>
      </c>
      <c r="W1372" s="1">
        <v>1</v>
      </c>
      <c r="X1372" s="1">
        <v>1</v>
      </c>
      <c r="Y1372" s="1">
        <v>0</v>
      </c>
      <c r="Z1372" s="1">
        <v>1</v>
      </c>
      <c r="AA1372" s="1">
        <v>2</v>
      </c>
      <c r="AB1372" s="1">
        <v>2</v>
      </c>
      <c r="AC1372" s="1" t="s">
        <v>109</v>
      </c>
      <c r="AD1372" s="1" t="s">
        <v>109</v>
      </c>
      <c r="AE1372" s="1" t="s">
        <v>109</v>
      </c>
      <c r="AF1372" s="1">
        <v>2</v>
      </c>
      <c r="AG1372" s="1">
        <v>1</v>
      </c>
      <c r="AH1372" s="1" t="s">
        <v>109</v>
      </c>
      <c r="AI1372" s="1" t="s">
        <v>109</v>
      </c>
      <c r="AJ1372" s="1" t="s">
        <v>109</v>
      </c>
      <c r="AK1372" s="1">
        <v>2</v>
      </c>
      <c r="AL1372" s="1" t="s">
        <v>109</v>
      </c>
      <c r="AM1372" s="1" t="s">
        <v>109</v>
      </c>
      <c r="AN1372" s="1">
        <v>2</v>
      </c>
      <c r="AO1372" s="1" t="s">
        <v>109</v>
      </c>
      <c r="AP1372" s="1"/>
      <c r="AQ1372" s="1">
        <v>2</v>
      </c>
      <c r="AR1372" s="1"/>
      <c r="AS1372" s="1" t="s">
        <v>10758</v>
      </c>
      <c r="AT1372" s="1">
        <v>0</v>
      </c>
      <c r="AU1372" s="1">
        <v>0</v>
      </c>
      <c r="AV1372" s="1">
        <v>0</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1</v>
      </c>
      <c r="BN1372" s="1">
        <v>0</v>
      </c>
      <c r="BO1372" s="1">
        <v>0</v>
      </c>
      <c r="BP1372" s="1">
        <v>0</v>
      </c>
      <c r="BQ1372" s="1">
        <v>0</v>
      </c>
      <c r="BR1372" s="1">
        <v>0</v>
      </c>
      <c r="BS1372" s="5" t="str">
        <f>HYPERLINK("http://www.d20pfsrd.com/magic/all-spells/t/tactical-acumen","Tactical Acumen")</f>
        <v>Tactical Acumen</v>
      </c>
      <c r="BT1372" s="1">
        <v>1419</v>
      </c>
      <c r="BU1372" s="1" t="s">
        <v>109</v>
      </c>
      <c r="BV1372" s="1"/>
      <c r="BW1372" s="1"/>
      <c r="BX1372" s="1"/>
      <c r="BY1372" s="1"/>
      <c r="BZ1372" s="1">
        <v>0</v>
      </c>
      <c r="CA1372" s="1" t="s">
        <v>109</v>
      </c>
      <c r="CB1372" s="1" t="s">
        <v>109</v>
      </c>
      <c r="CC1372" s="1">
        <v>2</v>
      </c>
      <c r="CD1372" s="1" t="s">
        <v>109</v>
      </c>
      <c r="CE1372" s="1" t="s">
        <v>109</v>
      </c>
      <c r="CF1372" s="1">
        <v>2</v>
      </c>
      <c r="CG1372" s="1" t="s">
        <v>109</v>
      </c>
      <c r="CH1372" s="1" t="s">
        <v>109</v>
      </c>
      <c r="CI1372" s="1" t="s">
        <v>109</v>
      </c>
      <c r="CJ1372" s="1" t="s">
        <v>109</v>
      </c>
      <c r="CK1372" s="1"/>
      <c r="CL1372" s="1">
        <v>0</v>
      </c>
      <c r="CM1372" s="1">
        <v>0</v>
      </c>
      <c r="CN1372" s="1">
        <v>0</v>
      </c>
    </row>
    <row r="1373" spans="1:92" ht="14.25" customHeight="1" x14ac:dyDescent="0.15">
      <c r="A1373" s="1" t="s">
        <v>10759</v>
      </c>
      <c r="B1373" s="1" t="s">
        <v>189</v>
      </c>
      <c r="C1373" s="1"/>
      <c r="D1373" s="1" t="s">
        <v>7610</v>
      </c>
      <c r="E1373" s="1" t="s">
        <v>10760</v>
      </c>
      <c r="F1373" s="1" t="s">
        <v>98</v>
      </c>
      <c r="G1373" s="1" t="s">
        <v>10761</v>
      </c>
      <c r="H1373" s="1">
        <v>0</v>
      </c>
      <c r="I1373" s="1" t="s">
        <v>142</v>
      </c>
      <c r="J1373" s="1" t="s">
        <v>824</v>
      </c>
      <c r="K1373" s="1"/>
      <c r="L1373" s="1"/>
      <c r="M1373" s="1" t="s">
        <v>125</v>
      </c>
      <c r="N1373" s="1">
        <v>0</v>
      </c>
      <c r="O1373" s="1">
        <v>0</v>
      </c>
      <c r="P1373" s="1" t="s">
        <v>6156</v>
      </c>
      <c r="Q1373" s="1" t="s">
        <v>104</v>
      </c>
      <c r="R1373" s="1" t="s">
        <v>10762</v>
      </c>
      <c r="S1373" s="1" t="s">
        <v>10763</v>
      </c>
      <c r="T1373" s="1" t="s">
        <v>9888</v>
      </c>
      <c r="U1373" s="1" t="s">
        <v>10764</v>
      </c>
      <c r="V1373" s="1">
        <v>1</v>
      </c>
      <c r="W1373" s="1">
        <v>1</v>
      </c>
      <c r="X1373" s="1">
        <v>1</v>
      </c>
      <c r="Y1373" s="1">
        <v>0</v>
      </c>
      <c r="Z1373" s="1">
        <v>1</v>
      </c>
      <c r="AA1373" s="1">
        <v>6</v>
      </c>
      <c r="AB1373" s="1">
        <v>6</v>
      </c>
      <c r="AC1373" s="1" t="s">
        <v>109</v>
      </c>
      <c r="AD1373" s="1">
        <v>6</v>
      </c>
      <c r="AE1373" s="1" t="s">
        <v>109</v>
      </c>
      <c r="AF1373" s="1" t="s">
        <v>109</v>
      </c>
      <c r="AG1373" s="1" t="s">
        <v>109</v>
      </c>
      <c r="AH1373" s="1" t="s">
        <v>109</v>
      </c>
      <c r="AI1373" s="1">
        <v>5</v>
      </c>
      <c r="AJ1373" s="1" t="s">
        <v>109</v>
      </c>
      <c r="AK1373" s="1" t="s">
        <v>109</v>
      </c>
      <c r="AL1373" s="1" t="s">
        <v>109</v>
      </c>
      <c r="AM1373" s="1" t="s">
        <v>109</v>
      </c>
      <c r="AN1373" s="1" t="s">
        <v>109</v>
      </c>
      <c r="AO1373" s="1" t="s">
        <v>109</v>
      </c>
      <c r="AP1373" s="1"/>
      <c r="AQ1373" s="1">
        <v>6</v>
      </c>
      <c r="AR1373" s="1"/>
      <c r="AS1373" s="1" t="s">
        <v>10765</v>
      </c>
      <c r="AT1373" s="1">
        <v>0</v>
      </c>
      <c r="AU1373" s="1">
        <v>0</v>
      </c>
      <c r="AV1373" s="1">
        <v>0</v>
      </c>
      <c r="AW1373" s="1">
        <v>0</v>
      </c>
      <c r="AX1373" s="1">
        <v>0</v>
      </c>
      <c r="AY1373" s="1">
        <v>0</v>
      </c>
      <c r="AZ1373" s="1">
        <v>0</v>
      </c>
      <c r="BA1373" s="1">
        <v>0</v>
      </c>
      <c r="BB1373" s="1">
        <v>1</v>
      </c>
      <c r="BC1373" s="1">
        <v>0</v>
      </c>
      <c r="BD1373" s="1">
        <v>0</v>
      </c>
      <c r="BE1373" s="1">
        <v>0</v>
      </c>
      <c r="BF1373" s="1">
        <v>0</v>
      </c>
      <c r="BG1373" s="1">
        <v>1</v>
      </c>
      <c r="BH1373" s="1">
        <v>0</v>
      </c>
      <c r="BI1373" s="1">
        <v>0</v>
      </c>
      <c r="BJ1373" s="1">
        <v>0</v>
      </c>
      <c r="BK1373" s="1">
        <v>0</v>
      </c>
      <c r="BL1373" s="1">
        <v>0</v>
      </c>
      <c r="BM1373" s="1">
        <v>0</v>
      </c>
      <c r="BN1373" s="1">
        <v>0</v>
      </c>
      <c r="BO1373" s="1">
        <v>0</v>
      </c>
      <c r="BP1373" s="1">
        <v>0</v>
      </c>
      <c r="BQ1373" s="1">
        <v>0</v>
      </c>
      <c r="BR1373" s="1">
        <v>0</v>
      </c>
      <c r="BS1373" s="5" t="str">
        <f>HYPERLINK("http://www.d20pfsrd.com/magic/all-spells/t/tar-pool","Tar Pool")</f>
        <v>Tar Pool</v>
      </c>
      <c r="BT1373" s="1">
        <v>1420</v>
      </c>
      <c r="BU1373" s="1" t="s">
        <v>109</v>
      </c>
      <c r="BV1373" s="1"/>
      <c r="BW1373" s="1"/>
      <c r="BX1373" s="1"/>
      <c r="BY1373" s="1"/>
      <c r="BZ1373" s="1">
        <v>0</v>
      </c>
      <c r="CA1373" s="1" t="s">
        <v>109</v>
      </c>
      <c r="CB1373" s="1" t="s">
        <v>109</v>
      </c>
      <c r="CC1373" s="1" t="s">
        <v>109</v>
      </c>
      <c r="CD1373" s="1" t="s">
        <v>109</v>
      </c>
      <c r="CE1373" s="1" t="s">
        <v>109</v>
      </c>
      <c r="CF1373" s="1" t="s">
        <v>109</v>
      </c>
      <c r="CG1373" s="1" t="s">
        <v>109</v>
      </c>
      <c r="CH1373" s="1" t="s">
        <v>109</v>
      </c>
      <c r="CI1373" s="1" t="s">
        <v>109</v>
      </c>
      <c r="CJ1373" s="1">
        <v>6</v>
      </c>
      <c r="CK1373" s="1"/>
      <c r="CL1373" s="1">
        <v>0</v>
      </c>
      <c r="CM1373" s="1">
        <v>0</v>
      </c>
      <c r="CN1373" s="1">
        <v>0</v>
      </c>
    </row>
    <row r="1374" spans="1:92" ht="14.25" customHeight="1" x14ac:dyDescent="0.15">
      <c r="A1374" s="1" t="s">
        <v>10766</v>
      </c>
      <c r="B1374" s="1" t="s">
        <v>189</v>
      </c>
      <c r="C1374" s="1"/>
      <c r="D1374" s="1"/>
      <c r="E1374" s="1" t="s">
        <v>6002</v>
      </c>
      <c r="F1374" s="1" t="s">
        <v>98</v>
      </c>
      <c r="G1374" s="1" t="s">
        <v>141</v>
      </c>
      <c r="H1374" s="1">
        <v>0</v>
      </c>
      <c r="I1374" s="1" t="s">
        <v>235</v>
      </c>
      <c r="J1374" s="1"/>
      <c r="K1374" s="1"/>
      <c r="L1374" s="1" t="s">
        <v>236</v>
      </c>
      <c r="M1374" s="1" t="s">
        <v>125</v>
      </c>
      <c r="N1374" s="1">
        <v>0</v>
      </c>
      <c r="O1374" s="1">
        <v>0</v>
      </c>
      <c r="P1374" s="1"/>
      <c r="Q1374" s="1"/>
      <c r="R1374" s="1" t="s">
        <v>10767</v>
      </c>
      <c r="S1374" s="1" t="s">
        <v>10768</v>
      </c>
      <c r="T1374" s="1" t="s">
        <v>9888</v>
      </c>
      <c r="U1374" s="1" t="s">
        <v>10769</v>
      </c>
      <c r="V1374" s="1">
        <v>1</v>
      </c>
      <c r="W1374" s="1">
        <v>1</v>
      </c>
      <c r="X1374" s="1">
        <v>0</v>
      </c>
      <c r="Y1374" s="1">
        <v>0</v>
      </c>
      <c r="Z1374" s="1">
        <v>0</v>
      </c>
      <c r="AA1374" s="1" t="s">
        <v>109</v>
      </c>
      <c r="AB1374" s="1" t="s">
        <v>109</v>
      </c>
      <c r="AC1374" s="1" t="s">
        <v>109</v>
      </c>
      <c r="AD1374" s="1" t="s">
        <v>109</v>
      </c>
      <c r="AE1374" s="1" t="s">
        <v>109</v>
      </c>
      <c r="AF1374" s="1" t="s">
        <v>109</v>
      </c>
      <c r="AG1374" s="1" t="s">
        <v>109</v>
      </c>
      <c r="AH1374" s="1">
        <v>1</v>
      </c>
      <c r="AI1374" s="1" t="s">
        <v>109</v>
      </c>
      <c r="AJ1374" s="1" t="s">
        <v>109</v>
      </c>
      <c r="AK1374" s="1" t="s">
        <v>109</v>
      </c>
      <c r="AL1374" s="1" t="s">
        <v>109</v>
      </c>
      <c r="AM1374" s="1" t="s">
        <v>109</v>
      </c>
      <c r="AN1374" s="1" t="s">
        <v>109</v>
      </c>
      <c r="AO1374" s="1" t="s">
        <v>109</v>
      </c>
      <c r="AP1374" s="1"/>
      <c r="AQ1374" s="1">
        <v>1</v>
      </c>
      <c r="AR1374" s="1"/>
      <c r="AS1374" s="1" t="s">
        <v>10770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5" t="str">
        <f>HYPERLINK("http://www.d20pfsrd.com/magic/all-spells/t/targeted-bomb-admixture","Targeted Bomb Admixture")</f>
        <v>Targeted Bomb Admixture</v>
      </c>
      <c r="BT1374" s="1">
        <v>1421</v>
      </c>
      <c r="BU1374" s="1" t="s">
        <v>109</v>
      </c>
      <c r="BV1374" s="1"/>
      <c r="BW1374" s="1"/>
      <c r="BX1374" s="1"/>
      <c r="BY1374" s="1"/>
      <c r="BZ1374" s="1">
        <v>0</v>
      </c>
      <c r="CA1374" s="1" t="s">
        <v>109</v>
      </c>
      <c r="CB1374" s="1" t="s">
        <v>109</v>
      </c>
      <c r="CC1374" s="1" t="s">
        <v>109</v>
      </c>
      <c r="CD1374" s="1" t="s">
        <v>109</v>
      </c>
      <c r="CE1374" s="1" t="s">
        <v>109</v>
      </c>
      <c r="CF1374" s="1" t="s">
        <v>109</v>
      </c>
      <c r="CG1374" s="1" t="s">
        <v>109</v>
      </c>
      <c r="CH1374" s="1" t="s">
        <v>109</v>
      </c>
      <c r="CI1374" s="1" t="s">
        <v>109</v>
      </c>
      <c r="CJ1374" s="1" t="s">
        <v>109</v>
      </c>
      <c r="CK1374" s="1"/>
      <c r="CL1374" s="1">
        <v>0</v>
      </c>
      <c r="CM1374" s="1">
        <v>0</v>
      </c>
      <c r="CN1374" s="1">
        <v>0</v>
      </c>
    </row>
    <row r="1375" spans="1:92" ht="14.25" customHeight="1" x14ac:dyDescent="0.15">
      <c r="A1375" s="1" t="s">
        <v>10771</v>
      </c>
      <c r="B1375" s="1" t="s">
        <v>189</v>
      </c>
      <c r="C1375" s="1"/>
      <c r="D1375" s="1"/>
      <c r="E1375" s="1" t="s">
        <v>10772</v>
      </c>
      <c r="F1375" s="1" t="s">
        <v>10773</v>
      </c>
      <c r="G1375" s="1" t="s">
        <v>10774</v>
      </c>
      <c r="H1375" s="1">
        <v>1</v>
      </c>
      <c r="I1375" s="1" t="s">
        <v>8596</v>
      </c>
      <c r="J1375" s="1"/>
      <c r="K1375" s="1"/>
      <c r="L1375" s="1" t="s">
        <v>10775</v>
      </c>
      <c r="M1375" s="1" t="s">
        <v>144</v>
      </c>
      <c r="N1375" s="1">
        <v>0</v>
      </c>
      <c r="O1375" s="1">
        <v>0</v>
      </c>
      <c r="P1375" s="1" t="s">
        <v>103</v>
      </c>
      <c r="Q1375" s="1" t="s">
        <v>104</v>
      </c>
      <c r="R1375" s="1" t="s">
        <v>10776</v>
      </c>
      <c r="S1375" s="1" t="s">
        <v>10777</v>
      </c>
      <c r="T1375" s="1" t="s">
        <v>9888</v>
      </c>
      <c r="U1375" s="1" t="s">
        <v>10778</v>
      </c>
      <c r="V1375" s="1">
        <v>1</v>
      </c>
      <c r="W1375" s="1">
        <v>1</v>
      </c>
      <c r="X1375" s="1">
        <v>0</v>
      </c>
      <c r="Y1375" s="1">
        <v>0</v>
      </c>
      <c r="Z1375" s="1">
        <v>0</v>
      </c>
      <c r="AA1375" s="1">
        <v>2</v>
      </c>
      <c r="AB1375" s="1">
        <v>2</v>
      </c>
      <c r="AC1375" s="1" t="s">
        <v>109</v>
      </c>
      <c r="AD1375" s="1" t="s">
        <v>109</v>
      </c>
      <c r="AE1375" s="1" t="s">
        <v>109</v>
      </c>
      <c r="AF1375" s="1" t="s">
        <v>109</v>
      </c>
      <c r="AG1375" s="1" t="s">
        <v>109</v>
      </c>
      <c r="AH1375" s="1" t="s">
        <v>109</v>
      </c>
      <c r="AI1375" s="1" t="s">
        <v>109</v>
      </c>
      <c r="AJ1375" s="1" t="s">
        <v>109</v>
      </c>
      <c r="AK1375" s="1" t="s">
        <v>109</v>
      </c>
      <c r="AL1375" s="1" t="s">
        <v>109</v>
      </c>
      <c r="AM1375" s="1" t="s">
        <v>109</v>
      </c>
      <c r="AN1375" s="1">
        <v>2</v>
      </c>
      <c r="AO1375" s="1" t="s">
        <v>109</v>
      </c>
      <c r="AP1375" s="1"/>
      <c r="AQ1375" s="1">
        <v>2</v>
      </c>
      <c r="AR1375" s="1"/>
      <c r="AS1375" s="1" t="s">
        <v>10779</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5" t="str">
        <f>HYPERLINK("http://www.d20pfsrd.com/magic/all-spells/t/telekinetic-assembly","Telekinetic Assembly")</f>
        <v>Telekinetic Assembly</v>
      </c>
      <c r="BT1375" s="1">
        <v>1422</v>
      </c>
      <c r="BU1375" s="1">
        <v>10</v>
      </c>
      <c r="BV1375" s="1"/>
      <c r="BW1375" s="1"/>
      <c r="BX1375" s="1"/>
      <c r="BY1375" s="1"/>
      <c r="BZ1375" s="1">
        <v>0</v>
      </c>
      <c r="CA1375" s="1" t="s">
        <v>109</v>
      </c>
      <c r="CB1375" s="1" t="s">
        <v>109</v>
      </c>
      <c r="CC1375" s="1">
        <v>2</v>
      </c>
      <c r="CD1375" s="1" t="s">
        <v>109</v>
      </c>
      <c r="CE1375" s="1" t="s">
        <v>109</v>
      </c>
      <c r="CF1375" s="1">
        <v>2</v>
      </c>
      <c r="CG1375" s="1" t="s">
        <v>109</v>
      </c>
      <c r="CH1375" s="1" t="s">
        <v>109</v>
      </c>
      <c r="CI1375" s="1" t="s">
        <v>109</v>
      </c>
      <c r="CJ1375" s="1" t="s">
        <v>109</v>
      </c>
      <c r="CK1375" s="1"/>
      <c r="CL1375" s="1">
        <v>0</v>
      </c>
      <c r="CM1375" s="1">
        <v>0</v>
      </c>
      <c r="CN1375" s="1">
        <v>0</v>
      </c>
    </row>
    <row r="1376" spans="1:92" ht="14.25" customHeight="1" x14ac:dyDescent="0.15">
      <c r="A1376" s="1" t="s">
        <v>10780</v>
      </c>
      <c r="B1376" s="1" t="s">
        <v>584</v>
      </c>
      <c r="C1376" s="1"/>
      <c r="D1376" s="1" t="s">
        <v>60</v>
      </c>
      <c r="E1376" s="1" t="s">
        <v>10781</v>
      </c>
      <c r="F1376" s="1" t="s">
        <v>98</v>
      </c>
      <c r="G1376" s="1" t="s">
        <v>141</v>
      </c>
      <c r="H1376" s="1">
        <v>0</v>
      </c>
      <c r="I1376" s="1" t="s">
        <v>142</v>
      </c>
      <c r="J1376" s="1"/>
      <c r="K1376" s="1"/>
      <c r="L1376" s="1" t="s">
        <v>8687</v>
      </c>
      <c r="M1376" s="1" t="s">
        <v>144</v>
      </c>
      <c r="N1376" s="1">
        <v>0</v>
      </c>
      <c r="O1376" s="1">
        <v>0</v>
      </c>
      <c r="P1376" s="1" t="s">
        <v>507</v>
      </c>
      <c r="Q1376" s="1" t="s">
        <v>167</v>
      </c>
      <c r="R1376" s="1" t="s">
        <v>10782</v>
      </c>
      <c r="S1376" s="1" t="s">
        <v>10783</v>
      </c>
      <c r="T1376" s="1" t="s">
        <v>9888</v>
      </c>
      <c r="U1376" s="1" t="s">
        <v>10784</v>
      </c>
      <c r="V1376" s="1">
        <v>1</v>
      </c>
      <c r="W1376" s="1">
        <v>1</v>
      </c>
      <c r="X1376" s="1">
        <v>0</v>
      </c>
      <c r="Y1376" s="1">
        <v>0</v>
      </c>
      <c r="Z1376" s="1">
        <v>0</v>
      </c>
      <c r="AA1376" s="1">
        <v>4</v>
      </c>
      <c r="AB1376" s="1">
        <v>4</v>
      </c>
      <c r="AC1376" s="1" t="s">
        <v>109</v>
      </c>
      <c r="AD1376" s="1" t="s">
        <v>109</v>
      </c>
      <c r="AE1376" s="1" t="s">
        <v>109</v>
      </c>
      <c r="AF1376" s="1" t="s">
        <v>109</v>
      </c>
      <c r="AG1376" s="1" t="s">
        <v>109</v>
      </c>
      <c r="AH1376" s="1" t="s">
        <v>109</v>
      </c>
      <c r="AI1376" s="1" t="s">
        <v>109</v>
      </c>
      <c r="AJ1376" s="1" t="s">
        <v>109</v>
      </c>
      <c r="AK1376" s="1" t="s">
        <v>109</v>
      </c>
      <c r="AL1376" s="1" t="s">
        <v>109</v>
      </c>
      <c r="AM1376" s="1" t="s">
        <v>109</v>
      </c>
      <c r="AN1376" s="1" t="s">
        <v>109</v>
      </c>
      <c r="AO1376" s="1" t="s">
        <v>109</v>
      </c>
      <c r="AP1376" s="1"/>
      <c r="AQ1376" s="1">
        <v>4</v>
      </c>
      <c r="AR1376" s="1"/>
      <c r="AS1376" s="1" t="s">
        <v>10785</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1</v>
      </c>
      <c r="BI1376" s="1">
        <v>0</v>
      </c>
      <c r="BJ1376" s="1">
        <v>0</v>
      </c>
      <c r="BK1376" s="1">
        <v>0</v>
      </c>
      <c r="BL1376" s="1">
        <v>0</v>
      </c>
      <c r="BM1376" s="1">
        <v>0</v>
      </c>
      <c r="BN1376" s="1">
        <v>0</v>
      </c>
      <c r="BO1376" s="1">
        <v>0</v>
      </c>
      <c r="BP1376" s="1">
        <v>0</v>
      </c>
      <c r="BQ1376" s="1">
        <v>0</v>
      </c>
      <c r="BR1376" s="1">
        <v>0</v>
      </c>
      <c r="BS1376" s="5" t="str">
        <f>HYPERLINK("http://www.d20pfsrd.com/magic/all-spells/t/telekinetic-charge","Telekinetic Charge")</f>
        <v>Telekinetic Charge</v>
      </c>
      <c r="BT1376" s="1">
        <v>1423</v>
      </c>
      <c r="BU1376" s="1" t="s">
        <v>109</v>
      </c>
      <c r="BV1376" s="1"/>
      <c r="BW1376" s="1"/>
      <c r="BX1376" s="1"/>
      <c r="BY1376" s="1"/>
      <c r="BZ1376" s="1">
        <v>0</v>
      </c>
      <c r="CA1376" s="1">
        <v>4</v>
      </c>
      <c r="CB1376" s="1" t="s">
        <v>109</v>
      </c>
      <c r="CC1376" s="1">
        <v>4</v>
      </c>
      <c r="CD1376" s="1" t="s">
        <v>109</v>
      </c>
      <c r="CE1376" s="1" t="s">
        <v>109</v>
      </c>
      <c r="CF1376" s="1" t="s">
        <v>109</v>
      </c>
      <c r="CG1376" s="1">
        <v>4</v>
      </c>
      <c r="CH1376" s="1" t="s">
        <v>109</v>
      </c>
      <c r="CI1376" s="1" t="s">
        <v>109</v>
      </c>
      <c r="CJ1376" s="1" t="s">
        <v>109</v>
      </c>
      <c r="CK1376" s="1"/>
      <c r="CL1376" s="1">
        <v>0</v>
      </c>
      <c r="CM1376" s="1">
        <v>0</v>
      </c>
      <c r="CN1376" s="1">
        <v>0</v>
      </c>
    </row>
    <row r="1377" spans="1:92" ht="14.25" customHeight="1" x14ac:dyDescent="0.15">
      <c r="A1377" s="1" t="s">
        <v>10786</v>
      </c>
      <c r="B1377" s="1" t="s">
        <v>156</v>
      </c>
      <c r="C1377" s="1" t="s">
        <v>157</v>
      </c>
      <c r="D1377" s="1" t="s">
        <v>158</v>
      </c>
      <c r="E1377" s="1" t="s">
        <v>6023</v>
      </c>
      <c r="F1377" s="1" t="s">
        <v>98</v>
      </c>
      <c r="G1377" s="1" t="s">
        <v>10787</v>
      </c>
      <c r="H1377" s="1">
        <v>0</v>
      </c>
      <c r="I1377" s="1" t="s">
        <v>235</v>
      </c>
      <c r="J1377" s="1"/>
      <c r="K1377" s="1"/>
      <c r="L1377" s="1" t="s">
        <v>236</v>
      </c>
      <c r="M1377" s="1" t="s">
        <v>10788</v>
      </c>
      <c r="N1377" s="1">
        <v>1</v>
      </c>
      <c r="O1377" s="1">
        <v>0</v>
      </c>
      <c r="P1377" s="1"/>
      <c r="Q1377" s="1"/>
      <c r="R1377" s="1" t="s">
        <v>10789</v>
      </c>
      <c r="S1377" s="1" t="s">
        <v>10790</v>
      </c>
      <c r="T1377" s="1" t="s">
        <v>9888</v>
      </c>
      <c r="U1377" s="1" t="s">
        <v>10791</v>
      </c>
      <c r="V1377" s="1">
        <v>1</v>
      </c>
      <c r="W1377" s="1">
        <v>1</v>
      </c>
      <c r="X1377" s="1">
        <v>1</v>
      </c>
      <c r="Y1377" s="1">
        <v>0</v>
      </c>
      <c r="Z1377" s="1">
        <v>0</v>
      </c>
      <c r="AA1377" s="1" t="s">
        <v>109</v>
      </c>
      <c r="AB1377" s="1" t="s">
        <v>109</v>
      </c>
      <c r="AC1377" s="1" t="s">
        <v>109</v>
      </c>
      <c r="AD1377" s="1" t="s">
        <v>109</v>
      </c>
      <c r="AE1377" s="1">
        <v>4</v>
      </c>
      <c r="AF1377" s="1" t="s">
        <v>109</v>
      </c>
      <c r="AG1377" s="1" t="s">
        <v>109</v>
      </c>
      <c r="AH1377" s="1" t="s">
        <v>109</v>
      </c>
      <c r="AI1377" s="1" t="s">
        <v>109</v>
      </c>
      <c r="AJ1377" s="1" t="s">
        <v>109</v>
      </c>
      <c r="AK1377" s="1" t="s">
        <v>109</v>
      </c>
      <c r="AL1377" s="1" t="s">
        <v>109</v>
      </c>
      <c r="AM1377" s="1" t="s">
        <v>109</v>
      </c>
      <c r="AN1377" s="1" t="s">
        <v>109</v>
      </c>
      <c r="AO1377" s="1" t="s">
        <v>109</v>
      </c>
      <c r="AP1377" s="1"/>
      <c r="AQ1377" s="1">
        <v>4</v>
      </c>
      <c r="AR1377" s="1"/>
      <c r="AS1377" s="1" t="s">
        <v>10792</v>
      </c>
      <c r="AT1377" s="1">
        <v>0</v>
      </c>
      <c r="AU1377" s="1">
        <v>0</v>
      </c>
      <c r="AV1377" s="1">
        <v>0</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1</v>
      </c>
      <c r="BN1377" s="1">
        <v>0</v>
      </c>
      <c r="BO1377" s="1">
        <v>0</v>
      </c>
      <c r="BP1377" s="1">
        <v>0</v>
      </c>
      <c r="BQ1377" s="1">
        <v>0</v>
      </c>
      <c r="BR1377" s="1">
        <v>0</v>
      </c>
      <c r="BS1377" s="5" t="str">
        <f>HYPERLINK("http://www.d20pfsrd.com/magic/all-spells/t/terrain-bond","Terrain Bond")</f>
        <v>Terrain Bond</v>
      </c>
      <c r="BT1377" s="1">
        <v>1424</v>
      </c>
      <c r="BU1377" s="1" t="s">
        <v>109</v>
      </c>
      <c r="BV1377" s="1"/>
      <c r="BW1377" s="1"/>
      <c r="BX1377" s="1"/>
      <c r="BY1377" s="1"/>
      <c r="BZ1377" s="1">
        <v>0</v>
      </c>
      <c r="CA1377" s="1" t="s">
        <v>109</v>
      </c>
      <c r="CB1377" s="1" t="s">
        <v>109</v>
      </c>
      <c r="CC1377" s="1" t="s">
        <v>109</v>
      </c>
      <c r="CD1377" s="1" t="s">
        <v>109</v>
      </c>
      <c r="CE1377" s="1" t="s">
        <v>109</v>
      </c>
      <c r="CF1377" s="1" t="s">
        <v>109</v>
      </c>
      <c r="CG1377" s="1" t="s">
        <v>109</v>
      </c>
      <c r="CH1377" s="1" t="s">
        <v>109</v>
      </c>
      <c r="CI1377" s="1" t="s">
        <v>109</v>
      </c>
      <c r="CJ1377" s="1">
        <v>4</v>
      </c>
      <c r="CK1377" s="1"/>
      <c r="CL1377" s="1">
        <v>0</v>
      </c>
      <c r="CM1377" s="1">
        <v>0</v>
      </c>
      <c r="CN1377" s="1">
        <v>0</v>
      </c>
    </row>
    <row r="1378" spans="1:92" ht="14.25" customHeight="1" x14ac:dyDescent="0.15">
      <c r="A1378" s="1" t="s">
        <v>10793</v>
      </c>
      <c r="B1378" s="1" t="s">
        <v>189</v>
      </c>
      <c r="C1378" s="1"/>
      <c r="D1378" s="1"/>
      <c r="E1378" s="1" t="s">
        <v>10794</v>
      </c>
      <c r="F1378" s="1" t="s">
        <v>98</v>
      </c>
      <c r="G1378" s="1" t="s">
        <v>10795</v>
      </c>
      <c r="H1378" s="1">
        <v>0</v>
      </c>
      <c r="I1378" s="1" t="s">
        <v>142</v>
      </c>
      <c r="J1378" s="1"/>
      <c r="K1378" s="1"/>
      <c r="L1378" s="1" t="s">
        <v>10043</v>
      </c>
      <c r="M1378" s="1" t="s">
        <v>144</v>
      </c>
      <c r="N1378" s="1">
        <v>0</v>
      </c>
      <c r="O1378" s="1">
        <v>0</v>
      </c>
      <c r="P1378" s="1" t="s">
        <v>10796</v>
      </c>
      <c r="Q1378" s="1" t="s">
        <v>10797</v>
      </c>
      <c r="R1378" s="1" t="s">
        <v>10798</v>
      </c>
      <c r="S1378" s="1" t="s">
        <v>10799</v>
      </c>
      <c r="T1378" s="1" t="s">
        <v>9888</v>
      </c>
      <c r="U1378" s="1" t="s">
        <v>10800</v>
      </c>
      <c r="V1378" s="1">
        <v>1</v>
      </c>
      <c r="W1378" s="1">
        <v>1</v>
      </c>
      <c r="X1378" s="1">
        <v>1</v>
      </c>
      <c r="Y1378" s="1">
        <v>0</v>
      </c>
      <c r="Z1378" s="1">
        <v>0</v>
      </c>
      <c r="AA1378" s="1">
        <v>2</v>
      </c>
      <c r="AB1378" s="1">
        <v>2</v>
      </c>
      <c r="AC1378" s="1" t="s">
        <v>109</v>
      </c>
      <c r="AD1378" s="1" t="s">
        <v>109</v>
      </c>
      <c r="AE1378" s="1" t="s">
        <v>109</v>
      </c>
      <c r="AF1378" s="1">
        <v>2</v>
      </c>
      <c r="AG1378" s="1" t="s">
        <v>109</v>
      </c>
      <c r="AH1378" s="1" t="s">
        <v>109</v>
      </c>
      <c r="AI1378" s="1" t="s">
        <v>109</v>
      </c>
      <c r="AJ1378" s="1">
        <v>2</v>
      </c>
      <c r="AK1378" s="1" t="s">
        <v>109</v>
      </c>
      <c r="AL1378" s="1" t="s">
        <v>109</v>
      </c>
      <c r="AM1378" s="1" t="s">
        <v>109</v>
      </c>
      <c r="AN1378" s="1" t="s">
        <v>109</v>
      </c>
      <c r="AO1378" s="1" t="s">
        <v>109</v>
      </c>
      <c r="AP1378" s="1"/>
      <c r="AQ1378" s="1">
        <v>2</v>
      </c>
      <c r="AR1378" s="1"/>
      <c r="AS1378" s="1" t="s">
        <v>10801</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5" t="str">
        <f>HYPERLINK("http://www.d20pfsrd.com/magic/all-spells/t/thunder-fire","Thunder Fire")</f>
        <v>Thunder Fire</v>
      </c>
      <c r="BT1378" s="1">
        <v>1425</v>
      </c>
      <c r="BU1378" s="1" t="s">
        <v>109</v>
      </c>
      <c r="BV1378" s="1"/>
      <c r="BW1378" s="1"/>
      <c r="BX1378" s="1"/>
      <c r="BY1378" s="1"/>
      <c r="BZ1378" s="1">
        <v>0</v>
      </c>
      <c r="CA1378" s="1" t="s">
        <v>109</v>
      </c>
      <c r="CB1378" s="1" t="s">
        <v>109</v>
      </c>
      <c r="CC1378" s="1" t="s">
        <v>109</v>
      </c>
      <c r="CD1378" s="1" t="s">
        <v>109</v>
      </c>
      <c r="CE1378" s="1" t="s">
        <v>109</v>
      </c>
      <c r="CF1378" s="1" t="s">
        <v>109</v>
      </c>
      <c r="CG1378" s="1" t="s">
        <v>109</v>
      </c>
      <c r="CH1378" s="1" t="s">
        <v>109</v>
      </c>
      <c r="CI1378" s="1" t="s">
        <v>109</v>
      </c>
      <c r="CJ1378" s="1" t="s">
        <v>109</v>
      </c>
      <c r="CK1378" s="1"/>
      <c r="CL1378" s="1">
        <v>0</v>
      </c>
      <c r="CM1378" s="1">
        <v>0</v>
      </c>
      <c r="CN1378" s="1">
        <v>0</v>
      </c>
    </row>
    <row r="1379" spans="1:92" ht="14.25" customHeight="1" x14ac:dyDescent="0.15">
      <c r="A1379" s="1" t="s">
        <v>10802</v>
      </c>
      <c r="B1379" s="1" t="s">
        <v>254</v>
      </c>
      <c r="C1379" s="1"/>
      <c r="D1379" s="1"/>
      <c r="E1379" s="1" t="s">
        <v>10803</v>
      </c>
      <c r="F1379" s="1" t="s">
        <v>98</v>
      </c>
      <c r="G1379" s="1" t="s">
        <v>5074</v>
      </c>
      <c r="H1379" s="1">
        <v>0</v>
      </c>
      <c r="I1379" s="1" t="s">
        <v>161</v>
      </c>
      <c r="J1379" s="1"/>
      <c r="K1379" s="1"/>
      <c r="L1379" s="1" t="s">
        <v>9929</v>
      </c>
      <c r="M1379" s="1" t="s">
        <v>194</v>
      </c>
      <c r="N1379" s="1">
        <v>0</v>
      </c>
      <c r="O1379" s="1">
        <v>0</v>
      </c>
      <c r="P1379" s="1" t="s">
        <v>507</v>
      </c>
      <c r="Q1379" s="1" t="s">
        <v>104</v>
      </c>
      <c r="R1379" s="1" t="s">
        <v>10804</v>
      </c>
      <c r="S1379" s="1" t="s">
        <v>10805</v>
      </c>
      <c r="T1379" s="1" t="s">
        <v>9888</v>
      </c>
      <c r="U1379" s="1" t="s">
        <v>10806</v>
      </c>
      <c r="V1379" s="1">
        <v>1</v>
      </c>
      <c r="W1379" s="1">
        <v>0</v>
      </c>
      <c r="X1379" s="1">
        <v>1</v>
      </c>
      <c r="Y1379" s="1">
        <v>0</v>
      </c>
      <c r="Z1379" s="1">
        <v>1</v>
      </c>
      <c r="AA1379" s="1">
        <v>4</v>
      </c>
      <c r="AB1379" s="1">
        <v>4</v>
      </c>
      <c r="AC1379" s="1">
        <v>5</v>
      </c>
      <c r="AD1379" s="1" t="s">
        <v>109</v>
      </c>
      <c r="AE1379" s="1" t="s">
        <v>109</v>
      </c>
      <c r="AF1379" s="1">
        <v>3</v>
      </c>
      <c r="AG1379" s="1" t="s">
        <v>109</v>
      </c>
      <c r="AH1379" s="1">
        <v>4</v>
      </c>
      <c r="AI1379" s="1">
        <v>4</v>
      </c>
      <c r="AJ1379" s="1">
        <v>4</v>
      </c>
      <c r="AK1379" s="1" t="s">
        <v>109</v>
      </c>
      <c r="AL1379" s="1">
        <v>5</v>
      </c>
      <c r="AM1379" s="1" t="s">
        <v>109</v>
      </c>
      <c r="AN1379" s="1" t="s">
        <v>109</v>
      </c>
      <c r="AO1379" s="1" t="s">
        <v>109</v>
      </c>
      <c r="AP1379" s="1"/>
      <c r="AQ1379" s="1">
        <v>4</v>
      </c>
      <c r="AR1379" s="1"/>
      <c r="AS1379" s="1" t="s">
        <v>10807</v>
      </c>
      <c r="AT1379" s="1">
        <v>0</v>
      </c>
      <c r="AU1379" s="1">
        <v>0</v>
      </c>
      <c r="AV1379" s="1">
        <v>0</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5" t="str">
        <f>HYPERLINK("http://www.d20pfsrd.com/magic/all-spells/t/tongues#TOC-Tongues-Communal","Tongues, Communal")</f>
        <v>Tongues, Communal</v>
      </c>
      <c r="BT1379" s="1">
        <v>1426</v>
      </c>
      <c r="BU1379" s="1" t="s">
        <v>109</v>
      </c>
      <c r="BV1379" s="1"/>
      <c r="BW1379" s="1"/>
      <c r="BX1379" s="1"/>
      <c r="BY1379" s="1"/>
      <c r="BZ1379" s="1">
        <v>0</v>
      </c>
      <c r="CA1379" s="1" t="s">
        <v>109</v>
      </c>
      <c r="CB1379" s="1" t="s">
        <v>109</v>
      </c>
      <c r="CC1379" s="1">
        <v>4</v>
      </c>
      <c r="CD1379" s="1" t="s">
        <v>109</v>
      </c>
      <c r="CE1379" s="1">
        <v>3</v>
      </c>
      <c r="CF1379" s="1" t="s">
        <v>109</v>
      </c>
      <c r="CG1379" s="1" t="s">
        <v>109</v>
      </c>
      <c r="CH1379" s="1" t="s">
        <v>109</v>
      </c>
      <c r="CI1379" s="1" t="s">
        <v>109</v>
      </c>
      <c r="CJ1379" s="1" t="s">
        <v>109</v>
      </c>
      <c r="CK1379" s="1"/>
      <c r="CL1379" s="1">
        <v>0</v>
      </c>
      <c r="CM1379" s="1">
        <v>0</v>
      </c>
      <c r="CN1379" s="1">
        <v>0</v>
      </c>
    </row>
    <row r="1380" spans="1:92" ht="14.25" customHeight="1" x14ac:dyDescent="0.15">
      <c r="A1380" s="1" t="s">
        <v>10808</v>
      </c>
      <c r="B1380" s="1" t="s">
        <v>189</v>
      </c>
      <c r="C1380" s="1"/>
      <c r="D1380" s="1"/>
      <c r="E1380" s="1" t="s">
        <v>10809</v>
      </c>
      <c r="F1380" s="1" t="s">
        <v>98</v>
      </c>
      <c r="G1380" s="1" t="s">
        <v>141</v>
      </c>
      <c r="H1380" s="1">
        <v>0</v>
      </c>
      <c r="I1380" s="1" t="s">
        <v>235</v>
      </c>
      <c r="J1380" s="1"/>
      <c r="K1380" s="1"/>
      <c r="L1380" s="1" t="s">
        <v>236</v>
      </c>
      <c r="M1380" s="1" t="s">
        <v>289</v>
      </c>
      <c r="N1380" s="1">
        <v>0</v>
      </c>
      <c r="O1380" s="1">
        <v>0</v>
      </c>
      <c r="P1380" s="1" t="s">
        <v>103</v>
      </c>
      <c r="Q1380" s="1" t="s">
        <v>104</v>
      </c>
      <c r="R1380" s="1" t="s">
        <v>10810</v>
      </c>
      <c r="S1380" s="1" t="s">
        <v>10811</v>
      </c>
      <c r="T1380" s="1" t="s">
        <v>9888</v>
      </c>
      <c r="U1380" s="1" t="s">
        <v>10812</v>
      </c>
      <c r="V1380" s="1">
        <v>1</v>
      </c>
      <c r="W1380" s="1">
        <v>1</v>
      </c>
      <c r="X1380" s="1">
        <v>0</v>
      </c>
      <c r="Y1380" s="1">
        <v>0</v>
      </c>
      <c r="Z1380" s="1">
        <v>0</v>
      </c>
      <c r="AA1380" s="1">
        <v>3</v>
      </c>
      <c r="AB1380" s="1">
        <v>3</v>
      </c>
      <c r="AC1380" s="1" t="s">
        <v>109</v>
      </c>
      <c r="AD1380" s="1" t="s">
        <v>109</v>
      </c>
      <c r="AE1380" s="1" t="s">
        <v>109</v>
      </c>
      <c r="AF1380" s="1" t="s">
        <v>109</v>
      </c>
      <c r="AG1380" s="1" t="s">
        <v>109</v>
      </c>
      <c r="AH1380" s="1">
        <v>2</v>
      </c>
      <c r="AI1380" s="1" t="s">
        <v>109</v>
      </c>
      <c r="AJ1380" s="1" t="s">
        <v>109</v>
      </c>
      <c r="AK1380" s="1" t="s">
        <v>109</v>
      </c>
      <c r="AL1380" s="1" t="s">
        <v>109</v>
      </c>
      <c r="AM1380" s="1" t="s">
        <v>109</v>
      </c>
      <c r="AN1380" s="1" t="s">
        <v>109</v>
      </c>
      <c r="AO1380" s="1" t="s">
        <v>109</v>
      </c>
      <c r="AP1380" s="1"/>
      <c r="AQ1380" s="1">
        <v>3</v>
      </c>
      <c r="AR1380" s="1"/>
      <c r="AS1380" s="1" t="s">
        <v>10813</v>
      </c>
      <c r="AT1380" s="1">
        <v>0</v>
      </c>
      <c r="AU1380" s="1">
        <v>0</v>
      </c>
      <c r="AV1380" s="1">
        <v>0</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5" t="str">
        <f>HYPERLINK("http://www.d20pfsrd.com/magic/all-spells/t/touch-injection","Touch Injection")</f>
        <v>Touch Injection</v>
      </c>
      <c r="BT1380" s="1">
        <v>1427</v>
      </c>
      <c r="BU1380" s="1" t="s">
        <v>109</v>
      </c>
      <c r="BV1380" s="1"/>
      <c r="BW1380" s="1"/>
      <c r="BX1380" s="1"/>
      <c r="BY1380" s="1"/>
      <c r="BZ1380" s="1">
        <v>0</v>
      </c>
      <c r="CA1380" s="1" t="s">
        <v>109</v>
      </c>
      <c r="CB1380" s="1" t="s">
        <v>109</v>
      </c>
      <c r="CC1380" s="1">
        <v>3</v>
      </c>
      <c r="CD1380" s="1" t="s">
        <v>109</v>
      </c>
      <c r="CE1380" s="1" t="s">
        <v>109</v>
      </c>
      <c r="CF1380" s="1" t="s">
        <v>109</v>
      </c>
      <c r="CG1380" s="1" t="s">
        <v>109</v>
      </c>
      <c r="CH1380" s="1" t="s">
        <v>109</v>
      </c>
      <c r="CI1380" s="1" t="s">
        <v>109</v>
      </c>
      <c r="CJ1380" s="1" t="s">
        <v>109</v>
      </c>
      <c r="CK1380" s="1"/>
      <c r="CL1380" s="1">
        <v>0</v>
      </c>
      <c r="CM1380" s="1">
        <v>0</v>
      </c>
      <c r="CN1380" s="1">
        <v>0</v>
      </c>
    </row>
    <row r="1381" spans="1:92" ht="14.25" customHeight="1" x14ac:dyDescent="0.15">
      <c r="A1381" s="1" t="s">
        <v>10814</v>
      </c>
      <c r="B1381" s="1" t="s">
        <v>189</v>
      </c>
      <c r="C1381" s="1"/>
      <c r="D1381" s="1"/>
      <c r="E1381" s="1" t="s">
        <v>10815</v>
      </c>
      <c r="F1381" s="1" t="s">
        <v>98</v>
      </c>
      <c r="G1381" s="1" t="s">
        <v>10816</v>
      </c>
      <c r="H1381" s="1">
        <v>0</v>
      </c>
      <c r="I1381" s="1" t="s">
        <v>142</v>
      </c>
      <c r="J1381" s="1"/>
      <c r="K1381" s="1"/>
      <c r="L1381" s="1" t="s">
        <v>1391</v>
      </c>
      <c r="M1381" s="1" t="s">
        <v>355</v>
      </c>
      <c r="N1381" s="1">
        <v>0</v>
      </c>
      <c r="O1381" s="1">
        <v>0</v>
      </c>
      <c r="P1381" s="1" t="s">
        <v>301</v>
      </c>
      <c r="Q1381" s="1" t="s">
        <v>268</v>
      </c>
      <c r="R1381" s="1" t="s">
        <v>10817</v>
      </c>
      <c r="S1381" s="1" t="s">
        <v>10818</v>
      </c>
      <c r="T1381" s="1" t="s">
        <v>9888</v>
      </c>
      <c r="U1381" s="1" t="s">
        <v>10819</v>
      </c>
      <c r="V1381" s="1">
        <v>1</v>
      </c>
      <c r="W1381" s="1">
        <v>1</v>
      </c>
      <c r="X1381" s="1">
        <v>1</v>
      </c>
      <c r="Y1381" s="1">
        <v>0</v>
      </c>
      <c r="Z1381" s="1">
        <v>0</v>
      </c>
      <c r="AA1381" s="1">
        <v>2</v>
      </c>
      <c r="AB1381" s="1">
        <v>2</v>
      </c>
      <c r="AC1381" s="1" t="s">
        <v>109</v>
      </c>
      <c r="AD1381" s="1" t="s">
        <v>109</v>
      </c>
      <c r="AE1381" s="1" t="s">
        <v>109</v>
      </c>
      <c r="AF1381" s="1" t="s">
        <v>109</v>
      </c>
      <c r="AG1381" s="1" t="s">
        <v>109</v>
      </c>
      <c r="AH1381" s="1" t="s">
        <v>109</v>
      </c>
      <c r="AI1381" s="1">
        <v>2</v>
      </c>
      <c r="AJ1381" s="1" t="s">
        <v>109</v>
      </c>
      <c r="AK1381" s="1" t="s">
        <v>109</v>
      </c>
      <c r="AL1381" s="1" t="s">
        <v>109</v>
      </c>
      <c r="AM1381" s="1" t="s">
        <v>109</v>
      </c>
      <c r="AN1381" s="1">
        <v>2</v>
      </c>
      <c r="AO1381" s="1" t="s">
        <v>109</v>
      </c>
      <c r="AP1381" s="1"/>
      <c r="AQ1381" s="1">
        <v>2</v>
      </c>
      <c r="AR1381" s="1"/>
      <c r="AS1381" s="1" t="s">
        <v>10820</v>
      </c>
      <c r="AT1381" s="1">
        <v>0</v>
      </c>
      <c r="AU1381" s="1">
        <v>0</v>
      </c>
      <c r="AV1381" s="1">
        <v>0</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5" t="str">
        <f>HYPERLINK("http://www.d20pfsrd.com/magic/all-spells/t/twisted-space","Twisted Space")</f>
        <v>Twisted Space</v>
      </c>
      <c r="BT1381" s="1">
        <v>1428</v>
      </c>
      <c r="BU1381" s="1" t="s">
        <v>109</v>
      </c>
      <c r="BV1381" s="1"/>
      <c r="BW1381" s="1"/>
      <c r="BX1381" s="1"/>
      <c r="BY1381" s="1"/>
      <c r="BZ1381" s="1">
        <v>0</v>
      </c>
      <c r="CA1381" s="1" t="s">
        <v>109</v>
      </c>
      <c r="CB1381" s="1" t="s">
        <v>109</v>
      </c>
      <c r="CC1381" s="1">
        <v>2</v>
      </c>
      <c r="CD1381" s="1" t="s">
        <v>109</v>
      </c>
      <c r="CE1381" s="1" t="s">
        <v>109</v>
      </c>
      <c r="CF1381" s="1" t="s">
        <v>109</v>
      </c>
      <c r="CG1381" s="1" t="s">
        <v>109</v>
      </c>
      <c r="CH1381" s="1" t="s">
        <v>109</v>
      </c>
      <c r="CI1381" s="1" t="s">
        <v>109</v>
      </c>
      <c r="CJ1381" s="1" t="s">
        <v>109</v>
      </c>
      <c r="CK1381" s="1"/>
      <c r="CL1381" s="1">
        <v>0</v>
      </c>
      <c r="CM1381" s="1">
        <v>0</v>
      </c>
      <c r="CN1381" s="1">
        <v>0</v>
      </c>
    </row>
    <row r="1382" spans="1:92" ht="14.25" customHeight="1" x14ac:dyDescent="0.15">
      <c r="A1382" s="1" t="s">
        <v>10821</v>
      </c>
      <c r="B1382" s="1" t="s">
        <v>189</v>
      </c>
      <c r="C1382" s="1"/>
      <c r="D1382" s="1"/>
      <c r="E1382" s="1" t="s">
        <v>10822</v>
      </c>
      <c r="F1382" s="1" t="s">
        <v>98</v>
      </c>
      <c r="G1382" s="1" t="s">
        <v>141</v>
      </c>
      <c r="H1382" s="1">
        <v>0</v>
      </c>
      <c r="I1382" s="1" t="s">
        <v>142</v>
      </c>
      <c r="J1382" s="1"/>
      <c r="K1382" s="1"/>
      <c r="L1382" s="1" t="s">
        <v>10823</v>
      </c>
      <c r="M1382" s="1" t="s">
        <v>125</v>
      </c>
      <c r="N1382" s="1">
        <v>0</v>
      </c>
      <c r="O1382" s="1">
        <v>0</v>
      </c>
      <c r="P1382" s="1" t="s">
        <v>215</v>
      </c>
      <c r="Q1382" s="1" t="s">
        <v>216</v>
      </c>
      <c r="R1382" s="1" t="s">
        <v>10824</v>
      </c>
      <c r="S1382" s="1" t="s">
        <v>10825</v>
      </c>
      <c r="T1382" s="1" t="s">
        <v>9888</v>
      </c>
      <c r="U1382" s="1" t="s">
        <v>10826</v>
      </c>
      <c r="V1382" s="1">
        <v>1</v>
      </c>
      <c r="W1382" s="1">
        <v>1</v>
      </c>
      <c r="X1382" s="1">
        <v>0</v>
      </c>
      <c r="Y1382" s="1">
        <v>0</v>
      </c>
      <c r="Z1382" s="1">
        <v>0</v>
      </c>
      <c r="AA1382" s="1">
        <v>1</v>
      </c>
      <c r="AB1382" s="1">
        <v>1</v>
      </c>
      <c r="AC1382" s="1" t="s">
        <v>109</v>
      </c>
      <c r="AD1382" s="1" t="s">
        <v>109</v>
      </c>
      <c r="AE1382" s="1" t="s">
        <v>109</v>
      </c>
      <c r="AF1382" s="1" t="s">
        <v>109</v>
      </c>
      <c r="AG1382" s="1" t="s">
        <v>109</v>
      </c>
      <c r="AH1382" s="1" t="s">
        <v>109</v>
      </c>
      <c r="AI1382" s="1" t="s">
        <v>109</v>
      </c>
      <c r="AJ1382" s="1">
        <v>1</v>
      </c>
      <c r="AK1382" s="1">
        <v>1</v>
      </c>
      <c r="AL1382" s="1" t="s">
        <v>109</v>
      </c>
      <c r="AM1382" s="1" t="s">
        <v>109</v>
      </c>
      <c r="AN1382" s="1">
        <v>1</v>
      </c>
      <c r="AO1382" s="1" t="s">
        <v>109</v>
      </c>
      <c r="AP1382" s="1"/>
      <c r="AQ1382" s="1">
        <v>1</v>
      </c>
      <c r="AR1382" s="1"/>
      <c r="AS1382" s="1" t="s">
        <v>10827</v>
      </c>
      <c r="AT1382" s="1">
        <v>0</v>
      </c>
      <c r="AU1382" s="1">
        <v>0</v>
      </c>
      <c r="AV1382" s="1">
        <v>0</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5" t="str">
        <f>HYPERLINK("http://www.d20pfsrd.com/magic/all-spells/u/unerring-weapon","Unerring Weapon")</f>
        <v>Unerring Weapon</v>
      </c>
      <c r="BT1382" s="1">
        <v>1429</v>
      </c>
      <c r="BU1382" s="1" t="s">
        <v>109</v>
      </c>
      <c r="BV1382" s="1"/>
      <c r="BW1382" s="1"/>
      <c r="BX1382" s="1"/>
      <c r="BY1382" s="1"/>
      <c r="BZ1382" s="1">
        <v>0</v>
      </c>
      <c r="CA1382" s="1">
        <v>1</v>
      </c>
      <c r="CB1382" s="1" t="s">
        <v>109</v>
      </c>
      <c r="CC1382" s="1">
        <v>1</v>
      </c>
      <c r="CD1382" s="1" t="s">
        <v>109</v>
      </c>
      <c r="CE1382" s="1" t="s">
        <v>109</v>
      </c>
      <c r="CF1382" s="1">
        <v>2</v>
      </c>
      <c r="CG1382" s="1" t="s">
        <v>109</v>
      </c>
      <c r="CH1382" s="1" t="s">
        <v>109</v>
      </c>
      <c r="CI1382" s="1" t="s">
        <v>109</v>
      </c>
      <c r="CJ1382" s="1" t="s">
        <v>109</v>
      </c>
      <c r="CK1382" s="1"/>
      <c r="CL1382" s="1">
        <v>0</v>
      </c>
      <c r="CM1382" s="1">
        <v>0</v>
      </c>
      <c r="CN1382" s="1">
        <v>0</v>
      </c>
    </row>
    <row r="1383" spans="1:92" ht="14.25" customHeight="1" x14ac:dyDescent="0.15">
      <c r="A1383" s="1" t="s">
        <v>10828</v>
      </c>
      <c r="B1383" s="1" t="s">
        <v>95</v>
      </c>
      <c r="C1383" s="1" t="s">
        <v>96</v>
      </c>
      <c r="D1383" s="1"/>
      <c r="E1383" s="1" t="s">
        <v>7541</v>
      </c>
      <c r="F1383" s="1" t="s">
        <v>98</v>
      </c>
      <c r="G1383" s="1" t="s">
        <v>141</v>
      </c>
      <c r="H1383" s="1">
        <v>0</v>
      </c>
      <c r="I1383" s="1" t="s">
        <v>235</v>
      </c>
      <c r="J1383" s="1"/>
      <c r="K1383" s="1"/>
      <c r="L1383" s="1" t="s">
        <v>236</v>
      </c>
      <c r="M1383" s="1" t="s">
        <v>125</v>
      </c>
      <c r="N1383" s="1">
        <v>0</v>
      </c>
      <c r="O1383" s="1">
        <v>0</v>
      </c>
      <c r="P1383" s="1"/>
      <c r="Q1383" s="1"/>
      <c r="R1383" s="1" t="s">
        <v>10829</v>
      </c>
      <c r="S1383" s="1" t="s">
        <v>10830</v>
      </c>
      <c r="T1383" s="1" t="s">
        <v>9888</v>
      </c>
      <c r="U1383" s="1" t="s">
        <v>10831</v>
      </c>
      <c r="V1383" s="1">
        <v>1</v>
      </c>
      <c r="W1383" s="1">
        <v>1</v>
      </c>
      <c r="X1383" s="1">
        <v>0</v>
      </c>
      <c r="Y1383" s="1">
        <v>0</v>
      </c>
      <c r="Z1383" s="1">
        <v>0</v>
      </c>
      <c r="AA1383" s="1" t="s">
        <v>109</v>
      </c>
      <c r="AB1383" s="1" t="s">
        <v>109</v>
      </c>
      <c r="AC1383" s="1" t="s">
        <v>109</v>
      </c>
      <c r="AD1383" s="1" t="s">
        <v>109</v>
      </c>
      <c r="AE1383" s="1" t="s">
        <v>109</v>
      </c>
      <c r="AF1383" s="1" t="s">
        <v>109</v>
      </c>
      <c r="AG1383" s="1" t="s">
        <v>109</v>
      </c>
      <c r="AH1383" s="1">
        <v>4</v>
      </c>
      <c r="AI1383" s="1" t="s">
        <v>109</v>
      </c>
      <c r="AJ1383" s="1" t="s">
        <v>109</v>
      </c>
      <c r="AK1383" s="1" t="s">
        <v>109</v>
      </c>
      <c r="AL1383" s="1" t="s">
        <v>109</v>
      </c>
      <c r="AM1383" s="1" t="s">
        <v>109</v>
      </c>
      <c r="AN1383" s="1" t="s">
        <v>109</v>
      </c>
      <c r="AO1383" s="1" t="s">
        <v>109</v>
      </c>
      <c r="AP1383" s="1"/>
      <c r="AQ1383" s="1">
        <v>4</v>
      </c>
      <c r="AR1383" s="1"/>
      <c r="AS1383" s="1" t="s">
        <v>10832</v>
      </c>
      <c r="AT1383" s="1">
        <v>0</v>
      </c>
      <c r="AU1383" s="1">
        <v>0</v>
      </c>
      <c r="AV1383" s="1">
        <v>0</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5" t="str">
        <f>HYPERLINK("http://www.d20pfsrd.com/magic/all-spells/v/viper-bomb-admixture","Viper Bomb Admixture")</f>
        <v>Viper Bomb Admixture</v>
      </c>
      <c r="BT1383" s="1">
        <v>1430</v>
      </c>
      <c r="BU1383" s="1" t="s">
        <v>109</v>
      </c>
      <c r="BV1383" s="1"/>
      <c r="BW1383" s="1"/>
      <c r="BX1383" s="1"/>
      <c r="BY1383" s="1"/>
      <c r="BZ1383" s="1">
        <v>0</v>
      </c>
      <c r="CA1383" s="1" t="s">
        <v>109</v>
      </c>
      <c r="CB1383" s="1" t="s">
        <v>109</v>
      </c>
      <c r="CC1383" s="1" t="s">
        <v>109</v>
      </c>
      <c r="CD1383" s="1" t="s">
        <v>109</v>
      </c>
      <c r="CE1383" s="1" t="s">
        <v>109</v>
      </c>
      <c r="CF1383" s="1" t="s">
        <v>109</v>
      </c>
      <c r="CG1383" s="1" t="s">
        <v>109</v>
      </c>
      <c r="CH1383" s="1" t="s">
        <v>109</v>
      </c>
      <c r="CI1383" s="1" t="s">
        <v>109</v>
      </c>
      <c r="CJ1383" s="1" t="s">
        <v>109</v>
      </c>
      <c r="CK1383" s="1"/>
      <c r="CL1383" s="1">
        <v>0</v>
      </c>
      <c r="CM1383" s="1">
        <v>0</v>
      </c>
      <c r="CN1383" s="1">
        <v>0</v>
      </c>
    </row>
    <row r="1384" spans="1:92" ht="14.25" customHeight="1" x14ac:dyDescent="0.15">
      <c r="A1384" s="1" t="s">
        <v>10833</v>
      </c>
      <c r="B1384" s="1" t="s">
        <v>95</v>
      </c>
      <c r="C1384" s="1" t="s">
        <v>1522</v>
      </c>
      <c r="D1384" s="1"/>
      <c r="E1384" s="1" t="s">
        <v>10834</v>
      </c>
      <c r="F1384" s="1" t="s">
        <v>98</v>
      </c>
      <c r="G1384" s="1" t="s">
        <v>10835</v>
      </c>
      <c r="H1384" s="1">
        <v>0</v>
      </c>
      <c r="I1384" s="1" t="s">
        <v>235</v>
      </c>
      <c r="J1384" s="1"/>
      <c r="K1384" s="1"/>
      <c r="L1384" s="1" t="s">
        <v>236</v>
      </c>
      <c r="M1384" s="1" t="s">
        <v>125</v>
      </c>
      <c r="N1384" s="1">
        <v>0</v>
      </c>
      <c r="O1384" s="1">
        <v>0</v>
      </c>
      <c r="P1384" s="1"/>
      <c r="Q1384" s="1"/>
      <c r="R1384" s="1" t="s">
        <v>10836</v>
      </c>
      <c r="S1384" s="1" t="s">
        <v>10837</v>
      </c>
      <c r="T1384" s="1" t="s">
        <v>9888</v>
      </c>
      <c r="U1384" s="1" t="s">
        <v>10838</v>
      </c>
      <c r="V1384" s="1">
        <v>1</v>
      </c>
      <c r="W1384" s="1">
        <v>1</v>
      </c>
      <c r="X1384" s="1">
        <v>1</v>
      </c>
      <c r="Y1384" s="1">
        <v>0</v>
      </c>
      <c r="Z1384" s="1">
        <v>0</v>
      </c>
      <c r="AA1384" s="1">
        <v>7</v>
      </c>
      <c r="AB1384" s="1">
        <v>7</v>
      </c>
      <c r="AC1384" s="1" t="s">
        <v>109</v>
      </c>
      <c r="AD1384" s="1" t="s">
        <v>109</v>
      </c>
      <c r="AE1384" s="1" t="s">
        <v>109</v>
      </c>
      <c r="AF1384" s="1" t="s">
        <v>109</v>
      </c>
      <c r="AG1384" s="1" t="s">
        <v>109</v>
      </c>
      <c r="AH1384" s="1">
        <v>6</v>
      </c>
      <c r="AI1384" s="1">
        <v>6</v>
      </c>
      <c r="AJ1384" s="1">
        <v>7</v>
      </c>
      <c r="AK1384" s="1" t="s">
        <v>109</v>
      </c>
      <c r="AL1384" s="1" t="s">
        <v>109</v>
      </c>
      <c r="AM1384" s="1" t="s">
        <v>109</v>
      </c>
      <c r="AN1384" s="1">
        <v>6</v>
      </c>
      <c r="AO1384" s="1" t="s">
        <v>109</v>
      </c>
      <c r="AP1384" s="1"/>
      <c r="AQ1384" s="1">
        <v>7</v>
      </c>
      <c r="AR1384" s="1"/>
      <c r="AS1384" s="1" t="s">
        <v>10839</v>
      </c>
      <c r="AT1384" s="1">
        <v>0</v>
      </c>
      <c r="AU1384" s="1">
        <v>0</v>
      </c>
      <c r="AV1384" s="1">
        <v>0</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5" t="str">
        <f>HYPERLINK("http://www.d20pfsrd.com/magic/all-spells/w/walk-through-space","Walk through Space")</f>
        <v>Walk through Space</v>
      </c>
      <c r="BT1384" s="1">
        <v>1431</v>
      </c>
      <c r="BU1384" s="1" t="s">
        <v>109</v>
      </c>
      <c r="BV1384" s="1"/>
      <c r="BW1384" s="1"/>
      <c r="BX1384" s="1"/>
      <c r="BY1384" s="1"/>
      <c r="BZ1384" s="1">
        <v>0</v>
      </c>
      <c r="CA1384" s="1" t="s">
        <v>109</v>
      </c>
      <c r="CB1384" s="1" t="s">
        <v>109</v>
      </c>
      <c r="CC1384" s="1">
        <v>7</v>
      </c>
      <c r="CD1384" s="1" t="s">
        <v>109</v>
      </c>
      <c r="CE1384" s="1" t="s">
        <v>109</v>
      </c>
      <c r="CF1384" s="1" t="s">
        <v>109</v>
      </c>
      <c r="CG1384" s="1" t="s">
        <v>109</v>
      </c>
      <c r="CH1384" s="1" t="s">
        <v>109</v>
      </c>
      <c r="CI1384" s="1" t="s">
        <v>109</v>
      </c>
      <c r="CJ1384" s="1" t="s">
        <v>109</v>
      </c>
      <c r="CK1384" s="1"/>
      <c r="CL1384" s="1">
        <v>0</v>
      </c>
      <c r="CM1384" s="1">
        <v>0</v>
      </c>
      <c r="CN1384" s="1">
        <v>0</v>
      </c>
    </row>
    <row r="1385" spans="1:92" ht="14.25" customHeight="1" x14ac:dyDescent="0.15">
      <c r="A1385" s="1" t="s">
        <v>10840</v>
      </c>
      <c r="B1385" s="1" t="s">
        <v>242</v>
      </c>
      <c r="C1385" s="1"/>
      <c r="D1385" s="1"/>
      <c r="E1385" s="1" t="s">
        <v>10841</v>
      </c>
      <c r="F1385" s="1" t="s">
        <v>98</v>
      </c>
      <c r="G1385" s="1" t="s">
        <v>10842</v>
      </c>
      <c r="H1385" s="1">
        <v>0</v>
      </c>
      <c r="I1385" s="1" t="s">
        <v>235</v>
      </c>
      <c r="J1385" s="1"/>
      <c r="K1385" s="1"/>
      <c r="L1385" s="1" t="s">
        <v>236</v>
      </c>
      <c r="M1385" s="1" t="s">
        <v>125</v>
      </c>
      <c r="N1385" s="1">
        <v>0</v>
      </c>
      <c r="O1385" s="1">
        <v>0</v>
      </c>
      <c r="P1385" s="1"/>
      <c r="Q1385" s="1"/>
      <c r="R1385" s="1" t="s">
        <v>10843</v>
      </c>
      <c r="S1385" s="1" t="s">
        <v>10844</v>
      </c>
      <c r="T1385" s="1" t="s">
        <v>9888</v>
      </c>
      <c r="U1385" s="1" t="s">
        <v>10845</v>
      </c>
      <c r="V1385" s="1">
        <v>1</v>
      </c>
      <c r="W1385" s="1">
        <v>1</v>
      </c>
      <c r="X1385" s="1">
        <v>0</v>
      </c>
      <c r="Y1385" s="1">
        <v>0</v>
      </c>
      <c r="Z1385" s="1">
        <v>0</v>
      </c>
      <c r="AA1385" s="1">
        <v>2</v>
      </c>
      <c r="AB1385" s="1">
        <v>2</v>
      </c>
      <c r="AC1385" s="1" t="s">
        <v>109</v>
      </c>
      <c r="AD1385" s="1" t="s">
        <v>109</v>
      </c>
      <c r="AE1385" s="1" t="s">
        <v>109</v>
      </c>
      <c r="AF1385" s="1" t="s">
        <v>109</v>
      </c>
      <c r="AG1385" s="1" t="s">
        <v>109</v>
      </c>
      <c r="AH1385" s="1" t="s">
        <v>109</v>
      </c>
      <c r="AI1385" s="1">
        <v>2</v>
      </c>
      <c r="AJ1385" s="1" t="s">
        <v>109</v>
      </c>
      <c r="AK1385" s="1" t="s">
        <v>109</v>
      </c>
      <c r="AL1385" s="1" t="s">
        <v>109</v>
      </c>
      <c r="AM1385" s="1" t="s">
        <v>109</v>
      </c>
      <c r="AN1385" s="1">
        <v>1</v>
      </c>
      <c r="AO1385" s="1" t="s">
        <v>109</v>
      </c>
      <c r="AP1385" s="1"/>
      <c r="AQ1385" s="1">
        <v>2</v>
      </c>
      <c r="AR1385" s="1" t="s">
        <v>10846</v>
      </c>
      <c r="AS1385" s="1" t="s">
        <v>10847</v>
      </c>
      <c r="AT1385" s="1">
        <v>0</v>
      </c>
      <c r="AU1385" s="1">
        <v>0</v>
      </c>
      <c r="AV1385" s="1">
        <v>0</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5" t="str">
        <f>HYPERLINK("http://www.d20pfsrd.com/magic/all-spells/w/warding-weapon","Warding Weapon")</f>
        <v>Warding Weapon</v>
      </c>
      <c r="BT1385" s="1">
        <v>1432</v>
      </c>
      <c r="BU1385" s="1" t="s">
        <v>109</v>
      </c>
      <c r="BV1385" s="1"/>
      <c r="BW1385" s="1"/>
      <c r="BX1385" s="1"/>
      <c r="BY1385" s="1"/>
      <c r="BZ1385" s="1">
        <v>0</v>
      </c>
      <c r="CA1385" s="1">
        <v>1</v>
      </c>
      <c r="CB1385" s="1" t="s">
        <v>109</v>
      </c>
      <c r="CC1385" s="1">
        <v>2</v>
      </c>
      <c r="CD1385" s="1" t="s">
        <v>109</v>
      </c>
      <c r="CE1385" s="1" t="s">
        <v>109</v>
      </c>
      <c r="CF1385" s="1">
        <v>1</v>
      </c>
      <c r="CG1385" s="1" t="s">
        <v>109</v>
      </c>
      <c r="CH1385" s="1" t="s">
        <v>109</v>
      </c>
      <c r="CI1385" s="1" t="s">
        <v>109</v>
      </c>
      <c r="CJ1385" s="1" t="s">
        <v>109</v>
      </c>
      <c r="CK1385" s="1"/>
      <c r="CL1385" s="1">
        <v>0</v>
      </c>
      <c r="CM1385" s="1">
        <v>0</v>
      </c>
      <c r="CN1385" s="1">
        <v>0</v>
      </c>
    </row>
    <row r="1386" spans="1:92" ht="14.25" customHeight="1" x14ac:dyDescent="0.15">
      <c r="A1386" s="1" t="s">
        <v>10848</v>
      </c>
      <c r="B1386" s="1" t="s">
        <v>189</v>
      </c>
      <c r="C1386" s="1"/>
      <c r="D1386" s="1" t="s">
        <v>70</v>
      </c>
      <c r="E1386" s="1" t="s">
        <v>10849</v>
      </c>
      <c r="F1386" s="1" t="s">
        <v>98</v>
      </c>
      <c r="G1386" s="1" t="s">
        <v>160</v>
      </c>
      <c r="H1386" s="1">
        <v>0</v>
      </c>
      <c r="I1386" s="1" t="s">
        <v>161</v>
      </c>
      <c r="J1386" s="1"/>
      <c r="K1386" s="1"/>
      <c r="L1386" s="1" t="s">
        <v>9929</v>
      </c>
      <c r="M1386" s="1" t="s">
        <v>367</v>
      </c>
      <c r="N1386" s="1">
        <v>1</v>
      </c>
      <c r="O1386" s="1">
        <v>0</v>
      </c>
      <c r="P1386" s="1" t="s">
        <v>507</v>
      </c>
      <c r="Q1386" s="1" t="s">
        <v>167</v>
      </c>
      <c r="R1386" s="1" t="s">
        <v>10850</v>
      </c>
      <c r="S1386" s="1" t="s">
        <v>10851</v>
      </c>
      <c r="T1386" s="1" t="s">
        <v>9888</v>
      </c>
      <c r="U1386" s="1" t="s">
        <v>10852</v>
      </c>
      <c r="V1386" s="1">
        <v>1</v>
      </c>
      <c r="W1386" s="1">
        <v>1</v>
      </c>
      <c r="X1386" s="1">
        <v>0</v>
      </c>
      <c r="Y1386" s="1">
        <v>0</v>
      </c>
      <c r="Z1386" s="1">
        <v>1</v>
      </c>
      <c r="AA1386" s="1" t="s">
        <v>109</v>
      </c>
      <c r="AB1386" s="1" t="s">
        <v>109</v>
      </c>
      <c r="AC1386" s="1">
        <v>2</v>
      </c>
      <c r="AD1386" s="1" t="s">
        <v>109</v>
      </c>
      <c r="AE1386" s="1">
        <v>2</v>
      </c>
      <c r="AF1386" s="1" t="s">
        <v>109</v>
      </c>
      <c r="AG1386" s="1" t="s">
        <v>109</v>
      </c>
      <c r="AH1386" s="1" t="s">
        <v>109</v>
      </c>
      <c r="AI1386" s="1" t="s">
        <v>109</v>
      </c>
      <c r="AJ1386" s="1" t="s">
        <v>109</v>
      </c>
      <c r="AK1386" s="1" t="s">
        <v>109</v>
      </c>
      <c r="AL1386" s="1">
        <v>2</v>
      </c>
      <c r="AM1386" s="1" t="s">
        <v>109</v>
      </c>
      <c r="AN1386" s="1" t="s">
        <v>109</v>
      </c>
      <c r="AO1386" s="1" t="s">
        <v>109</v>
      </c>
      <c r="AP1386" s="1"/>
      <c r="AQ1386" s="1">
        <v>2</v>
      </c>
      <c r="AR1386" s="1"/>
      <c r="AS1386" s="1" t="s">
        <v>10853</v>
      </c>
      <c r="AT1386" s="1">
        <v>0</v>
      </c>
      <c r="AU1386" s="1">
        <v>0</v>
      </c>
      <c r="AV1386" s="1">
        <v>0</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1</v>
      </c>
      <c r="BS1386" s="5" t="str">
        <f>HYPERLINK("http://www.d20pfsrd.com/magic/all-spells/w/water-walk#TOC-Water-Walk-Communal","Water Walk, Communal")</f>
        <v>Water Walk, Communal</v>
      </c>
      <c r="BT1386" s="1">
        <v>1433</v>
      </c>
      <c r="BU1386" s="1" t="s">
        <v>109</v>
      </c>
      <c r="BV1386" s="1"/>
      <c r="BW1386" s="1"/>
      <c r="BX1386" s="1"/>
      <c r="BY1386" s="1"/>
      <c r="BZ1386" s="1">
        <v>0</v>
      </c>
      <c r="CA1386" s="1" t="s">
        <v>109</v>
      </c>
      <c r="CB1386" s="1" t="s">
        <v>109</v>
      </c>
      <c r="CC1386" s="1">
        <v>4</v>
      </c>
      <c r="CD1386" s="1" t="s">
        <v>109</v>
      </c>
      <c r="CE1386" s="1" t="s">
        <v>109</v>
      </c>
      <c r="CF1386" s="1" t="s">
        <v>109</v>
      </c>
      <c r="CG1386" s="1" t="s">
        <v>109</v>
      </c>
      <c r="CH1386" s="1" t="s">
        <v>109</v>
      </c>
      <c r="CI1386" s="1" t="s">
        <v>109</v>
      </c>
      <c r="CJ1386" s="1">
        <v>2</v>
      </c>
      <c r="CK1386" s="1"/>
      <c r="CL1386" s="1">
        <v>0</v>
      </c>
      <c r="CM1386" s="1">
        <v>0</v>
      </c>
      <c r="CN1386" s="1">
        <v>0</v>
      </c>
    </row>
    <row r="1387" spans="1:92" ht="14.25" customHeight="1" x14ac:dyDescent="0.15">
      <c r="A1387" s="1" t="s">
        <v>10854</v>
      </c>
      <c r="B1387" s="1" t="s">
        <v>189</v>
      </c>
      <c r="C1387" s="1"/>
      <c r="D1387" s="1"/>
      <c r="E1387" s="1" t="s">
        <v>10041</v>
      </c>
      <c r="F1387" s="1" t="s">
        <v>98</v>
      </c>
      <c r="G1387" s="1" t="s">
        <v>10855</v>
      </c>
      <c r="H1387" s="1">
        <v>0</v>
      </c>
      <c r="I1387" s="1" t="s">
        <v>142</v>
      </c>
      <c r="J1387" s="1"/>
      <c r="K1387" s="1"/>
      <c r="L1387" s="1" t="s">
        <v>10043</v>
      </c>
      <c r="M1387" s="1" t="s">
        <v>144</v>
      </c>
      <c r="N1387" s="1">
        <v>0</v>
      </c>
      <c r="O1387" s="1">
        <v>0</v>
      </c>
      <c r="P1387" s="1" t="s">
        <v>629</v>
      </c>
      <c r="Q1387" s="1" t="s">
        <v>630</v>
      </c>
      <c r="R1387" s="1" t="s">
        <v>10856</v>
      </c>
      <c r="S1387" s="1" t="s">
        <v>10857</v>
      </c>
      <c r="T1387" s="1" t="s">
        <v>9888</v>
      </c>
      <c r="U1387" s="1" t="s">
        <v>10858</v>
      </c>
      <c r="V1387" s="1">
        <v>1</v>
      </c>
      <c r="W1387" s="1">
        <v>1</v>
      </c>
      <c r="X1387" s="1">
        <v>1</v>
      </c>
      <c r="Y1387" s="1">
        <v>0</v>
      </c>
      <c r="Z1387" s="1">
        <v>1</v>
      </c>
      <c r="AA1387" s="1">
        <v>1</v>
      </c>
      <c r="AB1387" s="1">
        <v>1</v>
      </c>
      <c r="AC1387" s="1" t="s">
        <v>109</v>
      </c>
      <c r="AD1387" s="1">
        <v>1</v>
      </c>
      <c r="AE1387" s="1" t="s">
        <v>109</v>
      </c>
      <c r="AF1387" s="1" t="s">
        <v>109</v>
      </c>
      <c r="AG1387" s="1" t="s">
        <v>109</v>
      </c>
      <c r="AH1387" s="1" t="s">
        <v>109</v>
      </c>
      <c r="AI1387" s="1" t="s">
        <v>109</v>
      </c>
      <c r="AJ1387" s="1">
        <v>1</v>
      </c>
      <c r="AK1387" s="1" t="s">
        <v>109</v>
      </c>
      <c r="AL1387" s="1" t="s">
        <v>109</v>
      </c>
      <c r="AM1387" s="1" t="s">
        <v>109</v>
      </c>
      <c r="AN1387" s="1" t="s">
        <v>109</v>
      </c>
      <c r="AO1387" s="1" t="s">
        <v>109</v>
      </c>
      <c r="AP1387" s="1"/>
      <c r="AQ1387" s="1">
        <v>1</v>
      </c>
      <c r="AR1387" s="1"/>
      <c r="AS1387" s="1" t="s">
        <v>10859</v>
      </c>
      <c r="AT1387" s="1">
        <v>0</v>
      </c>
      <c r="AU1387" s="1">
        <v>0</v>
      </c>
      <c r="AV1387" s="1">
        <v>0</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5" t="str">
        <f>HYPERLINK("http://www.d20pfsrd.com/magic/all-spells/w/weaken-powder","Weaken Powder")</f>
        <v>Weaken Powder</v>
      </c>
      <c r="BT1387" s="1">
        <v>1434</v>
      </c>
      <c r="BU1387" s="1" t="s">
        <v>109</v>
      </c>
      <c r="BV1387" s="1"/>
      <c r="BW1387" s="1"/>
      <c r="BX1387" s="1"/>
      <c r="BY1387" s="1"/>
      <c r="BZ1387" s="1">
        <v>0</v>
      </c>
      <c r="CA1387" s="1" t="s">
        <v>109</v>
      </c>
      <c r="CB1387" s="1" t="s">
        <v>109</v>
      </c>
      <c r="CC1387" s="1" t="s">
        <v>109</v>
      </c>
      <c r="CD1387" s="1" t="s">
        <v>109</v>
      </c>
      <c r="CE1387" s="1" t="s">
        <v>109</v>
      </c>
      <c r="CF1387" s="1" t="s">
        <v>109</v>
      </c>
      <c r="CG1387" s="1" t="s">
        <v>109</v>
      </c>
      <c r="CH1387" s="1" t="s">
        <v>109</v>
      </c>
      <c r="CI1387" s="1" t="s">
        <v>109</v>
      </c>
      <c r="CJ1387" s="1">
        <v>1</v>
      </c>
      <c r="CK1387" s="1"/>
      <c r="CL1387" s="1">
        <v>0</v>
      </c>
      <c r="CM1387" s="1">
        <v>0</v>
      </c>
      <c r="CN1387" s="1">
        <v>0</v>
      </c>
    </row>
    <row r="1388" spans="1:92" ht="14.25" customHeight="1" x14ac:dyDescent="0.15">
      <c r="A1388" s="1" t="s">
        <v>10860</v>
      </c>
      <c r="B1388" s="1" t="s">
        <v>189</v>
      </c>
      <c r="C1388" s="1"/>
      <c r="D1388" s="1"/>
      <c r="E1388" s="1" t="s">
        <v>4840</v>
      </c>
      <c r="F1388" s="1" t="s">
        <v>98</v>
      </c>
      <c r="G1388" s="1" t="s">
        <v>141</v>
      </c>
      <c r="H1388" s="1">
        <v>0</v>
      </c>
      <c r="I1388" s="1" t="s">
        <v>1192</v>
      </c>
      <c r="J1388" s="1" t="s">
        <v>10861</v>
      </c>
      <c r="K1388" s="1"/>
      <c r="L1388" s="1"/>
      <c r="M1388" s="1" t="s">
        <v>125</v>
      </c>
      <c r="N1388" s="1">
        <v>0</v>
      </c>
      <c r="O1388" s="1">
        <v>0</v>
      </c>
      <c r="P1388" s="1" t="s">
        <v>103</v>
      </c>
      <c r="Q1388" s="1" t="s">
        <v>104</v>
      </c>
      <c r="R1388" s="1" t="s">
        <v>10862</v>
      </c>
      <c r="S1388" s="1" t="s">
        <v>10863</v>
      </c>
      <c r="T1388" s="1" t="s">
        <v>9888</v>
      </c>
      <c r="U1388" s="1" t="s">
        <v>10864</v>
      </c>
      <c r="V1388" s="1">
        <v>1</v>
      </c>
      <c r="W1388" s="1">
        <v>1</v>
      </c>
      <c r="X1388" s="1">
        <v>0</v>
      </c>
      <c r="Y1388" s="1">
        <v>0</v>
      </c>
      <c r="Z1388" s="1">
        <v>0</v>
      </c>
      <c r="AA1388" s="1" t="s">
        <v>109</v>
      </c>
      <c r="AB1388" s="1" t="s">
        <v>109</v>
      </c>
      <c r="AC1388" s="1" t="s">
        <v>109</v>
      </c>
      <c r="AD1388" s="1">
        <v>2</v>
      </c>
      <c r="AE1388" s="1">
        <v>2</v>
      </c>
      <c r="AF1388" s="1" t="s">
        <v>109</v>
      </c>
      <c r="AG1388" s="1" t="s">
        <v>109</v>
      </c>
      <c r="AH1388" s="1" t="s">
        <v>109</v>
      </c>
      <c r="AI1388" s="1" t="s">
        <v>109</v>
      </c>
      <c r="AJ1388" s="1" t="s">
        <v>109</v>
      </c>
      <c r="AK1388" s="1" t="s">
        <v>109</v>
      </c>
      <c r="AL1388" s="1" t="s">
        <v>109</v>
      </c>
      <c r="AM1388" s="1" t="s">
        <v>109</v>
      </c>
      <c r="AN1388" s="1" t="s">
        <v>109</v>
      </c>
      <c r="AO1388" s="1" t="s">
        <v>109</v>
      </c>
      <c r="AP1388" s="1"/>
      <c r="AQ1388" s="1">
        <v>2</v>
      </c>
      <c r="AR1388" s="1"/>
      <c r="AS1388" s="1" t="s">
        <v>10865</v>
      </c>
      <c r="AT1388" s="1">
        <v>0</v>
      </c>
      <c r="AU1388" s="1">
        <v>0</v>
      </c>
      <c r="AV1388" s="1">
        <v>0</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5" t="str">
        <f>HYPERLINK("http://www.d20pfsrd.com/magic/all-spells/w/wilderness-soldiers","Wilderness Soldiers")</f>
        <v>Wilderness Soldiers</v>
      </c>
      <c r="BT1388" s="1">
        <v>1435</v>
      </c>
      <c r="BU1388" s="1" t="s">
        <v>109</v>
      </c>
      <c r="BV1388" s="1"/>
      <c r="BW1388" s="1"/>
      <c r="BX1388" s="1"/>
      <c r="BY1388" s="1"/>
      <c r="BZ1388" s="1">
        <v>0</v>
      </c>
      <c r="CA1388" s="1" t="s">
        <v>109</v>
      </c>
      <c r="CB1388" s="1" t="s">
        <v>109</v>
      </c>
      <c r="CC1388" s="1" t="s">
        <v>109</v>
      </c>
      <c r="CD1388" s="1" t="s">
        <v>109</v>
      </c>
      <c r="CE1388" s="1" t="s">
        <v>109</v>
      </c>
      <c r="CF1388" s="1" t="s">
        <v>109</v>
      </c>
      <c r="CG1388" s="1" t="s">
        <v>109</v>
      </c>
      <c r="CH1388" s="1" t="s">
        <v>109</v>
      </c>
      <c r="CI1388" s="1" t="s">
        <v>109</v>
      </c>
      <c r="CJ1388" s="1">
        <v>2</v>
      </c>
      <c r="CK1388" s="1"/>
      <c r="CL1388" s="1">
        <v>0</v>
      </c>
      <c r="CM1388" s="1">
        <v>0</v>
      </c>
      <c r="CN1388" s="1">
        <v>0</v>
      </c>
    </row>
    <row r="1389" spans="1:92" ht="14.25" customHeight="1" x14ac:dyDescent="0.15">
      <c r="A1389" s="1" t="s">
        <v>10866</v>
      </c>
      <c r="B1389" s="1" t="s">
        <v>242</v>
      </c>
      <c r="C1389" s="1"/>
      <c r="D1389" s="1"/>
      <c r="E1389" s="1" t="s">
        <v>10867</v>
      </c>
      <c r="F1389" s="1" t="s">
        <v>98</v>
      </c>
      <c r="G1389" s="1" t="s">
        <v>10868</v>
      </c>
      <c r="H1389" s="1">
        <v>1</v>
      </c>
      <c r="I1389" s="1" t="s">
        <v>235</v>
      </c>
      <c r="J1389" s="1" t="s">
        <v>10869</v>
      </c>
      <c r="K1389" s="1"/>
      <c r="L1389" s="1" t="s">
        <v>236</v>
      </c>
      <c r="M1389" s="1" t="s">
        <v>125</v>
      </c>
      <c r="N1389" s="1">
        <v>0</v>
      </c>
      <c r="O1389" s="1">
        <v>0</v>
      </c>
      <c r="P1389" s="1" t="s">
        <v>10870</v>
      </c>
      <c r="Q1389" s="1" t="s">
        <v>10871</v>
      </c>
      <c r="R1389" s="1" t="s">
        <v>10872</v>
      </c>
      <c r="S1389" s="1" t="s">
        <v>10873</v>
      </c>
      <c r="T1389" s="1" t="s">
        <v>9888</v>
      </c>
      <c r="U1389" s="1" t="s">
        <v>10874</v>
      </c>
      <c r="V1389" s="1">
        <v>1</v>
      </c>
      <c r="W1389" s="1">
        <v>1</v>
      </c>
      <c r="X1389" s="1">
        <v>0</v>
      </c>
      <c r="Y1389" s="1">
        <v>0</v>
      </c>
      <c r="Z1389" s="1">
        <v>0</v>
      </c>
      <c r="AA1389" s="1">
        <v>5</v>
      </c>
      <c r="AB1389" s="1">
        <v>5</v>
      </c>
      <c r="AC1389" s="1" t="s">
        <v>109</v>
      </c>
      <c r="AD1389" s="1" t="s">
        <v>109</v>
      </c>
      <c r="AE1389" s="1" t="s">
        <v>109</v>
      </c>
      <c r="AF1389" s="1" t="s">
        <v>109</v>
      </c>
      <c r="AG1389" s="1" t="s">
        <v>109</v>
      </c>
      <c r="AH1389" s="1" t="s">
        <v>109</v>
      </c>
      <c r="AI1389" s="1">
        <v>5</v>
      </c>
      <c r="AJ1389" s="1">
        <v>5</v>
      </c>
      <c r="AK1389" s="1" t="s">
        <v>109</v>
      </c>
      <c r="AL1389" s="1" t="s">
        <v>109</v>
      </c>
      <c r="AM1389" s="1" t="s">
        <v>109</v>
      </c>
      <c r="AN1389" s="1">
        <v>4</v>
      </c>
      <c r="AO1389" s="1" t="s">
        <v>109</v>
      </c>
      <c r="AP1389" s="1"/>
      <c r="AQ1389" s="1">
        <v>5</v>
      </c>
      <c r="AR1389" s="1"/>
      <c r="AS1389" s="1" t="s">
        <v>10875</v>
      </c>
      <c r="AT1389" s="1">
        <v>0</v>
      </c>
      <c r="AU1389" s="1">
        <v>0</v>
      </c>
      <c r="AV1389" s="1">
        <v>0</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5" t="str">
        <f>HYPERLINK("http://www.d20pfsrd.com/magic/all-spells/w/wreath-of-blades","Wreath of Blades")</f>
        <v>Wreath of Blades</v>
      </c>
      <c r="BT1389" s="1">
        <v>1436</v>
      </c>
      <c r="BU1389" s="1">
        <v>502</v>
      </c>
      <c r="BV1389" s="1"/>
      <c r="BW1389" s="1"/>
      <c r="BX1389" s="1"/>
      <c r="BY1389" s="1"/>
      <c r="BZ1389" s="1">
        <v>0</v>
      </c>
      <c r="CA1389" s="1">
        <v>4</v>
      </c>
      <c r="CB1389" s="1" t="s">
        <v>109</v>
      </c>
      <c r="CC1389" s="1">
        <v>5</v>
      </c>
      <c r="CD1389" s="1" t="s">
        <v>109</v>
      </c>
      <c r="CE1389" s="1" t="s">
        <v>109</v>
      </c>
      <c r="CF1389" s="1">
        <v>4</v>
      </c>
      <c r="CG1389" s="1" t="s">
        <v>109</v>
      </c>
      <c r="CH1389" s="1" t="s">
        <v>109</v>
      </c>
      <c r="CI1389" s="1" t="s">
        <v>109</v>
      </c>
      <c r="CJ1389" s="1" t="s">
        <v>109</v>
      </c>
      <c r="CK1389" s="1"/>
      <c r="CL1389" s="1">
        <v>0</v>
      </c>
      <c r="CM1389" s="1">
        <v>0</v>
      </c>
      <c r="CN1389" s="1">
        <v>0</v>
      </c>
    </row>
    <row r="1390" spans="1:92" ht="14.25" customHeight="1" x14ac:dyDescent="0.15">
      <c r="A1390" s="1" t="s">
        <v>10876</v>
      </c>
      <c r="B1390" s="1" t="s">
        <v>189</v>
      </c>
      <c r="C1390" s="1" t="s">
        <v>231</v>
      </c>
      <c r="D1390" s="1"/>
      <c r="E1390" s="1" t="s">
        <v>10877</v>
      </c>
      <c r="F1390" s="1" t="s">
        <v>98</v>
      </c>
      <c r="G1390" s="1" t="s">
        <v>160</v>
      </c>
      <c r="H1390" s="1">
        <v>0</v>
      </c>
      <c r="I1390" s="1" t="s">
        <v>235</v>
      </c>
      <c r="J1390" s="1"/>
      <c r="K1390" s="1"/>
      <c r="L1390" s="1" t="s">
        <v>236</v>
      </c>
      <c r="M1390" s="1" t="s">
        <v>3042</v>
      </c>
      <c r="N1390" s="1">
        <v>0</v>
      </c>
      <c r="O1390" s="1">
        <v>0</v>
      </c>
      <c r="P1390" s="1"/>
      <c r="Q1390" s="1"/>
      <c r="R1390" s="1" t="s">
        <v>10878</v>
      </c>
      <c r="S1390" s="1" t="s">
        <v>10879</v>
      </c>
      <c r="T1390" s="1" t="s">
        <v>10880</v>
      </c>
      <c r="U1390" s="1" t="s">
        <v>10881</v>
      </c>
      <c r="V1390" s="1">
        <v>1</v>
      </c>
      <c r="W1390" s="1">
        <v>1</v>
      </c>
      <c r="X1390" s="1">
        <v>0</v>
      </c>
      <c r="Y1390" s="1">
        <v>0</v>
      </c>
      <c r="Z1390" s="1">
        <v>1</v>
      </c>
      <c r="AA1390" s="1" t="s">
        <v>109</v>
      </c>
      <c r="AB1390" s="1" t="s">
        <v>109</v>
      </c>
      <c r="AC1390" s="1">
        <v>1</v>
      </c>
      <c r="AD1390" s="1">
        <v>1</v>
      </c>
      <c r="AE1390" s="1">
        <v>1</v>
      </c>
      <c r="AF1390" s="1">
        <v>1</v>
      </c>
      <c r="AG1390" s="1">
        <v>1</v>
      </c>
      <c r="AH1390" s="1" t="s">
        <v>109</v>
      </c>
      <c r="AI1390" s="1" t="s">
        <v>109</v>
      </c>
      <c r="AJ1390" s="1" t="s">
        <v>109</v>
      </c>
      <c r="AK1390" s="1" t="s">
        <v>109</v>
      </c>
      <c r="AL1390" s="1">
        <v>1</v>
      </c>
      <c r="AM1390" s="1" t="s">
        <v>109</v>
      </c>
      <c r="AN1390" s="1" t="s">
        <v>109</v>
      </c>
      <c r="AO1390" s="1" t="s">
        <v>109</v>
      </c>
      <c r="AP1390" s="1" t="s">
        <v>7814</v>
      </c>
      <c r="AQ1390" s="1">
        <v>1</v>
      </c>
      <c r="AR1390" s="1"/>
      <c r="AS1390" s="1"/>
      <c r="AT1390" s="1">
        <v>0</v>
      </c>
      <c r="AU1390" s="1">
        <v>0</v>
      </c>
      <c r="AV1390" s="1">
        <v>0</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t="s">
        <v>109</v>
      </c>
      <c r="BT1390" s="1">
        <v>1437</v>
      </c>
      <c r="BU1390" s="1" t="s">
        <v>109</v>
      </c>
      <c r="BV1390" s="1"/>
      <c r="BW1390" s="1"/>
      <c r="BX1390" s="1"/>
      <c r="BY1390" s="1"/>
      <c r="BZ1390" s="1">
        <v>0</v>
      </c>
      <c r="CA1390" s="1" t="s">
        <v>109</v>
      </c>
      <c r="CB1390" s="1" t="s">
        <v>109</v>
      </c>
      <c r="CC1390" s="1" t="s">
        <v>109</v>
      </c>
      <c r="CD1390" s="1" t="s">
        <v>109</v>
      </c>
      <c r="CE1390" s="1" t="s">
        <v>109</v>
      </c>
      <c r="CF1390" s="1" t="s">
        <v>109</v>
      </c>
      <c r="CG1390" s="1" t="s">
        <v>109</v>
      </c>
      <c r="CH1390" s="1" t="s">
        <v>109</v>
      </c>
      <c r="CI1390" s="1" t="s">
        <v>109</v>
      </c>
      <c r="CJ1390" s="1">
        <v>1</v>
      </c>
      <c r="CK1390" s="1"/>
      <c r="CL1390" s="1">
        <v>0</v>
      </c>
      <c r="CM1390" s="1">
        <v>0</v>
      </c>
      <c r="CN1390" s="1">
        <v>0</v>
      </c>
    </row>
    <row r="1391" spans="1:92" ht="14.25" customHeight="1" x14ac:dyDescent="0.15">
      <c r="A1391" s="1" t="s">
        <v>10882</v>
      </c>
      <c r="B1391" s="1" t="s">
        <v>308</v>
      </c>
      <c r="C1391" s="1" t="s">
        <v>231</v>
      </c>
      <c r="D1391" s="1" t="s">
        <v>57</v>
      </c>
      <c r="E1391" s="1" t="s">
        <v>10883</v>
      </c>
      <c r="F1391" s="1" t="s">
        <v>355</v>
      </c>
      <c r="G1391" s="1" t="s">
        <v>141</v>
      </c>
      <c r="H1391" s="1">
        <v>0</v>
      </c>
      <c r="I1391" s="1" t="s">
        <v>161</v>
      </c>
      <c r="J1391" s="1"/>
      <c r="K1391" s="1"/>
      <c r="L1391" s="1" t="s">
        <v>1391</v>
      </c>
      <c r="M1391" s="1" t="s">
        <v>3042</v>
      </c>
      <c r="N1391" s="1">
        <v>0</v>
      </c>
      <c r="O1391" s="1">
        <v>0</v>
      </c>
      <c r="P1391" s="1" t="s">
        <v>301</v>
      </c>
      <c r="Q1391" s="1" t="s">
        <v>268</v>
      </c>
      <c r="R1391" s="1" t="s">
        <v>10884</v>
      </c>
      <c r="S1391" s="1" t="s">
        <v>10885</v>
      </c>
      <c r="T1391" s="1" t="s">
        <v>10886</v>
      </c>
      <c r="U1391" s="1" t="s">
        <v>10887</v>
      </c>
      <c r="V1391" s="1">
        <v>1</v>
      </c>
      <c r="W1391" s="1">
        <v>1</v>
      </c>
      <c r="X1391" s="1">
        <v>0</v>
      </c>
      <c r="Y1391" s="1">
        <v>0</v>
      </c>
      <c r="Z1391" s="1">
        <v>0</v>
      </c>
      <c r="AA1391" s="1">
        <v>3</v>
      </c>
      <c r="AB1391" s="1">
        <v>3</v>
      </c>
      <c r="AC1391" s="1">
        <v>3</v>
      </c>
      <c r="AD1391" s="1">
        <v>3</v>
      </c>
      <c r="AE1391" s="1" t="s">
        <v>109</v>
      </c>
      <c r="AF1391" s="1" t="s">
        <v>109</v>
      </c>
      <c r="AG1391" s="1" t="s">
        <v>109</v>
      </c>
      <c r="AH1391" s="1" t="s">
        <v>109</v>
      </c>
      <c r="AI1391" s="1" t="s">
        <v>109</v>
      </c>
      <c r="AJ1391" s="1">
        <v>3</v>
      </c>
      <c r="AK1391" s="1" t="s">
        <v>109</v>
      </c>
      <c r="AL1391" s="1">
        <v>3</v>
      </c>
      <c r="AM1391" s="1">
        <v>3</v>
      </c>
      <c r="AN1391" s="1" t="s">
        <v>109</v>
      </c>
      <c r="AO1391" s="1" t="s">
        <v>109</v>
      </c>
      <c r="AP1391" s="1" t="s">
        <v>10888</v>
      </c>
      <c r="AQ1391" s="1">
        <v>3</v>
      </c>
      <c r="AR1391" s="1"/>
      <c r="AS1391" s="1"/>
      <c r="AT1391" s="1">
        <v>0</v>
      </c>
      <c r="AU1391" s="1">
        <v>0</v>
      </c>
      <c r="AV1391" s="1">
        <v>0</v>
      </c>
      <c r="AW1391" s="1">
        <v>0</v>
      </c>
      <c r="AX1391" s="1">
        <v>0</v>
      </c>
      <c r="AY1391" s="1">
        <v>0</v>
      </c>
      <c r="AZ1391" s="1">
        <v>0</v>
      </c>
      <c r="BA1391" s="1">
        <v>0</v>
      </c>
      <c r="BB1391" s="1">
        <v>0</v>
      </c>
      <c r="BC1391" s="1">
        <v>0</v>
      </c>
      <c r="BD1391" s="1">
        <v>0</v>
      </c>
      <c r="BE1391" s="1">
        <v>1</v>
      </c>
      <c r="BF1391" s="1">
        <v>0</v>
      </c>
      <c r="BG1391" s="1">
        <v>0</v>
      </c>
      <c r="BH1391" s="1">
        <v>0</v>
      </c>
      <c r="BI1391" s="1">
        <v>0</v>
      </c>
      <c r="BJ1391" s="1">
        <v>0</v>
      </c>
      <c r="BK1391" s="1">
        <v>0</v>
      </c>
      <c r="BL1391" s="1">
        <v>0</v>
      </c>
      <c r="BM1391" s="1">
        <v>0</v>
      </c>
      <c r="BN1391" s="1">
        <v>0</v>
      </c>
      <c r="BO1391" s="1">
        <v>0</v>
      </c>
      <c r="BP1391" s="1">
        <v>0</v>
      </c>
      <c r="BQ1391" s="1">
        <v>0</v>
      </c>
      <c r="BR1391" s="1">
        <v>0</v>
      </c>
      <c r="BS1391" s="1" t="s">
        <v>109</v>
      </c>
      <c r="BT1391" s="1">
        <v>1443</v>
      </c>
      <c r="BU1391" s="1" t="s">
        <v>109</v>
      </c>
      <c r="BV1391" s="1"/>
      <c r="BW1391" s="1"/>
      <c r="BX1391" s="1"/>
      <c r="BY1391" s="1"/>
      <c r="BZ1391" s="1">
        <v>0</v>
      </c>
      <c r="CA1391" s="1" t="s">
        <v>109</v>
      </c>
      <c r="CB1391" s="1" t="s">
        <v>109</v>
      </c>
      <c r="CC1391" s="1" t="s">
        <v>109</v>
      </c>
      <c r="CD1391" s="1" t="s">
        <v>109</v>
      </c>
      <c r="CE1391" s="1" t="s">
        <v>109</v>
      </c>
      <c r="CF1391" s="1" t="s">
        <v>109</v>
      </c>
      <c r="CG1391" s="1" t="s">
        <v>109</v>
      </c>
      <c r="CH1391" s="1" t="s">
        <v>109</v>
      </c>
      <c r="CI1391" s="1" t="s">
        <v>109</v>
      </c>
      <c r="CJ1391" s="1">
        <v>3</v>
      </c>
      <c r="CK1391" s="1"/>
      <c r="CL1391" s="1">
        <v>0</v>
      </c>
      <c r="CM1391" s="1">
        <v>0</v>
      </c>
      <c r="CN1391" s="1">
        <v>0</v>
      </c>
    </row>
    <row r="1392" spans="1:92" ht="14.25" customHeight="1" x14ac:dyDescent="0.15">
      <c r="A1392" s="1" t="s">
        <v>10889</v>
      </c>
      <c r="B1392" s="1" t="s">
        <v>254</v>
      </c>
      <c r="C1392" s="1"/>
      <c r="D1392" s="1" t="s">
        <v>66</v>
      </c>
      <c r="E1392" s="1" t="s">
        <v>10890</v>
      </c>
      <c r="F1392" s="1" t="s">
        <v>98</v>
      </c>
      <c r="G1392" s="1" t="s">
        <v>141</v>
      </c>
      <c r="H1392" s="1">
        <v>0</v>
      </c>
      <c r="I1392" s="1" t="s">
        <v>122</v>
      </c>
      <c r="J1392" s="1"/>
      <c r="K1392" s="1"/>
      <c r="L1392" s="1" t="s">
        <v>10891</v>
      </c>
      <c r="M1392" s="1" t="s">
        <v>10892</v>
      </c>
      <c r="N1392" s="1">
        <v>0</v>
      </c>
      <c r="O1392" s="1">
        <v>0</v>
      </c>
      <c r="P1392" s="1" t="s">
        <v>7902</v>
      </c>
      <c r="Q1392" s="1" t="s">
        <v>9440</v>
      </c>
      <c r="R1392" s="1" t="s">
        <v>10893</v>
      </c>
      <c r="S1392" s="1" t="s">
        <v>10894</v>
      </c>
      <c r="T1392" s="1" t="s">
        <v>10895</v>
      </c>
      <c r="U1392" s="1" t="s">
        <v>10896</v>
      </c>
      <c r="V1392" s="1">
        <v>1</v>
      </c>
      <c r="W1392" s="1">
        <v>1</v>
      </c>
      <c r="X1392" s="1">
        <v>0</v>
      </c>
      <c r="Y1392" s="1">
        <v>0</v>
      </c>
      <c r="Z1392" s="1">
        <v>0</v>
      </c>
      <c r="AA1392" s="1">
        <v>5</v>
      </c>
      <c r="AB1392" s="1">
        <v>5</v>
      </c>
      <c r="AC1392" s="1">
        <v>5</v>
      </c>
      <c r="AD1392" s="1" t="s">
        <v>109</v>
      </c>
      <c r="AE1392" s="1" t="s">
        <v>109</v>
      </c>
      <c r="AF1392" s="1" t="s">
        <v>109</v>
      </c>
      <c r="AG1392" s="1" t="s">
        <v>109</v>
      </c>
      <c r="AH1392" s="1" t="s">
        <v>109</v>
      </c>
      <c r="AI1392" s="1" t="s">
        <v>109</v>
      </c>
      <c r="AJ1392" s="1">
        <v>5</v>
      </c>
      <c r="AK1392" s="1">
        <v>4</v>
      </c>
      <c r="AL1392" s="1">
        <v>5</v>
      </c>
      <c r="AM1392" s="1" t="s">
        <v>109</v>
      </c>
      <c r="AN1392" s="1" t="s">
        <v>109</v>
      </c>
      <c r="AO1392" s="1" t="s">
        <v>109</v>
      </c>
      <c r="AP1392" s="1"/>
      <c r="AQ1392" s="1">
        <v>5</v>
      </c>
      <c r="AR1392" s="1"/>
      <c r="AS1392" s="1"/>
      <c r="AT1392" s="1">
        <v>0</v>
      </c>
      <c r="AU1392" s="1">
        <v>0</v>
      </c>
      <c r="AV1392" s="1">
        <v>0</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1</v>
      </c>
      <c r="BO1392" s="1">
        <v>0</v>
      </c>
      <c r="BP1392" s="1">
        <v>0</v>
      </c>
      <c r="BQ1392" s="1">
        <v>0</v>
      </c>
      <c r="BR1392" s="1">
        <v>0</v>
      </c>
      <c r="BS1392" s="1" t="s">
        <v>109</v>
      </c>
      <c r="BT1392" s="1">
        <v>1445</v>
      </c>
      <c r="BU1392" s="1" t="s">
        <v>109</v>
      </c>
      <c r="BV1392" s="1"/>
      <c r="BW1392" s="1"/>
      <c r="BX1392" s="1"/>
      <c r="BY1392" s="1"/>
      <c r="BZ1392" s="1">
        <v>0</v>
      </c>
      <c r="CA1392" s="1" t="s">
        <v>109</v>
      </c>
      <c r="CB1392" s="1" t="s">
        <v>109</v>
      </c>
      <c r="CC1392" s="1" t="s">
        <v>109</v>
      </c>
      <c r="CD1392" s="1" t="s">
        <v>109</v>
      </c>
      <c r="CE1392" s="1" t="s">
        <v>109</v>
      </c>
      <c r="CF1392" s="1" t="s">
        <v>109</v>
      </c>
      <c r="CG1392" s="1" t="s">
        <v>109</v>
      </c>
      <c r="CH1392" s="1" t="s">
        <v>109</v>
      </c>
      <c r="CI1392" s="1" t="s">
        <v>109</v>
      </c>
      <c r="CJ1392" s="1" t="s">
        <v>109</v>
      </c>
      <c r="CK1392" s="1"/>
      <c r="CL1392" s="1">
        <v>0</v>
      </c>
      <c r="CM1392" s="1">
        <v>0</v>
      </c>
      <c r="CN1392" s="1">
        <v>0</v>
      </c>
    </row>
    <row r="1393" spans="1:92" ht="14.25" customHeight="1" x14ac:dyDescent="0.15">
      <c r="A1393" s="1" t="s">
        <v>10897</v>
      </c>
      <c r="B1393" s="1" t="s">
        <v>242</v>
      </c>
      <c r="C1393" s="1"/>
      <c r="D1393" s="1"/>
      <c r="E1393" s="1" t="s">
        <v>10898</v>
      </c>
      <c r="F1393" s="1" t="s">
        <v>98</v>
      </c>
      <c r="G1393" s="1" t="s">
        <v>10899</v>
      </c>
      <c r="H1393" s="1">
        <v>0</v>
      </c>
      <c r="I1393" s="1" t="s">
        <v>142</v>
      </c>
      <c r="J1393" s="1"/>
      <c r="K1393" s="1"/>
      <c r="L1393" s="1" t="s">
        <v>3277</v>
      </c>
      <c r="M1393" s="1" t="s">
        <v>3042</v>
      </c>
      <c r="N1393" s="1">
        <v>0</v>
      </c>
      <c r="O1393" s="1">
        <v>0</v>
      </c>
      <c r="P1393" s="1" t="s">
        <v>507</v>
      </c>
      <c r="Q1393" s="1" t="s">
        <v>167</v>
      </c>
      <c r="R1393" s="1" t="s">
        <v>10900</v>
      </c>
      <c r="S1393" s="1" t="s">
        <v>10901</v>
      </c>
      <c r="T1393" s="1" t="s">
        <v>10895</v>
      </c>
      <c r="U1393" s="1" t="s">
        <v>10902</v>
      </c>
      <c r="V1393" s="1">
        <v>1</v>
      </c>
      <c r="W1393" s="1">
        <v>1</v>
      </c>
      <c r="X1393" s="1">
        <v>1</v>
      </c>
      <c r="Y1393" s="1">
        <v>0</v>
      </c>
      <c r="Z1393" s="1">
        <v>0</v>
      </c>
      <c r="AA1393" s="1">
        <v>4</v>
      </c>
      <c r="AB1393" s="1">
        <v>4</v>
      </c>
      <c r="AC1393" s="1">
        <v>4</v>
      </c>
      <c r="AD1393" s="1" t="s">
        <v>109</v>
      </c>
      <c r="AE1393" s="1" t="s">
        <v>109</v>
      </c>
      <c r="AF1393" s="1" t="s">
        <v>109</v>
      </c>
      <c r="AG1393" s="1" t="s">
        <v>109</v>
      </c>
      <c r="AH1393" s="1" t="s">
        <v>109</v>
      </c>
      <c r="AI1393" s="1" t="s">
        <v>109</v>
      </c>
      <c r="AJ1393" s="1">
        <v>4</v>
      </c>
      <c r="AK1393" s="1">
        <v>4</v>
      </c>
      <c r="AL1393" s="1">
        <v>4</v>
      </c>
      <c r="AM1393" s="1" t="s">
        <v>109</v>
      </c>
      <c r="AN1393" s="1" t="s">
        <v>109</v>
      </c>
      <c r="AO1393" s="1" t="s">
        <v>109</v>
      </c>
      <c r="AP1393" s="1"/>
      <c r="AQ1393" s="1">
        <v>4</v>
      </c>
      <c r="AR1393" s="1"/>
      <c r="AS1393" s="1"/>
      <c r="AT1393" s="1">
        <v>0</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t="s">
        <v>109</v>
      </c>
      <c r="BT1393" s="1">
        <v>1446</v>
      </c>
      <c r="BU1393" s="1" t="s">
        <v>109</v>
      </c>
      <c r="BV1393" s="1"/>
      <c r="BW1393" s="1"/>
      <c r="BX1393" s="1"/>
      <c r="BY1393" s="1"/>
      <c r="BZ1393" s="1">
        <v>0</v>
      </c>
      <c r="CA1393" s="1" t="s">
        <v>109</v>
      </c>
      <c r="CB1393" s="1" t="s">
        <v>109</v>
      </c>
      <c r="CC1393" s="1" t="s">
        <v>109</v>
      </c>
      <c r="CD1393" s="1" t="s">
        <v>109</v>
      </c>
      <c r="CE1393" s="1" t="s">
        <v>109</v>
      </c>
      <c r="CF1393" s="1" t="s">
        <v>109</v>
      </c>
      <c r="CG1393" s="1" t="s">
        <v>109</v>
      </c>
      <c r="CH1393" s="1" t="s">
        <v>109</v>
      </c>
      <c r="CI1393" s="1" t="s">
        <v>109</v>
      </c>
      <c r="CJ1393" s="1" t="s">
        <v>109</v>
      </c>
      <c r="CK1393" s="1"/>
      <c r="CL1393" s="1">
        <v>0</v>
      </c>
      <c r="CM1393" s="1">
        <v>0</v>
      </c>
      <c r="CN1393" s="1">
        <v>0</v>
      </c>
    </row>
    <row r="1394" spans="1:92" ht="14.25" customHeight="1" x14ac:dyDescent="0.15">
      <c r="A1394" s="1" t="s">
        <v>10903</v>
      </c>
      <c r="B1394" s="1" t="s">
        <v>308</v>
      </c>
      <c r="C1394" s="1"/>
      <c r="D1394" s="1" t="s">
        <v>1327</v>
      </c>
      <c r="E1394" s="1" t="s">
        <v>10904</v>
      </c>
      <c r="F1394" s="1" t="s">
        <v>355</v>
      </c>
      <c r="G1394" s="1" t="s">
        <v>10905</v>
      </c>
      <c r="H1394" s="1">
        <v>1</v>
      </c>
      <c r="I1394" s="1" t="s">
        <v>142</v>
      </c>
      <c r="J1394" s="1"/>
      <c r="K1394" s="1"/>
      <c r="L1394" s="1" t="s">
        <v>10906</v>
      </c>
      <c r="M1394" s="1" t="s">
        <v>144</v>
      </c>
      <c r="N1394" s="1">
        <v>0</v>
      </c>
      <c r="O1394" s="1">
        <v>0</v>
      </c>
      <c r="P1394" s="1" t="s">
        <v>301</v>
      </c>
      <c r="Q1394" s="1" t="s">
        <v>268</v>
      </c>
      <c r="R1394" s="1" t="s">
        <v>10907</v>
      </c>
      <c r="S1394" s="1" t="s">
        <v>10908</v>
      </c>
      <c r="T1394" s="1" t="s">
        <v>10895</v>
      </c>
      <c r="U1394" s="1" t="s">
        <v>10909</v>
      </c>
      <c r="V1394" s="1">
        <v>1</v>
      </c>
      <c r="W1394" s="1">
        <v>1</v>
      </c>
      <c r="X1394" s="1">
        <v>0</v>
      </c>
      <c r="Y1394" s="1">
        <v>0</v>
      </c>
      <c r="Z1394" s="1">
        <v>0</v>
      </c>
      <c r="AA1394" s="1">
        <v>3</v>
      </c>
      <c r="AB1394" s="1">
        <v>3</v>
      </c>
      <c r="AC1394" s="1">
        <v>3</v>
      </c>
      <c r="AD1394" s="1" t="s">
        <v>109</v>
      </c>
      <c r="AE1394" s="1" t="s">
        <v>109</v>
      </c>
      <c r="AF1394" s="1" t="s">
        <v>109</v>
      </c>
      <c r="AG1394" s="1" t="s">
        <v>109</v>
      </c>
      <c r="AH1394" s="1" t="s">
        <v>109</v>
      </c>
      <c r="AI1394" s="1" t="s">
        <v>109</v>
      </c>
      <c r="AJ1394" s="1">
        <v>3</v>
      </c>
      <c r="AK1394" s="1" t="s">
        <v>109</v>
      </c>
      <c r="AL1394" s="1">
        <v>3</v>
      </c>
      <c r="AM1394" s="1" t="s">
        <v>109</v>
      </c>
      <c r="AN1394" s="1" t="s">
        <v>109</v>
      </c>
      <c r="AO1394" s="1" t="s">
        <v>109</v>
      </c>
      <c r="AP1394" s="1"/>
      <c r="AQ1394" s="1">
        <v>3</v>
      </c>
      <c r="AR1394" s="1"/>
      <c r="AS1394" s="1"/>
      <c r="AT1394" s="1">
        <v>0</v>
      </c>
      <c r="AU1394" s="1">
        <v>0</v>
      </c>
      <c r="AV1394" s="1">
        <v>0</v>
      </c>
      <c r="AW1394" s="1">
        <v>0</v>
      </c>
      <c r="AX1394" s="1">
        <v>0</v>
      </c>
      <c r="AY1394" s="1">
        <v>0</v>
      </c>
      <c r="AZ1394" s="1">
        <v>1</v>
      </c>
      <c r="BA1394" s="1">
        <v>0</v>
      </c>
      <c r="BB1394" s="1">
        <v>0</v>
      </c>
      <c r="BC1394" s="1">
        <v>0</v>
      </c>
      <c r="BD1394" s="1">
        <v>0</v>
      </c>
      <c r="BE1394" s="1">
        <v>1</v>
      </c>
      <c r="BF1394" s="1">
        <v>0</v>
      </c>
      <c r="BG1394" s="1">
        <v>0</v>
      </c>
      <c r="BH1394" s="1">
        <v>0</v>
      </c>
      <c r="BI1394" s="1">
        <v>0</v>
      </c>
      <c r="BJ1394" s="1">
        <v>0</v>
      </c>
      <c r="BK1394" s="1">
        <v>0</v>
      </c>
      <c r="BL1394" s="1">
        <v>0</v>
      </c>
      <c r="BM1394" s="1">
        <v>0</v>
      </c>
      <c r="BN1394" s="1">
        <v>0</v>
      </c>
      <c r="BO1394" s="1">
        <v>0</v>
      </c>
      <c r="BP1394" s="1">
        <v>0</v>
      </c>
      <c r="BQ1394" s="1">
        <v>0</v>
      </c>
      <c r="BR1394" s="1">
        <v>0</v>
      </c>
      <c r="BS1394" s="1" t="s">
        <v>109</v>
      </c>
      <c r="BT1394" s="1">
        <v>1447</v>
      </c>
      <c r="BU1394" s="1">
        <v>25</v>
      </c>
      <c r="BV1394" s="1"/>
      <c r="BW1394" s="1"/>
      <c r="BX1394" s="1"/>
      <c r="BY1394" s="1"/>
      <c r="BZ1394" s="1">
        <v>0</v>
      </c>
      <c r="CA1394" s="1" t="s">
        <v>109</v>
      </c>
      <c r="CB1394" s="1" t="s">
        <v>109</v>
      </c>
      <c r="CC1394" s="1" t="s">
        <v>109</v>
      </c>
      <c r="CD1394" s="1" t="s">
        <v>109</v>
      </c>
      <c r="CE1394" s="1" t="s">
        <v>109</v>
      </c>
      <c r="CF1394" s="1" t="s">
        <v>109</v>
      </c>
      <c r="CG1394" s="1" t="s">
        <v>109</v>
      </c>
      <c r="CH1394" s="1" t="s">
        <v>109</v>
      </c>
      <c r="CI1394" s="1" t="s">
        <v>109</v>
      </c>
      <c r="CJ1394" s="1" t="s">
        <v>109</v>
      </c>
      <c r="CK1394" s="1"/>
      <c r="CL1394" s="1">
        <v>0</v>
      </c>
      <c r="CM1394" s="1">
        <v>0</v>
      </c>
      <c r="CN1394" s="1">
        <v>0</v>
      </c>
    </row>
    <row r="1395" spans="1:92" ht="14.25" customHeight="1" x14ac:dyDescent="0.15">
      <c r="A1395" s="1" t="s">
        <v>10910</v>
      </c>
      <c r="B1395" s="1" t="s">
        <v>308</v>
      </c>
      <c r="C1395" s="1"/>
      <c r="D1395" s="1"/>
      <c r="E1395" s="1" t="s">
        <v>10911</v>
      </c>
      <c r="F1395" s="1" t="s">
        <v>98</v>
      </c>
      <c r="G1395" s="1" t="s">
        <v>10912</v>
      </c>
      <c r="H1395" s="1">
        <v>1</v>
      </c>
      <c r="I1395" s="1" t="s">
        <v>161</v>
      </c>
      <c r="J1395" s="1"/>
      <c r="K1395" s="1"/>
      <c r="L1395" s="1" t="s">
        <v>162</v>
      </c>
      <c r="M1395" s="1" t="s">
        <v>164</v>
      </c>
      <c r="N1395" s="1">
        <v>0</v>
      </c>
      <c r="O1395" s="1">
        <v>0</v>
      </c>
      <c r="P1395" s="1" t="s">
        <v>507</v>
      </c>
      <c r="Q1395" s="1" t="s">
        <v>167</v>
      </c>
      <c r="R1395" s="1" t="s">
        <v>10913</v>
      </c>
      <c r="S1395" s="1" t="s">
        <v>10914</v>
      </c>
      <c r="T1395" s="1" t="s">
        <v>10895</v>
      </c>
      <c r="U1395" s="1" t="s">
        <v>10915</v>
      </c>
      <c r="V1395" s="1">
        <v>1</v>
      </c>
      <c r="W1395" s="1">
        <v>1</v>
      </c>
      <c r="X1395" s="1">
        <v>1</v>
      </c>
      <c r="Y1395" s="1">
        <v>0</v>
      </c>
      <c r="Z1395" s="1">
        <v>0</v>
      </c>
      <c r="AA1395" s="1">
        <v>4</v>
      </c>
      <c r="AB1395" s="1">
        <v>4</v>
      </c>
      <c r="AC1395" s="1">
        <v>4</v>
      </c>
      <c r="AD1395" s="1">
        <v>5</v>
      </c>
      <c r="AE1395" s="1" t="s">
        <v>109</v>
      </c>
      <c r="AF1395" s="1" t="s">
        <v>109</v>
      </c>
      <c r="AG1395" s="1">
        <v>4</v>
      </c>
      <c r="AH1395" s="1" t="s">
        <v>109</v>
      </c>
      <c r="AI1395" s="1" t="s">
        <v>109</v>
      </c>
      <c r="AJ1395" s="1">
        <v>4</v>
      </c>
      <c r="AK1395" s="1" t="s">
        <v>109</v>
      </c>
      <c r="AL1395" s="1">
        <v>4</v>
      </c>
      <c r="AM1395" s="1" t="s">
        <v>109</v>
      </c>
      <c r="AN1395" s="1" t="s">
        <v>109</v>
      </c>
      <c r="AO1395" s="1" t="s">
        <v>109</v>
      </c>
      <c r="AP1395" s="1"/>
      <c r="AQ1395" s="1">
        <v>4</v>
      </c>
      <c r="AR1395" s="1"/>
      <c r="AS1395" s="1"/>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t="s">
        <v>109</v>
      </c>
      <c r="BT1395" s="1">
        <v>1448</v>
      </c>
      <c r="BU1395" s="1">
        <v>50</v>
      </c>
      <c r="BV1395" s="1"/>
      <c r="BW1395" s="1"/>
      <c r="BX1395" s="1"/>
      <c r="BY1395" s="1"/>
      <c r="BZ1395" s="1">
        <v>0</v>
      </c>
      <c r="CA1395" s="1" t="s">
        <v>109</v>
      </c>
      <c r="CB1395" s="1" t="s">
        <v>109</v>
      </c>
      <c r="CC1395" s="1" t="s">
        <v>109</v>
      </c>
      <c r="CD1395" s="1" t="s">
        <v>109</v>
      </c>
      <c r="CE1395" s="1" t="s">
        <v>109</v>
      </c>
      <c r="CF1395" s="1" t="s">
        <v>109</v>
      </c>
      <c r="CG1395" s="1" t="s">
        <v>109</v>
      </c>
      <c r="CH1395" s="1" t="s">
        <v>109</v>
      </c>
      <c r="CI1395" s="1" t="s">
        <v>109</v>
      </c>
      <c r="CJ1395" s="1">
        <v>5</v>
      </c>
      <c r="CK1395" s="1"/>
      <c r="CL1395" s="1">
        <v>0</v>
      </c>
      <c r="CM1395" s="1">
        <v>0</v>
      </c>
      <c r="CN1395" s="1">
        <v>0</v>
      </c>
    </row>
    <row r="1396" spans="1:92" ht="14.25" customHeight="1" x14ac:dyDescent="0.15">
      <c r="A1396" s="1" t="s">
        <v>10916</v>
      </c>
      <c r="B1396" s="1" t="s">
        <v>308</v>
      </c>
      <c r="C1396" s="1"/>
      <c r="D1396" s="1" t="s">
        <v>1327</v>
      </c>
      <c r="E1396" s="1" t="s">
        <v>10898</v>
      </c>
      <c r="F1396" s="1" t="s">
        <v>98</v>
      </c>
      <c r="G1396" s="1" t="s">
        <v>141</v>
      </c>
      <c r="H1396" s="1">
        <v>0</v>
      </c>
      <c r="I1396" s="1" t="s">
        <v>915</v>
      </c>
      <c r="J1396" s="1" t="s">
        <v>10917</v>
      </c>
      <c r="K1396" s="1"/>
      <c r="L1396" s="1"/>
      <c r="M1396" s="1" t="s">
        <v>574</v>
      </c>
      <c r="N1396" s="1">
        <v>1</v>
      </c>
      <c r="O1396" s="1">
        <v>0</v>
      </c>
      <c r="P1396" s="1" t="s">
        <v>301</v>
      </c>
      <c r="Q1396" s="1" t="s">
        <v>268</v>
      </c>
      <c r="R1396" s="1" t="s">
        <v>10918</v>
      </c>
      <c r="S1396" s="1" t="s">
        <v>10919</v>
      </c>
      <c r="T1396" s="1" t="s">
        <v>10895</v>
      </c>
      <c r="U1396" s="1" t="s">
        <v>10920</v>
      </c>
      <c r="V1396" s="1">
        <v>1</v>
      </c>
      <c r="W1396" s="1">
        <v>1</v>
      </c>
      <c r="X1396" s="1">
        <v>0</v>
      </c>
      <c r="Y1396" s="1">
        <v>0</v>
      </c>
      <c r="Z1396" s="1">
        <v>0</v>
      </c>
      <c r="AA1396" s="1">
        <v>4</v>
      </c>
      <c r="AB1396" s="1">
        <v>4</v>
      </c>
      <c r="AC1396" s="1">
        <v>4</v>
      </c>
      <c r="AD1396" s="1" t="s">
        <v>109</v>
      </c>
      <c r="AE1396" s="1" t="s">
        <v>109</v>
      </c>
      <c r="AF1396" s="1" t="s">
        <v>109</v>
      </c>
      <c r="AG1396" s="1" t="s">
        <v>109</v>
      </c>
      <c r="AH1396" s="1" t="s">
        <v>109</v>
      </c>
      <c r="AI1396" s="1" t="s">
        <v>109</v>
      </c>
      <c r="AJ1396" s="1">
        <v>4</v>
      </c>
      <c r="AK1396" s="1">
        <v>4</v>
      </c>
      <c r="AL1396" s="1">
        <v>4</v>
      </c>
      <c r="AM1396" s="1" t="s">
        <v>109</v>
      </c>
      <c r="AN1396" s="1" t="s">
        <v>109</v>
      </c>
      <c r="AO1396" s="1" t="s">
        <v>109</v>
      </c>
      <c r="AP1396" s="1"/>
      <c r="AQ1396" s="1">
        <v>4</v>
      </c>
      <c r="AR1396" s="1"/>
      <c r="AS1396" s="1"/>
      <c r="AT1396" s="1">
        <v>0</v>
      </c>
      <c r="AU1396" s="1">
        <v>0</v>
      </c>
      <c r="AV1396" s="1">
        <v>0</v>
      </c>
      <c r="AW1396" s="1">
        <v>0</v>
      </c>
      <c r="AX1396" s="1">
        <v>0</v>
      </c>
      <c r="AY1396" s="1">
        <v>0</v>
      </c>
      <c r="AZ1396" s="1">
        <v>1</v>
      </c>
      <c r="BA1396" s="1">
        <v>0</v>
      </c>
      <c r="BB1396" s="1">
        <v>0</v>
      </c>
      <c r="BC1396" s="1">
        <v>0</v>
      </c>
      <c r="BD1396" s="1">
        <v>0</v>
      </c>
      <c r="BE1396" s="1">
        <v>1</v>
      </c>
      <c r="BF1396" s="1">
        <v>0</v>
      </c>
      <c r="BG1396" s="1">
        <v>0</v>
      </c>
      <c r="BH1396" s="1">
        <v>0</v>
      </c>
      <c r="BI1396" s="1">
        <v>0</v>
      </c>
      <c r="BJ1396" s="1">
        <v>0</v>
      </c>
      <c r="BK1396" s="1">
        <v>0</v>
      </c>
      <c r="BL1396" s="1">
        <v>0</v>
      </c>
      <c r="BM1396" s="1">
        <v>0</v>
      </c>
      <c r="BN1396" s="1">
        <v>0</v>
      </c>
      <c r="BO1396" s="1">
        <v>0</v>
      </c>
      <c r="BP1396" s="1">
        <v>0</v>
      </c>
      <c r="BQ1396" s="1">
        <v>0</v>
      </c>
      <c r="BR1396" s="1">
        <v>0</v>
      </c>
      <c r="BS1396" s="1" t="s">
        <v>109</v>
      </c>
      <c r="BT1396" s="1">
        <v>1449</v>
      </c>
      <c r="BU1396" s="1" t="s">
        <v>109</v>
      </c>
      <c r="BV1396" s="1"/>
      <c r="BW1396" s="1"/>
      <c r="BX1396" s="1"/>
      <c r="BY1396" s="1"/>
      <c r="BZ1396" s="1">
        <v>0</v>
      </c>
      <c r="CA1396" s="1" t="s">
        <v>109</v>
      </c>
      <c r="CB1396" s="1" t="s">
        <v>109</v>
      </c>
      <c r="CC1396" s="1" t="s">
        <v>109</v>
      </c>
      <c r="CD1396" s="1" t="s">
        <v>109</v>
      </c>
      <c r="CE1396" s="1" t="s">
        <v>109</v>
      </c>
      <c r="CF1396" s="1" t="s">
        <v>109</v>
      </c>
      <c r="CG1396" s="1" t="s">
        <v>109</v>
      </c>
      <c r="CH1396" s="1" t="s">
        <v>109</v>
      </c>
      <c r="CI1396" s="1" t="s">
        <v>109</v>
      </c>
      <c r="CJ1396" s="1" t="s">
        <v>109</v>
      </c>
      <c r="CK1396" s="1"/>
      <c r="CL1396" s="1">
        <v>0</v>
      </c>
      <c r="CM1396" s="1">
        <v>0</v>
      </c>
      <c r="CN1396" s="1">
        <v>0</v>
      </c>
    </row>
    <row r="1397" spans="1:92" ht="14.25" customHeight="1" x14ac:dyDescent="0.15">
      <c r="A1397" s="1" t="s">
        <v>10921</v>
      </c>
      <c r="B1397" s="1" t="s">
        <v>308</v>
      </c>
      <c r="C1397" s="1"/>
      <c r="D1397" s="1" t="s">
        <v>1327</v>
      </c>
      <c r="E1397" s="1" t="s">
        <v>10922</v>
      </c>
      <c r="F1397" s="1" t="s">
        <v>98</v>
      </c>
      <c r="G1397" s="1" t="s">
        <v>141</v>
      </c>
      <c r="H1397" s="1">
        <v>0</v>
      </c>
      <c r="I1397" s="1" t="s">
        <v>915</v>
      </c>
      <c r="J1397" s="1" t="s">
        <v>10917</v>
      </c>
      <c r="K1397" s="1"/>
      <c r="L1397" s="1"/>
      <c r="M1397" s="1" t="s">
        <v>574</v>
      </c>
      <c r="N1397" s="1">
        <v>1</v>
      </c>
      <c r="O1397" s="1">
        <v>0</v>
      </c>
      <c r="P1397" s="1" t="s">
        <v>301</v>
      </c>
      <c r="Q1397" s="1" t="s">
        <v>268</v>
      </c>
      <c r="R1397" s="1" t="s">
        <v>10923</v>
      </c>
      <c r="S1397" s="1" t="s">
        <v>10924</v>
      </c>
      <c r="T1397" s="1" t="s">
        <v>10895</v>
      </c>
      <c r="U1397" s="1" t="s">
        <v>10925</v>
      </c>
      <c r="V1397" s="1">
        <v>1</v>
      </c>
      <c r="W1397" s="1">
        <v>1</v>
      </c>
      <c r="X1397" s="1">
        <v>0</v>
      </c>
      <c r="Y1397" s="1">
        <v>0</v>
      </c>
      <c r="Z1397" s="1">
        <v>0</v>
      </c>
      <c r="AA1397" s="1">
        <v>6</v>
      </c>
      <c r="AB1397" s="1">
        <v>6</v>
      </c>
      <c r="AC1397" s="1">
        <v>6</v>
      </c>
      <c r="AD1397" s="1" t="s">
        <v>109</v>
      </c>
      <c r="AE1397" s="1" t="s">
        <v>109</v>
      </c>
      <c r="AF1397" s="1" t="s">
        <v>109</v>
      </c>
      <c r="AG1397" s="1" t="s">
        <v>109</v>
      </c>
      <c r="AH1397" s="1" t="s">
        <v>109</v>
      </c>
      <c r="AI1397" s="1" t="s">
        <v>109</v>
      </c>
      <c r="AJ1397" s="1">
        <v>6</v>
      </c>
      <c r="AK1397" s="1">
        <v>6</v>
      </c>
      <c r="AL1397" s="1">
        <v>6</v>
      </c>
      <c r="AM1397" s="1" t="s">
        <v>109</v>
      </c>
      <c r="AN1397" s="1" t="s">
        <v>109</v>
      </c>
      <c r="AO1397" s="1" t="s">
        <v>109</v>
      </c>
      <c r="AP1397" s="1"/>
      <c r="AQ1397" s="1">
        <v>6</v>
      </c>
      <c r="AR1397" s="1"/>
      <c r="AS1397" s="1"/>
      <c r="AT1397" s="1">
        <v>0</v>
      </c>
      <c r="AU1397" s="1">
        <v>0</v>
      </c>
      <c r="AV1397" s="1">
        <v>0</v>
      </c>
      <c r="AW1397" s="1">
        <v>0</v>
      </c>
      <c r="AX1397" s="1">
        <v>0</v>
      </c>
      <c r="AY1397" s="1">
        <v>0</v>
      </c>
      <c r="AZ1397" s="1">
        <v>1</v>
      </c>
      <c r="BA1397" s="1">
        <v>0</v>
      </c>
      <c r="BB1397" s="1">
        <v>0</v>
      </c>
      <c r="BC1397" s="1">
        <v>0</v>
      </c>
      <c r="BD1397" s="1">
        <v>0</v>
      </c>
      <c r="BE1397" s="1">
        <v>1</v>
      </c>
      <c r="BF1397" s="1">
        <v>0</v>
      </c>
      <c r="BG1397" s="1">
        <v>0</v>
      </c>
      <c r="BH1397" s="1">
        <v>0</v>
      </c>
      <c r="BI1397" s="1">
        <v>0</v>
      </c>
      <c r="BJ1397" s="1">
        <v>0</v>
      </c>
      <c r="BK1397" s="1">
        <v>0</v>
      </c>
      <c r="BL1397" s="1">
        <v>0</v>
      </c>
      <c r="BM1397" s="1">
        <v>0</v>
      </c>
      <c r="BN1397" s="1">
        <v>0</v>
      </c>
      <c r="BO1397" s="1">
        <v>0</v>
      </c>
      <c r="BP1397" s="1">
        <v>0</v>
      </c>
      <c r="BQ1397" s="1">
        <v>0</v>
      </c>
      <c r="BR1397" s="1">
        <v>0</v>
      </c>
      <c r="BS1397" s="1" t="s">
        <v>109</v>
      </c>
      <c r="BT1397" s="1">
        <v>1450</v>
      </c>
      <c r="BU1397" s="1" t="s">
        <v>109</v>
      </c>
      <c r="BV1397" s="1"/>
      <c r="BW1397" s="1"/>
      <c r="BX1397" s="1"/>
      <c r="BY1397" s="1"/>
      <c r="BZ1397" s="1">
        <v>0</v>
      </c>
      <c r="CA1397" s="1" t="s">
        <v>109</v>
      </c>
      <c r="CB1397" s="1" t="s">
        <v>109</v>
      </c>
      <c r="CC1397" s="1" t="s">
        <v>109</v>
      </c>
      <c r="CD1397" s="1" t="s">
        <v>109</v>
      </c>
      <c r="CE1397" s="1" t="s">
        <v>109</v>
      </c>
      <c r="CF1397" s="1" t="s">
        <v>109</v>
      </c>
      <c r="CG1397" s="1" t="s">
        <v>109</v>
      </c>
      <c r="CH1397" s="1" t="s">
        <v>109</v>
      </c>
      <c r="CI1397" s="1" t="s">
        <v>109</v>
      </c>
      <c r="CJ1397" s="1" t="s">
        <v>109</v>
      </c>
      <c r="CK1397" s="1"/>
      <c r="CL1397" s="1">
        <v>0</v>
      </c>
      <c r="CM1397" s="1">
        <v>0</v>
      </c>
      <c r="CN1397" s="1">
        <v>0</v>
      </c>
    </row>
    <row r="1398" spans="1:92" ht="14.25" customHeight="1" x14ac:dyDescent="0.15">
      <c r="A1398" s="1" t="s">
        <v>10926</v>
      </c>
      <c r="B1398" s="1" t="s">
        <v>308</v>
      </c>
      <c r="C1398" s="1"/>
      <c r="D1398" s="1" t="s">
        <v>57</v>
      </c>
      <c r="E1398" s="1" t="s">
        <v>10927</v>
      </c>
      <c r="F1398" s="1" t="s">
        <v>98</v>
      </c>
      <c r="G1398" s="1" t="s">
        <v>141</v>
      </c>
      <c r="H1398" s="1">
        <v>0</v>
      </c>
      <c r="I1398" s="1" t="s">
        <v>235</v>
      </c>
      <c r="J1398" s="1"/>
      <c r="K1398" s="1"/>
      <c r="L1398" s="1" t="s">
        <v>236</v>
      </c>
      <c r="M1398" s="1" t="s">
        <v>125</v>
      </c>
      <c r="N1398" s="1">
        <v>0</v>
      </c>
      <c r="O1398" s="1">
        <v>0</v>
      </c>
      <c r="P1398" s="1"/>
      <c r="Q1398" s="1"/>
      <c r="R1398" s="1" t="s">
        <v>10928</v>
      </c>
      <c r="S1398" s="1" t="s">
        <v>10929</v>
      </c>
      <c r="T1398" s="1" t="s">
        <v>10895</v>
      </c>
      <c r="U1398" s="1" t="s">
        <v>10930</v>
      </c>
      <c r="V1398" s="1">
        <v>1</v>
      </c>
      <c r="W1398" s="1">
        <v>1</v>
      </c>
      <c r="X1398" s="1">
        <v>0</v>
      </c>
      <c r="Y1398" s="1">
        <v>0</v>
      </c>
      <c r="Z1398" s="1">
        <v>0</v>
      </c>
      <c r="AA1398" s="1">
        <v>6</v>
      </c>
      <c r="AB1398" s="1">
        <v>6</v>
      </c>
      <c r="AC1398" s="1">
        <v>6</v>
      </c>
      <c r="AD1398" s="1" t="s">
        <v>109</v>
      </c>
      <c r="AE1398" s="1" t="s">
        <v>109</v>
      </c>
      <c r="AF1398" s="1" t="s">
        <v>109</v>
      </c>
      <c r="AG1398" s="1" t="s">
        <v>109</v>
      </c>
      <c r="AH1398" s="1" t="s">
        <v>109</v>
      </c>
      <c r="AI1398" s="1" t="s">
        <v>109</v>
      </c>
      <c r="AJ1398" s="1">
        <v>6</v>
      </c>
      <c r="AK1398" s="1" t="s">
        <v>109</v>
      </c>
      <c r="AL1398" s="1">
        <v>6</v>
      </c>
      <c r="AM1398" s="1" t="s">
        <v>109</v>
      </c>
      <c r="AN1398" s="1">
        <v>5</v>
      </c>
      <c r="AO1398" s="1" t="s">
        <v>109</v>
      </c>
      <c r="AP1398" s="1"/>
      <c r="AQ1398" s="1">
        <v>6</v>
      </c>
      <c r="AR1398" s="1"/>
      <c r="AS1398" s="1"/>
      <c r="AT1398" s="1">
        <v>0</v>
      </c>
      <c r="AU1398" s="1">
        <v>0</v>
      </c>
      <c r="AV1398" s="1">
        <v>0</v>
      </c>
      <c r="AW1398" s="1">
        <v>0</v>
      </c>
      <c r="AX1398" s="1">
        <v>0</v>
      </c>
      <c r="AY1398" s="1">
        <v>0</v>
      </c>
      <c r="AZ1398" s="1">
        <v>0</v>
      </c>
      <c r="BA1398" s="1">
        <v>0</v>
      </c>
      <c r="BB1398" s="1">
        <v>0</v>
      </c>
      <c r="BC1398" s="1">
        <v>0</v>
      </c>
      <c r="BD1398" s="1">
        <v>0</v>
      </c>
      <c r="BE1398" s="1">
        <v>1</v>
      </c>
      <c r="BF1398" s="1">
        <v>0</v>
      </c>
      <c r="BG1398" s="1">
        <v>0</v>
      </c>
      <c r="BH1398" s="1">
        <v>0</v>
      </c>
      <c r="BI1398" s="1">
        <v>0</v>
      </c>
      <c r="BJ1398" s="1">
        <v>0</v>
      </c>
      <c r="BK1398" s="1">
        <v>0</v>
      </c>
      <c r="BL1398" s="1">
        <v>0</v>
      </c>
      <c r="BM1398" s="1">
        <v>0</v>
      </c>
      <c r="BN1398" s="1">
        <v>0</v>
      </c>
      <c r="BO1398" s="1">
        <v>0</v>
      </c>
      <c r="BP1398" s="1">
        <v>0</v>
      </c>
      <c r="BQ1398" s="1">
        <v>0</v>
      </c>
      <c r="BR1398" s="1">
        <v>0</v>
      </c>
      <c r="BS1398" s="1" t="s">
        <v>109</v>
      </c>
      <c r="BT1398" s="1">
        <v>1451</v>
      </c>
      <c r="BU1398" s="1" t="s">
        <v>109</v>
      </c>
      <c r="BV1398" s="1"/>
      <c r="BW1398" s="1"/>
      <c r="BX1398" s="1"/>
      <c r="BY1398" s="1"/>
      <c r="BZ1398" s="1">
        <v>0</v>
      </c>
      <c r="CA1398" s="1" t="s">
        <v>109</v>
      </c>
      <c r="CB1398" s="1" t="s">
        <v>109</v>
      </c>
      <c r="CC1398" s="1" t="s">
        <v>109</v>
      </c>
      <c r="CD1398" s="1" t="s">
        <v>109</v>
      </c>
      <c r="CE1398" s="1" t="s">
        <v>109</v>
      </c>
      <c r="CF1398" s="1" t="s">
        <v>109</v>
      </c>
      <c r="CG1398" s="1" t="s">
        <v>109</v>
      </c>
      <c r="CH1398" s="1" t="s">
        <v>109</v>
      </c>
      <c r="CI1398" s="1" t="s">
        <v>109</v>
      </c>
      <c r="CJ1398" s="1" t="s">
        <v>109</v>
      </c>
      <c r="CK1398" s="1"/>
      <c r="CL1398" s="1">
        <v>0</v>
      </c>
      <c r="CM1398" s="1">
        <v>0</v>
      </c>
      <c r="CN1398" s="1">
        <v>0</v>
      </c>
    </row>
    <row r="1399" spans="1:92" ht="14.25" customHeight="1" x14ac:dyDescent="0.15">
      <c r="A1399" s="1" t="s">
        <v>10931</v>
      </c>
      <c r="B1399" s="1" t="s">
        <v>308</v>
      </c>
      <c r="C1399" s="1"/>
      <c r="D1399" s="1" t="s">
        <v>1327</v>
      </c>
      <c r="E1399" s="1" t="s">
        <v>8191</v>
      </c>
      <c r="F1399" s="1" t="s">
        <v>98</v>
      </c>
      <c r="G1399" s="1" t="s">
        <v>3143</v>
      </c>
      <c r="H1399" s="1">
        <v>1</v>
      </c>
      <c r="I1399" s="1" t="s">
        <v>122</v>
      </c>
      <c r="J1399" s="1"/>
      <c r="K1399" s="1"/>
      <c r="L1399" s="1" t="s">
        <v>1391</v>
      </c>
      <c r="M1399" s="1" t="s">
        <v>656</v>
      </c>
      <c r="N1399" s="1">
        <v>1</v>
      </c>
      <c r="O1399" s="1">
        <v>0</v>
      </c>
      <c r="P1399" s="1" t="s">
        <v>301</v>
      </c>
      <c r="Q1399" s="1" t="s">
        <v>268</v>
      </c>
      <c r="R1399" s="1" t="s">
        <v>10932</v>
      </c>
      <c r="S1399" s="1" t="s">
        <v>10933</v>
      </c>
      <c r="T1399" s="1" t="s">
        <v>10895</v>
      </c>
      <c r="U1399" s="1" t="s">
        <v>10934</v>
      </c>
      <c r="V1399" s="1">
        <v>1</v>
      </c>
      <c r="W1399" s="1">
        <v>1</v>
      </c>
      <c r="X1399" s="1">
        <v>0</v>
      </c>
      <c r="Y1399" s="1">
        <v>0</v>
      </c>
      <c r="Z1399" s="1">
        <v>0</v>
      </c>
      <c r="AA1399" s="1">
        <v>9</v>
      </c>
      <c r="AB1399" s="1">
        <v>9</v>
      </c>
      <c r="AC1399" s="1">
        <v>9</v>
      </c>
      <c r="AD1399" s="1" t="s">
        <v>109</v>
      </c>
      <c r="AE1399" s="1" t="s">
        <v>109</v>
      </c>
      <c r="AF1399" s="1" t="s">
        <v>109</v>
      </c>
      <c r="AG1399" s="1" t="s">
        <v>109</v>
      </c>
      <c r="AH1399" s="1" t="s">
        <v>109</v>
      </c>
      <c r="AI1399" s="1" t="s">
        <v>109</v>
      </c>
      <c r="AJ1399" s="1">
        <v>9</v>
      </c>
      <c r="AK1399" s="1" t="s">
        <v>109</v>
      </c>
      <c r="AL1399" s="1">
        <v>9</v>
      </c>
      <c r="AM1399" s="1" t="s">
        <v>109</v>
      </c>
      <c r="AN1399" s="1" t="s">
        <v>109</v>
      </c>
      <c r="AO1399" s="1" t="s">
        <v>109</v>
      </c>
      <c r="AP1399" s="1"/>
      <c r="AQ1399" s="1">
        <v>9</v>
      </c>
      <c r="AR1399" s="1"/>
      <c r="AS1399" s="1"/>
      <c r="AT1399" s="1">
        <v>0</v>
      </c>
      <c r="AU1399" s="1">
        <v>0</v>
      </c>
      <c r="AV1399" s="1">
        <v>0</v>
      </c>
      <c r="AW1399" s="1">
        <v>0</v>
      </c>
      <c r="AX1399" s="1">
        <v>0</v>
      </c>
      <c r="AY1399" s="1">
        <v>0</v>
      </c>
      <c r="AZ1399" s="1">
        <v>1</v>
      </c>
      <c r="BA1399" s="1">
        <v>0</v>
      </c>
      <c r="BB1399" s="1">
        <v>0</v>
      </c>
      <c r="BC1399" s="1">
        <v>0</v>
      </c>
      <c r="BD1399" s="1">
        <v>0</v>
      </c>
      <c r="BE1399" s="1">
        <v>1</v>
      </c>
      <c r="BF1399" s="1">
        <v>0</v>
      </c>
      <c r="BG1399" s="1">
        <v>0</v>
      </c>
      <c r="BH1399" s="1">
        <v>0</v>
      </c>
      <c r="BI1399" s="1">
        <v>0</v>
      </c>
      <c r="BJ1399" s="1">
        <v>0</v>
      </c>
      <c r="BK1399" s="1">
        <v>0</v>
      </c>
      <c r="BL1399" s="1">
        <v>0</v>
      </c>
      <c r="BM1399" s="1">
        <v>0</v>
      </c>
      <c r="BN1399" s="1">
        <v>0</v>
      </c>
      <c r="BO1399" s="1">
        <v>0</v>
      </c>
      <c r="BP1399" s="1">
        <v>0</v>
      </c>
      <c r="BQ1399" s="1">
        <v>0</v>
      </c>
      <c r="BR1399" s="1">
        <v>0</v>
      </c>
      <c r="BS1399" s="1" t="s">
        <v>109</v>
      </c>
      <c r="BT1399" s="1">
        <v>1452</v>
      </c>
      <c r="BU1399" s="1">
        <v>100</v>
      </c>
      <c r="BV1399" s="1"/>
      <c r="BW1399" s="1"/>
      <c r="BX1399" s="1"/>
      <c r="BY1399" s="1"/>
      <c r="BZ1399" s="1">
        <v>0</v>
      </c>
      <c r="CA1399" s="1" t="s">
        <v>109</v>
      </c>
      <c r="CB1399" s="1" t="s">
        <v>109</v>
      </c>
      <c r="CC1399" s="1" t="s">
        <v>109</v>
      </c>
      <c r="CD1399" s="1" t="s">
        <v>109</v>
      </c>
      <c r="CE1399" s="1" t="s">
        <v>109</v>
      </c>
      <c r="CF1399" s="1" t="s">
        <v>109</v>
      </c>
      <c r="CG1399" s="1" t="s">
        <v>109</v>
      </c>
      <c r="CH1399" s="1" t="s">
        <v>109</v>
      </c>
      <c r="CI1399" s="1" t="s">
        <v>109</v>
      </c>
      <c r="CJ1399" s="1" t="s">
        <v>109</v>
      </c>
      <c r="CK1399" s="1"/>
      <c r="CL1399" s="1">
        <v>0</v>
      </c>
      <c r="CM1399" s="1">
        <v>0</v>
      </c>
      <c r="CN1399" s="1">
        <v>0</v>
      </c>
    </row>
    <row r="1400" spans="1:92" ht="14.25" customHeight="1" x14ac:dyDescent="0.15">
      <c r="A1400" s="1" t="s">
        <v>10935</v>
      </c>
      <c r="B1400" s="1" t="s">
        <v>308</v>
      </c>
      <c r="C1400" s="1"/>
      <c r="D1400" s="1" t="s">
        <v>10936</v>
      </c>
      <c r="E1400" s="1" t="s">
        <v>5724</v>
      </c>
      <c r="F1400" s="1" t="s">
        <v>98</v>
      </c>
      <c r="G1400" s="1" t="s">
        <v>141</v>
      </c>
      <c r="H1400" s="1">
        <v>0</v>
      </c>
      <c r="I1400" s="1" t="s">
        <v>122</v>
      </c>
      <c r="J1400" s="1" t="s">
        <v>10937</v>
      </c>
      <c r="K1400" s="1"/>
      <c r="L1400" s="1"/>
      <c r="M1400" s="1" t="s">
        <v>144</v>
      </c>
      <c r="N1400" s="1">
        <v>0</v>
      </c>
      <c r="O1400" s="1">
        <v>0</v>
      </c>
      <c r="P1400" s="1" t="s">
        <v>2672</v>
      </c>
      <c r="Q1400" s="1" t="s">
        <v>268</v>
      </c>
      <c r="R1400" s="1" t="s">
        <v>10938</v>
      </c>
      <c r="S1400" s="1" t="s">
        <v>10939</v>
      </c>
      <c r="T1400" s="1" t="s">
        <v>10895</v>
      </c>
      <c r="U1400" s="1" t="s">
        <v>10940</v>
      </c>
      <c r="V1400" s="1">
        <v>1</v>
      </c>
      <c r="W1400" s="1">
        <v>1</v>
      </c>
      <c r="X1400" s="1">
        <v>0</v>
      </c>
      <c r="Y1400" s="1">
        <v>0</v>
      </c>
      <c r="Z1400" s="1">
        <v>0</v>
      </c>
      <c r="AA1400" s="1">
        <v>9</v>
      </c>
      <c r="AB1400" s="1">
        <v>9</v>
      </c>
      <c r="AC1400" s="1">
        <v>9</v>
      </c>
      <c r="AD1400" s="1" t="s">
        <v>109</v>
      </c>
      <c r="AE1400" s="1" t="s">
        <v>109</v>
      </c>
      <c r="AF1400" s="1" t="s">
        <v>109</v>
      </c>
      <c r="AG1400" s="1" t="s">
        <v>109</v>
      </c>
      <c r="AH1400" s="1" t="s">
        <v>109</v>
      </c>
      <c r="AI1400" s="1" t="s">
        <v>109</v>
      </c>
      <c r="AJ1400" s="1" t="s">
        <v>109</v>
      </c>
      <c r="AK1400" s="1" t="s">
        <v>109</v>
      </c>
      <c r="AL1400" s="1">
        <v>9</v>
      </c>
      <c r="AM1400" s="1" t="s">
        <v>109</v>
      </c>
      <c r="AN1400" s="1" t="s">
        <v>109</v>
      </c>
      <c r="AO1400" s="1" t="s">
        <v>109</v>
      </c>
      <c r="AP1400" s="1"/>
      <c r="AQ1400" s="1">
        <v>9</v>
      </c>
      <c r="AR1400" s="1"/>
      <c r="AS1400" s="1"/>
      <c r="AT1400" s="1">
        <v>1</v>
      </c>
      <c r="AU1400" s="1">
        <v>0</v>
      </c>
      <c r="AV1400" s="1">
        <v>0</v>
      </c>
      <c r="AW1400" s="1">
        <v>0</v>
      </c>
      <c r="AX1400" s="1">
        <v>0</v>
      </c>
      <c r="AY1400" s="1">
        <v>0</v>
      </c>
      <c r="AZ1400" s="1">
        <v>0</v>
      </c>
      <c r="BA1400" s="1">
        <v>0</v>
      </c>
      <c r="BB1400" s="1">
        <v>0</v>
      </c>
      <c r="BC1400" s="1">
        <v>0</v>
      </c>
      <c r="BD1400" s="1">
        <v>0</v>
      </c>
      <c r="BE1400" s="1">
        <v>1</v>
      </c>
      <c r="BF1400" s="1">
        <v>0</v>
      </c>
      <c r="BG1400" s="1">
        <v>0</v>
      </c>
      <c r="BH1400" s="1">
        <v>0</v>
      </c>
      <c r="BI1400" s="1">
        <v>0</v>
      </c>
      <c r="BJ1400" s="1">
        <v>0</v>
      </c>
      <c r="BK1400" s="1">
        <v>0</v>
      </c>
      <c r="BL1400" s="1">
        <v>0</v>
      </c>
      <c r="BM1400" s="1">
        <v>0</v>
      </c>
      <c r="BN1400" s="1">
        <v>0</v>
      </c>
      <c r="BO1400" s="1">
        <v>0</v>
      </c>
      <c r="BP1400" s="1">
        <v>0</v>
      </c>
      <c r="BQ1400" s="1">
        <v>0</v>
      </c>
      <c r="BR1400" s="1">
        <v>0</v>
      </c>
      <c r="BS1400" s="1" t="s">
        <v>109</v>
      </c>
      <c r="BT1400" s="1">
        <v>1453</v>
      </c>
      <c r="BU1400" s="1" t="s">
        <v>109</v>
      </c>
      <c r="BV1400" s="1"/>
      <c r="BW1400" s="1"/>
      <c r="BX1400" s="1"/>
      <c r="BY1400" s="1"/>
      <c r="BZ1400" s="1">
        <v>0</v>
      </c>
      <c r="CA1400" s="1" t="s">
        <v>109</v>
      </c>
      <c r="CB1400" s="1" t="s">
        <v>109</v>
      </c>
      <c r="CC1400" s="1" t="s">
        <v>109</v>
      </c>
      <c r="CD1400" s="1" t="s">
        <v>109</v>
      </c>
      <c r="CE1400" s="1" t="s">
        <v>109</v>
      </c>
      <c r="CF1400" s="1" t="s">
        <v>109</v>
      </c>
      <c r="CG1400" s="1" t="s">
        <v>109</v>
      </c>
      <c r="CH1400" s="1" t="s">
        <v>109</v>
      </c>
      <c r="CI1400" s="1" t="s">
        <v>109</v>
      </c>
      <c r="CJ1400" s="1" t="s">
        <v>109</v>
      </c>
      <c r="CK1400" s="1"/>
      <c r="CL1400" s="1">
        <v>0</v>
      </c>
      <c r="CM1400" s="1">
        <v>0</v>
      </c>
      <c r="CN1400" s="1">
        <v>0</v>
      </c>
    </row>
    <row r="1401" spans="1:92" ht="14.25" customHeight="1" x14ac:dyDescent="0.15">
      <c r="A1401" s="1" t="s">
        <v>10941</v>
      </c>
      <c r="B1401" s="1" t="s">
        <v>95</v>
      </c>
      <c r="C1401" s="1" t="s">
        <v>1179</v>
      </c>
      <c r="D1401" s="1"/>
      <c r="E1401" s="1" t="s">
        <v>10942</v>
      </c>
      <c r="F1401" s="1" t="s">
        <v>5132</v>
      </c>
      <c r="G1401" s="1" t="s">
        <v>5133</v>
      </c>
      <c r="H1401" s="1">
        <v>1</v>
      </c>
      <c r="I1401" s="1" t="s">
        <v>142</v>
      </c>
      <c r="J1401" s="1"/>
      <c r="K1401" s="1"/>
      <c r="L1401" s="1" t="s">
        <v>10943</v>
      </c>
      <c r="M1401" s="1" t="s">
        <v>3246</v>
      </c>
      <c r="N1401" s="1">
        <v>0</v>
      </c>
      <c r="O1401" s="1">
        <v>0</v>
      </c>
      <c r="P1401" s="1" t="s">
        <v>301</v>
      </c>
      <c r="Q1401" s="1" t="s">
        <v>4298</v>
      </c>
      <c r="R1401" s="1" t="s">
        <v>10944</v>
      </c>
      <c r="S1401" s="1" t="s">
        <v>10945</v>
      </c>
      <c r="T1401" s="1" t="s">
        <v>10895</v>
      </c>
      <c r="U1401" s="1" t="s">
        <v>10946</v>
      </c>
      <c r="V1401" s="1">
        <v>1</v>
      </c>
      <c r="W1401" s="1">
        <v>1</v>
      </c>
      <c r="X1401" s="1">
        <v>1</v>
      </c>
      <c r="Y1401" s="1">
        <v>0</v>
      </c>
      <c r="Z1401" s="1">
        <v>0</v>
      </c>
      <c r="AA1401" s="1">
        <v>7</v>
      </c>
      <c r="AB1401" s="1">
        <v>7</v>
      </c>
      <c r="AC1401" s="1">
        <v>7</v>
      </c>
      <c r="AD1401" s="1" t="s">
        <v>109</v>
      </c>
      <c r="AE1401" s="1" t="s">
        <v>109</v>
      </c>
      <c r="AF1401" s="1" t="s">
        <v>109</v>
      </c>
      <c r="AG1401" s="1" t="s">
        <v>109</v>
      </c>
      <c r="AH1401" s="1" t="s">
        <v>109</v>
      </c>
      <c r="AI1401" s="1" t="s">
        <v>109</v>
      </c>
      <c r="AJ1401" s="1">
        <v>7</v>
      </c>
      <c r="AK1401" s="1" t="s">
        <v>109</v>
      </c>
      <c r="AL1401" s="1">
        <v>7</v>
      </c>
      <c r="AM1401" s="1" t="s">
        <v>109</v>
      </c>
      <c r="AN1401" s="1" t="s">
        <v>109</v>
      </c>
      <c r="AO1401" s="1" t="s">
        <v>109</v>
      </c>
      <c r="AP1401" s="1"/>
      <c r="AQ1401" s="1">
        <v>7</v>
      </c>
      <c r="AR1401" s="1"/>
      <c r="AS1401" s="1"/>
      <c r="AT1401" s="1">
        <v>0</v>
      </c>
      <c r="AU1401" s="1">
        <v>0</v>
      </c>
      <c r="AV1401" s="1">
        <v>0</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t="s">
        <v>109</v>
      </c>
      <c r="BT1401" s="1">
        <v>1454</v>
      </c>
      <c r="BU1401" s="1">
        <v>1000</v>
      </c>
      <c r="BV1401" s="1"/>
      <c r="BW1401" s="1"/>
      <c r="BX1401" s="1"/>
      <c r="BY1401" s="1"/>
      <c r="BZ1401" s="1">
        <v>0</v>
      </c>
      <c r="CA1401" s="1" t="s">
        <v>109</v>
      </c>
      <c r="CB1401" s="1" t="s">
        <v>109</v>
      </c>
      <c r="CC1401" s="1" t="s">
        <v>109</v>
      </c>
      <c r="CD1401" s="1" t="s">
        <v>109</v>
      </c>
      <c r="CE1401" s="1" t="s">
        <v>109</v>
      </c>
      <c r="CF1401" s="1" t="s">
        <v>109</v>
      </c>
      <c r="CG1401" s="1" t="s">
        <v>109</v>
      </c>
      <c r="CH1401" s="1" t="s">
        <v>109</v>
      </c>
      <c r="CI1401" s="1" t="s">
        <v>109</v>
      </c>
      <c r="CJ1401" s="1" t="s">
        <v>109</v>
      </c>
      <c r="CK1401" s="1"/>
      <c r="CL1401" s="1">
        <v>0</v>
      </c>
      <c r="CM1401" s="1">
        <v>0</v>
      </c>
      <c r="CN1401" s="1">
        <v>0</v>
      </c>
    </row>
    <row r="1402" spans="1:92" ht="14.25" customHeight="1" x14ac:dyDescent="0.15">
      <c r="A1402" s="1" t="s">
        <v>10947</v>
      </c>
      <c r="B1402" s="1" t="s">
        <v>95</v>
      </c>
      <c r="C1402" s="1" t="s">
        <v>1179</v>
      </c>
      <c r="D1402" s="1" t="s">
        <v>57</v>
      </c>
      <c r="E1402" s="1" t="s">
        <v>10948</v>
      </c>
      <c r="F1402" s="1" t="s">
        <v>355</v>
      </c>
      <c r="G1402" s="1" t="s">
        <v>10949</v>
      </c>
      <c r="H1402" s="1">
        <v>0</v>
      </c>
      <c r="I1402" s="1" t="s">
        <v>142</v>
      </c>
      <c r="J1402" s="1"/>
      <c r="K1402" s="1" t="s">
        <v>4781</v>
      </c>
      <c r="L1402" s="1"/>
      <c r="M1402" s="1" t="s">
        <v>574</v>
      </c>
      <c r="N1402" s="1">
        <v>1</v>
      </c>
      <c r="O1402" s="1">
        <v>0</v>
      </c>
      <c r="P1402" s="1" t="s">
        <v>103</v>
      </c>
      <c r="Q1402" s="1" t="s">
        <v>104</v>
      </c>
      <c r="R1402" s="1" t="s">
        <v>10950</v>
      </c>
      <c r="S1402" s="1" t="s">
        <v>10951</v>
      </c>
      <c r="T1402" s="1" t="s">
        <v>10895</v>
      </c>
      <c r="U1402" s="1" t="s">
        <v>10952</v>
      </c>
      <c r="V1402" s="1">
        <v>1</v>
      </c>
      <c r="W1402" s="1">
        <v>1</v>
      </c>
      <c r="X1402" s="1">
        <v>0</v>
      </c>
      <c r="Y1402" s="1">
        <v>0</v>
      </c>
      <c r="Z1402" s="1">
        <v>0</v>
      </c>
      <c r="AA1402" s="1">
        <v>2</v>
      </c>
      <c r="AB1402" s="1">
        <v>2</v>
      </c>
      <c r="AC1402" s="1">
        <v>2</v>
      </c>
      <c r="AD1402" s="1" t="s">
        <v>109</v>
      </c>
      <c r="AE1402" s="1" t="s">
        <v>109</v>
      </c>
      <c r="AF1402" s="1" t="s">
        <v>109</v>
      </c>
      <c r="AG1402" s="1" t="s">
        <v>109</v>
      </c>
      <c r="AH1402" s="1" t="s">
        <v>109</v>
      </c>
      <c r="AI1402" s="1">
        <v>2</v>
      </c>
      <c r="AJ1402" s="1">
        <v>2</v>
      </c>
      <c r="AK1402" s="1" t="s">
        <v>109</v>
      </c>
      <c r="AL1402" s="1">
        <v>2</v>
      </c>
      <c r="AM1402" s="1" t="s">
        <v>109</v>
      </c>
      <c r="AN1402" s="1" t="s">
        <v>109</v>
      </c>
      <c r="AO1402" s="1" t="s">
        <v>109</v>
      </c>
      <c r="AP1402" s="1"/>
      <c r="AQ1402" s="1">
        <v>2</v>
      </c>
      <c r="AR1402" s="1"/>
      <c r="AS1402" s="1"/>
      <c r="AT1402" s="1">
        <v>0</v>
      </c>
      <c r="AU1402" s="1">
        <v>0</v>
      </c>
      <c r="AV1402" s="1">
        <v>0</v>
      </c>
      <c r="AW1402" s="1">
        <v>0</v>
      </c>
      <c r="AX1402" s="1">
        <v>0</v>
      </c>
      <c r="AY1402" s="1">
        <v>0</v>
      </c>
      <c r="AZ1402" s="1">
        <v>0</v>
      </c>
      <c r="BA1402" s="1">
        <v>0</v>
      </c>
      <c r="BB1402" s="1">
        <v>0</v>
      </c>
      <c r="BC1402" s="1">
        <v>0</v>
      </c>
      <c r="BD1402" s="1">
        <v>0</v>
      </c>
      <c r="BE1402" s="1">
        <v>1</v>
      </c>
      <c r="BF1402" s="1">
        <v>0</v>
      </c>
      <c r="BG1402" s="1">
        <v>0</v>
      </c>
      <c r="BH1402" s="1">
        <v>0</v>
      </c>
      <c r="BI1402" s="1">
        <v>0</v>
      </c>
      <c r="BJ1402" s="1">
        <v>0</v>
      </c>
      <c r="BK1402" s="1">
        <v>0</v>
      </c>
      <c r="BL1402" s="1">
        <v>0</v>
      </c>
      <c r="BM1402" s="1">
        <v>0</v>
      </c>
      <c r="BN1402" s="1">
        <v>0</v>
      </c>
      <c r="BO1402" s="1">
        <v>0</v>
      </c>
      <c r="BP1402" s="1">
        <v>0</v>
      </c>
      <c r="BQ1402" s="1">
        <v>0</v>
      </c>
      <c r="BR1402" s="1">
        <v>0</v>
      </c>
      <c r="BS1402" s="1" t="s">
        <v>109</v>
      </c>
      <c r="BT1402" s="1">
        <v>1455</v>
      </c>
      <c r="BU1402" s="1" t="s">
        <v>109</v>
      </c>
      <c r="BV1402" s="1"/>
      <c r="BW1402" s="1"/>
      <c r="BX1402" s="1"/>
      <c r="BY1402" s="1"/>
      <c r="BZ1402" s="1">
        <v>0</v>
      </c>
      <c r="CA1402" s="1" t="s">
        <v>109</v>
      </c>
      <c r="CB1402" s="1" t="s">
        <v>109</v>
      </c>
      <c r="CC1402" s="1" t="s">
        <v>109</v>
      </c>
      <c r="CD1402" s="1" t="s">
        <v>109</v>
      </c>
      <c r="CE1402" s="1" t="s">
        <v>109</v>
      </c>
      <c r="CF1402" s="1" t="s">
        <v>109</v>
      </c>
      <c r="CG1402" s="1" t="s">
        <v>109</v>
      </c>
      <c r="CH1402" s="1" t="s">
        <v>109</v>
      </c>
      <c r="CI1402" s="1" t="s">
        <v>109</v>
      </c>
      <c r="CJ1402" s="1" t="s">
        <v>109</v>
      </c>
      <c r="CK1402" s="1"/>
      <c r="CL1402" s="1">
        <v>0</v>
      </c>
      <c r="CM1402" s="1">
        <v>0</v>
      </c>
      <c r="CN1402" s="1">
        <v>0</v>
      </c>
    </row>
    <row r="1403" spans="1:92" ht="14.25" customHeight="1" x14ac:dyDescent="0.15">
      <c r="A1403" s="1" t="s">
        <v>10953</v>
      </c>
      <c r="B1403" s="1" t="s">
        <v>95</v>
      </c>
      <c r="C1403" s="1" t="s">
        <v>1179</v>
      </c>
      <c r="D1403" s="1" t="s">
        <v>57</v>
      </c>
      <c r="E1403" s="1" t="s">
        <v>10954</v>
      </c>
      <c r="F1403" s="1" t="s">
        <v>355</v>
      </c>
      <c r="G1403" s="1" t="s">
        <v>10949</v>
      </c>
      <c r="H1403" s="1">
        <v>0</v>
      </c>
      <c r="I1403" s="1" t="s">
        <v>142</v>
      </c>
      <c r="J1403" s="1"/>
      <c r="K1403" s="1" t="s">
        <v>4781</v>
      </c>
      <c r="L1403" s="1"/>
      <c r="M1403" s="1" t="s">
        <v>574</v>
      </c>
      <c r="N1403" s="1">
        <v>1</v>
      </c>
      <c r="O1403" s="1">
        <v>0</v>
      </c>
      <c r="P1403" s="1" t="s">
        <v>103</v>
      </c>
      <c r="Q1403" s="1" t="s">
        <v>104</v>
      </c>
      <c r="R1403" s="1" t="s">
        <v>10955</v>
      </c>
      <c r="S1403" s="1" t="s">
        <v>10956</v>
      </c>
      <c r="T1403" s="1" t="s">
        <v>10895</v>
      </c>
      <c r="U1403" s="1" t="s">
        <v>10957</v>
      </c>
      <c r="V1403" s="1">
        <v>1</v>
      </c>
      <c r="W1403" s="1">
        <v>1</v>
      </c>
      <c r="X1403" s="1">
        <v>0</v>
      </c>
      <c r="Y1403" s="1">
        <v>0</v>
      </c>
      <c r="Z1403" s="1">
        <v>0</v>
      </c>
      <c r="AA1403" s="1">
        <v>4</v>
      </c>
      <c r="AB1403" s="1">
        <v>4</v>
      </c>
      <c r="AC1403" s="1">
        <v>4</v>
      </c>
      <c r="AD1403" s="1" t="s">
        <v>109</v>
      </c>
      <c r="AE1403" s="1" t="s">
        <v>109</v>
      </c>
      <c r="AF1403" s="1" t="s">
        <v>109</v>
      </c>
      <c r="AG1403" s="1" t="s">
        <v>109</v>
      </c>
      <c r="AH1403" s="1" t="s">
        <v>109</v>
      </c>
      <c r="AI1403" s="1">
        <v>3</v>
      </c>
      <c r="AJ1403" s="1">
        <v>4</v>
      </c>
      <c r="AK1403" s="1" t="s">
        <v>109</v>
      </c>
      <c r="AL1403" s="1">
        <v>4</v>
      </c>
      <c r="AM1403" s="1" t="s">
        <v>109</v>
      </c>
      <c r="AN1403" s="1" t="s">
        <v>109</v>
      </c>
      <c r="AO1403" s="1" t="s">
        <v>109</v>
      </c>
      <c r="AP1403" s="1"/>
      <c r="AQ1403" s="1">
        <v>4</v>
      </c>
      <c r="AR1403" s="1"/>
      <c r="AS1403" s="1"/>
      <c r="AT1403" s="1">
        <v>0</v>
      </c>
      <c r="AU1403" s="1">
        <v>0</v>
      </c>
      <c r="AV1403" s="1">
        <v>0</v>
      </c>
      <c r="AW1403" s="1">
        <v>0</v>
      </c>
      <c r="AX1403" s="1">
        <v>0</v>
      </c>
      <c r="AY1403" s="1">
        <v>0</v>
      </c>
      <c r="AZ1403" s="1">
        <v>0</v>
      </c>
      <c r="BA1403" s="1">
        <v>0</v>
      </c>
      <c r="BB1403" s="1">
        <v>0</v>
      </c>
      <c r="BC1403" s="1">
        <v>0</v>
      </c>
      <c r="BD1403" s="1">
        <v>0</v>
      </c>
      <c r="BE1403" s="1">
        <v>1</v>
      </c>
      <c r="BF1403" s="1">
        <v>0</v>
      </c>
      <c r="BG1403" s="1">
        <v>0</v>
      </c>
      <c r="BH1403" s="1">
        <v>0</v>
      </c>
      <c r="BI1403" s="1">
        <v>0</v>
      </c>
      <c r="BJ1403" s="1">
        <v>0</v>
      </c>
      <c r="BK1403" s="1">
        <v>0</v>
      </c>
      <c r="BL1403" s="1">
        <v>0</v>
      </c>
      <c r="BM1403" s="1">
        <v>0</v>
      </c>
      <c r="BN1403" s="1">
        <v>0</v>
      </c>
      <c r="BO1403" s="1">
        <v>0</v>
      </c>
      <c r="BP1403" s="1">
        <v>0</v>
      </c>
      <c r="BQ1403" s="1">
        <v>0</v>
      </c>
      <c r="BR1403" s="1">
        <v>0</v>
      </c>
      <c r="BS1403" s="1" t="s">
        <v>109</v>
      </c>
      <c r="BT1403" s="1">
        <v>1456</v>
      </c>
      <c r="BU1403" s="1" t="s">
        <v>109</v>
      </c>
      <c r="BV1403" s="1"/>
      <c r="BW1403" s="1"/>
      <c r="BX1403" s="1"/>
      <c r="BY1403" s="1"/>
      <c r="BZ1403" s="1">
        <v>0</v>
      </c>
      <c r="CA1403" s="1" t="s">
        <v>109</v>
      </c>
      <c r="CB1403" s="1" t="s">
        <v>109</v>
      </c>
      <c r="CC1403" s="1" t="s">
        <v>109</v>
      </c>
      <c r="CD1403" s="1" t="s">
        <v>109</v>
      </c>
      <c r="CE1403" s="1" t="s">
        <v>109</v>
      </c>
      <c r="CF1403" s="1" t="s">
        <v>109</v>
      </c>
      <c r="CG1403" s="1" t="s">
        <v>109</v>
      </c>
      <c r="CH1403" s="1" t="s">
        <v>109</v>
      </c>
      <c r="CI1403" s="1" t="s">
        <v>109</v>
      </c>
      <c r="CJ1403" s="1" t="s">
        <v>109</v>
      </c>
      <c r="CK1403" s="1"/>
      <c r="CL1403" s="1">
        <v>0</v>
      </c>
      <c r="CM1403" s="1">
        <v>0</v>
      </c>
      <c r="CN1403" s="1">
        <v>0</v>
      </c>
    </row>
    <row r="1404" spans="1:92" ht="14.25" customHeight="1" x14ac:dyDescent="0.15">
      <c r="A1404" s="1" t="s">
        <v>10958</v>
      </c>
      <c r="B1404" s="1" t="s">
        <v>95</v>
      </c>
      <c r="C1404" s="1" t="s">
        <v>1179</v>
      </c>
      <c r="D1404" s="1" t="s">
        <v>57</v>
      </c>
      <c r="E1404" s="1" t="s">
        <v>10959</v>
      </c>
      <c r="F1404" s="1" t="s">
        <v>355</v>
      </c>
      <c r="G1404" s="1" t="s">
        <v>10960</v>
      </c>
      <c r="H1404" s="1">
        <v>0</v>
      </c>
      <c r="I1404" s="1" t="s">
        <v>142</v>
      </c>
      <c r="J1404" s="1"/>
      <c r="K1404" s="1" t="s">
        <v>4781</v>
      </c>
      <c r="L1404" s="1"/>
      <c r="M1404" s="1" t="s">
        <v>574</v>
      </c>
      <c r="N1404" s="1">
        <v>1</v>
      </c>
      <c r="O1404" s="1">
        <v>0</v>
      </c>
      <c r="P1404" s="1" t="s">
        <v>103</v>
      </c>
      <c r="Q1404" s="1" t="s">
        <v>104</v>
      </c>
      <c r="R1404" s="1" t="s">
        <v>10961</v>
      </c>
      <c r="S1404" s="1" t="s">
        <v>10962</v>
      </c>
      <c r="T1404" s="1" t="s">
        <v>10895</v>
      </c>
      <c r="U1404" s="1" t="s">
        <v>10963</v>
      </c>
      <c r="V1404" s="1">
        <v>1</v>
      </c>
      <c r="W1404" s="1">
        <v>1</v>
      </c>
      <c r="X1404" s="1">
        <v>0</v>
      </c>
      <c r="Y1404" s="1">
        <v>0</v>
      </c>
      <c r="Z1404" s="1">
        <v>0</v>
      </c>
      <c r="AA1404" s="1">
        <v>5</v>
      </c>
      <c r="AB1404" s="1">
        <v>5</v>
      </c>
      <c r="AC1404" s="1">
        <v>5</v>
      </c>
      <c r="AD1404" s="1" t="s">
        <v>109</v>
      </c>
      <c r="AE1404" s="1" t="s">
        <v>109</v>
      </c>
      <c r="AF1404" s="1" t="s">
        <v>109</v>
      </c>
      <c r="AG1404" s="1" t="s">
        <v>109</v>
      </c>
      <c r="AH1404" s="1" t="s">
        <v>109</v>
      </c>
      <c r="AI1404" s="1">
        <v>4</v>
      </c>
      <c r="AJ1404" s="1">
        <v>5</v>
      </c>
      <c r="AK1404" s="1" t="s">
        <v>109</v>
      </c>
      <c r="AL1404" s="1">
        <v>5</v>
      </c>
      <c r="AM1404" s="1" t="s">
        <v>109</v>
      </c>
      <c r="AN1404" s="1" t="s">
        <v>109</v>
      </c>
      <c r="AO1404" s="1" t="s">
        <v>109</v>
      </c>
      <c r="AP1404" s="1"/>
      <c r="AQ1404" s="1">
        <v>5</v>
      </c>
      <c r="AR1404" s="1"/>
      <c r="AS1404" s="1"/>
      <c r="AT1404" s="1">
        <v>0</v>
      </c>
      <c r="AU1404" s="1">
        <v>0</v>
      </c>
      <c r="AV1404" s="1">
        <v>0</v>
      </c>
      <c r="AW1404" s="1">
        <v>0</v>
      </c>
      <c r="AX1404" s="1">
        <v>0</v>
      </c>
      <c r="AY1404" s="1">
        <v>0</v>
      </c>
      <c r="AZ1404" s="1">
        <v>0</v>
      </c>
      <c r="BA1404" s="1">
        <v>0</v>
      </c>
      <c r="BB1404" s="1">
        <v>0</v>
      </c>
      <c r="BC1404" s="1">
        <v>0</v>
      </c>
      <c r="BD1404" s="1">
        <v>0</v>
      </c>
      <c r="BE1404" s="1">
        <v>1</v>
      </c>
      <c r="BF1404" s="1">
        <v>0</v>
      </c>
      <c r="BG1404" s="1">
        <v>0</v>
      </c>
      <c r="BH1404" s="1">
        <v>0</v>
      </c>
      <c r="BI1404" s="1">
        <v>0</v>
      </c>
      <c r="BJ1404" s="1">
        <v>0</v>
      </c>
      <c r="BK1404" s="1">
        <v>0</v>
      </c>
      <c r="BL1404" s="1">
        <v>0</v>
      </c>
      <c r="BM1404" s="1">
        <v>0</v>
      </c>
      <c r="BN1404" s="1">
        <v>0</v>
      </c>
      <c r="BO1404" s="1">
        <v>0</v>
      </c>
      <c r="BP1404" s="1">
        <v>0</v>
      </c>
      <c r="BQ1404" s="1">
        <v>0</v>
      </c>
      <c r="BR1404" s="1">
        <v>0</v>
      </c>
      <c r="BS1404" s="1" t="s">
        <v>109</v>
      </c>
      <c r="BT1404" s="1">
        <v>1457</v>
      </c>
      <c r="BU1404" s="1" t="s">
        <v>109</v>
      </c>
      <c r="BV1404" s="1"/>
      <c r="BW1404" s="1"/>
      <c r="BX1404" s="1"/>
      <c r="BY1404" s="1"/>
      <c r="BZ1404" s="1">
        <v>0</v>
      </c>
      <c r="CA1404" s="1" t="s">
        <v>109</v>
      </c>
      <c r="CB1404" s="1" t="s">
        <v>109</v>
      </c>
      <c r="CC1404" s="1" t="s">
        <v>109</v>
      </c>
      <c r="CD1404" s="1" t="s">
        <v>109</v>
      </c>
      <c r="CE1404" s="1" t="s">
        <v>109</v>
      </c>
      <c r="CF1404" s="1" t="s">
        <v>109</v>
      </c>
      <c r="CG1404" s="1" t="s">
        <v>109</v>
      </c>
      <c r="CH1404" s="1" t="s">
        <v>109</v>
      </c>
      <c r="CI1404" s="1" t="s">
        <v>109</v>
      </c>
      <c r="CJ1404" s="1" t="s">
        <v>109</v>
      </c>
      <c r="CK1404" s="1"/>
      <c r="CL1404" s="1">
        <v>0</v>
      </c>
      <c r="CM1404" s="1">
        <v>0</v>
      </c>
      <c r="CN1404" s="1">
        <v>0</v>
      </c>
    </row>
    <row r="1405" spans="1:92" ht="14.25" customHeight="1" x14ac:dyDescent="0.15">
      <c r="A1405" s="1" t="s">
        <v>10964</v>
      </c>
      <c r="B1405" s="1" t="s">
        <v>95</v>
      </c>
      <c r="C1405" s="1" t="s">
        <v>1179</v>
      </c>
      <c r="D1405" s="1" t="s">
        <v>57</v>
      </c>
      <c r="E1405" s="1" t="s">
        <v>8191</v>
      </c>
      <c r="F1405" s="1" t="s">
        <v>355</v>
      </c>
      <c r="G1405" s="1" t="s">
        <v>10965</v>
      </c>
      <c r="H1405" s="1">
        <v>0</v>
      </c>
      <c r="I1405" s="1" t="s">
        <v>142</v>
      </c>
      <c r="J1405" s="1"/>
      <c r="K1405" s="1" t="s">
        <v>4781</v>
      </c>
      <c r="L1405" s="1"/>
      <c r="M1405" s="1" t="s">
        <v>574</v>
      </c>
      <c r="N1405" s="1">
        <v>1</v>
      </c>
      <c r="O1405" s="1">
        <v>0</v>
      </c>
      <c r="P1405" s="1" t="s">
        <v>103</v>
      </c>
      <c r="Q1405" s="1" t="s">
        <v>104</v>
      </c>
      <c r="R1405" s="1" t="s">
        <v>10966</v>
      </c>
      <c r="S1405" s="1" t="s">
        <v>10967</v>
      </c>
      <c r="T1405" s="1" t="s">
        <v>10895</v>
      </c>
      <c r="U1405" s="1" t="s">
        <v>10968</v>
      </c>
      <c r="V1405" s="1">
        <v>1</v>
      </c>
      <c r="W1405" s="1">
        <v>1</v>
      </c>
      <c r="X1405" s="1">
        <v>0</v>
      </c>
      <c r="Y1405" s="1">
        <v>0</v>
      </c>
      <c r="Z1405" s="1">
        <v>0</v>
      </c>
      <c r="AA1405" s="1">
        <v>9</v>
      </c>
      <c r="AB1405" s="1">
        <v>9</v>
      </c>
      <c r="AC1405" s="1">
        <v>9</v>
      </c>
      <c r="AD1405" s="1" t="s">
        <v>109</v>
      </c>
      <c r="AE1405" s="1" t="s">
        <v>109</v>
      </c>
      <c r="AF1405" s="1" t="s">
        <v>109</v>
      </c>
      <c r="AG1405" s="1" t="s">
        <v>109</v>
      </c>
      <c r="AH1405" s="1" t="s">
        <v>109</v>
      </c>
      <c r="AI1405" s="1" t="s">
        <v>109</v>
      </c>
      <c r="AJ1405" s="1">
        <v>9</v>
      </c>
      <c r="AK1405" s="1" t="s">
        <v>109</v>
      </c>
      <c r="AL1405" s="1">
        <v>9</v>
      </c>
      <c r="AM1405" s="1" t="s">
        <v>109</v>
      </c>
      <c r="AN1405" s="1" t="s">
        <v>109</v>
      </c>
      <c r="AO1405" s="1" t="s">
        <v>109</v>
      </c>
      <c r="AP1405" s="1"/>
      <c r="AQ1405" s="1">
        <v>9</v>
      </c>
      <c r="AR1405" s="1"/>
      <c r="AS1405" s="1"/>
      <c r="AT1405" s="1">
        <v>0</v>
      </c>
      <c r="AU1405" s="1">
        <v>0</v>
      </c>
      <c r="AV1405" s="1">
        <v>0</v>
      </c>
      <c r="AW1405" s="1">
        <v>0</v>
      </c>
      <c r="AX1405" s="1">
        <v>0</v>
      </c>
      <c r="AY1405" s="1">
        <v>0</v>
      </c>
      <c r="AZ1405" s="1">
        <v>0</v>
      </c>
      <c r="BA1405" s="1">
        <v>0</v>
      </c>
      <c r="BB1405" s="1">
        <v>0</v>
      </c>
      <c r="BC1405" s="1">
        <v>0</v>
      </c>
      <c r="BD1405" s="1">
        <v>0</v>
      </c>
      <c r="BE1405" s="1">
        <v>1</v>
      </c>
      <c r="BF1405" s="1">
        <v>0</v>
      </c>
      <c r="BG1405" s="1">
        <v>0</v>
      </c>
      <c r="BH1405" s="1">
        <v>0</v>
      </c>
      <c r="BI1405" s="1">
        <v>0</v>
      </c>
      <c r="BJ1405" s="1">
        <v>0</v>
      </c>
      <c r="BK1405" s="1">
        <v>0</v>
      </c>
      <c r="BL1405" s="1">
        <v>0</v>
      </c>
      <c r="BM1405" s="1">
        <v>0</v>
      </c>
      <c r="BN1405" s="1">
        <v>0</v>
      </c>
      <c r="BO1405" s="1">
        <v>0</v>
      </c>
      <c r="BP1405" s="1">
        <v>0</v>
      </c>
      <c r="BQ1405" s="1">
        <v>0</v>
      </c>
      <c r="BR1405" s="1">
        <v>0</v>
      </c>
      <c r="BS1405" s="1" t="s">
        <v>109</v>
      </c>
      <c r="BT1405" s="1">
        <v>1458</v>
      </c>
      <c r="BU1405" s="1" t="s">
        <v>109</v>
      </c>
      <c r="BV1405" s="1"/>
      <c r="BW1405" s="1"/>
      <c r="BX1405" s="1"/>
      <c r="BY1405" s="1"/>
      <c r="BZ1405" s="1">
        <v>0</v>
      </c>
      <c r="CA1405" s="1" t="s">
        <v>109</v>
      </c>
      <c r="CB1405" s="1" t="s">
        <v>109</v>
      </c>
      <c r="CC1405" s="1" t="s">
        <v>109</v>
      </c>
      <c r="CD1405" s="1" t="s">
        <v>109</v>
      </c>
      <c r="CE1405" s="1" t="s">
        <v>109</v>
      </c>
      <c r="CF1405" s="1" t="s">
        <v>109</v>
      </c>
      <c r="CG1405" s="1" t="s">
        <v>109</v>
      </c>
      <c r="CH1405" s="1" t="s">
        <v>109</v>
      </c>
      <c r="CI1405" s="1" t="s">
        <v>109</v>
      </c>
      <c r="CJ1405" s="1" t="s">
        <v>109</v>
      </c>
      <c r="CK1405" s="1"/>
      <c r="CL1405" s="1">
        <v>0</v>
      </c>
      <c r="CM1405" s="1">
        <v>0</v>
      </c>
      <c r="CN1405" s="1">
        <v>0</v>
      </c>
    </row>
    <row r="1406" spans="1:92" ht="14.25" customHeight="1" x14ac:dyDescent="0.15">
      <c r="A1406" s="1" t="s">
        <v>10969</v>
      </c>
      <c r="B1406" s="1" t="s">
        <v>95</v>
      </c>
      <c r="C1406" s="1" t="s">
        <v>1179</v>
      </c>
      <c r="D1406" s="1" t="s">
        <v>57</v>
      </c>
      <c r="E1406" s="1" t="s">
        <v>10970</v>
      </c>
      <c r="F1406" s="1" t="s">
        <v>355</v>
      </c>
      <c r="G1406" s="1" t="s">
        <v>10971</v>
      </c>
      <c r="H1406" s="1">
        <v>0</v>
      </c>
      <c r="I1406" s="1" t="s">
        <v>142</v>
      </c>
      <c r="J1406" s="1"/>
      <c r="K1406" s="1" t="s">
        <v>4781</v>
      </c>
      <c r="L1406" s="1"/>
      <c r="M1406" s="1" t="s">
        <v>574</v>
      </c>
      <c r="N1406" s="1">
        <v>1</v>
      </c>
      <c r="O1406" s="1">
        <v>0</v>
      </c>
      <c r="P1406" s="1" t="s">
        <v>103</v>
      </c>
      <c r="Q1406" s="1" t="s">
        <v>104</v>
      </c>
      <c r="R1406" s="1" t="s">
        <v>10972</v>
      </c>
      <c r="S1406" s="1" t="s">
        <v>10973</v>
      </c>
      <c r="T1406" s="1" t="s">
        <v>10895</v>
      </c>
      <c r="U1406" s="1" t="s">
        <v>10974</v>
      </c>
      <c r="V1406" s="1">
        <v>1</v>
      </c>
      <c r="W1406" s="1">
        <v>1</v>
      </c>
      <c r="X1406" s="1">
        <v>0</v>
      </c>
      <c r="Y1406" s="1">
        <v>0</v>
      </c>
      <c r="Z1406" s="1">
        <v>0</v>
      </c>
      <c r="AA1406" s="1">
        <v>8</v>
      </c>
      <c r="AB1406" s="1">
        <v>8</v>
      </c>
      <c r="AC1406" s="1">
        <v>8</v>
      </c>
      <c r="AD1406" s="1" t="s">
        <v>109</v>
      </c>
      <c r="AE1406" s="1" t="s">
        <v>109</v>
      </c>
      <c r="AF1406" s="1" t="s">
        <v>109</v>
      </c>
      <c r="AG1406" s="1" t="s">
        <v>109</v>
      </c>
      <c r="AH1406" s="1" t="s">
        <v>109</v>
      </c>
      <c r="AI1406" s="1">
        <v>6</v>
      </c>
      <c r="AJ1406" s="1">
        <v>8</v>
      </c>
      <c r="AK1406" s="1" t="s">
        <v>109</v>
      </c>
      <c r="AL1406" s="1">
        <v>8</v>
      </c>
      <c r="AM1406" s="1" t="s">
        <v>109</v>
      </c>
      <c r="AN1406" s="1" t="s">
        <v>109</v>
      </c>
      <c r="AO1406" s="1" t="s">
        <v>109</v>
      </c>
      <c r="AP1406" s="1"/>
      <c r="AQ1406" s="1">
        <v>8</v>
      </c>
      <c r="AR1406" s="1"/>
      <c r="AS1406" s="1"/>
      <c r="AT1406" s="1">
        <v>0</v>
      </c>
      <c r="AU1406" s="1">
        <v>0</v>
      </c>
      <c r="AV1406" s="1">
        <v>0</v>
      </c>
      <c r="AW1406" s="1">
        <v>0</v>
      </c>
      <c r="AX1406" s="1">
        <v>0</v>
      </c>
      <c r="AY1406" s="1">
        <v>0</v>
      </c>
      <c r="AZ1406" s="1">
        <v>0</v>
      </c>
      <c r="BA1406" s="1">
        <v>0</v>
      </c>
      <c r="BB1406" s="1">
        <v>0</v>
      </c>
      <c r="BC1406" s="1">
        <v>0</v>
      </c>
      <c r="BD1406" s="1">
        <v>0</v>
      </c>
      <c r="BE1406" s="1">
        <v>1</v>
      </c>
      <c r="BF1406" s="1">
        <v>0</v>
      </c>
      <c r="BG1406" s="1">
        <v>0</v>
      </c>
      <c r="BH1406" s="1">
        <v>0</v>
      </c>
      <c r="BI1406" s="1">
        <v>0</v>
      </c>
      <c r="BJ1406" s="1">
        <v>0</v>
      </c>
      <c r="BK1406" s="1">
        <v>0</v>
      </c>
      <c r="BL1406" s="1">
        <v>0</v>
      </c>
      <c r="BM1406" s="1">
        <v>0</v>
      </c>
      <c r="BN1406" s="1">
        <v>0</v>
      </c>
      <c r="BO1406" s="1">
        <v>0</v>
      </c>
      <c r="BP1406" s="1">
        <v>0</v>
      </c>
      <c r="BQ1406" s="1">
        <v>0</v>
      </c>
      <c r="BR1406" s="1">
        <v>0</v>
      </c>
      <c r="BS1406" s="1" t="s">
        <v>109</v>
      </c>
      <c r="BT1406" s="1">
        <v>1459</v>
      </c>
      <c r="BU1406" s="1" t="s">
        <v>109</v>
      </c>
      <c r="BV1406" s="1"/>
      <c r="BW1406" s="1"/>
      <c r="BX1406" s="1"/>
      <c r="BY1406" s="1"/>
      <c r="BZ1406" s="1">
        <v>0</v>
      </c>
      <c r="CA1406" s="1" t="s">
        <v>109</v>
      </c>
      <c r="CB1406" s="1" t="s">
        <v>109</v>
      </c>
      <c r="CC1406" s="1" t="s">
        <v>109</v>
      </c>
      <c r="CD1406" s="1" t="s">
        <v>109</v>
      </c>
      <c r="CE1406" s="1" t="s">
        <v>109</v>
      </c>
      <c r="CF1406" s="1" t="s">
        <v>109</v>
      </c>
      <c r="CG1406" s="1" t="s">
        <v>109</v>
      </c>
      <c r="CH1406" s="1" t="s">
        <v>109</v>
      </c>
      <c r="CI1406" s="1" t="s">
        <v>109</v>
      </c>
      <c r="CJ1406" s="1" t="s">
        <v>109</v>
      </c>
      <c r="CK1406" s="1"/>
      <c r="CL1406" s="1">
        <v>0</v>
      </c>
      <c r="CM1406" s="1">
        <v>0</v>
      </c>
      <c r="CN1406" s="1">
        <v>0</v>
      </c>
    </row>
    <row r="1407" spans="1:92" ht="14.25" customHeight="1" x14ac:dyDescent="0.15">
      <c r="A1407" s="1" t="s">
        <v>10975</v>
      </c>
      <c r="B1407" s="1" t="s">
        <v>95</v>
      </c>
      <c r="C1407" s="1" t="s">
        <v>1179</v>
      </c>
      <c r="D1407" s="1" t="s">
        <v>57</v>
      </c>
      <c r="E1407" s="1" t="s">
        <v>10970</v>
      </c>
      <c r="F1407" s="1" t="s">
        <v>355</v>
      </c>
      <c r="G1407" s="1" t="s">
        <v>10976</v>
      </c>
      <c r="H1407" s="1">
        <v>0</v>
      </c>
      <c r="I1407" s="1" t="s">
        <v>142</v>
      </c>
      <c r="J1407" s="1"/>
      <c r="K1407" s="1" t="s">
        <v>4781</v>
      </c>
      <c r="L1407" s="1"/>
      <c r="M1407" s="1" t="s">
        <v>574</v>
      </c>
      <c r="N1407" s="1">
        <v>1</v>
      </c>
      <c r="O1407" s="1">
        <v>0</v>
      </c>
      <c r="P1407" s="1" t="s">
        <v>103</v>
      </c>
      <c r="Q1407" s="1" t="s">
        <v>104</v>
      </c>
      <c r="R1407" s="1" t="s">
        <v>10977</v>
      </c>
      <c r="S1407" s="1" t="s">
        <v>10978</v>
      </c>
      <c r="T1407" s="1" t="s">
        <v>10895</v>
      </c>
      <c r="U1407" s="1" t="s">
        <v>10979</v>
      </c>
      <c r="V1407" s="1">
        <v>1</v>
      </c>
      <c r="W1407" s="1">
        <v>1</v>
      </c>
      <c r="X1407" s="1">
        <v>0</v>
      </c>
      <c r="Y1407" s="1">
        <v>0</v>
      </c>
      <c r="Z1407" s="1">
        <v>0</v>
      </c>
      <c r="AA1407" s="1">
        <v>8</v>
      </c>
      <c r="AB1407" s="1">
        <v>8</v>
      </c>
      <c r="AC1407" s="1">
        <v>8</v>
      </c>
      <c r="AD1407" s="1" t="s">
        <v>109</v>
      </c>
      <c r="AE1407" s="1" t="s">
        <v>109</v>
      </c>
      <c r="AF1407" s="1" t="s">
        <v>109</v>
      </c>
      <c r="AG1407" s="1" t="s">
        <v>109</v>
      </c>
      <c r="AH1407" s="1" t="s">
        <v>109</v>
      </c>
      <c r="AI1407" s="1">
        <v>6</v>
      </c>
      <c r="AJ1407" s="1">
        <v>8</v>
      </c>
      <c r="AK1407" s="1" t="s">
        <v>109</v>
      </c>
      <c r="AL1407" s="1">
        <v>8</v>
      </c>
      <c r="AM1407" s="1" t="s">
        <v>109</v>
      </c>
      <c r="AN1407" s="1" t="s">
        <v>109</v>
      </c>
      <c r="AO1407" s="1" t="s">
        <v>109</v>
      </c>
      <c r="AP1407" s="1"/>
      <c r="AQ1407" s="1">
        <v>8</v>
      </c>
      <c r="AR1407" s="1"/>
      <c r="AS1407" s="1"/>
      <c r="AT1407" s="1">
        <v>0</v>
      </c>
      <c r="AU1407" s="1">
        <v>0</v>
      </c>
      <c r="AV1407" s="1">
        <v>0</v>
      </c>
      <c r="AW1407" s="1">
        <v>0</v>
      </c>
      <c r="AX1407" s="1">
        <v>0</v>
      </c>
      <c r="AY1407" s="1">
        <v>0</v>
      </c>
      <c r="AZ1407" s="1">
        <v>0</v>
      </c>
      <c r="BA1407" s="1">
        <v>0</v>
      </c>
      <c r="BB1407" s="1">
        <v>0</v>
      </c>
      <c r="BC1407" s="1">
        <v>0</v>
      </c>
      <c r="BD1407" s="1">
        <v>0</v>
      </c>
      <c r="BE1407" s="1">
        <v>1</v>
      </c>
      <c r="BF1407" s="1">
        <v>0</v>
      </c>
      <c r="BG1407" s="1">
        <v>0</v>
      </c>
      <c r="BH1407" s="1">
        <v>0</v>
      </c>
      <c r="BI1407" s="1">
        <v>0</v>
      </c>
      <c r="BJ1407" s="1">
        <v>0</v>
      </c>
      <c r="BK1407" s="1">
        <v>0</v>
      </c>
      <c r="BL1407" s="1">
        <v>0</v>
      </c>
      <c r="BM1407" s="1">
        <v>0</v>
      </c>
      <c r="BN1407" s="1">
        <v>0</v>
      </c>
      <c r="BO1407" s="1">
        <v>0</v>
      </c>
      <c r="BP1407" s="1">
        <v>0</v>
      </c>
      <c r="BQ1407" s="1">
        <v>0</v>
      </c>
      <c r="BR1407" s="1">
        <v>0</v>
      </c>
      <c r="BS1407" s="1" t="s">
        <v>109</v>
      </c>
      <c r="BT1407" s="1">
        <v>1460</v>
      </c>
      <c r="BU1407" s="1" t="s">
        <v>109</v>
      </c>
      <c r="BV1407" s="1"/>
      <c r="BW1407" s="1"/>
      <c r="BX1407" s="1"/>
      <c r="BY1407" s="1"/>
      <c r="BZ1407" s="1">
        <v>0</v>
      </c>
      <c r="CA1407" s="1" t="s">
        <v>109</v>
      </c>
      <c r="CB1407" s="1" t="s">
        <v>109</v>
      </c>
      <c r="CC1407" s="1" t="s">
        <v>109</v>
      </c>
      <c r="CD1407" s="1" t="s">
        <v>109</v>
      </c>
      <c r="CE1407" s="1" t="s">
        <v>109</v>
      </c>
      <c r="CF1407" s="1" t="s">
        <v>109</v>
      </c>
      <c r="CG1407" s="1" t="s">
        <v>109</v>
      </c>
      <c r="CH1407" s="1" t="s">
        <v>109</v>
      </c>
      <c r="CI1407" s="1" t="s">
        <v>109</v>
      </c>
      <c r="CJ1407" s="1" t="s">
        <v>109</v>
      </c>
      <c r="CK1407" s="1"/>
      <c r="CL1407" s="1">
        <v>0</v>
      </c>
      <c r="CM1407" s="1">
        <v>0</v>
      </c>
      <c r="CN1407" s="1">
        <v>0</v>
      </c>
    </row>
    <row r="1408" spans="1:92" ht="14.25" customHeight="1" x14ac:dyDescent="0.15">
      <c r="A1408" s="1" t="s">
        <v>10980</v>
      </c>
      <c r="B1408" s="1" t="s">
        <v>95</v>
      </c>
      <c r="C1408" s="1" t="s">
        <v>1179</v>
      </c>
      <c r="D1408" s="1" t="s">
        <v>57</v>
      </c>
      <c r="E1408" s="1" t="s">
        <v>8191</v>
      </c>
      <c r="F1408" s="1" t="s">
        <v>355</v>
      </c>
      <c r="G1408" s="1" t="s">
        <v>10981</v>
      </c>
      <c r="H1408" s="1">
        <v>0</v>
      </c>
      <c r="I1408" s="1" t="s">
        <v>142</v>
      </c>
      <c r="J1408" s="1"/>
      <c r="K1408" s="1" t="s">
        <v>4781</v>
      </c>
      <c r="L1408" s="1"/>
      <c r="M1408" s="1" t="s">
        <v>574</v>
      </c>
      <c r="N1408" s="1">
        <v>1</v>
      </c>
      <c r="O1408" s="1">
        <v>0</v>
      </c>
      <c r="P1408" s="1" t="s">
        <v>103</v>
      </c>
      <c r="Q1408" s="1" t="s">
        <v>104</v>
      </c>
      <c r="R1408" s="1" t="s">
        <v>10982</v>
      </c>
      <c r="S1408" s="1" t="s">
        <v>10983</v>
      </c>
      <c r="T1408" s="1" t="s">
        <v>10895</v>
      </c>
      <c r="U1408" s="1" t="s">
        <v>10984</v>
      </c>
      <c r="V1408" s="1">
        <v>1</v>
      </c>
      <c r="W1408" s="1">
        <v>1</v>
      </c>
      <c r="X1408" s="1">
        <v>0</v>
      </c>
      <c r="Y1408" s="1">
        <v>0</v>
      </c>
      <c r="Z1408" s="1">
        <v>0</v>
      </c>
      <c r="AA1408" s="1">
        <v>9</v>
      </c>
      <c r="AB1408" s="1">
        <v>9</v>
      </c>
      <c r="AC1408" s="1">
        <v>9</v>
      </c>
      <c r="AD1408" s="1" t="s">
        <v>109</v>
      </c>
      <c r="AE1408" s="1" t="s">
        <v>109</v>
      </c>
      <c r="AF1408" s="1" t="s">
        <v>109</v>
      </c>
      <c r="AG1408" s="1" t="s">
        <v>109</v>
      </c>
      <c r="AH1408" s="1" t="s">
        <v>109</v>
      </c>
      <c r="AI1408" s="1" t="s">
        <v>109</v>
      </c>
      <c r="AJ1408" s="1">
        <v>9</v>
      </c>
      <c r="AK1408" s="1" t="s">
        <v>109</v>
      </c>
      <c r="AL1408" s="1">
        <v>9</v>
      </c>
      <c r="AM1408" s="1" t="s">
        <v>109</v>
      </c>
      <c r="AN1408" s="1" t="s">
        <v>109</v>
      </c>
      <c r="AO1408" s="1" t="s">
        <v>109</v>
      </c>
      <c r="AP1408" s="1"/>
      <c r="AQ1408" s="1">
        <v>9</v>
      </c>
      <c r="AR1408" s="1"/>
      <c r="AS1408" s="1"/>
      <c r="AT1408" s="1">
        <v>0</v>
      </c>
      <c r="AU1408" s="1">
        <v>0</v>
      </c>
      <c r="AV1408" s="1">
        <v>0</v>
      </c>
      <c r="AW1408" s="1">
        <v>0</v>
      </c>
      <c r="AX1408" s="1">
        <v>0</v>
      </c>
      <c r="AY1408" s="1">
        <v>0</v>
      </c>
      <c r="AZ1408" s="1">
        <v>0</v>
      </c>
      <c r="BA1408" s="1">
        <v>0</v>
      </c>
      <c r="BB1408" s="1">
        <v>0</v>
      </c>
      <c r="BC1408" s="1">
        <v>0</v>
      </c>
      <c r="BD1408" s="1">
        <v>0</v>
      </c>
      <c r="BE1408" s="1">
        <v>1</v>
      </c>
      <c r="BF1408" s="1">
        <v>0</v>
      </c>
      <c r="BG1408" s="1">
        <v>0</v>
      </c>
      <c r="BH1408" s="1">
        <v>0</v>
      </c>
      <c r="BI1408" s="1">
        <v>0</v>
      </c>
      <c r="BJ1408" s="1">
        <v>0</v>
      </c>
      <c r="BK1408" s="1">
        <v>0</v>
      </c>
      <c r="BL1408" s="1">
        <v>0</v>
      </c>
      <c r="BM1408" s="1">
        <v>0</v>
      </c>
      <c r="BN1408" s="1">
        <v>0</v>
      </c>
      <c r="BO1408" s="1">
        <v>0</v>
      </c>
      <c r="BP1408" s="1">
        <v>0</v>
      </c>
      <c r="BQ1408" s="1">
        <v>0</v>
      </c>
      <c r="BR1408" s="1">
        <v>0</v>
      </c>
      <c r="BS1408" s="1" t="s">
        <v>109</v>
      </c>
      <c r="BT1408" s="1">
        <v>1461</v>
      </c>
      <c r="BU1408" s="1" t="s">
        <v>109</v>
      </c>
      <c r="BV1408" s="1"/>
      <c r="BW1408" s="1"/>
      <c r="BX1408" s="1"/>
      <c r="BY1408" s="1"/>
      <c r="BZ1408" s="1">
        <v>0</v>
      </c>
      <c r="CA1408" s="1" t="s">
        <v>109</v>
      </c>
      <c r="CB1408" s="1" t="s">
        <v>109</v>
      </c>
      <c r="CC1408" s="1" t="s">
        <v>109</v>
      </c>
      <c r="CD1408" s="1" t="s">
        <v>109</v>
      </c>
      <c r="CE1408" s="1" t="s">
        <v>109</v>
      </c>
      <c r="CF1408" s="1" t="s">
        <v>109</v>
      </c>
      <c r="CG1408" s="1" t="s">
        <v>109</v>
      </c>
      <c r="CH1408" s="1" t="s">
        <v>109</v>
      </c>
      <c r="CI1408" s="1" t="s">
        <v>109</v>
      </c>
      <c r="CJ1408" s="1" t="s">
        <v>109</v>
      </c>
      <c r="CK1408" s="1"/>
      <c r="CL1408" s="1">
        <v>0</v>
      </c>
      <c r="CM1408" s="1">
        <v>0</v>
      </c>
      <c r="CN1408" s="1">
        <v>0</v>
      </c>
    </row>
    <row r="1409" spans="1:92" ht="14.25" customHeight="1" x14ac:dyDescent="0.15">
      <c r="A1409" s="1" t="s">
        <v>10985</v>
      </c>
      <c r="B1409" s="1" t="s">
        <v>584</v>
      </c>
      <c r="C1409" s="1"/>
      <c r="D1409" s="1"/>
      <c r="E1409" s="1" t="s">
        <v>10163</v>
      </c>
      <c r="F1409" s="1" t="s">
        <v>98</v>
      </c>
      <c r="G1409" s="1" t="s">
        <v>141</v>
      </c>
      <c r="H1409" s="1">
        <v>0</v>
      </c>
      <c r="I1409" s="1" t="s">
        <v>235</v>
      </c>
      <c r="J1409" s="1"/>
      <c r="K1409" s="1"/>
      <c r="L1409" s="1" t="s">
        <v>236</v>
      </c>
      <c r="M1409" s="1" t="s">
        <v>574</v>
      </c>
      <c r="N1409" s="1">
        <v>1</v>
      </c>
      <c r="O1409" s="1">
        <v>0</v>
      </c>
      <c r="P1409" s="1" t="s">
        <v>10986</v>
      </c>
      <c r="Q1409" s="1" t="s">
        <v>268</v>
      </c>
      <c r="R1409" s="1" t="s">
        <v>10987</v>
      </c>
      <c r="S1409" s="1" t="s">
        <v>10988</v>
      </c>
      <c r="T1409" s="1" t="s">
        <v>10989</v>
      </c>
      <c r="U1409" s="1" t="s">
        <v>10990</v>
      </c>
      <c r="V1409" s="1">
        <v>1</v>
      </c>
      <c r="W1409" s="1">
        <v>1</v>
      </c>
      <c r="X1409" s="1">
        <v>0</v>
      </c>
      <c r="Y1409" s="1">
        <v>0</v>
      </c>
      <c r="Z1409" s="1">
        <v>0</v>
      </c>
      <c r="AA1409" s="1">
        <v>3</v>
      </c>
      <c r="AB1409" s="1">
        <v>3</v>
      </c>
      <c r="AC1409" s="1" t="s">
        <v>109</v>
      </c>
      <c r="AD1409" s="1" t="s">
        <v>109</v>
      </c>
      <c r="AE1409" s="1" t="s">
        <v>109</v>
      </c>
      <c r="AF1409" s="1" t="s">
        <v>109</v>
      </c>
      <c r="AG1409" s="1" t="s">
        <v>109</v>
      </c>
      <c r="AH1409" s="1" t="s">
        <v>109</v>
      </c>
      <c r="AI1409" s="1" t="s">
        <v>109</v>
      </c>
      <c r="AJ1409" s="1">
        <v>3</v>
      </c>
      <c r="AK1409" s="1" t="s">
        <v>109</v>
      </c>
      <c r="AL1409" s="1" t="s">
        <v>109</v>
      </c>
      <c r="AM1409" s="1" t="s">
        <v>109</v>
      </c>
      <c r="AN1409" s="1" t="s">
        <v>109</v>
      </c>
      <c r="AO1409" s="1" t="s">
        <v>109</v>
      </c>
      <c r="AP1409" s="1"/>
      <c r="AQ1409" s="1">
        <v>3</v>
      </c>
      <c r="AR1409" s="1"/>
      <c r="AS1409" s="1"/>
      <c r="AT1409" s="1">
        <v>0</v>
      </c>
      <c r="AU1409" s="1">
        <v>0</v>
      </c>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t="s">
        <v>109</v>
      </c>
      <c r="BT1409" s="1">
        <v>1463</v>
      </c>
      <c r="BU1409" s="1" t="s">
        <v>109</v>
      </c>
      <c r="BV1409" s="1"/>
      <c r="BW1409" s="1"/>
      <c r="BX1409" s="1"/>
      <c r="BY1409" s="1"/>
      <c r="BZ1409" s="1">
        <v>0</v>
      </c>
      <c r="CA1409" s="1" t="s">
        <v>109</v>
      </c>
      <c r="CB1409" s="1" t="s">
        <v>109</v>
      </c>
      <c r="CC1409" s="1" t="s">
        <v>109</v>
      </c>
      <c r="CD1409" s="1" t="s">
        <v>109</v>
      </c>
      <c r="CE1409" s="1" t="s">
        <v>109</v>
      </c>
      <c r="CF1409" s="1" t="s">
        <v>109</v>
      </c>
      <c r="CG1409" s="1" t="s">
        <v>109</v>
      </c>
      <c r="CH1409" s="1" t="s">
        <v>109</v>
      </c>
      <c r="CI1409" s="1" t="s">
        <v>109</v>
      </c>
      <c r="CJ1409" s="1" t="s">
        <v>109</v>
      </c>
      <c r="CK1409" s="1"/>
      <c r="CL1409" s="1">
        <v>0</v>
      </c>
      <c r="CM1409" s="1">
        <v>0</v>
      </c>
      <c r="CN1409" s="1">
        <v>0</v>
      </c>
    </row>
    <row r="1410" spans="1:92" ht="14.25" customHeight="1" x14ac:dyDescent="0.15">
      <c r="A1410" s="1" t="s">
        <v>10991</v>
      </c>
      <c r="B1410" s="1" t="s">
        <v>308</v>
      </c>
      <c r="C1410" s="1"/>
      <c r="D1410" s="1"/>
      <c r="E1410" s="1" t="s">
        <v>10992</v>
      </c>
      <c r="F1410" s="1" t="s">
        <v>98</v>
      </c>
      <c r="G1410" s="1" t="s">
        <v>141</v>
      </c>
      <c r="H1410" s="1">
        <v>0</v>
      </c>
      <c r="I1410" s="1" t="s">
        <v>161</v>
      </c>
      <c r="J1410" s="1"/>
      <c r="K1410" s="1"/>
      <c r="L1410" s="1" t="s">
        <v>506</v>
      </c>
      <c r="M1410" s="1" t="s">
        <v>408</v>
      </c>
      <c r="N1410" s="1">
        <v>0</v>
      </c>
      <c r="O1410" s="1">
        <v>0</v>
      </c>
      <c r="P1410" s="1" t="s">
        <v>301</v>
      </c>
      <c r="Q1410" s="1" t="s">
        <v>268</v>
      </c>
      <c r="R1410" s="1" t="s">
        <v>10993</v>
      </c>
      <c r="S1410" s="1" t="s">
        <v>10994</v>
      </c>
      <c r="T1410" s="1" t="s">
        <v>10995</v>
      </c>
      <c r="U1410" s="1" t="s">
        <v>10996</v>
      </c>
      <c r="V1410" s="1">
        <v>1</v>
      </c>
      <c r="W1410" s="1">
        <v>1</v>
      </c>
      <c r="X1410" s="1">
        <v>0</v>
      </c>
      <c r="Y1410" s="1">
        <v>0</v>
      </c>
      <c r="Z1410" s="1">
        <v>0</v>
      </c>
      <c r="AA1410" s="1">
        <v>5</v>
      </c>
      <c r="AB1410" s="1">
        <v>5</v>
      </c>
      <c r="AC1410" s="1">
        <v>4</v>
      </c>
      <c r="AD1410" s="1" t="s">
        <v>109</v>
      </c>
      <c r="AE1410" s="1" t="s">
        <v>109</v>
      </c>
      <c r="AF1410" s="1" t="s">
        <v>109</v>
      </c>
      <c r="AG1410" s="1" t="s">
        <v>109</v>
      </c>
      <c r="AH1410" s="1" t="s">
        <v>109</v>
      </c>
      <c r="AI1410" s="1" t="s">
        <v>109</v>
      </c>
      <c r="AJ1410" s="1">
        <v>4</v>
      </c>
      <c r="AK1410" s="1" t="s">
        <v>109</v>
      </c>
      <c r="AL1410" s="1">
        <v>4</v>
      </c>
      <c r="AM1410" s="1" t="s">
        <v>109</v>
      </c>
      <c r="AN1410" s="1" t="s">
        <v>109</v>
      </c>
      <c r="AO1410" s="1" t="s">
        <v>109</v>
      </c>
      <c r="AP1410" s="1"/>
      <c r="AQ1410" s="1">
        <v>5</v>
      </c>
      <c r="AR1410" s="1"/>
      <c r="AS1410" s="1"/>
      <c r="AT1410" s="1">
        <v>0</v>
      </c>
      <c r="AU1410" s="1">
        <v>0</v>
      </c>
      <c r="AV1410" s="1">
        <v>0</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t="s">
        <v>109</v>
      </c>
      <c r="BT1410" s="1">
        <v>1464</v>
      </c>
      <c r="BU1410" s="1" t="s">
        <v>109</v>
      </c>
      <c r="BV1410" s="1"/>
      <c r="BW1410" s="1"/>
      <c r="BX1410" s="1"/>
      <c r="BY1410" s="1"/>
      <c r="BZ1410" s="1">
        <v>0</v>
      </c>
      <c r="CA1410" s="1" t="s">
        <v>109</v>
      </c>
      <c r="CB1410" s="1" t="s">
        <v>109</v>
      </c>
      <c r="CC1410" s="1" t="s">
        <v>109</v>
      </c>
      <c r="CD1410" s="1" t="s">
        <v>109</v>
      </c>
      <c r="CE1410" s="1" t="s">
        <v>109</v>
      </c>
      <c r="CF1410" s="1" t="s">
        <v>109</v>
      </c>
      <c r="CG1410" s="1" t="s">
        <v>109</v>
      </c>
      <c r="CH1410" s="1" t="s">
        <v>109</v>
      </c>
      <c r="CI1410" s="1" t="s">
        <v>109</v>
      </c>
      <c r="CJ1410" s="1" t="s">
        <v>109</v>
      </c>
      <c r="CK1410" s="1"/>
      <c r="CL1410" s="1">
        <v>0</v>
      </c>
      <c r="CM1410" s="1">
        <v>0</v>
      </c>
      <c r="CN1410" s="1">
        <v>0</v>
      </c>
    </row>
    <row r="1411" spans="1:92" ht="14.25" customHeight="1" x14ac:dyDescent="0.15">
      <c r="A1411" s="1" t="s">
        <v>10997</v>
      </c>
      <c r="B1411" s="1" t="s">
        <v>189</v>
      </c>
      <c r="C1411" s="1"/>
      <c r="D1411" s="1"/>
      <c r="E1411" s="1" t="s">
        <v>5724</v>
      </c>
      <c r="F1411" s="1" t="s">
        <v>98</v>
      </c>
      <c r="G1411" s="1" t="s">
        <v>1191</v>
      </c>
      <c r="H1411" s="1">
        <v>0</v>
      </c>
      <c r="I1411" s="1" t="s">
        <v>100</v>
      </c>
      <c r="J1411" s="1"/>
      <c r="K1411" s="1"/>
      <c r="L1411" s="1" t="s">
        <v>10998</v>
      </c>
      <c r="M1411" s="1" t="s">
        <v>211</v>
      </c>
      <c r="N1411" s="1">
        <v>0</v>
      </c>
      <c r="O1411" s="1">
        <v>0</v>
      </c>
      <c r="P1411" s="1" t="s">
        <v>5812</v>
      </c>
      <c r="Q1411" s="1" t="s">
        <v>630</v>
      </c>
      <c r="R1411" s="1" t="s">
        <v>10999</v>
      </c>
      <c r="S1411" s="1" t="s">
        <v>11000</v>
      </c>
      <c r="T1411" s="1" t="s">
        <v>10995</v>
      </c>
      <c r="U1411" s="1" t="s">
        <v>11001</v>
      </c>
      <c r="V1411" s="1">
        <v>1</v>
      </c>
      <c r="W1411" s="1">
        <v>1</v>
      </c>
      <c r="X1411" s="1">
        <v>1</v>
      </c>
      <c r="Y1411" s="1">
        <v>0</v>
      </c>
      <c r="Z1411" s="1">
        <v>0</v>
      </c>
      <c r="AA1411" s="1">
        <v>9</v>
      </c>
      <c r="AB1411" s="1">
        <v>9</v>
      </c>
      <c r="AC1411" s="1">
        <v>9</v>
      </c>
      <c r="AD1411" s="1" t="s">
        <v>109</v>
      </c>
      <c r="AE1411" s="1" t="s">
        <v>109</v>
      </c>
      <c r="AF1411" s="1" t="s">
        <v>109</v>
      </c>
      <c r="AG1411" s="1" t="s">
        <v>109</v>
      </c>
      <c r="AH1411" s="1" t="s">
        <v>109</v>
      </c>
      <c r="AI1411" s="1" t="s">
        <v>109</v>
      </c>
      <c r="AJ1411" s="1" t="s">
        <v>109</v>
      </c>
      <c r="AK1411" s="1" t="s">
        <v>109</v>
      </c>
      <c r="AL1411" s="1">
        <v>9</v>
      </c>
      <c r="AM1411" s="1" t="s">
        <v>109</v>
      </c>
      <c r="AN1411" s="1" t="s">
        <v>109</v>
      </c>
      <c r="AO1411" s="1" t="s">
        <v>109</v>
      </c>
      <c r="AP1411" s="1"/>
      <c r="AQ1411" s="1">
        <v>9</v>
      </c>
      <c r="AR1411" s="1"/>
      <c r="AS1411" s="1"/>
      <c r="AT1411" s="1">
        <v>0</v>
      </c>
      <c r="AU1411" s="1">
        <v>0</v>
      </c>
      <c r="AV1411" s="1">
        <v>0</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t="s">
        <v>109</v>
      </c>
      <c r="BT1411" s="1">
        <v>1466</v>
      </c>
      <c r="BU1411" s="1" t="s">
        <v>109</v>
      </c>
      <c r="BV1411" s="1"/>
      <c r="BW1411" s="1"/>
      <c r="BX1411" s="1"/>
      <c r="BY1411" s="1"/>
      <c r="BZ1411" s="1">
        <v>0</v>
      </c>
      <c r="CA1411" s="1" t="s">
        <v>109</v>
      </c>
      <c r="CB1411" s="1" t="s">
        <v>109</v>
      </c>
      <c r="CC1411" s="1" t="s">
        <v>109</v>
      </c>
      <c r="CD1411" s="1" t="s">
        <v>109</v>
      </c>
      <c r="CE1411" s="1" t="s">
        <v>109</v>
      </c>
      <c r="CF1411" s="1" t="s">
        <v>109</v>
      </c>
      <c r="CG1411" s="1" t="s">
        <v>109</v>
      </c>
      <c r="CH1411" s="1" t="s">
        <v>109</v>
      </c>
      <c r="CI1411" s="1" t="s">
        <v>109</v>
      </c>
      <c r="CJ1411" s="1" t="s">
        <v>109</v>
      </c>
      <c r="CK1411" s="1"/>
      <c r="CL1411" s="1">
        <v>0</v>
      </c>
      <c r="CM1411" s="1">
        <v>0</v>
      </c>
      <c r="CN1411" s="1">
        <v>0</v>
      </c>
    </row>
    <row r="1412" spans="1:92" ht="14.25" customHeight="1" x14ac:dyDescent="0.15">
      <c r="A1412" s="1" t="s">
        <v>11002</v>
      </c>
      <c r="B1412" s="1" t="s">
        <v>308</v>
      </c>
      <c r="C1412" s="1"/>
      <c r="D1412" s="1"/>
      <c r="E1412" s="1" t="s">
        <v>11003</v>
      </c>
      <c r="F1412" s="1" t="s">
        <v>98</v>
      </c>
      <c r="G1412" s="1" t="s">
        <v>1191</v>
      </c>
      <c r="H1412" s="1">
        <v>0</v>
      </c>
      <c r="I1412" s="1" t="s">
        <v>161</v>
      </c>
      <c r="J1412" s="1"/>
      <c r="K1412" s="1"/>
      <c r="L1412" s="1" t="s">
        <v>11004</v>
      </c>
      <c r="M1412" s="1" t="s">
        <v>280</v>
      </c>
      <c r="N1412" s="1">
        <v>0</v>
      </c>
      <c r="O1412" s="1">
        <v>0</v>
      </c>
      <c r="P1412" s="1" t="s">
        <v>103</v>
      </c>
      <c r="Q1412" s="1" t="s">
        <v>104</v>
      </c>
      <c r="R1412" s="1" t="s">
        <v>11005</v>
      </c>
      <c r="S1412" s="1" t="s">
        <v>11006</v>
      </c>
      <c r="T1412" s="1" t="s">
        <v>10995</v>
      </c>
      <c r="U1412" s="1" t="s">
        <v>11007</v>
      </c>
      <c r="V1412" s="1">
        <v>1</v>
      </c>
      <c r="W1412" s="1">
        <v>1</v>
      </c>
      <c r="X1412" s="1">
        <v>1</v>
      </c>
      <c r="Y1412" s="1">
        <v>0</v>
      </c>
      <c r="Z1412" s="1">
        <v>0</v>
      </c>
      <c r="AA1412" s="1">
        <v>4</v>
      </c>
      <c r="AB1412" s="1">
        <v>4</v>
      </c>
      <c r="AC1412" s="1">
        <v>3</v>
      </c>
      <c r="AD1412" s="1" t="s">
        <v>109</v>
      </c>
      <c r="AE1412" s="1" t="s">
        <v>109</v>
      </c>
      <c r="AF1412" s="1" t="s">
        <v>109</v>
      </c>
      <c r="AG1412" s="1" t="s">
        <v>109</v>
      </c>
      <c r="AH1412" s="1" t="s">
        <v>109</v>
      </c>
      <c r="AI1412" s="1">
        <v>4</v>
      </c>
      <c r="AJ1412" s="1">
        <v>4</v>
      </c>
      <c r="AK1412" s="1" t="s">
        <v>109</v>
      </c>
      <c r="AL1412" s="1">
        <v>3</v>
      </c>
      <c r="AM1412" s="1" t="s">
        <v>109</v>
      </c>
      <c r="AN1412" s="1" t="s">
        <v>109</v>
      </c>
      <c r="AO1412" s="1" t="s">
        <v>109</v>
      </c>
      <c r="AP1412" s="1"/>
      <c r="AQ1412" s="1">
        <v>4</v>
      </c>
      <c r="AR1412" s="1"/>
      <c r="AS1412" s="1"/>
      <c r="AT1412" s="1">
        <v>0</v>
      </c>
      <c r="AU1412" s="1">
        <v>0</v>
      </c>
      <c r="AV1412" s="1">
        <v>0</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t="s">
        <v>109</v>
      </c>
      <c r="BT1412" s="1">
        <v>1467</v>
      </c>
      <c r="BU1412" s="1" t="s">
        <v>109</v>
      </c>
      <c r="BV1412" s="1"/>
      <c r="BW1412" s="1"/>
      <c r="BX1412" s="1"/>
      <c r="BY1412" s="1"/>
      <c r="BZ1412" s="1">
        <v>0</v>
      </c>
      <c r="CA1412" s="1" t="s">
        <v>109</v>
      </c>
      <c r="CB1412" s="1" t="s">
        <v>109</v>
      </c>
      <c r="CC1412" s="1" t="s">
        <v>109</v>
      </c>
      <c r="CD1412" s="1" t="s">
        <v>109</v>
      </c>
      <c r="CE1412" s="1" t="s">
        <v>109</v>
      </c>
      <c r="CF1412" s="1" t="s">
        <v>109</v>
      </c>
      <c r="CG1412" s="1" t="s">
        <v>109</v>
      </c>
      <c r="CH1412" s="1" t="s">
        <v>109</v>
      </c>
      <c r="CI1412" s="1" t="s">
        <v>109</v>
      </c>
      <c r="CJ1412" s="1" t="s">
        <v>109</v>
      </c>
      <c r="CK1412" s="1"/>
      <c r="CL1412" s="1">
        <v>0</v>
      </c>
      <c r="CM1412" s="1">
        <v>0</v>
      </c>
      <c r="CN1412" s="1">
        <v>0</v>
      </c>
    </row>
    <row r="1413" spans="1:92" ht="14.25" customHeight="1" x14ac:dyDescent="0.15">
      <c r="A1413" s="1" t="s">
        <v>11008</v>
      </c>
      <c r="B1413" s="1" t="s">
        <v>254</v>
      </c>
      <c r="C1413" s="1" t="s">
        <v>393</v>
      </c>
      <c r="D1413" s="1" t="s">
        <v>11009</v>
      </c>
      <c r="E1413" s="1" t="s">
        <v>11010</v>
      </c>
      <c r="F1413" s="1" t="s">
        <v>98</v>
      </c>
      <c r="G1413" s="1" t="s">
        <v>11011</v>
      </c>
      <c r="H1413" s="1">
        <v>0</v>
      </c>
      <c r="I1413" s="1" t="s">
        <v>211</v>
      </c>
      <c r="J1413" s="1"/>
      <c r="K1413" s="1" t="s">
        <v>11012</v>
      </c>
      <c r="L1413" s="1"/>
      <c r="M1413" s="1" t="s">
        <v>289</v>
      </c>
      <c r="N1413" s="1">
        <v>0</v>
      </c>
      <c r="O1413" s="1">
        <v>0</v>
      </c>
      <c r="P1413" s="1" t="s">
        <v>629</v>
      </c>
      <c r="Q1413" s="1" t="s">
        <v>630</v>
      </c>
      <c r="R1413" s="1" t="s">
        <v>11013</v>
      </c>
      <c r="S1413" s="1" t="s">
        <v>11014</v>
      </c>
      <c r="T1413" s="1" t="s">
        <v>10995</v>
      </c>
      <c r="U1413" s="1" t="s">
        <v>11015</v>
      </c>
      <c r="V1413" s="1">
        <v>1</v>
      </c>
      <c r="W1413" s="1">
        <v>1</v>
      </c>
      <c r="X1413" s="1">
        <v>0</v>
      </c>
      <c r="Y1413" s="1">
        <v>0</v>
      </c>
      <c r="Z1413" s="1">
        <v>0</v>
      </c>
      <c r="AA1413" s="1">
        <v>2</v>
      </c>
      <c r="AB1413" s="1">
        <v>2</v>
      </c>
      <c r="AC1413" s="1">
        <v>2</v>
      </c>
      <c r="AD1413" s="1" t="s">
        <v>109</v>
      </c>
      <c r="AE1413" s="1" t="s">
        <v>109</v>
      </c>
      <c r="AF1413" s="1">
        <v>2</v>
      </c>
      <c r="AG1413" s="1" t="s">
        <v>109</v>
      </c>
      <c r="AH1413" s="1" t="s">
        <v>109</v>
      </c>
      <c r="AI1413" s="1" t="s">
        <v>109</v>
      </c>
      <c r="AJ1413" s="1" t="s">
        <v>109</v>
      </c>
      <c r="AK1413" s="1" t="s">
        <v>109</v>
      </c>
      <c r="AL1413" s="1">
        <v>2</v>
      </c>
      <c r="AM1413" s="1" t="s">
        <v>109</v>
      </c>
      <c r="AN1413" s="1" t="s">
        <v>109</v>
      </c>
      <c r="AO1413" s="1" t="s">
        <v>109</v>
      </c>
      <c r="AP1413" s="1"/>
      <c r="AQ1413" s="1">
        <v>2</v>
      </c>
      <c r="AR1413" s="1"/>
      <c r="AS1413" s="1"/>
      <c r="AT1413" s="1">
        <v>0</v>
      </c>
      <c r="AU1413" s="1">
        <v>0</v>
      </c>
      <c r="AV1413" s="1">
        <v>0</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t="s">
        <v>109</v>
      </c>
      <c r="BT1413" s="1">
        <v>1468</v>
      </c>
      <c r="BU1413" s="1" t="s">
        <v>109</v>
      </c>
      <c r="BV1413" s="1"/>
      <c r="BW1413" s="1"/>
      <c r="BX1413" s="1"/>
      <c r="BY1413" s="1"/>
      <c r="BZ1413" s="1">
        <v>0</v>
      </c>
      <c r="CA1413" s="1" t="s">
        <v>109</v>
      </c>
      <c r="CB1413" s="1" t="s">
        <v>109</v>
      </c>
      <c r="CC1413" s="1" t="s">
        <v>109</v>
      </c>
      <c r="CD1413" s="1" t="s">
        <v>109</v>
      </c>
      <c r="CE1413" s="1" t="s">
        <v>109</v>
      </c>
      <c r="CF1413" s="1" t="s">
        <v>109</v>
      </c>
      <c r="CG1413" s="1" t="s">
        <v>109</v>
      </c>
      <c r="CH1413" s="1" t="s">
        <v>109</v>
      </c>
      <c r="CI1413" s="1" t="s">
        <v>109</v>
      </c>
      <c r="CJ1413" s="1" t="s">
        <v>109</v>
      </c>
      <c r="CK1413" s="1"/>
      <c r="CL1413" s="1">
        <v>0</v>
      </c>
      <c r="CM1413" s="1">
        <v>0</v>
      </c>
      <c r="CN1413" s="1">
        <v>0</v>
      </c>
    </row>
    <row r="1414" spans="1:92" ht="14.25" customHeight="1" x14ac:dyDescent="0.15">
      <c r="A1414" s="1" t="s">
        <v>11016</v>
      </c>
      <c r="B1414" s="1" t="s">
        <v>95</v>
      </c>
      <c r="C1414" s="1" t="s">
        <v>96</v>
      </c>
      <c r="D1414" s="1"/>
      <c r="E1414" s="1" t="s">
        <v>11017</v>
      </c>
      <c r="F1414" s="1" t="s">
        <v>98</v>
      </c>
      <c r="G1414" s="1" t="s">
        <v>1191</v>
      </c>
      <c r="H1414" s="1">
        <v>0</v>
      </c>
      <c r="I1414" s="1" t="s">
        <v>100</v>
      </c>
      <c r="J1414" s="1"/>
      <c r="K1414" s="1" t="s">
        <v>11018</v>
      </c>
      <c r="L1414" s="1"/>
      <c r="M1414" s="1" t="s">
        <v>280</v>
      </c>
      <c r="N1414" s="1">
        <v>0</v>
      </c>
      <c r="O1414" s="1">
        <v>0</v>
      </c>
      <c r="P1414" s="1" t="s">
        <v>103</v>
      </c>
      <c r="Q1414" s="1" t="s">
        <v>104</v>
      </c>
      <c r="R1414" s="1" t="s">
        <v>11019</v>
      </c>
      <c r="S1414" s="1" t="s">
        <v>11020</v>
      </c>
      <c r="T1414" s="1" t="s">
        <v>10995</v>
      </c>
      <c r="U1414" s="1" t="s">
        <v>11021</v>
      </c>
      <c r="V1414" s="1">
        <v>1</v>
      </c>
      <c r="W1414" s="1">
        <v>1</v>
      </c>
      <c r="X1414" s="1">
        <v>1</v>
      </c>
      <c r="Y1414" s="1">
        <v>0</v>
      </c>
      <c r="Z1414" s="1">
        <v>0</v>
      </c>
      <c r="AA1414" s="1">
        <v>5</v>
      </c>
      <c r="AB1414" s="1">
        <v>5</v>
      </c>
      <c r="AC1414" s="1" t="s">
        <v>109</v>
      </c>
      <c r="AD1414" s="1" t="s">
        <v>109</v>
      </c>
      <c r="AE1414" s="1" t="s">
        <v>109</v>
      </c>
      <c r="AF1414" s="1">
        <v>4</v>
      </c>
      <c r="AG1414" s="1" t="s">
        <v>109</v>
      </c>
      <c r="AH1414" s="1" t="s">
        <v>109</v>
      </c>
      <c r="AI1414" s="1">
        <v>5</v>
      </c>
      <c r="AJ1414" s="1">
        <v>5</v>
      </c>
      <c r="AK1414" s="1" t="s">
        <v>109</v>
      </c>
      <c r="AL1414" s="1" t="s">
        <v>109</v>
      </c>
      <c r="AM1414" s="1" t="s">
        <v>109</v>
      </c>
      <c r="AN1414" s="1" t="s">
        <v>109</v>
      </c>
      <c r="AO1414" s="1" t="s">
        <v>109</v>
      </c>
      <c r="AP1414" s="1"/>
      <c r="AQ1414" s="1">
        <v>5</v>
      </c>
      <c r="AR1414" s="1"/>
      <c r="AS1414" s="1"/>
      <c r="AT1414" s="1">
        <v>0</v>
      </c>
      <c r="AU1414" s="1">
        <v>0</v>
      </c>
      <c r="AV1414" s="1">
        <v>0</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t="s">
        <v>109</v>
      </c>
      <c r="BT1414" s="1">
        <v>1469</v>
      </c>
      <c r="BU1414" s="1" t="s">
        <v>109</v>
      </c>
      <c r="BV1414" s="1"/>
      <c r="BW1414" s="1"/>
      <c r="BX1414" s="1"/>
      <c r="BY1414" s="1"/>
      <c r="BZ1414" s="1">
        <v>0</v>
      </c>
      <c r="CA1414" s="1" t="s">
        <v>109</v>
      </c>
      <c r="CB1414" s="1" t="s">
        <v>109</v>
      </c>
      <c r="CC1414" s="1" t="s">
        <v>109</v>
      </c>
      <c r="CD1414" s="1" t="s">
        <v>109</v>
      </c>
      <c r="CE1414" s="1" t="s">
        <v>109</v>
      </c>
      <c r="CF1414" s="1" t="s">
        <v>109</v>
      </c>
      <c r="CG1414" s="1" t="s">
        <v>109</v>
      </c>
      <c r="CH1414" s="1" t="s">
        <v>109</v>
      </c>
      <c r="CI1414" s="1" t="s">
        <v>109</v>
      </c>
      <c r="CJ1414" s="1" t="s">
        <v>109</v>
      </c>
      <c r="CK1414" s="1"/>
      <c r="CL1414" s="1">
        <v>0</v>
      </c>
      <c r="CM1414" s="1">
        <v>0</v>
      </c>
      <c r="CN1414" s="1">
        <v>0</v>
      </c>
    </row>
    <row r="1415" spans="1:92" ht="14.25" customHeight="1" x14ac:dyDescent="0.15">
      <c r="A1415" s="1" t="s">
        <v>11022</v>
      </c>
      <c r="B1415" s="1" t="s">
        <v>308</v>
      </c>
      <c r="C1415" s="1"/>
      <c r="D1415" s="1" t="s">
        <v>8102</v>
      </c>
      <c r="E1415" s="1" t="s">
        <v>11023</v>
      </c>
      <c r="F1415" s="1" t="s">
        <v>98</v>
      </c>
      <c r="G1415" s="1" t="s">
        <v>141</v>
      </c>
      <c r="H1415" s="1">
        <v>0</v>
      </c>
      <c r="I1415" s="1" t="s">
        <v>161</v>
      </c>
      <c r="J1415" s="1"/>
      <c r="K1415" s="1"/>
      <c r="L1415" s="1" t="s">
        <v>162</v>
      </c>
      <c r="M1415" s="1" t="s">
        <v>144</v>
      </c>
      <c r="N1415" s="1">
        <v>0</v>
      </c>
      <c r="O1415" s="1">
        <v>0</v>
      </c>
      <c r="P1415" s="1" t="s">
        <v>267</v>
      </c>
      <c r="Q1415" s="1" t="s">
        <v>268</v>
      </c>
      <c r="R1415" s="1" t="s">
        <v>11024</v>
      </c>
      <c r="S1415" s="1" t="s">
        <v>11025</v>
      </c>
      <c r="T1415" s="1" t="s">
        <v>11026</v>
      </c>
      <c r="U1415" s="1" t="s">
        <v>11027</v>
      </c>
      <c r="V1415" s="1">
        <v>1</v>
      </c>
      <c r="W1415" s="1">
        <v>1</v>
      </c>
      <c r="X1415" s="1">
        <v>0</v>
      </c>
      <c r="Y1415" s="1">
        <v>0</v>
      </c>
      <c r="Z1415" s="1">
        <v>0</v>
      </c>
      <c r="AA1415" s="1" t="s">
        <v>109</v>
      </c>
      <c r="AB1415" s="1" t="s">
        <v>109</v>
      </c>
      <c r="AC1415" s="1">
        <v>1</v>
      </c>
      <c r="AD1415" s="1">
        <v>1</v>
      </c>
      <c r="AE1415" s="1" t="s">
        <v>109</v>
      </c>
      <c r="AF1415" s="1" t="s">
        <v>109</v>
      </c>
      <c r="AG1415" s="1" t="s">
        <v>109</v>
      </c>
      <c r="AH1415" s="1" t="s">
        <v>109</v>
      </c>
      <c r="AI1415" s="1" t="s">
        <v>109</v>
      </c>
      <c r="AJ1415" s="1" t="s">
        <v>109</v>
      </c>
      <c r="AK1415" s="1" t="s">
        <v>109</v>
      </c>
      <c r="AL1415" s="1">
        <v>1</v>
      </c>
      <c r="AM1415" s="1" t="s">
        <v>109</v>
      </c>
      <c r="AN1415" s="1" t="s">
        <v>109</v>
      </c>
      <c r="AO1415" s="1" t="s">
        <v>109</v>
      </c>
      <c r="AP1415" s="1" t="s">
        <v>11028</v>
      </c>
      <c r="AQ1415" s="1">
        <v>1</v>
      </c>
      <c r="AR1415" s="1"/>
      <c r="AS1415" s="1"/>
      <c r="AT1415" s="1">
        <v>0</v>
      </c>
      <c r="AU1415" s="1">
        <v>0</v>
      </c>
      <c r="AV1415" s="1">
        <v>0</v>
      </c>
      <c r="AW1415" s="1">
        <v>0</v>
      </c>
      <c r="AX1415" s="1">
        <v>0</v>
      </c>
      <c r="AY1415" s="1">
        <v>0</v>
      </c>
      <c r="AZ1415" s="1">
        <v>0</v>
      </c>
      <c r="BA1415" s="1">
        <v>1</v>
      </c>
      <c r="BB1415" s="1">
        <v>0</v>
      </c>
      <c r="BC1415" s="1">
        <v>0</v>
      </c>
      <c r="BD1415" s="1">
        <v>0</v>
      </c>
      <c r="BE1415" s="1">
        <v>1</v>
      </c>
      <c r="BF1415" s="1">
        <v>0</v>
      </c>
      <c r="BG1415" s="1">
        <v>0</v>
      </c>
      <c r="BH1415" s="1">
        <v>0</v>
      </c>
      <c r="BI1415" s="1">
        <v>0</v>
      </c>
      <c r="BJ1415" s="1">
        <v>0</v>
      </c>
      <c r="BK1415" s="1">
        <v>0</v>
      </c>
      <c r="BL1415" s="1">
        <v>0</v>
      </c>
      <c r="BM1415" s="1">
        <v>0</v>
      </c>
      <c r="BN1415" s="1">
        <v>0</v>
      </c>
      <c r="BO1415" s="1">
        <v>0</v>
      </c>
      <c r="BP1415" s="1">
        <v>0</v>
      </c>
      <c r="BQ1415" s="1">
        <v>0</v>
      </c>
      <c r="BR1415" s="1">
        <v>0</v>
      </c>
      <c r="BS1415" s="1" t="s">
        <v>109</v>
      </c>
      <c r="BT1415" s="1">
        <v>1472</v>
      </c>
      <c r="BU1415" s="1" t="s">
        <v>109</v>
      </c>
      <c r="BV1415" s="1"/>
      <c r="BW1415" s="1"/>
      <c r="BX1415" s="1"/>
      <c r="BY1415" s="1"/>
      <c r="BZ1415" s="1">
        <v>0</v>
      </c>
      <c r="CA1415" s="1" t="s">
        <v>109</v>
      </c>
      <c r="CB1415" s="1" t="s">
        <v>109</v>
      </c>
      <c r="CC1415" s="1" t="s">
        <v>109</v>
      </c>
      <c r="CD1415" s="1" t="s">
        <v>109</v>
      </c>
      <c r="CE1415" s="1" t="s">
        <v>109</v>
      </c>
      <c r="CF1415" s="1" t="s">
        <v>109</v>
      </c>
      <c r="CG1415" s="1" t="s">
        <v>109</v>
      </c>
      <c r="CH1415" s="1" t="s">
        <v>109</v>
      </c>
      <c r="CI1415" s="1" t="s">
        <v>109</v>
      </c>
      <c r="CJ1415" s="1">
        <v>1</v>
      </c>
      <c r="CK1415" s="1"/>
      <c r="CL1415" s="1">
        <v>0</v>
      </c>
      <c r="CM1415" s="1">
        <v>0</v>
      </c>
      <c r="CN1415" s="1">
        <v>0</v>
      </c>
    </row>
    <row r="1416" spans="1:92" ht="14.25" customHeight="1" x14ac:dyDescent="0.15">
      <c r="A1416" s="1" t="s">
        <v>11029</v>
      </c>
      <c r="B1416" s="1" t="s">
        <v>95</v>
      </c>
      <c r="C1416" s="1" t="s">
        <v>96</v>
      </c>
      <c r="D1416" s="1" t="s">
        <v>67</v>
      </c>
      <c r="E1416" s="1" t="s">
        <v>11030</v>
      </c>
      <c r="F1416" s="1" t="s">
        <v>98</v>
      </c>
      <c r="G1416" s="1" t="s">
        <v>11031</v>
      </c>
      <c r="H1416" s="1">
        <v>0</v>
      </c>
      <c r="I1416" s="1" t="s">
        <v>142</v>
      </c>
      <c r="J1416" s="1"/>
      <c r="K1416" s="1" t="s">
        <v>933</v>
      </c>
      <c r="L1416" s="1"/>
      <c r="M1416" s="1" t="s">
        <v>125</v>
      </c>
      <c r="N1416" s="1">
        <v>0</v>
      </c>
      <c r="O1416" s="1">
        <v>0</v>
      </c>
      <c r="P1416" s="1" t="s">
        <v>3667</v>
      </c>
      <c r="Q1416" s="1" t="s">
        <v>104</v>
      </c>
      <c r="R1416" s="1" t="s">
        <v>11032</v>
      </c>
      <c r="S1416" s="1" t="s">
        <v>11033</v>
      </c>
      <c r="T1416" s="1" t="s">
        <v>11026</v>
      </c>
      <c r="U1416" s="1" t="s">
        <v>11034</v>
      </c>
      <c r="V1416" s="1">
        <v>1</v>
      </c>
      <c r="W1416" s="1">
        <v>1</v>
      </c>
      <c r="X1416" s="1">
        <v>1</v>
      </c>
      <c r="Y1416" s="1">
        <v>0</v>
      </c>
      <c r="Z1416" s="1">
        <v>0</v>
      </c>
      <c r="AA1416" s="1">
        <v>2</v>
      </c>
      <c r="AB1416" s="1">
        <v>2</v>
      </c>
      <c r="AC1416" s="1">
        <v>2</v>
      </c>
      <c r="AD1416" s="1">
        <v>2</v>
      </c>
      <c r="AE1416" s="1" t="s">
        <v>109</v>
      </c>
      <c r="AF1416" s="1" t="s">
        <v>109</v>
      </c>
      <c r="AG1416" s="1" t="s">
        <v>109</v>
      </c>
      <c r="AH1416" s="1" t="s">
        <v>109</v>
      </c>
      <c r="AI1416" s="1" t="s">
        <v>109</v>
      </c>
      <c r="AJ1416" s="1" t="s">
        <v>109</v>
      </c>
      <c r="AK1416" s="1" t="s">
        <v>109</v>
      </c>
      <c r="AL1416" s="1">
        <v>2</v>
      </c>
      <c r="AM1416" s="1" t="s">
        <v>109</v>
      </c>
      <c r="AN1416" s="1" t="s">
        <v>109</v>
      </c>
      <c r="AO1416" s="1" t="s">
        <v>109</v>
      </c>
      <c r="AP1416" s="1" t="s">
        <v>11028</v>
      </c>
      <c r="AQ1416" s="1">
        <v>2</v>
      </c>
      <c r="AR1416" s="1"/>
      <c r="AS1416" s="1"/>
      <c r="AT1416" s="1">
        <v>0</v>
      </c>
      <c r="AU1416" s="1">
        <v>0</v>
      </c>
      <c r="AV1416" s="1">
        <v>0</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1</v>
      </c>
      <c r="BP1416" s="1">
        <v>0</v>
      </c>
      <c r="BQ1416" s="1">
        <v>0</v>
      </c>
      <c r="BR1416" s="1">
        <v>0</v>
      </c>
      <c r="BS1416" s="1" t="s">
        <v>109</v>
      </c>
      <c r="BT1416" s="1">
        <v>1473</v>
      </c>
      <c r="BU1416" s="1" t="s">
        <v>109</v>
      </c>
      <c r="BV1416" s="1"/>
      <c r="BW1416" s="1"/>
      <c r="BX1416" s="1"/>
      <c r="BY1416" s="1"/>
      <c r="BZ1416" s="1">
        <v>0</v>
      </c>
      <c r="CA1416" s="1" t="s">
        <v>109</v>
      </c>
      <c r="CB1416" s="1" t="s">
        <v>109</v>
      </c>
      <c r="CC1416" s="1" t="s">
        <v>109</v>
      </c>
      <c r="CD1416" s="1" t="s">
        <v>109</v>
      </c>
      <c r="CE1416" s="1" t="s">
        <v>109</v>
      </c>
      <c r="CF1416" s="1" t="s">
        <v>109</v>
      </c>
      <c r="CG1416" s="1" t="s">
        <v>109</v>
      </c>
      <c r="CH1416" s="1" t="s">
        <v>109</v>
      </c>
      <c r="CI1416" s="1" t="s">
        <v>109</v>
      </c>
      <c r="CJ1416" s="1">
        <v>2</v>
      </c>
      <c r="CK1416" s="1"/>
      <c r="CL1416" s="1">
        <v>0</v>
      </c>
      <c r="CM1416" s="1">
        <v>0</v>
      </c>
      <c r="CN1416" s="1">
        <v>0</v>
      </c>
    </row>
    <row r="1417" spans="1:92" ht="14.25" customHeight="1" x14ac:dyDescent="0.15">
      <c r="A1417" s="1" t="s">
        <v>11035</v>
      </c>
      <c r="B1417" s="1" t="s">
        <v>189</v>
      </c>
      <c r="C1417" s="1"/>
      <c r="D1417" s="1"/>
      <c r="E1417" s="1" t="s">
        <v>5552</v>
      </c>
      <c r="F1417" s="1" t="s">
        <v>277</v>
      </c>
      <c r="G1417" s="1" t="s">
        <v>11036</v>
      </c>
      <c r="H1417" s="1">
        <v>0</v>
      </c>
      <c r="I1417" s="1" t="s">
        <v>161</v>
      </c>
      <c r="J1417" s="1"/>
      <c r="K1417" s="1"/>
      <c r="L1417" s="1" t="s">
        <v>11037</v>
      </c>
      <c r="M1417" s="1" t="s">
        <v>5642</v>
      </c>
      <c r="N1417" s="1">
        <v>0</v>
      </c>
      <c r="O1417" s="1">
        <v>0</v>
      </c>
      <c r="P1417" s="1" t="s">
        <v>507</v>
      </c>
      <c r="Q1417" s="1" t="s">
        <v>104</v>
      </c>
      <c r="R1417" s="1" t="s">
        <v>11038</v>
      </c>
      <c r="S1417" s="1" t="s">
        <v>11039</v>
      </c>
      <c r="T1417" s="1" t="s">
        <v>11040</v>
      </c>
      <c r="U1417" s="1" t="s">
        <v>11041</v>
      </c>
      <c r="V1417" s="1">
        <v>1</v>
      </c>
      <c r="W1417" s="1">
        <v>1</v>
      </c>
      <c r="X1417" s="1">
        <v>1</v>
      </c>
      <c r="Y1417" s="1">
        <v>0</v>
      </c>
      <c r="Z1417" s="1">
        <v>1</v>
      </c>
      <c r="AA1417" s="1">
        <v>7</v>
      </c>
      <c r="AB1417" s="1">
        <v>7</v>
      </c>
      <c r="AC1417" s="1">
        <v>7</v>
      </c>
      <c r="AD1417" s="1" t="s">
        <v>109</v>
      </c>
      <c r="AE1417" s="1" t="s">
        <v>109</v>
      </c>
      <c r="AF1417" s="1" t="s">
        <v>109</v>
      </c>
      <c r="AG1417" s="1" t="s">
        <v>109</v>
      </c>
      <c r="AH1417" s="1" t="s">
        <v>109</v>
      </c>
      <c r="AI1417" s="1" t="s">
        <v>109</v>
      </c>
      <c r="AJ1417" s="1" t="s">
        <v>109</v>
      </c>
      <c r="AK1417" s="1" t="s">
        <v>109</v>
      </c>
      <c r="AL1417" s="1">
        <v>7</v>
      </c>
      <c r="AM1417" s="1" t="s">
        <v>109</v>
      </c>
      <c r="AN1417" s="1" t="s">
        <v>109</v>
      </c>
      <c r="AO1417" s="1" t="s">
        <v>109</v>
      </c>
      <c r="AP1417" s="1"/>
      <c r="AQ1417" s="1">
        <v>7</v>
      </c>
      <c r="AR1417" s="1"/>
      <c r="AS1417" s="1"/>
      <c r="AT1417" s="1">
        <v>0</v>
      </c>
      <c r="AU1417" s="1">
        <v>0</v>
      </c>
      <c r="AV1417" s="1">
        <v>0</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t="s">
        <v>109</v>
      </c>
      <c r="BT1417" s="1">
        <v>1474</v>
      </c>
      <c r="BU1417" s="1" t="s">
        <v>109</v>
      </c>
      <c r="BV1417" s="1"/>
      <c r="BW1417" s="1"/>
      <c r="BX1417" s="1"/>
      <c r="BY1417" s="1"/>
      <c r="BZ1417" s="1">
        <v>0</v>
      </c>
      <c r="CA1417" s="1" t="s">
        <v>109</v>
      </c>
      <c r="CB1417" s="1" t="s">
        <v>109</v>
      </c>
      <c r="CC1417" s="1" t="s">
        <v>109</v>
      </c>
      <c r="CD1417" s="1" t="s">
        <v>109</v>
      </c>
      <c r="CE1417" s="1" t="s">
        <v>109</v>
      </c>
      <c r="CF1417" s="1" t="s">
        <v>109</v>
      </c>
      <c r="CG1417" s="1" t="s">
        <v>109</v>
      </c>
      <c r="CH1417" s="1" t="s">
        <v>109</v>
      </c>
      <c r="CI1417" s="1" t="s">
        <v>109</v>
      </c>
      <c r="CJ1417" s="1" t="s">
        <v>109</v>
      </c>
      <c r="CK1417" s="1"/>
      <c r="CL1417" s="1">
        <v>0</v>
      </c>
      <c r="CM1417" s="1">
        <v>0</v>
      </c>
      <c r="CN1417" s="1">
        <v>0</v>
      </c>
    </row>
    <row r="1418" spans="1:92" ht="14.25" customHeight="1" x14ac:dyDescent="0.15">
      <c r="A1418" s="1" t="s">
        <v>11042</v>
      </c>
      <c r="B1418" s="1" t="s">
        <v>584</v>
      </c>
      <c r="C1418" s="1"/>
      <c r="D1418" s="1"/>
      <c r="E1418" s="1" t="s">
        <v>11043</v>
      </c>
      <c r="F1418" s="1" t="s">
        <v>98</v>
      </c>
      <c r="G1418" s="1" t="s">
        <v>11044</v>
      </c>
      <c r="H1418" s="1">
        <v>1</v>
      </c>
      <c r="I1418" s="1" t="s">
        <v>161</v>
      </c>
      <c r="J1418" s="1"/>
      <c r="K1418" s="1"/>
      <c r="L1418" s="1" t="s">
        <v>506</v>
      </c>
      <c r="M1418" s="1" t="s">
        <v>125</v>
      </c>
      <c r="N1418" s="1">
        <v>0</v>
      </c>
      <c r="O1418" s="1">
        <v>0</v>
      </c>
      <c r="P1418" s="1" t="s">
        <v>507</v>
      </c>
      <c r="Q1418" s="1" t="s">
        <v>104</v>
      </c>
      <c r="R1418" s="1" t="s">
        <v>11045</v>
      </c>
      <c r="S1418" s="1" t="s">
        <v>11046</v>
      </c>
      <c r="T1418" s="1" t="s">
        <v>5815</v>
      </c>
      <c r="U1418" s="1" t="s">
        <v>11047</v>
      </c>
      <c r="V1418" s="1">
        <v>1</v>
      </c>
      <c r="W1418" s="1">
        <v>1</v>
      </c>
      <c r="X1418" s="1">
        <v>1</v>
      </c>
      <c r="Y1418" s="1">
        <v>0</v>
      </c>
      <c r="Z1418" s="1">
        <v>1</v>
      </c>
      <c r="AA1418" s="1" t="s">
        <v>109</v>
      </c>
      <c r="AB1418" s="1" t="s">
        <v>109</v>
      </c>
      <c r="AC1418" s="1">
        <v>2</v>
      </c>
      <c r="AD1418" s="1" t="s">
        <v>109</v>
      </c>
      <c r="AE1418" s="1" t="s">
        <v>109</v>
      </c>
      <c r="AF1418" s="1">
        <v>2</v>
      </c>
      <c r="AG1418" s="1">
        <v>3</v>
      </c>
      <c r="AH1418" s="1">
        <v>2</v>
      </c>
      <c r="AI1418" s="1" t="s">
        <v>109</v>
      </c>
      <c r="AJ1418" s="1" t="s">
        <v>109</v>
      </c>
      <c r="AK1418" s="1" t="s">
        <v>109</v>
      </c>
      <c r="AL1418" s="1">
        <v>2</v>
      </c>
      <c r="AM1418" s="1" t="s">
        <v>109</v>
      </c>
      <c r="AN1418" s="1" t="s">
        <v>109</v>
      </c>
      <c r="AO1418" s="1" t="s">
        <v>109</v>
      </c>
      <c r="AP1418" s="1"/>
      <c r="AQ1418" s="1">
        <v>2</v>
      </c>
      <c r="AR1418" s="1"/>
      <c r="AS1418" s="1"/>
      <c r="AT1418" s="1">
        <v>0</v>
      </c>
      <c r="AU1418" s="1">
        <v>0</v>
      </c>
      <c r="AV1418" s="1">
        <v>0</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t="s">
        <v>109</v>
      </c>
      <c r="BT1418" s="1">
        <v>1475</v>
      </c>
      <c r="BU1418" s="1">
        <v>100</v>
      </c>
      <c r="BV1418" s="1"/>
      <c r="BW1418" s="1"/>
      <c r="BX1418" s="1"/>
      <c r="BY1418" s="1"/>
      <c r="BZ1418" s="1">
        <v>0</v>
      </c>
      <c r="CA1418" s="1" t="s">
        <v>109</v>
      </c>
      <c r="CB1418" s="1" t="s">
        <v>109</v>
      </c>
      <c r="CC1418" s="1" t="s">
        <v>109</v>
      </c>
      <c r="CD1418" s="1" t="s">
        <v>109</v>
      </c>
      <c r="CE1418" s="1" t="s">
        <v>109</v>
      </c>
      <c r="CF1418" s="1" t="s">
        <v>109</v>
      </c>
      <c r="CG1418" s="1" t="s">
        <v>109</v>
      </c>
      <c r="CH1418" s="1" t="s">
        <v>109</v>
      </c>
      <c r="CI1418" s="1" t="s">
        <v>109</v>
      </c>
      <c r="CJ1418" s="1" t="s">
        <v>109</v>
      </c>
      <c r="CK1418" s="1"/>
      <c r="CL1418" s="1">
        <v>0</v>
      </c>
      <c r="CM1418" s="1">
        <v>0</v>
      </c>
      <c r="CN1418" s="1">
        <v>0</v>
      </c>
    </row>
    <row r="1419" spans="1:92" ht="14.25" customHeight="1" x14ac:dyDescent="0.15">
      <c r="A1419" s="1" t="s">
        <v>11048</v>
      </c>
      <c r="B1419" s="1" t="s">
        <v>584</v>
      </c>
      <c r="C1419" s="1"/>
      <c r="D1419" s="1"/>
      <c r="E1419" s="1" t="s">
        <v>11049</v>
      </c>
      <c r="F1419" s="1" t="s">
        <v>98</v>
      </c>
      <c r="G1419" s="1" t="s">
        <v>11050</v>
      </c>
      <c r="H1419" s="1">
        <v>1</v>
      </c>
      <c r="I1419" s="1" t="s">
        <v>142</v>
      </c>
      <c r="J1419" s="1"/>
      <c r="K1419" s="1"/>
      <c r="L1419" s="1" t="s">
        <v>11051</v>
      </c>
      <c r="M1419" s="1" t="s">
        <v>125</v>
      </c>
      <c r="N1419" s="1">
        <v>0</v>
      </c>
      <c r="O1419" s="1">
        <v>0</v>
      </c>
      <c r="P1419" s="1" t="s">
        <v>507</v>
      </c>
      <c r="Q1419" s="1" t="s">
        <v>104</v>
      </c>
      <c r="R1419" s="1" t="s">
        <v>11052</v>
      </c>
      <c r="S1419" s="1" t="s">
        <v>11053</v>
      </c>
      <c r="T1419" s="1" t="s">
        <v>5815</v>
      </c>
      <c r="U1419" s="1" t="s">
        <v>11054</v>
      </c>
      <c r="V1419" s="1">
        <v>1</v>
      </c>
      <c r="W1419" s="1">
        <v>1</v>
      </c>
      <c r="X1419" s="1">
        <v>1</v>
      </c>
      <c r="Y1419" s="1">
        <v>0</v>
      </c>
      <c r="Z1419" s="1">
        <v>1</v>
      </c>
      <c r="AA1419" s="1" t="s">
        <v>109</v>
      </c>
      <c r="AB1419" s="1" t="s">
        <v>109</v>
      </c>
      <c r="AC1419" s="1">
        <v>5</v>
      </c>
      <c r="AD1419" s="1" t="s">
        <v>109</v>
      </c>
      <c r="AE1419" s="1" t="s">
        <v>109</v>
      </c>
      <c r="AF1419" s="1">
        <v>4</v>
      </c>
      <c r="AG1419" s="1" t="s">
        <v>109</v>
      </c>
      <c r="AH1419" s="1" t="s">
        <v>109</v>
      </c>
      <c r="AI1419" s="1" t="s">
        <v>109</v>
      </c>
      <c r="AJ1419" s="1" t="s">
        <v>109</v>
      </c>
      <c r="AK1419" s="1" t="s">
        <v>109</v>
      </c>
      <c r="AL1419" s="1">
        <v>5</v>
      </c>
      <c r="AM1419" s="1" t="s">
        <v>109</v>
      </c>
      <c r="AN1419" s="1" t="s">
        <v>109</v>
      </c>
      <c r="AO1419" s="1" t="s">
        <v>109</v>
      </c>
      <c r="AP1419" s="1"/>
      <c r="AQ1419" s="1">
        <v>5</v>
      </c>
      <c r="AR1419" s="1"/>
      <c r="AS1419" s="1"/>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t="s">
        <v>109</v>
      </c>
      <c r="BT1419" s="1">
        <v>1476</v>
      </c>
      <c r="BU1419" s="1">
        <v>1000</v>
      </c>
      <c r="BV1419" s="1"/>
      <c r="BW1419" s="1"/>
      <c r="BX1419" s="1"/>
      <c r="BY1419" s="1"/>
      <c r="BZ1419" s="1">
        <v>0</v>
      </c>
      <c r="CA1419" s="1" t="s">
        <v>109</v>
      </c>
      <c r="CB1419" s="1" t="s">
        <v>109</v>
      </c>
      <c r="CC1419" s="1" t="s">
        <v>109</v>
      </c>
      <c r="CD1419" s="1" t="s">
        <v>109</v>
      </c>
      <c r="CE1419" s="1" t="s">
        <v>109</v>
      </c>
      <c r="CF1419" s="1" t="s">
        <v>109</v>
      </c>
      <c r="CG1419" s="1" t="s">
        <v>109</v>
      </c>
      <c r="CH1419" s="1" t="s">
        <v>109</v>
      </c>
      <c r="CI1419" s="1" t="s">
        <v>109</v>
      </c>
      <c r="CJ1419" s="1" t="s">
        <v>109</v>
      </c>
      <c r="CK1419" s="1"/>
      <c r="CL1419" s="1">
        <v>0</v>
      </c>
      <c r="CM1419" s="1">
        <v>0</v>
      </c>
      <c r="CN1419" s="1">
        <v>0</v>
      </c>
    </row>
    <row r="1420" spans="1:92" ht="14.25" customHeight="1" x14ac:dyDescent="0.15">
      <c r="A1420" s="1" t="s">
        <v>11055</v>
      </c>
      <c r="B1420" s="1" t="s">
        <v>308</v>
      </c>
      <c r="C1420" s="1"/>
      <c r="D1420" s="1" t="s">
        <v>1327</v>
      </c>
      <c r="E1420" s="1" t="s">
        <v>10163</v>
      </c>
      <c r="F1420" s="1" t="s">
        <v>98</v>
      </c>
      <c r="G1420" s="1" t="s">
        <v>11056</v>
      </c>
      <c r="H1420" s="1">
        <v>1</v>
      </c>
      <c r="I1420" s="1" t="s">
        <v>161</v>
      </c>
      <c r="J1420" s="1"/>
      <c r="K1420" s="1"/>
      <c r="L1420" s="1" t="s">
        <v>162</v>
      </c>
      <c r="M1420" s="1" t="s">
        <v>11057</v>
      </c>
      <c r="N1420" s="1">
        <v>0</v>
      </c>
      <c r="O1420" s="1">
        <v>0</v>
      </c>
      <c r="P1420" s="1" t="s">
        <v>301</v>
      </c>
      <c r="Q1420" s="1" t="s">
        <v>268</v>
      </c>
      <c r="R1420" s="1" t="s">
        <v>11058</v>
      </c>
      <c r="S1420" s="1" t="s">
        <v>11059</v>
      </c>
      <c r="T1420" s="1" t="s">
        <v>5815</v>
      </c>
      <c r="U1420" s="1" t="s">
        <v>11060</v>
      </c>
      <c r="V1420" s="1">
        <v>1</v>
      </c>
      <c r="W1420" s="1">
        <v>1</v>
      </c>
      <c r="X1420" s="1">
        <v>0</v>
      </c>
      <c r="Y1420" s="1">
        <v>0</v>
      </c>
      <c r="Z1420" s="1">
        <v>0</v>
      </c>
      <c r="AA1420" s="1">
        <v>3</v>
      </c>
      <c r="AB1420" s="1">
        <v>3</v>
      </c>
      <c r="AC1420" s="1" t="s">
        <v>109</v>
      </c>
      <c r="AD1420" s="1" t="s">
        <v>109</v>
      </c>
      <c r="AE1420" s="1" t="s">
        <v>109</v>
      </c>
      <c r="AF1420" s="1" t="s">
        <v>109</v>
      </c>
      <c r="AG1420" s="1" t="s">
        <v>109</v>
      </c>
      <c r="AH1420" s="1" t="s">
        <v>109</v>
      </c>
      <c r="AI1420" s="1" t="s">
        <v>109</v>
      </c>
      <c r="AJ1420" s="1">
        <v>3</v>
      </c>
      <c r="AK1420" s="1" t="s">
        <v>109</v>
      </c>
      <c r="AL1420" s="1" t="s">
        <v>109</v>
      </c>
      <c r="AM1420" s="1" t="s">
        <v>109</v>
      </c>
      <c r="AN1420" s="1" t="s">
        <v>109</v>
      </c>
      <c r="AO1420" s="1" t="s">
        <v>109</v>
      </c>
      <c r="AP1420" s="1"/>
      <c r="AQ1420" s="1">
        <v>3</v>
      </c>
      <c r="AR1420" s="1"/>
      <c r="AS1420" s="1"/>
      <c r="AT1420" s="1">
        <v>0</v>
      </c>
      <c r="AU1420" s="1">
        <v>0</v>
      </c>
      <c r="AV1420" s="1">
        <v>0</v>
      </c>
      <c r="AW1420" s="1">
        <v>0</v>
      </c>
      <c r="AX1420" s="1">
        <v>0</v>
      </c>
      <c r="AY1420" s="1">
        <v>0</v>
      </c>
      <c r="AZ1420" s="1">
        <v>1</v>
      </c>
      <c r="BA1420" s="1">
        <v>0</v>
      </c>
      <c r="BB1420" s="1">
        <v>0</v>
      </c>
      <c r="BC1420" s="1">
        <v>0</v>
      </c>
      <c r="BD1420" s="1">
        <v>0</v>
      </c>
      <c r="BE1420" s="1">
        <v>1</v>
      </c>
      <c r="BF1420" s="1">
        <v>0</v>
      </c>
      <c r="BG1420" s="1">
        <v>0</v>
      </c>
      <c r="BH1420" s="1">
        <v>0</v>
      </c>
      <c r="BI1420" s="1">
        <v>0</v>
      </c>
      <c r="BJ1420" s="1">
        <v>0</v>
      </c>
      <c r="BK1420" s="1">
        <v>0</v>
      </c>
      <c r="BL1420" s="1">
        <v>0</v>
      </c>
      <c r="BM1420" s="1">
        <v>0</v>
      </c>
      <c r="BN1420" s="1">
        <v>0</v>
      </c>
      <c r="BO1420" s="1">
        <v>0</v>
      </c>
      <c r="BP1420" s="1">
        <v>0</v>
      </c>
      <c r="BQ1420" s="1">
        <v>0</v>
      </c>
      <c r="BR1420" s="1">
        <v>0</v>
      </c>
      <c r="BS1420" s="1" t="s">
        <v>109</v>
      </c>
      <c r="BT1420" s="1">
        <v>1477</v>
      </c>
      <c r="BU1420" s="1">
        <v>500</v>
      </c>
      <c r="BV1420" s="1"/>
      <c r="BW1420" s="1"/>
      <c r="BX1420" s="1"/>
      <c r="BY1420" s="1"/>
      <c r="BZ1420" s="1">
        <v>0</v>
      </c>
      <c r="CA1420" s="1" t="s">
        <v>109</v>
      </c>
      <c r="CB1420" s="1" t="s">
        <v>109</v>
      </c>
      <c r="CC1420" s="1" t="s">
        <v>109</v>
      </c>
      <c r="CD1420" s="1" t="s">
        <v>109</v>
      </c>
      <c r="CE1420" s="1" t="s">
        <v>109</v>
      </c>
      <c r="CF1420" s="1" t="s">
        <v>109</v>
      </c>
      <c r="CG1420" s="1" t="s">
        <v>109</v>
      </c>
      <c r="CH1420" s="1" t="s">
        <v>109</v>
      </c>
      <c r="CI1420" s="1" t="s">
        <v>109</v>
      </c>
      <c r="CJ1420" s="1" t="s">
        <v>109</v>
      </c>
      <c r="CK1420" s="1"/>
      <c r="CL1420" s="1">
        <v>0</v>
      </c>
      <c r="CM1420" s="1">
        <v>0</v>
      </c>
      <c r="CN1420" s="1">
        <v>0</v>
      </c>
    </row>
    <row r="1421" spans="1:92" ht="14.25" customHeight="1" x14ac:dyDescent="0.15">
      <c r="A1421" s="1" t="s">
        <v>11061</v>
      </c>
      <c r="B1421" s="1" t="s">
        <v>156</v>
      </c>
      <c r="C1421" s="1"/>
      <c r="D1421" s="1"/>
      <c r="E1421" s="1" t="s">
        <v>11062</v>
      </c>
      <c r="F1421" s="1" t="s">
        <v>98</v>
      </c>
      <c r="G1421" s="1" t="s">
        <v>141</v>
      </c>
      <c r="H1421" s="1">
        <v>0</v>
      </c>
      <c r="I1421" s="1" t="s">
        <v>142</v>
      </c>
      <c r="J1421" s="1"/>
      <c r="K1421" s="1"/>
      <c r="L1421" s="1" t="s">
        <v>563</v>
      </c>
      <c r="M1421" s="1" t="s">
        <v>5642</v>
      </c>
      <c r="N1421" s="1">
        <v>0</v>
      </c>
      <c r="O1421" s="1">
        <v>0</v>
      </c>
      <c r="P1421" s="1" t="s">
        <v>301</v>
      </c>
      <c r="Q1421" s="1" t="s">
        <v>268</v>
      </c>
      <c r="R1421" s="1" t="s">
        <v>11063</v>
      </c>
      <c r="S1421" s="1" t="s">
        <v>11064</v>
      </c>
      <c r="T1421" s="1" t="s">
        <v>5815</v>
      </c>
      <c r="U1421" s="1" t="s">
        <v>11065</v>
      </c>
      <c r="V1421" s="1">
        <v>1</v>
      </c>
      <c r="W1421" s="1">
        <v>1</v>
      </c>
      <c r="X1421" s="1">
        <v>0</v>
      </c>
      <c r="Y1421" s="1">
        <v>0</v>
      </c>
      <c r="Z1421" s="1">
        <v>0</v>
      </c>
      <c r="AA1421" s="1" t="s">
        <v>109</v>
      </c>
      <c r="AB1421" s="1" t="s">
        <v>109</v>
      </c>
      <c r="AC1421" s="1">
        <v>3</v>
      </c>
      <c r="AD1421" s="1" t="s">
        <v>109</v>
      </c>
      <c r="AE1421" s="1" t="s">
        <v>109</v>
      </c>
      <c r="AF1421" s="1" t="s">
        <v>109</v>
      </c>
      <c r="AG1421" s="1" t="s">
        <v>109</v>
      </c>
      <c r="AH1421" s="1" t="s">
        <v>109</v>
      </c>
      <c r="AI1421" s="1" t="s">
        <v>109</v>
      </c>
      <c r="AJ1421" s="1">
        <v>2</v>
      </c>
      <c r="AK1421" s="1" t="s">
        <v>109</v>
      </c>
      <c r="AL1421" s="1">
        <v>3</v>
      </c>
      <c r="AM1421" s="1" t="s">
        <v>109</v>
      </c>
      <c r="AN1421" s="1" t="s">
        <v>109</v>
      </c>
      <c r="AO1421" s="1" t="s">
        <v>109</v>
      </c>
      <c r="AP1421" s="1"/>
      <c r="AQ1421" s="1">
        <v>3</v>
      </c>
      <c r="AR1421" s="1"/>
      <c r="AS1421" s="1"/>
      <c r="AT1421" s="1">
        <v>0</v>
      </c>
      <c r="AU1421" s="1">
        <v>0</v>
      </c>
      <c r="AV1421" s="1">
        <v>0</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t="s">
        <v>109</v>
      </c>
      <c r="BT1421" s="1">
        <v>1478</v>
      </c>
      <c r="BU1421" s="1" t="s">
        <v>109</v>
      </c>
      <c r="BV1421" s="1"/>
      <c r="BW1421" s="1"/>
      <c r="BX1421" s="1"/>
      <c r="BY1421" s="1"/>
      <c r="BZ1421" s="1">
        <v>0</v>
      </c>
      <c r="CA1421" s="1" t="s">
        <v>109</v>
      </c>
      <c r="CB1421" s="1" t="s">
        <v>109</v>
      </c>
      <c r="CC1421" s="1" t="s">
        <v>109</v>
      </c>
      <c r="CD1421" s="1" t="s">
        <v>109</v>
      </c>
      <c r="CE1421" s="1" t="s">
        <v>109</v>
      </c>
      <c r="CF1421" s="1" t="s">
        <v>109</v>
      </c>
      <c r="CG1421" s="1" t="s">
        <v>109</v>
      </c>
      <c r="CH1421" s="1" t="s">
        <v>109</v>
      </c>
      <c r="CI1421" s="1" t="s">
        <v>109</v>
      </c>
      <c r="CJ1421" s="1" t="s">
        <v>109</v>
      </c>
      <c r="CK1421" s="1"/>
      <c r="CL1421" s="1">
        <v>0</v>
      </c>
      <c r="CM1421" s="1">
        <v>0</v>
      </c>
      <c r="CN1421" s="1">
        <v>0</v>
      </c>
    </row>
    <row r="1422" spans="1:92" ht="14.25" customHeight="1" x14ac:dyDescent="0.15">
      <c r="A1422" s="1" t="s">
        <v>11066</v>
      </c>
      <c r="B1422" s="1" t="s">
        <v>254</v>
      </c>
      <c r="C1422" s="1"/>
      <c r="D1422" s="1"/>
      <c r="E1422" s="1" t="s">
        <v>10904</v>
      </c>
      <c r="F1422" s="1" t="s">
        <v>98</v>
      </c>
      <c r="G1422" s="1" t="s">
        <v>160</v>
      </c>
      <c r="H1422" s="1">
        <v>0</v>
      </c>
      <c r="I1422" s="1" t="s">
        <v>9796</v>
      </c>
      <c r="J1422" s="1"/>
      <c r="K1422" s="1"/>
      <c r="L1422" s="1" t="s">
        <v>1391</v>
      </c>
      <c r="M1422" s="1" t="s">
        <v>125</v>
      </c>
      <c r="N1422" s="1">
        <v>0</v>
      </c>
      <c r="O1422" s="1">
        <v>0</v>
      </c>
      <c r="P1422" s="1" t="s">
        <v>301</v>
      </c>
      <c r="Q1422" s="1" t="s">
        <v>268</v>
      </c>
      <c r="R1422" s="1" t="s">
        <v>11067</v>
      </c>
      <c r="S1422" s="1" t="s">
        <v>11068</v>
      </c>
      <c r="T1422" s="1" t="s">
        <v>5815</v>
      </c>
      <c r="U1422" s="1" t="s">
        <v>11069</v>
      </c>
      <c r="V1422" s="1">
        <v>1</v>
      </c>
      <c r="W1422" s="1">
        <v>1</v>
      </c>
      <c r="X1422" s="1">
        <v>0</v>
      </c>
      <c r="Y1422" s="1">
        <v>0</v>
      </c>
      <c r="Z1422" s="1">
        <v>1</v>
      </c>
      <c r="AA1422" s="1">
        <v>3</v>
      </c>
      <c r="AB1422" s="1">
        <v>3</v>
      </c>
      <c r="AC1422" s="1">
        <v>3</v>
      </c>
      <c r="AD1422" s="1" t="s">
        <v>109</v>
      </c>
      <c r="AE1422" s="1" t="s">
        <v>109</v>
      </c>
      <c r="AF1422" s="1" t="s">
        <v>109</v>
      </c>
      <c r="AG1422" s="1" t="s">
        <v>109</v>
      </c>
      <c r="AH1422" s="1" t="s">
        <v>109</v>
      </c>
      <c r="AI1422" s="1" t="s">
        <v>109</v>
      </c>
      <c r="AJ1422" s="1">
        <v>3</v>
      </c>
      <c r="AK1422" s="1" t="s">
        <v>109</v>
      </c>
      <c r="AL1422" s="1">
        <v>3</v>
      </c>
      <c r="AM1422" s="1" t="s">
        <v>109</v>
      </c>
      <c r="AN1422" s="1" t="s">
        <v>109</v>
      </c>
      <c r="AO1422" s="1" t="s">
        <v>109</v>
      </c>
      <c r="AP1422" s="1"/>
      <c r="AQ1422" s="1">
        <v>3</v>
      </c>
      <c r="AR1422" s="1"/>
      <c r="AS1422" s="1"/>
      <c r="AT1422" s="1">
        <v>0</v>
      </c>
      <c r="AU1422" s="1">
        <v>0</v>
      </c>
      <c r="AV1422" s="1">
        <v>0</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t="s">
        <v>109</v>
      </c>
      <c r="BT1422" s="1">
        <v>1479</v>
      </c>
      <c r="BU1422" s="1" t="s">
        <v>109</v>
      </c>
      <c r="BV1422" s="1"/>
      <c r="BW1422" s="1"/>
      <c r="BX1422" s="1"/>
      <c r="BY1422" s="1"/>
      <c r="BZ1422" s="1">
        <v>0</v>
      </c>
      <c r="CA1422" s="1" t="s">
        <v>109</v>
      </c>
      <c r="CB1422" s="1" t="s">
        <v>109</v>
      </c>
      <c r="CC1422" s="1" t="s">
        <v>109</v>
      </c>
      <c r="CD1422" s="1" t="s">
        <v>109</v>
      </c>
      <c r="CE1422" s="1" t="s">
        <v>109</v>
      </c>
      <c r="CF1422" s="1" t="s">
        <v>109</v>
      </c>
      <c r="CG1422" s="1" t="s">
        <v>109</v>
      </c>
      <c r="CH1422" s="1" t="s">
        <v>109</v>
      </c>
      <c r="CI1422" s="1" t="s">
        <v>109</v>
      </c>
      <c r="CJ1422" s="1" t="s">
        <v>109</v>
      </c>
      <c r="CK1422" s="1"/>
      <c r="CL1422" s="1">
        <v>0</v>
      </c>
      <c r="CM1422" s="1">
        <v>0</v>
      </c>
      <c r="CN1422" s="1">
        <v>0</v>
      </c>
    </row>
    <row r="1423" spans="1:92" ht="14.25" customHeight="1" x14ac:dyDescent="0.15">
      <c r="A1423" s="1" t="s">
        <v>11070</v>
      </c>
      <c r="B1423" s="1" t="s">
        <v>254</v>
      </c>
      <c r="C1423" s="1"/>
      <c r="D1423" s="1"/>
      <c r="E1423" s="1" t="s">
        <v>11071</v>
      </c>
      <c r="F1423" s="1" t="s">
        <v>98</v>
      </c>
      <c r="G1423" s="1" t="s">
        <v>141</v>
      </c>
      <c r="H1423" s="1">
        <v>0</v>
      </c>
      <c r="I1423" s="1" t="s">
        <v>235</v>
      </c>
      <c r="J1423" s="1"/>
      <c r="K1423" s="1"/>
      <c r="L1423" s="1" t="s">
        <v>236</v>
      </c>
      <c r="M1423" s="1" t="s">
        <v>7718</v>
      </c>
      <c r="N1423" s="1">
        <v>0</v>
      </c>
      <c r="O1423" s="1">
        <v>0</v>
      </c>
      <c r="P1423" s="1"/>
      <c r="Q1423" s="1"/>
      <c r="R1423" s="1" t="s">
        <v>11072</v>
      </c>
      <c r="S1423" s="1" t="s">
        <v>11073</v>
      </c>
      <c r="T1423" s="1" t="s">
        <v>11074</v>
      </c>
      <c r="U1423" s="1" t="s">
        <v>11075</v>
      </c>
      <c r="V1423" s="1">
        <v>1</v>
      </c>
      <c r="W1423" s="1">
        <v>1</v>
      </c>
      <c r="X1423" s="1">
        <v>0</v>
      </c>
      <c r="Y1423" s="1">
        <v>0</v>
      </c>
      <c r="Z1423" s="1">
        <v>0</v>
      </c>
      <c r="AA1423" s="1">
        <v>2</v>
      </c>
      <c r="AB1423" s="1">
        <v>2</v>
      </c>
      <c r="AC1423" s="1" t="s">
        <v>109</v>
      </c>
      <c r="AD1423" s="1" t="s">
        <v>109</v>
      </c>
      <c r="AE1423" s="1" t="s">
        <v>109</v>
      </c>
      <c r="AF1423" s="1" t="s">
        <v>109</v>
      </c>
      <c r="AG1423" s="1" t="s">
        <v>109</v>
      </c>
      <c r="AH1423" s="1" t="s">
        <v>109</v>
      </c>
      <c r="AI1423" s="1" t="s">
        <v>109</v>
      </c>
      <c r="AJ1423" s="1">
        <v>2</v>
      </c>
      <c r="AK1423" s="1" t="s">
        <v>109</v>
      </c>
      <c r="AL1423" s="1">
        <v>1</v>
      </c>
      <c r="AM1423" s="1" t="s">
        <v>109</v>
      </c>
      <c r="AN1423" s="1" t="s">
        <v>109</v>
      </c>
      <c r="AO1423" s="1" t="s">
        <v>109</v>
      </c>
      <c r="AP1423" s="1"/>
      <c r="AQ1423" s="1">
        <v>2</v>
      </c>
      <c r="AR1423" s="1"/>
      <c r="AS1423" s="1"/>
      <c r="AT1423" s="1">
        <v>0</v>
      </c>
      <c r="AU1423" s="1">
        <v>0</v>
      </c>
      <c r="AV1423" s="1">
        <v>0</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t="s">
        <v>109</v>
      </c>
      <c r="BT1423" s="1">
        <v>1480</v>
      </c>
      <c r="BU1423" s="1" t="s">
        <v>109</v>
      </c>
      <c r="BV1423" s="1"/>
      <c r="BW1423" s="1"/>
      <c r="BX1423" s="1"/>
      <c r="BY1423" s="1"/>
      <c r="BZ1423" s="1">
        <v>0</v>
      </c>
      <c r="CA1423" s="1" t="s">
        <v>109</v>
      </c>
      <c r="CB1423" s="1" t="s">
        <v>109</v>
      </c>
      <c r="CC1423" s="1" t="s">
        <v>109</v>
      </c>
      <c r="CD1423" s="1" t="s">
        <v>109</v>
      </c>
      <c r="CE1423" s="1" t="s">
        <v>109</v>
      </c>
      <c r="CF1423" s="1" t="s">
        <v>109</v>
      </c>
      <c r="CG1423" s="1" t="s">
        <v>109</v>
      </c>
      <c r="CH1423" s="1" t="s">
        <v>109</v>
      </c>
      <c r="CI1423" s="1" t="s">
        <v>109</v>
      </c>
      <c r="CJ1423" s="1" t="s">
        <v>109</v>
      </c>
      <c r="CK1423" s="1"/>
      <c r="CL1423" s="1">
        <v>0</v>
      </c>
      <c r="CM1423" s="1">
        <v>0</v>
      </c>
      <c r="CN1423" s="1">
        <v>0</v>
      </c>
    </row>
    <row r="1424" spans="1:92" ht="14.25" customHeight="1" x14ac:dyDescent="0.15">
      <c r="A1424" s="1" t="s">
        <v>11076</v>
      </c>
      <c r="B1424" s="1" t="s">
        <v>189</v>
      </c>
      <c r="C1424" s="1"/>
      <c r="D1424" s="1" t="s">
        <v>54</v>
      </c>
      <c r="E1424" s="1" t="s">
        <v>11077</v>
      </c>
      <c r="F1424" s="1" t="s">
        <v>98</v>
      </c>
      <c r="G1424" s="1" t="s">
        <v>141</v>
      </c>
      <c r="H1424" s="1">
        <v>0</v>
      </c>
      <c r="I1424" s="1" t="s">
        <v>161</v>
      </c>
      <c r="J1424" s="1"/>
      <c r="K1424" s="1"/>
      <c r="L1424" s="1" t="s">
        <v>506</v>
      </c>
      <c r="M1424" s="1" t="s">
        <v>3042</v>
      </c>
      <c r="N1424" s="1">
        <v>0</v>
      </c>
      <c r="O1424" s="1">
        <v>0</v>
      </c>
      <c r="P1424" s="1" t="s">
        <v>1382</v>
      </c>
      <c r="Q1424" s="1" t="s">
        <v>167</v>
      </c>
      <c r="R1424" s="1" t="s">
        <v>11078</v>
      </c>
      <c r="S1424" s="1" t="s">
        <v>11079</v>
      </c>
      <c r="T1424" s="1" t="s">
        <v>11080</v>
      </c>
      <c r="U1424" s="1" t="s">
        <v>11081</v>
      </c>
      <c r="V1424" s="1">
        <v>1</v>
      </c>
      <c r="W1424" s="1">
        <v>1</v>
      </c>
      <c r="X1424" s="1">
        <v>0</v>
      </c>
      <c r="Y1424" s="1">
        <v>0</v>
      </c>
      <c r="Z1424" s="1">
        <v>0</v>
      </c>
      <c r="AA1424" s="1" t="s">
        <v>109</v>
      </c>
      <c r="AB1424" s="1" t="s">
        <v>109</v>
      </c>
      <c r="AC1424" s="1">
        <v>2</v>
      </c>
      <c r="AD1424" s="1">
        <v>2</v>
      </c>
      <c r="AE1424" s="1">
        <v>2</v>
      </c>
      <c r="AF1424" s="1" t="s">
        <v>109</v>
      </c>
      <c r="AG1424" s="1" t="s">
        <v>109</v>
      </c>
      <c r="AH1424" s="1" t="s">
        <v>109</v>
      </c>
      <c r="AI1424" s="1" t="s">
        <v>109</v>
      </c>
      <c r="AJ1424" s="1" t="s">
        <v>109</v>
      </c>
      <c r="AK1424" s="1" t="s">
        <v>109</v>
      </c>
      <c r="AL1424" s="1">
        <v>2</v>
      </c>
      <c r="AM1424" s="1" t="s">
        <v>109</v>
      </c>
      <c r="AN1424" s="1">
        <v>2</v>
      </c>
      <c r="AO1424" s="1" t="s">
        <v>109</v>
      </c>
      <c r="AP1424" s="1"/>
      <c r="AQ1424" s="1">
        <v>2</v>
      </c>
      <c r="AR1424" s="1"/>
      <c r="AS1424" s="1"/>
      <c r="AT1424" s="1">
        <v>0</v>
      </c>
      <c r="AU1424" s="1">
        <v>0</v>
      </c>
      <c r="AV1424" s="1">
        <v>0</v>
      </c>
      <c r="AW1424" s="1">
        <v>0</v>
      </c>
      <c r="AX1424" s="1">
        <v>0</v>
      </c>
      <c r="AY1424" s="1">
        <v>0</v>
      </c>
      <c r="AZ1424" s="1">
        <v>0</v>
      </c>
      <c r="BA1424" s="1">
        <v>0</v>
      </c>
      <c r="BB1424" s="1">
        <v>1</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t="s">
        <v>109</v>
      </c>
      <c r="BT1424" s="1">
        <v>1481</v>
      </c>
      <c r="BU1424" s="1" t="s">
        <v>109</v>
      </c>
      <c r="BV1424" s="1"/>
      <c r="BW1424" s="1"/>
      <c r="BX1424" s="1"/>
      <c r="BY1424" s="1"/>
      <c r="BZ1424" s="1">
        <v>0</v>
      </c>
      <c r="CA1424" s="1" t="s">
        <v>109</v>
      </c>
      <c r="CB1424" s="1" t="s">
        <v>109</v>
      </c>
      <c r="CC1424" s="1" t="s">
        <v>109</v>
      </c>
      <c r="CD1424" s="1" t="s">
        <v>109</v>
      </c>
      <c r="CE1424" s="1" t="s">
        <v>109</v>
      </c>
      <c r="CF1424" s="1" t="s">
        <v>109</v>
      </c>
      <c r="CG1424" s="1" t="s">
        <v>109</v>
      </c>
      <c r="CH1424" s="1" t="s">
        <v>109</v>
      </c>
      <c r="CI1424" s="1" t="s">
        <v>109</v>
      </c>
      <c r="CJ1424" s="1">
        <v>2</v>
      </c>
      <c r="CK1424" s="1"/>
      <c r="CL1424" s="1">
        <v>0</v>
      </c>
      <c r="CM1424" s="1">
        <v>0</v>
      </c>
      <c r="CN1424" s="1">
        <v>0</v>
      </c>
    </row>
    <row r="1425" spans="1:92" ht="14.25" customHeight="1" x14ac:dyDescent="0.15">
      <c r="A1425" s="1" t="s">
        <v>11082</v>
      </c>
      <c r="B1425" s="1" t="s">
        <v>189</v>
      </c>
      <c r="C1425" s="1"/>
      <c r="D1425" s="1"/>
      <c r="E1425" s="1" t="s">
        <v>11083</v>
      </c>
      <c r="F1425" s="1" t="s">
        <v>98</v>
      </c>
      <c r="G1425" s="1" t="s">
        <v>141</v>
      </c>
      <c r="H1425" s="1">
        <v>0</v>
      </c>
      <c r="I1425" s="1" t="s">
        <v>161</v>
      </c>
      <c r="J1425" s="1"/>
      <c r="K1425" s="1"/>
      <c r="L1425" s="1" t="s">
        <v>506</v>
      </c>
      <c r="M1425" s="1" t="s">
        <v>3042</v>
      </c>
      <c r="N1425" s="1">
        <v>0</v>
      </c>
      <c r="O1425" s="1">
        <v>0</v>
      </c>
      <c r="P1425" s="1" t="s">
        <v>1382</v>
      </c>
      <c r="Q1425" s="1" t="s">
        <v>167</v>
      </c>
      <c r="R1425" s="1" t="s">
        <v>11084</v>
      </c>
      <c r="S1425" s="1" t="s">
        <v>11085</v>
      </c>
      <c r="T1425" s="1" t="s">
        <v>11080</v>
      </c>
      <c r="U1425" s="1" t="s">
        <v>11086</v>
      </c>
      <c r="V1425" s="1">
        <v>1</v>
      </c>
      <c r="W1425" s="1">
        <v>1</v>
      </c>
      <c r="X1425" s="1">
        <v>0</v>
      </c>
      <c r="Y1425" s="1">
        <v>0</v>
      </c>
      <c r="Z1425" s="1">
        <v>0</v>
      </c>
      <c r="AA1425" s="1" t="s">
        <v>109</v>
      </c>
      <c r="AB1425" s="1" t="s">
        <v>109</v>
      </c>
      <c r="AC1425" s="1">
        <v>1</v>
      </c>
      <c r="AD1425" s="1" t="s">
        <v>109</v>
      </c>
      <c r="AE1425" s="1">
        <v>1</v>
      </c>
      <c r="AF1425" s="1" t="s">
        <v>109</v>
      </c>
      <c r="AG1425" s="1">
        <v>1</v>
      </c>
      <c r="AH1425" s="1" t="s">
        <v>109</v>
      </c>
      <c r="AI1425" s="1" t="s">
        <v>109</v>
      </c>
      <c r="AJ1425" s="1" t="s">
        <v>109</v>
      </c>
      <c r="AK1425" s="1" t="s">
        <v>109</v>
      </c>
      <c r="AL1425" s="1">
        <v>1</v>
      </c>
      <c r="AM1425" s="1">
        <v>1</v>
      </c>
      <c r="AN1425" s="1">
        <v>1</v>
      </c>
      <c r="AO1425" s="1" t="s">
        <v>109</v>
      </c>
      <c r="AP1425" s="1"/>
      <c r="AQ1425" s="1">
        <v>1</v>
      </c>
      <c r="AR1425" s="1"/>
      <c r="AS1425" s="1"/>
      <c r="AT1425" s="1">
        <v>0</v>
      </c>
      <c r="AU1425" s="1">
        <v>0</v>
      </c>
      <c r="AV1425" s="1">
        <v>0</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t="s">
        <v>109</v>
      </c>
      <c r="BT1425" s="1">
        <v>1482</v>
      </c>
      <c r="BU1425" s="1" t="s">
        <v>109</v>
      </c>
      <c r="BV1425" s="1"/>
      <c r="BW1425" s="1"/>
      <c r="BX1425" s="1"/>
      <c r="BY1425" s="1"/>
      <c r="BZ1425" s="1">
        <v>0</v>
      </c>
      <c r="CA1425" s="1" t="s">
        <v>109</v>
      </c>
      <c r="CB1425" s="1" t="s">
        <v>109</v>
      </c>
      <c r="CC1425" s="1" t="s">
        <v>109</v>
      </c>
      <c r="CD1425" s="1" t="s">
        <v>109</v>
      </c>
      <c r="CE1425" s="1" t="s">
        <v>109</v>
      </c>
      <c r="CF1425" s="1" t="s">
        <v>109</v>
      </c>
      <c r="CG1425" s="1" t="s">
        <v>109</v>
      </c>
      <c r="CH1425" s="1" t="s">
        <v>109</v>
      </c>
      <c r="CI1425" s="1" t="s">
        <v>109</v>
      </c>
      <c r="CJ1425" s="1">
        <v>1</v>
      </c>
      <c r="CK1425" s="1"/>
      <c r="CL1425" s="1">
        <v>0</v>
      </c>
      <c r="CM1425" s="1">
        <v>0</v>
      </c>
      <c r="CN1425" s="1">
        <v>0</v>
      </c>
    </row>
    <row r="1426" spans="1:92" ht="14.25" customHeight="1" x14ac:dyDescent="0.15">
      <c r="A1426" s="1" t="s">
        <v>11087</v>
      </c>
      <c r="B1426" s="1" t="s">
        <v>156</v>
      </c>
      <c r="C1426" s="1" t="s">
        <v>157</v>
      </c>
      <c r="D1426" s="1" t="s">
        <v>158</v>
      </c>
      <c r="E1426" s="1" t="s">
        <v>7117</v>
      </c>
      <c r="F1426" s="1" t="s">
        <v>211</v>
      </c>
      <c r="G1426" s="1" t="s">
        <v>141</v>
      </c>
      <c r="H1426" s="1">
        <v>0</v>
      </c>
      <c r="I1426" s="1" t="s">
        <v>142</v>
      </c>
      <c r="J1426" s="1"/>
      <c r="K1426" s="1"/>
      <c r="L1426" s="1" t="s">
        <v>563</v>
      </c>
      <c r="M1426" s="1" t="s">
        <v>211</v>
      </c>
      <c r="N1426" s="1">
        <v>0</v>
      </c>
      <c r="O1426" s="1">
        <v>0</v>
      </c>
      <c r="P1426" s="1" t="s">
        <v>507</v>
      </c>
      <c r="Q1426" s="1" t="s">
        <v>167</v>
      </c>
      <c r="R1426" s="1" t="s">
        <v>11088</v>
      </c>
      <c r="S1426" s="1" t="s">
        <v>11089</v>
      </c>
      <c r="T1426" s="1" t="s">
        <v>11080</v>
      </c>
      <c r="U1426" s="1" t="s">
        <v>11090</v>
      </c>
      <c r="V1426" s="1">
        <v>1</v>
      </c>
      <c r="W1426" s="1">
        <v>1</v>
      </c>
      <c r="X1426" s="1">
        <v>0</v>
      </c>
      <c r="Y1426" s="1">
        <v>0</v>
      </c>
      <c r="Z1426" s="1">
        <v>0</v>
      </c>
      <c r="AA1426" s="1" t="s">
        <v>109</v>
      </c>
      <c r="AB1426" s="1" t="s">
        <v>109</v>
      </c>
      <c r="AC1426" s="1" t="s">
        <v>109</v>
      </c>
      <c r="AD1426" s="1" t="s">
        <v>109</v>
      </c>
      <c r="AE1426" s="1" t="s">
        <v>109</v>
      </c>
      <c r="AF1426" s="1">
        <v>1</v>
      </c>
      <c r="AG1426" s="1" t="s">
        <v>109</v>
      </c>
      <c r="AH1426" s="1" t="s">
        <v>109</v>
      </c>
      <c r="AI1426" s="1" t="s">
        <v>109</v>
      </c>
      <c r="AJ1426" s="1" t="s">
        <v>109</v>
      </c>
      <c r="AK1426" s="1" t="s">
        <v>109</v>
      </c>
      <c r="AL1426" s="1" t="s">
        <v>109</v>
      </c>
      <c r="AM1426" s="1" t="s">
        <v>109</v>
      </c>
      <c r="AN1426" s="1" t="s">
        <v>109</v>
      </c>
      <c r="AO1426" s="1" t="s">
        <v>109</v>
      </c>
      <c r="AP1426" s="1"/>
      <c r="AQ1426" s="1">
        <v>1</v>
      </c>
      <c r="AR1426" s="1"/>
      <c r="AS1426" s="1"/>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1</v>
      </c>
      <c r="BN1426" s="1">
        <v>0</v>
      </c>
      <c r="BO1426" s="1">
        <v>0</v>
      </c>
      <c r="BP1426" s="1">
        <v>0</v>
      </c>
      <c r="BQ1426" s="1">
        <v>0</v>
      </c>
      <c r="BR1426" s="1">
        <v>0</v>
      </c>
      <c r="BS1426" s="1" t="s">
        <v>109</v>
      </c>
      <c r="BT1426" s="1">
        <v>1483</v>
      </c>
      <c r="BU1426" s="1" t="s">
        <v>109</v>
      </c>
      <c r="BV1426" s="1"/>
      <c r="BW1426" s="1"/>
      <c r="BX1426" s="1"/>
      <c r="BY1426" s="1"/>
      <c r="BZ1426" s="1">
        <v>0</v>
      </c>
      <c r="CA1426" s="1" t="s">
        <v>109</v>
      </c>
      <c r="CB1426" s="1" t="s">
        <v>109</v>
      </c>
      <c r="CC1426" s="1" t="s">
        <v>109</v>
      </c>
      <c r="CD1426" s="1" t="s">
        <v>109</v>
      </c>
      <c r="CE1426" s="1" t="s">
        <v>109</v>
      </c>
      <c r="CF1426" s="1" t="s">
        <v>109</v>
      </c>
      <c r="CG1426" s="1" t="s">
        <v>109</v>
      </c>
      <c r="CH1426" s="1" t="s">
        <v>109</v>
      </c>
      <c r="CI1426" s="1" t="s">
        <v>109</v>
      </c>
      <c r="CJ1426" s="1" t="s">
        <v>109</v>
      </c>
      <c r="CK1426" s="1"/>
      <c r="CL1426" s="1">
        <v>0</v>
      </c>
      <c r="CM1426" s="1">
        <v>0</v>
      </c>
      <c r="CN1426" s="1">
        <v>0</v>
      </c>
    </row>
    <row r="1427" spans="1:92" ht="14.25" customHeight="1" x14ac:dyDescent="0.15">
      <c r="A1427" s="1" t="s">
        <v>11091</v>
      </c>
      <c r="B1427" s="1" t="s">
        <v>674</v>
      </c>
      <c r="C1427" s="1" t="s">
        <v>675</v>
      </c>
      <c r="D1427" s="1"/>
      <c r="E1427" s="1" t="s">
        <v>11092</v>
      </c>
      <c r="F1427" s="1" t="s">
        <v>98</v>
      </c>
      <c r="G1427" s="1" t="s">
        <v>2345</v>
      </c>
      <c r="H1427" s="1">
        <v>0</v>
      </c>
      <c r="I1427" s="1" t="s">
        <v>235</v>
      </c>
      <c r="J1427" s="1"/>
      <c r="K1427" s="1"/>
      <c r="L1427" s="1" t="s">
        <v>236</v>
      </c>
      <c r="M1427" s="1" t="s">
        <v>5642</v>
      </c>
      <c r="N1427" s="1">
        <v>0</v>
      </c>
      <c r="O1427" s="1">
        <v>0</v>
      </c>
      <c r="P1427" s="1"/>
      <c r="Q1427" s="1"/>
      <c r="R1427" s="1" t="s">
        <v>11093</v>
      </c>
      <c r="S1427" s="1" t="s">
        <v>11094</v>
      </c>
      <c r="T1427" s="1" t="s">
        <v>11080</v>
      </c>
      <c r="U1427" s="1" t="s">
        <v>11095</v>
      </c>
      <c r="V1427" s="1">
        <v>0</v>
      </c>
      <c r="W1427" s="1">
        <v>1</v>
      </c>
      <c r="X1427" s="1">
        <v>0</v>
      </c>
      <c r="Y1427" s="1">
        <v>0</v>
      </c>
      <c r="Z1427" s="1">
        <v>0</v>
      </c>
      <c r="AA1427" s="1">
        <v>1</v>
      </c>
      <c r="AB1427" s="1">
        <v>1</v>
      </c>
      <c r="AC1427" s="1" t="s">
        <v>109</v>
      </c>
      <c r="AD1427" s="1">
        <v>1</v>
      </c>
      <c r="AE1427" s="1">
        <v>1</v>
      </c>
      <c r="AF1427" s="1" t="s">
        <v>109</v>
      </c>
      <c r="AG1427" s="1" t="s">
        <v>109</v>
      </c>
      <c r="AH1427" s="1">
        <v>1</v>
      </c>
      <c r="AI1427" s="1" t="s">
        <v>109</v>
      </c>
      <c r="AJ1427" s="1">
        <v>1</v>
      </c>
      <c r="AK1427" s="1" t="s">
        <v>109</v>
      </c>
      <c r="AL1427" s="1" t="s">
        <v>109</v>
      </c>
      <c r="AM1427" s="1" t="s">
        <v>109</v>
      </c>
      <c r="AN1427" s="1">
        <v>1</v>
      </c>
      <c r="AO1427" s="1" t="s">
        <v>109</v>
      </c>
      <c r="AP1427" s="1"/>
      <c r="AQ1427" s="1">
        <v>1</v>
      </c>
      <c r="AR1427" s="1"/>
      <c r="AS1427" s="1"/>
      <c r="AT1427" s="1">
        <v>0</v>
      </c>
      <c r="AU1427" s="1">
        <v>0</v>
      </c>
      <c r="AV1427" s="1">
        <v>0</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t="s">
        <v>109</v>
      </c>
      <c r="BT1427" s="1">
        <v>1484</v>
      </c>
      <c r="BU1427" s="1" t="s">
        <v>109</v>
      </c>
      <c r="BV1427" s="1"/>
      <c r="BW1427" s="1"/>
      <c r="BX1427" s="1"/>
      <c r="BY1427" s="1"/>
      <c r="BZ1427" s="1">
        <v>0</v>
      </c>
      <c r="CA1427" s="1" t="s">
        <v>109</v>
      </c>
      <c r="CB1427" s="1">
        <v>1</v>
      </c>
      <c r="CC1427" s="1">
        <v>1</v>
      </c>
      <c r="CD1427" s="1" t="s">
        <v>109</v>
      </c>
      <c r="CE1427" s="1">
        <v>1</v>
      </c>
      <c r="CF1427" s="1" t="s">
        <v>109</v>
      </c>
      <c r="CG1427" s="1" t="s">
        <v>109</v>
      </c>
      <c r="CH1427" s="1" t="s">
        <v>109</v>
      </c>
      <c r="CI1427" s="1" t="s">
        <v>109</v>
      </c>
      <c r="CJ1427" s="1">
        <v>1</v>
      </c>
      <c r="CK1427" s="1"/>
      <c r="CL1427" s="1">
        <v>0</v>
      </c>
      <c r="CM1427" s="1">
        <v>0</v>
      </c>
      <c r="CN1427" s="1">
        <v>0</v>
      </c>
    </row>
    <row r="1428" spans="1:92" ht="14.25" customHeight="1" x14ac:dyDescent="0.15">
      <c r="A1428" s="1" t="s">
        <v>11096</v>
      </c>
      <c r="B1428" s="1" t="s">
        <v>242</v>
      </c>
      <c r="C1428" s="1"/>
      <c r="D1428" s="1"/>
      <c r="E1428" s="1" t="s">
        <v>11097</v>
      </c>
      <c r="F1428" s="1" t="s">
        <v>98</v>
      </c>
      <c r="G1428" s="1" t="s">
        <v>141</v>
      </c>
      <c r="H1428" s="1">
        <v>0</v>
      </c>
      <c r="I1428" s="1" t="s">
        <v>161</v>
      </c>
      <c r="J1428" s="1"/>
      <c r="K1428" s="1"/>
      <c r="L1428" s="1" t="s">
        <v>1391</v>
      </c>
      <c r="M1428" s="1" t="s">
        <v>289</v>
      </c>
      <c r="N1428" s="1">
        <v>0</v>
      </c>
      <c r="O1428" s="1">
        <v>0</v>
      </c>
      <c r="P1428" s="1" t="s">
        <v>507</v>
      </c>
      <c r="Q1428" s="1" t="s">
        <v>104</v>
      </c>
      <c r="R1428" s="1" t="s">
        <v>11098</v>
      </c>
      <c r="S1428" s="1" t="s">
        <v>11099</v>
      </c>
      <c r="T1428" s="1" t="s">
        <v>11080</v>
      </c>
      <c r="U1428" s="1" t="s">
        <v>11100</v>
      </c>
      <c r="V1428" s="1">
        <v>1</v>
      </c>
      <c r="W1428" s="1">
        <v>1</v>
      </c>
      <c r="X1428" s="1">
        <v>0</v>
      </c>
      <c r="Y1428" s="1">
        <v>0</v>
      </c>
      <c r="Z1428" s="1">
        <v>0</v>
      </c>
      <c r="AA1428" s="1" t="s">
        <v>109</v>
      </c>
      <c r="AB1428" s="1" t="s">
        <v>109</v>
      </c>
      <c r="AC1428" s="1">
        <v>4</v>
      </c>
      <c r="AD1428" s="1">
        <v>3</v>
      </c>
      <c r="AE1428" s="1">
        <v>3</v>
      </c>
      <c r="AF1428" s="1" t="s">
        <v>109</v>
      </c>
      <c r="AG1428" s="1" t="s">
        <v>109</v>
      </c>
      <c r="AH1428" s="1" t="s">
        <v>109</v>
      </c>
      <c r="AI1428" s="1" t="s">
        <v>109</v>
      </c>
      <c r="AJ1428" s="1">
        <v>3</v>
      </c>
      <c r="AK1428" s="1" t="s">
        <v>109</v>
      </c>
      <c r="AL1428" s="1">
        <v>4</v>
      </c>
      <c r="AM1428" s="1" t="s">
        <v>109</v>
      </c>
      <c r="AN1428" s="1" t="s">
        <v>109</v>
      </c>
      <c r="AO1428" s="1" t="s">
        <v>109</v>
      </c>
      <c r="AP1428" s="1"/>
      <c r="AQ1428" s="1">
        <v>4</v>
      </c>
      <c r="AR1428" s="1"/>
      <c r="AS1428" s="1"/>
      <c r="AT1428" s="1">
        <v>0</v>
      </c>
      <c r="AU1428" s="1">
        <v>0</v>
      </c>
      <c r="AV1428" s="1">
        <v>0</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t="s">
        <v>109</v>
      </c>
      <c r="BT1428" s="1">
        <v>1485</v>
      </c>
      <c r="BU1428" s="1" t="s">
        <v>109</v>
      </c>
      <c r="BV1428" s="1"/>
      <c r="BW1428" s="1"/>
      <c r="BX1428" s="1"/>
      <c r="BY1428" s="1"/>
      <c r="BZ1428" s="1">
        <v>0</v>
      </c>
      <c r="CA1428" s="1" t="s">
        <v>109</v>
      </c>
      <c r="CB1428" s="1">
        <v>3</v>
      </c>
      <c r="CC1428" s="1" t="s">
        <v>109</v>
      </c>
      <c r="CD1428" s="1" t="s">
        <v>109</v>
      </c>
      <c r="CE1428" s="1" t="s">
        <v>109</v>
      </c>
      <c r="CF1428" s="1" t="s">
        <v>109</v>
      </c>
      <c r="CG1428" s="1" t="s">
        <v>109</v>
      </c>
      <c r="CH1428" s="1" t="s">
        <v>109</v>
      </c>
      <c r="CI1428" s="1" t="s">
        <v>109</v>
      </c>
      <c r="CJ1428" s="1">
        <v>3</v>
      </c>
      <c r="CK1428" s="1"/>
      <c r="CL1428" s="1">
        <v>0</v>
      </c>
      <c r="CM1428" s="1">
        <v>0</v>
      </c>
      <c r="CN1428" s="1">
        <v>0</v>
      </c>
    </row>
    <row r="1429" spans="1:92" ht="14.25" customHeight="1" x14ac:dyDescent="0.15">
      <c r="A1429" s="1" t="s">
        <v>11101</v>
      </c>
      <c r="B1429" s="1" t="s">
        <v>254</v>
      </c>
      <c r="C1429" s="1"/>
      <c r="D1429" s="1"/>
      <c r="E1429" s="1" t="s">
        <v>11102</v>
      </c>
      <c r="F1429" s="1" t="s">
        <v>11103</v>
      </c>
      <c r="G1429" s="1" t="s">
        <v>11104</v>
      </c>
      <c r="H1429" s="1">
        <v>0</v>
      </c>
      <c r="I1429" s="1" t="s">
        <v>235</v>
      </c>
      <c r="J1429" s="1"/>
      <c r="K1429" s="1"/>
      <c r="L1429" s="1" t="s">
        <v>236</v>
      </c>
      <c r="M1429" s="1" t="s">
        <v>6625</v>
      </c>
      <c r="N1429" s="1">
        <v>1</v>
      </c>
      <c r="O1429" s="1">
        <v>0</v>
      </c>
      <c r="P1429" s="1"/>
      <c r="Q1429" s="1"/>
      <c r="R1429" s="1" t="s">
        <v>11105</v>
      </c>
      <c r="S1429" s="1" t="s">
        <v>11106</v>
      </c>
      <c r="T1429" s="1" t="s">
        <v>11080</v>
      </c>
      <c r="U1429" s="1" t="s">
        <v>11107</v>
      </c>
      <c r="V1429" s="1">
        <v>1</v>
      </c>
      <c r="W1429" s="1">
        <v>1</v>
      </c>
      <c r="X1429" s="1">
        <v>1</v>
      </c>
      <c r="Y1429" s="1">
        <v>0</v>
      </c>
      <c r="Z1429" s="1">
        <v>1</v>
      </c>
      <c r="AA1429" s="1" t="s">
        <v>109</v>
      </c>
      <c r="AB1429" s="1" t="s">
        <v>109</v>
      </c>
      <c r="AC1429" s="1">
        <v>2</v>
      </c>
      <c r="AD1429" s="1">
        <v>1</v>
      </c>
      <c r="AE1429" s="1">
        <v>1</v>
      </c>
      <c r="AF1429" s="1" t="s">
        <v>109</v>
      </c>
      <c r="AG1429" s="1" t="s">
        <v>109</v>
      </c>
      <c r="AH1429" s="1" t="s">
        <v>109</v>
      </c>
      <c r="AI1429" s="1" t="s">
        <v>109</v>
      </c>
      <c r="AJ1429" s="1">
        <v>1</v>
      </c>
      <c r="AK1429" s="1" t="s">
        <v>109</v>
      </c>
      <c r="AL1429" s="1">
        <v>2</v>
      </c>
      <c r="AM1429" s="1" t="s">
        <v>109</v>
      </c>
      <c r="AN1429" s="1" t="s">
        <v>109</v>
      </c>
      <c r="AO1429" s="1" t="s">
        <v>109</v>
      </c>
      <c r="AP1429" s="1"/>
      <c r="AQ1429" s="1">
        <v>2</v>
      </c>
      <c r="AR1429" s="1"/>
      <c r="AS1429" s="1"/>
      <c r="AT1429" s="1">
        <v>0</v>
      </c>
      <c r="AU1429" s="1">
        <v>0</v>
      </c>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t="s">
        <v>109</v>
      </c>
      <c r="BT1429" s="1">
        <v>1486</v>
      </c>
      <c r="BU1429" s="1" t="s">
        <v>109</v>
      </c>
      <c r="BV1429" s="1"/>
      <c r="BW1429" s="1"/>
      <c r="BX1429" s="1"/>
      <c r="BY1429" s="1"/>
      <c r="BZ1429" s="1">
        <v>0</v>
      </c>
      <c r="CA1429" s="1" t="s">
        <v>109</v>
      </c>
      <c r="CB1429" s="1" t="s">
        <v>109</v>
      </c>
      <c r="CC1429" s="1">
        <v>1</v>
      </c>
      <c r="CD1429" s="1" t="s">
        <v>109</v>
      </c>
      <c r="CE1429" s="1" t="s">
        <v>109</v>
      </c>
      <c r="CF1429" s="1" t="s">
        <v>109</v>
      </c>
      <c r="CG1429" s="1" t="s">
        <v>109</v>
      </c>
      <c r="CH1429" s="1" t="s">
        <v>109</v>
      </c>
      <c r="CI1429" s="1" t="s">
        <v>109</v>
      </c>
      <c r="CJ1429" s="1">
        <v>1</v>
      </c>
      <c r="CK1429" s="1"/>
      <c r="CL1429" s="1">
        <v>0</v>
      </c>
      <c r="CM1429" s="1">
        <v>0</v>
      </c>
      <c r="CN1429" s="1">
        <v>0</v>
      </c>
    </row>
    <row r="1430" spans="1:92" ht="14.25" customHeight="1" x14ac:dyDescent="0.15">
      <c r="A1430" s="1" t="s">
        <v>11108</v>
      </c>
      <c r="B1430" s="1" t="s">
        <v>242</v>
      </c>
      <c r="C1430" s="1"/>
      <c r="D1430" s="1"/>
      <c r="E1430" s="1" t="s">
        <v>11109</v>
      </c>
      <c r="F1430" s="1" t="s">
        <v>98</v>
      </c>
      <c r="G1430" s="1" t="s">
        <v>141</v>
      </c>
      <c r="H1430" s="1">
        <v>0</v>
      </c>
      <c r="I1430" s="1" t="s">
        <v>161</v>
      </c>
      <c r="J1430" s="1"/>
      <c r="K1430" s="1"/>
      <c r="L1430" s="1" t="s">
        <v>506</v>
      </c>
      <c r="M1430" s="1" t="s">
        <v>125</v>
      </c>
      <c r="N1430" s="1">
        <v>0</v>
      </c>
      <c r="O1430" s="1">
        <v>0</v>
      </c>
      <c r="P1430" s="1" t="s">
        <v>1382</v>
      </c>
      <c r="Q1430" s="1" t="s">
        <v>167</v>
      </c>
      <c r="R1430" s="1" t="s">
        <v>11110</v>
      </c>
      <c r="S1430" s="1" t="s">
        <v>11111</v>
      </c>
      <c r="T1430" s="1" t="s">
        <v>11080</v>
      </c>
      <c r="U1430" s="1" t="s">
        <v>11112</v>
      </c>
      <c r="V1430" s="1">
        <v>1</v>
      </c>
      <c r="W1430" s="1">
        <v>1</v>
      </c>
      <c r="X1430" s="1">
        <v>0</v>
      </c>
      <c r="Y1430" s="1">
        <v>0</v>
      </c>
      <c r="Z1430" s="1">
        <v>0</v>
      </c>
      <c r="AA1430" s="1">
        <v>2</v>
      </c>
      <c r="AB1430" s="1">
        <v>2</v>
      </c>
      <c r="AC1430" s="1" t="s">
        <v>109</v>
      </c>
      <c r="AD1430" s="1" t="s">
        <v>109</v>
      </c>
      <c r="AE1430" s="1" t="s">
        <v>109</v>
      </c>
      <c r="AF1430" s="1">
        <v>3</v>
      </c>
      <c r="AG1430" s="1" t="s">
        <v>109</v>
      </c>
      <c r="AH1430" s="1" t="s">
        <v>109</v>
      </c>
      <c r="AI1430" s="1" t="s">
        <v>109</v>
      </c>
      <c r="AJ1430" s="1" t="s">
        <v>109</v>
      </c>
      <c r="AK1430" s="1" t="s">
        <v>109</v>
      </c>
      <c r="AL1430" s="1" t="s">
        <v>109</v>
      </c>
      <c r="AM1430" s="1" t="s">
        <v>109</v>
      </c>
      <c r="AN1430" s="1" t="s">
        <v>109</v>
      </c>
      <c r="AO1430" s="1" t="s">
        <v>109</v>
      </c>
      <c r="AP1430" s="1"/>
      <c r="AQ1430" s="1">
        <v>2</v>
      </c>
      <c r="AR1430" s="1"/>
      <c r="AS1430" s="1"/>
      <c r="AT1430" s="1">
        <v>0</v>
      </c>
      <c r="AU1430" s="1">
        <v>0</v>
      </c>
      <c r="AV1430" s="1">
        <v>0</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t="s">
        <v>109</v>
      </c>
      <c r="BT1430" s="1">
        <v>1487</v>
      </c>
      <c r="BU1430" s="1" t="s">
        <v>109</v>
      </c>
      <c r="BV1430" s="1"/>
      <c r="BW1430" s="1"/>
      <c r="BX1430" s="1"/>
      <c r="BY1430" s="1"/>
      <c r="BZ1430" s="1">
        <v>0</v>
      </c>
      <c r="CA1430" s="1">
        <v>2</v>
      </c>
      <c r="CB1430" s="1" t="s">
        <v>109</v>
      </c>
      <c r="CC1430" s="1" t="s">
        <v>109</v>
      </c>
      <c r="CD1430" s="1" t="s">
        <v>109</v>
      </c>
      <c r="CE1430" s="1" t="s">
        <v>109</v>
      </c>
      <c r="CF1430" s="1" t="s">
        <v>109</v>
      </c>
      <c r="CG1430" s="1" t="s">
        <v>109</v>
      </c>
      <c r="CH1430" s="1" t="s">
        <v>109</v>
      </c>
      <c r="CI1430" s="1" t="s">
        <v>109</v>
      </c>
      <c r="CJ1430" s="1" t="s">
        <v>109</v>
      </c>
      <c r="CK1430" s="1"/>
      <c r="CL1430" s="1">
        <v>0</v>
      </c>
      <c r="CM1430" s="1">
        <v>0</v>
      </c>
      <c r="CN1430" s="1">
        <v>0</v>
      </c>
    </row>
    <row r="1431" spans="1:92" ht="14.25" customHeight="1" x14ac:dyDescent="0.15">
      <c r="A1431" s="1" t="s">
        <v>11113</v>
      </c>
      <c r="B1431" s="1" t="s">
        <v>674</v>
      </c>
      <c r="C1431" s="1" t="s">
        <v>2300</v>
      </c>
      <c r="D1431" s="1" t="s">
        <v>158</v>
      </c>
      <c r="E1431" s="1" t="s">
        <v>2585</v>
      </c>
      <c r="F1431" s="1" t="s">
        <v>98</v>
      </c>
      <c r="G1431" s="1" t="s">
        <v>141</v>
      </c>
      <c r="H1431" s="1">
        <v>0</v>
      </c>
      <c r="I1431" s="1" t="s">
        <v>11114</v>
      </c>
      <c r="J1431" s="1"/>
      <c r="K1431" s="1"/>
      <c r="L1431" s="1" t="s">
        <v>1391</v>
      </c>
      <c r="M1431" s="1" t="s">
        <v>125</v>
      </c>
      <c r="N1431" s="1">
        <v>0</v>
      </c>
      <c r="O1431" s="1">
        <v>0</v>
      </c>
      <c r="P1431" s="1" t="s">
        <v>301</v>
      </c>
      <c r="Q1431" s="1" t="s">
        <v>268</v>
      </c>
      <c r="R1431" s="1" t="s">
        <v>11115</v>
      </c>
      <c r="S1431" s="1" t="s">
        <v>11116</v>
      </c>
      <c r="T1431" s="1" t="s">
        <v>11080</v>
      </c>
      <c r="U1431" s="1" t="s">
        <v>11117</v>
      </c>
      <c r="V1431" s="1">
        <v>1</v>
      </c>
      <c r="W1431" s="1">
        <v>1</v>
      </c>
      <c r="X1431" s="1">
        <v>0</v>
      </c>
      <c r="Y1431" s="1">
        <v>0</v>
      </c>
      <c r="Z1431" s="1">
        <v>0</v>
      </c>
      <c r="AA1431" s="1">
        <v>2</v>
      </c>
      <c r="AB1431" s="1">
        <v>2</v>
      </c>
      <c r="AC1431" s="1" t="s">
        <v>109</v>
      </c>
      <c r="AD1431" s="1" t="s">
        <v>109</v>
      </c>
      <c r="AE1431" s="1" t="s">
        <v>109</v>
      </c>
      <c r="AF1431" s="1">
        <v>1</v>
      </c>
      <c r="AG1431" s="1" t="s">
        <v>109</v>
      </c>
      <c r="AH1431" s="1" t="s">
        <v>109</v>
      </c>
      <c r="AI1431" s="1" t="s">
        <v>109</v>
      </c>
      <c r="AJ1431" s="1" t="s">
        <v>109</v>
      </c>
      <c r="AK1431" s="1" t="s">
        <v>109</v>
      </c>
      <c r="AL1431" s="1" t="s">
        <v>109</v>
      </c>
      <c r="AM1431" s="1" t="s">
        <v>109</v>
      </c>
      <c r="AN1431" s="1" t="s">
        <v>109</v>
      </c>
      <c r="AO1431" s="1" t="s">
        <v>109</v>
      </c>
      <c r="AP1431" s="1"/>
      <c r="AQ1431" s="1">
        <v>2</v>
      </c>
      <c r="AR1431" s="1"/>
      <c r="AS1431" s="1"/>
      <c r="AT1431" s="1">
        <v>0</v>
      </c>
      <c r="AU1431" s="1">
        <v>0</v>
      </c>
      <c r="AV1431" s="1">
        <v>0</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1</v>
      </c>
      <c r="BN1431" s="1">
        <v>0</v>
      </c>
      <c r="BO1431" s="1">
        <v>0</v>
      </c>
      <c r="BP1431" s="1">
        <v>0</v>
      </c>
      <c r="BQ1431" s="1">
        <v>0</v>
      </c>
      <c r="BR1431" s="1">
        <v>0</v>
      </c>
      <c r="BS1431" s="1" t="s">
        <v>109</v>
      </c>
      <c r="BT1431" s="1">
        <v>1488</v>
      </c>
      <c r="BU1431" s="1" t="s">
        <v>109</v>
      </c>
      <c r="BV1431" s="1"/>
      <c r="BW1431" s="1"/>
      <c r="BX1431" s="1" t="s">
        <v>11118</v>
      </c>
      <c r="BY1431" s="1"/>
      <c r="BZ1431" s="1">
        <v>1</v>
      </c>
      <c r="CA1431" s="1" t="s">
        <v>109</v>
      </c>
      <c r="CB1431" s="1" t="s">
        <v>109</v>
      </c>
      <c r="CC1431" s="1">
        <v>2</v>
      </c>
      <c r="CD1431" s="1" t="s">
        <v>109</v>
      </c>
      <c r="CE1431" s="1">
        <v>1</v>
      </c>
      <c r="CF1431" s="1" t="s">
        <v>109</v>
      </c>
      <c r="CG1431" s="1" t="s">
        <v>109</v>
      </c>
      <c r="CH1431" s="1" t="s">
        <v>109</v>
      </c>
      <c r="CI1431" s="1" t="s">
        <v>109</v>
      </c>
      <c r="CJ1431" s="1" t="s">
        <v>109</v>
      </c>
      <c r="CK1431" s="1"/>
      <c r="CL1431" s="1">
        <v>0</v>
      </c>
      <c r="CM1431" s="1">
        <v>0</v>
      </c>
      <c r="CN1431" s="1">
        <v>0</v>
      </c>
    </row>
    <row r="1432" spans="1:92" ht="14.25" customHeight="1" x14ac:dyDescent="0.15">
      <c r="A1432" s="1" t="s">
        <v>11119</v>
      </c>
      <c r="B1432" s="1" t="s">
        <v>674</v>
      </c>
      <c r="C1432" s="1" t="s">
        <v>68</v>
      </c>
      <c r="D1432" s="1" t="s">
        <v>68</v>
      </c>
      <c r="E1432" s="1" t="s">
        <v>3497</v>
      </c>
      <c r="F1432" s="1" t="s">
        <v>395</v>
      </c>
      <c r="G1432" s="1" t="s">
        <v>141</v>
      </c>
      <c r="H1432" s="1">
        <v>0</v>
      </c>
      <c r="I1432" s="1" t="s">
        <v>142</v>
      </c>
      <c r="J1432" s="1"/>
      <c r="K1432" s="1" t="s">
        <v>11120</v>
      </c>
      <c r="L1432" s="1"/>
      <c r="M1432" s="1" t="s">
        <v>6625</v>
      </c>
      <c r="N1432" s="1">
        <v>1</v>
      </c>
      <c r="O1432" s="1">
        <v>0</v>
      </c>
      <c r="P1432" s="1" t="s">
        <v>301</v>
      </c>
      <c r="Q1432" s="1" t="s">
        <v>268</v>
      </c>
      <c r="R1432" s="1" t="s">
        <v>11121</v>
      </c>
      <c r="S1432" s="1" t="s">
        <v>11122</v>
      </c>
      <c r="T1432" s="1" t="s">
        <v>11080</v>
      </c>
      <c r="U1432" s="1" t="s">
        <v>11123</v>
      </c>
      <c r="V1432" s="1">
        <v>1</v>
      </c>
      <c r="W1432" s="1">
        <v>1</v>
      </c>
      <c r="X1432" s="1">
        <v>0</v>
      </c>
      <c r="Y1432" s="1">
        <v>0</v>
      </c>
      <c r="Z1432" s="1">
        <v>0</v>
      </c>
      <c r="AA1432" s="1">
        <v>5</v>
      </c>
      <c r="AB1432" s="1">
        <v>5</v>
      </c>
      <c r="AC1432" s="1" t="s">
        <v>109</v>
      </c>
      <c r="AD1432" s="1" t="s">
        <v>109</v>
      </c>
      <c r="AE1432" s="1" t="s">
        <v>109</v>
      </c>
      <c r="AF1432" s="1" t="s">
        <v>109</v>
      </c>
      <c r="AG1432" s="1" t="s">
        <v>109</v>
      </c>
      <c r="AH1432" s="1" t="s">
        <v>109</v>
      </c>
      <c r="AI1432" s="1" t="s">
        <v>109</v>
      </c>
      <c r="AJ1432" s="1" t="s">
        <v>109</v>
      </c>
      <c r="AK1432" s="1" t="s">
        <v>109</v>
      </c>
      <c r="AL1432" s="1" t="s">
        <v>109</v>
      </c>
      <c r="AM1432" s="1" t="s">
        <v>109</v>
      </c>
      <c r="AN1432" s="1" t="s">
        <v>109</v>
      </c>
      <c r="AO1432" s="1" t="s">
        <v>109</v>
      </c>
      <c r="AP1432" s="1"/>
      <c r="AQ1432" s="1">
        <v>5</v>
      </c>
      <c r="AR1432" s="1"/>
      <c r="AS1432" s="1"/>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1</v>
      </c>
      <c r="BQ1432" s="1">
        <v>0</v>
      </c>
      <c r="BR1432" s="1">
        <v>0</v>
      </c>
      <c r="BS1432" s="1" t="s">
        <v>109</v>
      </c>
      <c r="BT1432" s="1">
        <v>1489</v>
      </c>
      <c r="BU1432" s="1" t="s">
        <v>109</v>
      </c>
      <c r="BV1432" s="1"/>
      <c r="BW1432" s="1"/>
      <c r="BX1432" s="1"/>
      <c r="BY1432" s="1"/>
      <c r="BZ1432" s="1">
        <v>0</v>
      </c>
      <c r="CA1432" s="1" t="s">
        <v>109</v>
      </c>
      <c r="CB1432" s="1" t="s">
        <v>109</v>
      </c>
      <c r="CC1432" s="1">
        <v>5</v>
      </c>
      <c r="CD1432" s="1" t="s">
        <v>109</v>
      </c>
      <c r="CE1432" s="1">
        <v>5</v>
      </c>
      <c r="CF1432" s="1" t="s">
        <v>109</v>
      </c>
      <c r="CG1432" s="1" t="s">
        <v>109</v>
      </c>
      <c r="CH1432" s="1" t="s">
        <v>109</v>
      </c>
      <c r="CI1432" s="1" t="s">
        <v>109</v>
      </c>
      <c r="CJ1432" s="1" t="s">
        <v>109</v>
      </c>
      <c r="CK1432" s="1"/>
      <c r="CL1432" s="1">
        <v>0</v>
      </c>
      <c r="CM1432" s="1">
        <v>0</v>
      </c>
      <c r="CN1432" s="1">
        <v>0</v>
      </c>
    </row>
    <row r="1433" spans="1:92" ht="14.25" customHeight="1" x14ac:dyDescent="0.15">
      <c r="A1433" s="1" t="s">
        <v>11124</v>
      </c>
      <c r="B1433" s="1" t="s">
        <v>674</v>
      </c>
      <c r="C1433" s="1" t="s">
        <v>2300</v>
      </c>
      <c r="D1433" s="1" t="s">
        <v>158</v>
      </c>
      <c r="E1433" s="1" t="s">
        <v>11125</v>
      </c>
      <c r="F1433" s="1" t="s">
        <v>277</v>
      </c>
      <c r="G1433" s="1" t="s">
        <v>141</v>
      </c>
      <c r="H1433" s="1">
        <v>0</v>
      </c>
      <c r="I1433" s="1" t="s">
        <v>397</v>
      </c>
      <c r="J1433" s="1"/>
      <c r="K1433" s="1"/>
      <c r="L1433" s="1" t="s">
        <v>11126</v>
      </c>
      <c r="M1433" s="1" t="s">
        <v>211</v>
      </c>
      <c r="N1433" s="1">
        <v>0</v>
      </c>
      <c r="O1433" s="1">
        <v>0</v>
      </c>
      <c r="P1433" s="1" t="s">
        <v>103</v>
      </c>
      <c r="Q1433" s="1" t="s">
        <v>268</v>
      </c>
      <c r="R1433" s="1" t="s">
        <v>11127</v>
      </c>
      <c r="S1433" s="1" t="s">
        <v>11128</v>
      </c>
      <c r="T1433" s="1" t="s">
        <v>11080</v>
      </c>
      <c r="U1433" s="1" t="s">
        <v>11129</v>
      </c>
      <c r="V1433" s="1">
        <v>1</v>
      </c>
      <c r="W1433" s="1">
        <v>1</v>
      </c>
      <c r="X1433" s="1">
        <v>0</v>
      </c>
      <c r="Y1433" s="1">
        <v>0</v>
      </c>
      <c r="Z1433" s="1">
        <v>0</v>
      </c>
      <c r="AA1433" s="1">
        <v>3</v>
      </c>
      <c r="AB1433" s="1">
        <v>3</v>
      </c>
      <c r="AC1433" s="1" t="s">
        <v>109</v>
      </c>
      <c r="AD1433" s="1" t="s">
        <v>109</v>
      </c>
      <c r="AE1433" s="1" t="s">
        <v>109</v>
      </c>
      <c r="AF1433" s="1">
        <v>3</v>
      </c>
      <c r="AG1433" s="1" t="s">
        <v>109</v>
      </c>
      <c r="AH1433" s="1">
        <v>2</v>
      </c>
      <c r="AI1433" s="1" t="s">
        <v>109</v>
      </c>
      <c r="AJ1433" s="1">
        <v>2</v>
      </c>
      <c r="AK1433" s="1" t="s">
        <v>109</v>
      </c>
      <c r="AL1433" s="1" t="s">
        <v>109</v>
      </c>
      <c r="AM1433" s="1" t="s">
        <v>109</v>
      </c>
      <c r="AN1433" s="1" t="s">
        <v>109</v>
      </c>
      <c r="AO1433" s="1" t="s">
        <v>109</v>
      </c>
      <c r="AP1433" s="1"/>
      <c r="AQ1433" s="1">
        <v>3</v>
      </c>
      <c r="AR1433" s="1"/>
      <c r="AS1433" s="1"/>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1</v>
      </c>
      <c r="BN1433" s="1">
        <v>0</v>
      </c>
      <c r="BO1433" s="1">
        <v>0</v>
      </c>
      <c r="BP1433" s="1">
        <v>0</v>
      </c>
      <c r="BQ1433" s="1">
        <v>0</v>
      </c>
      <c r="BR1433" s="1">
        <v>0</v>
      </c>
      <c r="BS1433" s="1" t="s">
        <v>109</v>
      </c>
      <c r="BT1433" s="1">
        <v>1490</v>
      </c>
      <c r="BU1433" s="1" t="s">
        <v>109</v>
      </c>
      <c r="BV1433" s="1"/>
      <c r="BW1433" s="1"/>
      <c r="BX1433" s="1"/>
      <c r="BY1433" s="1"/>
      <c r="BZ1433" s="1">
        <v>0</v>
      </c>
      <c r="CA1433" s="1" t="s">
        <v>109</v>
      </c>
      <c r="CB1433" s="1" t="s">
        <v>109</v>
      </c>
      <c r="CC1433" s="1">
        <v>3</v>
      </c>
      <c r="CD1433" s="1" t="s">
        <v>109</v>
      </c>
      <c r="CE1433" s="1">
        <v>3</v>
      </c>
      <c r="CF1433" s="1" t="s">
        <v>109</v>
      </c>
      <c r="CG1433" s="1" t="s">
        <v>109</v>
      </c>
      <c r="CH1433" s="1" t="s">
        <v>109</v>
      </c>
      <c r="CI1433" s="1" t="s">
        <v>109</v>
      </c>
      <c r="CJ1433" s="1" t="s">
        <v>109</v>
      </c>
      <c r="CK1433" s="1"/>
      <c r="CL1433" s="1">
        <v>0</v>
      </c>
      <c r="CM1433" s="1">
        <v>0</v>
      </c>
      <c r="CN1433" s="1">
        <v>0</v>
      </c>
    </row>
    <row r="1434" spans="1:92" ht="14.25" customHeight="1" x14ac:dyDescent="0.15">
      <c r="A1434" s="1" t="s">
        <v>11130</v>
      </c>
      <c r="B1434" s="1" t="s">
        <v>674</v>
      </c>
      <c r="C1434" s="1" t="s">
        <v>2300</v>
      </c>
      <c r="D1434" s="1" t="s">
        <v>158</v>
      </c>
      <c r="E1434" s="1" t="s">
        <v>11131</v>
      </c>
      <c r="F1434" s="1" t="s">
        <v>277</v>
      </c>
      <c r="G1434" s="1" t="s">
        <v>141</v>
      </c>
      <c r="H1434" s="1">
        <v>0</v>
      </c>
      <c r="I1434" s="1" t="s">
        <v>925</v>
      </c>
      <c r="J1434" s="1"/>
      <c r="K1434" s="1" t="s">
        <v>11132</v>
      </c>
      <c r="L1434" s="1"/>
      <c r="M1434" s="1" t="s">
        <v>6625</v>
      </c>
      <c r="N1434" s="1">
        <v>1</v>
      </c>
      <c r="O1434" s="1">
        <v>0</v>
      </c>
      <c r="P1434" s="1" t="s">
        <v>301</v>
      </c>
      <c r="Q1434" s="1" t="s">
        <v>268</v>
      </c>
      <c r="R1434" s="1" t="s">
        <v>11133</v>
      </c>
      <c r="S1434" s="1" t="s">
        <v>11134</v>
      </c>
      <c r="T1434" s="1" t="s">
        <v>11080</v>
      </c>
      <c r="U1434" s="1" t="s">
        <v>11135</v>
      </c>
      <c r="V1434" s="1">
        <v>1</v>
      </c>
      <c r="W1434" s="1">
        <v>1</v>
      </c>
      <c r="X1434" s="1">
        <v>0</v>
      </c>
      <c r="Y1434" s="1">
        <v>0</v>
      </c>
      <c r="Z1434" s="1">
        <v>0</v>
      </c>
      <c r="AA1434" s="1">
        <v>4</v>
      </c>
      <c r="AB1434" s="1">
        <v>4</v>
      </c>
      <c r="AC1434" s="1" t="s">
        <v>109</v>
      </c>
      <c r="AD1434" s="1" t="s">
        <v>109</v>
      </c>
      <c r="AE1434" s="1" t="s">
        <v>109</v>
      </c>
      <c r="AF1434" s="1" t="s">
        <v>109</v>
      </c>
      <c r="AG1434" s="1" t="s">
        <v>109</v>
      </c>
      <c r="AH1434" s="1" t="s">
        <v>109</v>
      </c>
      <c r="AI1434" s="1" t="s">
        <v>109</v>
      </c>
      <c r="AJ1434" s="1" t="s">
        <v>109</v>
      </c>
      <c r="AK1434" s="1" t="s">
        <v>109</v>
      </c>
      <c r="AL1434" s="1" t="s">
        <v>109</v>
      </c>
      <c r="AM1434" s="1" t="s">
        <v>109</v>
      </c>
      <c r="AN1434" s="1" t="s">
        <v>109</v>
      </c>
      <c r="AO1434" s="1" t="s">
        <v>109</v>
      </c>
      <c r="AP1434" s="1"/>
      <c r="AQ1434" s="1">
        <v>4</v>
      </c>
      <c r="AR1434" s="1"/>
      <c r="AS1434" s="1"/>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1</v>
      </c>
      <c r="BN1434" s="1">
        <v>0</v>
      </c>
      <c r="BO1434" s="1">
        <v>0</v>
      </c>
      <c r="BP1434" s="1">
        <v>0</v>
      </c>
      <c r="BQ1434" s="1">
        <v>0</v>
      </c>
      <c r="BR1434" s="1">
        <v>0</v>
      </c>
      <c r="BS1434" s="1" t="s">
        <v>109</v>
      </c>
      <c r="BT1434" s="1">
        <v>1491</v>
      </c>
      <c r="BU1434" s="1" t="s">
        <v>109</v>
      </c>
      <c r="BV1434" s="1"/>
      <c r="BW1434" s="1"/>
      <c r="BX1434" s="1"/>
      <c r="BY1434" s="1"/>
      <c r="BZ1434" s="1">
        <v>0</v>
      </c>
      <c r="CA1434" s="1" t="s">
        <v>109</v>
      </c>
      <c r="CB1434" s="1" t="s">
        <v>109</v>
      </c>
      <c r="CC1434" s="1">
        <v>4</v>
      </c>
      <c r="CD1434" s="1" t="s">
        <v>109</v>
      </c>
      <c r="CE1434" s="1">
        <v>4</v>
      </c>
      <c r="CF1434" s="1" t="s">
        <v>109</v>
      </c>
      <c r="CG1434" s="1" t="s">
        <v>109</v>
      </c>
      <c r="CH1434" s="1" t="s">
        <v>109</v>
      </c>
      <c r="CI1434" s="1" t="s">
        <v>109</v>
      </c>
      <c r="CJ1434" s="1" t="s">
        <v>109</v>
      </c>
      <c r="CK1434" s="1"/>
      <c r="CL1434" s="1">
        <v>0</v>
      </c>
      <c r="CM1434" s="1">
        <v>0</v>
      </c>
      <c r="CN1434" s="1">
        <v>0</v>
      </c>
    </row>
    <row r="1435" spans="1:92" ht="14.25" customHeight="1" x14ac:dyDescent="0.15">
      <c r="A1435" s="1" t="s">
        <v>11136</v>
      </c>
      <c r="B1435" s="1" t="s">
        <v>189</v>
      </c>
      <c r="C1435" s="1"/>
      <c r="D1435" s="1"/>
      <c r="E1435" s="1" t="s">
        <v>11137</v>
      </c>
      <c r="F1435" s="1" t="s">
        <v>98</v>
      </c>
      <c r="G1435" s="1" t="s">
        <v>141</v>
      </c>
      <c r="H1435" s="1">
        <v>0</v>
      </c>
      <c r="I1435" s="1" t="s">
        <v>235</v>
      </c>
      <c r="J1435" s="1"/>
      <c r="K1435" s="1"/>
      <c r="L1435" s="1" t="s">
        <v>236</v>
      </c>
      <c r="M1435" s="1" t="s">
        <v>144</v>
      </c>
      <c r="N1435" s="1">
        <v>0</v>
      </c>
      <c r="O1435" s="1">
        <v>0</v>
      </c>
      <c r="P1435" s="1"/>
      <c r="Q1435" s="1"/>
      <c r="R1435" s="1" t="s">
        <v>11138</v>
      </c>
      <c r="S1435" s="1" t="s">
        <v>11139</v>
      </c>
      <c r="T1435" s="1" t="s">
        <v>11080</v>
      </c>
      <c r="U1435" s="1" t="s">
        <v>11140</v>
      </c>
      <c r="V1435" s="1">
        <v>1</v>
      </c>
      <c r="W1435" s="1">
        <v>1</v>
      </c>
      <c r="X1435" s="1">
        <v>0</v>
      </c>
      <c r="Y1435" s="1">
        <v>0</v>
      </c>
      <c r="Z1435" s="1">
        <v>0</v>
      </c>
      <c r="AA1435" s="1">
        <v>1</v>
      </c>
      <c r="AB1435" s="1">
        <v>1</v>
      </c>
      <c r="AC1435" s="1">
        <v>1</v>
      </c>
      <c r="AD1435" s="1">
        <v>1</v>
      </c>
      <c r="AE1435" s="1" t="s">
        <v>109</v>
      </c>
      <c r="AF1435" s="1">
        <v>1</v>
      </c>
      <c r="AG1435" s="1" t="s">
        <v>109</v>
      </c>
      <c r="AH1435" s="1">
        <v>1</v>
      </c>
      <c r="AI1435" s="1" t="s">
        <v>109</v>
      </c>
      <c r="AJ1435" s="1">
        <v>1</v>
      </c>
      <c r="AK1435" s="1">
        <v>1</v>
      </c>
      <c r="AL1435" s="1">
        <v>1</v>
      </c>
      <c r="AM1435" s="1" t="s">
        <v>109</v>
      </c>
      <c r="AN1435" s="1">
        <v>1</v>
      </c>
      <c r="AO1435" s="1" t="s">
        <v>109</v>
      </c>
      <c r="AP1435" s="1"/>
      <c r="AQ1435" s="1">
        <v>1</v>
      </c>
      <c r="AR1435" s="1"/>
      <c r="AS1435" s="1"/>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t="s">
        <v>109</v>
      </c>
      <c r="BT1435" s="1">
        <v>1492</v>
      </c>
      <c r="BU1435" s="1" t="s">
        <v>109</v>
      </c>
      <c r="BV1435" s="1"/>
      <c r="BW1435" s="1"/>
      <c r="BX1435" s="1"/>
      <c r="BY1435" s="1"/>
      <c r="BZ1435" s="1">
        <v>0</v>
      </c>
      <c r="CA1435" s="1" t="s">
        <v>109</v>
      </c>
      <c r="CB1435" s="1" t="s">
        <v>109</v>
      </c>
      <c r="CC1435" s="1">
        <v>1</v>
      </c>
      <c r="CD1435" s="1" t="s">
        <v>109</v>
      </c>
      <c r="CE1435" s="1">
        <v>1</v>
      </c>
      <c r="CF1435" s="1" t="s">
        <v>109</v>
      </c>
      <c r="CG1435" s="1" t="s">
        <v>109</v>
      </c>
      <c r="CH1435" s="1" t="s">
        <v>109</v>
      </c>
      <c r="CI1435" s="1" t="s">
        <v>109</v>
      </c>
      <c r="CJ1435" s="1">
        <v>1</v>
      </c>
      <c r="CK1435" s="1"/>
      <c r="CL1435" s="1">
        <v>0</v>
      </c>
      <c r="CM1435" s="1">
        <v>0</v>
      </c>
      <c r="CN1435" s="1">
        <v>0</v>
      </c>
    </row>
    <row r="1436" spans="1:92" ht="14.25" customHeight="1" x14ac:dyDescent="0.15">
      <c r="A1436" s="1" t="s">
        <v>11141</v>
      </c>
      <c r="B1436" s="1" t="s">
        <v>156</v>
      </c>
      <c r="C1436" s="1" t="s">
        <v>157</v>
      </c>
      <c r="D1436" s="1" t="s">
        <v>158</v>
      </c>
      <c r="E1436" s="1" t="s">
        <v>11142</v>
      </c>
      <c r="F1436" s="1" t="s">
        <v>355</v>
      </c>
      <c r="G1436" s="1" t="s">
        <v>11143</v>
      </c>
      <c r="H1436" s="1">
        <v>0</v>
      </c>
      <c r="I1436" s="1" t="s">
        <v>142</v>
      </c>
      <c r="J1436" s="1"/>
      <c r="K1436" s="1"/>
      <c r="L1436" s="1" t="s">
        <v>563</v>
      </c>
      <c r="M1436" s="1" t="s">
        <v>3042</v>
      </c>
      <c r="N1436" s="1">
        <v>0</v>
      </c>
      <c r="O1436" s="1">
        <v>0</v>
      </c>
      <c r="P1436" s="1" t="s">
        <v>301</v>
      </c>
      <c r="Q1436" s="1" t="s">
        <v>268</v>
      </c>
      <c r="R1436" s="1" t="s">
        <v>11144</v>
      </c>
      <c r="S1436" s="1" t="s">
        <v>11145</v>
      </c>
      <c r="T1436" s="1" t="s">
        <v>11080</v>
      </c>
      <c r="U1436" s="1" t="s">
        <v>11146</v>
      </c>
      <c r="V1436" s="1">
        <v>1</v>
      </c>
      <c r="W1436" s="1">
        <v>1</v>
      </c>
      <c r="X1436" s="1">
        <v>1</v>
      </c>
      <c r="Y1436" s="1">
        <v>0</v>
      </c>
      <c r="Z1436" s="1">
        <v>0</v>
      </c>
      <c r="AA1436" s="1">
        <v>4</v>
      </c>
      <c r="AB1436" s="1">
        <v>4</v>
      </c>
      <c r="AC1436" s="1" t="s">
        <v>109</v>
      </c>
      <c r="AD1436" s="1" t="s">
        <v>109</v>
      </c>
      <c r="AE1436" s="1" t="s">
        <v>109</v>
      </c>
      <c r="AF1436" s="1">
        <v>4</v>
      </c>
      <c r="AG1436" s="1" t="s">
        <v>109</v>
      </c>
      <c r="AH1436" s="1" t="s">
        <v>109</v>
      </c>
      <c r="AI1436" s="1" t="s">
        <v>109</v>
      </c>
      <c r="AJ1436" s="1">
        <v>4</v>
      </c>
      <c r="AK1436" s="1" t="s">
        <v>109</v>
      </c>
      <c r="AL1436" s="1" t="s">
        <v>109</v>
      </c>
      <c r="AM1436" s="1" t="s">
        <v>109</v>
      </c>
      <c r="AN1436" s="1" t="s">
        <v>109</v>
      </c>
      <c r="AO1436" s="1" t="s">
        <v>109</v>
      </c>
      <c r="AP1436" s="1"/>
      <c r="AQ1436" s="1">
        <v>4</v>
      </c>
      <c r="AR1436" s="1"/>
      <c r="AS1436" s="1"/>
      <c r="AT1436" s="1">
        <v>0</v>
      </c>
      <c r="AU1436" s="1">
        <v>0</v>
      </c>
      <c r="AV1436" s="1">
        <v>0</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1</v>
      </c>
      <c r="BN1436" s="1">
        <v>0</v>
      </c>
      <c r="BO1436" s="1">
        <v>0</v>
      </c>
      <c r="BP1436" s="1">
        <v>0</v>
      </c>
      <c r="BQ1436" s="1">
        <v>0</v>
      </c>
      <c r="BR1436" s="1">
        <v>0</v>
      </c>
      <c r="BS1436" s="1" t="s">
        <v>109</v>
      </c>
      <c r="BT1436" s="1">
        <v>1493</v>
      </c>
      <c r="BU1436" s="1" t="s">
        <v>109</v>
      </c>
      <c r="BV1436" s="1"/>
      <c r="BW1436" s="1"/>
      <c r="BX1436" s="1"/>
      <c r="BY1436" s="1"/>
      <c r="BZ1436" s="1">
        <v>0</v>
      </c>
      <c r="CA1436" s="1" t="s">
        <v>109</v>
      </c>
      <c r="CB1436" s="1" t="s">
        <v>109</v>
      </c>
      <c r="CC1436" s="1">
        <v>4</v>
      </c>
      <c r="CD1436" s="1" t="s">
        <v>109</v>
      </c>
      <c r="CE1436" s="1">
        <v>4</v>
      </c>
      <c r="CF1436" s="1" t="s">
        <v>109</v>
      </c>
      <c r="CG1436" s="1" t="s">
        <v>109</v>
      </c>
      <c r="CH1436" s="1" t="s">
        <v>109</v>
      </c>
      <c r="CI1436" s="1" t="s">
        <v>109</v>
      </c>
      <c r="CJ1436" s="1" t="s">
        <v>109</v>
      </c>
      <c r="CK1436" s="1"/>
      <c r="CL1436" s="1">
        <v>0</v>
      </c>
      <c r="CM1436" s="1">
        <v>0</v>
      </c>
      <c r="CN1436" s="1">
        <v>0</v>
      </c>
    </row>
    <row r="1437" spans="1:92" ht="14.25" customHeight="1" x14ac:dyDescent="0.15">
      <c r="A1437" s="1" t="s">
        <v>11147</v>
      </c>
      <c r="B1437" s="1" t="s">
        <v>189</v>
      </c>
      <c r="C1437" s="1" t="s">
        <v>231</v>
      </c>
      <c r="D1437" s="1"/>
      <c r="E1437" s="1" t="s">
        <v>11148</v>
      </c>
      <c r="F1437" s="1" t="s">
        <v>98</v>
      </c>
      <c r="G1437" s="1" t="s">
        <v>141</v>
      </c>
      <c r="H1437" s="1">
        <v>0</v>
      </c>
      <c r="I1437" s="1" t="s">
        <v>11149</v>
      </c>
      <c r="J1437" s="1"/>
      <c r="K1437" s="1"/>
      <c r="L1437" s="1" t="s">
        <v>236</v>
      </c>
      <c r="M1437" s="1" t="s">
        <v>3042</v>
      </c>
      <c r="N1437" s="1">
        <v>0</v>
      </c>
      <c r="O1437" s="1">
        <v>0</v>
      </c>
      <c r="P1437" s="1"/>
      <c r="Q1437" s="1"/>
      <c r="R1437" s="1" t="s">
        <v>11150</v>
      </c>
      <c r="S1437" s="1" t="s">
        <v>11151</v>
      </c>
      <c r="T1437" s="1" t="s">
        <v>11080</v>
      </c>
      <c r="U1437" s="1" t="s">
        <v>11152</v>
      </c>
      <c r="V1437" s="1">
        <v>1</v>
      </c>
      <c r="W1437" s="1">
        <v>1</v>
      </c>
      <c r="X1437" s="1">
        <v>0</v>
      </c>
      <c r="Y1437" s="1">
        <v>0</v>
      </c>
      <c r="Z1437" s="1">
        <v>0</v>
      </c>
      <c r="AA1437" s="1">
        <v>3</v>
      </c>
      <c r="AB1437" s="1">
        <v>3</v>
      </c>
      <c r="AC1437" s="1">
        <v>3</v>
      </c>
      <c r="AD1437" s="1" t="s">
        <v>109</v>
      </c>
      <c r="AE1437" s="1" t="s">
        <v>109</v>
      </c>
      <c r="AF1437" s="1" t="s">
        <v>109</v>
      </c>
      <c r="AG1437" s="1">
        <v>4</v>
      </c>
      <c r="AH1437" s="1">
        <v>3</v>
      </c>
      <c r="AI1437" s="1" t="s">
        <v>109</v>
      </c>
      <c r="AJ1437" s="1">
        <v>3</v>
      </c>
      <c r="AK1437" s="1" t="s">
        <v>109</v>
      </c>
      <c r="AL1437" s="1">
        <v>3</v>
      </c>
      <c r="AM1437" s="1" t="s">
        <v>109</v>
      </c>
      <c r="AN1437" s="1">
        <v>4</v>
      </c>
      <c r="AO1437" s="1" t="s">
        <v>109</v>
      </c>
      <c r="AP1437" s="1"/>
      <c r="AQ1437" s="1">
        <v>3</v>
      </c>
      <c r="AR1437" s="1"/>
      <c r="AS1437" s="1"/>
      <c r="AT1437" s="1">
        <v>0</v>
      </c>
      <c r="AU1437" s="1">
        <v>0</v>
      </c>
      <c r="AV1437" s="1">
        <v>0</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t="s">
        <v>109</v>
      </c>
      <c r="BT1437" s="1">
        <v>1494</v>
      </c>
      <c r="BU1437" s="1" t="s">
        <v>109</v>
      </c>
      <c r="BV1437" s="1"/>
      <c r="BW1437" s="1"/>
      <c r="BX1437" s="1"/>
      <c r="BY1437" s="1"/>
      <c r="BZ1437" s="1">
        <v>0</v>
      </c>
      <c r="CA1437" s="1" t="s">
        <v>109</v>
      </c>
      <c r="CB1437" s="1" t="s">
        <v>109</v>
      </c>
      <c r="CC1437" s="1" t="s">
        <v>109</v>
      </c>
      <c r="CD1437" s="1" t="s">
        <v>109</v>
      </c>
      <c r="CE1437" s="1" t="s">
        <v>109</v>
      </c>
      <c r="CF1437" s="1" t="s">
        <v>109</v>
      </c>
      <c r="CG1437" s="1" t="s">
        <v>109</v>
      </c>
      <c r="CH1437" s="1" t="s">
        <v>109</v>
      </c>
      <c r="CI1437" s="1" t="s">
        <v>109</v>
      </c>
      <c r="CJ1437" s="1" t="s">
        <v>109</v>
      </c>
      <c r="CK1437" s="1"/>
      <c r="CL1437" s="1">
        <v>0</v>
      </c>
      <c r="CM1437" s="1">
        <v>0</v>
      </c>
      <c r="CN1437" s="1">
        <v>0</v>
      </c>
    </row>
    <row r="1438" spans="1:92" ht="14.25" customHeight="1" x14ac:dyDescent="0.15">
      <c r="A1438" s="1" t="s">
        <v>11153</v>
      </c>
      <c r="B1438" s="1" t="s">
        <v>189</v>
      </c>
      <c r="C1438" s="1"/>
      <c r="D1438" s="1"/>
      <c r="E1438" s="1" t="s">
        <v>11154</v>
      </c>
      <c r="F1438" s="1" t="s">
        <v>98</v>
      </c>
      <c r="G1438" s="1" t="s">
        <v>141</v>
      </c>
      <c r="H1438" s="1">
        <v>0</v>
      </c>
      <c r="I1438" s="1" t="s">
        <v>235</v>
      </c>
      <c r="J1438" s="1" t="s">
        <v>11155</v>
      </c>
      <c r="K1438" s="1"/>
      <c r="L1438" s="1"/>
      <c r="M1438" s="1" t="s">
        <v>11156</v>
      </c>
      <c r="N1438" s="1">
        <v>0</v>
      </c>
      <c r="O1438" s="1">
        <v>0</v>
      </c>
      <c r="P1438" s="1" t="s">
        <v>11157</v>
      </c>
      <c r="Q1438" s="1" t="s">
        <v>268</v>
      </c>
      <c r="R1438" s="1" t="s">
        <v>11158</v>
      </c>
      <c r="S1438" s="1" t="s">
        <v>11159</v>
      </c>
      <c r="T1438" s="1" t="s">
        <v>11080</v>
      </c>
      <c r="U1438" s="1" t="s">
        <v>11160</v>
      </c>
      <c r="V1438" s="1">
        <v>1</v>
      </c>
      <c r="W1438" s="1">
        <v>1</v>
      </c>
      <c r="X1438" s="1">
        <v>0</v>
      </c>
      <c r="Y1438" s="1">
        <v>0</v>
      </c>
      <c r="Z1438" s="1">
        <v>0</v>
      </c>
      <c r="AA1438" s="1">
        <v>4</v>
      </c>
      <c r="AB1438" s="1">
        <v>4</v>
      </c>
      <c r="AC1438" s="1" t="s">
        <v>109</v>
      </c>
      <c r="AD1438" s="1" t="s">
        <v>109</v>
      </c>
      <c r="AE1438" s="1" t="s">
        <v>109</v>
      </c>
      <c r="AF1438" s="1" t="s">
        <v>109</v>
      </c>
      <c r="AG1438" s="1">
        <v>3</v>
      </c>
      <c r="AH1438" s="1" t="s">
        <v>109</v>
      </c>
      <c r="AI1438" s="1" t="s">
        <v>109</v>
      </c>
      <c r="AJ1438" s="1">
        <v>4</v>
      </c>
      <c r="AK1438" s="1" t="s">
        <v>109</v>
      </c>
      <c r="AL1438" s="1" t="s">
        <v>109</v>
      </c>
      <c r="AM1438" s="1" t="s">
        <v>109</v>
      </c>
      <c r="AN1438" s="1">
        <v>3</v>
      </c>
      <c r="AO1438" s="1" t="s">
        <v>109</v>
      </c>
      <c r="AP1438" s="1"/>
      <c r="AQ1438" s="1">
        <v>3</v>
      </c>
      <c r="AR1438" s="1"/>
      <c r="AS1438" s="1"/>
      <c r="AT1438" s="1">
        <v>0</v>
      </c>
      <c r="AU1438" s="1">
        <v>0</v>
      </c>
      <c r="AV1438" s="1">
        <v>0</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t="s">
        <v>109</v>
      </c>
      <c r="BT1438" s="1">
        <v>1495</v>
      </c>
      <c r="BU1438" s="1" t="s">
        <v>109</v>
      </c>
      <c r="BV1438" s="1"/>
      <c r="BW1438" s="1"/>
      <c r="BX1438" s="1"/>
      <c r="BY1438" s="1"/>
      <c r="BZ1438" s="1">
        <v>0</v>
      </c>
      <c r="CA1438" s="1" t="s">
        <v>109</v>
      </c>
      <c r="CB1438" s="1" t="s">
        <v>109</v>
      </c>
      <c r="CC1438" s="1">
        <v>4</v>
      </c>
      <c r="CD1438" s="1" t="s">
        <v>109</v>
      </c>
      <c r="CE1438" s="1">
        <v>3</v>
      </c>
      <c r="CF1438" s="1" t="s">
        <v>109</v>
      </c>
      <c r="CG1438" s="1" t="s">
        <v>109</v>
      </c>
      <c r="CH1438" s="1" t="s">
        <v>109</v>
      </c>
      <c r="CI1438" s="1" t="s">
        <v>109</v>
      </c>
      <c r="CJ1438" s="1" t="s">
        <v>109</v>
      </c>
      <c r="CK1438" s="1"/>
      <c r="CL1438" s="1">
        <v>0</v>
      </c>
      <c r="CM1438" s="1">
        <v>0</v>
      </c>
      <c r="CN1438" s="1">
        <v>0</v>
      </c>
    </row>
    <row r="1439" spans="1:92" ht="14.25" customHeight="1" x14ac:dyDescent="0.15">
      <c r="A1439" s="1" t="s">
        <v>11161</v>
      </c>
      <c r="B1439" s="1" t="s">
        <v>189</v>
      </c>
      <c r="C1439" s="1"/>
      <c r="D1439" s="1"/>
      <c r="E1439" s="1" t="s">
        <v>11162</v>
      </c>
      <c r="F1439" s="1" t="s">
        <v>98</v>
      </c>
      <c r="G1439" s="1" t="s">
        <v>141</v>
      </c>
      <c r="H1439" s="1">
        <v>0</v>
      </c>
      <c r="I1439" s="1" t="s">
        <v>235</v>
      </c>
      <c r="J1439" s="1"/>
      <c r="K1439" s="1"/>
      <c r="L1439" s="1"/>
      <c r="M1439" s="1" t="s">
        <v>3042</v>
      </c>
      <c r="N1439" s="1">
        <v>0</v>
      </c>
      <c r="O1439" s="1">
        <v>0</v>
      </c>
      <c r="P1439" s="1"/>
      <c r="Q1439" s="1"/>
      <c r="R1439" s="1" t="s">
        <v>11163</v>
      </c>
      <c r="S1439" s="1" t="s">
        <v>11164</v>
      </c>
      <c r="T1439" s="1" t="s">
        <v>11080</v>
      </c>
      <c r="U1439" s="1" t="s">
        <v>11165</v>
      </c>
      <c r="V1439" s="1">
        <v>1</v>
      </c>
      <c r="W1439" s="1">
        <v>1</v>
      </c>
      <c r="X1439" s="1">
        <v>0</v>
      </c>
      <c r="Y1439" s="1">
        <v>0</v>
      </c>
      <c r="Z1439" s="1">
        <v>0</v>
      </c>
      <c r="AA1439" s="1">
        <v>1</v>
      </c>
      <c r="AB1439" s="1">
        <v>1</v>
      </c>
      <c r="AC1439" s="1" t="s">
        <v>109</v>
      </c>
      <c r="AD1439" s="1" t="s">
        <v>109</v>
      </c>
      <c r="AE1439" s="1">
        <v>1</v>
      </c>
      <c r="AF1439" s="1">
        <v>1</v>
      </c>
      <c r="AG1439" s="1" t="s">
        <v>109</v>
      </c>
      <c r="AH1439" s="1">
        <v>1</v>
      </c>
      <c r="AI1439" s="1" t="s">
        <v>109</v>
      </c>
      <c r="AJ1439" s="1">
        <v>1</v>
      </c>
      <c r="AK1439" s="1" t="s">
        <v>109</v>
      </c>
      <c r="AL1439" s="1" t="s">
        <v>109</v>
      </c>
      <c r="AM1439" s="1" t="s">
        <v>109</v>
      </c>
      <c r="AN1439" s="1" t="s">
        <v>109</v>
      </c>
      <c r="AO1439" s="1" t="s">
        <v>109</v>
      </c>
      <c r="AP1439" s="1"/>
      <c r="AQ1439" s="1">
        <v>1</v>
      </c>
      <c r="AR1439" s="1"/>
      <c r="AS1439" s="1"/>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t="s">
        <v>109</v>
      </c>
      <c r="BT1439" s="1">
        <v>1496</v>
      </c>
      <c r="BU1439" s="1" t="s">
        <v>109</v>
      </c>
      <c r="BV1439" s="1"/>
      <c r="BW1439" s="1"/>
      <c r="BX1439" s="1"/>
      <c r="BY1439" s="1"/>
      <c r="BZ1439" s="1">
        <v>0</v>
      </c>
      <c r="CA1439" s="1" t="s">
        <v>109</v>
      </c>
      <c r="CB1439" s="1" t="s">
        <v>109</v>
      </c>
      <c r="CC1439" s="1" t="s">
        <v>109</v>
      </c>
      <c r="CD1439" s="1" t="s">
        <v>109</v>
      </c>
      <c r="CE1439" s="1" t="s">
        <v>109</v>
      </c>
      <c r="CF1439" s="1" t="s">
        <v>109</v>
      </c>
      <c r="CG1439" s="1" t="s">
        <v>109</v>
      </c>
      <c r="CH1439" s="1" t="s">
        <v>109</v>
      </c>
      <c r="CI1439" s="1" t="s">
        <v>109</v>
      </c>
      <c r="CJ1439" s="1">
        <v>1</v>
      </c>
      <c r="CK1439" s="1"/>
      <c r="CL1439" s="1">
        <v>0</v>
      </c>
      <c r="CM1439" s="1">
        <v>0</v>
      </c>
      <c r="CN1439" s="1">
        <v>0</v>
      </c>
    </row>
    <row r="1440" spans="1:92" ht="14.25" customHeight="1" x14ac:dyDescent="0.15">
      <c r="A1440" s="1" t="s">
        <v>11166</v>
      </c>
      <c r="B1440" s="1" t="s">
        <v>156</v>
      </c>
      <c r="C1440" s="1" t="s">
        <v>157</v>
      </c>
      <c r="D1440" s="1" t="s">
        <v>8086</v>
      </c>
      <c r="E1440" s="1" t="s">
        <v>11167</v>
      </c>
      <c r="F1440" s="1" t="s">
        <v>98</v>
      </c>
      <c r="G1440" s="1" t="s">
        <v>141</v>
      </c>
      <c r="H1440" s="1">
        <v>0</v>
      </c>
      <c r="I1440" s="1" t="s">
        <v>235</v>
      </c>
      <c r="J1440" s="1"/>
      <c r="K1440" s="1"/>
      <c r="L1440" s="1" t="s">
        <v>236</v>
      </c>
      <c r="M1440" s="1" t="s">
        <v>3042</v>
      </c>
      <c r="N1440" s="1">
        <v>0</v>
      </c>
      <c r="O1440" s="1">
        <v>0</v>
      </c>
      <c r="P1440" s="1" t="s">
        <v>301</v>
      </c>
      <c r="Q1440" s="1" t="s">
        <v>268</v>
      </c>
      <c r="R1440" s="1" t="s">
        <v>11168</v>
      </c>
      <c r="S1440" s="1" t="s">
        <v>11169</v>
      </c>
      <c r="T1440" s="1" t="s">
        <v>11080</v>
      </c>
      <c r="U1440" s="1" t="s">
        <v>11170</v>
      </c>
      <c r="V1440" s="1">
        <v>1</v>
      </c>
      <c r="W1440" s="1">
        <v>1</v>
      </c>
      <c r="X1440" s="1">
        <v>0</v>
      </c>
      <c r="Y1440" s="1">
        <v>0</v>
      </c>
      <c r="Z1440" s="1">
        <v>0</v>
      </c>
      <c r="AA1440" s="1" t="s">
        <v>109</v>
      </c>
      <c r="AB1440" s="1" t="s">
        <v>109</v>
      </c>
      <c r="AC1440" s="1">
        <v>4</v>
      </c>
      <c r="AD1440" s="1" t="s">
        <v>109</v>
      </c>
      <c r="AE1440" s="1">
        <v>3</v>
      </c>
      <c r="AF1440" s="1" t="s">
        <v>109</v>
      </c>
      <c r="AG1440" s="1" t="s">
        <v>109</v>
      </c>
      <c r="AH1440" s="1">
        <v>3</v>
      </c>
      <c r="AI1440" s="1" t="s">
        <v>109</v>
      </c>
      <c r="AJ1440" s="1">
        <v>4</v>
      </c>
      <c r="AK1440" s="1">
        <v>3</v>
      </c>
      <c r="AL1440" s="1">
        <v>4</v>
      </c>
      <c r="AM1440" s="1">
        <v>3</v>
      </c>
      <c r="AN1440" s="1" t="s">
        <v>109</v>
      </c>
      <c r="AO1440" s="1" t="s">
        <v>109</v>
      </c>
      <c r="AP1440" s="1"/>
      <c r="AQ1440" s="1">
        <v>4</v>
      </c>
      <c r="AR1440" s="1"/>
      <c r="AS1440" s="1"/>
      <c r="AT1440" s="1">
        <v>0</v>
      </c>
      <c r="AU1440" s="1">
        <v>0</v>
      </c>
      <c r="AV1440" s="1">
        <v>0</v>
      </c>
      <c r="AW1440" s="1">
        <v>0</v>
      </c>
      <c r="AX1440" s="1">
        <v>0</v>
      </c>
      <c r="AY1440" s="1">
        <v>0</v>
      </c>
      <c r="AZ1440" s="1">
        <v>0</v>
      </c>
      <c r="BA1440" s="1">
        <v>0</v>
      </c>
      <c r="BB1440" s="1">
        <v>0</v>
      </c>
      <c r="BC1440" s="1">
        <v>0</v>
      </c>
      <c r="BD1440" s="1">
        <v>1</v>
      </c>
      <c r="BE1440" s="1">
        <v>0</v>
      </c>
      <c r="BF1440" s="1">
        <v>0</v>
      </c>
      <c r="BG1440" s="1">
        <v>0</v>
      </c>
      <c r="BH1440" s="1">
        <v>0</v>
      </c>
      <c r="BI1440" s="1">
        <v>0</v>
      </c>
      <c r="BJ1440" s="1">
        <v>0</v>
      </c>
      <c r="BK1440" s="1">
        <v>0</v>
      </c>
      <c r="BL1440" s="1">
        <v>0</v>
      </c>
      <c r="BM1440" s="1">
        <v>1</v>
      </c>
      <c r="BN1440" s="1">
        <v>0</v>
      </c>
      <c r="BO1440" s="1">
        <v>0</v>
      </c>
      <c r="BP1440" s="1">
        <v>0</v>
      </c>
      <c r="BQ1440" s="1">
        <v>0</v>
      </c>
      <c r="BR1440" s="1">
        <v>0</v>
      </c>
      <c r="BS1440" s="1" t="s">
        <v>109</v>
      </c>
      <c r="BT1440" s="1">
        <v>1497</v>
      </c>
      <c r="BU1440" s="1" t="s">
        <v>109</v>
      </c>
      <c r="BV1440" s="1"/>
      <c r="BW1440" s="1"/>
      <c r="BX1440" s="1" t="s">
        <v>11171</v>
      </c>
      <c r="BY1440" s="1" t="s">
        <v>11172</v>
      </c>
      <c r="BZ1440" s="1">
        <v>1</v>
      </c>
      <c r="CA1440" s="1" t="s">
        <v>109</v>
      </c>
      <c r="CB1440" s="1" t="s">
        <v>109</v>
      </c>
      <c r="CC1440" s="1" t="s">
        <v>109</v>
      </c>
      <c r="CD1440" s="1" t="s">
        <v>109</v>
      </c>
      <c r="CE1440" s="1" t="s">
        <v>109</v>
      </c>
      <c r="CF1440" s="1" t="s">
        <v>109</v>
      </c>
      <c r="CG1440" s="1" t="s">
        <v>109</v>
      </c>
      <c r="CH1440" s="1" t="s">
        <v>109</v>
      </c>
      <c r="CI1440" s="1" t="s">
        <v>109</v>
      </c>
      <c r="CJ1440" s="1">
        <v>3</v>
      </c>
      <c r="CK1440" s="1"/>
      <c r="CL1440" s="1">
        <v>0</v>
      </c>
      <c r="CM1440" s="1">
        <v>0</v>
      </c>
      <c r="CN1440" s="1">
        <v>0</v>
      </c>
    </row>
    <row r="1441" spans="1:92" ht="14.25" customHeight="1" x14ac:dyDescent="0.15">
      <c r="A1441" s="1" t="s">
        <v>11173</v>
      </c>
      <c r="B1441" s="1" t="s">
        <v>95</v>
      </c>
      <c r="C1441" s="1" t="s">
        <v>96</v>
      </c>
      <c r="D1441" s="1"/>
      <c r="E1441" s="1" t="s">
        <v>11174</v>
      </c>
      <c r="F1441" s="1" t="s">
        <v>395</v>
      </c>
      <c r="G1441" s="1" t="s">
        <v>11175</v>
      </c>
      <c r="H1441" s="1">
        <v>0</v>
      </c>
      <c r="I1441" s="1" t="s">
        <v>925</v>
      </c>
      <c r="J1441" s="1"/>
      <c r="K1441" s="1"/>
      <c r="L1441" s="1" t="s">
        <v>11176</v>
      </c>
      <c r="M1441" s="1" t="s">
        <v>11177</v>
      </c>
      <c r="N1441" s="1">
        <v>1</v>
      </c>
      <c r="O1441" s="1">
        <v>0</v>
      </c>
      <c r="P1441" s="1" t="s">
        <v>11178</v>
      </c>
      <c r="Q1441" s="1" t="s">
        <v>104</v>
      </c>
      <c r="R1441" s="1" t="s">
        <v>11179</v>
      </c>
      <c r="S1441" s="1" t="s">
        <v>11180</v>
      </c>
      <c r="T1441" s="1" t="s">
        <v>11080</v>
      </c>
      <c r="U1441" s="1" t="s">
        <v>11181</v>
      </c>
      <c r="V1441" s="1">
        <v>1</v>
      </c>
      <c r="W1441" s="1">
        <v>1</v>
      </c>
      <c r="X1441" s="1">
        <v>0</v>
      </c>
      <c r="Y1441" s="1">
        <v>0</v>
      </c>
      <c r="Z1441" s="1">
        <v>0</v>
      </c>
      <c r="AA1441" s="1">
        <v>4</v>
      </c>
      <c r="AB1441" s="1">
        <v>4</v>
      </c>
      <c r="AC1441" s="1" t="s">
        <v>109</v>
      </c>
      <c r="AD1441" s="1" t="s">
        <v>109</v>
      </c>
      <c r="AE1441" s="1" t="s">
        <v>109</v>
      </c>
      <c r="AF1441" s="1" t="s">
        <v>109</v>
      </c>
      <c r="AG1441" s="1" t="s">
        <v>109</v>
      </c>
      <c r="AH1441" s="1" t="s">
        <v>109</v>
      </c>
      <c r="AI1441" s="1">
        <v>2</v>
      </c>
      <c r="AJ1441" s="1" t="s">
        <v>109</v>
      </c>
      <c r="AK1441" s="1" t="s">
        <v>109</v>
      </c>
      <c r="AL1441" s="1" t="s">
        <v>109</v>
      </c>
      <c r="AM1441" s="1" t="s">
        <v>109</v>
      </c>
      <c r="AN1441" s="1" t="s">
        <v>109</v>
      </c>
      <c r="AO1441" s="1" t="s">
        <v>109</v>
      </c>
      <c r="AP1441" s="1"/>
      <c r="AQ1441" s="1">
        <v>4</v>
      </c>
      <c r="AR1441" s="1"/>
      <c r="AS1441" s="1"/>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t="s">
        <v>109</v>
      </c>
      <c r="BT1441" s="1">
        <v>1498</v>
      </c>
      <c r="BU1441" s="1" t="s">
        <v>109</v>
      </c>
      <c r="BV1441" s="1"/>
      <c r="BW1441" s="1"/>
      <c r="BX1441" s="1"/>
      <c r="BY1441" s="1"/>
      <c r="BZ1441" s="1">
        <v>0</v>
      </c>
      <c r="CA1441" s="1">
        <v>4</v>
      </c>
      <c r="CB1441" s="1" t="s">
        <v>109</v>
      </c>
      <c r="CC1441" s="1">
        <v>4</v>
      </c>
      <c r="CD1441" s="1" t="s">
        <v>109</v>
      </c>
      <c r="CE1441" s="1" t="s">
        <v>109</v>
      </c>
      <c r="CF1441" s="1" t="s">
        <v>109</v>
      </c>
      <c r="CG1441" s="1" t="s">
        <v>109</v>
      </c>
      <c r="CH1441" s="1" t="s">
        <v>109</v>
      </c>
      <c r="CI1441" s="1" t="s">
        <v>109</v>
      </c>
      <c r="CJ1441" s="1" t="s">
        <v>109</v>
      </c>
      <c r="CK1441" s="1"/>
      <c r="CL1441" s="1">
        <v>0</v>
      </c>
      <c r="CM1441" s="1">
        <v>0</v>
      </c>
      <c r="CN1441" s="1">
        <v>0</v>
      </c>
    </row>
    <row r="1442" spans="1:92" ht="14.25" customHeight="1" x14ac:dyDescent="0.15">
      <c r="A1442" s="1" t="s">
        <v>11182</v>
      </c>
      <c r="B1442" s="1" t="s">
        <v>189</v>
      </c>
      <c r="C1442" s="1"/>
      <c r="D1442" s="1"/>
      <c r="E1442" s="1" t="s">
        <v>11183</v>
      </c>
      <c r="F1442" s="1" t="s">
        <v>377</v>
      </c>
      <c r="G1442" s="1" t="s">
        <v>11184</v>
      </c>
      <c r="H1442" s="1">
        <v>1</v>
      </c>
      <c r="I1442" s="1" t="s">
        <v>161</v>
      </c>
      <c r="J1442" s="1"/>
      <c r="K1442" s="1"/>
      <c r="L1442" s="1" t="s">
        <v>11185</v>
      </c>
      <c r="M1442" s="1" t="s">
        <v>144</v>
      </c>
      <c r="N1442" s="1">
        <v>0</v>
      </c>
      <c r="O1442" s="1">
        <v>0</v>
      </c>
      <c r="P1442" s="1" t="s">
        <v>103</v>
      </c>
      <c r="Q1442" s="1" t="s">
        <v>104</v>
      </c>
      <c r="R1442" s="1" t="s">
        <v>11186</v>
      </c>
      <c r="S1442" s="1" t="s">
        <v>11187</v>
      </c>
      <c r="T1442" s="1" t="s">
        <v>11080</v>
      </c>
      <c r="U1442" s="1" t="s">
        <v>11188</v>
      </c>
      <c r="V1442" s="1">
        <v>1</v>
      </c>
      <c r="W1442" s="1">
        <v>1</v>
      </c>
      <c r="X1442" s="1">
        <v>1</v>
      </c>
      <c r="Y1442" s="1">
        <v>0</v>
      </c>
      <c r="Z1442" s="1">
        <v>1</v>
      </c>
      <c r="AA1442" s="1">
        <v>5</v>
      </c>
      <c r="AB1442" s="1">
        <v>5</v>
      </c>
      <c r="AC1442" s="1">
        <v>5</v>
      </c>
      <c r="AD1442" s="1">
        <v>5</v>
      </c>
      <c r="AE1442" s="1" t="s">
        <v>109</v>
      </c>
      <c r="AF1442" s="1" t="s">
        <v>109</v>
      </c>
      <c r="AG1442" s="1" t="s">
        <v>109</v>
      </c>
      <c r="AH1442" s="1">
        <v>5</v>
      </c>
      <c r="AI1442" s="1" t="s">
        <v>109</v>
      </c>
      <c r="AJ1442" s="1">
        <v>5</v>
      </c>
      <c r="AK1442" s="1" t="s">
        <v>109</v>
      </c>
      <c r="AL1442" s="1">
        <v>5</v>
      </c>
      <c r="AM1442" s="1" t="s">
        <v>109</v>
      </c>
      <c r="AN1442" s="1" t="s">
        <v>109</v>
      </c>
      <c r="AO1442" s="1" t="s">
        <v>109</v>
      </c>
      <c r="AP1442" s="1"/>
      <c r="AQ1442" s="1">
        <v>5</v>
      </c>
      <c r="AR1442" s="1"/>
      <c r="AS1442" s="1"/>
      <c r="AT1442" s="1">
        <v>0</v>
      </c>
      <c r="AU1442" s="1">
        <v>0</v>
      </c>
      <c r="AV1442" s="1">
        <v>0</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t="s">
        <v>109</v>
      </c>
      <c r="BT1442" s="1">
        <v>1499</v>
      </c>
      <c r="BU1442" s="1">
        <v>3000</v>
      </c>
      <c r="BV1442" s="1"/>
      <c r="BW1442" s="1"/>
      <c r="BX1442" s="1"/>
      <c r="BY1442" s="1"/>
      <c r="BZ1442" s="1">
        <v>0</v>
      </c>
      <c r="CA1442" s="1" t="s">
        <v>109</v>
      </c>
      <c r="CB1442" s="1" t="s">
        <v>109</v>
      </c>
      <c r="CC1442" s="1">
        <v>5</v>
      </c>
      <c r="CD1442" s="1" t="s">
        <v>109</v>
      </c>
      <c r="CE1442" s="1" t="s">
        <v>109</v>
      </c>
      <c r="CF1442" s="1" t="s">
        <v>109</v>
      </c>
      <c r="CG1442" s="1" t="s">
        <v>109</v>
      </c>
      <c r="CH1442" s="1" t="s">
        <v>109</v>
      </c>
      <c r="CI1442" s="1" t="s">
        <v>109</v>
      </c>
      <c r="CJ1442" s="1">
        <v>5</v>
      </c>
      <c r="CK1442" s="1"/>
      <c r="CL1442" s="1">
        <v>0</v>
      </c>
      <c r="CM1442" s="1">
        <v>0</v>
      </c>
      <c r="CN1442" s="1">
        <v>0</v>
      </c>
    </row>
    <row r="1443" spans="1:92" ht="14.25" customHeight="1" x14ac:dyDescent="0.15">
      <c r="A1443" s="1" t="s">
        <v>11189</v>
      </c>
      <c r="B1443" s="1" t="s">
        <v>189</v>
      </c>
      <c r="C1443" s="1"/>
      <c r="D1443" s="1"/>
      <c r="E1443" s="1" t="s">
        <v>11190</v>
      </c>
      <c r="F1443" s="1" t="s">
        <v>98</v>
      </c>
      <c r="G1443" s="1" t="s">
        <v>141</v>
      </c>
      <c r="H1443" s="1">
        <v>0</v>
      </c>
      <c r="I1443" s="1" t="s">
        <v>235</v>
      </c>
      <c r="J1443" s="1"/>
      <c r="K1443" s="1"/>
      <c r="L1443" s="1" t="s">
        <v>236</v>
      </c>
      <c r="M1443" s="1" t="s">
        <v>3042</v>
      </c>
      <c r="N1443" s="1">
        <v>0</v>
      </c>
      <c r="O1443" s="1">
        <v>0</v>
      </c>
      <c r="P1443" s="1"/>
      <c r="Q1443" s="1"/>
      <c r="R1443" s="1" t="s">
        <v>11191</v>
      </c>
      <c r="S1443" s="1" t="s">
        <v>11192</v>
      </c>
      <c r="T1443" s="1" t="s">
        <v>11080</v>
      </c>
      <c r="U1443" s="1" t="s">
        <v>11193</v>
      </c>
      <c r="V1443" s="1">
        <v>1</v>
      </c>
      <c r="W1443" s="1">
        <v>1</v>
      </c>
      <c r="X1443" s="1">
        <v>0</v>
      </c>
      <c r="Y1443" s="1">
        <v>0</v>
      </c>
      <c r="Z1443" s="1">
        <v>0</v>
      </c>
      <c r="AA1443" s="1" t="s">
        <v>109</v>
      </c>
      <c r="AB1443" s="1" t="s">
        <v>109</v>
      </c>
      <c r="AC1443" s="1" t="s">
        <v>109</v>
      </c>
      <c r="AD1443" s="1" t="s">
        <v>109</v>
      </c>
      <c r="AE1443" s="1">
        <v>1</v>
      </c>
      <c r="AF1443" s="1" t="s">
        <v>109</v>
      </c>
      <c r="AG1443" s="1">
        <v>1</v>
      </c>
      <c r="AH1443" s="1">
        <v>1</v>
      </c>
      <c r="AI1443" s="1" t="s">
        <v>109</v>
      </c>
      <c r="AJ1443" s="1" t="s">
        <v>109</v>
      </c>
      <c r="AK1443" s="1">
        <v>1</v>
      </c>
      <c r="AL1443" s="1" t="s">
        <v>109</v>
      </c>
      <c r="AM1443" s="1">
        <v>1</v>
      </c>
      <c r="AN1443" s="1">
        <v>1</v>
      </c>
      <c r="AO1443" s="1" t="s">
        <v>109</v>
      </c>
      <c r="AP1443" s="1"/>
      <c r="AQ1443" s="1">
        <v>1</v>
      </c>
      <c r="AR1443" s="1"/>
      <c r="AS1443" s="1"/>
      <c r="AT1443" s="1">
        <v>0</v>
      </c>
      <c r="AU1443" s="1">
        <v>0</v>
      </c>
      <c r="AV1443" s="1">
        <v>0</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t="s">
        <v>109</v>
      </c>
      <c r="BT1443" s="1">
        <v>1500</v>
      </c>
      <c r="BU1443" s="1" t="s">
        <v>109</v>
      </c>
      <c r="BV1443" s="1"/>
      <c r="BW1443" s="1"/>
      <c r="BX1443" s="1"/>
      <c r="BY1443" s="1"/>
      <c r="BZ1443" s="1">
        <v>0</v>
      </c>
      <c r="CA1443" s="1" t="s">
        <v>109</v>
      </c>
      <c r="CB1443" s="1" t="s">
        <v>109</v>
      </c>
      <c r="CC1443" s="1" t="s">
        <v>109</v>
      </c>
      <c r="CD1443" s="1" t="s">
        <v>109</v>
      </c>
      <c r="CE1443" s="1" t="s">
        <v>109</v>
      </c>
      <c r="CF1443" s="1" t="s">
        <v>109</v>
      </c>
      <c r="CG1443" s="1" t="s">
        <v>109</v>
      </c>
      <c r="CH1443" s="1" t="s">
        <v>109</v>
      </c>
      <c r="CI1443" s="1" t="s">
        <v>109</v>
      </c>
      <c r="CJ1443" s="1">
        <v>1</v>
      </c>
      <c r="CK1443" s="1"/>
      <c r="CL1443" s="1">
        <v>0</v>
      </c>
      <c r="CM1443" s="1">
        <v>0</v>
      </c>
      <c r="CN1443" s="1">
        <v>0</v>
      </c>
    </row>
    <row r="1444" spans="1:92" ht="14.25" customHeight="1" x14ac:dyDescent="0.15">
      <c r="A1444" s="1" t="s">
        <v>11194</v>
      </c>
      <c r="B1444" s="1" t="s">
        <v>189</v>
      </c>
      <c r="C1444" s="1"/>
      <c r="D1444" s="1"/>
      <c r="E1444" s="1" t="s">
        <v>11195</v>
      </c>
      <c r="F1444" s="1" t="s">
        <v>98</v>
      </c>
      <c r="G1444" s="1" t="s">
        <v>141</v>
      </c>
      <c r="H1444" s="1">
        <v>0</v>
      </c>
      <c r="I1444" s="1" t="s">
        <v>235</v>
      </c>
      <c r="J1444" s="1"/>
      <c r="K1444" s="1"/>
      <c r="L1444" s="1" t="s">
        <v>236</v>
      </c>
      <c r="M1444" s="1" t="s">
        <v>11196</v>
      </c>
      <c r="N1444" s="1">
        <v>1</v>
      </c>
      <c r="O1444" s="1">
        <v>0</v>
      </c>
      <c r="P1444" s="1"/>
      <c r="Q1444" s="1"/>
      <c r="R1444" s="1" t="s">
        <v>11197</v>
      </c>
      <c r="S1444" s="1" t="s">
        <v>11198</v>
      </c>
      <c r="T1444" s="1" t="s">
        <v>11080</v>
      </c>
      <c r="U1444" s="1" t="s">
        <v>11199</v>
      </c>
      <c r="V1444" s="1">
        <v>1</v>
      </c>
      <c r="W1444" s="1">
        <v>1</v>
      </c>
      <c r="X1444" s="1">
        <v>0</v>
      </c>
      <c r="Y1444" s="1">
        <v>0</v>
      </c>
      <c r="Z1444" s="1">
        <v>0</v>
      </c>
      <c r="AA1444" s="1" t="s">
        <v>109</v>
      </c>
      <c r="AB1444" s="1" t="s">
        <v>109</v>
      </c>
      <c r="AC1444" s="1">
        <v>2</v>
      </c>
      <c r="AD1444" s="1">
        <v>2</v>
      </c>
      <c r="AE1444" s="1">
        <v>1</v>
      </c>
      <c r="AF1444" s="1" t="s">
        <v>109</v>
      </c>
      <c r="AG1444" s="1" t="s">
        <v>109</v>
      </c>
      <c r="AH1444" s="1" t="s">
        <v>109</v>
      </c>
      <c r="AI1444" s="1" t="s">
        <v>109</v>
      </c>
      <c r="AJ1444" s="1" t="s">
        <v>109</v>
      </c>
      <c r="AK1444" s="1">
        <v>2</v>
      </c>
      <c r="AL1444" s="1">
        <v>2</v>
      </c>
      <c r="AM1444" s="1">
        <v>1</v>
      </c>
      <c r="AN1444" s="1">
        <v>2</v>
      </c>
      <c r="AO1444" s="1" t="s">
        <v>109</v>
      </c>
      <c r="AP1444" s="1"/>
      <c r="AQ1444" s="1">
        <v>2</v>
      </c>
      <c r="AR1444" s="1"/>
      <c r="AS1444" s="1"/>
      <c r="AT1444" s="1">
        <v>0</v>
      </c>
      <c r="AU1444" s="1">
        <v>0</v>
      </c>
      <c r="AV1444" s="1">
        <v>0</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t="s">
        <v>109</v>
      </c>
      <c r="BT1444" s="1">
        <v>1501</v>
      </c>
      <c r="BU1444" s="1" t="s">
        <v>109</v>
      </c>
      <c r="BV1444" s="1"/>
      <c r="BW1444" s="1"/>
      <c r="BX1444" s="1"/>
      <c r="BY1444" s="1"/>
      <c r="BZ1444" s="1">
        <v>0</v>
      </c>
      <c r="CA1444" s="1" t="s">
        <v>109</v>
      </c>
      <c r="CB1444" s="1" t="s">
        <v>109</v>
      </c>
      <c r="CC1444" s="1">
        <v>2</v>
      </c>
      <c r="CD1444" s="1" t="s">
        <v>109</v>
      </c>
      <c r="CE1444" s="1" t="s">
        <v>109</v>
      </c>
      <c r="CF1444" s="1" t="s">
        <v>109</v>
      </c>
      <c r="CG1444" s="1" t="s">
        <v>109</v>
      </c>
      <c r="CH1444" s="1" t="s">
        <v>109</v>
      </c>
      <c r="CI1444" s="1" t="s">
        <v>109</v>
      </c>
      <c r="CJ1444" s="1">
        <v>1</v>
      </c>
      <c r="CK1444" s="1"/>
      <c r="CL1444" s="1">
        <v>0</v>
      </c>
      <c r="CM1444" s="1">
        <v>0</v>
      </c>
      <c r="CN1444" s="1">
        <v>0</v>
      </c>
    </row>
    <row r="1445" spans="1:92" ht="14.25" customHeight="1" x14ac:dyDescent="0.15">
      <c r="A1445" s="1" t="s">
        <v>11200</v>
      </c>
      <c r="B1445" s="1" t="s">
        <v>156</v>
      </c>
      <c r="C1445" s="1" t="s">
        <v>157</v>
      </c>
      <c r="D1445" s="1" t="s">
        <v>158</v>
      </c>
      <c r="E1445" s="1" t="s">
        <v>11201</v>
      </c>
      <c r="F1445" s="1" t="s">
        <v>98</v>
      </c>
      <c r="G1445" s="1" t="s">
        <v>141</v>
      </c>
      <c r="H1445" s="1">
        <v>0</v>
      </c>
      <c r="I1445" s="1" t="s">
        <v>161</v>
      </c>
      <c r="J1445" s="1"/>
      <c r="K1445" s="1"/>
      <c r="L1445" s="1" t="s">
        <v>1717</v>
      </c>
      <c r="M1445" s="1" t="s">
        <v>11202</v>
      </c>
      <c r="N1445" s="1">
        <v>1</v>
      </c>
      <c r="O1445" s="1">
        <v>0</v>
      </c>
      <c r="P1445" s="1" t="s">
        <v>507</v>
      </c>
      <c r="Q1445" s="1" t="s">
        <v>167</v>
      </c>
      <c r="R1445" s="1" t="s">
        <v>11203</v>
      </c>
      <c r="S1445" s="1" t="s">
        <v>11204</v>
      </c>
      <c r="T1445" s="1" t="s">
        <v>11080</v>
      </c>
      <c r="U1445" s="1" t="s">
        <v>11205</v>
      </c>
      <c r="V1445" s="1">
        <v>1</v>
      </c>
      <c r="W1445" s="1">
        <v>1</v>
      </c>
      <c r="X1445" s="1">
        <v>0</v>
      </c>
      <c r="Y1445" s="1">
        <v>0</v>
      </c>
      <c r="Z1445" s="1">
        <v>0</v>
      </c>
      <c r="AA1445" s="1" t="s">
        <v>109</v>
      </c>
      <c r="AB1445" s="1" t="s">
        <v>109</v>
      </c>
      <c r="AC1445" s="1">
        <v>2</v>
      </c>
      <c r="AD1445" s="1" t="s">
        <v>109</v>
      </c>
      <c r="AE1445" s="1" t="s">
        <v>109</v>
      </c>
      <c r="AF1445" s="1" t="s">
        <v>109</v>
      </c>
      <c r="AG1445" s="1">
        <v>2</v>
      </c>
      <c r="AH1445" s="1" t="s">
        <v>109</v>
      </c>
      <c r="AI1445" s="1" t="s">
        <v>109</v>
      </c>
      <c r="AJ1445" s="1" t="s">
        <v>109</v>
      </c>
      <c r="AK1445" s="1">
        <v>2</v>
      </c>
      <c r="AL1445" s="1">
        <v>2</v>
      </c>
      <c r="AM1445" s="1" t="s">
        <v>109</v>
      </c>
      <c r="AN1445" s="1" t="s">
        <v>109</v>
      </c>
      <c r="AO1445" s="1" t="s">
        <v>109</v>
      </c>
      <c r="AP1445" s="1"/>
      <c r="AQ1445" s="1">
        <v>2</v>
      </c>
      <c r="AR1445" s="1"/>
      <c r="AS1445" s="1"/>
      <c r="AT1445" s="1">
        <v>0</v>
      </c>
      <c r="AU1445" s="1">
        <v>0</v>
      </c>
      <c r="AV1445" s="1">
        <v>0</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1</v>
      </c>
      <c r="BN1445" s="1">
        <v>0</v>
      </c>
      <c r="BO1445" s="1">
        <v>0</v>
      </c>
      <c r="BP1445" s="1">
        <v>0</v>
      </c>
      <c r="BQ1445" s="1">
        <v>0</v>
      </c>
      <c r="BR1445" s="1">
        <v>0</v>
      </c>
      <c r="BS1445" s="1" t="s">
        <v>109</v>
      </c>
      <c r="BT1445" s="1">
        <v>1502</v>
      </c>
      <c r="BU1445" s="1" t="s">
        <v>109</v>
      </c>
      <c r="BV1445" s="1"/>
      <c r="BW1445" s="1"/>
      <c r="BX1445" s="1"/>
      <c r="BY1445" s="1"/>
      <c r="BZ1445" s="1">
        <v>0</v>
      </c>
      <c r="CA1445" s="1" t="s">
        <v>109</v>
      </c>
      <c r="CB1445" s="1" t="s">
        <v>109</v>
      </c>
      <c r="CC1445" s="1" t="s">
        <v>109</v>
      </c>
      <c r="CD1445" s="1" t="s">
        <v>109</v>
      </c>
      <c r="CE1445" s="1" t="s">
        <v>109</v>
      </c>
      <c r="CF1445" s="1" t="s">
        <v>109</v>
      </c>
      <c r="CG1445" s="1" t="s">
        <v>109</v>
      </c>
      <c r="CH1445" s="1" t="s">
        <v>109</v>
      </c>
      <c r="CI1445" s="1" t="s">
        <v>109</v>
      </c>
      <c r="CJ1445" s="1" t="s">
        <v>109</v>
      </c>
      <c r="CK1445" s="1"/>
      <c r="CL1445" s="1">
        <v>0</v>
      </c>
      <c r="CM1445" s="1">
        <v>0</v>
      </c>
      <c r="CN1445" s="1">
        <v>0</v>
      </c>
    </row>
    <row r="1446" spans="1:92" ht="14.25" customHeight="1" x14ac:dyDescent="0.15">
      <c r="A1446" s="1" t="s">
        <v>11206</v>
      </c>
      <c r="B1446" s="1" t="s">
        <v>156</v>
      </c>
      <c r="C1446" s="1" t="s">
        <v>157</v>
      </c>
      <c r="D1446" s="1" t="s">
        <v>158</v>
      </c>
      <c r="E1446" s="1" t="s">
        <v>11207</v>
      </c>
      <c r="F1446" s="1" t="s">
        <v>98</v>
      </c>
      <c r="G1446" s="1" t="s">
        <v>141</v>
      </c>
      <c r="H1446" s="1">
        <v>0</v>
      </c>
      <c r="I1446" s="1" t="s">
        <v>142</v>
      </c>
      <c r="J1446" s="1"/>
      <c r="K1446" s="1"/>
      <c r="L1446" s="1" t="s">
        <v>716</v>
      </c>
      <c r="M1446" s="1" t="s">
        <v>11202</v>
      </c>
      <c r="N1446" s="1">
        <v>1</v>
      </c>
      <c r="O1446" s="1">
        <v>0</v>
      </c>
      <c r="P1446" s="1" t="s">
        <v>507</v>
      </c>
      <c r="Q1446" s="1" t="s">
        <v>167</v>
      </c>
      <c r="R1446" s="1" t="s">
        <v>11208</v>
      </c>
      <c r="S1446" s="1" t="s">
        <v>11209</v>
      </c>
      <c r="T1446" s="1" t="s">
        <v>11080</v>
      </c>
      <c r="U1446" s="1" t="s">
        <v>11210</v>
      </c>
      <c r="V1446" s="1">
        <v>1</v>
      </c>
      <c r="W1446" s="1">
        <v>1</v>
      </c>
      <c r="X1446" s="1">
        <v>0</v>
      </c>
      <c r="Y1446" s="1">
        <v>0</v>
      </c>
      <c r="Z1446" s="1">
        <v>0</v>
      </c>
      <c r="AA1446" s="1" t="s">
        <v>109</v>
      </c>
      <c r="AB1446" s="1" t="s">
        <v>109</v>
      </c>
      <c r="AC1446" s="1">
        <v>6</v>
      </c>
      <c r="AD1446" s="1" t="s">
        <v>109</v>
      </c>
      <c r="AE1446" s="1" t="s">
        <v>109</v>
      </c>
      <c r="AF1446" s="1" t="s">
        <v>109</v>
      </c>
      <c r="AG1446" s="1">
        <v>4</v>
      </c>
      <c r="AH1446" s="1" t="s">
        <v>109</v>
      </c>
      <c r="AI1446" s="1" t="s">
        <v>109</v>
      </c>
      <c r="AJ1446" s="1" t="s">
        <v>109</v>
      </c>
      <c r="AK1446" s="1">
        <v>6</v>
      </c>
      <c r="AL1446" s="1">
        <v>6</v>
      </c>
      <c r="AM1446" s="1" t="s">
        <v>109</v>
      </c>
      <c r="AN1446" s="1" t="s">
        <v>109</v>
      </c>
      <c r="AO1446" s="1" t="s">
        <v>109</v>
      </c>
      <c r="AP1446" s="1"/>
      <c r="AQ1446" s="1">
        <v>6</v>
      </c>
      <c r="AR1446" s="1"/>
      <c r="AS1446" s="1"/>
      <c r="AT1446" s="1">
        <v>0</v>
      </c>
      <c r="AU1446" s="1">
        <v>0</v>
      </c>
      <c r="AV1446" s="1">
        <v>0</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1</v>
      </c>
      <c r="BN1446" s="1">
        <v>0</v>
      </c>
      <c r="BO1446" s="1">
        <v>0</v>
      </c>
      <c r="BP1446" s="1">
        <v>0</v>
      </c>
      <c r="BQ1446" s="1">
        <v>0</v>
      </c>
      <c r="BR1446" s="1">
        <v>0</v>
      </c>
      <c r="BS1446" s="1" t="s">
        <v>109</v>
      </c>
      <c r="BT1446" s="1">
        <v>1503</v>
      </c>
      <c r="BU1446" s="1" t="s">
        <v>109</v>
      </c>
      <c r="BV1446" s="1"/>
      <c r="BW1446" s="1"/>
      <c r="BX1446" s="1"/>
      <c r="BY1446" s="1"/>
      <c r="BZ1446" s="1">
        <v>0</v>
      </c>
      <c r="CA1446" s="1" t="s">
        <v>109</v>
      </c>
      <c r="CB1446" s="1" t="s">
        <v>109</v>
      </c>
      <c r="CC1446" s="1" t="s">
        <v>109</v>
      </c>
      <c r="CD1446" s="1" t="s">
        <v>109</v>
      </c>
      <c r="CE1446" s="1" t="s">
        <v>109</v>
      </c>
      <c r="CF1446" s="1" t="s">
        <v>109</v>
      </c>
      <c r="CG1446" s="1" t="s">
        <v>109</v>
      </c>
      <c r="CH1446" s="1" t="s">
        <v>109</v>
      </c>
      <c r="CI1446" s="1" t="s">
        <v>109</v>
      </c>
      <c r="CJ1446" s="1" t="s">
        <v>109</v>
      </c>
      <c r="CK1446" s="1"/>
      <c r="CL1446" s="1">
        <v>0</v>
      </c>
      <c r="CM1446" s="1">
        <v>0</v>
      </c>
      <c r="CN1446" s="1">
        <v>0</v>
      </c>
    </row>
    <row r="1447" spans="1:92" ht="14.25" customHeight="1" x14ac:dyDescent="0.15">
      <c r="A1447" s="1" t="s">
        <v>11211</v>
      </c>
      <c r="B1447" s="1" t="s">
        <v>242</v>
      </c>
      <c r="C1447" s="1"/>
      <c r="D1447" s="1"/>
      <c r="E1447" s="1" t="s">
        <v>11212</v>
      </c>
      <c r="F1447" s="1" t="s">
        <v>98</v>
      </c>
      <c r="G1447" s="1" t="s">
        <v>141</v>
      </c>
      <c r="H1447" s="1">
        <v>0</v>
      </c>
      <c r="I1447" s="1" t="s">
        <v>235</v>
      </c>
      <c r="J1447" s="1"/>
      <c r="K1447" s="1"/>
      <c r="L1447" s="1" t="s">
        <v>236</v>
      </c>
      <c r="M1447" s="1" t="s">
        <v>125</v>
      </c>
      <c r="N1447" s="1">
        <v>0</v>
      </c>
      <c r="O1447" s="1">
        <v>0</v>
      </c>
      <c r="P1447" s="1"/>
      <c r="Q1447" s="1"/>
      <c r="R1447" s="1" t="s">
        <v>11213</v>
      </c>
      <c r="S1447" s="1" t="s">
        <v>11214</v>
      </c>
      <c r="T1447" s="1" t="s">
        <v>11080</v>
      </c>
      <c r="U1447" s="1" t="s">
        <v>11215</v>
      </c>
      <c r="V1447" s="1">
        <v>1</v>
      </c>
      <c r="W1447" s="1">
        <v>1</v>
      </c>
      <c r="X1447" s="1">
        <v>0</v>
      </c>
      <c r="Y1447" s="1">
        <v>0</v>
      </c>
      <c r="Z1447" s="1">
        <v>0</v>
      </c>
      <c r="AA1447" s="1">
        <v>2</v>
      </c>
      <c r="AB1447" s="1">
        <v>2</v>
      </c>
      <c r="AC1447" s="1" t="s">
        <v>109</v>
      </c>
      <c r="AD1447" s="1" t="s">
        <v>109</v>
      </c>
      <c r="AE1447" s="1">
        <v>2</v>
      </c>
      <c r="AF1447" s="1">
        <v>2</v>
      </c>
      <c r="AG1447" s="1" t="s">
        <v>109</v>
      </c>
      <c r="AH1447" s="1" t="s">
        <v>109</v>
      </c>
      <c r="AI1447" s="1" t="s">
        <v>109</v>
      </c>
      <c r="AJ1447" s="1" t="s">
        <v>109</v>
      </c>
      <c r="AK1447" s="1">
        <v>2</v>
      </c>
      <c r="AL1447" s="1" t="s">
        <v>109</v>
      </c>
      <c r="AM1447" s="1" t="s">
        <v>109</v>
      </c>
      <c r="AN1447" s="1">
        <v>2</v>
      </c>
      <c r="AO1447" s="1" t="s">
        <v>109</v>
      </c>
      <c r="AP1447" s="1"/>
      <c r="AQ1447" s="1">
        <v>2</v>
      </c>
      <c r="AR1447" s="1"/>
      <c r="AS1447" s="1"/>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t="s">
        <v>109</v>
      </c>
      <c r="BT1447" s="1">
        <v>1504</v>
      </c>
      <c r="BU1447" s="1" t="s">
        <v>109</v>
      </c>
      <c r="BV1447" s="1"/>
      <c r="BW1447" s="1"/>
      <c r="BX1447" s="1"/>
      <c r="BY1447" s="1"/>
      <c r="BZ1447" s="1">
        <v>0</v>
      </c>
      <c r="CA1447" s="1" t="s">
        <v>109</v>
      </c>
      <c r="CB1447" s="1" t="s">
        <v>109</v>
      </c>
      <c r="CC1447" s="1" t="s">
        <v>109</v>
      </c>
      <c r="CD1447" s="1" t="s">
        <v>109</v>
      </c>
      <c r="CE1447" s="1" t="s">
        <v>109</v>
      </c>
      <c r="CF1447" s="1" t="s">
        <v>109</v>
      </c>
      <c r="CG1447" s="1" t="s">
        <v>109</v>
      </c>
      <c r="CH1447" s="1" t="s">
        <v>109</v>
      </c>
      <c r="CI1447" s="1" t="s">
        <v>109</v>
      </c>
      <c r="CJ1447" s="1">
        <v>2</v>
      </c>
      <c r="CK1447" s="1"/>
      <c r="CL1447" s="1">
        <v>0</v>
      </c>
      <c r="CM1447" s="1">
        <v>0</v>
      </c>
      <c r="CN1447" s="1">
        <v>0</v>
      </c>
    </row>
    <row r="1448" spans="1:92" ht="14.25" customHeight="1" x14ac:dyDescent="0.15">
      <c r="A1448" s="1" t="s">
        <v>11216</v>
      </c>
      <c r="B1448" s="1" t="s">
        <v>674</v>
      </c>
      <c r="C1448" s="1" t="s">
        <v>2300</v>
      </c>
      <c r="D1448" s="1"/>
      <c r="E1448" s="1" t="s">
        <v>11217</v>
      </c>
      <c r="F1448" s="1" t="s">
        <v>98</v>
      </c>
      <c r="G1448" s="1" t="s">
        <v>141</v>
      </c>
      <c r="H1448" s="1">
        <v>0</v>
      </c>
      <c r="I1448" s="1" t="s">
        <v>122</v>
      </c>
      <c r="J1448" s="1"/>
      <c r="K1448" s="1" t="s">
        <v>11218</v>
      </c>
      <c r="L1448" s="1"/>
      <c r="M1448" s="1" t="s">
        <v>6144</v>
      </c>
      <c r="N1448" s="1">
        <v>1</v>
      </c>
      <c r="O1448" s="1">
        <v>0</v>
      </c>
      <c r="P1448" s="1" t="s">
        <v>2465</v>
      </c>
      <c r="Q1448" s="1" t="s">
        <v>104</v>
      </c>
      <c r="R1448" s="1" t="s">
        <v>11219</v>
      </c>
      <c r="S1448" s="1" t="s">
        <v>11220</v>
      </c>
      <c r="T1448" s="1" t="s">
        <v>11080</v>
      </c>
      <c r="U1448" s="1" t="s">
        <v>11221</v>
      </c>
      <c r="V1448" s="1">
        <v>1</v>
      </c>
      <c r="W1448" s="1">
        <v>1</v>
      </c>
      <c r="X1448" s="1">
        <v>0</v>
      </c>
      <c r="Y1448" s="1">
        <v>0</v>
      </c>
      <c r="Z1448" s="1">
        <v>0</v>
      </c>
      <c r="AA1448" s="1">
        <v>3</v>
      </c>
      <c r="AB1448" s="1">
        <v>3</v>
      </c>
      <c r="AC1448" s="1" t="s">
        <v>109</v>
      </c>
      <c r="AD1448" s="1" t="s">
        <v>109</v>
      </c>
      <c r="AE1448" s="1" t="s">
        <v>109</v>
      </c>
      <c r="AF1448" s="1">
        <v>3</v>
      </c>
      <c r="AG1448" s="1" t="s">
        <v>109</v>
      </c>
      <c r="AH1448" s="1" t="s">
        <v>109</v>
      </c>
      <c r="AI1448" s="1" t="s">
        <v>109</v>
      </c>
      <c r="AJ1448" s="1">
        <v>3</v>
      </c>
      <c r="AK1448" s="1">
        <v>3</v>
      </c>
      <c r="AL1448" s="1" t="s">
        <v>109</v>
      </c>
      <c r="AM1448" s="1" t="s">
        <v>109</v>
      </c>
      <c r="AN1448" s="1" t="s">
        <v>109</v>
      </c>
      <c r="AO1448" s="1" t="s">
        <v>109</v>
      </c>
      <c r="AP1448" s="1"/>
      <c r="AQ1448" s="1">
        <v>3</v>
      </c>
      <c r="AR1448" s="1"/>
      <c r="AS1448" s="1"/>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t="s">
        <v>109</v>
      </c>
      <c r="BT1448" s="1">
        <v>1505</v>
      </c>
      <c r="BU1448" s="1" t="s">
        <v>109</v>
      </c>
      <c r="BV1448" s="1"/>
      <c r="BW1448" s="1"/>
      <c r="BX1448" s="1"/>
      <c r="BY1448" s="1"/>
      <c r="BZ1448" s="1">
        <v>0</v>
      </c>
      <c r="CA1448" s="1" t="s">
        <v>109</v>
      </c>
      <c r="CB1448" s="1" t="s">
        <v>109</v>
      </c>
      <c r="CC1448" s="1">
        <v>3</v>
      </c>
      <c r="CD1448" s="1" t="s">
        <v>109</v>
      </c>
      <c r="CE1448" s="1">
        <v>3</v>
      </c>
      <c r="CF1448" s="1" t="s">
        <v>109</v>
      </c>
      <c r="CG1448" s="1" t="s">
        <v>109</v>
      </c>
      <c r="CH1448" s="1" t="s">
        <v>109</v>
      </c>
      <c r="CI1448" s="1" t="s">
        <v>109</v>
      </c>
      <c r="CJ1448" s="1" t="s">
        <v>109</v>
      </c>
      <c r="CK1448" s="1"/>
      <c r="CL1448" s="1">
        <v>0</v>
      </c>
      <c r="CM1448" s="1">
        <v>0</v>
      </c>
      <c r="CN1448" s="1">
        <v>0</v>
      </c>
    </row>
    <row r="1449" spans="1:92" ht="14.25" customHeight="1" x14ac:dyDescent="0.15">
      <c r="A1449" s="1" t="s">
        <v>11222</v>
      </c>
      <c r="B1449" s="1" t="s">
        <v>674</v>
      </c>
      <c r="C1449" s="1" t="s">
        <v>2300</v>
      </c>
      <c r="D1449" s="1" t="s">
        <v>158</v>
      </c>
      <c r="E1449" s="1" t="s">
        <v>11223</v>
      </c>
      <c r="F1449" s="1" t="s">
        <v>98</v>
      </c>
      <c r="G1449" s="1" t="s">
        <v>141</v>
      </c>
      <c r="H1449" s="1">
        <v>0</v>
      </c>
      <c r="I1449" s="1" t="s">
        <v>100</v>
      </c>
      <c r="J1449" s="1" t="s">
        <v>11224</v>
      </c>
      <c r="K1449" s="1"/>
      <c r="L1449" s="1"/>
      <c r="M1449" s="1" t="s">
        <v>280</v>
      </c>
      <c r="N1449" s="1">
        <v>0</v>
      </c>
      <c r="O1449" s="1">
        <v>0</v>
      </c>
      <c r="P1449" s="1" t="s">
        <v>2304</v>
      </c>
      <c r="Q1449" s="1" t="s">
        <v>268</v>
      </c>
      <c r="R1449" s="1" t="s">
        <v>11225</v>
      </c>
      <c r="S1449" s="1" t="s">
        <v>11226</v>
      </c>
      <c r="T1449" s="1" t="s">
        <v>11080</v>
      </c>
      <c r="U1449" s="1" t="s">
        <v>11227</v>
      </c>
      <c r="V1449" s="1">
        <v>1</v>
      </c>
      <c r="W1449" s="1">
        <v>1</v>
      </c>
      <c r="X1449" s="1">
        <v>0</v>
      </c>
      <c r="Y1449" s="1">
        <v>0</v>
      </c>
      <c r="Z1449" s="1">
        <v>0</v>
      </c>
      <c r="AA1449" s="1">
        <v>5</v>
      </c>
      <c r="AB1449" s="1">
        <v>5</v>
      </c>
      <c r="AC1449" s="1">
        <v>5</v>
      </c>
      <c r="AD1449" s="1" t="s">
        <v>109</v>
      </c>
      <c r="AE1449" s="1" t="s">
        <v>109</v>
      </c>
      <c r="AF1449" s="1">
        <v>5</v>
      </c>
      <c r="AG1449" s="1" t="s">
        <v>109</v>
      </c>
      <c r="AH1449" s="1" t="s">
        <v>109</v>
      </c>
      <c r="AI1449" s="1" t="s">
        <v>109</v>
      </c>
      <c r="AJ1449" s="1">
        <v>5</v>
      </c>
      <c r="AK1449" s="1" t="s">
        <v>109</v>
      </c>
      <c r="AL1449" s="1">
        <v>5</v>
      </c>
      <c r="AM1449" s="1" t="s">
        <v>109</v>
      </c>
      <c r="AN1449" s="1" t="s">
        <v>109</v>
      </c>
      <c r="AO1449" s="1" t="s">
        <v>109</v>
      </c>
      <c r="AP1449" s="1"/>
      <c r="AQ1449" s="1">
        <v>5</v>
      </c>
      <c r="AR1449" s="1"/>
      <c r="AS1449" s="1"/>
      <c r="AT1449" s="1">
        <v>0</v>
      </c>
      <c r="AU1449" s="1">
        <v>0</v>
      </c>
      <c r="AV1449" s="1">
        <v>0</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1</v>
      </c>
      <c r="BN1449" s="1">
        <v>0</v>
      </c>
      <c r="BO1449" s="1">
        <v>0</v>
      </c>
      <c r="BP1449" s="1">
        <v>0</v>
      </c>
      <c r="BQ1449" s="1">
        <v>0</v>
      </c>
      <c r="BR1449" s="1">
        <v>0</v>
      </c>
      <c r="BS1449" s="1" t="s">
        <v>109</v>
      </c>
      <c r="BT1449" s="1">
        <v>1506</v>
      </c>
      <c r="BU1449" s="1" t="s">
        <v>109</v>
      </c>
      <c r="BV1449" s="1"/>
      <c r="BW1449" s="1"/>
      <c r="BX1449" s="1"/>
      <c r="BY1449" s="1"/>
      <c r="BZ1449" s="1">
        <v>0</v>
      </c>
      <c r="CA1449" s="1" t="s">
        <v>109</v>
      </c>
      <c r="CB1449" s="1" t="s">
        <v>109</v>
      </c>
      <c r="CC1449" s="1">
        <v>5</v>
      </c>
      <c r="CD1449" s="1" t="s">
        <v>109</v>
      </c>
      <c r="CE1449" s="1">
        <v>5</v>
      </c>
      <c r="CF1449" s="1" t="s">
        <v>109</v>
      </c>
      <c r="CG1449" s="1" t="s">
        <v>109</v>
      </c>
      <c r="CH1449" s="1" t="s">
        <v>109</v>
      </c>
      <c r="CI1449" s="1" t="s">
        <v>109</v>
      </c>
      <c r="CJ1449" s="1" t="s">
        <v>109</v>
      </c>
      <c r="CK1449" s="1"/>
      <c r="CL1449" s="1">
        <v>0</v>
      </c>
      <c r="CM1449" s="1">
        <v>0</v>
      </c>
      <c r="CN1449" s="1">
        <v>0</v>
      </c>
    </row>
    <row r="1450" spans="1:92" ht="14.25" customHeight="1" x14ac:dyDescent="0.15">
      <c r="A1450" s="1" t="s">
        <v>11228</v>
      </c>
      <c r="B1450" s="1" t="s">
        <v>156</v>
      </c>
      <c r="C1450" s="1" t="s">
        <v>157</v>
      </c>
      <c r="D1450" s="1"/>
      <c r="E1450" s="1" t="s">
        <v>11229</v>
      </c>
      <c r="F1450" s="1" t="s">
        <v>98</v>
      </c>
      <c r="G1450" s="1" t="s">
        <v>141</v>
      </c>
      <c r="H1450" s="1">
        <v>0</v>
      </c>
      <c r="I1450" s="1" t="s">
        <v>161</v>
      </c>
      <c r="J1450" s="1"/>
      <c r="K1450" s="1"/>
      <c r="L1450" s="1" t="s">
        <v>11230</v>
      </c>
      <c r="M1450" s="1" t="s">
        <v>3042</v>
      </c>
      <c r="N1450" s="1">
        <v>0</v>
      </c>
      <c r="O1450" s="1">
        <v>0</v>
      </c>
      <c r="P1450" s="1" t="s">
        <v>507</v>
      </c>
      <c r="Q1450" s="1" t="s">
        <v>167</v>
      </c>
      <c r="R1450" s="1" t="s">
        <v>11231</v>
      </c>
      <c r="S1450" s="1" t="s">
        <v>11232</v>
      </c>
      <c r="T1450" s="1" t="s">
        <v>11080</v>
      </c>
      <c r="U1450" s="1" t="s">
        <v>11233</v>
      </c>
      <c r="V1450" s="1">
        <v>1</v>
      </c>
      <c r="W1450" s="1">
        <v>1</v>
      </c>
      <c r="X1450" s="1">
        <v>0</v>
      </c>
      <c r="Y1450" s="1">
        <v>0</v>
      </c>
      <c r="Z1450" s="1">
        <v>0</v>
      </c>
      <c r="AA1450" s="1">
        <v>2</v>
      </c>
      <c r="AB1450" s="1">
        <v>2</v>
      </c>
      <c r="AC1450" s="1">
        <v>3</v>
      </c>
      <c r="AD1450" s="1" t="s">
        <v>109</v>
      </c>
      <c r="AE1450" s="1" t="s">
        <v>109</v>
      </c>
      <c r="AF1450" s="1">
        <v>2</v>
      </c>
      <c r="AG1450" s="1" t="s">
        <v>109</v>
      </c>
      <c r="AH1450" s="1" t="s">
        <v>109</v>
      </c>
      <c r="AI1450" s="1" t="s">
        <v>109</v>
      </c>
      <c r="AJ1450" s="1">
        <v>2</v>
      </c>
      <c r="AK1450" s="1">
        <v>2</v>
      </c>
      <c r="AL1450" s="1">
        <v>3</v>
      </c>
      <c r="AM1450" s="1" t="s">
        <v>109</v>
      </c>
      <c r="AN1450" s="1" t="s">
        <v>109</v>
      </c>
      <c r="AO1450" s="1" t="s">
        <v>109</v>
      </c>
      <c r="AP1450" s="1"/>
      <c r="AQ1450" s="1">
        <v>2</v>
      </c>
      <c r="AR1450" s="1"/>
      <c r="AS1450" s="1"/>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t="s">
        <v>109</v>
      </c>
      <c r="BT1450" s="1">
        <v>1507</v>
      </c>
      <c r="BU1450" s="1" t="s">
        <v>109</v>
      </c>
      <c r="BV1450" s="1"/>
      <c r="BW1450" s="1"/>
      <c r="BX1450" s="1"/>
      <c r="BY1450" s="1"/>
      <c r="BZ1450" s="1">
        <v>0</v>
      </c>
      <c r="CA1450" s="1" t="s">
        <v>109</v>
      </c>
      <c r="CB1450" s="1" t="s">
        <v>109</v>
      </c>
      <c r="CC1450" s="1">
        <v>2</v>
      </c>
      <c r="CD1450" s="1" t="s">
        <v>109</v>
      </c>
      <c r="CE1450" s="1">
        <v>2</v>
      </c>
      <c r="CF1450" s="1" t="s">
        <v>109</v>
      </c>
      <c r="CG1450" s="1" t="s">
        <v>109</v>
      </c>
      <c r="CH1450" s="1" t="s">
        <v>109</v>
      </c>
      <c r="CI1450" s="1" t="s">
        <v>109</v>
      </c>
      <c r="CJ1450" s="1" t="s">
        <v>109</v>
      </c>
      <c r="CK1450" s="1"/>
      <c r="CL1450" s="1">
        <v>0</v>
      </c>
      <c r="CM1450" s="1">
        <v>0</v>
      </c>
      <c r="CN1450" s="1">
        <v>0</v>
      </c>
    </row>
    <row r="1451" spans="1:92" ht="14.25" customHeight="1" x14ac:dyDescent="0.15">
      <c r="A1451" s="1" t="s">
        <v>11234</v>
      </c>
      <c r="B1451" s="1" t="s">
        <v>308</v>
      </c>
      <c r="C1451" s="1"/>
      <c r="D1451" s="1" t="s">
        <v>11235</v>
      </c>
      <c r="E1451" s="1" t="s">
        <v>11236</v>
      </c>
      <c r="F1451" s="1" t="s">
        <v>98</v>
      </c>
      <c r="G1451" s="1" t="s">
        <v>11237</v>
      </c>
      <c r="H1451" s="1">
        <v>0</v>
      </c>
      <c r="I1451" s="1" t="s">
        <v>161</v>
      </c>
      <c r="J1451" s="1"/>
      <c r="K1451" s="1"/>
      <c r="L1451" s="1" t="s">
        <v>1391</v>
      </c>
      <c r="M1451" s="1" t="s">
        <v>408</v>
      </c>
      <c r="N1451" s="1">
        <v>0</v>
      </c>
      <c r="O1451" s="1">
        <v>0</v>
      </c>
      <c r="P1451" s="1" t="s">
        <v>301</v>
      </c>
      <c r="Q1451" s="1" t="s">
        <v>268</v>
      </c>
      <c r="R1451" s="1" t="s">
        <v>11238</v>
      </c>
      <c r="S1451" s="1" t="s">
        <v>11239</v>
      </c>
      <c r="T1451" s="1" t="s">
        <v>11080</v>
      </c>
      <c r="U1451" s="1" t="s">
        <v>11240</v>
      </c>
      <c r="V1451" s="1">
        <v>1</v>
      </c>
      <c r="W1451" s="1">
        <v>1</v>
      </c>
      <c r="X1451" s="1">
        <v>1</v>
      </c>
      <c r="Y1451" s="1">
        <v>0</v>
      </c>
      <c r="Z1451" s="1">
        <v>0</v>
      </c>
      <c r="AA1451" s="1" t="s">
        <v>109</v>
      </c>
      <c r="AB1451" s="1" t="s">
        <v>109</v>
      </c>
      <c r="AC1451" s="1" t="s">
        <v>109</v>
      </c>
      <c r="AD1451" s="1">
        <v>7</v>
      </c>
      <c r="AE1451" s="1" t="s">
        <v>109</v>
      </c>
      <c r="AF1451" s="1" t="s">
        <v>109</v>
      </c>
      <c r="AG1451" s="1" t="s">
        <v>109</v>
      </c>
      <c r="AH1451" s="1" t="s">
        <v>109</v>
      </c>
      <c r="AI1451" s="1" t="s">
        <v>109</v>
      </c>
      <c r="AJ1451" s="1">
        <v>7</v>
      </c>
      <c r="AK1451" s="1" t="s">
        <v>109</v>
      </c>
      <c r="AL1451" s="1" t="s">
        <v>109</v>
      </c>
      <c r="AM1451" s="1" t="s">
        <v>109</v>
      </c>
      <c r="AN1451" s="1" t="s">
        <v>109</v>
      </c>
      <c r="AO1451" s="1" t="s">
        <v>109</v>
      </c>
      <c r="AP1451" s="1"/>
      <c r="AQ1451" s="1">
        <v>7</v>
      </c>
      <c r="AR1451" s="1"/>
      <c r="AS1451" s="1"/>
      <c r="AT1451" s="1">
        <v>0</v>
      </c>
      <c r="AU1451" s="1">
        <v>0</v>
      </c>
      <c r="AV1451" s="1">
        <v>0</v>
      </c>
      <c r="AW1451" s="1">
        <v>0</v>
      </c>
      <c r="AX1451" s="1">
        <v>1</v>
      </c>
      <c r="AY1451" s="1">
        <v>0</v>
      </c>
      <c r="AZ1451" s="1">
        <v>0</v>
      </c>
      <c r="BA1451" s="1">
        <v>0</v>
      </c>
      <c r="BB1451" s="1">
        <v>0</v>
      </c>
      <c r="BC1451" s="1">
        <v>0</v>
      </c>
      <c r="BD1451" s="1">
        <v>0</v>
      </c>
      <c r="BE1451" s="1">
        <v>0</v>
      </c>
      <c r="BF1451" s="1">
        <v>1</v>
      </c>
      <c r="BG1451" s="1">
        <v>0</v>
      </c>
      <c r="BH1451" s="1">
        <v>0</v>
      </c>
      <c r="BI1451" s="1">
        <v>0</v>
      </c>
      <c r="BJ1451" s="1">
        <v>0</v>
      </c>
      <c r="BK1451" s="1">
        <v>0</v>
      </c>
      <c r="BL1451" s="1">
        <v>0</v>
      </c>
      <c r="BM1451" s="1">
        <v>0</v>
      </c>
      <c r="BN1451" s="1">
        <v>0</v>
      </c>
      <c r="BO1451" s="1">
        <v>0</v>
      </c>
      <c r="BP1451" s="1">
        <v>0</v>
      </c>
      <c r="BQ1451" s="1">
        <v>0</v>
      </c>
      <c r="BR1451" s="1">
        <v>0</v>
      </c>
      <c r="BS1451" s="1" t="s">
        <v>109</v>
      </c>
      <c r="BT1451" s="1">
        <v>1508</v>
      </c>
      <c r="BU1451" s="1" t="s">
        <v>109</v>
      </c>
      <c r="BV1451" s="1"/>
      <c r="BW1451" s="1"/>
      <c r="BX1451" s="1" t="s">
        <v>11241</v>
      </c>
      <c r="BY1451" s="1"/>
      <c r="BZ1451" s="1">
        <v>1</v>
      </c>
      <c r="CA1451" s="1" t="s">
        <v>109</v>
      </c>
      <c r="CB1451" s="1" t="s">
        <v>109</v>
      </c>
      <c r="CC1451" s="1" t="s">
        <v>109</v>
      </c>
      <c r="CD1451" s="1" t="s">
        <v>109</v>
      </c>
      <c r="CE1451" s="1" t="s">
        <v>109</v>
      </c>
      <c r="CF1451" s="1" t="s">
        <v>109</v>
      </c>
      <c r="CG1451" s="1" t="s">
        <v>109</v>
      </c>
      <c r="CH1451" s="1" t="s">
        <v>109</v>
      </c>
      <c r="CI1451" s="1" t="s">
        <v>109</v>
      </c>
      <c r="CJ1451" s="1" t="s">
        <v>109</v>
      </c>
      <c r="CK1451" s="1"/>
      <c r="CL1451" s="1">
        <v>0</v>
      </c>
      <c r="CM1451" s="1">
        <v>0</v>
      </c>
      <c r="CN1451" s="1">
        <v>0</v>
      </c>
    </row>
    <row r="1452" spans="1:92" ht="14.25" customHeight="1" x14ac:dyDescent="0.15">
      <c r="A1452" s="1" t="s">
        <v>11242</v>
      </c>
      <c r="B1452" s="1" t="s">
        <v>308</v>
      </c>
      <c r="C1452" s="1"/>
      <c r="D1452" s="1" t="s">
        <v>50</v>
      </c>
      <c r="E1452" s="1" t="s">
        <v>11243</v>
      </c>
      <c r="F1452" s="1" t="s">
        <v>98</v>
      </c>
      <c r="G1452" s="1" t="s">
        <v>11237</v>
      </c>
      <c r="H1452" s="1">
        <v>0</v>
      </c>
      <c r="I1452" s="1" t="s">
        <v>161</v>
      </c>
      <c r="J1452" s="1"/>
      <c r="K1452" s="1"/>
      <c r="L1452" s="1" t="s">
        <v>1391</v>
      </c>
      <c r="M1452" s="1" t="s">
        <v>408</v>
      </c>
      <c r="N1452" s="1">
        <v>0</v>
      </c>
      <c r="O1452" s="1">
        <v>0</v>
      </c>
      <c r="P1452" s="1" t="s">
        <v>301</v>
      </c>
      <c r="Q1452" s="1" t="s">
        <v>268</v>
      </c>
      <c r="R1452" s="1" t="s">
        <v>11244</v>
      </c>
      <c r="S1452" s="1" t="s">
        <v>11245</v>
      </c>
      <c r="T1452" s="1" t="s">
        <v>11080</v>
      </c>
      <c r="U1452" s="1" t="s">
        <v>11246</v>
      </c>
      <c r="V1452" s="1">
        <v>1</v>
      </c>
      <c r="W1452" s="1">
        <v>1</v>
      </c>
      <c r="X1452" s="1">
        <v>1</v>
      </c>
      <c r="Y1452" s="1">
        <v>0</v>
      </c>
      <c r="Z1452" s="1">
        <v>0</v>
      </c>
      <c r="AA1452" s="1" t="s">
        <v>109</v>
      </c>
      <c r="AB1452" s="1" t="s">
        <v>109</v>
      </c>
      <c r="AC1452" s="1" t="s">
        <v>109</v>
      </c>
      <c r="AD1452" s="1">
        <v>5</v>
      </c>
      <c r="AE1452" s="1" t="s">
        <v>109</v>
      </c>
      <c r="AF1452" s="1" t="s">
        <v>109</v>
      </c>
      <c r="AG1452" s="1" t="s">
        <v>109</v>
      </c>
      <c r="AH1452" s="1" t="s">
        <v>109</v>
      </c>
      <c r="AI1452" s="1" t="s">
        <v>109</v>
      </c>
      <c r="AJ1452" s="1">
        <v>5</v>
      </c>
      <c r="AK1452" s="1" t="s">
        <v>109</v>
      </c>
      <c r="AL1452" s="1" t="s">
        <v>109</v>
      </c>
      <c r="AM1452" s="1" t="s">
        <v>109</v>
      </c>
      <c r="AN1452" s="1" t="s">
        <v>109</v>
      </c>
      <c r="AO1452" s="1" t="s">
        <v>109</v>
      </c>
      <c r="AP1452" s="1"/>
      <c r="AQ1452" s="1">
        <v>5</v>
      </c>
      <c r="AR1452" s="1"/>
      <c r="AS1452" s="1"/>
      <c r="AT1452" s="1">
        <v>0</v>
      </c>
      <c r="AU1452" s="1">
        <v>0</v>
      </c>
      <c r="AV1452" s="1">
        <v>0</v>
      </c>
      <c r="AW1452" s="1">
        <v>0</v>
      </c>
      <c r="AX1452" s="1">
        <v>1</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t="s">
        <v>109</v>
      </c>
      <c r="BT1452" s="1">
        <v>1509</v>
      </c>
      <c r="BU1452" s="1" t="s">
        <v>109</v>
      </c>
      <c r="BV1452" s="1"/>
      <c r="BW1452" s="1"/>
      <c r="BX1452" s="1"/>
      <c r="BY1452" s="1"/>
      <c r="BZ1452" s="1">
        <v>0</v>
      </c>
      <c r="CA1452" s="1" t="s">
        <v>109</v>
      </c>
      <c r="CB1452" s="1" t="s">
        <v>109</v>
      </c>
      <c r="CC1452" s="1" t="s">
        <v>109</v>
      </c>
      <c r="CD1452" s="1" t="s">
        <v>109</v>
      </c>
      <c r="CE1452" s="1">
        <v>4</v>
      </c>
      <c r="CF1452" s="1" t="s">
        <v>109</v>
      </c>
      <c r="CG1452" s="1" t="s">
        <v>109</v>
      </c>
      <c r="CH1452" s="1" t="s">
        <v>109</v>
      </c>
      <c r="CI1452" s="1" t="s">
        <v>109</v>
      </c>
      <c r="CJ1452" s="1">
        <v>5</v>
      </c>
      <c r="CK1452" s="1"/>
      <c r="CL1452" s="1">
        <v>0</v>
      </c>
      <c r="CM1452" s="1">
        <v>0</v>
      </c>
      <c r="CN1452" s="1">
        <v>0</v>
      </c>
    </row>
    <row r="1453" spans="1:92" ht="14.25" customHeight="1" x14ac:dyDescent="0.15">
      <c r="A1453" s="1" t="s">
        <v>11247</v>
      </c>
      <c r="B1453" s="1" t="s">
        <v>584</v>
      </c>
      <c r="C1453" s="1"/>
      <c r="D1453" s="1" t="s">
        <v>61</v>
      </c>
      <c r="E1453" s="1" t="s">
        <v>7708</v>
      </c>
      <c r="F1453" s="1" t="s">
        <v>98</v>
      </c>
      <c r="G1453" s="1" t="s">
        <v>11248</v>
      </c>
      <c r="H1453" s="1">
        <v>0</v>
      </c>
      <c r="I1453" s="1" t="s">
        <v>142</v>
      </c>
      <c r="J1453" s="1" t="s">
        <v>1045</v>
      </c>
      <c r="K1453" s="1"/>
      <c r="L1453" s="1"/>
      <c r="M1453" s="1" t="s">
        <v>246</v>
      </c>
      <c r="N1453" s="1">
        <v>0</v>
      </c>
      <c r="O1453" s="1">
        <v>0</v>
      </c>
      <c r="P1453" s="1" t="s">
        <v>103</v>
      </c>
      <c r="Q1453" s="1" t="s">
        <v>104</v>
      </c>
      <c r="R1453" s="1" t="s">
        <v>11249</v>
      </c>
      <c r="S1453" s="1" t="s">
        <v>11250</v>
      </c>
      <c r="T1453" s="1" t="s">
        <v>11080</v>
      </c>
      <c r="U1453" s="1" t="s">
        <v>11251</v>
      </c>
      <c r="V1453" s="1">
        <v>1</v>
      </c>
      <c r="W1453" s="1">
        <v>1</v>
      </c>
      <c r="X1453" s="1">
        <v>1</v>
      </c>
      <c r="Y1453" s="1">
        <v>0</v>
      </c>
      <c r="Z1453" s="1">
        <v>0</v>
      </c>
      <c r="AA1453" s="1" t="s">
        <v>109</v>
      </c>
      <c r="AB1453" s="1" t="s">
        <v>109</v>
      </c>
      <c r="AC1453" s="1">
        <v>2</v>
      </c>
      <c r="AD1453" s="1" t="s">
        <v>109</v>
      </c>
      <c r="AE1453" s="1" t="s">
        <v>109</v>
      </c>
      <c r="AF1453" s="1" t="s">
        <v>109</v>
      </c>
      <c r="AG1453" s="1">
        <v>2</v>
      </c>
      <c r="AH1453" s="1" t="s">
        <v>109</v>
      </c>
      <c r="AI1453" s="1" t="s">
        <v>109</v>
      </c>
      <c r="AJ1453" s="1" t="s">
        <v>109</v>
      </c>
      <c r="AK1453" s="1" t="s">
        <v>109</v>
      </c>
      <c r="AL1453" s="1">
        <v>2</v>
      </c>
      <c r="AM1453" s="1" t="s">
        <v>109</v>
      </c>
      <c r="AN1453" s="1" t="s">
        <v>109</v>
      </c>
      <c r="AO1453" s="1" t="s">
        <v>109</v>
      </c>
      <c r="AP1453" s="1"/>
      <c r="AQ1453" s="1">
        <v>2</v>
      </c>
      <c r="AR1453" s="1"/>
      <c r="AS1453" s="1"/>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1</v>
      </c>
      <c r="BJ1453" s="1">
        <v>0</v>
      </c>
      <c r="BK1453" s="1">
        <v>0</v>
      </c>
      <c r="BL1453" s="1">
        <v>0</v>
      </c>
      <c r="BM1453" s="1">
        <v>0</v>
      </c>
      <c r="BN1453" s="1">
        <v>0</v>
      </c>
      <c r="BO1453" s="1">
        <v>0</v>
      </c>
      <c r="BP1453" s="1">
        <v>0</v>
      </c>
      <c r="BQ1453" s="1">
        <v>0</v>
      </c>
      <c r="BR1453" s="1">
        <v>0</v>
      </c>
      <c r="BS1453" s="1" t="s">
        <v>109</v>
      </c>
      <c r="BT1453" s="1">
        <v>1510</v>
      </c>
      <c r="BU1453" s="1" t="s">
        <v>109</v>
      </c>
      <c r="BV1453" s="1"/>
      <c r="BW1453" s="1"/>
      <c r="BX1453" s="1"/>
      <c r="BY1453" s="1"/>
      <c r="BZ1453" s="1">
        <v>0</v>
      </c>
      <c r="CA1453" s="1" t="s">
        <v>109</v>
      </c>
      <c r="CB1453" s="1" t="s">
        <v>109</v>
      </c>
      <c r="CC1453" s="1" t="s">
        <v>109</v>
      </c>
      <c r="CD1453" s="1" t="s">
        <v>109</v>
      </c>
      <c r="CE1453" s="1" t="s">
        <v>109</v>
      </c>
      <c r="CF1453" s="1" t="s">
        <v>109</v>
      </c>
      <c r="CG1453" s="1" t="s">
        <v>109</v>
      </c>
      <c r="CH1453" s="1" t="s">
        <v>109</v>
      </c>
      <c r="CI1453" s="1" t="s">
        <v>109</v>
      </c>
      <c r="CJ1453" s="1" t="s">
        <v>109</v>
      </c>
      <c r="CK1453" s="1"/>
      <c r="CL1453" s="1">
        <v>0</v>
      </c>
      <c r="CM1453" s="1">
        <v>0</v>
      </c>
      <c r="CN1453" s="1">
        <v>0</v>
      </c>
    </row>
    <row r="1454" spans="1:92" ht="14.25" customHeight="1" x14ac:dyDescent="0.15">
      <c r="A1454" s="1" t="s">
        <v>11252</v>
      </c>
      <c r="B1454" s="1" t="s">
        <v>254</v>
      </c>
      <c r="C1454" s="1"/>
      <c r="D1454" s="1"/>
      <c r="E1454" s="1" t="s">
        <v>11253</v>
      </c>
      <c r="F1454" s="1" t="s">
        <v>98</v>
      </c>
      <c r="G1454" s="1" t="s">
        <v>333</v>
      </c>
      <c r="H1454" s="1">
        <v>0</v>
      </c>
      <c r="I1454" s="1" t="s">
        <v>235</v>
      </c>
      <c r="J1454" s="1"/>
      <c r="K1454" s="1"/>
      <c r="L1454" s="1" t="s">
        <v>236</v>
      </c>
      <c r="M1454" s="1" t="s">
        <v>3042</v>
      </c>
      <c r="N1454" s="1">
        <v>0</v>
      </c>
      <c r="O1454" s="1">
        <v>0</v>
      </c>
      <c r="P1454" s="1"/>
      <c r="Q1454" s="1"/>
      <c r="R1454" s="1" t="s">
        <v>11254</v>
      </c>
      <c r="S1454" s="1" t="s">
        <v>11255</v>
      </c>
      <c r="T1454" s="1" t="s">
        <v>11080</v>
      </c>
      <c r="U1454" s="1" t="s">
        <v>11256</v>
      </c>
      <c r="V1454" s="1">
        <v>1</v>
      </c>
      <c r="W1454" s="1">
        <v>0</v>
      </c>
      <c r="X1454" s="1">
        <v>0</v>
      </c>
      <c r="Y1454" s="1">
        <v>0</v>
      </c>
      <c r="Z1454" s="1">
        <v>0</v>
      </c>
      <c r="AA1454" s="1">
        <v>5</v>
      </c>
      <c r="AB1454" s="1">
        <v>5</v>
      </c>
      <c r="AC1454" s="1">
        <v>6</v>
      </c>
      <c r="AD1454" s="1" t="s">
        <v>109</v>
      </c>
      <c r="AE1454" s="1" t="s">
        <v>109</v>
      </c>
      <c r="AF1454" s="1">
        <v>4</v>
      </c>
      <c r="AG1454" s="1" t="s">
        <v>109</v>
      </c>
      <c r="AH1454" s="1" t="s">
        <v>109</v>
      </c>
      <c r="AI1454" s="1" t="s">
        <v>109</v>
      </c>
      <c r="AJ1454" s="1">
        <v>5</v>
      </c>
      <c r="AK1454" s="1" t="s">
        <v>109</v>
      </c>
      <c r="AL1454" s="1">
        <v>6</v>
      </c>
      <c r="AM1454" s="1" t="s">
        <v>109</v>
      </c>
      <c r="AN1454" s="1" t="s">
        <v>109</v>
      </c>
      <c r="AO1454" s="1" t="s">
        <v>109</v>
      </c>
      <c r="AP1454" s="1"/>
      <c r="AQ1454" s="1">
        <v>5</v>
      </c>
      <c r="AR1454" s="1"/>
      <c r="AS1454" s="1"/>
      <c r="AT1454" s="1">
        <v>0</v>
      </c>
      <c r="AU1454" s="1">
        <v>0</v>
      </c>
      <c r="AV1454" s="1">
        <v>0</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t="s">
        <v>109</v>
      </c>
      <c r="BT1454" s="1">
        <v>1511</v>
      </c>
      <c r="BU1454" s="1" t="s">
        <v>109</v>
      </c>
      <c r="BV1454" s="1"/>
      <c r="BW1454" s="1"/>
      <c r="BX1454" s="1"/>
      <c r="BY1454" s="1"/>
      <c r="BZ1454" s="1">
        <v>0</v>
      </c>
      <c r="CA1454" s="1" t="s">
        <v>109</v>
      </c>
      <c r="CB1454" s="1" t="s">
        <v>109</v>
      </c>
      <c r="CC1454" s="1">
        <v>5</v>
      </c>
      <c r="CD1454" s="1" t="s">
        <v>109</v>
      </c>
      <c r="CE1454" s="1">
        <v>4</v>
      </c>
      <c r="CF1454" s="1" t="s">
        <v>109</v>
      </c>
      <c r="CG1454" s="1" t="s">
        <v>109</v>
      </c>
      <c r="CH1454" s="1" t="s">
        <v>109</v>
      </c>
      <c r="CI1454" s="1" t="s">
        <v>109</v>
      </c>
      <c r="CJ1454" s="1" t="s">
        <v>109</v>
      </c>
      <c r="CK1454" s="1"/>
      <c r="CL1454" s="1">
        <v>0</v>
      </c>
      <c r="CM1454" s="1">
        <v>0</v>
      </c>
      <c r="CN1454" s="1">
        <v>0</v>
      </c>
    </row>
    <row r="1455" spans="1:92" ht="14.25" customHeight="1" x14ac:dyDescent="0.15">
      <c r="A1455" s="1" t="s">
        <v>11257</v>
      </c>
      <c r="B1455" s="1" t="s">
        <v>242</v>
      </c>
      <c r="C1455" s="1"/>
      <c r="D1455" s="1" t="s">
        <v>61</v>
      </c>
      <c r="E1455" s="1" t="s">
        <v>638</v>
      </c>
      <c r="F1455" s="1" t="s">
        <v>98</v>
      </c>
      <c r="G1455" s="1" t="s">
        <v>160</v>
      </c>
      <c r="H1455" s="1">
        <v>0</v>
      </c>
      <c r="I1455" s="1" t="s">
        <v>7567</v>
      </c>
      <c r="J1455" s="1"/>
      <c r="K1455" s="1"/>
      <c r="L1455" s="1" t="s">
        <v>7568</v>
      </c>
      <c r="M1455" s="1" t="s">
        <v>6625</v>
      </c>
      <c r="N1455" s="1">
        <v>1</v>
      </c>
      <c r="O1455" s="1">
        <v>0</v>
      </c>
      <c r="P1455" s="1" t="s">
        <v>2770</v>
      </c>
      <c r="Q1455" s="1" t="s">
        <v>103</v>
      </c>
      <c r="R1455" s="1" t="s">
        <v>11258</v>
      </c>
      <c r="S1455" s="1" t="s">
        <v>11259</v>
      </c>
      <c r="T1455" s="1" t="s">
        <v>11080</v>
      </c>
      <c r="U1455" s="1" t="s">
        <v>11260</v>
      </c>
      <c r="V1455" s="1">
        <v>1</v>
      </c>
      <c r="W1455" s="1">
        <v>1</v>
      </c>
      <c r="X1455" s="1">
        <v>0</v>
      </c>
      <c r="Y1455" s="1">
        <v>0</v>
      </c>
      <c r="Z1455" s="1">
        <v>1</v>
      </c>
      <c r="AA1455" s="1" t="s">
        <v>109</v>
      </c>
      <c r="AB1455" s="1" t="s">
        <v>109</v>
      </c>
      <c r="AC1455" s="1" t="s">
        <v>109</v>
      </c>
      <c r="AD1455" s="1" t="s">
        <v>109</v>
      </c>
      <c r="AE1455" s="1" t="s">
        <v>109</v>
      </c>
      <c r="AF1455" s="1" t="s">
        <v>109</v>
      </c>
      <c r="AG1455" s="1">
        <v>1</v>
      </c>
      <c r="AH1455" s="1" t="s">
        <v>109</v>
      </c>
      <c r="AI1455" s="1" t="s">
        <v>109</v>
      </c>
      <c r="AJ1455" s="1" t="s">
        <v>109</v>
      </c>
      <c r="AK1455" s="1" t="s">
        <v>109</v>
      </c>
      <c r="AL1455" s="1" t="s">
        <v>109</v>
      </c>
      <c r="AM1455" s="1" t="s">
        <v>109</v>
      </c>
      <c r="AN1455" s="1" t="s">
        <v>109</v>
      </c>
      <c r="AO1455" s="1" t="s">
        <v>109</v>
      </c>
      <c r="AP1455" s="1"/>
      <c r="AQ1455" s="1">
        <v>1</v>
      </c>
      <c r="AR1455" s="1"/>
      <c r="AS1455" s="1"/>
      <c r="AT1455" s="1">
        <v>0</v>
      </c>
      <c r="AU1455" s="1">
        <v>0</v>
      </c>
      <c r="AV1455" s="1">
        <v>0</v>
      </c>
      <c r="AW1455" s="1">
        <v>0</v>
      </c>
      <c r="AX1455" s="1">
        <v>0</v>
      </c>
      <c r="AY1455" s="1">
        <v>0</v>
      </c>
      <c r="AZ1455" s="1">
        <v>0</v>
      </c>
      <c r="BA1455" s="1">
        <v>0</v>
      </c>
      <c r="BB1455" s="1">
        <v>0</v>
      </c>
      <c r="BC1455" s="1">
        <v>0</v>
      </c>
      <c r="BD1455" s="1">
        <v>0</v>
      </c>
      <c r="BE1455" s="1">
        <v>0</v>
      </c>
      <c r="BF1455" s="1">
        <v>0</v>
      </c>
      <c r="BG1455" s="1">
        <v>0</v>
      </c>
      <c r="BH1455" s="1">
        <v>0</v>
      </c>
      <c r="BI1455" s="1">
        <v>1</v>
      </c>
      <c r="BJ1455" s="1">
        <v>0</v>
      </c>
      <c r="BK1455" s="1">
        <v>0</v>
      </c>
      <c r="BL1455" s="1">
        <v>0</v>
      </c>
      <c r="BM1455" s="1">
        <v>0</v>
      </c>
      <c r="BN1455" s="1">
        <v>0</v>
      </c>
      <c r="BO1455" s="1">
        <v>0</v>
      </c>
      <c r="BP1455" s="1">
        <v>0</v>
      </c>
      <c r="BQ1455" s="1">
        <v>0</v>
      </c>
      <c r="BR1455" s="1">
        <v>0</v>
      </c>
      <c r="BS1455" s="1" t="s">
        <v>109</v>
      </c>
      <c r="BT1455" s="1">
        <v>1512</v>
      </c>
      <c r="BU1455" s="1" t="s">
        <v>109</v>
      </c>
      <c r="BV1455" s="1"/>
      <c r="BW1455" s="1"/>
      <c r="BX1455" s="1"/>
      <c r="BY1455" s="1"/>
      <c r="BZ1455" s="1">
        <v>0</v>
      </c>
      <c r="CA1455" s="1" t="s">
        <v>109</v>
      </c>
      <c r="CB1455" s="1" t="s">
        <v>109</v>
      </c>
      <c r="CC1455" s="1" t="s">
        <v>109</v>
      </c>
      <c r="CD1455" s="1" t="s">
        <v>109</v>
      </c>
      <c r="CE1455" s="1" t="s">
        <v>109</v>
      </c>
      <c r="CF1455" s="1" t="s">
        <v>109</v>
      </c>
      <c r="CG1455" s="1" t="s">
        <v>109</v>
      </c>
      <c r="CH1455" s="1" t="s">
        <v>109</v>
      </c>
      <c r="CI1455" s="1" t="s">
        <v>109</v>
      </c>
      <c r="CJ1455" s="1" t="s">
        <v>109</v>
      </c>
      <c r="CK1455" s="1"/>
      <c r="CL1455" s="1">
        <v>0</v>
      </c>
      <c r="CM1455" s="1">
        <v>0</v>
      </c>
      <c r="CN1455" s="1">
        <v>0</v>
      </c>
    </row>
    <row r="1456" spans="1:92" ht="14.25" customHeight="1" x14ac:dyDescent="0.15">
      <c r="A1456" s="1" t="s">
        <v>11261</v>
      </c>
      <c r="B1456" s="1" t="s">
        <v>242</v>
      </c>
      <c r="C1456" s="1"/>
      <c r="D1456" s="1"/>
      <c r="E1456" s="1" t="s">
        <v>11262</v>
      </c>
      <c r="F1456" s="1" t="s">
        <v>98</v>
      </c>
      <c r="G1456" s="1" t="s">
        <v>11263</v>
      </c>
      <c r="H1456" s="1">
        <v>0</v>
      </c>
      <c r="I1456" s="1" t="s">
        <v>161</v>
      </c>
      <c r="J1456" s="1"/>
      <c r="K1456" s="1"/>
      <c r="L1456" s="1" t="s">
        <v>11230</v>
      </c>
      <c r="M1456" s="1" t="s">
        <v>289</v>
      </c>
      <c r="N1456" s="1">
        <v>0</v>
      </c>
      <c r="O1456" s="1">
        <v>0</v>
      </c>
      <c r="P1456" s="1" t="s">
        <v>507</v>
      </c>
      <c r="Q1456" s="1" t="s">
        <v>167</v>
      </c>
      <c r="R1456" s="1" t="s">
        <v>11264</v>
      </c>
      <c r="S1456" s="1" t="s">
        <v>11265</v>
      </c>
      <c r="T1456" s="1" t="s">
        <v>11080</v>
      </c>
      <c r="U1456" s="1" t="s">
        <v>11266</v>
      </c>
      <c r="V1456" s="1">
        <v>1</v>
      </c>
      <c r="W1456" s="1">
        <v>1</v>
      </c>
      <c r="X1456" s="1">
        <v>1</v>
      </c>
      <c r="Y1456" s="1">
        <v>0</v>
      </c>
      <c r="Z1456" s="1">
        <v>1</v>
      </c>
      <c r="AA1456" s="1" t="s">
        <v>109</v>
      </c>
      <c r="AB1456" s="1" t="s">
        <v>109</v>
      </c>
      <c r="AC1456" s="1">
        <v>8</v>
      </c>
      <c r="AD1456" s="1" t="s">
        <v>109</v>
      </c>
      <c r="AE1456" s="1" t="s">
        <v>109</v>
      </c>
      <c r="AF1456" s="1" t="s">
        <v>109</v>
      </c>
      <c r="AG1456" s="1" t="s">
        <v>109</v>
      </c>
      <c r="AH1456" s="1" t="s">
        <v>109</v>
      </c>
      <c r="AI1456" s="1" t="s">
        <v>109</v>
      </c>
      <c r="AJ1456" s="1">
        <v>8</v>
      </c>
      <c r="AK1456" s="1" t="s">
        <v>109</v>
      </c>
      <c r="AL1456" s="1">
        <v>8</v>
      </c>
      <c r="AM1456" s="1" t="s">
        <v>109</v>
      </c>
      <c r="AN1456" s="1" t="s">
        <v>109</v>
      </c>
      <c r="AO1456" s="1" t="s">
        <v>109</v>
      </c>
      <c r="AP1456" s="1"/>
      <c r="AQ1456" s="1">
        <v>8</v>
      </c>
      <c r="AR1456" s="1"/>
      <c r="AS1456" s="1"/>
      <c r="AT1456" s="1">
        <v>0</v>
      </c>
      <c r="AU1456" s="1">
        <v>0</v>
      </c>
      <c r="AV1456" s="1">
        <v>0</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t="s">
        <v>109</v>
      </c>
      <c r="BT1456" s="1">
        <v>1513</v>
      </c>
      <c r="BU1456" s="1" t="s">
        <v>109</v>
      </c>
      <c r="BV1456" s="1"/>
      <c r="BW1456" s="1"/>
      <c r="BX1456" s="1"/>
      <c r="BY1456" s="1"/>
      <c r="BZ1456" s="1">
        <v>0</v>
      </c>
      <c r="CA1456" s="1" t="s">
        <v>109</v>
      </c>
      <c r="CB1456" s="1" t="s">
        <v>109</v>
      </c>
      <c r="CC1456" s="1" t="s">
        <v>109</v>
      </c>
      <c r="CD1456" s="1" t="s">
        <v>109</v>
      </c>
      <c r="CE1456" s="1" t="s">
        <v>109</v>
      </c>
      <c r="CF1456" s="1" t="s">
        <v>109</v>
      </c>
      <c r="CG1456" s="1" t="s">
        <v>109</v>
      </c>
      <c r="CH1456" s="1" t="s">
        <v>109</v>
      </c>
      <c r="CI1456" s="1" t="s">
        <v>109</v>
      </c>
      <c r="CJ1456" s="1" t="s">
        <v>109</v>
      </c>
      <c r="CK1456" s="1"/>
      <c r="CL1456" s="1">
        <v>0</v>
      </c>
      <c r="CM1456" s="1">
        <v>0</v>
      </c>
      <c r="CN1456" s="1">
        <v>0</v>
      </c>
    </row>
    <row r="1457" spans="1:92" ht="14.25" customHeight="1" x14ac:dyDescent="0.15">
      <c r="A1457" s="1" t="s">
        <v>11267</v>
      </c>
      <c r="B1457" s="1" t="s">
        <v>189</v>
      </c>
      <c r="C1457" s="1"/>
      <c r="D1457" s="1" t="s">
        <v>47</v>
      </c>
      <c r="E1457" s="1" t="s">
        <v>11268</v>
      </c>
      <c r="F1457" s="1" t="s">
        <v>98</v>
      </c>
      <c r="G1457" s="1" t="s">
        <v>141</v>
      </c>
      <c r="H1457" s="1">
        <v>0</v>
      </c>
      <c r="I1457" s="1" t="s">
        <v>142</v>
      </c>
      <c r="J1457" s="1"/>
      <c r="K1457" s="1"/>
      <c r="L1457" s="1" t="s">
        <v>563</v>
      </c>
      <c r="M1457" s="1" t="s">
        <v>11269</v>
      </c>
      <c r="N1457" s="1">
        <v>0</v>
      </c>
      <c r="O1457" s="1">
        <v>0</v>
      </c>
      <c r="P1457" s="1" t="s">
        <v>3667</v>
      </c>
      <c r="Q1457" s="1" t="s">
        <v>268</v>
      </c>
      <c r="R1457" s="1" t="s">
        <v>11270</v>
      </c>
      <c r="S1457" s="1" t="s">
        <v>11271</v>
      </c>
      <c r="T1457" s="1" t="s">
        <v>11080</v>
      </c>
      <c r="U1457" s="1" t="s">
        <v>11272</v>
      </c>
      <c r="V1457" s="1">
        <v>1</v>
      </c>
      <c r="W1457" s="1">
        <v>1</v>
      </c>
      <c r="X1457" s="1">
        <v>0</v>
      </c>
      <c r="Y1457" s="1">
        <v>0</v>
      </c>
      <c r="Z1457" s="1">
        <v>0</v>
      </c>
      <c r="AA1457" s="1">
        <v>2</v>
      </c>
      <c r="AB1457" s="1">
        <v>2</v>
      </c>
      <c r="AC1457" s="1" t="s">
        <v>109</v>
      </c>
      <c r="AD1457" s="1">
        <v>2</v>
      </c>
      <c r="AE1457" s="1" t="s">
        <v>109</v>
      </c>
      <c r="AF1457" s="1">
        <v>2</v>
      </c>
      <c r="AG1457" s="1" t="s">
        <v>109</v>
      </c>
      <c r="AH1457" s="1" t="s">
        <v>109</v>
      </c>
      <c r="AI1457" s="1" t="s">
        <v>109</v>
      </c>
      <c r="AJ1457" s="1">
        <v>2</v>
      </c>
      <c r="AK1457" s="1" t="s">
        <v>109</v>
      </c>
      <c r="AL1457" s="1" t="s">
        <v>109</v>
      </c>
      <c r="AM1457" s="1" t="s">
        <v>109</v>
      </c>
      <c r="AN1457" s="1" t="s">
        <v>109</v>
      </c>
      <c r="AO1457" s="1" t="s">
        <v>109</v>
      </c>
      <c r="AP1457" s="1"/>
      <c r="AQ1457" s="1">
        <v>2</v>
      </c>
      <c r="AR1457" s="1"/>
      <c r="AS1457" s="1"/>
      <c r="AT1457" s="1">
        <v>0</v>
      </c>
      <c r="AU1457" s="1">
        <v>1</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t="s">
        <v>109</v>
      </c>
      <c r="BT1457" s="1">
        <v>1514</v>
      </c>
      <c r="BU1457" s="1" t="s">
        <v>109</v>
      </c>
      <c r="BV1457" s="1"/>
      <c r="BW1457" s="1"/>
      <c r="BX1457" s="1"/>
      <c r="BY1457" s="1"/>
      <c r="BZ1457" s="1">
        <v>0</v>
      </c>
      <c r="CA1457" s="1">
        <v>2</v>
      </c>
      <c r="CB1457" s="1" t="s">
        <v>109</v>
      </c>
      <c r="CC1457" s="1">
        <v>2</v>
      </c>
      <c r="CD1457" s="1" t="s">
        <v>109</v>
      </c>
      <c r="CE1457" s="1">
        <v>2</v>
      </c>
      <c r="CF1457" s="1" t="s">
        <v>109</v>
      </c>
      <c r="CG1457" s="1" t="s">
        <v>109</v>
      </c>
      <c r="CH1457" s="1" t="s">
        <v>109</v>
      </c>
      <c r="CI1457" s="1" t="s">
        <v>109</v>
      </c>
      <c r="CJ1457" s="1">
        <v>2</v>
      </c>
      <c r="CK1457" s="1"/>
      <c r="CL1457" s="1">
        <v>0</v>
      </c>
      <c r="CM1457" s="1">
        <v>0</v>
      </c>
      <c r="CN1457" s="1">
        <v>0</v>
      </c>
    </row>
    <row r="1458" spans="1:92" ht="14.25" customHeight="1" x14ac:dyDescent="0.15">
      <c r="A1458" s="1" t="s">
        <v>11273</v>
      </c>
      <c r="B1458" s="1" t="s">
        <v>584</v>
      </c>
      <c r="C1458" s="1"/>
      <c r="D1458" s="1" t="s">
        <v>6874</v>
      </c>
      <c r="E1458" s="1" t="s">
        <v>11274</v>
      </c>
      <c r="F1458" s="1" t="s">
        <v>98</v>
      </c>
      <c r="G1458" s="1" t="s">
        <v>160</v>
      </c>
      <c r="H1458" s="1">
        <v>0</v>
      </c>
      <c r="I1458" s="1" t="s">
        <v>142</v>
      </c>
      <c r="J1458" s="1"/>
      <c r="K1458" s="1" t="s">
        <v>11275</v>
      </c>
      <c r="L1458" s="1"/>
      <c r="M1458" s="1" t="s">
        <v>5684</v>
      </c>
      <c r="N1458" s="1">
        <v>0</v>
      </c>
      <c r="O1458" s="1">
        <v>0</v>
      </c>
      <c r="P1458" s="1" t="s">
        <v>267</v>
      </c>
      <c r="Q1458" s="1" t="s">
        <v>268</v>
      </c>
      <c r="R1458" s="1" t="s">
        <v>11276</v>
      </c>
      <c r="S1458" s="1" t="s">
        <v>11277</v>
      </c>
      <c r="T1458" s="1" t="s">
        <v>11080</v>
      </c>
      <c r="U1458" s="1" t="s">
        <v>11278</v>
      </c>
      <c r="V1458" s="1">
        <v>1</v>
      </c>
      <c r="W1458" s="1">
        <v>1</v>
      </c>
      <c r="X1458" s="1">
        <v>0</v>
      </c>
      <c r="Y1458" s="1">
        <v>0</v>
      </c>
      <c r="Z1458" s="1">
        <v>1</v>
      </c>
      <c r="AA1458" s="1" t="s">
        <v>109</v>
      </c>
      <c r="AB1458" s="1" t="s">
        <v>109</v>
      </c>
      <c r="AC1458" s="1">
        <v>2</v>
      </c>
      <c r="AD1458" s="1" t="s">
        <v>109</v>
      </c>
      <c r="AE1458" s="1" t="s">
        <v>109</v>
      </c>
      <c r="AF1458" s="1" t="s">
        <v>109</v>
      </c>
      <c r="AG1458" s="1">
        <v>2</v>
      </c>
      <c r="AH1458" s="1" t="s">
        <v>109</v>
      </c>
      <c r="AI1458" s="1" t="s">
        <v>109</v>
      </c>
      <c r="AJ1458" s="1" t="s">
        <v>109</v>
      </c>
      <c r="AK1458" s="1">
        <v>3</v>
      </c>
      <c r="AL1458" s="1">
        <v>2</v>
      </c>
      <c r="AM1458" s="1" t="s">
        <v>109</v>
      </c>
      <c r="AN1458" s="1" t="s">
        <v>109</v>
      </c>
      <c r="AO1458" s="1" t="s">
        <v>109</v>
      </c>
      <c r="AP1458" s="1"/>
      <c r="AQ1458" s="1">
        <v>2</v>
      </c>
      <c r="AR1458" s="1"/>
      <c r="AS1458" s="1"/>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1</v>
      </c>
      <c r="BJ1458" s="1">
        <v>0</v>
      </c>
      <c r="BK1458" s="1">
        <v>0</v>
      </c>
      <c r="BL1458" s="1">
        <v>1</v>
      </c>
      <c r="BM1458" s="1">
        <v>0</v>
      </c>
      <c r="BN1458" s="1">
        <v>0</v>
      </c>
      <c r="BO1458" s="1">
        <v>0</v>
      </c>
      <c r="BP1458" s="1">
        <v>0</v>
      </c>
      <c r="BQ1458" s="1">
        <v>0</v>
      </c>
      <c r="BR1458" s="1">
        <v>0</v>
      </c>
      <c r="BS1458" s="1" t="s">
        <v>109</v>
      </c>
      <c r="BT1458" s="1">
        <v>1515</v>
      </c>
      <c r="BU1458" s="1" t="s">
        <v>109</v>
      </c>
      <c r="BV1458" s="1"/>
      <c r="BW1458" s="1"/>
      <c r="BX1458" s="1" t="s">
        <v>11279</v>
      </c>
      <c r="BY1458" s="1"/>
      <c r="BZ1458" s="1">
        <v>1</v>
      </c>
      <c r="CA1458" s="1" t="s">
        <v>109</v>
      </c>
      <c r="CB1458" s="1" t="s">
        <v>109</v>
      </c>
      <c r="CC1458" s="1" t="s">
        <v>109</v>
      </c>
      <c r="CD1458" s="1" t="s">
        <v>109</v>
      </c>
      <c r="CE1458" s="1" t="s">
        <v>109</v>
      </c>
      <c r="CF1458" s="1" t="s">
        <v>109</v>
      </c>
      <c r="CG1458" s="1" t="s">
        <v>109</v>
      </c>
      <c r="CH1458" s="1" t="s">
        <v>109</v>
      </c>
      <c r="CI1458" s="1" t="s">
        <v>109</v>
      </c>
      <c r="CJ1458" s="1" t="s">
        <v>109</v>
      </c>
      <c r="CK1458" s="1"/>
      <c r="CL1458" s="1">
        <v>0</v>
      </c>
      <c r="CM1458" s="1">
        <v>0</v>
      </c>
      <c r="CN1458" s="1">
        <v>0</v>
      </c>
    </row>
    <row r="1459" spans="1:92" ht="14.25" customHeight="1" x14ac:dyDescent="0.15">
      <c r="A1459" s="1" t="s">
        <v>11280</v>
      </c>
      <c r="B1459" s="1" t="s">
        <v>189</v>
      </c>
      <c r="C1459" s="1"/>
      <c r="D1459" s="1"/>
      <c r="E1459" s="1" t="s">
        <v>8305</v>
      </c>
      <c r="F1459" s="1" t="s">
        <v>98</v>
      </c>
      <c r="G1459" s="1" t="s">
        <v>141</v>
      </c>
      <c r="H1459" s="1">
        <v>0</v>
      </c>
      <c r="I1459" s="1" t="s">
        <v>161</v>
      </c>
      <c r="J1459" s="1"/>
      <c r="K1459" s="1"/>
      <c r="L1459" s="1" t="s">
        <v>11281</v>
      </c>
      <c r="M1459" s="1" t="s">
        <v>3042</v>
      </c>
      <c r="N1459" s="1">
        <v>0</v>
      </c>
      <c r="O1459" s="1">
        <v>0</v>
      </c>
      <c r="P1459" s="1" t="s">
        <v>1382</v>
      </c>
      <c r="Q1459" s="1" t="s">
        <v>167</v>
      </c>
      <c r="R1459" s="1" t="s">
        <v>11282</v>
      </c>
      <c r="S1459" s="1" t="s">
        <v>11283</v>
      </c>
      <c r="T1459" s="1" t="s">
        <v>11080</v>
      </c>
      <c r="U1459" s="1" t="s">
        <v>11284</v>
      </c>
      <c r="V1459" s="1">
        <v>1</v>
      </c>
      <c r="W1459" s="1">
        <v>1</v>
      </c>
      <c r="X1459" s="1">
        <v>0</v>
      </c>
      <c r="Y1459" s="1">
        <v>0</v>
      </c>
      <c r="Z1459" s="1">
        <v>0</v>
      </c>
      <c r="AA1459" s="1" t="s">
        <v>109</v>
      </c>
      <c r="AB1459" s="1" t="s">
        <v>109</v>
      </c>
      <c r="AC1459" s="1">
        <v>2</v>
      </c>
      <c r="AD1459" s="1" t="s">
        <v>109</v>
      </c>
      <c r="AE1459" s="1" t="s">
        <v>109</v>
      </c>
      <c r="AF1459" s="1" t="s">
        <v>109</v>
      </c>
      <c r="AG1459" s="1" t="s">
        <v>109</v>
      </c>
      <c r="AH1459" s="1" t="s">
        <v>109</v>
      </c>
      <c r="AI1459" s="1" t="s">
        <v>109</v>
      </c>
      <c r="AJ1459" s="1" t="s">
        <v>109</v>
      </c>
      <c r="AK1459" s="1" t="s">
        <v>109</v>
      </c>
      <c r="AL1459" s="1">
        <v>2</v>
      </c>
      <c r="AM1459" s="1" t="s">
        <v>109</v>
      </c>
      <c r="AN1459" s="1" t="s">
        <v>109</v>
      </c>
      <c r="AO1459" s="1" t="s">
        <v>109</v>
      </c>
      <c r="AP1459" s="1"/>
      <c r="AQ1459" s="1">
        <v>2</v>
      </c>
      <c r="AR1459" s="1"/>
      <c r="AS1459" s="1"/>
      <c r="AT1459" s="1">
        <v>0</v>
      </c>
      <c r="AU1459" s="1">
        <v>0</v>
      </c>
      <c r="AV1459" s="1">
        <v>0</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t="s">
        <v>109</v>
      </c>
      <c r="BT1459" s="1">
        <v>1516</v>
      </c>
      <c r="BU1459" s="1" t="s">
        <v>109</v>
      </c>
      <c r="BV1459" s="1"/>
      <c r="BW1459" s="1"/>
      <c r="BX1459" s="1"/>
      <c r="BY1459" s="1"/>
      <c r="BZ1459" s="1">
        <v>0</v>
      </c>
      <c r="CA1459" s="1" t="s">
        <v>109</v>
      </c>
      <c r="CB1459" s="1" t="s">
        <v>109</v>
      </c>
      <c r="CC1459" s="1" t="s">
        <v>109</v>
      </c>
      <c r="CD1459" s="1" t="s">
        <v>109</v>
      </c>
      <c r="CE1459" s="1" t="s">
        <v>109</v>
      </c>
      <c r="CF1459" s="1" t="s">
        <v>109</v>
      </c>
      <c r="CG1459" s="1" t="s">
        <v>109</v>
      </c>
      <c r="CH1459" s="1" t="s">
        <v>109</v>
      </c>
      <c r="CI1459" s="1" t="s">
        <v>109</v>
      </c>
      <c r="CJ1459" s="1" t="s">
        <v>109</v>
      </c>
      <c r="CK1459" s="1"/>
      <c r="CL1459" s="1">
        <v>0</v>
      </c>
      <c r="CM1459" s="1">
        <v>0</v>
      </c>
      <c r="CN1459" s="1">
        <v>0</v>
      </c>
    </row>
    <row r="1460" spans="1:92" ht="14.25" customHeight="1" x14ac:dyDescent="0.15">
      <c r="A1460" s="1" t="s">
        <v>11285</v>
      </c>
      <c r="B1460" s="1" t="s">
        <v>308</v>
      </c>
      <c r="C1460" s="1"/>
      <c r="D1460" s="1"/>
      <c r="E1460" s="1" t="s">
        <v>4132</v>
      </c>
      <c r="F1460" s="1" t="s">
        <v>98</v>
      </c>
      <c r="G1460" s="1" t="s">
        <v>141</v>
      </c>
      <c r="H1460" s="1">
        <v>0</v>
      </c>
      <c r="I1460" s="1" t="s">
        <v>161</v>
      </c>
      <c r="J1460" s="1"/>
      <c r="K1460" s="1"/>
      <c r="L1460" s="1" t="s">
        <v>506</v>
      </c>
      <c r="M1460" s="1" t="s">
        <v>5642</v>
      </c>
      <c r="N1460" s="1">
        <v>0</v>
      </c>
      <c r="O1460" s="1">
        <v>0</v>
      </c>
      <c r="P1460" s="1" t="s">
        <v>1382</v>
      </c>
      <c r="Q1460" s="1" t="s">
        <v>167</v>
      </c>
      <c r="R1460" s="1" t="s">
        <v>11286</v>
      </c>
      <c r="S1460" s="1" t="s">
        <v>11287</v>
      </c>
      <c r="T1460" s="1" t="s">
        <v>11080</v>
      </c>
      <c r="U1460" s="1" t="s">
        <v>11288</v>
      </c>
      <c r="V1460" s="1">
        <v>1</v>
      </c>
      <c r="W1460" s="1">
        <v>1</v>
      </c>
      <c r="X1460" s="1">
        <v>0</v>
      </c>
      <c r="Y1460" s="1">
        <v>0</v>
      </c>
      <c r="Z1460" s="1">
        <v>0</v>
      </c>
      <c r="AA1460" s="1" t="s">
        <v>109</v>
      </c>
      <c r="AB1460" s="1" t="s">
        <v>109</v>
      </c>
      <c r="AC1460" s="1">
        <v>5</v>
      </c>
      <c r="AD1460" s="1" t="s">
        <v>109</v>
      </c>
      <c r="AE1460" s="1" t="s">
        <v>109</v>
      </c>
      <c r="AF1460" s="1" t="s">
        <v>109</v>
      </c>
      <c r="AG1460" s="1" t="s">
        <v>109</v>
      </c>
      <c r="AH1460" s="1" t="s">
        <v>109</v>
      </c>
      <c r="AI1460" s="1" t="s">
        <v>109</v>
      </c>
      <c r="AJ1460" s="1" t="s">
        <v>109</v>
      </c>
      <c r="AK1460" s="1">
        <v>5</v>
      </c>
      <c r="AL1460" s="1">
        <v>5</v>
      </c>
      <c r="AM1460" s="1" t="s">
        <v>109</v>
      </c>
      <c r="AN1460" s="1" t="s">
        <v>109</v>
      </c>
      <c r="AO1460" s="1" t="s">
        <v>109</v>
      </c>
      <c r="AP1460" s="1"/>
      <c r="AQ1460" s="1">
        <v>5</v>
      </c>
      <c r="AR1460" s="1"/>
      <c r="AS1460" s="1"/>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t="s">
        <v>109</v>
      </c>
      <c r="BT1460" s="1">
        <v>1517</v>
      </c>
      <c r="BU1460" s="1" t="s">
        <v>109</v>
      </c>
      <c r="BV1460" s="1"/>
      <c r="BW1460" s="1"/>
      <c r="BX1460" s="1"/>
      <c r="BY1460" s="1"/>
      <c r="BZ1460" s="1">
        <v>0</v>
      </c>
      <c r="CA1460" s="1" t="s">
        <v>109</v>
      </c>
      <c r="CB1460" s="1" t="s">
        <v>109</v>
      </c>
      <c r="CC1460" s="1" t="s">
        <v>109</v>
      </c>
      <c r="CD1460" s="1" t="s">
        <v>109</v>
      </c>
      <c r="CE1460" s="1" t="s">
        <v>109</v>
      </c>
      <c r="CF1460" s="1" t="s">
        <v>109</v>
      </c>
      <c r="CG1460" s="1" t="s">
        <v>109</v>
      </c>
      <c r="CH1460" s="1" t="s">
        <v>109</v>
      </c>
      <c r="CI1460" s="1" t="s">
        <v>109</v>
      </c>
      <c r="CJ1460" s="1" t="s">
        <v>109</v>
      </c>
      <c r="CK1460" s="1"/>
      <c r="CL1460" s="1">
        <v>0</v>
      </c>
      <c r="CM1460" s="1">
        <v>0</v>
      </c>
      <c r="CN1460" s="1">
        <v>0</v>
      </c>
    </row>
    <row r="1461" spans="1:92" ht="14.25" customHeight="1" x14ac:dyDescent="0.15">
      <c r="A1461" s="1" t="s">
        <v>11289</v>
      </c>
      <c r="B1461" s="1" t="s">
        <v>189</v>
      </c>
      <c r="C1461" s="1" t="s">
        <v>231</v>
      </c>
      <c r="D1461" s="1"/>
      <c r="E1461" s="1" t="s">
        <v>11290</v>
      </c>
      <c r="F1461" s="1" t="s">
        <v>98</v>
      </c>
      <c r="G1461" s="1" t="s">
        <v>141</v>
      </c>
      <c r="H1461" s="1">
        <v>0</v>
      </c>
      <c r="I1461" s="1" t="s">
        <v>161</v>
      </c>
      <c r="J1461" s="1"/>
      <c r="K1461" s="1"/>
      <c r="L1461" s="1" t="s">
        <v>11291</v>
      </c>
      <c r="M1461" s="1" t="s">
        <v>7432</v>
      </c>
      <c r="N1461" s="1">
        <v>1</v>
      </c>
      <c r="O1461" s="1">
        <v>0</v>
      </c>
      <c r="P1461" s="1" t="s">
        <v>507</v>
      </c>
      <c r="Q1461" s="1" t="s">
        <v>167</v>
      </c>
      <c r="R1461" s="1" t="s">
        <v>11292</v>
      </c>
      <c r="S1461" s="1" t="s">
        <v>11293</v>
      </c>
      <c r="T1461" s="1" t="s">
        <v>11080</v>
      </c>
      <c r="U1461" s="1" t="s">
        <v>11294</v>
      </c>
      <c r="V1461" s="1">
        <v>1</v>
      </c>
      <c r="W1461" s="1">
        <v>1</v>
      </c>
      <c r="X1461" s="1">
        <v>0</v>
      </c>
      <c r="Y1461" s="1">
        <v>0</v>
      </c>
      <c r="Z1461" s="1">
        <v>0</v>
      </c>
      <c r="AA1461" s="1">
        <v>3</v>
      </c>
      <c r="AB1461" s="1">
        <v>3</v>
      </c>
      <c r="AC1461" s="1">
        <v>2</v>
      </c>
      <c r="AD1461" s="1" t="s">
        <v>109</v>
      </c>
      <c r="AE1461" s="1" t="s">
        <v>109</v>
      </c>
      <c r="AF1461" s="1" t="s">
        <v>109</v>
      </c>
      <c r="AG1461" s="1" t="s">
        <v>109</v>
      </c>
      <c r="AH1461" s="1">
        <v>2</v>
      </c>
      <c r="AI1461" s="1" t="s">
        <v>109</v>
      </c>
      <c r="AJ1461" s="1">
        <v>2</v>
      </c>
      <c r="AK1461" s="1" t="s">
        <v>109</v>
      </c>
      <c r="AL1461" s="1">
        <v>2</v>
      </c>
      <c r="AM1461" s="1">
        <v>3</v>
      </c>
      <c r="AN1461" s="1" t="s">
        <v>109</v>
      </c>
      <c r="AO1461" s="1" t="s">
        <v>109</v>
      </c>
      <c r="AP1461" s="1"/>
      <c r="AQ1461" s="1">
        <v>3</v>
      </c>
      <c r="AR1461" s="1"/>
      <c r="AS1461" s="1"/>
      <c r="AT1461" s="1">
        <v>0</v>
      </c>
      <c r="AU1461" s="1">
        <v>0</v>
      </c>
      <c r="AV1461" s="1">
        <v>0</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t="s">
        <v>109</v>
      </c>
      <c r="BT1461" s="1">
        <v>1518</v>
      </c>
      <c r="BU1461" s="1" t="s">
        <v>109</v>
      </c>
      <c r="BV1461" s="1"/>
      <c r="BW1461" s="1"/>
      <c r="BX1461" s="1"/>
      <c r="BY1461" s="1"/>
      <c r="BZ1461" s="1">
        <v>0</v>
      </c>
      <c r="CA1461" s="1" t="s">
        <v>109</v>
      </c>
      <c r="CB1461" s="1" t="s">
        <v>109</v>
      </c>
      <c r="CC1461" s="1">
        <v>2</v>
      </c>
      <c r="CD1461" s="1" t="s">
        <v>109</v>
      </c>
      <c r="CE1461" s="1" t="s">
        <v>109</v>
      </c>
      <c r="CF1461" s="1" t="s">
        <v>109</v>
      </c>
      <c r="CG1461" s="1" t="s">
        <v>109</v>
      </c>
      <c r="CH1461" s="1" t="s">
        <v>109</v>
      </c>
      <c r="CI1461" s="1" t="s">
        <v>109</v>
      </c>
      <c r="CJ1461" s="1" t="s">
        <v>109</v>
      </c>
      <c r="CK1461" s="1"/>
      <c r="CL1461" s="1">
        <v>0</v>
      </c>
      <c r="CM1461" s="1">
        <v>0</v>
      </c>
      <c r="CN1461" s="1">
        <v>0</v>
      </c>
    </row>
    <row r="1462" spans="1:92" ht="14.25" customHeight="1" x14ac:dyDescent="0.15">
      <c r="A1462" s="1" t="s">
        <v>11295</v>
      </c>
      <c r="B1462" s="1" t="s">
        <v>95</v>
      </c>
      <c r="C1462" s="1" t="s">
        <v>96</v>
      </c>
      <c r="D1462" s="1"/>
      <c r="E1462" s="1" t="s">
        <v>11296</v>
      </c>
      <c r="F1462" s="1" t="s">
        <v>98</v>
      </c>
      <c r="G1462" s="1" t="s">
        <v>141</v>
      </c>
      <c r="H1462" s="1">
        <v>0</v>
      </c>
      <c r="I1462" s="1" t="s">
        <v>142</v>
      </c>
      <c r="J1462" s="1"/>
      <c r="K1462" s="1" t="s">
        <v>11297</v>
      </c>
      <c r="L1462" s="1"/>
      <c r="M1462" s="1" t="s">
        <v>164</v>
      </c>
      <c r="N1462" s="1">
        <v>0</v>
      </c>
      <c r="O1462" s="1">
        <v>0</v>
      </c>
      <c r="P1462" s="1" t="s">
        <v>5310</v>
      </c>
      <c r="Q1462" s="1" t="s">
        <v>104</v>
      </c>
      <c r="R1462" s="1" t="s">
        <v>11298</v>
      </c>
      <c r="S1462" s="1" t="s">
        <v>11299</v>
      </c>
      <c r="T1462" s="1" t="s">
        <v>11080</v>
      </c>
      <c r="U1462" s="1" t="s">
        <v>11300</v>
      </c>
      <c r="V1462" s="1">
        <v>1</v>
      </c>
      <c r="W1462" s="1">
        <v>1</v>
      </c>
      <c r="X1462" s="1">
        <v>0</v>
      </c>
      <c r="Y1462" s="1">
        <v>0</v>
      </c>
      <c r="Z1462" s="1">
        <v>0</v>
      </c>
      <c r="AA1462" s="1">
        <v>1</v>
      </c>
      <c r="AB1462" s="1">
        <v>1</v>
      </c>
      <c r="AC1462" s="1" t="s">
        <v>109</v>
      </c>
      <c r="AD1462" s="1" t="s">
        <v>109</v>
      </c>
      <c r="AE1462" s="1" t="s">
        <v>109</v>
      </c>
      <c r="AF1462" s="1" t="s">
        <v>109</v>
      </c>
      <c r="AG1462" s="1" t="s">
        <v>109</v>
      </c>
      <c r="AH1462" s="1" t="s">
        <v>109</v>
      </c>
      <c r="AI1462" s="1" t="s">
        <v>109</v>
      </c>
      <c r="AJ1462" s="1">
        <v>1</v>
      </c>
      <c r="AK1462" s="1" t="s">
        <v>109</v>
      </c>
      <c r="AL1462" s="1" t="s">
        <v>109</v>
      </c>
      <c r="AM1462" s="1" t="s">
        <v>109</v>
      </c>
      <c r="AN1462" s="1">
        <v>1</v>
      </c>
      <c r="AO1462" s="1" t="s">
        <v>109</v>
      </c>
      <c r="AP1462" s="1"/>
      <c r="AQ1462" s="1">
        <v>1</v>
      </c>
      <c r="AR1462" s="1"/>
      <c r="AS1462" s="1"/>
      <c r="AT1462" s="1">
        <v>0</v>
      </c>
      <c r="AU1462" s="1">
        <v>0</v>
      </c>
      <c r="AV1462" s="1">
        <v>0</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t="s">
        <v>109</v>
      </c>
      <c r="BT1462" s="1">
        <v>1519</v>
      </c>
      <c r="BU1462" s="1" t="s">
        <v>109</v>
      </c>
      <c r="BV1462" s="1"/>
      <c r="BW1462" s="1"/>
      <c r="BX1462" s="1"/>
      <c r="BY1462" s="1"/>
      <c r="BZ1462" s="1">
        <v>0</v>
      </c>
      <c r="CA1462" s="1">
        <v>1</v>
      </c>
      <c r="CB1462" s="1" t="s">
        <v>109</v>
      </c>
      <c r="CC1462" s="1" t="s">
        <v>109</v>
      </c>
      <c r="CD1462" s="1" t="s">
        <v>109</v>
      </c>
      <c r="CE1462" s="1" t="s">
        <v>109</v>
      </c>
      <c r="CF1462" s="1" t="s">
        <v>109</v>
      </c>
      <c r="CG1462" s="1" t="s">
        <v>109</v>
      </c>
      <c r="CH1462" s="1" t="s">
        <v>109</v>
      </c>
      <c r="CI1462" s="1" t="s">
        <v>109</v>
      </c>
      <c r="CJ1462" s="1" t="s">
        <v>109</v>
      </c>
      <c r="CK1462" s="1"/>
      <c r="CL1462" s="1">
        <v>0</v>
      </c>
      <c r="CM1462" s="1">
        <v>0</v>
      </c>
      <c r="CN1462" s="1">
        <v>0</v>
      </c>
    </row>
    <row r="1463" spans="1:92" ht="14.25" customHeight="1" x14ac:dyDescent="0.15">
      <c r="A1463" s="1" t="s">
        <v>11301</v>
      </c>
      <c r="B1463" s="1" t="s">
        <v>95</v>
      </c>
      <c r="C1463" s="1" t="s">
        <v>96</v>
      </c>
      <c r="D1463" s="1"/>
      <c r="E1463" s="1" t="s">
        <v>9715</v>
      </c>
      <c r="F1463" s="1" t="s">
        <v>98</v>
      </c>
      <c r="G1463" s="1" t="s">
        <v>141</v>
      </c>
      <c r="H1463" s="1">
        <v>0</v>
      </c>
      <c r="I1463" s="1" t="s">
        <v>122</v>
      </c>
      <c r="J1463" s="1"/>
      <c r="K1463" s="1" t="s">
        <v>933</v>
      </c>
      <c r="L1463" s="1"/>
      <c r="M1463" s="1" t="s">
        <v>3042</v>
      </c>
      <c r="N1463" s="1">
        <v>0</v>
      </c>
      <c r="O1463" s="1">
        <v>0</v>
      </c>
      <c r="P1463" s="1" t="s">
        <v>1841</v>
      </c>
      <c r="Q1463" s="1" t="s">
        <v>104</v>
      </c>
      <c r="R1463" s="1" t="s">
        <v>11302</v>
      </c>
      <c r="S1463" s="1" t="s">
        <v>11303</v>
      </c>
      <c r="T1463" s="1" t="s">
        <v>11080</v>
      </c>
      <c r="U1463" s="1" t="s">
        <v>11304</v>
      </c>
      <c r="V1463" s="1">
        <v>1</v>
      </c>
      <c r="W1463" s="1">
        <v>1</v>
      </c>
      <c r="X1463" s="1">
        <v>0</v>
      </c>
      <c r="Y1463" s="1">
        <v>0</v>
      </c>
      <c r="Z1463" s="1">
        <v>0</v>
      </c>
      <c r="AA1463" s="1">
        <v>4</v>
      </c>
      <c r="AB1463" s="1">
        <v>4</v>
      </c>
      <c r="AC1463" s="1" t="s">
        <v>109</v>
      </c>
      <c r="AD1463" s="1" t="s">
        <v>109</v>
      </c>
      <c r="AE1463" s="1" t="s">
        <v>109</v>
      </c>
      <c r="AF1463" s="1" t="s">
        <v>109</v>
      </c>
      <c r="AG1463" s="1" t="s">
        <v>109</v>
      </c>
      <c r="AH1463" s="1" t="s">
        <v>109</v>
      </c>
      <c r="AI1463" s="1" t="s">
        <v>109</v>
      </c>
      <c r="AJ1463" s="1">
        <v>4</v>
      </c>
      <c r="AK1463" s="1" t="s">
        <v>109</v>
      </c>
      <c r="AL1463" s="1" t="s">
        <v>109</v>
      </c>
      <c r="AM1463" s="1" t="s">
        <v>109</v>
      </c>
      <c r="AN1463" s="1" t="s">
        <v>109</v>
      </c>
      <c r="AO1463" s="1" t="s">
        <v>109</v>
      </c>
      <c r="AP1463" s="1"/>
      <c r="AQ1463" s="1">
        <v>4</v>
      </c>
      <c r="AR1463" s="1"/>
      <c r="AS1463" s="1"/>
      <c r="AT1463" s="1">
        <v>0</v>
      </c>
      <c r="AU1463" s="1">
        <v>0</v>
      </c>
      <c r="AV1463" s="1">
        <v>0</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0</v>
      </c>
      <c r="BN1463" s="1">
        <v>0</v>
      </c>
      <c r="BO1463" s="1">
        <v>0</v>
      </c>
      <c r="BP1463" s="1">
        <v>0</v>
      </c>
      <c r="BQ1463" s="1">
        <v>0</v>
      </c>
      <c r="BR1463" s="1">
        <v>0</v>
      </c>
      <c r="BS1463" s="1" t="s">
        <v>109</v>
      </c>
      <c r="BT1463" s="1">
        <v>1520</v>
      </c>
      <c r="BU1463" s="1" t="s">
        <v>109</v>
      </c>
      <c r="BV1463" s="1"/>
      <c r="BW1463" s="1"/>
      <c r="BX1463" s="1"/>
      <c r="BY1463" s="1"/>
      <c r="BZ1463" s="1">
        <v>0</v>
      </c>
      <c r="CA1463" s="1" t="s">
        <v>109</v>
      </c>
      <c r="CB1463" s="1" t="s">
        <v>109</v>
      </c>
      <c r="CC1463" s="1" t="s">
        <v>109</v>
      </c>
      <c r="CD1463" s="1" t="s">
        <v>109</v>
      </c>
      <c r="CE1463" s="1" t="s">
        <v>109</v>
      </c>
      <c r="CF1463" s="1" t="s">
        <v>109</v>
      </c>
      <c r="CG1463" s="1" t="s">
        <v>109</v>
      </c>
      <c r="CH1463" s="1" t="s">
        <v>109</v>
      </c>
      <c r="CI1463" s="1" t="s">
        <v>109</v>
      </c>
      <c r="CJ1463" s="1" t="s">
        <v>109</v>
      </c>
      <c r="CK1463" s="1"/>
      <c r="CL1463" s="1">
        <v>0</v>
      </c>
      <c r="CM1463" s="1">
        <v>0</v>
      </c>
      <c r="CN1463" s="1">
        <v>0</v>
      </c>
    </row>
    <row r="1464" spans="1:92" ht="14.25" customHeight="1" x14ac:dyDescent="0.15">
      <c r="A1464" s="1" t="s">
        <v>11305</v>
      </c>
      <c r="B1464" s="1" t="s">
        <v>95</v>
      </c>
      <c r="C1464" s="1" t="s">
        <v>96</v>
      </c>
      <c r="D1464" s="1" t="s">
        <v>68</v>
      </c>
      <c r="E1464" s="1" t="s">
        <v>11306</v>
      </c>
      <c r="F1464" s="1" t="s">
        <v>98</v>
      </c>
      <c r="G1464" s="1" t="s">
        <v>141</v>
      </c>
      <c r="H1464" s="1">
        <v>0</v>
      </c>
      <c r="I1464" s="1" t="s">
        <v>122</v>
      </c>
      <c r="J1464" s="1"/>
      <c r="K1464" s="1" t="s">
        <v>11307</v>
      </c>
      <c r="L1464" s="1"/>
      <c r="M1464" s="1" t="s">
        <v>144</v>
      </c>
      <c r="N1464" s="1">
        <v>0</v>
      </c>
      <c r="O1464" s="1">
        <v>0</v>
      </c>
      <c r="P1464" s="1" t="s">
        <v>5310</v>
      </c>
      <c r="Q1464" s="1" t="s">
        <v>268</v>
      </c>
      <c r="R1464" s="1" t="s">
        <v>11308</v>
      </c>
      <c r="S1464" s="1" t="s">
        <v>11309</v>
      </c>
      <c r="T1464" s="1" t="s">
        <v>11080</v>
      </c>
      <c r="U1464" s="1" t="s">
        <v>11310</v>
      </c>
      <c r="V1464" s="1">
        <v>1</v>
      </c>
      <c r="W1464" s="1">
        <v>1</v>
      </c>
      <c r="X1464" s="1">
        <v>0</v>
      </c>
      <c r="Y1464" s="1">
        <v>0</v>
      </c>
      <c r="Z1464" s="1">
        <v>0</v>
      </c>
      <c r="AA1464" s="1">
        <v>3</v>
      </c>
      <c r="AB1464" s="1">
        <v>3</v>
      </c>
      <c r="AC1464" s="1" t="s">
        <v>109</v>
      </c>
      <c r="AD1464" s="1" t="s">
        <v>109</v>
      </c>
      <c r="AE1464" s="1" t="s">
        <v>109</v>
      </c>
      <c r="AF1464" s="1" t="s">
        <v>109</v>
      </c>
      <c r="AG1464" s="1" t="s">
        <v>109</v>
      </c>
      <c r="AH1464" s="1" t="s">
        <v>109</v>
      </c>
      <c r="AI1464" s="1" t="s">
        <v>109</v>
      </c>
      <c r="AJ1464" s="1">
        <v>3</v>
      </c>
      <c r="AK1464" s="1" t="s">
        <v>109</v>
      </c>
      <c r="AL1464" s="1" t="s">
        <v>109</v>
      </c>
      <c r="AM1464" s="1" t="s">
        <v>109</v>
      </c>
      <c r="AN1464" s="1">
        <v>3</v>
      </c>
      <c r="AO1464" s="1" t="s">
        <v>109</v>
      </c>
      <c r="AP1464" s="1"/>
      <c r="AQ1464" s="1">
        <v>3</v>
      </c>
      <c r="AR1464" s="1"/>
      <c r="AS1464" s="1"/>
      <c r="AT1464" s="1">
        <v>0</v>
      </c>
      <c r="AU1464" s="1">
        <v>0</v>
      </c>
      <c r="AV1464" s="1">
        <v>0</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1</v>
      </c>
      <c r="BQ1464" s="1">
        <v>0</v>
      </c>
      <c r="BR1464" s="1">
        <v>0</v>
      </c>
      <c r="BS1464" s="1" t="s">
        <v>109</v>
      </c>
      <c r="BT1464" s="1">
        <v>1521</v>
      </c>
      <c r="BU1464" s="1" t="s">
        <v>109</v>
      </c>
      <c r="BV1464" s="1"/>
      <c r="BW1464" s="1"/>
      <c r="BX1464" s="1"/>
      <c r="BY1464" s="1"/>
      <c r="BZ1464" s="1">
        <v>0</v>
      </c>
      <c r="CA1464" s="1">
        <v>3</v>
      </c>
      <c r="CB1464" s="1" t="s">
        <v>109</v>
      </c>
      <c r="CC1464" s="1" t="s">
        <v>109</v>
      </c>
      <c r="CD1464" s="1" t="s">
        <v>109</v>
      </c>
      <c r="CE1464" s="1" t="s">
        <v>109</v>
      </c>
      <c r="CF1464" s="1" t="s">
        <v>109</v>
      </c>
      <c r="CG1464" s="1" t="s">
        <v>109</v>
      </c>
      <c r="CH1464" s="1" t="s">
        <v>109</v>
      </c>
      <c r="CI1464" s="1" t="s">
        <v>109</v>
      </c>
      <c r="CJ1464" s="1" t="s">
        <v>109</v>
      </c>
      <c r="CK1464" s="1"/>
      <c r="CL1464" s="1">
        <v>0</v>
      </c>
      <c r="CM1464" s="1">
        <v>0</v>
      </c>
      <c r="CN1464" s="1">
        <v>0</v>
      </c>
    </row>
    <row r="1465" spans="1:92" ht="14.25" customHeight="1" x14ac:dyDescent="0.15">
      <c r="A1465" s="1" t="s">
        <v>11311</v>
      </c>
      <c r="B1465" s="1" t="s">
        <v>189</v>
      </c>
      <c r="C1465" s="1"/>
      <c r="D1465" s="1"/>
      <c r="E1465" s="1" t="s">
        <v>9018</v>
      </c>
      <c r="F1465" s="1" t="s">
        <v>98</v>
      </c>
      <c r="G1465" s="1" t="s">
        <v>11312</v>
      </c>
      <c r="H1465" s="1">
        <v>0</v>
      </c>
      <c r="I1465" s="1" t="s">
        <v>161</v>
      </c>
      <c r="J1465" s="1"/>
      <c r="K1465" s="1"/>
      <c r="L1465" s="1" t="s">
        <v>11313</v>
      </c>
      <c r="M1465" s="1" t="s">
        <v>6719</v>
      </c>
      <c r="N1465" s="1">
        <v>1</v>
      </c>
      <c r="O1465" s="1">
        <v>0</v>
      </c>
      <c r="P1465" s="1" t="s">
        <v>103</v>
      </c>
      <c r="Q1465" s="1" t="s">
        <v>104</v>
      </c>
      <c r="R1465" s="1" t="s">
        <v>11314</v>
      </c>
      <c r="S1465" s="1" t="s">
        <v>11315</v>
      </c>
      <c r="T1465" s="1" t="s">
        <v>11080</v>
      </c>
      <c r="U1465" s="1" t="s">
        <v>11316</v>
      </c>
      <c r="V1465" s="1">
        <v>1</v>
      </c>
      <c r="W1465" s="1">
        <v>1</v>
      </c>
      <c r="X1465" s="1">
        <v>1</v>
      </c>
      <c r="Y1465" s="1">
        <v>0</v>
      </c>
      <c r="Z1465" s="1">
        <v>0</v>
      </c>
      <c r="AA1465" s="1">
        <v>4</v>
      </c>
      <c r="AB1465" s="1">
        <v>4</v>
      </c>
      <c r="AC1465" s="1" t="s">
        <v>109</v>
      </c>
      <c r="AD1465" s="1" t="s">
        <v>109</v>
      </c>
      <c r="AE1465" s="1" t="s">
        <v>109</v>
      </c>
      <c r="AF1465" s="1" t="s">
        <v>109</v>
      </c>
      <c r="AG1465" s="1" t="s">
        <v>109</v>
      </c>
      <c r="AH1465" s="1" t="s">
        <v>109</v>
      </c>
      <c r="AI1465" s="1" t="s">
        <v>109</v>
      </c>
      <c r="AJ1465" s="1" t="s">
        <v>109</v>
      </c>
      <c r="AK1465" s="1" t="s">
        <v>109</v>
      </c>
      <c r="AL1465" s="1" t="s">
        <v>109</v>
      </c>
      <c r="AM1465" s="1" t="s">
        <v>109</v>
      </c>
      <c r="AN1465" s="1" t="s">
        <v>109</v>
      </c>
      <c r="AO1465" s="1" t="s">
        <v>109</v>
      </c>
      <c r="AP1465" s="1"/>
      <c r="AQ1465" s="1">
        <v>4</v>
      </c>
      <c r="AR1465" s="1"/>
      <c r="AS1465" s="1"/>
      <c r="AT1465" s="1">
        <v>0</v>
      </c>
      <c r="AU1465" s="1">
        <v>0</v>
      </c>
      <c r="AV1465" s="1">
        <v>0</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t="s">
        <v>109</v>
      </c>
      <c r="BT1465" s="1">
        <v>1522</v>
      </c>
      <c r="BU1465" s="1" t="s">
        <v>109</v>
      </c>
      <c r="BV1465" s="1"/>
      <c r="BW1465" s="1"/>
      <c r="BX1465" s="1"/>
      <c r="BY1465" s="1"/>
      <c r="BZ1465" s="1">
        <v>0</v>
      </c>
      <c r="CA1465" s="1" t="s">
        <v>109</v>
      </c>
      <c r="CB1465" s="1" t="s">
        <v>109</v>
      </c>
      <c r="CC1465" s="1">
        <v>4</v>
      </c>
      <c r="CD1465" s="1" t="s">
        <v>109</v>
      </c>
      <c r="CE1465" s="1" t="s">
        <v>109</v>
      </c>
      <c r="CF1465" s="1" t="s">
        <v>109</v>
      </c>
      <c r="CG1465" s="1" t="s">
        <v>109</v>
      </c>
      <c r="CH1465" s="1" t="s">
        <v>109</v>
      </c>
      <c r="CI1465" s="1" t="s">
        <v>109</v>
      </c>
      <c r="CJ1465" s="1" t="s">
        <v>109</v>
      </c>
      <c r="CK1465" s="1"/>
      <c r="CL1465" s="1">
        <v>0</v>
      </c>
      <c r="CM1465" s="1">
        <v>0</v>
      </c>
      <c r="CN1465" s="1">
        <v>0</v>
      </c>
    </row>
    <row r="1466" spans="1:92" ht="14.25" customHeight="1" x14ac:dyDescent="0.15">
      <c r="A1466" s="1" t="s">
        <v>11317</v>
      </c>
      <c r="B1466" s="1" t="s">
        <v>189</v>
      </c>
      <c r="C1466" s="1"/>
      <c r="D1466" s="1" t="s">
        <v>59</v>
      </c>
      <c r="E1466" s="1" t="s">
        <v>8709</v>
      </c>
      <c r="F1466" s="1" t="s">
        <v>98</v>
      </c>
      <c r="G1466" s="1" t="s">
        <v>141</v>
      </c>
      <c r="H1466" s="1">
        <v>0</v>
      </c>
      <c r="I1466" s="1" t="s">
        <v>235</v>
      </c>
      <c r="J1466" s="1"/>
      <c r="K1466" s="1" t="s">
        <v>11318</v>
      </c>
      <c r="L1466" s="1"/>
      <c r="M1466" s="1" t="s">
        <v>125</v>
      </c>
      <c r="N1466" s="1">
        <v>0</v>
      </c>
      <c r="O1466" s="1">
        <v>0</v>
      </c>
      <c r="P1466" s="1" t="s">
        <v>103</v>
      </c>
      <c r="Q1466" s="1" t="s">
        <v>268</v>
      </c>
      <c r="R1466" s="1" t="s">
        <v>11319</v>
      </c>
      <c r="S1466" s="1" t="s">
        <v>11320</v>
      </c>
      <c r="T1466" s="1" t="s">
        <v>11080</v>
      </c>
      <c r="U1466" s="1" t="s">
        <v>11321</v>
      </c>
      <c r="V1466" s="1">
        <v>1</v>
      </c>
      <c r="W1466" s="1">
        <v>1</v>
      </c>
      <c r="X1466" s="1">
        <v>0</v>
      </c>
      <c r="Y1466" s="1">
        <v>0</v>
      </c>
      <c r="Z1466" s="1">
        <v>0</v>
      </c>
      <c r="AA1466" s="1">
        <v>3</v>
      </c>
      <c r="AB1466" s="1">
        <v>3</v>
      </c>
      <c r="AC1466" s="1" t="s">
        <v>109</v>
      </c>
      <c r="AD1466" s="1" t="s">
        <v>109</v>
      </c>
      <c r="AE1466" s="1" t="s">
        <v>109</v>
      </c>
      <c r="AF1466" s="1" t="s">
        <v>109</v>
      </c>
      <c r="AG1466" s="1" t="s">
        <v>109</v>
      </c>
      <c r="AH1466" s="1">
        <v>3</v>
      </c>
      <c r="AI1466" s="1" t="s">
        <v>109</v>
      </c>
      <c r="AJ1466" s="1" t="s">
        <v>109</v>
      </c>
      <c r="AK1466" s="1" t="s">
        <v>109</v>
      </c>
      <c r="AL1466" s="1" t="s">
        <v>109</v>
      </c>
      <c r="AM1466" s="1" t="s">
        <v>109</v>
      </c>
      <c r="AN1466" s="1">
        <v>3</v>
      </c>
      <c r="AO1466" s="1" t="s">
        <v>109</v>
      </c>
      <c r="AP1466" s="1"/>
      <c r="AQ1466" s="1">
        <v>3</v>
      </c>
      <c r="AR1466" s="1"/>
      <c r="AS1466" s="1"/>
      <c r="AT1466" s="1">
        <v>0</v>
      </c>
      <c r="AU1466" s="1">
        <v>0</v>
      </c>
      <c r="AV1466" s="1">
        <v>0</v>
      </c>
      <c r="AW1466" s="1">
        <v>0</v>
      </c>
      <c r="AX1466" s="1">
        <v>0</v>
      </c>
      <c r="AY1466" s="1">
        <v>0</v>
      </c>
      <c r="AZ1466" s="1">
        <v>0</v>
      </c>
      <c r="BA1466" s="1">
        <v>0</v>
      </c>
      <c r="BB1466" s="1">
        <v>0</v>
      </c>
      <c r="BC1466" s="1">
        <v>0</v>
      </c>
      <c r="BD1466" s="1">
        <v>0</v>
      </c>
      <c r="BE1466" s="1">
        <v>0</v>
      </c>
      <c r="BF1466" s="1">
        <v>0</v>
      </c>
      <c r="BG1466" s="1">
        <v>1</v>
      </c>
      <c r="BH1466" s="1">
        <v>0</v>
      </c>
      <c r="BI1466" s="1">
        <v>0</v>
      </c>
      <c r="BJ1466" s="1">
        <v>0</v>
      </c>
      <c r="BK1466" s="1">
        <v>0</v>
      </c>
      <c r="BL1466" s="1">
        <v>0</v>
      </c>
      <c r="BM1466" s="1">
        <v>0</v>
      </c>
      <c r="BN1466" s="1">
        <v>0</v>
      </c>
      <c r="BO1466" s="1">
        <v>0</v>
      </c>
      <c r="BP1466" s="1">
        <v>0</v>
      </c>
      <c r="BQ1466" s="1">
        <v>0</v>
      </c>
      <c r="BR1466" s="1">
        <v>0</v>
      </c>
      <c r="BS1466" s="1" t="s">
        <v>109</v>
      </c>
      <c r="BT1466" s="1">
        <v>1523</v>
      </c>
      <c r="BU1466" s="1" t="s">
        <v>109</v>
      </c>
      <c r="BV1466" s="1"/>
      <c r="BW1466" s="1"/>
      <c r="BX1466" s="1"/>
      <c r="BY1466" s="1"/>
      <c r="BZ1466" s="1">
        <v>0</v>
      </c>
      <c r="CA1466" s="1">
        <v>3</v>
      </c>
      <c r="CB1466" s="1" t="s">
        <v>109</v>
      </c>
      <c r="CC1466" s="1" t="s">
        <v>109</v>
      </c>
      <c r="CD1466" s="1" t="s">
        <v>109</v>
      </c>
      <c r="CE1466" s="1" t="s">
        <v>109</v>
      </c>
      <c r="CF1466" s="1" t="s">
        <v>109</v>
      </c>
      <c r="CG1466" s="1" t="s">
        <v>109</v>
      </c>
      <c r="CH1466" s="1" t="s">
        <v>109</v>
      </c>
      <c r="CI1466" s="1" t="s">
        <v>109</v>
      </c>
      <c r="CJ1466" s="1" t="s">
        <v>109</v>
      </c>
      <c r="CK1466" s="1"/>
      <c r="CL1466" s="1">
        <v>0</v>
      </c>
      <c r="CM1466" s="1">
        <v>0</v>
      </c>
      <c r="CN1466" s="1">
        <v>0</v>
      </c>
    </row>
    <row r="1467" spans="1:92" ht="14.25" customHeight="1" x14ac:dyDescent="0.15">
      <c r="A1467" s="1" t="s">
        <v>11322</v>
      </c>
      <c r="B1467" s="1" t="s">
        <v>95</v>
      </c>
      <c r="C1467" s="1" t="s">
        <v>96</v>
      </c>
      <c r="D1467" s="1" t="s">
        <v>54</v>
      </c>
      <c r="E1467" s="1" t="s">
        <v>11323</v>
      </c>
      <c r="F1467" s="1" t="s">
        <v>98</v>
      </c>
      <c r="G1467" s="1" t="s">
        <v>141</v>
      </c>
      <c r="H1467" s="1">
        <v>0</v>
      </c>
      <c r="I1467" s="1" t="s">
        <v>142</v>
      </c>
      <c r="J1467" s="1"/>
      <c r="K1467" s="1" t="s">
        <v>11324</v>
      </c>
      <c r="L1467" s="1"/>
      <c r="M1467" s="1" t="s">
        <v>144</v>
      </c>
      <c r="N1467" s="1">
        <v>0</v>
      </c>
      <c r="O1467" s="1">
        <v>0</v>
      </c>
      <c r="P1467" s="1" t="s">
        <v>5310</v>
      </c>
      <c r="Q1467" s="1" t="s">
        <v>104</v>
      </c>
      <c r="R1467" s="1" t="s">
        <v>11325</v>
      </c>
      <c r="S1467" s="1" t="s">
        <v>11326</v>
      </c>
      <c r="T1467" s="1" t="s">
        <v>11080</v>
      </c>
      <c r="U1467" s="1" t="s">
        <v>11327</v>
      </c>
      <c r="V1467" s="1">
        <v>1</v>
      </c>
      <c r="W1467" s="1">
        <v>1</v>
      </c>
      <c r="X1467" s="1">
        <v>0</v>
      </c>
      <c r="Y1467" s="1">
        <v>0</v>
      </c>
      <c r="Z1467" s="1">
        <v>0</v>
      </c>
      <c r="AA1467" s="1">
        <v>1</v>
      </c>
      <c r="AB1467" s="1">
        <v>1</v>
      </c>
      <c r="AC1467" s="1" t="s">
        <v>109</v>
      </c>
      <c r="AD1467" s="1">
        <v>1</v>
      </c>
      <c r="AE1467" s="1" t="s">
        <v>109</v>
      </c>
      <c r="AF1467" s="1" t="s">
        <v>109</v>
      </c>
      <c r="AG1467" s="1" t="s">
        <v>109</v>
      </c>
      <c r="AH1467" s="1" t="s">
        <v>109</v>
      </c>
      <c r="AI1467" s="1" t="s">
        <v>109</v>
      </c>
      <c r="AJ1467" s="1">
        <v>1</v>
      </c>
      <c r="AK1467" s="1" t="s">
        <v>109</v>
      </c>
      <c r="AL1467" s="1" t="s">
        <v>109</v>
      </c>
      <c r="AM1467" s="1" t="s">
        <v>109</v>
      </c>
      <c r="AN1467" s="1">
        <v>1</v>
      </c>
      <c r="AO1467" s="1" t="s">
        <v>109</v>
      </c>
      <c r="AP1467" s="1"/>
      <c r="AQ1467" s="1">
        <v>1</v>
      </c>
      <c r="AR1467" s="1"/>
      <c r="AS1467" s="1"/>
      <c r="AT1467" s="1">
        <v>0</v>
      </c>
      <c r="AU1467" s="1">
        <v>0</v>
      </c>
      <c r="AV1467" s="1">
        <v>0</v>
      </c>
      <c r="AW1467" s="1">
        <v>0</v>
      </c>
      <c r="AX1467" s="1">
        <v>0</v>
      </c>
      <c r="AY1467" s="1">
        <v>0</v>
      </c>
      <c r="AZ1467" s="1">
        <v>0</v>
      </c>
      <c r="BA1467" s="1">
        <v>0</v>
      </c>
      <c r="BB1467" s="1">
        <v>1</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t="s">
        <v>109</v>
      </c>
      <c r="BT1467" s="1">
        <v>1524</v>
      </c>
      <c r="BU1467" s="1" t="s">
        <v>109</v>
      </c>
      <c r="BV1467" s="1"/>
      <c r="BW1467" s="1"/>
      <c r="BX1467" s="1"/>
      <c r="BY1467" s="1"/>
      <c r="BZ1467" s="1">
        <v>0</v>
      </c>
      <c r="CA1467" s="1" t="s">
        <v>109</v>
      </c>
      <c r="CB1467" s="1" t="s">
        <v>109</v>
      </c>
      <c r="CC1467" s="1" t="s">
        <v>109</v>
      </c>
      <c r="CD1467" s="1" t="s">
        <v>109</v>
      </c>
      <c r="CE1467" s="1" t="s">
        <v>109</v>
      </c>
      <c r="CF1467" s="1" t="s">
        <v>109</v>
      </c>
      <c r="CG1467" s="1" t="s">
        <v>109</v>
      </c>
      <c r="CH1467" s="1" t="s">
        <v>109</v>
      </c>
      <c r="CI1467" s="1" t="s">
        <v>109</v>
      </c>
      <c r="CJ1467" s="1">
        <v>1</v>
      </c>
      <c r="CK1467" s="1"/>
      <c r="CL1467" s="1">
        <v>0</v>
      </c>
      <c r="CM1467" s="1">
        <v>0</v>
      </c>
      <c r="CN1467" s="1">
        <v>0</v>
      </c>
    </row>
    <row r="1468" spans="1:92" ht="14.25" customHeight="1" x14ac:dyDescent="0.15">
      <c r="A1468" s="1" t="s">
        <v>11328</v>
      </c>
      <c r="B1468" s="1" t="s">
        <v>95</v>
      </c>
      <c r="C1468" s="1" t="s">
        <v>11329</v>
      </c>
      <c r="D1468" s="1"/>
      <c r="E1468" s="1" t="s">
        <v>11330</v>
      </c>
      <c r="F1468" s="1" t="s">
        <v>98</v>
      </c>
      <c r="G1468" s="1" t="s">
        <v>141</v>
      </c>
      <c r="H1468" s="1">
        <v>0</v>
      </c>
      <c r="I1468" s="1" t="s">
        <v>235</v>
      </c>
      <c r="J1468" s="1"/>
      <c r="K1468" s="1" t="s">
        <v>11331</v>
      </c>
      <c r="L1468" s="1"/>
      <c r="M1468" s="1" t="s">
        <v>125</v>
      </c>
      <c r="N1468" s="1">
        <v>0</v>
      </c>
      <c r="O1468" s="1">
        <v>0</v>
      </c>
      <c r="P1468" s="1"/>
      <c r="Q1468" s="1"/>
      <c r="R1468" s="1" t="s">
        <v>11332</v>
      </c>
      <c r="S1468" s="1" t="s">
        <v>11333</v>
      </c>
      <c r="T1468" s="1" t="s">
        <v>11080</v>
      </c>
      <c r="U1468" s="1" t="s">
        <v>11334</v>
      </c>
      <c r="V1468" s="1">
        <v>1</v>
      </c>
      <c r="W1468" s="1">
        <v>1</v>
      </c>
      <c r="X1468" s="1">
        <v>0</v>
      </c>
      <c r="Y1468" s="1">
        <v>0</v>
      </c>
      <c r="Z1468" s="1">
        <v>0</v>
      </c>
      <c r="AA1468" s="1">
        <v>4</v>
      </c>
      <c r="AB1468" s="1">
        <v>4</v>
      </c>
      <c r="AC1468" s="1" t="s">
        <v>109</v>
      </c>
      <c r="AD1468" s="1" t="s">
        <v>109</v>
      </c>
      <c r="AE1468" s="1" t="s">
        <v>109</v>
      </c>
      <c r="AF1468" s="1" t="s">
        <v>109</v>
      </c>
      <c r="AG1468" s="1" t="s">
        <v>109</v>
      </c>
      <c r="AH1468" s="1">
        <v>3</v>
      </c>
      <c r="AI1468" s="1">
        <v>3</v>
      </c>
      <c r="AJ1468" s="1" t="s">
        <v>109</v>
      </c>
      <c r="AK1468" s="1" t="s">
        <v>109</v>
      </c>
      <c r="AL1468" s="1" t="s">
        <v>109</v>
      </c>
      <c r="AM1468" s="1" t="s">
        <v>109</v>
      </c>
      <c r="AN1468" s="1">
        <v>3</v>
      </c>
      <c r="AO1468" s="1" t="s">
        <v>109</v>
      </c>
      <c r="AP1468" s="1"/>
      <c r="AQ1468" s="1">
        <v>4</v>
      </c>
      <c r="AR1468" s="1"/>
      <c r="AS1468" s="1"/>
      <c r="AT1468" s="1">
        <v>0</v>
      </c>
      <c r="AU1468" s="1">
        <v>0</v>
      </c>
      <c r="AV1468" s="1">
        <v>0</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t="s">
        <v>109</v>
      </c>
      <c r="BT1468" s="1">
        <v>1525</v>
      </c>
      <c r="BU1468" s="1" t="s">
        <v>109</v>
      </c>
      <c r="BV1468" s="1"/>
      <c r="BW1468" s="1"/>
      <c r="BX1468" s="1" t="s">
        <v>11335</v>
      </c>
      <c r="BY1468" s="1" t="s">
        <v>11336</v>
      </c>
      <c r="BZ1468" s="1">
        <v>1</v>
      </c>
      <c r="CA1468" s="1" t="s">
        <v>109</v>
      </c>
      <c r="CB1468" s="1" t="s">
        <v>109</v>
      </c>
      <c r="CC1468" s="1">
        <v>4</v>
      </c>
      <c r="CD1468" s="1" t="s">
        <v>109</v>
      </c>
      <c r="CE1468" s="1" t="s">
        <v>109</v>
      </c>
      <c r="CF1468" s="1" t="s">
        <v>109</v>
      </c>
      <c r="CG1468" s="1" t="s">
        <v>109</v>
      </c>
      <c r="CH1468" s="1" t="s">
        <v>109</v>
      </c>
      <c r="CI1468" s="1" t="s">
        <v>109</v>
      </c>
      <c r="CJ1468" s="1" t="s">
        <v>109</v>
      </c>
      <c r="CK1468" s="1"/>
      <c r="CL1468" s="1">
        <v>0</v>
      </c>
      <c r="CM1468" s="1">
        <v>0</v>
      </c>
      <c r="CN1468" s="1">
        <v>0</v>
      </c>
    </row>
    <row r="1469" spans="1:92" ht="14.25" customHeight="1" x14ac:dyDescent="0.15">
      <c r="A1469" s="1" t="s">
        <v>11337</v>
      </c>
      <c r="B1469" s="1" t="s">
        <v>674</v>
      </c>
      <c r="C1469" s="1" t="s">
        <v>1715</v>
      </c>
      <c r="D1469" s="1" t="s">
        <v>11338</v>
      </c>
      <c r="E1469" s="1" t="s">
        <v>11339</v>
      </c>
      <c r="F1469" s="1" t="s">
        <v>98</v>
      </c>
      <c r="G1469" s="1" t="s">
        <v>141</v>
      </c>
      <c r="H1469" s="1">
        <v>0</v>
      </c>
      <c r="I1469" s="1" t="s">
        <v>8095</v>
      </c>
      <c r="J1469" s="1"/>
      <c r="K1469" s="1"/>
      <c r="L1469" s="1" t="s">
        <v>563</v>
      </c>
      <c r="M1469" s="1" t="s">
        <v>125</v>
      </c>
      <c r="N1469" s="1">
        <v>0</v>
      </c>
      <c r="O1469" s="1">
        <v>0</v>
      </c>
      <c r="P1469" s="1" t="s">
        <v>301</v>
      </c>
      <c r="Q1469" s="1" t="s">
        <v>268</v>
      </c>
      <c r="R1469" s="1" t="s">
        <v>11340</v>
      </c>
      <c r="S1469" s="1" t="s">
        <v>11341</v>
      </c>
      <c r="T1469" s="1" t="s">
        <v>11080</v>
      </c>
      <c r="U1469" s="1" t="s">
        <v>11342</v>
      </c>
      <c r="V1469" s="1">
        <v>1</v>
      </c>
      <c r="W1469" s="1">
        <v>1</v>
      </c>
      <c r="X1469" s="1">
        <v>0</v>
      </c>
      <c r="Y1469" s="1">
        <v>0</v>
      </c>
      <c r="Z1469" s="1">
        <v>0</v>
      </c>
      <c r="AA1469" s="1" t="s">
        <v>109</v>
      </c>
      <c r="AB1469" s="1" t="s">
        <v>109</v>
      </c>
      <c r="AC1469" s="1">
        <v>3</v>
      </c>
      <c r="AD1469" s="1" t="s">
        <v>109</v>
      </c>
      <c r="AE1469" s="1" t="s">
        <v>109</v>
      </c>
      <c r="AF1469" s="1" t="s">
        <v>109</v>
      </c>
      <c r="AG1469" s="1" t="s">
        <v>109</v>
      </c>
      <c r="AH1469" s="1" t="s">
        <v>109</v>
      </c>
      <c r="AI1469" s="1" t="s">
        <v>109</v>
      </c>
      <c r="AJ1469" s="1">
        <v>3</v>
      </c>
      <c r="AK1469" s="1">
        <v>3</v>
      </c>
      <c r="AL1469" s="1">
        <v>3</v>
      </c>
      <c r="AM1469" s="1">
        <v>2</v>
      </c>
      <c r="AN1469" s="1" t="s">
        <v>109</v>
      </c>
      <c r="AO1469" s="1" t="s">
        <v>109</v>
      </c>
      <c r="AP1469" s="1"/>
      <c r="AQ1469" s="1">
        <v>3</v>
      </c>
      <c r="AR1469" s="1"/>
      <c r="AS1469" s="1"/>
      <c r="AT1469" s="1">
        <v>0</v>
      </c>
      <c r="AU1469" s="1">
        <v>0</v>
      </c>
      <c r="AV1469" s="1">
        <v>0</v>
      </c>
      <c r="AW1469" s="1">
        <v>0</v>
      </c>
      <c r="AX1469" s="1">
        <v>0</v>
      </c>
      <c r="AY1469" s="1">
        <v>0</v>
      </c>
      <c r="AZ1469" s="1">
        <v>0</v>
      </c>
      <c r="BA1469" s="1">
        <v>0</v>
      </c>
      <c r="BB1469" s="1">
        <v>0</v>
      </c>
      <c r="BC1469" s="1">
        <v>0</v>
      </c>
      <c r="BD1469" s="1">
        <v>1</v>
      </c>
      <c r="BE1469" s="1">
        <v>0</v>
      </c>
      <c r="BF1469" s="1">
        <v>0</v>
      </c>
      <c r="BG1469" s="1">
        <v>0</v>
      </c>
      <c r="BH1469" s="1">
        <v>0</v>
      </c>
      <c r="BI1469" s="1">
        <v>0</v>
      </c>
      <c r="BJ1469" s="1">
        <v>0</v>
      </c>
      <c r="BK1469" s="1">
        <v>0</v>
      </c>
      <c r="BL1469" s="1">
        <v>0</v>
      </c>
      <c r="BM1469" s="1">
        <v>1</v>
      </c>
      <c r="BN1469" s="1">
        <v>1</v>
      </c>
      <c r="BO1469" s="1">
        <v>0</v>
      </c>
      <c r="BP1469" s="1">
        <v>0</v>
      </c>
      <c r="BQ1469" s="1">
        <v>0</v>
      </c>
      <c r="BR1469" s="1">
        <v>0</v>
      </c>
      <c r="BS1469" s="1" t="s">
        <v>109</v>
      </c>
      <c r="BT1469" s="1">
        <v>1526</v>
      </c>
      <c r="BU1469" s="1" t="s">
        <v>109</v>
      </c>
      <c r="BV1469" s="1"/>
      <c r="BW1469" s="1"/>
      <c r="BX1469" s="1"/>
      <c r="BY1469" s="1"/>
      <c r="BZ1469" s="1">
        <v>0</v>
      </c>
      <c r="CA1469" s="1" t="s">
        <v>109</v>
      </c>
      <c r="CB1469" s="1" t="s">
        <v>109</v>
      </c>
      <c r="CC1469" s="1">
        <v>3</v>
      </c>
      <c r="CD1469" s="1" t="s">
        <v>109</v>
      </c>
      <c r="CE1469" s="1">
        <v>2</v>
      </c>
      <c r="CF1469" s="1" t="s">
        <v>109</v>
      </c>
      <c r="CG1469" s="1" t="s">
        <v>109</v>
      </c>
      <c r="CH1469" s="1" t="s">
        <v>109</v>
      </c>
      <c r="CI1469" s="1" t="s">
        <v>109</v>
      </c>
      <c r="CJ1469" s="1" t="s">
        <v>109</v>
      </c>
      <c r="CK1469" s="1"/>
      <c r="CL1469" s="1">
        <v>0</v>
      </c>
      <c r="CM1469" s="1">
        <v>0</v>
      </c>
      <c r="CN1469" s="1">
        <v>0</v>
      </c>
    </row>
    <row r="1470" spans="1:92" ht="14.25" customHeight="1" x14ac:dyDescent="0.15">
      <c r="A1470" s="1" t="s">
        <v>11343</v>
      </c>
      <c r="B1470" s="1" t="s">
        <v>584</v>
      </c>
      <c r="C1470" s="1"/>
      <c r="D1470" s="1" t="s">
        <v>59</v>
      </c>
      <c r="E1470" s="1" t="s">
        <v>11344</v>
      </c>
      <c r="F1470" s="1" t="s">
        <v>98</v>
      </c>
      <c r="G1470" s="1" t="s">
        <v>11345</v>
      </c>
      <c r="H1470" s="1">
        <v>0</v>
      </c>
      <c r="I1470" s="1" t="s">
        <v>122</v>
      </c>
      <c r="J1470" s="1"/>
      <c r="K1470" s="1"/>
      <c r="L1470" s="1" t="s">
        <v>803</v>
      </c>
      <c r="M1470" s="1" t="s">
        <v>144</v>
      </c>
      <c r="N1470" s="1">
        <v>0</v>
      </c>
      <c r="O1470" s="1">
        <v>0</v>
      </c>
      <c r="P1470" s="1" t="s">
        <v>727</v>
      </c>
      <c r="Q1470" s="1" t="s">
        <v>268</v>
      </c>
      <c r="R1470" s="1" t="s">
        <v>11346</v>
      </c>
      <c r="S1470" s="1" t="s">
        <v>11347</v>
      </c>
      <c r="T1470" s="1" t="s">
        <v>11080</v>
      </c>
      <c r="U1470" s="1" t="s">
        <v>11348</v>
      </c>
      <c r="V1470" s="1">
        <v>1</v>
      </c>
      <c r="W1470" s="1">
        <v>1</v>
      </c>
      <c r="X1470" s="1">
        <v>0</v>
      </c>
      <c r="Y1470" s="1">
        <v>0</v>
      </c>
      <c r="Z1470" s="1">
        <v>0</v>
      </c>
      <c r="AA1470" s="1">
        <v>6</v>
      </c>
      <c r="AB1470" s="1">
        <v>6</v>
      </c>
      <c r="AC1470" s="1" t="s">
        <v>109</v>
      </c>
      <c r="AD1470" s="1" t="s">
        <v>109</v>
      </c>
      <c r="AE1470" s="1" t="s">
        <v>109</v>
      </c>
      <c r="AF1470" s="1" t="s">
        <v>109</v>
      </c>
      <c r="AG1470" s="1" t="s">
        <v>109</v>
      </c>
      <c r="AH1470" s="1" t="s">
        <v>109</v>
      </c>
      <c r="AI1470" s="1" t="s">
        <v>109</v>
      </c>
      <c r="AJ1470" s="1" t="s">
        <v>109</v>
      </c>
      <c r="AK1470" s="1" t="s">
        <v>109</v>
      </c>
      <c r="AL1470" s="1" t="s">
        <v>109</v>
      </c>
      <c r="AM1470" s="1" t="s">
        <v>109</v>
      </c>
      <c r="AN1470" s="1">
        <v>6</v>
      </c>
      <c r="AO1470" s="1" t="s">
        <v>109</v>
      </c>
      <c r="AP1470" s="1"/>
      <c r="AQ1470" s="1">
        <v>6</v>
      </c>
      <c r="AR1470" s="1"/>
      <c r="AS1470" s="1"/>
      <c r="AT1470" s="1">
        <v>0</v>
      </c>
      <c r="AU1470" s="1">
        <v>0</v>
      </c>
      <c r="AV1470" s="1">
        <v>0</v>
      </c>
      <c r="AW1470" s="1">
        <v>0</v>
      </c>
      <c r="AX1470" s="1">
        <v>0</v>
      </c>
      <c r="AY1470" s="1">
        <v>0</v>
      </c>
      <c r="AZ1470" s="1">
        <v>0</v>
      </c>
      <c r="BA1470" s="1">
        <v>0</v>
      </c>
      <c r="BB1470" s="1">
        <v>0</v>
      </c>
      <c r="BC1470" s="1">
        <v>0</v>
      </c>
      <c r="BD1470" s="1">
        <v>0</v>
      </c>
      <c r="BE1470" s="1">
        <v>0</v>
      </c>
      <c r="BF1470" s="1">
        <v>0</v>
      </c>
      <c r="BG1470" s="1">
        <v>1</v>
      </c>
      <c r="BH1470" s="1">
        <v>0</v>
      </c>
      <c r="BI1470" s="1">
        <v>0</v>
      </c>
      <c r="BJ1470" s="1">
        <v>0</v>
      </c>
      <c r="BK1470" s="1">
        <v>0</v>
      </c>
      <c r="BL1470" s="1">
        <v>0</v>
      </c>
      <c r="BM1470" s="1">
        <v>0</v>
      </c>
      <c r="BN1470" s="1">
        <v>0</v>
      </c>
      <c r="BO1470" s="1">
        <v>0</v>
      </c>
      <c r="BP1470" s="1">
        <v>0</v>
      </c>
      <c r="BQ1470" s="1">
        <v>0</v>
      </c>
      <c r="BR1470" s="1">
        <v>0</v>
      </c>
      <c r="BS1470" s="1" t="s">
        <v>109</v>
      </c>
      <c r="BT1470" s="1">
        <v>1527</v>
      </c>
      <c r="BU1470" s="1" t="s">
        <v>109</v>
      </c>
      <c r="BV1470" s="1"/>
      <c r="BW1470" s="1"/>
      <c r="BX1470" s="1"/>
      <c r="BY1470" s="1"/>
      <c r="BZ1470" s="1">
        <v>0</v>
      </c>
      <c r="CA1470" s="1" t="s">
        <v>109</v>
      </c>
      <c r="CB1470" s="1" t="s">
        <v>109</v>
      </c>
      <c r="CC1470" s="1" t="s">
        <v>109</v>
      </c>
      <c r="CD1470" s="1" t="s">
        <v>109</v>
      </c>
      <c r="CE1470" s="1" t="s">
        <v>109</v>
      </c>
      <c r="CF1470" s="1" t="s">
        <v>109</v>
      </c>
      <c r="CG1470" s="1" t="s">
        <v>109</v>
      </c>
      <c r="CH1470" s="1" t="s">
        <v>109</v>
      </c>
      <c r="CI1470" s="1" t="s">
        <v>109</v>
      </c>
      <c r="CJ1470" s="1" t="s">
        <v>109</v>
      </c>
      <c r="CK1470" s="1"/>
      <c r="CL1470" s="1">
        <v>0</v>
      </c>
      <c r="CM1470" s="1">
        <v>0</v>
      </c>
      <c r="CN1470" s="1">
        <v>0</v>
      </c>
    </row>
    <row r="1471" spans="1:92" ht="14.25" customHeight="1" x14ac:dyDescent="0.15">
      <c r="A1471" s="1" t="s">
        <v>11349</v>
      </c>
      <c r="B1471" s="1" t="s">
        <v>308</v>
      </c>
      <c r="C1471" s="1"/>
      <c r="D1471" s="1" t="s">
        <v>11350</v>
      </c>
      <c r="E1471" s="1" t="s">
        <v>11351</v>
      </c>
      <c r="F1471" s="1" t="s">
        <v>355</v>
      </c>
      <c r="G1471" s="1" t="s">
        <v>141</v>
      </c>
      <c r="H1471" s="1">
        <v>0</v>
      </c>
      <c r="I1471" s="1"/>
      <c r="J1471" s="1"/>
      <c r="K1471" s="1"/>
      <c r="L1471" s="1"/>
      <c r="M1471" s="1" t="s">
        <v>11352</v>
      </c>
      <c r="N1471" s="1">
        <v>0</v>
      </c>
      <c r="O1471" s="1">
        <v>0</v>
      </c>
      <c r="P1471" s="1" t="s">
        <v>267</v>
      </c>
      <c r="Q1471" s="1" t="s">
        <v>268</v>
      </c>
      <c r="R1471" s="1" t="s">
        <v>11353</v>
      </c>
      <c r="S1471" s="1" t="s">
        <v>11354</v>
      </c>
      <c r="T1471" s="1" t="s">
        <v>11080</v>
      </c>
      <c r="U1471" s="1" t="s">
        <v>11355</v>
      </c>
      <c r="V1471" s="1">
        <v>1</v>
      </c>
      <c r="W1471" s="1">
        <v>1</v>
      </c>
      <c r="X1471" s="1">
        <v>0</v>
      </c>
      <c r="Y1471" s="1">
        <v>0</v>
      </c>
      <c r="Z1471" s="1">
        <v>0</v>
      </c>
      <c r="AA1471" s="1" t="s">
        <v>109</v>
      </c>
      <c r="AB1471" s="1" t="s">
        <v>109</v>
      </c>
      <c r="AC1471" s="1">
        <v>2</v>
      </c>
      <c r="AD1471" s="1" t="s">
        <v>109</v>
      </c>
      <c r="AE1471" s="1" t="s">
        <v>109</v>
      </c>
      <c r="AF1471" s="1" t="s">
        <v>109</v>
      </c>
      <c r="AG1471" s="1" t="s">
        <v>109</v>
      </c>
      <c r="AH1471" s="1" t="s">
        <v>109</v>
      </c>
      <c r="AI1471" s="1" t="s">
        <v>109</v>
      </c>
      <c r="AJ1471" s="1">
        <v>2</v>
      </c>
      <c r="AK1471" s="1">
        <v>2</v>
      </c>
      <c r="AL1471" s="1">
        <v>2</v>
      </c>
      <c r="AM1471" s="1">
        <v>1</v>
      </c>
      <c r="AN1471" s="1" t="s">
        <v>109</v>
      </c>
      <c r="AO1471" s="1" t="s">
        <v>109</v>
      </c>
      <c r="AP1471" s="1"/>
      <c r="AQ1471" s="1">
        <v>2</v>
      </c>
      <c r="AR1471" s="1"/>
      <c r="AS1471" s="1"/>
      <c r="AT1471" s="1">
        <v>0</v>
      </c>
      <c r="AU1471" s="1">
        <v>0</v>
      </c>
      <c r="AV1471" s="1">
        <v>0</v>
      </c>
      <c r="AW1471" s="1">
        <v>0</v>
      </c>
      <c r="AX1471" s="1">
        <v>0</v>
      </c>
      <c r="AY1471" s="1">
        <v>0</v>
      </c>
      <c r="AZ1471" s="1">
        <v>1</v>
      </c>
      <c r="BA1471" s="1">
        <v>0</v>
      </c>
      <c r="BB1471" s="1">
        <v>0</v>
      </c>
      <c r="BC1471" s="1">
        <v>0</v>
      </c>
      <c r="BD1471" s="1">
        <v>0</v>
      </c>
      <c r="BE1471" s="1">
        <v>1</v>
      </c>
      <c r="BF1471" s="1">
        <v>0</v>
      </c>
      <c r="BG1471" s="1">
        <v>1</v>
      </c>
      <c r="BH1471" s="1">
        <v>0</v>
      </c>
      <c r="BI1471" s="1">
        <v>0</v>
      </c>
      <c r="BJ1471" s="1">
        <v>0</v>
      </c>
      <c r="BK1471" s="1">
        <v>0</v>
      </c>
      <c r="BL1471" s="1">
        <v>0</v>
      </c>
      <c r="BM1471" s="1">
        <v>0</v>
      </c>
      <c r="BN1471" s="1">
        <v>0</v>
      </c>
      <c r="BO1471" s="1">
        <v>0</v>
      </c>
      <c r="BP1471" s="1">
        <v>0</v>
      </c>
      <c r="BQ1471" s="1">
        <v>0</v>
      </c>
      <c r="BR1471" s="1">
        <v>0</v>
      </c>
      <c r="BS1471" s="1" t="s">
        <v>109</v>
      </c>
      <c r="BT1471" s="1">
        <v>1528</v>
      </c>
      <c r="BU1471" s="1" t="s">
        <v>109</v>
      </c>
      <c r="BV1471" s="1"/>
      <c r="BW1471" s="1"/>
      <c r="BX1471" s="1"/>
      <c r="BY1471" s="1"/>
      <c r="BZ1471" s="1">
        <v>0</v>
      </c>
      <c r="CA1471" s="1" t="s">
        <v>109</v>
      </c>
      <c r="CB1471" s="1" t="s">
        <v>109</v>
      </c>
      <c r="CC1471" s="1" t="s">
        <v>109</v>
      </c>
      <c r="CD1471" s="1" t="s">
        <v>109</v>
      </c>
      <c r="CE1471" s="1" t="s">
        <v>109</v>
      </c>
      <c r="CF1471" s="1" t="s">
        <v>109</v>
      </c>
      <c r="CG1471" s="1" t="s">
        <v>109</v>
      </c>
      <c r="CH1471" s="1" t="s">
        <v>109</v>
      </c>
      <c r="CI1471" s="1" t="s">
        <v>109</v>
      </c>
      <c r="CJ1471" s="1" t="s">
        <v>109</v>
      </c>
      <c r="CK1471" s="1"/>
      <c r="CL1471" s="1">
        <v>0</v>
      </c>
      <c r="CM1471" s="1">
        <v>0</v>
      </c>
      <c r="CN1471" s="1">
        <v>0</v>
      </c>
    </row>
    <row r="1472" spans="1:92" ht="14.25" customHeight="1" x14ac:dyDescent="0.15">
      <c r="A1472" s="1" t="s">
        <v>11356</v>
      </c>
      <c r="B1472" s="1" t="s">
        <v>584</v>
      </c>
      <c r="C1472" s="1"/>
      <c r="D1472" s="1" t="s">
        <v>59</v>
      </c>
      <c r="E1472" s="1" t="s">
        <v>11357</v>
      </c>
      <c r="F1472" s="1" t="s">
        <v>98</v>
      </c>
      <c r="G1472" s="1" t="s">
        <v>141</v>
      </c>
      <c r="H1472" s="1">
        <v>0</v>
      </c>
      <c r="I1472" s="1" t="s">
        <v>915</v>
      </c>
      <c r="J1472" s="1" t="s">
        <v>11358</v>
      </c>
      <c r="K1472" s="1"/>
      <c r="L1472" s="1"/>
      <c r="M1472" s="1" t="s">
        <v>11359</v>
      </c>
      <c r="N1472" s="1">
        <v>0</v>
      </c>
      <c r="O1472" s="1">
        <v>0</v>
      </c>
      <c r="P1472" s="1" t="s">
        <v>727</v>
      </c>
      <c r="Q1472" s="1" t="s">
        <v>268</v>
      </c>
      <c r="R1472" s="1" t="s">
        <v>11360</v>
      </c>
      <c r="S1472" s="1" t="s">
        <v>11361</v>
      </c>
      <c r="T1472" s="1" t="s">
        <v>11080</v>
      </c>
      <c r="U1472" s="1" t="s">
        <v>11362</v>
      </c>
      <c r="V1472" s="1">
        <v>1</v>
      </c>
      <c r="W1472" s="1">
        <v>1</v>
      </c>
      <c r="X1472" s="1">
        <v>0</v>
      </c>
      <c r="Y1472" s="1">
        <v>0</v>
      </c>
      <c r="Z1472" s="1">
        <v>0</v>
      </c>
      <c r="AA1472" s="1">
        <v>3</v>
      </c>
      <c r="AB1472" s="1">
        <v>3</v>
      </c>
      <c r="AC1472" s="1" t="s">
        <v>109</v>
      </c>
      <c r="AD1472" s="1" t="s">
        <v>109</v>
      </c>
      <c r="AE1472" s="1" t="s">
        <v>109</v>
      </c>
      <c r="AF1472" s="1" t="s">
        <v>109</v>
      </c>
      <c r="AG1472" s="1" t="s">
        <v>109</v>
      </c>
      <c r="AH1472" s="1" t="s">
        <v>109</v>
      </c>
      <c r="AI1472" s="1" t="s">
        <v>109</v>
      </c>
      <c r="AJ1472" s="1" t="s">
        <v>109</v>
      </c>
      <c r="AK1472" s="1" t="s">
        <v>109</v>
      </c>
      <c r="AL1472" s="1" t="s">
        <v>109</v>
      </c>
      <c r="AM1472" s="1" t="s">
        <v>109</v>
      </c>
      <c r="AN1472" s="1">
        <v>3</v>
      </c>
      <c r="AO1472" s="1" t="s">
        <v>109</v>
      </c>
      <c r="AP1472" s="1"/>
      <c r="AQ1472" s="1">
        <v>3</v>
      </c>
      <c r="AR1472" s="1"/>
      <c r="AS1472" s="1"/>
      <c r="AT1472" s="1">
        <v>0</v>
      </c>
      <c r="AU1472" s="1">
        <v>0</v>
      </c>
      <c r="AV1472" s="1">
        <v>0</v>
      </c>
      <c r="AW1472" s="1">
        <v>0</v>
      </c>
      <c r="AX1472" s="1">
        <v>0</v>
      </c>
      <c r="AY1472" s="1">
        <v>0</v>
      </c>
      <c r="AZ1472" s="1">
        <v>0</v>
      </c>
      <c r="BA1472" s="1">
        <v>0</v>
      </c>
      <c r="BB1472" s="1">
        <v>0</v>
      </c>
      <c r="BC1472" s="1">
        <v>0</v>
      </c>
      <c r="BD1472" s="1">
        <v>0</v>
      </c>
      <c r="BE1472" s="1">
        <v>0</v>
      </c>
      <c r="BF1472" s="1">
        <v>0</v>
      </c>
      <c r="BG1472" s="1">
        <v>1</v>
      </c>
      <c r="BH1472" s="1">
        <v>0</v>
      </c>
      <c r="BI1472" s="1">
        <v>0</v>
      </c>
      <c r="BJ1472" s="1">
        <v>0</v>
      </c>
      <c r="BK1472" s="1">
        <v>0</v>
      </c>
      <c r="BL1472" s="1">
        <v>0</v>
      </c>
      <c r="BM1472" s="1">
        <v>0</v>
      </c>
      <c r="BN1472" s="1">
        <v>0</v>
      </c>
      <c r="BO1472" s="1">
        <v>0</v>
      </c>
      <c r="BP1472" s="1">
        <v>0</v>
      </c>
      <c r="BQ1472" s="1">
        <v>0</v>
      </c>
      <c r="BR1472" s="1">
        <v>0</v>
      </c>
      <c r="BS1472" s="1" t="s">
        <v>109</v>
      </c>
      <c r="BT1472" s="1">
        <v>1529</v>
      </c>
      <c r="BU1472" s="1" t="s">
        <v>109</v>
      </c>
      <c r="BV1472" s="1"/>
      <c r="BW1472" s="1"/>
      <c r="BX1472" s="1" t="s">
        <v>11363</v>
      </c>
      <c r="BY1472" s="1" t="s">
        <v>11364</v>
      </c>
      <c r="BZ1472" s="1">
        <v>1</v>
      </c>
      <c r="CA1472" s="1">
        <v>3</v>
      </c>
      <c r="CB1472" s="1" t="s">
        <v>109</v>
      </c>
      <c r="CC1472" s="1" t="s">
        <v>109</v>
      </c>
      <c r="CD1472" s="1" t="s">
        <v>109</v>
      </c>
      <c r="CE1472" s="1" t="s">
        <v>109</v>
      </c>
      <c r="CF1472" s="1" t="s">
        <v>109</v>
      </c>
      <c r="CG1472" s="1" t="s">
        <v>109</v>
      </c>
      <c r="CH1472" s="1" t="s">
        <v>109</v>
      </c>
      <c r="CI1472" s="1" t="s">
        <v>109</v>
      </c>
      <c r="CJ1472" s="1" t="s">
        <v>109</v>
      </c>
      <c r="CK1472" s="1"/>
      <c r="CL1472" s="1">
        <v>0</v>
      </c>
      <c r="CM1472" s="1">
        <v>0</v>
      </c>
      <c r="CN1472" s="1">
        <v>0</v>
      </c>
    </row>
    <row r="1473" spans="1:92" ht="14.25" customHeight="1" x14ac:dyDescent="0.15">
      <c r="A1473" s="1" t="s">
        <v>11365</v>
      </c>
      <c r="B1473" s="1" t="s">
        <v>189</v>
      </c>
      <c r="C1473" s="1"/>
      <c r="D1473" s="1" t="s">
        <v>11366</v>
      </c>
      <c r="E1473" s="1" t="s">
        <v>7031</v>
      </c>
      <c r="F1473" s="1" t="s">
        <v>98</v>
      </c>
      <c r="G1473" s="1" t="s">
        <v>141</v>
      </c>
      <c r="H1473" s="1">
        <v>0</v>
      </c>
      <c r="I1473" s="1" t="s">
        <v>142</v>
      </c>
      <c r="J1473" s="1"/>
      <c r="K1473" s="1"/>
      <c r="L1473" s="1" t="s">
        <v>1391</v>
      </c>
      <c r="M1473" s="1" t="s">
        <v>5642</v>
      </c>
      <c r="N1473" s="1">
        <v>0</v>
      </c>
      <c r="O1473" s="1">
        <v>0</v>
      </c>
      <c r="P1473" s="1" t="s">
        <v>267</v>
      </c>
      <c r="Q1473" s="1" t="s">
        <v>268</v>
      </c>
      <c r="R1473" s="1" t="s">
        <v>11367</v>
      </c>
      <c r="S1473" s="1" t="s">
        <v>11368</v>
      </c>
      <c r="T1473" s="1" t="s">
        <v>11080</v>
      </c>
      <c r="U1473" s="1" t="s">
        <v>11369</v>
      </c>
      <c r="V1473" s="1">
        <v>1</v>
      </c>
      <c r="W1473" s="1">
        <v>1</v>
      </c>
      <c r="X1473" s="1">
        <v>0</v>
      </c>
      <c r="Y1473" s="1">
        <v>0</v>
      </c>
      <c r="Z1473" s="1">
        <v>0</v>
      </c>
      <c r="AA1473" s="1" t="s">
        <v>109</v>
      </c>
      <c r="AB1473" s="1" t="s">
        <v>109</v>
      </c>
      <c r="AC1473" s="1" t="s">
        <v>109</v>
      </c>
      <c r="AD1473" s="1">
        <v>2</v>
      </c>
      <c r="AE1473" s="1" t="s">
        <v>109</v>
      </c>
      <c r="AF1473" s="1" t="s">
        <v>109</v>
      </c>
      <c r="AG1473" s="1" t="s">
        <v>109</v>
      </c>
      <c r="AH1473" s="1" t="s">
        <v>109</v>
      </c>
      <c r="AI1473" s="1" t="s">
        <v>109</v>
      </c>
      <c r="AJ1473" s="1">
        <v>2</v>
      </c>
      <c r="AK1473" s="1" t="s">
        <v>109</v>
      </c>
      <c r="AL1473" s="1" t="s">
        <v>109</v>
      </c>
      <c r="AM1473" s="1" t="s">
        <v>109</v>
      </c>
      <c r="AN1473" s="1" t="s">
        <v>109</v>
      </c>
      <c r="AO1473" s="1" t="s">
        <v>109</v>
      </c>
      <c r="AP1473" s="1"/>
      <c r="AQ1473" s="1">
        <v>2</v>
      </c>
      <c r="AR1473" s="1"/>
      <c r="AS1473" s="1"/>
      <c r="AT1473" s="1">
        <v>0</v>
      </c>
      <c r="AU1473" s="1">
        <v>0</v>
      </c>
      <c r="AV1473" s="1">
        <v>0</v>
      </c>
      <c r="AW1473" s="1">
        <v>0</v>
      </c>
      <c r="AX1473" s="1">
        <v>1</v>
      </c>
      <c r="AY1473" s="1">
        <v>0</v>
      </c>
      <c r="AZ1473" s="1">
        <v>0</v>
      </c>
      <c r="BA1473" s="1">
        <v>0</v>
      </c>
      <c r="BB1473" s="1">
        <v>0</v>
      </c>
      <c r="BC1473" s="1">
        <v>0</v>
      </c>
      <c r="BD1473" s="1">
        <v>0</v>
      </c>
      <c r="BE1473" s="1">
        <v>0</v>
      </c>
      <c r="BF1473" s="1">
        <v>0</v>
      </c>
      <c r="BG1473" s="1">
        <v>1</v>
      </c>
      <c r="BH1473" s="1">
        <v>0</v>
      </c>
      <c r="BI1473" s="1">
        <v>0</v>
      </c>
      <c r="BJ1473" s="1">
        <v>0</v>
      </c>
      <c r="BK1473" s="1">
        <v>0</v>
      </c>
      <c r="BL1473" s="1">
        <v>0</v>
      </c>
      <c r="BM1473" s="1">
        <v>0</v>
      </c>
      <c r="BN1473" s="1">
        <v>0</v>
      </c>
      <c r="BO1473" s="1">
        <v>0</v>
      </c>
      <c r="BP1473" s="1">
        <v>0</v>
      </c>
      <c r="BQ1473" s="1">
        <v>0</v>
      </c>
      <c r="BR1473" s="1">
        <v>0</v>
      </c>
      <c r="BS1473" s="1" t="s">
        <v>109</v>
      </c>
      <c r="BT1473" s="1">
        <v>1530</v>
      </c>
      <c r="BU1473" s="1" t="s">
        <v>109</v>
      </c>
      <c r="BV1473" s="1"/>
      <c r="BW1473" s="1"/>
      <c r="BX1473" s="1"/>
      <c r="BY1473" s="1"/>
      <c r="BZ1473" s="1">
        <v>0</v>
      </c>
      <c r="CA1473" s="1" t="s">
        <v>109</v>
      </c>
      <c r="CB1473" s="1" t="s">
        <v>109</v>
      </c>
      <c r="CC1473" s="1" t="s">
        <v>109</v>
      </c>
      <c r="CD1473" s="1" t="s">
        <v>109</v>
      </c>
      <c r="CE1473" s="1" t="s">
        <v>109</v>
      </c>
      <c r="CF1473" s="1" t="s">
        <v>109</v>
      </c>
      <c r="CG1473" s="1" t="s">
        <v>109</v>
      </c>
      <c r="CH1473" s="1" t="s">
        <v>109</v>
      </c>
      <c r="CI1473" s="1" t="s">
        <v>109</v>
      </c>
      <c r="CJ1473" s="1">
        <v>2</v>
      </c>
      <c r="CK1473" s="1"/>
      <c r="CL1473" s="1">
        <v>0</v>
      </c>
      <c r="CM1473" s="1">
        <v>0</v>
      </c>
      <c r="CN1473" s="1">
        <v>0</v>
      </c>
    </row>
    <row r="1474" spans="1:92" ht="14.25" customHeight="1" x14ac:dyDescent="0.15">
      <c r="A1474" s="1" t="s">
        <v>11370</v>
      </c>
      <c r="B1474" s="1" t="s">
        <v>242</v>
      </c>
      <c r="C1474" s="1"/>
      <c r="D1474" s="1"/>
      <c r="E1474" s="1" t="s">
        <v>11371</v>
      </c>
      <c r="F1474" s="1" t="s">
        <v>98</v>
      </c>
      <c r="G1474" s="1" t="s">
        <v>141</v>
      </c>
      <c r="H1474" s="1">
        <v>0</v>
      </c>
      <c r="I1474" s="1" t="s">
        <v>235</v>
      </c>
      <c r="J1474" s="1"/>
      <c r="K1474" s="1"/>
      <c r="L1474" s="1" t="s">
        <v>236</v>
      </c>
      <c r="M1474" s="1" t="s">
        <v>3042</v>
      </c>
      <c r="N1474" s="1">
        <v>0</v>
      </c>
      <c r="O1474" s="1">
        <v>0</v>
      </c>
      <c r="P1474" s="1"/>
      <c r="Q1474" s="1"/>
      <c r="R1474" s="1" t="s">
        <v>11372</v>
      </c>
      <c r="S1474" s="1" t="s">
        <v>11373</v>
      </c>
      <c r="T1474" s="1" t="s">
        <v>11080</v>
      </c>
      <c r="U1474" s="1" t="s">
        <v>11374</v>
      </c>
      <c r="V1474" s="1">
        <v>1</v>
      </c>
      <c r="W1474" s="1">
        <v>1</v>
      </c>
      <c r="X1474" s="1">
        <v>0</v>
      </c>
      <c r="Y1474" s="1">
        <v>0</v>
      </c>
      <c r="Z1474" s="1">
        <v>0</v>
      </c>
      <c r="AA1474" s="1" t="s">
        <v>109</v>
      </c>
      <c r="AB1474" s="1" t="s">
        <v>109</v>
      </c>
      <c r="AC1474" s="1">
        <v>4</v>
      </c>
      <c r="AD1474" s="1">
        <v>4</v>
      </c>
      <c r="AE1474" s="1" t="s">
        <v>109</v>
      </c>
      <c r="AF1474" s="1" t="s">
        <v>109</v>
      </c>
      <c r="AG1474" s="1" t="s">
        <v>109</v>
      </c>
      <c r="AH1474" s="1">
        <v>4</v>
      </c>
      <c r="AI1474" s="1" t="s">
        <v>109</v>
      </c>
      <c r="AJ1474" s="1" t="s">
        <v>109</v>
      </c>
      <c r="AK1474" s="1">
        <v>4</v>
      </c>
      <c r="AL1474" s="1">
        <v>4</v>
      </c>
      <c r="AM1474" s="1" t="s">
        <v>109</v>
      </c>
      <c r="AN1474" s="1" t="s">
        <v>109</v>
      </c>
      <c r="AO1474" s="1" t="s">
        <v>109</v>
      </c>
      <c r="AP1474" s="1"/>
      <c r="AQ1474" s="1">
        <v>4</v>
      </c>
      <c r="AR1474" s="1"/>
      <c r="AS1474" s="1"/>
      <c r="AT1474" s="1">
        <v>0</v>
      </c>
      <c r="AU1474" s="1">
        <v>0</v>
      </c>
      <c r="AV1474" s="1">
        <v>0</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t="s">
        <v>109</v>
      </c>
      <c r="BT1474" s="1">
        <v>1531</v>
      </c>
      <c r="BU1474" s="1" t="s">
        <v>109</v>
      </c>
      <c r="BV1474" s="1"/>
      <c r="BW1474" s="1"/>
      <c r="BX1474" s="1"/>
      <c r="BY1474" s="1"/>
      <c r="BZ1474" s="1">
        <v>0</v>
      </c>
      <c r="CA1474" s="1" t="s">
        <v>109</v>
      </c>
      <c r="CB1474" s="1" t="s">
        <v>109</v>
      </c>
      <c r="CC1474" s="1">
        <v>4</v>
      </c>
      <c r="CD1474" s="1" t="s">
        <v>109</v>
      </c>
      <c r="CE1474" s="1" t="s">
        <v>109</v>
      </c>
      <c r="CF1474" s="1" t="s">
        <v>109</v>
      </c>
      <c r="CG1474" s="1" t="s">
        <v>109</v>
      </c>
      <c r="CH1474" s="1" t="s">
        <v>109</v>
      </c>
      <c r="CI1474" s="1" t="s">
        <v>109</v>
      </c>
      <c r="CJ1474" s="1">
        <v>4</v>
      </c>
      <c r="CK1474" s="1"/>
      <c r="CL1474" s="1">
        <v>0</v>
      </c>
      <c r="CM1474" s="1">
        <v>0</v>
      </c>
      <c r="CN1474" s="1">
        <v>0</v>
      </c>
    </row>
    <row r="1475" spans="1:92" ht="14.25" customHeight="1" x14ac:dyDescent="0.15">
      <c r="A1475" s="1" t="s">
        <v>11375</v>
      </c>
      <c r="B1475" s="1" t="s">
        <v>189</v>
      </c>
      <c r="C1475" s="1"/>
      <c r="D1475" s="1" t="s">
        <v>59</v>
      </c>
      <c r="E1475" s="1" t="s">
        <v>11376</v>
      </c>
      <c r="F1475" s="1" t="s">
        <v>98</v>
      </c>
      <c r="G1475" s="1" t="s">
        <v>11377</v>
      </c>
      <c r="H1475" s="1">
        <v>0</v>
      </c>
      <c r="I1475" s="1" t="s">
        <v>161</v>
      </c>
      <c r="J1475" s="1"/>
      <c r="K1475" s="1"/>
      <c r="L1475" s="1" t="s">
        <v>2251</v>
      </c>
      <c r="M1475" s="1" t="s">
        <v>3042</v>
      </c>
      <c r="N1475" s="1">
        <v>0</v>
      </c>
      <c r="O1475" s="1">
        <v>0</v>
      </c>
      <c r="P1475" s="1" t="s">
        <v>103</v>
      </c>
      <c r="Q1475" s="1" t="s">
        <v>104</v>
      </c>
      <c r="R1475" s="1" t="s">
        <v>11378</v>
      </c>
      <c r="S1475" s="1" t="s">
        <v>11379</v>
      </c>
      <c r="T1475" s="1" t="s">
        <v>11080</v>
      </c>
      <c r="U1475" s="1" t="s">
        <v>11380</v>
      </c>
      <c r="V1475" s="1">
        <v>0</v>
      </c>
      <c r="W1475" s="1">
        <v>1</v>
      </c>
      <c r="X1475" s="1">
        <v>1</v>
      </c>
      <c r="Y1475" s="1">
        <v>0</v>
      </c>
      <c r="Z1475" s="1">
        <v>0</v>
      </c>
      <c r="AA1475" s="1">
        <v>4</v>
      </c>
      <c r="AB1475" s="1">
        <v>4</v>
      </c>
      <c r="AC1475" s="1" t="s">
        <v>109</v>
      </c>
      <c r="AD1475" s="1" t="s">
        <v>109</v>
      </c>
      <c r="AE1475" s="1" t="s">
        <v>109</v>
      </c>
      <c r="AF1475" s="1" t="s">
        <v>109</v>
      </c>
      <c r="AG1475" s="1" t="s">
        <v>109</v>
      </c>
      <c r="AH1475" s="1">
        <v>4</v>
      </c>
      <c r="AI1475" s="1" t="s">
        <v>109</v>
      </c>
      <c r="AJ1475" s="1" t="s">
        <v>109</v>
      </c>
      <c r="AK1475" s="1" t="s">
        <v>109</v>
      </c>
      <c r="AL1475" s="1" t="s">
        <v>109</v>
      </c>
      <c r="AM1475" s="1" t="s">
        <v>109</v>
      </c>
      <c r="AN1475" s="1" t="s">
        <v>109</v>
      </c>
      <c r="AO1475" s="1" t="s">
        <v>109</v>
      </c>
      <c r="AP1475" s="1"/>
      <c r="AQ1475" s="1">
        <v>4</v>
      </c>
      <c r="AR1475" s="1"/>
      <c r="AS1475" s="1"/>
      <c r="AT1475" s="1">
        <v>0</v>
      </c>
      <c r="AU1475" s="1">
        <v>0</v>
      </c>
      <c r="AV1475" s="1">
        <v>0</v>
      </c>
      <c r="AW1475" s="1">
        <v>0</v>
      </c>
      <c r="AX1475" s="1">
        <v>0</v>
      </c>
      <c r="AY1475" s="1">
        <v>0</v>
      </c>
      <c r="AZ1475" s="1">
        <v>0</v>
      </c>
      <c r="BA1475" s="1">
        <v>0</v>
      </c>
      <c r="BB1475" s="1">
        <v>0</v>
      </c>
      <c r="BC1475" s="1">
        <v>0</v>
      </c>
      <c r="BD1475" s="1">
        <v>0</v>
      </c>
      <c r="BE1475" s="1">
        <v>0</v>
      </c>
      <c r="BF1475" s="1">
        <v>0</v>
      </c>
      <c r="BG1475" s="1">
        <v>1</v>
      </c>
      <c r="BH1475" s="1">
        <v>0</v>
      </c>
      <c r="BI1475" s="1">
        <v>0</v>
      </c>
      <c r="BJ1475" s="1">
        <v>0</v>
      </c>
      <c r="BK1475" s="1">
        <v>0</v>
      </c>
      <c r="BL1475" s="1">
        <v>0</v>
      </c>
      <c r="BM1475" s="1">
        <v>0</v>
      </c>
      <c r="BN1475" s="1">
        <v>0</v>
      </c>
      <c r="BO1475" s="1">
        <v>0</v>
      </c>
      <c r="BP1475" s="1">
        <v>0</v>
      </c>
      <c r="BQ1475" s="1">
        <v>0</v>
      </c>
      <c r="BR1475" s="1">
        <v>0</v>
      </c>
      <c r="BS1475" s="1" t="s">
        <v>109</v>
      </c>
      <c r="BT1475" s="1">
        <v>1532</v>
      </c>
      <c r="BU1475" s="1" t="s">
        <v>109</v>
      </c>
      <c r="BV1475" s="1"/>
      <c r="BW1475" s="1"/>
      <c r="BX1475" s="1" t="s">
        <v>11381</v>
      </c>
      <c r="BY1475" s="1" t="s">
        <v>11382</v>
      </c>
      <c r="BZ1475" s="1">
        <v>1</v>
      </c>
      <c r="CA1475" s="1" t="s">
        <v>109</v>
      </c>
      <c r="CB1475" s="1" t="s">
        <v>109</v>
      </c>
      <c r="CC1475" s="1" t="s">
        <v>109</v>
      </c>
      <c r="CD1475" s="1" t="s">
        <v>109</v>
      </c>
      <c r="CE1475" s="1" t="s">
        <v>109</v>
      </c>
      <c r="CF1475" s="1" t="s">
        <v>109</v>
      </c>
      <c r="CG1475" s="1" t="s">
        <v>109</v>
      </c>
      <c r="CH1475" s="1" t="s">
        <v>109</v>
      </c>
      <c r="CI1475" s="1" t="s">
        <v>109</v>
      </c>
      <c r="CJ1475" s="1" t="s">
        <v>109</v>
      </c>
      <c r="CK1475" s="1"/>
      <c r="CL1475" s="1">
        <v>0</v>
      </c>
      <c r="CM1475" s="1">
        <v>0</v>
      </c>
      <c r="CN1475" s="1">
        <v>0</v>
      </c>
    </row>
    <row r="1476" spans="1:92" ht="14.25" customHeight="1" x14ac:dyDescent="0.15">
      <c r="A1476" s="1" t="s">
        <v>11383</v>
      </c>
      <c r="B1476" s="1" t="s">
        <v>584</v>
      </c>
      <c r="C1476" s="1"/>
      <c r="D1476" s="1" t="s">
        <v>59</v>
      </c>
      <c r="E1476" s="1" t="s">
        <v>11384</v>
      </c>
      <c r="F1476" s="1" t="s">
        <v>98</v>
      </c>
      <c r="G1476" s="1" t="s">
        <v>141</v>
      </c>
      <c r="H1476" s="1">
        <v>0</v>
      </c>
      <c r="I1476" s="1" t="s">
        <v>161</v>
      </c>
      <c r="J1476" s="1"/>
      <c r="K1476" s="1"/>
      <c r="L1476" s="1" t="s">
        <v>3434</v>
      </c>
      <c r="M1476" s="1" t="s">
        <v>144</v>
      </c>
      <c r="N1476" s="1">
        <v>0</v>
      </c>
      <c r="O1476" s="1">
        <v>0</v>
      </c>
      <c r="P1476" s="1" t="s">
        <v>5310</v>
      </c>
      <c r="Q1476" s="1" t="s">
        <v>268</v>
      </c>
      <c r="R1476" s="1" t="s">
        <v>11385</v>
      </c>
      <c r="S1476" s="1" t="s">
        <v>11386</v>
      </c>
      <c r="T1476" s="1" t="s">
        <v>11080</v>
      </c>
      <c r="U1476" s="1" t="s">
        <v>11387</v>
      </c>
      <c r="V1476" s="1">
        <v>1</v>
      </c>
      <c r="W1476" s="1">
        <v>1</v>
      </c>
      <c r="X1476" s="1">
        <v>0</v>
      </c>
      <c r="Y1476" s="1">
        <v>0</v>
      </c>
      <c r="Z1476" s="1">
        <v>0</v>
      </c>
      <c r="AA1476" s="1">
        <v>1</v>
      </c>
      <c r="AB1476" s="1">
        <v>1</v>
      </c>
      <c r="AC1476" s="1" t="s">
        <v>109</v>
      </c>
      <c r="AD1476" s="1">
        <v>1</v>
      </c>
      <c r="AE1476" s="1" t="s">
        <v>109</v>
      </c>
      <c r="AF1476" s="1" t="s">
        <v>109</v>
      </c>
      <c r="AG1476" s="1" t="s">
        <v>109</v>
      </c>
      <c r="AH1476" s="1" t="s">
        <v>109</v>
      </c>
      <c r="AI1476" s="1" t="s">
        <v>109</v>
      </c>
      <c r="AJ1476" s="1">
        <v>1</v>
      </c>
      <c r="AK1476" s="1">
        <v>1</v>
      </c>
      <c r="AL1476" s="1" t="s">
        <v>109</v>
      </c>
      <c r="AM1476" s="1" t="s">
        <v>109</v>
      </c>
      <c r="AN1476" s="1">
        <v>1</v>
      </c>
      <c r="AO1476" s="1" t="s">
        <v>109</v>
      </c>
      <c r="AP1476" s="1"/>
      <c r="AQ1476" s="1">
        <v>1</v>
      </c>
      <c r="AR1476" s="1"/>
      <c r="AS1476" s="1"/>
      <c r="AT1476" s="1">
        <v>0</v>
      </c>
      <c r="AU1476" s="1">
        <v>0</v>
      </c>
      <c r="AV1476" s="1">
        <v>0</v>
      </c>
      <c r="AW1476" s="1">
        <v>0</v>
      </c>
      <c r="AX1476" s="1">
        <v>0</v>
      </c>
      <c r="AY1476" s="1">
        <v>0</v>
      </c>
      <c r="AZ1476" s="1">
        <v>0</v>
      </c>
      <c r="BA1476" s="1">
        <v>0</v>
      </c>
      <c r="BB1476" s="1">
        <v>0</v>
      </c>
      <c r="BC1476" s="1">
        <v>0</v>
      </c>
      <c r="BD1476" s="1">
        <v>0</v>
      </c>
      <c r="BE1476" s="1">
        <v>0</v>
      </c>
      <c r="BF1476" s="1">
        <v>0</v>
      </c>
      <c r="BG1476" s="1">
        <v>1</v>
      </c>
      <c r="BH1476" s="1">
        <v>0</v>
      </c>
      <c r="BI1476" s="1">
        <v>0</v>
      </c>
      <c r="BJ1476" s="1">
        <v>0</v>
      </c>
      <c r="BK1476" s="1">
        <v>0</v>
      </c>
      <c r="BL1476" s="1">
        <v>0</v>
      </c>
      <c r="BM1476" s="1">
        <v>0</v>
      </c>
      <c r="BN1476" s="1">
        <v>0</v>
      </c>
      <c r="BO1476" s="1">
        <v>0</v>
      </c>
      <c r="BP1476" s="1">
        <v>0</v>
      </c>
      <c r="BQ1476" s="1">
        <v>0</v>
      </c>
      <c r="BR1476" s="1">
        <v>0</v>
      </c>
      <c r="BS1476" s="1" t="s">
        <v>109</v>
      </c>
      <c r="BT1476" s="1">
        <v>1533</v>
      </c>
      <c r="BU1476" s="1" t="s">
        <v>109</v>
      </c>
      <c r="BV1476" s="1"/>
      <c r="BW1476" s="1"/>
      <c r="BX1476" s="1"/>
      <c r="BY1476" s="1"/>
      <c r="BZ1476" s="1">
        <v>0</v>
      </c>
      <c r="CA1476" s="1">
        <v>1</v>
      </c>
      <c r="CB1476" s="1" t="s">
        <v>109</v>
      </c>
      <c r="CC1476" s="1">
        <v>1</v>
      </c>
      <c r="CD1476" s="1" t="s">
        <v>109</v>
      </c>
      <c r="CE1476" s="1" t="s">
        <v>109</v>
      </c>
      <c r="CF1476" s="1" t="s">
        <v>109</v>
      </c>
      <c r="CG1476" s="1" t="s">
        <v>109</v>
      </c>
      <c r="CH1476" s="1" t="s">
        <v>109</v>
      </c>
      <c r="CI1476" s="1" t="s">
        <v>109</v>
      </c>
      <c r="CJ1476" s="1">
        <v>1</v>
      </c>
      <c r="CK1476" s="1"/>
      <c r="CL1476" s="1">
        <v>0</v>
      </c>
      <c r="CM1476" s="1">
        <v>0</v>
      </c>
      <c r="CN1476" s="1">
        <v>0</v>
      </c>
    </row>
    <row r="1477" spans="1:92" ht="14.25" customHeight="1" x14ac:dyDescent="0.15">
      <c r="A1477" s="1" t="s">
        <v>11388</v>
      </c>
      <c r="B1477" s="1" t="s">
        <v>189</v>
      </c>
      <c r="C1477" s="1"/>
      <c r="D1477" s="1"/>
      <c r="E1477" s="1" t="s">
        <v>11389</v>
      </c>
      <c r="F1477" s="1" t="s">
        <v>277</v>
      </c>
      <c r="G1477" s="1" t="s">
        <v>141</v>
      </c>
      <c r="H1477" s="1">
        <v>0</v>
      </c>
      <c r="I1477" s="1" t="s">
        <v>142</v>
      </c>
      <c r="J1477" s="1"/>
      <c r="K1477" s="1"/>
      <c r="L1477" s="1" t="s">
        <v>11390</v>
      </c>
      <c r="M1477" s="1" t="s">
        <v>144</v>
      </c>
      <c r="N1477" s="1">
        <v>0</v>
      </c>
      <c r="O1477" s="1">
        <v>0</v>
      </c>
      <c r="P1477" s="1" t="s">
        <v>629</v>
      </c>
      <c r="Q1477" s="1" t="s">
        <v>630</v>
      </c>
      <c r="R1477" s="1" t="s">
        <v>11391</v>
      </c>
      <c r="S1477" s="1" t="s">
        <v>11392</v>
      </c>
      <c r="T1477" s="1" t="s">
        <v>11080</v>
      </c>
      <c r="U1477" s="1" t="s">
        <v>11393</v>
      </c>
      <c r="V1477" s="1">
        <v>1</v>
      </c>
      <c r="W1477" s="1">
        <v>1</v>
      </c>
      <c r="X1477" s="1">
        <v>0</v>
      </c>
      <c r="Y1477" s="1">
        <v>0</v>
      </c>
      <c r="Z1477" s="1">
        <v>0</v>
      </c>
      <c r="AA1477" s="1">
        <v>3</v>
      </c>
      <c r="AB1477" s="1">
        <v>3</v>
      </c>
      <c r="AC1477" s="1" t="s">
        <v>109</v>
      </c>
      <c r="AD1477" s="1">
        <v>3</v>
      </c>
      <c r="AE1477" s="1">
        <v>2</v>
      </c>
      <c r="AF1477" s="1" t="s">
        <v>109</v>
      </c>
      <c r="AG1477" s="1" t="s">
        <v>109</v>
      </c>
      <c r="AH1477" s="1" t="s">
        <v>109</v>
      </c>
      <c r="AI1477" s="1" t="s">
        <v>109</v>
      </c>
      <c r="AJ1477" s="1">
        <v>3</v>
      </c>
      <c r="AK1477" s="1">
        <v>3</v>
      </c>
      <c r="AL1477" s="1" t="s">
        <v>109</v>
      </c>
      <c r="AM1477" s="1">
        <v>2</v>
      </c>
      <c r="AN1477" s="1" t="s">
        <v>109</v>
      </c>
      <c r="AO1477" s="1" t="s">
        <v>109</v>
      </c>
      <c r="AP1477" s="1"/>
      <c r="AQ1477" s="1">
        <v>3</v>
      </c>
      <c r="AR1477" s="1" t="s">
        <v>11394</v>
      </c>
      <c r="AS1477" s="1"/>
      <c r="AT1477" s="1">
        <v>0</v>
      </c>
      <c r="AU1477" s="1">
        <v>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t="s">
        <v>109</v>
      </c>
      <c r="BT1477" s="1">
        <v>1534</v>
      </c>
      <c r="BU1477" s="1" t="s">
        <v>109</v>
      </c>
      <c r="BV1477" s="1"/>
      <c r="BW1477" s="1"/>
      <c r="BX1477" s="1"/>
      <c r="BY1477" s="1"/>
      <c r="BZ1477" s="1">
        <v>0</v>
      </c>
      <c r="CA1477" s="1" t="s">
        <v>109</v>
      </c>
      <c r="CB1477" s="1" t="s">
        <v>109</v>
      </c>
      <c r="CC1477" s="1" t="s">
        <v>109</v>
      </c>
      <c r="CD1477" s="1" t="s">
        <v>109</v>
      </c>
      <c r="CE1477" s="1" t="s">
        <v>109</v>
      </c>
      <c r="CF1477" s="1" t="s">
        <v>109</v>
      </c>
      <c r="CG1477" s="1" t="s">
        <v>109</v>
      </c>
      <c r="CH1477" s="1" t="s">
        <v>109</v>
      </c>
      <c r="CI1477" s="1" t="s">
        <v>109</v>
      </c>
      <c r="CJ1477" s="1">
        <v>2</v>
      </c>
      <c r="CK1477" s="1"/>
      <c r="CL1477" s="1">
        <v>0</v>
      </c>
      <c r="CM1477" s="1">
        <v>0</v>
      </c>
      <c r="CN1477" s="1">
        <v>0</v>
      </c>
    </row>
    <row r="1478" spans="1:92" ht="14.25" customHeight="1" x14ac:dyDescent="0.15">
      <c r="A1478" s="1" t="s">
        <v>11395</v>
      </c>
      <c r="B1478" s="1" t="s">
        <v>189</v>
      </c>
      <c r="C1478" s="1"/>
      <c r="D1478" s="1" t="s">
        <v>59</v>
      </c>
      <c r="E1478" s="1" t="s">
        <v>11396</v>
      </c>
      <c r="F1478" s="1" t="s">
        <v>98</v>
      </c>
      <c r="G1478" s="1" t="s">
        <v>141</v>
      </c>
      <c r="H1478" s="1">
        <v>0</v>
      </c>
      <c r="I1478" s="1" t="s">
        <v>161</v>
      </c>
      <c r="J1478" s="1"/>
      <c r="K1478" s="1"/>
      <c r="L1478" s="1" t="s">
        <v>506</v>
      </c>
      <c r="M1478" s="1" t="s">
        <v>574</v>
      </c>
      <c r="N1478" s="1">
        <v>1</v>
      </c>
      <c r="O1478" s="1">
        <v>0</v>
      </c>
      <c r="P1478" s="1" t="s">
        <v>1382</v>
      </c>
      <c r="Q1478" s="1" t="s">
        <v>167</v>
      </c>
      <c r="R1478" s="1" t="s">
        <v>11397</v>
      </c>
      <c r="S1478" s="1" t="s">
        <v>11398</v>
      </c>
      <c r="T1478" s="1" t="s">
        <v>11080</v>
      </c>
      <c r="U1478" s="1" t="s">
        <v>11399</v>
      </c>
      <c r="V1478" s="1">
        <v>1</v>
      </c>
      <c r="W1478" s="1">
        <v>1</v>
      </c>
      <c r="X1478" s="1">
        <v>0</v>
      </c>
      <c r="Y1478" s="1">
        <v>0</v>
      </c>
      <c r="Z1478" s="1">
        <v>0</v>
      </c>
      <c r="AA1478" s="1">
        <v>2</v>
      </c>
      <c r="AB1478" s="1">
        <v>2</v>
      </c>
      <c r="AC1478" s="1">
        <v>2</v>
      </c>
      <c r="AD1478" s="1" t="s">
        <v>109</v>
      </c>
      <c r="AE1478" s="1" t="s">
        <v>109</v>
      </c>
      <c r="AF1478" s="1" t="s">
        <v>109</v>
      </c>
      <c r="AG1478" s="1" t="s">
        <v>109</v>
      </c>
      <c r="AH1478" s="1">
        <v>2</v>
      </c>
      <c r="AI1478" s="1" t="s">
        <v>109</v>
      </c>
      <c r="AJ1478" s="1">
        <v>2</v>
      </c>
      <c r="AK1478" s="1" t="s">
        <v>109</v>
      </c>
      <c r="AL1478" s="1">
        <v>2</v>
      </c>
      <c r="AM1478" s="1">
        <v>1</v>
      </c>
      <c r="AN1478" s="1">
        <v>2</v>
      </c>
      <c r="AO1478" s="1" t="s">
        <v>109</v>
      </c>
      <c r="AP1478" s="1"/>
      <c r="AQ1478" s="1">
        <v>2</v>
      </c>
      <c r="AR1478" s="1"/>
      <c r="AS1478" s="1"/>
      <c r="AT1478" s="1">
        <v>0</v>
      </c>
      <c r="AU1478" s="1">
        <v>0</v>
      </c>
      <c r="AV1478" s="1">
        <v>0</v>
      </c>
      <c r="AW1478" s="1">
        <v>0</v>
      </c>
      <c r="AX1478" s="1">
        <v>0</v>
      </c>
      <c r="AY1478" s="1">
        <v>0</v>
      </c>
      <c r="AZ1478" s="1">
        <v>0</v>
      </c>
      <c r="BA1478" s="1">
        <v>0</v>
      </c>
      <c r="BB1478" s="1">
        <v>0</v>
      </c>
      <c r="BC1478" s="1">
        <v>0</v>
      </c>
      <c r="BD1478" s="1">
        <v>0</v>
      </c>
      <c r="BE1478" s="1">
        <v>0</v>
      </c>
      <c r="BF1478" s="1">
        <v>0</v>
      </c>
      <c r="BG1478" s="1">
        <v>1</v>
      </c>
      <c r="BH1478" s="1">
        <v>0</v>
      </c>
      <c r="BI1478" s="1">
        <v>0</v>
      </c>
      <c r="BJ1478" s="1">
        <v>0</v>
      </c>
      <c r="BK1478" s="1">
        <v>0</v>
      </c>
      <c r="BL1478" s="1">
        <v>0</v>
      </c>
      <c r="BM1478" s="1">
        <v>0</v>
      </c>
      <c r="BN1478" s="1">
        <v>0</v>
      </c>
      <c r="BO1478" s="1">
        <v>0</v>
      </c>
      <c r="BP1478" s="1">
        <v>0</v>
      </c>
      <c r="BQ1478" s="1">
        <v>0</v>
      </c>
      <c r="BR1478" s="1">
        <v>0</v>
      </c>
      <c r="BS1478" s="1" t="s">
        <v>109</v>
      </c>
      <c r="BT1478" s="1">
        <v>1535</v>
      </c>
      <c r="BU1478" s="1" t="s">
        <v>109</v>
      </c>
      <c r="BV1478" s="1"/>
      <c r="BW1478" s="1"/>
      <c r="BX1478" s="1"/>
      <c r="BY1478" s="1"/>
      <c r="BZ1478" s="1">
        <v>0</v>
      </c>
      <c r="CA1478" s="1">
        <v>2</v>
      </c>
      <c r="CB1478" s="1" t="s">
        <v>109</v>
      </c>
      <c r="CC1478" s="1">
        <v>2</v>
      </c>
      <c r="CD1478" s="1" t="s">
        <v>109</v>
      </c>
      <c r="CE1478" s="1" t="s">
        <v>109</v>
      </c>
      <c r="CF1478" s="1" t="s">
        <v>109</v>
      </c>
      <c r="CG1478" s="1" t="s">
        <v>109</v>
      </c>
      <c r="CH1478" s="1" t="s">
        <v>109</v>
      </c>
      <c r="CI1478" s="1" t="s">
        <v>109</v>
      </c>
      <c r="CJ1478" s="1" t="s">
        <v>109</v>
      </c>
      <c r="CK1478" s="1"/>
      <c r="CL1478" s="1">
        <v>0</v>
      </c>
      <c r="CM1478" s="1">
        <v>0</v>
      </c>
      <c r="CN1478" s="1">
        <v>0</v>
      </c>
    </row>
    <row r="1479" spans="1:92" ht="14.25" customHeight="1" x14ac:dyDescent="0.15">
      <c r="A1479" s="1" t="s">
        <v>11400</v>
      </c>
      <c r="B1479" s="1" t="s">
        <v>189</v>
      </c>
      <c r="C1479" s="1"/>
      <c r="D1479" s="1"/>
      <c r="E1479" s="1" t="s">
        <v>11401</v>
      </c>
      <c r="F1479" s="1" t="s">
        <v>98</v>
      </c>
      <c r="G1479" s="1" t="s">
        <v>141</v>
      </c>
      <c r="H1479" s="1">
        <v>0</v>
      </c>
      <c r="I1479" s="1" t="s">
        <v>122</v>
      </c>
      <c r="J1479" s="1"/>
      <c r="K1479" s="1"/>
      <c r="L1479" s="1" t="s">
        <v>11402</v>
      </c>
      <c r="M1479" s="1" t="s">
        <v>6144</v>
      </c>
      <c r="N1479" s="1">
        <v>1</v>
      </c>
      <c r="O1479" s="1">
        <v>0</v>
      </c>
      <c r="P1479" s="1" t="s">
        <v>507</v>
      </c>
      <c r="Q1479" s="1" t="s">
        <v>167</v>
      </c>
      <c r="R1479" s="1" t="s">
        <v>11403</v>
      </c>
      <c r="S1479" s="1" t="s">
        <v>11404</v>
      </c>
      <c r="T1479" s="1" t="s">
        <v>11080</v>
      </c>
      <c r="U1479" s="1" t="s">
        <v>11405</v>
      </c>
      <c r="V1479" s="1">
        <v>1</v>
      </c>
      <c r="W1479" s="1">
        <v>1</v>
      </c>
      <c r="X1479" s="1">
        <v>0</v>
      </c>
      <c r="Y1479" s="1">
        <v>0</v>
      </c>
      <c r="Z1479" s="1">
        <v>0</v>
      </c>
      <c r="AA1479" s="1">
        <v>3</v>
      </c>
      <c r="AB1479" s="1">
        <v>3</v>
      </c>
      <c r="AC1479" s="1">
        <v>3</v>
      </c>
      <c r="AD1479" s="1">
        <v>3</v>
      </c>
      <c r="AE1479" s="1">
        <v>2</v>
      </c>
      <c r="AF1479" s="1" t="s">
        <v>109</v>
      </c>
      <c r="AG1479" s="1" t="s">
        <v>109</v>
      </c>
      <c r="AH1479" s="1">
        <v>3</v>
      </c>
      <c r="AI1479" s="1" t="s">
        <v>109</v>
      </c>
      <c r="AJ1479" s="1">
        <v>3</v>
      </c>
      <c r="AK1479" s="1">
        <v>3</v>
      </c>
      <c r="AL1479" s="1">
        <v>3</v>
      </c>
      <c r="AM1479" s="1">
        <v>2</v>
      </c>
      <c r="AN1479" s="1" t="s">
        <v>109</v>
      </c>
      <c r="AO1479" s="1" t="s">
        <v>109</v>
      </c>
      <c r="AP1479" s="1"/>
      <c r="AQ1479" s="1">
        <v>3</v>
      </c>
      <c r="AR1479" s="1"/>
      <c r="AS1479" s="1"/>
      <c r="AT1479" s="1">
        <v>0</v>
      </c>
      <c r="AU1479" s="1">
        <v>0</v>
      </c>
      <c r="AV1479" s="1">
        <v>0</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t="s">
        <v>109</v>
      </c>
      <c r="BT1479" s="1">
        <v>1536</v>
      </c>
      <c r="BU1479" s="1" t="s">
        <v>109</v>
      </c>
      <c r="BV1479" s="1"/>
      <c r="BW1479" s="1"/>
      <c r="BX1479" s="1"/>
      <c r="BY1479" s="1"/>
      <c r="BZ1479" s="1">
        <v>0</v>
      </c>
      <c r="CA1479" s="1">
        <v>3</v>
      </c>
      <c r="CB1479" s="1" t="s">
        <v>109</v>
      </c>
      <c r="CC1479" s="1">
        <v>3</v>
      </c>
      <c r="CD1479" s="1" t="s">
        <v>109</v>
      </c>
      <c r="CE1479" s="1" t="s">
        <v>109</v>
      </c>
      <c r="CF1479" s="1" t="s">
        <v>109</v>
      </c>
      <c r="CG1479" s="1" t="s">
        <v>109</v>
      </c>
      <c r="CH1479" s="1" t="s">
        <v>109</v>
      </c>
      <c r="CI1479" s="1" t="s">
        <v>109</v>
      </c>
      <c r="CJ1479" s="1">
        <v>2</v>
      </c>
      <c r="CK1479" s="1"/>
      <c r="CL1479" s="1">
        <v>0</v>
      </c>
      <c r="CM1479" s="1">
        <v>0</v>
      </c>
      <c r="CN1479" s="1">
        <v>0</v>
      </c>
    </row>
    <row r="1480" spans="1:92" ht="14.25" customHeight="1" x14ac:dyDescent="0.15">
      <c r="A1480" s="1" t="s">
        <v>11406</v>
      </c>
      <c r="B1480" s="1" t="s">
        <v>308</v>
      </c>
      <c r="C1480" s="1"/>
      <c r="D1480" s="1" t="s">
        <v>1327</v>
      </c>
      <c r="E1480" s="1" t="s">
        <v>11407</v>
      </c>
      <c r="F1480" s="1" t="s">
        <v>11408</v>
      </c>
      <c r="G1480" s="1" t="s">
        <v>11409</v>
      </c>
      <c r="H1480" s="1">
        <v>0</v>
      </c>
      <c r="I1480" s="1" t="s">
        <v>161</v>
      </c>
      <c r="J1480" s="1"/>
      <c r="K1480" s="1"/>
      <c r="L1480" s="1" t="s">
        <v>162</v>
      </c>
      <c r="M1480" s="1" t="s">
        <v>11410</v>
      </c>
      <c r="N1480" s="1">
        <v>0</v>
      </c>
      <c r="O1480" s="1">
        <v>0</v>
      </c>
      <c r="P1480" s="1" t="s">
        <v>103</v>
      </c>
      <c r="Q1480" s="1" t="s">
        <v>268</v>
      </c>
      <c r="R1480" s="1" t="s">
        <v>11411</v>
      </c>
      <c r="S1480" s="1" t="s">
        <v>11412</v>
      </c>
      <c r="T1480" s="1" t="s">
        <v>11080</v>
      </c>
      <c r="U1480" s="1" t="s">
        <v>11413</v>
      </c>
      <c r="V1480" s="1">
        <v>1</v>
      </c>
      <c r="W1480" s="1">
        <v>1</v>
      </c>
      <c r="X1480" s="1">
        <v>1</v>
      </c>
      <c r="Y1480" s="1">
        <v>0</v>
      </c>
      <c r="Z1480" s="1">
        <v>0</v>
      </c>
      <c r="AA1480" s="1" t="s">
        <v>109</v>
      </c>
      <c r="AB1480" s="1" t="s">
        <v>109</v>
      </c>
      <c r="AC1480" s="1">
        <v>2</v>
      </c>
      <c r="AD1480" s="1" t="s">
        <v>109</v>
      </c>
      <c r="AE1480" s="1" t="s">
        <v>109</v>
      </c>
      <c r="AF1480" s="1" t="s">
        <v>109</v>
      </c>
      <c r="AG1480" s="1" t="s">
        <v>109</v>
      </c>
      <c r="AH1480" s="1" t="s">
        <v>109</v>
      </c>
      <c r="AI1480" s="1" t="s">
        <v>109</v>
      </c>
      <c r="AJ1480" s="1">
        <v>2</v>
      </c>
      <c r="AK1480" s="1" t="s">
        <v>109</v>
      </c>
      <c r="AL1480" s="1">
        <v>2</v>
      </c>
      <c r="AM1480" s="1">
        <v>2</v>
      </c>
      <c r="AN1480" s="1" t="s">
        <v>109</v>
      </c>
      <c r="AO1480" s="1" t="s">
        <v>109</v>
      </c>
      <c r="AP1480" s="1"/>
      <c r="AQ1480" s="1">
        <v>2</v>
      </c>
      <c r="AR1480" s="1" t="s">
        <v>11414</v>
      </c>
      <c r="AS1480" s="1"/>
      <c r="AT1480" s="1">
        <v>0</v>
      </c>
      <c r="AU1480" s="1">
        <v>0</v>
      </c>
      <c r="AV1480" s="1">
        <v>0</v>
      </c>
      <c r="AW1480" s="1">
        <v>0</v>
      </c>
      <c r="AX1480" s="1">
        <v>0</v>
      </c>
      <c r="AY1480" s="1">
        <v>0</v>
      </c>
      <c r="AZ1480" s="1">
        <v>1</v>
      </c>
      <c r="BA1480" s="1">
        <v>0</v>
      </c>
      <c r="BB1480" s="1">
        <v>0</v>
      </c>
      <c r="BC1480" s="1">
        <v>0</v>
      </c>
      <c r="BD1480" s="1">
        <v>0</v>
      </c>
      <c r="BE1480" s="1">
        <v>1</v>
      </c>
      <c r="BF1480" s="1">
        <v>0</v>
      </c>
      <c r="BG1480" s="1">
        <v>0</v>
      </c>
      <c r="BH1480" s="1">
        <v>0</v>
      </c>
      <c r="BI1480" s="1">
        <v>0</v>
      </c>
      <c r="BJ1480" s="1">
        <v>0</v>
      </c>
      <c r="BK1480" s="1">
        <v>0</v>
      </c>
      <c r="BL1480" s="1">
        <v>0</v>
      </c>
      <c r="BM1480" s="1">
        <v>0</v>
      </c>
      <c r="BN1480" s="1">
        <v>0</v>
      </c>
      <c r="BO1480" s="1">
        <v>0</v>
      </c>
      <c r="BP1480" s="1">
        <v>0</v>
      </c>
      <c r="BQ1480" s="1">
        <v>0</v>
      </c>
      <c r="BR1480" s="1">
        <v>0</v>
      </c>
      <c r="BS1480" s="1" t="s">
        <v>109</v>
      </c>
      <c r="BT1480" s="1">
        <v>1537</v>
      </c>
      <c r="BU1480" s="1" t="s">
        <v>109</v>
      </c>
      <c r="BV1480" s="1"/>
      <c r="BW1480" s="1"/>
      <c r="BX1480" s="1"/>
      <c r="BY1480" s="1"/>
      <c r="BZ1480" s="1">
        <v>0</v>
      </c>
      <c r="CA1480" s="1" t="s">
        <v>109</v>
      </c>
      <c r="CB1480" s="1" t="s">
        <v>109</v>
      </c>
      <c r="CC1480" s="1" t="s">
        <v>109</v>
      </c>
      <c r="CD1480" s="1" t="s">
        <v>109</v>
      </c>
      <c r="CE1480" s="1" t="s">
        <v>109</v>
      </c>
      <c r="CF1480" s="1" t="s">
        <v>109</v>
      </c>
      <c r="CG1480" s="1" t="s">
        <v>109</v>
      </c>
      <c r="CH1480" s="1" t="s">
        <v>109</v>
      </c>
      <c r="CI1480" s="1" t="s">
        <v>109</v>
      </c>
      <c r="CJ1480" s="1" t="s">
        <v>109</v>
      </c>
      <c r="CK1480" s="1"/>
      <c r="CL1480" s="1">
        <v>0</v>
      </c>
      <c r="CM1480" s="1">
        <v>0</v>
      </c>
      <c r="CN1480" s="1">
        <v>0</v>
      </c>
    </row>
    <row r="1481" spans="1:92" ht="14.25" customHeight="1" x14ac:dyDescent="0.15">
      <c r="A1481" s="1" t="s">
        <v>11415</v>
      </c>
      <c r="B1481" s="1" t="s">
        <v>308</v>
      </c>
      <c r="C1481" s="1"/>
      <c r="D1481" s="1" t="s">
        <v>57</v>
      </c>
      <c r="E1481" s="1" t="s">
        <v>11416</v>
      </c>
      <c r="F1481" s="1" t="s">
        <v>377</v>
      </c>
      <c r="G1481" s="1" t="s">
        <v>11417</v>
      </c>
      <c r="H1481" s="1">
        <v>1</v>
      </c>
      <c r="I1481" s="1" t="s">
        <v>161</v>
      </c>
      <c r="J1481" s="1"/>
      <c r="K1481" s="1"/>
      <c r="L1481" s="1" t="s">
        <v>11418</v>
      </c>
      <c r="M1481" s="1" t="s">
        <v>11419</v>
      </c>
      <c r="N1481" s="1">
        <v>1</v>
      </c>
      <c r="O1481" s="1">
        <v>0</v>
      </c>
      <c r="P1481" s="1" t="s">
        <v>103</v>
      </c>
      <c r="Q1481" s="1" t="s">
        <v>104</v>
      </c>
      <c r="R1481" s="1" t="s">
        <v>11420</v>
      </c>
      <c r="S1481" s="1" t="s">
        <v>11421</v>
      </c>
      <c r="T1481" s="1" t="s">
        <v>11080</v>
      </c>
      <c r="U1481" s="1" t="s">
        <v>11422</v>
      </c>
      <c r="V1481" s="1">
        <v>1</v>
      </c>
      <c r="W1481" s="1">
        <v>1</v>
      </c>
      <c r="X1481" s="1">
        <v>1</v>
      </c>
      <c r="Y1481" s="1">
        <v>0</v>
      </c>
      <c r="Z1481" s="1">
        <v>0</v>
      </c>
      <c r="AA1481" s="1">
        <v>2</v>
      </c>
      <c r="AB1481" s="1">
        <v>2</v>
      </c>
      <c r="AC1481" s="1">
        <v>2</v>
      </c>
      <c r="AD1481" s="1" t="s">
        <v>109</v>
      </c>
      <c r="AE1481" s="1" t="s">
        <v>109</v>
      </c>
      <c r="AF1481" s="1" t="s">
        <v>109</v>
      </c>
      <c r="AG1481" s="1" t="s">
        <v>109</v>
      </c>
      <c r="AH1481" s="1" t="s">
        <v>109</v>
      </c>
      <c r="AI1481" s="1" t="s">
        <v>109</v>
      </c>
      <c r="AJ1481" s="1">
        <v>2</v>
      </c>
      <c r="AK1481" s="1" t="s">
        <v>109</v>
      </c>
      <c r="AL1481" s="1">
        <v>2</v>
      </c>
      <c r="AM1481" s="1">
        <v>1</v>
      </c>
      <c r="AN1481" s="1" t="s">
        <v>109</v>
      </c>
      <c r="AO1481" s="1" t="s">
        <v>109</v>
      </c>
      <c r="AP1481" s="1"/>
      <c r="AQ1481" s="1">
        <v>2</v>
      </c>
      <c r="AR1481" s="1"/>
      <c r="AS1481" s="1"/>
      <c r="AT1481" s="1">
        <v>0</v>
      </c>
      <c r="AU1481" s="1">
        <v>0</v>
      </c>
      <c r="AV1481" s="1">
        <v>0</v>
      </c>
      <c r="AW1481" s="1">
        <v>0</v>
      </c>
      <c r="AX1481" s="1">
        <v>0</v>
      </c>
      <c r="AY1481" s="1">
        <v>0</v>
      </c>
      <c r="AZ1481" s="1">
        <v>0</v>
      </c>
      <c r="BA1481" s="1">
        <v>0</v>
      </c>
      <c r="BB1481" s="1">
        <v>0</v>
      </c>
      <c r="BC1481" s="1">
        <v>0</v>
      </c>
      <c r="BD1481" s="1">
        <v>0</v>
      </c>
      <c r="BE1481" s="1">
        <v>1</v>
      </c>
      <c r="BF1481" s="1">
        <v>0</v>
      </c>
      <c r="BG1481" s="1">
        <v>0</v>
      </c>
      <c r="BH1481" s="1">
        <v>0</v>
      </c>
      <c r="BI1481" s="1">
        <v>0</v>
      </c>
      <c r="BJ1481" s="1">
        <v>0</v>
      </c>
      <c r="BK1481" s="1">
        <v>0</v>
      </c>
      <c r="BL1481" s="1">
        <v>0</v>
      </c>
      <c r="BM1481" s="1">
        <v>0</v>
      </c>
      <c r="BN1481" s="1">
        <v>0</v>
      </c>
      <c r="BO1481" s="1">
        <v>0</v>
      </c>
      <c r="BP1481" s="1">
        <v>0</v>
      </c>
      <c r="BQ1481" s="1">
        <v>0</v>
      </c>
      <c r="BR1481" s="1">
        <v>0</v>
      </c>
      <c r="BS1481" s="1" t="s">
        <v>109</v>
      </c>
      <c r="BT1481" s="1">
        <v>1538</v>
      </c>
      <c r="BU1481" s="1">
        <v>10</v>
      </c>
      <c r="BV1481" s="1"/>
      <c r="BW1481" s="1"/>
      <c r="BX1481" s="1"/>
      <c r="BY1481" s="1"/>
      <c r="BZ1481" s="1">
        <v>0</v>
      </c>
      <c r="CA1481" s="1" t="s">
        <v>109</v>
      </c>
      <c r="CB1481" s="1" t="s">
        <v>109</v>
      </c>
      <c r="CC1481" s="1" t="s">
        <v>109</v>
      </c>
      <c r="CD1481" s="1" t="s">
        <v>109</v>
      </c>
      <c r="CE1481" s="1" t="s">
        <v>109</v>
      </c>
      <c r="CF1481" s="1" t="s">
        <v>109</v>
      </c>
      <c r="CG1481" s="1" t="s">
        <v>109</v>
      </c>
      <c r="CH1481" s="1" t="s">
        <v>109</v>
      </c>
      <c r="CI1481" s="1" t="s">
        <v>109</v>
      </c>
      <c r="CJ1481" s="1" t="s">
        <v>109</v>
      </c>
      <c r="CK1481" s="1"/>
      <c r="CL1481" s="1">
        <v>0</v>
      </c>
      <c r="CM1481" s="1">
        <v>0</v>
      </c>
      <c r="CN1481" s="1">
        <v>0</v>
      </c>
    </row>
    <row r="1482" spans="1:92" ht="14.25" customHeight="1" x14ac:dyDescent="0.15">
      <c r="A1482" s="1" t="s">
        <v>11423</v>
      </c>
      <c r="B1482" s="1" t="s">
        <v>189</v>
      </c>
      <c r="C1482" s="1"/>
      <c r="D1482" s="1" t="s">
        <v>54</v>
      </c>
      <c r="E1482" s="1" t="s">
        <v>7031</v>
      </c>
      <c r="F1482" s="1" t="s">
        <v>98</v>
      </c>
      <c r="G1482" s="1" t="s">
        <v>160</v>
      </c>
      <c r="H1482" s="1">
        <v>0</v>
      </c>
      <c r="I1482" s="1" t="s">
        <v>142</v>
      </c>
      <c r="J1482" s="1"/>
      <c r="K1482" s="1"/>
      <c r="L1482" s="1" t="s">
        <v>11424</v>
      </c>
      <c r="M1482" s="1" t="s">
        <v>125</v>
      </c>
      <c r="N1482" s="1">
        <v>0</v>
      </c>
      <c r="O1482" s="1">
        <v>0</v>
      </c>
      <c r="P1482" s="1" t="s">
        <v>267</v>
      </c>
      <c r="Q1482" s="1" t="s">
        <v>268</v>
      </c>
      <c r="R1482" s="1" t="s">
        <v>11425</v>
      </c>
      <c r="S1482" s="1" t="s">
        <v>11426</v>
      </c>
      <c r="T1482" s="1" t="s">
        <v>11080</v>
      </c>
      <c r="U1482" s="1" t="s">
        <v>11427</v>
      </c>
      <c r="V1482" s="1">
        <v>1</v>
      </c>
      <c r="W1482" s="1">
        <v>1</v>
      </c>
      <c r="X1482" s="1">
        <v>0</v>
      </c>
      <c r="Y1482" s="1">
        <v>0</v>
      </c>
      <c r="Z1482" s="1">
        <v>1</v>
      </c>
      <c r="AA1482" s="1" t="s">
        <v>109</v>
      </c>
      <c r="AB1482" s="1" t="s">
        <v>109</v>
      </c>
      <c r="AC1482" s="1" t="s">
        <v>109</v>
      </c>
      <c r="AD1482" s="1">
        <v>2</v>
      </c>
      <c r="AE1482" s="1" t="s">
        <v>109</v>
      </c>
      <c r="AF1482" s="1" t="s">
        <v>109</v>
      </c>
      <c r="AG1482" s="1" t="s">
        <v>109</v>
      </c>
      <c r="AH1482" s="1" t="s">
        <v>109</v>
      </c>
      <c r="AI1482" s="1" t="s">
        <v>109</v>
      </c>
      <c r="AJ1482" s="1">
        <v>2</v>
      </c>
      <c r="AK1482" s="1" t="s">
        <v>109</v>
      </c>
      <c r="AL1482" s="1" t="s">
        <v>109</v>
      </c>
      <c r="AM1482" s="1" t="s">
        <v>109</v>
      </c>
      <c r="AN1482" s="1" t="s">
        <v>109</v>
      </c>
      <c r="AO1482" s="1" t="s">
        <v>109</v>
      </c>
      <c r="AP1482" s="1"/>
      <c r="AQ1482" s="1">
        <v>2</v>
      </c>
      <c r="AR1482" s="1"/>
      <c r="AS1482" s="1"/>
      <c r="AT1482" s="1">
        <v>0</v>
      </c>
      <c r="AU1482" s="1">
        <v>0</v>
      </c>
      <c r="AV1482" s="1">
        <v>0</v>
      </c>
      <c r="AW1482" s="1">
        <v>0</v>
      </c>
      <c r="AX1482" s="1">
        <v>0</v>
      </c>
      <c r="AY1482" s="1">
        <v>0</v>
      </c>
      <c r="AZ1482" s="1">
        <v>0</v>
      </c>
      <c r="BA1482" s="1">
        <v>0</v>
      </c>
      <c r="BB1482" s="1">
        <v>1</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t="s">
        <v>109</v>
      </c>
      <c r="BT1482" s="1">
        <v>1539</v>
      </c>
      <c r="BU1482" s="1" t="s">
        <v>109</v>
      </c>
      <c r="BV1482" s="1"/>
      <c r="BW1482" s="1"/>
      <c r="BX1482" s="1"/>
      <c r="BY1482" s="1"/>
      <c r="BZ1482" s="1">
        <v>0</v>
      </c>
      <c r="CA1482" s="1" t="s">
        <v>109</v>
      </c>
      <c r="CB1482" s="1" t="s">
        <v>109</v>
      </c>
      <c r="CC1482" s="1" t="s">
        <v>109</v>
      </c>
      <c r="CD1482" s="1" t="s">
        <v>109</v>
      </c>
      <c r="CE1482" s="1" t="s">
        <v>109</v>
      </c>
      <c r="CF1482" s="1" t="s">
        <v>109</v>
      </c>
      <c r="CG1482" s="1" t="s">
        <v>109</v>
      </c>
      <c r="CH1482" s="1" t="s">
        <v>109</v>
      </c>
      <c r="CI1482" s="1" t="s">
        <v>109</v>
      </c>
      <c r="CJ1482" s="1">
        <v>2</v>
      </c>
      <c r="CK1482" s="1"/>
      <c r="CL1482" s="1">
        <v>0</v>
      </c>
      <c r="CM1482" s="1">
        <v>0</v>
      </c>
      <c r="CN1482" s="1">
        <v>0</v>
      </c>
    </row>
    <row r="1483" spans="1:92" ht="14.25" customHeight="1" x14ac:dyDescent="0.15">
      <c r="A1483" s="1" t="s">
        <v>11428</v>
      </c>
      <c r="B1483" s="1" t="s">
        <v>189</v>
      </c>
      <c r="C1483" s="1"/>
      <c r="D1483" s="1" t="s">
        <v>54</v>
      </c>
      <c r="E1483" s="1" t="s">
        <v>7415</v>
      </c>
      <c r="F1483" s="1" t="s">
        <v>98</v>
      </c>
      <c r="G1483" s="1" t="s">
        <v>160</v>
      </c>
      <c r="H1483" s="1">
        <v>0</v>
      </c>
      <c r="I1483" s="1" t="s">
        <v>142</v>
      </c>
      <c r="J1483" s="1"/>
      <c r="K1483" s="1"/>
      <c r="L1483" s="1" t="s">
        <v>4215</v>
      </c>
      <c r="M1483" s="1" t="s">
        <v>125</v>
      </c>
      <c r="N1483" s="1">
        <v>0</v>
      </c>
      <c r="O1483" s="1">
        <v>0</v>
      </c>
      <c r="P1483" s="1" t="s">
        <v>267</v>
      </c>
      <c r="Q1483" s="1" t="s">
        <v>268</v>
      </c>
      <c r="R1483" s="1" t="s">
        <v>11429</v>
      </c>
      <c r="S1483" s="1" t="s">
        <v>11430</v>
      </c>
      <c r="T1483" s="1" t="s">
        <v>11080</v>
      </c>
      <c r="U1483" s="1" t="s">
        <v>11431</v>
      </c>
      <c r="V1483" s="1">
        <v>1</v>
      </c>
      <c r="W1483" s="1">
        <v>1</v>
      </c>
      <c r="X1483" s="1">
        <v>0</v>
      </c>
      <c r="Y1483" s="1">
        <v>0</v>
      </c>
      <c r="Z1483" s="1">
        <v>1</v>
      </c>
      <c r="AA1483" s="1" t="s">
        <v>109</v>
      </c>
      <c r="AB1483" s="1" t="s">
        <v>109</v>
      </c>
      <c r="AC1483" s="1" t="s">
        <v>109</v>
      </c>
      <c r="AD1483" s="1">
        <v>6</v>
      </c>
      <c r="AE1483" s="1" t="s">
        <v>109</v>
      </c>
      <c r="AF1483" s="1" t="s">
        <v>109</v>
      </c>
      <c r="AG1483" s="1" t="s">
        <v>109</v>
      </c>
      <c r="AH1483" s="1" t="s">
        <v>109</v>
      </c>
      <c r="AI1483" s="1" t="s">
        <v>109</v>
      </c>
      <c r="AJ1483" s="1">
        <v>6</v>
      </c>
      <c r="AK1483" s="1" t="s">
        <v>109</v>
      </c>
      <c r="AL1483" s="1" t="s">
        <v>109</v>
      </c>
      <c r="AM1483" s="1" t="s">
        <v>109</v>
      </c>
      <c r="AN1483" s="1" t="s">
        <v>109</v>
      </c>
      <c r="AO1483" s="1" t="s">
        <v>109</v>
      </c>
      <c r="AP1483" s="1"/>
      <c r="AQ1483" s="1">
        <v>6</v>
      </c>
      <c r="AR1483" s="1"/>
      <c r="AS1483" s="1"/>
      <c r="AT1483" s="1">
        <v>0</v>
      </c>
      <c r="AU1483" s="1">
        <v>0</v>
      </c>
      <c r="AV1483" s="1">
        <v>0</v>
      </c>
      <c r="AW1483" s="1">
        <v>0</v>
      </c>
      <c r="AX1483" s="1">
        <v>0</v>
      </c>
      <c r="AY1483" s="1">
        <v>0</v>
      </c>
      <c r="AZ1483" s="1">
        <v>0</v>
      </c>
      <c r="BA1483" s="1">
        <v>0</v>
      </c>
      <c r="BB1483" s="1">
        <v>1</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t="s">
        <v>109</v>
      </c>
      <c r="BT1483" s="1">
        <v>1540</v>
      </c>
      <c r="BU1483" s="1" t="s">
        <v>109</v>
      </c>
      <c r="BV1483" s="1"/>
      <c r="BW1483" s="1"/>
      <c r="BX1483" s="1"/>
      <c r="BY1483" s="1"/>
      <c r="BZ1483" s="1">
        <v>0</v>
      </c>
      <c r="CA1483" s="1" t="s">
        <v>109</v>
      </c>
      <c r="CB1483" s="1" t="s">
        <v>109</v>
      </c>
      <c r="CC1483" s="1" t="s">
        <v>109</v>
      </c>
      <c r="CD1483" s="1" t="s">
        <v>109</v>
      </c>
      <c r="CE1483" s="1" t="s">
        <v>109</v>
      </c>
      <c r="CF1483" s="1" t="s">
        <v>109</v>
      </c>
      <c r="CG1483" s="1" t="s">
        <v>109</v>
      </c>
      <c r="CH1483" s="1" t="s">
        <v>109</v>
      </c>
      <c r="CI1483" s="1" t="s">
        <v>109</v>
      </c>
      <c r="CJ1483" s="1">
        <v>6</v>
      </c>
      <c r="CK1483" s="1"/>
      <c r="CL1483" s="1">
        <v>0</v>
      </c>
      <c r="CM1483" s="1">
        <v>0</v>
      </c>
      <c r="CN1483" s="1">
        <v>0</v>
      </c>
    </row>
    <row r="1484" spans="1:92" ht="14.25" customHeight="1" x14ac:dyDescent="0.15">
      <c r="A1484" s="1" t="s">
        <v>11432</v>
      </c>
      <c r="B1484" s="1" t="s">
        <v>95</v>
      </c>
      <c r="C1484" s="1" t="s">
        <v>96</v>
      </c>
      <c r="D1484" s="1" t="s">
        <v>54</v>
      </c>
      <c r="E1484" s="1" t="s">
        <v>11023</v>
      </c>
      <c r="F1484" s="1" t="s">
        <v>98</v>
      </c>
      <c r="G1484" s="1" t="s">
        <v>160</v>
      </c>
      <c r="H1484" s="1">
        <v>0</v>
      </c>
      <c r="I1484" s="1" t="s">
        <v>142</v>
      </c>
      <c r="J1484" s="1"/>
      <c r="K1484" s="1"/>
      <c r="L1484" s="1" t="s">
        <v>1391</v>
      </c>
      <c r="M1484" s="1" t="s">
        <v>144</v>
      </c>
      <c r="N1484" s="1">
        <v>0</v>
      </c>
      <c r="O1484" s="1">
        <v>0</v>
      </c>
      <c r="P1484" s="1" t="s">
        <v>103</v>
      </c>
      <c r="Q1484" s="1" t="s">
        <v>268</v>
      </c>
      <c r="R1484" s="1" t="s">
        <v>11433</v>
      </c>
      <c r="S1484" s="1" t="s">
        <v>11434</v>
      </c>
      <c r="T1484" s="1" t="s">
        <v>11080</v>
      </c>
      <c r="U1484" s="1" t="s">
        <v>11435</v>
      </c>
      <c r="V1484" s="1">
        <v>1</v>
      </c>
      <c r="W1484" s="1">
        <v>1</v>
      </c>
      <c r="X1484" s="1">
        <v>0</v>
      </c>
      <c r="Y1484" s="1">
        <v>0</v>
      </c>
      <c r="Z1484" s="1">
        <v>1</v>
      </c>
      <c r="AA1484" s="1" t="s">
        <v>109</v>
      </c>
      <c r="AB1484" s="1" t="s">
        <v>109</v>
      </c>
      <c r="AC1484" s="1">
        <v>1</v>
      </c>
      <c r="AD1484" s="1">
        <v>1</v>
      </c>
      <c r="AE1484" s="1" t="s">
        <v>109</v>
      </c>
      <c r="AF1484" s="1" t="s">
        <v>109</v>
      </c>
      <c r="AG1484" s="1" t="s">
        <v>109</v>
      </c>
      <c r="AH1484" s="1" t="s">
        <v>109</v>
      </c>
      <c r="AI1484" s="1" t="s">
        <v>109</v>
      </c>
      <c r="AJ1484" s="1" t="s">
        <v>109</v>
      </c>
      <c r="AK1484" s="1" t="s">
        <v>109</v>
      </c>
      <c r="AL1484" s="1">
        <v>1</v>
      </c>
      <c r="AM1484" s="1" t="s">
        <v>109</v>
      </c>
      <c r="AN1484" s="1" t="s">
        <v>109</v>
      </c>
      <c r="AO1484" s="1" t="s">
        <v>109</v>
      </c>
      <c r="AP1484" s="1"/>
      <c r="AQ1484" s="1">
        <v>1</v>
      </c>
      <c r="AR1484" s="1"/>
      <c r="AS1484" s="1"/>
      <c r="AT1484" s="1">
        <v>0</v>
      </c>
      <c r="AU1484" s="1">
        <v>0</v>
      </c>
      <c r="AV1484" s="1">
        <v>0</v>
      </c>
      <c r="AW1484" s="1">
        <v>0</v>
      </c>
      <c r="AX1484" s="1">
        <v>0</v>
      </c>
      <c r="AY1484" s="1">
        <v>0</v>
      </c>
      <c r="AZ1484" s="1">
        <v>0</v>
      </c>
      <c r="BA1484" s="1">
        <v>0</v>
      </c>
      <c r="BB1484" s="1">
        <v>1</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t="s">
        <v>109</v>
      </c>
      <c r="BT1484" s="1">
        <v>1541</v>
      </c>
      <c r="BU1484" s="1" t="s">
        <v>109</v>
      </c>
      <c r="BV1484" s="1"/>
      <c r="BW1484" s="1"/>
      <c r="BX1484" s="1" t="s">
        <v>11436</v>
      </c>
      <c r="BY1484" s="1"/>
      <c r="BZ1484" s="1">
        <v>1</v>
      </c>
      <c r="CA1484" s="1" t="s">
        <v>109</v>
      </c>
      <c r="CB1484" s="1" t="s">
        <v>109</v>
      </c>
      <c r="CC1484" s="1" t="s">
        <v>109</v>
      </c>
      <c r="CD1484" s="1" t="s">
        <v>109</v>
      </c>
      <c r="CE1484" s="1" t="s">
        <v>109</v>
      </c>
      <c r="CF1484" s="1" t="s">
        <v>109</v>
      </c>
      <c r="CG1484" s="1" t="s">
        <v>109</v>
      </c>
      <c r="CH1484" s="1" t="s">
        <v>109</v>
      </c>
      <c r="CI1484" s="1" t="s">
        <v>109</v>
      </c>
      <c r="CJ1484" s="1">
        <v>1</v>
      </c>
      <c r="CK1484" s="1"/>
      <c r="CL1484" s="1">
        <v>0</v>
      </c>
      <c r="CM1484" s="1">
        <v>0</v>
      </c>
      <c r="CN1484" s="1">
        <v>0</v>
      </c>
    </row>
    <row r="1485" spans="1:92" ht="14.25" customHeight="1" x14ac:dyDescent="0.15">
      <c r="A1485" s="1" t="s">
        <v>11437</v>
      </c>
      <c r="B1485" s="1" t="s">
        <v>189</v>
      </c>
      <c r="C1485" s="1"/>
      <c r="D1485" s="1" t="s">
        <v>54</v>
      </c>
      <c r="E1485" s="1" t="s">
        <v>11438</v>
      </c>
      <c r="F1485" s="1" t="s">
        <v>355</v>
      </c>
      <c r="G1485" s="1" t="s">
        <v>160</v>
      </c>
      <c r="H1485" s="1">
        <v>0</v>
      </c>
      <c r="I1485" s="1" t="s">
        <v>142</v>
      </c>
      <c r="J1485" s="1"/>
      <c r="K1485" s="1" t="s">
        <v>11439</v>
      </c>
      <c r="L1485" s="1"/>
      <c r="M1485" s="1" t="s">
        <v>3313</v>
      </c>
      <c r="N1485" s="1">
        <v>0</v>
      </c>
      <c r="O1485" s="1">
        <v>0</v>
      </c>
      <c r="P1485" s="1" t="s">
        <v>103</v>
      </c>
      <c r="Q1485" s="1" t="s">
        <v>268</v>
      </c>
      <c r="R1485" s="1" t="s">
        <v>11440</v>
      </c>
      <c r="S1485" s="1" t="s">
        <v>11441</v>
      </c>
      <c r="T1485" s="1" t="s">
        <v>11080</v>
      </c>
      <c r="U1485" s="1" t="s">
        <v>11442</v>
      </c>
      <c r="V1485" s="1">
        <v>1</v>
      </c>
      <c r="W1485" s="1">
        <v>1</v>
      </c>
      <c r="X1485" s="1">
        <v>0</v>
      </c>
      <c r="Y1485" s="1">
        <v>0</v>
      </c>
      <c r="Z1485" s="1">
        <v>1</v>
      </c>
      <c r="AA1485" s="1">
        <v>3</v>
      </c>
      <c r="AB1485" s="1">
        <v>3</v>
      </c>
      <c r="AC1485" s="1">
        <v>3</v>
      </c>
      <c r="AD1485" s="1">
        <v>3</v>
      </c>
      <c r="AE1485" s="1" t="s">
        <v>109</v>
      </c>
      <c r="AF1485" s="1">
        <v>3</v>
      </c>
      <c r="AG1485" s="1" t="s">
        <v>109</v>
      </c>
      <c r="AH1485" s="1" t="s">
        <v>109</v>
      </c>
      <c r="AI1485" s="1" t="s">
        <v>109</v>
      </c>
      <c r="AJ1485" s="1">
        <v>3</v>
      </c>
      <c r="AK1485" s="1" t="s">
        <v>109</v>
      </c>
      <c r="AL1485" s="1">
        <v>3</v>
      </c>
      <c r="AM1485" s="1" t="s">
        <v>109</v>
      </c>
      <c r="AN1485" s="1" t="s">
        <v>109</v>
      </c>
      <c r="AO1485" s="1" t="s">
        <v>109</v>
      </c>
      <c r="AP1485" s="1"/>
      <c r="AQ1485" s="1">
        <v>3</v>
      </c>
      <c r="AR1485" s="1"/>
      <c r="AS1485" s="1"/>
      <c r="AT1485" s="1">
        <v>0</v>
      </c>
      <c r="AU1485" s="1">
        <v>0</v>
      </c>
      <c r="AV1485" s="1">
        <v>0</v>
      </c>
      <c r="AW1485" s="1">
        <v>0</v>
      </c>
      <c r="AX1485" s="1">
        <v>0</v>
      </c>
      <c r="AY1485" s="1">
        <v>0</v>
      </c>
      <c r="AZ1485" s="1">
        <v>0</v>
      </c>
      <c r="BA1485" s="1">
        <v>0</v>
      </c>
      <c r="BB1485" s="1">
        <v>1</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t="s">
        <v>109</v>
      </c>
      <c r="BT1485" s="1">
        <v>1542</v>
      </c>
      <c r="BU1485" s="1" t="s">
        <v>109</v>
      </c>
      <c r="BV1485" s="1"/>
      <c r="BW1485" s="1"/>
      <c r="BX1485" s="1"/>
      <c r="BY1485" s="1"/>
      <c r="BZ1485" s="1">
        <v>0</v>
      </c>
      <c r="CA1485" s="1">
        <v>3</v>
      </c>
      <c r="CB1485" s="1" t="s">
        <v>109</v>
      </c>
      <c r="CC1485" s="1" t="s">
        <v>109</v>
      </c>
      <c r="CD1485" s="1" t="s">
        <v>109</v>
      </c>
      <c r="CE1485" s="1" t="s">
        <v>109</v>
      </c>
      <c r="CF1485" s="1" t="s">
        <v>109</v>
      </c>
      <c r="CG1485" s="1" t="s">
        <v>109</v>
      </c>
      <c r="CH1485" s="1" t="s">
        <v>109</v>
      </c>
      <c r="CI1485" s="1" t="s">
        <v>109</v>
      </c>
      <c r="CJ1485" s="1">
        <v>3</v>
      </c>
      <c r="CK1485" s="1"/>
      <c r="CL1485" s="1">
        <v>0</v>
      </c>
      <c r="CM1485" s="1">
        <v>0</v>
      </c>
      <c r="CN1485" s="1">
        <v>0</v>
      </c>
    </row>
    <row r="1486" spans="1:92" ht="14.25" customHeight="1" x14ac:dyDescent="0.15">
      <c r="A1486" s="1" t="s">
        <v>11443</v>
      </c>
      <c r="B1486" s="1" t="s">
        <v>95</v>
      </c>
      <c r="C1486" s="1" t="s">
        <v>96</v>
      </c>
      <c r="D1486" s="1" t="s">
        <v>54</v>
      </c>
      <c r="E1486" s="1" t="s">
        <v>11444</v>
      </c>
      <c r="F1486" s="1" t="s">
        <v>1963</v>
      </c>
      <c r="G1486" s="1" t="s">
        <v>160</v>
      </c>
      <c r="H1486" s="1">
        <v>0</v>
      </c>
      <c r="I1486" s="1" t="s">
        <v>925</v>
      </c>
      <c r="J1486" s="1"/>
      <c r="K1486" s="1" t="s">
        <v>11445</v>
      </c>
      <c r="L1486" s="1"/>
      <c r="M1486" s="1" t="s">
        <v>355</v>
      </c>
      <c r="N1486" s="1">
        <v>0</v>
      </c>
      <c r="O1486" s="1">
        <v>0</v>
      </c>
      <c r="P1486" s="1" t="s">
        <v>103</v>
      </c>
      <c r="Q1486" s="1" t="s">
        <v>104</v>
      </c>
      <c r="R1486" s="1" t="s">
        <v>11446</v>
      </c>
      <c r="S1486" s="1" t="s">
        <v>11447</v>
      </c>
      <c r="T1486" s="1" t="s">
        <v>11080</v>
      </c>
      <c r="U1486" s="1" t="s">
        <v>11448</v>
      </c>
      <c r="V1486" s="1">
        <v>1</v>
      </c>
      <c r="W1486" s="1">
        <v>1</v>
      </c>
      <c r="X1486" s="1">
        <v>0</v>
      </c>
      <c r="Y1486" s="1">
        <v>0</v>
      </c>
      <c r="Z1486" s="1">
        <v>1</v>
      </c>
      <c r="AA1486" s="1">
        <v>1</v>
      </c>
      <c r="AB1486" s="1">
        <v>1</v>
      </c>
      <c r="AC1486" s="1">
        <v>1</v>
      </c>
      <c r="AD1486" s="1">
        <v>1</v>
      </c>
      <c r="AE1486" s="1" t="s">
        <v>109</v>
      </c>
      <c r="AF1486" s="1" t="s">
        <v>109</v>
      </c>
      <c r="AG1486" s="1" t="s">
        <v>109</v>
      </c>
      <c r="AH1486" s="1" t="s">
        <v>109</v>
      </c>
      <c r="AI1486" s="1">
        <v>1</v>
      </c>
      <c r="AJ1486" s="1" t="s">
        <v>109</v>
      </c>
      <c r="AK1486" s="1" t="s">
        <v>109</v>
      </c>
      <c r="AL1486" s="1">
        <v>1</v>
      </c>
      <c r="AM1486" s="1" t="s">
        <v>109</v>
      </c>
      <c r="AN1486" s="1">
        <v>2</v>
      </c>
      <c r="AO1486" s="1" t="s">
        <v>109</v>
      </c>
      <c r="AP1486" s="1"/>
      <c r="AQ1486" s="1">
        <v>1</v>
      </c>
      <c r="AR1486" s="1"/>
      <c r="AS1486" s="1"/>
      <c r="AT1486" s="1">
        <v>0</v>
      </c>
      <c r="AU1486" s="1">
        <v>0</v>
      </c>
      <c r="AV1486" s="1">
        <v>0</v>
      </c>
      <c r="AW1486" s="1">
        <v>0</v>
      </c>
      <c r="AX1486" s="1">
        <v>0</v>
      </c>
      <c r="AY1486" s="1">
        <v>0</v>
      </c>
      <c r="AZ1486" s="1">
        <v>0</v>
      </c>
      <c r="BA1486" s="1">
        <v>0</v>
      </c>
      <c r="BB1486" s="1">
        <v>1</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t="s">
        <v>109</v>
      </c>
      <c r="BT1486" s="1">
        <v>1543</v>
      </c>
      <c r="BU1486" s="1" t="s">
        <v>109</v>
      </c>
      <c r="BV1486" s="1"/>
      <c r="BW1486" s="1"/>
      <c r="BX1486" s="1"/>
      <c r="BY1486" s="1"/>
      <c r="BZ1486" s="1">
        <v>0</v>
      </c>
      <c r="CA1486" s="1" t="s">
        <v>109</v>
      </c>
      <c r="CB1486" s="1" t="s">
        <v>109</v>
      </c>
      <c r="CC1486" s="1" t="s">
        <v>109</v>
      </c>
      <c r="CD1486" s="1" t="s">
        <v>109</v>
      </c>
      <c r="CE1486" s="1" t="s">
        <v>109</v>
      </c>
      <c r="CF1486" s="1" t="s">
        <v>109</v>
      </c>
      <c r="CG1486" s="1" t="s">
        <v>109</v>
      </c>
      <c r="CH1486" s="1" t="s">
        <v>109</v>
      </c>
      <c r="CI1486" s="1" t="s">
        <v>109</v>
      </c>
      <c r="CJ1486" s="1">
        <v>1</v>
      </c>
      <c r="CK1486" s="1"/>
      <c r="CL1486" s="1">
        <v>0</v>
      </c>
      <c r="CM1486" s="1">
        <v>0</v>
      </c>
      <c r="CN1486" s="1">
        <v>0</v>
      </c>
    </row>
    <row r="1487" spans="1:92" ht="14.25" customHeight="1" x14ac:dyDescent="0.15">
      <c r="A1487" s="1" t="s">
        <v>11449</v>
      </c>
      <c r="B1487" s="1" t="s">
        <v>189</v>
      </c>
      <c r="C1487" s="1"/>
      <c r="D1487" s="1"/>
      <c r="E1487" s="1" t="s">
        <v>11450</v>
      </c>
      <c r="F1487" s="1" t="s">
        <v>98</v>
      </c>
      <c r="G1487" s="1" t="s">
        <v>141</v>
      </c>
      <c r="H1487" s="1">
        <v>0</v>
      </c>
      <c r="I1487" s="1" t="s">
        <v>161</v>
      </c>
      <c r="J1487" s="1"/>
      <c r="K1487" s="1"/>
      <c r="L1487" s="1" t="s">
        <v>11451</v>
      </c>
      <c r="M1487" s="1" t="s">
        <v>3042</v>
      </c>
      <c r="N1487" s="1">
        <v>0</v>
      </c>
      <c r="O1487" s="1">
        <v>0</v>
      </c>
      <c r="P1487" s="1" t="s">
        <v>5812</v>
      </c>
      <c r="Q1487" s="1" t="s">
        <v>268</v>
      </c>
      <c r="R1487" s="1" t="s">
        <v>11452</v>
      </c>
      <c r="S1487" s="1" t="s">
        <v>11453</v>
      </c>
      <c r="T1487" s="1" t="s">
        <v>11080</v>
      </c>
      <c r="U1487" s="1" t="s">
        <v>11454</v>
      </c>
      <c r="V1487" s="1">
        <v>1</v>
      </c>
      <c r="W1487" s="1">
        <v>1</v>
      </c>
      <c r="X1487" s="1">
        <v>0</v>
      </c>
      <c r="Y1487" s="1">
        <v>0</v>
      </c>
      <c r="Z1487" s="1">
        <v>0</v>
      </c>
      <c r="AA1487" s="1">
        <v>1</v>
      </c>
      <c r="AB1487" s="1">
        <v>1</v>
      </c>
      <c r="AC1487" s="1">
        <v>2</v>
      </c>
      <c r="AD1487" s="1" t="s">
        <v>109</v>
      </c>
      <c r="AE1487" s="1" t="s">
        <v>109</v>
      </c>
      <c r="AF1487" s="1" t="s">
        <v>109</v>
      </c>
      <c r="AG1487" s="1" t="s">
        <v>109</v>
      </c>
      <c r="AH1487" s="1" t="s">
        <v>109</v>
      </c>
      <c r="AI1487" s="1" t="s">
        <v>109</v>
      </c>
      <c r="AJ1487" s="1">
        <v>1</v>
      </c>
      <c r="AK1487" s="1" t="s">
        <v>109</v>
      </c>
      <c r="AL1487" s="1">
        <v>2</v>
      </c>
      <c r="AM1487" s="1" t="s">
        <v>109</v>
      </c>
      <c r="AN1487" s="1" t="s">
        <v>109</v>
      </c>
      <c r="AO1487" s="1" t="s">
        <v>109</v>
      </c>
      <c r="AP1487" s="1"/>
      <c r="AQ1487" s="1">
        <v>1</v>
      </c>
      <c r="AR1487" s="1"/>
      <c r="AS1487" s="1"/>
      <c r="AT1487" s="1">
        <v>0</v>
      </c>
      <c r="AU1487" s="1">
        <v>0</v>
      </c>
      <c r="AV1487" s="1">
        <v>0</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t="s">
        <v>109</v>
      </c>
      <c r="BT1487" s="1">
        <v>1544</v>
      </c>
      <c r="BU1487" s="1" t="s">
        <v>109</v>
      </c>
      <c r="BV1487" s="1"/>
      <c r="BW1487" s="1"/>
      <c r="BX1487" s="1"/>
      <c r="BY1487" s="1"/>
      <c r="BZ1487" s="1">
        <v>0</v>
      </c>
      <c r="CA1487" s="1" t="s">
        <v>109</v>
      </c>
      <c r="CB1487" s="1" t="s">
        <v>109</v>
      </c>
      <c r="CC1487" s="1" t="s">
        <v>109</v>
      </c>
      <c r="CD1487" s="1" t="s">
        <v>109</v>
      </c>
      <c r="CE1487" s="1" t="s">
        <v>109</v>
      </c>
      <c r="CF1487" s="1" t="s">
        <v>109</v>
      </c>
      <c r="CG1487" s="1" t="s">
        <v>109</v>
      </c>
      <c r="CH1487" s="1" t="s">
        <v>109</v>
      </c>
      <c r="CI1487" s="1" t="s">
        <v>109</v>
      </c>
      <c r="CJ1487" s="1" t="s">
        <v>109</v>
      </c>
      <c r="CK1487" s="1"/>
      <c r="CL1487" s="1">
        <v>0</v>
      </c>
      <c r="CM1487" s="1">
        <v>0</v>
      </c>
      <c r="CN1487" s="1">
        <v>0</v>
      </c>
    </row>
    <row r="1488" spans="1:92" ht="14.25" customHeight="1" x14ac:dyDescent="0.15">
      <c r="A1488" s="1" t="s">
        <v>11455</v>
      </c>
      <c r="B1488" s="1" t="s">
        <v>95</v>
      </c>
      <c r="C1488" s="1" t="s">
        <v>694</v>
      </c>
      <c r="D1488" s="1"/>
      <c r="E1488" s="1" t="s">
        <v>11456</v>
      </c>
      <c r="F1488" s="1" t="s">
        <v>98</v>
      </c>
      <c r="G1488" s="1" t="s">
        <v>160</v>
      </c>
      <c r="H1488" s="1">
        <v>0</v>
      </c>
      <c r="I1488" s="1" t="s">
        <v>161</v>
      </c>
      <c r="J1488" s="1"/>
      <c r="K1488" s="1"/>
      <c r="L1488" s="1" t="s">
        <v>506</v>
      </c>
      <c r="M1488" s="1" t="s">
        <v>11457</v>
      </c>
      <c r="N1488" s="1">
        <v>0</v>
      </c>
      <c r="O1488" s="1">
        <v>0</v>
      </c>
      <c r="P1488" s="1" t="s">
        <v>1382</v>
      </c>
      <c r="Q1488" s="1" t="s">
        <v>167</v>
      </c>
      <c r="R1488" s="1" t="s">
        <v>11458</v>
      </c>
      <c r="S1488" s="1" t="s">
        <v>11459</v>
      </c>
      <c r="T1488" s="1" t="s">
        <v>11080</v>
      </c>
      <c r="U1488" s="1" t="s">
        <v>11460</v>
      </c>
      <c r="V1488" s="1">
        <v>1</v>
      </c>
      <c r="W1488" s="1">
        <v>1</v>
      </c>
      <c r="X1488" s="1">
        <v>0</v>
      </c>
      <c r="Y1488" s="1">
        <v>0</v>
      </c>
      <c r="Z1488" s="1">
        <v>1</v>
      </c>
      <c r="AA1488" s="1" t="s">
        <v>109</v>
      </c>
      <c r="AB1488" s="1" t="s">
        <v>109</v>
      </c>
      <c r="AC1488" s="1">
        <v>2</v>
      </c>
      <c r="AD1488" s="1">
        <v>2</v>
      </c>
      <c r="AE1488" s="1">
        <v>2</v>
      </c>
      <c r="AF1488" s="1" t="s">
        <v>109</v>
      </c>
      <c r="AG1488" s="1">
        <v>2</v>
      </c>
      <c r="AH1488" s="1">
        <v>2</v>
      </c>
      <c r="AI1488" s="1" t="s">
        <v>109</v>
      </c>
      <c r="AJ1488" s="1">
        <v>1</v>
      </c>
      <c r="AK1488" s="1">
        <v>2</v>
      </c>
      <c r="AL1488" s="1">
        <v>2</v>
      </c>
      <c r="AM1488" s="1" t="s">
        <v>109</v>
      </c>
      <c r="AN1488" s="1" t="s">
        <v>109</v>
      </c>
      <c r="AO1488" s="1" t="s">
        <v>109</v>
      </c>
      <c r="AP1488" s="1"/>
      <c r="AQ1488" s="1">
        <v>2</v>
      </c>
      <c r="AR1488" s="1"/>
      <c r="AS1488" s="1"/>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t="s">
        <v>109</v>
      </c>
      <c r="BT1488" s="1">
        <v>1545</v>
      </c>
      <c r="BU1488" s="1" t="s">
        <v>109</v>
      </c>
      <c r="BV1488" s="1"/>
      <c r="BW1488" s="1"/>
      <c r="BX1488" s="1"/>
      <c r="BY1488" s="1"/>
      <c r="BZ1488" s="1">
        <v>0</v>
      </c>
      <c r="CA1488" s="1" t="s">
        <v>109</v>
      </c>
      <c r="CB1488" s="1" t="s">
        <v>109</v>
      </c>
      <c r="CC1488" s="1" t="s">
        <v>109</v>
      </c>
      <c r="CD1488" s="1" t="s">
        <v>109</v>
      </c>
      <c r="CE1488" s="1">
        <v>2</v>
      </c>
      <c r="CF1488" s="1" t="s">
        <v>109</v>
      </c>
      <c r="CG1488" s="1" t="s">
        <v>109</v>
      </c>
      <c r="CH1488" s="1" t="s">
        <v>109</v>
      </c>
      <c r="CI1488" s="1" t="s">
        <v>109</v>
      </c>
      <c r="CJ1488" s="1">
        <v>2</v>
      </c>
      <c r="CK1488" s="1"/>
      <c r="CL1488" s="1">
        <v>0</v>
      </c>
      <c r="CM1488" s="1">
        <v>0</v>
      </c>
      <c r="CN1488" s="1">
        <v>0</v>
      </c>
    </row>
    <row r="1489" spans="1:92" ht="14.25" customHeight="1" x14ac:dyDescent="0.15">
      <c r="A1489" s="1" t="s">
        <v>11461</v>
      </c>
      <c r="B1489" s="1" t="s">
        <v>189</v>
      </c>
      <c r="C1489" s="1"/>
      <c r="D1489" s="1" t="s">
        <v>53</v>
      </c>
      <c r="E1489" s="1" t="s">
        <v>11462</v>
      </c>
      <c r="F1489" s="1" t="s">
        <v>98</v>
      </c>
      <c r="G1489" s="1" t="s">
        <v>141</v>
      </c>
      <c r="H1489" s="1">
        <v>0</v>
      </c>
      <c r="I1489" s="1" t="s">
        <v>235</v>
      </c>
      <c r="J1489" s="1"/>
      <c r="K1489" s="1"/>
      <c r="L1489" s="1" t="s">
        <v>236</v>
      </c>
      <c r="M1489" s="1" t="s">
        <v>125</v>
      </c>
      <c r="N1489" s="1">
        <v>0</v>
      </c>
      <c r="O1489" s="1">
        <v>0</v>
      </c>
      <c r="P1489" s="1" t="s">
        <v>3667</v>
      </c>
      <c r="Q1489" s="1" t="s">
        <v>268</v>
      </c>
      <c r="R1489" s="1" t="s">
        <v>11463</v>
      </c>
      <c r="S1489" s="1" t="s">
        <v>11464</v>
      </c>
      <c r="T1489" s="1" t="s">
        <v>11080</v>
      </c>
      <c r="U1489" s="1" t="s">
        <v>11465</v>
      </c>
      <c r="V1489" s="1">
        <v>1</v>
      </c>
      <c r="W1489" s="1">
        <v>1</v>
      </c>
      <c r="X1489" s="1">
        <v>0</v>
      </c>
      <c r="Y1489" s="1">
        <v>0</v>
      </c>
      <c r="Z1489" s="1">
        <v>0</v>
      </c>
      <c r="AA1489" s="1" t="s">
        <v>109</v>
      </c>
      <c r="AB1489" s="1" t="s">
        <v>109</v>
      </c>
      <c r="AC1489" s="1" t="s">
        <v>109</v>
      </c>
      <c r="AD1489" s="1">
        <v>2</v>
      </c>
      <c r="AE1489" s="1">
        <v>4</v>
      </c>
      <c r="AF1489" s="1" t="s">
        <v>109</v>
      </c>
      <c r="AG1489" s="1" t="s">
        <v>109</v>
      </c>
      <c r="AH1489" s="1">
        <v>2</v>
      </c>
      <c r="AI1489" s="1" t="s">
        <v>109</v>
      </c>
      <c r="AJ1489" s="1">
        <v>2</v>
      </c>
      <c r="AK1489" s="1" t="s">
        <v>109</v>
      </c>
      <c r="AL1489" s="1" t="s">
        <v>109</v>
      </c>
      <c r="AM1489" s="1">
        <v>2</v>
      </c>
      <c r="AN1489" s="1">
        <v>3</v>
      </c>
      <c r="AO1489" s="1" t="s">
        <v>109</v>
      </c>
      <c r="AP1489" s="1"/>
      <c r="AQ1489" s="1">
        <v>2</v>
      </c>
      <c r="AR1489" s="1"/>
      <c r="AS1489" s="1"/>
      <c r="AT1489" s="1">
        <v>0</v>
      </c>
      <c r="AU1489" s="1">
        <v>0</v>
      </c>
      <c r="AV1489" s="1">
        <v>0</v>
      </c>
      <c r="AW1489" s="1">
        <v>0</v>
      </c>
      <c r="AX1489" s="1">
        <v>0</v>
      </c>
      <c r="AY1489" s="1">
        <v>0</v>
      </c>
      <c r="AZ1489" s="1">
        <v>0</v>
      </c>
      <c r="BA1489" s="1">
        <v>1</v>
      </c>
      <c r="BB1489" s="1">
        <v>0</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0</v>
      </c>
      <c r="BR1489" s="1">
        <v>0</v>
      </c>
      <c r="BS1489" s="1" t="s">
        <v>109</v>
      </c>
      <c r="BT1489" s="1">
        <v>1546</v>
      </c>
      <c r="BU1489" s="1" t="s">
        <v>109</v>
      </c>
      <c r="BV1489" s="1"/>
      <c r="BW1489" s="1"/>
      <c r="BX1489" s="1"/>
      <c r="BY1489" s="1"/>
      <c r="BZ1489" s="1">
        <v>0</v>
      </c>
      <c r="CA1489" s="1" t="s">
        <v>109</v>
      </c>
      <c r="CB1489" s="1" t="s">
        <v>109</v>
      </c>
      <c r="CC1489" s="1" t="s">
        <v>109</v>
      </c>
      <c r="CD1489" s="1" t="s">
        <v>109</v>
      </c>
      <c r="CE1489" s="1" t="s">
        <v>109</v>
      </c>
      <c r="CF1489" s="1" t="s">
        <v>109</v>
      </c>
      <c r="CG1489" s="1" t="s">
        <v>109</v>
      </c>
      <c r="CH1489" s="1" t="s">
        <v>109</v>
      </c>
      <c r="CI1489" s="1" t="s">
        <v>109</v>
      </c>
      <c r="CJ1489" s="1">
        <v>2</v>
      </c>
      <c r="CK1489" s="1"/>
      <c r="CL1489" s="1">
        <v>0</v>
      </c>
      <c r="CM1489" s="1">
        <v>0</v>
      </c>
      <c r="CN1489" s="1">
        <v>0</v>
      </c>
    </row>
    <row r="1490" spans="1:92" ht="14.25" customHeight="1" x14ac:dyDescent="0.15">
      <c r="A1490" s="1" t="s">
        <v>11466</v>
      </c>
      <c r="B1490" s="1" t="s">
        <v>189</v>
      </c>
      <c r="C1490" s="1"/>
      <c r="D1490" s="1" t="s">
        <v>47</v>
      </c>
      <c r="E1490" s="1" t="s">
        <v>11467</v>
      </c>
      <c r="F1490" s="1" t="s">
        <v>98</v>
      </c>
      <c r="G1490" s="1" t="s">
        <v>141</v>
      </c>
      <c r="H1490" s="1">
        <v>0</v>
      </c>
      <c r="I1490" s="1" t="s">
        <v>142</v>
      </c>
      <c r="J1490" s="1"/>
      <c r="K1490" s="1"/>
      <c r="L1490" s="1" t="s">
        <v>11468</v>
      </c>
      <c r="M1490" s="1" t="s">
        <v>9367</v>
      </c>
      <c r="N1490" s="1">
        <v>0</v>
      </c>
      <c r="O1490" s="1">
        <v>0</v>
      </c>
      <c r="P1490" s="1" t="s">
        <v>211</v>
      </c>
      <c r="Q1490" s="1" t="s">
        <v>104</v>
      </c>
      <c r="R1490" s="1" t="s">
        <v>11469</v>
      </c>
      <c r="S1490" s="1" t="s">
        <v>11470</v>
      </c>
      <c r="T1490" s="1" t="s">
        <v>11080</v>
      </c>
      <c r="U1490" s="1" t="s">
        <v>11471</v>
      </c>
      <c r="V1490" s="1">
        <v>1</v>
      </c>
      <c r="W1490" s="1">
        <v>1</v>
      </c>
      <c r="X1490" s="1">
        <v>0</v>
      </c>
      <c r="Y1490" s="1">
        <v>0</v>
      </c>
      <c r="Z1490" s="1">
        <v>0</v>
      </c>
      <c r="AA1490" s="1">
        <v>4</v>
      </c>
      <c r="AB1490" s="1">
        <v>4</v>
      </c>
      <c r="AC1490" s="1" t="s">
        <v>109</v>
      </c>
      <c r="AD1490" s="1">
        <v>4</v>
      </c>
      <c r="AE1490" s="1" t="s">
        <v>109</v>
      </c>
      <c r="AF1490" s="1" t="s">
        <v>109</v>
      </c>
      <c r="AG1490" s="1" t="s">
        <v>109</v>
      </c>
      <c r="AH1490" s="1">
        <v>4</v>
      </c>
      <c r="AI1490" s="1" t="s">
        <v>109</v>
      </c>
      <c r="AJ1490" s="1" t="s">
        <v>109</v>
      </c>
      <c r="AK1490" s="1" t="s">
        <v>109</v>
      </c>
      <c r="AL1490" s="1" t="s">
        <v>109</v>
      </c>
      <c r="AM1490" s="1" t="s">
        <v>109</v>
      </c>
      <c r="AN1490" s="1" t="s">
        <v>109</v>
      </c>
      <c r="AO1490" s="1" t="s">
        <v>109</v>
      </c>
      <c r="AP1490" s="1"/>
      <c r="AQ1490" s="1">
        <v>4</v>
      </c>
      <c r="AR1490" s="1"/>
      <c r="AS1490" s="1"/>
      <c r="AT1490" s="1">
        <v>0</v>
      </c>
      <c r="AU1490" s="1">
        <v>1</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0</v>
      </c>
      <c r="BK1490" s="1">
        <v>0</v>
      </c>
      <c r="BL1490" s="1">
        <v>0</v>
      </c>
      <c r="BM1490" s="1">
        <v>0</v>
      </c>
      <c r="BN1490" s="1">
        <v>0</v>
      </c>
      <c r="BO1490" s="1">
        <v>0</v>
      </c>
      <c r="BP1490" s="1">
        <v>0</v>
      </c>
      <c r="BQ1490" s="1">
        <v>0</v>
      </c>
      <c r="BR1490" s="1">
        <v>0</v>
      </c>
      <c r="BS1490" s="1" t="s">
        <v>109</v>
      </c>
      <c r="BT1490" s="1">
        <v>1547</v>
      </c>
      <c r="BU1490" s="1" t="s">
        <v>109</v>
      </c>
      <c r="BV1490" s="1"/>
      <c r="BW1490" s="1"/>
      <c r="BX1490" s="1"/>
      <c r="BY1490" s="1"/>
      <c r="BZ1490" s="1">
        <v>0</v>
      </c>
      <c r="CA1490" s="1">
        <v>4</v>
      </c>
      <c r="CB1490" s="1" t="s">
        <v>109</v>
      </c>
      <c r="CC1490" s="1" t="s">
        <v>109</v>
      </c>
      <c r="CD1490" s="1" t="s">
        <v>109</v>
      </c>
      <c r="CE1490" s="1" t="s">
        <v>109</v>
      </c>
      <c r="CF1490" s="1" t="s">
        <v>109</v>
      </c>
      <c r="CG1490" s="1" t="s">
        <v>109</v>
      </c>
      <c r="CH1490" s="1" t="s">
        <v>109</v>
      </c>
      <c r="CI1490" s="1" t="s">
        <v>109</v>
      </c>
      <c r="CJ1490" s="1">
        <v>4</v>
      </c>
      <c r="CK1490" s="1"/>
      <c r="CL1490" s="1">
        <v>0</v>
      </c>
      <c r="CM1490" s="1">
        <v>0</v>
      </c>
      <c r="CN1490" s="1">
        <v>0</v>
      </c>
    </row>
    <row r="1491" spans="1:92" ht="14.25" customHeight="1" x14ac:dyDescent="0.15">
      <c r="A1491" s="1" t="s">
        <v>11472</v>
      </c>
      <c r="B1491" s="1" t="s">
        <v>189</v>
      </c>
      <c r="C1491" s="1"/>
      <c r="D1491" s="1" t="s">
        <v>47</v>
      </c>
      <c r="E1491" s="1" t="s">
        <v>11473</v>
      </c>
      <c r="F1491" s="1" t="s">
        <v>98</v>
      </c>
      <c r="G1491" s="1" t="s">
        <v>2250</v>
      </c>
      <c r="H1491" s="1">
        <v>0</v>
      </c>
      <c r="I1491" s="1" t="s">
        <v>235</v>
      </c>
      <c r="J1491" s="1"/>
      <c r="K1491" s="1"/>
      <c r="L1491" s="1" t="s">
        <v>236</v>
      </c>
      <c r="M1491" s="1" t="s">
        <v>6625</v>
      </c>
      <c r="N1491" s="1">
        <v>1</v>
      </c>
      <c r="O1491" s="1">
        <v>0</v>
      </c>
      <c r="P1491" s="1" t="s">
        <v>103</v>
      </c>
      <c r="Q1491" s="1" t="s">
        <v>104</v>
      </c>
      <c r="R1491" s="1" t="s">
        <v>11474</v>
      </c>
      <c r="S1491" s="1" t="s">
        <v>11475</v>
      </c>
      <c r="T1491" s="1" t="s">
        <v>11080</v>
      </c>
      <c r="U1491" s="1" t="s">
        <v>11476</v>
      </c>
      <c r="V1491" s="1">
        <v>0</v>
      </c>
      <c r="W1491" s="1">
        <v>1</v>
      </c>
      <c r="X1491" s="1">
        <v>1</v>
      </c>
      <c r="Y1491" s="1">
        <v>0</v>
      </c>
      <c r="Z1491" s="1">
        <v>1</v>
      </c>
      <c r="AA1491" s="1">
        <v>4</v>
      </c>
      <c r="AB1491" s="1">
        <v>4</v>
      </c>
      <c r="AC1491" s="1" t="s">
        <v>109</v>
      </c>
      <c r="AD1491" s="1">
        <v>4</v>
      </c>
      <c r="AE1491" s="1">
        <v>4</v>
      </c>
      <c r="AF1491" s="1" t="s">
        <v>109</v>
      </c>
      <c r="AG1491" s="1" t="s">
        <v>109</v>
      </c>
      <c r="AH1491" s="1" t="s">
        <v>109</v>
      </c>
      <c r="AI1491" s="1" t="s">
        <v>109</v>
      </c>
      <c r="AJ1491" s="1" t="s">
        <v>109</v>
      </c>
      <c r="AK1491" s="1" t="s">
        <v>109</v>
      </c>
      <c r="AL1491" s="1" t="s">
        <v>109</v>
      </c>
      <c r="AM1491" s="1" t="s">
        <v>109</v>
      </c>
      <c r="AN1491" s="1" t="s">
        <v>109</v>
      </c>
      <c r="AO1491" s="1" t="s">
        <v>109</v>
      </c>
      <c r="AP1491" s="1"/>
      <c r="AQ1491" s="1">
        <v>4</v>
      </c>
      <c r="AR1491" s="1"/>
      <c r="AS1491" s="1"/>
      <c r="AT1491" s="1">
        <v>0</v>
      </c>
      <c r="AU1491" s="1">
        <v>1</v>
      </c>
      <c r="AV1491" s="1">
        <v>0</v>
      </c>
      <c r="AW1491" s="1">
        <v>0</v>
      </c>
      <c r="AX1491" s="1">
        <v>0</v>
      </c>
      <c r="AY1491" s="1">
        <v>0</v>
      </c>
      <c r="AZ1491" s="1">
        <v>0</v>
      </c>
      <c r="BA1491" s="1">
        <v>0</v>
      </c>
      <c r="BB1491" s="1">
        <v>0</v>
      </c>
      <c r="BC1491" s="1">
        <v>0</v>
      </c>
      <c r="BD1491" s="1">
        <v>0</v>
      </c>
      <c r="BE1491" s="1">
        <v>0</v>
      </c>
      <c r="BF1491" s="1">
        <v>0</v>
      </c>
      <c r="BG1491" s="1">
        <v>0</v>
      </c>
      <c r="BH1491" s="1">
        <v>0</v>
      </c>
      <c r="BI1491" s="1">
        <v>0</v>
      </c>
      <c r="BJ1491" s="1">
        <v>0</v>
      </c>
      <c r="BK1491" s="1">
        <v>0</v>
      </c>
      <c r="BL1491" s="1">
        <v>0</v>
      </c>
      <c r="BM1491" s="1">
        <v>0</v>
      </c>
      <c r="BN1491" s="1">
        <v>0</v>
      </c>
      <c r="BO1491" s="1">
        <v>0</v>
      </c>
      <c r="BP1491" s="1">
        <v>0</v>
      </c>
      <c r="BQ1491" s="1">
        <v>0</v>
      </c>
      <c r="BR1491" s="1">
        <v>0</v>
      </c>
      <c r="BS1491" s="1" t="s">
        <v>109</v>
      </c>
      <c r="BT1491" s="1">
        <v>1548</v>
      </c>
      <c r="BU1491" s="1" t="s">
        <v>109</v>
      </c>
      <c r="BV1491" s="1"/>
      <c r="BW1491" s="1"/>
      <c r="BX1491" s="1"/>
      <c r="BY1491" s="1"/>
      <c r="BZ1491" s="1">
        <v>0</v>
      </c>
      <c r="CA1491" s="1" t="s">
        <v>109</v>
      </c>
      <c r="CB1491" s="1" t="s">
        <v>109</v>
      </c>
      <c r="CC1491" s="1" t="s">
        <v>109</v>
      </c>
      <c r="CD1491" s="1" t="s">
        <v>109</v>
      </c>
      <c r="CE1491" s="1" t="s">
        <v>109</v>
      </c>
      <c r="CF1491" s="1" t="s">
        <v>109</v>
      </c>
      <c r="CG1491" s="1" t="s">
        <v>109</v>
      </c>
      <c r="CH1491" s="1" t="s">
        <v>109</v>
      </c>
      <c r="CI1491" s="1" t="s">
        <v>109</v>
      </c>
      <c r="CJ1491" s="1">
        <v>4</v>
      </c>
      <c r="CK1491" s="1"/>
      <c r="CL1491" s="1">
        <v>0</v>
      </c>
      <c r="CM1491" s="1">
        <v>0</v>
      </c>
      <c r="CN1491" s="1">
        <v>0</v>
      </c>
    </row>
    <row r="1492" spans="1:92" ht="14.25" customHeight="1" x14ac:dyDescent="0.15">
      <c r="A1492" s="1" t="s">
        <v>11477</v>
      </c>
      <c r="B1492" s="1" t="s">
        <v>584</v>
      </c>
      <c r="C1492" s="1"/>
      <c r="D1492" s="1" t="s">
        <v>47</v>
      </c>
      <c r="E1492" s="1" t="s">
        <v>8436</v>
      </c>
      <c r="F1492" s="1" t="s">
        <v>98</v>
      </c>
      <c r="G1492" s="1" t="s">
        <v>141</v>
      </c>
      <c r="H1492" s="1">
        <v>0</v>
      </c>
      <c r="I1492" s="1" t="s">
        <v>122</v>
      </c>
      <c r="J1492" s="1"/>
      <c r="K1492" s="1" t="s">
        <v>11478</v>
      </c>
      <c r="L1492" s="1"/>
      <c r="M1492" s="1" t="s">
        <v>125</v>
      </c>
      <c r="N1492" s="1">
        <v>0</v>
      </c>
      <c r="O1492" s="1">
        <v>0</v>
      </c>
      <c r="P1492" s="1" t="s">
        <v>11479</v>
      </c>
      <c r="Q1492" s="1" t="s">
        <v>268</v>
      </c>
      <c r="R1492" s="1" t="s">
        <v>11480</v>
      </c>
      <c r="S1492" s="1" t="s">
        <v>11481</v>
      </c>
      <c r="T1492" s="1" t="s">
        <v>11080</v>
      </c>
      <c r="U1492" s="1" t="s">
        <v>11482</v>
      </c>
      <c r="V1492" s="1">
        <v>1</v>
      </c>
      <c r="W1492" s="1">
        <v>1</v>
      </c>
      <c r="X1492" s="1">
        <v>0</v>
      </c>
      <c r="Y1492" s="1">
        <v>0</v>
      </c>
      <c r="Z1492" s="1">
        <v>0</v>
      </c>
      <c r="AA1492" s="1">
        <v>2</v>
      </c>
      <c r="AB1492" s="1">
        <v>2</v>
      </c>
      <c r="AC1492" s="1" t="s">
        <v>109</v>
      </c>
      <c r="AD1492" s="1">
        <v>2</v>
      </c>
      <c r="AE1492" s="1" t="s">
        <v>109</v>
      </c>
      <c r="AF1492" s="1" t="s">
        <v>109</v>
      </c>
      <c r="AG1492" s="1" t="s">
        <v>109</v>
      </c>
      <c r="AH1492" s="1" t="s">
        <v>109</v>
      </c>
      <c r="AI1492" s="1" t="s">
        <v>109</v>
      </c>
      <c r="AJ1492" s="1" t="s">
        <v>109</v>
      </c>
      <c r="AK1492" s="1" t="s">
        <v>109</v>
      </c>
      <c r="AL1492" s="1" t="s">
        <v>109</v>
      </c>
      <c r="AM1492" s="1" t="s">
        <v>109</v>
      </c>
      <c r="AN1492" s="1">
        <v>2</v>
      </c>
      <c r="AO1492" s="1" t="s">
        <v>109</v>
      </c>
      <c r="AP1492" s="1"/>
      <c r="AQ1492" s="1">
        <v>2</v>
      </c>
      <c r="AR1492" s="1"/>
      <c r="AS1492" s="1"/>
      <c r="AT1492" s="1">
        <v>0</v>
      </c>
      <c r="AU1492" s="1">
        <v>1</v>
      </c>
      <c r="AV1492" s="1">
        <v>0</v>
      </c>
      <c r="AW1492" s="1">
        <v>0</v>
      </c>
      <c r="AX1492" s="1">
        <v>0</v>
      </c>
      <c r="AY1492" s="1">
        <v>0</v>
      </c>
      <c r="AZ1492" s="1">
        <v>0</v>
      </c>
      <c r="BA1492" s="1">
        <v>0</v>
      </c>
      <c r="BB1492" s="1">
        <v>0</v>
      </c>
      <c r="BC1492" s="1">
        <v>0</v>
      </c>
      <c r="BD1492" s="1">
        <v>0</v>
      </c>
      <c r="BE1492" s="1">
        <v>0</v>
      </c>
      <c r="BF1492" s="1">
        <v>0</v>
      </c>
      <c r="BG1492" s="1">
        <v>0</v>
      </c>
      <c r="BH1492" s="1">
        <v>0</v>
      </c>
      <c r="BI1492" s="1">
        <v>0</v>
      </c>
      <c r="BJ1492" s="1">
        <v>0</v>
      </c>
      <c r="BK1492" s="1">
        <v>0</v>
      </c>
      <c r="BL1492" s="1">
        <v>0</v>
      </c>
      <c r="BM1492" s="1">
        <v>0</v>
      </c>
      <c r="BN1492" s="1">
        <v>0</v>
      </c>
      <c r="BO1492" s="1">
        <v>0</v>
      </c>
      <c r="BP1492" s="1">
        <v>0</v>
      </c>
      <c r="BQ1492" s="1">
        <v>0</v>
      </c>
      <c r="BR1492" s="1">
        <v>0</v>
      </c>
      <c r="BS1492" s="1" t="s">
        <v>109</v>
      </c>
      <c r="BT1492" s="1">
        <v>1549</v>
      </c>
      <c r="BU1492" s="1" t="s">
        <v>109</v>
      </c>
      <c r="BV1492" s="1"/>
      <c r="BW1492" s="1"/>
      <c r="BX1492" s="1"/>
      <c r="BY1492" s="1"/>
      <c r="BZ1492" s="1">
        <v>0</v>
      </c>
      <c r="CA1492" s="1">
        <v>2</v>
      </c>
      <c r="CB1492" s="1" t="s">
        <v>109</v>
      </c>
      <c r="CC1492" s="1" t="s">
        <v>109</v>
      </c>
      <c r="CD1492" s="1" t="s">
        <v>109</v>
      </c>
      <c r="CE1492" s="1" t="s">
        <v>109</v>
      </c>
      <c r="CF1492" s="1" t="s">
        <v>109</v>
      </c>
      <c r="CG1492" s="1" t="s">
        <v>109</v>
      </c>
      <c r="CH1492" s="1" t="s">
        <v>109</v>
      </c>
      <c r="CI1492" s="1" t="s">
        <v>109</v>
      </c>
      <c r="CJ1492" s="1">
        <v>2</v>
      </c>
      <c r="CK1492" s="1"/>
      <c r="CL1492" s="1">
        <v>0</v>
      </c>
      <c r="CM1492" s="1">
        <v>0</v>
      </c>
      <c r="CN1492" s="1">
        <v>0</v>
      </c>
    </row>
    <row r="1493" spans="1:92" ht="14.25" customHeight="1" x14ac:dyDescent="0.15">
      <c r="A1493" s="1" t="s">
        <v>11483</v>
      </c>
      <c r="B1493" s="1" t="s">
        <v>189</v>
      </c>
      <c r="C1493" s="1"/>
      <c r="D1493" s="1" t="s">
        <v>11484</v>
      </c>
      <c r="E1493" s="1" t="s">
        <v>11376</v>
      </c>
      <c r="F1493" s="1" t="s">
        <v>98</v>
      </c>
      <c r="G1493" s="1" t="s">
        <v>11485</v>
      </c>
      <c r="H1493" s="1">
        <v>1</v>
      </c>
      <c r="I1493" s="1" t="s">
        <v>161</v>
      </c>
      <c r="J1493" s="1"/>
      <c r="K1493" s="1"/>
      <c r="L1493" s="1" t="s">
        <v>2251</v>
      </c>
      <c r="M1493" s="1" t="s">
        <v>3042</v>
      </c>
      <c r="N1493" s="1">
        <v>0</v>
      </c>
      <c r="O1493" s="1">
        <v>0</v>
      </c>
      <c r="P1493" s="1" t="s">
        <v>281</v>
      </c>
      <c r="Q1493" s="1" t="s">
        <v>104</v>
      </c>
      <c r="R1493" s="1" t="s">
        <v>11486</v>
      </c>
      <c r="S1493" s="1" t="s">
        <v>11487</v>
      </c>
      <c r="T1493" s="1" t="s">
        <v>11080</v>
      </c>
      <c r="U1493" s="1" t="s">
        <v>11488</v>
      </c>
      <c r="V1493" s="1">
        <v>0</v>
      </c>
      <c r="W1493" s="1">
        <v>1</v>
      </c>
      <c r="X1493" s="1">
        <v>1</v>
      </c>
      <c r="Y1493" s="1">
        <v>0</v>
      </c>
      <c r="Z1493" s="1">
        <v>0</v>
      </c>
      <c r="AA1493" s="1">
        <v>4</v>
      </c>
      <c r="AB1493" s="1">
        <v>4</v>
      </c>
      <c r="AC1493" s="1" t="s">
        <v>109</v>
      </c>
      <c r="AD1493" s="1" t="s">
        <v>109</v>
      </c>
      <c r="AE1493" s="1" t="s">
        <v>109</v>
      </c>
      <c r="AF1493" s="1" t="s">
        <v>109</v>
      </c>
      <c r="AG1493" s="1" t="s">
        <v>109</v>
      </c>
      <c r="AH1493" s="1">
        <v>4</v>
      </c>
      <c r="AI1493" s="1" t="s">
        <v>109</v>
      </c>
      <c r="AJ1493" s="1" t="s">
        <v>109</v>
      </c>
      <c r="AK1493" s="1" t="s">
        <v>109</v>
      </c>
      <c r="AL1493" s="1" t="s">
        <v>109</v>
      </c>
      <c r="AM1493" s="1" t="s">
        <v>109</v>
      </c>
      <c r="AN1493" s="1" t="s">
        <v>109</v>
      </c>
      <c r="AO1493" s="1" t="s">
        <v>109</v>
      </c>
      <c r="AP1493" s="1"/>
      <c r="AQ1493" s="1">
        <v>4</v>
      </c>
      <c r="AR1493" s="1"/>
      <c r="AS1493" s="1"/>
      <c r="AT1493" s="1">
        <v>0</v>
      </c>
      <c r="AU1493" s="1">
        <v>1</v>
      </c>
      <c r="AV1493" s="1">
        <v>0</v>
      </c>
      <c r="AW1493" s="1">
        <v>0</v>
      </c>
      <c r="AX1493" s="1">
        <v>0</v>
      </c>
      <c r="AY1493" s="1">
        <v>0</v>
      </c>
      <c r="AZ1493" s="1">
        <v>0</v>
      </c>
      <c r="BA1493" s="1">
        <v>0</v>
      </c>
      <c r="BB1493" s="1">
        <v>0</v>
      </c>
      <c r="BC1493" s="1">
        <v>0</v>
      </c>
      <c r="BD1493" s="1">
        <v>0</v>
      </c>
      <c r="BE1493" s="1">
        <v>0</v>
      </c>
      <c r="BF1493" s="1">
        <v>0</v>
      </c>
      <c r="BG1493" s="1">
        <v>0</v>
      </c>
      <c r="BH1493" s="1">
        <v>0</v>
      </c>
      <c r="BI1493" s="1">
        <v>0</v>
      </c>
      <c r="BJ1493" s="1">
        <v>0</v>
      </c>
      <c r="BK1493" s="1">
        <v>0</v>
      </c>
      <c r="BL1493" s="1">
        <v>0</v>
      </c>
      <c r="BM1493" s="1">
        <v>0</v>
      </c>
      <c r="BN1493" s="1">
        <v>0</v>
      </c>
      <c r="BO1493" s="1">
        <v>1</v>
      </c>
      <c r="BP1493" s="1">
        <v>0</v>
      </c>
      <c r="BQ1493" s="1">
        <v>0</v>
      </c>
      <c r="BR1493" s="1">
        <v>0</v>
      </c>
      <c r="BS1493" s="1" t="s">
        <v>109</v>
      </c>
      <c r="BT1493" s="1">
        <v>1550</v>
      </c>
      <c r="BU1493" s="1">
        <v>100</v>
      </c>
      <c r="BV1493" s="1" t="s">
        <v>11489</v>
      </c>
      <c r="BW1493" s="1"/>
      <c r="BX1493" s="1"/>
      <c r="BY1493" s="1"/>
      <c r="BZ1493" s="1">
        <v>0</v>
      </c>
      <c r="CA1493" s="1" t="s">
        <v>109</v>
      </c>
      <c r="CB1493" s="1" t="s">
        <v>109</v>
      </c>
      <c r="CC1493" s="1" t="s">
        <v>109</v>
      </c>
      <c r="CD1493" s="1" t="s">
        <v>109</v>
      </c>
      <c r="CE1493" s="1" t="s">
        <v>109</v>
      </c>
      <c r="CF1493" s="1" t="s">
        <v>109</v>
      </c>
      <c r="CG1493" s="1" t="s">
        <v>109</v>
      </c>
      <c r="CH1493" s="1" t="s">
        <v>109</v>
      </c>
      <c r="CI1493" s="1" t="s">
        <v>109</v>
      </c>
      <c r="CJ1493" s="1" t="s">
        <v>109</v>
      </c>
      <c r="CK1493" s="1"/>
      <c r="CL1493" s="1">
        <v>0</v>
      </c>
      <c r="CM1493" s="1">
        <v>0</v>
      </c>
      <c r="CN1493" s="1">
        <v>0</v>
      </c>
    </row>
    <row r="1494" spans="1:92" ht="14.25" customHeight="1" x14ac:dyDescent="0.15">
      <c r="A1494" s="1" t="s">
        <v>11490</v>
      </c>
      <c r="B1494" s="1" t="s">
        <v>584</v>
      </c>
      <c r="C1494" s="1"/>
      <c r="D1494" s="1" t="s">
        <v>47</v>
      </c>
      <c r="E1494" s="1" t="s">
        <v>3402</v>
      </c>
      <c r="F1494" s="1" t="s">
        <v>98</v>
      </c>
      <c r="G1494" s="1" t="s">
        <v>8200</v>
      </c>
      <c r="H1494" s="1">
        <v>0</v>
      </c>
      <c r="I1494" s="1" t="s">
        <v>11491</v>
      </c>
      <c r="J1494" s="1"/>
      <c r="K1494" s="1" t="s">
        <v>11492</v>
      </c>
      <c r="L1494" s="1"/>
      <c r="M1494" s="1" t="s">
        <v>11493</v>
      </c>
      <c r="N1494" s="1">
        <v>0</v>
      </c>
      <c r="O1494" s="1">
        <v>0</v>
      </c>
      <c r="P1494" s="1" t="s">
        <v>267</v>
      </c>
      <c r="Q1494" s="1" t="s">
        <v>268</v>
      </c>
      <c r="R1494" s="1" t="s">
        <v>11494</v>
      </c>
      <c r="S1494" s="1" t="s">
        <v>11495</v>
      </c>
      <c r="T1494" s="1" t="s">
        <v>11080</v>
      </c>
      <c r="U1494" s="1" t="s">
        <v>11496</v>
      </c>
      <c r="V1494" s="1">
        <v>1</v>
      </c>
      <c r="W1494" s="1">
        <v>1</v>
      </c>
      <c r="X1494" s="1">
        <v>0</v>
      </c>
      <c r="Y1494" s="1">
        <v>0</v>
      </c>
      <c r="Z1494" s="1">
        <v>0</v>
      </c>
      <c r="AA1494" s="1">
        <v>6</v>
      </c>
      <c r="AB1494" s="1">
        <v>6</v>
      </c>
      <c r="AC1494" s="1" t="s">
        <v>109</v>
      </c>
      <c r="AD1494" s="1">
        <v>6</v>
      </c>
      <c r="AE1494" s="1" t="s">
        <v>109</v>
      </c>
      <c r="AF1494" s="1" t="s">
        <v>109</v>
      </c>
      <c r="AG1494" s="1" t="s">
        <v>109</v>
      </c>
      <c r="AH1494" s="1" t="s">
        <v>109</v>
      </c>
      <c r="AI1494" s="1" t="s">
        <v>109</v>
      </c>
      <c r="AJ1494" s="1" t="s">
        <v>109</v>
      </c>
      <c r="AK1494" s="1" t="s">
        <v>109</v>
      </c>
      <c r="AL1494" s="1" t="s">
        <v>109</v>
      </c>
      <c r="AM1494" s="1" t="s">
        <v>109</v>
      </c>
      <c r="AN1494" s="1" t="s">
        <v>109</v>
      </c>
      <c r="AO1494" s="1" t="s">
        <v>109</v>
      </c>
      <c r="AP1494" s="1"/>
      <c r="AQ1494" s="1">
        <v>6</v>
      </c>
      <c r="AR1494" s="1"/>
      <c r="AS1494" s="1"/>
      <c r="AT1494" s="1">
        <v>0</v>
      </c>
      <c r="AU1494" s="1">
        <v>1</v>
      </c>
      <c r="AV1494" s="1">
        <v>0</v>
      </c>
      <c r="AW1494" s="1">
        <v>0</v>
      </c>
      <c r="AX1494" s="1">
        <v>0</v>
      </c>
      <c r="AY1494" s="1">
        <v>0</v>
      </c>
      <c r="AZ1494" s="1">
        <v>0</v>
      </c>
      <c r="BA1494" s="1">
        <v>0</v>
      </c>
      <c r="BB1494" s="1">
        <v>0</v>
      </c>
      <c r="BC1494" s="1">
        <v>0</v>
      </c>
      <c r="BD1494" s="1">
        <v>0</v>
      </c>
      <c r="BE1494" s="1">
        <v>0</v>
      </c>
      <c r="BF1494" s="1">
        <v>0</v>
      </c>
      <c r="BG1494" s="1">
        <v>0</v>
      </c>
      <c r="BH1494" s="1">
        <v>0</v>
      </c>
      <c r="BI1494" s="1">
        <v>0</v>
      </c>
      <c r="BJ1494" s="1">
        <v>0</v>
      </c>
      <c r="BK1494" s="1">
        <v>0</v>
      </c>
      <c r="BL1494" s="1">
        <v>0</v>
      </c>
      <c r="BM1494" s="1">
        <v>0</v>
      </c>
      <c r="BN1494" s="1">
        <v>0</v>
      </c>
      <c r="BO1494" s="1">
        <v>0</v>
      </c>
      <c r="BP1494" s="1">
        <v>0</v>
      </c>
      <c r="BQ1494" s="1">
        <v>0</v>
      </c>
      <c r="BR1494" s="1">
        <v>0</v>
      </c>
      <c r="BS1494" s="1" t="s">
        <v>109</v>
      </c>
      <c r="BT1494" s="1">
        <v>1551</v>
      </c>
      <c r="BU1494" s="1" t="s">
        <v>109</v>
      </c>
      <c r="BV1494" s="1"/>
      <c r="BW1494" s="1"/>
      <c r="BX1494" s="1"/>
      <c r="BY1494" s="1"/>
      <c r="BZ1494" s="1">
        <v>0</v>
      </c>
      <c r="CA1494" s="1" t="s">
        <v>109</v>
      </c>
      <c r="CB1494" s="1" t="s">
        <v>109</v>
      </c>
      <c r="CC1494" s="1" t="s">
        <v>109</v>
      </c>
      <c r="CD1494" s="1" t="s">
        <v>109</v>
      </c>
      <c r="CE1494" s="1" t="s">
        <v>109</v>
      </c>
      <c r="CF1494" s="1" t="s">
        <v>109</v>
      </c>
      <c r="CG1494" s="1" t="s">
        <v>109</v>
      </c>
      <c r="CH1494" s="1" t="s">
        <v>109</v>
      </c>
      <c r="CI1494" s="1" t="s">
        <v>109</v>
      </c>
      <c r="CJ1494" s="1">
        <v>6</v>
      </c>
      <c r="CK1494" s="1"/>
      <c r="CL1494" s="1">
        <v>0</v>
      </c>
      <c r="CM1494" s="1">
        <v>0</v>
      </c>
      <c r="CN1494" s="1">
        <v>0</v>
      </c>
    </row>
    <row r="1495" spans="1:92" ht="14.25" customHeight="1" x14ac:dyDescent="0.15">
      <c r="A1495" s="1" t="s">
        <v>11497</v>
      </c>
      <c r="B1495" s="1" t="s">
        <v>189</v>
      </c>
      <c r="C1495" s="1"/>
      <c r="D1495" s="1" t="s">
        <v>47</v>
      </c>
      <c r="E1495" s="1" t="s">
        <v>11498</v>
      </c>
      <c r="F1495" s="1" t="s">
        <v>98</v>
      </c>
      <c r="G1495" s="1" t="s">
        <v>141</v>
      </c>
      <c r="H1495" s="1">
        <v>0</v>
      </c>
      <c r="I1495" s="1" t="s">
        <v>161</v>
      </c>
      <c r="J1495" s="1"/>
      <c r="K1495" s="1"/>
      <c r="L1495" s="1" t="s">
        <v>506</v>
      </c>
      <c r="M1495" s="1" t="s">
        <v>125</v>
      </c>
      <c r="N1495" s="1">
        <v>0</v>
      </c>
      <c r="O1495" s="1">
        <v>0</v>
      </c>
      <c r="P1495" s="1" t="s">
        <v>301</v>
      </c>
      <c r="Q1495" s="1" t="s">
        <v>268</v>
      </c>
      <c r="R1495" s="1" t="s">
        <v>11499</v>
      </c>
      <c r="S1495" s="1" t="s">
        <v>11500</v>
      </c>
      <c r="T1495" s="1" t="s">
        <v>11080</v>
      </c>
      <c r="U1495" s="1" t="s">
        <v>11501</v>
      </c>
      <c r="V1495" s="1">
        <v>1</v>
      </c>
      <c r="W1495" s="1">
        <v>1</v>
      </c>
      <c r="X1495" s="1">
        <v>0</v>
      </c>
      <c r="Y1495" s="1">
        <v>0</v>
      </c>
      <c r="Z1495" s="1">
        <v>0</v>
      </c>
      <c r="AA1495" s="1">
        <v>5</v>
      </c>
      <c r="AB1495" s="1">
        <v>5</v>
      </c>
      <c r="AC1495" s="1" t="s">
        <v>109</v>
      </c>
      <c r="AD1495" s="1">
        <v>5</v>
      </c>
      <c r="AE1495" s="1" t="s">
        <v>109</v>
      </c>
      <c r="AF1495" s="1" t="s">
        <v>109</v>
      </c>
      <c r="AG1495" s="1" t="s">
        <v>109</v>
      </c>
      <c r="AH1495" s="1" t="s">
        <v>109</v>
      </c>
      <c r="AI1495" s="1" t="s">
        <v>109</v>
      </c>
      <c r="AJ1495" s="1">
        <v>5</v>
      </c>
      <c r="AK1495" s="1" t="s">
        <v>109</v>
      </c>
      <c r="AL1495" s="1" t="s">
        <v>109</v>
      </c>
      <c r="AM1495" s="1" t="s">
        <v>109</v>
      </c>
      <c r="AN1495" s="1">
        <v>5</v>
      </c>
      <c r="AO1495" s="1" t="s">
        <v>109</v>
      </c>
      <c r="AP1495" s="1"/>
      <c r="AQ1495" s="1">
        <v>5</v>
      </c>
      <c r="AR1495" s="1"/>
      <c r="AS1495" s="1"/>
      <c r="AT1495" s="1">
        <v>0</v>
      </c>
      <c r="AU1495" s="1">
        <v>1</v>
      </c>
      <c r="AV1495" s="1">
        <v>0</v>
      </c>
      <c r="AW1495" s="1">
        <v>0</v>
      </c>
      <c r="AX1495" s="1">
        <v>0</v>
      </c>
      <c r="AY1495" s="1">
        <v>0</v>
      </c>
      <c r="AZ1495" s="1">
        <v>0</v>
      </c>
      <c r="BA1495" s="1">
        <v>0</v>
      </c>
      <c r="BB1495" s="1">
        <v>0</v>
      </c>
      <c r="BC1495" s="1">
        <v>0</v>
      </c>
      <c r="BD1495" s="1">
        <v>0</v>
      </c>
      <c r="BE1495" s="1">
        <v>0</v>
      </c>
      <c r="BF1495" s="1">
        <v>0</v>
      </c>
      <c r="BG1495" s="1">
        <v>0</v>
      </c>
      <c r="BH1495" s="1">
        <v>0</v>
      </c>
      <c r="BI1495" s="1">
        <v>0</v>
      </c>
      <c r="BJ1495" s="1">
        <v>0</v>
      </c>
      <c r="BK1495" s="1">
        <v>0</v>
      </c>
      <c r="BL1495" s="1">
        <v>0</v>
      </c>
      <c r="BM1495" s="1">
        <v>0</v>
      </c>
      <c r="BN1495" s="1">
        <v>0</v>
      </c>
      <c r="BO1495" s="1">
        <v>0</v>
      </c>
      <c r="BP1495" s="1">
        <v>0</v>
      </c>
      <c r="BQ1495" s="1">
        <v>0</v>
      </c>
      <c r="BR1495" s="1">
        <v>0</v>
      </c>
      <c r="BS1495" s="1" t="s">
        <v>109</v>
      </c>
      <c r="BT1495" s="1">
        <v>1552</v>
      </c>
      <c r="BU1495" s="1" t="s">
        <v>109</v>
      </c>
      <c r="BV1495" s="1"/>
      <c r="BW1495" s="1"/>
      <c r="BX1495" s="1"/>
      <c r="BY1495" s="1"/>
      <c r="BZ1495" s="1">
        <v>0</v>
      </c>
      <c r="CA1495" s="1" t="s">
        <v>109</v>
      </c>
      <c r="CB1495" s="1" t="s">
        <v>109</v>
      </c>
      <c r="CC1495" s="1" t="s">
        <v>109</v>
      </c>
      <c r="CD1495" s="1" t="s">
        <v>109</v>
      </c>
      <c r="CE1495" s="1" t="s">
        <v>109</v>
      </c>
      <c r="CF1495" s="1" t="s">
        <v>109</v>
      </c>
      <c r="CG1495" s="1" t="s">
        <v>109</v>
      </c>
      <c r="CH1495" s="1" t="s">
        <v>109</v>
      </c>
      <c r="CI1495" s="1" t="s">
        <v>109</v>
      </c>
      <c r="CJ1495" s="1">
        <v>5</v>
      </c>
      <c r="CK1495" s="1"/>
      <c r="CL1495" s="1">
        <v>0</v>
      </c>
      <c r="CM1495" s="1">
        <v>0</v>
      </c>
      <c r="CN1495" s="1">
        <v>0</v>
      </c>
    </row>
    <row r="1496" spans="1:92" ht="14.25" customHeight="1" x14ac:dyDescent="0.15">
      <c r="A1496" s="1" t="s">
        <v>11502</v>
      </c>
      <c r="B1496" s="1" t="s">
        <v>189</v>
      </c>
      <c r="C1496" s="1"/>
      <c r="D1496" s="1" t="s">
        <v>47</v>
      </c>
      <c r="E1496" s="1" t="s">
        <v>11503</v>
      </c>
      <c r="F1496" s="1" t="s">
        <v>1963</v>
      </c>
      <c r="G1496" s="1" t="s">
        <v>141</v>
      </c>
      <c r="H1496" s="1">
        <v>0</v>
      </c>
      <c r="I1496" s="1" t="s">
        <v>235</v>
      </c>
      <c r="J1496" s="1"/>
      <c r="K1496" s="1"/>
      <c r="L1496" s="1" t="s">
        <v>236</v>
      </c>
      <c r="M1496" s="1" t="s">
        <v>144</v>
      </c>
      <c r="N1496" s="1">
        <v>0</v>
      </c>
      <c r="O1496" s="1">
        <v>0</v>
      </c>
      <c r="P1496" s="1"/>
      <c r="Q1496" s="1"/>
      <c r="R1496" s="1" t="s">
        <v>11504</v>
      </c>
      <c r="S1496" s="1" t="s">
        <v>11505</v>
      </c>
      <c r="T1496" s="1" t="s">
        <v>11080</v>
      </c>
      <c r="U1496" s="1" t="s">
        <v>11506</v>
      </c>
      <c r="V1496" s="1">
        <v>1</v>
      </c>
      <c r="W1496" s="1">
        <v>1</v>
      </c>
      <c r="X1496" s="1">
        <v>0</v>
      </c>
      <c r="Y1496" s="1">
        <v>0</v>
      </c>
      <c r="Z1496" s="1">
        <v>0</v>
      </c>
      <c r="AA1496" s="1">
        <v>1</v>
      </c>
      <c r="AB1496" s="1">
        <v>1</v>
      </c>
      <c r="AC1496" s="1" t="s">
        <v>109</v>
      </c>
      <c r="AD1496" s="1">
        <v>1</v>
      </c>
      <c r="AE1496" s="1" t="s">
        <v>109</v>
      </c>
      <c r="AF1496" s="1">
        <v>1</v>
      </c>
      <c r="AG1496" s="1" t="s">
        <v>109</v>
      </c>
      <c r="AH1496" s="1" t="s">
        <v>109</v>
      </c>
      <c r="AI1496" s="1" t="s">
        <v>109</v>
      </c>
      <c r="AJ1496" s="1" t="s">
        <v>109</v>
      </c>
      <c r="AK1496" s="1" t="s">
        <v>109</v>
      </c>
      <c r="AL1496" s="1" t="s">
        <v>109</v>
      </c>
      <c r="AM1496" s="1" t="s">
        <v>109</v>
      </c>
      <c r="AN1496" s="1">
        <v>1</v>
      </c>
      <c r="AO1496" s="1" t="s">
        <v>109</v>
      </c>
      <c r="AP1496" s="1"/>
      <c r="AQ1496" s="1">
        <v>1</v>
      </c>
      <c r="AR1496" s="1"/>
      <c r="AS1496" s="1"/>
      <c r="AT1496" s="1">
        <v>0</v>
      </c>
      <c r="AU1496" s="1">
        <v>1</v>
      </c>
      <c r="AV1496" s="1">
        <v>0</v>
      </c>
      <c r="AW1496" s="1">
        <v>0</v>
      </c>
      <c r="AX1496" s="1">
        <v>0</v>
      </c>
      <c r="AY1496" s="1">
        <v>0</v>
      </c>
      <c r="AZ1496" s="1">
        <v>0</v>
      </c>
      <c r="BA1496" s="1">
        <v>0</v>
      </c>
      <c r="BB1496" s="1">
        <v>0</v>
      </c>
      <c r="BC1496" s="1">
        <v>0</v>
      </c>
      <c r="BD1496" s="1">
        <v>0</v>
      </c>
      <c r="BE1496" s="1">
        <v>0</v>
      </c>
      <c r="BF1496" s="1">
        <v>0</v>
      </c>
      <c r="BG1496" s="1">
        <v>0</v>
      </c>
      <c r="BH1496" s="1">
        <v>0</v>
      </c>
      <c r="BI1496" s="1">
        <v>0</v>
      </c>
      <c r="BJ1496" s="1">
        <v>0</v>
      </c>
      <c r="BK1496" s="1">
        <v>0</v>
      </c>
      <c r="BL1496" s="1">
        <v>0</v>
      </c>
      <c r="BM1496" s="1">
        <v>0</v>
      </c>
      <c r="BN1496" s="1">
        <v>0</v>
      </c>
      <c r="BO1496" s="1">
        <v>0</v>
      </c>
      <c r="BP1496" s="1">
        <v>0</v>
      </c>
      <c r="BQ1496" s="1">
        <v>0</v>
      </c>
      <c r="BR1496" s="1">
        <v>0</v>
      </c>
      <c r="BS1496" s="1" t="s">
        <v>109</v>
      </c>
      <c r="BT1496" s="1">
        <v>1553</v>
      </c>
      <c r="BU1496" s="1" t="s">
        <v>109</v>
      </c>
      <c r="BV1496" s="1"/>
      <c r="BW1496" s="1"/>
      <c r="BX1496" s="1"/>
      <c r="BY1496" s="1"/>
      <c r="BZ1496" s="1">
        <v>0</v>
      </c>
      <c r="CA1496" s="1">
        <v>1</v>
      </c>
      <c r="CB1496" s="1" t="s">
        <v>109</v>
      </c>
      <c r="CC1496" s="1" t="s">
        <v>109</v>
      </c>
      <c r="CD1496" s="1" t="s">
        <v>109</v>
      </c>
      <c r="CE1496" s="1" t="s">
        <v>109</v>
      </c>
      <c r="CF1496" s="1" t="s">
        <v>109</v>
      </c>
      <c r="CG1496" s="1" t="s">
        <v>109</v>
      </c>
      <c r="CH1496" s="1" t="s">
        <v>109</v>
      </c>
      <c r="CI1496" s="1" t="s">
        <v>109</v>
      </c>
      <c r="CJ1496" s="1">
        <v>1</v>
      </c>
      <c r="CK1496" s="1"/>
      <c r="CL1496" s="1">
        <v>0</v>
      </c>
      <c r="CM1496" s="1">
        <v>0</v>
      </c>
      <c r="CN1496" s="1">
        <v>0</v>
      </c>
    </row>
    <row r="1497" spans="1:92" ht="14.25" customHeight="1" x14ac:dyDescent="0.15">
      <c r="A1497" s="1" t="s">
        <v>11507</v>
      </c>
      <c r="B1497" s="1" t="s">
        <v>254</v>
      </c>
      <c r="C1497" s="1"/>
      <c r="D1497" s="1"/>
      <c r="E1497" s="1" t="s">
        <v>11508</v>
      </c>
      <c r="F1497" s="1" t="s">
        <v>98</v>
      </c>
      <c r="G1497" s="1" t="s">
        <v>141</v>
      </c>
      <c r="H1497" s="1">
        <v>0</v>
      </c>
      <c r="I1497" s="1" t="s">
        <v>235</v>
      </c>
      <c r="J1497" s="1"/>
      <c r="K1497" s="1"/>
      <c r="L1497" s="1" t="s">
        <v>236</v>
      </c>
      <c r="M1497" s="1" t="s">
        <v>1123</v>
      </c>
      <c r="N1497" s="1">
        <v>0</v>
      </c>
      <c r="O1497" s="1">
        <v>0</v>
      </c>
      <c r="P1497" s="1"/>
      <c r="Q1497" s="1"/>
      <c r="R1497" s="1" t="s">
        <v>11509</v>
      </c>
      <c r="S1497" s="1" t="s">
        <v>11510</v>
      </c>
      <c r="T1497" s="1" t="s">
        <v>11080</v>
      </c>
      <c r="U1497" s="1" t="s">
        <v>11511</v>
      </c>
      <c r="V1497" s="1">
        <v>1</v>
      </c>
      <c r="W1497" s="1">
        <v>1</v>
      </c>
      <c r="X1497" s="1">
        <v>0</v>
      </c>
      <c r="Y1497" s="1">
        <v>0</v>
      </c>
      <c r="Z1497" s="1">
        <v>0</v>
      </c>
      <c r="AA1497" s="1">
        <v>2</v>
      </c>
      <c r="AB1497" s="1">
        <v>2</v>
      </c>
      <c r="AC1497" s="1" t="s">
        <v>109</v>
      </c>
      <c r="AD1497" s="1">
        <v>1</v>
      </c>
      <c r="AE1497" s="1">
        <v>1</v>
      </c>
      <c r="AF1497" s="1">
        <v>2</v>
      </c>
      <c r="AG1497" s="1" t="s">
        <v>109</v>
      </c>
      <c r="AH1497" s="1" t="s">
        <v>109</v>
      </c>
      <c r="AI1497" s="1" t="s">
        <v>109</v>
      </c>
      <c r="AJ1497" s="1">
        <v>2</v>
      </c>
      <c r="AK1497" s="1" t="s">
        <v>109</v>
      </c>
      <c r="AL1497" s="1" t="s">
        <v>109</v>
      </c>
      <c r="AM1497" s="1" t="s">
        <v>109</v>
      </c>
      <c r="AN1497" s="1" t="s">
        <v>109</v>
      </c>
      <c r="AO1497" s="1" t="s">
        <v>109</v>
      </c>
      <c r="AP1497" s="1"/>
      <c r="AQ1497" s="1">
        <v>2</v>
      </c>
      <c r="AR1497" s="1"/>
      <c r="AS1497" s="1"/>
      <c r="AT1497" s="1">
        <v>0</v>
      </c>
      <c r="AU1497" s="1">
        <v>0</v>
      </c>
      <c r="AV1497" s="1">
        <v>0</v>
      </c>
      <c r="AW1497" s="1">
        <v>0</v>
      </c>
      <c r="AX1497" s="1">
        <v>0</v>
      </c>
      <c r="AY1497" s="1">
        <v>0</v>
      </c>
      <c r="AZ1497" s="1">
        <v>0</v>
      </c>
      <c r="BA1497" s="1">
        <v>0</v>
      </c>
      <c r="BB1497" s="1">
        <v>0</v>
      </c>
      <c r="BC1497" s="1">
        <v>0</v>
      </c>
      <c r="BD1497" s="1">
        <v>0</v>
      </c>
      <c r="BE1497" s="1">
        <v>0</v>
      </c>
      <c r="BF1497" s="1">
        <v>0</v>
      </c>
      <c r="BG1497" s="1">
        <v>0</v>
      </c>
      <c r="BH1497" s="1">
        <v>0</v>
      </c>
      <c r="BI1497" s="1">
        <v>0</v>
      </c>
      <c r="BJ1497" s="1">
        <v>0</v>
      </c>
      <c r="BK1497" s="1">
        <v>0</v>
      </c>
      <c r="BL1497" s="1">
        <v>0</v>
      </c>
      <c r="BM1497" s="1">
        <v>0</v>
      </c>
      <c r="BN1497" s="1">
        <v>0</v>
      </c>
      <c r="BO1497" s="1">
        <v>0</v>
      </c>
      <c r="BP1497" s="1">
        <v>0</v>
      </c>
      <c r="BQ1497" s="1">
        <v>0</v>
      </c>
      <c r="BR1497" s="1">
        <v>0</v>
      </c>
      <c r="BS1497" s="1" t="s">
        <v>109</v>
      </c>
      <c r="BT1497" s="1">
        <v>1554</v>
      </c>
      <c r="BU1497" s="1" t="s">
        <v>109</v>
      </c>
      <c r="BV1497" s="1"/>
      <c r="BW1497" s="1"/>
      <c r="BX1497" s="1"/>
      <c r="BY1497" s="1"/>
      <c r="BZ1497" s="1">
        <v>0</v>
      </c>
      <c r="CA1497" s="1" t="s">
        <v>109</v>
      </c>
      <c r="CB1497" s="1">
        <v>2</v>
      </c>
      <c r="CC1497" s="1">
        <v>2</v>
      </c>
      <c r="CD1497" s="1" t="s">
        <v>109</v>
      </c>
      <c r="CE1497" s="1">
        <v>2</v>
      </c>
      <c r="CF1497" s="1" t="s">
        <v>109</v>
      </c>
      <c r="CG1497" s="1" t="s">
        <v>109</v>
      </c>
      <c r="CH1497" s="1" t="s">
        <v>109</v>
      </c>
      <c r="CI1497" s="1" t="s">
        <v>109</v>
      </c>
      <c r="CJ1497" s="1">
        <v>1</v>
      </c>
      <c r="CK1497" s="1"/>
      <c r="CL1497" s="1">
        <v>0</v>
      </c>
      <c r="CM1497" s="1">
        <v>0</v>
      </c>
      <c r="CN1497" s="1">
        <v>0</v>
      </c>
    </row>
    <row r="1498" spans="1:92" ht="14.25" customHeight="1" x14ac:dyDescent="0.15">
      <c r="A1498" s="1" t="s">
        <v>11512</v>
      </c>
      <c r="B1498" s="1" t="s">
        <v>242</v>
      </c>
      <c r="C1498" s="1"/>
      <c r="D1498" s="1"/>
      <c r="E1498" s="1" t="s">
        <v>11513</v>
      </c>
      <c r="F1498" s="1" t="s">
        <v>98</v>
      </c>
      <c r="G1498" s="1" t="s">
        <v>141</v>
      </c>
      <c r="H1498" s="1">
        <v>0</v>
      </c>
      <c r="I1498" s="1" t="s">
        <v>161</v>
      </c>
      <c r="J1498" s="1"/>
      <c r="K1498" s="1"/>
      <c r="L1498" s="1" t="s">
        <v>10530</v>
      </c>
      <c r="M1498" s="1" t="s">
        <v>11457</v>
      </c>
      <c r="N1498" s="1">
        <v>0</v>
      </c>
      <c r="O1498" s="1">
        <v>0</v>
      </c>
      <c r="P1498" s="1" t="s">
        <v>215</v>
      </c>
      <c r="Q1498" s="1" t="s">
        <v>216</v>
      </c>
      <c r="R1498" s="1" t="s">
        <v>11514</v>
      </c>
      <c r="S1498" s="1" t="s">
        <v>11515</v>
      </c>
      <c r="T1498" s="1" t="s">
        <v>11080</v>
      </c>
      <c r="U1498" s="1" t="s">
        <v>11516</v>
      </c>
      <c r="V1498" s="1">
        <v>1</v>
      </c>
      <c r="W1498" s="1">
        <v>1</v>
      </c>
      <c r="X1498" s="1">
        <v>0</v>
      </c>
      <c r="Y1498" s="1">
        <v>0</v>
      </c>
      <c r="Z1498" s="1">
        <v>0</v>
      </c>
      <c r="AA1498" s="1">
        <v>1</v>
      </c>
      <c r="AB1498" s="1">
        <v>1</v>
      </c>
      <c r="AC1498" s="1">
        <v>1</v>
      </c>
      <c r="AD1498" s="1" t="s">
        <v>109</v>
      </c>
      <c r="AE1498" s="1" t="s">
        <v>109</v>
      </c>
      <c r="AF1498" s="1" t="s">
        <v>109</v>
      </c>
      <c r="AG1498" s="1" t="s">
        <v>109</v>
      </c>
      <c r="AH1498" s="1" t="s">
        <v>109</v>
      </c>
      <c r="AI1498" s="1" t="s">
        <v>109</v>
      </c>
      <c r="AJ1498" s="1">
        <v>1</v>
      </c>
      <c r="AK1498" s="1">
        <v>1</v>
      </c>
      <c r="AL1498" s="1">
        <v>1</v>
      </c>
      <c r="AM1498" s="1" t="s">
        <v>109</v>
      </c>
      <c r="AN1498" s="1" t="s">
        <v>109</v>
      </c>
      <c r="AO1498" s="1" t="s">
        <v>109</v>
      </c>
      <c r="AP1498" s="1"/>
      <c r="AQ1498" s="1">
        <v>1</v>
      </c>
      <c r="AR1498" s="1"/>
      <c r="AS1498" s="1"/>
      <c r="AT1498" s="1">
        <v>0</v>
      </c>
      <c r="AU1498" s="1">
        <v>0</v>
      </c>
      <c r="AV1498" s="1">
        <v>0</v>
      </c>
      <c r="AW1498" s="1">
        <v>0</v>
      </c>
      <c r="AX1498" s="1">
        <v>0</v>
      </c>
      <c r="AY1498" s="1">
        <v>0</v>
      </c>
      <c r="AZ1498" s="1">
        <v>0</v>
      </c>
      <c r="BA1498" s="1">
        <v>0</v>
      </c>
      <c r="BB1498" s="1">
        <v>0</v>
      </c>
      <c r="BC1498" s="1">
        <v>0</v>
      </c>
      <c r="BD1498" s="1">
        <v>0</v>
      </c>
      <c r="BE1498" s="1">
        <v>0</v>
      </c>
      <c r="BF1498" s="1">
        <v>0</v>
      </c>
      <c r="BG1498" s="1">
        <v>0</v>
      </c>
      <c r="BH1498" s="1">
        <v>0</v>
      </c>
      <c r="BI1498" s="1">
        <v>0</v>
      </c>
      <c r="BJ1498" s="1">
        <v>0</v>
      </c>
      <c r="BK1498" s="1">
        <v>0</v>
      </c>
      <c r="BL1498" s="1">
        <v>0</v>
      </c>
      <c r="BM1498" s="1">
        <v>0</v>
      </c>
      <c r="BN1498" s="1">
        <v>0</v>
      </c>
      <c r="BO1498" s="1">
        <v>0</v>
      </c>
      <c r="BP1498" s="1">
        <v>0</v>
      </c>
      <c r="BQ1498" s="1">
        <v>0</v>
      </c>
      <c r="BR1498" s="1">
        <v>0</v>
      </c>
      <c r="BS1498" s="1" t="s">
        <v>109</v>
      </c>
      <c r="BT1498" s="1">
        <v>1555</v>
      </c>
      <c r="BU1498" s="1" t="s">
        <v>109</v>
      </c>
      <c r="BV1498" s="1"/>
      <c r="BW1498" s="1"/>
      <c r="BX1498" s="1"/>
      <c r="BY1498" s="1"/>
      <c r="BZ1498" s="1">
        <v>0</v>
      </c>
      <c r="CA1498" s="1" t="s">
        <v>109</v>
      </c>
      <c r="CB1498" s="1" t="s">
        <v>109</v>
      </c>
      <c r="CC1498" s="1" t="s">
        <v>109</v>
      </c>
      <c r="CD1498" s="1" t="s">
        <v>109</v>
      </c>
      <c r="CE1498" s="1">
        <v>1</v>
      </c>
      <c r="CF1498" s="1" t="s">
        <v>109</v>
      </c>
      <c r="CG1498" s="1" t="s">
        <v>109</v>
      </c>
      <c r="CH1498" s="1" t="s">
        <v>109</v>
      </c>
      <c r="CI1498" s="1" t="s">
        <v>109</v>
      </c>
      <c r="CJ1498" s="1" t="s">
        <v>109</v>
      </c>
      <c r="CK1498" s="1"/>
      <c r="CL1498" s="1">
        <v>0</v>
      </c>
      <c r="CM1498" s="1">
        <v>0</v>
      </c>
      <c r="CN1498" s="1">
        <v>0</v>
      </c>
    </row>
    <row r="1499" spans="1:92" ht="14.25" customHeight="1" x14ac:dyDescent="0.15">
      <c r="A1499" s="1" t="s">
        <v>11517</v>
      </c>
      <c r="B1499" s="1" t="s">
        <v>242</v>
      </c>
      <c r="C1499" s="1"/>
      <c r="D1499" s="1"/>
      <c r="E1499" s="1" t="s">
        <v>11518</v>
      </c>
      <c r="F1499" s="1" t="s">
        <v>98</v>
      </c>
      <c r="G1499" s="1" t="s">
        <v>141</v>
      </c>
      <c r="H1499" s="1">
        <v>0</v>
      </c>
      <c r="I1499" s="1" t="s">
        <v>161</v>
      </c>
      <c r="J1499" s="1"/>
      <c r="K1499" s="1"/>
      <c r="L1499" s="1" t="s">
        <v>11519</v>
      </c>
      <c r="M1499" s="1" t="s">
        <v>465</v>
      </c>
      <c r="N1499" s="1">
        <v>0</v>
      </c>
      <c r="O1499" s="1">
        <v>0</v>
      </c>
      <c r="P1499" s="1" t="s">
        <v>507</v>
      </c>
      <c r="Q1499" s="1" t="s">
        <v>167</v>
      </c>
      <c r="R1499" s="1" t="s">
        <v>11520</v>
      </c>
      <c r="S1499" s="1" t="s">
        <v>11521</v>
      </c>
      <c r="T1499" s="1" t="s">
        <v>11080</v>
      </c>
      <c r="U1499" s="1" t="s">
        <v>11522</v>
      </c>
      <c r="V1499" s="1">
        <v>1</v>
      </c>
      <c r="W1499" s="1">
        <v>1</v>
      </c>
      <c r="X1499" s="1">
        <v>0</v>
      </c>
      <c r="Y1499" s="1">
        <v>0</v>
      </c>
      <c r="Z1499" s="1">
        <v>0</v>
      </c>
      <c r="AA1499" s="1">
        <v>1</v>
      </c>
      <c r="AB1499" s="1">
        <v>1</v>
      </c>
      <c r="AC1499" s="1">
        <v>1</v>
      </c>
      <c r="AD1499" s="1">
        <v>1</v>
      </c>
      <c r="AE1499" s="1">
        <v>1</v>
      </c>
      <c r="AF1499" s="1" t="s">
        <v>109</v>
      </c>
      <c r="AG1499" s="1" t="s">
        <v>109</v>
      </c>
      <c r="AH1499" s="1" t="s">
        <v>109</v>
      </c>
      <c r="AI1499" s="1" t="s">
        <v>109</v>
      </c>
      <c r="AJ1499" s="1" t="s">
        <v>109</v>
      </c>
      <c r="AK1499" s="1">
        <v>1</v>
      </c>
      <c r="AL1499" s="1">
        <v>1</v>
      </c>
      <c r="AM1499" s="1" t="s">
        <v>109</v>
      </c>
      <c r="AN1499" s="1" t="s">
        <v>109</v>
      </c>
      <c r="AO1499" s="1" t="s">
        <v>109</v>
      </c>
      <c r="AP1499" s="1"/>
      <c r="AQ1499" s="1">
        <v>1</v>
      </c>
      <c r="AR1499" s="1"/>
      <c r="AS1499" s="1"/>
      <c r="AT1499" s="1">
        <v>0</v>
      </c>
      <c r="AU1499" s="1">
        <v>0</v>
      </c>
      <c r="AV1499" s="1">
        <v>0</v>
      </c>
      <c r="AW1499" s="1">
        <v>0</v>
      </c>
      <c r="AX1499" s="1">
        <v>0</v>
      </c>
      <c r="AY1499" s="1">
        <v>0</v>
      </c>
      <c r="AZ1499" s="1">
        <v>0</v>
      </c>
      <c r="BA1499" s="1">
        <v>0</v>
      </c>
      <c r="BB1499" s="1">
        <v>0</v>
      </c>
      <c r="BC1499" s="1">
        <v>0</v>
      </c>
      <c r="BD1499" s="1">
        <v>0</v>
      </c>
      <c r="BE1499" s="1">
        <v>0</v>
      </c>
      <c r="BF1499" s="1">
        <v>0</v>
      </c>
      <c r="BG1499" s="1">
        <v>0</v>
      </c>
      <c r="BH1499" s="1">
        <v>0</v>
      </c>
      <c r="BI1499" s="1">
        <v>0</v>
      </c>
      <c r="BJ1499" s="1">
        <v>0</v>
      </c>
      <c r="BK1499" s="1">
        <v>0</v>
      </c>
      <c r="BL1499" s="1">
        <v>0</v>
      </c>
      <c r="BM1499" s="1">
        <v>0</v>
      </c>
      <c r="BN1499" s="1">
        <v>0</v>
      </c>
      <c r="BO1499" s="1">
        <v>0</v>
      </c>
      <c r="BP1499" s="1">
        <v>0</v>
      </c>
      <c r="BQ1499" s="1">
        <v>0</v>
      </c>
      <c r="BR1499" s="1">
        <v>0</v>
      </c>
      <c r="BS1499" s="1" t="s">
        <v>109</v>
      </c>
      <c r="BT1499" s="1">
        <v>1556</v>
      </c>
      <c r="BU1499" s="1" t="s">
        <v>109</v>
      </c>
      <c r="BV1499" s="1"/>
      <c r="BW1499" s="1"/>
      <c r="BX1499" s="1"/>
      <c r="BY1499" s="1"/>
      <c r="BZ1499" s="1">
        <v>0</v>
      </c>
      <c r="CA1499" s="1">
        <v>1</v>
      </c>
      <c r="CB1499" s="1" t="s">
        <v>109</v>
      </c>
      <c r="CC1499" s="1" t="s">
        <v>109</v>
      </c>
      <c r="CD1499" s="1" t="s">
        <v>109</v>
      </c>
      <c r="CE1499" s="1" t="s">
        <v>109</v>
      </c>
      <c r="CF1499" s="1" t="s">
        <v>109</v>
      </c>
      <c r="CG1499" s="1" t="s">
        <v>109</v>
      </c>
      <c r="CH1499" s="1" t="s">
        <v>109</v>
      </c>
      <c r="CI1499" s="1" t="s">
        <v>109</v>
      </c>
      <c r="CJ1499" s="1">
        <v>1</v>
      </c>
      <c r="CK1499" s="1"/>
      <c r="CL1499" s="1">
        <v>0</v>
      </c>
      <c r="CM1499" s="1">
        <v>0</v>
      </c>
      <c r="CN1499" s="1">
        <v>0</v>
      </c>
    </row>
    <row r="1500" spans="1:92" ht="14.25" customHeight="1" x14ac:dyDescent="0.15">
      <c r="A1500" s="1" t="s">
        <v>11523</v>
      </c>
      <c r="B1500" s="1" t="s">
        <v>95</v>
      </c>
      <c r="C1500" s="1" t="s">
        <v>1522</v>
      </c>
      <c r="D1500" s="1" t="s">
        <v>59</v>
      </c>
      <c r="E1500" s="1" t="s">
        <v>11524</v>
      </c>
      <c r="F1500" s="1" t="s">
        <v>98</v>
      </c>
      <c r="G1500" s="1" t="s">
        <v>333</v>
      </c>
      <c r="H1500" s="1">
        <v>0</v>
      </c>
      <c r="I1500" s="1"/>
      <c r="J1500" s="1"/>
      <c r="K1500" s="1"/>
      <c r="L1500" s="1" t="s">
        <v>11525</v>
      </c>
      <c r="M1500" s="1" t="s">
        <v>144</v>
      </c>
      <c r="N1500" s="1">
        <v>0</v>
      </c>
      <c r="O1500" s="1">
        <v>0</v>
      </c>
      <c r="P1500" s="1" t="s">
        <v>11526</v>
      </c>
      <c r="Q1500" s="1" t="s">
        <v>104</v>
      </c>
      <c r="R1500" s="1" t="s">
        <v>11527</v>
      </c>
      <c r="S1500" s="1" t="s">
        <v>11528</v>
      </c>
      <c r="T1500" s="1" t="s">
        <v>11080</v>
      </c>
      <c r="U1500" s="1" t="s">
        <v>11529</v>
      </c>
      <c r="V1500" s="1">
        <v>1</v>
      </c>
      <c r="W1500" s="1">
        <v>0</v>
      </c>
      <c r="X1500" s="1">
        <v>0</v>
      </c>
      <c r="Y1500" s="1">
        <v>0</v>
      </c>
      <c r="Z1500" s="1">
        <v>0</v>
      </c>
      <c r="AA1500" s="1">
        <v>5</v>
      </c>
      <c r="AB1500" s="1">
        <v>5</v>
      </c>
      <c r="AC1500" s="1" t="s">
        <v>109</v>
      </c>
      <c r="AD1500" s="1" t="s">
        <v>109</v>
      </c>
      <c r="AE1500" s="1" t="s">
        <v>109</v>
      </c>
      <c r="AF1500" s="1" t="s">
        <v>109</v>
      </c>
      <c r="AG1500" s="1" t="s">
        <v>109</v>
      </c>
      <c r="AH1500" s="1" t="s">
        <v>109</v>
      </c>
      <c r="AI1500" s="1">
        <v>4</v>
      </c>
      <c r="AJ1500" s="1">
        <v>5</v>
      </c>
      <c r="AK1500" s="1" t="s">
        <v>109</v>
      </c>
      <c r="AL1500" s="1" t="s">
        <v>109</v>
      </c>
      <c r="AM1500" s="1" t="s">
        <v>109</v>
      </c>
      <c r="AN1500" s="1" t="s">
        <v>109</v>
      </c>
      <c r="AO1500" s="1" t="s">
        <v>109</v>
      </c>
      <c r="AP1500" s="1"/>
      <c r="AQ1500" s="1">
        <v>5</v>
      </c>
      <c r="AR1500" s="1"/>
      <c r="AS1500" s="1"/>
      <c r="AT1500" s="1">
        <v>0</v>
      </c>
      <c r="AU1500" s="1">
        <v>0</v>
      </c>
      <c r="AV1500" s="1">
        <v>0</v>
      </c>
      <c r="AW1500" s="1">
        <v>0</v>
      </c>
      <c r="AX1500" s="1">
        <v>0</v>
      </c>
      <c r="AY1500" s="1">
        <v>0</v>
      </c>
      <c r="AZ1500" s="1">
        <v>0</v>
      </c>
      <c r="BA1500" s="1">
        <v>0</v>
      </c>
      <c r="BB1500" s="1">
        <v>0</v>
      </c>
      <c r="BC1500" s="1">
        <v>0</v>
      </c>
      <c r="BD1500" s="1">
        <v>0</v>
      </c>
      <c r="BE1500" s="1">
        <v>0</v>
      </c>
      <c r="BF1500" s="1">
        <v>0</v>
      </c>
      <c r="BG1500" s="1">
        <v>1</v>
      </c>
      <c r="BH1500" s="1">
        <v>0</v>
      </c>
      <c r="BI1500" s="1">
        <v>0</v>
      </c>
      <c r="BJ1500" s="1">
        <v>0</v>
      </c>
      <c r="BK1500" s="1">
        <v>0</v>
      </c>
      <c r="BL1500" s="1">
        <v>0</v>
      </c>
      <c r="BM1500" s="1">
        <v>0</v>
      </c>
      <c r="BN1500" s="1">
        <v>0</v>
      </c>
      <c r="BO1500" s="1">
        <v>0</v>
      </c>
      <c r="BP1500" s="1">
        <v>0</v>
      </c>
      <c r="BQ1500" s="1">
        <v>0</v>
      </c>
      <c r="BR1500" s="1">
        <v>0</v>
      </c>
      <c r="BS1500" s="1" t="s">
        <v>109</v>
      </c>
      <c r="BT1500" s="1">
        <v>1557</v>
      </c>
      <c r="BU1500" s="1" t="s">
        <v>109</v>
      </c>
      <c r="BV1500" s="1"/>
      <c r="BW1500" s="1"/>
      <c r="BX1500" s="1"/>
      <c r="BY1500" s="1"/>
      <c r="BZ1500" s="1">
        <v>0</v>
      </c>
      <c r="CA1500" s="1" t="s">
        <v>109</v>
      </c>
      <c r="CB1500" s="1" t="s">
        <v>109</v>
      </c>
      <c r="CC1500" s="1" t="s">
        <v>109</v>
      </c>
      <c r="CD1500" s="1" t="s">
        <v>109</v>
      </c>
      <c r="CE1500" s="1" t="s">
        <v>109</v>
      </c>
      <c r="CF1500" s="1" t="s">
        <v>109</v>
      </c>
      <c r="CG1500" s="1" t="s">
        <v>109</v>
      </c>
      <c r="CH1500" s="1" t="s">
        <v>109</v>
      </c>
      <c r="CI1500" s="1" t="s">
        <v>109</v>
      </c>
      <c r="CJ1500" s="1" t="s">
        <v>109</v>
      </c>
      <c r="CK1500" s="1"/>
      <c r="CL1500" s="1">
        <v>0</v>
      </c>
      <c r="CM1500" s="1">
        <v>0</v>
      </c>
      <c r="CN1500" s="1">
        <v>0</v>
      </c>
    </row>
    <row r="1501" spans="1:92" ht="14.25" customHeight="1" x14ac:dyDescent="0.15">
      <c r="A1501" s="1" t="s">
        <v>11530</v>
      </c>
      <c r="B1501" s="1" t="s">
        <v>189</v>
      </c>
      <c r="C1501" s="1"/>
      <c r="D1501" s="1" t="s">
        <v>11531</v>
      </c>
      <c r="E1501" s="1" t="s">
        <v>11532</v>
      </c>
      <c r="F1501" s="1" t="s">
        <v>98</v>
      </c>
      <c r="G1501" s="1" t="s">
        <v>141</v>
      </c>
      <c r="H1501" s="1">
        <v>0</v>
      </c>
      <c r="I1501" s="1" t="s">
        <v>235</v>
      </c>
      <c r="J1501" s="1"/>
      <c r="K1501" s="1"/>
      <c r="L1501" s="1" t="s">
        <v>236</v>
      </c>
      <c r="M1501" s="1" t="s">
        <v>574</v>
      </c>
      <c r="N1501" s="1">
        <v>1</v>
      </c>
      <c r="O1501" s="1">
        <v>0</v>
      </c>
      <c r="P1501" s="1"/>
      <c r="Q1501" s="1"/>
      <c r="R1501" s="1" t="s">
        <v>11533</v>
      </c>
      <c r="S1501" s="1" t="s">
        <v>11534</v>
      </c>
      <c r="T1501" s="1" t="s">
        <v>11080</v>
      </c>
      <c r="U1501" s="1" t="s">
        <v>11535</v>
      </c>
      <c r="V1501" s="1">
        <v>1</v>
      </c>
      <c r="W1501" s="1">
        <v>1</v>
      </c>
      <c r="X1501" s="1">
        <v>0</v>
      </c>
      <c r="Y1501" s="1">
        <v>0</v>
      </c>
      <c r="Z1501" s="1">
        <v>0</v>
      </c>
      <c r="AA1501" s="1">
        <v>4</v>
      </c>
      <c r="AB1501" s="1">
        <v>4</v>
      </c>
      <c r="AC1501" s="1" t="s">
        <v>109</v>
      </c>
      <c r="AD1501" s="1" t="s">
        <v>109</v>
      </c>
      <c r="AE1501" s="1" t="s">
        <v>109</v>
      </c>
      <c r="AF1501" s="1" t="s">
        <v>109</v>
      </c>
      <c r="AG1501" s="1" t="s">
        <v>109</v>
      </c>
      <c r="AH1501" s="1" t="s">
        <v>109</v>
      </c>
      <c r="AI1501" s="1" t="s">
        <v>109</v>
      </c>
      <c r="AJ1501" s="1">
        <v>4</v>
      </c>
      <c r="AK1501" s="1" t="s">
        <v>109</v>
      </c>
      <c r="AL1501" s="1" t="s">
        <v>109</v>
      </c>
      <c r="AM1501" s="1" t="s">
        <v>109</v>
      </c>
      <c r="AN1501" s="1" t="s">
        <v>109</v>
      </c>
      <c r="AO1501" s="1" t="s">
        <v>109</v>
      </c>
      <c r="AP1501" s="1"/>
      <c r="AQ1501" s="1">
        <v>4</v>
      </c>
      <c r="AR1501" s="1"/>
      <c r="AS1501" s="1"/>
      <c r="AT1501" s="1">
        <v>1</v>
      </c>
      <c r="AU1501" s="1">
        <v>0</v>
      </c>
      <c r="AV1501" s="1">
        <v>0</v>
      </c>
      <c r="AW1501" s="1">
        <v>0</v>
      </c>
      <c r="AX1501" s="1">
        <v>0</v>
      </c>
      <c r="AY1501" s="1">
        <v>0</v>
      </c>
      <c r="AZ1501" s="1">
        <v>0</v>
      </c>
      <c r="BA1501" s="1">
        <v>0</v>
      </c>
      <c r="BB1501" s="1">
        <v>0</v>
      </c>
      <c r="BC1501" s="1">
        <v>1</v>
      </c>
      <c r="BD1501" s="1">
        <v>0</v>
      </c>
      <c r="BE1501" s="1">
        <v>0</v>
      </c>
      <c r="BF1501" s="1">
        <v>0</v>
      </c>
      <c r="BG1501" s="1">
        <v>1</v>
      </c>
      <c r="BH1501" s="1">
        <v>0</v>
      </c>
      <c r="BI1501" s="1">
        <v>0</v>
      </c>
      <c r="BJ1501" s="1">
        <v>0</v>
      </c>
      <c r="BK1501" s="1">
        <v>0</v>
      </c>
      <c r="BL1501" s="1">
        <v>0</v>
      </c>
      <c r="BM1501" s="1">
        <v>0</v>
      </c>
      <c r="BN1501" s="1">
        <v>0</v>
      </c>
      <c r="BO1501" s="1">
        <v>0</v>
      </c>
      <c r="BP1501" s="1">
        <v>0</v>
      </c>
      <c r="BQ1501" s="1">
        <v>0</v>
      </c>
      <c r="BR1501" s="1">
        <v>0</v>
      </c>
      <c r="BS1501" s="1" t="s">
        <v>109</v>
      </c>
      <c r="BT1501" s="1">
        <v>1558</v>
      </c>
      <c r="BU1501" s="1" t="s">
        <v>109</v>
      </c>
      <c r="BV1501" s="1"/>
      <c r="BW1501" s="1"/>
      <c r="BX1501" s="1"/>
      <c r="BY1501" s="1"/>
      <c r="BZ1501" s="1">
        <v>0</v>
      </c>
      <c r="CA1501" s="1">
        <v>4</v>
      </c>
      <c r="CB1501" s="1" t="s">
        <v>109</v>
      </c>
      <c r="CC1501" s="1" t="s">
        <v>109</v>
      </c>
      <c r="CD1501" s="1" t="s">
        <v>109</v>
      </c>
      <c r="CE1501" s="1" t="s">
        <v>109</v>
      </c>
      <c r="CF1501" s="1" t="s">
        <v>109</v>
      </c>
      <c r="CG1501" s="1" t="s">
        <v>109</v>
      </c>
      <c r="CH1501" s="1" t="s">
        <v>109</v>
      </c>
      <c r="CI1501" s="1" t="s">
        <v>109</v>
      </c>
      <c r="CJ1501" s="1" t="s">
        <v>109</v>
      </c>
      <c r="CK1501" s="1"/>
      <c r="CL1501" s="1">
        <v>0</v>
      </c>
      <c r="CM1501" s="1">
        <v>0</v>
      </c>
      <c r="CN1501" s="1">
        <v>0</v>
      </c>
    </row>
    <row r="1502" spans="1:92" ht="14.25" customHeight="1" x14ac:dyDescent="0.15">
      <c r="A1502" s="1" t="s">
        <v>11536</v>
      </c>
      <c r="B1502" s="1" t="s">
        <v>189</v>
      </c>
      <c r="C1502" s="1"/>
      <c r="D1502" s="1" t="s">
        <v>70</v>
      </c>
      <c r="E1502" s="1" t="s">
        <v>11537</v>
      </c>
      <c r="F1502" s="1" t="s">
        <v>98</v>
      </c>
      <c r="G1502" s="1" t="s">
        <v>141</v>
      </c>
      <c r="H1502" s="1">
        <v>0</v>
      </c>
      <c r="I1502" s="1" t="s">
        <v>161</v>
      </c>
      <c r="J1502" s="1"/>
      <c r="K1502" s="1"/>
      <c r="L1502" s="1" t="s">
        <v>5616</v>
      </c>
      <c r="M1502" s="1" t="s">
        <v>3042</v>
      </c>
      <c r="N1502" s="1">
        <v>0</v>
      </c>
      <c r="O1502" s="1">
        <v>0</v>
      </c>
      <c r="P1502" s="1" t="s">
        <v>507</v>
      </c>
      <c r="Q1502" s="1" t="s">
        <v>167</v>
      </c>
      <c r="R1502" s="1" t="s">
        <v>11538</v>
      </c>
      <c r="S1502" s="1" t="s">
        <v>11539</v>
      </c>
      <c r="T1502" s="1" t="s">
        <v>11080</v>
      </c>
      <c r="U1502" s="1" t="s">
        <v>11540</v>
      </c>
      <c r="V1502" s="1">
        <v>1</v>
      </c>
      <c r="W1502" s="1">
        <v>1</v>
      </c>
      <c r="X1502" s="1">
        <v>0</v>
      </c>
      <c r="Y1502" s="1">
        <v>0</v>
      </c>
      <c r="Z1502" s="1">
        <v>0</v>
      </c>
      <c r="AA1502" s="1">
        <v>1</v>
      </c>
      <c r="AB1502" s="1">
        <v>1</v>
      </c>
      <c r="AC1502" s="1">
        <v>1</v>
      </c>
      <c r="AD1502" s="1">
        <v>1</v>
      </c>
      <c r="AE1502" s="1">
        <v>1</v>
      </c>
      <c r="AF1502" s="1" t="s">
        <v>109</v>
      </c>
      <c r="AG1502" s="1" t="s">
        <v>109</v>
      </c>
      <c r="AH1502" s="1" t="s">
        <v>109</v>
      </c>
      <c r="AI1502" s="1" t="s">
        <v>109</v>
      </c>
      <c r="AJ1502" s="1">
        <v>1</v>
      </c>
      <c r="AK1502" s="1" t="s">
        <v>109</v>
      </c>
      <c r="AL1502" s="1">
        <v>1</v>
      </c>
      <c r="AM1502" s="1" t="s">
        <v>109</v>
      </c>
      <c r="AN1502" s="1" t="s">
        <v>109</v>
      </c>
      <c r="AO1502" s="1" t="s">
        <v>109</v>
      </c>
      <c r="AP1502" s="1"/>
      <c r="AQ1502" s="1">
        <v>1</v>
      </c>
      <c r="AR1502" s="1"/>
      <c r="AS1502" s="1"/>
      <c r="AT1502" s="1">
        <v>0</v>
      </c>
      <c r="AU1502" s="1">
        <v>0</v>
      </c>
      <c r="AV1502" s="1">
        <v>0</v>
      </c>
      <c r="AW1502" s="1">
        <v>0</v>
      </c>
      <c r="AX1502" s="1">
        <v>0</v>
      </c>
      <c r="AY1502" s="1">
        <v>0</v>
      </c>
      <c r="AZ1502" s="1">
        <v>0</v>
      </c>
      <c r="BA1502" s="1">
        <v>0</v>
      </c>
      <c r="BB1502" s="1">
        <v>0</v>
      </c>
      <c r="BC1502" s="1">
        <v>0</v>
      </c>
      <c r="BD1502" s="1">
        <v>0</v>
      </c>
      <c r="BE1502" s="1">
        <v>0</v>
      </c>
      <c r="BF1502" s="1">
        <v>0</v>
      </c>
      <c r="BG1502" s="1">
        <v>0</v>
      </c>
      <c r="BH1502" s="1">
        <v>0</v>
      </c>
      <c r="BI1502" s="1">
        <v>0</v>
      </c>
      <c r="BJ1502" s="1">
        <v>0</v>
      </c>
      <c r="BK1502" s="1">
        <v>0</v>
      </c>
      <c r="BL1502" s="1">
        <v>0</v>
      </c>
      <c r="BM1502" s="1">
        <v>0</v>
      </c>
      <c r="BN1502" s="1">
        <v>0</v>
      </c>
      <c r="BO1502" s="1">
        <v>0</v>
      </c>
      <c r="BP1502" s="1">
        <v>0</v>
      </c>
      <c r="BQ1502" s="1">
        <v>0</v>
      </c>
      <c r="BR1502" s="1">
        <v>1</v>
      </c>
      <c r="BS1502" s="1" t="s">
        <v>109</v>
      </c>
      <c r="BT1502" s="1">
        <v>1559</v>
      </c>
      <c r="BU1502" s="1" t="s">
        <v>109</v>
      </c>
      <c r="BV1502" s="1"/>
      <c r="BW1502" s="1"/>
      <c r="BX1502" s="1"/>
      <c r="BY1502" s="1"/>
      <c r="BZ1502" s="1">
        <v>0</v>
      </c>
      <c r="CA1502" s="1" t="s">
        <v>109</v>
      </c>
      <c r="CB1502" s="1" t="s">
        <v>109</v>
      </c>
      <c r="CC1502" s="1" t="s">
        <v>109</v>
      </c>
      <c r="CD1502" s="1" t="s">
        <v>109</v>
      </c>
      <c r="CE1502" s="1" t="s">
        <v>109</v>
      </c>
      <c r="CF1502" s="1" t="s">
        <v>109</v>
      </c>
      <c r="CG1502" s="1" t="s">
        <v>109</v>
      </c>
      <c r="CH1502" s="1" t="s">
        <v>109</v>
      </c>
      <c r="CI1502" s="1" t="s">
        <v>109</v>
      </c>
      <c r="CJ1502" s="1">
        <v>1</v>
      </c>
      <c r="CK1502" s="1"/>
      <c r="CL1502" s="1">
        <v>0</v>
      </c>
      <c r="CM1502" s="1">
        <v>0</v>
      </c>
      <c r="CN1502" s="1">
        <v>0</v>
      </c>
    </row>
    <row r="1503" spans="1:92" ht="14.25" customHeight="1" x14ac:dyDescent="0.15">
      <c r="A1503" s="1" t="s">
        <v>11541</v>
      </c>
      <c r="B1503" s="1" t="s">
        <v>242</v>
      </c>
      <c r="C1503" s="1"/>
      <c r="D1503" s="1"/>
      <c r="E1503" s="1" t="s">
        <v>11542</v>
      </c>
      <c r="F1503" s="1" t="s">
        <v>98</v>
      </c>
      <c r="G1503" s="1" t="s">
        <v>141</v>
      </c>
      <c r="H1503" s="1">
        <v>0</v>
      </c>
      <c r="I1503" s="1" t="s">
        <v>235</v>
      </c>
      <c r="J1503" s="1"/>
      <c r="K1503" s="1"/>
      <c r="L1503" s="1" t="s">
        <v>236</v>
      </c>
      <c r="M1503" s="1" t="s">
        <v>125</v>
      </c>
      <c r="N1503" s="1">
        <v>0</v>
      </c>
      <c r="O1503" s="1">
        <v>0</v>
      </c>
      <c r="P1503" s="1"/>
      <c r="Q1503" s="1"/>
      <c r="R1503" s="1" t="s">
        <v>11543</v>
      </c>
      <c r="S1503" s="1" t="s">
        <v>11544</v>
      </c>
      <c r="T1503" s="1" t="s">
        <v>11080</v>
      </c>
      <c r="U1503" s="1" t="s">
        <v>11545</v>
      </c>
      <c r="V1503" s="1">
        <v>1</v>
      </c>
      <c r="W1503" s="1">
        <v>1</v>
      </c>
      <c r="X1503" s="1">
        <v>0</v>
      </c>
      <c r="Y1503" s="1">
        <v>0</v>
      </c>
      <c r="Z1503" s="1">
        <v>0</v>
      </c>
      <c r="AA1503" s="1" t="s">
        <v>109</v>
      </c>
      <c r="AB1503" s="1" t="s">
        <v>109</v>
      </c>
      <c r="AC1503" s="1" t="s">
        <v>109</v>
      </c>
      <c r="AD1503" s="1">
        <v>1</v>
      </c>
      <c r="AE1503" s="1" t="s">
        <v>109</v>
      </c>
      <c r="AF1503" s="1" t="s">
        <v>109</v>
      </c>
      <c r="AG1503" s="1" t="s">
        <v>109</v>
      </c>
      <c r="AH1503" s="1" t="s">
        <v>109</v>
      </c>
      <c r="AI1503" s="1" t="s">
        <v>109</v>
      </c>
      <c r="AJ1503" s="1">
        <v>1</v>
      </c>
      <c r="AK1503" s="1" t="s">
        <v>109</v>
      </c>
      <c r="AL1503" s="1" t="s">
        <v>109</v>
      </c>
      <c r="AM1503" s="1" t="s">
        <v>109</v>
      </c>
      <c r="AN1503" s="1" t="s">
        <v>109</v>
      </c>
      <c r="AO1503" s="1" t="s">
        <v>109</v>
      </c>
      <c r="AP1503" s="1"/>
      <c r="AQ1503" s="1">
        <v>1</v>
      </c>
      <c r="AR1503" s="1"/>
      <c r="AS1503" s="1"/>
      <c r="AT1503" s="1">
        <v>0</v>
      </c>
      <c r="AU1503" s="1">
        <v>0</v>
      </c>
      <c r="AV1503" s="1">
        <v>0</v>
      </c>
      <c r="AW1503" s="1">
        <v>0</v>
      </c>
      <c r="AX1503" s="1">
        <v>0</v>
      </c>
      <c r="AY1503" s="1">
        <v>0</v>
      </c>
      <c r="AZ1503" s="1">
        <v>0</v>
      </c>
      <c r="BA1503" s="1">
        <v>0</v>
      </c>
      <c r="BB1503" s="1">
        <v>0</v>
      </c>
      <c r="BC1503" s="1">
        <v>0</v>
      </c>
      <c r="BD1503" s="1">
        <v>0</v>
      </c>
      <c r="BE1503" s="1">
        <v>0</v>
      </c>
      <c r="BF1503" s="1">
        <v>0</v>
      </c>
      <c r="BG1503" s="1">
        <v>0</v>
      </c>
      <c r="BH1503" s="1">
        <v>0</v>
      </c>
      <c r="BI1503" s="1">
        <v>0</v>
      </c>
      <c r="BJ1503" s="1">
        <v>0</v>
      </c>
      <c r="BK1503" s="1">
        <v>0</v>
      </c>
      <c r="BL1503" s="1">
        <v>0</v>
      </c>
      <c r="BM1503" s="1">
        <v>0</v>
      </c>
      <c r="BN1503" s="1">
        <v>0</v>
      </c>
      <c r="BO1503" s="1">
        <v>0</v>
      </c>
      <c r="BP1503" s="1">
        <v>0</v>
      </c>
      <c r="BQ1503" s="1">
        <v>0</v>
      </c>
      <c r="BR1503" s="1">
        <v>0</v>
      </c>
      <c r="BS1503" s="1" t="s">
        <v>109</v>
      </c>
      <c r="BT1503" s="1">
        <v>1560</v>
      </c>
      <c r="BU1503" s="1" t="s">
        <v>109</v>
      </c>
      <c r="BV1503" s="1"/>
      <c r="BW1503" s="1"/>
      <c r="BX1503" s="1"/>
      <c r="BY1503" s="1"/>
      <c r="BZ1503" s="1">
        <v>0</v>
      </c>
      <c r="CA1503" s="1" t="s">
        <v>109</v>
      </c>
      <c r="CB1503" s="1" t="s">
        <v>109</v>
      </c>
      <c r="CC1503" s="1" t="s">
        <v>109</v>
      </c>
      <c r="CD1503" s="1" t="s">
        <v>109</v>
      </c>
      <c r="CE1503" s="1" t="s">
        <v>109</v>
      </c>
      <c r="CF1503" s="1" t="s">
        <v>109</v>
      </c>
      <c r="CG1503" s="1" t="s">
        <v>109</v>
      </c>
      <c r="CH1503" s="1" t="s">
        <v>109</v>
      </c>
      <c r="CI1503" s="1" t="s">
        <v>109</v>
      </c>
      <c r="CJ1503" s="1">
        <v>1</v>
      </c>
      <c r="CK1503" s="1"/>
      <c r="CL1503" s="1">
        <v>0</v>
      </c>
      <c r="CM1503" s="1">
        <v>0</v>
      </c>
      <c r="CN1503" s="1">
        <v>0</v>
      </c>
    </row>
    <row r="1504" spans="1:92" ht="14.25" customHeight="1" x14ac:dyDescent="0.15">
      <c r="A1504" s="1" t="s">
        <v>11546</v>
      </c>
      <c r="B1504" s="1" t="s">
        <v>156</v>
      </c>
      <c r="C1504" s="1" t="s">
        <v>834</v>
      </c>
      <c r="D1504" s="1" t="s">
        <v>297</v>
      </c>
      <c r="E1504" s="1" t="s">
        <v>11547</v>
      </c>
      <c r="F1504" s="1" t="s">
        <v>98</v>
      </c>
      <c r="G1504" s="1" t="s">
        <v>141</v>
      </c>
      <c r="H1504" s="1">
        <v>0</v>
      </c>
      <c r="I1504" s="1" t="s">
        <v>11548</v>
      </c>
      <c r="J1504" s="1"/>
      <c r="K1504" s="1"/>
      <c r="L1504" s="1" t="s">
        <v>11549</v>
      </c>
      <c r="M1504" s="1" t="s">
        <v>8008</v>
      </c>
      <c r="N1504" s="1">
        <v>1</v>
      </c>
      <c r="O1504" s="1">
        <v>0</v>
      </c>
      <c r="P1504" s="1" t="s">
        <v>301</v>
      </c>
      <c r="Q1504" s="1" t="s">
        <v>268</v>
      </c>
      <c r="R1504" s="1" t="s">
        <v>11550</v>
      </c>
      <c r="S1504" s="1" t="s">
        <v>11551</v>
      </c>
      <c r="T1504" s="1" t="s">
        <v>11080</v>
      </c>
      <c r="U1504" s="1" t="s">
        <v>11552</v>
      </c>
      <c r="V1504" s="1">
        <v>1</v>
      </c>
      <c r="W1504" s="1">
        <v>1</v>
      </c>
      <c r="X1504" s="1">
        <v>0</v>
      </c>
      <c r="Y1504" s="1">
        <v>0</v>
      </c>
      <c r="Z1504" s="1">
        <v>0</v>
      </c>
      <c r="AA1504" s="1">
        <v>4</v>
      </c>
      <c r="AB1504" s="1">
        <v>4</v>
      </c>
      <c r="AC1504" s="1" t="s">
        <v>109</v>
      </c>
      <c r="AD1504" s="1">
        <v>4</v>
      </c>
      <c r="AE1504" s="1" t="s">
        <v>109</v>
      </c>
      <c r="AF1504" s="1">
        <v>3</v>
      </c>
      <c r="AG1504" s="1" t="s">
        <v>109</v>
      </c>
      <c r="AH1504" s="1" t="s">
        <v>109</v>
      </c>
      <c r="AI1504" s="1">
        <v>4</v>
      </c>
      <c r="AJ1504" s="1">
        <v>4</v>
      </c>
      <c r="AK1504" s="1" t="s">
        <v>109</v>
      </c>
      <c r="AL1504" s="1" t="s">
        <v>109</v>
      </c>
      <c r="AM1504" s="1" t="s">
        <v>109</v>
      </c>
      <c r="AN1504" s="1" t="s">
        <v>109</v>
      </c>
      <c r="AO1504" s="1" t="s">
        <v>109</v>
      </c>
      <c r="AP1504" s="1"/>
      <c r="AQ1504" s="1">
        <v>4</v>
      </c>
      <c r="AR1504" s="1"/>
      <c r="AS1504" s="1"/>
      <c r="AT1504" s="1">
        <v>0</v>
      </c>
      <c r="AU1504" s="1">
        <v>0</v>
      </c>
      <c r="AV1504" s="1">
        <v>0</v>
      </c>
      <c r="AW1504" s="1">
        <v>0</v>
      </c>
      <c r="AX1504" s="1">
        <v>0</v>
      </c>
      <c r="AY1504" s="1">
        <v>0</v>
      </c>
      <c r="AZ1504" s="1">
        <v>0</v>
      </c>
      <c r="BA1504" s="1">
        <v>0</v>
      </c>
      <c r="BB1504" s="1">
        <v>0</v>
      </c>
      <c r="BC1504" s="1">
        <v>0</v>
      </c>
      <c r="BD1504" s="1">
        <v>0</v>
      </c>
      <c r="BE1504" s="1">
        <v>0</v>
      </c>
      <c r="BF1504" s="1">
        <v>0</v>
      </c>
      <c r="BG1504" s="1">
        <v>0</v>
      </c>
      <c r="BH1504" s="1">
        <v>0</v>
      </c>
      <c r="BI1504" s="1">
        <v>0</v>
      </c>
      <c r="BJ1504" s="1">
        <v>0</v>
      </c>
      <c r="BK1504" s="1">
        <v>0</v>
      </c>
      <c r="BL1504" s="1">
        <v>0</v>
      </c>
      <c r="BM1504" s="1">
        <v>1</v>
      </c>
      <c r="BN1504" s="1">
        <v>0</v>
      </c>
      <c r="BO1504" s="1">
        <v>0</v>
      </c>
      <c r="BP1504" s="1">
        <v>0</v>
      </c>
      <c r="BQ1504" s="1">
        <v>1</v>
      </c>
      <c r="BR1504" s="1">
        <v>0</v>
      </c>
      <c r="BS1504" s="1" t="s">
        <v>109</v>
      </c>
      <c r="BT1504" s="1">
        <v>1561</v>
      </c>
      <c r="BU1504" s="1" t="s">
        <v>109</v>
      </c>
      <c r="BV1504" s="1"/>
      <c r="BW1504" s="1"/>
      <c r="BX1504" s="1"/>
      <c r="BY1504" s="1"/>
      <c r="BZ1504" s="1">
        <v>0</v>
      </c>
      <c r="CA1504" s="1" t="s">
        <v>109</v>
      </c>
      <c r="CB1504" s="1" t="s">
        <v>109</v>
      </c>
      <c r="CC1504" s="1">
        <v>3</v>
      </c>
      <c r="CD1504" s="1" t="s">
        <v>109</v>
      </c>
      <c r="CE1504" s="1">
        <v>3</v>
      </c>
      <c r="CF1504" s="1" t="s">
        <v>109</v>
      </c>
      <c r="CG1504" s="1" t="s">
        <v>109</v>
      </c>
      <c r="CH1504" s="1" t="s">
        <v>109</v>
      </c>
      <c r="CI1504" s="1" t="s">
        <v>109</v>
      </c>
      <c r="CJ1504" s="1">
        <v>4</v>
      </c>
      <c r="CK1504" s="1"/>
      <c r="CL1504" s="1">
        <v>0</v>
      </c>
      <c r="CM1504" s="1">
        <v>0</v>
      </c>
      <c r="CN1504" s="1">
        <v>0</v>
      </c>
    </row>
    <row r="1505" spans="1:92" ht="14.25" customHeight="1" x14ac:dyDescent="0.15">
      <c r="A1505" s="1" t="s">
        <v>11553</v>
      </c>
      <c r="B1505" s="1" t="s">
        <v>308</v>
      </c>
      <c r="C1505" s="1"/>
      <c r="D1505" s="1" t="s">
        <v>11554</v>
      </c>
      <c r="E1505" s="1" t="s">
        <v>11555</v>
      </c>
      <c r="F1505" s="1" t="s">
        <v>98</v>
      </c>
      <c r="G1505" s="1" t="s">
        <v>141</v>
      </c>
      <c r="H1505" s="1">
        <v>0</v>
      </c>
      <c r="I1505" s="1" t="s">
        <v>142</v>
      </c>
      <c r="J1505" s="1"/>
      <c r="K1505" s="1"/>
      <c r="L1505" s="1" t="s">
        <v>1391</v>
      </c>
      <c r="M1505" s="1" t="s">
        <v>289</v>
      </c>
      <c r="N1505" s="1">
        <v>0</v>
      </c>
      <c r="O1505" s="1">
        <v>0</v>
      </c>
      <c r="P1505" s="1" t="s">
        <v>301</v>
      </c>
      <c r="Q1505" s="1" t="s">
        <v>268</v>
      </c>
      <c r="R1505" s="1" t="s">
        <v>11556</v>
      </c>
      <c r="S1505" s="1" t="s">
        <v>11557</v>
      </c>
      <c r="T1505" s="1" t="s">
        <v>11080</v>
      </c>
      <c r="U1505" s="1" t="s">
        <v>11558</v>
      </c>
      <c r="V1505" s="1">
        <v>1</v>
      </c>
      <c r="W1505" s="1">
        <v>1</v>
      </c>
      <c r="X1505" s="1">
        <v>0</v>
      </c>
      <c r="Y1505" s="1">
        <v>0</v>
      </c>
      <c r="Z1505" s="1">
        <v>0</v>
      </c>
      <c r="AA1505" s="1">
        <v>1</v>
      </c>
      <c r="AB1505" s="1">
        <v>1</v>
      </c>
      <c r="AC1505" s="1" t="s">
        <v>109</v>
      </c>
      <c r="AD1505" s="1" t="s">
        <v>109</v>
      </c>
      <c r="AE1505" s="1" t="s">
        <v>109</v>
      </c>
      <c r="AF1505" s="1" t="s">
        <v>109</v>
      </c>
      <c r="AG1505" s="1" t="s">
        <v>109</v>
      </c>
      <c r="AH1505" s="1" t="s">
        <v>109</v>
      </c>
      <c r="AI1505" s="1" t="s">
        <v>109</v>
      </c>
      <c r="AJ1505" s="1">
        <v>1</v>
      </c>
      <c r="AK1505" s="1" t="s">
        <v>109</v>
      </c>
      <c r="AL1505" s="1" t="s">
        <v>109</v>
      </c>
      <c r="AM1505" s="1" t="s">
        <v>109</v>
      </c>
      <c r="AN1505" s="1" t="s">
        <v>109</v>
      </c>
      <c r="AO1505" s="1" t="s">
        <v>109</v>
      </c>
      <c r="AP1505" s="1"/>
      <c r="AQ1505" s="1">
        <v>1</v>
      </c>
      <c r="AR1505" s="1"/>
      <c r="AS1505" s="1"/>
      <c r="AT1505" s="1">
        <v>0</v>
      </c>
      <c r="AU1505" s="1">
        <v>0</v>
      </c>
      <c r="AV1505" s="1">
        <v>0</v>
      </c>
      <c r="AW1505" s="1">
        <v>0</v>
      </c>
      <c r="AX1505" s="1">
        <v>1</v>
      </c>
      <c r="AY1505" s="1">
        <v>0</v>
      </c>
      <c r="AZ1505" s="1">
        <v>0</v>
      </c>
      <c r="BA1505" s="1">
        <v>0</v>
      </c>
      <c r="BB1505" s="1">
        <v>0</v>
      </c>
      <c r="BC1505" s="1">
        <v>0</v>
      </c>
      <c r="BD1505" s="1">
        <v>0</v>
      </c>
      <c r="BE1505" s="1">
        <v>1</v>
      </c>
      <c r="BF1505" s="1">
        <v>0</v>
      </c>
      <c r="BG1505" s="1">
        <v>0</v>
      </c>
      <c r="BH1505" s="1">
        <v>0</v>
      </c>
      <c r="BI1505" s="1">
        <v>0</v>
      </c>
      <c r="BJ1505" s="1">
        <v>0</v>
      </c>
      <c r="BK1505" s="1">
        <v>0</v>
      </c>
      <c r="BL1505" s="1">
        <v>0</v>
      </c>
      <c r="BM1505" s="1">
        <v>0</v>
      </c>
      <c r="BN1505" s="1">
        <v>0</v>
      </c>
      <c r="BO1505" s="1">
        <v>0</v>
      </c>
      <c r="BP1505" s="1">
        <v>0</v>
      </c>
      <c r="BQ1505" s="1">
        <v>0</v>
      </c>
      <c r="BR1505" s="1">
        <v>0</v>
      </c>
      <c r="BS1505" s="1" t="s">
        <v>109</v>
      </c>
      <c r="BT1505" s="1">
        <v>1562</v>
      </c>
      <c r="BU1505" s="1" t="s">
        <v>109</v>
      </c>
      <c r="BV1505" s="1"/>
      <c r="BW1505" s="1"/>
      <c r="BX1505" s="1"/>
      <c r="BY1505" s="1"/>
      <c r="BZ1505" s="1">
        <v>0</v>
      </c>
      <c r="CA1505" s="1" t="s">
        <v>109</v>
      </c>
      <c r="CB1505" s="1" t="s">
        <v>109</v>
      </c>
      <c r="CC1505" s="1" t="s">
        <v>109</v>
      </c>
      <c r="CD1505" s="1" t="s">
        <v>109</v>
      </c>
      <c r="CE1505" s="1" t="s">
        <v>109</v>
      </c>
      <c r="CF1505" s="1" t="s">
        <v>109</v>
      </c>
      <c r="CG1505" s="1" t="s">
        <v>109</v>
      </c>
      <c r="CH1505" s="1" t="s">
        <v>109</v>
      </c>
      <c r="CI1505" s="1" t="s">
        <v>109</v>
      </c>
      <c r="CJ1505" s="1" t="s">
        <v>109</v>
      </c>
      <c r="CK1505" s="1"/>
      <c r="CL1505" s="1">
        <v>0</v>
      </c>
      <c r="CM1505" s="1">
        <v>0</v>
      </c>
      <c r="CN1505" s="1">
        <v>0</v>
      </c>
    </row>
    <row r="1506" spans="1:92" ht="14.25" customHeight="1" x14ac:dyDescent="0.15">
      <c r="A1506" s="1" t="s">
        <v>11559</v>
      </c>
      <c r="B1506" s="1" t="s">
        <v>156</v>
      </c>
      <c r="C1506" s="1" t="s">
        <v>157</v>
      </c>
      <c r="D1506" s="1" t="s">
        <v>158</v>
      </c>
      <c r="E1506" s="1" t="s">
        <v>8257</v>
      </c>
      <c r="F1506" s="1" t="s">
        <v>98</v>
      </c>
      <c r="G1506" s="1" t="s">
        <v>141</v>
      </c>
      <c r="H1506" s="1">
        <v>0</v>
      </c>
      <c r="I1506" s="1" t="s">
        <v>142</v>
      </c>
      <c r="J1506" s="1"/>
      <c r="K1506" s="1"/>
      <c r="L1506" s="1" t="s">
        <v>1391</v>
      </c>
      <c r="M1506" s="1" t="s">
        <v>408</v>
      </c>
      <c r="N1506" s="1">
        <v>0</v>
      </c>
      <c r="O1506" s="1">
        <v>0</v>
      </c>
      <c r="P1506" s="1" t="s">
        <v>301</v>
      </c>
      <c r="Q1506" s="1" t="s">
        <v>268</v>
      </c>
      <c r="R1506" s="1" t="s">
        <v>11560</v>
      </c>
      <c r="S1506" s="1" t="s">
        <v>11561</v>
      </c>
      <c r="T1506" s="1" t="s">
        <v>11080</v>
      </c>
      <c r="U1506" s="1" t="s">
        <v>11562</v>
      </c>
      <c r="V1506" s="1">
        <v>1</v>
      </c>
      <c r="W1506" s="1">
        <v>1</v>
      </c>
      <c r="X1506" s="1">
        <v>0</v>
      </c>
      <c r="Y1506" s="1">
        <v>0</v>
      </c>
      <c r="Z1506" s="1">
        <v>0</v>
      </c>
      <c r="AA1506" s="1">
        <v>1</v>
      </c>
      <c r="AB1506" s="1">
        <v>1</v>
      </c>
      <c r="AC1506" s="1" t="s">
        <v>109</v>
      </c>
      <c r="AD1506" s="1" t="s">
        <v>109</v>
      </c>
      <c r="AE1506" s="1" t="s">
        <v>109</v>
      </c>
      <c r="AF1506" s="1">
        <v>1</v>
      </c>
      <c r="AG1506" s="1" t="s">
        <v>109</v>
      </c>
      <c r="AH1506" s="1" t="s">
        <v>109</v>
      </c>
      <c r="AI1506" s="1" t="s">
        <v>109</v>
      </c>
      <c r="AJ1506" s="1">
        <v>1</v>
      </c>
      <c r="AK1506" s="1" t="s">
        <v>109</v>
      </c>
      <c r="AL1506" s="1" t="s">
        <v>109</v>
      </c>
      <c r="AM1506" s="1" t="s">
        <v>109</v>
      </c>
      <c r="AN1506" s="1" t="s">
        <v>109</v>
      </c>
      <c r="AO1506" s="1" t="s">
        <v>109</v>
      </c>
      <c r="AP1506" s="1"/>
      <c r="AQ1506" s="1">
        <v>1</v>
      </c>
      <c r="AR1506" s="1" t="s">
        <v>11563</v>
      </c>
      <c r="AS1506" s="1"/>
      <c r="AT1506" s="1">
        <v>0</v>
      </c>
      <c r="AU1506" s="1">
        <v>0</v>
      </c>
      <c r="AV1506" s="1">
        <v>0</v>
      </c>
      <c r="AW1506" s="1">
        <v>0</v>
      </c>
      <c r="AX1506" s="1">
        <v>0</v>
      </c>
      <c r="AY1506" s="1">
        <v>0</v>
      </c>
      <c r="AZ1506" s="1">
        <v>0</v>
      </c>
      <c r="BA1506" s="1">
        <v>0</v>
      </c>
      <c r="BB1506" s="1">
        <v>0</v>
      </c>
      <c r="BC1506" s="1">
        <v>0</v>
      </c>
      <c r="BD1506" s="1">
        <v>0</v>
      </c>
      <c r="BE1506" s="1">
        <v>0</v>
      </c>
      <c r="BF1506" s="1">
        <v>0</v>
      </c>
      <c r="BG1506" s="1">
        <v>0</v>
      </c>
      <c r="BH1506" s="1">
        <v>0</v>
      </c>
      <c r="BI1506" s="1">
        <v>0</v>
      </c>
      <c r="BJ1506" s="1">
        <v>0</v>
      </c>
      <c r="BK1506" s="1">
        <v>0</v>
      </c>
      <c r="BL1506" s="1">
        <v>0</v>
      </c>
      <c r="BM1506" s="1">
        <v>1</v>
      </c>
      <c r="BN1506" s="1">
        <v>0</v>
      </c>
      <c r="BO1506" s="1">
        <v>0</v>
      </c>
      <c r="BP1506" s="1">
        <v>0</v>
      </c>
      <c r="BQ1506" s="1">
        <v>0</v>
      </c>
      <c r="BR1506" s="1">
        <v>0</v>
      </c>
      <c r="BS1506" s="1" t="s">
        <v>109</v>
      </c>
      <c r="BT1506" s="1">
        <v>1563</v>
      </c>
      <c r="BU1506" s="1" t="s">
        <v>109</v>
      </c>
      <c r="BV1506" s="1"/>
      <c r="BW1506" s="1"/>
      <c r="BX1506" s="1"/>
      <c r="BY1506" s="1"/>
      <c r="BZ1506" s="1">
        <v>0</v>
      </c>
      <c r="CA1506" s="1" t="s">
        <v>109</v>
      </c>
      <c r="CB1506" s="1" t="s">
        <v>109</v>
      </c>
      <c r="CC1506" s="1">
        <v>1</v>
      </c>
      <c r="CD1506" s="1" t="s">
        <v>109</v>
      </c>
      <c r="CE1506" s="1">
        <v>1</v>
      </c>
      <c r="CF1506" s="1" t="s">
        <v>109</v>
      </c>
      <c r="CG1506" s="1" t="s">
        <v>109</v>
      </c>
      <c r="CH1506" s="1" t="s">
        <v>109</v>
      </c>
      <c r="CI1506" s="1" t="s">
        <v>109</v>
      </c>
      <c r="CJ1506" s="1" t="s">
        <v>109</v>
      </c>
      <c r="CK1506" s="1"/>
      <c r="CL1506" s="1">
        <v>0</v>
      </c>
      <c r="CM1506" s="1">
        <v>0</v>
      </c>
      <c r="CN1506" s="1">
        <v>0</v>
      </c>
    </row>
    <row r="1507" spans="1:92" ht="14.25" customHeight="1" x14ac:dyDescent="0.15">
      <c r="A1507" s="1" t="s">
        <v>11564</v>
      </c>
      <c r="B1507" s="1" t="s">
        <v>189</v>
      </c>
      <c r="C1507" s="1"/>
      <c r="D1507" s="1"/>
      <c r="E1507" s="1" t="s">
        <v>11565</v>
      </c>
      <c r="F1507" s="1" t="s">
        <v>98</v>
      </c>
      <c r="G1507" s="1" t="s">
        <v>11566</v>
      </c>
      <c r="H1507" s="1">
        <v>0</v>
      </c>
      <c r="I1507" s="1" t="s">
        <v>161</v>
      </c>
      <c r="J1507" s="1"/>
      <c r="K1507" s="1"/>
      <c r="L1507" s="1" t="s">
        <v>5351</v>
      </c>
      <c r="M1507" s="1" t="s">
        <v>3778</v>
      </c>
      <c r="N1507" s="1">
        <v>0</v>
      </c>
      <c r="O1507" s="1">
        <v>0</v>
      </c>
      <c r="P1507" s="1" t="s">
        <v>301</v>
      </c>
      <c r="Q1507" s="1" t="s">
        <v>268</v>
      </c>
      <c r="R1507" s="1" t="s">
        <v>11567</v>
      </c>
      <c r="S1507" s="1" t="s">
        <v>11568</v>
      </c>
      <c r="T1507" s="1" t="s">
        <v>11080</v>
      </c>
      <c r="U1507" s="1" t="s">
        <v>11569</v>
      </c>
      <c r="V1507" s="1">
        <v>1</v>
      </c>
      <c r="W1507" s="1">
        <v>1</v>
      </c>
      <c r="X1507" s="1">
        <v>1</v>
      </c>
      <c r="Y1507" s="1">
        <v>0</v>
      </c>
      <c r="Z1507" s="1">
        <v>1</v>
      </c>
      <c r="AA1507" s="1">
        <v>2</v>
      </c>
      <c r="AB1507" s="1">
        <v>2</v>
      </c>
      <c r="AC1507" s="1">
        <v>2</v>
      </c>
      <c r="AD1507" s="1">
        <v>2</v>
      </c>
      <c r="AE1507" s="1" t="s">
        <v>109</v>
      </c>
      <c r="AF1507" s="1" t="s">
        <v>109</v>
      </c>
      <c r="AG1507" s="1" t="s">
        <v>109</v>
      </c>
      <c r="AH1507" s="1" t="s">
        <v>109</v>
      </c>
      <c r="AI1507" s="1" t="s">
        <v>109</v>
      </c>
      <c r="AJ1507" s="1">
        <v>2</v>
      </c>
      <c r="AK1507" s="1" t="s">
        <v>109</v>
      </c>
      <c r="AL1507" s="1">
        <v>2</v>
      </c>
      <c r="AM1507" s="1" t="s">
        <v>109</v>
      </c>
      <c r="AN1507" s="1" t="s">
        <v>109</v>
      </c>
      <c r="AO1507" s="1" t="s">
        <v>109</v>
      </c>
      <c r="AP1507" s="1"/>
      <c r="AQ1507" s="1">
        <v>2</v>
      </c>
      <c r="AR1507" s="1"/>
      <c r="AS1507" s="1"/>
      <c r="AT1507" s="1">
        <v>0</v>
      </c>
      <c r="AU1507" s="1">
        <v>0</v>
      </c>
      <c r="AV1507" s="1">
        <v>0</v>
      </c>
      <c r="AW1507" s="1">
        <v>0</v>
      </c>
      <c r="AX1507" s="1">
        <v>0</v>
      </c>
      <c r="AY1507" s="1">
        <v>0</v>
      </c>
      <c r="AZ1507" s="1">
        <v>0</v>
      </c>
      <c r="BA1507" s="1">
        <v>0</v>
      </c>
      <c r="BB1507" s="1">
        <v>0</v>
      </c>
      <c r="BC1507" s="1">
        <v>0</v>
      </c>
      <c r="BD1507" s="1">
        <v>0</v>
      </c>
      <c r="BE1507" s="1">
        <v>0</v>
      </c>
      <c r="BF1507" s="1">
        <v>0</v>
      </c>
      <c r="BG1507" s="1">
        <v>0</v>
      </c>
      <c r="BH1507" s="1">
        <v>0</v>
      </c>
      <c r="BI1507" s="1">
        <v>0</v>
      </c>
      <c r="BJ1507" s="1">
        <v>0</v>
      </c>
      <c r="BK1507" s="1">
        <v>0</v>
      </c>
      <c r="BL1507" s="1">
        <v>0</v>
      </c>
      <c r="BM1507" s="1">
        <v>0</v>
      </c>
      <c r="BN1507" s="1">
        <v>0</v>
      </c>
      <c r="BO1507" s="1">
        <v>0</v>
      </c>
      <c r="BP1507" s="1">
        <v>0</v>
      </c>
      <c r="BQ1507" s="1">
        <v>0</v>
      </c>
      <c r="BR1507" s="1">
        <v>0</v>
      </c>
      <c r="BS1507" s="1" t="s">
        <v>109</v>
      </c>
      <c r="BT1507" s="1">
        <v>1564</v>
      </c>
      <c r="BU1507" s="1" t="s">
        <v>109</v>
      </c>
      <c r="BV1507" s="1"/>
      <c r="BW1507" s="1"/>
      <c r="BX1507" s="1"/>
      <c r="BY1507" s="1"/>
      <c r="BZ1507" s="1">
        <v>0</v>
      </c>
      <c r="CA1507" s="1" t="s">
        <v>109</v>
      </c>
      <c r="CB1507" s="1" t="s">
        <v>109</v>
      </c>
      <c r="CC1507" s="1" t="s">
        <v>109</v>
      </c>
      <c r="CD1507" s="1" t="s">
        <v>109</v>
      </c>
      <c r="CE1507" s="1" t="s">
        <v>109</v>
      </c>
      <c r="CF1507" s="1" t="s">
        <v>109</v>
      </c>
      <c r="CG1507" s="1" t="s">
        <v>109</v>
      </c>
      <c r="CH1507" s="1" t="s">
        <v>109</v>
      </c>
      <c r="CI1507" s="1" t="s">
        <v>109</v>
      </c>
      <c r="CJ1507" s="1">
        <v>2</v>
      </c>
      <c r="CK1507" s="1"/>
      <c r="CL1507" s="1">
        <v>0</v>
      </c>
      <c r="CM1507" s="1">
        <v>0</v>
      </c>
      <c r="CN1507" s="1">
        <v>0</v>
      </c>
    </row>
    <row r="1508" spans="1:92" ht="14.25" customHeight="1" x14ac:dyDescent="0.15">
      <c r="A1508" s="1" t="s">
        <v>11570</v>
      </c>
      <c r="B1508" s="1" t="s">
        <v>189</v>
      </c>
      <c r="C1508" s="1" t="s">
        <v>231</v>
      </c>
      <c r="D1508" s="1"/>
      <c r="E1508" s="1" t="s">
        <v>11571</v>
      </c>
      <c r="F1508" s="1" t="s">
        <v>98</v>
      </c>
      <c r="G1508" s="1" t="s">
        <v>141</v>
      </c>
      <c r="H1508" s="1">
        <v>0</v>
      </c>
      <c r="I1508" s="1" t="s">
        <v>161</v>
      </c>
      <c r="J1508" s="1"/>
      <c r="K1508" s="1"/>
      <c r="L1508" s="1" t="s">
        <v>5616</v>
      </c>
      <c r="M1508" s="1" t="s">
        <v>815</v>
      </c>
      <c r="N1508" s="1">
        <v>1</v>
      </c>
      <c r="O1508" s="1">
        <v>0</v>
      </c>
      <c r="P1508" s="1" t="s">
        <v>103</v>
      </c>
      <c r="Q1508" s="1" t="s">
        <v>268</v>
      </c>
      <c r="R1508" s="1" t="s">
        <v>11572</v>
      </c>
      <c r="S1508" s="1" t="s">
        <v>11573</v>
      </c>
      <c r="T1508" s="1" t="s">
        <v>11080</v>
      </c>
      <c r="U1508" s="1" t="s">
        <v>11574</v>
      </c>
      <c r="V1508" s="1">
        <v>1</v>
      </c>
      <c r="W1508" s="1">
        <v>1</v>
      </c>
      <c r="X1508" s="1">
        <v>0</v>
      </c>
      <c r="Y1508" s="1">
        <v>0</v>
      </c>
      <c r="Z1508" s="1">
        <v>0</v>
      </c>
      <c r="AA1508" s="1">
        <v>3</v>
      </c>
      <c r="AB1508" s="1">
        <v>3</v>
      </c>
      <c r="AC1508" s="1" t="s">
        <v>109</v>
      </c>
      <c r="AD1508" s="1">
        <v>3</v>
      </c>
      <c r="AE1508" s="1" t="s">
        <v>109</v>
      </c>
      <c r="AF1508" s="1" t="s">
        <v>109</v>
      </c>
      <c r="AG1508" s="1" t="s">
        <v>109</v>
      </c>
      <c r="AH1508" s="1" t="s">
        <v>109</v>
      </c>
      <c r="AI1508" s="1" t="s">
        <v>109</v>
      </c>
      <c r="AJ1508" s="1">
        <v>3</v>
      </c>
      <c r="AK1508" s="1" t="s">
        <v>109</v>
      </c>
      <c r="AL1508" s="1" t="s">
        <v>109</v>
      </c>
      <c r="AM1508" s="1" t="s">
        <v>109</v>
      </c>
      <c r="AN1508" s="1" t="s">
        <v>109</v>
      </c>
      <c r="AO1508" s="1" t="s">
        <v>109</v>
      </c>
      <c r="AP1508" s="1"/>
      <c r="AQ1508" s="1">
        <v>3</v>
      </c>
      <c r="AR1508" s="1"/>
      <c r="AS1508" s="1"/>
      <c r="AT1508" s="1">
        <v>0</v>
      </c>
      <c r="AU1508" s="1">
        <v>0</v>
      </c>
      <c r="AV1508" s="1">
        <v>0</v>
      </c>
      <c r="AW1508" s="1">
        <v>0</v>
      </c>
      <c r="AX1508" s="1">
        <v>0</v>
      </c>
      <c r="AY1508" s="1">
        <v>0</v>
      </c>
      <c r="AZ1508" s="1">
        <v>0</v>
      </c>
      <c r="BA1508" s="1">
        <v>0</v>
      </c>
      <c r="BB1508" s="1">
        <v>0</v>
      </c>
      <c r="BC1508" s="1">
        <v>0</v>
      </c>
      <c r="BD1508" s="1">
        <v>0</v>
      </c>
      <c r="BE1508" s="1">
        <v>0</v>
      </c>
      <c r="BF1508" s="1">
        <v>0</v>
      </c>
      <c r="BG1508" s="1">
        <v>0</v>
      </c>
      <c r="BH1508" s="1">
        <v>0</v>
      </c>
      <c r="BI1508" s="1">
        <v>0</v>
      </c>
      <c r="BJ1508" s="1">
        <v>0</v>
      </c>
      <c r="BK1508" s="1">
        <v>0</v>
      </c>
      <c r="BL1508" s="1">
        <v>0</v>
      </c>
      <c r="BM1508" s="1">
        <v>0</v>
      </c>
      <c r="BN1508" s="1">
        <v>0</v>
      </c>
      <c r="BO1508" s="1">
        <v>0</v>
      </c>
      <c r="BP1508" s="1">
        <v>0</v>
      </c>
      <c r="BQ1508" s="1">
        <v>0</v>
      </c>
      <c r="BR1508" s="1">
        <v>0</v>
      </c>
      <c r="BS1508" s="1" t="s">
        <v>109</v>
      </c>
      <c r="BT1508" s="1">
        <v>1565</v>
      </c>
      <c r="BU1508" s="1" t="s">
        <v>109</v>
      </c>
      <c r="BV1508" s="1"/>
      <c r="BW1508" s="1"/>
      <c r="BX1508" s="1"/>
      <c r="BY1508" s="1"/>
      <c r="BZ1508" s="1">
        <v>0</v>
      </c>
      <c r="CA1508" s="1" t="s">
        <v>109</v>
      </c>
      <c r="CB1508" s="1">
        <v>3</v>
      </c>
      <c r="CC1508" s="1" t="s">
        <v>109</v>
      </c>
      <c r="CD1508" s="1" t="s">
        <v>109</v>
      </c>
      <c r="CE1508" s="1" t="s">
        <v>109</v>
      </c>
      <c r="CF1508" s="1" t="s">
        <v>109</v>
      </c>
      <c r="CG1508" s="1" t="s">
        <v>109</v>
      </c>
      <c r="CH1508" s="1" t="s">
        <v>109</v>
      </c>
      <c r="CI1508" s="1" t="s">
        <v>109</v>
      </c>
      <c r="CJ1508" s="1">
        <v>3</v>
      </c>
      <c r="CK1508" s="1"/>
      <c r="CL1508" s="1">
        <v>0</v>
      </c>
      <c r="CM1508" s="1">
        <v>0</v>
      </c>
      <c r="CN1508" s="1">
        <v>0</v>
      </c>
    </row>
    <row r="1509" spans="1:92" ht="14.25" customHeight="1" x14ac:dyDescent="0.15">
      <c r="A1509" s="1" t="s">
        <v>11575</v>
      </c>
      <c r="B1509" s="1" t="s">
        <v>254</v>
      </c>
      <c r="C1509" s="1"/>
      <c r="D1509" s="1" t="s">
        <v>61</v>
      </c>
      <c r="E1509" s="1" t="s">
        <v>11576</v>
      </c>
      <c r="F1509" s="1" t="s">
        <v>98</v>
      </c>
      <c r="G1509" s="1" t="s">
        <v>141</v>
      </c>
      <c r="H1509" s="1">
        <v>0</v>
      </c>
      <c r="I1509" s="1" t="s">
        <v>161</v>
      </c>
      <c r="J1509" s="1"/>
      <c r="K1509" s="1"/>
      <c r="L1509" s="1" t="s">
        <v>506</v>
      </c>
      <c r="M1509" s="1" t="s">
        <v>125</v>
      </c>
      <c r="N1509" s="1">
        <v>0</v>
      </c>
      <c r="O1509" s="1">
        <v>0</v>
      </c>
      <c r="P1509" s="1" t="s">
        <v>507</v>
      </c>
      <c r="Q1509" s="1" t="s">
        <v>167</v>
      </c>
      <c r="R1509" s="1" t="s">
        <v>11577</v>
      </c>
      <c r="S1509" s="1" t="s">
        <v>11578</v>
      </c>
      <c r="T1509" s="1" t="s">
        <v>11080</v>
      </c>
      <c r="U1509" s="1" t="s">
        <v>11579</v>
      </c>
      <c r="V1509" s="1">
        <v>1</v>
      </c>
      <c r="W1509" s="1">
        <v>1</v>
      </c>
      <c r="X1509" s="1">
        <v>0</v>
      </c>
      <c r="Y1509" s="1">
        <v>0</v>
      </c>
      <c r="Z1509" s="1">
        <v>0</v>
      </c>
      <c r="AA1509" s="1" t="s">
        <v>109</v>
      </c>
      <c r="AB1509" s="1" t="s">
        <v>109</v>
      </c>
      <c r="AC1509" s="1">
        <v>1</v>
      </c>
      <c r="AD1509" s="1" t="s">
        <v>109</v>
      </c>
      <c r="AE1509" s="1" t="s">
        <v>109</v>
      </c>
      <c r="AF1509" s="1" t="s">
        <v>109</v>
      </c>
      <c r="AG1509" s="1" t="s">
        <v>109</v>
      </c>
      <c r="AH1509" s="1" t="s">
        <v>109</v>
      </c>
      <c r="AI1509" s="1" t="s">
        <v>109</v>
      </c>
      <c r="AJ1509" s="1">
        <v>1</v>
      </c>
      <c r="AK1509" s="1" t="s">
        <v>109</v>
      </c>
      <c r="AL1509" s="1">
        <v>1</v>
      </c>
      <c r="AM1509" s="1" t="s">
        <v>109</v>
      </c>
      <c r="AN1509" s="1" t="s">
        <v>109</v>
      </c>
      <c r="AO1509" s="1" t="s">
        <v>109</v>
      </c>
      <c r="AP1509" s="1"/>
      <c r="AQ1509" s="1">
        <v>1</v>
      </c>
      <c r="AR1509" s="1"/>
      <c r="AS1509" s="1"/>
      <c r="AT1509" s="1">
        <v>0</v>
      </c>
      <c r="AU1509" s="1">
        <v>0</v>
      </c>
      <c r="AV1509" s="1">
        <v>0</v>
      </c>
      <c r="AW1509" s="1">
        <v>0</v>
      </c>
      <c r="AX1509" s="1">
        <v>0</v>
      </c>
      <c r="AY1509" s="1">
        <v>0</v>
      </c>
      <c r="AZ1509" s="1">
        <v>0</v>
      </c>
      <c r="BA1509" s="1">
        <v>0</v>
      </c>
      <c r="BB1509" s="1">
        <v>0</v>
      </c>
      <c r="BC1509" s="1">
        <v>0</v>
      </c>
      <c r="BD1509" s="1">
        <v>0</v>
      </c>
      <c r="BE1509" s="1">
        <v>0</v>
      </c>
      <c r="BF1509" s="1">
        <v>0</v>
      </c>
      <c r="BG1509" s="1">
        <v>0</v>
      </c>
      <c r="BH1509" s="1">
        <v>0</v>
      </c>
      <c r="BI1509" s="1">
        <v>1</v>
      </c>
      <c r="BJ1509" s="1">
        <v>0</v>
      </c>
      <c r="BK1509" s="1">
        <v>0</v>
      </c>
      <c r="BL1509" s="1">
        <v>0</v>
      </c>
      <c r="BM1509" s="1">
        <v>0</v>
      </c>
      <c r="BN1509" s="1">
        <v>0</v>
      </c>
      <c r="BO1509" s="1">
        <v>0</v>
      </c>
      <c r="BP1509" s="1">
        <v>0</v>
      </c>
      <c r="BQ1509" s="1">
        <v>0</v>
      </c>
      <c r="BR1509" s="1">
        <v>0</v>
      </c>
      <c r="BS1509" s="1" t="s">
        <v>109</v>
      </c>
      <c r="BT1509" s="1">
        <v>1566</v>
      </c>
      <c r="BU1509" s="1" t="s">
        <v>109</v>
      </c>
      <c r="BV1509" s="1"/>
      <c r="BW1509" s="1"/>
      <c r="BX1509" s="1"/>
      <c r="BY1509" s="1"/>
      <c r="BZ1509" s="1">
        <v>0</v>
      </c>
      <c r="CA1509" s="1" t="s">
        <v>109</v>
      </c>
      <c r="CB1509" s="1" t="s">
        <v>109</v>
      </c>
      <c r="CC1509" s="1" t="s">
        <v>109</v>
      </c>
      <c r="CD1509" s="1" t="s">
        <v>109</v>
      </c>
      <c r="CE1509" s="1" t="s">
        <v>109</v>
      </c>
      <c r="CF1509" s="1" t="s">
        <v>109</v>
      </c>
      <c r="CG1509" s="1" t="s">
        <v>109</v>
      </c>
      <c r="CH1509" s="1" t="s">
        <v>109</v>
      </c>
      <c r="CI1509" s="1" t="s">
        <v>109</v>
      </c>
      <c r="CJ1509" s="1" t="s">
        <v>109</v>
      </c>
      <c r="CK1509" s="1"/>
      <c r="CL1509" s="1">
        <v>0</v>
      </c>
      <c r="CM1509" s="1">
        <v>0</v>
      </c>
      <c r="CN1509" s="1">
        <v>0</v>
      </c>
    </row>
    <row r="1510" spans="1:92" ht="14.25" customHeight="1" x14ac:dyDescent="0.15">
      <c r="A1510" s="1" t="s">
        <v>11580</v>
      </c>
      <c r="B1510" s="1" t="s">
        <v>189</v>
      </c>
      <c r="C1510" s="1"/>
      <c r="D1510" s="1"/>
      <c r="E1510" s="1" t="s">
        <v>11581</v>
      </c>
      <c r="F1510" s="1" t="s">
        <v>98</v>
      </c>
      <c r="G1510" s="1" t="s">
        <v>141</v>
      </c>
      <c r="H1510" s="1">
        <v>0</v>
      </c>
      <c r="I1510" s="1" t="s">
        <v>161</v>
      </c>
      <c r="J1510" s="1"/>
      <c r="K1510" s="1"/>
      <c r="L1510" s="1" t="s">
        <v>506</v>
      </c>
      <c r="M1510" s="1" t="s">
        <v>3042</v>
      </c>
      <c r="N1510" s="1">
        <v>0</v>
      </c>
      <c r="O1510" s="1">
        <v>0</v>
      </c>
      <c r="P1510" s="1" t="s">
        <v>1382</v>
      </c>
      <c r="Q1510" s="1" t="s">
        <v>167</v>
      </c>
      <c r="R1510" s="1" t="s">
        <v>11582</v>
      </c>
      <c r="S1510" s="1" t="s">
        <v>11583</v>
      </c>
      <c r="T1510" s="1" t="s">
        <v>11080</v>
      </c>
      <c r="U1510" s="1" t="s">
        <v>11584</v>
      </c>
      <c r="V1510" s="1">
        <v>1</v>
      </c>
      <c r="W1510" s="1">
        <v>1</v>
      </c>
      <c r="X1510" s="1">
        <v>0</v>
      </c>
      <c r="Y1510" s="1">
        <v>0</v>
      </c>
      <c r="Z1510" s="1">
        <v>0</v>
      </c>
      <c r="AA1510" s="1">
        <v>1</v>
      </c>
      <c r="AB1510" s="1">
        <v>1</v>
      </c>
      <c r="AC1510" s="1" t="s">
        <v>109</v>
      </c>
      <c r="AD1510" s="1">
        <v>1</v>
      </c>
      <c r="AE1510" s="1">
        <v>1</v>
      </c>
      <c r="AF1510" s="1" t="s">
        <v>109</v>
      </c>
      <c r="AG1510" s="1" t="s">
        <v>109</v>
      </c>
      <c r="AH1510" s="1" t="s">
        <v>109</v>
      </c>
      <c r="AI1510" s="1" t="s">
        <v>109</v>
      </c>
      <c r="AJ1510" s="1">
        <v>1</v>
      </c>
      <c r="AK1510" s="1" t="s">
        <v>109</v>
      </c>
      <c r="AL1510" s="1" t="s">
        <v>109</v>
      </c>
      <c r="AM1510" s="1" t="s">
        <v>109</v>
      </c>
      <c r="AN1510" s="1" t="s">
        <v>109</v>
      </c>
      <c r="AO1510" s="1" t="s">
        <v>109</v>
      </c>
      <c r="AP1510" s="1"/>
      <c r="AQ1510" s="1">
        <v>1</v>
      </c>
      <c r="AR1510" s="1"/>
      <c r="AS1510" s="1"/>
      <c r="AT1510" s="1">
        <v>0</v>
      </c>
      <c r="AU1510" s="1">
        <v>0</v>
      </c>
      <c r="AV1510" s="1">
        <v>0</v>
      </c>
      <c r="AW1510" s="1">
        <v>0</v>
      </c>
      <c r="AX1510" s="1">
        <v>0</v>
      </c>
      <c r="AY1510" s="1">
        <v>0</v>
      </c>
      <c r="AZ1510" s="1">
        <v>0</v>
      </c>
      <c r="BA1510" s="1">
        <v>0</v>
      </c>
      <c r="BB1510" s="1">
        <v>0</v>
      </c>
      <c r="BC1510" s="1">
        <v>0</v>
      </c>
      <c r="BD1510" s="1">
        <v>0</v>
      </c>
      <c r="BE1510" s="1">
        <v>0</v>
      </c>
      <c r="BF1510" s="1">
        <v>0</v>
      </c>
      <c r="BG1510" s="1">
        <v>0</v>
      </c>
      <c r="BH1510" s="1">
        <v>0</v>
      </c>
      <c r="BI1510" s="1">
        <v>0</v>
      </c>
      <c r="BJ1510" s="1">
        <v>0</v>
      </c>
      <c r="BK1510" s="1">
        <v>0</v>
      </c>
      <c r="BL1510" s="1">
        <v>0</v>
      </c>
      <c r="BM1510" s="1">
        <v>0</v>
      </c>
      <c r="BN1510" s="1">
        <v>0</v>
      </c>
      <c r="BO1510" s="1">
        <v>0</v>
      </c>
      <c r="BP1510" s="1">
        <v>0</v>
      </c>
      <c r="BQ1510" s="1">
        <v>0</v>
      </c>
      <c r="BR1510" s="1">
        <v>0</v>
      </c>
      <c r="BS1510" s="1" t="s">
        <v>109</v>
      </c>
      <c r="BT1510" s="1">
        <v>1567</v>
      </c>
      <c r="BU1510" s="1" t="s">
        <v>109</v>
      </c>
      <c r="BV1510" s="1"/>
      <c r="BW1510" s="1"/>
      <c r="BX1510" s="1"/>
      <c r="BY1510" s="1"/>
      <c r="BZ1510" s="1">
        <v>0</v>
      </c>
      <c r="CA1510" s="1">
        <v>1</v>
      </c>
      <c r="CB1510" s="1" t="s">
        <v>109</v>
      </c>
      <c r="CC1510" s="1" t="s">
        <v>109</v>
      </c>
      <c r="CD1510" s="1" t="s">
        <v>109</v>
      </c>
      <c r="CE1510" s="1" t="s">
        <v>109</v>
      </c>
      <c r="CF1510" s="1" t="s">
        <v>109</v>
      </c>
      <c r="CG1510" s="1" t="s">
        <v>109</v>
      </c>
      <c r="CH1510" s="1" t="s">
        <v>109</v>
      </c>
      <c r="CI1510" s="1" t="s">
        <v>109</v>
      </c>
      <c r="CJ1510" s="1">
        <v>1</v>
      </c>
      <c r="CK1510" s="1"/>
      <c r="CL1510" s="1">
        <v>0</v>
      </c>
      <c r="CM1510" s="1">
        <v>0</v>
      </c>
      <c r="CN1510" s="1">
        <v>0</v>
      </c>
    </row>
    <row r="1511" spans="1:92" ht="14.25" customHeight="1" x14ac:dyDescent="0.15">
      <c r="A1511" s="1" t="s">
        <v>11585</v>
      </c>
      <c r="B1511" s="1" t="s">
        <v>584</v>
      </c>
      <c r="C1511" s="1"/>
      <c r="D1511" s="1" t="s">
        <v>211</v>
      </c>
      <c r="E1511" s="1" t="s">
        <v>11586</v>
      </c>
      <c r="F1511" s="1" t="s">
        <v>395</v>
      </c>
      <c r="G1511" s="1" t="s">
        <v>141</v>
      </c>
      <c r="H1511" s="1">
        <v>0</v>
      </c>
      <c r="I1511" s="1" t="s">
        <v>161</v>
      </c>
      <c r="J1511" s="1"/>
      <c r="K1511" s="1"/>
      <c r="L1511" s="1" t="s">
        <v>2739</v>
      </c>
      <c r="M1511" s="1" t="s">
        <v>11587</v>
      </c>
      <c r="N1511" s="1">
        <v>1</v>
      </c>
      <c r="O1511" s="1">
        <v>0</v>
      </c>
      <c r="P1511" s="1" t="s">
        <v>507</v>
      </c>
      <c r="Q1511" s="1" t="s">
        <v>167</v>
      </c>
      <c r="R1511" s="1" t="s">
        <v>11588</v>
      </c>
      <c r="S1511" s="1" t="s">
        <v>11589</v>
      </c>
      <c r="T1511" s="1" t="s">
        <v>11080</v>
      </c>
      <c r="U1511" s="1" t="s">
        <v>11590</v>
      </c>
      <c r="V1511" s="1">
        <v>1</v>
      </c>
      <c r="W1511" s="1">
        <v>1</v>
      </c>
      <c r="X1511" s="1">
        <v>0</v>
      </c>
      <c r="Y1511" s="1">
        <v>0</v>
      </c>
      <c r="Z1511" s="1">
        <v>0</v>
      </c>
      <c r="AA1511" s="1">
        <v>2</v>
      </c>
      <c r="AB1511" s="1">
        <v>2</v>
      </c>
      <c r="AC1511" s="1">
        <v>2</v>
      </c>
      <c r="AD1511" s="1" t="s">
        <v>109</v>
      </c>
      <c r="AE1511" s="1" t="s">
        <v>109</v>
      </c>
      <c r="AF1511" s="1" t="s">
        <v>109</v>
      </c>
      <c r="AG1511" s="1" t="s">
        <v>109</v>
      </c>
      <c r="AH1511" s="1" t="s">
        <v>109</v>
      </c>
      <c r="AI1511" s="1" t="s">
        <v>109</v>
      </c>
      <c r="AJ1511" s="1" t="s">
        <v>109</v>
      </c>
      <c r="AK1511" s="1" t="s">
        <v>109</v>
      </c>
      <c r="AL1511" s="1">
        <v>2</v>
      </c>
      <c r="AM1511" s="1" t="s">
        <v>109</v>
      </c>
      <c r="AN1511" s="1">
        <v>2</v>
      </c>
      <c r="AO1511" s="1" t="s">
        <v>109</v>
      </c>
      <c r="AP1511" s="1"/>
      <c r="AQ1511" s="1">
        <v>2</v>
      </c>
      <c r="AR1511" s="1"/>
      <c r="AS1511" s="1"/>
      <c r="AT1511" s="1">
        <v>0</v>
      </c>
      <c r="AU1511" s="1">
        <v>0</v>
      </c>
      <c r="AV1511" s="1">
        <v>0</v>
      </c>
      <c r="AW1511" s="1">
        <v>0</v>
      </c>
      <c r="AX1511" s="1">
        <v>0</v>
      </c>
      <c r="AY1511" s="1">
        <v>0</v>
      </c>
      <c r="AZ1511" s="1">
        <v>0</v>
      </c>
      <c r="BA1511" s="1">
        <v>0</v>
      </c>
      <c r="BB1511" s="1">
        <v>0</v>
      </c>
      <c r="BC1511" s="1">
        <v>0</v>
      </c>
      <c r="BD1511" s="1">
        <v>0</v>
      </c>
      <c r="BE1511" s="1">
        <v>0</v>
      </c>
      <c r="BF1511" s="1">
        <v>0</v>
      </c>
      <c r="BG1511" s="1">
        <v>0</v>
      </c>
      <c r="BH1511" s="1">
        <v>0</v>
      </c>
      <c r="BI1511" s="1">
        <v>0</v>
      </c>
      <c r="BJ1511" s="1">
        <v>0</v>
      </c>
      <c r="BK1511" s="1">
        <v>0</v>
      </c>
      <c r="BL1511" s="1">
        <v>0</v>
      </c>
      <c r="BM1511" s="1">
        <v>0</v>
      </c>
      <c r="BN1511" s="1">
        <v>0</v>
      </c>
      <c r="BO1511" s="1">
        <v>0</v>
      </c>
      <c r="BP1511" s="1">
        <v>0</v>
      </c>
      <c r="BQ1511" s="1">
        <v>0</v>
      </c>
      <c r="BR1511" s="1">
        <v>0</v>
      </c>
      <c r="BS1511" s="1" t="s">
        <v>109</v>
      </c>
      <c r="BT1511" s="1">
        <v>1568</v>
      </c>
      <c r="BU1511" s="1" t="s">
        <v>109</v>
      </c>
      <c r="BV1511" s="1"/>
      <c r="BW1511" s="1"/>
      <c r="BX1511" s="1"/>
      <c r="BY1511" s="1"/>
      <c r="BZ1511" s="1">
        <v>0</v>
      </c>
      <c r="CA1511" s="1">
        <v>2</v>
      </c>
      <c r="CB1511" s="1">
        <v>2</v>
      </c>
      <c r="CC1511" s="1" t="s">
        <v>109</v>
      </c>
      <c r="CD1511" s="1" t="s">
        <v>109</v>
      </c>
      <c r="CE1511" s="1" t="s">
        <v>109</v>
      </c>
      <c r="CF1511" s="1" t="s">
        <v>109</v>
      </c>
      <c r="CG1511" s="1" t="s">
        <v>109</v>
      </c>
      <c r="CH1511" s="1" t="s">
        <v>109</v>
      </c>
      <c r="CI1511" s="1" t="s">
        <v>109</v>
      </c>
      <c r="CJ1511" s="1" t="s">
        <v>109</v>
      </c>
      <c r="CK1511" s="1"/>
      <c r="CL1511" s="1">
        <v>0</v>
      </c>
      <c r="CM1511" s="1">
        <v>0</v>
      </c>
      <c r="CN1511" s="1">
        <v>0</v>
      </c>
    </row>
    <row r="1512" spans="1:92" ht="14.25" customHeight="1" x14ac:dyDescent="0.15">
      <c r="A1512" s="1" t="s">
        <v>11591</v>
      </c>
      <c r="B1512" s="1" t="s">
        <v>189</v>
      </c>
      <c r="C1512" s="1"/>
      <c r="D1512" s="1" t="s">
        <v>54</v>
      </c>
      <c r="E1512" s="1" t="s">
        <v>11592</v>
      </c>
      <c r="F1512" s="1" t="s">
        <v>98</v>
      </c>
      <c r="G1512" s="1" t="s">
        <v>141</v>
      </c>
      <c r="H1512" s="1">
        <v>0</v>
      </c>
      <c r="I1512" s="1" t="s">
        <v>161</v>
      </c>
      <c r="J1512" s="1"/>
      <c r="K1512" s="1"/>
      <c r="L1512" s="1" t="s">
        <v>506</v>
      </c>
      <c r="M1512" s="1" t="s">
        <v>125</v>
      </c>
      <c r="N1512" s="1">
        <v>0</v>
      </c>
      <c r="O1512" s="1">
        <v>0</v>
      </c>
      <c r="P1512" s="1" t="s">
        <v>507</v>
      </c>
      <c r="Q1512" s="1" t="s">
        <v>167</v>
      </c>
      <c r="R1512" s="1" t="s">
        <v>11593</v>
      </c>
      <c r="S1512" s="1" t="s">
        <v>11594</v>
      </c>
      <c r="T1512" s="1" t="s">
        <v>11080</v>
      </c>
      <c r="U1512" s="1" t="s">
        <v>11595</v>
      </c>
      <c r="V1512" s="1">
        <v>1</v>
      </c>
      <c r="W1512" s="1">
        <v>1</v>
      </c>
      <c r="X1512" s="1">
        <v>0</v>
      </c>
      <c r="Y1512" s="1">
        <v>0</v>
      </c>
      <c r="Z1512" s="1">
        <v>0</v>
      </c>
      <c r="AA1512" s="1">
        <v>4</v>
      </c>
      <c r="AB1512" s="1">
        <v>4</v>
      </c>
      <c r="AC1512" s="1" t="s">
        <v>109</v>
      </c>
      <c r="AD1512" s="1">
        <v>4</v>
      </c>
      <c r="AE1512" s="1" t="s">
        <v>109</v>
      </c>
      <c r="AF1512" s="1" t="s">
        <v>109</v>
      </c>
      <c r="AG1512" s="1" t="s">
        <v>109</v>
      </c>
      <c r="AH1512" s="1">
        <v>4</v>
      </c>
      <c r="AI1512" s="1" t="s">
        <v>109</v>
      </c>
      <c r="AJ1512" s="1" t="s">
        <v>109</v>
      </c>
      <c r="AK1512" s="1" t="s">
        <v>109</v>
      </c>
      <c r="AL1512" s="1" t="s">
        <v>109</v>
      </c>
      <c r="AM1512" s="1" t="s">
        <v>109</v>
      </c>
      <c r="AN1512" s="1" t="s">
        <v>109</v>
      </c>
      <c r="AO1512" s="1" t="s">
        <v>109</v>
      </c>
      <c r="AP1512" s="1"/>
      <c r="AQ1512" s="1">
        <v>4</v>
      </c>
      <c r="AR1512" s="1"/>
      <c r="AS1512" s="1"/>
      <c r="AT1512" s="1">
        <v>0</v>
      </c>
      <c r="AU1512" s="1">
        <v>0</v>
      </c>
      <c r="AV1512" s="1">
        <v>0</v>
      </c>
      <c r="AW1512" s="1">
        <v>0</v>
      </c>
      <c r="AX1512" s="1">
        <v>0</v>
      </c>
      <c r="AY1512" s="1">
        <v>0</v>
      </c>
      <c r="AZ1512" s="1">
        <v>0</v>
      </c>
      <c r="BA1512" s="1">
        <v>0</v>
      </c>
      <c r="BB1512" s="1">
        <v>1</v>
      </c>
      <c r="BC1512" s="1">
        <v>0</v>
      </c>
      <c r="BD1512" s="1">
        <v>0</v>
      </c>
      <c r="BE1512" s="1">
        <v>0</v>
      </c>
      <c r="BF1512" s="1">
        <v>0</v>
      </c>
      <c r="BG1512" s="1">
        <v>0</v>
      </c>
      <c r="BH1512" s="1">
        <v>0</v>
      </c>
      <c r="BI1512" s="1">
        <v>0</v>
      </c>
      <c r="BJ1512" s="1">
        <v>0</v>
      </c>
      <c r="BK1512" s="1">
        <v>0</v>
      </c>
      <c r="BL1512" s="1">
        <v>0</v>
      </c>
      <c r="BM1512" s="1">
        <v>0</v>
      </c>
      <c r="BN1512" s="1">
        <v>0</v>
      </c>
      <c r="BO1512" s="1">
        <v>0</v>
      </c>
      <c r="BP1512" s="1">
        <v>0</v>
      </c>
      <c r="BQ1512" s="1">
        <v>0</v>
      </c>
      <c r="BR1512" s="1">
        <v>0</v>
      </c>
      <c r="BS1512" s="1" t="s">
        <v>109</v>
      </c>
      <c r="BT1512" s="1">
        <v>1569</v>
      </c>
      <c r="BU1512" s="1" t="s">
        <v>109</v>
      </c>
      <c r="BV1512" s="1"/>
      <c r="BW1512" s="1"/>
      <c r="BX1512" s="1"/>
      <c r="BY1512" s="1"/>
      <c r="BZ1512" s="1">
        <v>0</v>
      </c>
      <c r="CA1512" s="1">
        <v>4</v>
      </c>
      <c r="CB1512" s="1">
        <v>4</v>
      </c>
      <c r="CC1512" s="1" t="s">
        <v>109</v>
      </c>
      <c r="CD1512" s="1" t="s">
        <v>109</v>
      </c>
      <c r="CE1512" s="1" t="s">
        <v>109</v>
      </c>
      <c r="CF1512" s="1" t="s">
        <v>109</v>
      </c>
      <c r="CG1512" s="1" t="s">
        <v>109</v>
      </c>
      <c r="CH1512" s="1" t="s">
        <v>109</v>
      </c>
      <c r="CI1512" s="1" t="s">
        <v>109</v>
      </c>
      <c r="CJ1512" s="1">
        <v>4</v>
      </c>
      <c r="CK1512" s="1"/>
      <c r="CL1512" s="1">
        <v>0</v>
      </c>
      <c r="CM1512" s="1">
        <v>0</v>
      </c>
      <c r="CN1512" s="1">
        <v>0</v>
      </c>
    </row>
    <row r="1513" spans="1:92" ht="14.25" customHeight="1" x14ac:dyDescent="0.15">
      <c r="A1513" s="1" t="s">
        <v>11596</v>
      </c>
      <c r="B1513" s="1" t="s">
        <v>189</v>
      </c>
      <c r="C1513" s="1"/>
      <c r="D1513" s="1"/>
      <c r="E1513" s="1" t="s">
        <v>11597</v>
      </c>
      <c r="F1513" s="1" t="s">
        <v>98</v>
      </c>
      <c r="G1513" s="1" t="s">
        <v>141</v>
      </c>
      <c r="H1513" s="1">
        <v>0</v>
      </c>
      <c r="I1513" s="1" t="s">
        <v>161</v>
      </c>
      <c r="J1513" s="1"/>
      <c r="K1513" s="1"/>
      <c r="L1513" s="1" t="s">
        <v>506</v>
      </c>
      <c r="M1513" s="1" t="s">
        <v>574</v>
      </c>
      <c r="N1513" s="1">
        <v>1</v>
      </c>
      <c r="O1513" s="1">
        <v>0</v>
      </c>
      <c r="P1513" s="1" t="s">
        <v>1382</v>
      </c>
      <c r="Q1513" s="1" t="s">
        <v>167</v>
      </c>
      <c r="R1513" s="1" t="s">
        <v>11598</v>
      </c>
      <c r="S1513" s="1" t="s">
        <v>11599</v>
      </c>
      <c r="T1513" s="1" t="s">
        <v>11080</v>
      </c>
      <c r="U1513" s="1" t="s">
        <v>11600</v>
      </c>
      <c r="V1513" s="1">
        <v>1</v>
      </c>
      <c r="W1513" s="1">
        <v>1</v>
      </c>
      <c r="X1513" s="1">
        <v>0</v>
      </c>
      <c r="Y1513" s="1">
        <v>0</v>
      </c>
      <c r="Z1513" s="1">
        <v>0</v>
      </c>
      <c r="AA1513" s="1">
        <v>3</v>
      </c>
      <c r="AB1513" s="1">
        <v>3</v>
      </c>
      <c r="AC1513" s="1" t="s">
        <v>109</v>
      </c>
      <c r="AD1513" s="1" t="s">
        <v>109</v>
      </c>
      <c r="AE1513" s="1" t="s">
        <v>109</v>
      </c>
      <c r="AF1513" s="1">
        <v>3</v>
      </c>
      <c r="AG1513" s="1" t="s">
        <v>109</v>
      </c>
      <c r="AH1513" s="1">
        <v>3</v>
      </c>
      <c r="AI1513" s="1" t="s">
        <v>109</v>
      </c>
      <c r="AJ1513" s="1" t="s">
        <v>109</v>
      </c>
      <c r="AK1513" s="1" t="s">
        <v>109</v>
      </c>
      <c r="AL1513" s="1" t="s">
        <v>109</v>
      </c>
      <c r="AM1513" s="1" t="s">
        <v>109</v>
      </c>
      <c r="AN1513" s="1">
        <v>3</v>
      </c>
      <c r="AO1513" s="1" t="s">
        <v>109</v>
      </c>
      <c r="AP1513" s="1"/>
      <c r="AQ1513" s="1">
        <v>3</v>
      </c>
      <c r="AR1513" s="1"/>
      <c r="AS1513" s="1"/>
      <c r="AT1513" s="1">
        <v>0</v>
      </c>
      <c r="AU1513" s="1">
        <v>0</v>
      </c>
      <c r="AV1513" s="1">
        <v>0</v>
      </c>
      <c r="AW1513" s="1">
        <v>0</v>
      </c>
      <c r="AX1513" s="1">
        <v>0</v>
      </c>
      <c r="AY1513" s="1">
        <v>0</v>
      </c>
      <c r="AZ1513" s="1">
        <v>0</v>
      </c>
      <c r="BA1513" s="1">
        <v>0</v>
      </c>
      <c r="BB1513" s="1">
        <v>0</v>
      </c>
      <c r="BC1513" s="1">
        <v>0</v>
      </c>
      <c r="BD1513" s="1">
        <v>0</v>
      </c>
      <c r="BE1513" s="1">
        <v>0</v>
      </c>
      <c r="BF1513" s="1">
        <v>0</v>
      </c>
      <c r="BG1513" s="1">
        <v>0</v>
      </c>
      <c r="BH1513" s="1">
        <v>0</v>
      </c>
      <c r="BI1513" s="1">
        <v>0</v>
      </c>
      <c r="BJ1513" s="1">
        <v>0</v>
      </c>
      <c r="BK1513" s="1">
        <v>0</v>
      </c>
      <c r="BL1513" s="1">
        <v>0</v>
      </c>
      <c r="BM1513" s="1">
        <v>0</v>
      </c>
      <c r="BN1513" s="1">
        <v>0</v>
      </c>
      <c r="BO1513" s="1">
        <v>0</v>
      </c>
      <c r="BP1513" s="1">
        <v>0</v>
      </c>
      <c r="BQ1513" s="1">
        <v>0</v>
      </c>
      <c r="BR1513" s="1">
        <v>0</v>
      </c>
      <c r="BS1513" s="1" t="s">
        <v>109</v>
      </c>
      <c r="BT1513" s="1">
        <v>1570</v>
      </c>
      <c r="BU1513" s="1" t="s">
        <v>109</v>
      </c>
      <c r="BV1513" s="1"/>
      <c r="BW1513" s="1"/>
      <c r="BX1513" s="1"/>
      <c r="BY1513" s="1"/>
      <c r="BZ1513" s="1">
        <v>0</v>
      </c>
      <c r="CA1513" s="1" t="s">
        <v>109</v>
      </c>
      <c r="CB1513" s="1" t="s">
        <v>109</v>
      </c>
      <c r="CC1513" s="1" t="s">
        <v>109</v>
      </c>
      <c r="CD1513" s="1" t="s">
        <v>109</v>
      </c>
      <c r="CE1513" s="1" t="s">
        <v>109</v>
      </c>
      <c r="CF1513" s="1" t="s">
        <v>109</v>
      </c>
      <c r="CG1513" s="1" t="s">
        <v>109</v>
      </c>
      <c r="CH1513" s="1" t="s">
        <v>109</v>
      </c>
      <c r="CI1513" s="1" t="s">
        <v>109</v>
      </c>
      <c r="CJ1513" s="1" t="s">
        <v>109</v>
      </c>
      <c r="CK1513" s="1"/>
      <c r="CL1513" s="1">
        <v>0</v>
      </c>
      <c r="CM1513" s="1">
        <v>0</v>
      </c>
      <c r="CN1513" s="1">
        <v>0</v>
      </c>
    </row>
    <row r="1514" spans="1:92" ht="14.25" customHeight="1" x14ac:dyDescent="0.15">
      <c r="A1514" s="1" t="s">
        <v>11601</v>
      </c>
      <c r="B1514" s="1" t="s">
        <v>189</v>
      </c>
      <c r="C1514" s="1" t="s">
        <v>231</v>
      </c>
      <c r="D1514" s="1"/>
      <c r="E1514" s="1" t="s">
        <v>11602</v>
      </c>
      <c r="F1514" s="1" t="s">
        <v>98</v>
      </c>
      <c r="G1514" s="1" t="s">
        <v>141</v>
      </c>
      <c r="H1514" s="1">
        <v>0</v>
      </c>
      <c r="I1514" s="1" t="s">
        <v>161</v>
      </c>
      <c r="J1514" s="1"/>
      <c r="K1514" s="1"/>
      <c r="L1514" s="1" t="s">
        <v>506</v>
      </c>
      <c r="M1514" s="1" t="s">
        <v>3042</v>
      </c>
      <c r="N1514" s="1">
        <v>0</v>
      </c>
      <c r="O1514" s="1">
        <v>0</v>
      </c>
      <c r="P1514" s="1" t="s">
        <v>1382</v>
      </c>
      <c r="Q1514" s="1" t="s">
        <v>167</v>
      </c>
      <c r="R1514" s="1" t="s">
        <v>11603</v>
      </c>
      <c r="S1514" s="1" t="s">
        <v>11604</v>
      </c>
      <c r="T1514" s="1" t="s">
        <v>11080</v>
      </c>
      <c r="U1514" s="1" t="s">
        <v>11605</v>
      </c>
      <c r="V1514" s="1">
        <v>1</v>
      </c>
      <c r="W1514" s="1">
        <v>1</v>
      </c>
      <c r="X1514" s="1">
        <v>0</v>
      </c>
      <c r="Y1514" s="1">
        <v>0</v>
      </c>
      <c r="Z1514" s="1">
        <v>0</v>
      </c>
      <c r="AA1514" s="1">
        <v>2</v>
      </c>
      <c r="AB1514" s="1">
        <v>2</v>
      </c>
      <c r="AC1514" s="1" t="s">
        <v>109</v>
      </c>
      <c r="AD1514" s="1" t="s">
        <v>109</v>
      </c>
      <c r="AE1514" s="1" t="s">
        <v>109</v>
      </c>
      <c r="AF1514" s="1" t="s">
        <v>109</v>
      </c>
      <c r="AG1514" s="1" t="s">
        <v>109</v>
      </c>
      <c r="AH1514" s="1">
        <v>2</v>
      </c>
      <c r="AI1514" s="1" t="s">
        <v>109</v>
      </c>
      <c r="AJ1514" s="1">
        <v>2</v>
      </c>
      <c r="AK1514" s="1" t="s">
        <v>109</v>
      </c>
      <c r="AL1514" s="1" t="s">
        <v>109</v>
      </c>
      <c r="AM1514" s="1" t="s">
        <v>109</v>
      </c>
      <c r="AN1514" s="1" t="s">
        <v>109</v>
      </c>
      <c r="AO1514" s="1" t="s">
        <v>109</v>
      </c>
      <c r="AP1514" s="1"/>
      <c r="AQ1514" s="1">
        <v>2</v>
      </c>
      <c r="AR1514" s="1"/>
      <c r="AS1514" s="1"/>
      <c r="AT1514" s="1">
        <v>0</v>
      </c>
      <c r="AU1514" s="1">
        <v>0</v>
      </c>
      <c r="AV1514" s="1">
        <v>0</v>
      </c>
      <c r="AW1514" s="1">
        <v>0</v>
      </c>
      <c r="AX1514" s="1">
        <v>0</v>
      </c>
      <c r="AY1514" s="1">
        <v>0</v>
      </c>
      <c r="AZ1514" s="1">
        <v>0</v>
      </c>
      <c r="BA1514" s="1">
        <v>0</v>
      </c>
      <c r="BB1514" s="1">
        <v>0</v>
      </c>
      <c r="BC1514" s="1">
        <v>0</v>
      </c>
      <c r="BD1514" s="1">
        <v>0</v>
      </c>
      <c r="BE1514" s="1">
        <v>0</v>
      </c>
      <c r="BF1514" s="1">
        <v>0</v>
      </c>
      <c r="BG1514" s="1">
        <v>0</v>
      </c>
      <c r="BH1514" s="1">
        <v>0</v>
      </c>
      <c r="BI1514" s="1">
        <v>0</v>
      </c>
      <c r="BJ1514" s="1">
        <v>0</v>
      </c>
      <c r="BK1514" s="1">
        <v>0</v>
      </c>
      <c r="BL1514" s="1">
        <v>0</v>
      </c>
      <c r="BM1514" s="1">
        <v>0</v>
      </c>
      <c r="BN1514" s="1">
        <v>0</v>
      </c>
      <c r="BO1514" s="1">
        <v>0</v>
      </c>
      <c r="BP1514" s="1">
        <v>0</v>
      </c>
      <c r="BQ1514" s="1">
        <v>0</v>
      </c>
      <c r="BR1514" s="1">
        <v>0</v>
      </c>
      <c r="BS1514" s="1" t="s">
        <v>109</v>
      </c>
      <c r="BT1514" s="1">
        <v>1571</v>
      </c>
      <c r="BU1514" s="1" t="s">
        <v>109</v>
      </c>
      <c r="BV1514" s="1"/>
      <c r="BW1514" s="1"/>
      <c r="BX1514" s="1"/>
      <c r="BY1514" s="1"/>
      <c r="BZ1514" s="1">
        <v>0</v>
      </c>
      <c r="CA1514" s="1" t="s">
        <v>109</v>
      </c>
      <c r="CB1514" s="1" t="s">
        <v>109</v>
      </c>
      <c r="CC1514" s="1" t="s">
        <v>109</v>
      </c>
      <c r="CD1514" s="1" t="s">
        <v>109</v>
      </c>
      <c r="CE1514" s="1" t="s">
        <v>109</v>
      </c>
      <c r="CF1514" s="1" t="s">
        <v>109</v>
      </c>
      <c r="CG1514" s="1" t="s">
        <v>109</v>
      </c>
      <c r="CH1514" s="1" t="s">
        <v>109</v>
      </c>
      <c r="CI1514" s="1" t="s">
        <v>109</v>
      </c>
      <c r="CJ1514" s="1" t="s">
        <v>109</v>
      </c>
      <c r="CK1514" s="1"/>
      <c r="CL1514" s="1">
        <v>0</v>
      </c>
      <c r="CM1514" s="1">
        <v>0</v>
      </c>
      <c r="CN1514" s="1">
        <v>0</v>
      </c>
    </row>
    <row r="1515" spans="1:92" ht="14.25" customHeight="1" x14ac:dyDescent="0.15">
      <c r="A1515" s="1" t="s">
        <v>11606</v>
      </c>
      <c r="B1515" s="1" t="s">
        <v>674</v>
      </c>
      <c r="C1515" s="1" t="s">
        <v>68</v>
      </c>
      <c r="D1515" s="1" t="s">
        <v>68</v>
      </c>
      <c r="E1515" s="1" t="s">
        <v>8473</v>
      </c>
      <c r="F1515" s="1" t="s">
        <v>98</v>
      </c>
      <c r="G1515" s="1" t="s">
        <v>2345</v>
      </c>
      <c r="H1515" s="1">
        <v>0</v>
      </c>
      <c r="I1515" s="1" t="s">
        <v>161</v>
      </c>
      <c r="J1515" s="1"/>
      <c r="K1515" s="1" t="s">
        <v>11607</v>
      </c>
      <c r="L1515" s="1" t="s">
        <v>506</v>
      </c>
      <c r="M1515" s="1" t="s">
        <v>7174</v>
      </c>
      <c r="N1515" s="1">
        <v>1</v>
      </c>
      <c r="O1515" s="1">
        <v>0</v>
      </c>
      <c r="P1515" s="1" t="s">
        <v>301</v>
      </c>
      <c r="Q1515" s="1" t="s">
        <v>268</v>
      </c>
      <c r="R1515" s="1" t="s">
        <v>11608</v>
      </c>
      <c r="S1515" s="1" t="s">
        <v>11609</v>
      </c>
      <c r="T1515" s="1" t="s">
        <v>11080</v>
      </c>
      <c r="U1515" s="1" t="s">
        <v>11610</v>
      </c>
      <c r="V1515" s="1">
        <v>0</v>
      </c>
      <c r="W1515" s="1">
        <v>1</v>
      </c>
      <c r="X1515" s="1">
        <v>0</v>
      </c>
      <c r="Y1515" s="1">
        <v>0</v>
      </c>
      <c r="Z1515" s="1">
        <v>0</v>
      </c>
      <c r="AA1515" s="1">
        <v>2</v>
      </c>
      <c r="AB1515" s="1">
        <v>2</v>
      </c>
      <c r="AC1515" s="1" t="s">
        <v>109</v>
      </c>
      <c r="AD1515" s="1" t="s">
        <v>109</v>
      </c>
      <c r="AE1515" s="1" t="s">
        <v>109</v>
      </c>
      <c r="AF1515" s="1">
        <v>2</v>
      </c>
      <c r="AG1515" s="1" t="s">
        <v>109</v>
      </c>
      <c r="AH1515" s="1" t="s">
        <v>109</v>
      </c>
      <c r="AI1515" s="1" t="s">
        <v>109</v>
      </c>
      <c r="AJ1515" s="1">
        <v>2</v>
      </c>
      <c r="AK1515" s="1" t="s">
        <v>109</v>
      </c>
      <c r="AL1515" s="1" t="s">
        <v>109</v>
      </c>
      <c r="AM1515" s="1" t="s">
        <v>109</v>
      </c>
      <c r="AN1515" s="1" t="s">
        <v>109</v>
      </c>
      <c r="AO1515" s="1" t="s">
        <v>109</v>
      </c>
      <c r="AP1515" s="1"/>
      <c r="AQ1515" s="1">
        <v>2</v>
      </c>
      <c r="AR1515" s="1"/>
      <c r="AS1515" s="1"/>
      <c r="AT1515" s="1">
        <v>0</v>
      </c>
      <c r="AU1515" s="1">
        <v>0</v>
      </c>
      <c r="AV1515" s="1">
        <v>0</v>
      </c>
      <c r="AW1515" s="1">
        <v>0</v>
      </c>
      <c r="AX1515" s="1">
        <v>0</v>
      </c>
      <c r="AY1515" s="1">
        <v>0</v>
      </c>
      <c r="AZ1515" s="1">
        <v>0</v>
      </c>
      <c r="BA1515" s="1">
        <v>0</v>
      </c>
      <c r="BB1515" s="1">
        <v>0</v>
      </c>
      <c r="BC1515" s="1">
        <v>0</v>
      </c>
      <c r="BD1515" s="1">
        <v>0</v>
      </c>
      <c r="BE1515" s="1">
        <v>0</v>
      </c>
      <c r="BF1515" s="1">
        <v>0</v>
      </c>
      <c r="BG1515" s="1">
        <v>0</v>
      </c>
      <c r="BH1515" s="1">
        <v>0</v>
      </c>
      <c r="BI1515" s="1">
        <v>0</v>
      </c>
      <c r="BJ1515" s="1">
        <v>0</v>
      </c>
      <c r="BK1515" s="1">
        <v>0</v>
      </c>
      <c r="BL1515" s="1">
        <v>0</v>
      </c>
      <c r="BM1515" s="1">
        <v>0</v>
      </c>
      <c r="BN1515" s="1">
        <v>0</v>
      </c>
      <c r="BO1515" s="1">
        <v>0</v>
      </c>
      <c r="BP1515" s="1">
        <v>1</v>
      </c>
      <c r="BQ1515" s="1">
        <v>0</v>
      </c>
      <c r="BR1515" s="1">
        <v>0</v>
      </c>
      <c r="BS1515" s="1" t="s">
        <v>109</v>
      </c>
      <c r="BT1515" s="1">
        <v>1572</v>
      </c>
      <c r="BU1515" s="1" t="s">
        <v>109</v>
      </c>
      <c r="BV1515" s="1"/>
      <c r="BW1515" s="1"/>
      <c r="BX1515" s="1" t="s">
        <v>11611</v>
      </c>
      <c r="BY1515" s="1"/>
      <c r="BZ1515" s="1">
        <v>1</v>
      </c>
      <c r="CA1515" s="1" t="s">
        <v>109</v>
      </c>
      <c r="CB1515" s="1" t="s">
        <v>109</v>
      </c>
      <c r="CC1515" s="1">
        <v>2</v>
      </c>
      <c r="CD1515" s="1" t="s">
        <v>109</v>
      </c>
      <c r="CE1515" s="1">
        <v>2</v>
      </c>
      <c r="CF1515" s="1" t="s">
        <v>109</v>
      </c>
      <c r="CG1515" s="1" t="s">
        <v>109</v>
      </c>
      <c r="CH1515" s="1" t="s">
        <v>109</v>
      </c>
      <c r="CI1515" s="1" t="s">
        <v>109</v>
      </c>
      <c r="CJ1515" s="1" t="s">
        <v>109</v>
      </c>
      <c r="CK1515" s="1"/>
      <c r="CL1515" s="1">
        <v>0</v>
      </c>
      <c r="CM1515" s="1">
        <v>0</v>
      </c>
      <c r="CN1515" s="1">
        <v>0</v>
      </c>
    </row>
    <row r="1516" spans="1:92" ht="14.25" customHeight="1" x14ac:dyDescent="0.15">
      <c r="A1516" s="1" t="s">
        <v>11612</v>
      </c>
      <c r="B1516" s="1" t="s">
        <v>189</v>
      </c>
      <c r="C1516" s="1"/>
      <c r="D1516" s="1"/>
      <c r="E1516" s="1" t="s">
        <v>11613</v>
      </c>
      <c r="F1516" s="1" t="s">
        <v>6545</v>
      </c>
      <c r="G1516" s="1" t="s">
        <v>141</v>
      </c>
      <c r="H1516" s="1">
        <v>0</v>
      </c>
      <c r="I1516" s="1" t="s">
        <v>925</v>
      </c>
      <c r="J1516" s="1"/>
      <c r="K1516" s="1" t="s">
        <v>11614</v>
      </c>
      <c r="L1516" s="1"/>
      <c r="M1516" s="1" t="s">
        <v>5528</v>
      </c>
      <c r="N1516" s="1">
        <v>0</v>
      </c>
      <c r="O1516" s="1">
        <v>0</v>
      </c>
      <c r="P1516" s="1"/>
      <c r="Q1516" s="1"/>
      <c r="R1516" s="1" t="s">
        <v>11615</v>
      </c>
      <c r="S1516" s="1" t="s">
        <v>11616</v>
      </c>
      <c r="T1516" s="1" t="s">
        <v>11617</v>
      </c>
      <c r="U1516" s="1" t="s">
        <v>11618</v>
      </c>
      <c r="V1516" s="1">
        <v>1</v>
      </c>
      <c r="W1516" s="1">
        <v>1</v>
      </c>
      <c r="X1516" s="1">
        <v>0</v>
      </c>
      <c r="Y1516" s="1">
        <v>0</v>
      </c>
      <c r="Z1516" s="1">
        <v>0</v>
      </c>
      <c r="AA1516" s="1">
        <v>1</v>
      </c>
      <c r="AB1516" s="1">
        <v>1</v>
      </c>
      <c r="AC1516" s="1" t="s">
        <v>109</v>
      </c>
      <c r="AD1516" s="1" t="s">
        <v>109</v>
      </c>
      <c r="AE1516" s="1" t="s">
        <v>109</v>
      </c>
      <c r="AF1516" s="1" t="s">
        <v>109</v>
      </c>
      <c r="AG1516" s="1" t="s">
        <v>109</v>
      </c>
      <c r="AH1516" s="1" t="s">
        <v>109</v>
      </c>
      <c r="AI1516" s="1" t="s">
        <v>109</v>
      </c>
      <c r="AJ1516" s="1">
        <v>1</v>
      </c>
      <c r="AK1516" s="1" t="s">
        <v>109</v>
      </c>
      <c r="AL1516" s="1" t="s">
        <v>109</v>
      </c>
      <c r="AM1516" s="1" t="s">
        <v>109</v>
      </c>
      <c r="AN1516" s="1">
        <v>1</v>
      </c>
      <c r="AO1516" s="1" t="s">
        <v>109</v>
      </c>
      <c r="AP1516" s="1"/>
      <c r="AQ1516" s="1">
        <v>1</v>
      </c>
      <c r="AR1516" s="1"/>
      <c r="AS1516" s="1"/>
      <c r="AT1516" s="1">
        <v>0</v>
      </c>
      <c r="AU1516" s="1">
        <v>0</v>
      </c>
      <c r="AV1516" s="1">
        <v>0</v>
      </c>
      <c r="AW1516" s="1">
        <v>0</v>
      </c>
      <c r="AX1516" s="1">
        <v>0</v>
      </c>
      <c r="AY1516" s="1">
        <v>0</v>
      </c>
      <c r="AZ1516" s="1">
        <v>0</v>
      </c>
      <c r="BA1516" s="1">
        <v>0</v>
      </c>
      <c r="BB1516" s="1">
        <v>0</v>
      </c>
      <c r="BC1516" s="1">
        <v>0</v>
      </c>
      <c r="BD1516" s="1">
        <v>0</v>
      </c>
      <c r="BE1516" s="1">
        <v>0</v>
      </c>
      <c r="BF1516" s="1">
        <v>0</v>
      </c>
      <c r="BG1516" s="1">
        <v>0</v>
      </c>
      <c r="BH1516" s="1">
        <v>0</v>
      </c>
      <c r="BI1516" s="1">
        <v>0</v>
      </c>
      <c r="BJ1516" s="1">
        <v>0</v>
      </c>
      <c r="BK1516" s="1">
        <v>0</v>
      </c>
      <c r="BL1516" s="1">
        <v>0</v>
      </c>
      <c r="BM1516" s="1">
        <v>0</v>
      </c>
      <c r="BN1516" s="1">
        <v>0</v>
      </c>
      <c r="BO1516" s="1">
        <v>0</v>
      </c>
      <c r="BP1516" s="1">
        <v>0</v>
      </c>
      <c r="BQ1516" s="1">
        <v>0</v>
      </c>
      <c r="BR1516" s="1">
        <v>0</v>
      </c>
      <c r="BS1516" s="1" t="s">
        <v>109</v>
      </c>
      <c r="BT1516" s="1">
        <v>1574</v>
      </c>
      <c r="BU1516" s="1" t="s">
        <v>109</v>
      </c>
      <c r="BV1516" s="1"/>
      <c r="BW1516" s="1"/>
      <c r="BX1516" s="1"/>
      <c r="BY1516" s="1"/>
      <c r="BZ1516" s="1">
        <v>0</v>
      </c>
      <c r="CA1516" s="1" t="s">
        <v>109</v>
      </c>
      <c r="CB1516" s="1" t="s">
        <v>109</v>
      </c>
      <c r="CC1516" s="1" t="s">
        <v>109</v>
      </c>
      <c r="CD1516" s="1" t="s">
        <v>109</v>
      </c>
      <c r="CE1516" s="1" t="s">
        <v>109</v>
      </c>
      <c r="CF1516" s="1" t="s">
        <v>109</v>
      </c>
      <c r="CG1516" s="1" t="s">
        <v>109</v>
      </c>
      <c r="CH1516" s="1" t="s">
        <v>109</v>
      </c>
      <c r="CI1516" s="1" t="s">
        <v>109</v>
      </c>
      <c r="CJ1516" s="1" t="s">
        <v>109</v>
      </c>
      <c r="CK1516" s="1"/>
      <c r="CL1516" s="1">
        <v>0</v>
      </c>
      <c r="CM1516" s="1">
        <v>0</v>
      </c>
      <c r="CN1516" s="1">
        <v>0</v>
      </c>
    </row>
    <row r="1517" spans="1:92" ht="14.25" customHeight="1" x14ac:dyDescent="0.15">
      <c r="A1517" s="1" t="s">
        <v>11619</v>
      </c>
      <c r="B1517" s="1" t="s">
        <v>242</v>
      </c>
      <c r="C1517" s="1"/>
      <c r="D1517" s="1"/>
      <c r="E1517" s="1" t="s">
        <v>11620</v>
      </c>
      <c r="F1517" s="1" t="s">
        <v>98</v>
      </c>
      <c r="G1517" s="1" t="s">
        <v>141</v>
      </c>
      <c r="H1517" s="1">
        <v>0</v>
      </c>
      <c r="I1517" s="1" t="s">
        <v>235</v>
      </c>
      <c r="J1517" s="1" t="s">
        <v>11621</v>
      </c>
      <c r="K1517" s="1"/>
      <c r="L1517" s="1"/>
      <c r="M1517" s="1" t="s">
        <v>6798</v>
      </c>
      <c r="N1517" s="1">
        <v>0</v>
      </c>
      <c r="O1517" s="1">
        <v>0</v>
      </c>
      <c r="P1517" s="1" t="s">
        <v>103</v>
      </c>
      <c r="Q1517" s="1" t="s">
        <v>104</v>
      </c>
      <c r="R1517" s="1" t="s">
        <v>11622</v>
      </c>
      <c r="S1517" s="1" t="s">
        <v>11623</v>
      </c>
      <c r="T1517" s="1" t="s">
        <v>11617</v>
      </c>
      <c r="U1517" s="1" t="s">
        <v>11624</v>
      </c>
      <c r="V1517" s="1">
        <v>1</v>
      </c>
      <c r="W1517" s="1">
        <v>1</v>
      </c>
      <c r="X1517" s="1">
        <v>0</v>
      </c>
      <c r="Y1517" s="1">
        <v>0</v>
      </c>
      <c r="Z1517" s="1">
        <v>0</v>
      </c>
      <c r="AA1517" s="1">
        <v>5</v>
      </c>
      <c r="AB1517" s="1">
        <v>5</v>
      </c>
      <c r="AC1517" s="1" t="s">
        <v>109</v>
      </c>
      <c r="AD1517" s="1" t="s">
        <v>109</v>
      </c>
      <c r="AE1517" s="1" t="s">
        <v>109</v>
      </c>
      <c r="AF1517" s="1">
        <v>5</v>
      </c>
      <c r="AG1517" s="1" t="s">
        <v>109</v>
      </c>
      <c r="AH1517" s="1" t="s">
        <v>109</v>
      </c>
      <c r="AI1517" s="1" t="s">
        <v>109</v>
      </c>
      <c r="AJ1517" s="1" t="s">
        <v>109</v>
      </c>
      <c r="AK1517" s="1" t="s">
        <v>109</v>
      </c>
      <c r="AL1517" s="1" t="s">
        <v>109</v>
      </c>
      <c r="AM1517" s="1" t="s">
        <v>109</v>
      </c>
      <c r="AN1517" s="1" t="s">
        <v>109</v>
      </c>
      <c r="AO1517" s="1" t="s">
        <v>109</v>
      </c>
      <c r="AP1517" s="1"/>
      <c r="AQ1517" s="1">
        <v>5</v>
      </c>
      <c r="AR1517" s="1"/>
      <c r="AS1517" s="1"/>
      <c r="AT1517" s="1">
        <v>0</v>
      </c>
      <c r="AU1517" s="1">
        <v>0</v>
      </c>
      <c r="AV1517" s="1">
        <v>0</v>
      </c>
      <c r="AW1517" s="1">
        <v>0</v>
      </c>
      <c r="AX1517" s="1">
        <v>0</v>
      </c>
      <c r="AY1517" s="1">
        <v>0</v>
      </c>
      <c r="AZ1517" s="1">
        <v>0</v>
      </c>
      <c r="BA1517" s="1">
        <v>0</v>
      </c>
      <c r="BB1517" s="1">
        <v>0</v>
      </c>
      <c r="BC1517" s="1">
        <v>0</v>
      </c>
      <c r="BD1517" s="1">
        <v>0</v>
      </c>
      <c r="BE1517" s="1">
        <v>0</v>
      </c>
      <c r="BF1517" s="1">
        <v>0</v>
      </c>
      <c r="BG1517" s="1">
        <v>0</v>
      </c>
      <c r="BH1517" s="1">
        <v>0</v>
      </c>
      <c r="BI1517" s="1">
        <v>0</v>
      </c>
      <c r="BJ1517" s="1">
        <v>0</v>
      </c>
      <c r="BK1517" s="1">
        <v>0</v>
      </c>
      <c r="BL1517" s="1">
        <v>0</v>
      </c>
      <c r="BM1517" s="1">
        <v>0</v>
      </c>
      <c r="BN1517" s="1">
        <v>0</v>
      </c>
      <c r="BO1517" s="1">
        <v>0</v>
      </c>
      <c r="BP1517" s="1">
        <v>0</v>
      </c>
      <c r="BQ1517" s="1">
        <v>0</v>
      </c>
      <c r="BR1517" s="1">
        <v>0</v>
      </c>
      <c r="BS1517" s="1" t="s">
        <v>109</v>
      </c>
      <c r="BT1517" s="1">
        <v>1575</v>
      </c>
      <c r="BU1517" s="1" t="s">
        <v>109</v>
      </c>
      <c r="BV1517" s="1"/>
      <c r="BW1517" s="1"/>
      <c r="BX1517" s="1" t="s">
        <v>11625</v>
      </c>
      <c r="BY1517" s="1" t="s">
        <v>11626</v>
      </c>
      <c r="BZ1517" s="1">
        <v>1</v>
      </c>
      <c r="CA1517" s="1" t="s">
        <v>109</v>
      </c>
      <c r="CB1517" s="1" t="s">
        <v>109</v>
      </c>
      <c r="CC1517" s="1" t="s">
        <v>109</v>
      </c>
      <c r="CD1517" s="1" t="s">
        <v>109</v>
      </c>
      <c r="CE1517" s="1" t="s">
        <v>109</v>
      </c>
      <c r="CF1517" s="1" t="s">
        <v>109</v>
      </c>
      <c r="CG1517" s="1" t="s">
        <v>109</v>
      </c>
      <c r="CH1517" s="1" t="s">
        <v>109</v>
      </c>
      <c r="CI1517" s="1" t="s">
        <v>109</v>
      </c>
      <c r="CJ1517" s="1" t="s">
        <v>109</v>
      </c>
      <c r="CK1517" s="1"/>
      <c r="CL1517" s="1">
        <v>0</v>
      </c>
      <c r="CM1517" s="1">
        <v>0</v>
      </c>
      <c r="CN1517" s="1">
        <v>0</v>
      </c>
    </row>
    <row r="1518" spans="1:92" ht="14.25" customHeight="1" x14ac:dyDescent="0.15">
      <c r="A1518" s="1" t="s">
        <v>11627</v>
      </c>
      <c r="B1518" s="1" t="s">
        <v>308</v>
      </c>
      <c r="C1518" s="1"/>
      <c r="D1518" s="1"/>
      <c r="E1518" s="1" t="s">
        <v>11628</v>
      </c>
      <c r="F1518" s="1" t="s">
        <v>277</v>
      </c>
      <c r="G1518" s="1" t="s">
        <v>141</v>
      </c>
      <c r="H1518" s="1">
        <v>0</v>
      </c>
      <c r="I1518" s="1" t="s">
        <v>161</v>
      </c>
      <c r="J1518" s="1"/>
      <c r="K1518" s="1"/>
      <c r="L1518" s="1" t="s">
        <v>11629</v>
      </c>
      <c r="M1518" s="1" t="s">
        <v>289</v>
      </c>
      <c r="N1518" s="1">
        <v>0</v>
      </c>
      <c r="O1518" s="1">
        <v>0</v>
      </c>
      <c r="P1518" s="1" t="s">
        <v>11630</v>
      </c>
      <c r="Q1518" s="1" t="s">
        <v>11631</v>
      </c>
      <c r="R1518" s="1" t="s">
        <v>11632</v>
      </c>
      <c r="S1518" s="1" t="s">
        <v>11633</v>
      </c>
      <c r="T1518" s="1" t="s">
        <v>11617</v>
      </c>
      <c r="U1518" s="1" t="s">
        <v>11634</v>
      </c>
      <c r="V1518" s="1">
        <v>1</v>
      </c>
      <c r="W1518" s="1">
        <v>1</v>
      </c>
      <c r="X1518" s="1">
        <v>0</v>
      </c>
      <c r="Y1518" s="1">
        <v>0</v>
      </c>
      <c r="Z1518" s="1">
        <v>0</v>
      </c>
      <c r="AA1518" s="1">
        <v>3</v>
      </c>
      <c r="AB1518" s="1">
        <v>3</v>
      </c>
      <c r="AC1518" s="1">
        <v>2</v>
      </c>
      <c r="AD1518" s="1" t="s">
        <v>109</v>
      </c>
      <c r="AE1518" s="1" t="s">
        <v>109</v>
      </c>
      <c r="AF1518" s="1" t="s">
        <v>109</v>
      </c>
      <c r="AG1518" s="1" t="s">
        <v>109</v>
      </c>
      <c r="AH1518" s="1">
        <v>2</v>
      </c>
      <c r="AI1518" s="1" t="s">
        <v>109</v>
      </c>
      <c r="AJ1518" s="1">
        <v>3</v>
      </c>
      <c r="AK1518" s="1" t="s">
        <v>109</v>
      </c>
      <c r="AL1518" s="1">
        <v>2</v>
      </c>
      <c r="AM1518" s="1" t="s">
        <v>109</v>
      </c>
      <c r="AN1518" s="1" t="s">
        <v>109</v>
      </c>
      <c r="AO1518" s="1" t="s">
        <v>109</v>
      </c>
      <c r="AP1518" s="1"/>
      <c r="AQ1518" s="1">
        <v>3</v>
      </c>
      <c r="AR1518" s="1"/>
      <c r="AS1518" s="1"/>
      <c r="AT1518" s="1">
        <v>0</v>
      </c>
      <c r="AU1518" s="1">
        <v>0</v>
      </c>
      <c r="AV1518" s="1">
        <v>0</v>
      </c>
      <c r="AW1518" s="1">
        <v>0</v>
      </c>
      <c r="AX1518" s="1">
        <v>0</v>
      </c>
      <c r="AY1518" s="1">
        <v>0</v>
      </c>
      <c r="AZ1518" s="1">
        <v>0</v>
      </c>
      <c r="BA1518" s="1">
        <v>0</v>
      </c>
      <c r="BB1518" s="1">
        <v>0</v>
      </c>
      <c r="BC1518" s="1">
        <v>0</v>
      </c>
      <c r="BD1518" s="1">
        <v>0</v>
      </c>
      <c r="BE1518" s="1">
        <v>0</v>
      </c>
      <c r="BF1518" s="1">
        <v>0</v>
      </c>
      <c r="BG1518" s="1">
        <v>0</v>
      </c>
      <c r="BH1518" s="1">
        <v>0</v>
      </c>
      <c r="BI1518" s="1">
        <v>0</v>
      </c>
      <c r="BJ1518" s="1">
        <v>0</v>
      </c>
      <c r="BK1518" s="1">
        <v>0</v>
      </c>
      <c r="BL1518" s="1">
        <v>0</v>
      </c>
      <c r="BM1518" s="1">
        <v>0</v>
      </c>
      <c r="BN1518" s="1">
        <v>0</v>
      </c>
      <c r="BO1518" s="1">
        <v>0</v>
      </c>
      <c r="BP1518" s="1">
        <v>0</v>
      </c>
      <c r="BQ1518" s="1">
        <v>0</v>
      </c>
      <c r="BR1518" s="1">
        <v>0</v>
      </c>
      <c r="BS1518" s="1" t="s">
        <v>109</v>
      </c>
      <c r="BT1518" s="1">
        <v>1576</v>
      </c>
      <c r="BU1518" s="1" t="s">
        <v>109</v>
      </c>
      <c r="BV1518" s="1"/>
      <c r="BW1518" s="1"/>
      <c r="BX1518" s="1"/>
      <c r="BY1518" s="1"/>
      <c r="BZ1518" s="1">
        <v>0</v>
      </c>
      <c r="CA1518" s="1" t="s">
        <v>109</v>
      </c>
      <c r="CB1518" s="1" t="s">
        <v>109</v>
      </c>
      <c r="CC1518" s="1" t="s">
        <v>109</v>
      </c>
      <c r="CD1518" s="1" t="s">
        <v>109</v>
      </c>
      <c r="CE1518" s="1" t="s">
        <v>109</v>
      </c>
      <c r="CF1518" s="1" t="s">
        <v>109</v>
      </c>
      <c r="CG1518" s="1" t="s">
        <v>109</v>
      </c>
      <c r="CH1518" s="1" t="s">
        <v>109</v>
      </c>
      <c r="CI1518" s="1" t="s">
        <v>109</v>
      </c>
      <c r="CJ1518" s="1" t="s">
        <v>109</v>
      </c>
      <c r="CK1518" s="1"/>
      <c r="CL1518" s="1">
        <v>0</v>
      </c>
      <c r="CM1518" s="1">
        <v>0</v>
      </c>
      <c r="CN1518" s="1">
        <v>0</v>
      </c>
    </row>
    <row r="1519" spans="1:92" ht="14.25" customHeight="1" x14ac:dyDescent="0.15">
      <c r="A1519" s="1" t="s">
        <v>11635</v>
      </c>
      <c r="B1519" s="1" t="s">
        <v>584</v>
      </c>
      <c r="C1519" s="1"/>
      <c r="D1519" s="1" t="s">
        <v>60</v>
      </c>
      <c r="E1519" s="1" t="s">
        <v>5511</v>
      </c>
      <c r="F1519" s="1" t="s">
        <v>98</v>
      </c>
      <c r="G1519" s="1" t="s">
        <v>11636</v>
      </c>
      <c r="H1519" s="1">
        <v>1</v>
      </c>
      <c r="I1519" s="1" t="s">
        <v>235</v>
      </c>
      <c r="J1519" s="1" t="s">
        <v>11637</v>
      </c>
      <c r="K1519" s="1"/>
      <c r="L1519" s="1"/>
      <c r="M1519" s="1" t="s">
        <v>144</v>
      </c>
      <c r="N1519" s="1">
        <v>0</v>
      </c>
      <c r="O1519" s="1">
        <v>0</v>
      </c>
      <c r="P1519" s="1" t="s">
        <v>727</v>
      </c>
      <c r="Q1519" s="1" t="s">
        <v>268</v>
      </c>
      <c r="R1519" s="1" t="s">
        <v>11638</v>
      </c>
      <c r="S1519" s="1" t="s">
        <v>11639</v>
      </c>
      <c r="T1519" s="1" t="s">
        <v>11617</v>
      </c>
      <c r="U1519" s="1" t="s">
        <v>11640</v>
      </c>
      <c r="V1519" s="1">
        <v>1</v>
      </c>
      <c r="W1519" s="1">
        <v>1</v>
      </c>
      <c r="X1519" s="1">
        <v>0</v>
      </c>
      <c r="Y1519" s="1">
        <v>0</v>
      </c>
      <c r="Z1519" s="1">
        <v>0</v>
      </c>
      <c r="AA1519" s="1">
        <v>6</v>
      </c>
      <c r="AB1519" s="1">
        <v>6</v>
      </c>
      <c r="AC1519" s="1">
        <v>6</v>
      </c>
      <c r="AD1519" s="1" t="s">
        <v>109</v>
      </c>
      <c r="AE1519" s="1" t="s">
        <v>109</v>
      </c>
      <c r="AF1519" s="1" t="s">
        <v>109</v>
      </c>
      <c r="AG1519" s="1" t="s">
        <v>109</v>
      </c>
      <c r="AH1519" s="1" t="s">
        <v>109</v>
      </c>
      <c r="AI1519" s="1" t="s">
        <v>109</v>
      </c>
      <c r="AJ1519" s="1" t="s">
        <v>109</v>
      </c>
      <c r="AK1519" s="1" t="s">
        <v>109</v>
      </c>
      <c r="AL1519" s="1">
        <v>6</v>
      </c>
      <c r="AM1519" s="1" t="s">
        <v>109</v>
      </c>
      <c r="AN1519" s="1" t="s">
        <v>109</v>
      </c>
      <c r="AO1519" s="1" t="s">
        <v>109</v>
      </c>
      <c r="AP1519" s="1"/>
      <c r="AQ1519" s="1">
        <v>6</v>
      </c>
      <c r="AR1519" s="1"/>
      <c r="AS1519" s="1"/>
      <c r="AT1519" s="1">
        <v>0</v>
      </c>
      <c r="AU1519" s="1">
        <v>0</v>
      </c>
      <c r="AV1519" s="1">
        <v>0</v>
      </c>
      <c r="AW1519" s="1">
        <v>0</v>
      </c>
      <c r="AX1519" s="1">
        <v>0</v>
      </c>
      <c r="AY1519" s="1">
        <v>0</v>
      </c>
      <c r="AZ1519" s="1">
        <v>0</v>
      </c>
      <c r="BA1519" s="1">
        <v>0</v>
      </c>
      <c r="BB1519" s="1">
        <v>0</v>
      </c>
      <c r="BC1519" s="1">
        <v>0</v>
      </c>
      <c r="BD1519" s="1">
        <v>0</v>
      </c>
      <c r="BE1519" s="1">
        <v>0</v>
      </c>
      <c r="BF1519" s="1">
        <v>0</v>
      </c>
      <c r="BG1519" s="1">
        <v>0</v>
      </c>
      <c r="BH1519" s="1">
        <v>0</v>
      </c>
      <c r="BI1519" s="1">
        <v>0</v>
      </c>
      <c r="BJ1519" s="1">
        <v>0</v>
      </c>
      <c r="BK1519" s="1">
        <v>0</v>
      </c>
      <c r="BL1519" s="1">
        <v>0</v>
      </c>
      <c r="BM1519" s="1">
        <v>0</v>
      </c>
      <c r="BN1519" s="1">
        <v>0</v>
      </c>
      <c r="BO1519" s="1">
        <v>0</v>
      </c>
      <c r="BP1519" s="1">
        <v>0</v>
      </c>
      <c r="BQ1519" s="1">
        <v>0</v>
      </c>
      <c r="BR1519" s="1">
        <v>0</v>
      </c>
      <c r="BS1519" s="1" t="s">
        <v>109</v>
      </c>
      <c r="BT1519" s="1">
        <v>1577</v>
      </c>
      <c r="BU1519" s="1">
        <v>1000</v>
      </c>
      <c r="BV1519" s="1"/>
      <c r="BW1519" s="1"/>
      <c r="BX1519" s="1"/>
      <c r="BY1519" s="1"/>
      <c r="BZ1519" s="1">
        <v>0</v>
      </c>
      <c r="CA1519" s="1" t="s">
        <v>109</v>
      </c>
      <c r="CB1519" s="1" t="s">
        <v>109</v>
      </c>
      <c r="CC1519" s="1" t="s">
        <v>109</v>
      </c>
      <c r="CD1519" s="1" t="s">
        <v>109</v>
      </c>
      <c r="CE1519" s="1" t="s">
        <v>109</v>
      </c>
      <c r="CF1519" s="1" t="s">
        <v>109</v>
      </c>
      <c r="CG1519" s="1" t="s">
        <v>109</v>
      </c>
      <c r="CH1519" s="1" t="s">
        <v>109</v>
      </c>
      <c r="CI1519" s="1" t="s">
        <v>109</v>
      </c>
      <c r="CJ1519" s="1" t="s">
        <v>109</v>
      </c>
      <c r="CK1519" s="1"/>
      <c r="CL1519" s="1">
        <v>0</v>
      </c>
      <c r="CM1519" s="1">
        <v>0</v>
      </c>
      <c r="CN1519" s="1">
        <v>0</v>
      </c>
    </row>
    <row r="1520" spans="1:92" ht="14.25" customHeight="1" x14ac:dyDescent="0.15">
      <c r="A1520" s="1" t="s">
        <v>11641</v>
      </c>
      <c r="B1520" s="1" t="s">
        <v>95</v>
      </c>
      <c r="C1520" s="1" t="s">
        <v>1522</v>
      </c>
      <c r="D1520" s="1"/>
      <c r="E1520" s="1" t="s">
        <v>11642</v>
      </c>
      <c r="F1520" s="1" t="s">
        <v>98</v>
      </c>
      <c r="G1520" s="1" t="s">
        <v>141</v>
      </c>
      <c r="H1520" s="1">
        <v>0</v>
      </c>
      <c r="I1520" s="1" t="s">
        <v>142</v>
      </c>
      <c r="J1520" s="1"/>
      <c r="K1520" s="1"/>
      <c r="L1520" s="1" t="s">
        <v>11643</v>
      </c>
      <c r="M1520" s="1" t="s">
        <v>11644</v>
      </c>
      <c r="N1520" s="1">
        <v>0</v>
      </c>
      <c r="O1520" s="1">
        <v>0</v>
      </c>
      <c r="P1520" s="1" t="s">
        <v>103</v>
      </c>
      <c r="Q1520" s="1" t="s">
        <v>104</v>
      </c>
      <c r="R1520" s="1" t="s">
        <v>11645</v>
      </c>
      <c r="S1520" s="1" t="s">
        <v>11646</v>
      </c>
      <c r="T1520" s="1" t="s">
        <v>11617</v>
      </c>
      <c r="U1520" s="1" t="s">
        <v>11647</v>
      </c>
      <c r="V1520" s="1">
        <v>1</v>
      </c>
      <c r="W1520" s="1">
        <v>1</v>
      </c>
      <c r="X1520" s="1">
        <v>0</v>
      </c>
      <c r="Y1520" s="1">
        <v>0</v>
      </c>
      <c r="Z1520" s="1">
        <v>0</v>
      </c>
      <c r="AA1520" s="1">
        <v>3</v>
      </c>
      <c r="AB1520" s="1">
        <v>3</v>
      </c>
      <c r="AC1520" s="1" t="s">
        <v>109</v>
      </c>
      <c r="AD1520" s="1" t="s">
        <v>109</v>
      </c>
      <c r="AE1520" s="1" t="s">
        <v>109</v>
      </c>
      <c r="AF1520" s="1">
        <v>2</v>
      </c>
      <c r="AG1520" s="1" t="s">
        <v>109</v>
      </c>
      <c r="AH1520" s="1" t="s">
        <v>109</v>
      </c>
      <c r="AI1520" s="1" t="s">
        <v>109</v>
      </c>
      <c r="AJ1520" s="1" t="s">
        <v>109</v>
      </c>
      <c r="AK1520" s="1" t="s">
        <v>109</v>
      </c>
      <c r="AL1520" s="1" t="s">
        <v>109</v>
      </c>
      <c r="AM1520" s="1" t="s">
        <v>109</v>
      </c>
      <c r="AN1520" s="1" t="s">
        <v>109</v>
      </c>
      <c r="AO1520" s="1" t="s">
        <v>109</v>
      </c>
      <c r="AP1520" s="1"/>
      <c r="AQ1520" s="1">
        <v>3</v>
      </c>
      <c r="AR1520" s="1"/>
      <c r="AS1520" s="1"/>
      <c r="AT1520" s="1">
        <v>0</v>
      </c>
      <c r="AU1520" s="1">
        <v>0</v>
      </c>
      <c r="AV1520" s="1">
        <v>0</v>
      </c>
      <c r="AW1520" s="1">
        <v>0</v>
      </c>
      <c r="AX1520" s="1">
        <v>0</v>
      </c>
      <c r="AY1520" s="1">
        <v>0</v>
      </c>
      <c r="AZ1520" s="1">
        <v>0</v>
      </c>
      <c r="BA1520" s="1">
        <v>0</v>
      </c>
      <c r="BB1520" s="1">
        <v>0</v>
      </c>
      <c r="BC1520" s="1">
        <v>0</v>
      </c>
      <c r="BD1520" s="1">
        <v>0</v>
      </c>
      <c r="BE1520" s="1">
        <v>0</v>
      </c>
      <c r="BF1520" s="1">
        <v>0</v>
      </c>
      <c r="BG1520" s="1">
        <v>0</v>
      </c>
      <c r="BH1520" s="1">
        <v>0</v>
      </c>
      <c r="BI1520" s="1">
        <v>0</v>
      </c>
      <c r="BJ1520" s="1">
        <v>0</v>
      </c>
      <c r="BK1520" s="1">
        <v>0</v>
      </c>
      <c r="BL1520" s="1">
        <v>0</v>
      </c>
      <c r="BM1520" s="1">
        <v>0</v>
      </c>
      <c r="BN1520" s="1">
        <v>0</v>
      </c>
      <c r="BO1520" s="1">
        <v>0</v>
      </c>
      <c r="BP1520" s="1">
        <v>0</v>
      </c>
      <c r="BQ1520" s="1">
        <v>0</v>
      </c>
      <c r="BR1520" s="1">
        <v>0</v>
      </c>
      <c r="BS1520" s="1" t="s">
        <v>109</v>
      </c>
      <c r="BT1520" s="1">
        <v>1578</v>
      </c>
      <c r="BU1520" s="1" t="s">
        <v>109</v>
      </c>
      <c r="BV1520" s="1"/>
      <c r="BW1520" s="1"/>
      <c r="BX1520" s="1"/>
      <c r="BY1520" s="1"/>
      <c r="BZ1520" s="1">
        <v>0</v>
      </c>
      <c r="CA1520" s="1" t="s">
        <v>109</v>
      </c>
      <c r="CB1520" s="1" t="s">
        <v>109</v>
      </c>
      <c r="CC1520" s="1" t="s">
        <v>109</v>
      </c>
      <c r="CD1520" s="1" t="s">
        <v>109</v>
      </c>
      <c r="CE1520" s="1" t="s">
        <v>109</v>
      </c>
      <c r="CF1520" s="1" t="s">
        <v>109</v>
      </c>
      <c r="CG1520" s="1" t="s">
        <v>109</v>
      </c>
      <c r="CH1520" s="1" t="s">
        <v>109</v>
      </c>
      <c r="CI1520" s="1" t="s">
        <v>109</v>
      </c>
      <c r="CJ1520" s="1" t="s">
        <v>109</v>
      </c>
      <c r="CK1520" s="1"/>
      <c r="CL1520" s="1">
        <v>0</v>
      </c>
      <c r="CM1520" s="1">
        <v>0</v>
      </c>
      <c r="CN1520" s="1">
        <v>0</v>
      </c>
    </row>
    <row r="1521" spans="1:92" ht="14.25" customHeight="1" x14ac:dyDescent="0.15">
      <c r="A1521" s="1" t="s">
        <v>11648</v>
      </c>
      <c r="B1521" s="1" t="s">
        <v>156</v>
      </c>
      <c r="C1521" s="1" t="s">
        <v>157</v>
      </c>
      <c r="D1521" s="1" t="s">
        <v>954</v>
      </c>
      <c r="E1521" s="1" t="s">
        <v>11649</v>
      </c>
      <c r="F1521" s="1" t="s">
        <v>395</v>
      </c>
      <c r="G1521" s="1" t="s">
        <v>333</v>
      </c>
      <c r="H1521" s="1">
        <v>0</v>
      </c>
      <c r="I1521" s="1" t="s">
        <v>11650</v>
      </c>
      <c r="J1521" s="1"/>
      <c r="K1521" s="1"/>
      <c r="L1521" s="1" t="s">
        <v>11651</v>
      </c>
      <c r="M1521" s="1" t="s">
        <v>11652</v>
      </c>
      <c r="N1521" s="1">
        <v>1</v>
      </c>
      <c r="O1521" s="1">
        <v>0</v>
      </c>
      <c r="P1521" s="1" t="s">
        <v>301</v>
      </c>
      <c r="Q1521" s="1" t="s">
        <v>268</v>
      </c>
      <c r="R1521" s="1" t="s">
        <v>11653</v>
      </c>
      <c r="S1521" s="1" t="s">
        <v>11654</v>
      </c>
      <c r="T1521" s="1" t="s">
        <v>11617</v>
      </c>
      <c r="U1521" s="1" t="s">
        <v>11655</v>
      </c>
      <c r="V1521" s="1">
        <v>1</v>
      </c>
      <c r="W1521" s="1">
        <v>0</v>
      </c>
      <c r="X1521" s="1">
        <v>0</v>
      </c>
      <c r="Y1521" s="1">
        <v>0</v>
      </c>
      <c r="Z1521" s="1">
        <v>0</v>
      </c>
      <c r="AA1521" s="1">
        <v>6</v>
      </c>
      <c r="AB1521" s="1">
        <v>6</v>
      </c>
      <c r="AC1521" s="1" t="s">
        <v>109</v>
      </c>
      <c r="AD1521" s="1" t="s">
        <v>109</v>
      </c>
      <c r="AE1521" s="1" t="s">
        <v>109</v>
      </c>
      <c r="AF1521" s="1">
        <v>6</v>
      </c>
      <c r="AG1521" s="1" t="s">
        <v>109</v>
      </c>
      <c r="AH1521" s="1" t="s">
        <v>109</v>
      </c>
      <c r="AI1521" s="1" t="s">
        <v>109</v>
      </c>
      <c r="AJ1521" s="1">
        <v>6</v>
      </c>
      <c r="AK1521" s="1">
        <v>6</v>
      </c>
      <c r="AL1521" s="1" t="s">
        <v>109</v>
      </c>
      <c r="AM1521" s="1" t="s">
        <v>109</v>
      </c>
      <c r="AN1521" s="1" t="s">
        <v>109</v>
      </c>
      <c r="AO1521" s="1" t="s">
        <v>109</v>
      </c>
      <c r="AP1521" s="1"/>
      <c r="AQ1521" s="1">
        <v>6</v>
      </c>
      <c r="AR1521" s="1"/>
      <c r="AS1521" s="1"/>
      <c r="AT1521" s="1">
        <v>0</v>
      </c>
      <c r="AU1521" s="1">
        <v>0</v>
      </c>
      <c r="AV1521" s="1">
        <v>0</v>
      </c>
      <c r="AW1521" s="1">
        <v>0</v>
      </c>
      <c r="AX1521" s="1">
        <v>0</v>
      </c>
      <c r="AY1521" s="1">
        <v>0</v>
      </c>
      <c r="AZ1521" s="1">
        <v>0</v>
      </c>
      <c r="BA1521" s="1">
        <v>0</v>
      </c>
      <c r="BB1521" s="1">
        <v>0</v>
      </c>
      <c r="BC1521" s="1">
        <v>0</v>
      </c>
      <c r="BD1521" s="1">
        <v>0</v>
      </c>
      <c r="BE1521" s="1">
        <v>0</v>
      </c>
      <c r="BF1521" s="1">
        <v>0</v>
      </c>
      <c r="BG1521" s="1">
        <v>0</v>
      </c>
      <c r="BH1521" s="1">
        <v>0</v>
      </c>
      <c r="BI1521" s="1">
        <v>0</v>
      </c>
      <c r="BJ1521" s="1">
        <v>1</v>
      </c>
      <c r="BK1521" s="1">
        <v>0</v>
      </c>
      <c r="BL1521" s="1">
        <v>0</v>
      </c>
      <c r="BM1521" s="1">
        <v>1</v>
      </c>
      <c r="BN1521" s="1">
        <v>0</v>
      </c>
      <c r="BO1521" s="1">
        <v>0</v>
      </c>
      <c r="BP1521" s="1">
        <v>0</v>
      </c>
      <c r="BQ1521" s="1">
        <v>0</v>
      </c>
      <c r="BR1521" s="1">
        <v>0</v>
      </c>
      <c r="BS1521" s="1" t="s">
        <v>109</v>
      </c>
      <c r="BT1521" s="1">
        <v>1579</v>
      </c>
      <c r="BU1521" s="1" t="s">
        <v>109</v>
      </c>
      <c r="BV1521" s="1"/>
      <c r="BW1521" s="1"/>
      <c r="BX1521" s="1"/>
      <c r="BY1521" s="1"/>
      <c r="BZ1521" s="1">
        <v>0</v>
      </c>
      <c r="CA1521" s="1" t="s">
        <v>109</v>
      </c>
      <c r="CB1521" s="1" t="s">
        <v>109</v>
      </c>
      <c r="CC1521" s="1" t="s">
        <v>109</v>
      </c>
      <c r="CD1521" s="1" t="s">
        <v>109</v>
      </c>
      <c r="CE1521" s="1" t="s">
        <v>109</v>
      </c>
      <c r="CF1521" s="1" t="s">
        <v>109</v>
      </c>
      <c r="CG1521" s="1" t="s">
        <v>109</v>
      </c>
      <c r="CH1521" s="1" t="s">
        <v>109</v>
      </c>
      <c r="CI1521" s="1" t="s">
        <v>109</v>
      </c>
      <c r="CJ1521" s="1" t="s">
        <v>109</v>
      </c>
      <c r="CK1521" s="1"/>
      <c r="CL1521" s="1">
        <v>0</v>
      </c>
      <c r="CM1521" s="1">
        <v>0</v>
      </c>
      <c r="CN1521" s="1">
        <v>0</v>
      </c>
    </row>
    <row r="1522" spans="1:92" ht="14.25" customHeight="1" x14ac:dyDescent="0.15">
      <c r="A1522" s="1" t="s">
        <v>11656</v>
      </c>
      <c r="B1522" s="1" t="s">
        <v>189</v>
      </c>
      <c r="C1522" s="1"/>
      <c r="D1522" s="1"/>
      <c r="E1522" s="1" t="s">
        <v>11023</v>
      </c>
      <c r="F1522" s="1" t="s">
        <v>98</v>
      </c>
      <c r="G1522" s="1" t="s">
        <v>11657</v>
      </c>
      <c r="H1522" s="1">
        <v>1</v>
      </c>
      <c r="I1522" s="1" t="s">
        <v>161</v>
      </c>
      <c r="J1522" s="1"/>
      <c r="K1522" s="1"/>
      <c r="L1522" s="1" t="s">
        <v>11658</v>
      </c>
      <c r="M1522" s="1" t="s">
        <v>280</v>
      </c>
      <c r="N1522" s="1">
        <v>0</v>
      </c>
      <c r="O1522" s="1">
        <v>0</v>
      </c>
      <c r="P1522" s="1" t="s">
        <v>103</v>
      </c>
      <c r="Q1522" s="1" t="s">
        <v>268</v>
      </c>
      <c r="R1522" s="1" t="s">
        <v>11659</v>
      </c>
      <c r="S1522" s="1" t="s">
        <v>11660</v>
      </c>
      <c r="T1522" s="1" t="s">
        <v>11661</v>
      </c>
      <c r="U1522" s="1" t="s">
        <v>11662</v>
      </c>
      <c r="V1522" s="1">
        <v>1</v>
      </c>
      <c r="W1522" s="1">
        <v>1</v>
      </c>
      <c r="X1522" s="1">
        <v>1</v>
      </c>
      <c r="Y1522" s="1">
        <v>0</v>
      </c>
      <c r="Z1522" s="1">
        <v>1</v>
      </c>
      <c r="AA1522" s="1" t="s">
        <v>109</v>
      </c>
      <c r="AB1522" s="1" t="s">
        <v>109</v>
      </c>
      <c r="AC1522" s="1">
        <v>1</v>
      </c>
      <c r="AD1522" s="1">
        <v>1</v>
      </c>
      <c r="AE1522" s="1" t="s">
        <v>109</v>
      </c>
      <c r="AF1522" s="1" t="s">
        <v>109</v>
      </c>
      <c r="AG1522" s="1" t="s">
        <v>109</v>
      </c>
      <c r="AH1522" s="1" t="s">
        <v>109</v>
      </c>
      <c r="AI1522" s="1" t="s">
        <v>109</v>
      </c>
      <c r="AJ1522" s="1" t="s">
        <v>109</v>
      </c>
      <c r="AK1522" s="1" t="s">
        <v>109</v>
      </c>
      <c r="AL1522" s="1">
        <v>1</v>
      </c>
      <c r="AM1522" s="1" t="s">
        <v>109</v>
      </c>
      <c r="AN1522" s="1" t="s">
        <v>109</v>
      </c>
      <c r="AO1522" s="1" t="s">
        <v>109</v>
      </c>
      <c r="AP1522" s="1" t="s">
        <v>11663</v>
      </c>
      <c r="AQ1522" s="1">
        <v>1</v>
      </c>
      <c r="AR1522" s="1"/>
      <c r="AS1522" s="1"/>
      <c r="AT1522" s="1">
        <v>0</v>
      </c>
      <c r="AU1522" s="1">
        <v>0</v>
      </c>
      <c r="AV1522" s="1">
        <v>0</v>
      </c>
      <c r="AW1522" s="1">
        <v>0</v>
      </c>
      <c r="AX1522" s="1">
        <v>0</v>
      </c>
      <c r="AY1522" s="1">
        <v>0</v>
      </c>
      <c r="AZ1522" s="1">
        <v>0</v>
      </c>
      <c r="BA1522" s="1">
        <v>0</v>
      </c>
      <c r="BB1522" s="1">
        <v>0</v>
      </c>
      <c r="BC1522" s="1">
        <v>0</v>
      </c>
      <c r="BD1522" s="1">
        <v>0</v>
      </c>
      <c r="BE1522" s="1">
        <v>0</v>
      </c>
      <c r="BF1522" s="1">
        <v>0</v>
      </c>
      <c r="BG1522" s="1">
        <v>0</v>
      </c>
      <c r="BH1522" s="1">
        <v>0</v>
      </c>
      <c r="BI1522" s="1">
        <v>0</v>
      </c>
      <c r="BJ1522" s="1">
        <v>0</v>
      </c>
      <c r="BK1522" s="1">
        <v>0</v>
      </c>
      <c r="BL1522" s="1">
        <v>0</v>
      </c>
      <c r="BM1522" s="1">
        <v>0</v>
      </c>
      <c r="BN1522" s="1">
        <v>0</v>
      </c>
      <c r="BO1522" s="1">
        <v>0</v>
      </c>
      <c r="BP1522" s="1">
        <v>0</v>
      </c>
      <c r="BQ1522" s="1">
        <v>0</v>
      </c>
      <c r="BR1522" s="1">
        <v>0</v>
      </c>
      <c r="BS1522" s="1" t="s">
        <v>109</v>
      </c>
      <c r="BT1522" s="1">
        <v>1581</v>
      </c>
      <c r="BU1522" s="1">
        <v>1</v>
      </c>
      <c r="BV1522" s="1"/>
      <c r="BW1522" s="1"/>
      <c r="BX1522" s="1"/>
      <c r="BY1522" s="1"/>
      <c r="BZ1522" s="1">
        <v>0</v>
      </c>
      <c r="CA1522" s="1" t="s">
        <v>109</v>
      </c>
      <c r="CB1522" s="1" t="s">
        <v>109</v>
      </c>
      <c r="CC1522" s="1" t="s">
        <v>109</v>
      </c>
      <c r="CD1522" s="1" t="s">
        <v>109</v>
      </c>
      <c r="CE1522" s="1" t="s">
        <v>109</v>
      </c>
      <c r="CF1522" s="1" t="s">
        <v>109</v>
      </c>
      <c r="CG1522" s="1" t="s">
        <v>109</v>
      </c>
      <c r="CH1522" s="1" t="s">
        <v>109</v>
      </c>
      <c r="CI1522" s="1" t="s">
        <v>109</v>
      </c>
      <c r="CJ1522" s="1">
        <v>1</v>
      </c>
      <c r="CK1522" s="1"/>
      <c r="CL1522" s="1">
        <v>0</v>
      </c>
      <c r="CM1522" s="1">
        <v>0</v>
      </c>
      <c r="CN1522" s="1">
        <v>0</v>
      </c>
    </row>
    <row r="1523" spans="1:92" ht="14.25" customHeight="1" x14ac:dyDescent="0.15">
      <c r="A1523" s="1" t="s">
        <v>11664</v>
      </c>
      <c r="B1523" s="1" t="s">
        <v>308</v>
      </c>
      <c r="C1523" s="1"/>
      <c r="D1523" s="1"/>
      <c r="E1523" s="1" t="s">
        <v>11665</v>
      </c>
      <c r="F1523" s="1" t="s">
        <v>98</v>
      </c>
      <c r="G1523" s="1" t="s">
        <v>11666</v>
      </c>
      <c r="H1523" s="1">
        <v>0</v>
      </c>
      <c r="I1523" s="1" t="s">
        <v>161</v>
      </c>
      <c r="J1523" s="1"/>
      <c r="K1523" s="1"/>
      <c r="L1523" s="1" t="s">
        <v>2571</v>
      </c>
      <c r="M1523" s="1" t="s">
        <v>3444</v>
      </c>
      <c r="N1523" s="1">
        <v>0</v>
      </c>
      <c r="O1523" s="1">
        <v>0</v>
      </c>
      <c r="P1523" s="1" t="s">
        <v>1382</v>
      </c>
      <c r="Q1523" s="1" t="s">
        <v>167</v>
      </c>
      <c r="R1523" s="1" t="s">
        <v>11667</v>
      </c>
      <c r="S1523" s="1" t="s">
        <v>11668</v>
      </c>
      <c r="T1523" s="1" t="s">
        <v>11669</v>
      </c>
      <c r="U1523" s="1" t="s">
        <v>11670</v>
      </c>
      <c r="V1523" s="1">
        <v>1</v>
      </c>
      <c r="W1523" s="1">
        <v>1</v>
      </c>
      <c r="X1523" s="1">
        <v>1</v>
      </c>
      <c r="Y1523" s="1">
        <v>0</v>
      </c>
      <c r="Z1523" s="1">
        <v>0</v>
      </c>
      <c r="AA1523" s="1">
        <v>1</v>
      </c>
      <c r="AB1523" s="1">
        <v>1</v>
      </c>
      <c r="AC1523" s="1" t="s">
        <v>109</v>
      </c>
      <c r="AD1523" s="1" t="s">
        <v>109</v>
      </c>
      <c r="AE1523" s="1" t="s">
        <v>109</v>
      </c>
      <c r="AF1523" s="1" t="s">
        <v>109</v>
      </c>
      <c r="AG1523" s="1">
        <v>1</v>
      </c>
      <c r="AH1523" s="1" t="s">
        <v>109</v>
      </c>
      <c r="AI1523" s="1" t="s">
        <v>109</v>
      </c>
      <c r="AJ1523" s="1" t="s">
        <v>109</v>
      </c>
      <c r="AK1523" s="1">
        <v>1</v>
      </c>
      <c r="AL1523" s="1" t="s">
        <v>109</v>
      </c>
      <c r="AM1523" s="1" t="s">
        <v>109</v>
      </c>
      <c r="AN1523" s="1">
        <v>1</v>
      </c>
      <c r="AO1523" s="1" t="s">
        <v>109</v>
      </c>
      <c r="AP1523" s="1"/>
      <c r="AQ1523" s="1">
        <v>1</v>
      </c>
      <c r="AR1523" s="1"/>
      <c r="AS1523" s="1"/>
      <c r="AT1523" s="1">
        <v>0</v>
      </c>
      <c r="AU1523" s="1">
        <v>0</v>
      </c>
      <c r="AV1523" s="1">
        <v>0</v>
      </c>
      <c r="AW1523" s="1">
        <v>0</v>
      </c>
      <c r="AX1523" s="1">
        <v>0</v>
      </c>
      <c r="AY1523" s="1">
        <v>0</v>
      </c>
      <c r="AZ1523" s="1">
        <v>0</v>
      </c>
      <c r="BA1523" s="1">
        <v>0</v>
      </c>
      <c r="BB1523" s="1">
        <v>0</v>
      </c>
      <c r="BC1523" s="1">
        <v>0</v>
      </c>
      <c r="BD1523" s="1">
        <v>0</v>
      </c>
      <c r="BE1523" s="1">
        <v>0</v>
      </c>
      <c r="BF1523" s="1">
        <v>0</v>
      </c>
      <c r="BG1523" s="1">
        <v>0</v>
      </c>
      <c r="BH1523" s="1">
        <v>0</v>
      </c>
      <c r="BI1523" s="1">
        <v>0</v>
      </c>
      <c r="BJ1523" s="1">
        <v>0</v>
      </c>
      <c r="BK1523" s="1">
        <v>0</v>
      </c>
      <c r="BL1523" s="1">
        <v>0</v>
      </c>
      <c r="BM1523" s="1">
        <v>0</v>
      </c>
      <c r="BN1523" s="1">
        <v>0</v>
      </c>
      <c r="BO1523" s="1">
        <v>0</v>
      </c>
      <c r="BP1523" s="1">
        <v>0</v>
      </c>
      <c r="BQ1523" s="1">
        <v>0</v>
      </c>
      <c r="BR1523" s="1">
        <v>0</v>
      </c>
      <c r="BS1523" s="1" t="s">
        <v>109</v>
      </c>
      <c r="BT1523" s="1">
        <v>1582</v>
      </c>
      <c r="BU1523" s="1" t="s">
        <v>109</v>
      </c>
      <c r="BV1523" s="1"/>
      <c r="BW1523" s="1"/>
      <c r="BX1523" s="1"/>
      <c r="BY1523" s="1"/>
      <c r="BZ1523" s="1">
        <v>0</v>
      </c>
      <c r="CA1523" s="1" t="s">
        <v>109</v>
      </c>
      <c r="CB1523" s="1" t="s">
        <v>109</v>
      </c>
      <c r="CC1523" s="1" t="s">
        <v>109</v>
      </c>
      <c r="CD1523" s="1" t="s">
        <v>109</v>
      </c>
      <c r="CE1523" s="1" t="s">
        <v>109</v>
      </c>
      <c r="CF1523" s="1" t="s">
        <v>109</v>
      </c>
      <c r="CG1523" s="1" t="s">
        <v>109</v>
      </c>
      <c r="CH1523" s="1" t="s">
        <v>109</v>
      </c>
      <c r="CI1523" s="1" t="s">
        <v>109</v>
      </c>
      <c r="CJ1523" s="1" t="s">
        <v>109</v>
      </c>
      <c r="CK1523" s="1"/>
      <c r="CL1523" s="1">
        <v>0</v>
      </c>
      <c r="CM1523" s="1">
        <v>0</v>
      </c>
      <c r="CN1523" s="1">
        <v>0</v>
      </c>
    </row>
    <row r="1524" spans="1:92" ht="14.25" customHeight="1" x14ac:dyDescent="0.15">
      <c r="A1524" s="1" t="s">
        <v>11671</v>
      </c>
      <c r="B1524" s="1" t="s">
        <v>189</v>
      </c>
      <c r="C1524" s="1"/>
      <c r="D1524" s="1"/>
      <c r="E1524" s="1" t="s">
        <v>11672</v>
      </c>
      <c r="F1524" s="1" t="s">
        <v>98</v>
      </c>
      <c r="G1524" s="1" t="s">
        <v>11673</v>
      </c>
      <c r="H1524" s="1">
        <v>0</v>
      </c>
      <c r="I1524" s="1" t="s">
        <v>161</v>
      </c>
      <c r="J1524" s="1"/>
      <c r="K1524" s="1"/>
      <c r="L1524" s="1" t="s">
        <v>11674</v>
      </c>
      <c r="M1524" s="1" t="s">
        <v>3246</v>
      </c>
      <c r="N1524" s="1">
        <v>0</v>
      </c>
      <c r="O1524" s="1">
        <v>0</v>
      </c>
      <c r="P1524" s="1" t="s">
        <v>103</v>
      </c>
      <c r="Q1524" s="1" t="s">
        <v>167</v>
      </c>
      <c r="R1524" s="1" t="s">
        <v>11675</v>
      </c>
      <c r="S1524" s="1" t="s">
        <v>11676</v>
      </c>
      <c r="T1524" s="1" t="s">
        <v>11669</v>
      </c>
      <c r="U1524" s="1" t="s">
        <v>11677</v>
      </c>
      <c r="V1524" s="1">
        <v>1</v>
      </c>
      <c r="W1524" s="1">
        <v>1</v>
      </c>
      <c r="X1524" s="1">
        <v>1</v>
      </c>
      <c r="Y1524" s="1">
        <v>0</v>
      </c>
      <c r="Z1524" s="1">
        <v>0</v>
      </c>
      <c r="AA1524" s="1">
        <v>2</v>
      </c>
      <c r="AB1524" s="1">
        <v>2</v>
      </c>
      <c r="AC1524" s="1" t="s">
        <v>109</v>
      </c>
      <c r="AD1524" s="1">
        <v>2</v>
      </c>
      <c r="AE1524" s="1">
        <v>2</v>
      </c>
      <c r="AF1524" s="1" t="s">
        <v>109</v>
      </c>
      <c r="AG1524" s="1">
        <v>2</v>
      </c>
      <c r="AH1524" s="1" t="s">
        <v>109</v>
      </c>
      <c r="AI1524" s="1" t="s">
        <v>109</v>
      </c>
      <c r="AJ1524" s="1">
        <v>2</v>
      </c>
      <c r="AK1524" s="1" t="s">
        <v>109</v>
      </c>
      <c r="AL1524" s="1" t="s">
        <v>109</v>
      </c>
      <c r="AM1524" s="1" t="s">
        <v>109</v>
      </c>
      <c r="AN1524" s="1" t="s">
        <v>109</v>
      </c>
      <c r="AO1524" s="1" t="s">
        <v>109</v>
      </c>
      <c r="AP1524" s="1"/>
      <c r="AQ1524" s="1">
        <v>2</v>
      </c>
      <c r="AR1524" s="1"/>
      <c r="AS1524" s="1"/>
      <c r="AT1524" s="1">
        <v>0</v>
      </c>
      <c r="AU1524" s="1">
        <v>0</v>
      </c>
      <c r="AV1524" s="1">
        <v>0</v>
      </c>
      <c r="AW1524" s="1">
        <v>0</v>
      </c>
      <c r="AX1524" s="1">
        <v>0</v>
      </c>
      <c r="AY1524" s="1">
        <v>0</v>
      </c>
      <c r="AZ1524" s="1">
        <v>0</v>
      </c>
      <c r="BA1524" s="1">
        <v>0</v>
      </c>
      <c r="BB1524" s="1">
        <v>0</v>
      </c>
      <c r="BC1524" s="1">
        <v>0</v>
      </c>
      <c r="BD1524" s="1">
        <v>0</v>
      </c>
      <c r="BE1524" s="1">
        <v>0</v>
      </c>
      <c r="BF1524" s="1">
        <v>0</v>
      </c>
      <c r="BG1524" s="1">
        <v>0</v>
      </c>
      <c r="BH1524" s="1">
        <v>0</v>
      </c>
      <c r="BI1524" s="1">
        <v>0</v>
      </c>
      <c r="BJ1524" s="1">
        <v>0</v>
      </c>
      <c r="BK1524" s="1">
        <v>0</v>
      </c>
      <c r="BL1524" s="1">
        <v>0</v>
      </c>
      <c r="BM1524" s="1">
        <v>0</v>
      </c>
      <c r="BN1524" s="1">
        <v>0</v>
      </c>
      <c r="BO1524" s="1">
        <v>0</v>
      </c>
      <c r="BP1524" s="1">
        <v>0</v>
      </c>
      <c r="BQ1524" s="1">
        <v>0</v>
      </c>
      <c r="BR1524" s="1">
        <v>0</v>
      </c>
      <c r="BS1524" s="1" t="s">
        <v>109</v>
      </c>
      <c r="BT1524" s="1">
        <v>1583</v>
      </c>
      <c r="BU1524" s="1" t="s">
        <v>109</v>
      </c>
      <c r="BV1524" s="1"/>
      <c r="BW1524" s="1"/>
      <c r="BX1524" s="1"/>
      <c r="BY1524" s="1"/>
      <c r="BZ1524" s="1">
        <v>0</v>
      </c>
      <c r="CA1524" s="1" t="s">
        <v>109</v>
      </c>
      <c r="CB1524" s="1" t="s">
        <v>109</v>
      </c>
      <c r="CC1524" s="1" t="s">
        <v>109</v>
      </c>
      <c r="CD1524" s="1" t="s">
        <v>109</v>
      </c>
      <c r="CE1524" s="1" t="s">
        <v>109</v>
      </c>
      <c r="CF1524" s="1" t="s">
        <v>109</v>
      </c>
      <c r="CG1524" s="1" t="s">
        <v>109</v>
      </c>
      <c r="CH1524" s="1" t="s">
        <v>109</v>
      </c>
      <c r="CI1524" s="1" t="s">
        <v>109</v>
      </c>
      <c r="CJ1524" s="1">
        <v>2</v>
      </c>
      <c r="CK1524" s="1"/>
      <c r="CL1524" s="1">
        <v>0</v>
      </c>
      <c r="CM1524" s="1">
        <v>0</v>
      </c>
      <c r="CN1524" s="1">
        <v>0</v>
      </c>
    </row>
    <row r="1525" spans="1:92" ht="14.25" customHeight="1" x14ac:dyDescent="0.15">
      <c r="A1525" s="1" t="s">
        <v>11678</v>
      </c>
      <c r="B1525" s="1" t="s">
        <v>674</v>
      </c>
      <c r="C1525" s="1"/>
      <c r="D1525" s="1"/>
      <c r="E1525" s="1" t="s">
        <v>11679</v>
      </c>
      <c r="F1525" s="1" t="s">
        <v>98</v>
      </c>
      <c r="G1525" s="1" t="s">
        <v>11680</v>
      </c>
      <c r="H1525" s="1">
        <v>0</v>
      </c>
      <c r="I1525" s="1" t="s">
        <v>161</v>
      </c>
      <c r="J1525" s="1"/>
      <c r="K1525" s="1"/>
      <c r="L1525" s="1" t="s">
        <v>506</v>
      </c>
      <c r="M1525" s="1" t="s">
        <v>5642</v>
      </c>
      <c r="N1525" s="1">
        <v>0</v>
      </c>
      <c r="O1525" s="1">
        <v>0</v>
      </c>
      <c r="P1525" s="1" t="s">
        <v>1382</v>
      </c>
      <c r="Q1525" s="1" t="s">
        <v>167</v>
      </c>
      <c r="R1525" s="1" t="s">
        <v>11681</v>
      </c>
      <c r="S1525" s="1" t="s">
        <v>11682</v>
      </c>
      <c r="T1525" s="1" t="s">
        <v>11669</v>
      </c>
      <c r="U1525" s="1" t="s">
        <v>11683</v>
      </c>
      <c r="V1525" s="1">
        <v>1</v>
      </c>
      <c r="W1525" s="1">
        <v>1</v>
      </c>
      <c r="X1525" s="1">
        <v>1</v>
      </c>
      <c r="Y1525" s="1">
        <v>0</v>
      </c>
      <c r="Z1525" s="1">
        <v>0</v>
      </c>
      <c r="AA1525" s="1">
        <v>1</v>
      </c>
      <c r="AB1525" s="1">
        <v>1</v>
      </c>
      <c r="AC1525" s="1">
        <v>1</v>
      </c>
      <c r="AD1525" s="1" t="s">
        <v>109</v>
      </c>
      <c r="AE1525" s="1" t="s">
        <v>109</v>
      </c>
      <c r="AF1525" s="1">
        <v>1</v>
      </c>
      <c r="AG1525" s="1" t="s">
        <v>109</v>
      </c>
      <c r="AH1525" s="1" t="s">
        <v>109</v>
      </c>
      <c r="AI1525" s="1" t="s">
        <v>109</v>
      </c>
      <c r="AJ1525" s="1" t="s">
        <v>109</v>
      </c>
      <c r="AK1525" s="1" t="s">
        <v>109</v>
      </c>
      <c r="AL1525" s="1">
        <v>1</v>
      </c>
      <c r="AM1525" s="1" t="s">
        <v>109</v>
      </c>
      <c r="AN1525" s="1">
        <v>1</v>
      </c>
      <c r="AO1525" s="1" t="s">
        <v>109</v>
      </c>
      <c r="AP1525" s="1"/>
      <c r="AQ1525" s="1">
        <v>1</v>
      </c>
      <c r="AR1525" s="1"/>
      <c r="AS1525" s="1"/>
      <c r="AT1525" s="1">
        <v>0</v>
      </c>
      <c r="AU1525" s="1">
        <v>0</v>
      </c>
      <c r="AV1525" s="1">
        <v>0</v>
      </c>
      <c r="AW1525" s="1">
        <v>0</v>
      </c>
      <c r="AX1525" s="1">
        <v>0</v>
      </c>
      <c r="AY1525" s="1">
        <v>0</v>
      </c>
      <c r="AZ1525" s="1">
        <v>0</v>
      </c>
      <c r="BA1525" s="1">
        <v>0</v>
      </c>
      <c r="BB1525" s="1">
        <v>0</v>
      </c>
      <c r="BC1525" s="1">
        <v>0</v>
      </c>
      <c r="BD1525" s="1">
        <v>0</v>
      </c>
      <c r="BE1525" s="1">
        <v>0</v>
      </c>
      <c r="BF1525" s="1">
        <v>0</v>
      </c>
      <c r="BG1525" s="1">
        <v>0</v>
      </c>
      <c r="BH1525" s="1">
        <v>0</v>
      </c>
      <c r="BI1525" s="1">
        <v>0</v>
      </c>
      <c r="BJ1525" s="1">
        <v>0</v>
      </c>
      <c r="BK1525" s="1">
        <v>0</v>
      </c>
      <c r="BL1525" s="1">
        <v>0</v>
      </c>
      <c r="BM1525" s="1">
        <v>0</v>
      </c>
      <c r="BN1525" s="1">
        <v>0</v>
      </c>
      <c r="BO1525" s="1">
        <v>0</v>
      </c>
      <c r="BP1525" s="1">
        <v>0</v>
      </c>
      <c r="BQ1525" s="1">
        <v>0</v>
      </c>
      <c r="BR1525" s="1">
        <v>0</v>
      </c>
      <c r="BS1525" s="1" t="s">
        <v>109</v>
      </c>
      <c r="BT1525" s="1">
        <v>1584</v>
      </c>
      <c r="BU1525" s="1" t="s">
        <v>109</v>
      </c>
      <c r="BV1525" s="1"/>
      <c r="BW1525" s="1"/>
      <c r="BX1525" s="1"/>
      <c r="BY1525" s="1"/>
      <c r="BZ1525" s="1">
        <v>0</v>
      </c>
      <c r="CA1525" s="1" t="s">
        <v>109</v>
      </c>
      <c r="CB1525" s="1" t="s">
        <v>109</v>
      </c>
      <c r="CC1525" s="1" t="s">
        <v>109</v>
      </c>
      <c r="CD1525" s="1" t="s">
        <v>109</v>
      </c>
      <c r="CE1525" s="1" t="s">
        <v>109</v>
      </c>
      <c r="CF1525" s="1" t="s">
        <v>109</v>
      </c>
      <c r="CG1525" s="1" t="s">
        <v>109</v>
      </c>
      <c r="CH1525" s="1" t="s">
        <v>109</v>
      </c>
      <c r="CI1525" s="1" t="s">
        <v>109</v>
      </c>
      <c r="CJ1525" s="1" t="s">
        <v>109</v>
      </c>
      <c r="CK1525" s="1"/>
      <c r="CL1525" s="1">
        <v>0</v>
      </c>
      <c r="CM1525" s="1">
        <v>0</v>
      </c>
      <c r="CN1525" s="1">
        <v>0</v>
      </c>
    </row>
    <row r="1526" spans="1:92" ht="14.25" customHeight="1" x14ac:dyDescent="0.15">
      <c r="A1526" s="1" t="s">
        <v>11684</v>
      </c>
      <c r="B1526" s="1" t="s">
        <v>189</v>
      </c>
      <c r="C1526" s="1"/>
      <c r="D1526" s="1"/>
      <c r="E1526" s="1" t="s">
        <v>11685</v>
      </c>
      <c r="F1526" s="1" t="s">
        <v>98</v>
      </c>
      <c r="G1526" s="1" t="s">
        <v>11686</v>
      </c>
      <c r="H1526" s="1">
        <v>0</v>
      </c>
      <c r="I1526" s="1" t="s">
        <v>161</v>
      </c>
      <c r="J1526" s="1"/>
      <c r="K1526" s="1"/>
      <c r="L1526" s="1" t="s">
        <v>506</v>
      </c>
      <c r="M1526" s="1" t="s">
        <v>289</v>
      </c>
      <c r="N1526" s="1">
        <v>0</v>
      </c>
      <c r="O1526" s="1">
        <v>0</v>
      </c>
      <c r="P1526" s="1" t="s">
        <v>507</v>
      </c>
      <c r="Q1526" s="1" t="s">
        <v>167</v>
      </c>
      <c r="R1526" s="1" t="s">
        <v>11687</v>
      </c>
      <c r="S1526" s="1" t="s">
        <v>11688</v>
      </c>
      <c r="T1526" s="1" t="s">
        <v>11669</v>
      </c>
      <c r="U1526" s="1" t="s">
        <v>11689</v>
      </c>
      <c r="V1526" s="1">
        <v>0</v>
      </c>
      <c r="W1526" s="1">
        <v>1</v>
      </c>
      <c r="X1526" s="1">
        <v>0</v>
      </c>
      <c r="Y1526" s="1">
        <v>0</v>
      </c>
      <c r="Z1526" s="1">
        <v>0</v>
      </c>
      <c r="AA1526" s="1">
        <v>1</v>
      </c>
      <c r="AB1526" s="1">
        <v>1</v>
      </c>
      <c r="AC1526" s="1" t="s">
        <v>109</v>
      </c>
      <c r="AD1526" s="1" t="s">
        <v>109</v>
      </c>
      <c r="AE1526" s="1" t="s">
        <v>109</v>
      </c>
      <c r="AF1526" s="1" t="s">
        <v>109</v>
      </c>
      <c r="AG1526" s="1">
        <v>1</v>
      </c>
      <c r="AH1526" s="1" t="s">
        <v>109</v>
      </c>
      <c r="AI1526" s="1" t="s">
        <v>109</v>
      </c>
      <c r="AJ1526" s="1" t="s">
        <v>109</v>
      </c>
      <c r="AK1526" s="1" t="s">
        <v>109</v>
      </c>
      <c r="AL1526" s="1" t="s">
        <v>109</v>
      </c>
      <c r="AM1526" s="1" t="s">
        <v>109</v>
      </c>
      <c r="AN1526" s="1">
        <v>1</v>
      </c>
      <c r="AO1526" s="1" t="s">
        <v>109</v>
      </c>
      <c r="AP1526" s="1"/>
      <c r="AQ1526" s="1">
        <v>1</v>
      </c>
      <c r="AR1526" s="1"/>
      <c r="AS1526" s="1"/>
      <c r="AT1526" s="1">
        <v>0</v>
      </c>
      <c r="AU1526" s="1">
        <v>0</v>
      </c>
      <c r="AV1526" s="1">
        <v>0</v>
      </c>
      <c r="AW1526" s="1">
        <v>0</v>
      </c>
      <c r="AX1526" s="1">
        <v>0</v>
      </c>
      <c r="AY1526" s="1">
        <v>0</v>
      </c>
      <c r="AZ1526" s="1">
        <v>0</v>
      </c>
      <c r="BA1526" s="1">
        <v>0</v>
      </c>
      <c r="BB1526" s="1">
        <v>0</v>
      </c>
      <c r="BC1526" s="1">
        <v>0</v>
      </c>
      <c r="BD1526" s="1">
        <v>0</v>
      </c>
      <c r="BE1526" s="1">
        <v>0</v>
      </c>
      <c r="BF1526" s="1">
        <v>0</v>
      </c>
      <c r="BG1526" s="1">
        <v>0</v>
      </c>
      <c r="BH1526" s="1">
        <v>0</v>
      </c>
      <c r="BI1526" s="1">
        <v>0</v>
      </c>
      <c r="BJ1526" s="1">
        <v>0</v>
      </c>
      <c r="BK1526" s="1">
        <v>0</v>
      </c>
      <c r="BL1526" s="1">
        <v>0</v>
      </c>
      <c r="BM1526" s="1">
        <v>0</v>
      </c>
      <c r="BN1526" s="1">
        <v>0</v>
      </c>
      <c r="BO1526" s="1">
        <v>0</v>
      </c>
      <c r="BP1526" s="1">
        <v>0</v>
      </c>
      <c r="BQ1526" s="1">
        <v>0</v>
      </c>
      <c r="BR1526" s="1">
        <v>0</v>
      </c>
      <c r="BS1526" s="1" t="s">
        <v>109</v>
      </c>
      <c r="BT1526" s="1">
        <v>1585</v>
      </c>
      <c r="BU1526" s="1" t="s">
        <v>109</v>
      </c>
      <c r="BV1526" s="1"/>
      <c r="BW1526" s="1"/>
      <c r="BX1526" s="1"/>
      <c r="BY1526" s="1"/>
      <c r="BZ1526" s="1">
        <v>0</v>
      </c>
      <c r="CA1526" s="1" t="s">
        <v>109</v>
      </c>
      <c r="CB1526" s="1" t="s">
        <v>109</v>
      </c>
      <c r="CC1526" s="1" t="s">
        <v>109</v>
      </c>
      <c r="CD1526" s="1" t="s">
        <v>109</v>
      </c>
      <c r="CE1526" s="1" t="s">
        <v>109</v>
      </c>
      <c r="CF1526" s="1" t="s">
        <v>109</v>
      </c>
      <c r="CG1526" s="1" t="s">
        <v>109</v>
      </c>
      <c r="CH1526" s="1" t="s">
        <v>109</v>
      </c>
      <c r="CI1526" s="1" t="s">
        <v>109</v>
      </c>
      <c r="CJ1526" s="1" t="s">
        <v>109</v>
      </c>
      <c r="CK1526" s="1"/>
      <c r="CL1526" s="1">
        <v>0</v>
      </c>
      <c r="CM1526" s="1">
        <v>0</v>
      </c>
      <c r="CN1526" s="1">
        <v>0</v>
      </c>
    </row>
    <row r="1527" spans="1:92" ht="14.25" customHeight="1" x14ac:dyDescent="0.15">
      <c r="A1527" s="1" t="s">
        <v>11690</v>
      </c>
      <c r="B1527" s="1" t="s">
        <v>156</v>
      </c>
      <c r="C1527" s="1"/>
      <c r="D1527" s="1"/>
      <c r="E1527" s="1" t="s">
        <v>11691</v>
      </c>
      <c r="F1527" s="1" t="s">
        <v>98</v>
      </c>
      <c r="G1527" s="1" t="s">
        <v>141</v>
      </c>
      <c r="H1527" s="1">
        <v>0</v>
      </c>
      <c r="I1527" s="1" t="s">
        <v>161</v>
      </c>
      <c r="J1527" s="1"/>
      <c r="K1527" s="1"/>
      <c r="L1527" s="1" t="s">
        <v>11692</v>
      </c>
      <c r="M1527" s="1" t="s">
        <v>11693</v>
      </c>
      <c r="N1527" s="1">
        <v>0</v>
      </c>
      <c r="O1527" s="1">
        <v>0</v>
      </c>
      <c r="P1527" s="1" t="s">
        <v>507</v>
      </c>
      <c r="Q1527" s="1" t="s">
        <v>167</v>
      </c>
      <c r="R1527" s="1" t="s">
        <v>11694</v>
      </c>
      <c r="S1527" s="1" t="s">
        <v>11695</v>
      </c>
      <c r="T1527" s="1" t="s">
        <v>11669</v>
      </c>
      <c r="U1527" s="1" t="s">
        <v>11696</v>
      </c>
      <c r="V1527" s="1">
        <v>1</v>
      </c>
      <c r="W1527" s="1">
        <v>1</v>
      </c>
      <c r="X1527" s="1">
        <v>0</v>
      </c>
      <c r="Y1527" s="1">
        <v>0</v>
      </c>
      <c r="Z1527" s="1">
        <v>0</v>
      </c>
      <c r="AA1527" s="1">
        <v>1</v>
      </c>
      <c r="AB1527" s="1">
        <v>1</v>
      </c>
      <c r="AC1527" s="1" t="s">
        <v>109</v>
      </c>
      <c r="AD1527" s="1" t="s">
        <v>109</v>
      </c>
      <c r="AE1527" s="1">
        <v>1</v>
      </c>
      <c r="AF1527" s="1" t="s">
        <v>109</v>
      </c>
      <c r="AG1527" s="1">
        <v>1</v>
      </c>
      <c r="AH1527" s="1" t="s">
        <v>109</v>
      </c>
      <c r="AI1527" s="1" t="s">
        <v>109</v>
      </c>
      <c r="AJ1527" s="1" t="s">
        <v>109</v>
      </c>
      <c r="AK1527" s="1">
        <v>1</v>
      </c>
      <c r="AL1527" s="1" t="s">
        <v>109</v>
      </c>
      <c r="AM1527" s="1" t="s">
        <v>109</v>
      </c>
      <c r="AN1527" s="1">
        <v>1</v>
      </c>
      <c r="AO1527" s="1" t="s">
        <v>109</v>
      </c>
      <c r="AP1527" s="1"/>
      <c r="AQ1527" s="1">
        <v>1</v>
      </c>
      <c r="AR1527" s="1"/>
      <c r="AS1527" s="1"/>
      <c r="AT1527" s="1">
        <v>0</v>
      </c>
      <c r="AU1527" s="1">
        <v>0</v>
      </c>
      <c r="AV1527" s="1">
        <v>0</v>
      </c>
      <c r="AW1527" s="1">
        <v>0</v>
      </c>
      <c r="AX1527" s="1">
        <v>0</v>
      </c>
      <c r="AY1527" s="1">
        <v>0</v>
      </c>
      <c r="AZ1527" s="1">
        <v>0</v>
      </c>
      <c r="BA1527" s="1">
        <v>0</v>
      </c>
      <c r="BB1527" s="1">
        <v>0</v>
      </c>
      <c r="BC1527" s="1">
        <v>0</v>
      </c>
      <c r="BD1527" s="1">
        <v>0</v>
      </c>
      <c r="BE1527" s="1">
        <v>0</v>
      </c>
      <c r="BF1527" s="1">
        <v>0</v>
      </c>
      <c r="BG1527" s="1">
        <v>0</v>
      </c>
      <c r="BH1527" s="1">
        <v>0</v>
      </c>
      <c r="BI1527" s="1">
        <v>0</v>
      </c>
      <c r="BJ1527" s="1">
        <v>0</v>
      </c>
      <c r="BK1527" s="1">
        <v>0</v>
      </c>
      <c r="BL1527" s="1">
        <v>0</v>
      </c>
      <c r="BM1527" s="1">
        <v>0</v>
      </c>
      <c r="BN1527" s="1">
        <v>0</v>
      </c>
      <c r="BO1527" s="1">
        <v>0</v>
      </c>
      <c r="BP1527" s="1">
        <v>0</v>
      </c>
      <c r="BQ1527" s="1">
        <v>0</v>
      </c>
      <c r="BR1527" s="1">
        <v>0</v>
      </c>
      <c r="BS1527" s="1" t="s">
        <v>109</v>
      </c>
      <c r="BT1527" s="1">
        <v>1586</v>
      </c>
      <c r="BU1527" s="1" t="s">
        <v>109</v>
      </c>
      <c r="BV1527" s="1"/>
      <c r="BW1527" s="1"/>
      <c r="BX1527" s="1"/>
      <c r="BY1527" s="1"/>
      <c r="BZ1527" s="1">
        <v>0</v>
      </c>
      <c r="CA1527" s="1" t="s">
        <v>109</v>
      </c>
      <c r="CB1527" s="1" t="s">
        <v>109</v>
      </c>
      <c r="CC1527" s="1" t="s">
        <v>109</v>
      </c>
      <c r="CD1527" s="1" t="s">
        <v>109</v>
      </c>
      <c r="CE1527" s="1" t="s">
        <v>109</v>
      </c>
      <c r="CF1527" s="1" t="s">
        <v>109</v>
      </c>
      <c r="CG1527" s="1" t="s">
        <v>109</v>
      </c>
      <c r="CH1527" s="1" t="s">
        <v>109</v>
      </c>
      <c r="CI1527" s="1" t="s">
        <v>109</v>
      </c>
      <c r="CJ1527" s="1">
        <v>1</v>
      </c>
      <c r="CK1527" s="1"/>
      <c r="CL1527" s="1">
        <v>0</v>
      </c>
      <c r="CM1527" s="1">
        <v>0</v>
      </c>
      <c r="CN1527" s="1">
        <v>0</v>
      </c>
    </row>
    <row r="1528" spans="1:92" ht="14.25" customHeight="1" x14ac:dyDescent="0.15">
      <c r="A1528" s="1" t="s">
        <v>11697</v>
      </c>
      <c r="B1528" s="1" t="s">
        <v>189</v>
      </c>
      <c r="C1528" s="1"/>
      <c r="D1528" s="1"/>
      <c r="E1528" s="1" t="s">
        <v>11698</v>
      </c>
      <c r="F1528" s="1" t="s">
        <v>98</v>
      </c>
      <c r="G1528" s="1" t="s">
        <v>11699</v>
      </c>
      <c r="H1528" s="1">
        <v>0</v>
      </c>
      <c r="I1528" s="1" t="s">
        <v>122</v>
      </c>
      <c r="J1528" s="1"/>
      <c r="K1528" s="1"/>
      <c r="L1528" s="1" t="s">
        <v>11700</v>
      </c>
      <c r="M1528" s="1" t="s">
        <v>574</v>
      </c>
      <c r="N1528" s="1">
        <v>1</v>
      </c>
      <c r="O1528" s="1">
        <v>0</v>
      </c>
      <c r="P1528" s="1" t="s">
        <v>1841</v>
      </c>
      <c r="Q1528" s="1" t="s">
        <v>268</v>
      </c>
      <c r="R1528" s="1" t="s">
        <v>11701</v>
      </c>
      <c r="S1528" s="1" t="s">
        <v>11702</v>
      </c>
      <c r="T1528" s="1" t="s">
        <v>11669</v>
      </c>
      <c r="U1528" s="1" t="s">
        <v>11703</v>
      </c>
      <c r="V1528" s="1">
        <v>1</v>
      </c>
      <c r="W1528" s="1">
        <v>1</v>
      </c>
      <c r="X1528" s="1">
        <v>1</v>
      </c>
      <c r="Y1528" s="1">
        <v>0</v>
      </c>
      <c r="Z1528" s="1">
        <v>0</v>
      </c>
      <c r="AA1528" s="1">
        <v>3</v>
      </c>
      <c r="AB1528" s="1">
        <v>3</v>
      </c>
      <c r="AC1528" s="1" t="s">
        <v>109</v>
      </c>
      <c r="AD1528" s="1" t="s">
        <v>109</v>
      </c>
      <c r="AE1528" s="1" t="s">
        <v>109</v>
      </c>
      <c r="AF1528" s="1" t="s">
        <v>109</v>
      </c>
      <c r="AG1528" s="1" t="s">
        <v>109</v>
      </c>
      <c r="AH1528" s="1" t="s">
        <v>109</v>
      </c>
      <c r="AI1528" s="1" t="s">
        <v>109</v>
      </c>
      <c r="AJ1528" s="1">
        <v>3</v>
      </c>
      <c r="AK1528" s="1" t="s">
        <v>109</v>
      </c>
      <c r="AL1528" s="1" t="s">
        <v>109</v>
      </c>
      <c r="AM1528" s="1" t="s">
        <v>109</v>
      </c>
      <c r="AN1528" s="1">
        <v>2</v>
      </c>
      <c r="AO1528" s="1" t="s">
        <v>109</v>
      </c>
      <c r="AP1528" s="1"/>
      <c r="AQ1528" s="1">
        <v>3</v>
      </c>
      <c r="AR1528" s="1"/>
      <c r="AS1528" s="1"/>
      <c r="AT1528" s="1">
        <v>0</v>
      </c>
      <c r="AU1528" s="1">
        <v>0</v>
      </c>
      <c r="AV1528" s="1">
        <v>0</v>
      </c>
      <c r="AW1528" s="1">
        <v>0</v>
      </c>
      <c r="AX1528" s="1">
        <v>0</v>
      </c>
      <c r="AY1528" s="1">
        <v>0</v>
      </c>
      <c r="AZ1528" s="1">
        <v>0</v>
      </c>
      <c r="BA1528" s="1">
        <v>0</v>
      </c>
      <c r="BB1528" s="1">
        <v>0</v>
      </c>
      <c r="BC1528" s="1">
        <v>0</v>
      </c>
      <c r="BD1528" s="1">
        <v>0</v>
      </c>
      <c r="BE1528" s="1">
        <v>0</v>
      </c>
      <c r="BF1528" s="1">
        <v>0</v>
      </c>
      <c r="BG1528" s="1">
        <v>0</v>
      </c>
      <c r="BH1528" s="1">
        <v>0</v>
      </c>
      <c r="BI1528" s="1">
        <v>0</v>
      </c>
      <c r="BJ1528" s="1">
        <v>0</v>
      </c>
      <c r="BK1528" s="1">
        <v>0</v>
      </c>
      <c r="BL1528" s="1">
        <v>0</v>
      </c>
      <c r="BM1528" s="1">
        <v>0</v>
      </c>
      <c r="BN1528" s="1">
        <v>0</v>
      </c>
      <c r="BO1528" s="1">
        <v>0</v>
      </c>
      <c r="BP1528" s="1">
        <v>0</v>
      </c>
      <c r="BQ1528" s="1">
        <v>0</v>
      </c>
      <c r="BR1528" s="1">
        <v>0</v>
      </c>
      <c r="BS1528" s="1" t="s">
        <v>109</v>
      </c>
      <c r="BT1528" s="1">
        <v>1587</v>
      </c>
      <c r="BU1528" s="1" t="s">
        <v>109</v>
      </c>
      <c r="BV1528" s="1"/>
      <c r="BW1528" s="1"/>
      <c r="BX1528" s="1"/>
      <c r="BY1528" s="1"/>
      <c r="BZ1528" s="1">
        <v>0</v>
      </c>
      <c r="CA1528" s="1" t="s">
        <v>109</v>
      </c>
      <c r="CB1528" s="1" t="s">
        <v>109</v>
      </c>
      <c r="CC1528" s="1" t="s">
        <v>109</v>
      </c>
      <c r="CD1528" s="1" t="s">
        <v>109</v>
      </c>
      <c r="CE1528" s="1" t="s">
        <v>109</v>
      </c>
      <c r="CF1528" s="1" t="s">
        <v>109</v>
      </c>
      <c r="CG1528" s="1" t="s">
        <v>109</v>
      </c>
      <c r="CH1528" s="1" t="s">
        <v>109</v>
      </c>
      <c r="CI1528" s="1" t="s">
        <v>109</v>
      </c>
      <c r="CJ1528" s="1" t="s">
        <v>109</v>
      </c>
      <c r="CK1528" s="1"/>
      <c r="CL1528" s="1">
        <v>0</v>
      </c>
      <c r="CM1528" s="1">
        <v>0</v>
      </c>
      <c r="CN1528" s="1">
        <v>0</v>
      </c>
    </row>
    <row r="1529" spans="1:92" ht="14.25" customHeight="1" x14ac:dyDescent="0.15">
      <c r="A1529" s="1" t="s">
        <v>11704</v>
      </c>
      <c r="B1529" s="1" t="s">
        <v>189</v>
      </c>
      <c r="C1529" s="1"/>
      <c r="D1529" s="1"/>
      <c r="E1529" s="1" t="s">
        <v>11685</v>
      </c>
      <c r="F1529" s="1" t="s">
        <v>98</v>
      </c>
      <c r="G1529" s="1" t="s">
        <v>11705</v>
      </c>
      <c r="H1529" s="1">
        <v>0</v>
      </c>
      <c r="I1529" s="1" t="s">
        <v>11706</v>
      </c>
      <c r="J1529" s="1"/>
      <c r="K1529" s="1"/>
      <c r="L1529" s="1" t="s">
        <v>11707</v>
      </c>
      <c r="M1529" s="1" t="s">
        <v>144</v>
      </c>
      <c r="N1529" s="1">
        <v>0</v>
      </c>
      <c r="O1529" s="1">
        <v>0</v>
      </c>
      <c r="P1529" s="1" t="s">
        <v>103</v>
      </c>
      <c r="Q1529" s="1" t="s">
        <v>167</v>
      </c>
      <c r="R1529" s="1" t="s">
        <v>11708</v>
      </c>
      <c r="S1529" s="1" t="s">
        <v>11709</v>
      </c>
      <c r="T1529" s="1" t="s">
        <v>11669</v>
      </c>
      <c r="U1529" s="1" t="s">
        <v>11710</v>
      </c>
      <c r="V1529" s="1">
        <v>1</v>
      </c>
      <c r="W1529" s="1">
        <v>1</v>
      </c>
      <c r="X1529" s="1">
        <v>1</v>
      </c>
      <c r="Y1529" s="1">
        <v>0</v>
      </c>
      <c r="Z1529" s="1">
        <v>0</v>
      </c>
      <c r="AA1529" s="1">
        <v>1</v>
      </c>
      <c r="AB1529" s="1">
        <v>1</v>
      </c>
      <c r="AC1529" s="1" t="s">
        <v>109</v>
      </c>
      <c r="AD1529" s="1" t="s">
        <v>109</v>
      </c>
      <c r="AE1529" s="1" t="s">
        <v>109</v>
      </c>
      <c r="AF1529" s="1" t="s">
        <v>109</v>
      </c>
      <c r="AG1529" s="1">
        <v>1</v>
      </c>
      <c r="AH1529" s="1" t="s">
        <v>109</v>
      </c>
      <c r="AI1529" s="1" t="s">
        <v>109</v>
      </c>
      <c r="AJ1529" s="1" t="s">
        <v>109</v>
      </c>
      <c r="AK1529" s="1" t="s">
        <v>109</v>
      </c>
      <c r="AL1529" s="1" t="s">
        <v>109</v>
      </c>
      <c r="AM1529" s="1" t="s">
        <v>109</v>
      </c>
      <c r="AN1529" s="1">
        <v>1</v>
      </c>
      <c r="AO1529" s="1" t="s">
        <v>109</v>
      </c>
      <c r="AP1529" s="1"/>
      <c r="AQ1529" s="1">
        <v>1</v>
      </c>
      <c r="AR1529" s="1"/>
      <c r="AS1529" s="1"/>
      <c r="AT1529" s="1">
        <v>0</v>
      </c>
      <c r="AU1529" s="1">
        <v>0</v>
      </c>
      <c r="AV1529" s="1">
        <v>0</v>
      </c>
      <c r="AW1529" s="1">
        <v>0</v>
      </c>
      <c r="AX1529" s="1">
        <v>0</v>
      </c>
      <c r="AY1529" s="1">
        <v>0</v>
      </c>
      <c r="AZ1529" s="1">
        <v>0</v>
      </c>
      <c r="BA1529" s="1">
        <v>0</v>
      </c>
      <c r="BB1529" s="1">
        <v>0</v>
      </c>
      <c r="BC1529" s="1">
        <v>0</v>
      </c>
      <c r="BD1529" s="1">
        <v>0</v>
      </c>
      <c r="BE1529" s="1">
        <v>0</v>
      </c>
      <c r="BF1529" s="1">
        <v>0</v>
      </c>
      <c r="BG1529" s="1">
        <v>0</v>
      </c>
      <c r="BH1529" s="1">
        <v>0</v>
      </c>
      <c r="BI1529" s="1">
        <v>0</v>
      </c>
      <c r="BJ1529" s="1">
        <v>0</v>
      </c>
      <c r="BK1529" s="1">
        <v>0</v>
      </c>
      <c r="BL1529" s="1">
        <v>0</v>
      </c>
      <c r="BM1529" s="1">
        <v>0</v>
      </c>
      <c r="BN1529" s="1">
        <v>0</v>
      </c>
      <c r="BO1529" s="1">
        <v>0</v>
      </c>
      <c r="BP1529" s="1">
        <v>0</v>
      </c>
      <c r="BQ1529" s="1">
        <v>0</v>
      </c>
      <c r="BR1529" s="1">
        <v>0</v>
      </c>
      <c r="BS1529" s="1" t="s">
        <v>109</v>
      </c>
      <c r="BT1529" s="1">
        <v>1588</v>
      </c>
      <c r="BU1529" s="1" t="s">
        <v>109</v>
      </c>
      <c r="BV1529" s="1"/>
      <c r="BW1529" s="1"/>
      <c r="BX1529" s="1"/>
      <c r="BY1529" s="1"/>
      <c r="BZ1529" s="1">
        <v>0</v>
      </c>
      <c r="CA1529" s="1" t="s">
        <v>109</v>
      </c>
      <c r="CB1529" s="1" t="s">
        <v>109</v>
      </c>
      <c r="CC1529" s="1" t="s">
        <v>109</v>
      </c>
      <c r="CD1529" s="1" t="s">
        <v>109</v>
      </c>
      <c r="CE1529" s="1" t="s">
        <v>109</v>
      </c>
      <c r="CF1529" s="1" t="s">
        <v>109</v>
      </c>
      <c r="CG1529" s="1" t="s">
        <v>109</v>
      </c>
      <c r="CH1529" s="1" t="s">
        <v>109</v>
      </c>
      <c r="CI1529" s="1" t="s">
        <v>109</v>
      </c>
      <c r="CJ1529" s="1" t="s">
        <v>109</v>
      </c>
      <c r="CK1529" s="1"/>
      <c r="CL1529" s="1">
        <v>0</v>
      </c>
      <c r="CM1529" s="1">
        <v>0</v>
      </c>
      <c r="CN1529" s="1">
        <v>0</v>
      </c>
    </row>
    <row r="1530" spans="1:92" ht="14.25" customHeight="1" x14ac:dyDescent="0.15">
      <c r="A1530" s="1" t="s">
        <v>11711</v>
      </c>
      <c r="B1530" s="1" t="s">
        <v>242</v>
      </c>
      <c r="C1530" s="1"/>
      <c r="D1530" s="1"/>
      <c r="E1530" s="1" t="s">
        <v>11712</v>
      </c>
      <c r="F1530" s="1" t="s">
        <v>98</v>
      </c>
      <c r="G1530" s="1" t="s">
        <v>141</v>
      </c>
      <c r="H1530" s="1">
        <v>0</v>
      </c>
      <c r="I1530" s="1" t="s">
        <v>161</v>
      </c>
      <c r="J1530" s="1"/>
      <c r="K1530" s="1"/>
      <c r="L1530" s="1" t="s">
        <v>11713</v>
      </c>
      <c r="M1530" s="1" t="s">
        <v>3042</v>
      </c>
      <c r="N1530" s="1">
        <v>0</v>
      </c>
      <c r="O1530" s="1">
        <v>0</v>
      </c>
      <c r="P1530" s="1" t="s">
        <v>507</v>
      </c>
      <c r="Q1530" s="1" t="s">
        <v>167</v>
      </c>
      <c r="R1530" s="1" t="s">
        <v>11714</v>
      </c>
      <c r="S1530" s="1" t="s">
        <v>11715</v>
      </c>
      <c r="T1530" s="1" t="s">
        <v>11669</v>
      </c>
      <c r="U1530" s="1" t="s">
        <v>11716</v>
      </c>
      <c r="V1530" s="1">
        <v>1</v>
      </c>
      <c r="W1530" s="1">
        <v>1</v>
      </c>
      <c r="X1530" s="1">
        <v>0</v>
      </c>
      <c r="Y1530" s="1">
        <v>0</v>
      </c>
      <c r="Z1530" s="1">
        <v>0</v>
      </c>
      <c r="AA1530" s="1">
        <v>4</v>
      </c>
      <c r="AB1530" s="1">
        <v>4</v>
      </c>
      <c r="AC1530" s="1">
        <v>4</v>
      </c>
      <c r="AD1530" s="1" t="s">
        <v>109</v>
      </c>
      <c r="AE1530" s="1" t="s">
        <v>109</v>
      </c>
      <c r="AF1530" s="1" t="s">
        <v>109</v>
      </c>
      <c r="AG1530" s="1" t="s">
        <v>109</v>
      </c>
      <c r="AH1530" s="1" t="s">
        <v>109</v>
      </c>
      <c r="AI1530" s="1" t="s">
        <v>109</v>
      </c>
      <c r="AJ1530" s="1" t="s">
        <v>109</v>
      </c>
      <c r="AK1530" s="1">
        <v>4</v>
      </c>
      <c r="AL1530" s="1">
        <v>4</v>
      </c>
      <c r="AM1530" s="1" t="s">
        <v>109</v>
      </c>
      <c r="AN1530" s="1">
        <v>4</v>
      </c>
      <c r="AO1530" s="1" t="s">
        <v>109</v>
      </c>
      <c r="AP1530" s="1"/>
      <c r="AQ1530" s="1">
        <v>4</v>
      </c>
      <c r="AR1530" s="1"/>
      <c r="AS1530" s="1"/>
      <c r="AT1530" s="1">
        <v>0</v>
      </c>
      <c r="AU1530" s="1">
        <v>0</v>
      </c>
      <c r="AV1530" s="1">
        <v>0</v>
      </c>
      <c r="AW1530" s="1">
        <v>0</v>
      </c>
      <c r="AX1530" s="1">
        <v>0</v>
      </c>
      <c r="AY1530" s="1">
        <v>0</v>
      </c>
      <c r="AZ1530" s="1">
        <v>0</v>
      </c>
      <c r="BA1530" s="1">
        <v>0</v>
      </c>
      <c r="BB1530" s="1">
        <v>0</v>
      </c>
      <c r="BC1530" s="1">
        <v>0</v>
      </c>
      <c r="BD1530" s="1">
        <v>0</v>
      </c>
      <c r="BE1530" s="1">
        <v>0</v>
      </c>
      <c r="BF1530" s="1">
        <v>0</v>
      </c>
      <c r="BG1530" s="1">
        <v>0</v>
      </c>
      <c r="BH1530" s="1">
        <v>0</v>
      </c>
      <c r="BI1530" s="1">
        <v>0</v>
      </c>
      <c r="BJ1530" s="1">
        <v>0</v>
      </c>
      <c r="BK1530" s="1">
        <v>0</v>
      </c>
      <c r="BL1530" s="1">
        <v>0</v>
      </c>
      <c r="BM1530" s="1">
        <v>0</v>
      </c>
      <c r="BN1530" s="1">
        <v>0</v>
      </c>
      <c r="BO1530" s="1">
        <v>0</v>
      </c>
      <c r="BP1530" s="1">
        <v>0</v>
      </c>
      <c r="BQ1530" s="1">
        <v>0</v>
      </c>
      <c r="BR1530" s="1">
        <v>0</v>
      </c>
      <c r="BS1530" s="1" t="s">
        <v>109</v>
      </c>
      <c r="BT1530" s="1">
        <v>1589</v>
      </c>
      <c r="BU1530" s="1" t="s">
        <v>109</v>
      </c>
      <c r="BV1530" s="1"/>
      <c r="BW1530" s="1"/>
      <c r="BX1530" s="1"/>
      <c r="BY1530" s="1"/>
      <c r="BZ1530" s="1">
        <v>0</v>
      </c>
      <c r="CA1530" s="1" t="s">
        <v>109</v>
      </c>
      <c r="CB1530" s="1" t="s">
        <v>109</v>
      </c>
      <c r="CC1530" s="1" t="s">
        <v>109</v>
      </c>
      <c r="CD1530" s="1" t="s">
        <v>109</v>
      </c>
      <c r="CE1530" s="1" t="s">
        <v>109</v>
      </c>
      <c r="CF1530" s="1" t="s">
        <v>109</v>
      </c>
      <c r="CG1530" s="1" t="s">
        <v>109</v>
      </c>
      <c r="CH1530" s="1" t="s">
        <v>109</v>
      </c>
      <c r="CI1530" s="1" t="s">
        <v>109</v>
      </c>
      <c r="CJ1530" s="1" t="s">
        <v>109</v>
      </c>
      <c r="CK1530" s="1"/>
      <c r="CL1530" s="1">
        <v>0</v>
      </c>
      <c r="CM1530" s="1">
        <v>0</v>
      </c>
      <c r="CN1530" s="1">
        <v>0</v>
      </c>
    </row>
    <row r="1531" spans="1:92" ht="14.25" customHeight="1" x14ac:dyDescent="0.15">
      <c r="A1531" s="1" t="s">
        <v>11717</v>
      </c>
      <c r="B1531" s="1" t="s">
        <v>308</v>
      </c>
      <c r="C1531" s="1"/>
      <c r="D1531" s="1" t="s">
        <v>50</v>
      </c>
      <c r="E1531" s="1" t="s">
        <v>8305</v>
      </c>
      <c r="F1531" s="1" t="s">
        <v>277</v>
      </c>
      <c r="G1531" s="1" t="s">
        <v>160</v>
      </c>
      <c r="H1531" s="1">
        <v>0</v>
      </c>
      <c r="I1531" s="1" t="s">
        <v>161</v>
      </c>
      <c r="J1531" s="1"/>
      <c r="K1531" s="1"/>
      <c r="L1531" s="1" t="s">
        <v>1285</v>
      </c>
      <c r="M1531" s="1" t="s">
        <v>144</v>
      </c>
      <c r="N1531" s="1">
        <v>0</v>
      </c>
      <c r="O1531" s="1">
        <v>0</v>
      </c>
      <c r="P1531" s="1" t="s">
        <v>629</v>
      </c>
      <c r="Q1531" s="1" t="s">
        <v>630</v>
      </c>
      <c r="R1531" s="1" t="s">
        <v>11718</v>
      </c>
      <c r="S1531" s="1" t="s">
        <v>11719</v>
      </c>
      <c r="T1531" s="1" t="s">
        <v>11720</v>
      </c>
      <c r="U1531" s="1" t="s">
        <v>11721</v>
      </c>
      <c r="V1531" s="1">
        <v>1</v>
      </c>
      <c r="W1531" s="1">
        <v>1</v>
      </c>
      <c r="X1531" s="1">
        <v>0</v>
      </c>
      <c r="Y1531" s="1">
        <v>0</v>
      </c>
      <c r="Z1531" s="1">
        <v>1</v>
      </c>
      <c r="AA1531" s="1" t="s">
        <v>109</v>
      </c>
      <c r="AB1531" s="1" t="s">
        <v>109</v>
      </c>
      <c r="AC1531" s="1">
        <v>2</v>
      </c>
      <c r="AD1531" s="1" t="s">
        <v>109</v>
      </c>
      <c r="AE1531" s="1" t="s">
        <v>109</v>
      </c>
      <c r="AF1531" s="1" t="s">
        <v>109</v>
      </c>
      <c r="AG1531" s="1" t="s">
        <v>109</v>
      </c>
      <c r="AH1531" s="1" t="s">
        <v>109</v>
      </c>
      <c r="AI1531" s="1" t="s">
        <v>109</v>
      </c>
      <c r="AJ1531" s="1" t="s">
        <v>109</v>
      </c>
      <c r="AK1531" s="1" t="s">
        <v>109</v>
      </c>
      <c r="AL1531" s="1">
        <v>2</v>
      </c>
      <c r="AM1531" s="1" t="s">
        <v>109</v>
      </c>
      <c r="AN1531" s="1" t="s">
        <v>109</v>
      </c>
      <c r="AO1531" s="1" t="s">
        <v>109</v>
      </c>
      <c r="AP1531" s="1" t="s">
        <v>11722</v>
      </c>
      <c r="AQ1531" s="1">
        <v>2</v>
      </c>
      <c r="AR1531" s="1"/>
      <c r="AS1531" s="1"/>
      <c r="AT1531" s="1">
        <v>0</v>
      </c>
      <c r="AU1531" s="1">
        <v>0</v>
      </c>
      <c r="AV1531" s="1">
        <v>0</v>
      </c>
      <c r="AW1531" s="1">
        <v>0</v>
      </c>
      <c r="AX1531" s="1">
        <v>1</v>
      </c>
      <c r="AY1531" s="1">
        <v>0</v>
      </c>
      <c r="AZ1531" s="1">
        <v>0</v>
      </c>
      <c r="BA1531" s="1">
        <v>0</v>
      </c>
      <c r="BB1531" s="1">
        <v>0</v>
      </c>
      <c r="BC1531" s="1">
        <v>0</v>
      </c>
      <c r="BD1531" s="1">
        <v>0</v>
      </c>
      <c r="BE1531" s="1">
        <v>0</v>
      </c>
      <c r="BF1531" s="1">
        <v>0</v>
      </c>
      <c r="BG1531" s="1">
        <v>0</v>
      </c>
      <c r="BH1531" s="1">
        <v>0</v>
      </c>
      <c r="BI1531" s="1">
        <v>0</v>
      </c>
      <c r="BJ1531" s="1">
        <v>0</v>
      </c>
      <c r="BK1531" s="1">
        <v>0</v>
      </c>
      <c r="BL1531" s="1">
        <v>0</v>
      </c>
      <c r="BM1531" s="1">
        <v>0</v>
      </c>
      <c r="BN1531" s="1">
        <v>0</v>
      </c>
      <c r="BO1531" s="1">
        <v>0</v>
      </c>
      <c r="BP1531" s="1">
        <v>0</v>
      </c>
      <c r="BQ1531" s="1">
        <v>0</v>
      </c>
      <c r="BR1531" s="1">
        <v>0</v>
      </c>
      <c r="BS1531" s="1" t="s">
        <v>109</v>
      </c>
      <c r="BT1531" s="1">
        <v>1590</v>
      </c>
      <c r="BU1531" s="1" t="s">
        <v>109</v>
      </c>
      <c r="BV1531" s="1"/>
      <c r="BW1531" s="1"/>
      <c r="BX1531" s="1"/>
      <c r="BY1531" s="1"/>
      <c r="BZ1531" s="1">
        <v>0</v>
      </c>
      <c r="CA1531" s="1" t="s">
        <v>109</v>
      </c>
      <c r="CB1531" s="1" t="s">
        <v>109</v>
      </c>
      <c r="CC1531" s="1" t="s">
        <v>109</v>
      </c>
      <c r="CD1531" s="1" t="s">
        <v>109</v>
      </c>
      <c r="CE1531" s="1" t="s">
        <v>109</v>
      </c>
      <c r="CF1531" s="1" t="s">
        <v>109</v>
      </c>
      <c r="CG1531" s="1" t="s">
        <v>109</v>
      </c>
      <c r="CH1531" s="1" t="s">
        <v>109</v>
      </c>
      <c r="CI1531" s="1" t="s">
        <v>109</v>
      </c>
      <c r="CJ1531" s="1" t="s">
        <v>109</v>
      </c>
      <c r="CK1531" s="1"/>
      <c r="CL1531" s="1">
        <v>0</v>
      </c>
      <c r="CM1531" s="1">
        <v>0</v>
      </c>
      <c r="CN1531" s="1">
        <v>0</v>
      </c>
    </row>
    <row r="1532" spans="1:92" ht="14.25" customHeight="1" x14ac:dyDescent="0.15">
      <c r="A1532" s="1" t="s">
        <v>11723</v>
      </c>
      <c r="B1532" s="1" t="s">
        <v>211</v>
      </c>
      <c r="C1532" s="1"/>
      <c r="D1532" s="1"/>
      <c r="E1532" s="1" t="s">
        <v>11724</v>
      </c>
      <c r="F1532" s="1" t="s">
        <v>395</v>
      </c>
      <c r="G1532" s="1" t="s">
        <v>4280</v>
      </c>
      <c r="H1532" s="1">
        <v>1</v>
      </c>
      <c r="I1532" s="1" t="s">
        <v>161</v>
      </c>
      <c r="J1532" s="1"/>
      <c r="K1532" s="1"/>
      <c r="L1532" s="1" t="s">
        <v>4281</v>
      </c>
      <c r="M1532" s="1" t="s">
        <v>11725</v>
      </c>
      <c r="N1532" s="1">
        <v>0</v>
      </c>
      <c r="O1532" s="1">
        <v>0</v>
      </c>
      <c r="P1532" s="1" t="s">
        <v>2092</v>
      </c>
      <c r="Q1532" s="1" t="s">
        <v>104</v>
      </c>
      <c r="R1532" s="1" t="s">
        <v>11726</v>
      </c>
      <c r="S1532" s="1" t="s">
        <v>11727</v>
      </c>
      <c r="T1532" s="1" t="s">
        <v>11728</v>
      </c>
      <c r="U1532" s="1" t="s">
        <v>11729</v>
      </c>
      <c r="V1532" s="1">
        <v>1</v>
      </c>
      <c r="W1532" s="1">
        <v>1</v>
      </c>
      <c r="X1532" s="1">
        <v>1</v>
      </c>
      <c r="Y1532" s="1">
        <v>0</v>
      </c>
      <c r="Z1532" s="1">
        <v>0</v>
      </c>
      <c r="AA1532" s="1">
        <v>3</v>
      </c>
      <c r="AB1532" s="1">
        <v>3</v>
      </c>
      <c r="AC1532" s="1">
        <v>3</v>
      </c>
      <c r="AD1532" s="1" t="s">
        <v>109</v>
      </c>
      <c r="AE1532" s="1" t="s">
        <v>109</v>
      </c>
      <c r="AF1532" s="1" t="s">
        <v>109</v>
      </c>
      <c r="AG1532" s="1" t="s">
        <v>109</v>
      </c>
      <c r="AH1532" s="1" t="s">
        <v>109</v>
      </c>
      <c r="AI1532" s="1" t="s">
        <v>109</v>
      </c>
      <c r="AJ1532" s="1" t="s">
        <v>109</v>
      </c>
      <c r="AK1532" s="1" t="s">
        <v>109</v>
      </c>
      <c r="AL1532" s="1">
        <v>3</v>
      </c>
      <c r="AM1532" s="1" t="s">
        <v>109</v>
      </c>
      <c r="AN1532" s="1" t="s">
        <v>109</v>
      </c>
      <c r="AO1532" s="1" t="s">
        <v>109</v>
      </c>
      <c r="AP1532" s="1" t="s">
        <v>11730</v>
      </c>
      <c r="AQ1532" s="1">
        <v>3</v>
      </c>
      <c r="AR1532" s="1"/>
      <c r="AS1532" s="1"/>
      <c r="AT1532" s="1">
        <v>0</v>
      </c>
      <c r="AU1532" s="1">
        <v>0</v>
      </c>
      <c r="AV1532" s="1">
        <v>0</v>
      </c>
      <c r="AW1532" s="1">
        <v>0</v>
      </c>
      <c r="AX1532" s="1">
        <v>0</v>
      </c>
      <c r="AY1532" s="1">
        <v>0</v>
      </c>
      <c r="AZ1532" s="1">
        <v>0</v>
      </c>
      <c r="BA1532" s="1">
        <v>0</v>
      </c>
      <c r="BB1532" s="1">
        <v>0</v>
      </c>
      <c r="BC1532" s="1">
        <v>0</v>
      </c>
      <c r="BD1532" s="1">
        <v>0</v>
      </c>
      <c r="BE1532" s="1">
        <v>0</v>
      </c>
      <c r="BF1532" s="1">
        <v>0</v>
      </c>
      <c r="BG1532" s="1">
        <v>0</v>
      </c>
      <c r="BH1532" s="1">
        <v>0</v>
      </c>
      <c r="BI1532" s="1">
        <v>0</v>
      </c>
      <c r="BJ1532" s="1">
        <v>0</v>
      </c>
      <c r="BK1532" s="1">
        <v>0</v>
      </c>
      <c r="BL1532" s="1">
        <v>0</v>
      </c>
      <c r="BM1532" s="1">
        <v>0</v>
      </c>
      <c r="BN1532" s="1">
        <v>0</v>
      </c>
      <c r="BO1532" s="1">
        <v>0</v>
      </c>
      <c r="BP1532" s="1">
        <v>0</v>
      </c>
      <c r="BQ1532" s="1">
        <v>0</v>
      </c>
      <c r="BR1532" s="1">
        <v>0</v>
      </c>
      <c r="BS1532" s="1" t="s">
        <v>109</v>
      </c>
      <c r="BT1532" s="1">
        <v>1591</v>
      </c>
      <c r="BU1532" s="1">
        <v>500</v>
      </c>
      <c r="BV1532" s="1"/>
      <c r="BW1532" s="1"/>
      <c r="BX1532" s="1"/>
      <c r="BY1532" s="1"/>
      <c r="BZ1532" s="1">
        <v>0</v>
      </c>
      <c r="CA1532" s="1" t="s">
        <v>109</v>
      </c>
      <c r="CB1532" s="1" t="s">
        <v>109</v>
      </c>
      <c r="CC1532" s="1" t="s">
        <v>109</v>
      </c>
      <c r="CD1532" s="1" t="s">
        <v>109</v>
      </c>
      <c r="CE1532" s="1" t="s">
        <v>109</v>
      </c>
      <c r="CF1532" s="1" t="s">
        <v>109</v>
      </c>
      <c r="CG1532" s="1" t="s">
        <v>109</v>
      </c>
      <c r="CH1532" s="1" t="s">
        <v>109</v>
      </c>
      <c r="CI1532" s="1" t="s">
        <v>109</v>
      </c>
      <c r="CJ1532" s="1" t="s">
        <v>109</v>
      </c>
      <c r="CK1532" s="1"/>
      <c r="CL1532" s="1">
        <v>0</v>
      </c>
      <c r="CM1532" s="1">
        <v>0</v>
      </c>
      <c r="CN1532" s="1">
        <v>0</v>
      </c>
    </row>
    <row r="1533" spans="1:92" ht="14.25" customHeight="1" x14ac:dyDescent="0.15">
      <c r="A1533" s="1" t="s">
        <v>11731</v>
      </c>
      <c r="B1533" s="1" t="s">
        <v>674</v>
      </c>
      <c r="C1533" s="1" t="s">
        <v>68</v>
      </c>
      <c r="D1533" s="1"/>
      <c r="E1533" s="1" t="s">
        <v>11732</v>
      </c>
      <c r="F1533" s="1" t="s">
        <v>98</v>
      </c>
      <c r="G1533" s="1" t="s">
        <v>11733</v>
      </c>
      <c r="H1533" s="1">
        <v>0</v>
      </c>
      <c r="I1533" s="1" t="s">
        <v>235</v>
      </c>
      <c r="J1533" s="1"/>
      <c r="K1533" s="1"/>
      <c r="L1533" s="1" t="s">
        <v>236</v>
      </c>
      <c r="M1533" s="1" t="s">
        <v>11734</v>
      </c>
      <c r="N1533" s="1">
        <v>0</v>
      </c>
      <c r="O1533" s="1">
        <v>0</v>
      </c>
      <c r="P1533" s="1"/>
      <c r="Q1533" s="1"/>
      <c r="R1533" s="1" t="s">
        <v>11735</v>
      </c>
      <c r="S1533" s="1" t="s">
        <v>11736</v>
      </c>
      <c r="T1533" s="1" t="s">
        <v>11737</v>
      </c>
      <c r="U1533" s="1" t="s">
        <v>11738</v>
      </c>
      <c r="V1533" s="1">
        <v>1</v>
      </c>
      <c r="W1533" s="1">
        <v>1</v>
      </c>
      <c r="X1533" s="1">
        <v>1</v>
      </c>
      <c r="Y1533" s="1">
        <v>0</v>
      </c>
      <c r="Z1533" s="1">
        <v>0</v>
      </c>
      <c r="AA1533" s="1">
        <v>3</v>
      </c>
      <c r="AB1533" s="1">
        <v>3</v>
      </c>
      <c r="AC1533" s="1">
        <v>2</v>
      </c>
      <c r="AD1533" s="1" t="s">
        <v>109</v>
      </c>
      <c r="AE1533" s="1" t="s">
        <v>109</v>
      </c>
      <c r="AF1533" s="1">
        <v>2</v>
      </c>
      <c r="AG1533" s="1" t="s">
        <v>109</v>
      </c>
      <c r="AH1533" s="1" t="s">
        <v>109</v>
      </c>
      <c r="AI1533" s="1" t="s">
        <v>109</v>
      </c>
      <c r="AJ1533" s="1">
        <v>2</v>
      </c>
      <c r="AK1533" s="1">
        <v>2</v>
      </c>
      <c r="AL1533" s="1">
        <v>2</v>
      </c>
      <c r="AM1533" s="1" t="s">
        <v>109</v>
      </c>
      <c r="AN1533" s="1" t="s">
        <v>109</v>
      </c>
      <c r="AO1533" s="1" t="s">
        <v>109</v>
      </c>
      <c r="AP1533" s="1"/>
      <c r="AQ1533" s="1">
        <v>3</v>
      </c>
      <c r="AR1533" s="1"/>
      <c r="AS1533" s="1"/>
      <c r="AT1533" s="1">
        <v>0</v>
      </c>
      <c r="AU1533" s="1">
        <v>0</v>
      </c>
      <c r="AV1533" s="1">
        <v>0</v>
      </c>
      <c r="AW1533" s="1">
        <v>0</v>
      </c>
      <c r="AX1533" s="1">
        <v>0</v>
      </c>
      <c r="AY1533" s="1">
        <v>0</v>
      </c>
      <c r="AZ1533" s="1">
        <v>0</v>
      </c>
      <c r="BA1533" s="1">
        <v>0</v>
      </c>
      <c r="BB1533" s="1">
        <v>0</v>
      </c>
      <c r="BC1533" s="1">
        <v>0</v>
      </c>
      <c r="BD1533" s="1">
        <v>0</v>
      </c>
      <c r="BE1533" s="1">
        <v>0</v>
      </c>
      <c r="BF1533" s="1">
        <v>0</v>
      </c>
      <c r="BG1533" s="1">
        <v>0</v>
      </c>
      <c r="BH1533" s="1">
        <v>0</v>
      </c>
      <c r="BI1533" s="1">
        <v>0</v>
      </c>
      <c r="BJ1533" s="1">
        <v>0</v>
      </c>
      <c r="BK1533" s="1">
        <v>0</v>
      </c>
      <c r="BL1533" s="1">
        <v>0</v>
      </c>
      <c r="BM1533" s="1">
        <v>0</v>
      </c>
      <c r="BN1533" s="1">
        <v>0</v>
      </c>
      <c r="BO1533" s="1">
        <v>0</v>
      </c>
      <c r="BP1533" s="1">
        <v>0</v>
      </c>
      <c r="BQ1533" s="1">
        <v>0</v>
      </c>
      <c r="BR1533" s="1">
        <v>0</v>
      </c>
      <c r="BS1533" s="1" t="s">
        <v>109</v>
      </c>
      <c r="BT1533" s="1">
        <v>1592</v>
      </c>
      <c r="BU1533" s="1" t="s">
        <v>109</v>
      </c>
      <c r="BV1533" s="1"/>
      <c r="BW1533" s="1"/>
      <c r="BX1533" s="1"/>
      <c r="BY1533" s="1"/>
      <c r="BZ1533" s="1">
        <v>0</v>
      </c>
      <c r="CA1533" s="1" t="s">
        <v>109</v>
      </c>
      <c r="CB1533" s="1" t="s">
        <v>109</v>
      </c>
      <c r="CC1533" s="1" t="s">
        <v>109</v>
      </c>
      <c r="CD1533" s="1" t="s">
        <v>109</v>
      </c>
      <c r="CE1533" s="1" t="s">
        <v>109</v>
      </c>
      <c r="CF1533" s="1" t="s">
        <v>109</v>
      </c>
      <c r="CG1533" s="1" t="s">
        <v>109</v>
      </c>
      <c r="CH1533" s="1" t="s">
        <v>109</v>
      </c>
      <c r="CI1533" s="1" t="s">
        <v>109</v>
      </c>
      <c r="CJ1533" s="1" t="s">
        <v>109</v>
      </c>
      <c r="CK1533" s="1"/>
      <c r="CL1533" s="1">
        <v>0</v>
      </c>
      <c r="CM1533" s="1">
        <v>0</v>
      </c>
      <c r="CN1533" s="1">
        <v>0</v>
      </c>
    </row>
    <row r="1534" spans="1:92" ht="14.25" customHeight="1" x14ac:dyDescent="0.15">
      <c r="A1534" s="1" t="s">
        <v>11739</v>
      </c>
      <c r="B1534" s="1" t="s">
        <v>254</v>
      </c>
      <c r="C1534" s="1"/>
      <c r="D1534" s="1" t="s">
        <v>158</v>
      </c>
      <c r="E1534" s="1" t="s">
        <v>11740</v>
      </c>
      <c r="F1534" s="1" t="s">
        <v>98</v>
      </c>
      <c r="G1534" s="1" t="s">
        <v>1480</v>
      </c>
      <c r="H1534" s="1">
        <v>0</v>
      </c>
      <c r="I1534" s="1" t="s">
        <v>1016</v>
      </c>
      <c r="J1534" s="1" t="s">
        <v>1346</v>
      </c>
      <c r="K1534" s="1"/>
      <c r="L1534" s="1"/>
      <c r="M1534" s="1" t="s">
        <v>11741</v>
      </c>
      <c r="N1534" s="1">
        <v>1</v>
      </c>
      <c r="O1534" s="1">
        <v>0</v>
      </c>
      <c r="P1534" s="1" t="s">
        <v>564</v>
      </c>
      <c r="Q1534" s="1" t="s">
        <v>104</v>
      </c>
      <c r="R1534" s="1" t="s">
        <v>11742</v>
      </c>
      <c r="S1534" s="1" t="s">
        <v>11743</v>
      </c>
      <c r="T1534" s="1" t="s">
        <v>11737</v>
      </c>
      <c r="U1534" s="1" t="s">
        <v>11744</v>
      </c>
      <c r="V1534" s="1">
        <v>1</v>
      </c>
      <c r="W1534" s="1">
        <v>1</v>
      </c>
      <c r="X1534" s="1">
        <v>0</v>
      </c>
      <c r="Y1534" s="1">
        <v>0</v>
      </c>
      <c r="Z1534" s="1">
        <v>1</v>
      </c>
      <c r="AA1534" s="1">
        <v>3</v>
      </c>
      <c r="AB1534" s="1">
        <v>3</v>
      </c>
      <c r="AC1534" s="1" t="s">
        <v>109</v>
      </c>
      <c r="AD1534" s="1" t="s">
        <v>109</v>
      </c>
      <c r="AE1534" s="1" t="s">
        <v>109</v>
      </c>
      <c r="AF1534" s="1">
        <v>3</v>
      </c>
      <c r="AG1534" s="1" t="s">
        <v>109</v>
      </c>
      <c r="AH1534" s="1" t="s">
        <v>109</v>
      </c>
      <c r="AI1534" s="1" t="s">
        <v>109</v>
      </c>
      <c r="AJ1534" s="1">
        <v>3</v>
      </c>
      <c r="AK1534" s="1">
        <v>3</v>
      </c>
      <c r="AL1534" s="1" t="s">
        <v>109</v>
      </c>
      <c r="AM1534" s="1" t="s">
        <v>109</v>
      </c>
      <c r="AN1534" s="1" t="s">
        <v>109</v>
      </c>
      <c r="AO1534" s="1" t="s">
        <v>109</v>
      </c>
      <c r="AP1534" s="1"/>
      <c r="AQ1534" s="1">
        <v>3</v>
      </c>
      <c r="AR1534" s="1"/>
      <c r="AS1534" s="1"/>
      <c r="AT1534" s="1">
        <v>0</v>
      </c>
      <c r="AU1534" s="1">
        <v>0</v>
      </c>
      <c r="AV1534" s="1">
        <v>0</v>
      </c>
      <c r="AW1534" s="1">
        <v>0</v>
      </c>
      <c r="AX1534" s="1">
        <v>0</v>
      </c>
      <c r="AY1534" s="1">
        <v>0</v>
      </c>
      <c r="AZ1534" s="1">
        <v>0</v>
      </c>
      <c r="BA1534" s="1">
        <v>0</v>
      </c>
      <c r="BB1534" s="1">
        <v>0</v>
      </c>
      <c r="BC1534" s="1">
        <v>0</v>
      </c>
      <c r="BD1534" s="1">
        <v>0</v>
      </c>
      <c r="BE1534" s="1">
        <v>0</v>
      </c>
      <c r="BF1534" s="1">
        <v>0</v>
      </c>
      <c r="BG1534" s="1">
        <v>0</v>
      </c>
      <c r="BH1534" s="1">
        <v>0</v>
      </c>
      <c r="BI1534" s="1">
        <v>0</v>
      </c>
      <c r="BJ1534" s="1">
        <v>0</v>
      </c>
      <c r="BK1534" s="1">
        <v>0</v>
      </c>
      <c r="BL1534" s="1">
        <v>0</v>
      </c>
      <c r="BM1534" s="1">
        <v>1</v>
      </c>
      <c r="BN1534" s="1">
        <v>0</v>
      </c>
      <c r="BO1534" s="1">
        <v>0</v>
      </c>
      <c r="BP1534" s="1">
        <v>0</v>
      </c>
      <c r="BQ1534" s="1">
        <v>0</v>
      </c>
      <c r="BR1534" s="1">
        <v>0</v>
      </c>
      <c r="BS1534" s="1" t="s">
        <v>109</v>
      </c>
      <c r="BT1534" s="1">
        <v>1593</v>
      </c>
      <c r="BU1534" s="1" t="s">
        <v>109</v>
      </c>
      <c r="BV1534" s="1"/>
      <c r="BW1534" s="1"/>
      <c r="BX1534" s="1"/>
      <c r="BY1534" s="1"/>
      <c r="BZ1534" s="1">
        <v>0</v>
      </c>
      <c r="CA1534" s="1" t="s">
        <v>109</v>
      </c>
      <c r="CB1534" s="1" t="s">
        <v>109</v>
      </c>
      <c r="CC1534" s="1" t="s">
        <v>109</v>
      </c>
      <c r="CD1534" s="1" t="s">
        <v>109</v>
      </c>
      <c r="CE1534" s="1" t="s">
        <v>109</v>
      </c>
      <c r="CF1534" s="1" t="s">
        <v>109</v>
      </c>
      <c r="CG1534" s="1" t="s">
        <v>109</v>
      </c>
      <c r="CH1534" s="1" t="s">
        <v>109</v>
      </c>
      <c r="CI1534" s="1" t="s">
        <v>109</v>
      </c>
      <c r="CJ1534" s="1" t="s">
        <v>109</v>
      </c>
      <c r="CK1534" s="1"/>
      <c r="CL1534" s="1">
        <v>0</v>
      </c>
      <c r="CM1534" s="1">
        <v>0</v>
      </c>
      <c r="CN1534" s="1">
        <v>0</v>
      </c>
    </row>
    <row r="1535" spans="1:92" ht="14.25" customHeight="1" x14ac:dyDescent="0.15">
      <c r="A1535" s="1" t="s">
        <v>11745</v>
      </c>
      <c r="B1535" s="1" t="s">
        <v>308</v>
      </c>
      <c r="C1535" s="1"/>
      <c r="D1535" s="1" t="s">
        <v>11554</v>
      </c>
      <c r="E1535" s="1" t="s">
        <v>11746</v>
      </c>
      <c r="F1535" s="1" t="s">
        <v>98</v>
      </c>
      <c r="G1535" s="1" t="s">
        <v>141</v>
      </c>
      <c r="H1535" s="1">
        <v>0</v>
      </c>
      <c r="I1535" s="1" t="s">
        <v>161</v>
      </c>
      <c r="J1535" s="1"/>
      <c r="K1535" s="1"/>
      <c r="L1535" s="1" t="s">
        <v>162</v>
      </c>
      <c r="M1535" s="1" t="s">
        <v>408</v>
      </c>
      <c r="N1535" s="1">
        <v>0</v>
      </c>
      <c r="O1535" s="1">
        <v>0</v>
      </c>
      <c r="P1535" s="1" t="s">
        <v>301</v>
      </c>
      <c r="Q1535" s="1" t="s">
        <v>268</v>
      </c>
      <c r="R1535" s="1" t="s">
        <v>11747</v>
      </c>
      <c r="S1535" s="1" t="s">
        <v>11748</v>
      </c>
      <c r="T1535" s="1" t="s">
        <v>11737</v>
      </c>
      <c r="U1535" s="1" t="s">
        <v>11749</v>
      </c>
      <c r="V1535" s="1">
        <v>1</v>
      </c>
      <c r="W1535" s="1">
        <v>1</v>
      </c>
      <c r="X1535" s="1">
        <v>0</v>
      </c>
      <c r="Y1535" s="1">
        <v>0</v>
      </c>
      <c r="Z1535" s="1">
        <v>0</v>
      </c>
      <c r="AA1535" s="1">
        <v>4</v>
      </c>
      <c r="AB1535" s="1">
        <v>4</v>
      </c>
      <c r="AC1535" s="1">
        <v>3</v>
      </c>
      <c r="AD1535" s="1" t="s">
        <v>109</v>
      </c>
      <c r="AE1535" s="1" t="s">
        <v>109</v>
      </c>
      <c r="AF1535" s="1" t="s">
        <v>109</v>
      </c>
      <c r="AG1535" s="1" t="s">
        <v>109</v>
      </c>
      <c r="AH1535" s="1" t="s">
        <v>109</v>
      </c>
      <c r="AI1535" s="1" t="s">
        <v>109</v>
      </c>
      <c r="AJ1535" s="1">
        <v>3</v>
      </c>
      <c r="AK1535" s="1" t="s">
        <v>109</v>
      </c>
      <c r="AL1535" s="1">
        <v>3</v>
      </c>
      <c r="AM1535" s="1" t="s">
        <v>109</v>
      </c>
      <c r="AN1535" s="1" t="s">
        <v>109</v>
      </c>
      <c r="AO1535" s="1" t="s">
        <v>109</v>
      </c>
      <c r="AP1535" s="1"/>
      <c r="AQ1535" s="1">
        <v>3</v>
      </c>
      <c r="AR1535" s="1"/>
      <c r="AS1535" s="1"/>
      <c r="AT1535" s="1">
        <v>0</v>
      </c>
      <c r="AU1535" s="1">
        <v>0</v>
      </c>
      <c r="AV1535" s="1">
        <v>0</v>
      </c>
      <c r="AW1535" s="1">
        <v>0</v>
      </c>
      <c r="AX1535" s="1">
        <v>1</v>
      </c>
      <c r="AY1535" s="1">
        <v>0</v>
      </c>
      <c r="AZ1535" s="1">
        <v>0</v>
      </c>
      <c r="BA1535" s="1">
        <v>0</v>
      </c>
      <c r="BB1535" s="1">
        <v>0</v>
      </c>
      <c r="BC1535" s="1">
        <v>0</v>
      </c>
      <c r="BD1535" s="1">
        <v>0</v>
      </c>
      <c r="BE1535" s="1">
        <v>1</v>
      </c>
      <c r="BF1535" s="1">
        <v>0</v>
      </c>
      <c r="BG1535" s="1">
        <v>0</v>
      </c>
      <c r="BH1535" s="1">
        <v>0</v>
      </c>
      <c r="BI1535" s="1">
        <v>0</v>
      </c>
      <c r="BJ1535" s="1">
        <v>0</v>
      </c>
      <c r="BK1535" s="1">
        <v>0</v>
      </c>
      <c r="BL1535" s="1">
        <v>0</v>
      </c>
      <c r="BM1535" s="1">
        <v>0</v>
      </c>
      <c r="BN1535" s="1">
        <v>0</v>
      </c>
      <c r="BO1535" s="1">
        <v>0</v>
      </c>
      <c r="BP1535" s="1">
        <v>0</v>
      </c>
      <c r="BQ1535" s="1">
        <v>0</v>
      </c>
      <c r="BR1535" s="1">
        <v>0</v>
      </c>
      <c r="BS1535" s="1" t="s">
        <v>109</v>
      </c>
      <c r="BT1535" s="1">
        <v>1594</v>
      </c>
      <c r="BU1535" s="1" t="s">
        <v>109</v>
      </c>
      <c r="BV1535" s="1"/>
      <c r="BW1535" s="1"/>
      <c r="BX1535" s="1"/>
      <c r="BY1535" s="1"/>
      <c r="BZ1535" s="1">
        <v>0</v>
      </c>
      <c r="CA1535" s="1" t="s">
        <v>109</v>
      </c>
      <c r="CB1535" s="1" t="s">
        <v>109</v>
      </c>
      <c r="CC1535" s="1" t="s">
        <v>109</v>
      </c>
      <c r="CD1535" s="1" t="s">
        <v>109</v>
      </c>
      <c r="CE1535" s="1" t="s">
        <v>109</v>
      </c>
      <c r="CF1535" s="1" t="s">
        <v>109</v>
      </c>
      <c r="CG1535" s="1" t="s">
        <v>109</v>
      </c>
      <c r="CH1535" s="1" t="s">
        <v>109</v>
      </c>
      <c r="CI1535" s="1" t="s">
        <v>109</v>
      </c>
      <c r="CJ1535" s="1" t="s">
        <v>109</v>
      </c>
      <c r="CK1535" s="1"/>
      <c r="CL1535" s="1">
        <v>0</v>
      </c>
      <c r="CM1535" s="1">
        <v>0</v>
      </c>
      <c r="CN1535" s="1">
        <v>0</v>
      </c>
    </row>
    <row r="1536" spans="1:92" ht="14.25" customHeight="1" x14ac:dyDescent="0.15">
      <c r="A1536" s="1" t="s">
        <v>11750</v>
      </c>
      <c r="B1536" s="1" t="s">
        <v>189</v>
      </c>
      <c r="C1536" s="1"/>
      <c r="D1536" s="1"/>
      <c r="E1536" s="1" t="s">
        <v>11751</v>
      </c>
      <c r="F1536" s="1" t="s">
        <v>98</v>
      </c>
      <c r="G1536" s="1" t="s">
        <v>11752</v>
      </c>
      <c r="H1536" s="1">
        <v>0</v>
      </c>
      <c r="I1536" s="1" t="s">
        <v>161</v>
      </c>
      <c r="J1536" s="1"/>
      <c r="K1536" s="1"/>
      <c r="L1536" s="1" t="s">
        <v>506</v>
      </c>
      <c r="M1536" s="1" t="s">
        <v>465</v>
      </c>
      <c r="N1536" s="1">
        <v>0</v>
      </c>
      <c r="O1536" s="1">
        <v>0</v>
      </c>
      <c r="P1536" s="1" t="s">
        <v>267</v>
      </c>
      <c r="Q1536" s="1" t="s">
        <v>268</v>
      </c>
      <c r="R1536" s="1" t="s">
        <v>11753</v>
      </c>
      <c r="S1536" s="1" t="s">
        <v>11754</v>
      </c>
      <c r="T1536" s="1" t="s">
        <v>11737</v>
      </c>
      <c r="U1536" s="1" t="s">
        <v>11755</v>
      </c>
      <c r="V1536" s="1">
        <v>1</v>
      </c>
      <c r="W1536" s="1">
        <v>1</v>
      </c>
      <c r="X1536" s="1">
        <v>1</v>
      </c>
      <c r="Y1536" s="1">
        <v>0</v>
      </c>
      <c r="Z1536" s="1">
        <v>0</v>
      </c>
      <c r="AA1536" s="1">
        <v>3</v>
      </c>
      <c r="AB1536" s="1">
        <v>3</v>
      </c>
      <c r="AC1536" s="1">
        <v>3</v>
      </c>
      <c r="AD1536" s="1">
        <v>3</v>
      </c>
      <c r="AE1536" s="1" t="s">
        <v>109</v>
      </c>
      <c r="AF1536" s="1" t="s">
        <v>109</v>
      </c>
      <c r="AG1536" s="1" t="s">
        <v>109</v>
      </c>
      <c r="AH1536" s="1" t="s">
        <v>109</v>
      </c>
      <c r="AI1536" s="1" t="s">
        <v>109</v>
      </c>
      <c r="AJ1536" s="1">
        <v>3</v>
      </c>
      <c r="AK1536" s="1" t="s">
        <v>109</v>
      </c>
      <c r="AL1536" s="1">
        <v>3</v>
      </c>
      <c r="AM1536" s="1" t="s">
        <v>109</v>
      </c>
      <c r="AN1536" s="1" t="s">
        <v>109</v>
      </c>
      <c r="AO1536" s="1" t="s">
        <v>109</v>
      </c>
      <c r="AP1536" s="1"/>
      <c r="AQ1536" s="1">
        <v>3</v>
      </c>
      <c r="AR1536" s="1"/>
      <c r="AS1536" s="1"/>
      <c r="AT1536" s="1">
        <v>0</v>
      </c>
      <c r="AU1536" s="1">
        <v>0</v>
      </c>
      <c r="AV1536" s="1">
        <v>0</v>
      </c>
      <c r="AW1536" s="1">
        <v>0</v>
      </c>
      <c r="AX1536" s="1">
        <v>0</v>
      </c>
      <c r="AY1536" s="1">
        <v>0</v>
      </c>
      <c r="AZ1536" s="1">
        <v>0</v>
      </c>
      <c r="BA1536" s="1">
        <v>0</v>
      </c>
      <c r="BB1536" s="1">
        <v>0</v>
      </c>
      <c r="BC1536" s="1">
        <v>0</v>
      </c>
      <c r="BD1536" s="1">
        <v>0</v>
      </c>
      <c r="BE1536" s="1">
        <v>0</v>
      </c>
      <c r="BF1536" s="1">
        <v>0</v>
      </c>
      <c r="BG1536" s="1">
        <v>0</v>
      </c>
      <c r="BH1536" s="1">
        <v>0</v>
      </c>
      <c r="BI1536" s="1">
        <v>0</v>
      </c>
      <c r="BJ1536" s="1">
        <v>0</v>
      </c>
      <c r="BK1536" s="1">
        <v>0</v>
      </c>
      <c r="BL1536" s="1">
        <v>0</v>
      </c>
      <c r="BM1536" s="1">
        <v>0</v>
      </c>
      <c r="BN1536" s="1">
        <v>0</v>
      </c>
      <c r="BO1536" s="1">
        <v>0</v>
      </c>
      <c r="BP1536" s="1">
        <v>0</v>
      </c>
      <c r="BQ1536" s="1">
        <v>0</v>
      </c>
      <c r="BR1536" s="1">
        <v>0</v>
      </c>
      <c r="BS1536" s="1" t="s">
        <v>109</v>
      </c>
      <c r="BT1536" s="1">
        <v>1595</v>
      </c>
      <c r="BU1536" s="1" t="s">
        <v>109</v>
      </c>
      <c r="BV1536" s="1"/>
      <c r="BW1536" s="1"/>
      <c r="BX1536" s="1"/>
      <c r="BY1536" s="1"/>
      <c r="BZ1536" s="1">
        <v>0</v>
      </c>
      <c r="CA1536" s="1" t="s">
        <v>109</v>
      </c>
      <c r="CB1536" s="1" t="s">
        <v>109</v>
      </c>
      <c r="CC1536" s="1" t="s">
        <v>109</v>
      </c>
      <c r="CD1536" s="1" t="s">
        <v>109</v>
      </c>
      <c r="CE1536" s="1" t="s">
        <v>109</v>
      </c>
      <c r="CF1536" s="1" t="s">
        <v>109</v>
      </c>
      <c r="CG1536" s="1" t="s">
        <v>109</v>
      </c>
      <c r="CH1536" s="1" t="s">
        <v>109</v>
      </c>
      <c r="CI1536" s="1" t="s">
        <v>109</v>
      </c>
      <c r="CJ1536" s="1">
        <v>3</v>
      </c>
      <c r="CK1536" s="1"/>
      <c r="CL1536" s="1">
        <v>0</v>
      </c>
      <c r="CM1536" s="1">
        <v>0</v>
      </c>
      <c r="CN1536" s="1">
        <v>0</v>
      </c>
    </row>
    <row r="1537" spans="1:92" ht="14.25" customHeight="1" x14ac:dyDescent="0.15">
      <c r="A1537" s="1" t="s">
        <v>11756</v>
      </c>
      <c r="B1537" s="1" t="s">
        <v>189</v>
      </c>
      <c r="C1537" s="1"/>
      <c r="D1537" s="1"/>
      <c r="E1537" s="1" t="s">
        <v>11757</v>
      </c>
      <c r="F1537" s="1" t="s">
        <v>98</v>
      </c>
      <c r="G1537" s="1" t="s">
        <v>11752</v>
      </c>
      <c r="H1537" s="1">
        <v>0</v>
      </c>
      <c r="I1537" s="1" t="s">
        <v>161</v>
      </c>
      <c r="J1537" s="1"/>
      <c r="K1537" s="1"/>
      <c r="L1537" s="1" t="s">
        <v>506</v>
      </c>
      <c r="M1537" s="1" t="s">
        <v>280</v>
      </c>
      <c r="N1537" s="1">
        <v>0</v>
      </c>
      <c r="O1537" s="1">
        <v>0</v>
      </c>
      <c r="P1537" s="1" t="s">
        <v>267</v>
      </c>
      <c r="Q1537" s="1" t="s">
        <v>268</v>
      </c>
      <c r="R1537" s="1" t="s">
        <v>11758</v>
      </c>
      <c r="S1537" s="1" t="s">
        <v>11759</v>
      </c>
      <c r="T1537" s="1" t="s">
        <v>11737</v>
      </c>
      <c r="U1537" s="1" t="s">
        <v>11760</v>
      </c>
      <c r="V1537" s="1">
        <v>1</v>
      </c>
      <c r="W1537" s="1">
        <v>1</v>
      </c>
      <c r="X1537" s="1">
        <v>1</v>
      </c>
      <c r="Y1537" s="1">
        <v>0</v>
      </c>
      <c r="Z1537" s="1">
        <v>0</v>
      </c>
      <c r="AA1537" s="1">
        <v>5</v>
      </c>
      <c r="AB1537" s="1">
        <v>5</v>
      </c>
      <c r="AC1537" s="1">
        <v>5</v>
      </c>
      <c r="AD1537" s="1">
        <v>5</v>
      </c>
      <c r="AE1537" s="1" t="s">
        <v>109</v>
      </c>
      <c r="AF1537" s="1" t="s">
        <v>109</v>
      </c>
      <c r="AG1537" s="1" t="s">
        <v>109</v>
      </c>
      <c r="AH1537" s="1" t="s">
        <v>109</v>
      </c>
      <c r="AI1537" s="1" t="s">
        <v>109</v>
      </c>
      <c r="AJ1537" s="1">
        <v>5</v>
      </c>
      <c r="AK1537" s="1" t="s">
        <v>109</v>
      </c>
      <c r="AL1537" s="1">
        <v>5</v>
      </c>
      <c r="AM1537" s="1" t="s">
        <v>109</v>
      </c>
      <c r="AN1537" s="1" t="s">
        <v>109</v>
      </c>
      <c r="AO1537" s="1" t="s">
        <v>109</v>
      </c>
      <c r="AP1537" s="1"/>
      <c r="AQ1537" s="1">
        <v>5</v>
      </c>
      <c r="AR1537" s="1"/>
      <c r="AS1537" s="1"/>
      <c r="AT1537" s="1">
        <v>0</v>
      </c>
      <c r="AU1537" s="1">
        <v>0</v>
      </c>
      <c r="AV1537" s="1">
        <v>0</v>
      </c>
      <c r="AW1537" s="1">
        <v>0</v>
      </c>
      <c r="AX1537" s="1">
        <v>0</v>
      </c>
      <c r="AY1537" s="1">
        <v>0</v>
      </c>
      <c r="AZ1537" s="1">
        <v>0</v>
      </c>
      <c r="BA1537" s="1">
        <v>0</v>
      </c>
      <c r="BB1537" s="1">
        <v>0</v>
      </c>
      <c r="BC1537" s="1">
        <v>0</v>
      </c>
      <c r="BD1537" s="1">
        <v>0</v>
      </c>
      <c r="BE1537" s="1">
        <v>0</v>
      </c>
      <c r="BF1537" s="1">
        <v>0</v>
      </c>
      <c r="BG1537" s="1">
        <v>0</v>
      </c>
      <c r="BH1537" s="1">
        <v>0</v>
      </c>
      <c r="BI1537" s="1">
        <v>0</v>
      </c>
      <c r="BJ1537" s="1">
        <v>0</v>
      </c>
      <c r="BK1537" s="1">
        <v>0</v>
      </c>
      <c r="BL1537" s="1">
        <v>0</v>
      </c>
      <c r="BM1537" s="1">
        <v>0</v>
      </c>
      <c r="BN1537" s="1">
        <v>0</v>
      </c>
      <c r="BO1537" s="1">
        <v>0</v>
      </c>
      <c r="BP1537" s="1">
        <v>0</v>
      </c>
      <c r="BQ1537" s="1">
        <v>0</v>
      </c>
      <c r="BR1537" s="1">
        <v>0</v>
      </c>
      <c r="BS1537" s="1" t="s">
        <v>109</v>
      </c>
      <c r="BT1537" s="1">
        <v>1596</v>
      </c>
      <c r="BU1537" s="1" t="s">
        <v>109</v>
      </c>
      <c r="BV1537" s="1"/>
      <c r="BW1537" s="1"/>
      <c r="BX1537" s="1"/>
      <c r="BY1537" s="1"/>
      <c r="BZ1537" s="1">
        <v>0</v>
      </c>
      <c r="CA1537" s="1" t="s">
        <v>109</v>
      </c>
      <c r="CB1537" s="1" t="s">
        <v>109</v>
      </c>
      <c r="CC1537" s="1" t="s">
        <v>109</v>
      </c>
      <c r="CD1537" s="1" t="s">
        <v>109</v>
      </c>
      <c r="CE1537" s="1" t="s">
        <v>109</v>
      </c>
      <c r="CF1537" s="1" t="s">
        <v>109</v>
      </c>
      <c r="CG1537" s="1" t="s">
        <v>109</v>
      </c>
      <c r="CH1537" s="1" t="s">
        <v>109</v>
      </c>
      <c r="CI1537" s="1" t="s">
        <v>109</v>
      </c>
      <c r="CJ1537" s="1">
        <v>5</v>
      </c>
      <c r="CK1537" s="1"/>
      <c r="CL1537" s="1">
        <v>0</v>
      </c>
      <c r="CM1537" s="1">
        <v>0</v>
      </c>
      <c r="CN1537" s="1">
        <v>0</v>
      </c>
    </row>
    <row r="1538" spans="1:92" ht="14.25" customHeight="1" x14ac:dyDescent="0.15">
      <c r="A1538" s="1" t="s">
        <v>11761</v>
      </c>
      <c r="B1538" s="1" t="s">
        <v>189</v>
      </c>
      <c r="C1538" s="1"/>
      <c r="D1538" s="1"/>
      <c r="E1538" s="1" t="s">
        <v>9407</v>
      </c>
      <c r="F1538" s="1" t="s">
        <v>98</v>
      </c>
      <c r="G1538" s="1" t="s">
        <v>11762</v>
      </c>
      <c r="H1538" s="1">
        <v>0</v>
      </c>
      <c r="I1538" s="1" t="s">
        <v>161</v>
      </c>
      <c r="J1538" s="1"/>
      <c r="K1538" s="1"/>
      <c r="L1538" s="1" t="s">
        <v>11763</v>
      </c>
      <c r="M1538" s="1" t="s">
        <v>144</v>
      </c>
      <c r="N1538" s="1">
        <v>0</v>
      </c>
      <c r="O1538" s="1">
        <v>0</v>
      </c>
      <c r="P1538" s="1" t="s">
        <v>5812</v>
      </c>
      <c r="Q1538" s="1" t="s">
        <v>630</v>
      </c>
      <c r="R1538" s="1" t="s">
        <v>11764</v>
      </c>
      <c r="S1538" s="1" t="s">
        <v>11765</v>
      </c>
      <c r="T1538" s="1" t="s">
        <v>11737</v>
      </c>
      <c r="U1538" s="1" t="s">
        <v>11766</v>
      </c>
      <c r="V1538" s="1">
        <v>1</v>
      </c>
      <c r="W1538" s="1">
        <v>1</v>
      </c>
      <c r="X1538" s="1">
        <v>1</v>
      </c>
      <c r="Y1538" s="1">
        <v>0</v>
      </c>
      <c r="Z1538" s="1">
        <v>0</v>
      </c>
      <c r="AA1538" s="1">
        <v>2</v>
      </c>
      <c r="AB1538" s="1">
        <v>2</v>
      </c>
      <c r="AC1538" s="1">
        <v>2</v>
      </c>
      <c r="AD1538" s="1" t="s">
        <v>109</v>
      </c>
      <c r="AE1538" s="1" t="s">
        <v>109</v>
      </c>
      <c r="AF1538" s="1" t="s">
        <v>109</v>
      </c>
      <c r="AG1538" s="1" t="s">
        <v>109</v>
      </c>
      <c r="AH1538" s="1" t="s">
        <v>109</v>
      </c>
      <c r="AI1538" s="1" t="s">
        <v>109</v>
      </c>
      <c r="AJ1538" s="1">
        <v>2</v>
      </c>
      <c r="AK1538" s="1" t="s">
        <v>109</v>
      </c>
      <c r="AL1538" s="1">
        <v>2</v>
      </c>
      <c r="AM1538" s="1" t="s">
        <v>109</v>
      </c>
      <c r="AN1538" s="1" t="s">
        <v>109</v>
      </c>
      <c r="AO1538" s="1" t="s">
        <v>109</v>
      </c>
      <c r="AP1538" s="1"/>
      <c r="AQ1538" s="1">
        <v>2</v>
      </c>
      <c r="AR1538" s="1"/>
      <c r="AS1538" s="1"/>
      <c r="AT1538" s="1">
        <v>0</v>
      </c>
      <c r="AU1538" s="1">
        <v>0</v>
      </c>
      <c r="AV1538" s="1">
        <v>0</v>
      </c>
      <c r="AW1538" s="1">
        <v>0</v>
      </c>
      <c r="AX1538" s="1">
        <v>0</v>
      </c>
      <c r="AY1538" s="1">
        <v>0</v>
      </c>
      <c r="AZ1538" s="1">
        <v>0</v>
      </c>
      <c r="BA1538" s="1">
        <v>0</v>
      </c>
      <c r="BB1538" s="1">
        <v>0</v>
      </c>
      <c r="BC1538" s="1">
        <v>0</v>
      </c>
      <c r="BD1538" s="1">
        <v>0</v>
      </c>
      <c r="BE1538" s="1">
        <v>0</v>
      </c>
      <c r="BF1538" s="1">
        <v>0</v>
      </c>
      <c r="BG1538" s="1">
        <v>0</v>
      </c>
      <c r="BH1538" s="1">
        <v>0</v>
      </c>
      <c r="BI1538" s="1">
        <v>0</v>
      </c>
      <c r="BJ1538" s="1">
        <v>0</v>
      </c>
      <c r="BK1538" s="1">
        <v>0</v>
      </c>
      <c r="BL1538" s="1">
        <v>0</v>
      </c>
      <c r="BM1538" s="1">
        <v>0</v>
      </c>
      <c r="BN1538" s="1">
        <v>0</v>
      </c>
      <c r="BO1538" s="1">
        <v>0</v>
      </c>
      <c r="BP1538" s="1">
        <v>0</v>
      </c>
      <c r="BQ1538" s="1">
        <v>0</v>
      </c>
      <c r="BR1538" s="1">
        <v>0</v>
      </c>
      <c r="BS1538" s="1" t="s">
        <v>109</v>
      </c>
      <c r="BT1538" s="1">
        <v>1597</v>
      </c>
      <c r="BU1538" s="1" t="s">
        <v>109</v>
      </c>
      <c r="BV1538" s="1"/>
      <c r="BW1538" s="1"/>
      <c r="BX1538" s="1"/>
      <c r="BY1538" s="1"/>
      <c r="BZ1538" s="1">
        <v>0</v>
      </c>
      <c r="CA1538" s="1" t="s">
        <v>109</v>
      </c>
      <c r="CB1538" s="1" t="s">
        <v>109</v>
      </c>
      <c r="CC1538" s="1" t="s">
        <v>109</v>
      </c>
      <c r="CD1538" s="1" t="s">
        <v>109</v>
      </c>
      <c r="CE1538" s="1" t="s">
        <v>109</v>
      </c>
      <c r="CF1538" s="1" t="s">
        <v>109</v>
      </c>
      <c r="CG1538" s="1" t="s">
        <v>109</v>
      </c>
      <c r="CH1538" s="1" t="s">
        <v>109</v>
      </c>
      <c r="CI1538" s="1" t="s">
        <v>109</v>
      </c>
      <c r="CJ1538" s="1" t="s">
        <v>109</v>
      </c>
      <c r="CK1538" s="1"/>
      <c r="CL1538" s="1">
        <v>0</v>
      </c>
      <c r="CM1538" s="1">
        <v>0</v>
      </c>
      <c r="CN1538" s="1">
        <v>0</v>
      </c>
    </row>
    <row r="1539" spans="1:92" ht="14.25" customHeight="1" x14ac:dyDescent="0.15">
      <c r="A1539" s="1" t="s">
        <v>11767</v>
      </c>
      <c r="B1539" s="1" t="s">
        <v>95</v>
      </c>
      <c r="C1539" s="1" t="s">
        <v>96</v>
      </c>
      <c r="D1539" s="1" t="s">
        <v>49</v>
      </c>
      <c r="E1539" s="1" t="s">
        <v>7031</v>
      </c>
      <c r="F1539" s="1" t="s">
        <v>98</v>
      </c>
      <c r="G1539" s="1" t="s">
        <v>11768</v>
      </c>
      <c r="H1539" s="1">
        <v>0</v>
      </c>
      <c r="I1539" s="1" t="s">
        <v>122</v>
      </c>
      <c r="J1539" s="1" t="s">
        <v>573</v>
      </c>
      <c r="K1539" s="1"/>
      <c r="L1539" s="1"/>
      <c r="M1539" s="1" t="s">
        <v>125</v>
      </c>
      <c r="N1539" s="1">
        <v>0</v>
      </c>
      <c r="O1539" s="1">
        <v>0</v>
      </c>
      <c r="P1539" s="1" t="s">
        <v>103</v>
      </c>
      <c r="Q1539" s="1" t="s">
        <v>104</v>
      </c>
      <c r="R1539" s="1" t="s">
        <v>11769</v>
      </c>
      <c r="S1539" s="1" t="s">
        <v>11770</v>
      </c>
      <c r="T1539" s="1" t="s">
        <v>11771</v>
      </c>
      <c r="U1539" s="1" t="s">
        <v>11772</v>
      </c>
      <c r="V1539" s="1">
        <v>1</v>
      </c>
      <c r="W1539" s="1">
        <v>1</v>
      </c>
      <c r="X1539" s="1">
        <v>1</v>
      </c>
      <c r="Y1539" s="1">
        <v>0</v>
      </c>
      <c r="Z1539" s="1">
        <v>1</v>
      </c>
      <c r="AA1539" s="1" t="s">
        <v>109</v>
      </c>
      <c r="AB1539" s="1" t="s">
        <v>109</v>
      </c>
      <c r="AC1539" s="1" t="s">
        <v>109</v>
      </c>
      <c r="AD1539" s="1">
        <v>2</v>
      </c>
      <c r="AE1539" s="1" t="s">
        <v>109</v>
      </c>
      <c r="AF1539" s="1" t="s">
        <v>109</v>
      </c>
      <c r="AG1539" s="1" t="s">
        <v>109</v>
      </c>
      <c r="AH1539" s="1" t="s">
        <v>109</v>
      </c>
      <c r="AI1539" s="1" t="s">
        <v>109</v>
      </c>
      <c r="AJ1539" s="1">
        <v>2</v>
      </c>
      <c r="AK1539" s="1" t="s">
        <v>109</v>
      </c>
      <c r="AL1539" s="1" t="s">
        <v>109</v>
      </c>
      <c r="AM1539" s="1" t="s">
        <v>109</v>
      </c>
      <c r="AN1539" s="1" t="s">
        <v>109</v>
      </c>
      <c r="AO1539" s="1" t="s">
        <v>109</v>
      </c>
      <c r="AP1539" s="1"/>
      <c r="AQ1539" s="1">
        <v>2</v>
      </c>
      <c r="AR1539" s="1"/>
      <c r="AS1539" s="1"/>
      <c r="AT1539" s="1">
        <v>0</v>
      </c>
      <c r="AU1539" s="1">
        <v>0</v>
      </c>
      <c r="AV1539" s="1">
        <v>0</v>
      </c>
      <c r="AW1539" s="1">
        <v>1</v>
      </c>
      <c r="AX1539" s="1">
        <v>0</v>
      </c>
      <c r="AY1539" s="1">
        <v>0</v>
      </c>
      <c r="AZ1539" s="1">
        <v>0</v>
      </c>
      <c r="BA1539" s="1">
        <v>0</v>
      </c>
      <c r="BB1539" s="1">
        <v>0</v>
      </c>
      <c r="BC1539" s="1">
        <v>0</v>
      </c>
      <c r="BD1539" s="1">
        <v>0</v>
      </c>
      <c r="BE1539" s="1">
        <v>0</v>
      </c>
      <c r="BF1539" s="1">
        <v>0</v>
      </c>
      <c r="BG1539" s="1">
        <v>0</v>
      </c>
      <c r="BH1539" s="1">
        <v>0</v>
      </c>
      <c r="BI1539" s="1">
        <v>0</v>
      </c>
      <c r="BJ1539" s="1">
        <v>0</v>
      </c>
      <c r="BK1539" s="1">
        <v>0</v>
      </c>
      <c r="BL1539" s="1">
        <v>0</v>
      </c>
      <c r="BM1539" s="1">
        <v>0</v>
      </c>
      <c r="BN1539" s="1">
        <v>0</v>
      </c>
      <c r="BO1539" s="1">
        <v>0</v>
      </c>
      <c r="BP1539" s="1">
        <v>0</v>
      </c>
      <c r="BQ1539" s="1">
        <v>0</v>
      </c>
      <c r="BR1539" s="1">
        <v>0</v>
      </c>
      <c r="BS1539" s="1" t="s">
        <v>109</v>
      </c>
      <c r="BT1539" s="1">
        <v>1601</v>
      </c>
      <c r="BU1539" s="1" t="s">
        <v>109</v>
      </c>
      <c r="BV1539" s="1"/>
      <c r="BW1539" s="1"/>
      <c r="BX1539" s="1"/>
      <c r="BY1539" s="1"/>
      <c r="BZ1539" s="1">
        <v>0</v>
      </c>
      <c r="CA1539" s="1" t="s">
        <v>109</v>
      </c>
      <c r="CB1539" s="1" t="s">
        <v>109</v>
      </c>
      <c r="CC1539" s="1" t="s">
        <v>109</v>
      </c>
      <c r="CD1539" s="1" t="s">
        <v>109</v>
      </c>
      <c r="CE1539" s="1" t="s">
        <v>109</v>
      </c>
      <c r="CF1539" s="1" t="s">
        <v>109</v>
      </c>
      <c r="CG1539" s="1" t="s">
        <v>109</v>
      </c>
      <c r="CH1539" s="1" t="s">
        <v>109</v>
      </c>
      <c r="CI1539" s="1" t="s">
        <v>109</v>
      </c>
      <c r="CJ1539" s="1">
        <v>2</v>
      </c>
      <c r="CK1539" s="1"/>
      <c r="CL1539" s="1">
        <v>0</v>
      </c>
      <c r="CM1539" s="1">
        <v>0</v>
      </c>
      <c r="CN1539" s="1">
        <v>0</v>
      </c>
    </row>
    <row r="1540" spans="1:92" ht="14.25" customHeight="1" x14ac:dyDescent="0.15">
      <c r="A1540" s="1" t="s">
        <v>11773</v>
      </c>
      <c r="B1540" s="1" t="s">
        <v>254</v>
      </c>
      <c r="C1540" s="1" t="s">
        <v>393</v>
      </c>
      <c r="D1540" s="1"/>
      <c r="E1540" s="1" t="s">
        <v>10163</v>
      </c>
      <c r="F1540" s="1" t="s">
        <v>395</v>
      </c>
      <c r="G1540" s="1" t="s">
        <v>11774</v>
      </c>
      <c r="H1540" s="1">
        <v>0</v>
      </c>
      <c r="I1540" s="1" t="s">
        <v>211</v>
      </c>
      <c r="J1540" s="1"/>
      <c r="K1540" s="1" t="s">
        <v>398</v>
      </c>
      <c r="L1540" s="1"/>
      <c r="M1540" s="1" t="s">
        <v>3042</v>
      </c>
      <c r="N1540" s="1">
        <v>0</v>
      </c>
      <c r="O1540" s="1">
        <v>0</v>
      </c>
      <c r="P1540" s="1" t="s">
        <v>103</v>
      </c>
      <c r="Q1540" s="1" t="s">
        <v>104</v>
      </c>
      <c r="R1540" s="1" t="s">
        <v>11775</v>
      </c>
      <c r="S1540" s="1" t="s">
        <v>11776</v>
      </c>
      <c r="T1540" s="1" t="s">
        <v>11777</v>
      </c>
      <c r="U1540" s="1" t="s">
        <v>11778</v>
      </c>
      <c r="V1540" s="1">
        <v>1</v>
      </c>
      <c r="W1540" s="1">
        <v>1</v>
      </c>
      <c r="X1540" s="1">
        <v>0</v>
      </c>
      <c r="Y1540" s="1">
        <v>0</v>
      </c>
      <c r="Z1540" s="1">
        <v>0</v>
      </c>
      <c r="AA1540" s="1">
        <v>3</v>
      </c>
      <c r="AB1540" s="1">
        <v>3</v>
      </c>
      <c r="AC1540" s="1" t="s">
        <v>109</v>
      </c>
      <c r="AD1540" s="1" t="s">
        <v>109</v>
      </c>
      <c r="AE1540" s="1" t="s">
        <v>109</v>
      </c>
      <c r="AF1540" s="1" t="s">
        <v>109</v>
      </c>
      <c r="AG1540" s="1" t="s">
        <v>109</v>
      </c>
      <c r="AH1540" s="1" t="s">
        <v>109</v>
      </c>
      <c r="AI1540" s="1" t="s">
        <v>109</v>
      </c>
      <c r="AJ1540" s="1">
        <v>3</v>
      </c>
      <c r="AK1540" s="1" t="s">
        <v>109</v>
      </c>
      <c r="AL1540" s="1" t="s">
        <v>109</v>
      </c>
      <c r="AM1540" s="1" t="s">
        <v>109</v>
      </c>
      <c r="AN1540" s="1" t="s">
        <v>109</v>
      </c>
      <c r="AO1540" s="1" t="s">
        <v>109</v>
      </c>
      <c r="AP1540" s="1"/>
      <c r="AQ1540" s="1">
        <v>3</v>
      </c>
      <c r="AR1540" s="1"/>
      <c r="AS1540" s="1"/>
      <c r="AT1540" s="1">
        <v>0</v>
      </c>
      <c r="AU1540" s="1">
        <v>0</v>
      </c>
      <c r="AV1540" s="1">
        <v>0</v>
      </c>
      <c r="AW1540" s="1">
        <v>0</v>
      </c>
      <c r="AX1540" s="1">
        <v>0</v>
      </c>
      <c r="AY1540" s="1">
        <v>0</v>
      </c>
      <c r="AZ1540" s="1">
        <v>0</v>
      </c>
      <c r="BA1540" s="1">
        <v>0</v>
      </c>
      <c r="BB1540" s="1">
        <v>0</v>
      </c>
      <c r="BC1540" s="1">
        <v>0</v>
      </c>
      <c r="BD1540" s="1">
        <v>0</v>
      </c>
      <c r="BE1540" s="1">
        <v>0</v>
      </c>
      <c r="BF1540" s="1">
        <v>0</v>
      </c>
      <c r="BG1540" s="1">
        <v>0</v>
      </c>
      <c r="BH1540" s="1">
        <v>0</v>
      </c>
      <c r="BI1540" s="1">
        <v>0</v>
      </c>
      <c r="BJ1540" s="1">
        <v>0</v>
      </c>
      <c r="BK1540" s="1">
        <v>0</v>
      </c>
      <c r="BL1540" s="1">
        <v>0</v>
      </c>
      <c r="BM1540" s="1">
        <v>0</v>
      </c>
      <c r="BN1540" s="1">
        <v>0</v>
      </c>
      <c r="BO1540" s="1">
        <v>0</v>
      </c>
      <c r="BP1540" s="1">
        <v>0</v>
      </c>
      <c r="BQ1540" s="1">
        <v>0</v>
      </c>
      <c r="BR1540" s="1">
        <v>0</v>
      </c>
      <c r="BS1540" s="1" t="s">
        <v>109</v>
      </c>
      <c r="BT1540" s="1">
        <v>1604</v>
      </c>
      <c r="BU1540" s="1" t="s">
        <v>109</v>
      </c>
      <c r="BV1540" s="1"/>
      <c r="BW1540" s="1"/>
      <c r="BX1540" s="1"/>
      <c r="BY1540" s="1"/>
      <c r="BZ1540" s="1">
        <v>0</v>
      </c>
      <c r="CA1540" s="1" t="s">
        <v>109</v>
      </c>
      <c r="CB1540" s="1" t="s">
        <v>109</v>
      </c>
      <c r="CC1540" s="1" t="s">
        <v>109</v>
      </c>
      <c r="CD1540" s="1" t="s">
        <v>109</v>
      </c>
      <c r="CE1540" s="1" t="s">
        <v>109</v>
      </c>
      <c r="CF1540" s="1" t="s">
        <v>109</v>
      </c>
      <c r="CG1540" s="1" t="s">
        <v>109</v>
      </c>
      <c r="CH1540" s="1" t="s">
        <v>109</v>
      </c>
      <c r="CI1540" s="1" t="s">
        <v>109</v>
      </c>
      <c r="CJ1540" s="1" t="s">
        <v>109</v>
      </c>
      <c r="CK1540" s="1"/>
      <c r="CL1540" s="1">
        <v>0</v>
      </c>
      <c r="CM1540" s="1">
        <v>0</v>
      </c>
      <c r="CN1540" s="1">
        <v>0</v>
      </c>
    </row>
    <row r="1541" spans="1:92" ht="14.25" customHeight="1" x14ac:dyDescent="0.15">
      <c r="A1541" s="1" t="s">
        <v>11779</v>
      </c>
      <c r="B1541" s="1" t="s">
        <v>156</v>
      </c>
      <c r="C1541" s="1" t="s">
        <v>157</v>
      </c>
      <c r="D1541" s="1"/>
      <c r="E1541" s="1" t="s">
        <v>11780</v>
      </c>
      <c r="F1541" s="1" t="s">
        <v>1963</v>
      </c>
      <c r="G1541" s="1" t="s">
        <v>141</v>
      </c>
      <c r="H1541" s="1">
        <v>0</v>
      </c>
      <c r="I1541" s="1" t="s">
        <v>161</v>
      </c>
      <c r="J1541" s="1"/>
      <c r="K1541" s="1"/>
      <c r="L1541" s="1" t="s">
        <v>11781</v>
      </c>
      <c r="M1541" s="1" t="s">
        <v>144</v>
      </c>
      <c r="N1541" s="1">
        <v>0</v>
      </c>
      <c r="O1541" s="1">
        <v>0</v>
      </c>
      <c r="P1541" s="1" t="s">
        <v>103</v>
      </c>
      <c r="Q1541" s="1" t="s">
        <v>104</v>
      </c>
      <c r="R1541" s="1" t="s">
        <v>11782</v>
      </c>
      <c r="S1541" s="1" t="s">
        <v>11783</v>
      </c>
      <c r="T1541" s="1" t="s">
        <v>11784</v>
      </c>
      <c r="U1541" s="1" t="s">
        <v>11785</v>
      </c>
      <c r="V1541" s="1">
        <v>1</v>
      </c>
      <c r="W1541" s="1">
        <v>1</v>
      </c>
      <c r="X1541" s="1">
        <v>0</v>
      </c>
      <c r="Y1541" s="1">
        <v>0</v>
      </c>
      <c r="Z1541" s="1">
        <v>0</v>
      </c>
      <c r="AA1541" s="1">
        <v>3</v>
      </c>
      <c r="AB1541" s="1">
        <v>3</v>
      </c>
      <c r="AC1541" s="1" t="s">
        <v>109</v>
      </c>
      <c r="AD1541" s="1">
        <v>3</v>
      </c>
      <c r="AE1541" s="1">
        <v>3</v>
      </c>
      <c r="AF1541" s="1" t="s">
        <v>109</v>
      </c>
      <c r="AG1541" s="1" t="s">
        <v>109</v>
      </c>
      <c r="AH1541" s="1" t="s">
        <v>109</v>
      </c>
      <c r="AI1541" s="1" t="s">
        <v>109</v>
      </c>
      <c r="AJ1541" s="1">
        <v>3</v>
      </c>
      <c r="AK1541" s="1" t="s">
        <v>109</v>
      </c>
      <c r="AL1541" s="1" t="s">
        <v>109</v>
      </c>
      <c r="AM1541" s="1">
        <v>2</v>
      </c>
      <c r="AN1541" s="1" t="s">
        <v>109</v>
      </c>
      <c r="AO1541" s="1" t="s">
        <v>109</v>
      </c>
      <c r="AP1541" s="1"/>
      <c r="AQ1541" s="1">
        <v>3</v>
      </c>
      <c r="AR1541" s="1"/>
      <c r="AS1541" s="1"/>
      <c r="AT1541" s="1">
        <v>0</v>
      </c>
      <c r="AU1541" s="1">
        <v>0</v>
      </c>
      <c r="AV1541" s="1">
        <v>0</v>
      </c>
      <c r="AW1541" s="1">
        <v>0</v>
      </c>
      <c r="AX1541" s="1">
        <v>0</v>
      </c>
      <c r="AY1541" s="1">
        <v>0</v>
      </c>
      <c r="AZ1541" s="1">
        <v>0</v>
      </c>
      <c r="BA1541" s="1">
        <v>0</v>
      </c>
      <c r="BB1541" s="1">
        <v>0</v>
      </c>
      <c r="BC1541" s="1">
        <v>0</v>
      </c>
      <c r="BD1541" s="1">
        <v>0</v>
      </c>
      <c r="BE1541" s="1">
        <v>0</v>
      </c>
      <c r="BF1541" s="1">
        <v>0</v>
      </c>
      <c r="BG1541" s="1">
        <v>0</v>
      </c>
      <c r="BH1541" s="1">
        <v>0</v>
      </c>
      <c r="BI1541" s="1">
        <v>0</v>
      </c>
      <c r="BJ1541" s="1">
        <v>0</v>
      </c>
      <c r="BK1541" s="1">
        <v>0</v>
      </c>
      <c r="BL1541" s="1">
        <v>0</v>
      </c>
      <c r="BM1541" s="1">
        <v>0</v>
      </c>
      <c r="BN1541" s="1">
        <v>0</v>
      </c>
      <c r="BO1541" s="1">
        <v>0</v>
      </c>
      <c r="BP1541" s="1">
        <v>0</v>
      </c>
      <c r="BQ1541" s="1">
        <v>0</v>
      </c>
      <c r="BR1541" s="1">
        <v>0</v>
      </c>
      <c r="BS1541" s="1" t="s">
        <v>109</v>
      </c>
      <c r="BT1541" s="1">
        <v>1606</v>
      </c>
      <c r="BU1541" s="1" t="s">
        <v>109</v>
      </c>
      <c r="BV1541" s="1"/>
      <c r="BW1541" s="1"/>
      <c r="BX1541" s="1"/>
      <c r="BY1541" s="1"/>
      <c r="BZ1541" s="1">
        <v>0</v>
      </c>
      <c r="CA1541" s="1" t="s">
        <v>109</v>
      </c>
      <c r="CB1541" s="1" t="s">
        <v>109</v>
      </c>
      <c r="CC1541" s="1" t="s">
        <v>109</v>
      </c>
      <c r="CD1541" s="1" t="s">
        <v>109</v>
      </c>
      <c r="CE1541" s="1" t="s">
        <v>109</v>
      </c>
      <c r="CF1541" s="1" t="s">
        <v>109</v>
      </c>
      <c r="CG1541" s="1" t="s">
        <v>109</v>
      </c>
      <c r="CH1541" s="1" t="s">
        <v>109</v>
      </c>
      <c r="CI1541" s="1" t="s">
        <v>109</v>
      </c>
      <c r="CJ1541" s="1">
        <v>3</v>
      </c>
      <c r="CK1541" s="1"/>
      <c r="CL1541" s="1">
        <v>0</v>
      </c>
      <c r="CM1541" s="1">
        <v>0</v>
      </c>
      <c r="CN1541" s="1">
        <v>0</v>
      </c>
    </row>
    <row r="1542" spans="1:92" ht="14.25" customHeight="1" x14ac:dyDescent="0.15">
      <c r="A1542" s="1" t="s">
        <v>11786</v>
      </c>
      <c r="B1542" s="1" t="s">
        <v>156</v>
      </c>
      <c r="C1542" s="1" t="s">
        <v>157</v>
      </c>
      <c r="D1542" s="1"/>
      <c r="E1542" s="1" t="s">
        <v>11787</v>
      </c>
      <c r="F1542" s="1" t="s">
        <v>1963</v>
      </c>
      <c r="G1542" s="1" t="s">
        <v>141</v>
      </c>
      <c r="H1542" s="1">
        <v>0</v>
      </c>
      <c r="I1542" s="1" t="s">
        <v>161</v>
      </c>
      <c r="J1542" s="1"/>
      <c r="K1542" s="1"/>
      <c r="L1542" s="1" t="s">
        <v>11781</v>
      </c>
      <c r="M1542" s="1" t="s">
        <v>144</v>
      </c>
      <c r="N1542" s="1">
        <v>0</v>
      </c>
      <c r="O1542" s="1">
        <v>0</v>
      </c>
      <c r="P1542" s="1" t="s">
        <v>103</v>
      </c>
      <c r="Q1542" s="1" t="s">
        <v>104</v>
      </c>
      <c r="R1542" s="1" t="s">
        <v>11788</v>
      </c>
      <c r="S1542" s="1" t="s">
        <v>11789</v>
      </c>
      <c r="T1542" s="1" t="s">
        <v>11784</v>
      </c>
      <c r="U1542" s="1" t="s">
        <v>11790</v>
      </c>
      <c r="V1542" s="1">
        <v>1</v>
      </c>
      <c r="W1542" s="1">
        <v>1</v>
      </c>
      <c r="X1542" s="1">
        <v>0</v>
      </c>
      <c r="Y1542" s="1">
        <v>0</v>
      </c>
      <c r="Z1542" s="1">
        <v>0</v>
      </c>
      <c r="AA1542" s="1">
        <v>5</v>
      </c>
      <c r="AB1542" s="1">
        <v>5</v>
      </c>
      <c r="AC1542" s="1" t="s">
        <v>109</v>
      </c>
      <c r="AD1542" s="1">
        <v>5</v>
      </c>
      <c r="AE1542" s="1" t="s">
        <v>109</v>
      </c>
      <c r="AF1542" s="1" t="s">
        <v>109</v>
      </c>
      <c r="AG1542" s="1" t="s">
        <v>109</v>
      </c>
      <c r="AH1542" s="1" t="s">
        <v>109</v>
      </c>
      <c r="AI1542" s="1" t="s">
        <v>109</v>
      </c>
      <c r="AJ1542" s="1">
        <v>5</v>
      </c>
      <c r="AK1542" s="1" t="s">
        <v>109</v>
      </c>
      <c r="AL1542" s="1" t="s">
        <v>109</v>
      </c>
      <c r="AM1542" s="1">
        <v>4</v>
      </c>
      <c r="AN1542" s="1" t="s">
        <v>109</v>
      </c>
      <c r="AO1542" s="1" t="s">
        <v>109</v>
      </c>
      <c r="AP1542" s="1"/>
      <c r="AQ1542" s="1">
        <v>5</v>
      </c>
      <c r="AR1542" s="1"/>
      <c r="AS1542" s="1"/>
      <c r="AT1542" s="1">
        <v>0</v>
      </c>
      <c r="AU1542" s="1">
        <v>0</v>
      </c>
      <c r="AV1542" s="1">
        <v>0</v>
      </c>
      <c r="AW1542" s="1">
        <v>0</v>
      </c>
      <c r="AX1542" s="1">
        <v>0</v>
      </c>
      <c r="AY1542" s="1">
        <v>0</v>
      </c>
      <c r="AZ1542" s="1">
        <v>0</v>
      </c>
      <c r="BA1542" s="1">
        <v>0</v>
      </c>
      <c r="BB1542" s="1">
        <v>0</v>
      </c>
      <c r="BC1542" s="1">
        <v>0</v>
      </c>
      <c r="BD1542" s="1">
        <v>0</v>
      </c>
      <c r="BE1542" s="1">
        <v>0</v>
      </c>
      <c r="BF1542" s="1">
        <v>0</v>
      </c>
      <c r="BG1542" s="1">
        <v>0</v>
      </c>
      <c r="BH1542" s="1">
        <v>0</v>
      </c>
      <c r="BI1542" s="1">
        <v>0</v>
      </c>
      <c r="BJ1542" s="1">
        <v>0</v>
      </c>
      <c r="BK1542" s="1">
        <v>0</v>
      </c>
      <c r="BL1542" s="1">
        <v>0</v>
      </c>
      <c r="BM1542" s="1">
        <v>0</v>
      </c>
      <c r="BN1542" s="1">
        <v>0</v>
      </c>
      <c r="BO1542" s="1">
        <v>0</v>
      </c>
      <c r="BP1542" s="1">
        <v>0</v>
      </c>
      <c r="BQ1542" s="1">
        <v>0</v>
      </c>
      <c r="BR1542" s="1">
        <v>0</v>
      </c>
      <c r="BS1542" s="1" t="s">
        <v>109</v>
      </c>
      <c r="BT1542" s="1">
        <v>1607</v>
      </c>
      <c r="BU1542" s="1" t="s">
        <v>109</v>
      </c>
      <c r="BV1542" s="1"/>
      <c r="BW1542" s="1"/>
      <c r="BX1542" s="1"/>
      <c r="BY1542" s="1"/>
      <c r="BZ1542" s="1">
        <v>0</v>
      </c>
      <c r="CA1542" s="1" t="s">
        <v>109</v>
      </c>
      <c r="CB1542" s="1" t="s">
        <v>109</v>
      </c>
      <c r="CC1542" s="1" t="s">
        <v>109</v>
      </c>
      <c r="CD1542" s="1" t="s">
        <v>109</v>
      </c>
      <c r="CE1542" s="1" t="s">
        <v>109</v>
      </c>
      <c r="CF1542" s="1" t="s">
        <v>109</v>
      </c>
      <c r="CG1542" s="1" t="s">
        <v>109</v>
      </c>
      <c r="CH1542" s="1" t="s">
        <v>109</v>
      </c>
      <c r="CI1542" s="1" t="s">
        <v>109</v>
      </c>
      <c r="CJ1542" s="1">
        <v>5</v>
      </c>
      <c r="CK1542" s="1"/>
      <c r="CL1542" s="1">
        <v>0</v>
      </c>
      <c r="CM1542" s="1">
        <v>0</v>
      </c>
      <c r="CN1542" s="1">
        <v>0</v>
      </c>
    </row>
    <row r="1543" spans="1:92" ht="14.25" customHeight="1" x14ac:dyDescent="0.15">
      <c r="A1543" s="1" t="s">
        <v>11791</v>
      </c>
      <c r="B1543" s="1" t="s">
        <v>674</v>
      </c>
      <c r="C1543" s="1" t="s">
        <v>2300</v>
      </c>
      <c r="D1543" s="1"/>
      <c r="E1543" s="1" t="s">
        <v>9564</v>
      </c>
      <c r="F1543" s="1" t="s">
        <v>98</v>
      </c>
      <c r="G1543" s="1" t="s">
        <v>141</v>
      </c>
      <c r="H1543" s="1">
        <v>0</v>
      </c>
      <c r="I1543" s="1" t="s">
        <v>161</v>
      </c>
      <c r="J1543" s="1"/>
      <c r="K1543" s="1"/>
      <c r="L1543" s="1" t="s">
        <v>7245</v>
      </c>
      <c r="M1543" s="1" t="s">
        <v>574</v>
      </c>
      <c r="N1543" s="1">
        <v>1</v>
      </c>
      <c r="O1543" s="1">
        <v>0</v>
      </c>
      <c r="P1543" s="1" t="s">
        <v>103</v>
      </c>
      <c r="Q1543" s="1" t="s">
        <v>104</v>
      </c>
      <c r="R1543" s="1" t="s">
        <v>11792</v>
      </c>
      <c r="S1543" s="1" t="s">
        <v>11793</v>
      </c>
      <c r="T1543" s="1" t="s">
        <v>11784</v>
      </c>
      <c r="U1543" s="1" t="s">
        <v>11794</v>
      </c>
      <c r="V1543" s="1">
        <v>1</v>
      </c>
      <c r="W1543" s="1">
        <v>1</v>
      </c>
      <c r="X1543" s="1">
        <v>0</v>
      </c>
      <c r="Y1543" s="1">
        <v>0</v>
      </c>
      <c r="Z1543" s="1">
        <v>0</v>
      </c>
      <c r="AA1543" s="1">
        <v>2</v>
      </c>
      <c r="AB1543" s="1">
        <v>2</v>
      </c>
      <c r="AC1543" s="1" t="s">
        <v>109</v>
      </c>
      <c r="AD1543" s="1" t="s">
        <v>109</v>
      </c>
      <c r="AE1543" s="1" t="s">
        <v>109</v>
      </c>
      <c r="AF1543" s="1" t="s">
        <v>109</v>
      </c>
      <c r="AG1543" s="1" t="s">
        <v>109</v>
      </c>
      <c r="AH1543" s="1" t="s">
        <v>109</v>
      </c>
      <c r="AI1543" s="1" t="s">
        <v>109</v>
      </c>
      <c r="AJ1543" s="1">
        <v>2</v>
      </c>
      <c r="AK1543" s="1" t="s">
        <v>109</v>
      </c>
      <c r="AL1543" s="1" t="s">
        <v>109</v>
      </c>
      <c r="AM1543" s="1" t="s">
        <v>109</v>
      </c>
      <c r="AN1543" s="1" t="s">
        <v>109</v>
      </c>
      <c r="AO1543" s="1" t="s">
        <v>109</v>
      </c>
      <c r="AP1543" s="1"/>
      <c r="AQ1543" s="1">
        <v>2</v>
      </c>
      <c r="AR1543" s="1"/>
      <c r="AS1543" s="1"/>
      <c r="AT1543" s="1">
        <v>0</v>
      </c>
      <c r="AU1543" s="1">
        <v>0</v>
      </c>
      <c r="AV1543" s="1">
        <v>0</v>
      </c>
      <c r="AW1543" s="1">
        <v>0</v>
      </c>
      <c r="AX1543" s="1">
        <v>0</v>
      </c>
      <c r="AY1543" s="1">
        <v>0</v>
      </c>
      <c r="AZ1543" s="1">
        <v>0</v>
      </c>
      <c r="BA1543" s="1">
        <v>0</v>
      </c>
      <c r="BB1543" s="1">
        <v>0</v>
      </c>
      <c r="BC1543" s="1">
        <v>0</v>
      </c>
      <c r="BD1543" s="1">
        <v>0</v>
      </c>
      <c r="BE1543" s="1">
        <v>0</v>
      </c>
      <c r="BF1543" s="1">
        <v>0</v>
      </c>
      <c r="BG1543" s="1">
        <v>0</v>
      </c>
      <c r="BH1543" s="1">
        <v>0</v>
      </c>
      <c r="BI1543" s="1">
        <v>0</v>
      </c>
      <c r="BJ1543" s="1">
        <v>0</v>
      </c>
      <c r="BK1543" s="1">
        <v>0</v>
      </c>
      <c r="BL1543" s="1">
        <v>0</v>
      </c>
      <c r="BM1543" s="1">
        <v>0</v>
      </c>
      <c r="BN1543" s="1">
        <v>0</v>
      </c>
      <c r="BO1543" s="1">
        <v>0</v>
      </c>
      <c r="BP1543" s="1">
        <v>0</v>
      </c>
      <c r="BQ1543" s="1">
        <v>0</v>
      </c>
      <c r="BR1543" s="1">
        <v>0</v>
      </c>
      <c r="BS1543" s="1" t="s">
        <v>109</v>
      </c>
      <c r="BT1543" s="1">
        <v>1608</v>
      </c>
      <c r="BU1543" s="1" t="s">
        <v>109</v>
      </c>
      <c r="BV1543" s="1"/>
      <c r="BW1543" s="1"/>
      <c r="BX1543" s="1"/>
      <c r="BY1543" s="1"/>
      <c r="BZ1543" s="1">
        <v>0</v>
      </c>
      <c r="CA1543" s="1" t="s">
        <v>109</v>
      </c>
      <c r="CB1543" s="1" t="s">
        <v>109</v>
      </c>
      <c r="CC1543" s="1" t="s">
        <v>109</v>
      </c>
      <c r="CD1543" s="1" t="s">
        <v>109</v>
      </c>
      <c r="CE1543" s="1" t="s">
        <v>109</v>
      </c>
      <c r="CF1543" s="1" t="s">
        <v>109</v>
      </c>
      <c r="CG1543" s="1" t="s">
        <v>109</v>
      </c>
      <c r="CH1543" s="1" t="s">
        <v>109</v>
      </c>
      <c r="CI1543" s="1" t="s">
        <v>109</v>
      </c>
      <c r="CJ1543" s="1" t="s">
        <v>109</v>
      </c>
      <c r="CK1543" s="1"/>
      <c r="CL1543" s="1">
        <v>0</v>
      </c>
      <c r="CM1543" s="1">
        <v>0</v>
      </c>
      <c r="CN1543" s="1">
        <v>0</v>
      </c>
    </row>
    <row r="1544" spans="1:92" ht="14.25" customHeight="1" x14ac:dyDescent="0.15">
      <c r="A1544" s="1" t="s">
        <v>11795</v>
      </c>
      <c r="B1544" s="1" t="s">
        <v>189</v>
      </c>
      <c r="C1544" s="1"/>
      <c r="D1544" s="1"/>
      <c r="E1544" s="1" t="s">
        <v>4518</v>
      </c>
      <c r="F1544" s="1" t="s">
        <v>98</v>
      </c>
      <c r="G1544" s="1" t="s">
        <v>160</v>
      </c>
      <c r="H1544" s="1">
        <v>0</v>
      </c>
      <c r="I1544" s="1" t="s">
        <v>161</v>
      </c>
      <c r="J1544" s="1"/>
      <c r="K1544" s="1"/>
      <c r="L1544" s="1" t="s">
        <v>10029</v>
      </c>
      <c r="M1544" s="1" t="s">
        <v>815</v>
      </c>
      <c r="N1544" s="1">
        <v>1</v>
      </c>
      <c r="O1544" s="1">
        <v>0</v>
      </c>
      <c r="P1544" s="1" t="s">
        <v>507</v>
      </c>
      <c r="Q1544" s="1" t="s">
        <v>104</v>
      </c>
      <c r="R1544" s="1" t="s">
        <v>11796</v>
      </c>
      <c r="S1544" s="1" t="s">
        <v>11797</v>
      </c>
      <c r="T1544" s="1" t="s">
        <v>11784</v>
      </c>
      <c r="U1544" s="1" t="s">
        <v>11798</v>
      </c>
      <c r="V1544" s="1">
        <v>1</v>
      </c>
      <c r="W1544" s="1">
        <v>1</v>
      </c>
      <c r="X1544" s="1">
        <v>0</v>
      </c>
      <c r="Y1544" s="1">
        <v>0</v>
      </c>
      <c r="Z1544" s="1">
        <v>1</v>
      </c>
      <c r="AA1544" s="1" t="s">
        <v>109</v>
      </c>
      <c r="AB1544" s="1" t="s">
        <v>109</v>
      </c>
      <c r="AC1544" s="1" t="s">
        <v>109</v>
      </c>
      <c r="AD1544" s="1">
        <v>3</v>
      </c>
      <c r="AE1544" s="1">
        <v>2</v>
      </c>
      <c r="AF1544" s="1" t="s">
        <v>109</v>
      </c>
      <c r="AG1544" s="1" t="s">
        <v>109</v>
      </c>
      <c r="AH1544" s="1" t="s">
        <v>109</v>
      </c>
      <c r="AI1544" s="1" t="s">
        <v>109</v>
      </c>
      <c r="AJ1544" s="1" t="s">
        <v>109</v>
      </c>
      <c r="AK1544" s="1" t="s">
        <v>109</v>
      </c>
      <c r="AL1544" s="1" t="s">
        <v>109</v>
      </c>
      <c r="AM1544" s="1" t="s">
        <v>109</v>
      </c>
      <c r="AN1544" s="1" t="s">
        <v>109</v>
      </c>
      <c r="AO1544" s="1" t="s">
        <v>109</v>
      </c>
      <c r="AP1544" s="1"/>
      <c r="AQ1544" s="1">
        <v>3</v>
      </c>
      <c r="AR1544" s="1"/>
      <c r="AS1544" s="1"/>
      <c r="AT1544" s="1">
        <v>0</v>
      </c>
      <c r="AU1544" s="1">
        <v>0</v>
      </c>
      <c r="AV1544" s="1">
        <v>0</v>
      </c>
      <c r="AW1544" s="1">
        <v>0</v>
      </c>
      <c r="AX1544" s="1">
        <v>0</v>
      </c>
      <c r="AY1544" s="1">
        <v>0</v>
      </c>
      <c r="AZ1544" s="1">
        <v>0</v>
      </c>
      <c r="BA1544" s="1">
        <v>0</v>
      </c>
      <c r="BB1544" s="1">
        <v>0</v>
      </c>
      <c r="BC1544" s="1">
        <v>0</v>
      </c>
      <c r="BD1544" s="1">
        <v>0</v>
      </c>
      <c r="BE1544" s="1">
        <v>0</v>
      </c>
      <c r="BF1544" s="1">
        <v>0</v>
      </c>
      <c r="BG1544" s="1">
        <v>0</v>
      </c>
      <c r="BH1544" s="1">
        <v>0</v>
      </c>
      <c r="BI1544" s="1">
        <v>0</v>
      </c>
      <c r="BJ1544" s="1">
        <v>0</v>
      </c>
      <c r="BK1544" s="1">
        <v>0</v>
      </c>
      <c r="BL1544" s="1">
        <v>0</v>
      </c>
      <c r="BM1544" s="1">
        <v>0</v>
      </c>
      <c r="BN1544" s="1">
        <v>0</v>
      </c>
      <c r="BO1544" s="1">
        <v>0</v>
      </c>
      <c r="BP1544" s="1">
        <v>0</v>
      </c>
      <c r="BQ1544" s="1">
        <v>0</v>
      </c>
      <c r="BR1544" s="1">
        <v>0</v>
      </c>
      <c r="BS1544" s="1" t="s">
        <v>109</v>
      </c>
      <c r="BT1544" s="1">
        <v>1609</v>
      </c>
      <c r="BU1544" s="1" t="s">
        <v>109</v>
      </c>
      <c r="BV1544" s="1"/>
      <c r="BW1544" s="1"/>
      <c r="BX1544" s="1"/>
      <c r="BY1544" s="1"/>
      <c r="BZ1544" s="1">
        <v>0</v>
      </c>
      <c r="CA1544" s="1" t="s">
        <v>109</v>
      </c>
      <c r="CB1544" s="1" t="s">
        <v>109</v>
      </c>
      <c r="CC1544" s="1" t="s">
        <v>109</v>
      </c>
      <c r="CD1544" s="1" t="s">
        <v>109</v>
      </c>
      <c r="CE1544" s="1" t="s">
        <v>109</v>
      </c>
      <c r="CF1544" s="1" t="s">
        <v>109</v>
      </c>
      <c r="CG1544" s="1" t="s">
        <v>109</v>
      </c>
      <c r="CH1544" s="1" t="s">
        <v>109</v>
      </c>
      <c r="CI1544" s="1" t="s">
        <v>109</v>
      </c>
      <c r="CJ1544" s="1">
        <v>2</v>
      </c>
      <c r="CK1544" s="1"/>
      <c r="CL1544" s="1">
        <v>0</v>
      </c>
      <c r="CM1544" s="1">
        <v>0</v>
      </c>
      <c r="CN1544" s="1">
        <v>0</v>
      </c>
    </row>
    <row r="1545" spans="1:92" ht="14.25" customHeight="1" x14ac:dyDescent="0.15">
      <c r="A1545" s="1" t="s">
        <v>11799</v>
      </c>
      <c r="B1545" s="1" t="s">
        <v>189</v>
      </c>
      <c r="C1545" s="1"/>
      <c r="D1545" s="1"/>
      <c r="E1545" s="1" t="s">
        <v>4840</v>
      </c>
      <c r="F1545" s="1" t="s">
        <v>6545</v>
      </c>
      <c r="G1545" s="1" t="s">
        <v>141</v>
      </c>
      <c r="H1545" s="1">
        <v>0</v>
      </c>
      <c r="I1545" s="1" t="s">
        <v>142</v>
      </c>
      <c r="J1545" s="1"/>
      <c r="K1545" s="1"/>
      <c r="L1545" s="1" t="s">
        <v>10029</v>
      </c>
      <c r="M1545" s="1" t="s">
        <v>355</v>
      </c>
      <c r="N1545" s="1">
        <v>0</v>
      </c>
      <c r="O1545" s="1">
        <v>0</v>
      </c>
      <c r="P1545" s="1" t="s">
        <v>103</v>
      </c>
      <c r="Q1545" s="1" t="s">
        <v>104</v>
      </c>
      <c r="R1545" s="1" t="s">
        <v>11800</v>
      </c>
      <c r="S1545" s="1" t="s">
        <v>11801</v>
      </c>
      <c r="T1545" s="1" t="s">
        <v>11784</v>
      </c>
      <c r="U1545" s="1" t="s">
        <v>11802</v>
      </c>
      <c r="V1545" s="1">
        <v>1</v>
      </c>
      <c r="W1545" s="1">
        <v>1</v>
      </c>
      <c r="X1545" s="1">
        <v>0</v>
      </c>
      <c r="Y1545" s="1">
        <v>0</v>
      </c>
      <c r="Z1545" s="1">
        <v>0</v>
      </c>
      <c r="AA1545" s="1" t="s">
        <v>109</v>
      </c>
      <c r="AB1545" s="1" t="s">
        <v>109</v>
      </c>
      <c r="AC1545" s="1" t="s">
        <v>109</v>
      </c>
      <c r="AD1545" s="1">
        <v>2</v>
      </c>
      <c r="AE1545" s="1">
        <v>2</v>
      </c>
      <c r="AF1545" s="1" t="s">
        <v>109</v>
      </c>
      <c r="AG1545" s="1" t="s">
        <v>109</v>
      </c>
      <c r="AH1545" s="1" t="s">
        <v>109</v>
      </c>
      <c r="AI1545" s="1" t="s">
        <v>109</v>
      </c>
      <c r="AJ1545" s="1" t="s">
        <v>109</v>
      </c>
      <c r="AK1545" s="1" t="s">
        <v>109</v>
      </c>
      <c r="AL1545" s="1" t="s">
        <v>109</v>
      </c>
      <c r="AM1545" s="1" t="s">
        <v>109</v>
      </c>
      <c r="AN1545" s="1" t="s">
        <v>109</v>
      </c>
      <c r="AO1545" s="1" t="s">
        <v>109</v>
      </c>
      <c r="AP1545" s="1"/>
      <c r="AQ1545" s="1">
        <v>2</v>
      </c>
      <c r="AR1545" s="1"/>
      <c r="AS1545" s="1"/>
      <c r="AT1545" s="1">
        <v>0</v>
      </c>
      <c r="AU1545" s="1">
        <v>0</v>
      </c>
      <c r="AV1545" s="1">
        <v>0</v>
      </c>
      <c r="AW1545" s="1">
        <v>0</v>
      </c>
      <c r="AX1545" s="1">
        <v>0</v>
      </c>
      <c r="AY1545" s="1">
        <v>0</v>
      </c>
      <c r="AZ1545" s="1">
        <v>0</v>
      </c>
      <c r="BA1545" s="1">
        <v>0</v>
      </c>
      <c r="BB1545" s="1">
        <v>0</v>
      </c>
      <c r="BC1545" s="1">
        <v>0</v>
      </c>
      <c r="BD1545" s="1">
        <v>0</v>
      </c>
      <c r="BE1545" s="1">
        <v>0</v>
      </c>
      <c r="BF1545" s="1">
        <v>0</v>
      </c>
      <c r="BG1545" s="1">
        <v>0</v>
      </c>
      <c r="BH1545" s="1">
        <v>0</v>
      </c>
      <c r="BI1545" s="1">
        <v>0</v>
      </c>
      <c r="BJ1545" s="1">
        <v>0</v>
      </c>
      <c r="BK1545" s="1">
        <v>0</v>
      </c>
      <c r="BL1545" s="1">
        <v>0</v>
      </c>
      <c r="BM1545" s="1">
        <v>0</v>
      </c>
      <c r="BN1545" s="1">
        <v>0</v>
      </c>
      <c r="BO1545" s="1">
        <v>0</v>
      </c>
      <c r="BP1545" s="1">
        <v>0</v>
      </c>
      <c r="BQ1545" s="1">
        <v>0</v>
      </c>
      <c r="BR1545" s="1">
        <v>0</v>
      </c>
      <c r="BS1545" s="1" t="s">
        <v>109</v>
      </c>
      <c r="BT1545" s="1">
        <v>1610</v>
      </c>
      <c r="BU1545" s="1" t="s">
        <v>109</v>
      </c>
      <c r="BV1545" s="1"/>
      <c r="BW1545" s="1"/>
      <c r="BX1545" s="1"/>
      <c r="BY1545" s="1"/>
      <c r="BZ1545" s="1">
        <v>0</v>
      </c>
      <c r="CA1545" s="1" t="s">
        <v>109</v>
      </c>
      <c r="CB1545" s="1" t="s">
        <v>109</v>
      </c>
      <c r="CC1545" s="1" t="s">
        <v>109</v>
      </c>
      <c r="CD1545" s="1" t="s">
        <v>109</v>
      </c>
      <c r="CE1545" s="1" t="s">
        <v>109</v>
      </c>
      <c r="CF1545" s="1" t="s">
        <v>109</v>
      </c>
      <c r="CG1545" s="1" t="s">
        <v>109</v>
      </c>
      <c r="CH1545" s="1" t="s">
        <v>109</v>
      </c>
      <c r="CI1545" s="1" t="s">
        <v>109</v>
      </c>
      <c r="CJ1545" s="1">
        <v>2</v>
      </c>
      <c r="CK1545" s="1"/>
      <c r="CL1545" s="1">
        <v>0</v>
      </c>
      <c r="CM1545" s="1">
        <v>0</v>
      </c>
      <c r="CN1545" s="1">
        <v>0</v>
      </c>
    </row>
    <row r="1546" spans="1:92" ht="14.25" customHeight="1" x14ac:dyDescent="0.15">
      <c r="A1546" s="1" t="s">
        <v>11803</v>
      </c>
      <c r="B1546" s="1" t="s">
        <v>189</v>
      </c>
      <c r="C1546" s="1" t="s">
        <v>231</v>
      </c>
      <c r="D1546" s="1"/>
      <c r="E1546" s="1" t="s">
        <v>11804</v>
      </c>
      <c r="F1546" s="1" t="s">
        <v>98</v>
      </c>
      <c r="G1546" s="1" t="s">
        <v>160</v>
      </c>
      <c r="H1546" s="1">
        <v>0</v>
      </c>
      <c r="I1546" s="1" t="s">
        <v>161</v>
      </c>
      <c r="J1546" s="1"/>
      <c r="K1546" s="1"/>
      <c r="L1546" s="1" t="s">
        <v>11805</v>
      </c>
      <c r="M1546" s="1" t="s">
        <v>6625</v>
      </c>
      <c r="N1546" s="1">
        <v>1</v>
      </c>
      <c r="O1546" s="1">
        <v>0</v>
      </c>
      <c r="P1546" s="1" t="s">
        <v>507</v>
      </c>
      <c r="Q1546" s="1" t="s">
        <v>104</v>
      </c>
      <c r="R1546" s="1" t="s">
        <v>11806</v>
      </c>
      <c r="S1546" s="1" t="s">
        <v>11807</v>
      </c>
      <c r="T1546" s="1" t="s">
        <v>11784</v>
      </c>
      <c r="U1546" s="1" t="s">
        <v>11808</v>
      </c>
      <c r="V1546" s="1">
        <v>1</v>
      </c>
      <c r="W1546" s="1">
        <v>1</v>
      </c>
      <c r="X1546" s="1">
        <v>0</v>
      </c>
      <c r="Y1546" s="1">
        <v>0</v>
      </c>
      <c r="Z1546" s="1">
        <v>1</v>
      </c>
      <c r="AA1546" s="1" t="s">
        <v>109</v>
      </c>
      <c r="AB1546" s="1" t="s">
        <v>109</v>
      </c>
      <c r="AC1546" s="1" t="s">
        <v>109</v>
      </c>
      <c r="AD1546" s="1">
        <v>2</v>
      </c>
      <c r="AE1546" s="1">
        <v>2</v>
      </c>
      <c r="AF1546" s="1" t="s">
        <v>109</v>
      </c>
      <c r="AG1546" s="1">
        <v>2</v>
      </c>
      <c r="AH1546" s="1" t="s">
        <v>109</v>
      </c>
      <c r="AI1546" s="1" t="s">
        <v>109</v>
      </c>
      <c r="AJ1546" s="1" t="s">
        <v>109</v>
      </c>
      <c r="AK1546" s="1" t="s">
        <v>109</v>
      </c>
      <c r="AL1546" s="1" t="s">
        <v>109</v>
      </c>
      <c r="AM1546" s="1" t="s">
        <v>109</v>
      </c>
      <c r="AN1546" s="1" t="s">
        <v>109</v>
      </c>
      <c r="AO1546" s="1" t="s">
        <v>109</v>
      </c>
      <c r="AP1546" s="1"/>
      <c r="AQ1546" s="1">
        <v>2</v>
      </c>
      <c r="AR1546" s="1"/>
      <c r="AS1546" s="1"/>
      <c r="AT1546" s="1">
        <v>0</v>
      </c>
      <c r="AU1546" s="1">
        <v>0</v>
      </c>
      <c r="AV1546" s="1">
        <v>0</v>
      </c>
      <c r="AW1546" s="1">
        <v>0</v>
      </c>
      <c r="AX1546" s="1">
        <v>0</v>
      </c>
      <c r="AY1546" s="1">
        <v>0</v>
      </c>
      <c r="AZ1546" s="1">
        <v>0</v>
      </c>
      <c r="BA1546" s="1">
        <v>0</v>
      </c>
      <c r="BB1546" s="1">
        <v>0</v>
      </c>
      <c r="BC1546" s="1">
        <v>0</v>
      </c>
      <c r="BD1546" s="1">
        <v>0</v>
      </c>
      <c r="BE1546" s="1">
        <v>0</v>
      </c>
      <c r="BF1546" s="1">
        <v>0</v>
      </c>
      <c r="BG1546" s="1">
        <v>0</v>
      </c>
      <c r="BH1546" s="1">
        <v>0</v>
      </c>
      <c r="BI1546" s="1">
        <v>0</v>
      </c>
      <c r="BJ1546" s="1">
        <v>0</v>
      </c>
      <c r="BK1546" s="1">
        <v>0</v>
      </c>
      <c r="BL1546" s="1">
        <v>0</v>
      </c>
      <c r="BM1546" s="1">
        <v>0</v>
      </c>
      <c r="BN1546" s="1">
        <v>0</v>
      </c>
      <c r="BO1546" s="1">
        <v>0</v>
      </c>
      <c r="BP1546" s="1">
        <v>0</v>
      </c>
      <c r="BQ1546" s="1">
        <v>0</v>
      </c>
      <c r="BR1546" s="1">
        <v>0</v>
      </c>
      <c r="BS1546" s="1" t="s">
        <v>109</v>
      </c>
      <c r="BT1546" s="1">
        <v>1611</v>
      </c>
      <c r="BU1546" s="1" t="s">
        <v>109</v>
      </c>
      <c r="BV1546" s="1"/>
      <c r="BW1546" s="1"/>
      <c r="BX1546" s="1"/>
      <c r="BY1546" s="1"/>
      <c r="BZ1546" s="1">
        <v>0</v>
      </c>
      <c r="CA1546" s="1" t="s">
        <v>109</v>
      </c>
      <c r="CB1546" s="1" t="s">
        <v>109</v>
      </c>
      <c r="CC1546" s="1" t="s">
        <v>109</v>
      </c>
      <c r="CD1546" s="1" t="s">
        <v>109</v>
      </c>
      <c r="CE1546" s="1" t="s">
        <v>109</v>
      </c>
      <c r="CF1546" s="1" t="s">
        <v>109</v>
      </c>
      <c r="CG1546" s="1" t="s">
        <v>109</v>
      </c>
      <c r="CH1546" s="1" t="s">
        <v>109</v>
      </c>
      <c r="CI1546" s="1" t="s">
        <v>109</v>
      </c>
      <c r="CJ1546" s="1">
        <v>2</v>
      </c>
      <c r="CK1546" s="1"/>
      <c r="CL1546" s="1">
        <v>0</v>
      </c>
      <c r="CM1546" s="1">
        <v>0</v>
      </c>
      <c r="CN1546" s="1">
        <v>0</v>
      </c>
    </row>
    <row r="1547" spans="1:92" ht="14.25" customHeight="1" x14ac:dyDescent="0.15">
      <c r="A1547" s="1" t="s">
        <v>11809</v>
      </c>
      <c r="B1547" s="1" t="s">
        <v>189</v>
      </c>
      <c r="C1547" s="1"/>
      <c r="D1547" s="1"/>
      <c r="E1547" s="1" t="s">
        <v>11810</v>
      </c>
      <c r="F1547" s="1" t="s">
        <v>98</v>
      </c>
      <c r="G1547" s="1" t="s">
        <v>160</v>
      </c>
      <c r="H1547" s="1">
        <v>0</v>
      </c>
      <c r="I1547" s="1" t="s">
        <v>161</v>
      </c>
      <c r="J1547" s="1"/>
      <c r="K1547" s="1"/>
      <c r="L1547" s="1" t="s">
        <v>11805</v>
      </c>
      <c r="M1547" s="1" t="s">
        <v>6625</v>
      </c>
      <c r="N1547" s="1">
        <v>1</v>
      </c>
      <c r="O1547" s="1">
        <v>0</v>
      </c>
      <c r="P1547" s="1" t="s">
        <v>507</v>
      </c>
      <c r="Q1547" s="1" t="s">
        <v>104</v>
      </c>
      <c r="R1547" s="1" t="s">
        <v>11811</v>
      </c>
      <c r="S1547" s="1" t="s">
        <v>11812</v>
      </c>
      <c r="T1547" s="1" t="s">
        <v>11784</v>
      </c>
      <c r="U1547" s="1" t="s">
        <v>11813</v>
      </c>
      <c r="V1547" s="1">
        <v>1</v>
      </c>
      <c r="W1547" s="1">
        <v>1</v>
      </c>
      <c r="X1547" s="1">
        <v>0</v>
      </c>
      <c r="Y1547" s="1">
        <v>0</v>
      </c>
      <c r="Z1547" s="1">
        <v>1</v>
      </c>
      <c r="AA1547" s="1" t="s">
        <v>109</v>
      </c>
      <c r="AB1547" s="1" t="s">
        <v>109</v>
      </c>
      <c r="AC1547" s="1" t="s">
        <v>109</v>
      </c>
      <c r="AD1547" s="1">
        <v>4</v>
      </c>
      <c r="AE1547" s="1">
        <v>4</v>
      </c>
      <c r="AF1547" s="1" t="s">
        <v>109</v>
      </c>
      <c r="AG1547" s="1">
        <v>4</v>
      </c>
      <c r="AH1547" s="1" t="s">
        <v>109</v>
      </c>
      <c r="AI1547" s="1" t="s">
        <v>109</v>
      </c>
      <c r="AJ1547" s="1" t="s">
        <v>109</v>
      </c>
      <c r="AK1547" s="1" t="s">
        <v>109</v>
      </c>
      <c r="AL1547" s="1" t="s">
        <v>109</v>
      </c>
      <c r="AM1547" s="1" t="s">
        <v>109</v>
      </c>
      <c r="AN1547" s="1" t="s">
        <v>109</v>
      </c>
      <c r="AO1547" s="1" t="s">
        <v>109</v>
      </c>
      <c r="AP1547" s="1"/>
      <c r="AQ1547" s="1">
        <v>4</v>
      </c>
      <c r="AR1547" s="1"/>
      <c r="AS1547" s="1"/>
      <c r="AT1547" s="1">
        <v>0</v>
      </c>
      <c r="AU1547" s="1">
        <v>0</v>
      </c>
      <c r="AV1547" s="1">
        <v>0</v>
      </c>
      <c r="AW1547" s="1">
        <v>0</v>
      </c>
      <c r="AX1547" s="1">
        <v>0</v>
      </c>
      <c r="AY1547" s="1">
        <v>0</v>
      </c>
      <c r="AZ1547" s="1">
        <v>0</v>
      </c>
      <c r="BA1547" s="1">
        <v>0</v>
      </c>
      <c r="BB1547" s="1">
        <v>0</v>
      </c>
      <c r="BC1547" s="1">
        <v>0</v>
      </c>
      <c r="BD1547" s="1">
        <v>0</v>
      </c>
      <c r="BE1547" s="1">
        <v>0</v>
      </c>
      <c r="BF1547" s="1">
        <v>0</v>
      </c>
      <c r="BG1547" s="1">
        <v>0</v>
      </c>
      <c r="BH1547" s="1">
        <v>0</v>
      </c>
      <c r="BI1547" s="1">
        <v>0</v>
      </c>
      <c r="BJ1547" s="1">
        <v>0</v>
      </c>
      <c r="BK1547" s="1">
        <v>0</v>
      </c>
      <c r="BL1547" s="1">
        <v>0</v>
      </c>
      <c r="BM1547" s="1">
        <v>0</v>
      </c>
      <c r="BN1547" s="1">
        <v>0</v>
      </c>
      <c r="BO1547" s="1">
        <v>0</v>
      </c>
      <c r="BP1547" s="1">
        <v>0</v>
      </c>
      <c r="BQ1547" s="1">
        <v>0</v>
      </c>
      <c r="BR1547" s="1">
        <v>0</v>
      </c>
      <c r="BS1547" s="1" t="s">
        <v>109</v>
      </c>
      <c r="BT1547" s="1">
        <v>1612</v>
      </c>
      <c r="BU1547" s="1" t="s">
        <v>109</v>
      </c>
      <c r="BV1547" s="1"/>
      <c r="BW1547" s="1"/>
      <c r="BX1547" s="1"/>
      <c r="BY1547" s="1"/>
      <c r="BZ1547" s="1">
        <v>0</v>
      </c>
      <c r="CA1547" s="1" t="s">
        <v>109</v>
      </c>
      <c r="CB1547" s="1" t="s">
        <v>109</v>
      </c>
      <c r="CC1547" s="1" t="s">
        <v>109</v>
      </c>
      <c r="CD1547" s="1" t="s">
        <v>109</v>
      </c>
      <c r="CE1547" s="1" t="s">
        <v>109</v>
      </c>
      <c r="CF1547" s="1" t="s">
        <v>109</v>
      </c>
      <c r="CG1547" s="1" t="s">
        <v>109</v>
      </c>
      <c r="CH1547" s="1" t="s">
        <v>109</v>
      </c>
      <c r="CI1547" s="1" t="s">
        <v>109</v>
      </c>
      <c r="CJ1547" s="1">
        <v>4</v>
      </c>
      <c r="CK1547" s="1"/>
      <c r="CL1547" s="1">
        <v>0</v>
      </c>
      <c r="CM1547" s="1">
        <v>0</v>
      </c>
      <c r="CN1547" s="1">
        <v>0</v>
      </c>
    </row>
    <row r="1548" spans="1:92" ht="14.25" customHeight="1" x14ac:dyDescent="0.15">
      <c r="A1548" s="1" t="s">
        <v>11814</v>
      </c>
      <c r="B1548" s="1" t="s">
        <v>189</v>
      </c>
      <c r="C1548" s="1" t="s">
        <v>231</v>
      </c>
      <c r="D1548" s="1"/>
      <c r="E1548" s="1" t="s">
        <v>11815</v>
      </c>
      <c r="F1548" s="1" t="s">
        <v>98</v>
      </c>
      <c r="G1548" s="1" t="s">
        <v>234</v>
      </c>
      <c r="H1548" s="1">
        <v>0</v>
      </c>
      <c r="I1548" s="1" t="s">
        <v>235</v>
      </c>
      <c r="J1548" s="1"/>
      <c r="K1548" s="1"/>
      <c r="L1548" s="1"/>
      <c r="M1548" s="1" t="s">
        <v>815</v>
      </c>
      <c r="N1548" s="1">
        <v>1</v>
      </c>
      <c r="O1548" s="1">
        <v>0</v>
      </c>
      <c r="P1548" s="1"/>
      <c r="Q1548" s="1"/>
      <c r="R1548" s="1" t="s">
        <v>11816</v>
      </c>
      <c r="S1548" s="1" t="s">
        <v>11817</v>
      </c>
      <c r="T1548" s="1" t="s">
        <v>11784</v>
      </c>
      <c r="U1548" s="1" t="s">
        <v>11818</v>
      </c>
      <c r="V1548" s="1">
        <v>1</v>
      </c>
      <c r="W1548" s="1">
        <v>1</v>
      </c>
      <c r="X1548" s="1">
        <v>1</v>
      </c>
      <c r="Y1548" s="1">
        <v>0</v>
      </c>
      <c r="Z1548" s="1">
        <v>0</v>
      </c>
      <c r="AA1548" s="1">
        <v>4</v>
      </c>
      <c r="AB1548" s="1">
        <v>4</v>
      </c>
      <c r="AC1548" s="1" t="s">
        <v>109</v>
      </c>
      <c r="AD1548" s="1" t="s">
        <v>109</v>
      </c>
      <c r="AE1548" s="1">
        <v>3</v>
      </c>
      <c r="AF1548" s="1" t="s">
        <v>109</v>
      </c>
      <c r="AG1548" s="1" t="s">
        <v>109</v>
      </c>
      <c r="AH1548" s="1" t="s">
        <v>109</v>
      </c>
      <c r="AI1548" s="1" t="s">
        <v>109</v>
      </c>
      <c r="AJ1548" s="1">
        <v>4</v>
      </c>
      <c r="AK1548" s="1" t="s">
        <v>109</v>
      </c>
      <c r="AL1548" s="1" t="s">
        <v>109</v>
      </c>
      <c r="AM1548" s="1" t="s">
        <v>109</v>
      </c>
      <c r="AN1548" s="1" t="s">
        <v>109</v>
      </c>
      <c r="AO1548" s="1" t="s">
        <v>109</v>
      </c>
      <c r="AP1548" s="1"/>
      <c r="AQ1548" s="1">
        <v>3</v>
      </c>
      <c r="AR1548" s="1"/>
      <c r="AS1548" s="1"/>
      <c r="AT1548" s="1">
        <v>0</v>
      </c>
      <c r="AU1548" s="1">
        <v>0</v>
      </c>
      <c r="AV1548" s="1">
        <v>0</v>
      </c>
      <c r="AW1548" s="1">
        <v>0</v>
      </c>
      <c r="AX1548" s="1">
        <v>0</v>
      </c>
      <c r="AY1548" s="1">
        <v>0</v>
      </c>
      <c r="AZ1548" s="1">
        <v>0</v>
      </c>
      <c r="BA1548" s="1">
        <v>0</v>
      </c>
      <c r="BB1548" s="1">
        <v>0</v>
      </c>
      <c r="BC1548" s="1">
        <v>0</v>
      </c>
      <c r="BD1548" s="1">
        <v>0</v>
      </c>
      <c r="BE1548" s="1">
        <v>0</v>
      </c>
      <c r="BF1548" s="1">
        <v>0</v>
      </c>
      <c r="BG1548" s="1">
        <v>0</v>
      </c>
      <c r="BH1548" s="1">
        <v>0</v>
      </c>
      <c r="BI1548" s="1">
        <v>0</v>
      </c>
      <c r="BJ1548" s="1">
        <v>0</v>
      </c>
      <c r="BK1548" s="1">
        <v>0</v>
      </c>
      <c r="BL1548" s="1">
        <v>0</v>
      </c>
      <c r="BM1548" s="1">
        <v>0</v>
      </c>
      <c r="BN1548" s="1">
        <v>0</v>
      </c>
      <c r="BO1548" s="1">
        <v>0</v>
      </c>
      <c r="BP1548" s="1">
        <v>0</v>
      </c>
      <c r="BQ1548" s="1">
        <v>0</v>
      </c>
      <c r="BR1548" s="1">
        <v>0</v>
      </c>
      <c r="BS1548" s="1" t="s">
        <v>109</v>
      </c>
      <c r="BT1548" s="1">
        <v>1613</v>
      </c>
      <c r="BU1548" s="1" t="s">
        <v>109</v>
      </c>
      <c r="BV1548" s="1"/>
      <c r="BW1548" s="1"/>
      <c r="BX1548" s="1"/>
      <c r="BY1548" s="1"/>
      <c r="BZ1548" s="1">
        <v>0</v>
      </c>
      <c r="CA1548" s="1" t="s">
        <v>109</v>
      </c>
      <c r="CB1548" s="1" t="s">
        <v>109</v>
      </c>
      <c r="CC1548" s="1" t="s">
        <v>109</v>
      </c>
      <c r="CD1548" s="1" t="s">
        <v>109</v>
      </c>
      <c r="CE1548" s="1" t="s">
        <v>109</v>
      </c>
      <c r="CF1548" s="1" t="s">
        <v>109</v>
      </c>
      <c r="CG1548" s="1" t="s">
        <v>109</v>
      </c>
      <c r="CH1548" s="1" t="s">
        <v>109</v>
      </c>
      <c r="CI1548" s="1" t="s">
        <v>109</v>
      </c>
      <c r="CJ1548" s="1">
        <v>3</v>
      </c>
      <c r="CK1548" s="1"/>
      <c r="CL1548" s="1">
        <v>0</v>
      </c>
      <c r="CM1548" s="1">
        <v>0</v>
      </c>
      <c r="CN1548" s="1">
        <v>0</v>
      </c>
    </row>
    <row r="1549" spans="1:92" ht="14.25" customHeight="1" x14ac:dyDescent="0.15">
      <c r="A1549" s="1" t="s">
        <v>11819</v>
      </c>
      <c r="B1549" s="1" t="s">
        <v>189</v>
      </c>
      <c r="C1549" s="1"/>
      <c r="D1549" s="1"/>
      <c r="E1549" s="1" t="s">
        <v>2519</v>
      </c>
      <c r="F1549" s="1" t="s">
        <v>98</v>
      </c>
      <c r="G1549" s="1" t="s">
        <v>160</v>
      </c>
      <c r="H1549" s="1">
        <v>0</v>
      </c>
      <c r="I1549" s="1" t="s">
        <v>161</v>
      </c>
      <c r="J1549" s="1"/>
      <c r="K1549" s="1"/>
      <c r="L1549" s="1" t="s">
        <v>11805</v>
      </c>
      <c r="M1549" s="1" t="s">
        <v>6144</v>
      </c>
      <c r="N1549" s="1">
        <v>1</v>
      </c>
      <c r="O1549" s="1">
        <v>0</v>
      </c>
      <c r="P1549" s="1" t="s">
        <v>507</v>
      </c>
      <c r="Q1549" s="1" t="s">
        <v>104</v>
      </c>
      <c r="R1549" s="1" t="s">
        <v>11820</v>
      </c>
      <c r="S1549" s="1" t="s">
        <v>11821</v>
      </c>
      <c r="T1549" s="1" t="s">
        <v>11784</v>
      </c>
      <c r="U1549" s="1" t="s">
        <v>11822</v>
      </c>
      <c r="V1549" s="1">
        <v>1</v>
      </c>
      <c r="W1549" s="1">
        <v>1</v>
      </c>
      <c r="X1549" s="1">
        <v>0</v>
      </c>
      <c r="Y1549" s="1">
        <v>0</v>
      </c>
      <c r="Z1549" s="1">
        <v>1</v>
      </c>
      <c r="AA1549" s="1" t="s">
        <v>109</v>
      </c>
      <c r="AB1549" s="1" t="s">
        <v>109</v>
      </c>
      <c r="AC1549" s="1" t="s">
        <v>109</v>
      </c>
      <c r="AD1549" s="1" t="s">
        <v>109</v>
      </c>
      <c r="AE1549" s="1" t="s">
        <v>109</v>
      </c>
      <c r="AF1549" s="1" t="s">
        <v>109</v>
      </c>
      <c r="AG1549" s="1">
        <v>3</v>
      </c>
      <c r="AH1549" s="1" t="s">
        <v>109</v>
      </c>
      <c r="AI1549" s="1" t="s">
        <v>109</v>
      </c>
      <c r="AJ1549" s="1" t="s">
        <v>109</v>
      </c>
      <c r="AK1549" s="1" t="s">
        <v>109</v>
      </c>
      <c r="AL1549" s="1" t="s">
        <v>109</v>
      </c>
      <c r="AM1549" s="1" t="s">
        <v>109</v>
      </c>
      <c r="AN1549" s="1" t="s">
        <v>109</v>
      </c>
      <c r="AO1549" s="1" t="s">
        <v>109</v>
      </c>
      <c r="AP1549" s="1"/>
      <c r="AQ1549" s="1">
        <v>3</v>
      </c>
      <c r="AR1549" s="1"/>
      <c r="AS1549" s="1"/>
      <c r="AT1549" s="1">
        <v>0</v>
      </c>
      <c r="AU1549" s="1">
        <v>0</v>
      </c>
      <c r="AV1549" s="1">
        <v>0</v>
      </c>
      <c r="AW1549" s="1">
        <v>0</v>
      </c>
      <c r="AX1549" s="1">
        <v>0</v>
      </c>
      <c r="AY1549" s="1">
        <v>0</v>
      </c>
      <c r="AZ1549" s="1">
        <v>0</v>
      </c>
      <c r="BA1549" s="1">
        <v>0</v>
      </c>
      <c r="BB1549" s="1">
        <v>0</v>
      </c>
      <c r="BC1549" s="1">
        <v>0</v>
      </c>
      <c r="BD1549" s="1">
        <v>0</v>
      </c>
      <c r="BE1549" s="1">
        <v>0</v>
      </c>
      <c r="BF1549" s="1">
        <v>0</v>
      </c>
      <c r="BG1549" s="1">
        <v>0</v>
      </c>
      <c r="BH1549" s="1">
        <v>0</v>
      </c>
      <c r="BI1549" s="1">
        <v>0</v>
      </c>
      <c r="BJ1549" s="1">
        <v>0</v>
      </c>
      <c r="BK1549" s="1">
        <v>0</v>
      </c>
      <c r="BL1549" s="1">
        <v>0</v>
      </c>
      <c r="BM1549" s="1">
        <v>0</v>
      </c>
      <c r="BN1549" s="1">
        <v>0</v>
      </c>
      <c r="BO1549" s="1">
        <v>0</v>
      </c>
      <c r="BP1549" s="1">
        <v>0</v>
      </c>
      <c r="BQ1549" s="1">
        <v>0</v>
      </c>
      <c r="BR1549" s="1">
        <v>0</v>
      </c>
      <c r="BS1549" s="1" t="s">
        <v>109</v>
      </c>
      <c r="BT1549" s="1">
        <v>1615</v>
      </c>
      <c r="BU1549" s="1" t="s">
        <v>109</v>
      </c>
      <c r="BV1549" s="1"/>
      <c r="BW1549" s="1"/>
      <c r="BX1549" s="1"/>
      <c r="BY1549" s="1"/>
      <c r="BZ1549" s="1">
        <v>0</v>
      </c>
      <c r="CA1549" s="1" t="s">
        <v>109</v>
      </c>
      <c r="CB1549" s="1" t="s">
        <v>109</v>
      </c>
      <c r="CC1549" s="1" t="s">
        <v>109</v>
      </c>
      <c r="CD1549" s="1" t="s">
        <v>109</v>
      </c>
      <c r="CE1549" s="1" t="s">
        <v>109</v>
      </c>
      <c r="CF1549" s="1" t="s">
        <v>109</v>
      </c>
      <c r="CG1549" s="1" t="s">
        <v>109</v>
      </c>
      <c r="CH1549" s="1" t="s">
        <v>109</v>
      </c>
      <c r="CI1549" s="1" t="s">
        <v>109</v>
      </c>
      <c r="CJ1549" s="1" t="s">
        <v>109</v>
      </c>
      <c r="CK1549" s="1"/>
      <c r="CL1549" s="1">
        <v>0</v>
      </c>
      <c r="CM1549" s="1">
        <v>0</v>
      </c>
      <c r="CN1549" s="1">
        <v>0</v>
      </c>
    </row>
    <row r="1550" spans="1:92" ht="14.25" customHeight="1" x14ac:dyDescent="0.15">
      <c r="A1550" s="1" t="s">
        <v>11823</v>
      </c>
      <c r="B1550" s="1" t="s">
        <v>584</v>
      </c>
      <c r="C1550" s="1"/>
      <c r="D1550" s="1" t="s">
        <v>11824</v>
      </c>
      <c r="E1550" s="1" t="s">
        <v>11825</v>
      </c>
      <c r="F1550" s="1" t="s">
        <v>98</v>
      </c>
      <c r="G1550" s="1" t="s">
        <v>141</v>
      </c>
      <c r="H1550" s="1">
        <v>0</v>
      </c>
      <c r="I1550" s="1" t="s">
        <v>1192</v>
      </c>
      <c r="J1550" s="1" t="s">
        <v>726</v>
      </c>
      <c r="K1550" s="1"/>
      <c r="L1550" s="1"/>
      <c r="M1550" s="1" t="s">
        <v>144</v>
      </c>
      <c r="N1550" s="1">
        <v>0</v>
      </c>
      <c r="O1550" s="1">
        <v>0</v>
      </c>
      <c r="P1550" s="1" t="s">
        <v>727</v>
      </c>
      <c r="Q1550" s="1" t="s">
        <v>104</v>
      </c>
      <c r="R1550" s="1" t="s">
        <v>11826</v>
      </c>
      <c r="S1550" s="1" t="s">
        <v>11827</v>
      </c>
      <c r="T1550" s="1" t="s">
        <v>11777</v>
      </c>
      <c r="U1550" s="1" t="s">
        <v>11828</v>
      </c>
      <c r="V1550" s="1">
        <v>1</v>
      </c>
      <c r="W1550" s="1">
        <v>1</v>
      </c>
      <c r="X1550" s="1">
        <v>0</v>
      </c>
      <c r="Y1550" s="1">
        <v>0</v>
      </c>
      <c r="Z1550" s="1">
        <v>0</v>
      </c>
      <c r="AA1550" s="1">
        <v>2</v>
      </c>
      <c r="AB1550" s="1">
        <v>2</v>
      </c>
      <c r="AC1550" s="1" t="s">
        <v>109</v>
      </c>
      <c r="AD1550" s="1">
        <v>2</v>
      </c>
      <c r="AE1550" s="1" t="s">
        <v>109</v>
      </c>
      <c r="AF1550" s="1" t="s">
        <v>109</v>
      </c>
      <c r="AG1550" s="1" t="s">
        <v>109</v>
      </c>
      <c r="AH1550" s="1" t="s">
        <v>109</v>
      </c>
      <c r="AI1550" s="1" t="s">
        <v>109</v>
      </c>
      <c r="AJ1550" s="1">
        <v>2</v>
      </c>
      <c r="AK1550" s="1" t="s">
        <v>109</v>
      </c>
      <c r="AL1550" s="1" t="s">
        <v>109</v>
      </c>
      <c r="AM1550" s="1" t="s">
        <v>109</v>
      </c>
      <c r="AN1550" s="1">
        <v>2</v>
      </c>
      <c r="AO1550" s="1" t="s">
        <v>109</v>
      </c>
      <c r="AP1550" s="1"/>
      <c r="AQ1550" s="1">
        <v>2</v>
      </c>
      <c r="AR1550" s="1"/>
      <c r="AS1550" s="1"/>
      <c r="AT1550" s="1">
        <v>0</v>
      </c>
      <c r="AU1550" s="1">
        <v>0</v>
      </c>
      <c r="AV1550" s="1">
        <v>0</v>
      </c>
      <c r="AW1550" s="1">
        <v>1</v>
      </c>
      <c r="AX1550" s="1">
        <v>0</v>
      </c>
      <c r="AY1550" s="1">
        <v>0</v>
      </c>
      <c r="AZ1550" s="1">
        <v>0</v>
      </c>
      <c r="BA1550" s="1">
        <v>0</v>
      </c>
      <c r="BB1550" s="1">
        <v>0</v>
      </c>
      <c r="BC1550" s="1">
        <v>0</v>
      </c>
      <c r="BD1550" s="1">
        <v>0</v>
      </c>
      <c r="BE1550" s="1">
        <v>0</v>
      </c>
      <c r="BF1550" s="1">
        <v>0</v>
      </c>
      <c r="BG1550" s="1">
        <v>0</v>
      </c>
      <c r="BH1550" s="1">
        <v>0</v>
      </c>
      <c r="BI1550" s="1">
        <v>0</v>
      </c>
      <c r="BJ1550" s="1">
        <v>0</v>
      </c>
      <c r="BK1550" s="1">
        <v>0</v>
      </c>
      <c r="BL1550" s="1">
        <v>0</v>
      </c>
      <c r="BM1550" s="1">
        <v>0</v>
      </c>
      <c r="BN1550" s="1">
        <v>0</v>
      </c>
      <c r="BO1550" s="1">
        <v>0</v>
      </c>
      <c r="BP1550" s="1">
        <v>0</v>
      </c>
      <c r="BQ1550" s="1">
        <v>0</v>
      </c>
      <c r="BR1550" s="1">
        <v>1</v>
      </c>
      <c r="BS1550" s="1" t="s">
        <v>109</v>
      </c>
      <c r="BT1550" s="1">
        <v>1616</v>
      </c>
      <c r="BU1550" s="1" t="s">
        <v>109</v>
      </c>
      <c r="BV1550" s="1"/>
      <c r="BW1550" s="1"/>
      <c r="BX1550" s="1"/>
      <c r="BY1550" s="1"/>
      <c r="BZ1550" s="1">
        <v>0</v>
      </c>
      <c r="CA1550" s="1" t="s">
        <v>109</v>
      </c>
      <c r="CB1550" s="1" t="s">
        <v>109</v>
      </c>
      <c r="CC1550" s="1" t="s">
        <v>109</v>
      </c>
      <c r="CD1550" s="1" t="s">
        <v>109</v>
      </c>
      <c r="CE1550" s="1" t="s">
        <v>109</v>
      </c>
      <c r="CF1550" s="1" t="s">
        <v>109</v>
      </c>
      <c r="CG1550" s="1" t="s">
        <v>109</v>
      </c>
      <c r="CH1550" s="1" t="s">
        <v>109</v>
      </c>
      <c r="CI1550" s="1" t="s">
        <v>109</v>
      </c>
      <c r="CJ1550" s="1">
        <v>2</v>
      </c>
      <c r="CK1550" s="1"/>
      <c r="CL1550" s="1">
        <v>0</v>
      </c>
      <c r="CM1550" s="1">
        <v>0</v>
      </c>
      <c r="CN1550" s="1">
        <v>0</v>
      </c>
    </row>
    <row r="1551" spans="1:92" ht="14.25" customHeight="1" x14ac:dyDescent="0.15">
      <c r="A1551" s="1" t="s">
        <v>11829</v>
      </c>
      <c r="B1551" s="1" t="s">
        <v>95</v>
      </c>
      <c r="C1551" s="1" t="s">
        <v>96</v>
      </c>
      <c r="D1551" s="1" t="s">
        <v>11824</v>
      </c>
      <c r="E1551" s="1" t="s">
        <v>11830</v>
      </c>
      <c r="F1551" s="1" t="s">
        <v>98</v>
      </c>
      <c r="G1551" s="1" t="s">
        <v>141</v>
      </c>
      <c r="H1551" s="1">
        <v>0</v>
      </c>
      <c r="I1551" s="1" t="s">
        <v>142</v>
      </c>
      <c r="J1551" s="1"/>
      <c r="K1551" s="1" t="s">
        <v>11831</v>
      </c>
      <c r="L1551" s="1"/>
      <c r="M1551" s="1" t="s">
        <v>144</v>
      </c>
      <c r="N1551" s="1">
        <v>0</v>
      </c>
      <c r="O1551" s="1">
        <v>0</v>
      </c>
      <c r="P1551" s="1" t="s">
        <v>8321</v>
      </c>
      <c r="Q1551" s="1" t="s">
        <v>104</v>
      </c>
      <c r="R1551" s="1" t="s">
        <v>11832</v>
      </c>
      <c r="S1551" s="1" t="s">
        <v>11833</v>
      </c>
      <c r="T1551" s="1" t="s">
        <v>11777</v>
      </c>
      <c r="U1551" s="1" t="s">
        <v>11834</v>
      </c>
      <c r="V1551" s="1">
        <v>1</v>
      </c>
      <c r="W1551" s="1">
        <v>1</v>
      </c>
      <c r="X1551" s="1">
        <v>0</v>
      </c>
      <c r="Y1551" s="1">
        <v>0</v>
      </c>
      <c r="Z1551" s="1">
        <v>0</v>
      </c>
      <c r="AA1551" s="1">
        <v>1</v>
      </c>
      <c r="AB1551" s="1">
        <v>1</v>
      </c>
      <c r="AC1551" s="1" t="s">
        <v>109</v>
      </c>
      <c r="AD1551" s="1">
        <v>1</v>
      </c>
      <c r="AE1551" s="1" t="s">
        <v>109</v>
      </c>
      <c r="AF1551" s="1" t="s">
        <v>109</v>
      </c>
      <c r="AG1551" s="1" t="s">
        <v>109</v>
      </c>
      <c r="AH1551" s="1" t="s">
        <v>109</v>
      </c>
      <c r="AI1551" s="1">
        <v>1</v>
      </c>
      <c r="AJ1551" s="1">
        <v>1</v>
      </c>
      <c r="AK1551" s="1" t="s">
        <v>109</v>
      </c>
      <c r="AL1551" s="1" t="s">
        <v>109</v>
      </c>
      <c r="AM1551" s="1" t="s">
        <v>109</v>
      </c>
      <c r="AN1551" s="1">
        <v>1</v>
      </c>
      <c r="AO1551" s="1" t="s">
        <v>109</v>
      </c>
      <c r="AP1551" s="1"/>
      <c r="AQ1551" s="1">
        <v>1</v>
      </c>
      <c r="AR1551" s="1"/>
      <c r="AS1551" s="1"/>
      <c r="AT1551" s="1">
        <v>0</v>
      </c>
      <c r="AU1551" s="1">
        <v>0</v>
      </c>
      <c r="AV1551" s="1">
        <v>0</v>
      </c>
      <c r="AW1551" s="1">
        <v>1</v>
      </c>
      <c r="AX1551" s="1">
        <v>0</v>
      </c>
      <c r="AY1551" s="1">
        <v>0</v>
      </c>
      <c r="AZ1551" s="1">
        <v>0</v>
      </c>
      <c r="BA1551" s="1">
        <v>0</v>
      </c>
      <c r="BB1551" s="1">
        <v>0</v>
      </c>
      <c r="BC1551" s="1">
        <v>0</v>
      </c>
      <c r="BD1551" s="1">
        <v>0</v>
      </c>
      <c r="BE1551" s="1">
        <v>0</v>
      </c>
      <c r="BF1551" s="1">
        <v>0</v>
      </c>
      <c r="BG1551" s="1">
        <v>0</v>
      </c>
      <c r="BH1551" s="1">
        <v>0</v>
      </c>
      <c r="BI1551" s="1">
        <v>0</v>
      </c>
      <c r="BJ1551" s="1">
        <v>0</v>
      </c>
      <c r="BK1551" s="1">
        <v>0</v>
      </c>
      <c r="BL1551" s="1">
        <v>0</v>
      </c>
      <c r="BM1551" s="1">
        <v>0</v>
      </c>
      <c r="BN1551" s="1">
        <v>0</v>
      </c>
      <c r="BO1551" s="1">
        <v>0</v>
      </c>
      <c r="BP1551" s="1">
        <v>0</v>
      </c>
      <c r="BQ1551" s="1">
        <v>0</v>
      </c>
      <c r="BR1551" s="1">
        <v>1</v>
      </c>
      <c r="BS1551" s="1" t="s">
        <v>109</v>
      </c>
      <c r="BT1551" s="1">
        <v>1617</v>
      </c>
      <c r="BU1551" s="1" t="s">
        <v>109</v>
      </c>
      <c r="BV1551" s="1"/>
      <c r="BW1551" s="1"/>
      <c r="BX1551" s="1"/>
      <c r="BY1551" s="1"/>
      <c r="BZ1551" s="1">
        <v>0</v>
      </c>
      <c r="CA1551" s="1" t="s">
        <v>109</v>
      </c>
      <c r="CB1551" s="1" t="s">
        <v>109</v>
      </c>
      <c r="CC1551" s="1" t="s">
        <v>109</v>
      </c>
      <c r="CD1551" s="1" t="s">
        <v>109</v>
      </c>
      <c r="CE1551" s="1" t="s">
        <v>109</v>
      </c>
      <c r="CF1551" s="1" t="s">
        <v>109</v>
      </c>
      <c r="CG1551" s="1" t="s">
        <v>109</v>
      </c>
      <c r="CH1551" s="1" t="s">
        <v>109</v>
      </c>
      <c r="CI1551" s="1" t="s">
        <v>109</v>
      </c>
      <c r="CJ1551" s="1">
        <v>1</v>
      </c>
      <c r="CK1551" s="1"/>
      <c r="CL1551" s="1">
        <v>0</v>
      </c>
      <c r="CM1551" s="1">
        <v>0</v>
      </c>
      <c r="CN1551" s="1">
        <v>0</v>
      </c>
    </row>
    <row r="1552" spans="1:92" ht="14.25" customHeight="1" x14ac:dyDescent="0.15">
      <c r="A1552" s="1" t="s">
        <v>11835</v>
      </c>
      <c r="B1552" s="1" t="s">
        <v>95</v>
      </c>
      <c r="C1552" s="1"/>
      <c r="D1552" s="1" t="s">
        <v>49</v>
      </c>
      <c r="E1552" s="1" t="s">
        <v>7863</v>
      </c>
      <c r="F1552" s="1" t="s">
        <v>98</v>
      </c>
      <c r="G1552" s="1" t="s">
        <v>11836</v>
      </c>
      <c r="H1552" s="1">
        <v>0</v>
      </c>
      <c r="I1552" s="1" t="s">
        <v>142</v>
      </c>
      <c r="J1552" s="1"/>
      <c r="K1552" s="1" t="s">
        <v>11837</v>
      </c>
      <c r="L1552" s="1"/>
      <c r="M1552" s="1" t="s">
        <v>144</v>
      </c>
      <c r="N1552" s="1">
        <v>0</v>
      </c>
      <c r="O1552" s="1">
        <v>0</v>
      </c>
      <c r="P1552" s="1" t="s">
        <v>11838</v>
      </c>
      <c r="Q1552" s="1" t="s">
        <v>104</v>
      </c>
      <c r="R1552" s="1" t="s">
        <v>11839</v>
      </c>
      <c r="S1552" s="1" t="s">
        <v>11840</v>
      </c>
      <c r="T1552" s="1" t="s">
        <v>11777</v>
      </c>
      <c r="U1552" s="1" t="s">
        <v>11841</v>
      </c>
      <c r="V1552" s="1">
        <v>1</v>
      </c>
      <c r="W1552" s="1">
        <v>1</v>
      </c>
      <c r="X1552" s="1">
        <v>1</v>
      </c>
      <c r="Y1552" s="1">
        <v>0</v>
      </c>
      <c r="Z1552" s="1">
        <v>0</v>
      </c>
      <c r="AA1552" s="1">
        <v>3</v>
      </c>
      <c r="AB1552" s="1">
        <v>3</v>
      </c>
      <c r="AC1552" s="1" t="s">
        <v>109</v>
      </c>
      <c r="AD1552" s="1">
        <v>3</v>
      </c>
      <c r="AE1552" s="1" t="s">
        <v>109</v>
      </c>
      <c r="AF1552" s="1" t="s">
        <v>109</v>
      </c>
      <c r="AG1552" s="1" t="s">
        <v>109</v>
      </c>
      <c r="AH1552" s="1" t="s">
        <v>109</v>
      </c>
      <c r="AI1552" s="1" t="s">
        <v>109</v>
      </c>
      <c r="AJ1552" s="1">
        <v>3</v>
      </c>
      <c r="AK1552" s="1" t="s">
        <v>109</v>
      </c>
      <c r="AL1552" s="1" t="s">
        <v>109</v>
      </c>
      <c r="AM1552" s="1" t="s">
        <v>109</v>
      </c>
      <c r="AN1552" s="1" t="s">
        <v>109</v>
      </c>
      <c r="AO1552" s="1" t="s">
        <v>109</v>
      </c>
      <c r="AP1552" s="1"/>
      <c r="AQ1552" s="1">
        <v>3</v>
      </c>
      <c r="AR1552" s="1"/>
      <c r="AS1552" s="1"/>
      <c r="AT1552" s="1">
        <v>0</v>
      </c>
      <c r="AU1552" s="1">
        <v>0</v>
      </c>
      <c r="AV1552" s="1">
        <v>0</v>
      </c>
      <c r="AW1552" s="1">
        <v>1</v>
      </c>
      <c r="AX1552" s="1">
        <v>0</v>
      </c>
      <c r="AY1552" s="1">
        <v>0</v>
      </c>
      <c r="AZ1552" s="1">
        <v>0</v>
      </c>
      <c r="BA1552" s="1">
        <v>0</v>
      </c>
      <c r="BB1552" s="1">
        <v>0</v>
      </c>
      <c r="BC1552" s="1">
        <v>0</v>
      </c>
      <c r="BD1552" s="1">
        <v>0</v>
      </c>
      <c r="BE1552" s="1">
        <v>0</v>
      </c>
      <c r="BF1552" s="1">
        <v>0</v>
      </c>
      <c r="BG1552" s="1">
        <v>0</v>
      </c>
      <c r="BH1552" s="1">
        <v>0</v>
      </c>
      <c r="BI1552" s="1">
        <v>0</v>
      </c>
      <c r="BJ1552" s="1">
        <v>0</v>
      </c>
      <c r="BK1552" s="1">
        <v>0</v>
      </c>
      <c r="BL1552" s="1">
        <v>0</v>
      </c>
      <c r="BM1552" s="1">
        <v>0</v>
      </c>
      <c r="BN1552" s="1">
        <v>0</v>
      </c>
      <c r="BO1552" s="1">
        <v>0</v>
      </c>
      <c r="BP1552" s="1">
        <v>0</v>
      </c>
      <c r="BQ1552" s="1">
        <v>0</v>
      </c>
      <c r="BR1552" s="1">
        <v>0</v>
      </c>
      <c r="BS1552" s="1" t="s">
        <v>109</v>
      </c>
      <c r="BT1552" s="1">
        <v>1618</v>
      </c>
      <c r="BU1552" s="1" t="s">
        <v>109</v>
      </c>
      <c r="BV1552" s="1"/>
      <c r="BW1552" s="1"/>
      <c r="BX1552" s="1"/>
      <c r="BY1552" s="1"/>
      <c r="BZ1552" s="1">
        <v>0</v>
      </c>
      <c r="CA1552" s="1" t="s">
        <v>109</v>
      </c>
      <c r="CB1552" s="1" t="s">
        <v>109</v>
      </c>
      <c r="CC1552" s="1" t="s">
        <v>109</v>
      </c>
      <c r="CD1552" s="1" t="s">
        <v>109</v>
      </c>
      <c r="CE1552" s="1" t="s">
        <v>109</v>
      </c>
      <c r="CF1552" s="1" t="s">
        <v>109</v>
      </c>
      <c r="CG1552" s="1" t="s">
        <v>109</v>
      </c>
      <c r="CH1552" s="1" t="s">
        <v>109</v>
      </c>
      <c r="CI1552" s="1" t="s">
        <v>109</v>
      </c>
      <c r="CJ1552" s="1">
        <v>3</v>
      </c>
      <c r="CK1552" s="1"/>
      <c r="CL1552" s="1">
        <v>0</v>
      </c>
      <c r="CM1552" s="1">
        <v>0</v>
      </c>
      <c r="CN1552" s="1">
        <v>0</v>
      </c>
    </row>
    <row r="1553" spans="1:92" ht="14.25" customHeight="1" x14ac:dyDescent="0.15">
      <c r="A1553" s="1" t="s">
        <v>11842</v>
      </c>
      <c r="B1553" s="1" t="s">
        <v>95</v>
      </c>
      <c r="C1553" s="1" t="s">
        <v>694</v>
      </c>
      <c r="D1553" s="1"/>
      <c r="E1553" s="1" t="s">
        <v>11843</v>
      </c>
      <c r="F1553" s="1" t="s">
        <v>277</v>
      </c>
      <c r="G1553" s="1" t="s">
        <v>160</v>
      </c>
      <c r="H1553" s="1">
        <v>0</v>
      </c>
      <c r="I1553" s="1" t="s">
        <v>11844</v>
      </c>
      <c r="J1553" s="1"/>
      <c r="K1553" s="1"/>
      <c r="L1553" s="1" t="s">
        <v>11845</v>
      </c>
      <c r="M1553" s="1" t="s">
        <v>11846</v>
      </c>
      <c r="N1553" s="1">
        <v>0</v>
      </c>
      <c r="O1553" s="1">
        <v>0</v>
      </c>
      <c r="P1553" s="1" t="s">
        <v>11847</v>
      </c>
      <c r="Q1553" s="1" t="s">
        <v>167</v>
      </c>
      <c r="R1553" s="1" t="s">
        <v>11848</v>
      </c>
      <c r="S1553" s="1" t="s">
        <v>11849</v>
      </c>
      <c r="T1553" s="1" t="s">
        <v>11850</v>
      </c>
      <c r="U1553" s="1" t="s">
        <v>11851</v>
      </c>
      <c r="V1553" s="1">
        <v>1</v>
      </c>
      <c r="W1553" s="1">
        <v>1</v>
      </c>
      <c r="X1553" s="1">
        <v>0</v>
      </c>
      <c r="Y1553" s="1">
        <v>0</v>
      </c>
      <c r="Z1553" s="1">
        <v>1</v>
      </c>
      <c r="AA1553" s="1" t="s">
        <v>109</v>
      </c>
      <c r="AB1553" s="1" t="s">
        <v>109</v>
      </c>
      <c r="AC1553" s="1">
        <v>3</v>
      </c>
      <c r="AD1553" s="1" t="s">
        <v>109</v>
      </c>
      <c r="AE1553" s="1">
        <v>3</v>
      </c>
      <c r="AF1553" s="1" t="s">
        <v>109</v>
      </c>
      <c r="AG1553" s="1" t="s">
        <v>109</v>
      </c>
      <c r="AH1553" s="1" t="s">
        <v>109</v>
      </c>
      <c r="AI1553" s="1" t="s">
        <v>109</v>
      </c>
      <c r="AJ1553" s="1" t="s">
        <v>109</v>
      </c>
      <c r="AK1553" s="1" t="s">
        <v>109</v>
      </c>
      <c r="AL1553" s="1">
        <v>3</v>
      </c>
      <c r="AM1553" s="1" t="s">
        <v>109</v>
      </c>
      <c r="AN1553" s="1" t="s">
        <v>109</v>
      </c>
      <c r="AO1553" s="1" t="s">
        <v>109</v>
      </c>
      <c r="AP1553" s="1" t="s">
        <v>11852</v>
      </c>
      <c r="AQ1553" s="1">
        <v>3</v>
      </c>
      <c r="AR1553" s="1"/>
      <c r="AS1553" s="1"/>
      <c r="AT1553" s="1">
        <v>0</v>
      </c>
      <c r="AU1553" s="1">
        <v>0</v>
      </c>
      <c r="AV1553" s="1">
        <v>0</v>
      </c>
      <c r="AW1553" s="1">
        <v>0</v>
      </c>
      <c r="AX1553" s="1">
        <v>0</v>
      </c>
      <c r="AY1553" s="1">
        <v>0</v>
      </c>
      <c r="AZ1553" s="1">
        <v>0</v>
      </c>
      <c r="BA1553" s="1">
        <v>0</v>
      </c>
      <c r="BB1553" s="1">
        <v>0</v>
      </c>
      <c r="BC1553" s="1">
        <v>0</v>
      </c>
      <c r="BD1553" s="1">
        <v>0</v>
      </c>
      <c r="BE1553" s="1">
        <v>0</v>
      </c>
      <c r="BF1553" s="1">
        <v>0</v>
      </c>
      <c r="BG1553" s="1">
        <v>0</v>
      </c>
      <c r="BH1553" s="1">
        <v>0</v>
      </c>
      <c r="BI1553" s="1">
        <v>0</v>
      </c>
      <c r="BJ1553" s="1">
        <v>0</v>
      </c>
      <c r="BK1553" s="1">
        <v>0</v>
      </c>
      <c r="BL1553" s="1">
        <v>0</v>
      </c>
      <c r="BM1553" s="1">
        <v>0</v>
      </c>
      <c r="BN1553" s="1">
        <v>0</v>
      </c>
      <c r="BO1553" s="1">
        <v>0</v>
      </c>
      <c r="BP1553" s="1">
        <v>0</v>
      </c>
      <c r="BQ1553" s="1">
        <v>0</v>
      </c>
      <c r="BR1553" s="1">
        <v>0</v>
      </c>
      <c r="BS1553" s="1" t="s">
        <v>109</v>
      </c>
      <c r="BT1553" s="1">
        <v>1619</v>
      </c>
      <c r="BU1553" s="1" t="s">
        <v>109</v>
      </c>
      <c r="BV1553" s="1"/>
      <c r="BW1553" s="1"/>
      <c r="BX1553" s="1"/>
      <c r="BY1553" s="1"/>
      <c r="BZ1553" s="1">
        <v>0</v>
      </c>
      <c r="CA1553" s="1" t="s">
        <v>109</v>
      </c>
      <c r="CB1553" s="1" t="s">
        <v>109</v>
      </c>
      <c r="CC1553" s="1" t="s">
        <v>109</v>
      </c>
      <c r="CD1553" s="1" t="s">
        <v>109</v>
      </c>
      <c r="CE1553" s="1" t="s">
        <v>109</v>
      </c>
      <c r="CF1553" s="1" t="s">
        <v>109</v>
      </c>
      <c r="CG1553" s="1" t="s">
        <v>109</v>
      </c>
      <c r="CH1553" s="1" t="s">
        <v>109</v>
      </c>
      <c r="CI1553" s="1" t="s">
        <v>109</v>
      </c>
      <c r="CJ1553" s="1">
        <v>3</v>
      </c>
      <c r="CK1553" s="1"/>
      <c r="CL1553" s="1">
        <v>0</v>
      </c>
      <c r="CM1553" s="1">
        <v>0</v>
      </c>
      <c r="CN1553" s="1">
        <v>0</v>
      </c>
    </row>
    <row r="1554" spans="1:92" ht="14.25" customHeight="1" x14ac:dyDescent="0.15">
      <c r="A1554" s="1" t="s">
        <v>11853</v>
      </c>
      <c r="B1554" s="1" t="s">
        <v>189</v>
      </c>
      <c r="C1554" s="1"/>
      <c r="D1554" s="1"/>
      <c r="E1554" s="1" t="s">
        <v>11854</v>
      </c>
      <c r="F1554" s="1" t="s">
        <v>98</v>
      </c>
      <c r="G1554" s="1" t="s">
        <v>160</v>
      </c>
      <c r="H1554" s="1">
        <v>0</v>
      </c>
      <c r="I1554" s="1" t="s">
        <v>161</v>
      </c>
      <c r="J1554" s="1"/>
      <c r="K1554" s="1"/>
      <c r="L1554" s="1" t="s">
        <v>11855</v>
      </c>
      <c r="M1554" s="1" t="s">
        <v>6144</v>
      </c>
      <c r="N1554" s="1">
        <v>1</v>
      </c>
      <c r="O1554" s="1">
        <v>0</v>
      </c>
      <c r="P1554" s="1" t="s">
        <v>215</v>
      </c>
      <c r="Q1554" s="1" t="s">
        <v>216</v>
      </c>
      <c r="R1554" s="1" t="s">
        <v>11856</v>
      </c>
      <c r="S1554" s="1" t="s">
        <v>11857</v>
      </c>
      <c r="T1554" s="1" t="s">
        <v>11850</v>
      </c>
      <c r="U1554" s="1" t="s">
        <v>11858</v>
      </c>
      <c r="V1554" s="1">
        <v>1</v>
      </c>
      <c r="W1554" s="1">
        <v>1</v>
      </c>
      <c r="X1554" s="1">
        <v>0</v>
      </c>
      <c r="Y1554" s="1">
        <v>0</v>
      </c>
      <c r="Z1554" s="1">
        <v>1</v>
      </c>
      <c r="AA1554" s="1">
        <v>1</v>
      </c>
      <c r="AB1554" s="1">
        <v>1</v>
      </c>
      <c r="AC1554" s="1">
        <v>1</v>
      </c>
      <c r="AD1554" s="1" t="s">
        <v>109</v>
      </c>
      <c r="AE1554" s="1">
        <v>1</v>
      </c>
      <c r="AF1554" s="1" t="s">
        <v>109</v>
      </c>
      <c r="AG1554" s="1" t="s">
        <v>109</v>
      </c>
      <c r="AH1554" s="1" t="s">
        <v>109</v>
      </c>
      <c r="AI1554" s="1" t="s">
        <v>109</v>
      </c>
      <c r="AJ1554" s="1" t="s">
        <v>109</v>
      </c>
      <c r="AK1554" s="1">
        <v>1</v>
      </c>
      <c r="AL1554" s="1">
        <v>1</v>
      </c>
      <c r="AM1554" s="1" t="s">
        <v>109</v>
      </c>
      <c r="AN1554" s="1" t="s">
        <v>109</v>
      </c>
      <c r="AO1554" s="1" t="s">
        <v>109</v>
      </c>
      <c r="AP1554" s="1" t="s">
        <v>11852</v>
      </c>
      <c r="AQ1554" s="1">
        <v>1</v>
      </c>
      <c r="AR1554" s="1"/>
      <c r="AS1554" s="1"/>
      <c r="AT1554" s="1">
        <v>0</v>
      </c>
      <c r="AU1554" s="1">
        <v>0</v>
      </c>
      <c r="AV1554" s="1">
        <v>0</v>
      </c>
      <c r="AW1554" s="1">
        <v>0</v>
      </c>
      <c r="AX1554" s="1">
        <v>0</v>
      </c>
      <c r="AY1554" s="1">
        <v>0</v>
      </c>
      <c r="AZ1554" s="1">
        <v>0</v>
      </c>
      <c r="BA1554" s="1">
        <v>0</v>
      </c>
      <c r="BB1554" s="1">
        <v>0</v>
      </c>
      <c r="BC1554" s="1">
        <v>0</v>
      </c>
      <c r="BD1554" s="1">
        <v>0</v>
      </c>
      <c r="BE1554" s="1">
        <v>0</v>
      </c>
      <c r="BF1554" s="1">
        <v>0</v>
      </c>
      <c r="BG1554" s="1">
        <v>0</v>
      </c>
      <c r="BH1554" s="1">
        <v>0</v>
      </c>
      <c r="BI1554" s="1">
        <v>0</v>
      </c>
      <c r="BJ1554" s="1">
        <v>0</v>
      </c>
      <c r="BK1554" s="1">
        <v>0</v>
      </c>
      <c r="BL1554" s="1">
        <v>0</v>
      </c>
      <c r="BM1554" s="1">
        <v>0</v>
      </c>
      <c r="BN1554" s="1">
        <v>0</v>
      </c>
      <c r="BO1554" s="1">
        <v>0</v>
      </c>
      <c r="BP1554" s="1">
        <v>0</v>
      </c>
      <c r="BQ1554" s="1">
        <v>0</v>
      </c>
      <c r="BR1554" s="1">
        <v>0</v>
      </c>
      <c r="BS1554" s="1" t="s">
        <v>109</v>
      </c>
      <c r="BT1554" s="1">
        <v>1620</v>
      </c>
      <c r="BU1554" s="1" t="s">
        <v>109</v>
      </c>
      <c r="BV1554" s="1"/>
      <c r="BW1554" s="1"/>
      <c r="BX1554" s="1"/>
      <c r="BY1554" s="1"/>
      <c r="BZ1554" s="1">
        <v>0</v>
      </c>
      <c r="CA1554" s="1" t="s">
        <v>109</v>
      </c>
      <c r="CB1554" s="1" t="s">
        <v>109</v>
      </c>
      <c r="CC1554" s="1" t="s">
        <v>109</v>
      </c>
      <c r="CD1554" s="1" t="s">
        <v>109</v>
      </c>
      <c r="CE1554" s="1" t="s">
        <v>109</v>
      </c>
      <c r="CF1554" s="1" t="s">
        <v>109</v>
      </c>
      <c r="CG1554" s="1" t="s">
        <v>109</v>
      </c>
      <c r="CH1554" s="1" t="s">
        <v>109</v>
      </c>
      <c r="CI1554" s="1" t="s">
        <v>109</v>
      </c>
      <c r="CJ1554" s="1">
        <v>1</v>
      </c>
      <c r="CK1554" s="1"/>
      <c r="CL1554" s="1">
        <v>0</v>
      </c>
      <c r="CM1554" s="1">
        <v>0</v>
      </c>
      <c r="CN1554" s="1">
        <v>0</v>
      </c>
    </row>
    <row r="1555" spans="1:92" ht="14.25" customHeight="1" x14ac:dyDescent="0.15">
      <c r="A1555" s="1" t="s">
        <v>11859</v>
      </c>
      <c r="B1555" s="1" t="s">
        <v>95</v>
      </c>
      <c r="C1555" s="1" t="s">
        <v>96</v>
      </c>
      <c r="D1555" s="1"/>
      <c r="E1555" s="1" t="s">
        <v>11860</v>
      </c>
      <c r="F1555" s="1" t="s">
        <v>98</v>
      </c>
      <c r="G1555" s="1" t="s">
        <v>11861</v>
      </c>
      <c r="H1555" s="1">
        <v>0</v>
      </c>
      <c r="I1555" s="1" t="s">
        <v>122</v>
      </c>
      <c r="J1555" s="1" t="s">
        <v>211</v>
      </c>
      <c r="K1555" s="1" t="s">
        <v>11862</v>
      </c>
      <c r="L1555" s="1"/>
      <c r="M1555" s="1" t="s">
        <v>144</v>
      </c>
      <c r="N1555" s="1">
        <v>0</v>
      </c>
      <c r="O1555" s="1">
        <v>0</v>
      </c>
      <c r="P1555" s="1" t="s">
        <v>11863</v>
      </c>
      <c r="Q1555" s="1" t="s">
        <v>268</v>
      </c>
      <c r="R1555" s="1" t="s">
        <v>11864</v>
      </c>
      <c r="S1555" s="1" t="s">
        <v>11865</v>
      </c>
      <c r="T1555" s="1" t="s">
        <v>11866</v>
      </c>
      <c r="U1555" s="1" t="s">
        <v>11867</v>
      </c>
      <c r="V1555" s="1">
        <v>1</v>
      </c>
      <c r="W1555" s="1">
        <v>1</v>
      </c>
      <c r="X1555" s="1">
        <v>1</v>
      </c>
      <c r="Y1555" s="1">
        <v>0</v>
      </c>
      <c r="Z1555" s="1">
        <v>0</v>
      </c>
      <c r="AA1555" s="1">
        <v>4</v>
      </c>
      <c r="AB1555" s="1">
        <v>4</v>
      </c>
      <c r="AC1555" s="1" t="s">
        <v>109</v>
      </c>
      <c r="AD1555" s="1" t="s">
        <v>109</v>
      </c>
      <c r="AE1555" s="1" t="s">
        <v>109</v>
      </c>
      <c r="AF1555" s="1" t="s">
        <v>109</v>
      </c>
      <c r="AG1555" s="1" t="s">
        <v>109</v>
      </c>
      <c r="AH1555" s="1" t="s">
        <v>109</v>
      </c>
      <c r="AI1555" s="1" t="s">
        <v>109</v>
      </c>
      <c r="AJ1555" s="1" t="s">
        <v>109</v>
      </c>
      <c r="AK1555" s="1" t="s">
        <v>109</v>
      </c>
      <c r="AL1555" s="1" t="s">
        <v>109</v>
      </c>
      <c r="AM1555" s="1" t="s">
        <v>109</v>
      </c>
      <c r="AN1555" s="1">
        <v>5</v>
      </c>
      <c r="AO1555" s="1" t="s">
        <v>109</v>
      </c>
      <c r="AP1555" s="1"/>
      <c r="AQ1555" s="1">
        <v>4</v>
      </c>
      <c r="AR1555" s="1"/>
      <c r="AS1555" s="1"/>
      <c r="AT1555" s="1">
        <v>0</v>
      </c>
      <c r="AU1555" s="1">
        <v>0</v>
      </c>
      <c r="AV1555" s="1">
        <v>0</v>
      </c>
      <c r="AW1555" s="1">
        <v>0</v>
      </c>
      <c r="AX1555" s="1">
        <v>0</v>
      </c>
      <c r="AY1555" s="1">
        <v>0</v>
      </c>
      <c r="AZ1555" s="1">
        <v>0</v>
      </c>
      <c r="BA1555" s="1">
        <v>0</v>
      </c>
      <c r="BB1555" s="1">
        <v>0</v>
      </c>
      <c r="BC1555" s="1">
        <v>0</v>
      </c>
      <c r="BD1555" s="1">
        <v>0</v>
      </c>
      <c r="BE1555" s="1">
        <v>0</v>
      </c>
      <c r="BF1555" s="1">
        <v>0</v>
      </c>
      <c r="BG1555" s="1">
        <v>0</v>
      </c>
      <c r="BH1555" s="1">
        <v>0</v>
      </c>
      <c r="BI1555" s="1">
        <v>0</v>
      </c>
      <c r="BJ1555" s="1">
        <v>0</v>
      </c>
      <c r="BK1555" s="1">
        <v>0</v>
      </c>
      <c r="BL1555" s="1">
        <v>0</v>
      </c>
      <c r="BM1555" s="1">
        <v>0</v>
      </c>
      <c r="BN1555" s="1">
        <v>0</v>
      </c>
      <c r="BO1555" s="1">
        <v>0</v>
      </c>
      <c r="BP1555" s="1">
        <v>0</v>
      </c>
      <c r="BQ1555" s="1">
        <v>0</v>
      </c>
      <c r="BR1555" s="1">
        <v>0</v>
      </c>
      <c r="BS1555" s="1" t="s">
        <v>109</v>
      </c>
      <c r="BT1555" s="1">
        <v>1621</v>
      </c>
      <c r="BU1555" s="1" t="s">
        <v>109</v>
      </c>
      <c r="BV1555" s="1"/>
      <c r="BW1555" s="1"/>
      <c r="BX1555" s="1"/>
      <c r="BY1555" s="1"/>
      <c r="BZ1555" s="1">
        <v>0</v>
      </c>
      <c r="CA1555" s="1" t="s">
        <v>109</v>
      </c>
      <c r="CB1555" s="1" t="s">
        <v>109</v>
      </c>
      <c r="CC1555" s="1" t="s">
        <v>109</v>
      </c>
      <c r="CD1555" s="1" t="s">
        <v>109</v>
      </c>
      <c r="CE1555" s="1" t="s">
        <v>109</v>
      </c>
      <c r="CF1555" s="1" t="s">
        <v>109</v>
      </c>
      <c r="CG1555" s="1" t="s">
        <v>109</v>
      </c>
      <c r="CH1555" s="1" t="s">
        <v>109</v>
      </c>
      <c r="CI1555" s="1" t="s">
        <v>109</v>
      </c>
      <c r="CJ1555" s="1" t="s">
        <v>109</v>
      </c>
      <c r="CK1555" s="1"/>
      <c r="CL1555" s="1">
        <v>0</v>
      </c>
      <c r="CM1555" s="1">
        <v>0</v>
      </c>
      <c r="CN1555" s="1">
        <v>0</v>
      </c>
    </row>
    <row r="1556" spans="1:92" ht="14.25" customHeight="1" x14ac:dyDescent="0.15">
      <c r="A1556" s="1" t="s">
        <v>11868</v>
      </c>
      <c r="B1556" s="1" t="s">
        <v>189</v>
      </c>
      <c r="C1556" s="1"/>
      <c r="D1556" s="1"/>
      <c r="E1556" s="1" t="s">
        <v>11869</v>
      </c>
      <c r="F1556" s="1" t="s">
        <v>98</v>
      </c>
      <c r="G1556" s="1" t="s">
        <v>11870</v>
      </c>
      <c r="H1556" s="1">
        <v>0</v>
      </c>
      <c r="I1556" s="1" t="s">
        <v>122</v>
      </c>
      <c r="J1556" s="1"/>
      <c r="K1556" s="1" t="s">
        <v>11871</v>
      </c>
      <c r="L1556" s="1"/>
      <c r="M1556" s="1" t="s">
        <v>815</v>
      </c>
      <c r="N1556" s="1">
        <v>1</v>
      </c>
      <c r="O1556" s="1">
        <v>0</v>
      </c>
      <c r="P1556" s="1" t="s">
        <v>103</v>
      </c>
      <c r="Q1556" s="1" t="s">
        <v>104</v>
      </c>
      <c r="R1556" s="1" t="s">
        <v>11872</v>
      </c>
      <c r="S1556" s="1" t="s">
        <v>11873</v>
      </c>
      <c r="T1556" s="1" t="s">
        <v>11866</v>
      </c>
      <c r="U1556" s="1" t="s">
        <v>11874</v>
      </c>
      <c r="V1556" s="1">
        <v>1</v>
      </c>
      <c r="W1556" s="1">
        <v>1</v>
      </c>
      <c r="X1556" s="1">
        <v>1</v>
      </c>
      <c r="Y1556" s="1">
        <v>0</v>
      </c>
      <c r="Z1556" s="1">
        <v>0</v>
      </c>
      <c r="AA1556" s="1">
        <v>4</v>
      </c>
      <c r="AB1556" s="1">
        <v>4</v>
      </c>
      <c r="AC1556" s="1" t="s">
        <v>109</v>
      </c>
      <c r="AD1556" s="1">
        <v>4</v>
      </c>
      <c r="AE1556" s="1">
        <v>3</v>
      </c>
      <c r="AF1556" s="1" t="s">
        <v>109</v>
      </c>
      <c r="AG1556" s="1" t="s">
        <v>109</v>
      </c>
      <c r="AH1556" s="1" t="s">
        <v>109</v>
      </c>
      <c r="AI1556" s="1" t="s">
        <v>109</v>
      </c>
      <c r="AJ1556" s="1" t="s">
        <v>109</v>
      </c>
      <c r="AK1556" s="1" t="s">
        <v>109</v>
      </c>
      <c r="AL1556" s="1" t="s">
        <v>109</v>
      </c>
      <c r="AM1556" s="1" t="s">
        <v>109</v>
      </c>
      <c r="AN1556" s="1" t="s">
        <v>109</v>
      </c>
      <c r="AO1556" s="1" t="s">
        <v>109</v>
      </c>
      <c r="AP1556" s="1"/>
      <c r="AQ1556" s="1">
        <v>4</v>
      </c>
      <c r="AR1556" s="1"/>
      <c r="AS1556" s="1"/>
      <c r="AT1556" s="1">
        <v>0</v>
      </c>
      <c r="AU1556" s="1">
        <v>0</v>
      </c>
      <c r="AV1556" s="1">
        <v>0</v>
      </c>
      <c r="AW1556" s="1">
        <v>0</v>
      </c>
      <c r="AX1556" s="1">
        <v>0</v>
      </c>
      <c r="AY1556" s="1">
        <v>0</v>
      </c>
      <c r="AZ1556" s="1">
        <v>0</v>
      </c>
      <c r="BA1556" s="1">
        <v>0</v>
      </c>
      <c r="BB1556" s="1">
        <v>0</v>
      </c>
      <c r="BC1556" s="1">
        <v>0</v>
      </c>
      <c r="BD1556" s="1">
        <v>0</v>
      </c>
      <c r="BE1556" s="1">
        <v>0</v>
      </c>
      <c r="BF1556" s="1">
        <v>0</v>
      </c>
      <c r="BG1556" s="1">
        <v>0</v>
      </c>
      <c r="BH1556" s="1">
        <v>0</v>
      </c>
      <c r="BI1556" s="1">
        <v>0</v>
      </c>
      <c r="BJ1556" s="1">
        <v>0</v>
      </c>
      <c r="BK1556" s="1">
        <v>0</v>
      </c>
      <c r="BL1556" s="1">
        <v>0</v>
      </c>
      <c r="BM1556" s="1">
        <v>0</v>
      </c>
      <c r="BN1556" s="1">
        <v>0</v>
      </c>
      <c r="BO1556" s="1">
        <v>0</v>
      </c>
      <c r="BP1556" s="1">
        <v>0</v>
      </c>
      <c r="BQ1556" s="1">
        <v>0</v>
      </c>
      <c r="BR1556" s="1">
        <v>0</v>
      </c>
      <c r="BS1556" s="1" t="s">
        <v>109</v>
      </c>
      <c r="BT1556" s="1">
        <v>1622</v>
      </c>
      <c r="BU1556" s="1" t="s">
        <v>109</v>
      </c>
      <c r="BV1556" s="1"/>
      <c r="BW1556" s="1"/>
      <c r="BX1556" s="1"/>
      <c r="BY1556" s="1"/>
      <c r="BZ1556" s="1">
        <v>0</v>
      </c>
      <c r="CA1556" s="1" t="s">
        <v>109</v>
      </c>
      <c r="CB1556" s="1" t="s">
        <v>109</v>
      </c>
      <c r="CC1556" s="1" t="s">
        <v>109</v>
      </c>
      <c r="CD1556" s="1" t="s">
        <v>109</v>
      </c>
      <c r="CE1556" s="1" t="s">
        <v>109</v>
      </c>
      <c r="CF1556" s="1" t="s">
        <v>109</v>
      </c>
      <c r="CG1556" s="1" t="s">
        <v>109</v>
      </c>
      <c r="CH1556" s="1" t="s">
        <v>109</v>
      </c>
      <c r="CI1556" s="1" t="s">
        <v>109</v>
      </c>
      <c r="CJ1556" s="1">
        <v>3</v>
      </c>
      <c r="CK1556" s="1"/>
      <c r="CL1556" s="1">
        <v>0</v>
      </c>
      <c r="CM1556" s="1">
        <v>0</v>
      </c>
      <c r="CN1556" s="1">
        <v>0</v>
      </c>
    </row>
    <row r="1557" spans="1:92" ht="14.25" customHeight="1" x14ac:dyDescent="0.15">
      <c r="A1557" s="1" t="s">
        <v>11875</v>
      </c>
      <c r="B1557" s="1" t="s">
        <v>254</v>
      </c>
      <c r="C1557" s="1"/>
      <c r="D1557" s="1"/>
      <c r="E1557" s="1" t="s">
        <v>11876</v>
      </c>
      <c r="F1557" s="1" t="s">
        <v>98</v>
      </c>
      <c r="G1557" s="1" t="s">
        <v>141</v>
      </c>
      <c r="H1557" s="1">
        <v>0</v>
      </c>
      <c r="I1557" s="1" t="s">
        <v>161</v>
      </c>
      <c r="J1557" s="1"/>
      <c r="K1557" s="1"/>
      <c r="L1557" s="1" t="s">
        <v>11877</v>
      </c>
      <c r="M1557" s="1" t="s">
        <v>11878</v>
      </c>
      <c r="N1557" s="1">
        <v>1</v>
      </c>
      <c r="O1557" s="1">
        <v>0</v>
      </c>
      <c r="P1557" s="1" t="s">
        <v>103</v>
      </c>
      <c r="Q1557" s="1" t="s">
        <v>104</v>
      </c>
      <c r="R1557" s="1" t="s">
        <v>11879</v>
      </c>
      <c r="S1557" s="1" t="s">
        <v>11880</v>
      </c>
      <c r="T1557" s="1" t="s">
        <v>11866</v>
      </c>
      <c r="U1557" s="1" t="s">
        <v>11881</v>
      </c>
      <c r="V1557" s="1">
        <v>1</v>
      </c>
      <c r="W1557" s="1">
        <v>1</v>
      </c>
      <c r="X1557" s="1">
        <v>0</v>
      </c>
      <c r="Y1557" s="1">
        <v>0</v>
      </c>
      <c r="Z1557" s="1">
        <v>0</v>
      </c>
      <c r="AA1557" s="1">
        <v>2</v>
      </c>
      <c r="AB1557" s="1">
        <v>2</v>
      </c>
      <c r="AC1557" s="1" t="s">
        <v>109</v>
      </c>
      <c r="AD1557" s="1">
        <v>2</v>
      </c>
      <c r="AE1557" s="1" t="s">
        <v>109</v>
      </c>
      <c r="AF1557" s="1">
        <v>2</v>
      </c>
      <c r="AG1557" s="1" t="s">
        <v>109</v>
      </c>
      <c r="AH1557" s="1" t="s">
        <v>109</v>
      </c>
      <c r="AI1557" s="1" t="s">
        <v>109</v>
      </c>
      <c r="AJ1557" s="1" t="s">
        <v>109</v>
      </c>
      <c r="AK1557" s="1" t="s">
        <v>109</v>
      </c>
      <c r="AL1557" s="1" t="s">
        <v>109</v>
      </c>
      <c r="AM1557" s="1" t="s">
        <v>109</v>
      </c>
      <c r="AN1557" s="1" t="s">
        <v>109</v>
      </c>
      <c r="AO1557" s="1" t="s">
        <v>109</v>
      </c>
      <c r="AP1557" s="1"/>
      <c r="AQ1557" s="1">
        <v>2</v>
      </c>
      <c r="AR1557" s="1"/>
      <c r="AS1557" s="1"/>
      <c r="AT1557" s="1">
        <v>0</v>
      </c>
      <c r="AU1557" s="1">
        <v>0</v>
      </c>
      <c r="AV1557" s="1">
        <v>0</v>
      </c>
      <c r="AW1557" s="1">
        <v>0</v>
      </c>
      <c r="AX1557" s="1">
        <v>0</v>
      </c>
      <c r="AY1557" s="1">
        <v>0</v>
      </c>
      <c r="AZ1557" s="1">
        <v>0</v>
      </c>
      <c r="BA1557" s="1">
        <v>0</v>
      </c>
      <c r="BB1557" s="1">
        <v>0</v>
      </c>
      <c r="BC1557" s="1">
        <v>0</v>
      </c>
      <c r="BD1557" s="1">
        <v>0</v>
      </c>
      <c r="BE1557" s="1">
        <v>0</v>
      </c>
      <c r="BF1557" s="1">
        <v>0</v>
      </c>
      <c r="BG1557" s="1">
        <v>0</v>
      </c>
      <c r="BH1557" s="1">
        <v>0</v>
      </c>
      <c r="BI1557" s="1">
        <v>0</v>
      </c>
      <c r="BJ1557" s="1">
        <v>0</v>
      </c>
      <c r="BK1557" s="1">
        <v>0</v>
      </c>
      <c r="BL1557" s="1">
        <v>0</v>
      </c>
      <c r="BM1557" s="1">
        <v>0</v>
      </c>
      <c r="BN1557" s="1">
        <v>0</v>
      </c>
      <c r="BO1557" s="1">
        <v>0</v>
      </c>
      <c r="BP1557" s="1">
        <v>0</v>
      </c>
      <c r="BQ1557" s="1">
        <v>0</v>
      </c>
      <c r="BR1557" s="1">
        <v>0</v>
      </c>
      <c r="BS1557" s="1" t="s">
        <v>109</v>
      </c>
      <c r="BT1557" s="1">
        <v>1623</v>
      </c>
      <c r="BU1557" s="1" t="s">
        <v>109</v>
      </c>
      <c r="BV1557" s="1"/>
      <c r="BW1557" s="1"/>
      <c r="BX1557" s="1"/>
      <c r="BY1557" s="1"/>
      <c r="BZ1557" s="1">
        <v>0</v>
      </c>
      <c r="CA1557" s="1" t="s">
        <v>109</v>
      </c>
      <c r="CB1557" s="1" t="s">
        <v>109</v>
      </c>
      <c r="CC1557" s="1" t="s">
        <v>109</v>
      </c>
      <c r="CD1557" s="1" t="s">
        <v>109</v>
      </c>
      <c r="CE1557" s="1" t="s">
        <v>109</v>
      </c>
      <c r="CF1557" s="1" t="s">
        <v>109</v>
      </c>
      <c r="CG1557" s="1" t="s">
        <v>109</v>
      </c>
      <c r="CH1557" s="1" t="s">
        <v>109</v>
      </c>
      <c r="CI1557" s="1" t="s">
        <v>109</v>
      </c>
      <c r="CJ1557" s="1">
        <v>2</v>
      </c>
      <c r="CK1557" s="1"/>
      <c r="CL1557" s="1">
        <v>0</v>
      </c>
      <c r="CM1557" s="1">
        <v>0</v>
      </c>
      <c r="CN1557" s="1">
        <v>0</v>
      </c>
    </row>
    <row r="1558" spans="1:92" ht="14.25" customHeight="1" x14ac:dyDescent="0.15">
      <c r="A1558" s="1" t="s">
        <v>11882</v>
      </c>
      <c r="B1558" s="1" t="s">
        <v>254</v>
      </c>
      <c r="C1558" s="1"/>
      <c r="D1558" s="1"/>
      <c r="E1558" s="1" t="s">
        <v>9607</v>
      </c>
      <c r="F1558" s="1" t="s">
        <v>98</v>
      </c>
      <c r="G1558" s="1" t="s">
        <v>11883</v>
      </c>
      <c r="H1558" s="1">
        <v>1</v>
      </c>
      <c r="I1558" s="1" t="s">
        <v>1016</v>
      </c>
      <c r="J1558" s="1" t="s">
        <v>1346</v>
      </c>
      <c r="K1558" s="1"/>
      <c r="L1558" s="1"/>
      <c r="M1558" s="1" t="s">
        <v>11884</v>
      </c>
      <c r="N1558" s="1">
        <v>1</v>
      </c>
      <c r="O1558" s="1">
        <v>0</v>
      </c>
      <c r="P1558" s="1" t="s">
        <v>103</v>
      </c>
      <c r="Q1558" s="1" t="s">
        <v>104</v>
      </c>
      <c r="R1558" s="1" t="s">
        <v>11885</v>
      </c>
      <c r="S1558" s="1" t="s">
        <v>11886</v>
      </c>
      <c r="T1558" s="1" t="s">
        <v>11866</v>
      </c>
      <c r="U1558" s="1" t="s">
        <v>11887</v>
      </c>
      <c r="V1558" s="1">
        <v>1</v>
      </c>
      <c r="W1558" s="1">
        <v>1</v>
      </c>
      <c r="X1558" s="1">
        <v>0</v>
      </c>
      <c r="Y1558" s="1">
        <v>0</v>
      </c>
      <c r="Z1558" s="1">
        <v>0</v>
      </c>
      <c r="AA1558" s="1">
        <v>3</v>
      </c>
      <c r="AB1558" s="1">
        <v>3</v>
      </c>
      <c r="AC1558" s="1" t="s">
        <v>109</v>
      </c>
      <c r="AD1558" s="1" t="s">
        <v>109</v>
      </c>
      <c r="AE1558" s="1" t="s">
        <v>109</v>
      </c>
      <c r="AF1558" s="1">
        <v>3</v>
      </c>
      <c r="AG1558" s="1" t="s">
        <v>109</v>
      </c>
      <c r="AH1558" s="1" t="s">
        <v>109</v>
      </c>
      <c r="AI1558" s="1" t="s">
        <v>109</v>
      </c>
      <c r="AJ1558" s="1" t="s">
        <v>109</v>
      </c>
      <c r="AK1558" s="1" t="s">
        <v>109</v>
      </c>
      <c r="AL1558" s="1" t="s">
        <v>109</v>
      </c>
      <c r="AM1558" s="1" t="s">
        <v>109</v>
      </c>
      <c r="AN1558" s="1" t="s">
        <v>109</v>
      </c>
      <c r="AO1558" s="1" t="s">
        <v>109</v>
      </c>
      <c r="AP1558" s="1"/>
      <c r="AQ1558" s="1">
        <v>3</v>
      </c>
      <c r="AR1558" s="1"/>
      <c r="AS1558" s="1"/>
      <c r="AT1558" s="1">
        <v>0</v>
      </c>
      <c r="AU1558" s="1">
        <v>0</v>
      </c>
      <c r="AV1558" s="1">
        <v>0</v>
      </c>
      <c r="AW1558" s="1">
        <v>0</v>
      </c>
      <c r="AX1558" s="1">
        <v>0</v>
      </c>
      <c r="AY1558" s="1">
        <v>0</v>
      </c>
      <c r="AZ1558" s="1">
        <v>0</v>
      </c>
      <c r="BA1558" s="1">
        <v>0</v>
      </c>
      <c r="BB1558" s="1">
        <v>0</v>
      </c>
      <c r="BC1558" s="1">
        <v>0</v>
      </c>
      <c r="BD1558" s="1">
        <v>0</v>
      </c>
      <c r="BE1558" s="1">
        <v>0</v>
      </c>
      <c r="BF1558" s="1">
        <v>0</v>
      </c>
      <c r="BG1558" s="1">
        <v>0</v>
      </c>
      <c r="BH1558" s="1">
        <v>0</v>
      </c>
      <c r="BI1558" s="1">
        <v>0</v>
      </c>
      <c r="BJ1558" s="1">
        <v>0</v>
      </c>
      <c r="BK1558" s="1">
        <v>0</v>
      </c>
      <c r="BL1558" s="1">
        <v>0</v>
      </c>
      <c r="BM1558" s="1">
        <v>0</v>
      </c>
      <c r="BN1558" s="1">
        <v>0</v>
      </c>
      <c r="BO1558" s="1">
        <v>0</v>
      </c>
      <c r="BP1558" s="1">
        <v>0</v>
      </c>
      <c r="BQ1558" s="1">
        <v>0</v>
      </c>
      <c r="BR1558" s="1">
        <v>0</v>
      </c>
      <c r="BS1558" s="1" t="s">
        <v>109</v>
      </c>
      <c r="BT1558" s="1">
        <v>1624</v>
      </c>
      <c r="BU1558" s="1">
        <v>100</v>
      </c>
      <c r="BV1558" s="1"/>
      <c r="BW1558" s="1"/>
      <c r="BX1558" s="1"/>
      <c r="BY1558" s="1"/>
      <c r="BZ1558" s="1">
        <v>0</v>
      </c>
      <c r="CA1558" s="1" t="s">
        <v>109</v>
      </c>
      <c r="CB1558" s="1" t="s">
        <v>109</v>
      </c>
      <c r="CC1558" s="1" t="s">
        <v>109</v>
      </c>
      <c r="CD1558" s="1" t="s">
        <v>109</v>
      </c>
      <c r="CE1558" s="1" t="s">
        <v>109</v>
      </c>
      <c r="CF1558" s="1" t="s">
        <v>109</v>
      </c>
      <c r="CG1558" s="1" t="s">
        <v>109</v>
      </c>
      <c r="CH1558" s="1" t="s">
        <v>109</v>
      </c>
      <c r="CI1558" s="1" t="s">
        <v>109</v>
      </c>
      <c r="CJ1558" s="1" t="s">
        <v>109</v>
      </c>
      <c r="CK1558" s="1"/>
      <c r="CL1558" s="1">
        <v>0</v>
      </c>
      <c r="CM1558" s="1">
        <v>0</v>
      </c>
      <c r="CN1558" s="1">
        <v>0</v>
      </c>
    </row>
    <row r="1559" spans="1:92" ht="14.25" customHeight="1" x14ac:dyDescent="0.15">
      <c r="A1559" s="1" t="s">
        <v>11888</v>
      </c>
      <c r="B1559" s="1" t="s">
        <v>308</v>
      </c>
      <c r="C1559" s="1"/>
      <c r="D1559" s="1"/>
      <c r="E1559" s="1" t="s">
        <v>11889</v>
      </c>
      <c r="F1559" s="1" t="s">
        <v>11890</v>
      </c>
      <c r="G1559" s="1" t="s">
        <v>11891</v>
      </c>
      <c r="H1559" s="1">
        <v>0</v>
      </c>
      <c r="I1559" s="1" t="s">
        <v>5737</v>
      </c>
      <c r="J1559" s="1"/>
      <c r="K1559" s="1"/>
      <c r="L1559" s="1" t="s">
        <v>11892</v>
      </c>
      <c r="M1559" s="1" t="s">
        <v>144</v>
      </c>
      <c r="N1559" s="1">
        <v>0</v>
      </c>
      <c r="O1559" s="1">
        <v>0</v>
      </c>
      <c r="P1559" s="1" t="s">
        <v>103</v>
      </c>
      <c r="Q1559" s="1" t="s">
        <v>104</v>
      </c>
      <c r="R1559" s="1" t="s">
        <v>11893</v>
      </c>
      <c r="S1559" s="1" t="s">
        <v>11894</v>
      </c>
      <c r="T1559" s="1" t="s">
        <v>11866</v>
      </c>
      <c r="U1559" s="1" t="s">
        <v>11895</v>
      </c>
      <c r="V1559" s="1">
        <v>1</v>
      </c>
      <c r="W1559" s="1">
        <v>1</v>
      </c>
      <c r="X1559" s="1">
        <v>1</v>
      </c>
      <c r="Y1559" s="1">
        <v>0</v>
      </c>
      <c r="Z1559" s="1">
        <v>1</v>
      </c>
      <c r="AA1559" s="1" t="s">
        <v>109</v>
      </c>
      <c r="AB1559" s="1" t="s">
        <v>109</v>
      </c>
      <c r="AC1559" s="1">
        <v>4</v>
      </c>
      <c r="AD1559" s="1" t="s">
        <v>109</v>
      </c>
      <c r="AE1559" s="1" t="s">
        <v>109</v>
      </c>
      <c r="AF1559" s="1" t="s">
        <v>109</v>
      </c>
      <c r="AG1559" s="1" t="s">
        <v>109</v>
      </c>
      <c r="AH1559" s="1" t="s">
        <v>109</v>
      </c>
      <c r="AI1559" s="1" t="s">
        <v>109</v>
      </c>
      <c r="AJ1559" s="1">
        <v>3</v>
      </c>
      <c r="AK1559" s="1" t="s">
        <v>109</v>
      </c>
      <c r="AL1559" s="1">
        <v>4</v>
      </c>
      <c r="AM1559" s="1" t="s">
        <v>109</v>
      </c>
      <c r="AN1559" s="1" t="s">
        <v>109</v>
      </c>
      <c r="AO1559" s="1" t="s">
        <v>109</v>
      </c>
      <c r="AP1559" s="1"/>
      <c r="AQ1559" s="1">
        <v>4</v>
      </c>
      <c r="AR1559" s="1"/>
      <c r="AS1559" s="1"/>
      <c r="AT1559" s="1">
        <v>0</v>
      </c>
      <c r="AU1559" s="1">
        <v>0</v>
      </c>
      <c r="AV1559" s="1">
        <v>0</v>
      </c>
      <c r="AW1559" s="1">
        <v>0</v>
      </c>
      <c r="AX1559" s="1">
        <v>0</v>
      </c>
      <c r="AY1559" s="1">
        <v>0</v>
      </c>
      <c r="AZ1559" s="1">
        <v>0</v>
      </c>
      <c r="BA1559" s="1">
        <v>0</v>
      </c>
      <c r="BB1559" s="1">
        <v>0</v>
      </c>
      <c r="BC1559" s="1">
        <v>0</v>
      </c>
      <c r="BD1559" s="1">
        <v>0</v>
      </c>
      <c r="BE1559" s="1">
        <v>0</v>
      </c>
      <c r="BF1559" s="1">
        <v>0</v>
      </c>
      <c r="BG1559" s="1">
        <v>0</v>
      </c>
      <c r="BH1559" s="1">
        <v>0</v>
      </c>
      <c r="BI1559" s="1">
        <v>0</v>
      </c>
      <c r="BJ1559" s="1">
        <v>0</v>
      </c>
      <c r="BK1559" s="1">
        <v>0</v>
      </c>
      <c r="BL1559" s="1">
        <v>0</v>
      </c>
      <c r="BM1559" s="1">
        <v>0</v>
      </c>
      <c r="BN1559" s="1">
        <v>0</v>
      </c>
      <c r="BO1559" s="1">
        <v>0</v>
      </c>
      <c r="BP1559" s="1">
        <v>0</v>
      </c>
      <c r="BQ1559" s="1">
        <v>0</v>
      </c>
      <c r="BR1559" s="1">
        <v>0</v>
      </c>
      <c r="BS1559" s="1" t="s">
        <v>109</v>
      </c>
      <c r="BT1559" s="1">
        <v>1625</v>
      </c>
      <c r="BU1559" s="1" t="s">
        <v>109</v>
      </c>
      <c r="BV1559" s="1"/>
      <c r="BW1559" s="1"/>
      <c r="BX1559" s="1"/>
      <c r="BY1559" s="1"/>
      <c r="BZ1559" s="1">
        <v>0</v>
      </c>
      <c r="CA1559" s="1" t="s">
        <v>109</v>
      </c>
      <c r="CB1559" s="1" t="s">
        <v>109</v>
      </c>
      <c r="CC1559" s="1" t="s">
        <v>109</v>
      </c>
      <c r="CD1559" s="1" t="s">
        <v>109</v>
      </c>
      <c r="CE1559" s="1" t="s">
        <v>109</v>
      </c>
      <c r="CF1559" s="1" t="s">
        <v>109</v>
      </c>
      <c r="CG1559" s="1" t="s">
        <v>109</v>
      </c>
      <c r="CH1559" s="1" t="s">
        <v>109</v>
      </c>
      <c r="CI1559" s="1" t="s">
        <v>109</v>
      </c>
      <c r="CJ1559" s="1" t="s">
        <v>109</v>
      </c>
      <c r="CK1559" s="1"/>
      <c r="CL1559" s="1">
        <v>0</v>
      </c>
      <c r="CM1559" s="1">
        <v>0</v>
      </c>
      <c r="CN1559" s="1">
        <v>0</v>
      </c>
    </row>
    <row r="1560" spans="1:92" ht="14.25" customHeight="1" x14ac:dyDescent="0.15">
      <c r="A1560" s="1" t="s">
        <v>11896</v>
      </c>
      <c r="B1560" s="1" t="s">
        <v>308</v>
      </c>
      <c r="C1560" s="1"/>
      <c r="D1560" s="1"/>
      <c r="E1560" s="1" t="s">
        <v>11897</v>
      </c>
      <c r="F1560" s="1" t="s">
        <v>11898</v>
      </c>
      <c r="G1560" s="1" t="s">
        <v>11891</v>
      </c>
      <c r="H1560" s="1">
        <v>0</v>
      </c>
      <c r="I1560" s="1" t="s">
        <v>5737</v>
      </c>
      <c r="J1560" s="1"/>
      <c r="K1560" s="1"/>
      <c r="L1560" s="1" t="s">
        <v>11892</v>
      </c>
      <c r="M1560" s="1" t="s">
        <v>144</v>
      </c>
      <c r="N1560" s="1">
        <v>0</v>
      </c>
      <c r="O1560" s="1">
        <v>0</v>
      </c>
      <c r="P1560" s="1" t="s">
        <v>103</v>
      </c>
      <c r="Q1560" s="1" t="s">
        <v>104</v>
      </c>
      <c r="R1560" s="1" t="s">
        <v>11899</v>
      </c>
      <c r="S1560" s="1" t="s">
        <v>11900</v>
      </c>
      <c r="T1560" s="1" t="s">
        <v>11866</v>
      </c>
      <c r="U1560" s="1" t="s">
        <v>11901</v>
      </c>
      <c r="V1560" s="1">
        <v>1</v>
      </c>
      <c r="W1560" s="1">
        <v>1</v>
      </c>
      <c r="X1560" s="1">
        <v>1</v>
      </c>
      <c r="Y1560" s="1">
        <v>0</v>
      </c>
      <c r="Z1560" s="1">
        <v>1</v>
      </c>
      <c r="AA1560" s="1" t="s">
        <v>109</v>
      </c>
      <c r="AB1560" s="1" t="s">
        <v>109</v>
      </c>
      <c r="AC1560" s="1">
        <v>8</v>
      </c>
      <c r="AD1560" s="1" t="s">
        <v>109</v>
      </c>
      <c r="AE1560" s="1" t="s">
        <v>109</v>
      </c>
      <c r="AF1560" s="1" t="s">
        <v>109</v>
      </c>
      <c r="AG1560" s="1" t="s">
        <v>109</v>
      </c>
      <c r="AH1560" s="1" t="s">
        <v>109</v>
      </c>
      <c r="AI1560" s="1" t="s">
        <v>109</v>
      </c>
      <c r="AJ1560" s="1">
        <v>7</v>
      </c>
      <c r="AK1560" s="1" t="s">
        <v>109</v>
      </c>
      <c r="AL1560" s="1">
        <v>8</v>
      </c>
      <c r="AM1560" s="1" t="s">
        <v>109</v>
      </c>
      <c r="AN1560" s="1" t="s">
        <v>109</v>
      </c>
      <c r="AO1560" s="1" t="s">
        <v>109</v>
      </c>
      <c r="AP1560" s="1"/>
      <c r="AQ1560" s="1">
        <v>8</v>
      </c>
      <c r="AR1560" s="1"/>
      <c r="AS1560" s="1"/>
      <c r="AT1560" s="1">
        <v>0</v>
      </c>
      <c r="AU1560" s="1">
        <v>0</v>
      </c>
      <c r="AV1560" s="1">
        <v>0</v>
      </c>
      <c r="AW1560" s="1">
        <v>0</v>
      </c>
      <c r="AX1560" s="1">
        <v>0</v>
      </c>
      <c r="AY1560" s="1">
        <v>0</v>
      </c>
      <c r="AZ1560" s="1">
        <v>0</v>
      </c>
      <c r="BA1560" s="1">
        <v>0</v>
      </c>
      <c r="BB1560" s="1">
        <v>0</v>
      </c>
      <c r="BC1560" s="1">
        <v>0</v>
      </c>
      <c r="BD1560" s="1">
        <v>0</v>
      </c>
      <c r="BE1560" s="1">
        <v>0</v>
      </c>
      <c r="BF1560" s="1">
        <v>0</v>
      </c>
      <c r="BG1560" s="1">
        <v>0</v>
      </c>
      <c r="BH1560" s="1">
        <v>0</v>
      </c>
      <c r="BI1560" s="1">
        <v>0</v>
      </c>
      <c r="BJ1560" s="1">
        <v>0</v>
      </c>
      <c r="BK1560" s="1">
        <v>0</v>
      </c>
      <c r="BL1560" s="1">
        <v>0</v>
      </c>
      <c r="BM1560" s="1">
        <v>0</v>
      </c>
      <c r="BN1560" s="1">
        <v>0</v>
      </c>
      <c r="BO1560" s="1">
        <v>0</v>
      </c>
      <c r="BP1560" s="1">
        <v>0</v>
      </c>
      <c r="BQ1560" s="1">
        <v>0</v>
      </c>
      <c r="BR1560" s="1">
        <v>0</v>
      </c>
      <c r="BS1560" s="1" t="s">
        <v>109</v>
      </c>
      <c r="BT1560" s="1">
        <v>1626</v>
      </c>
      <c r="BU1560" s="1" t="s">
        <v>109</v>
      </c>
      <c r="BV1560" s="1"/>
      <c r="BW1560" s="1"/>
      <c r="BX1560" s="1"/>
      <c r="BY1560" s="1"/>
      <c r="BZ1560" s="1">
        <v>0</v>
      </c>
      <c r="CA1560" s="1" t="s">
        <v>109</v>
      </c>
      <c r="CB1560" s="1" t="s">
        <v>109</v>
      </c>
      <c r="CC1560" s="1" t="s">
        <v>109</v>
      </c>
      <c r="CD1560" s="1" t="s">
        <v>109</v>
      </c>
      <c r="CE1560" s="1" t="s">
        <v>109</v>
      </c>
      <c r="CF1560" s="1" t="s">
        <v>109</v>
      </c>
      <c r="CG1560" s="1" t="s">
        <v>109</v>
      </c>
      <c r="CH1560" s="1" t="s">
        <v>109</v>
      </c>
      <c r="CI1560" s="1" t="s">
        <v>109</v>
      </c>
      <c r="CJ1560" s="1" t="s">
        <v>109</v>
      </c>
      <c r="CK1560" s="1"/>
      <c r="CL1560" s="1">
        <v>0</v>
      </c>
      <c r="CM1560" s="1">
        <v>0</v>
      </c>
      <c r="CN1560" s="1">
        <v>0</v>
      </c>
    </row>
    <row r="1561" spans="1:92" ht="14.25" customHeight="1" x14ac:dyDescent="0.15">
      <c r="A1561" s="1" t="s">
        <v>11902</v>
      </c>
      <c r="B1561" s="1" t="s">
        <v>308</v>
      </c>
      <c r="C1561" s="1"/>
      <c r="D1561" s="1"/>
      <c r="E1561" s="1" t="s">
        <v>9715</v>
      </c>
      <c r="F1561" s="1" t="s">
        <v>98</v>
      </c>
      <c r="G1561" s="1" t="s">
        <v>9716</v>
      </c>
      <c r="H1561" s="1">
        <v>0</v>
      </c>
      <c r="I1561" s="1" t="s">
        <v>142</v>
      </c>
      <c r="J1561" s="1"/>
      <c r="K1561" s="1" t="s">
        <v>9717</v>
      </c>
      <c r="L1561" s="1"/>
      <c r="M1561" s="1" t="s">
        <v>125</v>
      </c>
      <c r="N1561" s="1">
        <v>0</v>
      </c>
      <c r="O1561" s="1">
        <v>0</v>
      </c>
      <c r="P1561" s="1" t="s">
        <v>103</v>
      </c>
      <c r="Q1561" s="1" t="s">
        <v>268</v>
      </c>
      <c r="R1561" s="1" t="s">
        <v>11903</v>
      </c>
      <c r="S1561" s="1" t="s">
        <v>11904</v>
      </c>
      <c r="T1561" s="1" t="s">
        <v>9645</v>
      </c>
      <c r="U1561" s="1" t="s">
        <v>11905</v>
      </c>
      <c r="V1561" s="1">
        <v>1</v>
      </c>
      <c r="W1561" s="1">
        <v>1</v>
      </c>
      <c r="X1561" s="1">
        <v>1</v>
      </c>
      <c r="Y1561" s="1">
        <v>0</v>
      </c>
      <c r="Z1561" s="1">
        <v>0</v>
      </c>
      <c r="AA1561" s="1">
        <v>4</v>
      </c>
      <c r="AB1561" s="1">
        <v>4</v>
      </c>
      <c r="AC1561" s="1" t="s">
        <v>109</v>
      </c>
      <c r="AD1561" s="1" t="s">
        <v>109</v>
      </c>
      <c r="AE1561" s="1" t="s">
        <v>109</v>
      </c>
      <c r="AF1561" s="1" t="s">
        <v>109</v>
      </c>
      <c r="AG1561" s="1" t="s">
        <v>109</v>
      </c>
      <c r="AH1561" s="1" t="s">
        <v>109</v>
      </c>
      <c r="AI1561" s="1" t="s">
        <v>109</v>
      </c>
      <c r="AJ1561" s="1">
        <v>4</v>
      </c>
      <c r="AK1561" s="1" t="s">
        <v>109</v>
      </c>
      <c r="AL1561" s="1" t="s">
        <v>109</v>
      </c>
      <c r="AM1561" s="1" t="s">
        <v>109</v>
      </c>
      <c r="AN1561" s="1" t="s">
        <v>109</v>
      </c>
      <c r="AO1561" s="1" t="s">
        <v>109</v>
      </c>
      <c r="AP1561" s="1"/>
      <c r="AQ1561" s="1">
        <v>4</v>
      </c>
      <c r="AR1561" s="1"/>
      <c r="AS1561" s="1"/>
      <c r="AT1561" s="1">
        <v>0</v>
      </c>
      <c r="AU1561" s="1">
        <v>0</v>
      </c>
      <c r="AV1561" s="1">
        <v>0</v>
      </c>
      <c r="AW1561" s="1">
        <v>0</v>
      </c>
      <c r="AX1561" s="1">
        <v>0</v>
      </c>
      <c r="AY1561" s="1">
        <v>0</v>
      </c>
      <c r="AZ1561" s="1">
        <v>0</v>
      </c>
      <c r="BA1561" s="1">
        <v>0</v>
      </c>
      <c r="BB1561" s="1">
        <v>0</v>
      </c>
      <c r="BC1561" s="1">
        <v>0</v>
      </c>
      <c r="BD1561" s="1">
        <v>0</v>
      </c>
      <c r="BE1561" s="1">
        <v>0</v>
      </c>
      <c r="BF1561" s="1">
        <v>0</v>
      </c>
      <c r="BG1561" s="1">
        <v>0</v>
      </c>
      <c r="BH1561" s="1">
        <v>0</v>
      </c>
      <c r="BI1561" s="1">
        <v>0</v>
      </c>
      <c r="BJ1561" s="1">
        <v>0</v>
      </c>
      <c r="BK1561" s="1">
        <v>0</v>
      </c>
      <c r="BL1561" s="1">
        <v>0</v>
      </c>
      <c r="BM1561" s="1">
        <v>0</v>
      </c>
      <c r="BN1561" s="1">
        <v>0</v>
      </c>
      <c r="BO1561" s="1">
        <v>0</v>
      </c>
      <c r="BP1561" s="1">
        <v>0</v>
      </c>
      <c r="BQ1561" s="1">
        <v>0</v>
      </c>
      <c r="BR1561" s="1">
        <v>0</v>
      </c>
      <c r="BS1561" s="1" t="s">
        <v>109</v>
      </c>
      <c r="BT1561" s="1">
        <v>1627</v>
      </c>
      <c r="BU1561" s="1" t="s">
        <v>109</v>
      </c>
      <c r="BV1561" s="1"/>
      <c r="BW1561" s="1"/>
      <c r="BX1561" s="1"/>
      <c r="BY1561" s="1"/>
      <c r="BZ1561" s="1">
        <v>0</v>
      </c>
      <c r="CA1561" s="1" t="s">
        <v>109</v>
      </c>
      <c r="CB1561" s="1" t="s">
        <v>109</v>
      </c>
      <c r="CC1561" s="1" t="s">
        <v>109</v>
      </c>
      <c r="CD1561" s="1" t="s">
        <v>109</v>
      </c>
      <c r="CE1561" s="1" t="s">
        <v>109</v>
      </c>
      <c r="CF1561" s="1" t="s">
        <v>109</v>
      </c>
      <c r="CG1561" s="1" t="s">
        <v>109</v>
      </c>
      <c r="CH1561" s="1" t="s">
        <v>109</v>
      </c>
      <c r="CI1561" s="1" t="s">
        <v>109</v>
      </c>
      <c r="CJ1561" s="1" t="s">
        <v>109</v>
      </c>
      <c r="CK1561" s="1"/>
      <c r="CL1561" s="1">
        <v>0</v>
      </c>
      <c r="CM1561" s="1">
        <v>0</v>
      </c>
      <c r="CN1561" s="1">
        <v>0</v>
      </c>
    </row>
    <row r="1562" spans="1:92" ht="14.25" customHeight="1" x14ac:dyDescent="0.15">
      <c r="A1562" s="1" t="s">
        <v>11906</v>
      </c>
      <c r="B1562" s="1" t="s">
        <v>308</v>
      </c>
      <c r="C1562" s="1"/>
      <c r="D1562" s="1"/>
      <c r="E1562" s="1" t="s">
        <v>11907</v>
      </c>
      <c r="F1562" s="1" t="s">
        <v>98</v>
      </c>
      <c r="G1562" s="1" t="s">
        <v>160</v>
      </c>
      <c r="H1562" s="1">
        <v>0</v>
      </c>
      <c r="I1562" s="1" t="s">
        <v>161</v>
      </c>
      <c r="J1562" s="1"/>
      <c r="K1562" s="1"/>
      <c r="L1562" s="1" t="s">
        <v>11908</v>
      </c>
      <c r="M1562" s="1" t="s">
        <v>11909</v>
      </c>
      <c r="N1562" s="1">
        <v>0</v>
      </c>
      <c r="O1562" s="1">
        <v>0</v>
      </c>
      <c r="P1562" s="1" t="s">
        <v>103</v>
      </c>
      <c r="Q1562" s="1" t="s">
        <v>104</v>
      </c>
      <c r="R1562" s="1" t="s">
        <v>11910</v>
      </c>
      <c r="S1562" s="1" t="s">
        <v>11911</v>
      </c>
      <c r="T1562" s="1" t="s">
        <v>5637</v>
      </c>
      <c r="U1562" s="1" t="s">
        <v>11912</v>
      </c>
      <c r="V1562" s="1">
        <v>1</v>
      </c>
      <c r="W1562" s="1">
        <v>1</v>
      </c>
      <c r="X1562" s="1">
        <v>0</v>
      </c>
      <c r="Y1562" s="1">
        <v>0</v>
      </c>
      <c r="Z1562" s="1">
        <v>1</v>
      </c>
      <c r="AA1562" s="1" t="s">
        <v>109</v>
      </c>
      <c r="AB1562" s="1" t="s">
        <v>109</v>
      </c>
      <c r="AC1562" s="1">
        <v>3</v>
      </c>
      <c r="AD1562" s="1" t="s">
        <v>109</v>
      </c>
      <c r="AE1562" s="1" t="s">
        <v>109</v>
      </c>
      <c r="AF1562" s="1" t="s">
        <v>109</v>
      </c>
      <c r="AG1562" s="1">
        <v>2</v>
      </c>
      <c r="AH1562" s="1" t="s">
        <v>109</v>
      </c>
      <c r="AI1562" s="1" t="s">
        <v>109</v>
      </c>
      <c r="AJ1562" s="1" t="s">
        <v>109</v>
      </c>
      <c r="AK1562" s="1" t="s">
        <v>109</v>
      </c>
      <c r="AL1562" s="1">
        <v>3</v>
      </c>
      <c r="AM1562" s="1" t="s">
        <v>109</v>
      </c>
      <c r="AN1562" s="1" t="s">
        <v>109</v>
      </c>
      <c r="AO1562" s="1" t="s">
        <v>109</v>
      </c>
      <c r="AP1562" s="1" t="s">
        <v>11913</v>
      </c>
      <c r="AQ1562" s="1">
        <v>3</v>
      </c>
      <c r="AR1562" s="1"/>
      <c r="AS1562" s="1"/>
      <c r="AT1562" s="1">
        <v>0</v>
      </c>
      <c r="AU1562" s="1">
        <v>0</v>
      </c>
      <c r="AV1562" s="1">
        <v>0</v>
      </c>
      <c r="AW1562" s="1">
        <v>0</v>
      </c>
      <c r="AX1562" s="1">
        <v>0</v>
      </c>
      <c r="AY1562" s="1">
        <v>0</v>
      </c>
      <c r="AZ1562" s="1">
        <v>0</v>
      </c>
      <c r="BA1562" s="1">
        <v>0</v>
      </c>
      <c r="BB1562" s="1">
        <v>0</v>
      </c>
      <c r="BC1562" s="1">
        <v>0</v>
      </c>
      <c r="BD1562" s="1">
        <v>0</v>
      </c>
      <c r="BE1562" s="1">
        <v>0</v>
      </c>
      <c r="BF1562" s="1">
        <v>0</v>
      </c>
      <c r="BG1562" s="1">
        <v>0</v>
      </c>
      <c r="BH1562" s="1">
        <v>0</v>
      </c>
      <c r="BI1562" s="1">
        <v>0</v>
      </c>
      <c r="BJ1562" s="1">
        <v>0</v>
      </c>
      <c r="BK1562" s="1">
        <v>0</v>
      </c>
      <c r="BL1562" s="1">
        <v>0</v>
      </c>
      <c r="BM1562" s="1">
        <v>0</v>
      </c>
      <c r="BN1562" s="1">
        <v>0</v>
      </c>
      <c r="BO1562" s="1">
        <v>0</v>
      </c>
      <c r="BP1562" s="1">
        <v>0</v>
      </c>
      <c r="BQ1562" s="1">
        <v>0</v>
      </c>
      <c r="BR1562" s="1">
        <v>0</v>
      </c>
      <c r="BS1562" s="1" t="s">
        <v>109</v>
      </c>
      <c r="BT1562" s="1">
        <v>1628</v>
      </c>
      <c r="BU1562" s="1" t="s">
        <v>109</v>
      </c>
      <c r="BV1562" s="1"/>
      <c r="BW1562" s="1"/>
      <c r="BX1562" s="1"/>
      <c r="BY1562" s="1"/>
      <c r="BZ1562" s="1">
        <v>0</v>
      </c>
      <c r="CA1562" s="1" t="s">
        <v>109</v>
      </c>
      <c r="CB1562" s="1" t="s">
        <v>109</v>
      </c>
      <c r="CC1562" s="1" t="s">
        <v>109</v>
      </c>
      <c r="CD1562" s="1" t="s">
        <v>109</v>
      </c>
      <c r="CE1562" s="1" t="s">
        <v>109</v>
      </c>
      <c r="CF1562" s="1" t="s">
        <v>109</v>
      </c>
      <c r="CG1562" s="1" t="s">
        <v>109</v>
      </c>
      <c r="CH1562" s="1" t="s">
        <v>109</v>
      </c>
      <c r="CI1562" s="1" t="s">
        <v>109</v>
      </c>
      <c r="CJ1562" s="1" t="s">
        <v>109</v>
      </c>
      <c r="CK1562" s="1"/>
      <c r="CL1562" s="1">
        <v>0</v>
      </c>
      <c r="CM1562" s="1">
        <v>0</v>
      </c>
      <c r="CN1562" s="1">
        <v>0</v>
      </c>
    </row>
    <row r="1563" spans="1:92" ht="14.25" customHeight="1" x14ac:dyDescent="0.15">
      <c r="A1563" s="1" t="s">
        <v>11914</v>
      </c>
      <c r="B1563" s="1" t="s">
        <v>242</v>
      </c>
      <c r="C1563" s="1"/>
      <c r="D1563" s="1"/>
      <c r="E1563" s="1" t="s">
        <v>11915</v>
      </c>
      <c r="F1563" s="1" t="s">
        <v>98</v>
      </c>
      <c r="G1563" s="1" t="s">
        <v>141</v>
      </c>
      <c r="H1563" s="1">
        <v>0</v>
      </c>
      <c r="I1563" s="1" t="s">
        <v>142</v>
      </c>
      <c r="J1563" s="1" t="s">
        <v>11916</v>
      </c>
      <c r="K1563" s="1"/>
      <c r="L1563" s="1"/>
      <c r="M1563" s="1" t="s">
        <v>5642</v>
      </c>
      <c r="N1563" s="1">
        <v>0</v>
      </c>
      <c r="O1563" s="1">
        <v>0</v>
      </c>
      <c r="P1563" s="1" t="s">
        <v>507</v>
      </c>
      <c r="Q1563" s="1" t="s">
        <v>167</v>
      </c>
      <c r="R1563" s="1" t="s">
        <v>11917</v>
      </c>
      <c r="S1563" s="1" t="s">
        <v>11918</v>
      </c>
      <c r="T1563" s="1" t="s">
        <v>5637</v>
      </c>
      <c r="U1563" s="1" t="s">
        <v>11919</v>
      </c>
      <c r="V1563" s="1">
        <v>1</v>
      </c>
      <c r="W1563" s="1">
        <v>1</v>
      </c>
      <c r="X1563" s="1">
        <v>0</v>
      </c>
      <c r="Y1563" s="1">
        <v>0</v>
      </c>
      <c r="Z1563" s="1">
        <v>0</v>
      </c>
      <c r="AA1563" s="1" t="s">
        <v>109</v>
      </c>
      <c r="AB1563" s="1" t="s">
        <v>109</v>
      </c>
      <c r="AC1563" s="1">
        <v>3</v>
      </c>
      <c r="AD1563" s="1" t="s">
        <v>109</v>
      </c>
      <c r="AE1563" s="1">
        <v>4</v>
      </c>
      <c r="AF1563" s="1" t="s">
        <v>109</v>
      </c>
      <c r="AG1563" s="1">
        <v>3</v>
      </c>
      <c r="AH1563" s="1" t="s">
        <v>109</v>
      </c>
      <c r="AI1563" s="1" t="s">
        <v>109</v>
      </c>
      <c r="AJ1563" s="1" t="s">
        <v>109</v>
      </c>
      <c r="AK1563" s="1" t="s">
        <v>109</v>
      </c>
      <c r="AL1563" s="1">
        <v>3</v>
      </c>
      <c r="AM1563" s="1" t="s">
        <v>109</v>
      </c>
      <c r="AN1563" s="1" t="s">
        <v>109</v>
      </c>
      <c r="AO1563" s="1" t="s">
        <v>109</v>
      </c>
      <c r="AP1563" s="1" t="s">
        <v>11663</v>
      </c>
      <c r="AQ1563" s="1">
        <v>3</v>
      </c>
      <c r="AR1563" s="1"/>
      <c r="AS1563" s="1"/>
      <c r="AT1563" s="1">
        <v>0</v>
      </c>
      <c r="AU1563" s="1">
        <v>0</v>
      </c>
      <c r="AV1563" s="1">
        <v>0</v>
      </c>
      <c r="AW1563" s="1">
        <v>0</v>
      </c>
      <c r="AX1563" s="1">
        <v>0</v>
      </c>
      <c r="AY1563" s="1">
        <v>0</v>
      </c>
      <c r="AZ1563" s="1">
        <v>0</v>
      </c>
      <c r="BA1563" s="1">
        <v>0</v>
      </c>
      <c r="BB1563" s="1">
        <v>0</v>
      </c>
      <c r="BC1563" s="1">
        <v>0</v>
      </c>
      <c r="BD1563" s="1">
        <v>0</v>
      </c>
      <c r="BE1563" s="1">
        <v>0</v>
      </c>
      <c r="BF1563" s="1">
        <v>0</v>
      </c>
      <c r="BG1563" s="1">
        <v>0</v>
      </c>
      <c r="BH1563" s="1">
        <v>0</v>
      </c>
      <c r="BI1563" s="1">
        <v>0</v>
      </c>
      <c r="BJ1563" s="1">
        <v>0</v>
      </c>
      <c r="BK1563" s="1">
        <v>0</v>
      </c>
      <c r="BL1563" s="1">
        <v>0</v>
      </c>
      <c r="BM1563" s="1">
        <v>0</v>
      </c>
      <c r="BN1563" s="1">
        <v>0</v>
      </c>
      <c r="BO1563" s="1">
        <v>0</v>
      </c>
      <c r="BP1563" s="1">
        <v>0</v>
      </c>
      <c r="BQ1563" s="1">
        <v>0</v>
      </c>
      <c r="BR1563" s="1">
        <v>0</v>
      </c>
      <c r="BS1563" s="1" t="s">
        <v>109</v>
      </c>
      <c r="BT1563" s="1">
        <v>1629</v>
      </c>
      <c r="BU1563" s="1" t="s">
        <v>109</v>
      </c>
      <c r="BV1563" s="1"/>
      <c r="BW1563" s="1"/>
      <c r="BX1563" s="1"/>
      <c r="BY1563" s="1"/>
      <c r="BZ1563" s="1">
        <v>0</v>
      </c>
      <c r="CA1563" s="1" t="s">
        <v>109</v>
      </c>
      <c r="CB1563" s="1" t="s">
        <v>109</v>
      </c>
      <c r="CC1563" s="1" t="s">
        <v>109</v>
      </c>
      <c r="CD1563" s="1" t="s">
        <v>109</v>
      </c>
      <c r="CE1563" s="1" t="s">
        <v>109</v>
      </c>
      <c r="CF1563" s="1" t="s">
        <v>109</v>
      </c>
      <c r="CG1563" s="1" t="s">
        <v>109</v>
      </c>
      <c r="CH1563" s="1" t="s">
        <v>109</v>
      </c>
      <c r="CI1563" s="1" t="s">
        <v>109</v>
      </c>
      <c r="CJ1563" s="1">
        <v>4</v>
      </c>
      <c r="CK1563" s="1"/>
      <c r="CL1563" s="1">
        <v>0</v>
      </c>
      <c r="CM1563" s="1">
        <v>0</v>
      </c>
      <c r="CN1563" s="1">
        <v>0</v>
      </c>
    </row>
    <row r="1564" spans="1:92" ht="14.25" customHeight="1" x14ac:dyDescent="0.15">
      <c r="A1564" s="1" t="s">
        <v>11920</v>
      </c>
      <c r="B1564" s="1" t="s">
        <v>95</v>
      </c>
      <c r="C1564" s="1" t="s">
        <v>694</v>
      </c>
      <c r="D1564" s="1"/>
      <c r="E1564" s="1" t="s">
        <v>11921</v>
      </c>
      <c r="F1564" s="1" t="s">
        <v>98</v>
      </c>
      <c r="G1564" s="1" t="s">
        <v>141</v>
      </c>
      <c r="H1564" s="1">
        <v>0</v>
      </c>
      <c r="I1564" s="1" t="s">
        <v>142</v>
      </c>
      <c r="J1564" s="1"/>
      <c r="K1564" s="1"/>
      <c r="L1564" s="1" t="s">
        <v>7789</v>
      </c>
      <c r="M1564" s="1" t="s">
        <v>144</v>
      </c>
      <c r="N1564" s="1">
        <v>0</v>
      </c>
      <c r="O1564" s="1">
        <v>0</v>
      </c>
      <c r="P1564" s="1" t="s">
        <v>507</v>
      </c>
      <c r="Q1564" s="1" t="s">
        <v>167</v>
      </c>
      <c r="R1564" s="1" t="s">
        <v>11922</v>
      </c>
      <c r="S1564" s="1" t="s">
        <v>11923</v>
      </c>
      <c r="T1564" s="1" t="s">
        <v>11924</v>
      </c>
      <c r="U1564" s="1" t="s">
        <v>11925</v>
      </c>
      <c r="V1564" s="1">
        <v>1</v>
      </c>
      <c r="W1564" s="1">
        <v>1</v>
      </c>
      <c r="X1564" s="1">
        <v>0</v>
      </c>
      <c r="Y1564" s="1">
        <v>0</v>
      </c>
      <c r="Z1564" s="1">
        <v>0</v>
      </c>
      <c r="AA1564" s="1" t="s">
        <v>109</v>
      </c>
      <c r="AB1564" s="1" t="s">
        <v>109</v>
      </c>
      <c r="AC1564" s="1">
        <v>2</v>
      </c>
      <c r="AD1564" s="1">
        <v>2</v>
      </c>
      <c r="AE1564" s="1">
        <v>3</v>
      </c>
      <c r="AF1564" s="1" t="s">
        <v>109</v>
      </c>
      <c r="AG1564" s="1">
        <v>2</v>
      </c>
      <c r="AH1564" s="1" t="s">
        <v>109</v>
      </c>
      <c r="AI1564" s="1" t="s">
        <v>109</v>
      </c>
      <c r="AJ1564" s="1">
        <v>2</v>
      </c>
      <c r="AK1564" s="1">
        <v>2</v>
      </c>
      <c r="AL1564" s="1">
        <v>2</v>
      </c>
      <c r="AM1564" s="1" t="s">
        <v>109</v>
      </c>
      <c r="AN1564" s="1" t="s">
        <v>109</v>
      </c>
      <c r="AO1564" s="1" t="s">
        <v>109</v>
      </c>
      <c r="AP1564" s="1"/>
      <c r="AQ1564" s="1">
        <v>2</v>
      </c>
      <c r="AR1564" s="1"/>
      <c r="AS1564" s="1"/>
      <c r="AT1564" s="1">
        <v>0</v>
      </c>
      <c r="AU1564" s="1">
        <v>0</v>
      </c>
      <c r="AV1564" s="1">
        <v>0</v>
      </c>
      <c r="AW1564" s="1">
        <v>0</v>
      </c>
      <c r="AX1564" s="1">
        <v>0</v>
      </c>
      <c r="AY1564" s="1">
        <v>0</v>
      </c>
      <c r="AZ1564" s="1">
        <v>0</v>
      </c>
      <c r="BA1564" s="1">
        <v>0</v>
      </c>
      <c r="BB1564" s="1">
        <v>0</v>
      </c>
      <c r="BC1564" s="1">
        <v>0</v>
      </c>
      <c r="BD1564" s="1">
        <v>0</v>
      </c>
      <c r="BE1564" s="1">
        <v>0</v>
      </c>
      <c r="BF1564" s="1">
        <v>0</v>
      </c>
      <c r="BG1564" s="1">
        <v>0</v>
      </c>
      <c r="BH1564" s="1">
        <v>0</v>
      </c>
      <c r="BI1564" s="1">
        <v>0</v>
      </c>
      <c r="BJ1564" s="1">
        <v>0</v>
      </c>
      <c r="BK1564" s="1">
        <v>0</v>
      </c>
      <c r="BL1564" s="1">
        <v>0</v>
      </c>
      <c r="BM1564" s="1">
        <v>0</v>
      </c>
      <c r="BN1564" s="1">
        <v>0</v>
      </c>
      <c r="BO1564" s="1">
        <v>0</v>
      </c>
      <c r="BP1564" s="1">
        <v>0</v>
      </c>
      <c r="BQ1564" s="1">
        <v>0</v>
      </c>
      <c r="BR1564" s="1">
        <v>0</v>
      </c>
      <c r="BS1564" s="1" t="s">
        <v>109</v>
      </c>
      <c r="BT1564" s="1">
        <v>1630</v>
      </c>
      <c r="BU1564" s="1" t="s">
        <v>109</v>
      </c>
      <c r="BV1564" s="1"/>
      <c r="BW1564" s="1"/>
      <c r="BX1564" s="1"/>
      <c r="BY1564" s="1"/>
      <c r="BZ1564" s="1">
        <v>0</v>
      </c>
      <c r="CA1564" s="1" t="s">
        <v>109</v>
      </c>
      <c r="CB1564" s="1" t="s">
        <v>109</v>
      </c>
      <c r="CC1564" s="1" t="s">
        <v>109</v>
      </c>
      <c r="CD1564" s="1" t="s">
        <v>109</v>
      </c>
      <c r="CE1564" s="1" t="s">
        <v>109</v>
      </c>
      <c r="CF1564" s="1" t="s">
        <v>109</v>
      </c>
      <c r="CG1564" s="1" t="s">
        <v>109</v>
      </c>
      <c r="CH1564" s="1" t="s">
        <v>109</v>
      </c>
      <c r="CI1564" s="1" t="s">
        <v>109</v>
      </c>
      <c r="CJ1564" s="1">
        <v>2</v>
      </c>
      <c r="CK1564" s="1"/>
      <c r="CL1564" s="1">
        <v>0</v>
      </c>
      <c r="CM1564" s="1">
        <v>0</v>
      </c>
      <c r="CN1564" s="1">
        <v>0</v>
      </c>
    </row>
    <row r="1565" spans="1:92" ht="14.25" customHeight="1" x14ac:dyDescent="0.15">
      <c r="A1565" s="1" t="s">
        <v>11926</v>
      </c>
      <c r="B1565" s="1" t="s">
        <v>584</v>
      </c>
      <c r="C1565" s="1"/>
      <c r="D1565" s="1" t="s">
        <v>49</v>
      </c>
      <c r="E1565" s="1" t="s">
        <v>11927</v>
      </c>
      <c r="F1565" s="1" t="s">
        <v>98</v>
      </c>
      <c r="G1565" s="1" t="s">
        <v>160</v>
      </c>
      <c r="H1565" s="1">
        <v>0</v>
      </c>
      <c r="I1565" s="1" t="s">
        <v>11928</v>
      </c>
      <c r="J1565" s="1"/>
      <c r="K1565" s="1"/>
      <c r="L1565" s="1" t="s">
        <v>1391</v>
      </c>
      <c r="M1565" s="1" t="s">
        <v>144</v>
      </c>
      <c r="N1565" s="1">
        <v>0</v>
      </c>
      <c r="O1565" s="1">
        <v>0</v>
      </c>
      <c r="P1565" s="1" t="s">
        <v>103</v>
      </c>
      <c r="Q1565" s="1" t="s">
        <v>268</v>
      </c>
      <c r="R1565" s="1" t="s">
        <v>11929</v>
      </c>
      <c r="S1565" s="1" t="s">
        <v>11930</v>
      </c>
      <c r="T1565" s="1" t="s">
        <v>11931</v>
      </c>
      <c r="U1565" s="1" t="s">
        <v>11932</v>
      </c>
      <c r="V1565" s="1">
        <v>1</v>
      </c>
      <c r="W1565" s="1">
        <v>1</v>
      </c>
      <c r="X1565" s="1">
        <v>0</v>
      </c>
      <c r="Y1565" s="1">
        <v>0</v>
      </c>
      <c r="Z1565" s="1">
        <v>1</v>
      </c>
      <c r="AA1565" s="1" t="s">
        <v>109</v>
      </c>
      <c r="AB1565" s="1" t="s">
        <v>109</v>
      </c>
      <c r="AC1565" s="1">
        <v>3</v>
      </c>
      <c r="AD1565" s="1" t="s">
        <v>109</v>
      </c>
      <c r="AE1565" s="1">
        <v>3</v>
      </c>
      <c r="AF1565" s="1" t="s">
        <v>109</v>
      </c>
      <c r="AG1565" s="1" t="s">
        <v>109</v>
      </c>
      <c r="AH1565" s="1" t="s">
        <v>109</v>
      </c>
      <c r="AI1565" s="1" t="s">
        <v>109</v>
      </c>
      <c r="AJ1565" s="1" t="s">
        <v>109</v>
      </c>
      <c r="AK1565" s="1">
        <v>3</v>
      </c>
      <c r="AL1565" s="1" t="s">
        <v>109</v>
      </c>
      <c r="AM1565" s="1">
        <v>3</v>
      </c>
      <c r="AN1565" s="1" t="s">
        <v>109</v>
      </c>
      <c r="AO1565" s="1" t="s">
        <v>109</v>
      </c>
      <c r="AP1565" s="1" t="s">
        <v>11933</v>
      </c>
      <c r="AQ1565" s="1">
        <v>3</v>
      </c>
      <c r="AR1565" s="1"/>
      <c r="AS1565" s="1"/>
      <c r="AT1565" s="1">
        <v>0</v>
      </c>
      <c r="AU1565" s="1">
        <v>0</v>
      </c>
      <c r="AV1565" s="1">
        <v>0</v>
      </c>
      <c r="AW1565" s="1">
        <v>1</v>
      </c>
      <c r="AX1565" s="1">
        <v>0</v>
      </c>
      <c r="AY1565" s="1">
        <v>0</v>
      </c>
      <c r="AZ1565" s="1">
        <v>0</v>
      </c>
      <c r="BA1565" s="1">
        <v>0</v>
      </c>
      <c r="BB1565" s="1">
        <v>0</v>
      </c>
      <c r="BC1565" s="1">
        <v>0</v>
      </c>
      <c r="BD1565" s="1">
        <v>0</v>
      </c>
      <c r="BE1565" s="1">
        <v>0</v>
      </c>
      <c r="BF1565" s="1">
        <v>0</v>
      </c>
      <c r="BG1565" s="1">
        <v>0</v>
      </c>
      <c r="BH1565" s="1">
        <v>0</v>
      </c>
      <c r="BI1565" s="1">
        <v>0</v>
      </c>
      <c r="BJ1565" s="1">
        <v>0</v>
      </c>
      <c r="BK1565" s="1">
        <v>0</v>
      </c>
      <c r="BL1565" s="1">
        <v>0</v>
      </c>
      <c r="BM1565" s="1">
        <v>0</v>
      </c>
      <c r="BN1565" s="1">
        <v>0</v>
      </c>
      <c r="BO1565" s="1">
        <v>0</v>
      </c>
      <c r="BP1565" s="1">
        <v>0</v>
      </c>
      <c r="BQ1565" s="1">
        <v>0</v>
      </c>
      <c r="BR1565" s="1">
        <v>0</v>
      </c>
      <c r="BS1565" s="1" t="s">
        <v>109</v>
      </c>
      <c r="BT1565" s="1">
        <v>1631</v>
      </c>
      <c r="BU1565" s="1" t="s">
        <v>109</v>
      </c>
      <c r="BV1565" s="1"/>
      <c r="BW1565" s="1"/>
      <c r="BX1565" s="1"/>
      <c r="BY1565" s="1"/>
      <c r="BZ1565" s="1">
        <v>0</v>
      </c>
      <c r="CA1565" s="1" t="s">
        <v>109</v>
      </c>
      <c r="CB1565" s="1" t="s">
        <v>109</v>
      </c>
      <c r="CC1565" s="1" t="s">
        <v>109</v>
      </c>
      <c r="CD1565" s="1" t="s">
        <v>109</v>
      </c>
      <c r="CE1565" s="1" t="s">
        <v>109</v>
      </c>
      <c r="CF1565" s="1" t="s">
        <v>109</v>
      </c>
      <c r="CG1565" s="1" t="s">
        <v>109</v>
      </c>
      <c r="CH1565" s="1" t="s">
        <v>109</v>
      </c>
      <c r="CI1565" s="1" t="s">
        <v>109</v>
      </c>
      <c r="CJ1565" s="1">
        <v>3</v>
      </c>
      <c r="CK1565" s="1"/>
      <c r="CL1565" s="1">
        <v>0</v>
      </c>
      <c r="CM1565" s="1">
        <v>0</v>
      </c>
      <c r="CN1565" s="1">
        <v>0</v>
      </c>
    </row>
    <row r="1566" spans="1:92" ht="14.25" customHeight="1" x14ac:dyDescent="0.15">
      <c r="A1566" s="1" t="s">
        <v>11934</v>
      </c>
      <c r="B1566" s="1" t="s">
        <v>95</v>
      </c>
      <c r="C1566" s="1" t="s">
        <v>694</v>
      </c>
      <c r="D1566" s="1" t="s">
        <v>61</v>
      </c>
      <c r="E1566" s="1" t="s">
        <v>11935</v>
      </c>
      <c r="F1566" s="1" t="s">
        <v>98</v>
      </c>
      <c r="G1566" s="1" t="s">
        <v>11936</v>
      </c>
      <c r="H1566" s="1">
        <v>0</v>
      </c>
      <c r="I1566" s="1" t="s">
        <v>161</v>
      </c>
      <c r="J1566" s="1"/>
      <c r="K1566" s="1"/>
      <c r="L1566" s="1" t="s">
        <v>506</v>
      </c>
      <c r="M1566" s="1" t="s">
        <v>144</v>
      </c>
      <c r="N1566" s="1">
        <v>0</v>
      </c>
      <c r="O1566" s="1">
        <v>0</v>
      </c>
      <c r="P1566" s="1" t="s">
        <v>1382</v>
      </c>
      <c r="Q1566" s="1" t="s">
        <v>167</v>
      </c>
      <c r="R1566" s="1" t="s">
        <v>11937</v>
      </c>
      <c r="S1566" s="1" t="s">
        <v>11938</v>
      </c>
      <c r="T1566" s="1" t="s">
        <v>11939</v>
      </c>
      <c r="U1566" s="1" t="s">
        <v>11940</v>
      </c>
      <c r="V1566" s="1">
        <v>1</v>
      </c>
      <c r="W1566" s="1">
        <v>1</v>
      </c>
      <c r="X1566" s="1">
        <v>1</v>
      </c>
      <c r="Y1566" s="1">
        <v>0</v>
      </c>
      <c r="Z1566" s="1">
        <v>1</v>
      </c>
      <c r="AA1566" s="1" t="s">
        <v>109</v>
      </c>
      <c r="AB1566" s="1" t="s">
        <v>109</v>
      </c>
      <c r="AC1566" s="1">
        <v>3</v>
      </c>
      <c r="AD1566" s="1">
        <v>3</v>
      </c>
      <c r="AE1566" s="1" t="s">
        <v>109</v>
      </c>
      <c r="AF1566" s="1">
        <v>3</v>
      </c>
      <c r="AG1566" s="1">
        <v>3</v>
      </c>
      <c r="AH1566" s="1" t="s">
        <v>109</v>
      </c>
      <c r="AI1566" s="1" t="s">
        <v>109</v>
      </c>
      <c r="AJ1566" s="1">
        <v>3</v>
      </c>
      <c r="AK1566" s="1" t="s">
        <v>109</v>
      </c>
      <c r="AL1566" s="1">
        <v>3</v>
      </c>
      <c r="AM1566" s="1" t="s">
        <v>109</v>
      </c>
      <c r="AN1566" s="1" t="s">
        <v>109</v>
      </c>
      <c r="AO1566" s="1" t="s">
        <v>109</v>
      </c>
      <c r="AP1566" s="1"/>
      <c r="AQ1566" s="1">
        <v>3</v>
      </c>
      <c r="AR1566" s="1"/>
      <c r="AS1566" s="1"/>
      <c r="AT1566" s="1">
        <v>0</v>
      </c>
      <c r="AU1566" s="1">
        <v>0</v>
      </c>
      <c r="AV1566" s="1">
        <v>0</v>
      </c>
      <c r="AW1566" s="1">
        <v>0</v>
      </c>
      <c r="AX1566" s="1">
        <v>0</v>
      </c>
      <c r="AY1566" s="1">
        <v>0</v>
      </c>
      <c r="AZ1566" s="1">
        <v>0</v>
      </c>
      <c r="BA1566" s="1">
        <v>0</v>
      </c>
      <c r="BB1566" s="1">
        <v>0</v>
      </c>
      <c r="BC1566" s="1">
        <v>0</v>
      </c>
      <c r="BD1566" s="1">
        <v>0</v>
      </c>
      <c r="BE1566" s="1">
        <v>0</v>
      </c>
      <c r="BF1566" s="1">
        <v>0</v>
      </c>
      <c r="BG1566" s="1">
        <v>0</v>
      </c>
      <c r="BH1566" s="1">
        <v>0</v>
      </c>
      <c r="BI1566" s="1">
        <v>1</v>
      </c>
      <c r="BJ1566" s="1">
        <v>0</v>
      </c>
      <c r="BK1566" s="1">
        <v>0</v>
      </c>
      <c r="BL1566" s="1">
        <v>0</v>
      </c>
      <c r="BM1566" s="1">
        <v>0</v>
      </c>
      <c r="BN1566" s="1">
        <v>0</v>
      </c>
      <c r="BO1566" s="1">
        <v>0</v>
      </c>
      <c r="BP1566" s="1">
        <v>0</v>
      </c>
      <c r="BQ1566" s="1">
        <v>0</v>
      </c>
      <c r="BR1566" s="1">
        <v>0</v>
      </c>
      <c r="BS1566" s="1" t="s">
        <v>109</v>
      </c>
      <c r="BT1566" s="1">
        <v>1632</v>
      </c>
      <c r="BU1566" s="1" t="s">
        <v>109</v>
      </c>
      <c r="BV1566" s="1"/>
      <c r="BW1566" s="1"/>
      <c r="BX1566" s="1"/>
      <c r="BY1566" s="1"/>
      <c r="BZ1566" s="1">
        <v>0</v>
      </c>
      <c r="CA1566" s="1" t="s">
        <v>109</v>
      </c>
      <c r="CB1566" s="1" t="s">
        <v>109</v>
      </c>
      <c r="CC1566" s="1" t="s">
        <v>109</v>
      </c>
      <c r="CD1566" s="1" t="s">
        <v>109</v>
      </c>
      <c r="CE1566" s="1" t="s">
        <v>109</v>
      </c>
      <c r="CF1566" s="1" t="s">
        <v>109</v>
      </c>
      <c r="CG1566" s="1" t="s">
        <v>109</v>
      </c>
      <c r="CH1566" s="1" t="s">
        <v>109</v>
      </c>
      <c r="CI1566" s="1" t="s">
        <v>109</v>
      </c>
      <c r="CJ1566" s="1">
        <v>3</v>
      </c>
      <c r="CK1566" s="1"/>
      <c r="CL1566" s="1">
        <v>0</v>
      </c>
      <c r="CM1566" s="1">
        <v>0</v>
      </c>
      <c r="CN1566" s="1">
        <v>0</v>
      </c>
    </row>
    <row r="1567" spans="1:92" ht="14.25" customHeight="1" x14ac:dyDescent="0.15">
      <c r="A1567" s="1" t="s">
        <v>11941</v>
      </c>
      <c r="B1567" s="1" t="s">
        <v>189</v>
      </c>
      <c r="C1567" s="1"/>
      <c r="D1567" s="1" t="s">
        <v>61</v>
      </c>
      <c r="E1567" s="1" t="s">
        <v>11942</v>
      </c>
      <c r="F1567" s="1" t="s">
        <v>98</v>
      </c>
      <c r="G1567" s="1" t="s">
        <v>141</v>
      </c>
      <c r="H1567" s="1">
        <v>0</v>
      </c>
      <c r="I1567" s="1" t="s">
        <v>235</v>
      </c>
      <c r="J1567" s="1"/>
      <c r="K1567" s="1"/>
      <c r="L1567" s="1" t="s">
        <v>236</v>
      </c>
      <c r="M1567" s="1" t="s">
        <v>6144</v>
      </c>
      <c r="N1567" s="1">
        <v>1</v>
      </c>
      <c r="O1567" s="1">
        <v>0</v>
      </c>
      <c r="P1567" s="1" t="s">
        <v>103</v>
      </c>
      <c r="Q1567" s="1" t="s">
        <v>104</v>
      </c>
      <c r="R1567" s="1" t="s">
        <v>11943</v>
      </c>
      <c r="S1567" s="1" t="s">
        <v>11944</v>
      </c>
      <c r="T1567" s="1" t="s">
        <v>11939</v>
      </c>
      <c r="U1567" s="1" t="s">
        <v>11945</v>
      </c>
      <c r="V1567" s="1">
        <v>1</v>
      </c>
      <c r="W1567" s="1">
        <v>1</v>
      </c>
      <c r="X1567" s="1">
        <v>0</v>
      </c>
      <c r="Y1567" s="1">
        <v>0</v>
      </c>
      <c r="Z1567" s="1">
        <v>0</v>
      </c>
      <c r="AA1567" s="1">
        <v>2</v>
      </c>
      <c r="AB1567" s="1">
        <v>2</v>
      </c>
      <c r="AC1567" s="1">
        <v>2</v>
      </c>
      <c r="AD1567" s="1" t="s">
        <v>109</v>
      </c>
      <c r="AE1567" s="1" t="s">
        <v>109</v>
      </c>
      <c r="AF1567" s="1" t="s">
        <v>109</v>
      </c>
      <c r="AG1567" s="1">
        <v>2</v>
      </c>
      <c r="AH1567" s="1" t="s">
        <v>109</v>
      </c>
      <c r="AI1567" s="1" t="s">
        <v>109</v>
      </c>
      <c r="AJ1567" s="1" t="s">
        <v>109</v>
      </c>
      <c r="AK1567" s="1" t="s">
        <v>109</v>
      </c>
      <c r="AL1567" s="1">
        <v>2</v>
      </c>
      <c r="AM1567" s="1" t="s">
        <v>109</v>
      </c>
      <c r="AN1567" s="1" t="s">
        <v>109</v>
      </c>
      <c r="AO1567" s="1" t="s">
        <v>109</v>
      </c>
      <c r="AP1567" s="1"/>
      <c r="AQ1567" s="1">
        <v>2</v>
      </c>
      <c r="AR1567" s="1"/>
      <c r="AS1567" s="1"/>
      <c r="AT1567" s="1">
        <v>0</v>
      </c>
      <c r="AU1567" s="1">
        <v>0</v>
      </c>
      <c r="AV1567" s="1">
        <v>0</v>
      </c>
      <c r="AW1567" s="1">
        <v>0</v>
      </c>
      <c r="AX1567" s="1">
        <v>0</v>
      </c>
      <c r="AY1567" s="1">
        <v>0</v>
      </c>
      <c r="AZ1567" s="1">
        <v>0</v>
      </c>
      <c r="BA1567" s="1">
        <v>0</v>
      </c>
      <c r="BB1567" s="1">
        <v>0</v>
      </c>
      <c r="BC1567" s="1">
        <v>0</v>
      </c>
      <c r="BD1567" s="1">
        <v>0</v>
      </c>
      <c r="BE1567" s="1">
        <v>0</v>
      </c>
      <c r="BF1567" s="1">
        <v>0</v>
      </c>
      <c r="BG1567" s="1">
        <v>0</v>
      </c>
      <c r="BH1567" s="1">
        <v>0</v>
      </c>
      <c r="BI1567" s="1">
        <v>1</v>
      </c>
      <c r="BJ1567" s="1">
        <v>0</v>
      </c>
      <c r="BK1567" s="1">
        <v>0</v>
      </c>
      <c r="BL1567" s="1">
        <v>0</v>
      </c>
      <c r="BM1567" s="1">
        <v>0</v>
      </c>
      <c r="BN1567" s="1">
        <v>0</v>
      </c>
      <c r="BO1567" s="1">
        <v>0</v>
      </c>
      <c r="BP1567" s="1">
        <v>0</v>
      </c>
      <c r="BQ1567" s="1">
        <v>0</v>
      </c>
      <c r="BR1567" s="1">
        <v>0</v>
      </c>
      <c r="BS1567" s="1" t="s">
        <v>109</v>
      </c>
      <c r="BT1567" s="1">
        <v>1633</v>
      </c>
      <c r="BU1567" s="1" t="s">
        <v>109</v>
      </c>
      <c r="BV1567" s="1"/>
      <c r="BW1567" s="1"/>
      <c r="BX1567" s="1"/>
      <c r="BY1567" s="1"/>
      <c r="BZ1567" s="1">
        <v>0</v>
      </c>
      <c r="CA1567" s="1" t="s">
        <v>109</v>
      </c>
      <c r="CB1567" s="1" t="s">
        <v>109</v>
      </c>
      <c r="CC1567" s="1" t="s">
        <v>109</v>
      </c>
      <c r="CD1567" s="1" t="s">
        <v>109</v>
      </c>
      <c r="CE1567" s="1" t="s">
        <v>109</v>
      </c>
      <c r="CF1567" s="1" t="s">
        <v>109</v>
      </c>
      <c r="CG1567" s="1" t="s">
        <v>109</v>
      </c>
      <c r="CH1567" s="1" t="s">
        <v>109</v>
      </c>
      <c r="CI1567" s="1" t="s">
        <v>109</v>
      </c>
      <c r="CJ1567" s="1" t="s">
        <v>109</v>
      </c>
      <c r="CK1567" s="1"/>
      <c r="CL1567" s="1">
        <v>0</v>
      </c>
      <c r="CM1567" s="1">
        <v>0</v>
      </c>
      <c r="CN1567" s="1">
        <v>0</v>
      </c>
    </row>
    <row r="1568" spans="1:92" ht="14.25" customHeight="1" x14ac:dyDescent="0.15">
      <c r="A1568" s="1" t="s">
        <v>11946</v>
      </c>
      <c r="B1568" s="1" t="s">
        <v>189</v>
      </c>
      <c r="C1568" s="1"/>
      <c r="D1568" s="1" t="s">
        <v>61</v>
      </c>
      <c r="E1568" s="1" t="s">
        <v>11947</v>
      </c>
      <c r="F1568" s="1" t="s">
        <v>98</v>
      </c>
      <c r="G1568" s="1" t="s">
        <v>141</v>
      </c>
      <c r="H1568" s="1">
        <v>0</v>
      </c>
      <c r="I1568" s="1" t="s">
        <v>235</v>
      </c>
      <c r="J1568" s="1"/>
      <c r="K1568" s="1"/>
      <c r="L1568" s="1" t="s">
        <v>236</v>
      </c>
      <c r="M1568" s="1" t="s">
        <v>6144</v>
      </c>
      <c r="N1568" s="1">
        <v>1</v>
      </c>
      <c r="O1568" s="1">
        <v>0</v>
      </c>
      <c r="P1568" s="1" t="s">
        <v>103</v>
      </c>
      <c r="Q1568" s="1" t="s">
        <v>104</v>
      </c>
      <c r="R1568" s="1" t="s">
        <v>11948</v>
      </c>
      <c r="S1568" s="1" t="s">
        <v>11949</v>
      </c>
      <c r="T1568" s="1" t="s">
        <v>11939</v>
      </c>
      <c r="U1568" s="1" t="s">
        <v>11950</v>
      </c>
      <c r="V1568" s="1">
        <v>1</v>
      </c>
      <c r="W1568" s="1">
        <v>1</v>
      </c>
      <c r="X1568" s="1">
        <v>0</v>
      </c>
      <c r="Y1568" s="1">
        <v>0</v>
      </c>
      <c r="Z1568" s="1">
        <v>0</v>
      </c>
      <c r="AA1568" s="1">
        <v>8</v>
      </c>
      <c r="AB1568" s="1">
        <v>8</v>
      </c>
      <c r="AC1568" s="1">
        <v>8</v>
      </c>
      <c r="AD1568" s="1" t="s">
        <v>109</v>
      </c>
      <c r="AE1568" s="1" t="s">
        <v>109</v>
      </c>
      <c r="AF1568" s="1" t="s">
        <v>109</v>
      </c>
      <c r="AG1568" s="1">
        <v>4</v>
      </c>
      <c r="AH1568" s="1" t="s">
        <v>109</v>
      </c>
      <c r="AI1568" s="1" t="s">
        <v>109</v>
      </c>
      <c r="AJ1568" s="1" t="s">
        <v>109</v>
      </c>
      <c r="AK1568" s="1" t="s">
        <v>109</v>
      </c>
      <c r="AL1568" s="1">
        <v>8</v>
      </c>
      <c r="AM1568" s="1" t="s">
        <v>109</v>
      </c>
      <c r="AN1568" s="1" t="s">
        <v>109</v>
      </c>
      <c r="AO1568" s="1" t="s">
        <v>109</v>
      </c>
      <c r="AP1568" s="1"/>
      <c r="AQ1568" s="1">
        <v>8</v>
      </c>
      <c r="AR1568" s="1"/>
      <c r="AS1568" s="1"/>
      <c r="AT1568" s="1">
        <v>0</v>
      </c>
      <c r="AU1568" s="1">
        <v>0</v>
      </c>
      <c r="AV1568" s="1">
        <v>0</v>
      </c>
      <c r="AW1568" s="1">
        <v>0</v>
      </c>
      <c r="AX1568" s="1">
        <v>0</v>
      </c>
      <c r="AY1568" s="1">
        <v>0</v>
      </c>
      <c r="AZ1568" s="1">
        <v>0</v>
      </c>
      <c r="BA1568" s="1">
        <v>0</v>
      </c>
      <c r="BB1568" s="1">
        <v>0</v>
      </c>
      <c r="BC1568" s="1">
        <v>0</v>
      </c>
      <c r="BD1568" s="1">
        <v>0</v>
      </c>
      <c r="BE1568" s="1">
        <v>0</v>
      </c>
      <c r="BF1568" s="1">
        <v>0</v>
      </c>
      <c r="BG1568" s="1">
        <v>0</v>
      </c>
      <c r="BH1568" s="1">
        <v>0</v>
      </c>
      <c r="BI1568" s="1">
        <v>1</v>
      </c>
      <c r="BJ1568" s="1">
        <v>0</v>
      </c>
      <c r="BK1568" s="1">
        <v>0</v>
      </c>
      <c r="BL1568" s="1">
        <v>0</v>
      </c>
      <c r="BM1568" s="1">
        <v>0</v>
      </c>
      <c r="BN1568" s="1">
        <v>0</v>
      </c>
      <c r="BO1568" s="1">
        <v>0</v>
      </c>
      <c r="BP1568" s="1">
        <v>0</v>
      </c>
      <c r="BQ1568" s="1">
        <v>0</v>
      </c>
      <c r="BR1568" s="1">
        <v>0</v>
      </c>
      <c r="BS1568" s="1" t="s">
        <v>109</v>
      </c>
      <c r="BT1568" s="1">
        <v>1634</v>
      </c>
      <c r="BU1568" s="1" t="s">
        <v>109</v>
      </c>
      <c r="BV1568" s="1"/>
      <c r="BW1568" s="1"/>
      <c r="BX1568" s="1"/>
      <c r="BY1568" s="1"/>
      <c r="BZ1568" s="1">
        <v>0</v>
      </c>
      <c r="CA1568" s="1" t="s">
        <v>109</v>
      </c>
      <c r="CB1568" s="1" t="s">
        <v>109</v>
      </c>
      <c r="CC1568" s="1" t="s">
        <v>109</v>
      </c>
      <c r="CD1568" s="1" t="s">
        <v>109</v>
      </c>
      <c r="CE1568" s="1" t="s">
        <v>109</v>
      </c>
      <c r="CF1568" s="1" t="s">
        <v>109</v>
      </c>
      <c r="CG1568" s="1" t="s">
        <v>109</v>
      </c>
      <c r="CH1568" s="1" t="s">
        <v>109</v>
      </c>
      <c r="CI1568" s="1" t="s">
        <v>109</v>
      </c>
      <c r="CJ1568" s="1" t="s">
        <v>109</v>
      </c>
      <c r="CK1568" s="1"/>
      <c r="CL1568" s="1">
        <v>0</v>
      </c>
      <c r="CM1568" s="1">
        <v>0</v>
      </c>
      <c r="CN1568" s="1">
        <v>0</v>
      </c>
    </row>
    <row r="1569" spans="1:92" ht="14.25" customHeight="1" x14ac:dyDescent="0.15">
      <c r="A1569" s="1" t="s">
        <v>11951</v>
      </c>
      <c r="B1569" s="1" t="s">
        <v>189</v>
      </c>
      <c r="C1569" s="1"/>
      <c r="D1569" s="1" t="s">
        <v>61</v>
      </c>
      <c r="E1569" s="1" t="s">
        <v>11952</v>
      </c>
      <c r="F1569" s="1" t="s">
        <v>98</v>
      </c>
      <c r="G1569" s="1" t="s">
        <v>141</v>
      </c>
      <c r="H1569" s="1">
        <v>0</v>
      </c>
      <c r="I1569" s="1" t="s">
        <v>235</v>
      </c>
      <c r="J1569" s="1"/>
      <c r="K1569" s="1"/>
      <c r="L1569" s="1" t="s">
        <v>236</v>
      </c>
      <c r="M1569" s="1" t="s">
        <v>6144</v>
      </c>
      <c r="N1569" s="1">
        <v>1</v>
      </c>
      <c r="O1569" s="1">
        <v>0</v>
      </c>
      <c r="P1569" s="1" t="s">
        <v>103</v>
      </c>
      <c r="Q1569" s="1" t="s">
        <v>104</v>
      </c>
      <c r="R1569" s="1" t="s">
        <v>11953</v>
      </c>
      <c r="S1569" s="1" t="s">
        <v>11954</v>
      </c>
      <c r="T1569" s="1" t="s">
        <v>11939</v>
      </c>
      <c r="U1569" s="1" t="s">
        <v>11955</v>
      </c>
      <c r="V1569" s="1">
        <v>1</v>
      </c>
      <c r="W1569" s="1">
        <v>1</v>
      </c>
      <c r="X1569" s="1">
        <v>0</v>
      </c>
      <c r="Y1569" s="1">
        <v>0</v>
      </c>
      <c r="Z1569" s="1">
        <v>0</v>
      </c>
      <c r="AA1569" s="1">
        <v>5</v>
      </c>
      <c r="AB1569" s="1">
        <v>5</v>
      </c>
      <c r="AC1569" s="1">
        <v>5</v>
      </c>
      <c r="AD1569" s="1" t="s">
        <v>109</v>
      </c>
      <c r="AE1569" s="1" t="s">
        <v>109</v>
      </c>
      <c r="AF1569" s="1" t="s">
        <v>109</v>
      </c>
      <c r="AG1569" s="1">
        <v>3</v>
      </c>
      <c r="AH1569" s="1" t="s">
        <v>109</v>
      </c>
      <c r="AI1569" s="1" t="s">
        <v>109</v>
      </c>
      <c r="AJ1569" s="1" t="s">
        <v>109</v>
      </c>
      <c r="AK1569" s="1" t="s">
        <v>109</v>
      </c>
      <c r="AL1569" s="1">
        <v>5</v>
      </c>
      <c r="AM1569" s="1" t="s">
        <v>109</v>
      </c>
      <c r="AN1569" s="1" t="s">
        <v>109</v>
      </c>
      <c r="AO1569" s="1" t="s">
        <v>109</v>
      </c>
      <c r="AP1569" s="1"/>
      <c r="AQ1569" s="1">
        <v>5</v>
      </c>
      <c r="AR1569" s="1"/>
      <c r="AS1569" s="1"/>
      <c r="AT1569" s="1">
        <v>0</v>
      </c>
      <c r="AU1569" s="1">
        <v>0</v>
      </c>
      <c r="AV1569" s="1">
        <v>0</v>
      </c>
      <c r="AW1569" s="1">
        <v>0</v>
      </c>
      <c r="AX1569" s="1">
        <v>0</v>
      </c>
      <c r="AY1569" s="1">
        <v>0</v>
      </c>
      <c r="AZ1569" s="1">
        <v>0</v>
      </c>
      <c r="BA1569" s="1">
        <v>0</v>
      </c>
      <c r="BB1569" s="1">
        <v>0</v>
      </c>
      <c r="BC1569" s="1">
        <v>0</v>
      </c>
      <c r="BD1569" s="1">
        <v>0</v>
      </c>
      <c r="BE1569" s="1">
        <v>0</v>
      </c>
      <c r="BF1569" s="1">
        <v>0</v>
      </c>
      <c r="BG1569" s="1">
        <v>0</v>
      </c>
      <c r="BH1569" s="1">
        <v>0</v>
      </c>
      <c r="BI1569" s="1">
        <v>1</v>
      </c>
      <c r="BJ1569" s="1">
        <v>0</v>
      </c>
      <c r="BK1569" s="1">
        <v>0</v>
      </c>
      <c r="BL1569" s="1">
        <v>0</v>
      </c>
      <c r="BM1569" s="1">
        <v>0</v>
      </c>
      <c r="BN1569" s="1">
        <v>0</v>
      </c>
      <c r="BO1569" s="1">
        <v>0</v>
      </c>
      <c r="BP1569" s="1">
        <v>0</v>
      </c>
      <c r="BQ1569" s="1">
        <v>0</v>
      </c>
      <c r="BR1569" s="1">
        <v>0</v>
      </c>
      <c r="BS1569" s="1" t="s">
        <v>109</v>
      </c>
      <c r="BT1569" s="1">
        <v>1635</v>
      </c>
      <c r="BU1569" s="1" t="s">
        <v>109</v>
      </c>
      <c r="BV1569" s="1"/>
      <c r="BW1569" s="1"/>
      <c r="BX1569" s="1"/>
      <c r="BY1569" s="1"/>
      <c r="BZ1569" s="1">
        <v>0</v>
      </c>
      <c r="CA1569" s="1" t="s">
        <v>109</v>
      </c>
      <c r="CB1569" s="1" t="s">
        <v>109</v>
      </c>
      <c r="CC1569" s="1" t="s">
        <v>109</v>
      </c>
      <c r="CD1569" s="1" t="s">
        <v>109</v>
      </c>
      <c r="CE1569" s="1" t="s">
        <v>109</v>
      </c>
      <c r="CF1569" s="1" t="s">
        <v>109</v>
      </c>
      <c r="CG1569" s="1" t="s">
        <v>109</v>
      </c>
      <c r="CH1569" s="1" t="s">
        <v>109</v>
      </c>
      <c r="CI1569" s="1" t="s">
        <v>109</v>
      </c>
      <c r="CJ1569" s="1" t="s">
        <v>109</v>
      </c>
      <c r="CK1569" s="1"/>
      <c r="CL1569" s="1">
        <v>0</v>
      </c>
      <c r="CM1569" s="1">
        <v>0</v>
      </c>
      <c r="CN1569" s="1">
        <v>0</v>
      </c>
    </row>
    <row r="1570" spans="1:92" ht="14.25" customHeight="1" x14ac:dyDescent="0.15">
      <c r="A1570" s="1" t="s">
        <v>11956</v>
      </c>
      <c r="B1570" s="1" t="s">
        <v>584</v>
      </c>
      <c r="C1570" s="1"/>
      <c r="D1570" s="1" t="s">
        <v>2660</v>
      </c>
      <c r="E1570" s="1" t="s">
        <v>11957</v>
      </c>
      <c r="F1570" s="1" t="s">
        <v>98</v>
      </c>
      <c r="G1570" s="1" t="s">
        <v>141</v>
      </c>
      <c r="H1570" s="1">
        <v>0</v>
      </c>
      <c r="I1570" s="1" t="s">
        <v>1192</v>
      </c>
      <c r="J1570" s="1" t="s">
        <v>726</v>
      </c>
      <c r="K1570" s="1"/>
      <c r="L1570" s="1"/>
      <c r="M1570" s="1" t="s">
        <v>144</v>
      </c>
      <c r="N1570" s="1">
        <v>0</v>
      </c>
      <c r="O1570" s="1">
        <v>0</v>
      </c>
      <c r="P1570" s="1" t="s">
        <v>267</v>
      </c>
      <c r="Q1570" s="1" t="s">
        <v>268</v>
      </c>
      <c r="R1570" s="1" t="s">
        <v>11958</v>
      </c>
      <c r="S1570" s="1" t="s">
        <v>11959</v>
      </c>
      <c r="T1570" s="1" t="s">
        <v>11939</v>
      </c>
      <c r="U1570" s="1" t="s">
        <v>11960</v>
      </c>
      <c r="V1570" s="1">
        <v>1</v>
      </c>
      <c r="W1570" s="1">
        <v>1</v>
      </c>
      <c r="X1570" s="1">
        <v>0</v>
      </c>
      <c r="Y1570" s="1">
        <v>0</v>
      </c>
      <c r="Z1570" s="1">
        <v>0</v>
      </c>
      <c r="AA1570" s="1">
        <v>7</v>
      </c>
      <c r="AB1570" s="1">
        <v>7</v>
      </c>
      <c r="AC1570" s="1">
        <v>7</v>
      </c>
      <c r="AD1570" s="1" t="s">
        <v>109</v>
      </c>
      <c r="AE1570" s="1" t="s">
        <v>109</v>
      </c>
      <c r="AF1570" s="1">
        <v>5</v>
      </c>
      <c r="AG1570" s="1">
        <v>4</v>
      </c>
      <c r="AH1570" s="1" t="s">
        <v>109</v>
      </c>
      <c r="AI1570" s="1" t="s">
        <v>109</v>
      </c>
      <c r="AJ1570" s="1" t="s">
        <v>109</v>
      </c>
      <c r="AK1570" s="1" t="s">
        <v>109</v>
      </c>
      <c r="AL1570" s="1">
        <v>7</v>
      </c>
      <c r="AM1570" s="1" t="s">
        <v>109</v>
      </c>
      <c r="AN1570" s="1" t="s">
        <v>109</v>
      </c>
      <c r="AO1570" s="1" t="s">
        <v>109</v>
      </c>
      <c r="AP1570" s="1"/>
      <c r="AQ1570" s="1">
        <v>7</v>
      </c>
      <c r="AR1570" s="1"/>
      <c r="AS1570" s="1"/>
      <c r="AT1570" s="1">
        <v>0</v>
      </c>
      <c r="AU1570" s="1">
        <v>0</v>
      </c>
      <c r="AV1570" s="1">
        <v>0</v>
      </c>
      <c r="AW1570" s="1">
        <v>0</v>
      </c>
      <c r="AX1570" s="1">
        <v>0</v>
      </c>
      <c r="AY1570" s="1">
        <v>0</v>
      </c>
      <c r="AZ1570" s="1">
        <v>0</v>
      </c>
      <c r="BA1570" s="1">
        <v>0</v>
      </c>
      <c r="BB1570" s="1">
        <v>0</v>
      </c>
      <c r="BC1570" s="1">
        <v>0</v>
      </c>
      <c r="BD1570" s="1">
        <v>0</v>
      </c>
      <c r="BE1570" s="1">
        <v>0</v>
      </c>
      <c r="BF1570" s="1">
        <v>0</v>
      </c>
      <c r="BG1570" s="1">
        <v>0</v>
      </c>
      <c r="BH1570" s="1">
        <v>0</v>
      </c>
      <c r="BI1570" s="1">
        <v>1</v>
      </c>
      <c r="BJ1570" s="1">
        <v>0</v>
      </c>
      <c r="BK1570" s="1">
        <v>0</v>
      </c>
      <c r="BL1570" s="1">
        <v>0</v>
      </c>
      <c r="BM1570" s="1">
        <v>0</v>
      </c>
      <c r="BN1570" s="1">
        <v>0</v>
      </c>
      <c r="BO1570" s="1">
        <v>0</v>
      </c>
      <c r="BP1570" s="1">
        <v>0</v>
      </c>
      <c r="BQ1570" s="1">
        <v>1</v>
      </c>
      <c r="BR1570" s="1">
        <v>0</v>
      </c>
      <c r="BS1570" s="1" t="s">
        <v>109</v>
      </c>
      <c r="BT1570" s="1">
        <v>1636</v>
      </c>
      <c r="BU1570" s="1" t="s">
        <v>109</v>
      </c>
      <c r="BV1570" s="1"/>
      <c r="BW1570" s="1"/>
      <c r="BX1570" s="1"/>
      <c r="BY1570" s="1"/>
      <c r="BZ1570" s="1">
        <v>0</v>
      </c>
      <c r="CA1570" s="1" t="s">
        <v>109</v>
      </c>
      <c r="CB1570" s="1" t="s">
        <v>109</v>
      </c>
      <c r="CC1570" s="1" t="s">
        <v>109</v>
      </c>
      <c r="CD1570" s="1" t="s">
        <v>109</v>
      </c>
      <c r="CE1570" s="1" t="s">
        <v>109</v>
      </c>
      <c r="CF1570" s="1" t="s">
        <v>109</v>
      </c>
      <c r="CG1570" s="1" t="s">
        <v>109</v>
      </c>
      <c r="CH1570" s="1" t="s">
        <v>109</v>
      </c>
      <c r="CI1570" s="1" t="s">
        <v>109</v>
      </c>
      <c r="CJ1570" s="1" t="s">
        <v>109</v>
      </c>
      <c r="CK1570" s="1"/>
      <c r="CL1570" s="1">
        <v>0</v>
      </c>
      <c r="CM1570" s="1">
        <v>0</v>
      </c>
      <c r="CN1570" s="1">
        <v>0</v>
      </c>
    </row>
    <row r="1571" spans="1:92" ht="14.25" customHeight="1" x14ac:dyDescent="0.15">
      <c r="A1571" s="1" t="s">
        <v>11961</v>
      </c>
      <c r="B1571" s="1" t="s">
        <v>584</v>
      </c>
      <c r="C1571" s="1"/>
      <c r="D1571" s="1" t="s">
        <v>6874</v>
      </c>
      <c r="E1571" s="1" t="s">
        <v>11030</v>
      </c>
      <c r="F1571" s="1" t="s">
        <v>98</v>
      </c>
      <c r="G1571" s="1" t="s">
        <v>11962</v>
      </c>
      <c r="H1571" s="1">
        <v>0</v>
      </c>
      <c r="I1571" s="1" t="s">
        <v>100</v>
      </c>
      <c r="J1571" s="1" t="s">
        <v>8030</v>
      </c>
      <c r="K1571" s="1"/>
      <c r="L1571" s="1"/>
      <c r="M1571" s="1" t="s">
        <v>144</v>
      </c>
      <c r="N1571" s="1">
        <v>0</v>
      </c>
      <c r="O1571" s="1">
        <v>0</v>
      </c>
      <c r="P1571" s="1" t="s">
        <v>4647</v>
      </c>
      <c r="Q1571" s="1" t="s">
        <v>268</v>
      </c>
      <c r="R1571" s="1" t="s">
        <v>11963</v>
      </c>
      <c r="S1571" s="1" t="s">
        <v>11964</v>
      </c>
      <c r="T1571" s="1" t="s">
        <v>11939</v>
      </c>
      <c r="U1571" s="1" t="s">
        <v>11965</v>
      </c>
      <c r="V1571" s="1">
        <v>1</v>
      </c>
      <c r="W1571" s="1">
        <v>1</v>
      </c>
      <c r="X1571" s="1">
        <v>1</v>
      </c>
      <c r="Y1571" s="1">
        <v>0</v>
      </c>
      <c r="Z1571" s="1">
        <v>1</v>
      </c>
      <c r="AA1571" s="1">
        <v>2</v>
      </c>
      <c r="AB1571" s="1">
        <v>2</v>
      </c>
      <c r="AC1571" s="1">
        <v>2</v>
      </c>
      <c r="AD1571" s="1">
        <v>2</v>
      </c>
      <c r="AE1571" s="1" t="s">
        <v>109</v>
      </c>
      <c r="AF1571" s="1" t="s">
        <v>109</v>
      </c>
      <c r="AG1571" s="1" t="s">
        <v>109</v>
      </c>
      <c r="AH1571" s="1" t="s">
        <v>109</v>
      </c>
      <c r="AI1571" s="1" t="s">
        <v>109</v>
      </c>
      <c r="AJ1571" s="1" t="s">
        <v>109</v>
      </c>
      <c r="AK1571" s="1" t="s">
        <v>109</v>
      </c>
      <c r="AL1571" s="1">
        <v>2</v>
      </c>
      <c r="AM1571" s="1" t="s">
        <v>109</v>
      </c>
      <c r="AN1571" s="1" t="s">
        <v>109</v>
      </c>
      <c r="AO1571" s="1" t="s">
        <v>109</v>
      </c>
      <c r="AP1571" s="1"/>
      <c r="AQ1571" s="1">
        <v>2</v>
      </c>
      <c r="AR1571" s="1"/>
      <c r="AS1571" s="1"/>
      <c r="AT1571" s="1">
        <v>0</v>
      </c>
      <c r="AU1571" s="1">
        <v>0</v>
      </c>
      <c r="AV1571" s="1">
        <v>0</v>
      </c>
      <c r="AW1571" s="1">
        <v>0</v>
      </c>
      <c r="AX1571" s="1">
        <v>0</v>
      </c>
      <c r="AY1571" s="1">
        <v>0</v>
      </c>
      <c r="AZ1571" s="1">
        <v>0</v>
      </c>
      <c r="BA1571" s="1">
        <v>0</v>
      </c>
      <c r="BB1571" s="1">
        <v>0</v>
      </c>
      <c r="BC1571" s="1">
        <v>0</v>
      </c>
      <c r="BD1571" s="1">
        <v>0</v>
      </c>
      <c r="BE1571" s="1">
        <v>0</v>
      </c>
      <c r="BF1571" s="1">
        <v>0</v>
      </c>
      <c r="BG1571" s="1">
        <v>0</v>
      </c>
      <c r="BH1571" s="1">
        <v>0</v>
      </c>
      <c r="BI1571" s="1">
        <v>1</v>
      </c>
      <c r="BJ1571" s="1">
        <v>0</v>
      </c>
      <c r="BK1571" s="1">
        <v>0</v>
      </c>
      <c r="BL1571" s="1">
        <v>1</v>
      </c>
      <c r="BM1571" s="1">
        <v>0</v>
      </c>
      <c r="BN1571" s="1">
        <v>0</v>
      </c>
      <c r="BO1571" s="1">
        <v>0</v>
      </c>
      <c r="BP1571" s="1">
        <v>0</v>
      </c>
      <c r="BQ1571" s="1">
        <v>0</v>
      </c>
      <c r="BR1571" s="1">
        <v>0</v>
      </c>
      <c r="BS1571" s="1" t="s">
        <v>109</v>
      </c>
      <c r="BT1571" s="1">
        <v>1637</v>
      </c>
      <c r="BU1571" s="1" t="s">
        <v>109</v>
      </c>
      <c r="BV1571" s="1"/>
      <c r="BW1571" s="1"/>
      <c r="BX1571" s="1"/>
      <c r="BY1571" s="1"/>
      <c r="BZ1571" s="1">
        <v>0</v>
      </c>
      <c r="CA1571" s="1" t="s">
        <v>109</v>
      </c>
      <c r="CB1571" s="1" t="s">
        <v>109</v>
      </c>
      <c r="CC1571" s="1" t="s">
        <v>109</v>
      </c>
      <c r="CD1571" s="1" t="s">
        <v>109</v>
      </c>
      <c r="CE1571" s="1" t="s">
        <v>109</v>
      </c>
      <c r="CF1571" s="1" t="s">
        <v>109</v>
      </c>
      <c r="CG1571" s="1" t="s">
        <v>109</v>
      </c>
      <c r="CH1571" s="1" t="s">
        <v>109</v>
      </c>
      <c r="CI1571" s="1" t="s">
        <v>109</v>
      </c>
      <c r="CJ1571" s="1">
        <v>2</v>
      </c>
      <c r="CK1571" s="1"/>
      <c r="CL1571" s="1">
        <v>0</v>
      </c>
      <c r="CM1571" s="1">
        <v>0</v>
      </c>
      <c r="CN1571" s="1">
        <v>0</v>
      </c>
    </row>
    <row r="1572" spans="1:92" ht="14.25" customHeight="1" x14ac:dyDescent="0.15">
      <c r="A1572" s="1" t="s">
        <v>11966</v>
      </c>
      <c r="B1572" s="1" t="s">
        <v>95</v>
      </c>
      <c r="C1572" s="1" t="s">
        <v>96</v>
      </c>
      <c r="D1572" s="1" t="s">
        <v>61</v>
      </c>
      <c r="E1572" s="1" t="s">
        <v>11967</v>
      </c>
      <c r="F1572" s="1" t="s">
        <v>98</v>
      </c>
      <c r="G1572" s="1" t="s">
        <v>11968</v>
      </c>
      <c r="H1572" s="1">
        <v>0</v>
      </c>
      <c r="I1572" s="1" t="s">
        <v>11969</v>
      </c>
      <c r="J1572" s="1"/>
      <c r="K1572" s="1"/>
      <c r="L1572" s="1" t="s">
        <v>1391</v>
      </c>
      <c r="M1572" s="1" t="s">
        <v>574</v>
      </c>
      <c r="N1572" s="1">
        <v>1</v>
      </c>
      <c r="O1572" s="1">
        <v>0</v>
      </c>
      <c r="P1572" s="1" t="s">
        <v>2092</v>
      </c>
      <c r="Q1572" s="1" t="s">
        <v>104</v>
      </c>
      <c r="R1572" s="1" t="s">
        <v>11970</v>
      </c>
      <c r="S1572" s="1" t="s">
        <v>11971</v>
      </c>
      <c r="T1572" s="1" t="s">
        <v>11939</v>
      </c>
      <c r="U1572" s="1" t="s">
        <v>11972</v>
      </c>
      <c r="V1572" s="1">
        <v>1</v>
      </c>
      <c r="W1572" s="1">
        <v>1</v>
      </c>
      <c r="X1572" s="1">
        <v>0</v>
      </c>
      <c r="Y1572" s="1">
        <v>0</v>
      </c>
      <c r="Z1572" s="1">
        <v>0</v>
      </c>
      <c r="AA1572" s="1">
        <v>6</v>
      </c>
      <c r="AB1572" s="1">
        <v>6</v>
      </c>
      <c r="AC1572" s="1">
        <v>6</v>
      </c>
      <c r="AD1572" s="1" t="s">
        <v>109</v>
      </c>
      <c r="AE1572" s="1" t="s">
        <v>109</v>
      </c>
      <c r="AF1572" s="1" t="s">
        <v>109</v>
      </c>
      <c r="AG1572" s="1">
        <v>4</v>
      </c>
      <c r="AH1572" s="1" t="s">
        <v>109</v>
      </c>
      <c r="AI1572" s="1" t="s">
        <v>109</v>
      </c>
      <c r="AJ1572" s="1" t="s">
        <v>109</v>
      </c>
      <c r="AK1572" s="1">
        <v>5</v>
      </c>
      <c r="AL1572" s="1">
        <v>6</v>
      </c>
      <c r="AM1572" s="1" t="s">
        <v>109</v>
      </c>
      <c r="AN1572" s="1" t="s">
        <v>109</v>
      </c>
      <c r="AO1572" s="1" t="s">
        <v>109</v>
      </c>
      <c r="AP1572" s="1"/>
      <c r="AQ1572" s="1">
        <v>6</v>
      </c>
      <c r="AR1572" s="1"/>
      <c r="AS1572" s="1"/>
      <c r="AT1572" s="1">
        <v>0</v>
      </c>
      <c r="AU1572" s="1">
        <v>0</v>
      </c>
      <c r="AV1572" s="1">
        <v>0</v>
      </c>
      <c r="AW1572" s="1">
        <v>0</v>
      </c>
      <c r="AX1572" s="1">
        <v>0</v>
      </c>
      <c r="AY1572" s="1">
        <v>0</v>
      </c>
      <c r="AZ1572" s="1">
        <v>0</v>
      </c>
      <c r="BA1572" s="1">
        <v>0</v>
      </c>
      <c r="BB1572" s="1">
        <v>0</v>
      </c>
      <c r="BC1572" s="1">
        <v>0</v>
      </c>
      <c r="BD1572" s="1">
        <v>0</v>
      </c>
      <c r="BE1572" s="1">
        <v>0</v>
      </c>
      <c r="BF1572" s="1">
        <v>0</v>
      </c>
      <c r="BG1572" s="1">
        <v>0</v>
      </c>
      <c r="BH1572" s="1">
        <v>0</v>
      </c>
      <c r="BI1572" s="1">
        <v>1</v>
      </c>
      <c r="BJ1572" s="1">
        <v>0</v>
      </c>
      <c r="BK1572" s="1">
        <v>0</v>
      </c>
      <c r="BL1572" s="1">
        <v>0</v>
      </c>
      <c r="BM1572" s="1">
        <v>0</v>
      </c>
      <c r="BN1572" s="1">
        <v>0</v>
      </c>
      <c r="BO1572" s="1">
        <v>0</v>
      </c>
      <c r="BP1572" s="1">
        <v>0</v>
      </c>
      <c r="BQ1572" s="1">
        <v>0</v>
      </c>
      <c r="BR1572" s="1">
        <v>0</v>
      </c>
      <c r="BS1572" s="1" t="s">
        <v>109</v>
      </c>
      <c r="BT1572" s="1">
        <v>1638</v>
      </c>
      <c r="BU1572" s="1" t="s">
        <v>109</v>
      </c>
      <c r="BV1572" s="1"/>
      <c r="BW1572" s="1"/>
      <c r="BX1572" s="1"/>
      <c r="BY1572" s="1"/>
      <c r="BZ1572" s="1">
        <v>0</v>
      </c>
      <c r="CA1572" s="1" t="s">
        <v>109</v>
      </c>
      <c r="CB1572" s="1" t="s">
        <v>109</v>
      </c>
      <c r="CC1572" s="1" t="s">
        <v>109</v>
      </c>
      <c r="CD1572" s="1" t="s">
        <v>109</v>
      </c>
      <c r="CE1572" s="1" t="s">
        <v>109</v>
      </c>
      <c r="CF1572" s="1" t="s">
        <v>109</v>
      </c>
      <c r="CG1572" s="1" t="s">
        <v>109</v>
      </c>
      <c r="CH1572" s="1" t="s">
        <v>109</v>
      </c>
      <c r="CI1572" s="1" t="s">
        <v>109</v>
      </c>
      <c r="CJ1572" s="1" t="s">
        <v>109</v>
      </c>
      <c r="CK1572" s="1"/>
      <c r="CL1572" s="1">
        <v>0</v>
      </c>
      <c r="CM1572" s="1">
        <v>0</v>
      </c>
      <c r="CN1572" s="1">
        <v>0</v>
      </c>
    </row>
    <row r="1573" spans="1:92" ht="14.25" customHeight="1" x14ac:dyDescent="0.15">
      <c r="A1573" s="1" t="s">
        <v>11973</v>
      </c>
      <c r="B1573" s="1" t="s">
        <v>156</v>
      </c>
      <c r="C1573" s="1" t="s">
        <v>157</v>
      </c>
      <c r="D1573" s="1" t="s">
        <v>5959</v>
      </c>
      <c r="E1573" s="1" t="s">
        <v>11010</v>
      </c>
      <c r="F1573" s="1" t="s">
        <v>98</v>
      </c>
      <c r="G1573" s="1" t="s">
        <v>160</v>
      </c>
      <c r="H1573" s="1">
        <v>0</v>
      </c>
      <c r="I1573" s="1" t="s">
        <v>161</v>
      </c>
      <c r="J1573" s="1"/>
      <c r="K1573" s="1"/>
      <c r="L1573" s="1" t="s">
        <v>1391</v>
      </c>
      <c r="M1573" s="1" t="s">
        <v>574</v>
      </c>
      <c r="N1573" s="1">
        <v>1</v>
      </c>
      <c r="O1573" s="1">
        <v>0</v>
      </c>
      <c r="P1573" s="1" t="s">
        <v>301</v>
      </c>
      <c r="Q1573" s="1" t="s">
        <v>268</v>
      </c>
      <c r="R1573" s="1" t="s">
        <v>11974</v>
      </c>
      <c r="S1573" s="1" t="s">
        <v>11975</v>
      </c>
      <c r="T1573" s="1" t="s">
        <v>11939</v>
      </c>
      <c r="U1573" s="1" t="s">
        <v>11976</v>
      </c>
      <c r="V1573" s="1">
        <v>1</v>
      </c>
      <c r="W1573" s="1">
        <v>1</v>
      </c>
      <c r="X1573" s="1">
        <v>0</v>
      </c>
      <c r="Y1573" s="1">
        <v>0</v>
      </c>
      <c r="Z1573" s="1">
        <v>1</v>
      </c>
      <c r="AA1573" s="1">
        <v>2</v>
      </c>
      <c r="AB1573" s="1">
        <v>2</v>
      </c>
      <c r="AC1573" s="1">
        <v>2</v>
      </c>
      <c r="AD1573" s="1" t="s">
        <v>109</v>
      </c>
      <c r="AE1573" s="1" t="s">
        <v>109</v>
      </c>
      <c r="AF1573" s="1">
        <v>2</v>
      </c>
      <c r="AG1573" s="1" t="s">
        <v>109</v>
      </c>
      <c r="AH1573" s="1" t="s">
        <v>109</v>
      </c>
      <c r="AI1573" s="1" t="s">
        <v>109</v>
      </c>
      <c r="AJ1573" s="1" t="s">
        <v>109</v>
      </c>
      <c r="AK1573" s="1" t="s">
        <v>109</v>
      </c>
      <c r="AL1573" s="1">
        <v>2</v>
      </c>
      <c r="AM1573" s="1" t="s">
        <v>109</v>
      </c>
      <c r="AN1573" s="1" t="s">
        <v>109</v>
      </c>
      <c r="AO1573" s="1" t="s">
        <v>109</v>
      </c>
      <c r="AP1573" s="1"/>
      <c r="AQ1573" s="1">
        <v>2</v>
      </c>
      <c r="AR1573" s="1"/>
      <c r="AS1573" s="1"/>
      <c r="AT1573" s="1">
        <v>0</v>
      </c>
      <c r="AU1573" s="1">
        <v>0</v>
      </c>
      <c r="AV1573" s="1">
        <v>0</v>
      </c>
      <c r="AW1573" s="1">
        <v>0</v>
      </c>
      <c r="AX1573" s="1">
        <v>0</v>
      </c>
      <c r="AY1573" s="1">
        <v>0</v>
      </c>
      <c r="AZ1573" s="1">
        <v>0</v>
      </c>
      <c r="BA1573" s="1">
        <v>0</v>
      </c>
      <c r="BB1573" s="1">
        <v>0</v>
      </c>
      <c r="BC1573" s="1">
        <v>0</v>
      </c>
      <c r="BD1573" s="1">
        <v>0</v>
      </c>
      <c r="BE1573" s="1">
        <v>0</v>
      </c>
      <c r="BF1573" s="1">
        <v>0</v>
      </c>
      <c r="BG1573" s="1">
        <v>0</v>
      </c>
      <c r="BH1573" s="1">
        <v>0</v>
      </c>
      <c r="BI1573" s="1">
        <v>1</v>
      </c>
      <c r="BJ1573" s="1">
        <v>0</v>
      </c>
      <c r="BK1573" s="1">
        <v>0</v>
      </c>
      <c r="BL1573" s="1">
        <v>0</v>
      </c>
      <c r="BM1573" s="1">
        <v>1</v>
      </c>
      <c r="BN1573" s="1">
        <v>0</v>
      </c>
      <c r="BO1573" s="1">
        <v>0</v>
      </c>
      <c r="BP1573" s="1">
        <v>0</v>
      </c>
      <c r="BQ1573" s="1">
        <v>0</v>
      </c>
      <c r="BR1573" s="1">
        <v>0</v>
      </c>
      <c r="BS1573" s="1" t="s">
        <v>109</v>
      </c>
      <c r="BT1573" s="1">
        <v>1639</v>
      </c>
      <c r="BU1573" s="1" t="s">
        <v>109</v>
      </c>
      <c r="BV1573" s="1"/>
      <c r="BW1573" s="1"/>
      <c r="BX1573" s="1"/>
      <c r="BY1573" s="1"/>
      <c r="BZ1573" s="1">
        <v>0</v>
      </c>
      <c r="CA1573" s="1" t="s">
        <v>109</v>
      </c>
      <c r="CB1573" s="1" t="s">
        <v>109</v>
      </c>
      <c r="CC1573" s="1" t="s">
        <v>109</v>
      </c>
      <c r="CD1573" s="1" t="s">
        <v>109</v>
      </c>
      <c r="CE1573" s="1" t="s">
        <v>109</v>
      </c>
      <c r="CF1573" s="1" t="s">
        <v>109</v>
      </c>
      <c r="CG1573" s="1" t="s">
        <v>109</v>
      </c>
      <c r="CH1573" s="1" t="s">
        <v>109</v>
      </c>
      <c r="CI1573" s="1" t="s">
        <v>109</v>
      </c>
      <c r="CJ1573" s="1" t="s">
        <v>109</v>
      </c>
      <c r="CK1573" s="1"/>
      <c r="CL1573" s="1">
        <v>0</v>
      </c>
      <c r="CM1573" s="1">
        <v>0</v>
      </c>
      <c r="CN1573" s="1">
        <v>0</v>
      </c>
    </row>
    <row r="1574" spans="1:92" ht="14.25" customHeight="1" x14ac:dyDescent="0.15">
      <c r="A1574" s="1" t="s">
        <v>11977</v>
      </c>
      <c r="B1574" s="1" t="s">
        <v>156</v>
      </c>
      <c r="C1574" s="1" t="s">
        <v>157</v>
      </c>
      <c r="D1574" s="1" t="s">
        <v>5959</v>
      </c>
      <c r="E1574" s="1" t="s">
        <v>11978</v>
      </c>
      <c r="F1574" s="1" t="s">
        <v>98</v>
      </c>
      <c r="G1574" s="1" t="s">
        <v>141</v>
      </c>
      <c r="H1574" s="1">
        <v>0</v>
      </c>
      <c r="I1574" s="1" t="s">
        <v>1192</v>
      </c>
      <c r="J1574" s="1" t="s">
        <v>5961</v>
      </c>
      <c r="K1574" s="1"/>
      <c r="L1574" s="1"/>
      <c r="M1574" s="1" t="s">
        <v>574</v>
      </c>
      <c r="N1574" s="1">
        <v>1</v>
      </c>
      <c r="O1574" s="1">
        <v>0</v>
      </c>
      <c r="P1574" s="1" t="s">
        <v>301</v>
      </c>
      <c r="Q1574" s="1" t="s">
        <v>268</v>
      </c>
      <c r="R1574" s="1" t="s">
        <v>11979</v>
      </c>
      <c r="S1574" s="1" t="s">
        <v>11980</v>
      </c>
      <c r="T1574" s="1" t="s">
        <v>11939</v>
      </c>
      <c r="U1574" s="1" t="s">
        <v>11981</v>
      </c>
      <c r="V1574" s="1">
        <v>1</v>
      </c>
      <c r="W1574" s="1">
        <v>1</v>
      </c>
      <c r="X1574" s="1">
        <v>0</v>
      </c>
      <c r="Y1574" s="1">
        <v>0</v>
      </c>
      <c r="Z1574" s="1">
        <v>0</v>
      </c>
      <c r="AA1574" s="1" t="s">
        <v>109</v>
      </c>
      <c r="AB1574" s="1" t="s">
        <v>109</v>
      </c>
      <c r="AC1574" s="1">
        <v>5</v>
      </c>
      <c r="AD1574" s="1" t="s">
        <v>109</v>
      </c>
      <c r="AE1574" s="1" t="s">
        <v>109</v>
      </c>
      <c r="AF1574" s="1">
        <v>5</v>
      </c>
      <c r="AG1574" s="1" t="s">
        <v>109</v>
      </c>
      <c r="AH1574" s="1" t="s">
        <v>109</v>
      </c>
      <c r="AI1574" s="1" t="s">
        <v>109</v>
      </c>
      <c r="AJ1574" s="1" t="s">
        <v>109</v>
      </c>
      <c r="AK1574" s="1" t="s">
        <v>109</v>
      </c>
      <c r="AL1574" s="1">
        <v>5</v>
      </c>
      <c r="AM1574" s="1" t="s">
        <v>109</v>
      </c>
      <c r="AN1574" s="1" t="s">
        <v>109</v>
      </c>
      <c r="AO1574" s="1" t="s">
        <v>109</v>
      </c>
      <c r="AP1574" s="1"/>
      <c r="AQ1574" s="1">
        <v>5</v>
      </c>
      <c r="AR1574" s="1"/>
      <c r="AS1574" s="1"/>
      <c r="AT1574" s="1">
        <v>0</v>
      </c>
      <c r="AU1574" s="1">
        <v>0</v>
      </c>
      <c r="AV1574" s="1">
        <v>0</v>
      </c>
      <c r="AW1574" s="1">
        <v>0</v>
      </c>
      <c r="AX1574" s="1">
        <v>0</v>
      </c>
      <c r="AY1574" s="1">
        <v>0</v>
      </c>
      <c r="AZ1574" s="1">
        <v>0</v>
      </c>
      <c r="BA1574" s="1">
        <v>0</v>
      </c>
      <c r="BB1574" s="1">
        <v>0</v>
      </c>
      <c r="BC1574" s="1">
        <v>0</v>
      </c>
      <c r="BD1574" s="1">
        <v>0</v>
      </c>
      <c r="BE1574" s="1">
        <v>0</v>
      </c>
      <c r="BF1574" s="1">
        <v>0</v>
      </c>
      <c r="BG1574" s="1">
        <v>0</v>
      </c>
      <c r="BH1574" s="1">
        <v>0</v>
      </c>
      <c r="BI1574" s="1">
        <v>1</v>
      </c>
      <c r="BJ1574" s="1">
        <v>0</v>
      </c>
      <c r="BK1574" s="1">
        <v>0</v>
      </c>
      <c r="BL1574" s="1">
        <v>0</v>
      </c>
      <c r="BM1574" s="1">
        <v>1</v>
      </c>
      <c r="BN1574" s="1">
        <v>0</v>
      </c>
      <c r="BO1574" s="1">
        <v>0</v>
      </c>
      <c r="BP1574" s="1">
        <v>0</v>
      </c>
      <c r="BQ1574" s="1">
        <v>0</v>
      </c>
      <c r="BR1574" s="1">
        <v>0</v>
      </c>
      <c r="BS1574" s="1" t="s">
        <v>109</v>
      </c>
      <c r="BT1574" s="1">
        <v>1640</v>
      </c>
      <c r="BU1574" s="1" t="s">
        <v>109</v>
      </c>
      <c r="BV1574" s="1"/>
      <c r="BW1574" s="1"/>
      <c r="BX1574" s="1"/>
      <c r="BY1574" s="1"/>
      <c r="BZ1574" s="1">
        <v>0</v>
      </c>
      <c r="CA1574" s="1" t="s">
        <v>109</v>
      </c>
      <c r="CB1574" s="1" t="s">
        <v>109</v>
      </c>
      <c r="CC1574" s="1" t="s">
        <v>109</v>
      </c>
      <c r="CD1574" s="1" t="s">
        <v>109</v>
      </c>
      <c r="CE1574" s="1" t="s">
        <v>109</v>
      </c>
      <c r="CF1574" s="1" t="s">
        <v>109</v>
      </c>
      <c r="CG1574" s="1" t="s">
        <v>109</v>
      </c>
      <c r="CH1574" s="1" t="s">
        <v>109</v>
      </c>
      <c r="CI1574" s="1" t="s">
        <v>109</v>
      </c>
      <c r="CJ1574" s="1" t="s">
        <v>109</v>
      </c>
      <c r="CK1574" s="1"/>
      <c r="CL1574" s="1">
        <v>0</v>
      </c>
      <c r="CM1574" s="1">
        <v>0</v>
      </c>
      <c r="CN1574" s="1">
        <v>0</v>
      </c>
    </row>
    <row r="1575" spans="1:92" ht="14.25" customHeight="1" x14ac:dyDescent="0.15">
      <c r="A1575" s="1" t="s">
        <v>11982</v>
      </c>
      <c r="B1575" s="1" t="s">
        <v>242</v>
      </c>
      <c r="C1575" s="1"/>
      <c r="D1575" s="1" t="s">
        <v>61</v>
      </c>
      <c r="E1575" s="1" t="s">
        <v>11983</v>
      </c>
      <c r="F1575" s="1" t="s">
        <v>98</v>
      </c>
      <c r="G1575" s="1" t="s">
        <v>141</v>
      </c>
      <c r="H1575" s="1">
        <v>0</v>
      </c>
      <c r="I1575" s="1" t="s">
        <v>600</v>
      </c>
      <c r="J1575" s="1" t="s">
        <v>11984</v>
      </c>
      <c r="K1575" s="1"/>
      <c r="L1575" s="1"/>
      <c r="M1575" s="1" t="s">
        <v>574</v>
      </c>
      <c r="N1575" s="1">
        <v>1</v>
      </c>
      <c r="O1575" s="1">
        <v>0</v>
      </c>
      <c r="P1575" s="1" t="s">
        <v>301</v>
      </c>
      <c r="Q1575" s="1" t="s">
        <v>268</v>
      </c>
      <c r="R1575" s="1" t="s">
        <v>11985</v>
      </c>
      <c r="S1575" s="1" t="s">
        <v>11986</v>
      </c>
      <c r="T1575" s="1" t="s">
        <v>11939</v>
      </c>
      <c r="U1575" s="1" t="s">
        <v>11987</v>
      </c>
      <c r="V1575" s="1">
        <v>1</v>
      </c>
      <c r="W1575" s="1">
        <v>1</v>
      </c>
      <c r="X1575" s="1">
        <v>0</v>
      </c>
      <c r="Y1575" s="1">
        <v>0</v>
      </c>
      <c r="Z1575" s="1">
        <v>0</v>
      </c>
      <c r="AA1575" s="1" t="s">
        <v>109</v>
      </c>
      <c r="AB1575" s="1" t="s">
        <v>109</v>
      </c>
      <c r="AC1575" s="1">
        <v>7</v>
      </c>
      <c r="AD1575" s="1" t="s">
        <v>109</v>
      </c>
      <c r="AE1575" s="1" t="s">
        <v>109</v>
      </c>
      <c r="AF1575" s="1">
        <v>6</v>
      </c>
      <c r="AG1575" s="1" t="s">
        <v>109</v>
      </c>
      <c r="AH1575" s="1" t="s">
        <v>109</v>
      </c>
      <c r="AI1575" s="1" t="s">
        <v>109</v>
      </c>
      <c r="AJ1575" s="1" t="s">
        <v>109</v>
      </c>
      <c r="AK1575" s="1" t="s">
        <v>109</v>
      </c>
      <c r="AL1575" s="1">
        <v>7</v>
      </c>
      <c r="AM1575" s="1" t="s">
        <v>109</v>
      </c>
      <c r="AN1575" s="1" t="s">
        <v>109</v>
      </c>
      <c r="AO1575" s="1" t="s">
        <v>109</v>
      </c>
      <c r="AP1575" s="1"/>
      <c r="AQ1575" s="1">
        <v>7</v>
      </c>
      <c r="AR1575" s="1"/>
      <c r="AS1575" s="1"/>
      <c r="AT1575" s="1">
        <v>0</v>
      </c>
      <c r="AU1575" s="1">
        <v>0</v>
      </c>
      <c r="AV1575" s="1">
        <v>0</v>
      </c>
      <c r="AW1575" s="1">
        <v>0</v>
      </c>
      <c r="AX1575" s="1">
        <v>0</v>
      </c>
      <c r="AY1575" s="1">
        <v>0</v>
      </c>
      <c r="AZ1575" s="1">
        <v>0</v>
      </c>
      <c r="BA1575" s="1">
        <v>0</v>
      </c>
      <c r="BB1575" s="1">
        <v>0</v>
      </c>
      <c r="BC1575" s="1">
        <v>0</v>
      </c>
      <c r="BD1575" s="1">
        <v>0</v>
      </c>
      <c r="BE1575" s="1">
        <v>0</v>
      </c>
      <c r="BF1575" s="1">
        <v>0</v>
      </c>
      <c r="BG1575" s="1">
        <v>0</v>
      </c>
      <c r="BH1575" s="1">
        <v>0</v>
      </c>
      <c r="BI1575" s="1">
        <v>1</v>
      </c>
      <c r="BJ1575" s="1">
        <v>0</v>
      </c>
      <c r="BK1575" s="1">
        <v>0</v>
      </c>
      <c r="BL1575" s="1">
        <v>0</v>
      </c>
      <c r="BM1575" s="1">
        <v>0</v>
      </c>
      <c r="BN1575" s="1">
        <v>0</v>
      </c>
      <c r="BO1575" s="1">
        <v>0</v>
      </c>
      <c r="BP1575" s="1">
        <v>0</v>
      </c>
      <c r="BQ1575" s="1">
        <v>0</v>
      </c>
      <c r="BR1575" s="1">
        <v>0</v>
      </c>
      <c r="BS1575" s="1" t="s">
        <v>109</v>
      </c>
      <c r="BT1575" s="1">
        <v>1641</v>
      </c>
      <c r="BU1575" s="1" t="s">
        <v>109</v>
      </c>
      <c r="BV1575" s="1"/>
      <c r="BW1575" s="1"/>
      <c r="BX1575" s="1"/>
      <c r="BY1575" s="1"/>
      <c r="BZ1575" s="1">
        <v>0</v>
      </c>
      <c r="CA1575" s="1" t="s">
        <v>109</v>
      </c>
      <c r="CB1575" s="1" t="s">
        <v>109</v>
      </c>
      <c r="CC1575" s="1" t="s">
        <v>109</v>
      </c>
      <c r="CD1575" s="1" t="s">
        <v>109</v>
      </c>
      <c r="CE1575" s="1" t="s">
        <v>109</v>
      </c>
      <c r="CF1575" s="1" t="s">
        <v>109</v>
      </c>
      <c r="CG1575" s="1" t="s">
        <v>109</v>
      </c>
      <c r="CH1575" s="1" t="s">
        <v>109</v>
      </c>
      <c r="CI1575" s="1" t="s">
        <v>109</v>
      </c>
      <c r="CJ1575" s="1" t="s">
        <v>109</v>
      </c>
      <c r="CK1575" s="1"/>
      <c r="CL1575" s="1">
        <v>0</v>
      </c>
      <c r="CM1575" s="1">
        <v>0</v>
      </c>
      <c r="CN1575" s="1">
        <v>0</v>
      </c>
    </row>
    <row r="1576" spans="1:92" ht="14.25" customHeight="1" x14ac:dyDescent="0.15">
      <c r="A1576" s="1" t="s">
        <v>11988</v>
      </c>
      <c r="B1576" s="1" t="s">
        <v>308</v>
      </c>
      <c r="C1576" s="1"/>
      <c r="D1576" s="1"/>
      <c r="E1576" s="1" t="s">
        <v>11989</v>
      </c>
      <c r="F1576" s="1" t="s">
        <v>98</v>
      </c>
      <c r="G1576" s="1" t="s">
        <v>141</v>
      </c>
      <c r="H1576" s="1">
        <v>0</v>
      </c>
      <c r="I1576" s="1" t="s">
        <v>122</v>
      </c>
      <c r="J1576" s="1"/>
      <c r="K1576" s="1"/>
      <c r="L1576" s="1" t="s">
        <v>563</v>
      </c>
      <c r="M1576" s="1" t="s">
        <v>125</v>
      </c>
      <c r="N1576" s="1">
        <v>0</v>
      </c>
      <c r="O1576" s="1">
        <v>0</v>
      </c>
      <c r="P1576" s="1" t="s">
        <v>267</v>
      </c>
      <c r="Q1576" s="1" t="s">
        <v>268</v>
      </c>
      <c r="R1576" s="1" t="s">
        <v>11990</v>
      </c>
      <c r="S1576" s="1" t="s">
        <v>11991</v>
      </c>
      <c r="T1576" s="1" t="s">
        <v>11992</v>
      </c>
      <c r="U1576" s="1" t="s">
        <v>11993</v>
      </c>
      <c r="V1576" s="1">
        <v>1</v>
      </c>
      <c r="W1576" s="1">
        <v>1</v>
      </c>
      <c r="X1576" s="1">
        <v>0</v>
      </c>
      <c r="Y1576" s="1">
        <v>0</v>
      </c>
      <c r="Z1576" s="1">
        <v>0</v>
      </c>
      <c r="AA1576" s="1" t="s">
        <v>109</v>
      </c>
      <c r="AB1576" s="1" t="s">
        <v>109</v>
      </c>
      <c r="AC1576" s="1">
        <v>2</v>
      </c>
      <c r="AD1576" s="1" t="s">
        <v>109</v>
      </c>
      <c r="AE1576" s="1" t="s">
        <v>109</v>
      </c>
      <c r="AF1576" s="1" t="s">
        <v>109</v>
      </c>
      <c r="AG1576" s="1" t="s">
        <v>109</v>
      </c>
      <c r="AH1576" s="1" t="s">
        <v>109</v>
      </c>
      <c r="AI1576" s="1" t="s">
        <v>109</v>
      </c>
      <c r="AJ1576" s="1" t="s">
        <v>109</v>
      </c>
      <c r="AK1576" s="1">
        <v>3</v>
      </c>
      <c r="AL1576" s="1">
        <v>2</v>
      </c>
      <c r="AM1576" s="1" t="s">
        <v>109</v>
      </c>
      <c r="AN1576" s="1" t="s">
        <v>109</v>
      </c>
      <c r="AO1576" s="1" t="s">
        <v>109</v>
      </c>
      <c r="AP1576" s="1"/>
      <c r="AQ1576" s="1">
        <v>2</v>
      </c>
      <c r="AR1576" s="1"/>
      <c r="AS1576" s="1"/>
      <c r="AT1576" s="1">
        <v>0</v>
      </c>
      <c r="AU1576" s="1">
        <v>0</v>
      </c>
      <c r="AV1576" s="1">
        <v>0</v>
      </c>
      <c r="AW1576" s="1">
        <v>0</v>
      </c>
      <c r="AX1576" s="1">
        <v>0</v>
      </c>
      <c r="AY1576" s="1">
        <v>0</v>
      </c>
      <c r="AZ1576" s="1">
        <v>0</v>
      </c>
      <c r="BA1576" s="1">
        <v>0</v>
      </c>
      <c r="BB1576" s="1">
        <v>0</v>
      </c>
      <c r="BC1576" s="1">
        <v>0</v>
      </c>
      <c r="BD1576" s="1">
        <v>0</v>
      </c>
      <c r="BE1576" s="1">
        <v>0</v>
      </c>
      <c r="BF1576" s="1">
        <v>0</v>
      </c>
      <c r="BG1576" s="1">
        <v>0</v>
      </c>
      <c r="BH1576" s="1">
        <v>0</v>
      </c>
      <c r="BI1576" s="1">
        <v>0</v>
      </c>
      <c r="BJ1576" s="1">
        <v>0</v>
      </c>
      <c r="BK1576" s="1">
        <v>0</v>
      </c>
      <c r="BL1576" s="1">
        <v>0</v>
      </c>
      <c r="BM1576" s="1">
        <v>0</v>
      </c>
      <c r="BN1576" s="1">
        <v>0</v>
      </c>
      <c r="BO1576" s="1">
        <v>0</v>
      </c>
      <c r="BP1576" s="1">
        <v>0</v>
      </c>
      <c r="BQ1576" s="1">
        <v>0</v>
      </c>
      <c r="BR1576" s="1">
        <v>0</v>
      </c>
      <c r="BS1576" s="1" t="s">
        <v>109</v>
      </c>
      <c r="BT1576" s="1">
        <v>1642</v>
      </c>
      <c r="BU1576" s="1" t="s">
        <v>109</v>
      </c>
      <c r="BV1576" s="1"/>
      <c r="BW1576" s="1"/>
      <c r="BX1576" s="1"/>
      <c r="BY1576" s="1"/>
      <c r="BZ1576" s="1">
        <v>0</v>
      </c>
      <c r="CA1576" s="1" t="s">
        <v>109</v>
      </c>
      <c r="CB1576" s="1" t="s">
        <v>109</v>
      </c>
      <c r="CC1576" s="1" t="s">
        <v>109</v>
      </c>
      <c r="CD1576" s="1" t="s">
        <v>109</v>
      </c>
      <c r="CE1576" s="1" t="s">
        <v>109</v>
      </c>
      <c r="CF1576" s="1" t="s">
        <v>109</v>
      </c>
      <c r="CG1576" s="1" t="s">
        <v>109</v>
      </c>
      <c r="CH1576" s="1" t="s">
        <v>109</v>
      </c>
      <c r="CI1576" s="1" t="s">
        <v>109</v>
      </c>
      <c r="CJ1576" s="1" t="s">
        <v>109</v>
      </c>
      <c r="CK1576" s="1"/>
      <c r="CL1576" s="1">
        <v>0</v>
      </c>
      <c r="CM1576" s="1">
        <v>0</v>
      </c>
      <c r="CN1576" s="1">
        <v>0</v>
      </c>
    </row>
    <row r="1577" spans="1:92" ht="14.25" customHeight="1" x14ac:dyDescent="0.15">
      <c r="A1577" s="1" t="s">
        <v>11994</v>
      </c>
      <c r="B1577" s="1" t="s">
        <v>156</v>
      </c>
      <c r="C1577" s="1" t="s">
        <v>157</v>
      </c>
      <c r="D1577" s="1" t="s">
        <v>158</v>
      </c>
      <c r="E1577" s="1" t="s">
        <v>11995</v>
      </c>
      <c r="F1577" s="1" t="s">
        <v>98</v>
      </c>
      <c r="G1577" s="1" t="s">
        <v>11996</v>
      </c>
      <c r="H1577" s="1">
        <v>0</v>
      </c>
      <c r="I1577" s="1" t="s">
        <v>142</v>
      </c>
      <c r="J1577" s="1"/>
      <c r="K1577" s="1"/>
      <c r="L1577" s="1" t="s">
        <v>836</v>
      </c>
      <c r="M1577" s="1" t="s">
        <v>125</v>
      </c>
      <c r="N1577" s="1">
        <v>0</v>
      </c>
      <c r="O1577" s="1">
        <v>0</v>
      </c>
      <c r="P1577" s="1" t="s">
        <v>301</v>
      </c>
      <c r="Q1577" s="1" t="s">
        <v>268</v>
      </c>
      <c r="R1577" s="1" t="s">
        <v>11997</v>
      </c>
      <c r="S1577" s="1" t="s">
        <v>11998</v>
      </c>
      <c r="T1577" s="1" t="s">
        <v>11992</v>
      </c>
      <c r="U1577" s="1" t="s">
        <v>11999</v>
      </c>
      <c r="V1577" s="1">
        <v>1</v>
      </c>
      <c r="W1577" s="1">
        <v>1</v>
      </c>
      <c r="X1577" s="1">
        <v>0</v>
      </c>
      <c r="Y1577" s="1">
        <v>0</v>
      </c>
      <c r="Z1577" s="1">
        <v>1</v>
      </c>
      <c r="AA1577" s="1">
        <v>3</v>
      </c>
      <c r="AB1577" s="1">
        <v>3</v>
      </c>
      <c r="AC1577" s="1">
        <v>3</v>
      </c>
      <c r="AD1577" s="1" t="s">
        <v>109</v>
      </c>
      <c r="AE1577" s="1" t="s">
        <v>109</v>
      </c>
      <c r="AF1577" s="1">
        <v>2</v>
      </c>
      <c r="AG1577" s="1" t="s">
        <v>109</v>
      </c>
      <c r="AH1577" s="1" t="s">
        <v>109</v>
      </c>
      <c r="AI1577" s="1" t="s">
        <v>109</v>
      </c>
      <c r="AJ1577" s="1">
        <v>3</v>
      </c>
      <c r="AK1577" s="1" t="s">
        <v>109</v>
      </c>
      <c r="AL1577" s="1">
        <v>3</v>
      </c>
      <c r="AM1577" s="1" t="s">
        <v>109</v>
      </c>
      <c r="AN1577" s="1" t="s">
        <v>109</v>
      </c>
      <c r="AO1577" s="1" t="s">
        <v>109</v>
      </c>
      <c r="AP1577" s="1"/>
      <c r="AQ1577" s="1">
        <v>3</v>
      </c>
      <c r="AR1577" s="1"/>
      <c r="AS1577" s="1"/>
      <c r="AT1577" s="1">
        <v>0</v>
      </c>
      <c r="AU1577" s="1">
        <v>0</v>
      </c>
      <c r="AV1577" s="1">
        <v>0</v>
      </c>
      <c r="AW1577" s="1">
        <v>0</v>
      </c>
      <c r="AX1577" s="1">
        <v>0</v>
      </c>
      <c r="AY1577" s="1">
        <v>0</v>
      </c>
      <c r="AZ1577" s="1">
        <v>0</v>
      </c>
      <c r="BA1577" s="1">
        <v>0</v>
      </c>
      <c r="BB1577" s="1">
        <v>0</v>
      </c>
      <c r="BC1577" s="1">
        <v>0</v>
      </c>
      <c r="BD1577" s="1">
        <v>0</v>
      </c>
      <c r="BE1577" s="1">
        <v>0</v>
      </c>
      <c r="BF1577" s="1">
        <v>0</v>
      </c>
      <c r="BG1577" s="1">
        <v>0</v>
      </c>
      <c r="BH1577" s="1">
        <v>0</v>
      </c>
      <c r="BI1577" s="1">
        <v>0</v>
      </c>
      <c r="BJ1577" s="1">
        <v>0</v>
      </c>
      <c r="BK1577" s="1">
        <v>0</v>
      </c>
      <c r="BL1577" s="1">
        <v>0</v>
      </c>
      <c r="BM1577" s="1">
        <v>1</v>
      </c>
      <c r="BN1577" s="1">
        <v>0</v>
      </c>
      <c r="BO1577" s="1">
        <v>0</v>
      </c>
      <c r="BP1577" s="1">
        <v>0</v>
      </c>
      <c r="BQ1577" s="1">
        <v>0</v>
      </c>
      <c r="BR1577" s="1">
        <v>0</v>
      </c>
      <c r="BS1577" s="1" t="s">
        <v>109</v>
      </c>
      <c r="BT1577" s="1">
        <v>1643</v>
      </c>
      <c r="BU1577" s="1" t="s">
        <v>109</v>
      </c>
      <c r="BV1577" s="1"/>
      <c r="BW1577" s="1"/>
      <c r="BX1577" s="1"/>
      <c r="BY1577" s="1"/>
      <c r="BZ1577" s="1">
        <v>0</v>
      </c>
      <c r="CA1577" s="1" t="s">
        <v>109</v>
      </c>
      <c r="CB1577" s="1" t="s">
        <v>109</v>
      </c>
      <c r="CC1577" s="1" t="s">
        <v>109</v>
      </c>
      <c r="CD1577" s="1" t="s">
        <v>109</v>
      </c>
      <c r="CE1577" s="1" t="s">
        <v>109</v>
      </c>
      <c r="CF1577" s="1" t="s">
        <v>109</v>
      </c>
      <c r="CG1577" s="1" t="s">
        <v>109</v>
      </c>
      <c r="CH1577" s="1" t="s">
        <v>109</v>
      </c>
      <c r="CI1577" s="1" t="s">
        <v>109</v>
      </c>
      <c r="CJ1577" s="1" t="s">
        <v>109</v>
      </c>
      <c r="CK1577" s="1"/>
      <c r="CL1577" s="1">
        <v>0</v>
      </c>
      <c r="CM1577" s="1">
        <v>0</v>
      </c>
      <c r="CN1577" s="1">
        <v>0</v>
      </c>
    </row>
    <row r="1578" spans="1:92" ht="14.25" customHeight="1" x14ac:dyDescent="0.15">
      <c r="A1578" s="1" t="s">
        <v>12000</v>
      </c>
      <c r="B1578" s="1" t="s">
        <v>584</v>
      </c>
      <c r="C1578" s="1"/>
      <c r="D1578" s="1" t="s">
        <v>12001</v>
      </c>
      <c r="E1578" s="1" t="s">
        <v>5511</v>
      </c>
      <c r="F1578" s="1" t="s">
        <v>98</v>
      </c>
      <c r="G1578" s="1" t="s">
        <v>12002</v>
      </c>
      <c r="H1578" s="1">
        <v>0</v>
      </c>
      <c r="I1578" s="1" t="s">
        <v>142</v>
      </c>
      <c r="J1578" s="1"/>
      <c r="K1578" s="1" t="s">
        <v>12003</v>
      </c>
      <c r="L1578" s="1"/>
      <c r="M1578" s="1" t="s">
        <v>12004</v>
      </c>
      <c r="N1578" s="1">
        <v>0</v>
      </c>
      <c r="O1578" s="1">
        <v>0</v>
      </c>
      <c r="P1578" s="1" t="s">
        <v>103</v>
      </c>
      <c r="Q1578" s="1" t="s">
        <v>268</v>
      </c>
      <c r="R1578" s="1" t="s">
        <v>12005</v>
      </c>
      <c r="S1578" s="1" t="s">
        <v>12006</v>
      </c>
      <c r="T1578" s="1" t="s">
        <v>11992</v>
      </c>
      <c r="U1578" s="1" t="s">
        <v>12007</v>
      </c>
      <c r="V1578" s="1">
        <v>1</v>
      </c>
      <c r="W1578" s="1">
        <v>1</v>
      </c>
      <c r="X1578" s="1">
        <v>1</v>
      </c>
      <c r="Y1578" s="1">
        <v>0</v>
      </c>
      <c r="Z1578" s="1">
        <v>1</v>
      </c>
      <c r="AA1578" s="1">
        <v>6</v>
      </c>
      <c r="AB1578" s="1">
        <v>6</v>
      </c>
      <c r="AC1578" s="1">
        <v>6</v>
      </c>
      <c r="AD1578" s="1" t="s">
        <v>109</v>
      </c>
      <c r="AE1578" s="1" t="s">
        <v>109</v>
      </c>
      <c r="AF1578" s="1" t="s">
        <v>109</v>
      </c>
      <c r="AG1578" s="1" t="s">
        <v>109</v>
      </c>
      <c r="AH1578" s="1" t="s">
        <v>109</v>
      </c>
      <c r="AI1578" s="1" t="s">
        <v>109</v>
      </c>
      <c r="AJ1578" s="1" t="s">
        <v>109</v>
      </c>
      <c r="AK1578" s="1" t="s">
        <v>109</v>
      </c>
      <c r="AL1578" s="1">
        <v>6</v>
      </c>
      <c r="AM1578" s="1" t="s">
        <v>109</v>
      </c>
      <c r="AN1578" s="1" t="s">
        <v>109</v>
      </c>
      <c r="AO1578" s="1" t="s">
        <v>109</v>
      </c>
      <c r="AP1578" s="1"/>
      <c r="AQ1578" s="1">
        <v>6</v>
      </c>
      <c r="AR1578" s="1"/>
      <c r="AS1578" s="1"/>
      <c r="AT1578" s="1">
        <v>1</v>
      </c>
      <c r="AU1578" s="1">
        <v>0</v>
      </c>
      <c r="AV1578" s="1">
        <v>0</v>
      </c>
      <c r="AW1578" s="1">
        <v>1</v>
      </c>
      <c r="AX1578" s="1">
        <v>0</v>
      </c>
      <c r="AY1578" s="1">
        <v>0</v>
      </c>
      <c r="AZ1578" s="1">
        <v>0</v>
      </c>
      <c r="BA1578" s="1">
        <v>0</v>
      </c>
      <c r="BB1578" s="1">
        <v>0</v>
      </c>
      <c r="BC1578" s="1">
        <v>1</v>
      </c>
      <c r="BD1578" s="1">
        <v>0</v>
      </c>
      <c r="BE1578" s="1">
        <v>0</v>
      </c>
      <c r="BF1578" s="1">
        <v>0</v>
      </c>
      <c r="BG1578" s="1">
        <v>1</v>
      </c>
      <c r="BH1578" s="1">
        <v>0</v>
      </c>
      <c r="BI1578" s="1">
        <v>0</v>
      </c>
      <c r="BJ1578" s="1">
        <v>0</v>
      </c>
      <c r="BK1578" s="1">
        <v>0</v>
      </c>
      <c r="BL1578" s="1">
        <v>0</v>
      </c>
      <c r="BM1578" s="1">
        <v>0</v>
      </c>
      <c r="BN1578" s="1">
        <v>0</v>
      </c>
      <c r="BO1578" s="1">
        <v>0</v>
      </c>
      <c r="BP1578" s="1">
        <v>0</v>
      </c>
      <c r="BQ1578" s="1">
        <v>0</v>
      </c>
      <c r="BR1578" s="1">
        <v>0</v>
      </c>
      <c r="BS1578" s="1" t="s">
        <v>109</v>
      </c>
      <c r="BT1578" s="1">
        <v>1644</v>
      </c>
      <c r="BU1578" s="1" t="s">
        <v>109</v>
      </c>
      <c r="BV1578" s="1"/>
      <c r="BW1578" s="1"/>
      <c r="BX1578" s="1"/>
      <c r="BY1578" s="1"/>
      <c r="BZ1578" s="1">
        <v>0</v>
      </c>
      <c r="CA1578" s="1" t="s">
        <v>109</v>
      </c>
      <c r="CB1578" s="1" t="s">
        <v>109</v>
      </c>
      <c r="CC1578" s="1" t="s">
        <v>109</v>
      </c>
      <c r="CD1578" s="1" t="s">
        <v>109</v>
      </c>
      <c r="CE1578" s="1" t="s">
        <v>109</v>
      </c>
      <c r="CF1578" s="1" t="s">
        <v>109</v>
      </c>
      <c r="CG1578" s="1" t="s">
        <v>109</v>
      </c>
      <c r="CH1578" s="1" t="s">
        <v>109</v>
      </c>
      <c r="CI1578" s="1" t="s">
        <v>109</v>
      </c>
      <c r="CJ1578" s="1" t="s">
        <v>109</v>
      </c>
      <c r="CK1578" s="1"/>
      <c r="CL1578" s="1">
        <v>0</v>
      </c>
      <c r="CM1578" s="1">
        <v>0</v>
      </c>
      <c r="CN1578" s="1">
        <v>0</v>
      </c>
    </row>
    <row r="1579" spans="1:92" ht="14.25" customHeight="1" x14ac:dyDescent="0.15">
      <c r="A1579" s="1" t="s">
        <v>12008</v>
      </c>
      <c r="B1579" s="1" t="s">
        <v>189</v>
      </c>
      <c r="C1579" s="1"/>
      <c r="D1579" s="1"/>
      <c r="E1579" s="1" t="s">
        <v>12009</v>
      </c>
      <c r="F1579" s="1" t="s">
        <v>98</v>
      </c>
      <c r="G1579" s="1" t="s">
        <v>160</v>
      </c>
      <c r="H1579" s="1">
        <v>0</v>
      </c>
      <c r="I1579" s="1" t="s">
        <v>142</v>
      </c>
      <c r="J1579" s="1" t="s">
        <v>573</v>
      </c>
      <c r="K1579" s="1"/>
      <c r="L1579" s="1"/>
      <c r="M1579" s="1" t="s">
        <v>125</v>
      </c>
      <c r="N1579" s="1">
        <v>0</v>
      </c>
      <c r="O1579" s="1">
        <v>0</v>
      </c>
      <c r="P1579" s="1" t="s">
        <v>215</v>
      </c>
      <c r="Q1579" s="1" t="s">
        <v>216</v>
      </c>
      <c r="R1579" s="1" t="s">
        <v>12010</v>
      </c>
      <c r="S1579" s="1" t="s">
        <v>12011</v>
      </c>
      <c r="T1579" s="1" t="s">
        <v>11992</v>
      </c>
      <c r="U1579" s="1" t="s">
        <v>12012</v>
      </c>
      <c r="V1579" s="1">
        <v>1</v>
      </c>
      <c r="W1579" s="1">
        <v>1</v>
      </c>
      <c r="X1579" s="1">
        <v>0</v>
      </c>
      <c r="Y1579" s="1">
        <v>0</v>
      </c>
      <c r="Z1579" s="1">
        <v>1</v>
      </c>
      <c r="AA1579" s="1" t="s">
        <v>109</v>
      </c>
      <c r="AB1579" s="1" t="s">
        <v>109</v>
      </c>
      <c r="AC1579" s="1">
        <v>5</v>
      </c>
      <c r="AD1579" s="1" t="s">
        <v>109</v>
      </c>
      <c r="AE1579" s="1" t="s">
        <v>109</v>
      </c>
      <c r="AF1579" s="1" t="s">
        <v>109</v>
      </c>
      <c r="AG1579" s="1">
        <v>3</v>
      </c>
      <c r="AH1579" s="1" t="s">
        <v>109</v>
      </c>
      <c r="AI1579" s="1" t="s">
        <v>109</v>
      </c>
      <c r="AJ1579" s="1" t="s">
        <v>109</v>
      </c>
      <c r="AK1579" s="1" t="s">
        <v>109</v>
      </c>
      <c r="AL1579" s="1">
        <v>5</v>
      </c>
      <c r="AM1579" s="1" t="s">
        <v>109</v>
      </c>
      <c r="AN1579" s="1" t="s">
        <v>109</v>
      </c>
      <c r="AO1579" s="1" t="s">
        <v>109</v>
      </c>
      <c r="AP1579" s="1"/>
      <c r="AQ1579" s="1">
        <v>5</v>
      </c>
      <c r="AR1579" s="1"/>
      <c r="AS1579" s="1"/>
      <c r="AT1579" s="1">
        <v>0</v>
      </c>
      <c r="AU1579" s="1">
        <v>0</v>
      </c>
      <c r="AV1579" s="1">
        <v>0</v>
      </c>
      <c r="AW1579" s="1">
        <v>0</v>
      </c>
      <c r="AX1579" s="1">
        <v>0</v>
      </c>
      <c r="AY1579" s="1">
        <v>0</v>
      </c>
      <c r="AZ1579" s="1">
        <v>0</v>
      </c>
      <c r="BA1579" s="1">
        <v>0</v>
      </c>
      <c r="BB1579" s="1">
        <v>0</v>
      </c>
      <c r="BC1579" s="1">
        <v>0</v>
      </c>
      <c r="BD1579" s="1">
        <v>0</v>
      </c>
      <c r="BE1579" s="1">
        <v>0</v>
      </c>
      <c r="BF1579" s="1">
        <v>0</v>
      </c>
      <c r="BG1579" s="1">
        <v>0</v>
      </c>
      <c r="BH1579" s="1">
        <v>0</v>
      </c>
      <c r="BI1579" s="1">
        <v>0</v>
      </c>
      <c r="BJ1579" s="1">
        <v>0</v>
      </c>
      <c r="BK1579" s="1">
        <v>0</v>
      </c>
      <c r="BL1579" s="1">
        <v>0</v>
      </c>
      <c r="BM1579" s="1">
        <v>0</v>
      </c>
      <c r="BN1579" s="1">
        <v>0</v>
      </c>
      <c r="BO1579" s="1">
        <v>0</v>
      </c>
      <c r="BP1579" s="1">
        <v>0</v>
      </c>
      <c r="BQ1579" s="1">
        <v>0</v>
      </c>
      <c r="BR1579" s="1">
        <v>0</v>
      </c>
      <c r="BS1579" s="1" t="s">
        <v>109</v>
      </c>
      <c r="BT1579" s="1">
        <v>1645</v>
      </c>
      <c r="BU1579" s="1" t="s">
        <v>109</v>
      </c>
      <c r="BV1579" s="1"/>
      <c r="BW1579" s="1"/>
      <c r="BX1579" s="1"/>
      <c r="BY1579" s="1"/>
      <c r="BZ1579" s="1">
        <v>0</v>
      </c>
      <c r="CA1579" s="1" t="s">
        <v>109</v>
      </c>
      <c r="CB1579" s="1" t="s">
        <v>109</v>
      </c>
      <c r="CC1579" s="1" t="s">
        <v>109</v>
      </c>
      <c r="CD1579" s="1" t="s">
        <v>109</v>
      </c>
      <c r="CE1579" s="1" t="s">
        <v>109</v>
      </c>
      <c r="CF1579" s="1" t="s">
        <v>109</v>
      </c>
      <c r="CG1579" s="1" t="s">
        <v>109</v>
      </c>
      <c r="CH1579" s="1" t="s">
        <v>109</v>
      </c>
      <c r="CI1579" s="1" t="s">
        <v>109</v>
      </c>
      <c r="CJ1579" s="1" t="s">
        <v>109</v>
      </c>
      <c r="CK1579" s="1"/>
      <c r="CL1579" s="1">
        <v>0</v>
      </c>
      <c r="CM1579" s="1">
        <v>0</v>
      </c>
      <c r="CN1579" s="1">
        <v>0</v>
      </c>
    </row>
    <row r="1580" spans="1:92" ht="14.25" customHeight="1" x14ac:dyDescent="0.15">
      <c r="A1580" s="1" t="s">
        <v>12013</v>
      </c>
      <c r="B1580" s="1" t="s">
        <v>95</v>
      </c>
      <c r="C1580" s="1" t="s">
        <v>1179</v>
      </c>
      <c r="D1580" s="1"/>
      <c r="E1580" s="1" t="s">
        <v>12014</v>
      </c>
      <c r="F1580" s="1" t="s">
        <v>355</v>
      </c>
      <c r="G1580" s="1" t="s">
        <v>12015</v>
      </c>
      <c r="H1580" s="1">
        <v>0</v>
      </c>
      <c r="I1580" s="1" t="s">
        <v>122</v>
      </c>
      <c r="J1580" s="1"/>
      <c r="K1580" s="1" t="s">
        <v>12016</v>
      </c>
      <c r="L1580" s="1"/>
      <c r="M1580" s="1" t="s">
        <v>125</v>
      </c>
      <c r="N1580" s="1">
        <v>0</v>
      </c>
      <c r="O1580" s="1">
        <v>0</v>
      </c>
      <c r="P1580" s="1" t="s">
        <v>12017</v>
      </c>
      <c r="Q1580" s="1" t="s">
        <v>104</v>
      </c>
      <c r="R1580" s="1" t="s">
        <v>12018</v>
      </c>
      <c r="S1580" s="1" t="s">
        <v>12019</v>
      </c>
      <c r="T1580" s="1" t="s">
        <v>11992</v>
      </c>
      <c r="U1580" s="1" t="s">
        <v>12020</v>
      </c>
      <c r="V1580" s="1">
        <v>1</v>
      </c>
      <c r="W1580" s="1">
        <v>1</v>
      </c>
      <c r="X1580" s="1">
        <v>1</v>
      </c>
      <c r="Y1580" s="1">
        <v>0</v>
      </c>
      <c r="Z1580" s="1">
        <v>0</v>
      </c>
      <c r="AA1580" s="1" t="s">
        <v>109</v>
      </c>
      <c r="AB1580" s="1" t="s">
        <v>109</v>
      </c>
      <c r="AC1580" s="1">
        <v>6</v>
      </c>
      <c r="AD1580" s="1">
        <v>6</v>
      </c>
      <c r="AE1580" s="1" t="s">
        <v>109</v>
      </c>
      <c r="AF1580" s="1" t="s">
        <v>109</v>
      </c>
      <c r="AG1580" s="1" t="s">
        <v>109</v>
      </c>
      <c r="AH1580" s="1" t="s">
        <v>109</v>
      </c>
      <c r="AI1580" s="1">
        <v>4</v>
      </c>
      <c r="AJ1580" s="1" t="s">
        <v>109</v>
      </c>
      <c r="AK1580" s="1" t="s">
        <v>109</v>
      </c>
      <c r="AL1580" s="1">
        <v>6</v>
      </c>
      <c r="AM1580" s="1" t="s">
        <v>109</v>
      </c>
      <c r="AN1580" s="1" t="s">
        <v>109</v>
      </c>
      <c r="AO1580" s="1" t="s">
        <v>109</v>
      </c>
      <c r="AP1580" s="1"/>
      <c r="AQ1580" s="1">
        <v>6</v>
      </c>
      <c r="AR1580" s="1"/>
      <c r="AS1580" s="1"/>
      <c r="AT1580" s="1">
        <v>0</v>
      </c>
      <c r="AU1580" s="1">
        <v>0</v>
      </c>
      <c r="AV1580" s="1">
        <v>0</v>
      </c>
      <c r="AW1580" s="1">
        <v>0</v>
      </c>
      <c r="AX1580" s="1">
        <v>0</v>
      </c>
      <c r="AY1580" s="1">
        <v>0</v>
      </c>
      <c r="AZ1580" s="1">
        <v>0</v>
      </c>
      <c r="BA1580" s="1">
        <v>0</v>
      </c>
      <c r="BB1580" s="1">
        <v>0</v>
      </c>
      <c r="BC1580" s="1">
        <v>0</v>
      </c>
      <c r="BD1580" s="1">
        <v>0</v>
      </c>
      <c r="BE1580" s="1">
        <v>0</v>
      </c>
      <c r="BF1580" s="1">
        <v>0</v>
      </c>
      <c r="BG1580" s="1">
        <v>0</v>
      </c>
      <c r="BH1580" s="1">
        <v>0</v>
      </c>
      <c r="BI1580" s="1">
        <v>0</v>
      </c>
      <c r="BJ1580" s="1">
        <v>0</v>
      </c>
      <c r="BK1580" s="1">
        <v>0</v>
      </c>
      <c r="BL1580" s="1">
        <v>0</v>
      </c>
      <c r="BM1580" s="1">
        <v>0</v>
      </c>
      <c r="BN1580" s="1">
        <v>0</v>
      </c>
      <c r="BO1580" s="1">
        <v>0</v>
      </c>
      <c r="BP1580" s="1">
        <v>0</v>
      </c>
      <c r="BQ1580" s="1">
        <v>0</v>
      </c>
      <c r="BR1580" s="1">
        <v>0</v>
      </c>
      <c r="BS1580" s="1" t="s">
        <v>109</v>
      </c>
      <c r="BT1580" s="1">
        <v>1646</v>
      </c>
      <c r="BU1580" s="1" t="s">
        <v>109</v>
      </c>
      <c r="BV1580" s="1"/>
      <c r="BW1580" s="1"/>
      <c r="BX1580" s="1"/>
      <c r="BY1580" s="1"/>
      <c r="BZ1580" s="1">
        <v>0</v>
      </c>
      <c r="CA1580" s="1" t="s">
        <v>109</v>
      </c>
      <c r="CB1580" s="1" t="s">
        <v>109</v>
      </c>
      <c r="CC1580" s="1" t="s">
        <v>109</v>
      </c>
      <c r="CD1580" s="1" t="s">
        <v>109</v>
      </c>
      <c r="CE1580" s="1" t="s">
        <v>109</v>
      </c>
      <c r="CF1580" s="1" t="s">
        <v>109</v>
      </c>
      <c r="CG1580" s="1" t="s">
        <v>109</v>
      </c>
      <c r="CH1580" s="1" t="s">
        <v>109</v>
      </c>
      <c r="CI1580" s="1" t="s">
        <v>109</v>
      </c>
      <c r="CJ1580" s="1">
        <v>6</v>
      </c>
      <c r="CK1580" s="1"/>
      <c r="CL1580" s="1">
        <v>0</v>
      </c>
      <c r="CM1580" s="1">
        <v>0</v>
      </c>
      <c r="CN1580" s="1">
        <v>0</v>
      </c>
    </row>
    <row r="1581" spans="1:92" ht="14.25" customHeight="1" x14ac:dyDescent="0.15">
      <c r="A1581" s="1" t="s">
        <v>12021</v>
      </c>
      <c r="B1581" s="1" t="s">
        <v>95</v>
      </c>
      <c r="C1581" s="1"/>
      <c r="D1581" s="1"/>
      <c r="E1581" s="1" t="s">
        <v>12022</v>
      </c>
      <c r="F1581" s="1" t="s">
        <v>395</v>
      </c>
      <c r="G1581" s="1" t="s">
        <v>160</v>
      </c>
      <c r="H1581" s="1">
        <v>0</v>
      </c>
      <c r="I1581" s="1" t="s">
        <v>100</v>
      </c>
      <c r="J1581" s="1" t="s">
        <v>12023</v>
      </c>
      <c r="K1581" s="1"/>
      <c r="L1581" s="1"/>
      <c r="M1581" s="1" t="s">
        <v>815</v>
      </c>
      <c r="N1581" s="1">
        <v>1</v>
      </c>
      <c r="O1581" s="1">
        <v>0</v>
      </c>
      <c r="P1581" s="1" t="s">
        <v>11863</v>
      </c>
      <c r="Q1581" s="1" t="s">
        <v>268</v>
      </c>
      <c r="R1581" s="1" t="s">
        <v>12024</v>
      </c>
      <c r="S1581" s="1" t="s">
        <v>12025</v>
      </c>
      <c r="T1581" s="1" t="s">
        <v>11992</v>
      </c>
      <c r="U1581" s="1" t="s">
        <v>12026</v>
      </c>
      <c r="V1581" s="1">
        <v>1</v>
      </c>
      <c r="W1581" s="1">
        <v>1</v>
      </c>
      <c r="X1581" s="1">
        <v>0</v>
      </c>
      <c r="Y1581" s="1">
        <v>0</v>
      </c>
      <c r="Z1581" s="1">
        <v>1</v>
      </c>
      <c r="AA1581" s="1" t="s">
        <v>109</v>
      </c>
      <c r="AB1581" s="1" t="s">
        <v>109</v>
      </c>
      <c r="AC1581" s="1">
        <v>8</v>
      </c>
      <c r="AD1581" s="1">
        <v>8</v>
      </c>
      <c r="AE1581" s="1" t="s">
        <v>109</v>
      </c>
      <c r="AF1581" s="1" t="s">
        <v>109</v>
      </c>
      <c r="AG1581" s="1" t="s">
        <v>109</v>
      </c>
      <c r="AH1581" s="1" t="s">
        <v>109</v>
      </c>
      <c r="AI1581" s="1" t="s">
        <v>109</v>
      </c>
      <c r="AJ1581" s="1" t="s">
        <v>109</v>
      </c>
      <c r="AK1581" s="1" t="s">
        <v>109</v>
      </c>
      <c r="AL1581" s="1">
        <v>8</v>
      </c>
      <c r="AM1581" s="1" t="s">
        <v>109</v>
      </c>
      <c r="AN1581" s="1" t="s">
        <v>109</v>
      </c>
      <c r="AO1581" s="1" t="s">
        <v>109</v>
      </c>
      <c r="AP1581" s="1"/>
      <c r="AQ1581" s="1">
        <v>8</v>
      </c>
      <c r="AR1581" s="1"/>
      <c r="AS1581" s="1"/>
      <c r="AT1581" s="1">
        <v>0</v>
      </c>
      <c r="AU1581" s="1">
        <v>0</v>
      </c>
      <c r="AV1581" s="1">
        <v>0</v>
      </c>
      <c r="AW1581" s="1">
        <v>0</v>
      </c>
      <c r="AX1581" s="1">
        <v>0</v>
      </c>
      <c r="AY1581" s="1">
        <v>0</v>
      </c>
      <c r="AZ1581" s="1">
        <v>0</v>
      </c>
      <c r="BA1581" s="1">
        <v>0</v>
      </c>
      <c r="BB1581" s="1">
        <v>0</v>
      </c>
      <c r="BC1581" s="1">
        <v>0</v>
      </c>
      <c r="BD1581" s="1">
        <v>0</v>
      </c>
      <c r="BE1581" s="1">
        <v>0</v>
      </c>
      <c r="BF1581" s="1">
        <v>0</v>
      </c>
      <c r="BG1581" s="1">
        <v>0</v>
      </c>
      <c r="BH1581" s="1">
        <v>0</v>
      </c>
      <c r="BI1581" s="1">
        <v>0</v>
      </c>
      <c r="BJ1581" s="1">
        <v>0</v>
      </c>
      <c r="BK1581" s="1">
        <v>0</v>
      </c>
      <c r="BL1581" s="1">
        <v>0</v>
      </c>
      <c r="BM1581" s="1">
        <v>0</v>
      </c>
      <c r="BN1581" s="1">
        <v>0</v>
      </c>
      <c r="BO1581" s="1">
        <v>0</v>
      </c>
      <c r="BP1581" s="1">
        <v>0</v>
      </c>
      <c r="BQ1581" s="1">
        <v>0</v>
      </c>
      <c r="BR1581" s="1">
        <v>0</v>
      </c>
      <c r="BS1581" s="1" t="s">
        <v>109</v>
      </c>
      <c r="BT1581" s="1">
        <v>1647</v>
      </c>
      <c r="BU1581" s="1" t="s">
        <v>109</v>
      </c>
      <c r="BV1581" s="1"/>
      <c r="BW1581" s="1"/>
      <c r="BX1581" s="1"/>
      <c r="BY1581" s="1"/>
      <c r="BZ1581" s="1">
        <v>0</v>
      </c>
      <c r="CA1581" s="1" t="s">
        <v>109</v>
      </c>
      <c r="CB1581" s="1" t="s">
        <v>109</v>
      </c>
      <c r="CC1581" s="1" t="s">
        <v>109</v>
      </c>
      <c r="CD1581" s="1" t="s">
        <v>109</v>
      </c>
      <c r="CE1581" s="1" t="s">
        <v>109</v>
      </c>
      <c r="CF1581" s="1" t="s">
        <v>109</v>
      </c>
      <c r="CG1581" s="1" t="s">
        <v>109</v>
      </c>
      <c r="CH1581" s="1" t="s">
        <v>109</v>
      </c>
      <c r="CI1581" s="1" t="s">
        <v>109</v>
      </c>
      <c r="CJ1581" s="1" t="s">
        <v>109</v>
      </c>
      <c r="CK1581" s="1"/>
      <c r="CL1581" s="1">
        <v>0</v>
      </c>
      <c r="CM1581" s="1">
        <v>0</v>
      </c>
      <c r="CN1581" s="1">
        <v>0</v>
      </c>
    </row>
    <row r="1582" spans="1:92" ht="14.25" customHeight="1" x14ac:dyDescent="0.15">
      <c r="A1582" s="1" t="s">
        <v>12027</v>
      </c>
      <c r="B1582" s="1" t="s">
        <v>308</v>
      </c>
      <c r="C1582" s="1"/>
      <c r="D1582" s="1"/>
      <c r="E1582" s="1" t="s">
        <v>12028</v>
      </c>
      <c r="F1582" s="1" t="s">
        <v>98</v>
      </c>
      <c r="G1582" s="1" t="s">
        <v>12029</v>
      </c>
      <c r="H1582" s="1">
        <v>0</v>
      </c>
      <c r="I1582" s="1" t="s">
        <v>161</v>
      </c>
      <c r="J1582" s="1"/>
      <c r="K1582" s="1"/>
      <c r="L1582" s="1" t="s">
        <v>12030</v>
      </c>
      <c r="M1582" s="1" t="s">
        <v>6144</v>
      </c>
      <c r="N1582" s="1">
        <v>1</v>
      </c>
      <c r="O1582" s="1">
        <v>0</v>
      </c>
      <c r="P1582" s="1" t="s">
        <v>215</v>
      </c>
      <c r="Q1582" s="1" t="s">
        <v>216</v>
      </c>
      <c r="R1582" s="1" t="s">
        <v>12031</v>
      </c>
      <c r="S1582" s="1" t="s">
        <v>12032</v>
      </c>
      <c r="T1582" s="1" t="s">
        <v>12033</v>
      </c>
      <c r="U1582" s="1" t="s">
        <v>12034</v>
      </c>
      <c r="V1582" s="1">
        <v>1</v>
      </c>
      <c r="W1582" s="1">
        <v>1</v>
      </c>
      <c r="X1582" s="1">
        <v>0</v>
      </c>
      <c r="Y1582" s="1">
        <v>0</v>
      </c>
      <c r="Z1582" s="1">
        <v>0</v>
      </c>
      <c r="AA1582" s="1">
        <v>3</v>
      </c>
      <c r="AB1582" s="1">
        <v>3</v>
      </c>
      <c r="AC1582" s="1">
        <v>3</v>
      </c>
      <c r="AD1582" s="1" t="s">
        <v>109</v>
      </c>
      <c r="AE1582" s="1">
        <v>3</v>
      </c>
      <c r="AF1582" s="1" t="s">
        <v>109</v>
      </c>
      <c r="AG1582" s="1" t="s">
        <v>109</v>
      </c>
      <c r="AH1582" s="1" t="s">
        <v>109</v>
      </c>
      <c r="AI1582" s="1" t="s">
        <v>109</v>
      </c>
      <c r="AJ1582" s="1" t="s">
        <v>109</v>
      </c>
      <c r="AK1582" s="1" t="s">
        <v>109</v>
      </c>
      <c r="AL1582" s="1">
        <v>3</v>
      </c>
      <c r="AM1582" s="1">
        <v>3</v>
      </c>
      <c r="AN1582" s="1" t="s">
        <v>109</v>
      </c>
      <c r="AO1582" s="1" t="s">
        <v>109</v>
      </c>
      <c r="AP1582" s="1" t="s">
        <v>12035</v>
      </c>
      <c r="AQ1582" s="1">
        <v>3</v>
      </c>
      <c r="AR1582" s="1"/>
      <c r="AS1582" s="1"/>
      <c r="AT1582" s="1">
        <v>0</v>
      </c>
      <c r="AU1582" s="1">
        <v>0</v>
      </c>
      <c r="AV1582" s="1">
        <v>0</v>
      </c>
      <c r="AW1582" s="1">
        <v>0</v>
      </c>
      <c r="AX1582" s="1">
        <v>0</v>
      </c>
      <c r="AY1582" s="1">
        <v>0</v>
      </c>
      <c r="AZ1582" s="1">
        <v>0</v>
      </c>
      <c r="BA1582" s="1">
        <v>0</v>
      </c>
      <c r="BB1582" s="1">
        <v>0</v>
      </c>
      <c r="BC1582" s="1">
        <v>0</v>
      </c>
      <c r="BD1582" s="1">
        <v>0</v>
      </c>
      <c r="BE1582" s="1">
        <v>0</v>
      </c>
      <c r="BF1582" s="1">
        <v>0</v>
      </c>
      <c r="BG1582" s="1">
        <v>0</v>
      </c>
      <c r="BH1582" s="1">
        <v>0</v>
      </c>
      <c r="BI1582" s="1">
        <v>0</v>
      </c>
      <c r="BJ1582" s="1">
        <v>0</v>
      </c>
      <c r="BK1582" s="1">
        <v>0</v>
      </c>
      <c r="BL1582" s="1">
        <v>0</v>
      </c>
      <c r="BM1582" s="1">
        <v>0</v>
      </c>
      <c r="BN1582" s="1">
        <v>0</v>
      </c>
      <c r="BO1582" s="1">
        <v>0</v>
      </c>
      <c r="BP1582" s="1">
        <v>0</v>
      </c>
      <c r="BQ1582" s="1">
        <v>0</v>
      </c>
      <c r="BR1582" s="1">
        <v>0</v>
      </c>
      <c r="BS1582" s="1" t="s">
        <v>109</v>
      </c>
      <c r="BT1582" s="1">
        <v>1648</v>
      </c>
      <c r="BU1582" s="1" t="s">
        <v>109</v>
      </c>
      <c r="BV1582" s="1"/>
      <c r="BW1582" s="1"/>
      <c r="BX1582" s="1"/>
      <c r="BY1582" s="1"/>
      <c r="BZ1582" s="1">
        <v>0</v>
      </c>
      <c r="CA1582" s="1" t="s">
        <v>109</v>
      </c>
      <c r="CB1582" s="1" t="s">
        <v>109</v>
      </c>
      <c r="CC1582" s="1" t="s">
        <v>109</v>
      </c>
      <c r="CD1582" s="1" t="s">
        <v>109</v>
      </c>
      <c r="CE1582" s="1" t="s">
        <v>109</v>
      </c>
      <c r="CF1582" s="1" t="s">
        <v>109</v>
      </c>
      <c r="CG1582" s="1" t="s">
        <v>109</v>
      </c>
      <c r="CH1582" s="1" t="s">
        <v>109</v>
      </c>
      <c r="CI1582" s="1" t="s">
        <v>109</v>
      </c>
      <c r="CJ1582" s="1">
        <v>3</v>
      </c>
      <c r="CK1582" s="1"/>
      <c r="CL1582" s="1">
        <v>0</v>
      </c>
      <c r="CM1582" s="1">
        <v>0</v>
      </c>
      <c r="CN1582" s="1">
        <v>0</v>
      </c>
    </row>
    <row r="1583" spans="1:92" ht="14.25" customHeight="1" x14ac:dyDescent="0.15">
      <c r="A1583" s="1" t="s">
        <v>12036</v>
      </c>
      <c r="B1583" s="1" t="s">
        <v>308</v>
      </c>
      <c r="C1583" s="1"/>
      <c r="D1583" s="1"/>
      <c r="E1583" s="1" t="s">
        <v>12037</v>
      </c>
      <c r="F1583" s="1" t="s">
        <v>98</v>
      </c>
      <c r="G1583" s="1" t="s">
        <v>141</v>
      </c>
      <c r="H1583" s="1">
        <v>0</v>
      </c>
      <c r="I1583" s="1" t="s">
        <v>12038</v>
      </c>
      <c r="J1583" s="1"/>
      <c r="K1583" s="1"/>
      <c r="L1583" s="1" t="s">
        <v>12039</v>
      </c>
      <c r="M1583" s="1" t="s">
        <v>5642</v>
      </c>
      <c r="N1583" s="1">
        <v>0</v>
      </c>
      <c r="O1583" s="1">
        <v>0</v>
      </c>
      <c r="P1583" s="1" t="s">
        <v>103</v>
      </c>
      <c r="Q1583" s="1" t="s">
        <v>268</v>
      </c>
      <c r="R1583" s="1" t="s">
        <v>12040</v>
      </c>
      <c r="S1583" s="1" t="s">
        <v>12041</v>
      </c>
      <c r="T1583" s="1" t="s">
        <v>12033</v>
      </c>
      <c r="U1583" s="1" t="s">
        <v>12042</v>
      </c>
      <c r="V1583" s="1">
        <v>1</v>
      </c>
      <c r="W1583" s="1">
        <v>1</v>
      </c>
      <c r="X1583" s="1">
        <v>0</v>
      </c>
      <c r="Y1583" s="1">
        <v>0</v>
      </c>
      <c r="Z1583" s="1">
        <v>0</v>
      </c>
      <c r="AA1583" s="1">
        <v>2</v>
      </c>
      <c r="AB1583" s="1">
        <v>2</v>
      </c>
      <c r="AC1583" s="1">
        <v>2</v>
      </c>
      <c r="AD1583" s="1" t="s">
        <v>109</v>
      </c>
      <c r="AE1583" s="1" t="s">
        <v>109</v>
      </c>
      <c r="AF1583" s="1" t="s">
        <v>109</v>
      </c>
      <c r="AG1583" s="1" t="s">
        <v>109</v>
      </c>
      <c r="AH1583" s="1" t="s">
        <v>109</v>
      </c>
      <c r="AI1583" s="1" t="s">
        <v>109</v>
      </c>
      <c r="AJ1583" s="1" t="s">
        <v>109</v>
      </c>
      <c r="AK1583" s="1" t="s">
        <v>109</v>
      </c>
      <c r="AL1583" s="1">
        <v>2</v>
      </c>
      <c r="AM1583" s="1" t="s">
        <v>109</v>
      </c>
      <c r="AN1583" s="1" t="s">
        <v>109</v>
      </c>
      <c r="AO1583" s="1" t="s">
        <v>109</v>
      </c>
      <c r="AP1583" s="1" t="s">
        <v>12035</v>
      </c>
      <c r="AQ1583" s="1">
        <v>2</v>
      </c>
      <c r="AR1583" s="1"/>
      <c r="AS1583" s="1"/>
      <c r="AT1583" s="1">
        <v>0</v>
      </c>
      <c r="AU1583" s="1">
        <v>0</v>
      </c>
      <c r="AV1583" s="1">
        <v>0</v>
      </c>
      <c r="AW1583" s="1">
        <v>0</v>
      </c>
      <c r="AX1583" s="1">
        <v>0</v>
      </c>
      <c r="AY1583" s="1">
        <v>0</v>
      </c>
      <c r="AZ1583" s="1">
        <v>0</v>
      </c>
      <c r="BA1583" s="1">
        <v>0</v>
      </c>
      <c r="BB1583" s="1">
        <v>0</v>
      </c>
      <c r="BC1583" s="1">
        <v>0</v>
      </c>
      <c r="BD1583" s="1">
        <v>0</v>
      </c>
      <c r="BE1583" s="1">
        <v>0</v>
      </c>
      <c r="BF1583" s="1">
        <v>0</v>
      </c>
      <c r="BG1583" s="1">
        <v>0</v>
      </c>
      <c r="BH1583" s="1">
        <v>0</v>
      </c>
      <c r="BI1583" s="1">
        <v>0</v>
      </c>
      <c r="BJ1583" s="1">
        <v>0</v>
      </c>
      <c r="BK1583" s="1">
        <v>0</v>
      </c>
      <c r="BL1583" s="1">
        <v>0</v>
      </c>
      <c r="BM1583" s="1">
        <v>0</v>
      </c>
      <c r="BN1583" s="1">
        <v>0</v>
      </c>
      <c r="BO1583" s="1">
        <v>0</v>
      </c>
      <c r="BP1583" s="1">
        <v>0</v>
      </c>
      <c r="BQ1583" s="1">
        <v>0</v>
      </c>
      <c r="BR1583" s="1">
        <v>0</v>
      </c>
      <c r="BS1583" s="1" t="s">
        <v>109</v>
      </c>
      <c r="BT1583" s="1">
        <v>1649</v>
      </c>
      <c r="BU1583" s="1" t="s">
        <v>109</v>
      </c>
      <c r="BV1583" s="1"/>
      <c r="BW1583" s="1"/>
      <c r="BX1583" s="1"/>
      <c r="BY1583" s="1"/>
      <c r="BZ1583" s="1">
        <v>0</v>
      </c>
      <c r="CA1583" s="1" t="s">
        <v>109</v>
      </c>
      <c r="CB1583" s="1" t="s">
        <v>109</v>
      </c>
      <c r="CC1583" s="1" t="s">
        <v>109</v>
      </c>
      <c r="CD1583" s="1" t="s">
        <v>109</v>
      </c>
      <c r="CE1583" s="1" t="s">
        <v>109</v>
      </c>
      <c r="CF1583" s="1" t="s">
        <v>109</v>
      </c>
      <c r="CG1583" s="1" t="s">
        <v>109</v>
      </c>
      <c r="CH1583" s="1" t="s">
        <v>109</v>
      </c>
      <c r="CI1583" s="1" t="s">
        <v>109</v>
      </c>
      <c r="CJ1583" s="1" t="s">
        <v>109</v>
      </c>
      <c r="CK1583" s="1"/>
      <c r="CL1583" s="1">
        <v>0</v>
      </c>
      <c r="CM1583" s="1">
        <v>0</v>
      </c>
      <c r="CN1583" s="1">
        <v>0</v>
      </c>
    </row>
    <row r="1584" spans="1:92" ht="14.25" customHeight="1" x14ac:dyDescent="0.15">
      <c r="A1584" s="1" t="s">
        <v>12043</v>
      </c>
      <c r="B1584" s="1" t="s">
        <v>189</v>
      </c>
      <c r="C1584" s="1"/>
      <c r="D1584" s="1"/>
      <c r="E1584" s="1" t="s">
        <v>12044</v>
      </c>
      <c r="F1584" s="1" t="s">
        <v>98</v>
      </c>
      <c r="G1584" s="1" t="s">
        <v>160</v>
      </c>
      <c r="H1584" s="1">
        <v>0</v>
      </c>
      <c r="I1584" s="1" t="s">
        <v>142</v>
      </c>
      <c r="J1584" s="1"/>
      <c r="K1584" s="1"/>
      <c r="L1584" s="1" t="s">
        <v>9874</v>
      </c>
      <c r="M1584" s="1" t="s">
        <v>574</v>
      </c>
      <c r="N1584" s="1">
        <v>1</v>
      </c>
      <c r="O1584" s="1">
        <v>0</v>
      </c>
      <c r="P1584" s="1" t="s">
        <v>629</v>
      </c>
      <c r="Q1584" s="1" t="s">
        <v>630</v>
      </c>
      <c r="R1584" s="1" t="s">
        <v>12045</v>
      </c>
      <c r="S1584" s="1" t="s">
        <v>12046</v>
      </c>
      <c r="T1584" s="1" t="s">
        <v>12047</v>
      </c>
      <c r="U1584" s="1" t="s">
        <v>12048</v>
      </c>
      <c r="V1584" s="1">
        <v>1</v>
      </c>
      <c r="W1584" s="1">
        <v>1</v>
      </c>
      <c r="X1584" s="1">
        <v>0</v>
      </c>
      <c r="Y1584" s="1">
        <v>0</v>
      </c>
      <c r="Z1584" s="1">
        <v>1</v>
      </c>
      <c r="AA1584" s="1">
        <v>5</v>
      </c>
      <c r="AB1584" s="1">
        <v>5</v>
      </c>
      <c r="AC1584" s="1" t="s">
        <v>109</v>
      </c>
      <c r="AD1584" s="1" t="s">
        <v>109</v>
      </c>
      <c r="AE1584" s="1" t="s">
        <v>109</v>
      </c>
      <c r="AF1584" s="1" t="s">
        <v>109</v>
      </c>
      <c r="AG1584" s="1" t="s">
        <v>109</v>
      </c>
      <c r="AH1584" s="1">
        <v>4</v>
      </c>
      <c r="AI1584" s="1" t="s">
        <v>109</v>
      </c>
      <c r="AJ1584" s="1">
        <v>5</v>
      </c>
      <c r="AK1584" s="1">
        <v>4</v>
      </c>
      <c r="AL1584" s="1" t="s">
        <v>109</v>
      </c>
      <c r="AM1584" s="1" t="s">
        <v>109</v>
      </c>
      <c r="AN1584" s="1">
        <v>4</v>
      </c>
      <c r="AO1584" s="1" t="s">
        <v>109</v>
      </c>
      <c r="AP1584" s="1"/>
      <c r="AQ1584" s="1">
        <v>5</v>
      </c>
      <c r="AR1584" s="1"/>
      <c r="AS1584" s="1"/>
      <c r="AT1584" s="1">
        <v>0</v>
      </c>
      <c r="AU1584" s="1">
        <v>0</v>
      </c>
      <c r="AV1584" s="1">
        <v>0</v>
      </c>
      <c r="AW1584" s="1">
        <v>0</v>
      </c>
      <c r="AX1584" s="1">
        <v>0</v>
      </c>
      <c r="AY1584" s="1">
        <v>0</v>
      </c>
      <c r="AZ1584" s="1">
        <v>0</v>
      </c>
      <c r="BA1584" s="1">
        <v>0</v>
      </c>
      <c r="BB1584" s="1">
        <v>0</v>
      </c>
      <c r="BC1584" s="1">
        <v>0</v>
      </c>
      <c r="BD1584" s="1">
        <v>0</v>
      </c>
      <c r="BE1584" s="1">
        <v>0</v>
      </c>
      <c r="BF1584" s="1">
        <v>0</v>
      </c>
      <c r="BG1584" s="1">
        <v>0</v>
      </c>
      <c r="BH1584" s="1">
        <v>0</v>
      </c>
      <c r="BI1584" s="1">
        <v>0</v>
      </c>
      <c r="BJ1584" s="1">
        <v>0</v>
      </c>
      <c r="BK1584" s="1">
        <v>0</v>
      </c>
      <c r="BL1584" s="1">
        <v>0</v>
      </c>
      <c r="BM1584" s="1">
        <v>0</v>
      </c>
      <c r="BN1584" s="1">
        <v>0</v>
      </c>
      <c r="BO1584" s="1">
        <v>0</v>
      </c>
      <c r="BP1584" s="1">
        <v>0</v>
      </c>
      <c r="BQ1584" s="1">
        <v>0</v>
      </c>
      <c r="BR1584" s="1">
        <v>0</v>
      </c>
      <c r="BS1584" s="1" t="s">
        <v>109</v>
      </c>
      <c r="BT1584" s="1">
        <v>1650</v>
      </c>
      <c r="BU1584" s="1" t="s">
        <v>109</v>
      </c>
      <c r="BV1584" s="1"/>
      <c r="BW1584" s="1"/>
      <c r="BX1584" s="1"/>
      <c r="BY1584" s="1"/>
      <c r="BZ1584" s="1">
        <v>0</v>
      </c>
      <c r="CA1584" s="1" t="s">
        <v>109</v>
      </c>
      <c r="CB1584" s="1" t="s">
        <v>109</v>
      </c>
      <c r="CC1584" s="1" t="s">
        <v>109</v>
      </c>
      <c r="CD1584" s="1" t="s">
        <v>109</v>
      </c>
      <c r="CE1584" s="1" t="s">
        <v>109</v>
      </c>
      <c r="CF1584" s="1" t="s">
        <v>109</v>
      </c>
      <c r="CG1584" s="1" t="s">
        <v>109</v>
      </c>
      <c r="CH1584" s="1" t="s">
        <v>109</v>
      </c>
      <c r="CI1584" s="1" t="s">
        <v>109</v>
      </c>
      <c r="CJ1584" s="1" t="s">
        <v>109</v>
      </c>
      <c r="CK1584" s="1"/>
      <c r="CL1584" s="1">
        <v>0</v>
      </c>
      <c r="CM1584" s="1">
        <v>0</v>
      </c>
      <c r="CN1584" s="1">
        <v>0</v>
      </c>
    </row>
    <row r="1585" spans="1:92" ht="14.25" customHeight="1" x14ac:dyDescent="0.15">
      <c r="A1585" s="1" t="s">
        <v>12049</v>
      </c>
      <c r="B1585" s="1" t="s">
        <v>189</v>
      </c>
      <c r="C1585" s="1"/>
      <c r="D1585" s="1"/>
      <c r="E1585" s="1" t="s">
        <v>12050</v>
      </c>
      <c r="F1585" s="1" t="s">
        <v>98</v>
      </c>
      <c r="G1585" s="1" t="s">
        <v>160</v>
      </c>
      <c r="H1585" s="1">
        <v>0</v>
      </c>
      <c r="I1585" s="1" t="s">
        <v>235</v>
      </c>
      <c r="J1585" s="1"/>
      <c r="K1585" s="1"/>
      <c r="L1585" s="1" t="s">
        <v>236</v>
      </c>
      <c r="M1585" s="1" t="s">
        <v>6625</v>
      </c>
      <c r="N1585" s="1">
        <v>1</v>
      </c>
      <c r="O1585" s="1">
        <v>0</v>
      </c>
      <c r="P1585" s="1"/>
      <c r="Q1585" s="1"/>
      <c r="R1585" s="1" t="s">
        <v>12051</v>
      </c>
      <c r="S1585" s="1" t="s">
        <v>12052</v>
      </c>
      <c r="T1585" s="1" t="s">
        <v>12047</v>
      </c>
      <c r="U1585" s="1" t="s">
        <v>12053</v>
      </c>
      <c r="V1585" s="1">
        <v>1</v>
      </c>
      <c r="W1585" s="1">
        <v>1</v>
      </c>
      <c r="X1585" s="1">
        <v>0</v>
      </c>
      <c r="Y1585" s="1">
        <v>0</v>
      </c>
      <c r="Z1585" s="1">
        <v>1</v>
      </c>
      <c r="AA1585" s="1">
        <v>0</v>
      </c>
      <c r="AB1585" s="1">
        <v>0</v>
      </c>
      <c r="AC1585" s="1" t="s">
        <v>109</v>
      </c>
      <c r="AD1585" s="1">
        <v>0</v>
      </c>
      <c r="AE1585" s="1">
        <v>1</v>
      </c>
      <c r="AF1585" s="1" t="s">
        <v>109</v>
      </c>
      <c r="AG1585" s="1" t="s">
        <v>109</v>
      </c>
      <c r="AH1585" s="1">
        <v>1</v>
      </c>
      <c r="AI1585" s="1" t="s">
        <v>109</v>
      </c>
      <c r="AJ1585" s="1" t="s">
        <v>109</v>
      </c>
      <c r="AK1585" s="1" t="s">
        <v>109</v>
      </c>
      <c r="AL1585" s="1" t="s">
        <v>109</v>
      </c>
      <c r="AM1585" s="1" t="s">
        <v>109</v>
      </c>
      <c r="AN1585" s="1" t="s">
        <v>109</v>
      </c>
      <c r="AO1585" s="1" t="s">
        <v>109</v>
      </c>
      <c r="AP1585" s="1"/>
      <c r="AQ1585" s="1">
        <v>0</v>
      </c>
      <c r="AR1585" s="1"/>
      <c r="AS1585" s="1"/>
      <c r="AT1585" s="1">
        <v>0</v>
      </c>
      <c r="AU1585" s="1">
        <v>0</v>
      </c>
      <c r="AV1585" s="1">
        <v>0</v>
      </c>
      <c r="AW1585" s="1">
        <v>0</v>
      </c>
      <c r="AX1585" s="1">
        <v>0</v>
      </c>
      <c r="AY1585" s="1">
        <v>0</v>
      </c>
      <c r="AZ1585" s="1">
        <v>0</v>
      </c>
      <c r="BA1585" s="1">
        <v>0</v>
      </c>
      <c r="BB1585" s="1">
        <v>0</v>
      </c>
      <c r="BC1585" s="1">
        <v>0</v>
      </c>
      <c r="BD1585" s="1">
        <v>0</v>
      </c>
      <c r="BE1585" s="1">
        <v>0</v>
      </c>
      <c r="BF1585" s="1">
        <v>0</v>
      </c>
      <c r="BG1585" s="1">
        <v>0</v>
      </c>
      <c r="BH1585" s="1">
        <v>0</v>
      </c>
      <c r="BI1585" s="1">
        <v>0</v>
      </c>
      <c r="BJ1585" s="1">
        <v>0</v>
      </c>
      <c r="BK1585" s="1">
        <v>0</v>
      </c>
      <c r="BL1585" s="1">
        <v>0</v>
      </c>
      <c r="BM1585" s="1">
        <v>0</v>
      </c>
      <c r="BN1585" s="1">
        <v>0</v>
      </c>
      <c r="BO1585" s="1">
        <v>0</v>
      </c>
      <c r="BP1585" s="1">
        <v>0</v>
      </c>
      <c r="BQ1585" s="1">
        <v>0</v>
      </c>
      <c r="BR1585" s="1">
        <v>0</v>
      </c>
      <c r="BS1585" s="1" t="s">
        <v>109</v>
      </c>
      <c r="BT1585" s="1">
        <v>1651</v>
      </c>
      <c r="BU1585" s="1" t="s">
        <v>109</v>
      </c>
      <c r="BV1585" s="1"/>
      <c r="BW1585" s="1"/>
      <c r="BX1585" s="1"/>
      <c r="BY1585" s="1"/>
      <c r="BZ1585" s="1">
        <v>0</v>
      </c>
      <c r="CA1585" s="1" t="s">
        <v>109</v>
      </c>
      <c r="CB1585" s="1" t="s">
        <v>109</v>
      </c>
      <c r="CC1585" s="1" t="s">
        <v>109</v>
      </c>
      <c r="CD1585" s="1" t="s">
        <v>109</v>
      </c>
      <c r="CE1585" s="1" t="s">
        <v>109</v>
      </c>
      <c r="CF1585" s="1" t="s">
        <v>109</v>
      </c>
      <c r="CG1585" s="1" t="s">
        <v>109</v>
      </c>
      <c r="CH1585" s="1" t="s">
        <v>109</v>
      </c>
      <c r="CI1585" s="1" t="s">
        <v>109</v>
      </c>
      <c r="CJ1585" s="1">
        <v>0</v>
      </c>
      <c r="CK1585" s="1"/>
      <c r="CL1585" s="1">
        <v>0</v>
      </c>
      <c r="CM1585" s="1">
        <v>0</v>
      </c>
      <c r="CN1585" s="1">
        <v>0</v>
      </c>
    </row>
    <row r="1586" spans="1:92" ht="14.25" customHeight="1" x14ac:dyDescent="0.15">
      <c r="A1586" s="1" t="s">
        <v>12054</v>
      </c>
      <c r="B1586" s="1" t="s">
        <v>584</v>
      </c>
      <c r="C1586" s="1"/>
      <c r="D1586" s="1" t="s">
        <v>64</v>
      </c>
      <c r="E1586" s="1" t="s">
        <v>12055</v>
      </c>
      <c r="F1586" s="1" t="s">
        <v>98</v>
      </c>
      <c r="G1586" s="1" t="s">
        <v>12056</v>
      </c>
      <c r="H1586" s="1">
        <v>0</v>
      </c>
      <c r="I1586" s="1" t="s">
        <v>122</v>
      </c>
      <c r="J1586" s="1" t="s">
        <v>12057</v>
      </c>
      <c r="K1586" s="1"/>
      <c r="L1586" s="1"/>
      <c r="M1586" s="1" t="s">
        <v>144</v>
      </c>
      <c r="N1586" s="1">
        <v>0</v>
      </c>
      <c r="O1586" s="1">
        <v>0</v>
      </c>
      <c r="P1586" s="1" t="s">
        <v>1410</v>
      </c>
      <c r="Q1586" s="1" t="s">
        <v>268</v>
      </c>
      <c r="R1586" s="1" t="s">
        <v>12058</v>
      </c>
      <c r="S1586" s="1" t="s">
        <v>12059</v>
      </c>
      <c r="T1586" s="1" t="s">
        <v>12047</v>
      </c>
      <c r="U1586" s="1" t="s">
        <v>12060</v>
      </c>
      <c r="V1586" s="1">
        <v>1</v>
      </c>
      <c r="W1586" s="1">
        <v>1</v>
      </c>
      <c r="X1586" s="1">
        <v>1</v>
      </c>
      <c r="Y1586" s="1">
        <v>0</v>
      </c>
      <c r="Z1586" s="1">
        <v>1</v>
      </c>
      <c r="AA1586" s="1">
        <v>3</v>
      </c>
      <c r="AB1586" s="1">
        <v>3</v>
      </c>
      <c r="AC1586" s="1">
        <v>3</v>
      </c>
      <c r="AD1586" s="1">
        <v>3</v>
      </c>
      <c r="AE1586" s="1" t="s">
        <v>109</v>
      </c>
      <c r="AF1586" s="1" t="s">
        <v>109</v>
      </c>
      <c r="AG1586" s="1" t="s">
        <v>109</v>
      </c>
      <c r="AH1586" s="1" t="s">
        <v>109</v>
      </c>
      <c r="AI1586" s="1" t="s">
        <v>109</v>
      </c>
      <c r="AJ1586" s="1" t="s">
        <v>109</v>
      </c>
      <c r="AK1586" s="1" t="s">
        <v>109</v>
      </c>
      <c r="AL1586" s="1">
        <v>3</v>
      </c>
      <c r="AM1586" s="1" t="s">
        <v>109</v>
      </c>
      <c r="AN1586" s="1" t="s">
        <v>109</v>
      </c>
      <c r="AO1586" s="1" t="s">
        <v>109</v>
      </c>
      <c r="AP1586" s="1"/>
      <c r="AQ1586" s="1">
        <v>3</v>
      </c>
      <c r="AR1586" s="1"/>
      <c r="AS1586" s="1"/>
      <c r="AT1586" s="1">
        <v>0</v>
      </c>
      <c r="AU1586" s="1">
        <v>0</v>
      </c>
      <c r="AV1586" s="1">
        <v>0</v>
      </c>
      <c r="AW1586" s="1">
        <v>0</v>
      </c>
      <c r="AX1586" s="1">
        <v>0</v>
      </c>
      <c r="AY1586" s="1">
        <v>0</v>
      </c>
      <c r="AZ1586" s="1">
        <v>0</v>
      </c>
      <c r="BA1586" s="1">
        <v>0</v>
      </c>
      <c r="BB1586" s="1">
        <v>0</v>
      </c>
      <c r="BC1586" s="1">
        <v>0</v>
      </c>
      <c r="BD1586" s="1">
        <v>0</v>
      </c>
      <c r="BE1586" s="1">
        <v>0</v>
      </c>
      <c r="BF1586" s="1">
        <v>0</v>
      </c>
      <c r="BG1586" s="1">
        <v>0</v>
      </c>
      <c r="BH1586" s="1">
        <v>0</v>
      </c>
      <c r="BI1586" s="1">
        <v>0</v>
      </c>
      <c r="BJ1586" s="1">
        <v>0</v>
      </c>
      <c r="BK1586" s="1">
        <v>0</v>
      </c>
      <c r="BL1586" s="1">
        <v>1</v>
      </c>
      <c r="BM1586" s="1">
        <v>0</v>
      </c>
      <c r="BN1586" s="1">
        <v>0</v>
      </c>
      <c r="BO1586" s="1">
        <v>0</v>
      </c>
      <c r="BP1586" s="1">
        <v>0</v>
      </c>
      <c r="BQ1586" s="1">
        <v>0</v>
      </c>
      <c r="BR1586" s="1">
        <v>0</v>
      </c>
      <c r="BS1586" s="1" t="s">
        <v>109</v>
      </c>
      <c r="BT1586" s="1">
        <v>1652</v>
      </c>
      <c r="BU1586" s="1" t="s">
        <v>109</v>
      </c>
      <c r="BV1586" s="1"/>
      <c r="BW1586" s="1"/>
      <c r="BX1586" s="1"/>
      <c r="BY1586" s="1"/>
      <c r="BZ1586" s="1">
        <v>0</v>
      </c>
      <c r="CA1586" s="1" t="s">
        <v>109</v>
      </c>
      <c r="CB1586" s="1" t="s">
        <v>109</v>
      </c>
      <c r="CC1586" s="1" t="s">
        <v>109</v>
      </c>
      <c r="CD1586" s="1" t="s">
        <v>109</v>
      </c>
      <c r="CE1586" s="1" t="s">
        <v>109</v>
      </c>
      <c r="CF1586" s="1" t="s">
        <v>109</v>
      </c>
      <c r="CG1586" s="1" t="s">
        <v>109</v>
      </c>
      <c r="CH1586" s="1" t="s">
        <v>109</v>
      </c>
      <c r="CI1586" s="1" t="s">
        <v>109</v>
      </c>
      <c r="CJ1586" s="1">
        <v>3</v>
      </c>
      <c r="CK1586" s="1"/>
      <c r="CL1586" s="1">
        <v>0</v>
      </c>
      <c r="CM1586" s="1">
        <v>0</v>
      </c>
      <c r="CN1586" s="1">
        <v>0</v>
      </c>
    </row>
    <row r="1587" spans="1:92" ht="14.25" customHeight="1" x14ac:dyDescent="0.15">
      <c r="A1587" s="1" t="s">
        <v>12061</v>
      </c>
      <c r="B1587" s="1" t="s">
        <v>189</v>
      </c>
      <c r="C1587" s="1"/>
      <c r="D1587" s="1"/>
      <c r="E1587" s="1" t="s">
        <v>12062</v>
      </c>
      <c r="F1587" s="1" t="s">
        <v>98</v>
      </c>
      <c r="G1587" s="1" t="s">
        <v>141</v>
      </c>
      <c r="H1587" s="1">
        <v>0</v>
      </c>
      <c r="I1587" s="1" t="s">
        <v>235</v>
      </c>
      <c r="J1587" s="1"/>
      <c r="K1587" s="1"/>
      <c r="L1587" s="1" t="s">
        <v>12063</v>
      </c>
      <c r="M1587" s="1" t="s">
        <v>289</v>
      </c>
      <c r="N1587" s="1">
        <v>0</v>
      </c>
      <c r="O1587" s="1">
        <v>0</v>
      </c>
      <c r="P1587" s="1"/>
      <c r="Q1587" s="1"/>
      <c r="R1587" s="1" t="s">
        <v>12064</v>
      </c>
      <c r="S1587" s="1" t="s">
        <v>12065</v>
      </c>
      <c r="T1587" s="1" t="s">
        <v>12047</v>
      </c>
      <c r="U1587" s="1" t="s">
        <v>12066</v>
      </c>
      <c r="V1587" s="1">
        <v>1</v>
      </c>
      <c r="W1587" s="1">
        <v>1</v>
      </c>
      <c r="X1587" s="1">
        <v>0</v>
      </c>
      <c r="Y1587" s="1">
        <v>0</v>
      </c>
      <c r="Z1587" s="1">
        <v>0</v>
      </c>
      <c r="AA1587" s="1">
        <v>1</v>
      </c>
      <c r="AB1587" s="1">
        <v>1</v>
      </c>
      <c r="AC1587" s="1" t="s">
        <v>109</v>
      </c>
      <c r="AD1587" s="1">
        <v>1</v>
      </c>
      <c r="AE1587" s="1" t="s">
        <v>109</v>
      </c>
      <c r="AF1587" s="1" t="s">
        <v>109</v>
      </c>
      <c r="AG1587" s="1" t="s">
        <v>109</v>
      </c>
      <c r="AH1587" s="1">
        <v>1</v>
      </c>
      <c r="AI1587" s="1">
        <v>1</v>
      </c>
      <c r="AJ1587" s="1">
        <v>1</v>
      </c>
      <c r="AK1587" s="1" t="s">
        <v>109</v>
      </c>
      <c r="AL1587" s="1" t="s">
        <v>109</v>
      </c>
      <c r="AM1587" s="1">
        <v>1</v>
      </c>
      <c r="AN1587" s="1">
        <v>1</v>
      </c>
      <c r="AO1587" s="1" t="s">
        <v>109</v>
      </c>
      <c r="AP1587" s="1"/>
      <c r="AQ1587" s="1">
        <v>1</v>
      </c>
      <c r="AR1587" s="1"/>
      <c r="AS1587" s="1"/>
      <c r="AT1587" s="1">
        <v>0</v>
      </c>
      <c r="AU1587" s="1">
        <v>0</v>
      </c>
      <c r="AV1587" s="1">
        <v>0</v>
      </c>
      <c r="AW1587" s="1">
        <v>0</v>
      </c>
      <c r="AX1587" s="1">
        <v>0</v>
      </c>
      <c r="AY1587" s="1">
        <v>0</v>
      </c>
      <c r="AZ1587" s="1">
        <v>0</v>
      </c>
      <c r="BA1587" s="1">
        <v>0</v>
      </c>
      <c r="BB1587" s="1">
        <v>0</v>
      </c>
      <c r="BC1587" s="1">
        <v>0</v>
      </c>
      <c r="BD1587" s="1">
        <v>0</v>
      </c>
      <c r="BE1587" s="1">
        <v>0</v>
      </c>
      <c r="BF1587" s="1">
        <v>0</v>
      </c>
      <c r="BG1587" s="1">
        <v>0</v>
      </c>
      <c r="BH1587" s="1">
        <v>0</v>
      </c>
      <c r="BI1587" s="1">
        <v>0</v>
      </c>
      <c r="BJ1587" s="1">
        <v>0</v>
      </c>
      <c r="BK1587" s="1">
        <v>0</v>
      </c>
      <c r="BL1587" s="1">
        <v>0</v>
      </c>
      <c r="BM1587" s="1">
        <v>0</v>
      </c>
      <c r="BN1587" s="1">
        <v>0</v>
      </c>
      <c r="BO1587" s="1">
        <v>0</v>
      </c>
      <c r="BP1587" s="1">
        <v>0</v>
      </c>
      <c r="BQ1587" s="1">
        <v>0</v>
      </c>
      <c r="BR1587" s="1">
        <v>0</v>
      </c>
      <c r="BS1587" s="1" t="s">
        <v>109</v>
      </c>
      <c r="BT1587" s="1">
        <v>1653</v>
      </c>
      <c r="BU1587" s="1" t="s">
        <v>109</v>
      </c>
      <c r="BV1587" s="1"/>
      <c r="BW1587" s="1"/>
      <c r="BX1587" s="1"/>
      <c r="BY1587" s="1"/>
      <c r="BZ1587" s="1">
        <v>0</v>
      </c>
      <c r="CA1587" s="1" t="s">
        <v>109</v>
      </c>
      <c r="CB1587" s="1" t="s">
        <v>109</v>
      </c>
      <c r="CC1587" s="1" t="s">
        <v>109</v>
      </c>
      <c r="CD1587" s="1" t="s">
        <v>109</v>
      </c>
      <c r="CE1587" s="1" t="s">
        <v>109</v>
      </c>
      <c r="CF1587" s="1" t="s">
        <v>109</v>
      </c>
      <c r="CG1587" s="1" t="s">
        <v>109</v>
      </c>
      <c r="CH1587" s="1" t="s">
        <v>109</v>
      </c>
      <c r="CI1587" s="1" t="s">
        <v>109</v>
      </c>
      <c r="CJ1587" s="1">
        <v>1</v>
      </c>
      <c r="CK1587" s="1"/>
      <c r="CL1587" s="1">
        <v>0</v>
      </c>
      <c r="CM1587" s="1">
        <v>0</v>
      </c>
      <c r="CN1587" s="1">
        <v>0</v>
      </c>
    </row>
    <row r="1588" spans="1:92" ht="14.25" customHeight="1" x14ac:dyDescent="0.15">
      <c r="A1588" s="1" t="s">
        <v>12067</v>
      </c>
      <c r="B1588" s="1" t="s">
        <v>95</v>
      </c>
      <c r="C1588" s="1" t="s">
        <v>96</v>
      </c>
      <c r="D1588" s="1"/>
      <c r="E1588" s="1" t="s">
        <v>12068</v>
      </c>
      <c r="F1588" s="1" t="s">
        <v>98</v>
      </c>
      <c r="G1588" s="1" t="s">
        <v>12069</v>
      </c>
      <c r="H1588" s="1">
        <v>0</v>
      </c>
      <c r="I1588" s="1" t="s">
        <v>161</v>
      </c>
      <c r="J1588" s="1"/>
      <c r="K1588" s="1"/>
      <c r="L1588" s="1" t="s">
        <v>12070</v>
      </c>
      <c r="M1588" s="1" t="s">
        <v>6144</v>
      </c>
      <c r="N1588" s="1">
        <v>1</v>
      </c>
      <c r="O1588" s="1">
        <v>0</v>
      </c>
      <c r="P1588" s="1" t="s">
        <v>215</v>
      </c>
      <c r="Q1588" s="1" t="s">
        <v>216</v>
      </c>
      <c r="R1588" s="1" t="s">
        <v>12071</v>
      </c>
      <c r="S1588" s="1" t="s">
        <v>12072</v>
      </c>
      <c r="T1588" s="1" t="s">
        <v>12047</v>
      </c>
      <c r="U1588" s="1" t="s">
        <v>12073</v>
      </c>
      <c r="V1588" s="1">
        <v>1</v>
      </c>
      <c r="W1588" s="1">
        <v>1</v>
      </c>
      <c r="X1588" s="1">
        <v>0</v>
      </c>
      <c r="Y1588" s="1">
        <v>0</v>
      </c>
      <c r="Z1588" s="1">
        <v>0</v>
      </c>
      <c r="AA1588" s="1">
        <v>2</v>
      </c>
      <c r="AB1588" s="1">
        <v>2</v>
      </c>
      <c r="AC1588" s="1">
        <v>2</v>
      </c>
      <c r="AD1588" s="1">
        <v>2</v>
      </c>
      <c r="AE1588" s="1">
        <v>2</v>
      </c>
      <c r="AF1588" s="1" t="s">
        <v>109</v>
      </c>
      <c r="AG1588" s="1" t="s">
        <v>109</v>
      </c>
      <c r="AH1588" s="1">
        <v>3</v>
      </c>
      <c r="AI1588" s="1" t="s">
        <v>109</v>
      </c>
      <c r="AJ1588" s="1">
        <v>2</v>
      </c>
      <c r="AK1588" s="1" t="s">
        <v>109</v>
      </c>
      <c r="AL1588" s="1">
        <v>2</v>
      </c>
      <c r="AM1588" s="1" t="s">
        <v>109</v>
      </c>
      <c r="AN1588" s="1" t="s">
        <v>109</v>
      </c>
      <c r="AO1588" s="1" t="s">
        <v>109</v>
      </c>
      <c r="AP1588" s="1"/>
      <c r="AQ1588" s="1">
        <v>2</v>
      </c>
      <c r="AR1588" s="1"/>
      <c r="AS1588" s="1"/>
      <c r="AT1588" s="1">
        <v>0</v>
      </c>
      <c r="AU1588" s="1">
        <v>0</v>
      </c>
      <c r="AV1588" s="1">
        <v>0</v>
      </c>
      <c r="AW1588" s="1">
        <v>0</v>
      </c>
      <c r="AX1588" s="1">
        <v>0</v>
      </c>
      <c r="AY1588" s="1">
        <v>0</v>
      </c>
      <c r="AZ1588" s="1">
        <v>0</v>
      </c>
      <c r="BA1588" s="1">
        <v>0</v>
      </c>
      <c r="BB1588" s="1">
        <v>0</v>
      </c>
      <c r="BC1588" s="1">
        <v>0</v>
      </c>
      <c r="BD1588" s="1">
        <v>0</v>
      </c>
      <c r="BE1588" s="1">
        <v>0</v>
      </c>
      <c r="BF1588" s="1">
        <v>0</v>
      </c>
      <c r="BG1588" s="1">
        <v>0</v>
      </c>
      <c r="BH1588" s="1">
        <v>0</v>
      </c>
      <c r="BI1588" s="1">
        <v>0</v>
      </c>
      <c r="BJ1588" s="1">
        <v>0</v>
      </c>
      <c r="BK1588" s="1">
        <v>0</v>
      </c>
      <c r="BL1588" s="1">
        <v>0</v>
      </c>
      <c r="BM1588" s="1">
        <v>0</v>
      </c>
      <c r="BN1588" s="1">
        <v>0</v>
      </c>
      <c r="BO1588" s="1">
        <v>0</v>
      </c>
      <c r="BP1588" s="1">
        <v>0</v>
      </c>
      <c r="BQ1588" s="1">
        <v>0</v>
      </c>
      <c r="BR1588" s="1">
        <v>0</v>
      </c>
      <c r="BS1588" s="1" t="s">
        <v>109</v>
      </c>
      <c r="BT1588" s="1">
        <v>1654</v>
      </c>
      <c r="BU1588" s="1" t="s">
        <v>109</v>
      </c>
      <c r="BV1588" s="1"/>
      <c r="BW1588" s="1"/>
      <c r="BX1588" s="1"/>
      <c r="BY1588" s="1"/>
      <c r="BZ1588" s="1">
        <v>0</v>
      </c>
      <c r="CA1588" s="1" t="s">
        <v>109</v>
      </c>
      <c r="CB1588" s="1" t="s">
        <v>109</v>
      </c>
      <c r="CC1588" s="1" t="s">
        <v>109</v>
      </c>
      <c r="CD1588" s="1" t="s">
        <v>109</v>
      </c>
      <c r="CE1588" s="1" t="s">
        <v>109</v>
      </c>
      <c r="CF1588" s="1" t="s">
        <v>109</v>
      </c>
      <c r="CG1588" s="1" t="s">
        <v>109</v>
      </c>
      <c r="CH1588" s="1" t="s">
        <v>109</v>
      </c>
      <c r="CI1588" s="1" t="s">
        <v>109</v>
      </c>
      <c r="CJ1588" s="1">
        <v>2</v>
      </c>
      <c r="CK1588" s="1"/>
      <c r="CL1588" s="1">
        <v>0</v>
      </c>
      <c r="CM1588" s="1">
        <v>0</v>
      </c>
      <c r="CN1588" s="1">
        <v>0</v>
      </c>
    </row>
    <row r="1589" spans="1:92" ht="14.25" customHeight="1" x14ac:dyDescent="0.15">
      <c r="A1589" s="1" t="s">
        <v>12074</v>
      </c>
      <c r="B1589" s="1" t="s">
        <v>674</v>
      </c>
      <c r="C1589" s="1" t="s">
        <v>68</v>
      </c>
      <c r="D1589" s="1" t="s">
        <v>68</v>
      </c>
      <c r="E1589" s="1" t="s">
        <v>12075</v>
      </c>
      <c r="F1589" s="1" t="s">
        <v>98</v>
      </c>
      <c r="G1589" s="1" t="s">
        <v>141</v>
      </c>
      <c r="H1589" s="1">
        <v>0</v>
      </c>
      <c r="I1589" s="1" t="s">
        <v>235</v>
      </c>
      <c r="J1589" s="1"/>
      <c r="K1589" s="1"/>
      <c r="L1589" s="1"/>
      <c r="M1589" s="1" t="s">
        <v>125</v>
      </c>
      <c r="N1589" s="1">
        <v>0</v>
      </c>
      <c r="O1589" s="1">
        <v>0</v>
      </c>
      <c r="P1589" s="1" t="s">
        <v>12076</v>
      </c>
      <c r="Q1589" s="1" t="s">
        <v>12077</v>
      </c>
      <c r="R1589" s="1" t="s">
        <v>12078</v>
      </c>
      <c r="S1589" s="1" t="s">
        <v>12079</v>
      </c>
      <c r="T1589" s="1" t="s">
        <v>12047</v>
      </c>
      <c r="U1589" s="1" t="s">
        <v>12080</v>
      </c>
      <c r="V1589" s="1">
        <v>1</v>
      </c>
      <c r="W1589" s="1">
        <v>1</v>
      </c>
      <c r="X1589" s="1">
        <v>0</v>
      </c>
      <c r="Y1589" s="1">
        <v>0</v>
      </c>
      <c r="Z1589" s="1">
        <v>0</v>
      </c>
      <c r="AA1589" s="1">
        <v>4</v>
      </c>
      <c r="AB1589" s="1">
        <v>4</v>
      </c>
      <c r="AC1589" s="1" t="s">
        <v>109</v>
      </c>
      <c r="AD1589" s="1" t="s">
        <v>109</v>
      </c>
      <c r="AE1589" s="1" t="s">
        <v>109</v>
      </c>
      <c r="AF1589" s="1">
        <v>4</v>
      </c>
      <c r="AG1589" s="1" t="s">
        <v>109</v>
      </c>
      <c r="AH1589" s="1" t="s">
        <v>109</v>
      </c>
      <c r="AI1589" s="1" t="s">
        <v>109</v>
      </c>
      <c r="AJ1589" s="1" t="s">
        <v>109</v>
      </c>
      <c r="AK1589" s="1" t="s">
        <v>109</v>
      </c>
      <c r="AL1589" s="1" t="s">
        <v>109</v>
      </c>
      <c r="AM1589" s="1" t="s">
        <v>109</v>
      </c>
      <c r="AN1589" s="1" t="s">
        <v>109</v>
      </c>
      <c r="AO1589" s="1" t="s">
        <v>109</v>
      </c>
      <c r="AP1589" s="1"/>
      <c r="AQ1589" s="1">
        <v>4</v>
      </c>
      <c r="AR1589" s="1"/>
      <c r="AS1589" s="1"/>
      <c r="AT1589" s="1">
        <v>0</v>
      </c>
      <c r="AU1589" s="1">
        <v>0</v>
      </c>
      <c r="AV1589" s="1">
        <v>0</v>
      </c>
      <c r="AW1589" s="1">
        <v>0</v>
      </c>
      <c r="AX1589" s="1">
        <v>0</v>
      </c>
      <c r="AY1589" s="1">
        <v>0</v>
      </c>
      <c r="AZ1589" s="1">
        <v>0</v>
      </c>
      <c r="BA1589" s="1">
        <v>0</v>
      </c>
      <c r="BB1589" s="1">
        <v>0</v>
      </c>
      <c r="BC1589" s="1">
        <v>0</v>
      </c>
      <c r="BD1589" s="1">
        <v>0</v>
      </c>
      <c r="BE1589" s="1">
        <v>0</v>
      </c>
      <c r="BF1589" s="1">
        <v>0</v>
      </c>
      <c r="BG1589" s="1">
        <v>0</v>
      </c>
      <c r="BH1589" s="1">
        <v>0</v>
      </c>
      <c r="BI1589" s="1">
        <v>0</v>
      </c>
      <c r="BJ1589" s="1">
        <v>0</v>
      </c>
      <c r="BK1589" s="1">
        <v>0</v>
      </c>
      <c r="BL1589" s="1">
        <v>0</v>
      </c>
      <c r="BM1589" s="1">
        <v>0</v>
      </c>
      <c r="BN1589" s="1">
        <v>0</v>
      </c>
      <c r="BO1589" s="1">
        <v>0</v>
      </c>
      <c r="BP1589" s="1">
        <v>1</v>
      </c>
      <c r="BQ1589" s="1">
        <v>0</v>
      </c>
      <c r="BR1589" s="1">
        <v>0</v>
      </c>
      <c r="BS1589" s="1" t="s">
        <v>109</v>
      </c>
      <c r="BT1589" s="1">
        <v>1655</v>
      </c>
      <c r="BU1589" s="1" t="s">
        <v>109</v>
      </c>
      <c r="BV1589" s="1"/>
      <c r="BW1589" s="1"/>
      <c r="BX1589" s="1"/>
      <c r="BY1589" s="1"/>
      <c r="BZ1589" s="1">
        <v>0</v>
      </c>
      <c r="CA1589" s="1" t="s">
        <v>109</v>
      </c>
      <c r="CB1589" s="1" t="s">
        <v>109</v>
      </c>
      <c r="CC1589" s="1" t="s">
        <v>109</v>
      </c>
      <c r="CD1589" s="1" t="s">
        <v>109</v>
      </c>
      <c r="CE1589" s="1" t="s">
        <v>109</v>
      </c>
      <c r="CF1589" s="1" t="s">
        <v>109</v>
      </c>
      <c r="CG1589" s="1" t="s">
        <v>109</v>
      </c>
      <c r="CH1589" s="1" t="s">
        <v>109</v>
      </c>
      <c r="CI1589" s="1" t="s">
        <v>109</v>
      </c>
      <c r="CJ1589" s="1" t="s">
        <v>109</v>
      </c>
      <c r="CK1589" s="1"/>
      <c r="CL1589" s="1">
        <v>0</v>
      </c>
      <c r="CM1589" s="1">
        <v>0</v>
      </c>
      <c r="CN1589" s="1">
        <v>0</v>
      </c>
    </row>
    <row r="1590" spans="1:92" ht="14.25" customHeight="1" x14ac:dyDescent="0.15">
      <c r="A1590" s="1" t="s">
        <v>12081</v>
      </c>
      <c r="B1590" s="1" t="s">
        <v>189</v>
      </c>
      <c r="C1590" s="1"/>
      <c r="D1590" s="1"/>
      <c r="E1590" s="1" t="s">
        <v>12082</v>
      </c>
      <c r="F1590" s="1" t="s">
        <v>98</v>
      </c>
      <c r="G1590" s="1" t="s">
        <v>12083</v>
      </c>
      <c r="H1590" s="1">
        <v>0</v>
      </c>
      <c r="I1590" s="1" t="s">
        <v>142</v>
      </c>
      <c r="J1590" s="1"/>
      <c r="K1590" s="1"/>
      <c r="L1590" s="1" t="s">
        <v>563</v>
      </c>
      <c r="M1590" s="1" t="s">
        <v>3042</v>
      </c>
      <c r="N1590" s="1">
        <v>0</v>
      </c>
      <c r="O1590" s="1">
        <v>0</v>
      </c>
      <c r="P1590" s="1" t="s">
        <v>12084</v>
      </c>
      <c r="Q1590" s="1" t="s">
        <v>268</v>
      </c>
      <c r="R1590" s="1" t="s">
        <v>12085</v>
      </c>
      <c r="S1590" s="1" t="s">
        <v>12086</v>
      </c>
      <c r="T1590" s="1" t="s">
        <v>12047</v>
      </c>
      <c r="U1590" s="1" t="s">
        <v>12087</v>
      </c>
      <c r="V1590" s="1">
        <v>1</v>
      </c>
      <c r="W1590" s="1">
        <v>1</v>
      </c>
      <c r="X1590" s="1">
        <v>1</v>
      </c>
      <c r="Y1590" s="1">
        <v>0</v>
      </c>
      <c r="Z1590" s="1">
        <v>1</v>
      </c>
      <c r="AA1590" s="1">
        <v>5</v>
      </c>
      <c r="AB1590" s="1">
        <v>5</v>
      </c>
      <c r="AC1590" s="1" t="s">
        <v>109</v>
      </c>
      <c r="AD1590" s="1">
        <v>4</v>
      </c>
      <c r="AE1590" s="1" t="s">
        <v>109</v>
      </c>
      <c r="AF1590" s="1" t="s">
        <v>109</v>
      </c>
      <c r="AG1590" s="1" t="s">
        <v>109</v>
      </c>
      <c r="AH1590" s="1" t="s">
        <v>109</v>
      </c>
      <c r="AI1590" s="1" t="s">
        <v>109</v>
      </c>
      <c r="AJ1590" s="1">
        <v>5</v>
      </c>
      <c r="AK1590" s="1" t="s">
        <v>109</v>
      </c>
      <c r="AL1590" s="1" t="s">
        <v>109</v>
      </c>
      <c r="AM1590" s="1" t="s">
        <v>109</v>
      </c>
      <c r="AN1590" s="1" t="s">
        <v>109</v>
      </c>
      <c r="AO1590" s="1" t="s">
        <v>109</v>
      </c>
      <c r="AP1590" s="1"/>
      <c r="AQ1590" s="1">
        <v>5</v>
      </c>
      <c r="AR1590" s="1"/>
      <c r="AS1590" s="1"/>
      <c r="AT1590" s="1">
        <v>0</v>
      </c>
      <c r="AU1590" s="1">
        <v>0</v>
      </c>
      <c r="AV1590" s="1">
        <v>0</v>
      </c>
      <c r="AW1590" s="1">
        <v>0</v>
      </c>
      <c r="AX1590" s="1">
        <v>0</v>
      </c>
      <c r="AY1590" s="1">
        <v>0</v>
      </c>
      <c r="AZ1590" s="1">
        <v>0</v>
      </c>
      <c r="BA1590" s="1">
        <v>0</v>
      </c>
      <c r="BB1590" s="1">
        <v>0</v>
      </c>
      <c r="BC1590" s="1">
        <v>0</v>
      </c>
      <c r="BD1590" s="1">
        <v>0</v>
      </c>
      <c r="BE1590" s="1">
        <v>0</v>
      </c>
      <c r="BF1590" s="1">
        <v>0</v>
      </c>
      <c r="BG1590" s="1">
        <v>0</v>
      </c>
      <c r="BH1590" s="1">
        <v>0</v>
      </c>
      <c r="BI1590" s="1">
        <v>0</v>
      </c>
      <c r="BJ1590" s="1">
        <v>0</v>
      </c>
      <c r="BK1590" s="1">
        <v>0</v>
      </c>
      <c r="BL1590" s="1">
        <v>0</v>
      </c>
      <c r="BM1590" s="1">
        <v>0</v>
      </c>
      <c r="BN1590" s="1">
        <v>0</v>
      </c>
      <c r="BO1590" s="1">
        <v>0</v>
      </c>
      <c r="BP1590" s="1">
        <v>0</v>
      </c>
      <c r="BQ1590" s="1">
        <v>0</v>
      </c>
      <c r="BR1590" s="1">
        <v>0</v>
      </c>
      <c r="BS1590" s="1" t="s">
        <v>109</v>
      </c>
      <c r="BT1590" s="1">
        <v>1656</v>
      </c>
      <c r="BU1590" s="1" t="s">
        <v>109</v>
      </c>
      <c r="BV1590" s="1"/>
      <c r="BW1590" s="1"/>
      <c r="BX1590" s="1"/>
      <c r="BY1590" s="1"/>
      <c r="BZ1590" s="1">
        <v>0</v>
      </c>
      <c r="CA1590" s="1" t="s">
        <v>109</v>
      </c>
      <c r="CB1590" s="1" t="s">
        <v>109</v>
      </c>
      <c r="CC1590" s="1" t="s">
        <v>109</v>
      </c>
      <c r="CD1590" s="1" t="s">
        <v>109</v>
      </c>
      <c r="CE1590" s="1" t="s">
        <v>109</v>
      </c>
      <c r="CF1590" s="1" t="s">
        <v>109</v>
      </c>
      <c r="CG1590" s="1" t="s">
        <v>109</v>
      </c>
      <c r="CH1590" s="1" t="s">
        <v>109</v>
      </c>
      <c r="CI1590" s="1" t="s">
        <v>109</v>
      </c>
      <c r="CJ1590" s="1">
        <v>4</v>
      </c>
      <c r="CK1590" s="1"/>
      <c r="CL1590" s="1">
        <v>0</v>
      </c>
      <c r="CM1590" s="1">
        <v>0</v>
      </c>
      <c r="CN1590" s="1">
        <v>0</v>
      </c>
    </row>
    <row r="1591" spans="1:92" ht="14.25" customHeight="1" x14ac:dyDescent="0.15">
      <c r="A1591" s="1" t="s">
        <v>12088</v>
      </c>
      <c r="B1591" s="1" t="s">
        <v>95</v>
      </c>
      <c r="C1591" s="1" t="s">
        <v>96</v>
      </c>
      <c r="D1591" s="1"/>
      <c r="E1591" s="1" t="s">
        <v>12089</v>
      </c>
      <c r="F1591" s="1" t="s">
        <v>98</v>
      </c>
      <c r="G1591" s="1" t="s">
        <v>12090</v>
      </c>
      <c r="H1591" s="1">
        <v>0</v>
      </c>
      <c r="I1591" s="1" t="s">
        <v>12091</v>
      </c>
      <c r="J1591" s="1"/>
      <c r="K1591" s="1" t="s">
        <v>12092</v>
      </c>
      <c r="L1591" s="1"/>
      <c r="M1591" s="1" t="s">
        <v>3042</v>
      </c>
      <c r="N1591" s="1">
        <v>0</v>
      </c>
      <c r="O1591" s="1">
        <v>0</v>
      </c>
      <c r="P1591" s="1" t="s">
        <v>103</v>
      </c>
      <c r="Q1591" s="1" t="s">
        <v>104</v>
      </c>
      <c r="R1591" s="1" t="s">
        <v>12093</v>
      </c>
      <c r="S1591" s="1" t="s">
        <v>12094</v>
      </c>
      <c r="T1591" s="1" t="s">
        <v>12047</v>
      </c>
      <c r="U1591" s="1" t="s">
        <v>12095</v>
      </c>
      <c r="V1591" s="1">
        <v>1</v>
      </c>
      <c r="W1591" s="1">
        <v>1</v>
      </c>
      <c r="X1591" s="1">
        <v>1</v>
      </c>
      <c r="Y1591" s="1">
        <v>0</v>
      </c>
      <c r="Z1591" s="1">
        <v>0</v>
      </c>
      <c r="AA1591" s="1">
        <v>3</v>
      </c>
      <c r="AB1591" s="1">
        <v>3</v>
      </c>
      <c r="AC1591" s="1" t="s">
        <v>109</v>
      </c>
      <c r="AD1591" s="1" t="s">
        <v>109</v>
      </c>
      <c r="AE1591" s="1" t="s">
        <v>109</v>
      </c>
      <c r="AF1591" s="1" t="s">
        <v>109</v>
      </c>
      <c r="AG1591" s="1" t="s">
        <v>109</v>
      </c>
      <c r="AH1591" s="1" t="s">
        <v>109</v>
      </c>
      <c r="AI1591" s="1">
        <v>2</v>
      </c>
      <c r="AJ1591" s="1">
        <v>3</v>
      </c>
      <c r="AK1591" s="1" t="s">
        <v>109</v>
      </c>
      <c r="AL1591" s="1" t="s">
        <v>109</v>
      </c>
      <c r="AM1591" s="1" t="s">
        <v>109</v>
      </c>
      <c r="AN1591" s="1" t="s">
        <v>109</v>
      </c>
      <c r="AO1591" s="1" t="s">
        <v>109</v>
      </c>
      <c r="AP1591" s="1"/>
      <c r="AQ1591" s="1">
        <v>3</v>
      </c>
      <c r="AR1591" s="1"/>
      <c r="AS1591" s="1"/>
      <c r="AT1591" s="1">
        <v>0</v>
      </c>
      <c r="AU1591" s="1">
        <v>0</v>
      </c>
      <c r="AV1591" s="1">
        <v>0</v>
      </c>
      <c r="AW1591" s="1">
        <v>0</v>
      </c>
      <c r="AX1591" s="1">
        <v>0</v>
      </c>
      <c r="AY1591" s="1">
        <v>0</v>
      </c>
      <c r="AZ1591" s="1">
        <v>0</v>
      </c>
      <c r="BA1591" s="1">
        <v>0</v>
      </c>
      <c r="BB1591" s="1">
        <v>0</v>
      </c>
      <c r="BC1591" s="1">
        <v>0</v>
      </c>
      <c r="BD1591" s="1">
        <v>0</v>
      </c>
      <c r="BE1591" s="1">
        <v>0</v>
      </c>
      <c r="BF1591" s="1">
        <v>0</v>
      </c>
      <c r="BG1591" s="1">
        <v>0</v>
      </c>
      <c r="BH1591" s="1">
        <v>0</v>
      </c>
      <c r="BI1591" s="1">
        <v>0</v>
      </c>
      <c r="BJ1591" s="1">
        <v>0</v>
      </c>
      <c r="BK1591" s="1">
        <v>0</v>
      </c>
      <c r="BL1591" s="1">
        <v>0</v>
      </c>
      <c r="BM1591" s="1">
        <v>0</v>
      </c>
      <c r="BN1591" s="1">
        <v>0</v>
      </c>
      <c r="BO1591" s="1">
        <v>0</v>
      </c>
      <c r="BP1591" s="1">
        <v>0</v>
      </c>
      <c r="BQ1591" s="1">
        <v>0</v>
      </c>
      <c r="BR1591" s="1">
        <v>0</v>
      </c>
      <c r="BS1591" s="1" t="s">
        <v>109</v>
      </c>
      <c r="BT1591" s="1">
        <v>1657</v>
      </c>
      <c r="BU1591" s="1" t="s">
        <v>109</v>
      </c>
      <c r="BV1591" s="1"/>
      <c r="BW1591" s="1"/>
      <c r="BX1591" s="1"/>
      <c r="BY1591" s="1"/>
      <c r="BZ1591" s="1">
        <v>0</v>
      </c>
      <c r="CA1591" s="1" t="s">
        <v>109</v>
      </c>
      <c r="CB1591" s="1" t="s">
        <v>109</v>
      </c>
      <c r="CC1591" s="1" t="s">
        <v>109</v>
      </c>
      <c r="CD1591" s="1" t="s">
        <v>109</v>
      </c>
      <c r="CE1591" s="1" t="s">
        <v>109</v>
      </c>
      <c r="CF1591" s="1" t="s">
        <v>109</v>
      </c>
      <c r="CG1591" s="1" t="s">
        <v>109</v>
      </c>
      <c r="CH1591" s="1" t="s">
        <v>109</v>
      </c>
      <c r="CI1591" s="1" t="s">
        <v>109</v>
      </c>
      <c r="CJ1591" s="1" t="s">
        <v>109</v>
      </c>
      <c r="CK1591" s="1"/>
      <c r="CL1591" s="1">
        <v>0</v>
      </c>
      <c r="CM1591" s="1">
        <v>0</v>
      </c>
      <c r="CN1591" s="1">
        <v>0</v>
      </c>
    </row>
    <row r="1592" spans="1:92" ht="14.25" customHeight="1" x14ac:dyDescent="0.15">
      <c r="A1592" s="1" t="s">
        <v>12096</v>
      </c>
      <c r="B1592" s="1" t="s">
        <v>254</v>
      </c>
      <c r="C1592" s="1"/>
      <c r="D1592" s="1"/>
      <c r="E1592" s="1" t="s">
        <v>12097</v>
      </c>
      <c r="F1592" s="1" t="s">
        <v>98</v>
      </c>
      <c r="G1592" s="1" t="s">
        <v>12098</v>
      </c>
      <c r="H1592" s="1">
        <v>0</v>
      </c>
      <c r="I1592" s="1"/>
      <c r="J1592" s="1"/>
      <c r="K1592" s="1"/>
      <c r="L1592" s="1" t="s">
        <v>12099</v>
      </c>
      <c r="M1592" s="1" t="s">
        <v>11741</v>
      </c>
      <c r="N1592" s="1">
        <v>1</v>
      </c>
      <c r="O1592" s="1">
        <v>0</v>
      </c>
      <c r="P1592" s="1" t="s">
        <v>564</v>
      </c>
      <c r="Q1592" s="1" t="s">
        <v>104</v>
      </c>
      <c r="R1592" s="1" t="s">
        <v>12100</v>
      </c>
      <c r="S1592" s="1" t="s">
        <v>12101</v>
      </c>
      <c r="T1592" s="1" t="s">
        <v>12102</v>
      </c>
      <c r="U1592" s="1" t="s">
        <v>12103</v>
      </c>
      <c r="V1592" s="1">
        <v>1</v>
      </c>
      <c r="W1592" s="1">
        <v>1</v>
      </c>
      <c r="X1592" s="1">
        <v>0</v>
      </c>
      <c r="Y1592" s="1">
        <v>0</v>
      </c>
      <c r="Z1592" s="1">
        <v>1</v>
      </c>
      <c r="AA1592" s="1" t="s">
        <v>109</v>
      </c>
      <c r="AB1592" s="1" t="s">
        <v>109</v>
      </c>
      <c r="AC1592" s="1">
        <v>2</v>
      </c>
      <c r="AD1592" s="1" t="s">
        <v>109</v>
      </c>
      <c r="AE1592" s="1" t="s">
        <v>109</v>
      </c>
      <c r="AF1592" s="1">
        <v>2</v>
      </c>
      <c r="AG1592" s="1" t="s">
        <v>109</v>
      </c>
      <c r="AH1592" s="1" t="s">
        <v>109</v>
      </c>
      <c r="AI1592" s="1" t="s">
        <v>109</v>
      </c>
      <c r="AJ1592" s="1">
        <v>2</v>
      </c>
      <c r="AK1592" s="1">
        <v>2</v>
      </c>
      <c r="AL1592" s="1">
        <v>2</v>
      </c>
      <c r="AM1592" s="1" t="s">
        <v>109</v>
      </c>
      <c r="AN1592" s="1" t="s">
        <v>109</v>
      </c>
      <c r="AO1592" s="1" t="s">
        <v>109</v>
      </c>
      <c r="AP1592" s="1"/>
      <c r="AQ1592" s="1">
        <v>2</v>
      </c>
      <c r="AR1592" s="1"/>
      <c r="AS1592" s="1"/>
      <c r="AT1592" s="1">
        <v>0</v>
      </c>
      <c r="AU1592" s="1">
        <v>0</v>
      </c>
      <c r="AV1592" s="1">
        <v>0</v>
      </c>
      <c r="AW1592" s="1">
        <v>0</v>
      </c>
      <c r="AX1592" s="1">
        <v>0</v>
      </c>
      <c r="AY1592" s="1">
        <v>0</v>
      </c>
      <c r="AZ1592" s="1">
        <v>0</v>
      </c>
      <c r="BA1592" s="1">
        <v>0</v>
      </c>
      <c r="BB1592" s="1">
        <v>0</v>
      </c>
      <c r="BC1592" s="1">
        <v>0</v>
      </c>
      <c r="BD1592" s="1">
        <v>0</v>
      </c>
      <c r="BE1592" s="1">
        <v>0</v>
      </c>
      <c r="BF1592" s="1">
        <v>0</v>
      </c>
      <c r="BG1592" s="1">
        <v>0</v>
      </c>
      <c r="BH1592" s="1">
        <v>0</v>
      </c>
      <c r="BI1592" s="1">
        <v>0</v>
      </c>
      <c r="BJ1592" s="1">
        <v>0</v>
      </c>
      <c r="BK1592" s="1">
        <v>0</v>
      </c>
      <c r="BL1592" s="1">
        <v>0</v>
      </c>
      <c r="BM1592" s="1">
        <v>0</v>
      </c>
      <c r="BN1592" s="1">
        <v>0</v>
      </c>
      <c r="BO1592" s="1">
        <v>0</v>
      </c>
      <c r="BP1592" s="1">
        <v>0</v>
      </c>
      <c r="BQ1592" s="1">
        <v>0</v>
      </c>
      <c r="BR1592" s="1">
        <v>0</v>
      </c>
      <c r="BS1592" s="1" t="s">
        <v>109</v>
      </c>
      <c r="BT1592" s="1">
        <v>1658</v>
      </c>
      <c r="BU1592" s="1" t="s">
        <v>109</v>
      </c>
      <c r="BV1592" s="1"/>
      <c r="BW1592" s="1"/>
      <c r="BX1592" s="1"/>
      <c r="BY1592" s="1"/>
      <c r="BZ1592" s="1">
        <v>0</v>
      </c>
      <c r="CA1592" s="1" t="s">
        <v>109</v>
      </c>
      <c r="CB1592" s="1" t="s">
        <v>109</v>
      </c>
      <c r="CC1592" s="1" t="s">
        <v>109</v>
      </c>
      <c r="CD1592" s="1" t="s">
        <v>109</v>
      </c>
      <c r="CE1592" s="1" t="s">
        <v>109</v>
      </c>
      <c r="CF1592" s="1" t="s">
        <v>109</v>
      </c>
      <c r="CG1592" s="1" t="s">
        <v>109</v>
      </c>
      <c r="CH1592" s="1" t="s">
        <v>109</v>
      </c>
      <c r="CI1592" s="1" t="s">
        <v>109</v>
      </c>
      <c r="CJ1592" s="1" t="s">
        <v>109</v>
      </c>
      <c r="CK1592" s="1"/>
      <c r="CL1592" s="1">
        <v>0</v>
      </c>
      <c r="CM1592" s="1">
        <v>0</v>
      </c>
      <c r="CN1592" s="1">
        <v>0</v>
      </c>
    </row>
    <row r="1593" spans="1:92" ht="14.25" customHeight="1" x14ac:dyDescent="0.15">
      <c r="A1593" s="1" t="s">
        <v>12104</v>
      </c>
      <c r="B1593" s="1" t="s">
        <v>156</v>
      </c>
      <c r="C1593" s="1"/>
      <c r="D1593" s="1"/>
      <c r="E1593" s="1" t="s">
        <v>9607</v>
      </c>
      <c r="F1593" s="1" t="s">
        <v>98</v>
      </c>
      <c r="G1593" s="1" t="s">
        <v>12105</v>
      </c>
      <c r="H1593" s="1">
        <v>1</v>
      </c>
      <c r="I1593" s="1" t="s">
        <v>161</v>
      </c>
      <c r="J1593" s="1"/>
      <c r="K1593" s="1"/>
      <c r="L1593" s="1" t="s">
        <v>12106</v>
      </c>
      <c r="M1593" s="1" t="s">
        <v>12107</v>
      </c>
      <c r="N1593" s="1">
        <v>1</v>
      </c>
      <c r="O1593" s="1">
        <v>0</v>
      </c>
      <c r="P1593" s="1" t="s">
        <v>103</v>
      </c>
      <c r="Q1593" s="1" t="s">
        <v>104</v>
      </c>
      <c r="R1593" s="1" t="s">
        <v>12108</v>
      </c>
      <c r="S1593" s="1" t="s">
        <v>12109</v>
      </c>
      <c r="T1593" s="1" t="s">
        <v>12102</v>
      </c>
      <c r="U1593" s="1" t="s">
        <v>12110</v>
      </c>
      <c r="V1593" s="1">
        <v>1</v>
      </c>
      <c r="W1593" s="1">
        <v>1</v>
      </c>
      <c r="X1593" s="1">
        <v>1</v>
      </c>
      <c r="Y1593" s="1">
        <v>0</v>
      </c>
      <c r="Z1593" s="1">
        <v>0</v>
      </c>
      <c r="AA1593" s="1">
        <v>3</v>
      </c>
      <c r="AB1593" s="1">
        <v>3</v>
      </c>
      <c r="AC1593" s="1" t="s">
        <v>109</v>
      </c>
      <c r="AD1593" s="1" t="s">
        <v>109</v>
      </c>
      <c r="AE1593" s="1" t="s">
        <v>109</v>
      </c>
      <c r="AF1593" s="1">
        <v>3</v>
      </c>
      <c r="AG1593" s="1" t="s">
        <v>109</v>
      </c>
      <c r="AH1593" s="1" t="s">
        <v>109</v>
      </c>
      <c r="AI1593" s="1" t="s">
        <v>109</v>
      </c>
      <c r="AJ1593" s="1" t="s">
        <v>109</v>
      </c>
      <c r="AK1593" s="1" t="s">
        <v>109</v>
      </c>
      <c r="AL1593" s="1" t="s">
        <v>109</v>
      </c>
      <c r="AM1593" s="1" t="s">
        <v>109</v>
      </c>
      <c r="AN1593" s="1" t="s">
        <v>109</v>
      </c>
      <c r="AO1593" s="1" t="s">
        <v>109</v>
      </c>
      <c r="AP1593" s="1"/>
      <c r="AQ1593" s="1">
        <v>3</v>
      </c>
      <c r="AR1593" s="1"/>
      <c r="AS1593" s="1"/>
      <c r="AT1593" s="1">
        <v>0</v>
      </c>
      <c r="AU1593" s="1">
        <v>0</v>
      </c>
      <c r="AV1593" s="1">
        <v>0</v>
      </c>
      <c r="AW1593" s="1">
        <v>0</v>
      </c>
      <c r="AX1593" s="1">
        <v>0</v>
      </c>
      <c r="AY1593" s="1">
        <v>0</v>
      </c>
      <c r="AZ1593" s="1">
        <v>0</v>
      </c>
      <c r="BA1593" s="1">
        <v>0</v>
      </c>
      <c r="BB1593" s="1">
        <v>0</v>
      </c>
      <c r="BC1593" s="1">
        <v>0</v>
      </c>
      <c r="BD1593" s="1">
        <v>0</v>
      </c>
      <c r="BE1593" s="1">
        <v>0</v>
      </c>
      <c r="BF1593" s="1">
        <v>0</v>
      </c>
      <c r="BG1593" s="1">
        <v>0</v>
      </c>
      <c r="BH1593" s="1">
        <v>0</v>
      </c>
      <c r="BI1593" s="1">
        <v>0</v>
      </c>
      <c r="BJ1593" s="1">
        <v>0</v>
      </c>
      <c r="BK1593" s="1">
        <v>0</v>
      </c>
      <c r="BL1593" s="1">
        <v>0</v>
      </c>
      <c r="BM1593" s="1">
        <v>0</v>
      </c>
      <c r="BN1593" s="1">
        <v>0</v>
      </c>
      <c r="BO1593" s="1">
        <v>0</v>
      </c>
      <c r="BP1593" s="1">
        <v>0</v>
      </c>
      <c r="BQ1593" s="1">
        <v>0</v>
      </c>
      <c r="BR1593" s="1">
        <v>0</v>
      </c>
      <c r="BS1593" s="1" t="s">
        <v>109</v>
      </c>
      <c r="BT1593" s="1">
        <v>1659</v>
      </c>
      <c r="BU1593" s="1">
        <v>10</v>
      </c>
      <c r="BV1593" s="1"/>
      <c r="BW1593" s="1"/>
      <c r="BX1593" s="1"/>
      <c r="BY1593" s="1"/>
      <c r="BZ1593" s="1">
        <v>0</v>
      </c>
      <c r="CA1593" s="1" t="s">
        <v>109</v>
      </c>
      <c r="CB1593" s="1" t="s">
        <v>109</v>
      </c>
      <c r="CC1593" s="1" t="s">
        <v>109</v>
      </c>
      <c r="CD1593" s="1" t="s">
        <v>109</v>
      </c>
      <c r="CE1593" s="1" t="s">
        <v>109</v>
      </c>
      <c r="CF1593" s="1" t="s">
        <v>109</v>
      </c>
      <c r="CG1593" s="1" t="s">
        <v>109</v>
      </c>
      <c r="CH1593" s="1" t="s">
        <v>109</v>
      </c>
      <c r="CI1593" s="1" t="s">
        <v>109</v>
      </c>
      <c r="CJ1593" s="1" t="s">
        <v>109</v>
      </c>
      <c r="CK1593" s="1"/>
      <c r="CL1593" s="1">
        <v>0</v>
      </c>
      <c r="CM1593" s="1">
        <v>0</v>
      </c>
      <c r="CN1593" s="1">
        <v>0</v>
      </c>
    </row>
    <row r="1594" spans="1:92" ht="14.25" customHeight="1" x14ac:dyDescent="0.15">
      <c r="A1594" s="1" t="s">
        <v>12111</v>
      </c>
      <c r="B1594" s="1" t="s">
        <v>156</v>
      </c>
      <c r="C1594" s="1"/>
      <c r="D1594" s="1"/>
      <c r="E1594" s="1" t="s">
        <v>9607</v>
      </c>
      <c r="F1594" s="1" t="s">
        <v>11457</v>
      </c>
      <c r="G1594" s="1" t="s">
        <v>141</v>
      </c>
      <c r="H1594" s="1">
        <v>0</v>
      </c>
      <c r="I1594" s="1" t="s">
        <v>161</v>
      </c>
      <c r="J1594" s="1"/>
      <c r="K1594" s="1"/>
      <c r="L1594" s="1" t="s">
        <v>12112</v>
      </c>
      <c r="M1594" s="1" t="s">
        <v>5811</v>
      </c>
      <c r="N1594" s="1">
        <v>1</v>
      </c>
      <c r="O1594" s="1">
        <v>0</v>
      </c>
      <c r="P1594" s="1" t="s">
        <v>103</v>
      </c>
      <c r="Q1594" s="1" t="s">
        <v>268</v>
      </c>
      <c r="R1594" s="1" t="s">
        <v>12113</v>
      </c>
      <c r="S1594" s="1" t="s">
        <v>12114</v>
      </c>
      <c r="T1594" s="1" t="s">
        <v>12102</v>
      </c>
      <c r="U1594" s="1" t="s">
        <v>12115</v>
      </c>
      <c r="V1594" s="1">
        <v>1</v>
      </c>
      <c r="W1594" s="1">
        <v>1</v>
      </c>
      <c r="X1594" s="1">
        <v>0</v>
      </c>
      <c r="Y1594" s="1">
        <v>0</v>
      </c>
      <c r="Z1594" s="1">
        <v>0</v>
      </c>
      <c r="AA1594" s="1">
        <v>3</v>
      </c>
      <c r="AB1594" s="1">
        <v>3</v>
      </c>
      <c r="AC1594" s="1" t="s">
        <v>109</v>
      </c>
      <c r="AD1594" s="1" t="s">
        <v>109</v>
      </c>
      <c r="AE1594" s="1" t="s">
        <v>109</v>
      </c>
      <c r="AF1594" s="1">
        <v>3</v>
      </c>
      <c r="AG1594" s="1" t="s">
        <v>109</v>
      </c>
      <c r="AH1594" s="1" t="s">
        <v>109</v>
      </c>
      <c r="AI1594" s="1" t="s">
        <v>109</v>
      </c>
      <c r="AJ1594" s="1" t="s">
        <v>109</v>
      </c>
      <c r="AK1594" s="1" t="s">
        <v>109</v>
      </c>
      <c r="AL1594" s="1" t="s">
        <v>109</v>
      </c>
      <c r="AM1594" s="1" t="s">
        <v>109</v>
      </c>
      <c r="AN1594" s="1" t="s">
        <v>109</v>
      </c>
      <c r="AO1594" s="1" t="s">
        <v>109</v>
      </c>
      <c r="AP1594" s="1"/>
      <c r="AQ1594" s="1">
        <v>3</v>
      </c>
      <c r="AR1594" s="1"/>
      <c r="AS1594" s="1"/>
      <c r="AT1594" s="1">
        <v>0</v>
      </c>
      <c r="AU1594" s="1">
        <v>0</v>
      </c>
      <c r="AV1594" s="1">
        <v>0</v>
      </c>
      <c r="AW1594" s="1">
        <v>0</v>
      </c>
      <c r="AX1594" s="1">
        <v>0</v>
      </c>
      <c r="AY1594" s="1">
        <v>0</v>
      </c>
      <c r="AZ1594" s="1">
        <v>0</v>
      </c>
      <c r="BA1594" s="1">
        <v>0</v>
      </c>
      <c r="BB1594" s="1">
        <v>0</v>
      </c>
      <c r="BC1594" s="1">
        <v>0</v>
      </c>
      <c r="BD1594" s="1">
        <v>0</v>
      </c>
      <c r="BE1594" s="1">
        <v>0</v>
      </c>
      <c r="BF1594" s="1">
        <v>0</v>
      </c>
      <c r="BG1594" s="1">
        <v>0</v>
      </c>
      <c r="BH1594" s="1">
        <v>0</v>
      </c>
      <c r="BI1594" s="1">
        <v>0</v>
      </c>
      <c r="BJ1594" s="1">
        <v>0</v>
      </c>
      <c r="BK1594" s="1">
        <v>0</v>
      </c>
      <c r="BL1594" s="1">
        <v>0</v>
      </c>
      <c r="BM1594" s="1">
        <v>0</v>
      </c>
      <c r="BN1594" s="1">
        <v>0</v>
      </c>
      <c r="BO1594" s="1">
        <v>0</v>
      </c>
      <c r="BP1594" s="1">
        <v>0</v>
      </c>
      <c r="BQ1594" s="1">
        <v>0</v>
      </c>
      <c r="BR1594" s="1">
        <v>0</v>
      </c>
      <c r="BS1594" s="1" t="s">
        <v>109</v>
      </c>
      <c r="BT1594" s="1">
        <v>1660</v>
      </c>
      <c r="BU1594" s="1" t="s">
        <v>109</v>
      </c>
      <c r="BV1594" s="1"/>
      <c r="BW1594" s="1"/>
      <c r="BX1594" s="1"/>
      <c r="BY1594" s="1"/>
      <c r="BZ1594" s="1">
        <v>0</v>
      </c>
      <c r="CA1594" s="1" t="s">
        <v>109</v>
      </c>
      <c r="CB1594" s="1" t="s">
        <v>109</v>
      </c>
      <c r="CC1594" s="1" t="s">
        <v>109</v>
      </c>
      <c r="CD1594" s="1" t="s">
        <v>109</v>
      </c>
      <c r="CE1594" s="1" t="s">
        <v>109</v>
      </c>
      <c r="CF1594" s="1" t="s">
        <v>109</v>
      </c>
      <c r="CG1594" s="1" t="s">
        <v>109</v>
      </c>
      <c r="CH1594" s="1" t="s">
        <v>109</v>
      </c>
      <c r="CI1594" s="1" t="s">
        <v>109</v>
      </c>
      <c r="CJ1594" s="1" t="s">
        <v>109</v>
      </c>
      <c r="CK1594" s="1"/>
      <c r="CL1594" s="1">
        <v>0</v>
      </c>
      <c r="CM1594" s="1">
        <v>0</v>
      </c>
      <c r="CN1594" s="1">
        <v>0</v>
      </c>
    </row>
    <row r="1595" spans="1:92" ht="14.25" customHeight="1" x14ac:dyDescent="0.15">
      <c r="A1595" s="1" t="s">
        <v>12116</v>
      </c>
      <c r="B1595" s="1" t="s">
        <v>189</v>
      </c>
      <c r="C1595" s="1"/>
      <c r="D1595" s="1"/>
      <c r="E1595" s="1" t="s">
        <v>12117</v>
      </c>
      <c r="F1595" s="1" t="s">
        <v>3444</v>
      </c>
      <c r="G1595" s="1" t="s">
        <v>12118</v>
      </c>
      <c r="H1595" s="1">
        <v>1</v>
      </c>
      <c r="I1595" s="1" t="s">
        <v>161</v>
      </c>
      <c r="J1595" s="1"/>
      <c r="K1595" s="1"/>
      <c r="L1595" s="1" t="s">
        <v>12119</v>
      </c>
      <c r="M1595" s="1" t="s">
        <v>144</v>
      </c>
      <c r="N1595" s="1">
        <v>0</v>
      </c>
      <c r="O1595" s="1">
        <v>0</v>
      </c>
      <c r="P1595" s="1" t="s">
        <v>12120</v>
      </c>
      <c r="Q1595" s="1" t="s">
        <v>104</v>
      </c>
      <c r="R1595" s="1" t="s">
        <v>12121</v>
      </c>
      <c r="S1595" s="1" t="s">
        <v>12122</v>
      </c>
      <c r="T1595" s="1" t="s">
        <v>12102</v>
      </c>
      <c r="U1595" s="1" t="s">
        <v>12123</v>
      </c>
      <c r="V1595" s="1">
        <v>1</v>
      </c>
      <c r="W1595" s="1">
        <v>1</v>
      </c>
      <c r="X1595" s="1">
        <v>1</v>
      </c>
      <c r="Y1595" s="1">
        <v>0</v>
      </c>
      <c r="Z1595" s="1">
        <v>0</v>
      </c>
      <c r="AA1595" s="1">
        <v>4</v>
      </c>
      <c r="AB1595" s="1">
        <v>4</v>
      </c>
      <c r="AC1595" s="1" t="s">
        <v>109</v>
      </c>
      <c r="AD1595" s="1" t="s">
        <v>109</v>
      </c>
      <c r="AE1595" s="1" t="s">
        <v>109</v>
      </c>
      <c r="AF1595" s="1">
        <v>5</v>
      </c>
      <c r="AG1595" s="1" t="s">
        <v>109</v>
      </c>
      <c r="AH1595" s="1" t="s">
        <v>109</v>
      </c>
      <c r="AI1595" s="1" t="s">
        <v>109</v>
      </c>
      <c r="AJ1595" s="1" t="s">
        <v>109</v>
      </c>
      <c r="AK1595" s="1" t="s">
        <v>109</v>
      </c>
      <c r="AL1595" s="1" t="s">
        <v>109</v>
      </c>
      <c r="AM1595" s="1" t="s">
        <v>109</v>
      </c>
      <c r="AN1595" s="1" t="s">
        <v>109</v>
      </c>
      <c r="AO1595" s="1" t="s">
        <v>109</v>
      </c>
      <c r="AP1595" s="1"/>
      <c r="AQ1595" s="1">
        <v>4</v>
      </c>
      <c r="AR1595" s="1"/>
      <c r="AS1595" s="1"/>
      <c r="AT1595" s="1">
        <v>0</v>
      </c>
      <c r="AU1595" s="1">
        <v>0</v>
      </c>
      <c r="AV1595" s="1">
        <v>0</v>
      </c>
      <c r="AW1595" s="1">
        <v>0</v>
      </c>
      <c r="AX1595" s="1">
        <v>0</v>
      </c>
      <c r="AY1595" s="1">
        <v>0</v>
      </c>
      <c r="AZ1595" s="1">
        <v>0</v>
      </c>
      <c r="BA1595" s="1">
        <v>0</v>
      </c>
      <c r="BB1595" s="1">
        <v>0</v>
      </c>
      <c r="BC1595" s="1">
        <v>0</v>
      </c>
      <c r="BD1595" s="1">
        <v>0</v>
      </c>
      <c r="BE1595" s="1">
        <v>0</v>
      </c>
      <c r="BF1595" s="1">
        <v>0</v>
      </c>
      <c r="BG1595" s="1">
        <v>0</v>
      </c>
      <c r="BH1595" s="1">
        <v>0</v>
      </c>
      <c r="BI1595" s="1">
        <v>0</v>
      </c>
      <c r="BJ1595" s="1">
        <v>0</v>
      </c>
      <c r="BK1595" s="1">
        <v>0</v>
      </c>
      <c r="BL1595" s="1">
        <v>0</v>
      </c>
      <c r="BM1595" s="1">
        <v>0</v>
      </c>
      <c r="BN1595" s="1">
        <v>0</v>
      </c>
      <c r="BO1595" s="1">
        <v>0</v>
      </c>
      <c r="BP1595" s="1">
        <v>0</v>
      </c>
      <c r="BQ1595" s="1">
        <v>0</v>
      </c>
      <c r="BR1595" s="1">
        <v>0</v>
      </c>
      <c r="BS1595" s="1" t="s">
        <v>109</v>
      </c>
      <c r="BT1595" s="1">
        <v>1661</v>
      </c>
      <c r="BU1595" s="1">
        <v>1000</v>
      </c>
      <c r="BV1595" s="1"/>
      <c r="BW1595" s="1"/>
      <c r="BX1595" s="1"/>
      <c r="BY1595" s="1"/>
      <c r="BZ1595" s="1">
        <v>0</v>
      </c>
      <c r="CA1595" s="1" t="s">
        <v>109</v>
      </c>
      <c r="CB1595" s="1" t="s">
        <v>109</v>
      </c>
      <c r="CC1595" s="1" t="s">
        <v>109</v>
      </c>
      <c r="CD1595" s="1" t="s">
        <v>109</v>
      </c>
      <c r="CE1595" s="1" t="s">
        <v>109</v>
      </c>
      <c r="CF1595" s="1" t="s">
        <v>109</v>
      </c>
      <c r="CG1595" s="1" t="s">
        <v>109</v>
      </c>
      <c r="CH1595" s="1" t="s">
        <v>109</v>
      </c>
      <c r="CI1595" s="1" t="s">
        <v>109</v>
      </c>
      <c r="CJ1595" s="1" t="s">
        <v>109</v>
      </c>
      <c r="CK1595" s="1"/>
      <c r="CL1595" s="1">
        <v>0</v>
      </c>
      <c r="CM1595" s="1">
        <v>0</v>
      </c>
      <c r="CN1595" s="1">
        <v>0</v>
      </c>
    </row>
    <row r="1596" spans="1:92" ht="14.25" customHeight="1" x14ac:dyDescent="0.15">
      <c r="A1596" s="1" t="s">
        <v>12124</v>
      </c>
      <c r="B1596" s="1" t="s">
        <v>95</v>
      </c>
      <c r="C1596" s="1" t="s">
        <v>1522</v>
      </c>
      <c r="D1596" s="1"/>
      <c r="E1596" s="1" t="s">
        <v>12125</v>
      </c>
      <c r="F1596" s="1" t="s">
        <v>3444</v>
      </c>
      <c r="G1596" s="1" t="s">
        <v>12126</v>
      </c>
      <c r="H1596" s="1">
        <v>1</v>
      </c>
      <c r="I1596" s="1" t="s">
        <v>161</v>
      </c>
      <c r="J1596" s="1"/>
      <c r="K1596" s="1"/>
      <c r="L1596" s="1" t="s">
        <v>12106</v>
      </c>
      <c r="M1596" s="1" t="s">
        <v>144</v>
      </c>
      <c r="N1596" s="1">
        <v>0</v>
      </c>
      <c r="O1596" s="1">
        <v>0</v>
      </c>
      <c r="P1596" s="1" t="s">
        <v>629</v>
      </c>
      <c r="Q1596" s="1" t="s">
        <v>630</v>
      </c>
      <c r="R1596" s="1" t="s">
        <v>12127</v>
      </c>
      <c r="S1596" s="1" t="s">
        <v>12128</v>
      </c>
      <c r="T1596" s="1" t="s">
        <v>12102</v>
      </c>
      <c r="U1596" s="1" t="s">
        <v>12129</v>
      </c>
      <c r="V1596" s="1">
        <v>1</v>
      </c>
      <c r="W1596" s="1">
        <v>0</v>
      </c>
      <c r="X1596" s="1">
        <v>1</v>
      </c>
      <c r="Y1596" s="1">
        <v>0</v>
      </c>
      <c r="Z1596" s="1">
        <v>0</v>
      </c>
      <c r="AA1596" s="1">
        <v>6</v>
      </c>
      <c r="AB1596" s="1">
        <v>6</v>
      </c>
      <c r="AC1596" s="1" t="s">
        <v>109</v>
      </c>
      <c r="AD1596" s="1" t="s">
        <v>109</v>
      </c>
      <c r="AE1596" s="1" t="s">
        <v>109</v>
      </c>
      <c r="AF1596" s="1" t="s">
        <v>109</v>
      </c>
      <c r="AG1596" s="1" t="s">
        <v>109</v>
      </c>
      <c r="AH1596" s="1" t="s">
        <v>109</v>
      </c>
      <c r="AI1596" s="1" t="s">
        <v>109</v>
      </c>
      <c r="AJ1596" s="1" t="s">
        <v>109</v>
      </c>
      <c r="AK1596" s="1" t="s">
        <v>109</v>
      </c>
      <c r="AL1596" s="1" t="s">
        <v>109</v>
      </c>
      <c r="AM1596" s="1" t="s">
        <v>109</v>
      </c>
      <c r="AN1596" s="1" t="s">
        <v>109</v>
      </c>
      <c r="AO1596" s="1" t="s">
        <v>109</v>
      </c>
      <c r="AP1596" s="1"/>
      <c r="AQ1596" s="1">
        <v>6</v>
      </c>
      <c r="AR1596" s="1"/>
      <c r="AS1596" s="1"/>
      <c r="AT1596" s="1">
        <v>0</v>
      </c>
      <c r="AU1596" s="1">
        <v>0</v>
      </c>
      <c r="AV1596" s="1">
        <v>0</v>
      </c>
      <c r="AW1596" s="1">
        <v>0</v>
      </c>
      <c r="AX1596" s="1">
        <v>0</v>
      </c>
      <c r="AY1596" s="1">
        <v>0</v>
      </c>
      <c r="AZ1596" s="1">
        <v>0</v>
      </c>
      <c r="BA1596" s="1">
        <v>0</v>
      </c>
      <c r="BB1596" s="1">
        <v>0</v>
      </c>
      <c r="BC1596" s="1">
        <v>0</v>
      </c>
      <c r="BD1596" s="1">
        <v>0</v>
      </c>
      <c r="BE1596" s="1">
        <v>0</v>
      </c>
      <c r="BF1596" s="1">
        <v>0</v>
      </c>
      <c r="BG1596" s="1">
        <v>0</v>
      </c>
      <c r="BH1596" s="1">
        <v>0</v>
      </c>
      <c r="BI1596" s="1">
        <v>0</v>
      </c>
      <c r="BJ1596" s="1">
        <v>0</v>
      </c>
      <c r="BK1596" s="1">
        <v>0</v>
      </c>
      <c r="BL1596" s="1">
        <v>0</v>
      </c>
      <c r="BM1596" s="1">
        <v>0</v>
      </c>
      <c r="BN1596" s="1">
        <v>0</v>
      </c>
      <c r="BO1596" s="1">
        <v>0</v>
      </c>
      <c r="BP1596" s="1">
        <v>0</v>
      </c>
      <c r="BQ1596" s="1">
        <v>0</v>
      </c>
      <c r="BR1596" s="1">
        <v>0</v>
      </c>
      <c r="BS1596" s="1" t="s">
        <v>109</v>
      </c>
      <c r="BT1596" s="1">
        <v>1662</v>
      </c>
      <c r="BU1596" s="1">
        <v>50</v>
      </c>
      <c r="BV1596" s="1"/>
      <c r="BW1596" s="1"/>
      <c r="BX1596" s="1"/>
      <c r="BY1596" s="1"/>
      <c r="BZ1596" s="1">
        <v>0</v>
      </c>
      <c r="CA1596" s="1" t="s">
        <v>109</v>
      </c>
      <c r="CB1596" s="1" t="s">
        <v>109</v>
      </c>
      <c r="CC1596" s="1" t="s">
        <v>109</v>
      </c>
      <c r="CD1596" s="1" t="s">
        <v>109</v>
      </c>
      <c r="CE1596" s="1" t="s">
        <v>109</v>
      </c>
      <c r="CF1596" s="1" t="s">
        <v>109</v>
      </c>
      <c r="CG1596" s="1" t="s">
        <v>109</v>
      </c>
      <c r="CH1596" s="1" t="s">
        <v>109</v>
      </c>
      <c r="CI1596" s="1" t="s">
        <v>109</v>
      </c>
      <c r="CJ1596" s="1" t="s">
        <v>109</v>
      </c>
      <c r="CK1596" s="1"/>
      <c r="CL1596" s="1">
        <v>0</v>
      </c>
      <c r="CM1596" s="1">
        <v>0</v>
      </c>
      <c r="CN1596" s="1">
        <v>0</v>
      </c>
    </row>
    <row r="1597" spans="1:92" ht="14.25" customHeight="1" x14ac:dyDescent="0.15">
      <c r="A1597" s="1" t="s">
        <v>12130</v>
      </c>
      <c r="B1597" s="1" t="s">
        <v>156</v>
      </c>
      <c r="C1597" s="1" t="s">
        <v>157</v>
      </c>
      <c r="D1597" s="1" t="s">
        <v>158</v>
      </c>
      <c r="E1597" s="1" t="s">
        <v>2387</v>
      </c>
      <c r="F1597" s="1" t="s">
        <v>98</v>
      </c>
      <c r="G1597" s="1" t="s">
        <v>160</v>
      </c>
      <c r="H1597" s="1">
        <v>0</v>
      </c>
      <c r="I1597" s="1" t="s">
        <v>12131</v>
      </c>
      <c r="J1597" s="1"/>
      <c r="K1597" s="1"/>
      <c r="L1597" s="1" t="s">
        <v>12132</v>
      </c>
      <c r="M1597" s="1" t="s">
        <v>12133</v>
      </c>
      <c r="N1597" s="1">
        <v>0</v>
      </c>
      <c r="O1597" s="1">
        <v>0</v>
      </c>
      <c r="P1597" s="1" t="s">
        <v>103</v>
      </c>
      <c r="Q1597" s="1" t="s">
        <v>167</v>
      </c>
      <c r="R1597" s="1" t="s">
        <v>12134</v>
      </c>
      <c r="S1597" s="1" t="s">
        <v>12135</v>
      </c>
      <c r="T1597" s="1" t="s">
        <v>12102</v>
      </c>
      <c r="U1597" s="1" t="s">
        <v>12136</v>
      </c>
      <c r="V1597" s="1">
        <v>1</v>
      </c>
      <c r="W1597" s="1">
        <v>1</v>
      </c>
      <c r="X1597" s="1">
        <v>0</v>
      </c>
      <c r="Y1597" s="1">
        <v>0</v>
      </c>
      <c r="Z1597" s="1">
        <v>1</v>
      </c>
      <c r="AA1597" s="1" t="s">
        <v>109</v>
      </c>
      <c r="AB1597" s="1" t="s">
        <v>109</v>
      </c>
      <c r="AC1597" s="1">
        <v>6</v>
      </c>
      <c r="AD1597" s="1" t="s">
        <v>109</v>
      </c>
      <c r="AE1597" s="1" t="s">
        <v>109</v>
      </c>
      <c r="AF1597" s="1" t="s">
        <v>109</v>
      </c>
      <c r="AG1597" s="1" t="s">
        <v>109</v>
      </c>
      <c r="AH1597" s="1" t="s">
        <v>109</v>
      </c>
      <c r="AI1597" s="1" t="s">
        <v>109</v>
      </c>
      <c r="AJ1597" s="1" t="s">
        <v>109</v>
      </c>
      <c r="AK1597" s="1" t="s">
        <v>109</v>
      </c>
      <c r="AL1597" s="1">
        <v>6</v>
      </c>
      <c r="AM1597" s="1" t="s">
        <v>109</v>
      </c>
      <c r="AN1597" s="1" t="s">
        <v>109</v>
      </c>
      <c r="AO1597" s="1" t="s">
        <v>109</v>
      </c>
      <c r="AP1597" s="1"/>
      <c r="AQ1597" s="1">
        <v>6</v>
      </c>
      <c r="AR1597" s="1"/>
      <c r="AS1597" s="1"/>
      <c r="AT1597" s="1">
        <v>0</v>
      </c>
      <c r="AU1597" s="1">
        <v>0</v>
      </c>
      <c r="AV1597" s="1">
        <v>0</v>
      </c>
      <c r="AW1597" s="1">
        <v>0</v>
      </c>
      <c r="AX1597" s="1">
        <v>0</v>
      </c>
      <c r="AY1597" s="1">
        <v>0</v>
      </c>
      <c r="AZ1597" s="1">
        <v>0</v>
      </c>
      <c r="BA1597" s="1">
        <v>0</v>
      </c>
      <c r="BB1597" s="1">
        <v>0</v>
      </c>
      <c r="BC1597" s="1">
        <v>0</v>
      </c>
      <c r="BD1597" s="1">
        <v>0</v>
      </c>
      <c r="BE1597" s="1">
        <v>0</v>
      </c>
      <c r="BF1597" s="1">
        <v>0</v>
      </c>
      <c r="BG1597" s="1">
        <v>0</v>
      </c>
      <c r="BH1597" s="1">
        <v>0</v>
      </c>
      <c r="BI1597" s="1">
        <v>0</v>
      </c>
      <c r="BJ1597" s="1">
        <v>0</v>
      </c>
      <c r="BK1597" s="1">
        <v>0</v>
      </c>
      <c r="BL1597" s="1">
        <v>0</v>
      </c>
      <c r="BM1597" s="1">
        <v>1</v>
      </c>
      <c r="BN1597" s="1">
        <v>0</v>
      </c>
      <c r="BO1597" s="1">
        <v>0</v>
      </c>
      <c r="BP1597" s="1">
        <v>0</v>
      </c>
      <c r="BQ1597" s="1">
        <v>0</v>
      </c>
      <c r="BR1597" s="1">
        <v>0</v>
      </c>
      <c r="BS1597" s="1" t="s">
        <v>109</v>
      </c>
      <c r="BT1597" s="1">
        <v>1663</v>
      </c>
      <c r="BU1597" s="1" t="s">
        <v>109</v>
      </c>
      <c r="BV1597" s="1"/>
      <c r="BW1597" s="1"/>
      <c r="BX1597" s="1"/>
      <c r="BY1597" s="1"/>
      <c r="BZ1597" s="1">
        <v>0</v>
      </c>
      <c r="CA1597" s="1" t="s">
        <v>109</v>
      </c>
      <c r="CB1597" s="1" t="s">
        <v>109</v>
      </c>
      <c r="CC1597" s="1" t="s">
        <v>109</v>
      </c>
      <c r="CD1597" s="1" t="s">
        <v>109</v>
      </c>
      <c r="CE1597" s="1" t="s">
        <v>109</v>
      </c>
      <c r="CF1597" s="1" t="s">
        <v>109</v>
      </c>
      <c r="CG1597" s="1" t="s">
        <v>109</v>
      </c>
      <c r="CH1597" s="1" t="s">
        <v>109</v>
      </c>
      <c r="CI1597" s="1" t="s">
        <v>109</v>
      </c>
      <c r="CJ1597" s="1" t="s">
        <v>109</v>
      </c>
      <c r="CK1597" s="1"/>
      <c r="CL1597" s="1">
        <v>0</v>
      </c>
      <c r="CM1597" s="1">
        <v>0</v>
      </c>
      <c r="CN1597" s="1">
        <v>0</v>
      </c>
    </row>
    <row r="1598" spans="1:92" ht="14.25" customHeight="1" x14ac:dyDescent="0.15">
      <c r="A1598" s="1" t="s">
        <v>12137</v>
      </c>
      <c r="B1598" s="1" t="s">
        <v>584</v>
      </c>
      <c r="C1598" s="1"/>
      <c r="D1598" s="1"/>
      <c r="E1598" s="1" t="s">
        <v>3320</v>
      </c>
      <c r="F1598" s="1" t="s">
        <v>395</v>
      </c>
      <c r="G1598" s="1" t="s">
        <v>12138</v>
      </c>
      <c r="H1598" s="1">
        <v>1</v>
      </c>
      <c r="I1598" s="1" t="s">
        <v>12131</v>
      </c>
      <c r="J1598" s="1"/>
      <c r="K1598" s="1"/>
      <c r="L1598" s="1" t="s">
        <v>12132</v>
      </c>
      <c r="M1598" s="1" t="s">
        <v>12133</v>
      </c>
      <c r="N1598" s="1">
        <v>0</v>
      </c>
      <c r="O1598" s="1">
        <v>0</v>
      </c>
      <c r="P1598" s="1" t="s">
        <v>1988</v>
      </c>
      <c r="Q1598" s="1" t="s">
        <v>268</v>
      </c>
      <c r="R1598" s="1" t="s">
        <v>12139</v>
      </c>
      <c r="S1598" s="1" t="s">
        <v>12140</v>
      </c>
      <c r="T1598" s="1" t="s">
        <v>12102</v>
      </c>
      <c r="U1598" s="1" t="s">
        <v>12141</v>
      </c>
      <c r="V1598" s="1">
        <v>1</v>
      </c>
      <c r="W1598" s="1">
        <v>1</v>
      </c>
      <c r="X1598" s="1">
        <v>0</v>
      </c>
      <c r="Y1598" s="1">
        <v>0</v>
      </c>
      <c r="Z1598" s="1">
        <v>0</v>
      </c>
      <c r="AA1598" s="1" t="s">
        <v>109</v>
      </c>
      <c r="AB1598" s="1" t="s">
        <v>109</v>
      </c>
      <c r="AC1598" s="1">
        <v>9</v>
      </c>
      <c r="AD1598" s="1" t="s">
        <v>109</v>
      </c>
      <c r="AE1598" s="1" t="s">
        <v>109</v>
      </c>
      <c r="AF1598" s="1" t="s">
        <v>109</v>
      </c>
      <c r="AG1598" s="1" t="s">
        <v>109</v>
      </c>
      <c r="AH1598" s="1" t="s">
        <v>109</v>
      </c>
      <c r="AI1598" s="1" t="s">
        <v>109</v>
      </c>
      <c r="AJ1598" s="1" t="s">
        <v>109</v>
      </c>
      <c r="AK1598" s="1" t="s">
        <v>109</v>
      </c>
      <c r="AL1598" s="1">
        <v>9</v>
      </c>
      <c r="AM1598" s="1" t="s">
        <v>109</v>
      </c>
      <c r="AN1598" s="1" t="s">
        <v>109</v>
      </c>
      <c r="AO1598" s="1" t="s">
        <v>109</v>
      </c>
      <c r="AP1598" s="1"/>
      <c r="AQ1598" s="1">
        <v>9</v>
      </c>
      <c r="AR1598" s="1"/>
      <c r="AS1598" s="1"/>
      <c r="AT1598" s="1">
        <v>0</v>
      </c>
      <c r="AU1598" s="1">
        <v>0</v>
      </c>
      <c r="AV1598" s="1">
        <v>0</v>
      </c>
      <c r="AW1598" s="1">
        <v>0</v>
      </c>
      <c r="AX1598" s="1">
        <v>0</v>
      </c>
      <c r="AY1598" s="1">
        <v>0</v>
      </c>
      <c r="AZ1598" s="1">
        <v>0</v>
      </c>
      <c r="BA1598" s="1">
        <v>0</v>
      </c>
      <c r="BB1598" s="1">
        <v>0</v>
      </c>
      <c r="BC1598" s="1">
        <v>0</v>
      </c>
      <c r="BD1598" s="1">
        <v>0</v>
      </c>
      <c r="BE1598" s="1">
        <v>0</v>
      </c>
      <c r="BF1598" s="1">
        <v>0</v>
      </c>
      <c r="BG1598" s="1">
        <v>0</v>
      </c>
      <c r="BH1598" s="1">
        <v>0</v>
      </c>
      <c r="BI1598" s="1">
        <v>0</v>
      </c>
      <c r="BJ1598" s="1">
        <v>0</v>
      </c>
      <c r="BK1598" s="1">
        <v>0</v>
      </c>
      <c r="BL1598" s="1">
        <v>0</v>
      </c>
      <c r="BM1598" s="1">
        <v>0</v>
      </c>
      <c r="BN1598" s="1">
        <v>0</v>
      </c>
      <c r="BO1598" s="1">
        <v>0</v>
      </c>
      <c r="BP1598" s="1">
        <v>0</v>
      </c>
      <c r="BQ1598" s="1">
        <v>0</v>
      </c>
      <c r="BR1598" s="1">
        <v>0</v>
      </c>
      <c r="BS1598" s="1" t="s">
        <v>109</v>
      </c>
      <c r="BT1598" s="1">
        <v>1664</v>
      </c>
      <c r="BU1598" s="1">
        <v>100</v>
      </c>
      <c r="BV1598" s="1"/>
      <c r="BW1598" s="1"/>
      <c r="BX1598" s="1"/>
      <c r="BY1598" s="1"/>
      <c r="BZ1598" s="1">
        <v>0</v>
      </c>
      <c r="CA1598" s="1" t="s">
        <v>109</v>
      </c>
      <c r="CB1598" s="1" t="s">
        <v>109</v>
      </c>
      <c r="CC1598" s="1" t="s">
        <v>109</v>
      </c>
      <c r="CD1598" s="1" t="s">
        <v>109</v>
      </c>
      <c r="CE1598" s="1" t="s">
        <v>109</v>
      </c>
      <c r="CF1598" s="1" t="s">
        <v>109</v>
      </c>
      <c r="CG1598" s="1" t="s">
        <v>109</v>
      </c>
      <c r="CH1598" s="1" t="s">
        <v>109</v>
      </c>
      <c r="CI1598" s="1" t="s">
        <v>109</v>
      </c>
      <c r="CJ1598" s="1" t="s">
        <v>109</v>
      </c>
      <c r="CK1598" s="1"/>
      <c r="CL1598" s="1">
        <v>0</v>
      </c>
      <c r="CM1598" s="1">
        <v>0</v>
      </c>
      <c r="CN1598" s="1">
        <v>0</v>
      </c>
    </row>
    <row r="1599" spans="1:92" ht="14.25" customHeight="1" x14ac:dyDescent="0.15">
      <c r="A1599" s="1" t="s">
        <v>12142</v>
      </c>
      <c r="B1599" s="1" t="s">
        <v>254</v>
      </c>
      <c r="C1599" s="1"/>
      <c r="D1599" s="1"/>
      <c r="E1599" s="1" t="s">
        <v>12143</v>
      </c>
      <c r="F1599" s="1" t="s">
        <v>98</v>
      </c>
      <c r="G1599" s="1" t="s">
        <v>141</v>
      </c>
      <c r="H1599" s="1">
        <v>0</v>
      </c>
      <c r="I1599" s="1" t="s">
        <v>12131</v>
      </c>
      <c r="J1599" s="1"/>
      <c r="K1599" s="1"/>
      <c r="L1599" s="1" t="s">
        <v>12132</v>
      </c>
      <c r="M1599" s="1" t="s">
        <v>12133</v>
      </c>
      <c r="N1599" s="1">
        <v>0</v>
      </c>
      <c r="O1599" s="1">
        <v>0</v>
      </c>
      <c r="P1599" s="1" t="s">
        <v>103</v>
      </c>
      <c r="Q1599" s="1" t="s">
        <v>104</v>
      </c>
      <c r="R1599" s="1" t="s">
        <v>12144</v>
      </c>
      <c r="S1599" s="1" t="s">
        <v>12145</v>
      </c>
      <c r="T1599" s="1" t="s">
        <v>12102</v>
      </c>
      <c r="U1599" s="1" t="s">
        <v>12146</v>
      </c>
      <c r="V1599" s="1">
        <v>1</v>
      </c>
      <c r="W1599" s="1">
        <v>1</v>
      </c>
      <c r="X1599" s="1">
        <v>0</v>
      </c>
      <c r="Y1599" s="1">
        <v>0</v>
      </c>
      <c r="Z1599" s="1">
        <v>0</v>
      </c>
      <c r="AA1599" s="1" t="s">
        <v>109</v>
      </c>
      <c r="AB1599" s="1" t="s">
        <v>109</v>
      </c>
      <c r="AC1599" s="1" t="s">
        <v>109</v>
      </c>
      <c r="AD1599" s="1" t="s">
        <v>109</v>
      </c>
      <c r="AE1599" s="1" t="s">
        <v>109</v>
      </c>
      <c r="AF1599" s="1">
        <v>6</v>
      </c>
      <c r="AG1599" s="1" t="s">
        <v>109</v>
      </c>
      <c r="AH1599" s="1" t="s">
        <v>109</v>
      </c>
      <c r="AI1599" s="1" t="s">
        <v>109</v>
      </c>
      <c r="AJ1599" s="1" t="s">
        <v>109</v>
      </c>
      <c r="AK1599" s="1">
        <v>6</v>
      </c>
      <c r="AL1599" s="1" t="s">
        <v>109</v>
      </c>
      <c r="AM1599" s="1" t="s">
        <v>109</v>
      </c>
      <c r="AN1599" s="1" t="s">
        <v>109</v>
      </c>
      <c r="AO1599" s="1" t="s">
        <v>109</v>
      </c>
      <c r="AP1599" s="1"/>
      <c r="AQ1599" s="1">
        <v>6</v>
      </c>
      <c r="AR1599" s="1"/>
      <c r="AS1599" s="1"/>
      <c r="AT1599" s="1">
        <v>0</v>
      </c>
      <c r="AU1599" s="1">
        <v>0</v>
      </c>
      <c r="AV1599" s="1">
        <v>0</v>
      </c>
      <c r="AW1599" s="1">
        <v>0</v>
      </c>
      <c r="AX1599" s="1">
        <v>0</v>
      </c>
      <c r="AY1599" s="1">
        <v>0</v>
      </c>
      <c r="AZ1599" s="1">
        <v>0</v>
      </c>
      <c r="BA1599" s="1">
        <v>0</v>
      </c>
      <c r="BB1599" s="1">
        <v>0</v>
      </c>
      <c r="BC1599" s="1">
        <v>0</v>
      </c>
      <c r="BD1599" s="1">
        <v>0</v>
      </c>
      <c r="BE1599" s="1">
        <v>0</v>
      </c>
      <c r="BF1599" s="1">
        <v>0</v>
      </c>
      <c r="BG1599" s="1">
        <v>0</v>
      </c>
      <c r="BH1599" s="1">
        <v>0</v>
      </c>
      <c r="BI1599" s="1">
        <v>0</v>
      </c>
      <c r="BJ1599" s="1">
        <v>0</v>
      </c>
      <c r="BK1599" s="1">
        <v>0</v>
      </c>
      <c r="BL1599" s="1">
        <v>0</v>
      </c>
      <c r="BM1599" s="1">
        <v>0</v>
      </c>
      <c r="BN1599" s="1">
        <v>0</v>
      </c>
      <c r="BO1599" s="1">
        <v>0</v>
      </c>
      <c r="BP1599" s="1">
        <v>0</v>
      </c>
      <c r="BQ1599" s="1">
        <v>0</v>
      </c>
      <c r="BR1599" s="1">
        <v>0</v>
      </c>
      <c r="BS1599" s="1" t="s">
        <v>109</v>
      </c>
      <c r="BT1599" s="1">
        <v>1665</v>
      </c>
      <c r="BU1599" s="1" t="s">
        <v>109</v>
      </c>
      <c r="BV1599" s="1"/>
      <c r="BW1599" s="1"/>
      <c r="BX1599" s="1"/>
      <c r="BY1599" s="1"/>
      <c r="BZ1599" s="1">
        <v>0</v>
      </c>
      <c r="CA1599" s="1" t="s">
        <v>109</v>
      </c>
      <c r="CB1599" s="1" t="s">
        <v>109</v>
      </c>
      <c r="CC1599" s="1" t="s">
        <v>109</v>
      </c>
      <c r="CD1599" s="1" t="s">
        <v>109</v>
      </c>
      <c r="CE1599" s="1" t="s">
        <v>109</v>
      </c>
      <c r="CF1599" s="1" t="s">
        <v>109</v>
      </c>
      <c r="CG1599" s="1" t="s">
        <v>109</v>
      </c>
      <c r="CH1599" s="1" t="s">
        <v>109</v>
      </c>
      <c r="CI1599" s="1" t="s">
        <v>109</v>
      </c>
      <c r="CJ1599" s="1" t="s">
        <v>109</v>
      </c>
      <c r="CK1599" s="1"/>
      <c r="CL1599" s="1">
        <v>0</v>
      </c>
      <c r="CM1599" s="1">
        <v>0</v>
      </c>
      <c r="CN1599" s="1">
        <v>0</v>
      </c>
    </row>
    <row r="1600" spans="1:92" ht="14.25" customHeight="1" x14ac:dyDescent="0.15">
      <c r="A1600" s="1" t="s">
        <v>12147</v>
      </c>
      <c r="B1600" s="1" t="s">
        <v>189</v>
      </c>
      <c r="C1600" s="1"/>
      <c r="D1600" s="1"/>
      <c r="E1600" s="1" t="s">
        <v>12148</v>
      </c>
      <c r="F1600" s="1" t="s">
        <v>3444</v>
      </c>
      <c r="G1600" s="1" t="s">
        <v>160</v>
      </c>
      <c r="H1600" s="1">
        <v>0</v>
      </c>
      <c r="I1600" s="1" t="s">
        <v>12149</v>
      </c>
      <c r="J1600" s="1"/>
      <c r="K1600" s="1"/>
      <c r="L1600" s="1" t="s">
        <v>12150</v>
      </c>
      <c r="M1600" s="1" t="s">
        <v>12151</v>
      </c>
      <c r="N1600" s="1">
        <v>0</v>
      </c>
      <c r="O1600" s="1">
        <v>0</v>
      </c>
      <c r="P1600" s="1" t="s">
        <v>2475</v>
      </c>
      <c r="Q1600" s="1" t="s">
        <v>268</v>
      </c>
      <c r="R1600" s="1" t="s">
        <v>12152</v>
      </c>
      <c r="S1600" s="1" t="s">
        <v>12153</v>
      </c>
      <c r="T1600" s="1" t="s">
        <v>12102</v>
      </c>
      <c r="U1600" s="1" t="s">
        <v>12154</v>
      </c>
      <c r="V1600" s="1">
        <v>1</v>
      </c>
      <c r="W1600" s="1">
        <v>1</v>
      </c>
      <c r="X1600" s="1">
        <v>0</v>
      </c>
      <c r="Y1600" s="1">
        <v>0</v>
      </c>
      <c r="Z1600" s="1">
        <v>1</v>
      </c>
      <c r="AA1600" s="1" t="s">
        <v>109</v>
      </c>
      <c r="AB1600" s="1" t="s">
        <v>109</v>
      </c>
      <c r="AC1600" s="1">
        <v>1</v>
      </c>
      <c r="AD1600" s="1" t="s">
        <v>109</v>
      </c>
      <c r="AE1600" s="1" t="s">
        <v>109</v>
      </c>
      <c r="AF1600" s="1" t="s">
        <v>109</v>
      </c>
      <c r="AG1600" s="1" t="s">
        <v>109</v>
      </c>
      <c r="AH1600" s="1" t="s">
        <v>109</v>
      </c>
      <c r="AI1600" s="1" t="s">
        <v>109</v>
      </c>
      <c r="AJ1600" s="1" t="s">
        <v>109</v>
      </c>
      <c r="AK1600" s="1" t="s">
        <v>109</v>
      </c>
      <c r="AL1600" s="1">
        <v>1</v>
      </c>
      <c r="AM1600" s="1" t="s">
        <v>109</v>
      </c>
      <c r="AN1600" s="1" t="s">
        <v>109</v>
      </c>
      <c r="AO1600" s="1" t="s">
        <v>109</v>
      </c>
      <c r="AP1600" s="1"/>
      <c r="AQ1600" s="1">
        <v>1</v>
      </c>
      <c r="AR1600" s="1"/>
      <c r="AS1600" s="1"/>
      <c r="AT1600" s="1">
        <v>0</v>
      </c>
      <c r="AU1600" s="1">
        <v>0</v>
      </c>
      <c r="AV1600" s="1">
        <v>0</v>
      </c>
      <c r="AW1600" s="1">
        <v>0</v>
      </c>
      <c r="AX1600" s="1">
        <v>0</v>
      </c>
      <c r="AY1600" s="1">
        <v>0</v>
      </c>
      <c r="AZ1600" s="1">
        <v>0</v>
      </c>
      <c r="BA1600" s="1">
        <v>0</v>
      </c>
      <c r="BB1600" s="1">
        <v>0</v>
      </c>
      <c r="BC1600" s="1">
        <v>0</v>
      </c>
      <c r="BD1600" s="1">
        <v>0</v>
      </c>
      <c r="BE1600" s="1">
        <v>0</v>
      </c>
      <c r="BF1600" s="1">
        <v>0</v>
      </c>
      <c r="BG1600" s="1">
        <v>0</v>
      </c>
      <c r="BH1600" s="1">
        <v>0</v>
      </c>
      <c r="BI1600" s="1">
        <v>0</v>
      </c>
      <c r="BJ1600" s="1">
        <v>0</v>
      </c>
      <c r="BK1600" s="1">
        <v>0</v>
      </c>
      <c r="BL1600" s="1">
        <v>0</v>
      </c>
      <c r="BM1600" s="1">
        <v>0</v>
      </c>
      <c r="BN1600" s="1">
        <v>0</v>
      </c>
      <c r="BO1600" s="1">
        <v>0</v>
      </c>
      <c r="BP1600" s="1">
        <v>0</v>
      </c>
      <c r="BQ1600" s="1">
        <v>0</v>
      </c>
      <c r="BR1600" s="1">
        <v>0</v>
      </c>
      <c r="BS1600" s="1" t="s">
        <v>109</v>
      </c>
      <c r="BT1600" s="1">
        <v>1666</v>
      </c>
      <c r="BU1600" s="1" t="s">
        <v>109</v>
      </c>
      <c r="BV1600" s="1"/>
      <c r="BW1600" s="1"/>
      <c r="BX1600" s="1"/>
      <c r="BY1600" s="1"/>
      <c r="BZ1600" s="1">
        <v>0</v>
      </c>
      <c r="CA1600" s="1" t="s">
        <v>109</v>
      </c>
      <c r="CB1600" s="1" t="s">
        <v>109</v>
      </c>
      <c r="CC1600" s="1" t="s">
        <v>109</v>
      </c>
      <c r="CD1600" s="1" t="s">
        <v>109</v>
      </c>
      <c r="CE1600" s="1" t="s">
        <v>109</v>
      </c>
      <c r="CF1600" s="1" t="s">
        <v>109</v>
      </c>
      <c r="CG1600" s="1" t="s">
        <v>109</v>
      </c>
      <c r="CH1600" s="1" t="s">
        <v>109</v>
      </c>
      <c r="CI1600" s="1" t="s">
        <v>109</v>
      </c>
      <c r="CJ1600" s="1" t="s">
        <v>109</v>
      </c>
      <c r="CK1600" s="1"/>
      <c r="CL1600" s="1">
        <v>0</v>
      </c>
      <c r="CM1600" s="1">
        <v>0</v>
      </c>
      <c r="CN1600" s="1">
        <v>0</v>
      </c>
    </row>
    <row r="1601" spans="1:92" ht="14.25" customHeight="1" x14ac:dyDescent="0.15">
      <c r="A1601" s="1" t="s">
        <v>12155</v>
      </c>
      <c r="B1601" s="1" t="s">
        <v>242</v>
      </c>
      <c r="C1601" s="1"/>
      <c r="D1601" s="1"/>
      <c r="E1601" s="1" t="s">
        <v>12156</v>
      </c>
      <c r="F1601" s="1" t="s">
        <v>98</v>
      </c>
      <c r="G1601" s="1" t="s">
        <v>12157</v>
      </c>
      <c r="H1601" s="1">
        <v>0</v>
      </c>
      <c r="I1601" s="1" t="s">
        <v>235</v>
      </c>
      <c r="J1601" s="1"/>
      <c r="K1601" s="1"/>
      <c r="L1601" s="1" t="s">
        <v>236</v>
      </c>
      <c r="M1601" s="1" t="s">
        <v>125</v>
      </c>
      <c r="N1601" s="1">
        <v>0</v>
      </c>
      <c r="O1601" s="1">
        <v>0</v>
      </c>
      <c r="P1601" s="1"/>
      <c r="Q1601" s="1"/>
      <c r="R1601" s="1" t="s">
        <v>12158</v>
      </c>
      <c r="S1601" s="1" t="s">
        <v>12159</v>
      </c>
      <c r="T1601" s="1" t="s">
        <v>12160</v>
      </c>
      <c r="U1601" s="1" t="s">
        <v>12161</v>
      </c>
      <c r="V1601" s="1">
        <v>1</v>
      </c>
      <c r="W1601" s="1">
        <v>1</v>
      </c>
      <c r="X1601" s="1">
        <v>1</v>
      </c>
      <c r="Y1601" s="1">
        <v>0</v>
      </c>
      <c r="Z1601" s="1">
        <v>0</v>
      </c>
      <c r="AA1601" s="1">
        <v>3</v>
      </c>
      <c r="AB1601" s="1">
        <v>3</v>
      </c>
      <c r="AC1601" s="1">
        <v>3</v>
      </c>
      <c r="AD1601" s="1">
        <v>2</v>
      </c>
      <c r="AE1601" s="1" t="s">
        <v>109</v>
      </c>
      <c r="AF1601" s="1" t="s">
        <v>109</v>
      </c>
      <c r="AG1601" s="1" t="s">
        <v>109</v>
      </c>
      <c r="AH1601" s="1">
        <v>3</v>
      </c>
      <c r="AI1601" s="1" t="s">
        <v>109</v>
      </c>
      <c r="AJ1601" s="1" t="s">
        <v>109</v>
      </c>
      <c r="AK1601" s="1" t="s">
        <v>109</v>
      </c>
      <c r="AL1601" s="1">
        <v>3</v>
      </c>
      <c r="AM1601" s="1" t="s">
        <v>109</v>
      </c>
      <c r="AN1601" s="1" t="s">
        <v>109</v>
      </c>
      <c r="AO1601" s="1" t="s">
        <v>109</v>
      </c>
      <c r="AP1601" s="1"/>
      <c r="AQ1601" s="1">
        <v>3</v>
      </c>
      <c r="AR1601" s="1"/>
      <c r="AS1601" s="1"/>
      <c r="AT1601" s="1">
        <v>0</v>
      </c>
      <c r="AU1601" s="1">
        <v>0</v>
      </c>
      <c r="AV1601" s="1">
        <v>0</v>
      </c>
      <c r="AW1601" s="1">
        <v>0</v>
      </c>
      <c r="AX1601" s="1">
        <v>0</v>
      </c>
      <c r="AY1601" s="1">
        <v>0</v>
      </c>
      <c r="AZ1601" s="1">
        <v>0</v>
      </c>
      <c r="BA1601" s="1">
        <v>0</v>
      </c>
      <c r="BB1601" s="1">
        <v>0</v>
      </c>
      <c r="BC1601" s="1">
        <v>0</v>
      </c>
      <c r="BD1601" s="1">
        <v>0</v>
      </c>
      <c r="BE1601" s="1">
        <v>0</v>
      </c>
      <c r="BF1601" s="1">
        <v>0</v>
      </c>
      <c r="BG1601" s="1">
        <v>0</v>
      </c>
      <c r="BH1601" s="1">
        <v>0</v>
      </c>
      <c r="BI1601" s="1">
        <v>0</v>
      </c>
      <c r="BJ1601" s="1">
        <v>0</v>
      </c>
      <c r="BK1601" s="1">
        <v>0</v>
      </c>
      <c r="BL1601" s="1">
        <v>0</v>
      </c>
      <c r="BM1601" s="1">
        <v>0</v>
      </c>
      <c r="BN1601" s="1">
        <v>0</v>
      </c>
      <c r="BO1601" s="1">
        <v>0</v>
      </c>
      <c r="BP1601" s="1">
        <v>0</v>
      </c>
      <c r="BQ1601" s="1">
        <v>0</v>
      </c>
      <c r="BR1601" s="1">
        <v>0</v>
      </c>
      <c r="BS1601" s="1" t="s">
        <v>109</v>
      </c>
      <c r="BT1601" s="1">
        <v>1668</v>
      </c>
      <c r="BU1601" s="1" t="s">
        <v>109</v>
      </c>
      <c r="BV1601" s="1"/>
      <c r="BW1601" s="1"/>
      <c r="BX1601" s="1"/>
      <c r="BY1601" s="1"/>
      <c r="BZ1601" s="1">
        <v>0</v>
      </c>
      <c r="CA1601" s="1" t="s">
        <v>109</v>
      </c>
      <c r="CB1601" s="1" t="s">
        <v>109</v>
      </c>
      <c r="CC1601" s="1" t="s">
        <v>109</v>
      </c>
      <c r="CD1601" s="1" t="s">
        <v>109</v>
      </c>
      <c r="CE1601" s="1" t="s">
        <v>109</v>
      </c>
      <c r="CF1601" s="1" t="s">
        <v>109</v>
      </c>
      <c r="CG1601" s="1" t="s">
        <v>109</v>
      </c>
      <c r="CH1601" s="1" t="s">
        <v>109</v>
      </c>
      <c r="CI1601" s="1" t="s">
        <v>109</v>
      </c>
      <c r="CJ1601" s="1">
        <v>2</v>
      </c>
      <c r="CK1601" s="1"/>
      <c r="CL1601" s="1">
        <v>0</v>
      </c>
      <c r="CM1601" s="1">
        <v>0</v>
      </c>
      <c r="CN1601" s="1">
        <v>0</v>
      </c>
    </row>
    <row r="1602" spans="1:92" ht="14.25" customHeight="1" x14ac:dyDescent="0.15">
      <c r="A1602" s="1" t="s">
        <v>12162</v>
      </c>
      <c r="B1602" s="1" t="s">
        <v>242</v>
      </c>
      <c r="C1602" s="1"/>
      <c r="D1602" s="1"/>
      <c r="E1602" s="1" t="s">
        <v>8836</v>
      </c>
      <c r="F1602" s="1" t="s">
        <v>98</v>
      </c>
      <c r="G1602" s="1" t="s">
        <v>141</v>
      </c>
      <c r="H1602" s="1">
        <v>0</v>
      </c>
      <c r="I1602" s="1" t="s">
        <v>5737</v>
      </c>
      <c r="J1602" s="1"/>
      <c r="K1602" s="1"/>
      <c r="L1602" s="1" t="s">
        <v>12163</v>
      </c>
      <c r="M1602" s="1" t="s">
        <v>574</v>
      </c>
      <c r="N1602" s="1">
        <v>1</v>
      </c>
      <c r="O1602" s="1">
        <v>0</v>
      </c>
      <c r="P1602" s="1" t="s">
        <v>267</v>
      </c>
      <c r="Q1602" s="1" t="s">
        <v>268</v>
      </c>
      <c r="R1602" s="1" t="s">
        <v>12164</v>
      </c>
      <c r="S1602" s="1" t="s">
        <v>12165</v>
      </c>
      <c r="T1602" s="1" t="s">
        <v>12160</v>
      </c>
      <c r="U1602" s="1" t="s">
        <v>12166</v>
      </c>
      <c r="V1602" s="1">
        <v>1</v>
      </c>
      <c r="W1602" s="1">
        <v>1</v>
      </c>
      <c r="X1602" s="1">
        <v>0</v>
      </c>
      <c r="Y1602" s="1">
        <v>0</v>
      </c>
      <c r="Z1602" s="1">
        <v>0</v>
      </c>
      <c r="AA1602" s="1">
        <v>5</v>
      </c>
      <c r="AB1602" s="1">
        <v>5</v>
      </c>
      <c r="AC1602" s="1" t="s">
        <v>109</v>
      </c>
      <c r="AD1602" s="1" t="s">
        <v>109</v>
      </c>
      <c r="AE1602" s="1" t="s">
        <v>109</v>
      </c>
      <c r="AF1602" s="1" t="s">
        <v>109</v>
      </c>
      <c r="AG1602" s="1" t="s">
        <v>109</v>
      </c>
      <c r="AH1602" s="1" t="s">
        <v>109</v>
      </c>
      <c r="AI1602" s="1" t="s">
        <v>109</v>
      </c>
      <c r="AJ1602" s="1">
        <v>5</v>
      </c>
      <c r="AK1602" s="1" t="s">
        <v>109</v>
      </c>
      <c r="AL1602" s="1" t="s">
        <v>109</v>
      </c>
      <c r="AM1602" s="1" t="s">
        <v>109</v>
      </c>
      <c r="AN1602" s="1" t="s">
        <v>109</v>
      </c>
      <c r="AO1602" s="1" t="s">
        <v>109</v>
      </c>
      <c r="AP1602" s="1"/>
      <c r="AQ1602" s="1">
        <v>5</v>
      </c>
      <c r="AR1602" s="1"/>
      <c r="AS1602" s="1"/>
      <c r="AT1602" s="1">
        <v>0</v>
      </c>
      <c r="AU1602" s="1">
        <v>0</v>
      </c>
      <c r="AV1602" s="1">
        <v>0</v>
      </c>
      <c r="AW1602" s="1">
        <v>0</v>
      </c>
      <c r="AX1602" s="1">
        <v>0</v>
      </c>
      <c r="AY1602" s="1">
        <v>0</v>
      </c>
      <c r="AZ1602" s="1">
        <v>0</v>
      </c>
      <c r="BA1602" s="1">
        <v>0</v>
      </c>
      <c r="BB1602" s="1">
        <v>0</v>
      </c>
      <c r="BC1602" s="1">
        <v>0</v>
      </c>
      <c r="BD1602" s="1">
        <v>0</v>
      </c>
      <c r="BE1602" s="1">
        <v>0</v>
      </c>
      <c r="BF1602" s="1">
        <v>0</v>
      </c>
      <c r="BG1602" s="1">
        <v>0</v>
      </c>
      <c r="BH1602" s="1">
        <v>0</v>
      </c>
      <c r="BI1602" s="1">
        <v>0</v>
      </c>
      <c r="BJ1602" s="1">
        <v>0</v>
      </c>
      <c r="BK1602" s="1">
        <v>0</v>
      </c>
      <c r="BL1602" s="1">
        <v>0</v>
      </c>
      <c r="BM1602" s="1">
        <v>0</v>
      </c>
      <c r="BN1602" s="1">
        <v>0</v>
      </c>
      <c r="BO1602" s="1">
        <v>0</v>
      </c>
      <c r="BP1602" s="1">
        <v>0</v>
      </c>
      <c r="BQ1602" s="1">
        <v>0</v>
      </c>
      <c r="BR1602" s="1">
        <v>0</v>
      </c>
      <c r="BS1602" s="1" t="s">
        <v>109</v>
      </c>
      <c r="BT1602" s="1">
        <v>1669</v>
      </c>
      <c r="BU1602" s="1" t="s">
        <v>109</v>
      </c>
      <c r="BV1602" s="1"/>
      <c r="BW1602" s="1"/>
      <c r="BX1602" s="1"/>
      <c r="BY1602" s="1"/>
      <c r="BZ1602" s="1">
        <v>0</v>
      </c>
      <c r="CA1602" s="1" t="s">
        <v>109</v>
      </c>
      <c r="CB1602" s="1" t="s">
        <v>109</v>
      </c>
      <c r="CC1602" s="1" t="s">
        <v>109</v>
      </c>
      <c r="CD1602" s="1" t="s">
        <v>109</v>
      </c>
      <c r="CE1602" s="1" t="s">
        <v>109</v>
      </c>
      <c r="CF1602" s="1" t="s">
        <v>109</v>
      </c>
      <c r="CG1602" s="1" t="s">
        <v>109</v>
      </c>
      <c r="CH1602" s="1" t="s">
        <v>109</v>
      </c>
      <c r="CI1602" s="1" t="s">
        <v>109</v>
      </c>
      <c r="CJ1602" s="1" t="s">
        <v>109</v>
      </c>
      <c r="CK1602" s="1"/>
      <c r="CL1602" s="1">
        <v>0</v>
      </c>
      <c r="CM1602" s="1">
        <v>0</v>
      </c>
      <c r="CN1602" s="1">
        <v>0</v>
      </c>
    </row>
    <row r="1603" spans="1:92" ht="14.25" customHeight="1" x14ac:dyDescent="0.15">
      <c r="A1603" s="1" t="s">
        <v>12167</v>
      </c>
      <c r="B1603" s="1" t="s">
        <v>189</v>
      </c>
      <c r="C1603" s="1"/>
      <c r="D1603" s="1"/>
      <c r="E1603" s="1" t="s">
        <v>9845</v>
      </c>
      <c r="F1603" s="1" t="s">
        <v>98</v>
      </c>
      <c r="G1603" s="1" t="s">
        <v>141</v>
      </c>
      <c r="H1603" s="1">
        <v>0</v>
      </c>
      <c r="I1603" s="1" t="s">
        <v>235</v>
      </c>
      <c r="J1603" s="1"/>
      <c r="K1603" s="1"/>
      <c r="L1603" s="1" t="s">
        <v>236</v>
      </c>
      <c r="M1603" s="1" t="s">
        <v>3042</v>
      </c>
      <c r="N1603" s="1">
        <v>0</v>
      </c>
      <c r="O1603" s="1">
        <v>0</v>
      </c>
      <c r="P1603" s="1"/>
      <c r="Q1603" s="1"/>
      <c r="R1603" s="1" t="s">
        <v>12168</v>
      </c>
      <c r="S1603" s="1" t="s">
        <v>12169</v>
      </c>
      <c r="T1603" s="1" t="s">
        <v>12160</v>
      </c>
      <c r="U1603" s="1" t="s">
        <v>12170</v>
      </c>
      <c r="V1603" s="1">
        <v>1</v>
      </c>
      <c r="W1603" s="1">
        <v>1</v>
      </c>
      <c r="X1603" s="1">
        <v>0</v>
      </c>
      <c r="Y1603" s="1">
        <v>0</v>
      </c>
      <c r="Z1603" s="1">
        <v>0</v>
      </c>
      <c r="AA1603" s="1">
        <v>2</v>
      </c>
      <c r="AB1603" s="1">
        <v>2</v>
      </c>
      <c r="AC1603" s="1" t="s">
        <v>109</v>
      </c>
      <c r="AD1603" s="1" t="s">
        <v>109</v>
      </c>
      <c r="AE1603" s="1" t="s">
        <v>109</v>
      </c>
      <c r="AF1603" s="1">
        <v>2</v>
      </c>
      <c r="AG1603" s="1" t="s">
        <v>109</v>
      </c>
      <c r="AH1603" s="1">
        <v>2</v>
      </c>
      <c r="AI1603" s="1" t="s">
        <v>109</v>
      </c>
      <c r="AJ1603" s="1">
        <v>2</v>
      </c>
      <c r="AK1603" s="1" t="s">
        <v>109</v>
      </c>
      <c r="AL1603" s="1" t="s">
        <v>109</v>
      </c>
      <c r="AM1603" s="1" t="s">
        <v>109</v>
      </c>
      <c r="AN1603" s="1" t="s">
        <v>109</v>
      </c>
      <c r="AO1603" s="1" t="s">
        <v>109</v>
      </c>
      <c r="AP1603" s="1"/>
      <c r="AQ1603" s="1">
        <v>2</v>
      </c>
      <c r="AR1603" s="1"/>
      <c r="AS1603" s="1"/>
      <c r="AT1603" s="1">
        <v>0</v>
      </c>
      <c r="AU1603" s="1">
        <v>0</v>
      </c>
      <c r="AV1603" s="1">
        <v>0</v>
      </c>
      <c r="AW1603" s="1">
        <v>0</v>
      </c>
      <c r="AX1603" s="1">
        <v>0</v>
      </c>
      <c r="AY1603" s="1">
        <v>0</v>
      </c>
      <c r="AZ1603" s="1">
        <v>0</v>
      </c>
      <c r="BA1603" s="1">
        <v>0</v>
      </c>
      <c r="BB1603" s="1">
        <v>0</v>
      </c>
      <c r="BC1603" s="1">
        <v>0</v>
      </c>
      <c r="BD1603" s="1">
        <v>0</v>
      </c>
      <c r="BE1603" s="1">
        <v>0</v>
      </c>
      <c r="BF1603" s="1">
        <v>0</v>
      </c>
      <c r="BG1603" s="1">
        <v>0</v>
      </c>
      <c r="BH1603" s="1">
        <v>0</v>
      </c>
      <c r="BI1603" s="1">
        <v>0</v>
      </c>
      <c r="BJ1603" s="1">
        <v>0</v>
      </c>
      <c r="BK1603" s="1">
        <v>0</v>
      </c>
      <c r="BL1603" s="1">
        <v>0</v>
      </c>
      <c r="BM1603" s="1">
        <v>0</v>
      </c>
      <c r="BN1603" s="1">
        <v>0</v>
      </c>
      <c r="BO1603" s="1">
        <v>0</v>
      </c>
      <c r="BP1603" s="1">
        <v>0</v>
      </c>
      <c r="BQ1603" s="1">
        <v>0</v>
      </c>
      <c r="BR1603" s="1">
        <v>0</v>
      </c>
      <c r="BS1603" s="1" t="s">
        <v>109</v>
      </c>
      <c r="BT1603" s="1">
        <v>1670</v>
      </c>
      <c r="BU1603" s="1" t="s">
        <v>109</v>
      </c>
      <c r="BV1603" s="1"/>
      <c r="BW1603" s="1"/>
      <c r="BX1603" s="1"/>
      <c r="BY1603" s="1"/>
      <c r="BZ1603" s="1">
        <v>0</v>
      </c>
      <c r="CA1603" s="1" t="s">
        <v>109</v>
      </c>
      <c r="CB1603" s="1" t="s">
        <v>109</v>
      </c>
      <c r="CC1603" s="1" t="s">
        <v>109</v>
      </c>
      <c r="CD1603" s="1" t="s">
        <v>109</v>
      </c>
      <c r="CE1603" s="1" t="s">
        <v>109</v>
      </c>
      <c r="CF1603" s="1" t="s">
        <v>109</v>
      </c>
      <c r="CG1603" s="1" t="s">
        <v>109</v>
      </c>
      <c r="CH1603" s="1" t="s">
        <v>109</v>
      </c>
      <c r="CI1603" s="1" t="s">
        <v>109</v>
      </c>
      <c r="CJ1603" s="1" t="s">
        <v>109</v>
      </c>
      <c r="CK1603" s="1"/>
      <c r="CL1603" s="1">
        <v>0</v>
      </c>
      <c r="CM1603" s="1">
        <v>0</v>
      </c>
      <c r="CN1603" s="1">
        <v>0</v>
      </c>
    </row>
    <row r="1604" spans="1:92" ht="14.25" customHeight="1" x14ac:dyDescent="0.15">
      <c r="A1604" s="1" t="s">
        <v>12171</v>
      </c>
      <c r="B1604" s="1" t="s">
        <v>254</v>
      </c>
      <c r="C1604" s="1"/>
      <c r="D1604" s="1"/>
      <c r="E1604" s="1" t="s">
        <v>12172</v>
      </c>
      <c r="F1604" s="1" t="s">
        <v>98</v>
      </c>
      <c r="G1604" s="1" t="s">
        <v>12173</v>
      </c>
      <c r="H1604" s="1">
        <v>1</v>
      </c>
      <c r="I1604" s="1" t="s">
        <v>235</v>
      </c>
      <c r="J1604" s="1" t="s">
        <v>12174</v>
      </c>
      <c r="K1604" s="1"/>
      <c r="L1604" s="1"/>
      <c r="M1604" s="1" t="s">
        <v>144</v>
      </c>
      <c r="N1604" s="1">
        <v>0</v>
      </c>
      <c r="O1604" s="1">
        <v>0</v>
      </c>
      <c r="P1604" s="1"/>
      <c r="Q1604" s="1"/>
      <c r="R1604" s="1" t="s">
        <v>12175</v>
      </c>
      <c r="S1604" s="1" t="s">
        <v>12176</v>
      </c>
      <c r="T1604" s="1" t="s">
        <v>12160</v>
      </c>
      <c r="U1604" s="1" t="s">
        <v>12177</v>
      </c>
      <c r="V1604" s="1">
        <v>1</v>
      </c>
      <c r="W1604" s="1">
        <v>1</v>
      </c>
      <c r="X1604" s="1">
        <v>0</v>
      </c>
      <c r="Y1604" s="1">
        <v>0</v>
      </c>
      <c r="Z1604" s="1">
        <v>0</v>
      </c>
      <c r="AA1604" s="1">
        <v>5</v>
      </c>
      <c r="AB1604" s="1">
        <v>5</v>
      </c>
      <c r="AC1604" s="1">
        <v>5</v>
      </c>
      <c r="AD1604" s="1" t="s">
        <v>109</v>
      </c>
      <c r="AE1604" s="1" t="s">
        <v>109</v>
      </c>
      <c r="AF1604" s="1">
        <v>4</v>
      </c>
      <c r="AG1604" s="1" t="s">
        <v>109</v>
      </c>
      <c r="AH1604" s="1" t="s">
        <v>109</v>
      </c>
      <c r="AI1604" s="1" t="s">
        <v>109</v>
      </c>
      <c r="AJ1604" s="1" t="s">
        <v>109</v>
      </c>
      <c r="AK1604" s="1">
        <v>4</v>
      </c>
      <c r="AL1604" s="1">
        <v>5</v>
      </c>
      <c r="AM1604" s="1" t="s">
        <v>109</v>
      </c>
      <c r="AN1604" s="1" t="s">
        <v>109</v>
      </c>
      <c r="AO1604" s="1" t="s">
        <v>109</v>
      </c>
      <c r="AP1604" s="1"/>
      <c r="AQ1604" s="1">
        <v>5</v>
      </c>
      <c r="AR1604" s="1"/>
      <c r="AS1604" s="1"/>
      <c r="AT1604" s="1">
        <v>0</v>
      </c>
      <c r="AU1604" s="1">
        <v>0</v>
      </c>
      <c r="AV1604" s="1">
        <v>0</v>
      </c>
      <c r="AW1604" s="1">
        <v>0</v>
      </c>
      <c r="AX1604" s="1">
        <v>0</v>
      </c>
      <c r="AY1604" s="1">
        <v>0</v>
      </c>
      <c r="AZ1604" s="1">
        <v>0</v>
      </c>
      <c r="BA1604" s="1">
        <v>0</v>
      </c>
      <c r="BB1604" s="1">
        <v>0</v>
      </c>
      <c r="BC1604" s="1">
        <v>0</v>
      </c>
      <c r="BD1604" s="1">
        <v>0</v>
      </c>
      <c r="BE1604" s="1">
        <v>0</v>
      </c>
      <c r="BF1604" s="1">
        <v>0</v>
      </c>
      <c r="BG1604" s="1">
        <v>0</v>
      </c>
      <c r="BH1604" s="1">
        <v>0</v>
      </c>
      <c r="BI1604" s="1">
        <v>0</v>
      </c>
      <c r="BJ1604" s="1">
        <v>0</v>
      </c>
      <c r="BK1604" s="1">
        <v>0</v>
      </c>
      <c r="BL1604" s="1">
        <v>0</v>
      </c>
      <c r="BM1604" s="1">
        <v>0</v>
      </c>
      <c r="BN1604" s="1">
        <v>0</v>
      </c>
      <c r="BO1604" s="1">
        <v>0</v>
      </c>
      <c r="BP1604" s="1">
        <v>0</v>
      </c>
      <c r="BQ1604" s="1">
        <v>0</v>
      </c>
      <c r="BR1604" s="1">
        <v>0</v>
      </c>
      <c r="BS1604" s="1" t="s">
        <v>109</v>
      </c>
      <c r="BT1604" s="1">
        <v>1671</v>
      </c>
      <c r="BU1604" s="1">
        <v>150</v>
      </c>
      <c r="BV1604" s="1"/>
      <c r="BW1604" s="1"/>
      <c r="BX1604" s="1"/>
      <c r="BY1604" s="1"/>
      <c r="BZ1604" s="1">
        <v>0</v>
      </c>
      <c r="CA1604" s="1" t="s">
        <v>109</v>
      </c>
      <c r="CB1604" s="1" t="s">
        <v>109</v>
      </c>
      <c r="CC1604" s="1" t="s">
        <v>109</v>
      </c>
      <c r="CD1604" s="1" t="s">
        <v>109</v>
      </c>
      <c r="CE1604" s="1" t="s">
        <v>109</v>
      </c>
      <c r="CF1604" s="1" t="s">
        <v>109</v>
      </c>
      <c r="CG1604" s="1" t="s">
        <v>109</v>
      </c>
      <c r="CH1604" s="1" t="s">
        <v>109</v>
      </c>
      <c r="CI1604" s="1" t="s">
        <v>109</v>
      </c>
      <c r="CJ1604" s="1" t="s">
        <v>109</v>
      </c>
      <c r="CK1604" s="1"/>
      <c r="CL1604" s="1">
        <v>0</v>
      </c>
      <c r="CM1604" s="1">
        <v>0</v>
      </c>
      <c r="CN1604" s="1">
        <v>0</v>
      </c>
    </row>
    <row r="1605" spans="1:92" ht="14.25" customHeight="1" x14ac:dyDescent="0.15">
      <c r="A1605" s="1" t="s">
        <v>12178</v>
      </c>
      <c r="B1605" s="1" t="s">
        <v>189</v>
      </c>
      <c r="C1605" s="1"/>
      <c r="D1605" s="1"/>
      <c r="E1605" s="1" t="s">
        <v>11698</v>
      </c>
      <c r="F1605" s="1" t="s">
        <v>98</v>
      </c>
      <c r="G1605" s="1" t="s">
        <v>141</v>
      </c>
      <c r="H1605" s="1">
        <v>0</v>
      </c>
      <c r="I1605" s="1" t="s">
        <v>5737</v>
      </c>
      <c r="J1605" s="1"/>
      <c r="K1605" s="1"/>
      <c r="L1605" s="1" t="s">
        <v>1391</v>
      </c>
      <c r="M1605" s="1" t="s">
        <v>125</v>
      </c>
      <c r="N1605" s="1">
        <v>0</v>
      </c>
      <c r="O1605" s="1">
        <v>0</v>
      </c>
      <c r="P1605" s="1" t="s">
        <v>12179</v>
      </c>
      <c r="Q1605" s="1" t="s">
        <v>268</v>
      </c>
      <c r="R1605" s="1" t="s">
        <v>12180</v>
      </c>
      <c r="S1605" s="1" t="s">
        <v>12181</v>
      </c>
      <c r="T1605" s="1" t="s">
        <v>12160</v>
      </c>
      <c r="U1605" s="1" t="s">
        <v>12182</v>
      </c>
      <c r="V1605" s="1">
        <v>1</v>
      </c>
      <c r="W1605" s="1">
        <v>1</v>
      </c>
      <c r="X1605" s="1">
        <v>0</v>
      </c>
      <c r="Y1605" s="1">
        <v>0</v>
      </c>
      <c r="Z1605" s="1">
        <v>0</v>
      </c>
      <c r="AA1605" s="1">
        <v>3</v>
      </c>
      <c r="AB1605" s="1">
        <v>3</v>
      </c>
      <c r="AC1605" s="1" t="s">
        <v>109</v>
      </c>
      <c r="AD1605" s="1" t="s">
        <v>109</v>
      </c>
      <c r="AE1605" s="1" t="s">
        <v>109</v>
      </c>
      <c r="AF1605" s="1" t="s">
        <v>109</v>
      </c>
      <c r="AG1605" s="1" t="s">
        <v>109</v>
      </c>
      <c r="AH1605" s="1" t="s">
        <v>109</v>
      </c>
      <c r="AI1605" s="1" t="s">
        <v>109</v>
      </c>
      <c r="AJ1605" s="1">
        <v>3</v>
      </c>
      <c r="AK1605" s="1" t="s">
        <v>109</v>
      </c>
      <c r="AL1605" s="1" t="s">
        <v>109</v>
      </c>
      <c r="AM1605" s="1" t="s">
        <v>109</v>
      </c>
      <c r="AN1605" s="1">
        <v>2</v>
      </c>
      <c r="AO1605" s="1" t="s">
        <v>109</v>
      </c>
      <c r="AP1605" s="1"/>
      <c r="AQ1605" s="1">
        <v>3</v>
      </c>
      <c r="AR1605" s="1"/>
      <c r="AS1605" s="1"/>
      <c r="AT1605" s="1">
        <v>0</v>
      </c>
      <c r="AU1605" s="1">
        <v>0</v>
      </c>
      <c r="AV1605" s="1">
        <v>0</v>
      </c>
      <c r="AW1605" s="1">
        <v>0</v>
      </c>
      <c r="AX1605" s="1">
        <v>0</v>
      </c>
      <c r="AY1605" s="1">
        <v>0</v>
      </c>
      <c r="AZ1605" s="1">
        <v>0</v>
      </c>
      <c r="BA1605" s="1">
        <v>0</v>
      </c>
      <c r="BB1605" s="1">
        <v>0</v>
      </c>
      <c r="BC1605" s="1">
        <v>0</v>
      </c>
      <c r="BD1605" s="1">
        <v>0</v>
      </c>
      <c r="BE1605" s="1">
        <v>0</v>
      </c>
      <c r="BF1605" s="1">
        <v>0</v>
      </c>
      <c r="BG1605" s="1">
        <v>0</v>
      </c>
      <c r="BH1605" s="1">
        <v>0</v>
      </c>
      <c r="BI1605" s="1">
        <v>0</v>
      </c>
      <c r="BJ1605" s="1">
        <v>0</v>
      </c>
      <c r="BK1605" s="1">
        <v>0</v>
      </c>
      <c r="BL1605" s="1">
        <v>0</v>
      </c>
      <c r="BM1605" s="1">
        <v>0</v>
      </c>
      <c r="BN1605" s="1">
        <v>0</v>
      </c>
      <c r="BO1605" s="1">
        <v>0</v>
      </c>
      <c r="BP1605" s="1">
        <v>0</v>
      </c>
      <c r="BQ1605" s="1">
        <v>0</v>
      </c>
      <c r="BR1605" s="1">
        <v>0</v>
      </c>
      <c r="BS1605" s="1" t="s">
        <v>109</v>
      </c>
      <c r="BT1605" s="1">
        <v>1672</v>
      </c>
      <c r="BU1605" s="1" t="s">
        <v>109</v>
      </c>
      <c r="BV1605" s="1"/>
      <c r="BW1605" s="1"/>
      <c r="BX1605" s="1"/>
      <c r="BY1605" s="1"/>
      <c r="BZ1605" s="1">
        <v>0</v>
      </c>
      <c r="CA1605" s="1" t="s">
        <v>109</v>
      </c>
      <c r="CB1605" s="1" t="s">
        <v>109</v>
      </c>
      <c r="CC1605" s="1" t="s">
        <v>109</v>
      </c>
      <c r="CD1605" s="1" t="s">
        <v>109</v>
      </c>
      <c r="CE1605" s="1" t="s">
        <v>109</v>
      </c>
      <c r="CF1605" s="1" t="s">
        <v>109</v>
      </c>
      <c r="CG1605" s="1" t="s">
        <v>109</v>
      </c>
      <c r="CH1605" s="1" t="s">
        <v>109</v>
      </c>
      <c r="CI1605" s="1" t="s">
        <v>109</v>
      </c>
      <c r="CJ1605" s="1" t="s">
        <v>109</v>
      </c>
      <c r="CK1605" s="1"/>
      <c r="CL1605" s="1">
        <v>0</v>
      </c>
      <c r="CM1605" s="1">
        <v>0</v>
      </c>
      <c r="CN1605" s="1">
        <v>0</v>
      </c>
    </row>
    <row r="1606" spans="1:92" ht="14.25" customHeight="1" x14ac:dyDescent="0.15">
      <c r="A1606" s="1" t="s">
        <v>12183</v>
      </c>
      <c r="B1606" s="1" t="s">
        <v>189</v>
      </c>
      <c r="C1606" s="1"/>
      <c r="D1606" s="1"/>
      <c r="E1606" s="1" t="s">
        <v>12184</v>
      </c>
      <c r="F1606" s="1" t="s">
        <v>98</v>
      </c>
      <c r="G1606" s="1" t="s">
        <v>12185</v>
      </c>
      <c r="H1606" s="1">
        <v>0</v>
      </c>
      <c r="I1606" s="1" t="s">
        <v>122</v>
      </c>
      <c r="J1606" s="1"/>
      <c r="K1606" s="1"/>
      <c r="L1606" s="1" t="s">
        <v>1391</v>
      </c>
      <c r="M1606" s="1" t="s">
        <v>574</v>
      </c>
      <c r="N1606" s="1">
        <v>1</v>
      </c>
      <c r="O1606" s="1">
        <v>0</v>
      </c>
      <c r="P1606" s="1" t="s">
        <v>267</v>
      </c>
      <c r="Q1606" s="1" t="s">
        <v>104</v>
      </c>
      <c r="R1606" s="1" t="s">
        <v>12186</v>
      </c>
      <c r="S1606" s="1" t="s">
        <v>12187</v>
      </c>
      <c r="T1606" s="1" t="s">
        <v>12160</v>
      </c>
      <c r="U1606" s="1" t="s">
        <v>12188</v>
      </c>
      <c r="V1606" s="1">
        <v>1</v>
      </c>
      <c r="W1606" s="1">
        <v>1</v>
      </c>
      <c r="X1606" s="1">
        <v>1</v>
      </c>
      <c r="Y1606" s="1">
        <v>0</v>
      </c>
      <c r="Z1606" s="1">
        <v>0</v>
      </c>
      <c r="AA1606" s="1">
        <v>5</v>
      </c>
      <c r="AB1606" s="1">
        <v>5</v>
      </c>
      <c r="AC1606" s="1" t="s">
        <v>109</v>
      </c>
      <c r="AD1606" s="1">
        <v>6</v>
      </c>
      <c r="AE1606" s="1" t="s">
        <v>109</v>
      </c>
      <c r="AF1606" s="1" t="s">
        <v>109</v>
      </c>
      <c r="AG1606" s="1" t="s">
        <v>109</v>
      </c>
      <c r="AH1606" s="1" t="s">
        <v>109</v>
      </c>
      <c r="AI1606" s="1" t="s">
        <v>109</v>
      </c>
      <c r="AJ1606" s="1" t="s">
        <v>109</v>
      </c>
      <c r="AK1606" s="1" t="s">
        <v>109</v>
      </c>
      <c r="AL1606" s="1" t="s">
        <v>109</v>
      </c>
      <c r="AM1606" s="1" t="s">
        <v>109</v>
      </c>
      <c r="AN1606" s="1" t="s">
        <v>109</v>
      </c>
      <c r="AO1606" s="1" t="s">
        <v>109</v>
      </c>
      <c r="AP1606" s="1"/>
      <c r="AQ1606" s="1">
        <v>5</v>
      </c>
      <c r="AR1606" s="1"/>
      <c r="AS1606" s="1"/>
      <c r="AT1606" s="1">
        <v>0</v>
      </c>
      <c r="AU1606" s="1">
        <v>0</v>
      </c>
      <c r="AV1606" s="1">
        <v>0</v>
      </c>
      <c r="AW1606" s="1">
        <v>0</v>
      </c>
      <c r="AX1606" s="1">
        <v>0</v>
      </c>
      <c r="AY1606" s="1">
        <v>0</v>
      </c>
      <c r="AZ1606" s="1">
        <v>0</v>
      </c>
      <c r="BA1606" s="1">
        <v>0</v>
      </c>
      <c r="BB1606" s="1">
        <v>0</v>
      </c>
      <c r="BC1606" s="1">
        <v>0</v>
      </c>
      <c r="BD1606" s="1">
        <v>0</v>
      </c>
      <c r="BE1606" s="1">
        <v>0</v>
      </c>
      <c r="BF1606" s="1">
        <v>0</v>
      </c>
      <c r="BG1606" s="1">
        <v>0</v>
      </c>
      <c r="BH1606" s="1">
        <v>0</v>
      </c>
      <c r="BI1606" s="1">
        <v>0</v>
      </c>
      <c r="BJ1606" s="1">
        <v>0</v>
      </c>
      <c r="BK1606" s="1">
        <v>0</v>
      </c>
      <c r="BL1606" s="1">
        <v>0</v>
      </c>
      <c r="BM1606" s="1">
        <v>0</v>
      </c>
      <c r="BN1606" s="1">
        <v>0</v>
      </c>
      <c r="BO1606" s="1">
        <v>0</v>
      </c>
      <c r="BP1606" s="1">
        <v>0</v>
      </c>
      <c r="BQ1606" s="1">
        <v>0</v>
      </c>
      <c r="BR1606" s="1">
        <v>0</v>
      </c>
      <c r="BS1606" s="1" t="s">
        <v>109</v>
      </c>
      <c r="BT1606" s="1">
        <v>1673</v>
      </c>
      <c r="BU1606" s="1" t="s">
        <v>109</v>
      </c>
      <c r="BV1606" s="1"/>
      <c r="BW1606" s="1"/>
      <c r="BX1606" s="1"/>
      <c r="BY1606" s="1"/>
      <c r="BZ1606" s="1">
        <v>0</v>
      </c>
      <c r="CA1606" s="1" t="s">
        <v>109</v>
      </c>
      <c r="CB1606" s="1" t="s">
        <v>109</v>
      </c>
      <c r="CC1606" s="1" t="s">
        <v>109</v>
      </c>
      <c r="CD1606" s="1" t="s">
        <v>109</v>
      </c>
      <c r="CE1606" s="1" t="s">
        <v>109</v>
      </c>
      <c r="CF1606" s="1" t="s">
        <v>109</v>
      </c>
      <c r="CG1606" s="1" t="s">
        <v>109</v>
      </c>
      <c r="CH1606" s="1" t="s">
        <v>109</v>
      </c>
      <c r="CI1606" s="1" t="s">
        <v>109</v>
      </c>
      <c r="CJ1606" s="1">
        <v>6</v>
      </c>
      <c r="CK1606" s="1"/>
      <c r="CL1606" s="1">
        <v>0</v>
      </c>
      <c r="CM1606" s="1">
        <v>0</v>
      </c>
      <c r="CN1606" s="1">
        <v>0</v>
      </c>
    </row>
    <row r="1607" spans="1:92" ht="14.25" customHeight="1" x14ac:dyDescent="0.15">
      <c r="A1607" s="1" t="s">
        <v>12189</v>
      </c>
      <c r="B1607" s="1" t="s">
        <v>189</v>
      </c>
      <c r="C1607" s="1"/>
      <c r="D1607" s="1"/>
      <c r="E1607" s="1" t="s">
        <v>12190</v>
      </c>
      <c r="F1607" s="1" t="s">
        <v>98</v>
      </c>
      <c r="G1607" s="1" t="s">
        <v>12191</v>
      </c>
      <c r="H1607" s="1">
        <v>0</v>
      </c>
      <c r="I1607" s="1" t="s">
        <v>161</v>
      </c>
      <c r="J1607" s="1"/>
      <c r="K1607" s="1"/>
      <c r="L1607" s="1" t="s">
        <v>506</v>
      </c>
      <c r="M1607" s="1" t="s">
        <v>125</v>
      </c>
      <c r="N1607" s="1">
        <v>0</v>
      </c>
      <c r="O1607" s="1">
        <v>0</v>
      </c>
      <c r="P1607" s="1" t="s">
        <v>5953</v>
      </c>
      <c r="Q1607" s="1" t="s">
        <v>104</v>
      </c>
      <c r="R1607" s="1" t="s">
        <v>12192</v>
      </c>
      <c r="S1607" s="1" t="s">
        <v>12193</v>
      </c>
      <c r="T1607" s="1" t="s">
        <v>12160</v>
      </c>
      <c r="U1607" s="1" t="s">
        <v>12194</v>
      </c>
      <c r="V1607" s="1">
        <v>1</v>
      </c>
      <c r="W1607" s="1">
        <v>1</v>
      </c>
      <c r="X1607" s="1">
        <v>0</v>
      </c>
      <c r="Y1607" s="1">
        <v>0</v>
      </c>
      <c r="Z1607" s="1">
        <v>0</v>
      </c>
      <c r="AA1607" s="1">
        <v>8</v>
      </c>
      <c r="AB1607" s="1">
        <v>8</v>
      </c>
      <c r="AC1607" s="1">
        <v>8</v>
      </c>
      <c r="AD1607" s="1">
        <v>8</v>
      </c>
      <c r="AE1607" s="1" t="s">
        <v>109</v>
      </c>
      <c r="AF1607" s="1" t="s">
        <v>109</v>
      </c>
      <c r="AG1607" s="1" t="s">
        <v>109</v>
      </c>
      <c r="AH1607" s="1" t="s">
        <v>109</v>
      </c>
      <c r="AI1607" s="1" t="s">
        <v>109</v>
      </c>
      <c r="AJ1607" s="1">
        <v>8</v>
      </c>
      <c r="AK1607" s="1" t="s">
        <v>109</v>
      </c>
      <c r="AL1607" s="1">
        <v>8</v>
      </c>
      <c r="AM1607" s="1" t="s">
        <v>109</v>
      </c>
      <c r="AN1607" s="1" t="s">
        <v>109</v>
      </c>
      <c r="AO1607" s="1" t="s">
        <v>109</v>
      </c>
      <c r="AP1607" s="1"/>
      <c r="AQ1607" s="1">
        <v>8</v>
      </c>
      <c r="AR1607" s="1"/>
      <c r="AS1607" s="1"/>
      <c r="AT1607" s="1">
        <v>0</v>
      </c>
      <c r="AU1607" s="1">
        <v>0</v>
      </c>
      <c r="AV1607" s="1">
        <v>0</v>
      </c>
      <c r="AW1607" s="1">
        <v>0</v>
      </c>
      <c r="AX1607" s="1">
        <v>0</v>
      </c>
      <c r="AY1607" s="1">
        <v>0</v>
      </c>
      <c r="AZ1607" s="1">
        <v>0</v>
      </c>
      <c r="BA1607" s="1">
        <v>0</v>
      </c>
      <c r="BB1607" s="1">
        <v>0</v>
      </c>
      <c r="BC1607" s="1">
        <v>0</v>
      </c>
      <c r="BD1607" s="1">
        <v>0</v>
      </c>
      <c r="BE1607" s="1">
        <v>0</v>
      </c>
      <c r="BF1607" s="1">
        <v>0</v>
      </c>
      <c r="BG1607" s="1">
        <v>0</v>
      </c>
      <c r="BH1607" s="1">
        <v>0</v>
      </c>
      <c r="BI1607" s="1">
        <v>0</v>
      </c>
      <c r="BJ1607" s="1">
        <v>0</v>
      </c>
      <c r="BK1607" s="1">
        <v>0</v>
      </c>
      <c r="BL1607" s="1">
        <v>0</v>
      </c>
      <c r="BM1607" s="1">
        <v>0</v>
      </c>
      <c r="BN1607" s="1">
        <v>0</v>
      </c>
      <c r="BO1607" s="1">
        <v>0</v>
      </c>
      <c r="BP1607" s="1">
        <v>0</v>
      </c>
      <c r="BQ1607" s="1">
        <v>0</v>
      </c>
      <c r="BR1607" s="1">
        <v>0</v>
      </c>
      <c r="BS1607" s="1" t="s">
        <v>109</v>
      </c>
      <c r="BT1607" s="1">
        <v>1674</v>
      </c>
      <c r="BU1607" s="1" t="s">
        <v>109</v>
      </c>
      <c r="BV1607" s="1"/>
      <c r="BW1607" s="1"/>
      <c r="BX1607" s="1"/>
      <c r="BY1607" s="1"/>
      <c r="BZ1607" s="1">
        <v>0</v>
      </c>
      <c r="CA1607" s="1" t="s">
        <v>109</v>
      </c>
      <c r="CB1607" s="1" t="s">
        <v>109</v>
      </c>
      <c r="CC1607" s="1" t="s">
        <v>109</v>
      </c>
      <c r="CD1607" s="1" t="s">
        <v>109</v>
      </c>
      <c r="CE1607" s="1" t="s">
        <v>109</v>
      </c>
      <c r="CF1607" s="1" t="s">
        <v>109</v>
      </c>
      <c r="CG1607" s="1" t="s">
        <v>109</v>
      </c>
      <c r="CH1607" s="1" t="s">
        <v>109</v>
      </c>
      <c r="CI1607" s="1" t="s">
        <v>109</v>
      </c>
      <c r="CJ1607" s="1" t="s">
        <v>109</v>
      </c>
      <c r="CK1607" s="1"/>
      <c r="CL1607" s="1">
        <v>0</v>
      </c>
      <c r="CM1607" s="1">
        <v>0</v>
      </c>
      <c r="CN1607" s="1">
        <v>0</v>
      </c>
    </row>
    <row r="1608" spans="1:92" ht="14.25" customHeight="1" x14ac:dyDescent="0.15">
      <c r="A1608" s="1" t="s">
        <v>12195</v>
      </c>
      <c r="B1608" s="1" t="s">
        <v>674</v>
      </c>
      <c r="C1608" s="1" t="s">
        <v>1715</v>
      </c>
      <c r="D1608" s="1" t="s">
        <v>158</v>
      </c>
      <c r="E1608" s="1" t="s">
        <v>12196</v>
      </c>
      <c r="F1608" s="1" t="s">
        <v>98</v>
      </c>
      <c r="G1608" s="1" t="s">
        <v>12197</v>
      </c>
      <c r="H1608" s="1">
        <v>0</v>
      </c>
      <c r="I1608" s="1" t="s">
        <v>122</v>
      </c>
      <c r="J1608" s="1"/>
      <c r="K1608" s="1"/>
      <c r="L1608" s="1" t="s">
        <v>1391</v>
      </c>
      <c r="M1608" s="1" t="s">
        <v>815</v>
      </c>
      <c r="N1608" s="1">
        <v>1</v>
      </c>
      <c r="O1608" s="1">
        <v>0</v>
      </c>
      <c r="P1608" s="1" t="s">
        <v>12198</v>
      </c>
      <c r="Q1608" s="1" t="s">
        <v>268</v>
      </c>
      <c r="R1608" s="1" t="s">
        <v>12199</v>
      </c>
      <c r="S1608" s="1" t="s">
        <v>12200</v>
      </c>
      <c r="T1608" s="1" t="s">
        <v>12160</v>
      </c>
      <c r="U1608" s="1" t="s">
        <v>12201</v>
      </c>
      <c r="V1608" s="1">
        <v>0</v>
      </c>
      <c r="W1608" s="1">
        <v>1</v>
      </c>
      <c r="X1608" s="1">
        <v>1</v>
      </c>
      <c r="Y1608" s="1">
        <v>0</v>
      </c>
      <c r="Z1608" s="1">
        <v>0</v>
      </c>
      <c r="AA1608" s="1">
        <v>5</v>
      </c>
      <c r="AB1608" s="1">
        <v>5</v>
      </c>
      <c r="AC1608" s="1" t="s">
        <v>109</v>
      </c>
      <c r="AD1608" s="1" t="s">
        <v>109</v>
      </c>
      <c r="AE1608" s="1" t="s">
        <v>109</v>
      </c>
      <c r="AF1608" s="1">
        <v>4</v>
      </c>
      <c r="AG1608" s="1" t="s">
        <v>109</v>
      </c>
      <c r="AH1608" s="1" t="s">
        <v>109</v>
      </c>
      <c r="AI1608" s="1" t="s">
        <v>109</v>
      </c>
      <c r="AJ1608" s="1" t="s">
        <v>109</v>
      </c>
      <c r="AK1608" s="1" t="s">
        <v>109</v>
      </c>
      <c r="AL1608" s="1" t="s">
        <v>109</v>
      </c>
      <c r="AM1608" s="1" t="s">
        <v>109</v>
      </c>
      <c r="AN1608" s="1" t="s">
        <v>109</v>
      </c>
      <c r="AO1608" s="1" t="s">
        <v>109</v>
      </c>
      <c r="AP1608" s="1"/>
      <c r="AQ1608" s="1">
        <v>5</v>
      </c>
      <c r="AR1608" s="1"/>
      <c r="AS1608" s="1"/>
      <c r="AT1608" s="1">
        <v>0</v>
      </c>
      <c r="AU1608" s="1">
        <v>0</v>
      </c>
      <c r="AV1608" s="1">
        <v>0</v>
      </c>
      <c r="AW1608" s="1">
        <v>0</v>
      </c>
      <c r="AX1608" s="1">
        <v>0</v>
      </c>
      <c r="AY1608" s="1">
        <v>0</v>
      </c>
      <c r="AZ1608" s="1">
        <v>0</v>
      </c>
      <c r="BA1608" s="1">
        <v>0</v>
      </c>
      <c r="BB1608" s="1">
        <v>0</v>
      </c>
      <c r="BC1608" s="1">
        <v>0</v>
      </c>
      <c r="BD1608" s="1">
        <v>0</v>
      </c>
      <c r="BE1608" s="1">
        <v>0</v>
      </c>
      <c r="BF1608" s="1">
        <v>0</v>
      </c>
      <c r="BG1608" s="1">
        <v>0</v>
      </c>
      <c r="BH1608" s="1">
        <v>0</v>
      </c>
      <c r="BI1608" s="1">
        <v>0</v>
      </c>
      <c r="BJ1608" s="1">
        <v>0</v>
      </c>
      <c r="BK1608" s="1">
        <v>0</v>
      </c>
      <c r="BL1608" s="1">
        <v>0</v>
      </c>
      <c r="BM1608" s="1">
        <v>1</v>
      </c>
      <c r="BN1608" s="1">
        <v>0</v>
      </c>
      <c r="BO1608" s="1">
        <v>0</v>
      </c>
      <c r="BP1608" s="1">
        <v>0</v>
      </c>
      <c r="BQ1608" s="1">
        <v>0</v>
      </c>
      <c r="BR1608" s="1">
        <v>0</v>
      </c>
      <c r="BS1608" s="1" t="s">
        <v>109</v>
      </c>
      <c r="BT1608" s="1">
        <v>1675</v>
      </c>
      <c r="BU1608" s="1" t="s">
        <v>109</v>
      </c>
      <c r="BV1608" s="1"/>
      <c r="BW1608" s="1"/>
      <c r="BX1608" s="1"/>
      <c r="BY1608" s="1"/>
      <c r="BZ1608" s="1">
        <v>0</v>
      </c>
      <c r="CA1608" s="1" t="s">
        <v>109</v>
      </c>
      <c r="CB1608" s="1" t="s">
        <v>109</v>
      </c>
      <c r="CC1608" s="1" t="s">
        <v>109</v>
      </c>
      <c r="CD1608" s="1" t="s">
        <v>109</v>
      </c>
      <c r="CE1608" s="1" t="s">
        <v>109</v>
      </c>
      <c r="CF1608" s="1" t="s">
        <v>109</v>
      </c>
      <c r="CG1608" s="1" t="s">
        <v>109</v>
      </c>
      <c r="CH1608" s="1" t="s">
        <v>109</v>
      </c>
      <c r="CI1608" s="1" t="s">
        <v>109</v>
      </c>
      <c r="CJ1608" s="1" t="s">
        <v>109</v>
      </c>
      <c r="CK1608" s="1"/>
      <c r="CL1608" s="1">
        <v>0</v>
      </c>
      <c r="CM1608" s="1">
        <v>0</v>
      </c>
      <c r="CN1608" s="1">
        <v>0</v>
      </c>
    </row>
    <row r="1609" spans="1:92" ht="14.25" customHeight="1" x14ac:dyDescent="0.15">
      <c r="A1609" s="1" t="s">
        <v>12202</v>
      </c>
      <c r="B1609" s="1" t="s">
        <v>254</v>
      </c>
      <c r="C1609" s="1"/>
      <c r="D1609" s="1"/>
      <c r="E1609" s="1" t="s">
        <v>11679</v>
      </c>
      <c r="F1609" s="1" t="s">
        <v>98</v>
      </c>
      <c r="G1609" s="1" t="s">
        <v>141</v>
      </c>
      <c r="H1609" s="1">
        <v>0</v>
      </c>
      <c r="I1609" s="1" t="s">
        <v>161</v>
      </c>
      <c r="J1609" s="1"/>
      <c r="K1609" s="1"/>
      <c r="L1609" s="1" t="s">
        <v>12203</v>
      </c>
      <c r="M1609" s="1" t="s">
        <v>144</v>
      </c>
      <c r="N1609" s="1">
        <v>0</v>
      </c>
      <c r="O1609" s="1">
        <v>0</v>
      </c>
      <c r="P1609" s="1" t="s">
        <v>215</v>
      </c>
      <c r="Q1609" s="1" t="s">
        <v>216</v>
      </c>
      <c r="R1609" s="1" t="s">
        <v>12204</v>
      </c>
      <c r="S1609" s="1" t="s">
        <v>12205</v>
      </c>
      <c r="T1609" s="1" t="s">
        <v>12206</v>
      </c>
      <c r="U1609" s="1" t="s">
        <v>12207</v>
      </c>
      <c r="V1609" s="1">
        <v>1</v>
      </c>
      <c r="W1609" s="1">
        <v>1</v>
      </c>
      <c r="X1609" s="1">
        <v>0</v>
      </c>
      <c r="Y1609" s="1">
        <v>0</v>
      </c>
      <c r="Z1609" s="1">
        <v>0</v>
      </c>
      <c r="AA1609" s="1">
        <v>1</v>
      </c>
      <c r="AB1609" s="1">
        <v>1</v>
      </c>
      <c r="AC1609" s="1">
        <v>1</v>
      </c>
      <c r="AD1609" s="1" t="s">
        <v>109</v>
      </c>
      <c r="AE1609" s="1" t="s">
        <v>109</v>
      </c>
      <c r="AF1609" s="1">
        <v>1</v>
      </c>
      <c r="AG1609" s="1" t="s">
        <v>109</v>
      </c>
      <c r="AH1609" s="1" t="s">
        <v>109</v>
      </c>
      <c r="AI1609" s="1" t="s">
        <v>109</v>
      </c>
      <c r="AJ1609" s="1" t="s">
        <v>109</v>
      </c>
      <c r="AK1609" s="1" t="s">
        <v>109</v>
      </c>
      <c r="AL1609" s="1">
        <v>1</v>
      </c>
      <c r="AM1609" s="1" t="s">
        <v>109</v>
      </c>
      <c r="AN1609" s="1">
        <v>1</v>
      </c>
      <c r="AO1609" s="1" t="s">
        <v>109</v>
      </c>
      <c r="AP1609" s="1"/>
      <c r="AQ1609" s="1">
        <v>1</v>
      </c>
      <c r="AR1609" s="1"/>
      <c r="AS1609" s="1"/>
      <c r="AT1609" s="1">
        <v>0</v>
      </c>
      <c r="AU1609" s="1">
        <v>0</v>
      </c>
      <c r="AV1609" s="1">
        <v>0</v>
      </c>
      <c r="AW1609" s="1">
        <v>0</v>
      </c>
      <c r="AX1609" s="1">
        <v>0</v>
      </c>
      <c r="AY1609" s="1">
        <v>0</v>
      </c>
      <c r="AZ1609" s="1">
        <v>0</v>
      </c>
      <c r="BA1609" s="1">
        <v>0</v>
      </c>
      <c r="BB1609" s="1">
        <v>0</v>
      </c>
      <c r="BC1609" s="1">
        <v>0</v>
      </c>
      <c r="BD1609" s="1">
        <v>0</v>
      </c>
      <c r="BE1609" s="1">
        <v>0</v>
      </c>
      <c r="BF1609" s="1">
        <v>0</v>
      </c>
      <c r="BG1609" s="1">
        <v>0</v>
      </c>
      <c r="BH1609" s="1">
        <v>0</v>
      </c>
      <c r="BI1609" s="1">
        <v>0</v>
      </c>
      <c r="BJ1609" s="1">
        <v>0</v>
      </c>
      <c r="BK1609" s="1">
        <v>0</v>
      </c>
      <c r="BL1609" s="1">
        <v>0</v>
      </c>
      <c r="BM1609" s="1">
        <v>0</v>
      </c>
      <c r="BN1609" s="1">
        <v>0</v>
      </c>
      <c r="BO1609" s="1">
        <v>0</v>
      </c>
      <c r="BP1609" s="1">
        <v>0</v>
      </c>
      <c r="BQ1609" s="1">
        <v>0</v>
      </c>
      <c r="BR1609" s="1">
        <v>0</v>
      </c>
      <c r="BS1609" s="1" t="s">
        <v>109</v>
      </c>
      <c r="BT1609" s="1">
        <v>1676</v>
      </c>
      <c r="BU1609" s="1" t="s">
        <v>109</v>
      </c>
      <c r="BV1609" s="1"/>
      <c r="BW1609" s="1"/>
      <c r="BX1609" s="1"/>
      <c r="BY1609" s="1"/>
      <c r="BZ1609" s="1">
        <v>0</v>
      </c>
      <c r="CA1609" s="1" t="s">
        <v>109</v>
      </c>
      <c r="CB1609" s="1" t="s">
        <v>109</v>
      </c>
      <c r="CC1609" s="1" t="s">
        <v>109</v>
      </c>
      <c r="CD1609" s="1" t="s">
        <v>109</v>
      </c>
      <c r="CE1609" s="1" t="s">
        <v>109</v>
      </c>
      <c r="CF1609" s="1" t="s">
        <v>109</v>
      </c>
      <c r="CG1609" s="1" t="s">
        <v>109</v>
      </c>
      <c r="CH1609" s="1" t="s">
        <v>109</v>
      </c>
      <c r="CI1609" s="1" t="s">
        <v>109</v>
      </c>
      <c r="CJ1609" s="1" t="s">
        <v>109</v>
      </c>
      <c r="CK1609" s="1"/>
      <c r="CL1609" s="1">
        <v>0</v>
      </c>
      <c r="CM1609" s="1">
        <v>0</v>
      </c>
      <c r="CN1609" s="1">
        <v>0</v>
      </c>
    </row>
    <row r="1610" spans="1:92" ht="14.25" customHeight="1" x14ac:dyDescent="0.15">
      <c r="A1610" s="1" t="s">
        <v>12208</v>
      </c>
      <c r="B1610" s="1" t="s">
        <v>254</v>
      </c>
      <c r="C1610" s="1"/>
      <c r="D1610" s="1"/>
      <c r="E1610" s="1" t="s">
        <v>12209</v>
      </c>
      <c r="F1610" s="1" t="s">
        <v>355</v>
      </c>
      <c r="G1610" s="1" t="s">
        <v>12210</v>
      </c>
      <c r="H1610" s="1">
        <v>0</v>
      </c>
      <c r="I1610" s="1" t="s">
        <v>235</v>
      </c>
      <c r="J1610" s="1"/>
      <c r="K1610" s="1"/>
      <c r="L1610" s="1"/>
      <c r="M1610" s="1" t="s">
        <v>7718</v>
      </c>
      <c r="N1610" s="1">
        <v>0</v>
      </c>
      <c r="O1610" s="1">
        <v>0</v>
      </c>
      <c r="P1610" s="1" t="s">
        <v>103</v>
      </c>
      <c r="Q1610" s="1" t="s">
        <v>104</v>
      </c>
      <c r="R1610" s="1" t="s">
        <v>12211</v>
      </c>
      <c r="S1610" s="1" t="s">
        <v>12212</v>
      </c>
      <c r="T1610" s="1" t="s">
        <v>12206</v>
      </c>
      <c r="U1610" s="1" t="s">
        <v>12213</v>
      </c>
      <c r="V1610" s="1">
        <v>1</v>
      </c>
      <c r="W1610" s="1">
        <v>1</v>
      </c>
      <c r="X1610" s="1">
        <v>0</v>
      </c>
      <c r="Y1610" s="1">
        <v>0</v>
      </c>
      <c r="Z1610" s="1">
        <v>0</v>
      </c>
      <c r="AA1610" s="1">
        <v>2</v>
      </c>
      <c r="AB1610" s="1">
        <v>2</v>
      </c>
      <c r="AC1610" s="1">
        <v>2</v>
      </c>
      <c r="AD1610" s="1" t="s">
        <v>109</v>
      </c>
      <c r="AE1610" s="1" t="s">
        <v>109</v>
      </c>
      <c r="AF1610" s="1">
        <v>2</v>
      </c>
      <c r="AG1610" s="1" t="s">
        <v>109</v>
      </c>
      <c r="AH1610" s="1" t="s">
        <v>109</v>
      </c>
      <c r="AI1610" s="1" t="s">
        <v>109</v>
      </c>
      <c r="AJ1610" s="1" t="s">
        <v>109</v>
      </c>
      <c r="AK1610" s="1" t="s">
        <v>109</v>
      </c>
      <c r="AL1610" s="1">
        <v>2</v>
      </c>
      <c r="AM1610" s="1" t="s">
        <v>109</v>
      </c>
      <c r="AN1610" s="1">
        <v>2</v>
      </c>
      <c r="AO1610" s="1" t="s">
        <v>109</v>
      </c>
      <c r="AP1610" s="1"/>
      <c r="AQ1610" s="1">
        <v>2</v>
      </c>
      <c r="AR1610" s="1"/>
      <c r="AS1610" s="1"/>
      <c r="AT1610" s="1">
        <v>0</v>
      </c>
      <c r="AU1610" s="1">
        <v>0</v>
      </c>
      <c r="AV1610" s="1">
        <v>0</v>
      </c>
      <c r="AW1610" s="1">
        <v>0</v>
      </c>
      <c r="AX1610" s="1">
        <v>0</v>
      </c>
      <c r="AY1610" s="1">
        <v>0</v>
      </c>
      <c r="AZ1610" s="1">
        <v>0</v>
      </c>
      <c r="BA1610" s="1">
        <v>0</v>
      </c>
      <c r="BB1610" s="1">
        <v>0</v>
      </c>
      <c r="BC1610" s="1">
        <v>0</v>
      </c>
      <c r="BD1610" s="1">
        <v>0</v>
      </c>
      <c r="BE1610" s="1">
        <v>0</v>
      </c>
      <c r="BF1610" s="1">
        <v>0</v>
      </c>
      <c r="BG1610" s="1">
        <v>0</v>
      </c>
      <c r="BH1610" s="1">
        <v>0</v>
      </c>
      <c r="BI1610" s="1">
        <v>0</v>
      </c>
      <c r="BJ1610" s="1">
        <v>0</v>
      </c>
      <c r="BK1610" s="1">
        <v>0</v>
      </c>
      <c r="BL1610" s="1">
        <v>0</v>
      </c>
      <c r="BM1610" s="1">
        <v>0</v>
      </c>
      <c r="BN1610" s="1">
        <v>0</v>
      </c>
      <c r="BO1610" s="1">
        <v>0</v>
      </c>
      <c r="BP1610" s="1">
        <v>0</v>
      </c>
      <c r="BQ1610" s="1">
        <v>0</v>
      </c>
      <c r="BR1610" s="1">
        <v>0</v>
      </c>
      <c r="BS1610" s="1" t="s">
        <v>109</v>
      </c>
      <c r="BT1610" s="1">
        <v>1677</v>
      </c>
      <c r="BU1610" s="1" t="s">
        <v>109</v>
      </c>
      <c r="BV1610" s="1"/>
      <c r="BW1610" s="1"/>
      <c r="BX1610" s="1"/>
      <c r="BY1610" s="1"/>
      <c r="BZ1610" s="1">
        <v>0</v>
      </c>
      <c r="CA1610" s="1" t="s">
        <v>109</v>
      </c>
      <c r="CB1610" s="1" t="s">
        <v>109</v>
      </c>
      <c r="CC1610" s="1" t="s">
        <v>109</v>
      </c>
      <c r="CD1610" s="1" t="s">
        <v>109</v>
      </c>
      <c r="CE1610" s="1" t="s">
        <v>109</v>
      </c>
      <c r="CF1610" s="1" t="s">
        <v>109</v>
      </c>
      <c r="CG1610" s="1" t="s">
        <v>109</v>
      </c>
      <c r="CH1610" s="1" t="s">
        <v>109</v>
      </c>
      <c r="CI1610" s="1" t="s">
        <v>109</v>
      </c>
      <c r="CJ1610" s="1" t="s">
        <v>109</v>
      </c>
      <c r="CK1610" s="1"/>
      <c r="CL1610" s="1">
        <v>0</v>
      </c>
      <c r="CM1610" s="1">
        <v>0</v>
      </c>
      <c r="CN1610" s="1">
        <v>0</v>
      </c>
    </row>
    <row r="1611" spans="1:92" ht="14.25" customHeight="1" x14ac:dyDescent="0.15">
      <c r="A1611" s="1" t="s">
        <v>12214</v>
      </c>
      <c r="B1611" s="1" t="s">
        <v>415</v>
      </c>
      <c r="C1611" s="1"/>
      <c r="D1611" s="1"/>
      <c r="E1611" s="1" t="s">
        <v>12215</v>
      </c>
      <c r="F1611" s="1" t="s">
        <v>1963</v>
      </c>
      <c r="G1611" s="1" t="s">
        <v>12216</v>
      </c>
      <c r="H1611" s="1">
        <v>0</v>
      </c>
      <c r="I1611" s="1" t="s">
        <v>142</v>
      </c>
      <c r="J1611" s="1"/>
      <c r="K1611" s="1"/>
      <c r="L1611" s="1" t="s">
        <v>1391</v>
      </c>
      <c r="M1611" s="1" t="s">
        <v>144</v>
      </c>
      <c r="N1611" s="1">
        <v>0</v>
      </c>
      <c r="O1611" s="1">
        <v>0</v>
      </c>
      <c r="P1611" s="1"/>
      <c r="Q1611" s="1"/>
      <c r="R1611" s="1" t="s">
        <v>12217</v>
      </c>
      <c r="S1611" s="1" t="s">
        <v>12218</v>
      </c>
      <c r="T1611" s="1" t="s">
        <v>12206</v>
      </c>
      <c r="U1611" s="1" t="s">
        <v>12219</v>
      </c>
      <c r="V1611" s="1">
        <v>1</v>
      </c>
      <c r="W1611" s="1">
        <v>1</v>
      </c>
      <c r="X1611" s="1">
        <v>0</v>
      </c>
      <c r="Y1611" s="1">
        <v>0</v>
      </c>
      <c r="Z1611" s="1">
        <v>0</v>
      </c>
      <c r="AA1611" s="1">
        <v>3</v>
      </c>
      <c r="AB1611" s="1">
        <v>3</v>
      </c>
      <c r="AC1611" s="1">
        <v>3</v>
      </c>
      <c r="AD1611" s="1">
        <v>3</v>
      </c>
      <c r="AE1611" s="1" t="s">
        <v>109</v>
      </c>
      <c r="AF1611" s="1">
        <v>3</v>
      </c>
      <c r="AG1611" s="1" t="s">
        <v>109</v>
      </c>
      <c r="AH1611" s="1" t="s">
        <v>109</v>
      </c>
      <c r="AI1611" s="1">
        <v>3</v>
      </c>
      <c r="AJ1611" s="1">
        <v>3</v>
      </c>
      <c r="AK1611" s="1" t="s">
        <v>109</v>
      </c>
      <c r="AL1611" s="1">
        <v>3</v>
      </c>
      <c r="AM1611" s="1" t="s">
        <v>109</v>
      </c>
      <c r="AN1611" s="1">
        <v>3</v>
      </c>
      <c r="AO1611" s="1" t="s">
        <v>109</v>
      </c>
      <c r="AP1611" s="1"/>
      <c r="AQ1611" s="1">
        <v>3</v>
      </c>
      <c r="AR1611" s="1"/>
      <c r="AS1611" s="1"/>
      <c r="AT1611" s="1">
        <v>0</v>
      </c>
      <c r="AU1611" s="1">
        <v>0</v>
      </c>
      <c r="AV1611" s="1">
        <v>0</v>
      </c>
      <c r="AW1611" s="1">
        <v>0</v>
      </c>
      <c r="AX1611" s="1">
        <v>0</v>
      </c>
      <c r="AY1611" s="1">
        <v>0</v>
      </c>
      <c r="AZ1611" s="1">
        <v>0</v>
      </c>
      <c r="BA1611" s="1">
        <v>0</v>
      </c>
      <c r="BB1611" s="1">
        <v>0</v>
      </c>
      <c r="BC1611" s="1">
        <v>0</v>
      </c>
      <c r="BD1611" s="1">
        <v>0</v>
      </c>
      <c r="BE1611" s="1">
        <v>0</v>
      </c>
      <c r="BF1611" s="1">
        <v>0</v>
      </c>
      <c r="BG1611" s="1">
        <v>0</v>
      </c>
      <c r="BH1611" s="1">
        <v>0</v>
      </c>
      <c r="BI1611" s="1">
        <v>0</v>
      </c>
      <c r="BJ1611" s="1">
        <v>0</v>
      </c>
      <c r="BK1611" s="1">
        <v>0</v>
      </c>
      <c r="BL1611" s="1">
        <v>0</v>
      </c>
      <c r="BM1611" s="1">
        <v>0</v>
      </c>
      <c r="BN1611" s="1">
        <v>0</v>
      </c>
      <c r="BO1611" s="1">
        <v>0</v>
      </c>
      <c r="BP1611" s="1">
        <v>0</v>
      </c>
      <c r="BQ1611" s="1">
        <v>0</v>
      </c>
      <c r="BR1611" s="1">
        <v>0</v>
      </c>
      <c r="BS1611" s="1" t="s">
        <v>109</v>
      </c>
      <c r="BT1611" s="1">
        <v>1678</v>
      </c>
      <c r="BU1611" s="1" t="s">
        <v>109</v>
      </c>
      <c r="BV1611" s="1"/>
      <c r="BW1611" s="1"/>
      <c r="BX1611" s="1"/>
      <c r="BY1611" s="1"/>
      <c r="BZ1611" s="1">
        <v>0</v>
      </c>
      <c r="CA1611" s="1" t="s">
        <v>109</v>
      </c>
      <c r="CB1611" s="1" t="s">
        <v>109</v>
      </c>
      <c r="CC1611" s="1" t="s">
        <v>109</v>
      </c>
      <c r="CD1611" s="1" t="s">
        <v>109</v>
      </c>
      <c r="CE1611" s="1" t="s">
        <v>109</v>
      </c>
      <c r="CF1611" s="1" t="s">
        <v>109</v>
      </c>
      <c r="CG1611" s="1" t="s">
        <v>109</v>
      </c>
      <c r="CH1611" s="1" t="s">
        <v>109</v>
      </c>
      <c r="CI1611" s="1" t="s">
        <v>109</v>
      </c>
      <c r="CJ1611" s="1">
        <v>3</v>
      </c>
      <c r="CK1611" s="1"/>
      <c r="CL1611" s="1">
        <v>0</v>
      </c>
      <c r="CM1611" s="1">
        <v>0</v>
      </c>
      <c r="CN1611" s="1">
        <v>0</v>
      </c>
    </row>
    <row r="1612" spans="1:92" ht="14.25" customHeight="1" x14ac:dyDescent="0.15">
      <c r="A1612" s="1" t="s">
        <v>12220</v>
      </c>
      <c r="B1612" s="1" t="s">
        <v>254</v>
      </c>
      <c r="C1612" s="1"/>
      <c r="D1612" s="1"/>
      <c r="E1612" s="1" t="s">
        <v>12221</v>
      </c>
      <c r="F1612" s="1" t="s">
        <v>98</v>
      </c>
      <c r="G1612" s="1" t="s">
        <v>12222</v>
      </c>
      <c r="H1612" s="1">
        <v>0</v>
      </c>
      <c r="I1612" s="1" t="s">
        <v>235</v>
      </c>
      <c r="J1612" s="1"/>
      <c r="K1612" s="1"/>
      <c r="L1612" s="1" t="s">
        <v>236</v>
      </c>
      <c r="M1612" s="1" t="s">
        <v>11269</v>
      </c>
      <c r="N1612" s="1">
        <v>0</v>
      </c>
      <c r="O1612" s="1">
        <v>0</v>
      </c>
      <c r="P1612" s="1"/>
      <c r="Q1612" s="1"/>
      <c r="R1612" s="1" t="s">
        <v>12223</v>
      </c>
      <c r="S1612" s="1" t="s">
        <v>12224</v>
      </c>
      <c r="T1612" s="1" t="s">
        <v>12206</v>
      </c>
      <c r="U1612" s="1" t="s">
        <v>12225</v>
      </c>
      <c r="V1612" s="1">
        <v>1</v>
      </c>
      <c r="W1612" s="1">
        <v>0</v>
      </c>
      <c r="X1612" s="1">
        <v>0</v>
      </c>
      <c r="Y1612" s="1">
        <v>0</v>
      </c>
      <c r="Z1612" s="1">
        <v>0</v>
      </c>
      <c r="AA1612" s="1">
        <v>1</v>
      </c>
      <c r="AB1612" s="1">
        <v>1</v>
      </c>
      <c r="AC1612" s="1">
        <v>1</v>
      </c>
      <c r="AD1612" s="1" t="s">
        <v>109</v>
      </c>
      <c r="AE1612" s="1" t="s">
        <v>109</v>
      </c>
      <c r="AF1612" s="1">
        <v>1</v>
      </c>
      <c r="AG1612" s="1" t="s">
        <v>109</v>
      </c>
      <c r="AH1612" s="1" t="s">
        <v>109</v>
      </c>
      <c r="AI1612" s="1" t="s">
        <v>109</v>
      </c>
      <c r="AJ1612" s="1">
        <v>1</v>
      </c>
      <c r="AK1612" s="1">
        <v>1</v>
      </c>
      <c r="AL1612" s="1">
        <v>1</v>
      </c>
      <c r="AM1612" s="1" t="s">
        <v>109</v>
      </c>
      <c r="AN1612" s="1" t="s">
        <v>109</v>
      </c>
      <c r="AO1612" s="1" t="s">
        <v>109</v>
      </c>
      <c r="AP1612" s="1"/>
      <c r="AQ1612" s="1">
        <v>1</v>
      </c>
      <c r="AR1612" s="1"/>
      <c r="AS1612" s="1"/>
      <c r="AT1612" s="1">
        <v>0</v>
      </c>
      <c r="AU1612" s="1">
        <v>0</v>
      </c>
      <c r="AV1612" s="1">
        <v>0</v>
      </c>
      <c r="AW1612" s="1">
        <v>0</v>
      </c>
      <c r="AX1612" s="1">
        <v>0</v>
      </c>
      <c r="AY1612" s="1">
        <v>0</v>
      </c>
      <c r="AZ1612" s="1">
        <v>0</v>
      </c>
      <c r="BA1612" s="1">
        <v>0</v>
      </c>
      <c r="BB1612" s="1">
        <v>0</v>
      </c>
      <c r="BC1612" s="1">
        <v>0</v>
      </c>
      <c r="BD1612" s="1">
        <v>0</v>
      </c>
      <c r="BE1612" s="1">
        <v>0</v>
      </c>
      <c r="BF1612" s="1">
        <v>0</v>
      </c>
      <c r="BG1612" s="1">
        <v>0</v>
      </c>
      <c r="BH1612" s="1">
        <v>0</v>
      </c>
      <c r="BI1612" s="1">
        <v>0</v>
      </c>
      <c r="BJ1612" s="1">
        <v>0</v>
      </c>
      <c r="BK1612" s="1">
        <v>0</v>
      </c>
      <c r="BL1612" s="1">
        <v>0</v>
      </c>
      <c r="BM1612" s="1">
        <v>0</v>
      </c>
      <c r="BN1612" s="1">
        <v>0</v>
      </c>
      <c r="BO1612" s="1">
        <v>0</v>
      </c>
      <c r="BP1612" s="1">
        <v>0</v>
      </c>
      <c r="BQ1612" s="1">
        <v>0</v>
      </c>
      <c r="BR1612" s="1">
        <v>0</v>
      </c>
      <c r="BS1612" s="1" t="s">
        <v>109</v>
      </c>
      <c r="BT1612" s="1">
        <v>1679</v>
      </c>
      <c r="BU1612" s="1" t="s">
        <v>109</v>
      </c>
      <c r="BV1612" s="1"/>
      <c r="BW1612" s="1"/>
      <c r="BX1612" s="1"/>
      <c r="BY1612" s="1"/>
      <c r="BZ1612" s="1">
        <v>0</v>
      </c>
      <c r="CA1612" s="1" t="s">
        <v>109</v>
      </c>
      <c r="CB1612" s="1" t="s">
        <v>109</v>
      </c>
      <c r="CC1612" s="1" t="s">
        <v>109</v>
      </c>
      <c r="CD1612" s="1" t="s">
        <v>109</v>
      </c>
      <c r="CE1612" s="1" t="s">
        <v>109</v>
      </c>
      <c r="CF1612" s="1" t="s">
        <v>109</v>
      </c>
      <c r="CG1612" s="1" t="s">
        <v>109</v>
      </c>
      <c r="CH1612" s="1" t="s">
        <v>109</v>
      </c>
      <c r="CI1612" s="1" t="s">
        <v>109</v>
      </c>
      <c r="CJ1612" s="1" t="s">
        <v>109</v>
      </c>
      <c r="CK1612" s="1"/>
      <c r="CL1612" s="1">
        <v>0</v>
      </c>
      <c r="CM1612" s="1">
        <v>0</v>
      </c>
      <c r="CN1612" s="1">
        <v>0</v>
      </c>
    </row>
    <row r="1613" spans="1:92" ht="14.25" customHeight="1" x14ac:dyDescent="0.15">
      <c r="A1613" s="1" t="s">
        <v>12226</v>
      </c>
      <c r="B1613" s="1" t="s">
        <v>189</v>
      </c>
      <c r="C1613" s="1"/>
      <c r="D1613" s="1"/>
      <c r="E1613" s="1" t="s">
        <v>12227</v>
      </c>
      <c r="F1613" s="1" t="s">
        <v>98</v>
      </c>
      <c r="G1613" s="1" t="s">
        <v>12228</v>
      </c>
      <c r="H1613" s="1">
        <v>0</v>
      </c>
      <c r="I1613" s="1" t="s">
        <v>142</v>
      </c>
      <c r="J1613" s="1"/>
      <c r="K1613" s="1"/>
      <c r="L1613" s="1" t="s">
        <v>2913</v>
      </c>
      <c r="M1613" s="1" t="s">
        <v>3042</v>
      </c>
      <c r="N1613" s="1">
        <v>0</v>
      </c>
      <c r="O1613" s="1">
        <v>0</v>
      </c>
      <c r="P1613" s="1" t="s">
        <v>215</v>
      </c>
      <c r="Q1613" s="1" t="s">
        <v>216</v>
      </c>
      <c r="R1613" s="1" t="s">
        <v>12229</v>
      </c>
      <c r="S1613" s="1" t="s">
        <v>12230</v>
      </c>
      <c r="T1613" s="1" t="s">
        <v>12206</v>
      </c>
      <c r="U1613" s="1" t="s">
        <v>12231</v>
      </c>
      <c r="V1613" s="1">
        <v>1</v>
      </c>
      <c r="W1613" s="1">
        <v>1</v>
      </c>
      <c r="X1613" s="1">
        <v>1</v>
      </c>
      <c r="Y1613" s="1">
        <v>0</v>
      </c>
      <c r="Z1613" s="1">
        <v>0</v>
      </c>
      <c r="AA1613" s="1">
        <v>3</v>
      </c>
      <c r="AB1613" s="1">
        <v>3</v>
      </c>
      <c r="AC1613" s="1" t="s">
        <v>109</v>
      </c>
      <c r="AD1613" s="1" t="s">
        <v>109</v>
      </c>
      <c r="AE1613" s="1">
        <v>2</v>
      </c>
      <c r="AF1613" s="1">
        <v>2</v>
      </c>
      <c r="AG1613" s="1" t="s">
        <v>109</v>
      </c>
      <c r="AH1613" s="1" t="s">
        <v>109</v>
      </c>
      <c r="AI1613" s="1" t="s">
        <v>109</v>
      </c>
      <c r="AJ1613" s="1" t="s">
        <v>109</v>
      </c>
      <c r="AK1613" s="1" t="s">
        <v>109</v>
      </c>
      <c r="AL1613" s="1" t="s">
        <v>109</v>
      </c>
      <c r="AM1613" s="1" t="s">
        <v>109</v>
      </c>
      <c r="AN1613" s="1">
        <v>2</v>
      </c>
      <c r="AO1613" s="1" t="s">
        <v>109</v>
      </c>
      <c r="AP1613" s="1"/>
      <c r="AQ1613" s="1">
        <v>3</v>
      </c>
      <c r="AR1613" s="1"/>
      <c r="AS1613" s="1"/>
      <c r="AT1613" s="1">
        <v>0</v>
      </c>
      <c r="AU1613" s="1">
        <v>0</v>
      </c>
      <c r="AV1613" s="1">
        <v>0</v>
      </c>
      <c r="AW1613" s="1">
        <v>0</v>
      </c>
      <c r="AX1613" s="1">
        <v>0</v>
      </c>
      <c r="AY1613" s="1">
        <v>0</v>
      </c>
      <c r="AZ1613" s="1">
        <v>0</v>
      </c>
      <c r="BA1613" s="1">
        <v>0</v>
      </c>
      <c r="BB1613" s="1">
        <v>0</v>
      </c>
      <c r="BC1613" s="1">
        <v>0</v>
      </c>
      <c r="BD1613" s="1">
        <v>0</v>
      </c>
      <c r="BE1613" s="1">
        <v>0</v>
      </c>
      <c r="BF1613" s="1">
        <v>0</v>
      </c>
      <c r="BG1613" s="1">
        <v>0</v>
      </c>
      <c r="BH1613" s="1">
        <v>0</v>
      </c>
      <c r="BI1613" s="1">
        <v>0</v>
      </c>
      <c r="BJ1613" s="1">
        <v>0</v>
      </c>
      <c r="BK1613" s="1">
        <v>0</v>
      </c>
      <c r="BL1613" s="1">
        <v>0</v>
      </c>
      <c r="BM1613" s="1">
        <v>0</v>
      </c>
      <c r="BN1613" s="1">
        <v>0</v>
      </c>
      <c r="BO1613" s="1">
        <v>0</v>
      </c>
      <c r="BP1613" s="1">
        <v>0</v>
      </c>
      <c r="BQ1613" s="1">
        <v>0</v>
      </c>
      <c r="BR1613" s="1">
        <v>0</v>
      </c>
      <c r="BS1613" s="1" t="s">
        <v>109</v>
      </c>
      <c r="BT1613" s="1">
        <v>1680</v>
      </c>
      <c r="BU1613" s="1" t="s">
        <v>109</v>
      </c>
      <c r="BV1613" s="1"/>
      <c r="BW1613" s="1"/>
      <c r="BX1613" s="1"/>
      <c r="BY1613" s="1"/>
      <c r="BZ1613" s="1">
        <v>0</v>
      </c>
      <c r="CA1613" s="1" t="s">
        <v>109</v>
      </c>
      <c r="CB1613" s="1" t="s">
        <v>109</v>
      </c>
      <c r="CC1613" s="1" t="s">
        <v>109</v>
      </c>
      <c r="CD1613" s="1" t="s">
        <v>109</v>
      </c>
      <c r="CE1613" s="1" t="s">
        <v>109</v>
      </c>
      <c r="CF1613" s="1" t="s">
        <v>109</v>
      </c>
      <c r="CG1613" s="1" t="s">
        <v>109</v>
      </c>
      <c r="CH1613" s="1" t="s">
        <v>109</v>
      </c>
      <c r="CI1613" s="1" t="s">
        <v>109</v>
      </c>
      <c r="CJ1613" s="1">
        <v>2</v>
      </c>
      <c r="CK1613" s="1"/>
      <c r="CL1613" s="1">
        <v>0</v>
      </c>
      <c r="CM1613" s="1">
        <v>0</v>
      </c>
      <c r="CN1613" s="1">
        <v>0</v>
      </c>
    </row>
    <row r="1614" spans="1:92" ht="14.25" customHeight="1" x14ac:dyDescent="0.15">
      <c r="A1614" s="1" t="s">
        <v>12232</v>
      </c>
      <c r="B1614" s="1" t="s">
        <v>156</v>
      </c>
      <c r="C1614" s="1" t="s">
        <v>157</v>
      </c>
      <c r="D1614" s="1" t="s">
        <v>8086</v>
      </c>
      <c r="E1614" s="1" t="s">
        <v>12233</v>
      </c>
      <c r="F1614" s="1" t="s">
        <v>98</v>
      </c>
      <c r="G1614" s="1" t="s">
        <v>141</v>
      </c>
      <c r="H1614" s="1">
        <v>0</v>
      </c>
      <c r="I1614" s="1" t="s">
        <v>142</v>
      </c>
      <c r="J1614" s="1"/>
      <c r="K1614" s="1"/>
      <c r="L1614" s="1" t="s">
        <v>1391</v>
      </c>
      <c r="M1614" s="1" t="s">
        <v>125</v>
      </c>
      <c r="N1614" s="1">
        <v>0</v>
      </c>
      <c r="O1614" s="1">
        <v>0</v>
      </c>
      <c r="P1614" s="1" t="s">
        <v>211</v>
      </c>
      <c r="Q1614" s="1" t="s">
        <v>268</v>
      </c>
      <c r="R1614" s="1" t="s">
        <v>12234</v>
      </c>
      <c r="S1614" s="1" t="s">
        <v>12235</v>
      </c>
      <c r="T1614" s="1" t="s">
        <v>12206</v>
      </c>
      <c r="U1614" s="1" t="s">
        <v>12236</v>
      </c>
      <c r="V1614" s="1">
        <v>1</v>
      </c>
      <c r="W1614" s="1">
        <v>1</v>
      </c>
      <c r="X1614" s="1">
        <v>0</v>
      </c>
      <c r="Y1614" s="1">
        <v>0</v>
      </c>
      <c r="Z1614" s="1">
        <v>0</v>
      </c>
      <c r="AA1614" s="1" t="s">
        <v>109</v>
      </c>
      <c r="AB1614" s="1" t="s">
        <v>109</v>
      </c>
      <c r="AC1614" s="1" t="s">
        <v>109</v>
      </c>
      <c r="AD1614" s="1" t="s">
        <v>109</v>
      </c>
      <c r="AE1614" s="1">
        <v>2</v>
      </c>
      <c r="AF1614" s="1">
        <v>2</v>
      </c>
      <c r="AG1614" s="1" t="s">
        <v>109</v>
      </c>
      <c r="AH1614" s="1" t="s">
        <v>109</v>
      </c>
      <c r="AI1614" s="1" t="s">
        <v>109</v>
      </c>
      <c r="AJ1614" s="1" t="s">
        <v>109</v>
      </c>
      <c r="AK1614" s="1">
        <v>2</v>
      </c>
      <c r="AL1614" s="1" t="s">
        <v>109</v>
      </c>
      <c r="AM1614" s="1" t="s">
        <v>109</v>
      </c>
      <c r="AN1614" s="1" t="s">
        <v>109</v>
      </c>
      <c r="AO1614" s="1" t="s">
        <v>109</v>
      </c>
      <c r="AP1614" s="1"/>
      <c r="AQ1614" s="1">
        <v>2</v>
      </c>
      <c r="AR1614" s="1"/>
      <c r="AS1614" s="1"/>
      <c r="AT1614" s="1">
        <v>0</v>
      </c>
      <c r="AU1614" s="1">
        <v>0</v>
      </c>
      <c r="AV1614" s="1">
        <v>0</v>
      </c>
      <c r="AW1614" s="1">
        <v>0</v>
      </c>
      <c r="AX1614" s="1">
        <v>0</v>
      </c>
      <c r="AY1614" s="1">
        <v>0</v>
      </c>
      <c r="AZ1614" s="1">
        <v>0</v>
      </c>
      <c r="BA1614" s="1">
        <v>0</v>
      </c>
      <c r="BB1614" s="1">
        <v>0</v>
      </c>
      <c r="BC1614" s="1">
        <v>0</v>
      </c>
      <c r="BD1614" s="1">
        <v>1</v>
      </c>
      <c r="BE1614" s="1">
        <v>0</v>
      </c>
      <c r="BF1614" s="1">
        <v>0</v>
      </c>
      <c r="BG1614" s="1">
        <v>0</v>
      </c>
      <c r="BH1614" s="1">
        <v>0</v>
      </c>
      <c r="BI1614" s="1">
        <v>0</v>
      </c>
      <c r="BJ1614" s="1">
        <v>0</v>
      </c>
      <c r="BK1614" s="1">
        <v>0</v>
      </c>
      <c r="BL1614" s="1">
        <v>0</v>
      </c>
      <c r="BM1614" s="1">
        <v>1</v>
      </c>
      <c r="BN1614" s="1">
        <v>0</v>
      </c>
      <c r="BO1614" s="1">
        <v>0</v>
      </c>
      <c r="BP1614" s="1">
        <v>0</v>
      </c>
      <c r="BQ1614" s="1">
        <v>0</v>
      </c>
      <c r="BR1614" s="1">
        <v>0</v>
      </c>
      <c r="BS1614" s="1" t="s">
        <v>109</v>
      </c>
      <c r="BT1614" s="1">
        <v>1681</v>
      </c>
      <c r="BU1614" s="1" t="s">
        <v>109</v>
      </c>
      <c r="BV1614" s="1"/>
      <c r="BW1614" s="1"/>
      <c r="BX1614" s="1"/>
      <c r="BY1614" s="1"/>
      <c r="BZ1614" s="1">
        <v>0</v>
      </c>
      <c r="CA1614" s="1" t="s">
        <v>109</v>
      </c>
      <c r="CB1614" s="1" t="s">
        <v>109</v>
      </c>
      <c r="CC1614" s="1" t="s">
        <v>109</v>
      </c>
      <c r="CD1614" s="1" t="s">
        <v>109</v>
      </c>
      <c r="CE1614" s="1" t="s">
        <v>109</v>
      </c>
      <c r="CF1614" s="1" t="s">
        <v>109</v>
      </c>
      <c r="CG1614" s="1" t="s">
        <v>109</v>
      </c>
      <c r="CH1614" s="1" t="s">
        <v>109</v>
      </c>
      <c r="CI1614" s="1" t="s">
        <v>109</v>
      </c>
      <c r="CJ1614" s="1">
        <v>2</v>
      </c>
      <c r="CK1614" s="1"/>
      <c r="CL1614" s="1">
        <v>0</v>
      </c>
      <c r="CM1614" s="1">
        <v>0</v>
      </c>
      <c r="CN1614" s="1">
        <v>0</v>
      </c>
    </row>
    <row r="1615" spans="1:92" ht="14.25" customHeight="1" x14ac:dyDescent="0.15">
      <c r="A1615" s="1" t="s">
        <v>12237</v>
      </c>
      <c r="B1615" s="1" t="s">
        <v>584</v>
      </c>
      <c r="C1615" s="1"/>
      <c r="D1615" s="1" t="s">
        <v>64</v>
      </c>
      <c r="E1615" s="1" t="s">
        <v>12238</v>
      </c>
      <c r="F1615" s="1" t="s">
        <v>98</v>
      </c>
      <c r="G1615" s="1" t="s">
        <v>4369</v>
      </c>
      <c r="H1615" s="1">
        <v>0</v>
      </c>
      <c r="I1615" s="1" t="s">
        <v>122</v>
      </c>
      <c r="J1615" s="1"/>
      <c r="K1615" s="1" t="s">
        <v>12239</v>
      </c>
      <c r="L1615" s="1"/>
      <c r="M1615" s="1" t="s">
        <v>6144</v>
      </c>
      <c r="N1615" s="1">
        <v>1</v>
      </c>
      <c r="O1615" s="1">
        <v>0</v>
      </c>
      <c r="P1615" s="1" t="s">
        <v>5780</v>
      </c>
      <c r="Q1615" s="1" t="s">
        <v>268</v>
      </c>
      <c r="R1615" s="1" t="s">
        <v>12240</v>
      </c>
      <c r="S1615" s="1" t="s">
        <v>12241</v>
      </c>
      <c r="T1615" s="1" t="s">
        <v>12242</v>
      </c>
      <c r="U1615" s="1" t="s">
        <v>12243</v>
      </c>
      <c r="V1615" s="1">
        <v>1</v>
      </c>
      <c r="W1615" s="1">
        <v>1</v>
      </c>
      <c r="X1615" s="1">
        <v>1</v>
      </c>
      <c r="Y1615" s="1">
        <v>0</v>
      </c>
      <c r="Z1615" s="1">
        <v>1</v>
      </c>
      <c r="AA1615" s="1">
        <v>5</v>
      </c>
      <c r="AB1615" s="1">
        <v>5</v>
      </c>
      <c r="AC1615" s="1" t="s">
        <v>109</v>
      </c>
      <c r="AD1615" s="1">
        <v>5</v>
      </c>
      <c r="AE1615" s="1" t="s">
        <v>109</v>
      </c>
      <c r="AF1615" s="1" t="s">
        <v>109</v>
      </c>
      <c r="AG1615" s="1" t="s">
        <v>109</v>
      </c>
      <c r="AH1615" s="1" t="s">
        <v>109</v>
      </c>
      <c r="AI1615" s="1" t="s">
        <v>109</v>
      </c>
      <c r="AJ1615" s="1" t="s">
        <v>109</v>
      </c>
      <c r="AK1615" s="1" t="s">
        <v>109</v>
      </c>
      <c r="AL1615" s="1" t="s">
        <v>109</v>
      </c>
      <c r="AM1615" s="1" t="s">
        <v>109</v>
      </c>
      <c r="AN1615" s="1" t="s">
        <v>109</v>
      </c>
      <c r="AO1615" s="1" t="s">
        <v>109</v>
      </c>
      <c r="AP1615" s="1"/>
      <c r="AQ1615" s="1">
        <v>5</v>
      </c>
      <c r="AR1615" s="1"/>
      <c r="AS1615" s="1"/>
      <c r="AT1615" s="1">
        <v>0</v>
      </c>
      <c r="AU1615" s="1">
        <v>0</v>
      </c>
      <c r="AV1615" s="1">
        <v>0</v>
      </c>
      <c r="AW1615" s="1">
        <v>0</v>
      </c>
      <c r="AX1615" s="1">
        <v>0</v>
      </c>
      <c r="AY1615" s="1">
        <v>0</v>
      </c>
      <c r="AZ1615" s="1">
        <v>0</v>
      </c>
      <c r="BA1615" s="1">
        <v>0</v>
      </c>
      <c r="BB1615" s="1">
        <v>0</v>
      </c>
      <c r="BC1615" s="1">
        <v>0</v>
      </c>
      <c r="BD1615" s="1">
        <v>0</v>
      </c>
      <c r="BE1615" s="1">
        <v>0</v>
      </c>
      <c r="BF1615" s="1">
        <v>0</v>
      </c>
      <c r="BG1615" s="1">
        <v>0</v>
      </c>
      <c r="BH1615" s="1">
        <v>0</v>
      </c>
      <c r="BI1615" s="1">
        <v>0</v>
      </c>
      <c r="BJ1615" s="1">
        <v>0</v>
      </c>
      <c r="BK1615" s="1">
        <v>0</v>
      </c>
      <c r="BL1615" s="1">
        <v>1</v>
      </c>
      <c r="BM1615" s="1">
        <v>0</v>
      </c>
      <c r="BN1615" s="1">
        <v>0</v>
      </c>
      <c r="BO1615" s="1">
        <v>0</v>
      </c>
      <c r="BP1615" s="1">
        <v>0</v>
      </c>
      <c r="BQ1615" s="1">
        <v>0</v>
      </c>
      <c r="BR1615" s="1">
        <v>0</v>
      </c>
      <c r="BS1615" s="1" t="s">
        <v>109</v>
      </c>
      <c r="BT1615" s="1">
        <v>1682</v>
      </c>
      <c r="BU1615" s="1" t="s">
        <v>109</v>
      </c>
      <c r="BV1615" s="1"/>
      <c r="BW1615" s="1"/>
      <c r="BX1615" s="1"/>
      <c r="BY1615" s="1"/>
      <c r="BZ1615" s="1">
        <v>0</v>
      </c>
      <c r="CA1615" s="1" t="s">
        <v>109</v>
      </c>
      <c r="CB1615" s="1" t="s">
        <v>109</v>
      </c>
      <c r="CC1615" s="1" t="s">
        <v>109</v>
      </c>
      <c r="CD1615" s="1" t="s">
        <v>109</v>
      </c>
      <c r="CE1615" s="1" t="s">
        <v>109</v>
      </c>
      <c r="CF1615" s="1" t="s">
        <v>109</v>
      </c>
      <c r="CG1615" s="1" t="s">
        <v>109</v>
      </c>
      <c r="CH1615" s="1" t="s">
        <v>109</v>
      </c>
      <c r="CI1615" s="1" t="s">
        <v>109</v>
      </c>
      <c r="CJ1615" s="1">
        <v>5</v>
      </c>
      <c r="CK1615" s="1"/>
      <c r="CL1615" s="1">
        <v>0</v>
      </c>
      <c r="CM1615" s="1">
        <v>0</v>
      </c>
      <c r="CN1615" s="1">
        <v>0</v>
      </c>
    </row>
    <row r="1616" spans="1:92" ht="14.25" customHeight="1" x14ac:dyDescent="0.15">
      <c r="A1616" s="1" t="s">
        <v>12244</v>
      </c>
      <c r="B1616" s="1" t="s">
        <v>584</v>
      </c>
      <c r="C1616" s="1"/>
      <c r="D1616" s="1"/>
      <c r="E1616" s="1" t="s">
        <v>6342</v>
      </c>
      <c r="F1616" s="1" t="s">
        <v>12245</v>
      </c>
      <c r="G1616" s="1" t="s">
        <v>12246</v>
      </c>
      <c r="H1616" s="1">
        <v>0</v>
      </c>
      <c r="I1616" s="1" t="s">
        <v>161</v>
      </c>
      <c r="J1616" s="1"/>
      <c r="K1616" s="1"/>
      <c r="L1616" s="1" t="s">
        <v>2739</v>
      </c>
      <c r="M1616" s="1" t="s">
        <v>12247</v>
      </c>
      <c r="N1616" s="1">
        <v>1</v>
      </c>
      <c r="O1616" s="1">
        <v>0</v>
      </c>
      <c r="P1616" s="1" t="s">
        <v>507</v>
      </c>
      <c r="Q1616" s="1" t="s">
        <v>167</v>
      </c>
      <c r="R1616" s="1" t="s">
        <v>12248</v>
      </c>
      <c r="S1616" s="1" t="s">
        <v>12249</v>
      </c>
      <c r="T1616" s="1" t="s">
        <v>12250</v>
      </c>
      <c r="U1616" s="1" t="s">
        <v>12251</v>
      </c>
      <c r="V1616" s="1">
        <v>1</v>
      </c>
      <c r="W1616" s="1">
        <v>1</v>
      </c>
      <c r="X1616" s="1">
        <v>1</v>
      </c>
      <c r="Y1616" s="1">
        <v>0</v>
      </c>
      <c r="Z1616" s="1">
        <v>0</v>
      </c>
      <c r="AA1616" s="1" t="s">
        <v>109</v>
      </c>
      <c r="AB1616" s="1" t="s">
        <v>109</v>
      </c>
      <c r="AC1616" s="1" t="s">
        <v>109</v>
      </c>
      <c r="AD1616" s="1" t="s">
        <v>109</v>
      </c>
      <c r="AE1616" s="1" t="s">
        <v>109</v>
      </c>
      <c r="AF1616" s="1">
        <v>4</v>
      </c>
      <c r="AG1616" s="1" t="s">
        <v>109</v>
      </c>
      <c r="AH1616" s="1" t="s">
        <v>109</v>
      </c>
      <c r="AI1616" s="1" t="s">
        <v>109</v>
      </c>
      <c r="AJ1616" s="1" t="s">
        <v>109</v>
      </c>
      <c r="AK1616" s="1" t="s">
        <v>109</v>
      </c>
      <c r="AL1616" s="1" t="s">
        <v>109</v>
      </c>
      <c r="AM1616" s="1" t="s">
        <v>109</v>
      </c>
      <c r="AN1616" s="1" t="s">
        <v>109</v>
      </c>
      <c r="AO1616" s="1" t="s">
        <v>109</v>
      </c>
      <c r="AP1616" s="1"/>
      <c r="AQ1616" s="1">
        <v>4</v>
      </c>
      <c r="AR1616" s="1"/>
      <c r="AS1616" s="1"/>
      <c r="AT1616" s="1">
        <v>0</v>
      </c>
      <c r="AU1616" s="1">
        <v>0</v>
      </c>
      <c r="AV1616" s="1">
        <v>0</v>
      </c>
      <c r="AW1616" s="1">
        <v>0</v>
      </c>
      <c r="AX1616" s="1">
        <v>0</v>
      </c>
      <c r="AY1616" s="1">
        <v>0</v>
      </c>
      <c r="AZ1616" s="1">
        <v>0</v>
      </c>
      <c r="BA1616" s="1">
        <v>0</v>
      </c>
      <c r="BB1616" s="1">
        <v>0</v>
      </c>
      <c r="BC1616" s="1">
        <v>0</v>
      </c>
      <c r="BD1616" s="1">
        <v>0</v>
      </c>
      <c r="BE1616" s="1">
        <v>0</v>
      </c>
      <c r="BF1616" s="1">
        <v>0</v>
      </c>
      <c r="BG1616" s="1">
        <v>0</v>
      </c>
      <c r="BH1616" s="1">
        <v>0</v>
      </c>
      <c r="BI1616" s="1">
        <v>0</v>
      </c>
      <c r="BJ1616" s="1">
        <v>0</v>
      </c>
      <c r="BK1616" s="1">
        <v>0</v>
      </c>
      <c r="BL1616" s="1">
        <v>0</v>
      </c>
      <c r="BM1616" s="1">
        <v>0</v>
      </c>
      <c r="BN1616" s="1">
        <v>0</v>
      </c>
      <c r="BO1616" s="1">
        <v>0</v>
      </c>
      <c r="BP1616" s="1">
        <v>0</v>
      </c>
      <c r="BQ1616" s="1">
        <v>0</v>
      </c>
      <c r="BR1616" s="1">
        <v>0</v>
      </c>
      <c r="BS1616" s="1" t="s">
        <v>109</v>
      </c>
      <c r="BT1616" s="1">
        <v>1683</v>
      </c>
      <c r="BU1616" s="1" t="s">
        <v>109</v>
      </c>
      <c r="BV1616" s="1"/>
      <c r="BW1616" s="1"/>
      <c r="BX1616" s="1"/>
      <c r="BY1616" s="1"/>
      <c r="BZ1616" s="1">
        <v>0</v>
      </c>
      <c r="CA1616" s="1" t="s">
        <v>109</v>
      </c>
      <c r="CB1616" s="1" t="s">
        <v>109</v>
      </c>
      <c r="CC1616" s="1" t="s">
        <v>109</v>
      </c>
      <c r="CD1616" s="1" t="s">
        <v>109</v>
      </c>
      <c r="CE1616" s="1" t="s">
        <v>109</v>
      </c>
      <c r="CF1616" s="1" t="s">
        <v>109</v>
      </c>
      <c r="CG1616" s="1" t="s">
        <v>109</v>
      </c>
      <c r="CH1616" s="1" t="s">
        <v>109</v>
      </c>
      <c r="CI1616" s="1" t="s">
        <v>109</v>
      </c>
      <c r="CJ1616" s="1" t="s">
        <v>109</v>
      </c>
      <c r="CK1616" s="1"/>
      <c r="CL1616" s="1">
        <v>0</v>
      </c>
      <c r="CM1616" s="1">
        <v>0</v>
      </c>
      <c r="CN1616" s="1">
        <v>0</v>
      </c>
    </row>
    <row r="1617" spans="1:92" ht="14.25" customHeight="1" x14ac:dyDescent="0.15">
      <c r="A1617" s="1" t="s">
        <v>12252</v>
      </c>
      <c r="B1617" s="1" t="s">
        <v>95</v>
      </c>
      <c r="C1617" s="1"/>
      <c r="D1617" s="1" t="s">
        <v>67</v>
      </c>
      <c r="E1617" s="1" t="s">
        <v>12253</v>
      </c>
      <c r="F1617" s="1" t="s">
        <v>98</v>
      </c>
      <c r="G1617" s="1" t="s">
        <v>12254</v>
      </c>
      <c r="H1617" s="1">
        <v>0</v>
      </c>
      <c r="I1617" s="1" t="s">
        <v>235</v>
      </c>
      <c r="J1617" s="1"/>
      <c r="K1617" s="1"/>
      <c r="L1617" s="1" t="s">
        <v>236</v>
      </c>
      <c r="M1617" s="1" t="s">
        <v>12255</v>
      </c>
      <c r="N1617" s="1">
        <v>0</v>
      </c>
      <c r="O1617" s="1">
        <v>0</v>
      </c>
      <c r="P1617" s="1" t="s">
        <v>1410</v>
      </c>
      <c r="Q1617" s="1" t="s">
        <v>268</v>
      </c>
      <c r="R1617" s="1" t="s">
        <v>12256</v>
      </c>
      <c r="S1617" s="1" t="s">
        <v>12257</v>
      </c>
      <c r="T1617" s="1" t="s">
        <v>12250</v>
      </c>
      <c r="U1617" s="1" t="s">
        <v>12258</v>
      </c>
      <c r="V1617" s="1">
        <v>0</v>
      </c>
      <c r="W1617" s="1">
        <v>1</v>
      </c>
      <c r="X1617" s="1">
        <v>1</v>
      </c>
      <c r="Y1617" s="1">
        <v>0</v>
      </c>
      <c r="Z1617" s="1">
        <v>0</v>
      </c>
      <c r="AA1617" s="1" t="s">
        <v>109</v>
      </c>
      <c r="AB1617" s="1" t="s">
        <v>109</v>
      </c>
      <c r="AC1617" s="1">
        <v>4</v>
      </c>
      <c r="AD1617" s="1" t="s">
        <v>109</v>
      </c>
      <c r="AE1617" s="1" t="s">
        <v>109</v>
      </c>
      <c r="AF1617" s="1" t="s">
        <v>109</v>
      </c>
      <c r="AG1617" s="1" t="s">
        <v>109</v>
      </c>
      <c r="AH1617" s="1" t="s">
        <v>109</v>
      </c>
      <c r="AI1617" s="1" t="s">
        <v>109</v>
      </c>
      <c r="AJ1617" s="1">
        <v>4</v>
      </c>
      <c r="AK1617" s="1" t="s">
        <v>109</v>
      </c>
      <c r="AL1617" s="1">
        <v>4</v>
      </c>
      <c r="AM1617" s="1" t="s">
        <v>109</v>
      </c>
      <c r="AN1617" s="1" t="s">
        <v>109</v>
      </c>
      <c r="AO1617" s="1" t="s">
        <v>109</v>
      </c>
      <c r="AP1617" s="1"/>
      <c r="AQ1617" s="1">
        <v>4</v>
      </c>
      <c r="AR1617" s="1"/>
      <c r="AS1617" s="1"/>
      <c r="AT1617" s="1">
        <v>0</v>
      </c>
      <c r="AU1617" s="1">
        <v>0</v>
      </c>
      <c r="AV1617" s="1">
        <v>0</v>
      </c>
      <c r="AW1617" s="1">
        <v>0</v>
      </c>
      <c r="AX1617" s="1">
        <v>0</v>
      </c>
      <c r="AY1617" s="1">
        <v>0</v>
      </c>
      <c r="AZ1617" s="1">
        <v>0</v>
      </c>
      <c r="BA1617" s="1">
        <v>0</v>
      </c>
      <c r="BB1617" s="1">
        <v>0</v>
      </c>
      <c r="BC1617" s="1">
        <v>0</v>
      </c>
      <c r="BD1617" s="1">
        <v>0</v>
      </c>
      <c r="BE1617" s="1">
        <v>0</v>
      </c>
      <c r="BF1617" s="1">
        <v>0</v>
      </c>
      <c r="BG1617" s="1">
        <v>0</v>
      </c>
      <c r="BH1617" s="1">
        <v>0</v>
      </c>
      <c r="BI1617" s="1">
        <v>0</v>
      </c>
      <c r="BJ1617" s="1">
        <v>0</v>
      </c>
      <c r="BK1617" s="1">
        <v>0</v>
      </c>
      <c r="BL1617" s="1">
        <v>0</v>
      </c>
      <c r="BM1617" s="1">
        <v>0</v>
      </c>
      <c r="BN1617" s="1">
        <v>0</v>
      </c>
      <c r="BO1617" s="1">
        <v>1</v>
      </c>
      <c r="BP1617" s="1">
        <v>0</v>
      </c>
      <c r="BQ1617" s="1">
        <v>0</v>
      </c>
      <c r="BR1617" s="1">
        <v>0</v>
      </c>
      <c r="BS1617" s="1" t="s">
        <v>109</v>
      </c>
      <c r="BT1617" s="1">
        <v>1684</v>
      </c>
      <c r="BU1617" s="1" t="s">
        <v>109</v>
      </c>
      <c r="BV1617" s="1"/>
      <c r="BW1617" s="1"/>
      <c r="BX1617" s="1"/>
      <c r="BY1617" s="1"/>
      <c r="BZ1617" s="1">
        <v>0</v>
      </c>
      <c r="CA1617" s="1" t="s">
        <v>109</v>
      </c>
      <c r="CB1617" s="1" t="s">
        <v>109</v>
      </c>
      <c r="CC1617" s="1" t="s">
        <v>109</v>
      </c>
      <c r="CD1617" s="1" t="s">
        <v>109</v>
      </c>
      <c r="CE1617" s="1" t="s">
        <v>109</v>
      </c>
      <c r="CF1617" s="1" t="s">
        <v>109</v>
      </c>
      <c r="CG1617" s="1" t="s">
        <v>109</v>
      </c>
      <c r="CH1617" s="1" t="s">
        <v>109</v>
      </c>
      <c r="CI1617" s="1" t="s">
        <v>109</v>
      </c>
      <c r="CJ1617" s="1" t="s">
        <v>109</v>
      </c>
      <c r="CK1617" s="1"/>
      <c r="CL1617" s="1">
        <v>0</v>
      </c>
      <c r="CM1617" s="1">
        <v>0</v>
      </c>
      <c r="CN1617" s="1">
        <v>0</v>
      </c>
    </row>
    <row r="1618" spans="1:92" ht="14.25" customHeight="1" x14ac:dyDescent="0.15">
      <c r="A1618" s="1" t="s">
        <v>12259</v>
      </c>
      <c r="B1618" s="1" t="s">
        <v>254</v>
      </c>
      <c r="C1618" s="1" t="s">
        <v>393</v>
      </c>
      <c r="D1618" s="1"/>
      <c r="E1618" s="1" t="s">
        <v>12260</v>
      </c>
      <c r="F1618" s="1" t="s">
        <v>277</v>
      </c>
      <c r="G1618" s="1" t="s">
        <v>160</v>
      </c>
      <c r="H1618" s="1">
        <v>0</v>
      </c>
      <c r="I1618" s="1" t="s">
        <v>235</v>
      </c>
      <c r="J1618" s="1"/>
      <c r="K1618" s="1"/>
      <c r="L1618" s="1" t="s">
        <v>236</v>
      </c>
      <c r="M1618" s="1" t="s">
        <v>5642</v>
      </c>
      <c r="N1618" s="1">
        <v>0</v>
      </c>
      <c r="O1618" s="1">
        <v>0</v>
      </c>
      <c r="P1618" s="1" t="s">
        <v>2475</v>
      </c>
      <c r="Q1618" s="1" t="s">
        <v>104</v>
      </c>
      <c r="R1618" s="1" t="s">
        <v>12261</v>
      </c>
      <c r="S1618" s="1" t="s">
        <v>12262</v>
      </c>
      <c r="T1618" s="1" t="s">
        <v>12250</v>
      </c>
      <c r="U1618" s="1" t="s">
        <v>12263</v>
      </c>
      <c r="V1618" s="1">
        <v>1</v>
      </c>
      <c r="W1618" s="1">
        <v>1</v>
      </c>
      <c r="X1618" s="1">
        <v>0</v>
      </c>
      <c r="Y1618" s="1">
        <v>0</v>
      </c>
      <c r="Z1618" s="1">
        <v>1</v>
      </c>
      <c r="AA1618" s="1" t="s">
        <v>109</v>
      </c>
      <c r="AB1618" s="1" t="s">
        <v>109</v>
      </c>
      <c r="AC1618" s="1" t="s">
        <v>109</v>
      </c>
      <c r="AD1618" s="1">
        <v>5</v>
      </c>
      <c r="AE1618" s="1">
        <v>4</v>
      </c>
      <c r="AF1618" s="1" t="s">
        <v>109</v>
      </c>
      <c r="AG1618" s="1" t="s">
        <v>109</v>
      </c>
      <c r="AH1618" s="1" t="s">
        <v>109</v>
      </c>
      <c r="AI1618" s="1" t="s">
        <v>109</v>
      </c>
      <c r="AJ1618" s="1" t="s">
        <v>109</v>
      </c>
      <c r="AK1618" s="1" t="s">
        <v>109</v>
      </c>
      <c r="AL1618" s="1">
        <v>5</v>
      </c>
      <c r="AM1618" s="1" t="s">
        <v>109</v>
      </c>
      <c r="AN1618" s="1" t="s">
        <v>109</v>
      </c>
      <c r="AO1618" s="1" t="s">
        <v>109</v>
      </c>
      <c r="AP1618" s="1"/>
      <c r="AQ1618" s="1">
        <v>5</v>
      </c>
      <c r="AR1618" s="1"/>
      <c r="AS1618" s="1"/>
      <c r="AT1618" s="1">
        <v>0</v>
      </c>
      <c r="AU1618" s="1">
        <v>0</v>
      </c>
      <c r="AV1618" s="1">
        <v>0</v>
      </c>
      <c r="AW1618" s="1">
        <v>0</v>
      </c>
      <c r="AX1618" s="1">
        <v>0</v>
      </c>
      <c r="AY1618" s="1">
        <v>0</v>
      </c>
      <c r="AZ1618" s="1">
        <v>0</v>
      </c>
      <c r="BA1618" s="1">
        <v>0</v>
      </c>
      <c r="BB1618" s="1">
        <v>0</v>
      </c>
      <c r="BC1618" s="1">
        <v>0</v>
      </c>
      <c r="BD1618" s="1">
        <v>0</v>
      </c>
      <c r="BE1618" s="1">
        <v>0</v>
      </c>
      <c r="BF1618" s="1">
        <v>0</v>
      </c>
      <c r="BG1618" s="1">
        <v>0</v>
      </c>
      <c r="BH1618" s="1">
        <v>0</v>
      </c>
      <c r="BI1618" s="1">
        <v>0</v>
      </c>
      <c r="BJ1618" s="1">
        <v>0</v>
      </c>
      <c r="BK1618" s="1">
        <v>0</v>
      </c>
      <c r="BL1618" s="1">
        <v>0</v>
      </c>
      <c r="BM1618" s="1">
        <v>0</v>
      </c>
      <c r="BN1618" s="1">
        <v>0</v>
      </c>
      <c r="BO1618" s="1">
        <v>0</v>
      </c>
      <c r="BP1618" s="1">
        <v>0</v>
      </c>
      <c r="BQ1618" s="1">
        <v>0</v>
      </c>
      <c r="BR1618" s="1">
        <v>0</v>
      </c>
      <c r="BS1618" s="1" t="s">
        <v>109</v>
      </c>
      <c r="BT1618" s="1">
        <v>1685</v>
      </c>
      <c r="BU1618" s="1" t="s">
        <v>109</v>
      </c>
      <c r="BV1618" s="1"/>
      <c r="BW1618" s="1"/>
      <c r="BX1618" s="1"/>
      <c r="BY1618" s="1"/>
      <c r="BZ1618" s="1">
        <v>0</v>
      </c>
      <c r="CA1618" s="1" t="s">
        <v>109</v>
      </c>
      <c r="CB1618" s="1" t="s">
        <v>109</v>
      </c>
      <c r="CC1618" s="1" t="s">
        <v>109</v>
      </c>
      <c r="CD1618" s="1" t="s">
        <v>109</v>
      </c>
      <c r="CE1618" s="1" t="s">
        <v>109</v>
      </c>
      <c r="CF1618" s="1" t="s">
        <v>109</v>
      </c>
      <c r="CG1618" s="1" t="s">
        <v>109</v>
      </c>
      <c r="CH1618" s="1" t="s">
        <v>109</v>
      </c>
      <c r="CI1618" s="1" t="s">
        <v>109</v>
      </c>
      <c r="CJ1618" s="1">
        <v>4</v>
      </c>
      <c r="CK1618" s="1"/>
      <c r="CL1618" s="1">
        <v>0</v>
      </c>
      <c r="CM1618" s="1">
        <v>0</v>
      </c>
      <c r="CN1618" s="1">
        <v>0</v>
      </c>
    </row>
    <row r="1619" spans="1:92" ht="14.25" customHeight="1" x14ac:dyDescent="0.15">
      <c r="A1619" s="1" t="s">
        <v>12264</v>
      </c>
      <c r="B1619" s="1" t="s">
        <v>254</v>
      </c>
      <c r="C1619" s="1"/>
      <c r="D1619" s="1"/>
      <c r="E1619" s="1" t="s">
        <v>12265</v>
      </c>
      <c r="F1619" s="1" t="s">
        <v>277</v>
      </c>
      <c r="G1619" s="1" t="s">
        <v>12266</v>
      </c>
      <c r="H1619" s="1">
        <v>0</v>
      </c>
      <c r="I1619" s="1" t="s">
        <v>235</v>
      </c>
      <c r="J1619" s="1"/>
      <c r="K1619" s="1"/>
      <c r="L1619" s="1" t="s">
        <v>236</v>
      </c>
      <c r="M1619" s="1" t="s">
        <v>11457</v>
      </c>
      <c r="N1619" s="1">
        <v>0</v>
      </c>
      <c r="O1619" s="1">
        <v>0</v>
      </c>
      <c r="P1619" s="1" t="s">
        <v>103</v>
      </c>
      <c r="Q1619" s="1" t="s">
        <v>268</v>
      </c>
      <c r="R1619" s="1" t="s">
        <v>12267</v>
      </c>
      <c r="S1619" s="1" t="s">
        <v>12268</v>
      </c>
      <c r="T1619" s="1" t="s">
        <v>12250</v>
      </c>
      <c r="U1619" s="1" t="s">
        <v>12269</v>
      </c>
      <c r="V1619" s="1">
        <v>1</v>
      </c>
      <c r="W1619" s="1">
        <v>1</v>
      </c>
      <c r="X1619" s="1">
        <v>1</v>
      </c>
      <c r="Y1619" s="1">
        <v>0</v>
      </c>
      <c r="Z1619" s="1">
        <v>0</v>
      </c>
      <c r="AA1619" s="1" t="s">
        <v>109</v>
      </c>
      <c r="AB1619" s="1" t="s">
        <v>109</v>
      </c>
      <c r="AC1619" s="1">
        <v>2</v>
      </c>
      <c r="AD1619" s="1">
        <v>2</v>
      </c>
      <c r="AE1619" s="1">
        <v>2</v>
      </c>
      <c r="AF1619" s="1">
        <v>2</v>
      </c>
      <c r="AG1619" s="1" t="s">
        <v>109</v>
      </c>
      <c r="AH1619" s="1" t="s">
        <v>109</v>
      </c>
      <c r="AI1619" s="1" t="s">
        <v>109</v>
      </c>
      <c r="AJ1619" s="1">
        <v>2</v>
      </c>
      <c r="AK1619" s="1" t="s">
        <v>109</v>
      </c>
      <c r="AL1619" s="1">
        <v>2</v>
      </c>
      <c r="AM1619" s="1" t="s">
        <v>109</v>
      </c>
      <c r="AN1619" s="1" t="s">
        <v>109</v>
      </c>
      <c r="AO1619" s="1" t="s">
        <v>109</v>
      </c>
      <c r="AP1619" s="1"/>
      <c r="AQ1619" s="1">
        <v>2</v>
      </c>
      <c r="AR1619" s="1"/>
      <c r="AS1619" s="1"/>
      <c r="AT1619" s="1">
        <v>0</v>
      </c>
      <c r="AU1619" s="1">
        <v>0</v>
      </c>
      <c r="AV1619" s="1">
        <v>0</v>
      </c>
      <c r="AW1619" s="1">
        <v>0</v>
      </c>
      <c r="AX1619" s="1">
        <v>0</v>
      </c>
      <c r="AY1619" s="1">
        <v>0</v>
      </c>
      <c r="AZ1619" s="1">
        <v>0</v>
      </c>
      <c r="BA1619" s="1">
        <v>0</v>
      </c>
      <c r="BB1619" s="1">
        <v>0</v>
      </c>
      <c r="BC1619" s="1">
        <v>0</v>
      </c>
      <c r="BD1619" s="1">
        <v>0</v>
      </c>
      <c r="BE1619" s="1">
        <v>0</v>
      </c>
      <c r="BF1619" s="1">
        <v>0</v>
      </c>
      <c r="BG1619" s="1">
        <v>0</v>
      </c>
      <c r="BH1619" s="1">
        <v>0</v>
      </c>
      <c r="BI1619" s="1">
        <v>0</v>
      </c>
      <c r="BJ1619" s="1">
        <v>0</v>
      </c>
      <c r="BK1619" s="1">
        <v>0</v>
      </c>
      <c r="BL1619" s="1">
        <v>0</v>
      </c>
      <c r="BM1619" s="1">
        <v>0</v>
      </c>
      <c r="BN1619" s="1">
        <v>0</v>
      </c>
      <c r="BO1619" s="1">
        <v>0</v>
      </c>
      <c r="BP1619" s="1">
        <v>0</v>
      </c>
      <c r="BQ1619" s="1">
        <v>0</v>
      </c>
      <c r="BR1619" s="1">
        <v>0</v>
      </c>
      <c r="BS1619" s="1" t="s">
        <v>109</v>
      </c>
      <c r="BT1619" s="1">
        <v>1686</v>
      </c>
      <c r="BU1619" s="1" t="s">
        <v>109</v>
      </c>
      <c r="BV1619" s="1"/>
      <c r="BW1619" s="1"/>
      <c r="BX1619" s="1"/>
      <c r="BY1619" s="1"/>
      <c r="BZ1619" s="1">
        <v>0</v>
      </c>
      <c r="CA1619" s="1" t="s">
        <v>109</v>
      </c>
      <c r="CB1619" s="1" t="s">
        <v>109</v>
      </c>
      <c r="CC1619" s="1" t="s">
        <v>109</v>
      </c>
      <c r="CD1619" s="1" t="s">
        <v>109</v>
      </c>
      <c r="CE1619" s="1" t="s">
        <v>109</v>
      </c>
      <c r="CF1619" s="1" t="s">
        <v>109</v>
      </c>
      <c r="CG1619" s="1" t="s">
        <v>109</v>
      </c>
      <c r="CH1619" s="1" t="s">
        <v>109</v>
      </c>
      <c r="CI1619" s="1" t="s">
        <v>109</v>
      </c>
      <c r="CJ1619" s="1">
        <v>2</v>
      </c>
      <c r="CK1619" s="1"/>
      <c r="CL1619" s="1">
        <v>0</v>
      </c>
      <c r="CM1619" s="1">
        <v>0</v>
      </c>
      <c r="CN1619" s="1">
        <v>0</v>
      </c>
    </row>
    <row r="1620" spans="1:92" ht="14.25" customHeight="1" x14ac:dyDescent="0.15">
      <c r="A1620" s="1" t="s">
        <v>12270</v>
      </c>
      <c r="B1620" s="1" t="s">
        <v>242</v>
      </c>
      <c r="C1620" s="1"/>
      <c r="D1620" s="1"/>
      <c r="E1620" s="1" t="s">
        <v>12271</v>
      </c>
      <c r="F1620" s="1" t="s">
        <v>98</v>
      </c>
      <c r="G1620" s="1" t="s">
        <v>12272</v>
      </c>
      <c r="H1620" s="1">
        <v>0</v>
      </c>
      <c r="I1620" s="1" t="s">
        <v>9750</v>
      </c>
      <c r="J1620" s="1" t="s">
        <v>12273</v>
      </c>
      <c r="K1620" s="1"/>
      <c r="L1620" s="1"/>
      <c r="M1620" s="1" t="s">
        <v>6625</v>
      </c>
      <c r="N1620" s="1">
        <v>1</v>
      </c>
      <c r="O1620" s="1">
        <v>0</v>
      </c>
      <c r="P1620" s="1" t="s">
        <v>103</v>
      </c>
      <c r="Q1620" s="1" t="s">
        <v>211</v>
      </c>
      <c r="R1620" s="1" t="s">
        <v>12274</v>
      </c>
      <c r="S1620" s="1" t="s">
        <v>12275</v>
      </c>
      <c r="T1620" s="1" t="s">
        <v>12250</v>
      </c>
      <c r="U1620" s="1" t="s">
        <v>12276</v>
      </c>
      <c r="V1620" s="1">
        <v>1</v>
      </c>
      <c r="W1620" s="1">
        <v>1</v>
      </c>
      <c r="X1620" s="1">
        <v>1</v>
      </c>
      <c r="Y1620" s="1">
        <v>0</v>
      </c>
      <c r="Z1620" s="1">
        <v>0</v>
      </c>
      <c r="AA1620" s="1" t="s">
        <v>109</v>
      </c>
      <c r="AB1620" s="1" t="s">
        <v>109</v>
      </c>
      <c r="AC1620" s="1">
        <v>6</v>
      </c>
      <c r="AD1620" s="1">
        <v>6</v>
      </c>
      <c r="AE1620" s="1" t="s">
        <v>109</v>
      </c>
      <c r="AF1620" s="1" t="s">
        <v>109</v>
      </c>
      <c r="AG1620" s="1" t="s">
        <v>109</v>
      </c>
      <c r="AH1620" s="1" t="s">
        <v>109</v>
      </c>
      <c r="AI1620" s="1" t="s">
        <v>109</v>
      </c>
      <c r="AJ1620" s="1">
        <v>6</v>
      </c>
      <c r="AK1620" s="1" t="s">
        <v>109</v>
      </c>
      <c r="AL1620" s="1">
        <v>6</v>
      </c>
      <c r="AM1620" s="1" t="s">
        <v>109</v>
      </c>
      <c r="AN1620" s="1" t="s">
        <v>109</v>
      </c>
      <c r="AO1620" s="1" t="s">
        <v>109</v>
      </c>
      <c r="AP1620" s="1"/>
      <c r="AQ1620" s="1">
        <v>6</v>
      </c>
      <c r="AR1620" s="1"/>
      <c r="AS1620" s="1"/>
      <c r="AT1620" s="1">
        <v>0</v>
      </c>
      <c r="AU1620" s="1">
        <v>0</v>
      </c>
      <c r="AV1620" s="1">
        <v>0</v>
      </c>
      <c r="AW1620" s="1">
        <v>0</v>
      </c>
      <c r="AX1620" s="1">
        <v>0</v>
      </c>
      <c r="AY1620" s="1">
        <v>0</v>
      </c>
      <c r="AZ1620" s="1">
        <v>0</v>
      </c>
      <c r="BA1620" s="1">
        <v>0</v>
      </c>
      <c r="BB1620" s="1">
        <v>0</v>
      </c>
      <c r="BC1620" s="1">
        <v>0</v>
      </c>
      <c r="BD1620" s="1">
        <v>0</v>
      </c>
      <c r="BE1620" s="1">
        <v>0</v>
      </c>
      <c r="BF1620" s="1">
        <v>0</v>
      </c>
      <c r="BG1620" s="1">
        <v>0</v>
      </c>
      <c r="BH1620" s="1">
        <v>0</v>
      </c>
      <c r="BI1620" s="1">
        <v>0</v>
      </c>
      <c r="BJ1620" s="1">
        <v>0</v>
      </c>
      <c r="BK1620" s="1">
        <v>0</v>
      </c>
      <c r="BL1620" s="1">
        <v>0</v>
      </c>
      <c r="BM1620" s="1">
        <v>0</v>
      </c>
      <c r="BN1620" s="1">
        <v>0</v>
      </c>
      <c r="BO1620" s="1">
        <v>0</v>
      </c>
      <c r="BP1620" s="1">
        <v>0</v>
      </c>
      <c r="BQ1620" s="1">
        <v>0</v>
      </c>
      <c r="BR1620" s="1">
        <v>0</v>
      </c>
      <c r="BS1620" s="1" t="s">
        <v>109</v>
      </c>
      <c r="BT1620" s="1">
        <v>1687</v>
      </c>
      <c r="BU1620" s="1" t="s">
        <v>109</v>
      </c>
      <c r="BV1620" s="1"/>
      <c r="BW1620" s="1"/>
      <c r="BX1620" s="1"/>
      <c r="BY1620" s="1"/>
      <c r="BZ1620" s="1">
        <v>0</v>
      </c>
      <c r="CA1620" s="1" t="s">
        <v>109</v>
      </c>
      <c r="CB1620" s="1" t="s">
        <v>109</v>
      </c>
      <c r="CC1620" s="1" t="s">
        <v>109</v>
      </c>
      <c r="CD1620" s="1" t="s">
        <v>109</v>
      </c>
      <c r="CE1620" s="1" t="s">
        <v>109</v>
      </c>
      <c r="CF1620" s="1" t="s">
        <v>109</v>
      </c>
      <c r="CG1620" s="1" t="s">
        <v>109</v>
      </c>
      <c r="CH1620" s="1" t="s">
        <v>109</v>
      </c>
      <c r="CI1620" s="1" t="s">
        <v>109</v>
      </c>
      <c r="CJ1620" s="1">
        <v>6</v>
      </c>
      <c r="CK1620" s="1"/>
      <c r="CL1620" s="1">
        <v>0</v>
      </c>
      <c r="CM1620" s="1">
        <v>0</v>
      </c>
      <c r="CN1620" s="1">
        <v>0</v>
      </c>
    </row>
    <row r="1621" spans="1:92" ht="14.25" customHeight="1" x14ac:dyDescent="0.15">
      <c r="A1621" s="1" t="s">
        <v>12277</v>
      </c>
      <c r="B1621" s="1" t="s">
        <v>254</v>
      </c>
      <c r="C1621" s="1"/>
      <c r="D1621" s="1"/>
      <c r="E1621" s="1" t="s">
        <v>812</v>
      </c>
      <c r="F1621" s="1" t="s">
        <v>377</v>
      </c>
      <c r="G1621" s="1" t="s">
        <v>160</v>
      </c>
      <c r="H1621" s="1">
        <v>0</v>
      </c>
      <c r="I1621" s="1" t="s">
        <v>235</v>
      </c>
      <c r="J1621" s="1"/>
      <c r="K1621" s="1"/>
      <c r="L1621" s="1" t="s">
        <v>236</v>
      </c>
      <c r="M1621" s="1" t="s">
        <v>5528</v>
      </c>
      <c r="N1621" s="1">
        <v>0</v>
      </c>
      <c r="O1621" s="1">
        <v>0</v>
      </c>
      <c r="P1621" s="1"/>
      <c r="Q1621" s="1"/>
      <c r="R1621" s="1" t="s">
        <v>12278</v>
      </c>
      <c r="S1621" s="1" t="s">
        <v>12279</v>
      </c>
      <c r="T1621" s="1" t="s">
        <v>12250</v>
      </c>
      <c r="U1621" s="1" t="s">
        <v>12280</v>
      </c>
      <c r="V1621" s="1">
        <v>1</v>
      </c>
      <c r="W1621" s="1">
        <v>1</v>
      </c>
      <c r="X1621" s="1">
        <v>0</v>
      </c>
      <c r="Y1621" s="1">
        <v>0</v>
      </c>
      <c r="Z1621" s="1">
        <v>1</v>
      </c>
      <c r="AA1621" s="1" t="s">
        <v>109</v>
      </c>
      <c r="AB1621" s="1" t="s">
        <v>109</v>
      </c>
      <c r="AC1621" s="1" t="s">
        <v>109</v>
      </c>
      <c r="AD1621" s="1">
        <v>7</v>
      </c>
      <c r="AE1621" s="1" t="s">
        <v>109</v>
      </c>
      <c r="AF1621" s="1" t="s">
        <v>109</v>
      </c>
      <c r="AG1621" s="1" t="s">
        <v>109</v>
      </c>
      <c r="AH1621" s="1" t="s">
        <v>109</v>
      </c>
      <c r="AI1621" s="1" t="s">
        <v>109</v>
      </c>
      <c r="AJ1621" s="1" t="s">
        <v>109</v>
      </c>
      <c r="AK1621" s="1" t="s">
        <v>109</v>
      </c>
      <c r="AL1621" s="1" t="s">
        <v>109</v>
      </c>
      <c r="AM1621" s="1" t="s">
        <v>109</v>
      </c>
      <c r="AN1621" s="1" t="s">
        <v>109</v>
      </c>
      <c r="AO1621" s="1" t="s">
        <v>109</v>
      </c>
      <c r="AP1621" s="1"/>
      <c r="AQ1621" s="1">
        <v>7</v>
      </c>
      <c r="AR1621" s="1"/>
      <c r="AS1621" s="1"/>
      <c r="AT1621" s="1">
        <v>0</v>
      </c>
      <c r="AU1621" s="1">
        <v>0</v>
      </c>
      <c r="AV1621" s="1">
        <v>0</v>
      </c>
      <c r="AW1621" s="1">
        <v>0</v>
      </c>
      <c r="AX1621" s="1">
        <v>0</v>
      </c>
      <c r="AY1621" s="1">
        <v>0</v>
      </c>
      <c r="AZ1621" s="1">
        <v>0</v>
      </c>
      <c r="BA1621" s="1">
        <v>0</v>
      </c>
      <c r="BB1621" s="1">
        <v>0</v>
      </c>
      <c r="BC1621" s="1">
        <v>0</v>
      </c>
      <c r="BD1621" s="1">
        <v>0</v>
      </c>
      <c r="BE1621" s="1">
        <v>0</v>
      </c>
      <c r="BF1621" s="1">
        <v>0</v>
      </c>
      <c r="BG1621" s="1">
        <v>0</v>
      </c>
      <c r="BH1621" s="1">
        <v>0</v>
      </c>
      <c r="BI1621" s="1">
        <v>0</v>
      </c>
      <c r="BJ1621" s="1">
        <v>0</v>
      </c>
      <c r="BK1621" s="1">
        <v>0</v>
      </c>
      <c r="BL1621" s="1">
        <v>0</v>
      </c>
      <c r="BM1621" s="1">
        <v>0</v>
      </c>
      <c r="BN1621" s="1">
        <v>0</v>
      </c>
      <c r="BO1621" s="1">
        <v>0</v>
      </c>
      <c r="BP1621" s="1">
        <v>0</v>
      </c>
      <c r="BQ1621" s="1">
        <v>0</v>
      </c>
      <c r="BR1621" s="1">
        <v>0</v>
      </c>
      <c r="BS1621" s="1" t="s">
        <v>109</v>
      </c>
      <c r="BT1621" s="1">
        <v>1688</v>
      </c>
      <c r="BU1621" s="1" t="s">
        <v>109</v>
      </c>
      <c r="BV1621" s="1"/>
      <c r="BW1621" s="1"/>
      <c r="BX1621" s="1"/>
      <c r="BY1621" s="1"/>
      <c r="BZ1621" s="1">
        <v>0</v>
      </c>
      <c r="CA1621" s="1" t="s">
        <v>109</v>
      </c>
      <c r="CB1621" s="1" t="s">
        <v>109</v>
      </c>
      <c r="CC1621" s="1" t="s">
        <v>109</v>
      </c>
      <c r="CD1621" s="1" t="s">
        <v>109</v>
      </c>
      <c r="CE1621" s="1" t="s">
        <v>109</v>
      </c>
      <c r="CF1621" s="1" t="s">
        <v>109</v>
      </c>
      <c r="CG1621" s="1" t="s">
        <v>109</v>
      </c>
      <c r="CH1621" s="1" t="s">
        <v>109</v>
      </c>
      <c r="CI1621" s="1" t="s">
        <v>109</v>
      </c>
      <c r="CJ1621" s="1" t="s">
        <v>109</v>
      </c>
      <c r="CK1621" s="1"/>
      <c r="CL1621" s="1">
        <v>0</v>
      </c>
      <c r="CM1621" s="1">
        <v>0</v>
      </c>
      <c r="CN1621" s="1">
        <v>0</v>
      </c>
    </row>
    <row r="1622" spans="1:92" ht="14.25" customHeight="1" x14ac:dyDescent="0.15">
      <c r="A1622" s="1" t="s">
        <v>12281</v>
      </c>
      <c r="B1622" s="1" t="s">
        <v>242</v>
      </c>
      <c r="C1622" s="1"/>
      <c r="D1622" s="1"/>
      <c r="E1622" s="1" t="s">
        <v>12282</v>
      </c>
      <c r="F1622" s="1" t="s">
        <v>98</v>
      </c>
      <c r="G1622" s="1" t="s">
        <v>333</v>
      </c>
      <c r="H1622" s="1">
        <v>0</v>
      </c>
      <c r="I1622" s="1" t="s">
        <v>122</v>
      </c>
      <c r="J1622" s="1" t="s">
        <v>12283</v>
      </c>
      <c r="K1622" s="1"/>
      <c r="L1622" s="1"/>
      <c r="M1622" s="1" t="s">
        <v>6144</v>
      </c>
      <c r="N1622" s="1">
        <v>1</v>
      </c>
      <c r="O1622" s="1">
        <v>0</v>
      </c>
      <c r="P1622" s="1" t="s">
        <v>301</v>
      </c>
      <c r="Q1622" s="1" t="s">
        <v>268</v>
      </c>
      <c r="R1622" s="1" t="s">
        <v>12284</v>
      </c>
      <c r="S1622" s="1" t="s">
        <v>12285</v>
      </c>
      <c r="T1622" s="1" t="s">
        <v>12286</v>
      </c>
      <c r="U1622" s="1" t="s">
        <v>12287</v>
      </c>
      <c r="V1622" s="1">
        <v>1</v>
      </c>
      <c r="W1622" s="1">
        <v>0</v>
      </c>
      <c r="X1622" s="1">
        <v>0</v>
      </c>
      <c r="Y1622" s="1">
        <v>0</v>
      </c>
      <c r="Z1622" s="1">
        <v>0</v>
      </c>
      <c r="AA1622" s="1">
        <v>2</v>
      </c>
      <c r="AB1622" s="1">
        <v>2</v>
      </c>
      <c r="AC1622" s="1" t="s">
        <v>109</v>
      </c>
      <c r="AD1622" s="1" t="s">
        <v>109</v>
      </c>
      <c r="AE1622" s="1" t="s">
        <v>109</v>
      </c>
      <c r="AF1622" s="1">
        <v>2</v>
      </c>
      <c r="AG1622" s="1" t="s">
        <v>109</v>
      </c>
      <c r="AH1622" s="1" t="s">
        <v>109</v>
      </c>
      <c r="AI1622" s="1">
        <v>2</v>
      </c>
      <c r="AJ1622" s="1" t="s">
        <v>109</v>
      </c>
      <c r="AK1622" s="1">
        <v>3</v>
      </c>
      <c r="AL1622" s="1" t="s">
        <v>109</v>
      </c>
      <c r="AM1622" s="1" t="s">
        <v>109</v>
      </c>
      <c r="AN1622" s="1" t="s">
        <v>109</v>
      </c>
      <c r="AO1622" s="1" t="s">
        <v>109</v>
      </c>
      <c r="AP1622" s="1"/>
      <c r="AQ1622" s="1">
        <v>2</v>
      </c>
      <c r="AR1622" s="1"/>
      <c r="AS1622" s="1"/>
      <c r="AT1622" s="1">
        <v>0</v>
      </c>
      <c r="AU1622" s="1">
        <v>0</v>
      </c>
      <c r="AV1622" s="1">
        <v>0</v>
      </c>
      <c r="AW1622" s="1">
        <v>0</v>
      </c>
      <c r="AX1622" s="1">
        <v>0</v>
      </c>
      <c r="AY1622" s="1">
        <v>0</v>
      </c>
      <c r="AZ1622" s="1">
        <v>0</v>
      </c>
      <c r="BA1622" s="1">
        <v>0</v>
      </c>
      <c r="BB1622" s="1">
        <v>0</v>
      </c>
      <c r="BC1622" s="1">
        <v>0</v>
      </c>
      <c r="BD1622" s="1">
        <v>0</v>
      </c>
      <c r="BE1622" s="1">
        <v>0</v>
      </c>
      <c r="BF1622" s="1">
        <v>0</v>
      </c>
      <c r="BG1622" s="1">
        <v>0</v>
      </c>
      <c r="BH1622" s="1">
        <v>0</v>
      </c>
      <c r="BI1622" s="1">
        <v>0</v>
      </c>
      <c r="BJ1622" s="1">
        <v>0</v>
      </c>
      <c r="BK1622" s="1">
        <v>0</v>
      </c>
      <c r="BL1622" s="1">
        <v>0</v>
      </c>
      <c r="BM1622" s="1">
        <v>0</v>
      </c>
      <c r="BN1622" s="1">
        <v>0</v>
      </c>
      <c r="BO1622" s="1">
        <v>0</v>
      </c>
      <c r="BP1622" s="1">
        <v>0</v>
      </c>
      <c r="BQ1622" s="1">
        <v>0</v>
      </c>
      <c r="BR1622" s="1">
        <v>0</v>
      </c>
      <c r="BS1622" s="1" t="s">
        <v>109</v>
      </c>
      <c r="BT1622" s="1">
        <v>1689</v>
      </c>
      <c r="BU1622" s="1" t="s">
        <v>109</v>
      </c>
      <c r="BV1622" s="1"/>
      <c r="BW1622" s="1"/>
      <c r="BX1622" s="1"/>
      <c r="BY1622" s="1"/>
      <c r="BZ1622" s="1">
        <v>0</v>
      </c>
      <c r="CA1622" s="1" t="s">
        <v>109</v>
      </c>
      <c r="CB1622" s="1" t="s">
        <v>109</v>
      </c>
      <c r="CC1622" s="1" t="s">
        <v>109</v>
      </c>
      <c r="CD1622" s="1" t="s">
        <v>109</v>
      </c>
      <c r="CE1622" s="1" t="s">
        <v>109</v>
      </c>
      <c r="CF1622" s="1" t="s">
        <v>109</v>
      </c>
      <c r="CG1622" s="1" t="s">
        <v>109</v>
      </c>
      <c r="CH1622" s="1" t="s">
        <v>109</v>
      </c>
      <c r="CI1622" s="1" t="s">
        <v>109</v>
      </c>
      <c r="CJ1622" s="1" t="s">
        <v>109</v>
      </c>
      <c r="CK1622" s="1"/>
      <c r="CL1622" s="1">
        <v>0</v>
      </c>
      <c r="CM1622" s="1">
        <v>0</v>
      </c>
      <c r="CN1622" s="1">
        <v>0</v>
      </c>
    </row>
    <row r="1623" spans="1:92" ht="14.25" customHeight="1" x14ac:dyDescent="0.15">
      <c r="A1623" s="1" t="s">
        <v>12288</v>
      </c>
      <c r="B1623" s="1" t="s">
        <v>584</v>
      </c>
      <c r="C1623" s="1"/>
      <c r="D1623" s="1" t="s">
        <v>64</v>
      </c>
      <c r="E1623" s="1" t="s">
        <v>12289</v>
      </c>
      <c r="F1623" s="1" t="s">
        <v>98</v>
      </c>
      <c r="G1623" s="1" t="s">
        <v>141</v>
      </c>
      <c r="H1623" s="1">
        <v>0</v>
      </c>
      <c r="I1623" s="1" t="s">
        <v>142</v>
      </c>
      <c r="J1623" s="1"/>
      <c r="K1623" s="1"/>
      <c r="L1623" s="1" t="s">
        <v>1391</v>
      </c>
      <c r="M1623" s="1" t="s">
        <v>12290</v>
      </c>
      <c r="N1623" s="1">
        <v>0</v>
      </c>
      <c r="O1623" s="1">
        <v>0</v>
      </c>
      <c r="P1623" s="1" t="s">
        <v>211</v>
      </c>
      <c r="Q1623" s="1" t="s">
        <v>268</v>
      </c>
      <c r="R1623" s="1" t="s">
        <v>12291</v>
      </c>
      <c r="S1623" s="1" t="s">
        <v>12292</v>
      </c>
      <c r="T1623" s="1" t="s">
        <v>12286</v>
      </c>
      <c r="U1623" s="1" t="s">
        <v>12293</v>
      </c>
      <c r="V1623" s="1">
        <v>1</v>
      </c>
      <c r="W1623" s="1">
        <v>1</v>
      </c>
      <c r="X1623" s="1">
        <v>0</v>
      </c>
      <c r="Y1623" s="1">
        <v>0</v>
      </c>
      <c r="Z1623" s="1">
        <v>0</v>
      </c>
      <c r="AA1623" s="1" t="s">
        <v>109</v>
      </c>
      <c r="AB1623" s="1" t="s">
        <v>109</v>
      </c>
      <c r="AC1623" s="1">
        <v>4</v>
      </c>
      <c r="AD1623" s="1" t="s">
        <v>109</v>
      </c>
      <c r="AE1623" s="1" t="s">
        <v>109</v>
      </c>
      <c r="AF1623" s="1" t="s">
        <v>109</v>
      </c>
      <c r="AG1623" s="1">
        <v>4</v>
      </c>
      <c r="AH1623" s="1" t="s">
        <v>109</v>
      </c>
      <c r="AI1623" s="1" t="s">
        <v>109</v>
      </c>
      <c r="AJ1623" s="1" t="s">
        <v>109</v>
      </c>
      <c r="AK1623" s="1" t="s">
        <v>109</v>
      </c>
      <c r="AL1623" s="1">
        <v>4</v>
      </c>
      <c r="AM1623" s="1" t="s">
        <v>109</v>
      </c>
      <c r="AN1623" s="1" t="s">
        <v>109</v>
      </c>
      <c r="AO1623" s="1" t="s">
        <v>109</v>
      </c>
      <c r="AP1623" s="1"/>
      <c r="AQ1623" s="1">
        <v>4</v>
      </c>
      <c r="AR1623" s="1"/>
      <c r="AS1623" s="1"/>
      <c r="AT1623" s="1">
        <v>0</v>
      </c>
      <c r="AU1623" s="1">
        <v>0</v>
      </c>
      <c r="AV1623" s="1">
        <v>0</v>
      </c>
      <c r="AW1623" s="1">
        <v>0</v>
      </c>
      <c r="AX1623" s="1">
        <v>0</v>
      </c>
      <c r="AY1623" s="1">
        <v>0</v>
      </c>
      <c r="AZ1623" s="1">
        <v>0</v>
      </c>
      <c r="BA1623" s="1">
        <v>0</v>
      </c>
      <c r="BB1623" s="1">
        <v>0</v>
      </c>
      <c r="BC1623" s="1">
        <v>0</v>
      </c>
      <c r="BD1623" s="1">
        <v>0</v>
      </c>
      <c r="BE1623" s="1">
        <v>0</v>
      </c>
      <c r="BF1623" s="1">
        <v>0</v>
      </c>
      <c r="BG1623" s="1">
        <v>0</v>
      </c>
      <c r="BH1623" s="1">
        <v>0</v>
      </c>
      <c r="BI1623" s="1">
        <v>0</v>
      </c>
      <c r="BJ1623" s="1">
        <v>0</v>
      </c>
      <c r="BK1623" s="1">
        <v>0</v>
      </c>
      <c r="BL1623" s="1">
        <v>1</v>
      </c>
      <c r="BM1623" s="1">
        <v>0</v>
      </c>
      <c r="BN1623" s="1">
        <v>0</v>
      </c>
      <c r="BO1623" s="1">
        <v>0</v>
      </c>
      <c r="BP1623" s="1">
        <v>0</v>
      </c>
      <c r="BQ1623" s="1">
        <v>0</v>
      </c>
      <c r="BR1623" s="1">
        <v>0</v>
      </c>
      <c r="BS1623" s="1" t="s">
        <v>109</v>
      </c>
      <c r="BT1623" s="1">
        <v>1690</v>
      </c>
      <c r="BU1623" s="1" t="s">
        <v>109</v>
      </c>
      <c r="BV1623" s="1"/>
      <c r="BW1623" s="1"/>
      <c r="BX1623" s="1"/>
      <c r="BY1623" s="1"/>
      <c r="BZ1623" s="1">
        <v>0</v>
      </c>
      <c r="CA1623" s="1" t="s">
        <v>109</v>
      </c>
      <c r="CB1623" s="1" t="s">
        <v>109</v>
      </c>
      <c r="CC1623" s="1" t="s">
        <v>109</v>
      </c>
      <c r="CD1623" s="1" t="s">
        <v>109</v>
      </c>
      <c r="CE1623" s="1" t="s">
        <v>109</v>
      </c>
      <c r="CF1623" s="1" t="s">
        <v>109</v>
      </c>
      <c r="CG1623" s="1" t="s">
        <v>109</v>
      </c>
      <c r="CH1623" s="1" t="s">
        <v>109</v>
      </c>
      <c r="CI1623" s="1" t="s">
        <v>109</v>
      </c>
      <c r="CJ1623" s="1" t="s">
        <v>109</v>
      </c>
      <c r="CK1623" s="1"/>
      <c r="CL1623" s="1">
        <v>0</v>
      </c>
      <c r="CM1623" s="1">
        <v>0</v>
      </c>
      <c r="CN1623" s="1">
        <v>0</v>
      </c>
    </row>
    <row r="1624" spans="1:92" ht="14.25" customHeight="1" x14ac:dyDescent="0.15">
      <c r="A1624" s="1" t="s">
        <v>12294</v>
      </c>
      <c r="B1624" s="1" t="s">
        <v>254</v>
      </c>
      <c r="C1624" s="1"/>
      <c r="D1624" s="1"/>
      <c r="E1624" s="1" t="s">
        <v>12295</v>
      </c>
      <c r="F1624" s="1" t="s">
        <v>98</v>
      </c>
      <c r="G1624" s="1" t="s">
        <v>160</v>
      </c>
      <c r="H1624" s="1">
        <v>0</v>
      </c>
      <c r="I1624" s="1" t="s">
        <v>1016</v>
      </c>
      <c r="J1624" s="1" t="s">
        <v>1346</v>
      </c>
      <c r="K1624" s="1"/>
      <c r="L1624" s="1"/>
      <c r="M1624" s="1" t="s">
        <v>6317</v>
      </c>
      <c r="N1624" s="1">
        <v>1</v>
      </c>
      <c r="O1624" s="1">
        <v>0</v>
      </c>
      <c r="P1624" s="1" t="s">
        <v>8111</v>
      </c>
      <c r="Q1624" s="1" t="s">
        <v>104</v>
      </c>
      <c r="R1624" s="1" t="s">
        <v>12296</v>
      </c>
      <c r="S1624" s="1" t="s">
        <v>12297</v>
      </c>
      <c r="T1624" s="1" t="s">
        <v>12286</v>
      </c>
      <c r="U1624" s="1" t="s">
        <v>12298</v>
      </c>
      <c r="V1624" s="1">
        <v>1</v>
      </c>
      <c r="W1624" s="1">
        <v>1</v>
      </c>
      <c r="X1624" s="1">
        <v>0</v>
      </c>
      <c r="Y1624" s="1">
        <v>0</v>
      </c>
      <c r="Z1624" s="1">
        <v>1</v>
      </c>
      <c r="AA1624" s="1" t="s">
        <v>109</v>
      </c>
      <c r="AB1624" s="1" t="s">
        <v>109</v>
      </c>
      <c r="AC1624" s="1">
        <v>1</v>
      </c>
      <c r="AD1624" s="1" t="s">
        <v>109</v>
      </c>
      <c r="AE1624" s="1" t="s">
        <v>109</v>
      </c>
      <c r="AF1624" s="1" t="s">
        <v>109</v>
      </c>
      <c r="AG1624" s="1">
        <v>1</v>
      </c>
      <c r="AH1624" s="1" t="s">
        <v>109</v>
      </c>
      <c r="AI1624" s="1" t="s">
        <v>109</v>
      </c>
      <c r="AJ1624" s="1" t="s">
        <v>109</v>
      </c>
      <c r="AK1624" s="1">
        <v>1</v>
      </c>
      <c r="AL1624" s="1">
        <v>1</v>
      </c>
      <c r="AM1624" s="1" t="s">
        <v>109</v>
      </c>
      <c r="AN1624" s="1" t="s">
        <v>109</v>
      </c>
      <c r="AO1624" s="1" t="s">
        <v>109</v>
      </c>
      <c r="AP1624" s="1"/>
      <c r="AQ1624" s="1">
        <v>1</v>
      </c>
      <c r="AR1624" s="1"/>
      <c r="AS1624" s="1"/>
      <c r="AT1624" s="1">
        <v>0</v>
      </c>
      <c r="AU1624" s="1">
        <v>0</v>
      </c>
      <c r="AV1624" s="1">
        <v>0</v>
      </c>
      <c r="AW1624" s="1">
        <v>0</v>
      </c>
      <c r="AX1624" s="1">
        <v>0</v>
      </c>
      <c r="AY1624" s="1">
        <v>0</v>
      </c>
      <c r="AZ1624" s="1">
        <v>0</v>
      </c>
      <c r="BA1624" s="1">
        <v>0</v>
      </c>
      <c r="BB1624" s="1">
        <v>0</v>
      </c>
      <c r="BC1624" s="1">
        <v>0</v>
      </c>
      <c r="BD1624" s="1">
        <v>0</v>
      </c>
      <c r="BE1624" s="1">
        <v>0</v>
      </c>
      <c r="BF1624" s="1">
        <v>0</v>
      </c>
      <c r="BG1624" s="1">
        <v>0</v>
      </c>
      <c r="BH1624" s="1">
        <v>0</v>
      </c>
      <c r="BI1624" s="1">
        <v>0</v>
      </c>
      <c r="BJ1624" s="1">
        <v>0</v>
      </c>
      <c r="BK1624" s="1">
        <v>0</v>
      </c>
      <c r="BL1624" s="1">
        <v>0</v>
      </c>
      <c r="BM1624" s="1">
        <v>0</v>
      </c>
      <c r="BN1624" s="1">
        <v>0</v>
      </c>
      <c r="BO1624" s="1">
        <v>0</v>
      </c>
      <c r="BP1624" s="1">
        <v>0</v>
      </c>
      <c r="BQ1624" s="1">
        <v>0</v>
      </c>
      <c r="BR1624" s="1">
        <v>0</v>
      </c>
      <c r="BS1624" s="1" t="s">
        <v>109</v>
      </c>
      <c r="BT1624" s="1">
        <v>1691</v>
      </c>
      <c r="BU1624" s="1" t="s">
        <v>109</v>
      </c>
      <c r="BV1624" s="1"/>
      <c r="BW1624" s="1"/>
      <c r="BX1624" s="1"/>
      <c r="BY1624" s="1"/>
      <c r="BZ1624" s="1">
        <v>0</v>
      </c>
      <c r="CA1624" s="1" t="s">
        <v>109</v>
      </c>
      <c r="CB1624" s="1" t="s">
        <v>109</v>
      </c>
      <c r="CC1624" s="1" t="s">
        <v>109</v>
      </c>
      <c r="CD1624" s="1" t="s">
        <v>109</v>
      </c>
      <c r="CE1624" s="1" t="s">
        <v>109</v>
      </c>
      <c r="CF1624" s="1" t="s">
        <v>109</v>
      </c>
      <c r="CG1624" s="1" t="s">
        <v>109</v>
      </c>
      <c r="CH1624" s="1" t="s">
        <v>109</v>
      </c>
      <c r="CI1624" s="1" t="s">
        <v>109</v>
      </c>
      <c r="CJ1624" s="1" t="s">
        <v>109</v>
      </c>
      <c r="CK1624" s="1"/>
      <c r="CL1624" s="1">
        <v>0</v>
      </c>
      <c r="CM1624" s="1">
        <v>0</v>
      </c>
      <c r="CN1624" s="1">
        <v>0</v>
      </c>
    </row>
    <row r="1625" spans="1:92" ht="14.25" customHeight="1" x14ac:dyDescent="0.15">
      <c r="A1625" s="1" t="s">
        <v>12299</v>
      </c>
      <c r="B1625" s="1" t="s">
        <v>242</v>
      </c>
      <c r="C1625" s="1"/>
      <c r="D1625" s="1" t="s">
        <v>211</v>
      </c>
      <c r="E1625" s="1" t="s">
        <v>11201</v>
      </c>
      <c r="F1625" s="1" t="s">
        <v>98</v>
      </c>
      <c r="G1625" s="1" t="s">
        <v>160</v>
      </c>
      <c r="H1625" s="1">
        <v>0</v>
      </c>
      <c r="I1625" s="1" t="s">
        <v>161</v>
      </c>
      <c r="J1625" s="1"/>
      <c r="K1625" s="1"/>
      <c r="L1625" s="1" t="s">
        <v>506</v>
      </c>
      <c r="M1625" s="1" t="s">
        <v>6144</v>
      </c>
      <c r="N1625" s="1">
        <v>1</v>
      </c>
      <c r="O1625" s="1">
        <v>0</v>
      </c>
      <c r="P1625" s="1" t="s">
        <v>507</v>
      </c>
      <c r="Q1625" s="1" t="s">
        <v>3102</v>
      </c>
      <c r="R1625" s="1" t="s">
        <v>12300</v>
      </c>
      <c r="S1625" s="1" t="s">
        <v>12301</v>
      </c>
      <c r="T1625" s="1" t="s">
        <v>12286</v>
      </c>
      <c r="U1625" s="1" t="s">
        <v>12302</v>
      </c>
      <c r="V1625" s="1">
        <v>1</v>
      </c>
      <c r="W1625" s="1">
        <v>1</v>
      </c>
      <c r="X1625" s="1">
        <v>0</v>
      </c>
      <c r="Y1625" s="1">
        <v>0</v>
      </c>
      <c r="Z1625" s="1">
        <v>1</v>
      </c>
      <c r="AA1625" s="1" t="s">
        <v>109</v>
      </c>
      <c r="AB1625" s="1" t="s">
        <v>109</v>
      </c>
      <c r="AC1625" s="1">
        <v>2</v>
      </c>
      <c r="AD1625" s="1" t="s">
        <v>109</v>
      </c>
      <c r="AE1625" s="1" t="s">
        <v>109</v>
      </c>
      <c r="AF1625" s="1" t="s">
        <v>109</v>
      </c>
      <c r="AG1625" s="1">
        <v>2</v>
      </c>
      <c r="AH1625" s="1" t="s">
        <v>109</v>
      </c>
      <c r="AI1625" s="1" t="s">
        <v>109</v>
      </c>
      <c r="AJ1625" s="1" t="s">
        <v>109</v>
      </c>
      <c r="AK1625" s="1">
        <v>2</v>
      </c>
      <c r="AL1625" s="1">
        <v>2</v>
      </c>
      <c r="AM1625" s="1" t="s">
        <v>109</v>
      </c>
      <c r="AN1625" s="1" t="s">
        <v>109</v>
      </c>
      <c r="AO1625" s="1" t="s">
        <v>109</v>
      </c>
      <c r="AP1625" s="1"/>
      <c r="AQ1625" s="1">
        <v>2</v>
      </c>
      <c r="AR1625" s="1"/>
      <c r="AS1625" s="1"/>
      <c r="AT1625" s="1">
        <v>0</v>
      </c>
      <c r="AU1625" s="1">
        <v>0</v>
      </c>
      <c r="AV1625" s="1">
        <v>0</v>
      </c>
      <c r="AW1625" s="1">
        <v>0</v>
      </c>
      <c r="AX1625" s="1">
        <v>0</v>
      </c>
      <c r="AY1625" s="1">
        <v>0</v>
      </c>
      <c r="AZ1625" s="1">
        <v>0</v>
      </c>
      <c r="BA1625" s="1">
        <v>0</v>
      </c>
      <c r="BB1625" s="1">
        <v>0</v>
      </c>
      <c r="BC1625" s="1">
        <v>0</v>
      </c>
      <c r="BD1625" s="1">
        <v>0</v>
      </c>
      <c r="BE1625" s="1">
        <v>0</v>
      </c>
      <c r="BF1625" s="1">
        <v>0</v>
      </c>
      <c r="BG1625" s="1">
        <v>0</v>
      </c>
      <c r="BH1625" s="1">
        <v>0</v>
      </c>
      <c r="BI1625" s="1">
        <v>0</v>
      </c>
      <c r="BJ1625" s="1">
        <v>0</v>
      </c>
      <c r="BK1625" s="1">
        <v>0</v>
      </c>
      <c r="BL1625" s="1">
        <v>0</v>
      </c>
      <c r="BM1625" s="1">
        <v>0</v>
      </c>
      <c r="BN1625" s="1">
        <v>0</v>
      </c>
      <c r="BO1625" s="1">
        <v>0</v>
      </c>
      <c r="BP1625" s="1">
        <v>0</v>
      </c>
      <c r="BQ1625" s="1">
        <v>0</v>
      </c>
      <c r="BR1625" s="1">
        <v>0</v>
      </c>
      <c r="BS1625" s="1" t="s">
        <v>109</v>
      </c>
      <c r="BT1625" s="1">
        <v>1692</v>
      </c>
      <c r="BU1625" s="1" t="s">
        <v>109</v>
      </c>
      <c r="BV1625" s="1"/>
      <c r="BW1625" s="1"/>
      <c r="BX1625" s="1"/>
      <c r="BY1625" s="1"/>
      <c r="BZ1625" s="1">
        <v>0</v>
      </c>
      <c r="CA1625" s="1" t="s">
        <v>109</v>
      </c>
      <c r="CB1625" s="1" t="s">
        <v>109</v>
      </c>
      <c r="CC1625" s="1" t="s">
        <v>109</v>
      </c>
      <c r="CD1625" s="1" t="s">
        <v>109</v>
      </c>
      <c r="CE1625" s="1" t="s">
        <v>109</v>
      </c>
      <c r="CF1625" s="1" t="s">
        <v>109</v>
      </c>
      <c r="CG1625" s="1" t="s">
        <v>109</v>
      </c>
      <c r="CH1625" s="1" t="s">
        <v>109</v>
      </c>
      <c r="CI1625" s="1" t="s">
        <v>109</v>
      </c>
      <c r="CJ1625" s="1" t="s">
        <v>109</v>
      </c>
      <c r="CK1625" s="1"/>
      <c r="CL1625" s="1">
        <v>0</v>
      </c>
      <c r="CM1625" s="1">
        <v>0</v>
      </c>
      <c r="CN1625" s="1">
        <v>0</v>
      </c>
    </row>
    <row r="1626" spans="1:92" ht="14.25" customHeight="1" x14ac:dyDescent="0.15">
      <c r="A1626" s="1" t="s">
        <v>12303</v>
      </c>
      <c r="B1626" s="1" t="s">
        <v>242</v>
      </c>
      <c r="C1626" s="1"/>
      <c r="D1626" s="1" t="s">
        <v>61</v>
      </c>
      <c r="E1626" s="1" t="s">
        <v>12304</v>
      </c>
      <c r="F1626" s="1" t="s">
        <v>98</v>
      </c>
      <c r="G1626" s="1" t="s">
        <v>160</v>
      </c>
      <c r="H1626" s="1">
        <v>0</v>
      </c>
      <c r="I1626" s="1" t="s">
        <v>161</v>
      </c>
      <c r="J1626" s="1"/>
      <c r="K1626" s="1"/>
      <c r="L1626" s="1" t="s">
        <v>12305</v>
      </c>
      <c r="M1626" s="1" t="s">
        <v>6625</v>
      </c>
      <c r="N1626" s="1">
        <v>1</v>
      </c>
      <c r="O1626" s="1">
        <v>0</v>
      </c>
      <c r="P1626" s="1" t="s">
        <v>507</v>
      </c>
      <c r="Q1626" s="1" t="s">
        <v>167</v>
      </c>
      <c r="R1626" s="1" t="s">
        <v>12306</v>
      </c>
      <c r="S1626" s="1" t="s">
        <v>12307</v>
      </c>
      <c r="T1626" s="1" t="s">
        <v>12286</v>
      </c>
      <c r="U1626" s="1" t="s">
        <v>12308</v>
      </c>
      <c r="V1626" s="1">
        <v>1</v>
      </c>
      <c r="W1626" s="1">
        <v>1</v>
      </c>
      <c r="X1626" s="1">
        <v>0</v>
      </c>
      <c r="Y1626" s="1">
        <v>0</v>
      </c>
      <c r="Z1626" s="1">
        <v>1</v>
      </c>
      <c r="AA1626" s="1" t="s">
        <v>109</v>
      </c>
      <c r="AB1626" s="1" t="s">
        <v>109</v>
      </c>
      <c r="AC1626" s="1" t="s">
        <v>109</v>
      </c>
      <c r="AD1626" s="1" t="s">
        <v>109</v>
      </c>
      <c r="AE1626" s="1" t="s">
        <v>109</v>
      </c>
      <c r="AF1626" s="1" t="s">
        <v>109</v>
      </c>
      <c r="AG1626" s="1">
        <v>2</v>
      </c>
      <c r="AH1626" s="1" t="s">
        <v>109</v>
      </c>
      <c r="AI1626" s="1" t="s">
        <v>109</v>
      </c>
      <c r="AJ1626" s="1" t="s">
        <v>109</v>
      </c>
      <c r="AK1626" s="1">
        <v>2</v>
      </c>
      <c r="AL1626" s="1" t="s">
        <v>109</v>
      </c>
      <c r="AM1626" s="1" t="s">
        <v>109</v>
      </c>
      <c r="AN1626" s="1" t="s">
        <v>109</v>
      </c>
      <c r="AO1626" s="1" t="s">
        <v>109</v>
      </c>
      <c r="AP1626" s="1"/>
      <c r="AQ1626" s="1">
        <v>2</v>
      </c>
      <c r="AR1626" s="1"/>
      <c r="AS1626" s="1"/>
      <c r="AT1626" s="1">
        <v>0</v>
      </c>
      <c r="AU1626" s="1">
        <v>0</v>
      </c>
      <c r="AV1626" s="1">
        <v>0</v>
      </c>
      <c r="AW1626" s="1">
        <v>0</v>
      </c>
      <c r="AX1626" s="1">
        <v>0</v>
      </c>
      <c r="AY1626" s="1">
        <v>0</v>
      </c>
      <c r="AZ1626" s="1">
        <v>0</v>
      </c>
      <c r="BA1626" s="1">
        <v>0</v>
      </c>
      <c r="BB1626" s="1">
        <v>0</v>
      </c>
      <c r="BC1626" s="1">
        <v>0</v>
      </c>
      <c r="BD1626" s="1">
        <v>0</v>
      </c>
      <c r="BE1626" s="1">
        <v>0</v>
      </c>
      <c r="BF1626" s="1">
        <v>0</v>
      </c>
      <c r="BG1626" s="1">
        <v>0</v>
      </c>
      <c r="BH1626" s="1">
        <v>0</v>
      </c>
      <c r="BI1626" s="1">
        <v>1</v>
      </c>
      <c r="BJ1626" s="1">
        <v>0</v>
      </c>
      <c r="BK1626" s="1">
        <v>0</v>
      </c>
      <c r="BL1626" s="1">
        <v>0</v>
      </c>
      <c r="BM1626" s="1">
        <v>0</v>
      </c>
      <c r="BN1626" s="1">
        <v>0</v>
      </c>
      <c r="BO1626" s="1">
        <v>0</v>
      </c>
      <c r="BP1626" s="1">
        <v>0</v>
      </c>
      <c r="BQ1626" s="1">
        <v>0</v>
      </c>
      <c r="BR1626" s="1">
        <v>0</v>
      </c>
      <c r="BS1626" s="1" t="s">
        <v>109</v>
      </c>
      <c r="BT1626" s="1">
        <v>1693</v>
      </c>
      <c r="BU1626" s="1" t="s">
        <v>109</v>
      </c>
      <c r="BV1626" s="1"/>
      <c r="BW1626" s="1"/>
      <c r="BX1626" s="1"/>
      <c r="BY1626" s="1"/>
      <c r="BZ1626" s="1">
        <v>0</v>
      </c>
      <c r="CA1626" s="1" t="s">
        <v>109</v>
      </c>
      <c r="CB1626" s="1" t="s">
        <v>109</v>
      </c>
      <c r="CC1626" s="1" t="s">
        <v>109</v>
      </c>
      <c r="CD1626" s="1" t="s">
        <v>109</v>
      </c>
      <c r="CE1626" s="1" t="s">
        <v>109</v>
      </c>
      <c r="CF1626" s="1" t="s">
        <v>109</v>
      </c>
      <c r="CG1626" s="1" t="s">
        <v>109</v>
      </c>
      <c r="CH1626" s="1" t="s">
        <v>109</v>
      </c>
      <c r="CI1626" s="1" t="s">
        <v>109</v>
      </c>
      <c r="CJ1626" s="1" t="s">
        <v>109</v>
      </c>
      <c r="CK1626" s="1"/>
      <c r="CL1626" s="1">
        <v>0</v>
      </c>
      <c r="CM1626" s="1">
        <v>0</v>
      </c>
      <c r="CN1626" s="1">
        <v>0</v>
      </c>
    </row>
    <row r="1627" spans="1:92" ht="14.25" customHeight="1" x14ac:dyDescent="0.15">
      <c r="A1627" s="1" t="s">
        <v>12309</v>
      </c>
      <c r="B1627" s="1" t="s">
        <v>242</v>
      </c>
      <c r="C1627" s="1"/>
      <c r="D1627" s="1"/>
      <c r="E1627" s="1" t="s">
        <v>8290</v>
      </c>
      <c r="F1627" s="1" t="s">
        <v>98</v>
      </c>
      <c r="G1627" s="1" t="s">
        <v>333</v>
      </c>
      <c r="H1627" s="1">
        <v>0</v>
      </c>
      <c r="I1627" s="1" t="s">
        <v>122</v>
      </c>
      <c r="J1627" s="1"/>
      <c r="K1627" s="1"/>
      <c r="L1627" s="1" t="s">
        <v>12310</v>
      </c>
      <c r="M1627" s="1" t="s">
        <v>6144</v>
      </c>
      <c r="N1627" s="1">
        <v>1</v>
      </c>
      <c r="O1627" s="1">
        <v>0</v>
      </c>
      <c r="P1627" s="1" t="s">
        <v>301</v>
      </c>
      <c r="Q1627" s="1" t="s">
        <v>268</v>
      </c>
      <c r="R1627" s="1" t="s">
        <v>12311</v>
      </c>
      <c r="S1627" s="1" t="s">
        <v>12312</v>
      </c>
      <c r="T1627" s="1" t="s">
        <v>12286</v>
      </c>
      <c r="U1627" s="1" t="s">
        <v>12313</v>
      </c>
      <c r="V1627" s="1">
        <v>1</v>
      </c>
      <c r="W1627" s="1">
        <v>0</v>
      </c>
      <c r="X1627" s="1">
        <v>0</v>
      </c>
      <c r="Y1627" s="1">
        <v>0</v>
      </c>
      <c r="Z1627" s="1">
        <v>0</v>
      </c>
      <c r="AA1627" s="1" t="s">
        <v>109</v>
      </c>
      <c r="AB1627" s="1" t="s">
        <v>109</v>
      </c>
      <c r="AC1627" s="1" t="s">
        <v>109</v>
      </c>
      <c r="AD1627" s="1" t="s">
        <v>109</v>
      </c>
      <c r="AE1627" s="1" t="s">
        <v>109</v>
      </c>
      <c r="AF1627" s="1">
        <v>2</v>
      </c>
      <c r="AG1627" s="1" t="s">
        <v>109</v>
      </c>
      <c r="AH1627" s="1" t="s">
        <v>109</v>
      </c>
      <c r="AI1627" s="1" t="s">
        <v>109</v>
      </c>
      <c r="AJ1627" s="1" t="s">
        <v>109</v>
      </c>
      <c r="AK1627" s="1">
        <v>2</v>
      </c>
      <c r="AL1627" s="1" t="s">
        <v>109</v>
      </c>
      <c r="AM1627" s="1" t="s">
        <v>109</v>
      </c>
      <c r="AN1627" s="1" t="s">
        <v>109</v>
      </c>
      <c r="AO1627" s="1" t="s">
        <v>109</v>
      </c>
      <c r="AP1627" s="1"/>
      <c r="AQ1627" s="1">
        <v>2</v>
      </c>
      <c r="AR1627" s="1"/>
      <c r="AS1627" s="1"/>
      <c r="AT1627" s="1">
        <v>0</v>
      </c>
      <c r="AU1627" s="1">
        <v>0</v>
      </c>
      <c r="AV1627" s="1">
        <v>0</v>
      </c>
      <c r="AW1627" s="1">
        <v>0</v>
      </c>
      <c r="AX1627" s="1">
        <v>0</v>
      </c>
      <c r="AY1627" s="1">
        <v>0</v>
      </c>
      <c r="AZ1627" s="1">
        <v>0</v>
      </c>
      <c r="BA1627" s="1">
        <v>0</v>
      </c>
      <c r="BB1627" s="1">
        <v>0</v>
      </c>
      <c r="BC1627" s="1">
        <v>0</v>
      </c>
      <c r="BD1627" s="1">
        <v>0</v>
      </c>
      <c r="BE1627" s="1">
        <v>0</v>
      </c>
      <c r="BF1627" s="1">
        <v>0</v>
      </c>
      <c r="BG1627" s="1">
        <v>0</v>
      </c>
      <c r="BH1627" s="1">
        <v>0</v>
      </c>
      <c r="BI1627" s="1">
        <v>0</v>
      </c>
      <c r="BJ1627" s="1">
        <v>0</v>
      </c>
      <c r="BK1627" s="1">
        <v>0</v>
      </c>
      <c r="BL1627" s="1">
        <v>0</v>
      </c>
      <c r="BM1627" s="1">
        <v>0</v>
      </c>
      <c r="BN1627" s="1">
        <v>0</v>
      </c>
      <c r="BO1627" s="1">
        <v>0</v>
      </c>
      <c r="BP1627" s="1">
        <v>0</v>
      </c>
      <c r="BQ1627" s="1">
        <v>0</v>
      </c>
      <c r="BR1627" s="1">
        <v>0</v>
      </c>
      <c r="BS1627" s="1" t="s">
        <v>109</v>
      </c>
      <c r="BT1627" s="1">
        <v>1694</v>
      </c>
      <c r="BU1627" s="1" t="s">
        <v>109</v>
      </c>
      <c r="BV1627" s="1"/>
      <c r="BW1627" s="1"/>
      <c r="BX1627" s="1"/>
      <c r="BY1627" s="1"/>
      <c r="BZ1627" s="1">
        <v>0</v>
      </c>
      <c r="CA1627" s="1" t="s">
        <v>109</v>
      </c>
      <c r="CB1627" s="1" t="s">
        <v>109</v>
      </c>
      <c r="CC1627" s="1" t="s">
        <v>109</v>
      </c>
      <c r="CD1627" s="1" t="s">
        <v>109</v>
      </c>
      <c r="CE1627" s="1" t="s">
        <v>109</v>
      </c>
      <c r="CF1627" s="1" t="s">
        <v>109</v>
      </c>
      <c r="CG1627" s="1" t="s">
        <v>109</v>
      </c>
      <c r="CH1627" s="1" t="s">
        <v>109</v>
      </c>
      <c r="CI1627" s="1" t="s">
        <v>109</v>
      </c>
      <c r="CJ1627" s="1" t="s">
        <v>109</v>
      </c>
      <c r="CK1627" s="1"/>
      <c r="CL1627" s="1">
        <v>0</v>
      </c>
      <c r="CM1627" s="1">
        <v>0</v>
      </c>
      <c r="CN1627" s="1">
        <v>0</v>
      </c>
    </row>
    <row r="1628" spans="1:92" ht="14.25" customHeight="1" x14ac:dyDescent="0.15">
      <c r="A1628" s="1" t="s">
        <v>12314</v>
      </c>
      <c r="B1628" s="1" t="s">
        <v>254</v>
      </c>
      <c r="C1628" s="1"/>
      <c r="D1628" s="1"/>
      <c r="E1628" s="1" t="s">
        <v>12315</v>
      </c>
      <c r="F1628" s="1" t="s">
        <v>355</v>
      </c>
      <c r="G1628" s="1" t="s">
        <v>12316</v>
      </c>
      <c r="H1628" s="1">
        <v>1</v>
      </c>
      <c r="I1628" s="1" t="s">
        <v>235</v>
      </c>
      <c r="J1628" s="1"/>
      <c r="K1628" s="1"/>
      <c r="L1628" s="1" t="s">
        <v>236</v>
      </c>
      <c r="M1628" s="1" t="s">
        <v>300</v>
      </c>
      <c r="N1628" s="1">
        <v>0</v>
      </c>
      <c r="O1628" s="1">
        <v>0</v>
      </c>
      <c r="P1628" s="1"/>
      <c r="Q1628" s="1"/>
      <c r="R1628" s="1" t="s">
        <v>12317</v>
      </c>
      <c r="S1628" s="1" t="s">
        <v>12318</v>
      </c>
      <c r="T1628" s="1" t="s">
        <v>12319</v>
      </c>
      <c r="U1628" s="1" t="s">
        <v>12320</v>
      </c>
      <c r="V1628" s="1">
        <v>1</v>
      </c>
      <c r="W1628" s="1">
        <v>1</v>
      </c>
      <c r="X1628" s="1">
        <v>1</v>
      </c>
      <c r="Y1628" s="1">
        <v>0</v>
      </c>
      <c r="Z1628" s="1">
        <v>0</v>
      </c>
      <c r="AA1628" s="1">
        <v>6</v>
      </c>
      <c r="AB1628" s="1">
        <v>6</v>
      </c>
      <c r="AC1628" s="1">
        <v>6</v>
      </c>
      <c r="AD1628" s="1" t="s">
        <v>109</v>
      </c>
      <c r="AE1628" s="1" t="s">
        <v>109</v>
      </c>
      <c r="AF1628" s="1" t="s">
        <v>109</v>
      </c>
      <c r="AG1628" s="1" t="s">
        <v>109</v>
      </c>
      <c r="AH1628" s="1" t="s">
        <v>109</v>
      </c>
      <c r="AI1628" s="1" t="s">
        <v>109</v>
      </c>
      <c r="AJ1628" s="1">
        <v>6</v>
      </c>
      <c r="AK1628" s="1" t="s">
        <v>109</v>
      </c>
      <c r="AL1628" s="1">
        <v>6</v>
      </c>
      <c r="AM1628" s="1" t="s">
        <v>109</v>
      </c>
      <c r="AN1628" s="1" t="s">
        <v>109</v>
      </c>
      <c r="AO1628" s="1" t="s">
        <v>109</v>
      </c>
      <c r="AP1628" s="1"/>
      <c r="AQ1628" s="1">
        <v>6</v>
      </c>
      <c r="AR1628" s="1"/>
      <c r="AS1628" s="1"/>
      <c r="AT1628" s="1">
        <v>0</v>
      </c>
      <c r="AU1628" s="1">
        <v>0</v>
      </c>
      <c r="AV1628" s="1">
        <v>0</v>
      </c>
      <c r="AW1628" s="1">
        <v>0</v>
      </c>
      <c r="AX1628" s="1">
        <v>0</v>
      </c>
      <c r="AY1628" s="1">
        <v>0</v>
      </c>
      <c r="AZ1628" s="1">
        <v>0</v>
      </c>
      <c r="BA1628" s="1">
        <v>0</v>
      </c>
      <c r="BB1628" s="1">
        <v>0</v>
      </c>
      <c r="BC1628" s="1">
        <v>0</v>
      </c>
      <c r="BD1628" s="1">
        <v>0</v>
      </c>
      <c r="BE1628" s="1">
        <v>0</v>
      </c>
      <c r="BF1628" s="1">
        <v>0</v>
      </c>
      <c r="BG1628" s="1">
        <v>0</v>
      </c>
      <c r="BH1628" s="1">
        <v>0</v>
      </c>
      <c r="BI1628" s="1">
        <v>0</v>
      </c>
      <c r="BJ1628" s="1">
        <v>0</v>
      </c>
      <c r="BK1628" s="1">
        <v>0</v>
      </c>
      <c r="BL1628" s="1">
        <v>0</v>
      </c>
      <c r="BM1628" s="1">
        <v>0</v>
      </c>
      <c r="BN1628" s="1">
        <v>0</v>
      </c>
      <c r="BO1628" s="1">
        <v>0</v>
      </c>
      <c r="BP1628" s="1">
        <v>0</v>
      </c>
      <c r="BQ1628" s="1">
        <v>0</v>
      </c>
      <c r="BR1628" s="1">
        <v>0</v>
      </c>
      <c r="BS1628" s="1" t="s">
        <v>109</v>
      </c>
      <c r="BT1628" s="1">
        <v>1695</v>
      </c>
      <c r="BU1628" s="1">
        <v>250</v>
      </c>
      <c r="BV1628" s="1"/>
      <c r="BW1628" s="1"/>
      <c r="BX1628" s="1"/>
      <c r="BY1628" s="1"/>
      <c r="BZ1628" s="1">
        <v>0</v>
      </c>
      <c r="CA1628" s="1" t="s">
        <v>109</v>
      </c>
      <c r="CB1628" s="1" t="s">
        <v>109</v>
      </c>
      <c r="CC1628" s="1" t="s">
        <v>109</v>
      </c>
      <c r="CD1628" s="1" t="s">
        <v>109</v>
      </c>
      <c r="CE1628" s="1" t="s">
        <v>109</v>
      </c>
      <c r="CF1628" s="1" t="s">
        <v>109</v>
      </c>
      <c r="CG1628" s="1" t="s">
        <v>109</v>
      </c>
      <c r="CH1628" s="1" t="s">
        <v>109</v>
      </c>
      <c r="CI1628" s="1" t="s">
        <v>109</v>
      </c>
      <c r="CJ1628" s="1" t="s">
        <v>109</v>
      </c>
      <c r="CK1628" s="1"/>
      <c r="CL1628" s="1">
        <v>0</v>
      </c>
      <c r="CM1628" s="1">
        <v>0</v>
      </c>
      <c r="CN1628" s="1">
        <v>0</v>
      </c>
    </row>
    <row r="1629" spans="1:92" ht="14.25" customHeight="1" x14ac:dyDescent="0.15">
      <c r="A1629" s="1" t="s">
        <v>12321</v>
      </c>
      <c r="B1629" s="1" t="s">
        <v>415</v>
      </c>
      <c r="C1629" s="1"/>
      <c r="D1629" s="1"/>
      <c r="E1629" s="1" t="s">
        <v>12322</v>
      </c>
      <c r="F1629" s="1" t="s">
        <v>377</v>
      </c>
      <c r="G1629" s="1" t="s">
        <v>12323</v>
      </c>
      <c r="H1629" s="1">
        <v>1</v>
      </c>
      <c r="I1629" s="1" t="s">
        <v>142</v>
      </c>
      <c r="J1629" s="1"/>
      <c r="K1629" s="1"/>
      <c r="L1629" s="1" t="s">
        <v>12324</v>
      </c>
      <c r="M1629" s="1" t="s">
        <v>5352</v>
      </c>
      <c r="N1629" s="1">
        <v>0</v>
      </c>
      <c r="O1629" s="1">
        <v>0</v>
      </c>
      <c r="P1629" s="1" t="s">
        <v>507</v>
      </c>
      <c r="Q1629" s="1" t="s">
        <v>167</v>
      </c>
      <c r="R1629" s="1" t="s">
        <v>12325</v>
      </c>
      <c r="S1629" s="1" t="s">
        <v>12326</v>
      </c>
      <c r="T1629" s="1" t="s">
        <v>12327</v>
      </c>
      <c r="U1629" s="1" t="s">
        <v>12328</v>
      </c>
      <c r="V1629" s="1">
        <v>1</v>
      </c>
      <c r="W1629" s="1">
        <v>1</v>
      </c>
      <c r="X1629" s="1">
        <v>1</v>
      </c>
      <c r="Y1629" s="1">
        <v>0</v>
      </c>
      <c r="Z1629" s="1">
        <v>0</v>
      </c>
      <c r="AA1629" s="1">
        <v>9</v>
      </c>
      <c r="AB1629" s="1">
        <v>9</v>
      </c>
      <c r="AC1629" s="1">
        <v>9</v>
      </c>
      <c r="AD1629" s="1">
        <v>9</v>
      </c>
      <c r="AE1629" s="1" t="s">
        <v>109</v>
      </c>
      <c r="AF1629" s="1" t="s">
        <v>109</v>
      </c>
      <c r="AG1629" s="1" t="s">
        <v>109</v>
      </c>
      <c r="AH1629" s="1" t="s">
        <v>109</v>
      </c>
      <c r="AI1629" s="1" t="s">
        <v>109</v>
      </c>
      <c r="AJ1629" s="1">
        <v>9</v>
      </c>
      <c r="AK1629" s="1" t="s">
        <v>109</v>
      </c>
      <c r="AL1629" s="1">
        <v>9</v>
      </c>
      <c r="AM1629" s="1" t="s">
        <v>109</v>
      </c>
      <c r="AN1629" s="1" t="s">
        <v>109</v>
      </c>
      <c r="AO1629" s="1" t="s">
        <v>109</v>
      </c>
      <c r="AP1629" s="1"/>
      <c r="AQ1629" s="1">
        <v>9</v>
      </c>
      <c r="AR1629" s="1"/>
      <c r="AS1629" s="1"/>
      <c r="AT1629" s="1">
        <v>0</v>
      </c>
      <c r="AU1629" s="1">
        <v>0</v>
      </c>
      <c r="AV1629" s="1">
        <v>0</v>
      </c>
      <c r="AW1629" s="1">
        <v>0</v>
      </c>
      <c r="AX1629" s="1">
        <v>0</v>
      </c>
      <c r="AY1629" s="1">
        <v>0</v>
      </c>
      <c r="AZ1629" s="1">
        <v>0</v>
      </c>
      <c r="BA1629" s="1">
        <v>0</v>
      </c>
      <c r="BB1629" s="1">
        <v>0</v>
      </c>
      <c r="BC1629" s="1">
        <v>0</v>
      </c>
      <c r="BD1629" s="1">
        <v>0</v>
      </c>
      <c r="BE1629" s="1">
        <v>0</v>
      </c>
      <c r="BF1629" s="1">
        <v>0</v>
      </c>
      <c r="BG1629" s="1">
        <v>0</v>
      </c>
      <c r="BH1629" s="1">
        <v>0</v>
      </c>
      <c r="BI1629" s="1">
        <v>0</v>
      </c>
      <c r="BJ1629" s="1">
        <v>0</v>
      </c>
      <c r="BK1629" s="1">
        <v>0</v>
      </c>
      <c r="BL1629" s="1">
        <v>0</v>
      </c>
      <c r="BM1629" s="1">
        <v>0</v>
      </c>
      <c r="BN1629" s="1">
        <v>0</v>
      </c>
      <c r="BO1629" s="1">
        <v>0</v>
      </c>
      <c r="BP1629" s="1">
        <v>0</v>
      </c>
      <c r="BQ1629" s="1">
        <v>0</v>
      </c>
      <c r="BR1629" s="1">
        <v>0</v>
      </c>
      <c r="BS1629" s="1" t="s">
        <v>109</v>
      </c>
      <c r="BT1629" s="1">
        <v>1696</v>
      </c>
      <c r="BU1629" s="1">
        <v>10000</v>
      </c>
      <c r="BV1629" s="1"/>
      <c r="BW1629" s="1"/>
      <c r="BX1629" s="1" t="s">
        <v>12329</v>
      </c>
      <c r="BY1629" s="1"/>
      <c r="BZ1629" s="1">
        <v>1</v>
      </c>
      <c r="CA1629" s="1" t="s">
        <v>109</v>
      </c>
      <c r="CB1629" s="1" t="s">
        <v>109</v>
      </c>
      <c r="CC1629" s="1">
        <v>9</v>
      </c>
      <c r="CD1629" s="1" t="s">
        <v>109</v>
      </c>
      <c r="CE1629" s="1" t="s">
        <v>109</v>
      </c>
      <c r="CF1629" s="1" t="s">
        <v>109</v>
      </c>
      <c r="CG1629" s="1" t="s">
        <v>109</v>
      </c>
      <c r="CH1629" s="1" t="s">
        <v>109</v>
      </c>
      <c r="CI1629" s="1" t="s">
        <v>109</v>
      </c>
      <c r="CJ1629" s="1" t="s">
        <v>109</v>
      </c>
      <c r="CK1629" s="1"/>
      <c r="CL1629" s="1">
        <v>0</v>
      </c>
      <c r="CM1629" s="1">
        <v>0</v>
      </c>
      <c r="CN1629" s="1">
        <v>0</v>
      </c>
    </row>
    <row r="1630" spans="1:92" ht="14.25" customHeight="1" x14ac:dyDescent="0.15">
      <c r="A1630" s="1" t="s">
        <v>12330</v>
      </c>
      <c r="B1630" s="1" t="s">
        <v>308</v>
      </c>
      <c r="C1630" s="1"/>
      <c r="D1630" s="1" t="s">
        <v>50</v>
      </c>
      <c r="E1630" s="1" t="s">
        <v>12331</v>
      </c>
      <c r="F1630" s="1" t="s">
        <v>98</v>
      </c>
      <c r="G1630" s="1" t="s">
        <v>141</v>
      </c>
      <c r="H1630" s="1">
        <v>0</v>
      </c>
      <c r="I1630" s="1" t="s">
        <v>142</v>
      </c>
      <c r="J1630" s="1"/>
      <c r="K1630" s="1"/>
      <c r="L1630" s="1" t="s">
        <v>12332</v>
      </c>
      <c r="M1630" s="1" t="s">
        <v>3042</v>
      </c>
      <c r="N1630" s="1">
        <v>0</v>
      </c>
      <c r="O1630" s="1">
        <v>0</v>
      </c>
      <c r="P1630" s="1" t="s">
        <v>301</v>
      </c>
      <c r="Q1630" s="1" t="s">
        <v>268</v>
      </c>
      <c r="R1630" s="1" t="s">
        <v>12333</v>
      </c>
      <c r="S1630" s="1" t="s">
        <v>12334</v>
      </c>
      <c r="T1630" s="1" t="s">
        <v>12327</v>
      </c>
      <c r="U1630" s="1" t="s">
        <v>12335</v>
      </c>
      <c r="V1630" s="1">
        <v>1</v>
      </c>
      <c r="W1630" s="1">
        <v>1</v>
      </c>
      <c r="X1630" s="1">
        <v>0</v>
      </c>
      <c r="Y1630" s="1">
        <v>0</v>
      </c>
      <c r="Z1630" s="1">
        <v>0</v>
      </c>
      <c r="AA1630" s="1">
        <v>3</v>
      </c>
      <c r="AB1630" s="1">
        <v>3</v>
      </c>
      <c r="AC1630" s="1">
        <v>3</v>
      </c>
      <c r="AD1630" s="1" t="s">
        <v>109</v>
      </c>
      <c r="AE1630" s="1" t="s">
        <v>109</v>
      </c>
      <c r="AF1630" s="1" t="s">
        <v>109</v>
      </c>
      <c r="AG1630" s="1" t="s">
        <v>109</v>
      </c>
      <c r="AH1630" s="1" t="s">
        <v>109</v>
      </c>
      <c r="AI1630" s="1" t="s">
        <v>109</v>
      </c>
      <c r="AJ1630" s="1">
        <v>3</v>
      </c>
      <c r="AK1630" s="1" t="s">
        <v>109</v>
      </c>
      <c r="AL1630" s="1">
        <v>3</v>
      </c>
      <c r="AM1630" s="1" t="s">
        <v>109</v>
      </c>
      <c r="AN1630" s="1" t="s">
        <v>109</v>
      </c>
      <c r="AO1630" s="1" t="s">
        <v>109</v>
      </c>
      <c r="AP1630" s="1"/>
      <c r="AQ1630" s="1">
        <v>3</v>
      </c>
      <c r="AR1630" s="1"/>
      <c r="AS1630" s="1"/>
      <c r="AT1630" s="1">
        <v>0</v>
      </c>
      <c r="AU1630" s="1">
        <v>0</v>
      </c>
      <c r="AV1630" s="1">
        <v>0</v>
      </c>
      <c r="AW1630" s="1">
        <v>0</v>
      </c>
      <c r="AX1630" s="1">
        <v>1</v>
      </c>
      <c r="AY1630" s="1">
        <v>0</v>
      </c>
      <c r="AZ1630" s="1">
        <v>0</v>
      </c>
      <c r="BA1630" s="1">
        <v>0</v>
      </c>
      <c r="BB1630" s="1">
        <v>0</v>
      </c>
      <c r="BC1630" s="1">
        <v>0</v>
      </c>
      <c r="BD1630" s="1">
        <v>0</v>
      </c>
      <c r="BE1630" s="1">
        <v>0</v>
      </c>
      <c r="BF1630" s="1">
        <v>0</v>
      </c>
      <c r="BG1630" s="1">
        <v>0</v>
      </c>
      <c r="BH1630" s="1">
        <v>0</v>
      </c>
      <c r="BI1630" s="1">
        <v>0</v>
      </c>
      <c r="BJ1630" s="1">
        <v>0</v>
      </c>
      <c r="BK1630" s="1">
        <v>0</v>
      </c>
      <c r="BL1630" s="1">
        <v>0</v>
      </c>
      <c r="BM1630" s="1">
        <v>0</v>
      </c>
      <c r="BN1630" s="1">
        <v>0</v>
      </c>
      <c r="BO1630" s="1">
        <v>0</v>
      </c>
      <c r="BP1630" s="1">
        <v>0</v>
      </c>
      <c r="BQ1630" s="1">
        <v>0</v>
      </c>
      <c r="BR1630" s="1">
        <v>0</v>
      </c>
      <c r="BS1630" s="1" t="s">
        <v>109</v>
      </c>
      <c r="BT1630" s="1">
        <v>1697</v>
      </c>
      <c r="BU1630" s="1" t="s">
        <v>109</v>
      </c>
      <c r="BV1630" s="1"/>
      <c r="BW1630" s="1"/>
      <c r="BX1630" s="1"/>
      <c r="BY1630" s="1"/>
      <c r="BZ1630" s="1">
        <v>1</v>
      </c>
      <c r="CA1630" s="1" t="s">
        <v>109</v>
      </c>
      <c r="CB1630" s="1" t="s">
        <v>109</v>
      </c>
      <c r="CC1630" s="1">
        <v>3</v>
      </c>
      <c r="CD1630" s="1" t="s">
        <v>109</v>
      </c>
      <c r="CE1630" s="1">
        <v>3</v>
      </c>
      <c r="CF1630" s="1" t="s">
        <v>109</v>
      </c>
      <c r="CG1630" s="1" t="s">
        <v>109</v>
      </c>
      <c r="CH1630" s="1" t="s">
        <v>109</v>
      </c>
      <c r="CI1630" s="1" t="s">
        <v>109</v>
      </c>
      <c r="CJ1630" s="1" t="s">
        <v>109</v>
      </c>
      <c r="CK1630" s="1"/>
      <c r="CL1630" s="1">
        <v>0</v>
      </c>
      <c r="CM1630" s="1">
        <v>0</v>
      </c>
      <c r="CN1630" s="1">
        <v>0</v>
      </c>
    </row>
    <row r="1631" spans="1:92" ht="14.25" customHeight="1" x14ac:dyDescent="0.15">
      <c r="A1631" s="1" t="s">
        <v>12336</v>
      </c>
      <c r="B1631" s="1" t="s">
        <v>308</v>
      </c>
      <c r="C1631" s="1"/>
      <c r="D1631" s="1"/>
      <c r="E1631" s="1" t="s">
        <v>12337</v>
      </c>
      <c r="F1631" s="1" t="s">
        <v>98</v>
      </c>
      <c r="G1631" s="1" t="s">
        <v>141</v>
      </c>
      <c r="H1631" s="1">
        <v>0</v>
      </c>
      <c r="I1631" s="1" t="s">
        <v>161</v>
      </c>
      <c r="J1631" s="1"/>
      <c r="K1631" s="1"/>
      <c r="L1631" s="1" t="s">
        <v>162</v>
      </c>
      <c r="M1631" s="1" t="s">
        <v>125</v>
      </c>
      <c r="N1631" s="1">
        <v>0</v>
      </c>
      <c r="O1631" s="1">
        <v>0</v>
      </c>
      <c r="P1631" s="1" t="s">
        <v>1382</v>
      </c>
      <c r="Q1631" s="1" t="s">
        <v>167</v>
      </c>
      <c r="R1631" s="1" t="s">
        <v>12338</v>
      </c>
      <c r="S1631" s="1" t="s">
        <v>12339</v>
      </c>
      <c r="T1631" s="1" t="s">
        <v>12327</v>
      </c>
      <c r="U1631" s="1" t="s">
        <v>12340</v>
      </c>
      <c r="V1631" s="1">
        <v>1</v>
      </c>
      <c r="W1631" s="1">
        <v>1</v>
      </c>
      <c r="X1631" s="1">
        <v>0</v>
      </c>
      <c r="Y1631" s="1">
        <v>0</v>
      </c>
      <c r="Z1631" s="1">
        <v>0</v>
      </c>
      <c r="AA1631" s="1">
        <v>4</v>
      </c>
      <c r="AB1631" s="1">
        <v>4</v>
      </c>
      <c r="AC1631" s="1">
        <v>4</v>
      </c>
      <c r="AD1631" s="1" t="s">
        <v>109</v>
      </c>
      <c r="AE1631" s="1" t="s">
        <v>109</v>
      </c>
      <c r="AF1631" s="1" t="s">
        <v>109</v>
      </c>
      <c r="AG1631" s="1" t="s">
        <v>109</v>
      </c>
      <c r="AH1631" s="1">
        <v>4</v>
      </c>
      <c r="AI1631" s="1" t="s">
        <v>109</v>
      </c>
      <c r="AJ1631" s="1">
        <v>4</v>
      </c>
      <c r="AK1631" s="1">
        <v>4</v>
      </c>
      <c r="AL1631" s="1">
        <v>4</v>
      </c>
      <c r="AM1631" s="1" t="s">
        <v>109</v>
      </c>
      <c r="AN1631" s="1" t="s">
        <v>109</v>
      </c>
      <c r="AO1631" s="1" t="s">
        <v>109</v>
      </c>
      <c r="AP1631" s="1"/>
      <c r="AQ1631" s="1">
        <v>4</v>
      </c>
      <c r="AR1631" s="1"/>
      <c r="AS1631" s="1"/>
      <c r="AT1631" s="1">
        <v>0</v>
      </c>
      <c r="AU1631" s="1">
        <v>0</v>
      </c>
      <c r="AV1631" s="1">
        <v>0</v>
      </c>
      <c r="AW1631" s="1">
        <v>0</v>
      </c>
      <c r="AX1631" s="1">
        <v>0</v>
      </c>
      <c r="AY1631" s="1">
        <v>0</v>
      </c>
      <c r="AZ1631" s="1">
        <v>0</v>
      </c>
      <c r="BA1631" s="1">
        <v>0</v>
      </c>
      <c r="BB1631" s="1">
        <v>0</v>
      </c>
      <c r="BC1631" s="1">
        <v>0</v>
      </c>
      <c r="BD1631" s="1">
        <v>0</v>
      </c>
      <c r="BE1631" s="1">
        <v>0</v>
      </c>
      <c r="BF1631" s="1">
        <v>0</v>
      </c>
      <c r="BG1631" s="1">
        <v>0</v>
      </c>
      <c r="BH1631" s="1">
        <v>0</v>
      </c>
      <c r="BI1631" s="1">
        <v>0</v>
      </c>
      <c r="BJ1631" s="1">
        <v>0</v>
      </c>
      <c r="BK1631" s="1">
        <v>0</v>
      </c>
      <c r="BL1631" s="1">
        <v>0</v>
      </c>
      <c r="BM1631" s="1">
        <v>0</v>
      </c>
      <c r="BN1631" s="1">
        <v>0</v>
      </c>
      <c r="BO1631" s="1">
        <v>0</v>
      </c>
      <c r="BP1631" s="1">
        <v>0</v>
      </c>
      <c r="BQ1631" s="1">
        <v>0</v>
      </c>
      <c r="BR1631" s="1">
        <v>0</v>
      </c>
      <c r="BS1631" s="1" t="s">
        <v>109</v>
      </c>
      <c r="BT1631" s="1">
        <v>1698</v>
      </c>
      <c r="BU1631" s="1" t="s">
        <v>109</v>
      </c>
      <c r="BV1631" s="1"/>
      <c r="BW1631" s="1"/>
      <c r="BX1631" s="1" t="s">
        <v>12341</v>
      </c>
      <c r="BY1631" s="1" t="s">
        <v>12342</v>
      </c>
      <c r="BZ1631" s="1">
        <v>1</v>
      </c>
      <c r="CA1631" s="1" t="s">
        <v>109</v>
      </c>
      <c r="CB1631" s="1" t="s">
        <v>109</v>
      </c>
      <c r="CC1631" s="1">
        <v>4</v>
      </c>
      <c r="CD1631" s="1" t="s">
        <v>109</v>
      </c>
      <c r="CE1631" s="1" t="s">
        <v>109</v>
      </c>
      <c r="CF1631" s="1" t="s">
        <v>109</v>
      </c>
      <c r="CG1631" s="1" t="s">
        <v>109</v>
      </c>
      <c r="CH1631" s="1" t="s">
        <v>109</v>
      </c>
      <c r="CI1631" s="1" t="s">
        <v>109</v>
      </c>
      <c r="CJ1631" s="1" t="s">
        <v>109</v>
      </c>
      <c r="CK1631" s="1"/>
      <c r="CL1631" s="1">
        <v>0</v>
      </c>
      <c r="CM1631" s="1">
        <v>0</v>
      </c>
      <c r="CN1631" s="1">
        <v>0</v>
      </c>
    </row>
    <row r="1632" spans="1:92" ht="14.25" customHeight="1" x14ac:dyDescent="0.15">
      <c r="A1632" s="1" t="s">
        <v>12343</v>
      </c>
      <c r="B1632" s="1" t="s">
        <v>189</v>
      </c>
      <c r="C1632" s="1"/>
      <c r="D1632" s="1"/>
      <c r="E1632" s="1" t="s">
        <v>12344</v>
      </c>
      <c r="F1632" s="1" t="s">
        <v>98</v>
      </c>
      <c r="G1632" s="1" t="s">
        <v>141</v>
      </c>
      <c r="H1632" s="1">
        <v>0</v>
      </c>
      <c r="I1632" s="1" t="s">
        <v>161</v>
      </c>
      <c r="J1632" s="1"/>
      <c r="K1632" s="1"/>
      <c r="L1632" s="1" t="s">
        <v>506</v>
      </c>
      <c r="M1632" s="1" t="s">
        <v>6625</v>
      </c>
      <c r="N1632" s="1">
        <v>1</v>
      </c>
      <c r="O1632" s="1">
        <v>0</v>
      </c>
      <c r="P1632" s="1" t="s">
        <v>507</v>
      </c>
      <c r="Q1632" s="1" t="s">
        <v>167</v>
      </c>
      <c r="R1632" s="1" t="s">
        <v>12345</v>
      </c>
      <c r="S1632" s="1" t="s">
        <v>12346</v>
      </c>
      <c r="T1632" s="1" t="s">
        <v>12327</v>
      </c>
      <c r="U1632" s="1" t="s">
        <v>12347</v>
      </c>
      <c r="V1632" s="1">
        <v>1</v>
      </c>
      <c r="W1632" s="1">
        <v>1</v>
      </c>
      <c r="X1632" s="1">
        <v>0</v>
      </c>
      <c r="Y1632" s="1">
        <v>0</v>
      </c>
      <c r="Z1632" s="1">
        <v>0</v>
      </c>
      <c r="AA1632" s="1">
        <v>5</v>
      </c>
      <c r="AB1632" s="1">
        <v>5</v>
      </c>
      <c r="AC1632" s="1">
        <v>5</v>
      </c>
      <c r="AD1632" s="1">
        <v>5</v>
      </c>
      <c r="AE1632" s="1" t="s">
        <v>109</v>
      </c>
      <c r="AF1632" s="1">
        <v>4</v>
      </c>
      <c r="AG1632" s="1" t="s">
        <v>109</v>
      </c>
      <c r="AH1632" s="1" t="s">
        <v>109</v>
      </c>
      <c r="AI1632" s="1">
        <v>4</v>
      </c>
      <c r="AJ1632" s="1">
        <v>5</v>
      </c>
      <c r="AK1632" s="1" t="s">
        <v>109</v>
      </c>
      <c r="AL1632" s="1">
        <v>5</v>
      </c>
      <c r="AM1632" s="1" t="s">
        <v>109</v>
      </c>
      <c r="AN1632" s="1">
        <v>4</v>
      </c>
      <c r="AO1632" s="1" t="s">
        <v>109</v>
      </c>
      <c r="AP1632" s="1"/>
      <c r="AQ1632" s="1">
        <v>5</v>
      </c>
      <c r="AR1632" s="1"/>
      <c r="AS1632" s="1"/>
      <c r="AT1632" s="1">
        <v>0</v>
      </c>
      <c r="AU1632" s="1">
        <v>0</v>
      </c>
      <c r="AV1632" s="1">
        <v>0</v>
      </c>
      <c r="AW1632" s="1">
        <v>0</v>
      </c>
      <c r="AX1632" s="1">
        <v>0</v>
      </c>
      <c r="AY1632" s="1">
        <v>0</v>
      </c>
      <c r="AZ1632" s="1">
        <v>0</v>
      </c>
      <c r="BA1632" s="1">
        <v>0</v>
      </c>
      <c r="BB1632" s="1">
        <v>0</v>
      </c>
      <c r="BC1632" s="1">
        <v>0</v>
      </c>
      <c r="BD1632" s="1">
        <v>0</v>
      </c>
      <c r="BE1632" s="1">
        <v>0</v>
      </c>
      <c r="BF1632" s="1">
        <v>0</v>
      </c>
      <c r="BG1632" s="1">
        <v>0</v>
      </c>
      <c r="BH1632" s="1">
        <v>0</v>
      </c>
      <c r="BI1632" s="1">
        <v>0</v>
      </c>
      <c r="BJ1632" s="1">
        <v>0</v>
      </c>
      <c r="BK1632" s="1">
        <v>0</v>
      </c>
      <c r="BL1632" s="1">
        <v>0</v>
      </c>
      <c r="BM1632" s="1">
        <v>0</v>
      </c>
      <c r="BN1632" s="1">
        <v>0</v>
      </c>
      <c r="BO1632" s="1">
        <v>0</v>
      </c>
      <c r="BP1632" s="1">
        <v>0</v>
      </c>
      <c r="BQ1632" s="1">
        <v>0</v>
      </c>
      <c r="BR1632" s="1">
        <v>0</v>
      </c>
      <c r="BS1632" s="1" t="s">
        <v>109</v>
      </c>
      <c r="BT1632" s="1">
        <v>1699</v>
      </c>
      <c r="BU1632" s="1" t="s">
        <v>109</v>
      </c>
      <c r="BV1632" s="1"/>
      <c r="BW1632" s="1"/>
      <c r="BX1632" s="1"/>
      <c r="BY1632" s="1"/>
      <c r="BZ1632" s="1">
        <v>1</v>
      </c>
      <c r="CA1632" s="1" t="s">
        <v>109</v>
      </c>
      <c r="CB1632" s="1" t="s">
        <v>109</v>
      </c>
      <c r="CC1632" s="1">
        <v>5</v>
      </c>
      <c r="CD1632" s="1" t="s">
        <v>109</v>
      </c>
      <c r="CE1632" s="1" t="s">
        <v>109</v>
      </c>
      <c r="CF1632" s="1" t="s">
        <v>109</v>
      </c>
      <c r="CG1632" s="1" t="s">
        <v>109</v>
      </c>
      <c r="CH1632" s="1" t="s">
        <v>109</v>
      </c>
      <c r="CI1632" s="1" t="s">
        <v>109</v>
      </c>
      <c r="CJ1632" s="1">
        <v>5</v>
      </c>
      <c r="CK1632" s="1"/>
      <c r="CL1632" s="1">
        <v>0</v>
      </c>
      <c r="CM1632" s="1">
        <v>0</v>
      </c>
      <c r="CN1632" s="1">
        <v>0</v>
      </c>
    </row>
    <row r="1633" spans="1:92" ht="14.25" customHeight="1" x14ac:dyDescent="0.15">
      <c r="A1633" s="1" t="s">
        <v>12348</v>
      </c>
      <c r="B1633" s="1" t="s">
        <v>308</v>
      </c>
      <c r="C1633" s="1"/>
      <c r="D1633" s="1" t="s">
        <v>50</v>
      </c>
      <c r="E1633" s="1" t="s">
        <v>12349</v>
      </c>
      <c r="F1633" s="1" t="s">
        <v>98</v>
      </c>
      <c r="G1633" s="1" t="s">
        <v>141</v>
      </c>
      <c r="H1633" s="1">
        <v>0</v>
      </c>
      <c r="I1633" s="1" t="s">
        <v>142</v>
      </c>
      <c r="J1633" s="1"/>
      <c r="K1633" s="1"/>
      <c r="L1633" s="1" t="s">
        <v>1391</v>
      </c>
      <c r="M1633" s="1" t="s">
        <v>408</v>
      </c>
      <c r="N1633" s="1">
        <v>0</v>
      </c>
      <c r="O1633" s="1">
        <v>0</v>
      </c>
      <c r="P1633" s="1" t="s">
        <v>301</v>
      </c>
      <c r="Q1633" s="1" t="s">
        <v>268</v>
      </c>
      <c r="R1633" s="1" t="s">
        <v>12350</v>
      </c>
      <c r="S1633" s="1" t="s">
        <v>12351</v>
      </c>
      <c r="T1633" s="1" t="s">
        <v>12327</v>
      </c>
      <c r="U1633" s="1" t="s">
        <v>12352</v>
      </c>
      <c r="V1633" s="1">
        <v>1</v>
      </c>
      <c r="W1633" s="1">
        <v>1</v>
      </c>
      <c r="X1633" s="1">
        <v>0</v>
      </c>
      <c r="Y1633" s="1">
        <v>0</v>
      </c>
      <c r="Z1633" s="1">
        <v>0</v>
      </c>
      <c r="AA1633" s="1">
        <v>4</v>
      </c>
      <c r="AB1633" s="1">
        <v>4</v>
      </c>
      <c r="AC1633" s="1">
        <v>4</v>
      </c>
      <c r="AD1633" s="1" t="s">
        <v>109</v>
      </c>
      <c r="AE1633" s="1" t="s">
        <v>109</v>
      </c>
      <c r="AF1633" s="1" t="s">
        <v>109</v>
      </c>
      <c r="AG1633" s="1" t="s">
        <v>109</v>
      </c>
      <c r="AH1633" s="1" t="s">
        <v>109</v>
      </c>
      <c r="AI1633" s="1" t="s">
        <v>109</v>
      </c>
      <c r="AJ1633" s="1">
        <v>4</v>
      </c>
      <c r="AK1633" s="1">
        <v>3</v>
      </c>
      <c r="AL1633" s="1">
        <v>4</v>
      </c>
      <c r="AM1633" s="1" t="s">
        <v>109</v>
      </c>
      <c r="AN1633" s="1" t="s">
        <v>109</v>
      </c>
      <c r="AO1633" s="1" t="s">
        <v>109</v>
      </c>
      <c r="AP1633" s="1"/>
      <c r="AQ1633" s="1">
        <v>4</v>
      </c>
      <c r="AR1633" s="1"/>
      <c r="AS1633" s="1"/>
      <c r="AT1633" s="1">
        <v>0</v>
      </c>
      <c r="AU1633" s="1">
        <v>0</v>
      </c>
      <c r="AV1633" s="1">
        <v>0</v>
      </c>
      <c r="AW1633" s="1">
        <v>0</v>
      </c>
      <c r="AX1633" s="1">
        <v>1</v>
      </c>
      <c r="AY1633" s="1">
        <v>0</v>
      </c>
      <c r="AZ1633" s="1">
        <v>0</v>
      </c>
      <c r="BA1633" s="1">
        <v>0</v>
      </c>
      <c r="BB1633" s="1">
        <v>0</v>
      </c>
      <c r="BC1633" s="1">
        <v>0</v>
      </c>
      <c r="BD1633" s="1">
        <v>0</v>
      </c>
      <c r="BE1633" s="1">
        <v>0</v>
      </c>
      <c r="BF1633" s="1">
        <v>0</v>
      </c>
      <c r="BG1633" s="1">
        <v>0</v>
      </c>
      <c r="BH1633" s="1">
        <v>0</v>
      </c>
      <c r="BI1633" s="1">
        <v>0</v>
      </c>
      <c r="BJ1633" s="1">
        <v>0</v>
      </c>
      <c r="BK1633" s="1">
        <v>0</v>
      </c>
      <c r="BL1633" s="1">
        <v>0</v>
      </c>
      <c r="BM1633" s="1">
        <v>0</v>
      </c>
      <c r="BN1633" s="1">
        <v>0</v>
      </c>
      <c r="BO1633" s="1">
        <v>0</v>
      </c>
      <c r="BP1633" s="1">
        <v>0</v>
      </c>
      <c r="BQ1633" s="1">
        <v>0</v>
      </c>
      <c r="BR1633" s="1">
        <v>0</v>
      </c>
      <c r="BS1633" s="1" t="s">
        <v>109</v>
      </c>
      <c r="BT1633" s="1">
        <v>1700</v>
      </c>
      <c r="BU1633" s="1" t="s">
        <v>109</v>
      </c>
      <c r="BV1633" s="1"/>
      <c r="BW1633" s="1"/>
      <c r="BX1633" s="1"/>
      <c r="BY1633" s="1"/>
      <c r="BZ1633" s="1">
        <v>1</v>
      </c>
      <c r="CA1633" s="1" t="s">
        <v>109</v>
      </c>
      <c r="CB1633" s="1" t="s">
        <v>109</v>
      </c>
      <c r="CC1633" s="1">
        <v>4</v>
      </c>
      <c r="CD1633" s="1" t="s">
        <v>109</v>
      </c>
      <c r="CE1633" s="1">
        <v>3</v>
      </c>
      <c r="CF1633" s="1" t="s">
        <v>109</v>
      </c>
      <c r="CG1633" s="1" t="s">
        <v>109</v>
      </c>
      <c r="CH1633" s="1" t="s">
        <v>109</v>
      </c>
      <c r="CI1633" s="1" t="s">
        <v>109</v>
      </c>
      <c r="CJ1633" s="1" t="s">
        <v>109</v>
      </c>
      <c r="CK1633" s="1"/>
      <c r="CL1633" s="1">
        <v>0</v>
      </c>
      <c r="CM1633" s="1">
        <v>0</v>
      </c>
      <c r="CN1633" s="1">
        <v>0</v>
      </c>
    </row>
    <row r="1634" spans="1:92" ht="14.25" customHeight="1" x14ac:dyDescent="0.15">
      <c r="A1634" s="1" t="s">
        <v>12353</v>
      </c>
      <c r="B1634" s="1" t="s">
        <v>189</v>
      </c>
      <c r="C1634" s="1"/>
      <c r="D1634" s="1"/>
      <c r="E1634" s="1" t="s">
        <v>12354</v>
      </c>
      <c r="F1634" s="1" t="s">
        <v>98</v>
      </c>
      <c r="G1634" s="1" t="s">
        <v>141</v>
      </c>
      <c r="H1634" s="1">
        <v>0</v>
      </c>
      <c r="I1634" s="1" t="s">
        <v>161</v>
      </c>
      <c r="J1634" s="1"/>
      <c r="K1634" s="1"/>
      <c r="L1634" s="1" t="s">
        <v>12355</v>
      </c>
      <c r="M1634" s="1" t="s">
        <v>144</v>
      </c>
      <c r="N1634" s="1">
        <v>0</v>
      </c>
      <c r="O1634" s="1">
        <v>0</v>
      </c>
      <c r="P1634" s="1" t="s">
        <v>507</v>
      </c>
      <c r="Q1634" s="1" t="s">
        <v>167</v>
      </c>
      <c r="R1634" s="1" t="s">
        <v>12356</v>
      </c>
      <c r="S1634" s="1" t="s">
        <v>12357</v>
      </c>
      <c r="T1634" s="1" t="s">
        <v>12327</v>
      </c>
      <c r="U1634" s="1" t="s">
        <v>12358</v>
      </c>
      <c r="V1634" s="1">
        <v>1</v>
      </c>
      <c r="W1634" s="1">
        <v>1</v>
      </c>
      <c r="X1634" s="1">
        <v>0</v>
      </c>
      <c r="Y1634" s="1">
        <v>0</v>
      </c>
      <c r="Z1634" s="1">
        <v>0</v>
      </c>
      <c r="AA1634" s="1">
        <v>3</v>
      </c>
      <c r="AB1634" s="1">
        <v>3</v>
      </c>
      <c r="AC1634" s="1">
        <v>3</v>
      </c>
      <c r="AD1634" s="1" t="s">
        <v>109</v>
      </c>
      <c r="AE1634" s="1" t="s">
        <v>109</v>
      </c>
      <c r="AF1634" s="1">
        <v>3</v>
      </c>
      <c r="AG1634" s="1" t="s">
        <v>109</v>
      </c>
      <c r="AH1634" s="1" t="s">
        <v>109</v>
      </c>
      <c r="AI1634" s="1" t="s">
        <v>109</v>
      </c>
      <c r="AJ1634" s="1">
        <v>3</v>
      </c>
      <c r="AK1634" s="1" t="s">
        <v>109</v>
      </c>
      <c r="AL1634" s="1">
        <v>3</v>
      </c>
      <c r="AM1634" s="1" t="s">
        <v>109</v>
      </c>
      <c r="AN1634" s="1" t="s">
        <v>109</v>
      </c>
      <c r="AO1634" s="1" t="s">
        <v>109</v>
      </c>
      <c r="AP1634" s="1"/>
      <c r="AQ1634" s="1">
        <v>3</v>
      </c>
      <c r="AR1634" s="1"/>
      <c r="AS1634" s="1"/>
      <c r="AT1634" s="1">
        <v>0</v>
      </c>
      <c r="AU1634" s="1">
        <v>0</v>
      </c>
      <c r="AV1634" s="1">
        <v>0</v>
      </c>
      <c r="AW1634" s="1">
        <v>0</v>
      </c>
      <c r="AX1634" s="1">
        <v>0</v>
      </c>
      <c r="AY1634" s="1">
        <v>0</v>
      </c>
      <c r="AZ1634" s="1">
        <v>0</v>
      </c>
      <c r="BA1634" s="1">
        <v>0</v>
      </c>
      <c r="BB1634" s="1">
        <v>0</v>
      </c>
      <c r="BC1634" s="1">
        <v>0</v>
      </c>
      <c r="BD1634" s="1">
        <v>0</v>
      </c>
      <c r="BE1634" s="1">
        <v>0</v>
      </c>
      <c r="BF1634" s="1">
        <v>0</v>
      </c>
      <c r="BG1634" s="1">
        <v>0</v>
      </c>
      <c r="BH1634" s="1">
        <v>0</v>
      </c>
      <c r="BI1634" s="1">
        <v>0</v>
      </c>
      <c r="BJ1634" s="1">
        <v>0</v>
      </c>
      <c r="BK1634" s="1">
        <v>0</v>
      </c>
      <c r="BL1634" s="1">
        <v>0</v>
      </c>
      <c r="BM1634" s="1">
        <v>0</v>
      </c>
      <c r="BN1634" s="1">
        <v>0</v>
      </c>
      <c r="BO1634" s="1">
        <v>0</v>
      </c>
      <c r="BP1634" s="1">
        <v>0</v>
      </c>
      <c r="BQ1634" s="1">
        <v>0</v>
      </c>
      <c r="BR1634" s="1">
        <v>0</v>
      </c>
      <c r="BS1634" s="1" t="s">
        <v>109</v>
      </c>
      <c r="BT1634" s="1">
        <v>1701</v>
      </c>
      <c r="BU1634" s="1" t="s">
        <v>109</v>
      </c>
      <c r="BV1634" s="1"/>
      <c r="BW1634" s="1"/>
      <c r="BX1634" s="1"/>
      <c r="BY1634" s="1"/>
      <c r="BZ1634" s="1">
        <v>1</v>
      </c>
      <c r="CA1634" s="1" t="s">
        <v>109</v>
      </c>
      <c r="CB1634" s="1" t="s">
        <v>109</v>
      </c>
      <c r="CC1634" s="1">
        <v>3</v>
      </c>
      <c r="CD1634" s="1" t="s">
        <v>109</v>
      </c>
      <c r="CE1634" s="1" t="s">
        <v>109</v>
      </c>
      <c r="CF1634" s="1" t="s">
        <v>109</v>
      </c>
      <c r="CG1634" s="1" t="s">
        <v>109</v>
      </c>
      <c r="CH1634" s="1" t="s">
        <v>109</v>
      </c>
      <c r="CI1634" s="1" t="s">
        <v>109</v>
      </c>
      <c r="CJ1634" s="1" t="s">
        <v>109</v>
      </c>
      <c r="CK1634" s="1"/>
      <c r="CL1634" s="1">
        <v>0</v>
      </c>
      <c r="CM1634" s="1">
        <v>0</v>
      </c>
      <c r="CN1634" s="1">
        <v>0</v>
      </c>
    </row>
    <row r="1635" spans="1:92" ht="14.25" customHeight="1" x14ac:dyDescent="0.15">
      <c r="A1635" s="1" t="s">
        <v>12359</v>
      </c>
      <c r="B1635" s="1" t="s">
        <v>189</v>
      </c>
      <c r="C1635" s="1"/>
      <c r="D1635" s="1"/>
      <c r="E1635" s="1" t="s">
        <v>12360</v>
      </c>
      <c r="F1635" s="1" t="s">
        <v>98</v>
      </c>
      <c r="G1635" s="1" t="s">
        <v>141</v>
      </c>
      <c r="H1635" s="1">
        <v>0</v>
      </c>
      <c r="I1635" s="1" t="s">
        <v>142</v>
      </c>
      <c r="J1635" s="1"/>
      <c r="K1635" s="1"/>
      <c r="L1635" s="1" t="s">
        <v>12324</v>
      </c>
      <c r="M1635" s="1" t="s">
        <v>3042</v>
      </c>
      <c r="N1635" s="1">
        <v>0</v>
      </c>
      <c r="O1635" s="1">
        <v>0</v>
      </c>
      <c r="P1635" s="1" t="s">
        <v>507</v>
      </c>
      <c r="Q1635" s="1" t="s">
        <v>167</v>
      </c>
      <c r="R1635" s="1" t="s">
        <v>12361</v>
      </c>
      <c r="S1635" s="1" t="s">
        <v>12362</v>
      </c>
      <c r="T1635" s="1" t="s">
        <v>12327</v>
      </c>
      <c r="U1635" s="1" t="s">
        <v>12363</v>
      </c>
      <c r="V1635" s="1">
        <v>1</v>
      </c>
      <c r="W1635" s="1">
        <v>1</v>
      </c>
      <c r="X1635" s="1">
        <v>0</v>
      </c>
      <c r="Y1635" s="1">
        <v>0</v>
      </c>
      <c r="Z1635" s="1">
        <v>0</v>
      </c>
      <c r="AA1635" s="1">
        <v>3</v>
      </c>
      <c r="AB1635" s="1">
        <v>3</v>
      </c>
      <c r="AC1635" s="1">
        <v>3</v>
      </c>
      <c r="AD1635" s="1">
        <v>3</v>
      </c>
      <c r="AE1635" s="1" t="s">
        <v>109</v>
      </c>
      <c r="AF1635" s="1">
        <v>2</v>
      </c>
      <c r="AG1635" s="1" t="s">
        <v>109</v>
      </c>
      <c r="AH1635" s="1" t="s">
        <v>109</v>
      </c>
      <c r="AI1635" s="1">
        <v>2</v>
      </c>
      <c r="AJ1635" s="1">
        <v>3</v>
      </c>
      <c r="AK1635" s="1" t="s">
        <v>109</v>
      </c>
      <c r="AL1635" s="1">
        <v>3</v>
      </c>
      <c r="AM1635" s="1" t="s">
        <v>109</v>
      </c>
      <c r="AN1635" s="1" t="s">
        <v>109</v>
      </c>
      <c r="AO1635" s="1" t="s">
        <v>109</v>
      </c>
      <c r="AP1635" s="1"/>
      <c r="AQ1635" s="1">
        <v>3</v>
      </c>
      <c r="AR1635" s="1"/>
      <c r="AS1635" s="1"/>
      <c r="AT1635" s="1">
        <v>0</v>
      </c>
      <c r="AU1635" s="1">
        <v>0</v>
      </c>
      <c r="AV1635" s="1">
        <v>0</v>
      </c>
      <c r="AW1635" s="1">
        <v>0</v>
      </c>
      <c r="AX1635" s="1">
        <v>0</v>
      </c>
      <c r="AY1635" s="1">
        <v>0</v>
      </c>
      <c r="AZ1635" s="1">
        <v>0</v>
      </c>
      <c r="BA1635" s="1">
        <v>0</v>
      </c>
      <c r="BB1635" s="1">
        <v>0</v>
      </c>
      <c r="BC1635" s="1">
        <v>0</v>
      </c>
      <c r="BD1635" s="1">
        <v>0</v>
      </c>
      <c r="BE1635" s="1">
        <v>0</v>
      </c>
      <c r="BF1635" s="1">
        <v>0</v>
      </c>
      <c r="BG1635" s="1">
        <v>0</v>
      </c>
      <c r="BH1635" s="1">
        <v>0</v>
      </c>
      <c r="BI1635" s="1">
        <v>0</v>
      </c>
      <c r="BJ1635" s="1">
        <v>0</v>
      </c>
      <c r="BK1635" s="1">
        <v>0</v>
      </c>
      <c r="BL1635" s="1">
        <v>0</v>
      </c>
      <c r="BM1635" s="1">
        <v>0</v>
      </c>
      <c r="BN1635" s="1">
        <v>0</v>
      </c>
      <c r="BO1635" s="1">
        <v>0</v>
      </c>
      <c r="BP1635" s="1">
        <v>0</v>
      </c>
      <c r="BQ1635" s="1">
        <v>0</v>
      </c>
      <c r="BR1635" s="1">
        <v>0</v>
      </c>
      <c r="BS1635" s="1" t="s">
        <v>109</v>
      </c>
      <c r="BT1635" s="1">
        <v>1702</v>
      </c>
      <c r="BU1635" s="1" t="s">
        <v>109</v>
      </c>
      <c r="BV1635" s="1"/>
      <c r="BW1635" s="1"/>
      <c r="BX1635" s="1"/>
      <c r="BY1635" s="1"/>
      <c r="BZ1635" s="1">
        <v>1</v>
      </c>
      <c r="CA1635" s="1" t="s">
        <v>109</v>
      </c>
      <c r="CB1635" s="1" t="s">
        <v>109</v>
      </c>
      <c r="CC1635" s="1">
        <v>3</v>
      </c>
      <c r="CD1635" s="1" t="s">
        <v>109</v>
      </c>
      <c r="CE1635" s="1" t="s">
        <v>109</v>
      </c>
      <c r="CF1635" s="1" t="s">
        <v>109</v>
      </c>
      <c r="CG1635" s="1" t="s">
        <v>109</v>
      </c>
      <c r="CH1635" s="1" t="s">
        <v>109</v>
      </c>
      <c r="CI1635" s="1" t="s">
        <v>109</v>
      </c>
      <c r="CJ1635" s="1">
        <v>3</v>
      </c>
      <c r="CK1635" s="1"/>
      <c r="CL1635" s="1">
        <v>0</v>
      </c>
      <c r="CM1635" s="1">
        <v>0</v>
      </c>
      <c r="CN1635" s="1">
        <v>0</v>
      </c>
    </row>
    <row r="1636" spans="1:92" ht="14.25" customHeight="1" x14ac:dyDescent="0.15">
      <c r="A1636" s="1" t="s">
        <v>12364</v>
      </c>
      <c r="B1636" s="1" t="s">
        <v>308</v>
      </c>
      <c r="C1636" s="1"/>
      <c r="D1636" s="1"/>
      <c r="E1636" s="1" t="s">
        <v>12365</v>
      </c>
      <c r="F1636" s="1" t="s">
        <v>98</v>
      </c>
      <c r="G1636" s="1" t="s">
        <v>141</v>
      </c>
      <c r="H1636" s="1">
        <v>0</v>
      </c>
      <c r="I1636" s="1" t="s">
        <v>142</v>
      </c>
      <c r="J1636" s="1"/>
      <c r="K1636" s="1"/>
      <c r="L1636" s="1" t="s">
        <v>12332</v>
      </c>
      <c r="M1636" s="1" t="s">
        <v>144</v>
      </c>
      <c r="N1636" s="1">
        <v>0</v>
      </c>
      <c r="O1636" s="1">
        <v>0</v>
      </c>
      <c r="P1636" s="1" t="s">
        <v>301</v>
      </c>
      <c r="Q1636" s="1" t="s">
        <v>268</v>
      </c>
      <c r="R1636" s="1" t="s">
        <v>12366</v>
      </c>
      <c r="S1636" s="1" t="s">
        <v>12367</v>
      </c>
      <c r="T1636" s="1" t="s">
        <v>12327</v>
      </c>
      <c r="U1636" s="1" t="s">
        <v>12368</v>
      </c>
      <c r="V1636" s="1">
        <v>1</v>
      </c>
      <c r="W1636" s="1">
        <v>1</v>
      </c>
      <c r="X1636" s="1">
        <v>0</v>
      </c>
      <c r="Y1636" s="1">
        <v>0</v>
      </c>
      <c r="Z1636" s="1">
        <v>0</v>
      </c>
      <c r="AA1636" s="1">
        <v>5</v>
      </c>
      <c r="AB1636" s="1">
        <v>5</v>
      </c>
      <c r="AC1636" s="1">
        <v>5</v>
      </c>
      <c r="AD1636" s="1" t="s">
        <v>109</v>
      </c>
      <c r="AE1636" s="1" t="s">
        <v>109</v>
      </c>
      <c r="AF1636" s="1" t="s">
        <v>109</v>
      </c>
      <c r="AG1636" s="1" t="s">
        <v>109</v>
      </c>
      <c r="AH1636" s="1" t="s">
        <v>109</v>
      </c>
      <c r="AI1636" s="1" t="s">
        <v>109</v>
      </c>
      <c r="AJ1636" s="1">
        <v>5</v>
      </c>
      <c r="AK1636" s="1" t="s">
        <v>109</v>
      </c>
      <c r="AL1636" s="1">
        <v>5</v>
      </c>
      <c r="AM1636" s="1" t="s">
        <v>109</v>
      </c>
      <c r="AN1636" s="1" t="s">
        <v>109</v>
      </c>
      <c r="AO1636" s="1" t="s">
        <v>109</v>
      </c>
      <c r="AP1636" s="1"/>
      <c r="AQ1636" s="1">
        <v>5</v>
      </c>
      <c r="AR1636" s="1"/>
      <c r="AS1636" s="1"/>
      <c r="AT1636" s="1">
        <v>0</v>
      </c>
      <c r="AU1636" s="1">
        <v>0</v>
      </c>
      <c r="AV1636" s="1">
        <v>0</v>
      </c>
      <c r="AW1636" s="1">
        <v>0</v>
      </c>
      <c r="AX1636" s="1">
        <v>0</v>
      </c>
      <c r="AY1636" s="1">
        <v>0</v>
      </c>
      <c r="AZ1636" s="1">
        <v>0</v>
      </c>
      <c r="BA1636" s="1">
        <v>0</v>
      </c>
      <c r="BB1636" s="1">
        <v>0</v>
      </c>
      <c r="BC1636" s="1">
        <v>0</v>
      </c>
      <c r="BD1636" s="1">
        <v>0</v>
      </c>
      <c r="BE1636" s="1">
        <v>0</v>
      </c>
      <c r="BF1636" s="1">
        <v>0</v>
      </c>
      <c r="BG1636" s="1">
        <v>0</v>
      </c>
      <c r="BH1636" s="1">
        <v>0</v>
      </c>
      <c r="BI1636" s="1">
        <v>0</v>
      </c>
      <c r="BJ1636" s="1">
        <v>0</v>
      </c>
      <c r="BK1636" s="1">
        <v>0</v>
      </c>
      <c r="BL1636" s="1">
        <v>0</v>
      </c>
      <c r="BM1636" s="1">
        <v>0</v>
      </c>
      <c r="BN1636" s="1">
        <v>0</v>
      </c>
      <c r="BO1636" s="1">
        <v>0</v>
      </c>
      <c r="BP1636" s="1">
        <v>0</v>
      </c>
      <c r="BQ1636" s="1">
        <v>0</v>
      </c>
      <c r="BR1636" s="1">
        <v>0</v>
      </c>
      <c r="BS1636" s="1" t="s">
        <v>109</v>
      </c>
      <c r="BT1636" s="1">
        <v>1703</v>
      </c>
      <c r="BU1636" s="1" t="s">
        <v>109</v>
      </c>
      <c r="BV1636" s="1"/>
      <c r="BW1636" s="1"/>
      <c r="BX1636" s="1"/>
      <c r="BY1636" s="1"/>
      <c r="BZ1636" s="1">
        <v>1</v>
      </c>
      <c r="CA1636" s="1" t="s">
        <v>109</v>
      </c>
      <c r="CB1636" s="1" t="s">
        <v>109</v>
      </c>
      <c r="CC1636" s="1">
        <v>5</v>
      </c>
      <c r="CD1636" s="1" t="s">
        <v>109</v>
      </c>
      <c r="CE1636" s="1">
        <v>4</v>
      </c>
      <c r="CF1636" s="1" t="s">
        <v>109</v>
      </c>
      <c r="CG1636" s="1" t="s">
        <v>109</v>
      </c>
      <c r="CH1636" s="1" t="s">
        <v>109</v>
      </c>
      <c r="CI1636" s="1" t="s">
        <v>109</v>
      </c>
      <c r="CJ1636" s="1" t="s">
        <v>109</v>
      </c>
      <c r="CK1636" s="1"/>
      <c r="CL1636" s="1">
        <v>0</v>
      </c>
      <c r="CM1636" s="1">
        <v>0</v>
      </c>
      <c r="CN1636" s="1">
        <v>0</v>
      </c>
    </row>
    <row r="1637" spans="1:92" ht="14.25" customHeight="1" x14ac:dyDescent="0.15">
      <c r="A1637" s="1" t="s">
        <v>12369</v>
      </c>
      <c r="B1637" s="1" t="s">
        <v>189</v>
      </c>
      <c r="C1637" s="1"/>
      <c r="D1637" s="1"/>
      <c r="E1637" s="1" t="s">
        <v>12370</v>
      </c>
      <c r="F1637" s="1" t="s">
        <v>377</v>
      </c>
      <c r="G1637" s="1" t="s">
        <v>12371</v>
      </c>
      <c r="H1637" s="1">
        <v>1</v>
      </c>
      <c r="I1637" s="1" t="s">
        <v>12372</v>
      </c>
      <c r="J1637" s="1" t="s">
        <v>12373</v>
      </c>
      <c r="K1637" s="1"/>
      <c r="L1637" s="1"/>
      <c r="M1637" s="1" t="s">
        <v>12374</v>
      </c>
      <c r="N1637" s="1">
        <v>0</v>
      </c>
      <c r="O1637" s="1">
        <v>0</v>
      </c>
      <c r="P1637" s="1" t="s">
        <v>103</v>
      </c>
      <c r="Q1637" s="1" t="s">
        <v>104</v>
      </c>
      <c r="R1637" s="1" t="s">
        <v>12375</v>
      </c>
      <c r="S1637" s="1" t="s">
        <v>12376</v>
      </c>
      <c r="T1637" s="1" t="s">
        <v>12327</v>
      </c>
      <c r="U1637" s="1" t="s">
        <v>12377</v>
      </c>
      <c r="V1637" s="1">
        <v>1</v>
      </c>
      <c r="W1637" s="1">
        <v>1</v>
      </c>
      <c r="X1637" s="1">
        <v>1</v>
      </c>
      <c r="Y1637" s="1">
        <v>0</v>
      </c>
      <c r="Z1637" s="1">
        <v>0</v>
      </c>
      <c r="AA1637" s="1">
        <v>7</v>
      </c>
      <c r="AB1637" s="1">
        <v>7</v>
      </c>
      <c r="AC1637" s="1">
        <v>7</v>
      </c>
      <c r="AD1637" s="1">
        <v>6</v>
      </c>
      <c r="AE1637" s="1" t="s">
        <v>109</v>
      </c>
      <c r="AF1637" s="1" t="s">
        <v>109</v>
      </c>
      <c r="AG1637" s="1" t="s">
        <v>109</v>
      </c>
      <c r="AH1637" s="1" t="s">
        <v>109</v>
      </c>
      <c r="AI1637" s="1" t="s">
        <v>109</v>
      </c>
      <c r="AJ1637" s="1">
        <v>7</v>
      </c>
      <c r="AK1637" s="1" t="s">
        <v>109</v>
      </c>
      <c r="AL1637" s="1">
        <v>7</v>
      </c>
      <c r="AM1637" s="1" t="s">
        <v>109</v>
      </c>
      <c r="AN1637" s="1" t="s">
        <v>109</v>
      </c>
      <c r="AO1637" s="1" t="s">
        <v>109</v>
      </c>
      <c r="AP1637" s="1"/>
      <c r="AQ1637" s="1">
        <v>7</v>
      </c>
      <c r="AR1637" s="1"/>
      <c r="AS1637" s="1"/>
      <c r="AT1637" s="1">
        <v>0</v>
      </c>
      <c r="AU1637" s="1">
        <v>0</v>
      </c>
      <c r="AV1637" s="1">
        <v>0</v>
      </c>
      <c r="AW1637" s="1">
        <v>0</v>
      </c>
      <c r="AX1637" s="1">
        <v>0</v>
      </c>
      <c r="AY1637" s="1">
        <v>0</v>
      </c>
      <c r="AZ1637" s="1">
        <v>0</v>
      </c>
      <c r="BA1637" s="1">
        <v>0</v>
      </c>
      <c r="BB1637" s="1">
        <v>0</v>
      </c>
      <c r="BC1637" s="1">
        <v>0</v>
      </c>
      <c r="BD1637" s="1">
        <v>0</v>
      </c>
      <c r="BE1637" s="1">
        <v>0</v>
      </c>
      <c r="BF1637" s="1">
        <v>0</v>
      </c>
      <c r="BG1637" s="1">
        <v>0</v>
      </c>
      <c r="BH1637" s="1">
        <v>0</v>
      </c>
      <c r="BI1637" s="1">
        <v>0</v>
      </c>
      <c r="BJ1637" s="1">
        <v>0</v>
      </c>
      <c r="BK1637" s="1">
        <v>0</v>
      </c>
      <c r="BL1637" s="1">
        <v>0</v>
      </c>
      <c r="BM1637" s="1">
        <v>0</v>
      </c>
      <c r="BN1637" s="1">
        <v>0</v>
      </c>
      <c r="BO1637" s="1">
        <v>0</v>
      </c>
      <c r="BP1637" s="1">
        <v>0</v>
      </c>
      <c r="BQ1637" s="1">
        <v>0</v>
      </c>
      <c r="BR1637" s="1">
        <v>0</v>
      </c>
      <c r="BS1637" s="1" t="s">
        <v>109</v>
      </c>
      <c r="BT1637" s="1">
        <v>1704</v>
      </c>
      <c r="BU1637" s="1">
        <v>10000</v>
      </c>
      <c r="BV1637" s="1"/>
      <c r="BW1637" s="1"/>
      <c r="BX1637" s="1"/>
      <c r="BY1637" s="1"/>
      <c r="BZ1637" s="1">
        <v>1</v>
      </c>
      <c r="CA1637" s="1" t="s">
        <v>109</v>
      </c>
      <c r="CB1637" s="1" t="s">
        <v>109</v>
      </c>
      <c r="CC1637" s="1">
        <v>7</v>
      </c>
      <c r="CD1637" s="1" t="s">
        <v>109</v>
      </c>
      <c r="CE1637" s="1" t="s">
        <v>109</v>
      </c>
      <c r="CF1637" s="1" t="s">
        <v>109</v>
      </c>
      <c r="CG1637" s="1" t="s">
        <v>109</v>
      </c>
      <c r="CH1637" s="1" t="s">
        <v>109</v>
      </c>
      <c r="CI1637" s="1" t="s">
        <v>109</v>
      </c>
      <c r="CJ1637" s="1">
        <v>6</v>
      </c>
      <c r="CK1637" s="1"/>
      <c r="CL1637" s="1">
        <v>0</v>
      </c>
      <c r="CM1637" s="1">
        <v>0</v>
      </c>
      <c r="CN1637" s="1">
        <v>0</v>
      </c>
    </row>
    <row r="1638" spans="1:92" ht="14.25" customHeight="1" x14ac:dyDescent="0.15">
      <c r="A1638" s="1" t="s">
        <v>12378</v>
      </c>
      <c r="B1638" s="1" t="s">
        <v>156</v>
      </c>
      <c r="C1638" s="1" t="s">
        <v>157</v>
      </c>
      <c r="D1638" s="1" t="s">
        <v>158</v>
      </c>
      <c r="E1638" s="1" t="s">
        <v>12379</v>
      </c>
      <c r="F1638" s="1" t="s">
        <v>98</v>
      </c>
      <c r="G1638" s="1" t="s">
        <v>141</v>
      </c>
      <c r="H1638" s="1">
        <v>0</v>
      </c>
      <c r="I1638" s="1" t="s">
        <v>142</v>
      </c>
      <c r="J1638" s="1"/>
      <c r="K1638" s="1"/>
      <c r="L1638" s="1" t="s">
        <v>716</v>
      </c>
      <c r="M1638" s="1" t="s">
        <v>574</v>
      </c>
      <c r="N1638" s="1">
        <v>1</v>
      </c>
      <c r="O1638" s="1">
        <v>0</v>
      </c>
      <c r="P1638" s="1" t="s">
        <v>301</v>
      </c>
      <c r="Q1638" s="1" t="s">
        <v>268</v>
      </c>
      <c r="R1638" s="1" t="s">
        <v>12380</v>
      </c>
      <c r="S1638" s="1" t="s">
        <v>12381</v>
      </c>
      <c r="T1638" s="1" t="s">
        <v>12382</v>
      </c>
      <c r="U1638" s="1" t="s">
        <v>12383</v>
      </c>
      <c r="V1638" s="1">
        <v>1</v>
      </c>
      <c r="W1638" s="1">
        <v>1</v>
      </c>
      <c r="X1638" s="1">
        <v>0</v>
      </c>
      <c r="Y1638" s="1">
        <v>0</v>
      </c>
      <c r="Z1638" s="1">
        <v>0</v>
      </c>
      <c r="AA1638" s="1">
        <v>4</v>
      </c>
      <c r="AB1638" s="1">
        <v>4</v>
      </c>
      <c r="AC1638" s="1" t="s">
        <v>109</v>
      </c>
      <c r="AD1638" s="1" t="s">
        <v>109</v>
      </c>
      <c r="AE1638" s="1" t="s">
        <v>109</v>
      </c>
      <c r="AF1638" s="1">
        <v>3</v>
      </c>
      <c r="AG1638" s="1" t="s">
        <v>109</v>
      </c>
      <c r="AH1638" s="1" t="s">
        <v>109</v>
      </c>
      <c r="AI1638" s="1" t="s">
        <v>109</v>
      </c>
      <c r="AJ1638" s="1" t="s">
        <v>109</v>
      </c>
      <c r="AK1638" s="1">
        <v>3</v>
      </c>
      <c r="AL1638" s="1" t="s">
        <v>109</v>
      </c>
      <c r="AM1638" s="1" t="s">
        <v>109</v>
      </c>
      <c r="AN1638" s="1" t="s">
        <v>109</v>
      </c>
      <c r="AO1638" s="1" t="s">
        <v>109</v>
      </c>
      <c r="AP1638" s="1"/>
      <c r="AQ1638" s="1">
        <v>4</v>
      </c>
      <c r="AR1638" s="1"/>
      <c r="AS1638" s="1"/>
      <c r="AT1638" s="1">
        <v>0</v>
      </c>
      <c r="AU1638" s="1">
        <v>0</v>
      </c>
      <c r="AV1638" s="1">
        <v>0</v>
      </c>
      <c r="AW1638" s="1">
        <v>0</v>
      </c>
      <c r="AX1638" s="1">
        <v>0</v>
      </c>
      <c r="AY1638" s="1">
        <v>0</v>
      </c>
      <c r="AZ1638" s="1">
        <v>0</v>
      </c>
      <c r="BA1638" s="1">
        <v>0</v>
      </c>
      <c r="BB1638" s="1">
        <v>0</v>
      </c>
      <c r="BC1638" s="1">
        <v>0</v>
      </c>
      <c r="BD1638" s="1">
        <v>0</v>
      </c>
      <c r="BE1638" s="1">
        <v>0</v>
      </c>
      <c r="BF1638" s="1">
        <v>0</v>
      </c>
      <c r="BG1638" s="1">
        <v>0</v>
      </c>
      <c r="BH1638" s="1">
        <v>0</v>
      </c>
      <c r="BI1638" s="1">
        <v>0</v>
      </c>
      <c r="BJ1638" s="1">
        <v>0</v>
      </c>
      <c r="BK1638" s="1">
        <v>0</v>
      </c>
      <c r="BL1638" s="1">
        <v>0</v>
      </c>
      <c r="BM1638" s="1">
        <v>1</v>
      </c>
      <c r="BN1638" s="1">
        <v>0</v>
      </c>
      <c r="BO1638" s="1">
        <v>0</v>
      </c>
      <c r="BP1638" s="1">
        <v>0</v>
      </c>
      <c r="BQ1638" s="1">
        <v>0</v>
      </c>
      <c r="BR1638" s="1">
        <v>0</v>
      </c>
      <c r="BS1638" s="1" t="s">
        <v>109</v>
      </c>
      <c r="BT1638" s="1">
        <v>1705</v>
      </c>
      <c r="BU1638" s="1" t="s">
        <v>109</v>
      </c>
      <c r="BV1638" s="1"/>
      <c r="BW1638" s="1"/>
      <c r="BX1638" s="1"/>
      <c r="BY1638" s="1"/>
      <c r="BZ1638" s="1">
        <v>0</v>
      </c>
      <c r="CA1638" s="1" t="s">
        <v>109</v>
      </c>
      <c r="CB1638" s="1" t="s">
        <v>109</v>
      </c>
      <c r="CC1638" s="1" t="s">
        <v>109</v>
      </c>
      <c r="CD1638" s="1" t="s">
        <v>109</v>
      </c>
      <c r="CE1638" s="1" t="s">
        <v>109</v>
      </c>
      <c r="CF1638" s="1" t="s">
        <v>109</v>
      </c>
      <c r="CG1638" s="1" t="s">
        <v>109</v>
      </c>
      <c r="CH1638" s="1" t="s">
        <v>109</v>
      </c>
      <c r="CI1638" s="1" t="s">
        <v>109</v>
      </c>
      <c r="CJ1638" s="1" t="s">
        <v>109</v>
      </c>
      <c r="CK1638" s="1"/>
      <c r="CL1638" s="1">
        <v>0</v>
      </c>
      <c r="CM1638" s="1">
        <v>0</v>
      </c>
      <c r="CN1638" s="1">
        <v>0</v>
      </c>
    </row>
    <row r="1639" spans="1:92" ht="14.25" customHeight="1" x14ac:dyDescent="0.15">
      <c r="A1639" s="1" t="s">
        <v>12384</v>
      </c>
      <c r="B1639" s="1" t="s">
        <v>189</v>
      </c>
      <c r="C1639" s="1"/>
      <c r="D1639" s="1" t="s">
        <v>67</v>
      </c>
      <c r="E1639" s="1" t="s">
        <v>12385</v>
      </c>
      <c r="F1639" s="1" t="s">
        <v>98</v>
      </c>
      <c r="G1639" s="1" t="s">
        <v>141</v>
      </c>
      <c r="H1639" s="1">
        <v>0</v>
      </c>
      <c r="I1639" s="1" t="s">
        <v>161</v>
      </c>
      <c r="J1639" s="1"/>
      <c r="K1639" s="1"/>
      <c r="L1639" s="1" t="s">
        <v>506</v>
      </c>
      <c r="M1639" s="1" t="s">
        <v>574</v>
      </c>
      <c r="N1639" s="1">
        <v>1</v>
      </c>
      <c r="O1639" s="1">
        <v>0</v>
      </c>
      <c r="P1639" s="1" t="s">
        <v>267</v>
      </c>
      <c r="Q1639" s="1" t="s">
        <v>268</v>
      </c>
      <c r="R1639" s="1" t="s">
        <v>12386</v>
      </c>
      <c r="S1639" s="1" t="s">
        <v>12387</v>
      </c>
      <c r="T1639" s="1" t="s">
        <v>12382</v>
      </c>
      <c r="U1639" s="1" t="s">
        <v>12388</v>
      </c>
      <c r="V1639" s="1">
        <v>1</v>
      </c>
      <c r="W1639" s="1">
        <v>1</v>
      </c>
      <c r="X1639" s="1">
        <v>0</v>
      </c>
      <c r="Y1639" s="1">
        <v>0</v>
      </c>
      <c r="Z1639" s="1">
        <v>0</v>
      </c>
      <c r="AA1639" s="1">
        <v>4</v>
      </c>
      <c r="AB1639" s="1">
        <v>4</v>
      </c>
      <c r="AC1639" s="1">
        <v>4</v>
      </c>
      <c r="AD1639" s="1">
        <v>4</v>
      </c>
      <c r="AE1639" s="1">
        <v>3</v>
      </c>
      <c r="AF1639" s="1" t="s">
        <v>109</v>
      </c>
      <c r="AG1639" s="1" t="s">
        <v>109</v>
      </c>
      <c r="AH1639" s="1" t="s">
        <v>109</v>
      </c>
      <c r="AI1639" s="1" t="s">
        <v>109</v>
      </c>
      <c r="AJ1639" s="1" t="s">
        <v>109</v>
      </c>
      <c r="AK1639" s="1" t="s">
        <v>109</v>
      </c>
      <c r="AL1639" s="1">
        <v>4</v>
      </c>
      <c r="AM1639" s="1" t="s">
        <v>109</v>
      </c>
      <c r="AN1639" s="1" t="s">
        <v>109</v>
      </c>
      <c r="AO1639" s="1" t="s">
        <v>109</v>
      </c>
      <c r="AP1639" s="1"/>
      <c r="AQ1639" s="1">
        <v>4</v>
      </c>
      <c r="AR1639" s="1"/>
      <c r="AS1639" s="1"/>
      <c r="AT1639" s="1">
        <v>0</v>
      </c>
      <c r="AU1639" s="1">
        <v>0</v>
      </c>
      <c r="AV1639" s="1">
        <v>0</v>
      </c>
      <c r="AW1639" s="1">
        <v>0</v>
      </c>
      <c r="AX1639" s="1">
        <v>0</v>
      </c>
      <c r="AY1639" s="1">
        <v>0</v>
      </c>
      <c r="AZ1639" s="1">
        <v>0</v>
      </c>
      <c r="BA1639" s="1">
        <v>0</v>
      </c>
      <c r="BB1639" s="1">
        <v>0</v>
      </c>
      <c r="BC1639" s="1">
        <v>0</v>
      </c>
      <c r="BD1639" s="1">
        <v>0</v>
      </c>
      <c r="BE1639" s="1">
        <v>0</v>
      </c>
      <c r="BF1639" s="1">
        <v>0</v>
      </c>
      <c r="BG1639" s="1">
        <v>0</v>
      </c>
      <c r="BH1639" s="1">
        <v>0</v>
      </c>
      <c r="BI1639" s="1">
        <v>0</v>
      </c>
      <c r="BJ1639" s="1">
        <v>0</v>
      </c>
      <c r="BK1639" s="1">
        <v>0</v>
      </c>
      <c r="BL1639" s="1">
        <v>0</v>
      </c>
      <c r="BM1639" s="1">
        <v>0</v>
      </c>
      <c r="BN1639" s="1">
        <v>0</v>
      </c>
      <c r="BO1639" s="1">
        <v>1</v>
      </c>
      <c r="BP1639" s="1">
        <v>0</v>
      </c>
      <c r="BQ1639" s="1">
        <v>0</v>
      </c>
      <c r="BR1639" s="1">
        <v>0</v>
      </c>
      <c r="BS1639" s="1" t="s">
        <v>109</v>
      </c>
      <c r="BT1639" s="1">
        <v>1706</v>
      </c>
      <c r="BU1639" s="1" t="s">
        <v>109</v>
      </c>
      <c r="BV1639" s="1"/>
      <c r="BW1639" s="1"/>
      <c r="BX1639" s="1"/>
      <c r="BY1639" s="1"/>
      <c r="BZ1639" s="1">
        <v>0</v>
      </c>
      <c r="CA1639" s="1" t="s">
        <v>109</v>
      </c>
      <c r="CB1639" s="1" t="s">
        <v>109</v>
      </c>
      <c r="CC1639" s="1" t="s">
        <v>109</v>
      </c>
      <c r="CD1639" s="1" t="s">
        <v>109</v>
      </c>
      <c r="CE1639" s="1" t="s">
        <v>109</v>
      </c>
      <c r="CF1639" s="1" t="s">
        <v>109</v>
      </c>
      <c r="CG1639" s="1" t="s">
        <v>109</v>
      </c>
      <c r="CH1639" s="1" t="s">
        <v>109</v>
      </c>
      <c r="CI1639" s="1" t="s">
        <v>109</v>
      </c>
      <c r="CJ1639" s="1">
        <v>3</v>
      </c>
      <c r="CK1639" s="1"/>
      <c r="CL1639" s="1">
        <v>0</v>
      </c>
      <c r="CM1639" s="1">
        <v>0</v>
      </c>
      <c r="CN1639" s="1">
        <v>0</v>
      </c>
    </row>
    <row r="1640" spans="1:92" ht="14.25" customHeight="1" x14ac:dyDescent="0.15">
      <c r="A1640" s="1" t="s">
        <v>12389</v>
      </c>
      <c r="B1640" s="1" t="s">
        <v>584</v>
      </c>
      <c r="C1640" s="1"/>
      <c r="D1640" s="1" t="s">
        <v>55</v>
      </c>
      <c r="E1640" s="1" t="s">
        <v>12390</v>
      </c>
      <c r="F1640" s="1" t="s">
        <v>98</v>
      </c>
      <c r="G1640" s="1" t="s">
        <v>141</v>
      </c>
      <c r="H1640" s="1">
        <v>0</v>
      </c>
      <c r="I1640" s="1" t="s">
        <v>235</v>
      </c>
      <c r="J1640" s="1" t="s">
        <v>12391</v>
      </c>
      <c r="K1640" s="1"/>
      <c r="L1640" s="1"/>
      <c r="M1640" s="1" t="s">
        <v>574</v>
      </c>
      <c r="N1640" s="1">
        <v>1</v>
      </c>
      <c r="O1640" s="1">
        <v>0</v>
      </c>
      <c r="P1640" s="1" t="s">
        <v>1382</v>
      </c>
      <c r="Q1640" s="1" t="s">
        <v>268</v>
      </c>
      <c r="R1640" s="1" t="s">
        <v>12392</v>
      </c>
      <c r="S1640" s="1" t="s">
        <v>12393</v>
      </c>
      <c r="T1640" s="1" t="s">
        <v>12382</v>
      </c>
      <c r="U1640" s="1" t="s">
        <v>12394</v>
      </c>
      <c r="V1640" s="1">
        <v>1</v>
      </c>
      <c r="W1640" s="1">
        <v>1</v>
      </c>
      <c r="X1640" s="1">
        <v>0</v>
      </c>
      <c r="Y1640" s="1">
        <v>0</v>
      </c>
      <c r="Z1640" s="1">
        <v>0</v>
      </c>
      <c r="AA1640" s="1" t="s">
        <v>109</v>
      </c>
      <c r="AB1640" s="1" t="s">
        <v>109</v>
      </c>
      <c r="AC1640" s="1">
        <v>3</v>
      </c>
      <c r="AD1640" s="1" t="s">
        <v>109</v>
      </c>
      <c r="AE1640" s="1">
        <v>2</v>
      </c>
      <c r="AF1640" s="1" t="s">
        <v>109</v>
      </c>
      <c r="AG1640" s="1" t="s">
        <v>109</v>
      </c>
      <c r="AH1640" s="1" t="s">
        <v>109</v>
      </c>
      <c r="AI1640" s="1" t="s">
        <v>109</v>
      </c>
      <c r="AJ1640" s="1">
        <v>3</v>
      </c>
      <c r="AK1640" s="1">
        <v>3</v>
      </c>
      <c r="AL1640" s="1">
        <v>3</v>
      </c>
      <c r="AM1640" s="1" t="s">
        <v>109</v>
      </c>
      <c r="AN1640" s="1" t="s">
        <v>109</v>
      </c>
      <c r="AO1640" s="1" t="s">
        <v>109</v>
      </c>
      <c r="AP1640" s="1"/>
      <c r="AQ1640" s="1">
        <v>3</v>
      </c>
      <c r="AR1640" s="1"/>
      <c r="AS1640" s="1"/>
      <c r="AT1640" s="1">
        <v>0</v>
      </c>
      <c r="AU1640" s="1">
        <v>0</v>
      </c>
      <c r="AV1640" s="1">
        <v>0</v>
      </c>
      <c r="AW1640" s="1">
        <v>0</v>
      </c>
      <c r="AX1640" s="1">
        <v>0</v>
      </c>
      <c r="AY1640" s="1">
        <v>0</v>
      </c>
      <c r="AZ1640" s="1">
        <v>0</v>
      </c>
      <c r="BA1640" s="1">
        <v>0</v>
      </c>
      <c r="BB1640" s="1">
        <v>0</v>
      </c>
      <c r="BC1640" s="1">
        <v>1</v>
      </c>
      <c r="BD1640" s="1">
        <v>0</v>
      </c>
      <c r="BE1640" s="1">
        <v>0</v>
      </c>
      <c r="BF1640" s="1">
        <v>0</v>
      </c>
      <c r="BG1640" s="1">
        <v>0</v>
      </c>
      <c r="BH1640" s="1">
        <v>0</v>
      </c>
      <c r="BI1640" s="1">
        <v>0</v>
      </c>
      <c r="BJ1640" s="1">
        <v>0</v>
      </c>
      <c r="BK1640" s="1">
        <v>0</v>
      </c>
      <c r="BL1640" s="1">
        <v>0</v>
      </c>
      <c r="BM1640" s="1">
        <v>0</v>
      </c>
      <c r="BN1640" s="1">
        <v>0</v>
      </c>
      <c r="BO1640" s="1">
        <v>0</v>
      </c>
      <c r="BP1640" s="1">
        <v>0</v>
      </c>
      <c r="BQ1640" s="1">
        <v>0</v>
      </c>
      <c r="BR1640" s="1">
        <v>0</v>
      </c>
      <c r="BS1640" s="1" t="s">
        <v>109</v>
      </c>
      <c r="BT1640" s="1">
        <v>1707</v>
      </c>
      <c r="BU1640" s="1" t="s">
        <v>109</v>
      </c>
      <c r="BV1640" s="1"/>
      <c r="BW1640" s="1"/>
      <c r="BX1640" s="1"/>
      <c r="BY1640" s="1"/>
      <c r="BZ1640" s="1">
        <v>0</v>
      </c>
      <c r="CA1640" s="1" t="s">
        <v>109</v>
      </c>
      <c r="CB1640" s="1" t="s">
        <v>109</v>
      </c>
      <c r="CC1640" s="1" t="s">
        <v>109</v>
      </c>
      <c r="CD1640" s="1" t="s">
        <v>109</v>
      </c>
      <c r="CE1640" s="1" t="s">
        <v>109</v>
      </c>
      <c r="CF1640" s="1" t="s">
        <v>109</v>
      </c>
      <c r="CG1640" s="1" t="s">
        <v>109</v>
      </c>
      <c r="CH1640" s="1" t="s">
        <v>109</v>
      </c>
      <c r="CI1640" s="1" t="s">
        <v>109</v>
      </c>
      <c r="CJ1640" s="1">
        <v>2</v>
      </c>
      <c r="CK1640" s="1"/>
      <c r="CL1640" s="1">
        <v>0</v>
      </c>
      <c r="CM1640" s="1">
        <v>0</v>
      </c>
      <c r="CN1640" s="1">
        <v>0</v>
      </c>
    </row>
    <row r="1641" spans="1:92" ht="14.25" customHeight="1" x14ac:dyDescent="0.15">
      <c r="A1641" s="1" t="s">
        <v>12395</v>
      </c>
      <c r="B1641" s="1" t="s">
        <v>95</v>
      </c>
      <c r="C1641" s="1" t="s">
        <v>1522</v>
      </c>
      <c r="D1641" s="1" t="s">
        <v>48</v>
      </c>
      <c r="E1641" s="1" t="s">
        <v>5753</v>
      </c>
      <c r="F1641" s="1" t="s">
        <v>98</v>
      </c>
      <c r="G1641" s="1" t="s">
        <v>12396</v>
      </c>
      <c r="H1641" s="1">
        <v>0</v>
      </c>
      <c r="I1641" s="1" t="s">
        <v>142</v>
      </c>
      <c r="J1641" s="1" t="s">
        <v>12397</v>
      </c>
      <c r="K1641" s="1"/>
      <c r="L1641" s="1"/>
      <c r="M1641" s="1" t="s">
        <v>12398</v>
      </c>
      <c r="N1641" s="1">
        <v>0</v>
      </c>
      <c r="O1641" s="1">
        <v>0</v>
      </c>
      <c r="P1641" s="1" t="s">
        <v>211</v>
      </c>
      <c r="Q1641" s="1" t="s">
        <v>4298</v>
      </c>
      <c r="R1641" s="1" t="s">
        <v>12399</v>
      </c>
      <c r="S1641" s="1" t="s">
        <v>12400</v>
      </c>
      <c r="T1641" s="1" t="s">
        <v>12382</v>
      </c>
      <c r="U1641" s="1" t="s">
        <v>12401</v>
      </c>
      <c r="V1641" s="1">
        <v>1</v>
      </c>
      <c r="W1641" s="1">
        <v>1</v>
      </c>
      <c r="X1641" s="1">
        <v>0</v>
      </c>
      <c r="Y1641" s="1">
        <v>0</v>
      </c>
      <c r="Z1641" s="1">
        <v>1</v>
      </c>
      <c r="AA1641" s="1">
        <v>8</v>
      </c>
      <c r="AB1641" s="1">
        <v>8</v>
      </c>
      <c r="AC1641" s="1">
        <v>8</v>
      </c>
      <c r="AD1641" s="1" t="s">
        <v>109</v>
      </c>
      <c r="AE1641" s="1" t="s">
        <v>109</v>
      </c>
      <c r="AF1641" s="1" t="s">
        <v>109</v>
      </c>
      <c r="AG1641" s="1" t="s">
        <v>109</v>
      </c>
      <c r="AH1641" s="1" t="s">
        <v>109</v>
      </c>
      <c r="AI1641" s="1" t="s">
        <v>109</v>
      </c>
      <c r="AJ1641" s="1" t="s">
        <v>109</v>
      </c>
      <c r="AK1641" s="1" t="s">
        <v>109</v>
      </c>
      <c r="AL1641" s="1">
        <v>8</v>
      </c>
      <c r="AM1641" s="1" t="s">
        <v>109</v>
      </c>
      <c r="AN1641" s="1" t="s">
        <v>109</v>
      </c>
      <c r="AO1641" s="1" t="s">
        <v>109</v>
      </c>
      <c r="AP1641" s="1"/>
      <c r="AQ1641" s="1">
        <v>8</v>
      </c>
      <c r="AR1641" s="1"/>
      <c r="AS1641" s="1"/>
      <c r="AT1641" s="1">
        <v>0</v>
      </c>
      <c r="AU1641" s="1">
        <v>0</v>
      </c>
      <c r="AV1641" s="1">
        <v>1</v>
      </c>
      <c r="AW1641" s="1">
        <v>0</v>
      </c>
      <c r="AX1641" s="1">
        <v>0</v>
      </c>
      <c r="AY1641" s="1">
        <v>0</v>
      </c>
      <c r="AZ1641" s="1">
        <v>0</v>
      </c>
      <c r="BA1641" s="1">
        <v>0</v>
      </c>
      <c r="BB1641" s="1">
        <v>0</v>
      </c>
      <c r="BC1641" s="1">
        <v>0</v>
      </c>
      <c r="BD1641" s="1">
        <v>0</v>
      </c>
      <c r="BE1641" s="1">
        <v>0</v>
      </c>
      <c r="BF1641" s="1">
        <v>0</v>
      </c>
      <c r="BG1641" s="1">
        <v>0</v>
      </c>
      <c r="BH1641" s="1">
        <v>0</v>
      </c>
      <c r="BI1641" s="1">
        <v>0</v>
      </c>
      <c r="BJ1641" s="1">
        <v>0</v>
      </c>
      <c r="BK1641" s="1">
        <v>0</v>
      </c>
      <c r="BL1641" s="1">
        <v>0</v>
      </c>
      <c r="BM1641" s="1">
        <v>0</v>
      </c>
      <c r="BN1641" s="1">
        <v>0</v>
      </c>
      <c r="BO1641" s="1">
        <v>0</v>
      </c>
      <c r="BP1641" s="1">
        <v>0</v>
      </c>
      <c r="BQ1641" s="1">
        <v>0</v>
      </c>
      <c r="BR1641" s="1">
        <v>0</v>
      </c>
      <c r="BS1641" s="1" t="s">
        <v>109</v>
      </c>
      <c r="BT1641" s="1">
        <v>1708</v>
      </c>
      <c r="BU1641" s="1" t="s">
        <v>109</v>
      </c>
      <c r="BV1641" s="1"/>
      <c r="BW1641" s="1"/>
      <c r="BX1641" s="1"/>
      <c r="BY1641" s="1"/>
      <c r="BZ1641" s="1">
        <v>0</v>
      </c>
      <c r="CA1641" s="1" t="s">
        <v>109</v>
      </c>
      <c r="CB1641" s="1" t="s">
        <v>109</v>
      </c>
      <c r="CC1641" s="1" t="s">
        <v>109</v>
      </c>
      <c r="CD1641" s="1" t="s">
        <v>109</v>
      </c>
      <c r="CE1641" s="1" t="s">
        <v>109</v>
      </c>
      <c r="CF1641" s="1" t="s">
        <v>109</v>
      </c>
      <c r="CG1641" s="1" t="s">
        <v>109</v>
      </c>
      <c r="CH1641" s="1" t="s">
        <v>109</v>
      </c>
      <c r="CI1641" s="1" t="s">
        <v>109</v>
      </c>
      <c r="CJ1641" s="1" t="s">
        <v>109</v>
      </c>
      <c r="CK1641" s="1"/>
      <c r="CL1641" s="1">
        <v>0</v>
      </c>
      <c r="CM1641" s="1">
        <v>0</v>
      </c>
      <c r="CN1641" s="1">
        <v>0</v>
      </c>
    </row>
    <row r="1642" spans="1:92" ht="14.25" customHeight="1" x14ac:dyDescent="0.15">
      <c r="A1642" s="1" t="s">
        <v>12402</v>
      </c>
      <c r="B1642" s="1" t="s">
        <v>95</v>
      </c>
      <c r="C1642" s="1" t="s">
        <v>1179</v>
      </c>
      <c r="D1642" s="1" t="s">
        <v>7716</v>
      </c>
      <c r="E1642" s="1" t="s">
        <v>8191</v>
      </c>
      <c r="F1642" s="1" t="s">
        <v>355</v>
      </c>
      <c r="G1642" s="1" t="s">
        <v>4780</v>
      </c>
      <c r="H1642" s="1">
        <v>0</v>
      </c>
      <c r="I1642" s="1" t="s">
        <v>142</v>
      </c>
      <c r="J1642" s="1"/>
      <c r="K1642" s="1" t="s">
        <v>4781</v>
      </c>
      <c r="L1642" s="1"/>
      <c r="M1642" s="1" t="s">
        <v>574</v>
      </c>
      <c r="N1642" s="1">
        <v>1</v>
      </c>
      <c r="O1642" s="1">
        <v>0</v>
      </c>
      <c r="P1642" s="1" t="s">
        <v>103</v>
      </c>
      <c r="Q1642" s="1" t="s">
        <v>104</v>
      </c>
      <c r="R1642" s="1" t="s">
        <v>12403</v>
      </c>
      <c r="S1642" s="1" t="s">
        <v>12404</v>
      </c>
      <c r="T1642" s="1" t="s">
        <v>12382</v>
      </c>
      <c r="U1642" s="1" t="s">
        <v>12405</v>
      </c>
      <c r="V1642" s="1">
        <v>1</v>
      </c>
      <c r="W1642" s="1">
        <v>1</v>
      </c>
      <c r="X1642" s="1">
        <v>0</v>
      </c>
      <c r="Y1642" s="1">
        <v>0</v>
      </c>
      <c r="Z1642" s="1">
        <v>1</v>
      </c>
      <c r="AA1642" s="1">
        <v>9</v>
      </c>
      <c r="AB1642" s="1">
        <v>9</v>
      </c>
      <c r="AC1642" s="1">
        <v>9</v>
      </c>
      <c r="AD1642" s="1" t="s">
        <v>109</v>
      </c>
      <c r="AE1642" s="1" t="s">
        <v>109</v>
      </c>
      <c r="AF1642" s="1" t="s">
        <v>109</v>
      </c>
      <c r="AG1642" s="1" t="s">
        <v>109</v>
      </c>
      <c r="AH1642" s="1" t="s">
        <v>109</v>
      </c>
      <c r="AI1642" s="1" t="s">
        <v>109</v>
      </c>
      <c r="AJ1642" s="1">
        <v>9</v>
      </c>
      <c r="AK1642" s="1" t="s">
        <v>109</v>
      </c>
      <c r="AL1642" s="1">
        <v>9</v>
      </c>
      <c r="AM1642" s="1" t="s">
        <v>109</v>
      </c>
      <c r="AN1642" s="1" t="s">
        <v>109</v>
      </c>
      <c r="AO1642" s="1" t="s">
        <v>109</v>
      </c>
      <c r="AP1642" s="1"/>
      <c r="AQ1642" s="1">
        <v>9</v>
      </c>
      <c r="AR1642" s="1"/>
      <c r="AS1642" s="1"/>
      <c r="AT1642" s="1">
        <v>0</v>
      </c>
      <c r="AU1642" s="1">
        <v>0</v>
      </c>
      <c r="AV1642" s="1">
        <v>1</v>
      </c>
      <c r="AW1642" s="1">
        <v>0</v>
      </c>
      <c r="AX1642" s="1">
        <v>0</v>
      </c>
      <c r="AY1642" s="1">
        <v>0</v>
      </c>
      <c r="AZ1642" s="1">
        <v>0</v>
      </c>
      <c r="BA1642" s="1">
        <v>0</v>
      </c>
      <c r="BB1642" s="1">
        <v>0</v>
      </c>
      <c r="BC1642" s="1">
        <v>0</v>
      </c>
      <c r="BD1642" s="1">
        <v>0</v>
      </c>
      <c r="BE1642" s="1">
        <v>1</v>
      </c>
      <c r="BF1642" s="1">
        <v>0</v>
      </c>
      <c r="BG1642" s="1">
        <v>0</v>
      </c>
      <c r="BH1642" s="1">
        <v>0</v>
      </c>
      <c r="BI1642" s="1">
        <v>0</v>
      </c>
      <c r="BJ1642" s="1">
        <v>0</v>
      </c>
      <c r="BK1642" s="1">
        <v>0</v>
      </c>
      <c r="BL1642" s="1">
        <v>0</v>
      </c>
      <c r="BM1642" s="1">
        <v>0</v>
      </c>
      <c r="BN1642" s="1">
        <v>0</v>
      </c>
      <c r="BO1642" s="1">
        <v>0</v>
      </c>
      <c r="BP1642" s="1">
        <v>0</v>
      </c>
      <c r="BQ1642" s="1">
        <v>0</v>
      </c>
      <c r="BR1642" s="1">
        <v>0</v>
      </c>
      <c r="BS1642" s="1" t="s">
        <v>109</v>
      </c>
      <c r="BT1642" s="1">
        <v>1709</v>
      </c>
      <c r="BU1642" s="1" t="s">
        <v>109</v>
      </c>
      <c r="BV1642" s="1"/>
      <c r="BW1642" s="1"/>
      <c r="BX1642" s="1"/>
      <c r="BY1642" s="1"/>
      <c r="BZ1642" s="1">
        <v>0</v>
      </c>
      <c r="CA1642" s="1" t="s">
        <v>109</v>
      </c>
      <c r="CB1642" s="1" t="s">
        <v>109</v>
      </c>
      <c r="CC1642" s="1" t="s">
        <v>109</v>
      </c>
      <c r="CD1642" s="1" t="s">
        <v>109</v>
      </c>
      <c r="CE1642" s="1" t="s">
        <v>109</v>
      </c>
      <c r="CF1642" s="1" t="s">
        <v>109</v>
      </c>
      <c r="CG1642" s="1" t="s">
        <v>109</v>
      </c>
      <c r="CH1642" s="1" t="s">
        <v>109</v>
      </c>
      <c r="CI1642" s="1" t="s">
        <v>109</v>
      </c>
      <c r="CJ1642" s="1" t="s">
        <v>109</v>
      </c>
      <c r="CK1642" s="1"/>
      <c r="CL1642" s="1">
        <v>0</v>
      </c>
      <c r="CM1642" s="1">
        <v>0</v>
      </c>
      <c r="CN1642" s="1">
        <v>0</v>
      </c>
    </row>
    <row r="1643" spans="1:92" ht="14.25" customHeight="1" x14ac:dyDescent="0.15">
      <c r="A1643" s="1" t="s">
        <v>12406</v>
      </c>
      <c r="B1643" s="1" t="s">
        <v>95</v>
      </c>
      <c r="C1643" s="1" t="s">
        <v>1179</v>
      </c>
      <c r="D1643" s="1" t="s">
        <v>7716</v>
      </c>
      <c r="E1643" s="1" t="s">
        <v>10959</v>
      </c>
      <c r="F1643" s="1" t="s">
        <v>355</v>
      </c>
      <c r="G1643" s="1" t="s">
        <v>4780</v>
      </c>
      <c r="H1643" s="1">
        <v>0</v>
      </c>
      <c r="I1643" s="1" t="s">
        <v>142</v>
      </c>
      <c r="J1643" s="1"/>
      <c r="K1643" s="1" t="s">
        <v>4781</v>
      </c>
      <c r="L1643" s="1"/>
      <c r="M1643" s="1" t="s">
        <v>574</v>
      </c>
      <c r="N1643" s="1">
        <v>1</v>
      </c>
      <c r="O1643" s="1">
        <v>0</v>
      </c>
      <c r="P1643" s="1" t="s">
        <v>103</v>
      </c>
      <c r="Q1643" s="1" t="s">
        <v>104</v>
      </c>
      <c r="R1643" s="1" t="s">
        <v>12407</v>
      </c>
      <c r="S1643" s="1" t="s">
        <v>12408</v>
      </c>
      <c r="T1643" s="1" t="s">
        <v>12382</v>
      </c>
      <c r="U1643" s="1" t="s">
        <v>12409</v>
      </c>
      <c r="V1643" s="1">
        <v>1</v>
      </c>
      <c r="W1643" s="1">
        <v>1</v>
      </c>
      <c r="X1643" s="1">
        <v>0</v>
      </c>
      <c r="Y1643" s="1">
        <v>0</v>
      </c>
      <c r="Z1643" s="1">
        <v>1</v>
      </c>
      <c r="AA1643" s="1">
        <v>5</v>
      </c>
      <c r="AB1643" s="1">
        <v>5</v>
      </c>
      <c r="AC1643" s="1">
        <v>5</v>
      </c>
      <c r="AD1643" s="1" t="s">
        <v>109</v>
      </c>
      <c r="AE1643" s="1" t="s">
        <v>109</v>
      </c>
      <c r="AF1643" s="1" t="s">
        <v>109</v>
      </c>
      <c r="AG1643" s="1" t="s">
        <v>109</v>
      </c>
      <c r="AH1643" s="1" t="s">
        <v>109</v>
      </c>
      <c r="AI1643" s="1">
        <v>4</v>
      </c>
      <c r="AJ1643" s="1">
        <v>5</v>
      </c>
      <c r="AK1643" s="1" t="s">
        <v>109</v>
      </c>
      <c r="AL1643" s="1">
        <v>5</v>
      </c>
      <c r="AM1643" s="1" t="s">
        <v>109</v>
      </c>
      <c r="AN1643" s="1" t="s">
        <v>109</v>
      </c>
      <c r="AO1643" s="1" t="s">
        <v>109</v>
      </c>
      <c r="AP1643" s="1"/>
      <c r="AQ1643" s="1">
        <v>5</v>
      </c>
      <c r="AR1643" s="1"/>
      <c r="AS1643" s="1"/>
      <c r="AT1643" s="1">
        <v>0</v>
      </c>
      <c r="AU1643" s="1">
        <v>0</v>
      </c>
      <c r="AV1643" s="1">
        <v>1</v>
      </c>
      <c r="AW1643" s="1">
        <v>0</v>
      </c>
      <c r="AX1643" s="1">
        <v>0</v>
      </c>
      <c r="AY1643" s="1">
        <v>0</v>
      </c>
      <c r="AZ1643" s="1">
        <v>0</v>
      </c>
      <c r="BA1643" s="1">
        <v>0</v>
      </c>
      <c r="BB1643" s="1">
        <v>0</v>
      </c>
      <c r="BC1643" s="1">
        <v>0</v>
      </c>
      <c r="BD1643" s="1">
        <v>0</v>
      </c>
      <c r="BE1643" s="1">
        <v>1</v>
      </c>
      <c r="BF1643" s="1">
        <v>0</v>
      </c>
      <c r="BG1643" s="1">
        <v>0</v>
      </c>
      <c r="BH1643" s="1">
        <v>0</v>
      </c>
      <c r="BI1643" s="1">
        <v>0</v>
      </c>
      <c r="BJ1643" s="1">
        <v>0</v>
      </c>
      <c r="BK1643" s="1">
        <v>0</v>
      </c>
      <c r="BL1643" s="1">
        <v>0</v>
      </c>
      <c r="BM1643" s="1">
        <v>0</v>
      </c>
      <c r="BN1643" s="1">
        <v>0</v>
      </c>
      <c r="BO1643" s="1">
        <v>0</v>
      </c>
      <c r="BP1643" s="1">
        <v>0</v>
      </c>
      <c r="BQ1643" s="1">
        <v>0</v>
      </c>
      <c r="BR1643" s="1">
        <v>0</v>
      </c>
      <c r="BS1643" s="1" t="s">
        <v>109</v>
      </c>
      <c r="BT1643" s="1">
        <v>1710</v>
      </c>
      <c r="BU1643" s="1" t="s">
        <v>109</v>
      </c>
      <c r="BV1643" s="1"/>
      <c r="BW1643" s="1"/>
      <c r="BX1643" s="1"/>
      <c r="BY1643" s="1"/>
      <c r="BZ1643" s="1">
        <v>0</v>
      </c>
      <c r="CA1643" s="1" t="s">
        <v>109</v>
      </c>
      <c r="CB1643" s="1" t="s">
        <v>109</v>
      </c>
      <c r="CC1643" s="1" t="s">
        <v>109</v>
      </c>
      <c r="CD1643" s="1" t="s">
        <v>109</v>
      </c>
      <c r="CE1643" s="1" t="s">
        <v>109</v>
      </c>
      <c r="CF1643" s="1" t="s">
        <v>109</v>
      </c>
      <c r="CG1643" s="1" t="s">
        <v>109</v>
      </c>
      <c r="CH1643" s="1" t="s">
        <v>109</v>
      </c>
      <c r="CI1643" s="1" t="s">
        <v>109</v>
      </c>
      <c r="CJ1643" s="1" t="s">
        <v>109</v>
      </c>
      <c r="CK1643" s="1"/>
      <c r="CL1643" s="1">
        <v>0</v>
      </c>
      <c r="CM1643" s="1">
        <v>0</v>
      </c>
      <c r="CN1643" s="1">
        <v>0</v>
      </c>
    </row>
    <row r="1644" spans="1:92" ht="14.25" customHeight="1" x14ac:dyDescent="0.15">
      <c r="A1644" s="1" t="s">
        <v>12410</v>
      </c>
      <c r="B1644" s="1" t="s">
        <v>95</v>
      </c>
      <c r="C1644" s="1"/>
      <c r="D1644" s="1" t="s">
        <v>48</v>
      </c>
      <c r="E1644" s="1" t="s">
        <v>12411</v>
      </c>
      <c r="F1644" s="1" t="s">
        <v>98</v>
      </c>
      <c r="G1644" s="1" t="s">
        <v>141</v>
      </c>
      <c r="H1644" s="1">
        <v>0</v>
      </c>
      <c r="I1644" s="1" t="s">
        <v>142</v>
      </c>
      <c r="J1644" s="1" t="s">
        <v>12412</v>
      </c>
      <c r="K1644" s="1"/>
      <c r="L1644" s="1"/>
      <c r="M1644" s="1" t="s">
        <v>12413</v>
      </c>
      <c r="N1644" s="1">
        <v>1</v>
      </c>
      <c r="O1644" s="1">
        <v>0</v>
      </c>
      <c r="P1644" s="1" t="s">
        <v>826</v>
      </c>
      <c r="Q1644" s="1" t="s">
        <v>104</v>
      </c>
      <c r="R1644" s="1" t="s">
        <v>12414</v>
      </c>
      <c r="S1644" s="1" t="s">
        <v>12415</v>
      </c>
      <c r="T1644" s="1" t="s">
        <v>12382</v>
      </c>
      <c r="U1644" s="1" t="s">
        <v>12416</v>
      </c>
      <c r="V1644" s="1">
        <v>1</v>
      </c>
      <c r="W1644" s="1">
        <v>1</v>
      </c>
      <c r="X1644" s="1">
        <v>0</v>
      </c>
      <c r="Y1644" s="1">
        <v>0</v>
      </c>
      <c r="Z1644" s="1">
        <v>0</v>
      </c>
      <c r="AA1644" s="1" t="s">
        <v>109</v>
      </c>
      <c r="AB1644" s="1" t="s">
        <v>109</v>
      </c>
      <c r="AC1644" s="1">
        <v>5</v>
      </c>
      <c r="AD1644" s="1" t="s">
        <v>109</v>
      </c>
      <c r="AE1644" s="1" t="s">
        <v>109</v>
      </c>
      <c r="AF1644" s="1" t="s">
        <v>109</v>
      </c>
      <c r="AG1644" s="1" t="s">
        <v>109</v>
      </c>
      <c r="AH1644" s="1" t="s">
        <v>109</v>
      </c>
      <c r="AI1644" s="1">
        <v>5</v>
      </c>
      <c r="AJ1644" s="1">
        <v>5</v>
      </c>
      <c r="AK1644" s="1" t="s">
        <v>109</v>
      </c>
      <c r="AL1644" s="1">
        <v>5</v>
      </c>
      <c r="AM1644" s="1" t="s">
        <v>109</v>
      </c>
      <c r="AN1644" s="1" t="s">
        <v>109</v>
      </c>
      <c r="AO1644" s="1" t="s">
        <v>109</v>
      </c>
      <c r="AP1644" s="1"/>
      <c r="AQ1644" s="1">
        <v>5</v>
      </c>
      <c r="AR1644" s="1"/>
      <c r="AS1644" s="1"/>
      <c r="AT1644" s="1">
        <v>0</v>
      </c>
      <c r="AU1644" s="1">
        <v>0</v>
      </c>
      <c r="AV1644" s="1">
        <v>1</v>
      </c>
      <c r="AW1644" s="1">
        <v>0</v>
      </c>
      <c r="AX1644" s="1">
        <v>0</v>
      </c>
      <c r="AY1644" s="1">
        <v>0</v>
      </c>
      <c r="AZ1644" s="1">
        <v>0</v>
      </c>
      <c r="BA1644" s="1">
        <v>0</v>
      </c>
      <c r="BB1644" s="1">
        <v>0</v>
      </c>
      <c r="BC1644" s="1">
        <v>0</v>
      </c>
      <c r="BD1644" s="1">
        <v>0</v>
      </c>
      <c r="BE1644" s="1">
        <v>0</v>
      </c>
      <c r="BF1644" s="1">
        <v>0</v>
      </c>
      <c r="BG1644" s="1">
        <v>0</v>
      </c>
      <c r="BH1644" s="1">
        <v>0</v>
      </c>
      <c r="BI1644" s="1">
        <v>0</v>
      </c>
      <c r="BJ1644" s="1">
        <v>0</v>
      </c>
      <c r="BK1644" s="1">
        <v>0</v>
      </c>
      <c r="BL1644" s="1">
        <v>0</v>
      </c>
      <c r="BM1644" s="1">
        <v>0</v>
      </c>
      <c r="BN1644" s="1">
        <v>0</v>
      </c>
      <c r="BO1644" s="1">
        <v>0</v>
      </c>
      <c r="BP1644" s="1">
        <v>0</v>
      </c>
      <c r="BQ1644" s="1">
        <v>0</v>
      </c>
      <c r="BR1644" s="1">
        <v>0</v>
      </c>
      <c r="BS1644" s="1" t="s">
        <v>109</v>
      </c>
      <c r="BT1644" s="1">
        <v>1711</v>
      </c>
      <c r="BU1644" s="1" t="s">
        <v>109</v>
      </c>
      <c r="BV1644" s="1"/>
      <c r="BW1644" s="1"/>
      <c r="BX1644" s="1"/>
      <c r="BY1644" s="1"/>
      <c r="BZ1644" s="1">
        <v>0</v>
      </c>
      <c r="CA1644" s="1" t="s">
        <v>109</v>
      </c>
      <c r="CB1644" s="1" t="s">
        <v>109</v>
      </c>
      <c r="CC1644" s="1" t="s">
        <v>109</v>
      </c>
      <c r="CD1644" s="1" t="s">
        <v>109</v>
      </c>
      <c r="CE1644" s="1" t="s">
        <v>109</v>
      </c>
      <c r="CF1644" s="1" t="s">
        <v>109</v>
      </c>
      <c r="CG1644" s="1" t="s">
        <v>109</v>
      </c>
      <c r="CH1644" s="1" t="s">
        <v>109</v>
      </c>
      <c r="CI1644" s="1" t="s">
        <v>109</v>
      </c>
      <c r="CJ1644" s="1" t="s">
        <v>109</v>
      </c>
      <c r="CK1644" s="1"/>
      <c r="CL1644" s="1">
        <v>0</v>
      </c>
      <c r="CM1644" s="1">
        <v>0</v>
      </c>
      <c r="CN1644" s="1">
        <v>0</v>
      </c>
    </row>
    <row r="1645" spans="1:92" ht="14.25" customHeight="1" x14ac:dyDescent="0.15">
      <c r="A1645" s="1" t="s">
        <v>12417</v>
      </c>
      <c r="B1645" s="1" t="s">
        <v>95</v>
      </c>
      <c r="C1645" s="1" t="s">
        <v>3570</v>
      </c>
      <c r="D1645" s="1" t="s">
        <v>7716</v>
      </c>
      <c r="E1645" s="1" t="s">
        <v>12418</v>
      </c>
      <c r="F1645" s="1" t="s">
        <v>395</v>
      </c>
      <c r="G1645" s="1" t="s">
        <v>12419</v>
      </c>
      <c r="H1645" s="1">
        <v>0</v>
      </c>
      <c r="I1645" s="1" t="s">
        <v>161</v>
      </c>
      <c r="J1645" s="1"/>
      <c r="K1645" s="1"/>
      <c r="L1645" s="1" t="s">
        <v>12420</v>
      </c>
      <c r="M1645" s="1" t="s">
        <v>144</v>
      </c>
      <c r="N1645" s="1">
        <v>0</v>
      </c>
      <c r="O1645" s="1">
        <v>0</v>
      </c>
      <c r="P1645" s="1" t="s">
        <v>103</v>
      </c>
      <c r="Q1645" s="1" t="s">
        <v>104</v>
      </c>
      <c r="R1645" s="1" t="s">
        <v>12421</v>
      </c>
      <c r="S1645" s="1" t="s">
        <v>12422</v>
      </c>
      <c r="T1645" s="1" t="s">
        <v>12382</v>
      </c>
      <c r="U1645" s="1" t="s">
        <v>12423</v>
      </c>
      <c r="V1645" s="1">
        <v>1</v>
      </c>
      <c r="W1645" s="1">
        <v>1</v>
      </c>
      <c r="X1645" s="1">
        <v>1</v>
      </c>
      <c r="Y1645" s="1">
        <v>0</v>
      </c>
      <c r="Z1645" s="1">
        <v>0</v>
      </c>
      <c r="AA1645" s="1" t="s">
        <v>109</v>
      </c>
      <c r="AB1645" s="1" t="s">
        <v>109</v>
      </c>
      <c r="AC1645" s="1">
        <v>6</v>
      </c>
      <c r="AD1645" s="1" t="s">
        <v>109</v>
      </c>
      <c r="AE1645" s="1" t="s">
        <v>109</v>
      </c>
      <c r="AF1645" s="1" t="s">
        <v>109</v>
      </c>
      <c r="AG1645" s="1" t="s">
        <v>109</v>
      </c>
      <c r="AH1645" s="1" t="s">
        <v>109</v>
      </c>
      <c r="AI1645" s="1">
        <v>6</v>
      </c>
      <c r="AJ1645" s="1" t="s">
        <v>109</v>
      </c>
      <c r="AK1645" s="1" t="s">
        <v>109</v>
      </c>
      <c r="AL1645" s="1">
        <v>6</v>
      </c>
      <c r="AM1645" s="1" t="s">
        <v>109</v>
      </c>
      <c r="AN1645" s="1" t="s">
        <v>109</v>
      </c>
      <c r="AO1645" s="1" t="s">
        <v>109</v>
      </c>
      <c r="AP1645" s="1"/>
      <c r="AQ1645" s="1">
        <v>6</v>
      </c>
      <c r="AR1645" s="1"/>
      <c r="AS1645" s="1"/>
      <c r="AT1645" s="1">
        <v>0</v>
      </c>
      <c r="AU1645" s="1">
        <v>0</v>
      </c>
      <c r="AV1645" s="1">
        <v>1</v>
      </c>
      <c r="AW1645" s="1">
        <v>0</v>
      </c>
      <c r="AX1645" s="1">
        <v>0</v>
      </c>
      <c r="AY1645" s="1">
        <v>0</v>
      </c>
      <c r="AZ1645" s="1">
        <v>0</v>
      </c>
      <c r="BA1645" s="1">
        <v>0</v>
      </c>
      <c r="BB1645" s="1">
        <v>0</v>
      </c>
      <c r="BC1645" s="1">
        <v>0</v>
      </c>
      <c r="BD1645" s="1">
        <v>0</v>
      </c>
      <c r="BE1645" s="1">
        <v>1</v>
      </c>
      <c r="BF1645" s="1">
        <v>0</v>
      </c>
      <c r="BG1645" s="1">
        <v>0</v>
      </c>
      <c r="BH1645" s="1">
        <v>0</v>
      </c>
      <c r="BI1645" s="1">
        <v>0</v>
      </c>
      <c r="BJ1645" s="1">
        <v>0</v>
      </c>
      <c r="BK1645" s="1">
        <v>0</v>
      </c>
      <c r="BL1645" s="1">
        <v>0</v>
      </c>
      <c r="BM1645" s="1">
        <v>0</v>
      </c>
      <c r="BN1645" s="1">
        <v>0</v>
      </c>
      <c r="BO1645" s="1">
        <v>0</v>
      </c>
      <c r="BP1645" s="1">
        <v>0</v>
      </c>
      <c r="BQ1645" s="1">
        <v>0</v>
      </c>
      <c r="BR1645" s="1">
        <v>0</v>
      </c>
      <c r="BS1645" s="1" t="s">
        <v>109</v>
      </c>
      <c r="BT1645" s="1">
        <v>1712</v>
      </c>
      <c r="BU1645" s="1" t="s">
        <v>109</v>
      </c>
      <c r="BV1645" s="1"/>
      <c r="BW1645" s="1"/>
      <c r="BX1645" s="1"/>
      <c r="BY1645" s="1"/>
      <c r="BZ1645" s="1">
        <v>0</v>
      </c>
      <c r="CA1645" s="1" t="s">
        <v>109</v>
      </c>
      <c r="CB1645" s="1" t="s">
        <v>109</v>
      </c>
      <c r="CC1645" s="1" t="s">
        <v>109</v>
      </c>
      <c r="CD1645" s="1" t="s">
        <v>109</v>
      </c>
      <c r="CE1645" s="1" t="s">
        <v>109</v>
      </c>
      <c r="CF1645" s="1" t="s">
        <v>109</v>
      </c>
      <c r="CG1645" s="1" t="s">
        <v>109</v>
      </c>
      <c r="CH1645" s="1" t="s">
        <v>109</v>
      </c>
      <c r="CI1645" s="1" t="s">
        <v>109</v>
      </c>
      <c r="CJ1645" s="1" t="s">
        <v>109</v>
      </c>
      <c r="CK1645" s="1"/>
      <c r="CL1645" s="1">
        <v>0</v>
      </c>
      <c r="CM1645" s="1">
        <v>0</v>
      </c>
      <c r="CN1645" s="1">
        <v>0</v>
      </c>
    </row>
    <row r="1646" spans="1:92" ht="14.25" customHeight="1" x14ac:dyDescent="0.15">
      <c r="A1646" s="1" t="s">
        <v>12424</v>
      </c>
      <c r="B1646" s="1" t="s">
        <v>189</v>
      </c>
      <c r="C1646" s="1"/>
      <c r="D1646" s="1"/>
      <c r="E1646" s="1" t="s">
        <v>12425</v>
      </c>
      <c r="F1646" s="1" t="s">
        <v>98</v>
      </c>
      <c r="G1646" s="1" t="s">
        <v>141</v>
      </c>
      <c r="H1646" s="1">
        <v>0</v>
      </c>
      <c r="I1646" s="1" t="s">
        <v>235</v>
      </c>
      <c r="J1646" s="1"/>
      <c r="K1646" s="1"/>
      <c r="L1646" s="1" t="s">
        <v>236</v>
      </c>
      <c r="M1646" s="1" t="s">
        <v>574</v>
      </c>
      <c r="N1646" s="1">
        <v>1</v>
      </c>
      <c r="O1646" s="1">
        <v>0</v>
      </c>
      <c r="P1646" s="1"/>
      <c r="Q1646" s="1"/>
      <c r="R1646" s="1" t="s">
        <v>12426</v>
      </c>
      <c r="S1646" s="1" t="s">
        <v>12427</v>
      </c>
      <c r="T1646" s="1" t="s">
        <v>12428</v>
      </c>
      <c r="U1646" s="1" t="s">
        <v>12429</v>
      </c>
      <c r="V1646" s="1">
        <v>1</v>
      </c>
      <c r="W1646" s="1">
        <v>1</v>
      </c>
      <c r="X1646" s="1">
        <v>0</v>
      </c>
      <c r="Y1646" s="1">
        <v>0</v>
      </c>
      <c r="Z1646" s="1">
        <v>0</v>
      </c>
      <c r="AA1646" s="1">
        <v>6</v>
      </c>
      <c r="AB1646" s="1">
        <v>6</v>
      </c>
      <c r="AC1646" s="1" t="s">
        <v>109</v>
      </c>
      <c r="AD1646" s="1" t="s">
        <v>109</v>
      </c>
      <c r="AE1646" s="1" t="s">
        <v>109</v>
      </c>
      <c r="AF1646" s="1">
        <v>6</v>
      </c>
      <c r="AG1646" s="1" t="s">
        <v>109</v>
      </c>
      <c r="AH1646" s="1">
        <v>6</v>
      </c>
      <c r="AI1646" s="1" t="s">
        <v>109</v>
      </c>
      <c r="AJ1646" s="1" t="s">
        <v>109</v>
      </c>
      <c r="AK1646" s="1" t="s">
        <v>109</v>
      </c>
      <c r="AL1646" s="1" t="s">
        <v>109</v>
      </c>
      <c r="AM1646" s="1" t="s">
        <v>109</v>
      </c>
      <c r="AN1646" s="1">
        <v>6</v>
      </c>
      <c r="AO1646" s="1" t="s">
        <v>109</v>
      </c>
      <c r="AP1646" s="1"/>
      <c r="AQ1646" s="1">
        <v>6</v>
      </c>
      <c r="AR1646" s="1"/>
      <c r="AS1646" s="1"/>
      <c r="AT1646" s="1">
        <v>0</v>
      </c>
      <c r="AU1646" s="1">
        <v>0</v>
      </c>
      <c r="AV1646" s="1">
        <v>0</v>
      </c>
      <c r="AW1646" s="1">
        <v>0</v>
      </c>
      <c r="AX1646" s="1">
        <v>0</v>
      </c>
      <c r="AY1646" s="1">
        <v>0</v>
      </c>
      <c r="AZ1646" s="1">
        <v>0</v>
      </c>
      <c r="BA1646" s="1">
        <v>0</v>
      </c>
      <c r="BB1646" s="1">
        <v>0</v>
      </c>
      <c r="BC1646" s="1">
        <v>0</v>
      </c>
      <c r="BD1646" s="1">
        <v>0</v>
      </c>
      <c r="BE1646" s="1">
        <v>0</v>
      </c>
      <c r="BF1646" s="1">
        <v>0</v>
      </c>
      <c r="BG1646" s="1">
        <v>0</v>
      </c>
      <c r="BH1646" s="1">
        <v>0</v>
      </c>
      <c r="BI1646" s="1">
        <v>0</v>
      </c>
      <c r="BJ1646" s="1">
        <v>0</v>
      </c>
      <c r="BK1646" s="1">
        <v>0</v>
      </c>
      <c r="BL1646" s="1">
        <v>0</v>
      </c>
      <c r="BM1646" s="1">
        <v>0</v>
      </c>
      <c r="BN1646" s="1">
        <v>0</v>
      </c>
      <c r="BO1646" s="1">
        <v>0</v>
      </c>
      <c r="BP1646" s="1">
        <v>0</v>
      </c>
      <c r="BQ1646" s="1">
        <v>0</v>
      </c>
      <c r="BR1646" s="1">
        <v>0</v>
      </c>
      <c r="BS1646" s="1" t="s">
        <v>109</v>
      </c>
      <c r="BT1646" s="1">
        <v>1713</v>
      </c>
      <c r="BU1646" s="1" t="s">
        <v>109</v>
      </c>
      <c r="BV1646" s="1"/>
      <c r="BW1646" s="1"/>
      <c r="BX1646" s="1" t="s">
        <v>12430</v>
      </c>
      <c r="BY1646" s="1"/>
      <c r="BZ1646" s="1">
        <v>1</v>
      </c>
      <c r="CA1646" s="1" t="s">
        <v>109</v>
      </c>
      <c r="CB1646" s="1" t="s">
        <v>109</v>
      </c>
      <c r="CC1646" s="1" t="s">
        <v>109</v>
      </c>
      <c r="CD1646" s="1" t="s">
        <v>109</v>
      </c>
      <c r="CE1646" s="1" t="s">
        <v>109</v>
      </c>
      <c r="CF1646" s="1" t="s">
        <v>109</v>
      </c>
      <c r="CG1646" s="1" t="s">
        <v>109</v>
      </c>
      <c r="CH1646" s="1" t="s">
        <v>109</v>
      </c>
      <c r="CI1646" s="1" t="s">
        <v>109</v>
      </c>
      <c r="CJ1646" s="1" t="s">
        <v>109</v>
      </c>
      <c r="CK1646" s="1"/>
      <c r="CL1646" s="1">
        <v>0</v>
      </c>
      <c r="CM1646" s="1">
        <v>0</v>
      </c>
      <c r="CN1646" s="1">
        <v>0</v>
      </c>
    </row>
    <row r="1647" spans="1:92" ht="14.25" customHeight="1" x14ac:dyDescent="0.15">
      <c r="A1647" s="1" t="s">
        <v>12431</v>
      </c>
      <c r="B1647" s="1" t="s">
        <v>95</v>
      </c>
      <c r="C1647" s="1" t="s">
        <v>1179</v>
      </c>
      <c r="D1647" s="1" t="s">
        <v>211</v>
      </c>
      <c r="E1647" s="1" t="s">
        <v>7076</v>
      </c>
      <c r="F1647" s="1" t="s">
        <v>355</v>
      </c>
      <c r="G1647" s="1" t="s">
        <v>141</v>
      </c>
      <c r="H1647" s="1">
        <v>0</v>
      </c>
      <c r="I1647" s="1" t="s">
        <v>12432</v>
      </c>
      <c r="J1647" s="1"/>
      <c r="K1647" s="1" t="s">
        <v>12433</v>
      </c>
      <c r="L1647" s="1"/>
      <c r="M1647" s="1" t="s">
        <v>12434</v>
      </c>
      <c r="N1647" s="1">
        <v>1</v>
      </c>
      <c r="O1647" s="1">
        <v>0</v>
      </c>
      <c r="P1647" s="1" t="s">
        <v>103</v>
      </c>
      <c r="Q1647" s="1" t="s">
        <v>104</v>
      </c>
      <c r="R1647" s="1" t="s">
        <v>12435</v>
      </c>
      <c r="S1647" s="1" t="s">
        <v>12436</v>
      </c>
      <c r="T1647" s="1" t="s">
        <v>12428</v>
      </c>
      <c r="U1647" s="1" t="s">
        <v>12437</v>
      </c>
      <c r="V1647" s="1">
        <v>1</v>
      </c>
      <c r="W1647" s="1">
        <v>1</v>
      </c>
      <c r="X1647" s="1">
        <v>0</v>
      </c>
      <c r="Y1647" s="1">
        <v>0</v>
      </c>
      <c r="Z1647" s="1">
        <v>0</v>
      </c>
      <c r="AA1647" s="1">
        <v>7</v>
      </c>
      <c r="AB1647" s="1">
        <v>7</v>
      </c>
      <c r="AC1647" s="1" t="s">
        <v>109</v>
      </c>
      <c r="AD1647" s="1">
        <v>7</v>
      </c>
      <c r="AE1647" s="1" t="s">
        <v>109</v>
      </c>
      <c r="AF1647" s="1" t="s">
        <v>109</v>
      </c>
      <c r="AG1647" s="1" t="s">
        <v>109</v>
      </c>
      <c r="AH1647" s="1" t="s">
        <v>109</v>
      </c>
      <c r="AI1647" s="1" t="s">
        <v>109</v>
      </c>
      <c r="AJ1647" s="1" t="s">
        <v>109</v>
      </c>
      <c r="AK1647" s="1" t="s">
        <v>109</v>
      </c>
      <c r="AL1647" s="1" t="s">
        <v>109</v>
      </c>
      <c r="AM1647" s="1" t="s">
        <v>109</v>
      </c>
      <c r="AN1647" s="1" t="s">
        <v>109</v>
      </c>
      <c r="AO1647" s="1" t="s">
        <v>109</v>
      </c>
      <c r="AP1647" s="1"/>
      <c r="AQ1647" s="1">
        <v>7</v>
      </c>
      <c r="AR1647" s="1"/>
      <c r="AS1647" s="1"/>
      <c r="AT1647" s="1">
        <v>0</v>
      </c>
      <c r="AU1647" s="1">
        <v>0</v>
      </c>
      <c r="AV1647" s="1">
        <v>0</v>
      </c>
      <c r="AW1647" s="1">
        <v>0</v>
      </c>
      <c r="AX1647" s="1">
        <v>0</v>
      </c>
      <c r="AY1647" s="1">
        <v>0</v>
      </c>
      <c r="AZ1647" s="1">
        <v>0</v>
      </c>
      <c r="BA1647" s="1">
        <v>0</v>
      </c>
      <c r="BB1647" s="1">
        <v>0</v>
      </c>
      <c r="BC1647" s="1">
        <v>0</v>
      </c>
      <c r="BD1647" s="1">
        <v>0</v>
      </c>
      <c r="BE1647" s="1">
        <v>0</v>
      </c>
      <c r="BF1647" s="1">
        <v>0</v>
      </c>
      <c r="BG1647" s="1">
        <v>0</v>
      </c>
      <c r="BH1647" s="1">
        <v>0</v>
      </c>
      <c r="BI1647" s="1">
        <v>0</v>
      </c>
      <c r="BJ1647" s="1">
        <v>0</v>
      </c>
      <c r="BK1647" s="1">
        <v>0</v>
      </c>
      <c r="BL1647" s="1">
        <v>0</v>
      </c>
      <c r="BM1647" s="1">
        <v>0</v>
      </c>
      <c r="BN1647" s="1">
        <v>0</v>
      </c>
      <c r="BO1647" s="1">
        <v>0</v>
      </c>
      <c r="BP1647" s="1">
        <v>0</v>
      </c>
      <c r="BQ1647" s="1">
        <v>0</v>
      </c>
      <c r="BR1647" s="1">
        <v>0</v>
      </c>
      <c r="BS1647" s="1" t="s">
        <v>109</v>
      </c>
      <c r="BT1647" s="1">
        <v>1714</v>
      </c>
      <c r="BU1647" s="1" t="s">
        <v>109</v>
      </c>
      <c r="BV1647" s="1"/>
      <c r="BW1647" s="1"/>
      <c r="BX1647" s="1" t="s">
        <v>12438</v>
      </c>
      <c r="BY1647" s="1" t="s">
        <v>12439</v>
      </c>
      <c r="BZ1647" s="1">
        <v>1</v>
      </c>
      <c r="CA1647" s="1" t="s">
        <v>109</v>
      </c>
      <c r="CB1647" s="1" t="s">
        <v>109</v>
      </c>
      <c r="CC1647" s="1" t="s">
        <v>109</v>
      </c>
      <c r="CD1647" s="1" t="s">
        <v>109</v>
      </c>
      <c r="CE1647" s="1" t="s">
        <v>109</v>
      </c>
      <c r="CF1647" s="1" t="s">
        <v>109</v>
      </c>
      <c r="CG1647" s="1" t="s">
        <v>109</v>
      </c>
      <c r="CH1647" s="1" t="s">
        <v>109</v>
      </c>
      <c r="CI1647" s="1" t="s">
        <v>109</v>
      </c>
      <c r="CJ1647" s="1" t="s">
        <v>109</v>
      </c>
      <c r="CK1647" s="1"/>
      <c r="CL1647" s="1">
        <v>0</v>
      </c>
      <c r="CM1647" s="1">
        <v>0</v>
      </c>
      <c r="CN1647" s="1">
        <v>0</v>
      </c>
    </row>
    <row r="1648" spans="1:92" ht="14.25" customHeight="1" x14ac:dyDescent="0.15">
      <c r="A1648" s="1" t="s">
        <v>12440</v>
      </c>
      <c r="B1648" s="1" t="s">
        <v>189</v>
      </c>
      <c r="C1648" s="1"/>
      <c r="D1648" s="1"/>
      <c r="E1648" s="1" t="s">
        <v>5543</v>
      </c>
      <c r="F1648" s="1" t="s">
        <v>98</v>
      </c>
      <c r="G1648" s="1" t="s">
        <v>12441</v>
      </c>
      <c r="H1648" s="1">
        <v>0</v>
      </c>
      <c r="I1648" s="1" t="s">
        <v>161</v>
      </c>
      <c r="J1648" s="1"/>
      <c r="K1648" s="1"/>
      <c r="L1648" s="1" t="s">
        <v>1285</v>
      </c>
      <c r="M1648" s="1" t="s">
        <v>815</v>
      </c>
      <c r="N1648" s="1">
        <v>1</v>
      </c>
      <c r="O1648" s="1">
        <v>0</v>
      </c>
      <c r="P1648" s="1" t="s">
        <v>215</v>
      </c>
      <c r="Q1648" s="1" t="s">
        <v>216</v>
      </c>
      <c r="R1648" s="1" t="s">
        <v>12442</v>
      </c>
      <c r="S1648" s="1" t="s">
        <v>12443</v>
      </c>
      <c r="T1648" s="1" t="s">
        <v>12428</v>
      </c>
      <c r="U1648" s="1" t="s">
        <v>12444</v>
      </c>
      <c r="V1648" s="1">
        <v>1</v>
      </c>
      <c r="W1648" s="1">
        <v>0</v>
      </c>
      <c r="X1648" s="1">
        <v>1</v>
      </c>
      <c r="Y1648" s="1">
        <v>0</v>
      </c>
      <c r="Z1648" s="1">
        <v>0</v>
      </c>
      <c r="AA1648" s="1">
        <v>4</v>
      </c>
      <c r="AB1648" s="1">
        <v>4</v>
      </c>
      <c r="AC1648" s="1" t="s">
        <v>109</v>
      </c>
      <c r="AD1648" s="1" t="s">
        <v>109</v>
      </c>
      <c r="AE1648" s="1" t="s">
        <v>109</v>
      </c>
      <c r="AF1648" s="1" t="s">
        <v>109</v>
      </c>
      <c r="AG1648" s="1" t="s">
        <v>109</v>
      </c>
      <c r="AH1648" s="1" t="s">
        <v>109</v>
      </c>
      <c r="AI1648" s="1" t="s">
        <v>109</v>
      </c>
      <c r="AJ1648" s="1" t="s">
        <v>109</v>
      </c>
      <c r="AK1648" s="1" t="s">
        <v>109</v>
      </c>
      <c r="AL1648" s="1" t="s">
        <v>109</v>
      </c>
      <c r="AM1648" s="1" t="s">
        <v>109</v>
      </c>
      <c r="AN1648" s="1" t="s">
        <v>109</v>
      </c>
      <c r="AO1648" s="1" t="s">
        <v>109</v>
      </c>
      <c r="AP1648" s="1"/>
      <c r="AQ1648" s="1">
        <v>4</v>
      </c>
      <c r="AR1648" s="1"/>
      <c r="AS1648" s="1"/>
      <c r="AT1648" s="1">
        <v>0</v>
      </c>
      <c r="AU1648" s="1">
        <v>0</v>
      </c>
      <c r="AV1648" s="1">
        <v>0</v>
      </c>
      <c r="AW1648" s="1">
        <v>0</v>
      </c>
      <c r="AX1648" s="1">
        <v>0</v>
      </c>
      <c r="AY1648" s="1">
        <v>0</v>
      </c>
      <c r="AZ1648" s="1">
        <v>0</v>
      </c>
      <c r="BA1648" s="1">
        <v>0</v>
      </c>
      <c r="BB1648" s="1">
        <v>0</v>
      </c>
      <c r="BC1648" s="1">
        <v>0</v>
      </c>
      <c r="BD1648" s="1">
        <v>0</v>
      </c>
      <c r="BE1648" s="1">
        <v>0</v>
      </c>
      <c r="BF1648" s="1">
        <v>0</v>
      </c>
      <c r="BG1648" s="1">
        <v>0</v>
      </c>
      <c r="BH1648" s="1">
        <v>0</v>
      </c>
      <c r="BI1648" s="1">
        <v>0</v>
      </c>
      <c r="BJ1648" s="1">
        <v>0</v>
      </c>
      <c r="BK1648" s="1">
        <v>0</v>
      </c>
      <c r="BL1648" s="1">
        <v>0</v>
      </c>
      <c r="BM1648" s="1">
        <v>0</v>
      </c>
      <c r="BN1648" s="1">
        <v>0</v>
      </c>
      <c r="BO1648" s="1">
        <v>0</v>
      </c>
      <c r="BP1648" s="1">
        <v>0</v>
      </c>
      <c r="BQ1648" s="1">
        <v>0</v>
      </c>
      <c r="BR1648" s="1">
        <v>0</v>
      </c>
      <c r="BS1648" s="1" t="s">
        <v>109</v>
      </c>
      <c r="BT1648" s="1">
        <v>1715</v>
      </c>
      <c r="BU1648" s="1" t="s">
        <v>109</v>
      </c>
      <c r="BV1648" s="1"/>
      <c r="BW1648" s="1"/>
      <c r="BX1648" s="1" t="s">
        <v>12445</v>
      </c>
      <c r="BY1648" s="1"/>
      <c r="BZ1648" s="1">
        <v>1</v>
      </c>
      <c r="CA1648" s="1" t="s">
        <v>109</v>
      </c>
      <c r="CB1648" s="1" t="s">
        <v>109</v>
      </c>
      <c r="CC1648" s="1" t="s">
        <v>109</v>
      </c>
      <c r="CD1648" s="1" t="s">
        <v>109</v>
      </c>
      <c r="CE1648" s="1" t="s">
        <v>109</v>
      </c>
      <c r="CF1648" s="1" t="s">
        <v>109</v>
      </c>
      <c r="CG1648" s="1" t="s">
        <v>109</v>
      </c>
      <c r="CH1648" s="1" t="s">
        <v>109</v>
      </c>
      <c r="CI1648" s="1" t="s">
        <v>109</v>
      </c>
      <c r="CJ1648" s="1" t="s">
        <v>109</v>
      </c>
      <c r="CK1648" s="1"/>
      <c r="CL1648" s="1">
        <v>0</v>
      </c>
      <c r="CM1648" s="1">
        <v>0</v>
      </c>
      <c r="CN1648" s="1">
        <v>0</v>
      </c>
    </row>
    <row r="1649" spans="1:92" ht="14.25" customHeight="1" x14ac:dyDescent="0.15">
      <c r="A1649" s="1" t="s">
        <v>12446</v>
      </c>
      <c r="B1649" s="1" t="s">
        <v>308</v>
      </c>
      <c r="C1649" s="1"/>
      <c r="D1649" s="1" t="s">
        <v>52</v>
      </c>
      <c r="E1649" s="1" t="s">
        <v>12447</v>
      </c>
      <c r="F1649" s="1" t="s">
        <v>98</v>
      </c>
      <c r="G1649" s="1" t="s">
        <v>141</v>
      </c>
      <c r="H1649" s="1">
        <v>0</v>
      </c>
      <c r="I1649" s="1" t="s">
        <v>142</v>
      </c>
      <c r="J1649" s="1"/>
      <c r="K1649" s="1"/>
      <c r="L1649" s="1" t="s">
        <v>12448</v>
      </c>
      <c r="M1649" s="1" t="s">
        <v>144</v>
      </c>
      <c r="N1649" s="1">
        <v>0</v>
      </c>
      <c r="O1649" s="1">
        <v>0</v>
      </c>
      <c r="P1649" s="1" t="s">
        <v>2672</v>
      </c>
      <c r="Q1649" s="1" t="s">
        <v>268</v>
      </c>
      <c r="R1649" s="1" t="s">
        <v>12449</v>
      </c>
      <c r="S1649" s="1" t="s">
        <v>12450</v>
      </c>
      <c r="T1649" s="1" t="s">
        <v>12428</v>
      </c>
      <c r="U1649" s="1" t="s">
        <v>12451</v>
      </c>
      <c r="V1649" s="1">
        <v>1</v>
      </c>
      <c r="W1649" s="1">
        <v>1</v>
      </c>
      <c r="X1649" s="1">
        <v>0</v>
      </c>
      <c r="Y1649" s="1">
        <v>0</v>
      </c>
      <c r="Z1649" s="1">
        <v>0</v>
      </c>
      <c r="AA1649" s="1">
        <v>8</v>
      </c>
      <c r="AB1649" s="1">
        <v>8</v>
      </c>
      <c r="AC1649" s="1">
        <v>8</v>
      </c>
      <c r="AD1649" s="1" t="s">
        <v>109</v>
      </c>
      <c r="AE1649" s="1" t="s">
        <v>109</v>
      </c>
      <c r="AF1649" s="1" t="s">
        <v>109</v>
      </c>
      <c r="AG1649" s="1" t="s">
        <v>109</v>
      </c>
      <c r="AH1649" s="1" t="s">
        <v>109</v>
      </c>
      <c r="AI1649" s="1" t="s">
        <v>109</v>
      </c>
      <c r="AJ1649" s="1">
        <v>8</v>
      </c>
      <c r="AK1649" s="1" t="s">
        <v>109</v>
      </c>
      <c r="AL1649" s="1">
        <v>8</v>
      </c>
      <c r="AM1649" s="1" t="s">
        <v>109</v>
      </c>
      <c r="AN1649" s="1" t="s">
        <v>109</v>
      </c>
      <c r="AO1649" s="1" t="s">
        <v>109</v>
      </c>
      <c r="AP1649" s="1"/>
      <c r="AQ1649" s="1">
        <v>8</v>
      </c>
      <c r="AR1649" s="1"/>
      <c r="AS1649" s="1"/>
      <c r="AT1649" s="1">
        <v>0</v>
      </c>
      <c r="AU1649" s="1">
        <v>0</v>
      </c>
      <c r="AV1649" s="1">
        <v>0</v>
      </c>
      <c r="AW1649" s="1">
        <v>0</v>
      </c>
      <c r="AX1649" s="1">
        <v>0</v>
      </c>
      <c r="AY1649" s="1">
        <v>0</v>
      </c>
      <c r="AZ1649" s="1">
        <v>1</v>
      </c>
      <c r="BA1649" s="1">
        <v>0</v>
      </c>
      <c r="BB1649" s="1">
        <v>0</v>
      </c>
      <c r="BC1649" s="1">
        <v>0</v>
      </c>
      <c r="BD1649" s="1">
        <v>0</v>
      </c>
      <c r="BE1649" s="1">
        <v>0</v>
      </c>
      <c r="BF1649" s="1">
        <v>0</v>
      </c>
      <c r="BG1649" s="1">
        <v>0</v>
      </c>
      <c r="BH1649" s="1">
        <v>0</v>
      </c>
      <c r="BI1649" s="1">
        <v>0</v>
      </c>
      <c r="BJ1649" s="1">
        <v>0</v>
      </c>
      <c r="BK1649" s="1">
        <v>0</v>
      </c>
      <c r="BL1649" s="1">
        <v>0</v>
      </c>
      <c r="BM1649" s="1">
        <v>0</v>
      </c>
      <c r="BN1649" s="1">
        <v>0</v>
      </c>
      <c r="BO1649" s="1">
        <v>0</v>
      </c>
      <c r="BP1649" s="1">
        <v>0</v>
      </c>
      <c r="BQ1649" s="1">
        <v>0</v>
      </c>
      <c r="BR1649" s="1">
        <v>0</v>
      </c>
      <c r="BS1649" s="1" t="s">
        <v>109</v>
      </c>
      <c r="BT1649" s="1">
        <v>1716</v>
      </c>
      <c r="BU1649" s="1" t="s">
        <v>109</v>
      </c>
      <c r="BV1649" s="1"/>
      <c r="BW1649" s="1"/>
      <c r="BX1649" s="1" t="s">
        <v>12452</v>
      </c>
      <c r="BY1649" s="1" t="s">
        <v>12453</v>
      </c>
      <c r="BZ1649" s="1">
        <v>1</v>
      </c>
      <c r="CA1649" s="1" t="s">
        <v>109</v>
      </c>
      <c r="CB1649" s="1" t="s">
        <v>109</v>
      </c>
      <c r="CC1649" s="1" t="s">
        <v>109</v>
      </c>
      <c r="CD1649" s="1" t="s">
        <v>109</v>
      </c>
      <c r="CE1649" s="1" t="s">
        <v>109</v>
      </c>
      <c r="CF1649" s="1" t="s">
        <v>109</v>
      </c>
      <c r="CG1649" s="1" t="s">
        <v>109</v>
      </c>
      <c r="CH1649" s="1" t="s">
        <v>109</v>
      </c>
      <c r="CI1649" s="1" t="s">
        <v>109</v>
      </c>
      <c r="CJ1649" s="1" t="s">
        <v>109</v>
      </c>
      <c r="CK1649" s="1"/>
      <c r="CL1649" s="1">
        <v>0</v>
      </c>
      <c r="CM1649" s="1">
        <v>0</v>
      </c>
      <c r="CN1649" s="1">
        <v>0</v>
      </c>
    </row>
    <row r="1650" spans="1:92" ht="14.25" customHeight="1" x14ac:dyDescent="0.15">
      <c r="A1650" s="1" t="s">
        <v>12454</v>
      </c>
      <c r="B1650" s="1" t="s">
        <v>95</v>
      </c>
      <c r="C1650" s="1" t="s">
        <v>694</v>
      </c>
      <c r="D1650" s="1"/>
      <c r="E1650" s="1" t="s">
        <v>9781</v>
      </c>
      <c r="F1650" s="1" t="s">
        <v>98</v>
      </c>
      <c r="G1650" s="1" t="s">
        <v>141</v>
      </c>
      <c r="H1650" s="1">
        <v>0</v>
      </c>
      <c r="I1650" s="1" t="s">
        <v>142</v>
      </c>
      <c r="J1650" s="1"/>
      <c r="K1650" s="1"/>
      <c r="L1650" s="1" t="s">
        <v>716</v>
      </c>
      <c r="M1650" s="1" t="s">
        <v>125</v>
      </c>
      <c r="N1650" s="1">
        <v>0</v>
      </c>
      <c r="O1650" s="1">
        <v>0</v>
      </c>
      <c r="P1650" s="1" t="s">
        <v>507</v>
      </c>
      <c r="Q1650" s="1" t="s">
        <v>268</v>
      </c>
      <c r="R1650" s="1" t="s">
        <v>12455</v>
      </c>
      <c r="S1650" s="1" t="s">
        <v>12456</v>
      </c>
      <c r="T1650" s="1" t="s">
        <v>12428</v>
      </c>
      <c r="U1650" s="1" t="s">
        <v>12457</v>
      </c>
      <c r="V1650" s="1">
        <v>1</v>
      </c>
      <c r="W1650" s="1">
        <v>1</v>
      </c>
      <c r="X1650" s="1">
        <v>0</v>
      </c>
      <c r="Y1650" s="1">
        <v>0</v>
      </c>
      <c r="Z1650" s="1">
        <v>0</v>
      </c>
      <c r="AA1650" s="1" t="s">
        <v>109</v>
      </c>
      <c r="AB1650" s="1" t="s">
        <v>109</v>
      </c>
      <c r="AC1650" s="1">
        <v>6</v>
      </c>
      <c r="AD1650" s="1" t="s">
        <v>109</v>
      </c>
      <c r="AE1650" s="1" t="s">
        <v>109</v>
      </c>
      <c r="AF1650" s="1">
        <v>5</v>
      </c>
      <c r="AG1650" s="1" t="s">
        <v>109</v>
      </c>
      <c r="AH1650" s="1" t="s">
        <v>109</v>
      </c>
      <c r="AI1650" s="1" t="s">
        <v>109</v>
      </c>
      <c r="AJ1650" s="1" t="s">
        <v>109</v>
      </c>
      <c r="AK1650" s="1" t="s">
        <v>109</v>
      </c>
      <c r="AL1650" s="1">
        <v>6</v>
      </c>
      <c r="AM1650" s="1" t="s">
        <v>109</v>
      </c>
      <c r="AN1650" s="1" t="s">
        <v>109</v>
      </c>
      <c r="AO1650" s="1" t="s">
        <v>109</v>
      </c>
      <c r="AP1650" s="1"/>
      <c r="AQ1650" s="1">
        <v>6</v>
      </c>
      <c r="AR1650" s="1"/>
      <c r="AS1650" s="1"/>
      <c r="AT1650" s="1">
        <v>0</v>
      </c>
      <c r="AU1650" s="1">
        <v>0</v>
      </c>
      <c r="AV1650" s="1">
        <v>0</v>
      </c>
      <c r="AW1650" s="1">
        <v>0</v>
      </c>
      <c r="AX1650" s="1">
        <v>0</v>
      </c>
      <c r="AY1650" s="1">
        <v>0</v>
      </c>
      <c r="AZ1650" s="1">
        <v>0</v>
      </c>
      <c r="BA1650" s="1">
        <v>0</v>
      </c>
      <c r="BB1650" s="1">
        <v>0</v>
      </c>
      <c r="BC1650" s="1">
        <v>0</v>
      </c>
      <c r="BD1650" s="1">
        <v>0</v>
      </c>
      <c r="BE1650" s="1">
        <v>0</v>
      </c>
      <c r="BF1650" s="1">
        <v>0</v>
      </c>
      <c r="BG1650" s="1">
        <v>0</v>
      </c>
      <c r="BH1650" s="1">
        <v>0</v>
      </c>
      <c r="BI1650" s="1">
        <v>0</v>
      </c>
      <c r="BJ1650" s="1">
        <v>0</v>
      </c>
      <c r="BK1650" s="1">
        <v>0</v>
      </c>
      <c r="BL1650" s="1">
        <v>0</v>
      </c>
      <c r="BM1650" s="1">
        <v>0</v>
      </c>
      <c r="BN1650" s="1">
        <v>0</v>
      </c>
      <c r="BO1650" s="1">
        <v>0</v>
      </c>
      <c r="BP1650" s="1">
        <v>0</v>
      </c>
      <c r="BQ1650" s="1">
        <v>0</v>
      </c>
      <c r="BR1650" s="1">
        <v>0</v>
      </c>
      <c r="BS1650" s="1" t="s">
        <v>109</v>
      </c>
      <c r="BT1650" s="1">
        <v>1717</v>
      </c>
      <c r="BU1650" s="1" t="s">
        <v>109</v>
      </c>
      <c r="BV1650" s="1"/>
      <c r="BW1650" s="1"/>
      <c r="BX1650" s="1"/>
      <c r="BY1650" s="1"/>
      <c r="BZ1650" s="1">
        <v>1</v>
      </c>
      <c r="CA1650" s="1" t="s">
        <v>109</v>
      </c>
      <c r="CB1650" s="1" t="s">
        <v>109</v>
      </c>
      <c r="CC1650" s="1" t="s">
        <v>109</v>
      </c>
      <c r="CD1650" s="1" t="s">
        <v>109</v>
      </c>
      <c r="CE1650" s="1" t="s">
        <v>109</v>
      </c>
      <c r="CF1650" s="1" t="s">
        <v>109</v>
      </c>
      <c r="CG1650" s="1" t="s">
        <v>109</v>
      </c>
      <c r="CH1650" s="1" t="s">
        <v>109</v>
      </c>
      <c r="CI1650" s="1" t="s">
        <v>109</v>
      </c>
      <c r="CJ1650" s="1" t="s">
        <v>109</v>
      </c>
      <c r="CK1650" s="1"/>
      <c r="CL1650" s="1">
        <v>0</v>
      </c>
      <c r="CM1650" s="1">
        <v>0</v>
      </c>
      <c r="CN1650" s="1">
        <v>0</v>
      </c>
    </row>
    <row r="1651" spans="1:92" ht="14.25" customHeight="1" x14ac:dyDescent="0.15">
      <c r="A1651" s="1" t="s">
        <v>12458</v>
      </c>
      <c r="B1651" s="1" t="s">
        <v>308</v>
      </c>
      <c r="C1651" s="1"/>
      <c r="D1651" s="1" t="s">
        <v>50</v>
      </c>
      <c r="E1651" s="1" t="s">
        <v>12459</v>
      </c>
      <c r="F1651" s="1" t="s">
        <v>355</v>
      </c>
      <c r="G1651" s="1" t="s">
        <v>141</v>
      </c>
      <c r="H1651" s="1">
        <v>0</v>
      </c>
      <c r="I1651" s="1" t="s">
        <v>142</v>
      </c>
      <c r="J1651" s="1"/>
      <c r="K1651" s="1"/>
      <c r="L1651" s="1" t="s">
        <v>1391</v>
      </c>
      <c r="M1651" s="1" t="s">
        <v>280</v>
      </c>
      <c r="N1651" s="1">
        <v>0</v>
      </c>
      <c r="O1651" s="1">
        <v>0</v>
      </c>
      <c r="P1651" s="1" t="s">
        <v>301</v>
      </c>
      <c r="Q1651" s="1" t="s">
        <v>268</v>
      </c>
      <c r="R1651" s="1" t="s">
        <v>12460</v>
      </c>
      <c r="S1651" s="1" t="s">
        <v>12461</v>
      </c>
      <c r="T1651" s="1" t="s">
        <v>12462</v>
      </c>
      <c r="U1651" s="1" t="s">
        <v>12463</v>
      </c>
      <c r="V1651" s="1">
        <v>1</v>
      </c>
      <c r="W1651" s="1">
        <v>1</v>
      </c>
      <c r="X1651" s="1">
        <v>0</v>
      </c>
      <c r="Y1651" s="1">
        <v>0</v>
      </c>
      <c r="Z1651" s="1">
        <v>0</v>
      </c>
      <c r="AA1651" s="1">
        <v>3</v>
      </c>
      <c r="AB1651" s="1">
        <v>3</v>
      </c>
      <c r="AC1651" s="1" t="s">
        <v>109</v>
      </c>
      <c r="AD1651" s="1" t="s">
        <v>109</v>
      </c>
      <c r="AE1651" s="1" t="s">
        <v>109</v>
      </c>
      <c r="AF1651" s="1" t="s">
        <v>109</v>
      </c>
      <c r="AG1651" s="1" t="s">
        <v>109</v>
      </c>
      <c r="AH1651" s="1" t="s">
        <v>109</v>
      </c>
      <c r="AI1651" s="1" t="s">
        <v>109</v>
      </c>
      <c r="AJ1651" s="1">
        <v>3</v>
      </c>
      <c r="AK1651" s="1" t="s">
        <v>109</v>
      </c>
      <c r="AL1651" s="1" t="s">
        <v>109</v>
      </c>
      <c r="AM1651" s="1">
        <v>3</v>
      </c>
      <c r="AN1651" s="1" t="s">
        <v>109</v>
      </c>
      <c r="AO1651" s="1" t="s">
        <v>109</v>
      </c>
      <c r="AP1651" s="1"/>
      <c r="AQ1651" s="1">
        <v>3</v>
      </c>
      <c r="AR1651" s="1"/>
      <c r="AS1651" s="1"/>
      <c r="AT1651" s="1">
        <v>0</v>
      </c>
      <c r="AU1651" s="1">
        <v>0</v>
      </c>
      <c r="AV1651" s="1">
        <v>0</v>
      </c>
      <c r="AW1651" s="1">
        <v>0</v>
      </c>
      <c r="AX1651" s="1">
        <v>1</v>
      </c>
      <c r="AY1651" s="1">
        <v>0</v>
      </c>
      <c r="AZ1651" s="1">
        <v>0</v>
      </c>
      <c r="BA1651" s="1">
        <v>0</v>
      </c>
      <c r="BB1651" s="1">
        <v>0</v>
      </c>
      <c r="BC1651" s="1">
        <v>0</v>
      </c>
      <c r="BD1651" s="1">
        <v>0</v>
      </c>
      <c r="BE1651" s="1">
        <v>0</v>
      </c>
      <c r="BF1651" s="1">
        <v>0</v>
      </c>
      <c r="BG1651" s="1">
        <v>0</v>
      </c>
      <c r="BH1651" s="1">
        <v>0</v>
      </c>
      <c r="BI1651" s="1">
        <v>0</v>
      </c>
      <c r="BJ1651" s="1">
        <v>0</v>
      </c>
      <c r="BK1651" s="1">
        <v>0</v>
      </c>
      <c r="BL1651" s="1">
        <v>0</v>
      </c>
      <c r="BM1651" s="1">
        <v>0</v>
      </c>
      <c r="BN1651" s="1">
        <v>0</v>
      </c>
      <c r="BO1651" s="1">
        <v>0</v>
      </c>
      <c r="BP1651" s="1">
        <v>0</v>
      </c>
      <c r="BQ1651" s="1">
        <v>0</v>
      </c>
      <c r="BR1651" s="1">
        <v>0</v>
      </c>
      <c r="BS1651" s="1" t="s">
        <v>109</v>
      </c>
      <c r="BT1651" s="1">
        <v>1718</v>
      </c>
      <c r="BU1651" s="1" t="s">
        <v>109</v>
      </c>
      <c r="BV1651" s="1"/>
      <c r="BW1651" s="1"/>
      <c r="BX1651" s="1"/>
      <c r="BY1651" s="1"/>
      <c r="BZ1651" s="1">
        <v>0</v>
      </c>
      <c r="CA1651" s="1" t="s">
        <v>109</v>
      </c>
      <c r="CB1651" s="1" t="s">
        <v>109</v>
      </c>
      <c r="CC1651" s="1" t="s">
        <v>109</v>
      </c>
      <c r="CD1651" s="1" t="s">
        <v>109</v>
      </c>
      <c r="CE1651" s="1" t="s">
        <v>109</v>
      </c>
      <c r="CF1651" s="1" t="s">
        <v>109</v>
      </c>
      <c r="CG1651" s="1" t="s">
        <v>109</v>
      </c>
      <c r="CH1651" s="1" t="s">
        <v>109</v>
      </c>
      <c r="CI1651" s="1" t="s">
        <v>109</v>
      </c>
      <c r="CJ1651" s="1" t="s">
        <v>109</v>
      </c>
      <c r="CK1651" s="1"/>
      <c r="CL1651" s="1">
        <v>0</v>
      </c>
      <c r="CM1651" s="1">
        <v>0</v>
      </c>
      <c r="CN1651" s="1">
        <v>0</v>
      </c>
    </row>
    <row r="1652" spans="1:92" ht="14.25" customHeight="1" x14ac:dyDescent="0.15">
      <c r="A1652" s="1" t="s">
        <v>12464</v>
      </c>
      <c r="B1652" s="1" t="s">
        <v>308</v>
      </c>
      <c r="C1652" s="1"/>
      <c r="D1652" s="1"/>
      <c r="E1652" s="1" t="s">
        <v>7415</v>
      </c>
      <c r="F1652" s="1" t="s">
        <v>98</v>
      </c>
      <c r="G1652" s="1" t="s">
        <v>141</v>
      </c>
      <c r="H1652" s="1">
        <v>0</v>
      </c>
      <c r="I1652" s="1" t="s">
        <v>161</v>
      </c>
      <c r="J1652" s="1"/>
      <c r="K1652" s="1"/>
      <c r="L1652" s="1" t="s">
        <v>12465</v>
      </c>
      <c r="M1652" s="1" t="s">
        <v>3144</v>
      </c>
      <c r="N1652" s="1">
        <v>0</v>
      </c>
      <c r="O1652" s="1">
        <v>0</v>
      </c>
      <c r="P1652" s="1" t="s">
        <v>564</v>
      </c>
      <c r="Q1652" s="1" t="s">
        <v>268</v>
      </c>
      <c r="R1652" s="1" t="s">
        <v>12466</v>
      </c>
      <c r="S1652" s="1" t="s">
        <v>12467</v>
      </c>
      <c r="T1652" s="1" t="s">
        <v>12462</v>
      </c>
      <c r="U1652" s="1" t="s">
        <v>12468</v>
      </c>
      <c r="V1652" s="1">
        <v>1</v>
      </c>
      <c r="W1652" s="1">
        <v>1</v>
      </c>
      <c r="X1652" s="1">
        <v>0</v>
      </c>
      <c r="Y1652" s="1">
        <v>0</v>
      </c>
      <c r="Z1652" s="1">
        <v>0</v>
      </c>
      <c r="AA1652" s="1" t="s">
        <v>109</v>
      </c>
      <c r="AB1652" s="1" t="s">
        <v>109</v>
      </c>
      <c r="AC1652" s="1" t="s">
        <v>109</v>
      </c>
      <c r="AD1652" s="1">
        <v>6</v>
      </c>
      <c r="AE1652" s="1" t="s">
        <v>109</v>
      </c>
      <c r="AF1652" s="1" t="s">
        <v>109</v>
      </c>
      <c r="AG1652" s="1" t="s">
        <v>109</v>
      </c>
      <c r="AH1652" s="1" t="s">
        <v>109</v>
      </c>
      <c r="AI1652" s="1" t="s">
        <v>109</v>
      </c>
      <c r="AJ1652" s="1">
        <v>6</v>
      </c>
      <c r="AK1652" s="1" t="s">
        <v>109</v>
      </c>
      <c r="AL1652" s="1" t="s">
        <v>109</v>
      </c>
      <c r="AM1652" s="1" t="s">
        <v>109</v>
      </c>
      <c r="AN1652" s="1" t="s">
        <v>109</v>
      </c>
      <c r="AO1652" s="1" t="s">
        <v>109</v>
      </c>
      <c r="AP1652" s="1"/>
      <c r="AQ1652" s="1">
        <v>6</v>
      </c>
      <c r="AR1652" s="1"/>
      <c r="AS1652" s="1"/>
      <c r="AT1652" s="1">
        <v>0</v>
      </c>
      <c r="AU1652" s="1">
        <v>0</v>
      </c>
      <c r="AV1652" s="1">
        <v>0</v>
      </c>
      <c r="AW1652" s="1">
        <v>0</v>
      </c>
      <c r="AX1652" s="1">
        <v>0</v>
      </c>
      <c r="AY1652" s="1">
        <v>0</v>
      </c>
      <c r="AZ1652" s="1">
        <v>0</v>
      </c>
      <c r="BA1652" s="1">
        <v>0</v>
      </c>
      <c r="BB1652" s="1">
        <v>0</v>
      </c>
      <c r="BC1652" s="1">
        <v>0</v>
      </c>
      <c r="BD1652" s="1">
        <v>0</v>
      </c>
      <c r="BE1652" s="1">
        <v>0</v>
      </c>
      <c r="BF1652" s="1">
        <v>0</v>
      </c>
      <c r="BG1652" s="1">
        <v>0</v>
      </c>
      <c r="BH1652" s="1">
        <v>0</v>
      </c>
      <c r="BI1652" s="1">
        <v>0</v>
      </c>
      <c r="BJ1652" s="1">
        <v>0</v>
      </c>
      <c r="BK1652" s="1">
        <v>0</v>
      </c>
      <c r="BL1652" s="1">
        <v>0</v>
      </c>
      <c r="BM1652" s="1">
        <v>0</v>
      </c>
      <c r="BN1652" s="1">
        <v>0</v>
      </c>
      <c r="BO1652" s="1">
        <v>0</v>
      </c>
      <c r="BP1652" s="1">
        <v>0</v>
      </c>
      <c r="BQ1652" s="1">
        <v>0</v>
      </c>
      <c r="BR1652" s="1">
        <v>0</v>
      </c>
      <c r="BS1652" s="1" t="s">
        <v>109</v>
      </c>
      <c r="BT1652" s="1">
        <v>1719</v>
      </c>
      <c r="BU1652" s="1" t="s">
        <v>109</v>
      </c>
      <c r="BV1652" s="1"/>
      <c r="BW1652" s="1"/>
      <c r="BX1652" s="1"/>
      <c r="BY1652" s="1"/>
      <c r="BZ1652" s="1">
        <v>0</v>
      </c>
      <c r="CA1652" s="1" t="s">
        <v>109</v>
      </c>
      <c r="CB1652" s="1" t="s">
        <v>109</v>
      </c>
      <c r="CC1652" s="1" t="s">
        <v>109</v>
      </c>
      <c r="CD1652" s="1" t="s">
        <v>109</v>
      </c>
      <c r="CE1652" s="1" t="s">
        <v>109</v>
      </c>
      <c r="CF1652" s="1" t="s">
        <v>109</v>
      </c>
      <c r="CG1652" s="1" t="s">
        <v>109</v>
      </c>
      <c r="CH1652" s="1" t="s">
        <v>109</v>
      </c>
      <c r="CI1652" s="1" t="s">
        <v>109</v>
      </c>
      <c r="CJ1652" s="1">
        <v>6</v>
      </c>
      <c r="CK1652" s="1"/>
      <c r="CL1652" s="1">
        <v>0</v>
      </c>
      <c r="CM1652" s="1">
        <v>0</v>
      </c>
      <c r="CN1652" s="1">
        <v>0</v>
      </c>
    </row>
    <row r="1653" spans="1:92" ht="14.25" customHeight="1" x14ac:dyDescent="0.15">
      <c r="A1653" s="1" t="s">
        <v>12469</v>
      </c>
      <c r="B1653" s="1" t="s">
        <v>308</v>
      </c>
      <c r="C1653" s="1"/>
      <c r="D1653" s="1"/>
      <c r="E1653" s="1" t="s">
        <v>12470</v>
      </c>
      <c r="F1653" s="1" t="s">
        <v>98</v>
      </c>
      <c r="G1653" s="1" t="s">
        <v>141</v>
      </c>
      <c r="H1653" s="1">
        <v>0</v>
      </c>
      <c r="I1653" s="1" t="s">
        <v>161</v>
      </c>
      <c r="J1653" s="1"/>
      <c r="K1653" s="1"/>
      <c r="L1653" s="1" t="s">
        <v>11230</v>
      </c>
      <c r="M1653" s="1" t="s">
        <v>3144</v>
      </c>
      <c r="N1653" s="1">
        <v>0</v>
      </c>
      <c r="O1653" s="1">
        <v>0</v>
      </c>
      <c r="P1653" s="1" t="s">
        <v>564</v>
      </c>
      <c r="Q1653" s="1" t="s">
        <v>268</v>
      </c>
      <c r="R1653" s="1" t="s">
        <v>12471</v>
      </c>
      <c r="S1653" s="1" t="s">
        <v>12472</v>
      </c>
      <c r="T1653" s="1" t="s">
        <v>12462</v>
      </c>
      <c r="U1653" s="1" t="s">
        <v>12473</v>
      </c>
      <c r="V1653" s="1">
        <v>1</v>
      </c>
      <c r="W1653" s="1">
        <v>1</v>
      </c>
      <c r="X1653" s="1">
        <v>0</v>
      </c>
      <c r="Y1653" s="1">
        <v>0</v>
      </c>
      <c r="Z1653" s="1">
        <v>0</v>
      </c>
      <c r="AA1653" s="1" t="s">
        <v>109</v>
      </c>
      <c r="AB1653" s="1" t="s">
        <v>109</v>
      </c>
      <c r="AC1653" s="1" t="s">
        <v>109</v>
      </c>
      <c r="AD1653" s="1" t="s">
        <v>109</v>
      </c>
      <c r="AE1653" s="1" t="s">
        <v>109</v>
      </c>
      <c r="AF1653" s="1" t="s">
        <v>109</v>
      </c>
      <c r="AG1653" s="1" t="s">
        <v>109</v>
      </c>
      <c r="AH1653" s="1" t="s">
        <v>109</v>
      </c>
      <c r="AI1653" s="1" t="s">
        <v>109</v>
      </c>
      <c r="AJ1653" s="1">
        <v>8</v>
      </c>
      <c r="AK1653" s="1" t="s">
        <v>109</v>
      </c>
      <c r="AL1653" s="1" t="s">
        <v>109</v>
      </c>
      <c r="AM1653" s="1" t="s">
        <v>109</v>
      </c>
      <c r="AN1653" s="1" t="s">
        <v>109</v>
      </c>
      <c r="AO1653" s="1" t="s">
        <v>109</v>
      </c>
      <c r="AP1653" s="1"/>
      <c r="AQ1653" s="1">
        <v>8</v>
      </c>
      <c r="AR1653" s="1"/>
      <c r="AS1653" s="1"/>
      <c r="AT1653" s="1">
        <v>0</v>
      </c>
      <c r="AU1653" s="1">
        <v>0</v>
      </c>
      <c r="AV1653" s="1">
        <v>0</v>
      </c>
      <c r="AW1653" s="1">
        <v>0</v>
      </c>
      <c r="AX1653" s="1">
        <v>0</v>
      </c>
      <c r="AY1653" s="1">
        <v>0</v>
      </c>
      <c r="AZ1653" s="1">
        <v>0</v>
      </c>
      <c r="BA1653" s="1">
        <v>0</v>
      </c>
      <c r="BB1653" s="1">
        <v>0</v>
      </c>
      <c r="BC1653" s="1">
        <v>0</v>
      </c>
      <c r="BD1653" s="1">
        <v>0</v>
      </c>
      <c r="BE1653" s="1">
        <v>0</v>
      </c>
      <c r="BF1653" s="1">
        <v>0</v>
      </c>
      <c r="BG1653" s="1">
        <v>0</v>
      </c>
      <c r="BH1653" s="1">
        <v>0</v>
      </c>
      <c r="BI1653" s="1">
        <v>0</v>
      </c>
      <c r="BJ1653" s="1">
        <v>0</v>
      </c>
      <c r="BK1653" s="1">
        <v>0</v>
      </c>
      <c r="BL1653" s="1">
        <v>0</v>
      </c>
      <c r="BM1653" s="1">
        <v>0</v>
      </c>
      <c r="BN1653" s="1">
        <v>0</v>
      </c>
      <c r="BO1653" s="1">
        <v>0</v>
      </c>
      <c r="BP1653" s="1">
        <v>0</v>
      </c>
      <c r="BQ1653" s="1">
        <v>0</v>
      </c>
      <c r="BR1653" s="1">
        <v>0</v>
      </c>
      <c r="BS1653" s="1" t="s">
        <v>109</v>
      </c>
      <c r="BT1653" s="1">
        <v>1720</v>
      </c>
      <c r="BU1653" s="1" t="s">
        <v>109</v>
      </c>
      <c r="BV1653" s="1"/>
      <c r="BW1653" s="1"/>
      <c r="BX1653" s="1"/>
      <c r="BY1653" s="1"/>
      <c r="BZ1653" s="1">
        <v>0</v>
      </c>
      <c r="CA1653" s="1" t="s">
        <v>109</v>
      </c>
      <c r="CB1653" s="1" t="s">
        <v>109</v>
      </c>
      <c r="CC1653" s="1" t="s">
        <v>109</v>
      </c>
      <c r="CD1653" s="1" t="s">
        <v>109</v>
      </c>
      <c r="CE1653" s="1" t="s">
        <v>109</v>
      </c>
      <c r="CF1653" s="1" t="s">
        <v>109</v>
      </c>
      <c r="CG1653" s="1" t="s">
        <v>109</v>
      </c>
      <c r="CH1653" s="1" t="s">
        <v>109</v>
      </c>
      <c r="CI1653" s="1" t="s">
        <v>109</v>
      </c>
      <c r="CJ1653" s="1" t="s">
        <v>109</v>
      </c>
      <c r="CK1653" s="1"/>
      <c r="CL1653" s="1">
        <v>0</v>
      </c>
      <c r="CM1653" s="1">
        <v>0</v>
      </c>
      <c r="CN1653" s="1">
        <v>0</v>
      </c>
    </row>
    <row r="1654" spans="1:92" ht="14.25" customHeight="1" x14ac:dyDescent="0.15">
      <c r="A1654" s="1" t="s">
        <v>12474</v>
      </c>
      <c r="B1654" s="1" t="s">
        <v>189</v>
      </c>
      <c r="C1654" s="1"/>
      <c r="D1654" s="1" t="s">
        <v>70</v>
      </c>
      <c r="E1654" s="1" t="s">
        <v>12475</v>
      </c>
      <c r="F1654" s="1" t="s">
        <v>98</v>
      </c>
      <c r="G1654" s="1" t="s">
        <v>160</v>
      </c>
      <c r="H1654" s="1">
        <v>0</v>
      </c>
      <c r="I1654" s="1" t="s">
        <v>122</v>
      </c>
      <c r="J1654" s="1" t="s">
        <v>12476</v>
      </c>
      <c r="K1654" s="1"/>
      <c r="L1654" s="1"/>
      <c r="M1654" s="1" t="s">
        <v>6144</v>
      </c>
      <c r="N1654" s="1">
        <v>1</v>
      </c>
      <c r="O1654" s="1">
        <v>0</v>
      </c>
      <c r="P1654" s="1" t="s">
        <v>8111</v>
      </c>
      <c r="Q1654" s="1" t="s">
        <v>104</v>
      </c>
      <c r="R1654" s="1" t="s">
        <v>12477</v>
      </c>
      <c r="S1654" s="1" t="s">
        <v>12478</v>
      </c>
      <c r="T1654" s="1" t="s">
        <v>12479</v>
      </c>
      <c r="U1654" s="1" t="s">
        <v>12480</v>
      </c>
      <c r="V1654" s="1">
        <v>1</v>
      </c>
      <c r="W1654" s="1">
        <v>1</v>
      </c>
      <c r="X1654" s="1">
        <v>0</v>
      </c>
      <c r="Y1654" s="1">
        <v>0</v>
      </c>
      <c r="Z1654" s="1">
        <v>1</v>
      </c>
      <c r="AA1654" s="1" t="s">
        <v>109</v>
      </c>
      <c r="AB1654" s="1" t="s">
        <v>109</v>
      </c>
      <c r="AC1654" s="1">
        <v>4</v>
      </c>
      <c r="AD1654" s="1">
        <v>4</v>
      </c>
      <c r="AE1654" s="1">
        <v>4</v>
      </c>
      <c r="AF1654" s="1" t="s">
        <v>109</v>
      </c>
      <c r="AG1654" s="1" t="s">
        <v>109</v>
      </c>
      <c r="AH1654" s="1" t="s">
        <v>109</v>
      </c>
      <c r="AI1654" s="1" t="s">
        <v>109</v>
      </c>
      <c r="AJ1654" s="1" t="s">
        <v>109</v>
      </c>
      <c r="AK1654" s="1" t="s">
        <v>109</v>
      </c>
      <c r="AL1654" s="1">
        <v>4</v>
      </c>
      <c r="AM1654" s="1" t="s">
        <v>109</v>
      </c>
      <c r="AN1654" s="1" t="s">
        <v>109</v>
      </c>
      <c r="AO1654" s="1" t="s">
        <v>109</v>
      </c>
      <c r="AP1654" s="1"/>
      <c r="AQ1654" s="1">
        <v>4</v>
      </c>
      <c r="AR1654" s="1"/>
      <c r="AS1654" s="1"/>
      <c r="AT1654" s="1">
        <v>0</v>
      </c>
      <c r="AU1654" s="1">
        <v>0</v>
      </c>
      <c r="AV1654" s="1">
        <v>0</v>
      </c>
      <c r="AW1654" s="1">
        <v>0</v>
      </c>
      <c r="AX1654" s="1">
        <v>0</v>
      </c>
      <c r="AY1654" s="1">
        <v>0</v>
      </c>
      <c r="AZ1654" s="1">
        <v>0</v>
      </c>
      <c r="BA1654" s="1">
        <v>0</v>
      </c>
      <c r="BB1654" s="1">
        <v>0</v>
      </c>
      <c r="BC1654" s="1">
        <v>0</v>
      </c>
      <c r="BD1654" s="1">
        <v>0</v>
      </c>
      <c r="BE1654" s="1">
        <v>0</v>
      </c>
      <c r="BF1654" s="1">
        <v>0</v>
      </c>
      <c r="BG1654" s="1">
        <v>0</v>
      </c>
      <c r="BH1654" s="1">
        <v>0</v>
      </c>
      <c r="BI1654" s="1">
        <v>0</v>
      </c>
      <c r="BJ1654" s="1">
        <v>0</v>
      </c>
      <c r="BK1654" s="1">
        <v>0</v>
      </c>
      <c r="BL1654" s="1">
        <v>0</v>
      </c>
      <c r="BM1654" s="1">
        <v>0</v>
      </c>
      <c r="BN1654" s="1">
        <v>0</v>
      </c>
      <c r="BO1654" s="1">
        <v>0</v>
      </c>
      <c r="BP1654" s="1">
        <v>0</v>
      </c>
      <c r="BQ1654" s="1">
        <v>0</v>
      </c>
      <c r="BR1654" s="1">
        <v>1</v>
      </c>
      <c r="BS1654" s="1" t="s">
        <v>109</v>
      </c>
      <c r="BT1654" s="1">
        <v>1721</v>
      </c>
      <c r="BU1654" s="1" t="s">
        <v>109</v>
      </c>
      <c r="BV1654" s="1"/>
      <c r="BW1654" s="1"/>
      <c r="BX1654" s="1"/>
      <c r="BY1654" s="1"/>
      <c r="BZ1654" s="1">
        <v>0</v>
      </c>
      <c r="CA1654" s="1" t="s">
        <v>109</v>
      </c>
      <c r="CB1654" s="1" t="s">
        <v>109</v>
      </c>
      <c r="CC1654" s="1" t="s">
        <v>109</v>
      </c>
      <c r="CD1654" s="1" t="s">
        <v>109</v>
      </c>
      <c r="CE1654" s="1" t="s">
        <v>109</v>
      </c>
      <c r="CF1654" s="1" t="s">
        <v>109</v>
      </c>
      <c r="CG1654" s="1" t="s">
        <v>109</v>
      </c>
      <c r="CH1654" s="1" t="s">
        <v>109</v>
      </c>
      <c r="CI1654" s="1" t="s">
        <v>109</v>
      </c>
      <c r="CJ1654" s="1">
        <v>4</v>
      </c>
      <c r="CK1654" s="1"/>
      <c r="CL1654" s="1">
        <v>0</v>
      </c>
      <c r="CM1654" s="1">
        <v>0</v>
      </c>
      <c r="CN1654" s="1">
        <v>0</v>
      </c>
    </row>
    <row r="1655" spans="1:92" ht="14.25" customHeight="1" x14ac:dyDescent="0.15">
      <c r="A1655" s="1" t="s">
        <v>12481</v>
      </c>
      <c r="B1655" s="1" t="s">
        <v>308</v>
      </c>
      <c r="C1655" s="1"/>
      <c r="D1655" s="1" t="s">
        <v>790</v>
      </c>
      <c r="E1655" s="1" t="s">
        <v>12482</v>
      </c>
      <c r="F1655" s="1" t="s">
        <v>98</v>
      </c>
      <c r="G1655" s="1" t="s">
        <v>141</v>
      </c>
      <c r="H1655" s="1">
        <v>0</v>
      </c>
      <c r="I1655" s="1" t="s">
        <v>142</v>
      </c>
      <c r="J1655" s="1" t="s">
        <v>5885</v>
      </c>
      <c r="K1655" s="1"/>
      <c r="L1655" s="1"/>
      <c r="M1655" s="1" t="s">
        <v>125</v>
      </c>
      <c r="N1655" s="1">
        <v>0</v>
      </c>
      <c r="O1655" s="1">
        <v>0</v>
      </c>
      <c r="P1655" s="1" t="s">
        <v>301</v>
      </c>
      <c r="Q1655" s="1" t="s">
        <v>268</v>
      </c>
      <c r="R1655" s="1" t="s">
        <v>12483</v>
      </c>
      <c r="S1655" s="1" t="s">
        <v>12484</v>
      </c>
      <c r="T1655" s="1" t="s">
        <v>12479</v>
      </c>
      <c r="U1655" s="1" t="s">
        <v>12485</v>
      </c>
      <c r="V1655" s="1">
        <v>1</v>
      </c>
      <c r="W1655" s="1">
        <v>1</v>
      </c>
      <c r="X1655" s="1">
        <v>0</v>
      </c>
      <c r="Y1655" s="1">
        <v>0</v>
      </c>
      <c r="Z1655" s="1">
        <v>0</v>
      </c>
      <c r="AA1655" s="1">
        <v>3</v>
      </c>
      <c r="AB1655" s="1">
        <v>3</v>
      </c>
      <c r="AC1655" s="1">
        <v>3</v>
      </c>
      <c r="AD1655" s="1">
        <v>3</v>
      </c>
      <c r="AE1655" s="1" t="s">
        <v>109</v>
      </c>
      <c r="AF1655" s="1">
        <v>2</v>
      </c>
      <c r="AG1655" s="1" t="s">
        <v>109</v>
      </c>
      <c r="AH1655" s="1" t="s">
        <v>109</v>
      </c>
      <c r="AI1655" s="1" t="s">
        <v>109</v>
      </c>
      <c r="AJ1655" s="1">
        <v>3</v>
      </c>
      <c r="AK1655" s="1" t="s">
        <v>109</v>
      </c>
      <c r="AL1655" s="1">
        <v>3</v>
      </c>
      <c r="AM1655" s="1" t="s">
        <v>109</v>
      </c>
      <c r="AN1655" s="1" t="s">
        <v>109</v>
      </c>
      <c r="AO1655" s="1" t="s">
        <v>109</v>
      </c>
      <c r="AP1655" s="1"/>
      <c r="AQ1655" s="1">
        <v>3</v>
      </c>
      <c r="AR1655" s="1"/>
      <c r="AS1655" s="1"/>
      <c r="AT1655" s="1">
        <v>0</v>
      </c>
      <c r="AU1655" s="1">
        <v>0</v>
      </c>
      <c r="AV1655" s="1">
        <v>0</v>
      </c>
      <c r="AW1655" s="1">
        <v>0</v>
      </c>
      <c r="AX1655" s="1">
        <v>0</v>
      </c>
      <c r="AY1655" s="1">
        <v>0</v>
      </c>
      <c r="AZ1655" s="1">
        <v>0</v>
      </c>
      <c r="BA1655" s="1">
        <v>0</v>
      </c>
      <c r="BB1655" s="1">
        <v>0</v>
      </c>
      <c r="BC1655" s="1">
        <v>0</v>
      </c>
      <c r="BD1655" s="1">
        <v>1</v>
      </c>
      <c r="BE1655" s="1">
        <v>0</v>
      </c>
      <c r="BF1655" s="1">
        <v>1</v>
      </c>
      <c r="BG1655" s="1">
        <v>0</v>
      </c>
      <c r="BH1655" s="1">
        <v>0</v>
      </c>
      <c r="BI1655" s="1">
        <v>0</v>
      </c>
      <c r="BJ1655" s="1">
        <v>0</v>
      </c>
      <c r="BK1655" s="1">
        <v>0</v>
      </c>
      <c r="BL1655" s="1">
        <v>0</v>
      </c>
      <c r="BM1655" s="1">
        <v>1</v>
      </c>
      <c r="BN1655" s="1">
        <v>0</v>
      </c>
      <c r="BO1655" s="1">
        <v>0</v>
      </c>
      <c r="BP1655" s="1">
        <v>0</v>
      </c>
      <c r="BQ1655" s="1">
        <v>0</v>
      </c>
      <c r="BR1655" s="1">
        <v>0</v>
      </c>
      <c r="BS1655" s="1" t="s">
        <v>109</v>
      </c>
      <c r="BT1655" s="1">
        <v>1722</v>
      </c>
      <c r="BU1655" s="1" t="s">
        <v>109</v>
      </c>
      <c r="BV1655" s="1"/>
      <c r="BW1655" s="1"/>
      <c r="BX1655" s="1"/>
      <c r="BY1655" s="1"/>
      <c r="BZ1655" s="1">
        <v>0</v>
      </c>
      <c r="CA1655" s="1" t="s">
        <v>109</v>
      </c>
      <c r="CB1655" s="1" t="s">
        <v>109</v>
      </c>
      <c r="CC1655" s="1" t="s">
        <v>109</v>
      </c>
      <c r="CD1655" s="1" t="s">
        <v>109</v>
      </c>
      <c r="CE1655" s="1" t="s">
        <v>109</v>
      </c>
      <c r="CF1655" s="1" t="s">
        <v>109</v>
      </c>
      <c r="CG1655" s="1" t="s">
        <v>109</v>
      </c>
      <c r="CH1655" s="1" t="s">
        <v>109</v>
      </c>
      <c r="CI1655" s="1" t="s">
        <v>109</v>
      </c>
      <c r="CJ1655" s="1">
        <v>3</v>
      </c>
      <c r="CK1655" s="1"/>
      <c r="CL1655" s="1">
        <v>0</v>
      </c>
      <c r="CM1655" s="1">
        <v>0</v>
      </c>
      <c r="CN1655" s="1">
        <v>0</v>
      </c>
    </row>
    <row r="1656" spans="1:92" ht="14.25" customHeight="1" x14ac:dyDescent="0.15">
      <c r="A1656" s="1" t="s">
        <v>12486</v>
      </c>
      <c r="B1656" s="1" t="s">
        <v>308</v>
      </c>
      <c r="C1656" s="1"/>
      <c r="D1656" s="1"/>
      <c r="E1656" s="1" t="s">
        <v>12487</v>
      </c>
      <c r="F1656" s="1" t="s">
        <v>98</v>
      </c>
      <c r="G1656" s="1" t="s">
        <v>2116</v>
      </c>
      <c r="H1656" s="1">
        <v>0</v>
      </c>
      <c r="I1656" s="1" t="s">
        <v>161</v>
      </c>
      <c r="J1656" s="1"/>
      <c r="K1656" s="1"/>
      <c r="L1656" s="1" t="s">
        <v>563</v>
      </c>
      <c r="M1656" s="1" t="s">
        <v>1984</v>
      </c>
      <c r="N1656" s="1">
        <v>0</v>
      </c>
      <c r="O1656" s="1">
        <v>0</v>
      </c>
      <c r="P1656" s="1" t="s">
        <v>6066</v>
      </c>
      <c r="Q1656" s="1" t="s">
        <v>268</v>
      </c>
      <c r="R1656" s="1" t="s">
        <v>12488</v>
      </c>
      <c r="S1656" s="1" t="s">
        <v>12489</v>
      </c>
      <c r="T1656" s="1" t="s">
        <v>12479</v>
      </c>
      <c r="U1656" s="1" t="s">
        <v>12490</v>
      </c>
      <c r="V1656" s="1">
        <v>1</v>
      </c>
      <c r="W1656" s="1">
        <v>1</v>
      </c>
      <c r="X1656" s="1">
        <v>1</v>
      </c>
      <c r="Y1656" s="1">
        <v>0</v>
      </c>
      <c r="Z1656" s="1">
        <v>0</v>
      </c>
      <c r="AA1656" s="1">
        <v>5</v>
      </c>
      <c r="AB1656" s="1">
        <v>5</v>
      </c>
      <c r="AC1656" s="1" t="s">
        <v>109</v>
      </c>
      <c r="AD1656" s="1" t="s">
        <v>109</v>
      </c>
      <c r="AE1656" s="1" t="s">
        <v>109</v>
      </c>
      <c r="AF1656" s="1" t="s">
        <v>109</v>
      </c>
      <c r="AG1656" s="1" t="s">
        <v>109</v>
      </c>
      <c r="AH1656" s="1" t="s">
        <v>109</v>
      </c>
      <c r="AI1656" s="1" t="s">
        <v>109</v>
      </c>
      <c r="AJ1656" s="1">
        <v>5</v>
      </c>
      <c r="AK1656" s="1" t="s">
        <v>109</v>
      </c>
      <c r="AL1656" s="1" t="s">
        <v>109</v>
      </c>
      <c r="AM1656" s="1" t="s">
        <v>109</v>
      </c>
      <c r="AN1656" s="1">
        <v>5</v>
      </c>
      <c r="AO1656" s="1" t="s">
        <v>109</v>
      </c>
      <c r="AP1656" s="1"/>
      <c r="AQ1656" s="1">
        <v>5</v>
      </c>
      <c r="AR1656" s="1"/>
      <c r="AS1656" s="1"/>
      <c r="AT1656" s="1">
        <v>0</v>
      </c>
      <c r="AU1656" s="1">
        <v>0</v>
      </c>
      <c r="AV1656" s="1">
        <v>0</v>
      </c>
      <c r="AW1656" s="1">
        <v>0</v>
      </c>
      <c r="AX1656" s="1">
        <v>0</v>
      </c>
      <c r="AY1656" s="1">
        <v>0</v>
      </c>
      <c r="AZ1656" s="1">
        <v>0</v>
      </c>
      <c r="BA1656" s="1">
        <v>0</v>
      </c>
      <c r="BB1656" s="1">
        <v>0</v>
      </c>
      <c r="BC1656" s="1">
        <v>0</v>
      </c>
      <c r="BD1656" s="1">
        <v>0</v>
      </c>
      <c r="BE1656" s="1">
        <v>0</v>
      </c>
      <c r="BF1656" s="1">
        <v>0</v>
      </c>
      <c r="BG1656" s="1">
        <v>0</v>
      </c>
      <c r="BH1656" s="1">
        <v>0</v>
      </c>
      <c r="BI1656" s="1">
        <v>0</v>
      </c>
      <c r="BJ1656" s="1">
        <v>0</v>
      </c>
      <c r="BK1656" s="1">
        <v>0</v>
      </c>
      <c r="BL1656" s="1">
        <v>0</v>
      </c>
      <c r="BM1656" s="1">
        <v>0</v>
      </c>
      <c r="BN1656" s="1">
        <v>0</v>
      </c>
      <c r="BO1656" s="1">
        <v>0</v>
      </c>
      <c r="BP1656" s="1">
        <v>0</v>
      </c>
      <c r="BQ1656" s="1">
        <v>0</v>
      </c>
      <c r="BR1656" s="1">
        <v>0</v>
      </c>
      <c r="BS1656" s="1" t="s">
        <v>109</v>
      </c>
      <c r="BT1656" s="1">
        <v>1723</v>
      </c>
      <c r="BU1656" s="1" t="s">
        <v>109</v>
      </c>
      <c r="BV1656" s="1"/>
      <c r="BW1656" s="1"/>
      <c r="BX1656" s="1"/>
      <c r="BY1656" s="1"/>
      <c r="BZ1656" s="1">
        <v>0</v>
      </c>
      <c r="CA1656" s="1" t="s">
        <v>109</v>
      </c>
      <c r="CB1656" s="1" t="s">
        <v>109</v>
      </c>
      <c r="CC1656" s="1" t="s">
        <v>109</v>
      </c>
      <c r="CD1656" s="1" t="s">
        <v>109</v>
      </c>
      <c r="CE1656" s="1" t="s">
        <v>109</v>
      </c>
      <c r="CF1656" s="1" t="s">
        <v>109</v>
      </c>
      <c r="CG1656" s="1" t="s">
        <v>109</v>
      </c>
      <c r="CH1656" s="1" t="s">
        <v>109</v>
      </c>
      <c r="CI1656" s="1" t="s">
        <v>109</v>
      </c>
      <c r="CJ1656" s="1" t="s">
        <v>109</v>
      </c>
      <c r="CK1656" s="1"/>
      <c r="CL1656" s="1">
        <v>0</v>
      </c>
      <c r="CM1656" s="1">
        <v>0</v>
      </c>
      <c r="CN1656" s="1">
        <v>0</v>
      </c>
    </row>
    <row r="1657" spans="1:92" ht="14.25" customHeight="1" x14ac:dyDescent="0.15">
      <c r="A1657" s="1" t="s">
        <v>12491</v>
      </c>
      <c r="B1657" s="1" t="s">
        <v>189</v>
      </c>
      <c r="C1657" s="1"/>
      <c r="D1657" s="1"/>
      <c r="E1657" s="1" t="s">
        <v>12492</v>
      </c>
      <c r="F1657" s="1" t="s">
        <v>1984</v>
      </c>
      <c r="G1657" s="1" t="s">
        <v>12493</v>
      </c>
      <c r="H1657" s="1">
        <v>1</v>
      </c>
      <c r="I1657" s="1" t="s">
        <v>4917</v>
      </c>
      <c r="J1657" s="1" t="s">
        <v>12494</v>
      </c>
      <c r="K1657" s="1"/>
      <c r="L1657" s="1"/>
      <c r="M1657" s="1" t="s">
        <v>5642</v>
      </c>
      <c r="N1657" s="1">
        <v>0</v>
      </c>
      <c r="O1657" s="1">
        <v>0</v>
      </c>
      <c r="P1657" s="1" t="s">
        <v>2183</v>
      </c>
      <c r="Q1657" s="1" t="s">
        <v>104</v>
      </c>
      <c r="R1657" s="1" t="s">
        <v>12495</v>
      </c>
      <c r="S1657" s="1" t="s">
        <v>12496</v>
      </c>
      <c r="T1657" s="1" t="s">
        <v>12497</v>
      </c>
      <c r="U1657" s="1" t="s">
        <v>12498</v>
      </c>
      <c r="V1657" s="1">
        <v>1</v>
      </c>
      <c r="W1657" s="1">
        <v>1</v>
      </c>
      <c r="X1657" s="1">
        <v>1</v>
      </c>
      <c r="Y1657" s="1">
        <v>0</v>
      </c>
      <c r="Z1657" s="1">
        <v>0</v>
      </c>
      <c r="AA1657" s="1">
        <v>9</v>
      </c>
      <c r="AB1657" s="1">
        <v>9</v>
      </c>
      <c r="AC1657" s="1" t="s">
        <v>109</v>
      </c>
      <c r="AD1657" s="1" t="s">
        <v>109</v>
      </c>
      <c r="AE1657" s="1" t="s">
        <v>109</v>
      </c>
      <c r="AF1657" s="1" t="s">
        <v>109</v>
      </c>
      <c r="AG1657" s="1" t="s">
        <v>109</v>
      </c>
      <c r="AH1657" s="1" t="s">
        <v>109</v>
      </c>
      <c r="AI1657" s="1" t="s">
        <v>109</v>
      </c>
      <c r="AJ1657" s="1">
        <v>9</v>
      </c>
      <c r="AK1657" s="1" t="s">
        <v>109</v>
      </c>
      <c r="AL1657" s="1" t="s">
        <v>109</v>
      </c>
      <c r="AM1657" s="1" t="s">
        <v>109</v>
      </c>
      <c r="AN1657" s="1" t="s">
        <v>109</v>
      </c>
      <c r="AO1657" s="1" t="s">
        <v>109</v>
      </c>
      <c r="AP1657" s="1"/>
      <c r="AQ1657" s="1">
        <v>9</v>
      </c>
      <c r="AR1657" s="1"/>
      <c r="AS1657" s="1"/>
      <c r="AT1657" s="1">
        <v>0</v>
      </c>
      <c r="AU1657" s="1">
        <v>0</v>
      </c>
      <c r="AV1657" s="1">
        <v>0</v>
      </c>
      <c r="AW1657" s="1">
        <v>0</v>
      </c>
      <c r="AX1657" s="1">
        <v>0</v>
      </c>
      <c r="AY1657" s="1">
        <v>0</v>
      </c>
      <c r="AZ1657" s="1">
        <v>0</v>
      </c>
      <c r="BA1657" s="1">
        <v>0</v>
      </c>
      <c r="BB1657" s="1">
        <v>0</v>
      </c>
      <c r="BC1657" s="1">
        <v>0</v>
      </c>
      <c r="BD1657" s="1">
        <v>0</v>
      </c>
      <c r="BE1657" s="1">
        <v>0</v>
      </c>
      <c r="BF1657" s="1">
        <v>0</v>
      </c>
      <c r="BG1657" s="1">
        <v>0</v>
      </c>
      <c r="BH1657" s="1">
        <v>0</v>
      </c>
      <c r="BI1657" s="1">
        <v>0</v>
      </c>
      <c r="BJ1657" s="1">
        <v>0</v>
      </c>
      <c r="BK1657" s="1">
        <v>0</v>
      </c>
      <c r="BL1657" s="1">
        <v>0</v>
      </c>
      <c r="BM1657" s="1">
        <v>0</v>
      </c>
      <c r="BN1657" s="1">
        <v>0</v>
      </c>
      <c r="BO1657" s="1">
        <v>0</v>
      </c>
      <c r="BP1657" s="1">
        <v>0</v>
      </c>
      <c r="BQ1657" s="1">
        <v>0</v>
      </c>
      <c r="BR1657" s="1">
        <v>0</v>
      </c>
      <c r="BS1657" s="1" t="s">
        <v>109</v>
      </c>
      <c r="BT1657" s="1">
        <v>1725</v>
      </c>
      <c r="BU1657" s="1">
        <v>5000</v>
      </c>
      <c r="BV1657" s="1"/>
      <c r="BW1657" s="1"/>
      <c r="BX1657" s="1"/>
      <c r="BY1657" s="1"/>
      <c r="BZ1657" s="1">
        <v>0</v>
      </c>
      <c r="CA1657" s="1" t="s">
        <v>109</v>
      </c>
      <c r="CB1657" s="1" t="s">
        <v>109</v>
      </c>
      <c r="CC1657" s="1" t="s">
        <v>109</v>
      </c>
      <c r="CD1657" s="1" t="s">
        <v>109</v>
      </c>
      <c r="CE1657" s="1" t="s">
        <v>109</v>
      </c>
      <c r="CF1657" s="1" t="s">
        <v>109</v>
      </c>
      <c r="CG1657" s="1" t="s">
        <v>109</v>
      </c>
      <c r="CH1657" s="1" t="s">
        <v>109</v>
      </c>
      <c r="CI1657" s="1" t="s">
        <v>109</v>
      </c>
      <c r="CJ1657" s="1" t="s">
        <v>109</v>
      </c>
      <c r="CK1657" s="1"/>
      <c r="CL1657" s="1">
        <v>0</v>
      </c>
      <c r="CM1657" s="1">
        <v>0</v>
      </c>
      <c r="CN1657" s="1">
        <v>0</v>
      </c>
    </row>
    <row r="1658" spans="1:92" ht="14.25" customHeight="1" x14ac:dyDescent="0.15">
      <c r="A1658" s="1" t="s">
        <v>12499</v>
      </c>
      <c r="B1658" s="1" t="s">
        <v>308</v>
      </c>
      <c r="C1658" s="1"/>
      <c r="D1658" s="1"/>
      <c r="E1658" s="1" t="s">
        <v>12500</v>
      </c>
      <c r="F1658" s="1" t="s">
        <v>98</v>
      </c>
      <c r="G1658" s="1" t="s">
        <v>141</v>
      </c>
      <c r="H1658" s="1">
        <v>0</v>
      </c>
      <c r="I1658" s="1" t="s">
        <v>161</v>
      </c>
      <c r="J1658" s="1"/>
      <c r="K1658" s="1" t="s">
        <v>9989</v>
      </c>
      <c r="L1658" s="1"/>
      <c r="M1658" s="1" t="s">
        <v>6798</v>
      </c>
      <c r="N1658" s="1">
        <v>0</v>
      </c>
      <c r="O1658" s="1">
        <v>0</v>
      </c>
      <c r="P1658" s="1" t="s">
        <v>215</v>
      </c>
      <c r="Q1658" s="1" t="s">
        <v>216</v>
      </c>
      <c r="R1658" s="1" t="s">
        <v>12501</v>
      </c>
      <c r="S1658" s="1" t="s">
        <v>12502</v>
      </c>
      <c r="T1658" s="1" t="s">
        <v>12497</v>
      </c>
      <c r="U1658" s="1" t="s">
        <v>12503</v>
      </c>
      <c r="V1658" s="1">
        <v>1</v>
      </c>
      <c r="W1658" s="1">
        <v>1</v>
      </c>
      <c r="X1658" s="1">
        <v>0</v>
      </c>
      <c r="Y1658" s="1">
        <v>0</v>
      </c>
      <c r="Z1658" s="1">
        <v>0</v>
      </c>
      <c r="AA1658" s="1" t="s">
        <v>109</v>
      </c>
      <c r="AB1658" s="1" t="s">
        <v>109</v>
      </c>
      <c r="AC1658" s="1">
        <v>1</v>
      </c>
      <c r="AD1658" s="1" t="s">
        <v>109</v>
      </c>
      <c r="AE1658" s="1">
        <v>1</v>
      </c>
      <c r="AF1658" s="1" t="s">
        <v>109</v>
      </c>
      <c r="AG1658" s="1" t="s">
        <v>109</v>
      </c>
      <c r="AH1658" s="1" t="s">
        <v>109</v>
      </c>
      <c r="AI1658" s="1" t="s">
        <v>109</v>
      </c>
      <c r="AJ1658" s="1">
        <v>1</v>
      </c>
      <c r="AK1658" s="1" t="s">
        <v>109</v>
      </c>
      <c r="AL1658" s="1">
        <v>1</v>
      </c>
      <c r="AM1658" s="1">
        <v>1</v>
      </c>
      <c r="AN1658" s="1" t="s">
        <v>109</v>
      </c>
      <c r="AO1658" s="1" t="s">
        <v>109</v>
      </c>
      <c r="AP1658" s="1" t="s">
        <v>12504</v>
      </c>
      <c r="AQ1658" s="1">
        <v>1</v>
      </c>
      <c r="AR1658" s="1"/>
      <c r="AS1658" s="1"/>
      <c r="AT1658" s="1">
        <v>0</v>
      </c>
      <c r="AU1658" s="1">
        <v>0</v>
      </c>
      <c r="AV1658" s="1">
        <v>0</v>
      </c>
      <c r="AW1658" s="1">
        <v>0</v>
      </c>
      <c r="AX1658" s="1">
        <v>0</v>
      </c>
      <c r="AY1658" s="1">
        <v>0</v>
      </c>
      <c r="AZ1658" s="1">
        <v>0</v>
      </c>
      <c r="BA1658" s="1">
        <v>0</v>
      </c>
      <c r="BB1658" s="1">
        <v>0</v>
      </c>
      <c r="BC1658" s="1">
        <v>0</v>
      </c>
      <c r="BD1658" s="1">
        <v>0</v>
      </c>
      <c r="BE1658" s="1">
        <v>0</v>
      </c>
      <c r="BF1658" s="1">
        <v>0</v>
      </c>
      <c r="BG1658" s="1">
        <v>0</v>
      </c>
      <c r="BH1658" s="1">
        <v>0</v>
      </c>
      <c r="BI1658" s="1">
        <v>0</v>
      </c>
      <c r="BJ1658" s="1">
        <v>0</v>
      </c>
      <c r="BK1658" s="1">
        <v>0</v>
      </c>
      <c r="BL1658" s="1">
        <v>0</v>
      </c>
      <c r="BM1658" s="1">
        <v>0</v>
      </c>
      <c r="BN1658" s="1">
        <v>0</v>
      </c>
      <c r="BO1658" s="1">
        <v>0</v>
      </c>
      <c r="BP1658" s="1">
        <v>0</v>
      </c>
      <c r="BQ1658" s="1">
        <v>0</v>
      </c>
      <c r="BR1658" s="1">
        <v>0</v>
      </c>
      <c r="BS1658" s="1" t="s">
        <v>109</v>
      </c>
      <c r="BT1658" s="1">
        <v>1726</v>
      </c>
      <c r="BU1658" s="1" t="s">
        <v>109</v>
      </c>
      <c r="BV1658" s="1"/>
      <c r="BW1658" s="1"/>
      <c r="BX1658" s="1"/>
      <c r="BY1658" s="1"/>
      <c r="BZ1658" s="1">
        <v>0</v>
      </c>
      <c r="CA1658" s="1" t="s">
        <v>109</v>
      </c>
      <c r="CB1658" s="1" t="s">
        <v>109</v>
      </c>
      <c r="CC1658" s="1" t="s">
        <v>109</v>
      </c>
      <c r="CD1658" s="1" t="s">
        <v>109</v>
      </c>
      <c r="CE1658" s="1" t="s">
        <v>109</v>
      </c>
      <c r="CF1658" s="1" t="s">
        <v>109</v>
      </c>
      <c r="CG1658" s="1" t="s">
        <v>109</v>
      </c>
      <c r="CH1658" s="1" t="s">
        <v>109</v>
      </c>
      <c r="CI1658" s="1" t="s">
        <v>109</v>
      </c>
      <c r="CJ1658" s="1">
        <v>1</v>
      </c>
      <c r="CK1658" s="1"/>
      <c r="CL1658" s="1">
        <v>0</v>
      </c>
      <c r="CM1658" s="1">
        <v>0</v>
      </c>
      <c r="CN1658" s="1">
        <v>0</v>
      </c>
    </row>
    <row r="1659" spans="1:92" ht="14.25" customHeight="1" x14ac:dyDescent="0.15">
      <c r="A1659" s="1" t="s">
        <v>12505</v>
      </c>
      <c r="B1659" s="1" t="s">
        <v>254</v>
      </c>
      <c r="C1659" s="1"/>
      <c r="D1659" s="1"/>
      <c r="E1659" s="1" t="s">
        <v>12506</v>
      </c>
      <c r="F1659" s="1" t="s">
        <v>98</v>
      </c>
      <c r="G1659" s="1" t="s">
        <v>12507</v>
      </c>
      <c r="H1659" s="1">
        <v>0</v>
      </c>
      <c r="I1659" s="1" t="s">
        <v>235</v>
      </c>
      <c r="J1659" s="1"/>
      <c r="K1659" s="1"/>
      <c r="L1659" s="1" t="s">
        <v>236</v>
      </c>
      <c r="M1659" s="1" t="s">
        <v>355</v>
      </c>
      <c r="N1659" s="1">
        <v>0</v>
      </c>
      <c r="O1659" s="1">
        <v>0</v>
      </c>
      <c r="P1659" s="1"/>
      <c r="Q1659" s="1"/>
      <c r="R1659" s="1" t="s">
        <v>12508</v>
      </c>
      <c r="S1659" s="1" t="s">
        <v>12509</v>
      </c>
      <c r="T1659" s="1" t="s">
        <v>12510</v>
      </c>
      <c r="U1659" s="1" t="s">
        <v>12511</v>
      </c>
      <c r="V1659" s="1">
        <v>1</v>
      </c>
      <c r="W1659" s="1">
        <v>1</v>
      </c>
      <c r="X1659" s="1">
        <v>0</v>
      </c>
      <c r="Y1659" s="1">
        <v>0</v>
      </c>
      <c r="Z1659" s="1">
        <v>0</v>
      </c>
      <c r="AA1659" s="1">
        <v>3</v>
      </c>
      <c r="AB1659" s="1">
        <v>3</v>
      </c>
      <c r="AC1659" s="1">
        <v>3</v>
      </c>
      <c r="AD1659" s="1">
        <v>2</v>
      </c>
      <c r="AE1659" s="1">
        <v>1</v>
      </c>
      <c r="AF1659" s="1" t="s">
        <v>109</v>
      </c>
      <c r="AG1659" s="1" t="s">
        <v>109</v>
      </c>
      <c r="AH1659" s="1" t="s">
        <v>109</v>
      </c>
      <c r="AI1659" s="1" t="s">
        <v>109</v>
      </c>
      <c r="AJ1659" s="1">
        <v>3</v>
      </c>
      <c r="AK1659" s="1" t="s">
        <v>109</v>
      </c>
      <c r="AL1659" s="1">
        <v>3</v>
      </c>
      <c r="AM1659" s="1" t="s">
        <v>109</v>
      </c>
      <c r="AN1659" s="1" t="s">
        <v>109</v>
      </c>
      <c r="AO1659" s="1" t="s">
        <v>109</v>
      </c>
      <c r="AP1659" s="1"/>
      <c r="AQ1659" s="1">
        <v>3</v>
      </c>
      <c r="AR1659" s="1"/>
      <c r="AS1659" s="1"/>
      <c r="AT1659" s="1">
        <v>0</v>
      </c>
      <c r="AU1659" s="1">
        <v>0</v>
      </c>
      <c r="AV1659" s="1">
        <v>0</v>
      </c>
      <c r="AW1659" s="1">
        <v>0</v>
      </c>
      <c r="AX1659" s="1">
        <v>0</v>
      </c>
      <c r="AY1659" s="1">
        <v>0</v>
      </c>
      <c r="AZ1659" s="1">
        <v>0</v>
      </c>
      <c r="BA1659" s="1">
        <v>0</v>
      </c>
      <c r="BB1659" s="1">
        <v>0</v>
      </c>
      <c r="BC1659" s="1">
        <v>0</v>
      </c>
      <c r="BD1659" s="1">
        <v>0</v>
      </c>
      <c r="BE1659" s="1">
        <v>0</v>
      </c>
      <c r="BF1659" s="1">
        <v>0</v>
      </c>
      <c r="BG1659" s="1">
        <v>0</v>
      </c>
      <c r="BH1659" s="1">
        <v>0</v>
      </c>
      <c r="BI1659" s="1">
        <v>0</v>
      </c>
      <c r="BJ1659" s="1">
        <v>0</v>
      </c>
      <c r="BK1659" s="1">
        <v>0</v>
      </c>
      <c r="BL1659" s="1">
        <v>0</v>
      </c>
      <c r="BM1659" s="1">
        <v>0</v>
      </c>
      <c r="BN1659" s="1">
        <v>0</v>
      </c>
      <c r="BO1659" s="1">
        <v>0</v>
      </c>
      <c r="BP1659" s="1">
        <v>0</v>
      </c>
      <c r="BQ1659" s="1">
        <v>0</v>
      </c>
      <c r="BR1659" s="1">
        <v>0</v>
      </c>
      <c r="BS1659" s="1" t="s">
        <v>109</v>
      </c>
      <c r="BT1659" s="1">
        <v>1727</v>
      </c>
      <c r="BU1659" s="1" t="s">
        <v>109</v>
      </c>
      <c r="BV1659" s="1"/>
      <c r="BW1659" s="1"/>
      <c r="BX1659" s="1"/>
      <c r="BY1659" s="1"/>
      <c r="BZ1659" s="1">
        <v>0</v>
      </c>
      <c r="CA1659" s="1" t="s">
        <v>109</v>
      </c>
      <c r="CB1659" s="1" t="s">
        <v>109</v>
      </c>
      <c r="CC1659" s="1" t="s">
        <v>109</v>
      </c>
      <c r="CD1659" s="1" t="s">
        <v>109</v>
      </c>
      <c r="CE1659" s="1" t="s">
        <v>109</v>
      </c>
      <c r="CF1659" s="1" t="s">
        <v>109</v>
      </c>
      <c r="CG1659" s="1" t="s">
        <v>109</v>
      </c>
      <c r="CH1659" s="1" t="s">
        <v>109</v>
      </c>
      <c r="CI1659" s="1" t="s">
        <v>109</v>
      </c>
      <c r="CJ1659" s="1">
        <v>1</v>
      </c>
      <c r="CK1659" s="1"/>
      <c r="CL1659" s="1">
        <v>0</v>
      </c>
      <c r="CM1659" s="1">
        <v>0</v>
      </c>
      <c r="CN1659" s="1">
        <v>0</v>
      </c>
    </row>
    <row r="1660" spans="1:92" ht="14.25" customHeight="1" x14ac:dyDescent="0.15">
      <c r="A1660" s="1" t="s">
        <v>12512</v>
      </c>
      <c r="B1660" s="1" t="s">
        <v>95</v>
      </c>
      <c r="C1660" s="1" t="s">
        <v>96</v>
      </c>
      <c r="D1660" s="1"/>
      <c r="E1660" s="1" t="s">
        <v>12513</v>
      </c>
      <c r="F1660" s="1" t="s">
        <v>98</v>
      </c>
      <c r="G1660" s="1" t="s">
        <v>12514</v>
      </c>
      <c r="H1660" s="1">
        <v>0</v>
      </c>
      <c r="I1660" s="1" t="s">
        <v>142</v>
      </c>
      <c r="J1660" s="1"/>
      <c r="K1660" s="1"/>
      <c r="L1660" s="1" t="s">
        <v>1391</v>
      </c>
      <c r="M1660" s="1" t="s">
        <v>144</v>
      </c>
      <c r="N1660" s="1">
        <v>0</v>
      </c>
      <c r="O1660" s="1">
        <v>0</v>
      </c>
      <c r="P1660" s="1" t="s">
        <v>103</v>
      </c>
      <c r="Q1660" s="1" t="s">
        <v>104</v>
      </c>
      <c r="R1660" s="1" t="s">
        <v>12515</v>
      </c>
      <c r="S1660" s="1" t="s">
        <v>12516</v>
      </c>
      <c r="T1660" s="1" t="s">
        <v>12517</v>
      </c>
      <c r="U1660" s="1" t="s">
        <v>12518</v>
      </c>
      <c r="V1660" s="1">
        <v>1</v>
      </c>
      <c r="W1660" s="1">
        <v>1</v>
      </c>
      <c r="X1660" s="1">
        <v>1</v>
      </c>
      <c r="Y1660" s="1">
        <v>0</v>
      </c>
      <c r="Z1660" s="1">
        <v>0</v>
      </c>
      <c r="AA1660" s="1">
        <v>2</v>
      </c>
      <c r="AB1660" s="1">
        <v>2</v>
      </c>
      <c r="AC1660" s="1">
        <v>3</v>
      </c>
      <c r="AD1660" s="1" t="s">
        <v>109</v>
      </c>
      <c r="AE1660" s="1" t="s">
        <v>109</v>
      </c>
      <c r="AF1660" s="1" t="s">
        <v>109</v>
      </c>
      <c r="AG1660" s="1" t="s">
        <v>109</v>
      </c>
      <c r="AH1660" s="1" t="s">
        <v>109</v>
      </c>
      <c r="AI1660" s="1" t="s">
        <v>109</v>
      </c>
      <c r="AJ1660" s="1" t="s">
        <v>109</v>
      </c>
      <c r="AK1660" s="1" t="s">
        <v>109</v>
      </c>
      <c r="AL1660" s="1">
        <v>3</v>
      </c>
      <c r="AM1660" s="1" t="s">
        <v>109</v>
      </c>
      <c r="AN1660" s="1">
        <v>2</v>
      </c>
      <c r="AO1660" s="1" t="s">
        <v>109</v>
      </c>
      <c r="AP1660" s="1"/>
      <c r="AQ1660" s="1">
        <v>2</v>
      </c>
      <c r="AR1660" s="1"/>
      <c r="AS1660" s="1"/>
      <c r="AT1660" s="1">
        <v>0</v>
      </c>
      <c r="AU1660" s="1">
        <v>0</v>
      </c>
      <c r="AV1660" s="1">
        <v>0</v>
      </c>
      <c r="AW1660" s="1">
        <v>0</v>
      </c>
      <c r="AX1660" s="1">
        <v>0</v>
      </c>
      <c r="AY1660" s="1">
        <v>0</v>
      </c>
      <c r="AZ1660" s="1">
        <v>0</v>
      </c>
      <c r="BA1660" s="1">
        <v>0</v>
      </c>
      <c r="BB1660" s="1">
        <v>0</v>
      </c>
      <c r="BC1660" s="1">
        <v>0</v>
      </c>
      <c r="BD1660" s="1">
        <v>0</v>
      </c>
      <c r="BE1660" s="1">
        <v>0</v>
      </c>
      <c r="BF1660" s="1">
        <v>0</v>
      </c>
      <c r="BG1660" s="1">
        <v>0</v>
      </c>
      <c r="BH1660" s="1">
        <v>0</v>
      </c>
      <c r="BI1660" s="1">
        <v>0</v>
      </c>
      <c r="BJ1660" s="1">
        <v>0</v>
      </c>
      <c r="BK1660" s="1">
        <v>0</v>
      </c>
      <c r="BL1660" s="1">
        <v>0</v>
      </c>
      <c r="BM1660" s="1">
        <v>0</v>
      </c>
      <c r="BN1660" s="1">
        <v>0</v>
      </c>
      <c r="BO1660" s="1">
        <v>0</v>
      </c>
      <c r="BP1660" s="1">
        <v>0</v>
      </c>
      <c r="BQ1660" s="1">
        <v>0</v>
      </c>
      <c r="BR1660" s="1">
        <v>0</v>
      </c>
      <c r="BS1660" s="1" t="s">
        <v>109</v>
      </c>
      <c r="BT1660" s="1">
        <v>1728</v>
      </c>
      <c r="BU1660" s="1" t="s">
        <v>109</v>
      </c>
      <c r="BV1660" s="1"/>
      <c r="BW1660" s="1"/>
      <c r="BX1660" s="1"/>
      <c r="BY1660" s="1"/>
      <c r="BZ1660" s="1">
        <v>0</v>
      </c>
      <c r="CA1660" s="1" t="s">
        <v>109</v>
      </c>
      <c r="CB1660" s="1" t="s">
        <v>109</v>
      </c>
      <c r="CC1660" s="1" t="s">
        <v>109</v>
      </c>
      <c r="CD1660" s="1" t="s">
        <v>109</v>
      </c>
      <c r="CE1660" s="1" t="s">
        <v>109</v>
      </c>
      <c r="CF1660" s="1" t="s">
        <v>109</v>
      </c>
      <c r="CG1660" s="1" t="s">
        <v>109</v>
      </c>
      <c r="CH1660" s="1" t="s">
        <v>109</v>
      </c>
      <c r="CI1660" s="1" t="s">
        <v>109</v>
      </c>
      <c r="CJ1660" s="1" t="s">
        <v>109</v>
      </c>
      <c r="CK1660" s="1"/>
      <c r="CL1660" s="1">
        <v>0</v>
      </c>
      <c r="CM1660" s="1">
        <v>0</v>
      </c>
      <c r="CN1660" s="1">
        <v>0</v>
      </c>
    </row>
    <row r="1661" spans="1:92" ht="14.25" customHeight="1" x14ac:dyDescent="0.15">
      <c r="A1661" s="1" t="s">
        <v>12519</v>
      </c>
      <c r="B1661" s="1" t="s">
        <v>95</v>
      </c>
      <c r="C1661" s="1" t="s">
        <v>1179</v>
      </c>
      <c r="D1661" s="1"/>
      <c r="E1661" s="1" t="s">
        <v>10954</v>
      </c>
      <c r="F1661" s="1" t="s">
        <v>355</v>
      </c>
      <c r="G1661" s="1" t="s">
        <v>12520</v>
      </c>
      <c r="H1661" s="1">
        <v>1</v>
      </c>
      <c r="I1661" s="1" t="s">
        <v>142</v>
      </c>
      <c r="J1661" s="1"/>
      <c r="K1661" s="1" t="s">
        <v>12521</v>
      </c>
      <c r="L1661" s="1"/>
      <c r="M1661" s="1" t="s">
        <v>574</v>
      </c>
      <c r="N1661" s="1">
        <v>1</v>
      </c>
      <c r="O1661" s="1">
        <v>0</v>
      </c>
      <c r="P1661" s="1" t="s">
        <v>103</v>
      </c>
      <c r="Q1661" s="1" t="s">
        <v>104</v>
      </c>
      <c r="R1661" s="1" t="s">
        <v>12522</v>
      </c>
      <c r="S1661" s="1" t="s">
        <v>12523</v>
      </c>
      <c r="T1661" s="1" t="s">
        <v>12517</v>
      </c>
      <c r="U1661" s="1" t="s">
        <v>12524</v>
      </c>
      <c r="V1661" s="1">
        <v>1</v>
      </c>
      <c r="W1661" s="1">
        <v>1</v>
      </c>
      <c r="X1661" s="1">
        <v>0</v>
      </c>
      <c r="Y1661" s="1">
        <v>0</v>
      </c>
      <c r="Z1661" s="1">
        <v>1</v>
      </c>
      <c r="AA1661" s="1">
        <v>4</v>
      </c>
      <c r="AB1661" s="1">
        <v>4</v>
      </c>
      <c r="AC1661" s="1">
        <v>4</v>
      </c>
      <c r="AD1661" s="1" t="s">
        <v>109</v>
      </c>
      <c r="AE1661" s="1" t="s">
        <v>109</v>
      </c>
      <c r="AF1661" s="1" t="s">
        <v>109</v>
      </c>
      <c r="AG1661" s="1" t="s">
        <v>109</v>
      </c>
      <c r="AH1661" s="1" t="s">
        <v>109</v>
      </c>
      <c r="AI1661" s="1">
        <v>3</v>
      </c>
      <c r="AJ1661" s="1">
        <v>4</v>
      </c>
      <c r="AK1661" s="1" t="s">
        <v>109</v>
      </c>
      <c r="AL1661" s="1">
        <v>4</v>
      </c>
      <c r="AM1661" s="1" t="s">
        <v>109</v>
      </c>
      <c r="AN1661" s="1" t="s">
        <v>109</v>
      </c>
      <c r="AO1661" s="1" t="s">
        <v>109</v>
      </c>
      <c r="AP1661" s="1"/>
      <c r="AQ1661" s="1">
        <v>4</v>
      </c>
      <c r="AR1661" s="1"/>
      <c r="AS1661" s="1"/>
      <c r="AT1661" s="1">
        <v>0</v>
      </c>
      <c r="AU1661" s="1">
        <v>0</v>
      </c>
      <c r="AV1661" s="1">
        <v>0</v>
      </c>
      <c r="AW1661" s="1">
        <v>0</v>
      </c>
      <c r="AX1661" s="1">
        <v>0</v>
      </c>
      <c r="AY1661" s="1">
        <v>0</v>
      </c>
      <c r="AZ1661" s="1">
        <v>0</v>
      </c>
      <c r="BA1661" s="1">
        <v>0</v>
      </c>
      <c r="BB1661" s="1">
        <v>0</v>
      </c>
      <c r="BC1661" s="1">
        <v>0</v>
      </c>
      <c r="BD1661" s="1">
        <v>0</v>
      </c>
      <c r="BE1661" s="1">
        <v>0</v>
      </c>
      <c r="BF1661" s="1">
        <v>0</v>
      </c>
      <c r="BG1661" s="1">
        <v>0</v>
      </c>
      <c r="BH1661" s="1">
        <v>0</v>
      </c>
      <c r="BI1661" s="1">
        <v>0</v>
      </c>
      <c r="BJ1661" s="1">
        <v>0</v>
      </c>
      <c r="BK1661" s="1">
        <v>0</v>
      </c>
      <c r="BL1661" s="1">
        <v>0</v>
      </c>
      <c r="BM1661" s="1">
        <v>0</v>
      </c>
      <c r="BN1661" s="1">
        <v>0</v>
      </c>
      <c r="BO1661" s="1">
        <v>0</v>
      </c>
      <c r="BP1661" s="1">
        <v>0</v>
      </c>
      <c r="BQ1661" s="1">
        <v>0</v>
      </c>
      <c r="BR1661" s="1">
        <v>0</v>
      </c>
      <c r="BS1661" s="1" t="s">
        <v>109</v>
      </c>
      <c r="BT1661" s="1">
        <v>1729</v>
      </c>
      <c r="BU1661" s="1">
        <v>50</v>
      </c>
      <c r="BV1661" s="1"/>
      <c r="BW1661" s="1"/>
      <c r="BX1661" s="1"/>
      <c r="BY1661" s="1"/>
      <c r="BZ1661" s="1">
        <v>0</v>
      </c>
      <c r="CA1661" s="1" t="s">
        <v>109</v>
      </c>
      <c r="CB1661" s="1" t="s">
        <v>109</v>
      </c>
      <c r="CC1661" s="1" t="s">
        <v>109</v>
      </c>
      <c r="CD1661" s="1" t="s">
        <v>109</v>
      </c>
      <c r="CE1661" s="1" t="s">
        <v>109</v>
      </c>
      <c r="CF1661" s="1" t="s">
        <v>109</v>
      </c>
      <c r="CG1661" s="1" t="s">
        <v>109</v>
      </c>
      <c r="CH1661" s="1" t="s">
        <v>109</v>
      </c>
      <c r="CI1661" s="1" t="s">
        <v>109</v>
      </c>
      <c r="CJ1661" s="1" t="s">
        <v>109</v>
      </c>
      <c r="CK1661" s="1"/>
      <c r="CL1661" s="1">
        <v>0</v>
      </c>
      <c r="CM1661" s="1">
        <v>0</v>
      </c>
      <c r="CN1661" s="1">
        <v>0</v>
      </c>
    </row>
    <row r="1662" spans="1:92" ht="14.25" customHeight="1" x14ac:dyDescent="0.15">
      <c r="A1662" s="1" t="s">
        <v>12525</v>
      </c>
      <c r="B1662" s="1" t="s">
        <v>95</v>
      </c>
      <c r="C1662" s="1" t="s">
        <v>1179</v>
      </c>
      <c r="D1662" s="1"/>
      <c r="E1662" s="1" t="s">
        <v>10959</v>
      </c>
      <c r="F1662" s="1" t="s">
        <v>355</v>
      </c>
      <c r="G1662" s="1" t="s">
        <v>12520</v>
      </c>
      <c r="H1662" s="1">
        <v>1</v>
      </c>
      <c r="I1662" s="1" t="s">
        <v>142</v>
      </c>
      <c r="J1662" s="1"/>
      <c r="K1662" s="1" t="s">
        <v>12521</v>
      </c>
      <c r="L1662" s="1"/>
      <c r="M1662" s="1" t="s">
        <v>574</v>
      </c>
      <c r="N1662" s="1">
        <v>1</v>
      </c>
      <c r="O1662" s="1">
        <v>0</v>
      </c>
      <c r="P1662" s="1" t="s">
        <v>103</v>
      </c>
      <c r="Q1662" s="1" t="s">
        <v>104</v>
      </c>
      <c r="R1662" s="1" t="s">
        <v>12526</v>
      </c>
      <c r="S1662" s="1" t="s">
        <v>12527</v>
      </c>
      <c r="T1662" s="1" t="s">
        <v>12517</v>
      </c>
      <c r="U1662" s="1" t="s">
        <v>12528</v>
      </c>
      <c r="V1662" s="1">
        <v>1</v>
      </c>
      <c r="W1662" s="1">
        <v>1</v>
      </c>
      <c r="X1662" s="1">
        <v>0</v>
      </c>
      <c r="Y1662" s="1">
        <v>0</v>
      </c>
      <c r="Z1662" s="1">
        <v>1</v>
      </c>
      <c r="AA1662" s="1">
        <v>5</v>
      </c>
      <c r="AB1662" s="1">
        <v>5</v>
      </c>
      <c r="AC1662" s="1">
        <v>5</v>
      </c>
      <c r="AD1662" s="1" t="s">
        <v>109</v>
      </c>
      <c r="AE1662" s="1" t="s">
        <v>109</v>
      </c>
      <c r="AF1662" s="1" t="s">
        <v>109</v>
      </c>
      <c r="AG1662" s="1" t="s">
        <v>109</v>
      </c>
      <c r="AH1662" s="1" t="s">
        <v>109</v>
      </c>
      <c r="AI1662" s="1">
        <v>4</v>
      </c>
      <c r="AJ1662" s="1">
        <v>5</v>
      </c>
      <c r="AK1662" s="1" t="s">
        <v>109</v>
      </c>
      <c r="AL1662" s="1">
        <v>5</v>
      </c>
      <c r="AM1662" s="1" t="s">
        <v>109</v>
      </c>
      <c r="AN1662" s="1" t="s">
        <v>109</v>
      </c>
      <c r="AO1662" s="1" t="s">
        <v>109</v>
      </c>
      <c r="AP1662" s="1"/>
      <c r="AQ1662" s="1">
        <v>5</v>
      </c>
      <c r="AR1662" s="1"/>
      <c r="AS1662" s="1"/>
      <c r="AT1662" s="1">
        <v>0</v>
      </c>
      <c r="AU1662" s="1">
        <v>0</v>
      </c>
      <c r="AV1662" s="1">
        <v>0</v>
      </c>
      <c r="AW1662" s="1">
        <v>0</v>
      </c>
      <c r="AX1662" s="1">
        <v>0</v>
      </c>
      <c r="AY1662" s="1">
        <v>0</v>
      </c>
      <c r="AZ1662" s="1">
        <v>0</v>
      </c>
      <c r="BA1662" s="1">
        <v>0</v>
      </c>
      <c r="BB1662" s="1">
        <v>0</v>
      </c>
      <c r="BC1662" s="1">
        <v>0</v>
      </c>
      <c r="BD1662" s="1">
        <v>0</v>
      </c>
      <c r="BE1662" s="1">
        <v>0</v>
      </c>
      <c r="BF1662" s="1">
        <v>0</v>
      </c>
      <c r="BG1662" s="1">
        <v>0</v>
      </c>
      <c r="BH1662" s="1">
        <v>0</v>
      </c>
      <c r="BI1662" s="1">
        <v>0</v>
      </c>
      <c r="BJ1662" s="1">
        <v>0</v>
      </c>
      <c r="BK1662" s="1">
        <v>0</v>
      </c>
      <c r="BL1662" s="1">
        <v>0</v>
      </c>
      <c r="BM1662" s="1">
        <v>0</v>
      </c>
      <c r="BN1662" s="1">
        <v>0</v>
      </c>
      <c r="BO1662" s="1">
        <v>0</v>
      </c>
      <c r="BP1662" s="1">
        <v>0</v>
      </c>
      <c r="BQ1662" s="1">
        <v>0</v>
      </c>
      <c r="BR1662" s="1">
        <v>0</v>
      </c>
      <c r="BS1662" s="1" t="s">
        <v>109</v>
      </c>
      <c r="BT1662" s="1">
        <v>1730</v>
      </c>
      <c r="BU1662" s="1">
        <v>50</v>
      </c>
      <c r="BV1662" s="1"/>
      <c r="BW1662" s="1"/>
      <c r="BX1662" s="1"/>
      <c r="BY1662" s="1"/>
      <c r="BZ1662" s="1">
        <v>0</v>
      </c>
      <c r="CA1662" s="1" t="s">
        <v>109</v>
      </c>
      <c r="CB1662" s="1" t="s">
        <v>109</v>
      </c>
      <c r="CC1662" s="1" t="s">
        <v>109</v>
      </c>
      <c r="CD1662" s="1" t="s">
        <v>109</v>
      </c>
      <c r="CE1662" s="1" t="s">
        <v>109</v>
      </c>
      <c r="CF1662" s="1" t="s">
        <v>109</v>
      </c>
      <c r="CG1662" s="1" t="s">
        <v>109</v>
      </c>
      <c r="CH1662" s="1" t="s">
        <v>109</v>
      </c>
      <c r="CI1662" s="1" t="s">
        <v>109</v>
      </c>
      <c r="CJ1662" s="1" t="s">
        <v>109</v>
      </c>
      <c r="CK1662" s="1"/>
      <c r="CL1662" s="1">
        <v>0</v>
      </c>
      <c r="CM1662" s="1">
        <v>0</v>
      </c>
      <c r="CN1662" s="1">
        <v>0</v>
      </c>
    </row>
    <row r="1663" spans="1:92" ht="14.25" customHeight="1" x14ac:dyDescent="0.15">
      <c r="A1663" s="1" t="s">
        <v>12529</v>
      </c>
      <c r="B1663" s="1" t="s">
        <v>95</v>
      </c>
      <c r="C1663" s="1" t="s">
        <v>1179</v>
      </c>
      <c r="D1663" s="1"/>
      <c r="E1663" s="1" t="s">
        <v>12530</v>
      </c>
      <c r="F1663" s="1" t="s">
        <v>355</v>
      </c>
      <c r="G1663" s="1" t="s">
        <v>12520</v>
      </c>
      <c r="H1663" s="1">
        <v>1</v>
      </c>
      <c r="I1663" s="1" t="s">
        <v>142</v>
      </c>
      <c r="J1663" s="1"/>
      <c r="K1663" s="1" t="s">
        <v>12521</v>
      </c>
      <c r="L1663" s="1"/>
      <c r="M1663" s="1" t="s">
        <v>574</v>
      </c>
      <c r="N1663" s="1">
        <v>1</v>
      </c>
      <c r="O1663" s="1">
        <v>0</v>
      </c>
      <c r="P1663" s="1" t="s">
        <v>103</v>
      </c>
      <c r="Q1663" s="1" t="s">
        <v>104</v>
      </c>
      <c r="R1663" s="1" t="s">
        <v>12531</v>
      </c>
      <c r="S1663" s="1" t="s">
        <v>12532</v>
      </c>
      <c r="T1663" s="1" t="s">
        <v>12517</v>
      </c>
      <c r="U1663" s="1" t="s">
        <v>12533</v>
      </c>
      <c r="V1663" s="1">
        <v>1</v>
      </c>
      <c r="W1663" s="1">
        <v>1</v>
      </c>
      <c r="X1663" s="1">
        <v>0</v>
      </c>
      <c r="Y1663" s="1">
        <v>0</v>
      </c>
      <c r="Z1663" s="1">
        <v>1</v>
      </c>
      <c r="AA1663" s="1">
        <v>6</v>
      </c>
      <c r="AB1663" s="1">
        <v>6</v>
      </c>
      <c r="AC1663" s="1">
        <v>6</v>
      </c>
      <c r="AD1663" s="1" t="s">
        <v>109</v>
      </c>
      <c r="AE1663" s="1" t="s">
        <v>109</v>
      </c>
      <c r="AF1663" s="1" t="s">
        <v>109</v>
      </c>
      <c r="AG1663" s="1" t="s">
        <v>109</v>
      </c>
      <c r="AH1663" s="1" t="s">
        <v>109</v>
      </c>
      <c r="AI1663" s="1">
        <v>5</v>
      </c>
      <c r="AJ1663" s="1">
        <v>6</v>
      </c>
      <c r="AK1663" s="1" t="s">
        <v>109</v>
      </c>
      <c r="AL1663" s="1">
        <v>6</v>
      </c>
      <c r="AM1663" s="1" t="s">
        <v>109</v>
      </c>
      <c r="AN1663" s="1" t="s">
        <v>109</v>
      </c>
      <c r="AO1663" s="1" t="s">
        <v>109</v>
      </c>
      <c r="AP1663" s="1"/>
      <c r="AQ1663" s="1">
        <v>6</v>
      </c>
      <c r="AR1663" s="1"/>
      <c r="AS1663" s="1"/>
      <c r="AT1663" s="1">
        <v>0</v>
      </c>
      <c r="AU1663" s="1">
        <v>0</v>
      </c>
      <c r="AV1663" s="1">
        <v>0</v>
      </c>
      <c r="AW1663" s="1">
        <v>0</v>
      </c>
      <c r="AX1663" s="1">
        <v>0</v>
      </c>
      <c r="AY1663" s="1">
        <v>0</v>
      </c>
      <c r="AZ1663" s="1">
        <v>0</v>
      </c>
      <c r="BA1663" s="1">
        <v>0</v>
      </c>
      <c r="BB1663" s="1">
        <v>0</v>
      </c>
      <c r="BC1663" s="1">
        <v>0</v>
      </c>
      <c r="BD1663" s="1">
        <v>0</v>
      </c>
      <c r="BE1663" s="1">
        <v>0</v>
      </c>
      <c r="BF1663" s="1">
        <v>0</v>
      </c>
      <c r="BG1663" s="1">
        <v>0</v>
      </c>
      <c r="BH1663" s="1">
        <v>0</v>
      </c>
      <c r="BI1663" s="1">
        <v>0</v>
      </c>
      <c r="BJ1663" s="1">
        <v>0</v>
      </c>
      <c r="BK1663" s="1">
        <v>0</v>
      </c>
      <c r="BL1663" s="1">
        <v>0</v>
      </c>
      <c r="BM1663" s="1">
        <v>0</v>
      </c>
      <c r="BN1663" s="1">
        <v>0</v>
      </c>
      <c r="BO1663" s="1">
        <v>0</v>
      </c>
      <c r="BP1663" s="1">
        <v>0</v>
      </c>
      <c r="BQ1663" s="1">
        <v>0</v>
      </c>
      <c r="BR1663" s="1">
        <v>0</v>
      </c>
      <c r="BS1663" s="1" t="s">
        <v>109</v>
      </c>
      <c r="BT1663" s="1">
        <v>1731</v>
      </c>
      <c r="BU1663" s="1">
        <v>50</v>
      </c>
      <c r="BV1663" s="1"/>
      <c r="BW1663" s="1"/>
      <c r="BX1663" s="1"/>
      <c r="BY1663" s="1"/>
      <c r="BZ1663" s="1">
        <v>0</v>
      </c>
      <c r="CA1663" s="1" t="s">
        <v>109</v>
      </c>
      <c r="CB1663" s="1" t="s">
        <v>109</v>
      </c>
      <c r="CC1663" s="1" t="s">
        <v>109</v>
      </c>
      <c r="CD1663" s="1" t="s">
        <v>109</v>
      </c>
      <c r="CE1663" s="1" t="s">
        <v>109</v>
      </c>
      <c r="CF1663" s="1" t="s">
        <v>109</v>
      </c>
      <c r="CG1663" s="1" t="s">
        <v>109</v>
      </c>
      <c r="CH1663" s="1" t="s">
        <v>109</v>
      </c>
      <c r="CI1663" s="1" t="s">
        <v>109</v>
      </c>
      <c r="CJ1663" s="1" t="s">
        <v>109</v>
      </c>
      <c r="CK1663" s="1"/>
      <c r="CL1663" s="1">
        <v>0</v>
      </c>
      <c r="CM1663" s="1">
        <v>0</v>
      </c>
      <c r="CN1663" s="1">
        <v>0</v>
      </c>
    </row>
    <row r="1664" spans="1:92" ht="14.25" customHeight="1" x14ac:dyDescent="0.15">
      <c r="A1664" s="1" t="s">
        <v>12534</v>
      </c>
      <c r="B1664" s="1" t="s">
        <v>674</v>
      </c>
      <c r="C1664" s="1" t="s">
        <v>675</v>
      </c>
      <c r="D1664" s="1"/>
      <c r="E1664" s="1" t="s">
        <v>12535</v>
      </c>
      <c r="F1664" s="1" t="s">
        <v>98</v>
      </c>
      <c r="G1664" s="1" t="s">
        <v>160</v>
      </c>
      <c r="H1664" s="1">
        <v>0</v>
      </c>
      <c r="I1664" s="1" t="s">
        <v>235</v>
      </c>
      <c r="J1664" s="1"/>
      <c r="K1664" s="1"/>
      <c r="L1664" s="1" t="s">
        <v>236</v>
      </c>
      <c r="M1664" s="1" t="s">
        <v>5642</v>
      </c>
      <c r="N1664" s="1">
        <v>0</v>
      </c>
      <c r="O1664" s="1">
        <v>0</v>
      </c>
      <c r="P1664" s="1" t="s">
        <v>7979</v>
      </c>
      <c r="Q1664" s="1" t="s">
        <v>104</v>
      </c>
      <c r="R1664" s="1" t="s">
        <v>12536</v>
      </c>
      <c r="S1664" s="1" t="s">
        <v>12537</v>
      </c>
      <c r="T1664" s="1" t="s">
        <v>12517</v>
      </c>
      <c r="U1664" s="1" t="s">
        <v>12538</v>
      </c>
      <c r="V1664" s="1">
        <v>1</v>
      </c>
      <c r="W1664" s="1">
        <v>1</v>
      </c>
      <c r="X1664" s="1">
        <v>0</v>
      </c>
      <c r="Y1664" s="1">
        <v>0</v>
      </c>
      <c r="Z1664" s="1">
        <v>1</v>
      </c>
      <c r="AA1664" s="1" t="s">
        <v>109</v>
      </c>
      <c r="AB1664" s="1" t="s">
        <v>109</v>
      </c>
      <c r="AC1664" s="1">
        <v>2</v>
      </c>
      <c r="AD1664" s="1">
        <v>2</v>
      </c>
      <c r="AE1664" s="1">
        <v>1</v>
      </c>
      <c r="AF1664" s="1" t="s">
        <v>109</v>
      </c>
      <c r="AG1664" s="1">
        <v>1</v>
      </c>
      <c r="AH1664" s="1" t="s">
        <v>109</v>
      </c>
      <c r="AI1664" s="1" t="s">
        <v>109</v>
      </c>
      <c r="AJ1664" s="1" t="s">
        <v>109</v>
      </c>
      <c r="AK1664" s="1">
        <v>2</v>
      </c>
      <c r="AL1664" s="1">
        <v>2</v>
      </c>
      <c r="AM1664" s="1">
        <v>1</v>
      </c>
      <c r="AN1664" s="1" t="s">
        <v>109</v>
      </c>
      <c r="AO1664" s="1">
        <v>2</v>
      </c>
      <c r="AP1664" s="1"/>
      <c r="AQ1664" s="1">
        <v>2</v>
      </c>
      <c r="AR1664" s="1"/>
      <c r="AS1664" s="1"/>
      <c r="AT1664" s="1">
        <v>0</v>
      </c>
      <c r="AU1664" s="1">
        <v>0</v>
      </c>
      <c r="AV1664" s="1">
        <v>0</v>
      </c>
      <c r="AW1664" s="1">
        <v>0</v>
      </c>
      <c r="AX1664" s="1">
        <v>0</v>
      </c>
      <c r="AY1664" s="1">
        <v>0</v>
      </c>
      <c r="AZ1664" s="1">
        <v>0</v>
      </c>
      <c r="BA1664" s="1">
        <v>0</v>
      </c>
      <c r="BB1664" s="1">
        <v>0</v>
      </c>
      <c r="BC1664" s="1">
        <v>0</v>
      </c>
      <c r="BD1664" s="1">
        <v>0</v>
      </c>
      <c r="BE1664" s="1">
        <v>0</v>
      </c>
      <c r="BF1664" s="1">
        <v>0</v>
      </c>
      <c r="BG1664" s="1">
        <v>0</v>
      </c>
      <c r="BH1664" s="1">
        <v>0</v>
      </c>
      <c r="BI1664" s="1">
        <v>0</v>
      </c>
      <c r="BJ1664" s="1">
        <v>0</v>
      </c>
      <c r="BK1664" s="1">
        <v>0</v>
      </c>
      <c r="BL1664" s="1">
        <v>0</v>
      </c>
      <c r="BM1664" s="1">
        <v>0</v>
      </c>
      <c r="BN1664" s="1">
        <v>0</v>
      </c>
      <c r="BO1664" s="1">
        <v>0</v>
      </c>
      <c r="BP1664" s="1">
        <v>0</v>
      </c>
      <c r="BQ1664" s="1">
        <v>0</v>
      </c>
      <c r="BR1664" s="1">
        <v>0</v>
      </c>
      <c r="BS1664" s="1" t="s">
        <v>109</v>
      </c>
      <c r="BT1664" s="1">
        <v>1732</v>
      </c>
      <c r="BU1664" s="1" t="s">
        <v>109</v>
      </c>
      <c r="BV1664" s="1"/>
      <c r="BW1664" s="1"/>
      <c r="BX1664" s="1"/>
      <c r="BY1664" s="1"/>
      <c r="BZ1664" s="1">
        <v>0</v>
      </c>
      <c r="CA1664" s="1" t="s">
        <v>109</v>
      </c>
      <c r="CB1664" s="1" t="s">
        <v>109</v>
      </c>
      <c r="CC1664" s="1" t="s">
        <v>109</v>
      </c>
      <c r="CD1664" s="1" t="s">
        <v>109</v>
      </c>
      <c r="CE1664" s="1" t="s">
        <v>109</v>
      </c>
      <c r="CF1664" s="1" t="s">
        <v>109</v>
      </c>
      <c r="CG1664" s="1" t="s">
        <v>109</v>
      </c>
      <c r="CH1664" s="1" t="s">
        <v>109</v>
      </c>
      <c r="CI1664" s="1" t="s">
        <v>109</v>
      </c>
      <c r="CJ1664" s="1">
        <v>1</v>
      </c>
      <c r="CK1664" s="1"/>
      <c r="CL1664" s="1">
        <v>0</v>
      </c>
      <c r="CM1664" s="1">
        <v>0</v>
      </c>
      <c r="CN1664" s="1">
        <v>0</v>
      </c>
    </row>
    <row r="1665" spans="1:92" ht="14.25" customHeight="1" x14ac:dyDescent="0.15">
      <c r="A1665" s="1" t="s">
        <v>12539</v>
      </c>
      <c r="B1665" s="1" t="s">
        <v>189</v>
      </c>
      <c r="C1665" s="1"/>
      <c r="D1665" s="1"/>
      <c r="E1665" s="1" t="s">
        <v>12540</v>
      </c>
      <c r="F1665" s="1" t="s">
        <v>98</v>
      </c>
      <c r="G1665" s="1" t="s">
        <v>141</v>
      </c>
      <c r="H1665" s="1">
        <v>0</v>
      </c>
      <c r="I1665" s="1" t="s">
        <v>142</v>
      </c>
      <c r="J1665" s="1"/>
      <c r="K1665" s="1"/>
      <c r="L1665" s="1" t="s">
        <v>12541</v>
      </c>
      <c r="M1665" s="1" t="s">
        <v>3042</v>
      </c>
      <c r="N1665" s="1">
        <v>0</v>
      </c>
      <c r="O1665" s="1">
        <v>0</v>
      </c>
      <c r="P1665" s="1" t="s">
        <v>6066</v>
      </c>
      <c r="Q1665" s="1" t="s">
        <v>268</v>
      </c>
      <c r="R1665" s="1" t="s">
        <v>12542</v>
      </c>
      <c r="S1665" s="1" t="s">
        <v>12543</v>
      </c>
      <c r="T1665" s="1" t="s">
        <v>12544</v>
      </c>
      <c r="U1665" s="1" t="s">
        <v>12545</v>
      </c>
      <c r="V1665" s="1">
        <v>1</v>
      </c>
      <c r="W1665" s="1">
        <v>1</v>
      </c>
      <c r="X1665" s="1">
        <v>0</v>
      </c>
      <c r="Y1665" s="1">
        <v>0</v>
      </c>
      <c r="Z1665" s="1">
        <v>0</v>
      </c>
      <c r="AA1665" s="1">
        <v>4</v>
      </c>
      <c r="AB1665" s="1">
        <v>4</v>
      </c>
      <c r="AC1665" s="1">
        <v>4</v>
      </c>
      <c r="AD1665" s="1" t="s">
        <v>109</v>
      </c>
      <c r="AE1665" s="1" t="s">
        <v>109</v>
      </c>
      <c r="AF1665" s="1" t="s">
        <v>109</v>
      </c>
      <c r="AG1665" s="1" t="s">
        <v>109</v>
      </c>
      <c r="AH1665" s="1" t="s">
        <v>109</v>
      </c>
      <c r="AI1665" s="1" t="s">
        <v>109</v>
      </c>
      <c r="AJ1665" s="1">
        <v>4</v>
      </c>
      <c r="AK1665" s="1" t="s">
        <v>109</v>
      </c>
      <c r="AL1665" s="1">
        <v>4</v>
      </c>
      <c r="AM1665" s="1">
        <v>2</v>
      </c>
      <c r="AN1665" s="1" t="s">
        <v>109</v>
      </c>
      <c r="AO1665" s="1" t="s">
        <v>109</v>
      </c>
      <c r="AP1665" s="1" t="s">
        <v>12546</v>
      </c>
      <c r="AQ1665" s="1">
        <v>4</v>
      </c>
      <c r="AR1665" s="1"/>
      <c r="AS1665" s="1"/>
      <c r="AT1665" s="1">
        <v>0</v>
      </c>
      <c r="AU1665" s="1">
        <v>0</v>
      </c>
      <c r="AV1665" s="1">
        <v>0</v>
      </c>
      <c r="AW1665" s="1">
        <v>0</v>
      </c>
      <c r="AX1665" s="1">
        <v>0</v>
      </c>
      <c r="AY1665" s="1">
        <v>0</v>
      </c>
      <c r="AZ1665" s="1">
        <v>0</v>
      </c>
      <c r="BA1665" s="1">
        <v>0</v>
      </c>
      <c r="BB1665" s="1">
        <v>0</v>
      </c>
      <c r="BC1665" s="1">
        <v>0</v>
      </c>
      <c r="BD1665" s="1">
        <v>0</v>
      </c>
      <c r="BE1665" s="1">
        <v>0</v>
      </c>
      <c r="BF1665" s="1">
        <v>0</v>
      </c>
      <c r="BG1665" s="1">
        <v>0</v>
      </c>
      <c r="BH1665" s="1">
        <v>0</v>
      </c>
      <c r="BI1665" s="1">
        <v>0</v>
      </c>
      <c r="BJ1665" s="1">
        <v>0</v>
      </c>
      <c r="BK1665" s="1">
        <v>0</v>
      </c>
      <c r="BL1665" s="1">
        <v>0</v>
      </c>
      <c r="BM1665" s="1">
        <v>0</v>
      </c>
      <c r="BN1665" s="1">
        <v>0</v>
      </c>
      <c r="BO1665" s="1">
        <v>0</v>
      </c>
      <c r="BP1665" s="1">
        <v>0</v>
      </c>
      <c r="BQ1665" s="1">
        <v>0</v>
      </c>
      <c r="BR1665" s="1">
        <v>0</v>
      </c>
      <c r="BS1665" s="1" t="s">
        <v>109</v>
      </c>
      <c r="BT1665" s="1">
        <v>1733</v>
      </c>
      <c r="BU1665" s="1" t="s">
        <v>109</v>
      </c>
      <c r="BV1665" s="1"/>
      <c r="BW1665" s="1"/>
      <c r="BX1665" s="1"/>
      <c r="BY1665" s="1"/>
      <c r="BZ1665" s="1">
        <v>0</v>
      </c>
      <c r="CA1665" s="1" t="s">
        <v>109</v>
      </c>
      <c r="CB1665" s="1" t="s">
        <v>109</v>
      </c>
      <c r="CC1665" s="1" t="s">
        <v>109</v>
      </c>
      <c r="CD1665" s="1" t="s">
        <v>109</v>
      </c>
      <c r="CE1665" s="1" t="s">
        <v>109</v>
      </c>
      <c r="CF1665" s="1" t="s">
        <v>109</v>
      </c>
      <c r="CG1665" s="1" t="s">
        <v>109</v>
      </c>
      <c r="CH1665" s="1" t="s">
        <v>109</v>
      </c>
      <c r="CI1665" s="1" t="s">
        <v>109</v>
      </c>
      <c r="CJ1665" s="1" t="s">
        <v>109</v>
      </c>
      <c r="CK1665" s="1"/>
      <c r="CL1665" s="1">
        <v>0</v>
      </c>
      <c r="CM1665" s="1">
        <v>0</v>
      </c>
      <c r="CN1665" s="1">
        <v>0</v>
      </c>
    </row>
    <row r="1666" spans="1:92" ht="14.25" customHeight="1" x14ac:dyDescent="0.15">
      <c r="A1666" s="1" t="s">
        <v>12547</v>
      </c>
      <c r="B1666" s="1" t="s">
        <v>308</v>
      </c>
      <c r="C1666" s="1"/>
      <c r="D1666" s="1"/>
      <c r="E1666" s="1" t="s">
        <v>387</v>
      </c>
      <c r="F1666" s="1" t="s">
        <v>98</v>
      </c>
      <c r="G1666" s="1" t="s">
        <v>12548</v>
      </c>
      <c r="H1666" s="1">
        <v>0</v>
      </c>
      <c r="I1666" s="1" t="s">
        <v>142</v>
      </c>
      <c r="J1666" s="1" t="s">
        <v>8030</v>
      </c>
      <c r="K1666" s="1"/>
      <c r="L1666" s="1"/>
      <c r="M1666" s="1" t="s">
        <v>144</v>
      </c>
      <c r="N1666" s="1">
        <v>0</v>
      </c>
      <c r="O1666" s="1">
        <v>0</v>
      </c>
      <c r="P1666" s="1" t="s">
        <v>2045</v>
      </c>
      <c r="Q1666" s="1" t="s">
        <v>268</v>
      </c>
      <c r="R1666" s="1" t="s">
        <v>12549</v>
      </c>
      <c r="S1666" s="1" t="s">
        <v>12550</v>
      </c>
      <c r="T1666" s="1" t="s">
        <v>12551</v>
      </c>
      <c r="U1666" s="1" t="s">
        <v>12552</v>
      </c>
      <c r="V1666" s="1">
        <v>1</v>
      </c>
      <c r="W1666" s="1">
        <v>1</v>
      </c>
      <c r="X1666" s="1">
        <v>1</v>
      </c>
      <c r="Y1666" s="1">
        <v>0</v>
      </c>
      <c r="Z1666" s="1">
        <v>0</v>
      </c>
      <c r="AA1666" s="1" t="s">
        <v>109</v>
      </c>
      <c r="AB1666" s="1" t="s">
        <v>109</v>
      </c>
      <c r="AC1666" s="1" t="s">
        <v>109</v>
      </c>
      <c r="AD1666" s="1">
        <v>4</v>
      </c>
      <c r="AE1666" s="1" t="s">
        <v>109</v>
      </c>
      <c r="AF1666" s="1" t="s">
        <v>109</v>
      </c>
      <c r="AG1666" s="1" t="s">
        <v>109</v>
      </c>
      <c r="AH1666" s="1" t="s">
        <v>109</v>
      </c>
      <c r="AI1666" s="1" t="s">
        <v>109</v>
      </c>
      <c r="AJ1666" s="1" t="s">
        <v>109</v>
      </c>
      <c r="AK1666" s="1" t="s">
        <v>109</v>
      </c>
      <c r="AL1666" s="1" t="s">
        <v>109</v>
      </c>
      <c r="AM1666" s="1" t="s">
        <v>109</v>
      </c>
      <c r="AN1666" s="1" t="s">
        <v>109</v>
      </c>
      <c r="AO1666" s="1" t="s">
        <v>109</v>
      </c>
      <c r="AP1666" s="1"/>
      <c r="AQ1666" s="1">
        <v>4</v>
      </c>
      <c r="AR1666" s="1"/>
      <c r="AS1666" s="1"/>
      <c r="AT1666" s="1">
        <v>0</v>
      </c>
      <c r="AU1666" s="1">
        <v>0</v>
      </c>
      <c r="AV1666" s="1">
        <v>0</v>
      </c>
      <c r="AW1666" s="1">
        <v>0</v>
      </c>
      <c r="AX1666" s="1">
        <v>0</v>
      </c>
      <c r="AY1666" s="1">
        <v>0</v>
      </c>
      <c r="AZ1666" s="1">
        <v>0</v>
      </c>
      <c r="BA1666" s="1">
        <v>0</v>
      </c>
      <c r="BB1666" s="1">
        <v>0</v>
      </c>
      <c r="BC1666" s="1">
        <v>0</v>
      </c>
      <c r="BD1666" s="1">
        <v>0</v>
      </c>
      <c r="BE1666" s="1">
        <v>0</v>
      </c>
      <c r="BF1666" s="1">
        <v>0</v>
      </c>
      <c r="BG1666" s="1">
        <v>0</v>
      </c>
      <c r="BH1666" s="1">
        <v>0</v>
      </c>
      <c r="BI1666" s="1">
        <v>0</v>
      </c>
      <c r="BJ1666" s="1">
        <v>0</v>
      </c>
      <c r="BK1666" s="1">
        <v>0</v>
      </c>
      <c r="BL1666" s="1">
        <v>0</v>
      </c>
      <c r="BM1666" s="1">
        <v>0</v>
      </c>
      <c r="BN1666" s="1">
        <v>0</v>
      </c>
      <c r="BO1666" s="1">
        <v>0</v>
      </c>
      <c r="BP1666" s="1">
        <v>0</v>
      </c>
      <c r="BQ1666" s="1">
        <v>0</v>
      </c>
      <c r="BR1666" s="1">
        <v>0</v>
      </c>
      <c r="BS1666" s="1" t="s">
        <v>109</v>
      </c>
      <c r="BT1666" s="1">
        <v>1734</v>
      </c>
      <c r="BU1666" s="1" t="s">
        <v>109</v>
      </c>
      <c r="BV1666" s="1"/>
      <c r="BW1666" s="1"/>
      <c r="BX1666" s="1"/>
      <c r="BY1666" s="1"/>
      <c r="BZ1666" s="1">
        <v>0</v>
      </c>
      <c r="CA1666" s="1" t="s">
        <v>109</v>
      </c>
      <c r="CB1666" s="1" t="s">
        <v>109</v>
      </c>
      <c r="CC1666" s="1" t="s">
        <v>109</v>
      </c>
      <c r="CD1666" s="1" t="s">
        <v>109</v>
      </c>
      <c r="CE1666" s="1" t="s">
        <v>109</v>
      </c>
      <c r="CF1666" s="1" t="s">
        <v>109</v>
      </c>
      <c r="CG1666" s="1" t="s">
        <v>109</v>
      </c>
      <c r="CH1666" s="1" t="s">
        <v>109</v>
      </c>
      <c r="CI1666" s="1" t="s">
        <v>109</v>
      </c>
      <c r="CJ1666" s="1">
        <v>4</v>
      </c>
      <c r="CK1666" s="1"/>
      <c r="CL1666" s="1">
        <v>0</v>
      </c>
      <c r="CM1666" s="1">
        <v>0</v>
      </c>
      <c r="CN1666" s="1">
        <v>0</v>
      </c>
    </row>
    <row r="1667" spans="1:92" ht="14.25" customHeight="1" x14ac:dyDescent="0.15">
      <c r="A1667" s="1" t="s">
        <v>12553</v>
      </c>
      <c r="B1667" s="1" t="s">
        <v>156</v>
      </c>
      <c r="C1667" s="1" t="s">
        <v>157</v>
      </c>
      <c r="D1667" s="1" t="s">
        <v>158</v>
      </c>
      <c r="E1667" s="1" t="s">
        <v>4247</v>
      </c>
      <c r="F1667" s="1" t="s">
        <v>98</v>
      </c>
      <c r="G1667" s="1" t="s">
        <v>141</v>
      </c>
      <c r="H1667" s="1">
        <v>0</v>
      </c>
      <c r="I1667" s="1" t="s">
        <v>142</v>
      </c>
      <c r="J1667" s="1"/>
      <c r="K1667" s="1"/>
      <c r="L1667" s="1" t="s">
        <v>563</v>
      </c>
      <c r="M1667" s="1" t="s">
        <v>125</v>
      </c>
      <c r="N1667" s="1">
        <v>0</v>
      </c>
      <c r="O1667" s="1">
        <v>0</v>
      </c>
      <c r="P1667" s="1" t="s">
        <v>301</v>
      </c>
      <c r="Q1667" s="1" t="s">
        <v>268</v>
      </c>
      <c r="R1667" s="1" t="s">
        <v>12554</v>
      </c>
      <c r="S1667" s="1" t="s">
        <v>12555</v>
      </c>
      <c r="T1667" s="1" t="s">
        <v>12551</v>
      </c>
      <c r="U1667" s="1" t="s">
        <v>12556</v>
      </c>
      <c r="V1667" s="1">
        <v>1</v>
      </c>
      <c r="W1667" s="1">
        <v>1</v>
      </c>
      <c r="X1667" s="1">
        <v>0</v>
      </c>
      <c r="Y1667" s="1">
        <v>0</v>
      </c>
      <c r="Z1667" s="1">
        <v>0</v>
      </c>
      <c r="AA1667" s="1">
        <v>4</v>
      </c>
      <c r="AB1667" s="1">
        <v>4</v>
      </c>
      <c r="AC1667" s="1" t="s">
        <v>109</v>
      </c>
      <c r="AD1667" s="1" t="s">
        <v>109</v>
      </c>
      <c r="AE1667" s="1" t="s">
        <v>109</v>
      </c>
      <c r="AF1667" s="1">
        <v>4</v>
      </c>
      <c r="AG1667" s="1" t="s">
        <v>109</v>
      </c>
      <c r="AH1667" s="1" t="s">
        <v>109</v>
      </c>
      <c r="AI1667" s="1" t="s">
        <v>109</v>
      </c>
      <c r="AJ1667" s="1">
        <v>4</v>
      </c>
      <c r="AK1667" s="1" t="s">
        <v>109</v>
      </c>
      <c r="AL1667" s="1" t="s">
        <v>109</v>
      </c>
      <c r="AM1667" s="1" t="s">
        <v>109</v>
      </c>
      <c r="AN1667" s="1" t="s">
        <v>109</v>
      </c>
      <c r="AO1667" s="1" t="s">
        <v>109</v>
      </c>
      <c r="AP1667" s="1"/>
      <c r="AQ1667" s="1">
        <v>4</v>
      </c>
      <c r="AR1667" s="1"/>
      <c r="AS1667" s="1"/>
      <c r="AT1667" s="1">
        <v>0</v>
      </c>
      <c r="AU1667" s="1">
        <v>0</v>
      </c>
      <c r="AV1667" s="1">
        <v>0</v>
      </c>
      <c r="AW1667" s="1">
        <v>0</v>
      </c>
      <c r="AX1667" s="1">
        <v>0</v>
      </c>
      <c r="AY1667" s="1">
        <v>0</v>
      </c>
      <c r="AZ1667" s="1">
        <v>0</v>
      </c>
      <c r="BA1667" s="1">
        <v>0</v>
      </c>
      <c r="BB1667" s="1">
        <v>0</v>
      </c>
      <c r="BC1667" s="1">
        <v>0</v>
      </c>
      <c r="BD1667" s="1">
        <v>0</v>
      </c>
      <c r="BE1667" s="1">
        <v>0</v>
      </c>
      <c r="BF1667" s="1">
        <v>0</v>
      </c>
      <c r="BG1667" s="1">
        <v>0</v>
      </c>
      <c r="BH1667" s="1">
        <v>0</v>
      </c>
      <c r="BI1667" s="1">
        <v>0</v>
      </c>
      <c r="BJ1667" s="1">
        <v>0</v>
      </c>
      <c r="BK1667" s="1">
        <v>0</v>
      </c>
      <c r="BL1667" s="1">
        <v>0</v>
      </c>
      <c r="BM1667" s="1">
        <v>1</v>
      </c>
      <c r="BN1667" s="1">
        <v>0</v>
      </c>
      <c r="BO1667" s="1">
        <v>0</v>
      </c>
      <c r="BP1667" s="1">
        <v>0</v>
      </c>
      <c r="BQ1667" s="1">
        <v>0</v>
      </c>
      <c r="BR1667" s="1">
        <v>0</v>
      </c>
      <c r="BS1667" s="1" t="s">
        <v>109</v>
      </c>
      <c r="BT1667" s="1">
        <v>1735</v>
      </c>
      <c r="BU1667" s="1" t="s">
        <v>109</v>
      </c>
      <c r="BV1667" s="1"/>
      <c r="BW1667" s="1"/>
      <c r="BX1667" s="1"/>
      <c r="BY1667" s="1"/>
      <c r="BZ1667" s="1">
        <v>0</v>
      </c>
      <c r="CA1667" s="1" t="s">
        <v>109</v>
      </c>
      <c r="CB1667" s="1" t="s">
        <v>109</v>
      </c>
      <c r="CC1667" s="1" t="s">
        <v>109</v>
      </c>
      <c r="CD1667" s="1" t="s">
        <v>109</v>
      </c>
      <c r="CE1667" s="1" t="s">
        <v>109</v>
      </c>
      <c r="CF1667" s="1" t="s">
        <v>109</v>
      </c>
      <c r="CG1667" s="1" t="s">
        <v>109</v>
      </c>
      <c r="CH1667" s="1" t="s">
        <v>109</v>
      </c>
      <c r="CI1667" s="1" t="s">
        <v>109</v>
      </c>
      <c r="CJ1667" s="1" t="s">
        <v>109</v>
      </c>
      <c r="CK1667" s="1"/>
      <c r="CL1667" s="1">
        <v>0</v>
      </c>
      <c r="CM1667" s="1">
        <v>0</v>
      </c>
      <c r="CN1667" s="1">
        <v>0</v>
      </c>
    </row>
    <row r="1668" spans="1:92" ht="14.25" customHeight="1" x14ac:dyDescent="0.15">
      <c r="A1668" s="1" t="s">
        <v>12557</v>
      </c>
      <c r="B1668" s="1" t="s">
        <v>584</v>
      </c>
      <c r="C1668" s="1"/>
      <c r="D1668" s="1" t="s">
        <v>69</v>
      </c>
      <c r="E1668" s="1" t="s">
        <v>599</v>
      </c>
      <c r="F1668" s="1" t="s">
        <v>98</v>
      </c>
      <c r="G1668" s="1" t="s">
        <v>333</v>
      </c>
      <c r="H1668" s="1">
        <v>0</v>
      </c>
      <c r="I1668" s="1" t="s">
        <v>600</v>
      </c>
      <c r="J1668" s="1" t="s">
        <v>12558</v>
      </c>
      <c r="K1668" s="1"/>
      <c r="L1668" s="1"/>
      <c r="M1668" s="1" t="s">
        <v>144</v>
      </c>
      <c r="N1668" s="1">
        <v>0</v>
      </c>
      <c r="O1668" s="1">
        <v>0</v>
      </c>
      <c r="P1668" s="1" t="s">
        <v>258</v>
      </c>
      <c r="Q1668" s="1" t="s">
        <v>268</v>
      </c>
      <c r="R1668" s="1" t="s">
        <v>12559</v>
      </c>
      <c r="S1668" s="1" t="s">
        <v>12560</v>
      </c>
      <c r="T1668" s="1" t="s">
        <v>12551</v>
      </c>
      <c r="U1668" s="1" t="s">
        <v>12561</v>
      </c>
      <c r="V1668" s="1">
        <v>1</v>
      </c>
      <c r="W1668" s="1">
        <v>0</v>
      </c>
      <c r="X1668" s="1">
        <v>0</v>
      </c>
      <c r="Y1668" s="1">
        <v>0</v>
      </c>
      <c r="Z1668" s="1">
        <v>0</v>
      </c>
      <c r="AA1668" s="1" t="s">
        <v>109</v>
      </c>
      <c r="AB1668" s="1" t="s">
        <v>109</v>
      </c>
      <c r="AC1668" s="1">
        <v>7</v>
      </c>
      <c r="AD1668" s="1" t="s">
        <v>109</v>
      </c>
      <c r="AE1668" s="1" t="s">
        <v>109</v>
      </c>
      <c r="AF1668" s="1" t="s">
        <v>109</v>
      </c>
      <c r="AG1668" s="1" t="s">
        <v>109</v>
      </c>
      <c r="AH1668" s="1" t="s">
        <v>109</v>
      </c>
      <c r="AI1668" s="1" t="s">
        <v>109</v>
      </c>
      <c r="AJ1668" s="1" t="s">
        <v>109</v>
      </c>
      <c r="AK1668" s="1">
        <v>6</v>
      </c>
      <c r="AL1668" s="1">
        <v>7</v>
      </c>
      <c r="AM1668" s="1" t="s">
        <v>109</v>
      </c>
      <c r="AN1668" s="1" t="s">
        <v>109</v>
      </c>
      <c r="AO1668" s="1" t="s">
        <v>109</v>
      </c>
      <c r="AP1668" s="1"/>
      <c r="AQ1668" s="1">
        <v>7</v>
      </c>
      <c r="AR1668" s="1"/>
      <c r="AS1668" s="1"/>
      <c r="AT1668" s="1">
        <v>0</v>
      </c>
      <c r="AU1668" s="1">
        <v>0</v>
      </c>
      <c r="AV1668" s="1">
        <v>0</v>
      </c>
      <c r="AW1668" s="1">
        <v>0</v>
      </c>
      <c r="AX1668" s="1">
        <v>0</v>
      </c>
      <c r="AY1668" s="1">
        <v>0</v>
      </c>
      <c r="AZ1668" s="1">
        <v>0</v>
      </c>
      <c r="BA1668" s="1">
        <v>0</v>
      </c>
      <c r="BB1668" s="1">
        <v>0</v>
      </c>
      <c r="BC1668" s="1">
        <v>0</v>
      </c>
      <c r="BD1668" s="1">
        <v>0</v>
      </c>
      <c r="BE1668" s="1">
        <v>0</v>
      </c>
      <c r="BF1668" s="1">
        <v>0</v>
      </c>
      <c r="BG1668" s="1">
        <v>0</v>
      </c>
      <c r="BH1668" s="1">
        <v>0</v>
      </c>
      <c r="BI1668" s="1">
        <v>0</v>
      </c>
      <c r="BJ1668" s="1">
        <v>0</v>
      </c>
      <c r="BK1668" s="1">
        <v>0</v>
      </c>
      <c r="BL1668" s="1">
        <v>0</v>
      </c>
      <c r="BM1668" s="1">
        <v>0</v>
      </c>
      <c r="BN1668" s="1">
        <v>0</v>
      </c>
      <c r="BO1668" s="1">
        <v>0</v>
      </c>
      <c r="BP1668" s="1">
        <v>0</v>
      </c>
      <c r="BQ1668" s="1">
        <v>1</v>
      </c>
      <c r="BR1668" s="1">
        <v>0</v>
      </c>
      <c r="BS1668" s="1" t="s">
        <v>109</v>
      </c>
      <c r="BT1668" s="1">
        <v>1736</v>
      </c>
      <c r="BU1668" s="1" t="s">
        <v>109</v>
      </c>
      <c r="BV1668" s="1"/>
      <c r="BW1668" s="1"/>
      <c r="BX1668" s="1"/>
      <c r="BY1668" s="1"/>
      <c r="BZ1668" s="1">
        <v>0</v>
      </c>
      <c r="CA1668" s="1" t="s">
        <v>109</v>
      </c>
      <c r="CB1668" s="1" t="s">
        <v>109</v>
      </c>
      <c r="CC1668" s="1" t="s">
        <v>109</v>
      </c>
      <c r="CD1668" s="1" t="s">
        <v>109</v>
      </c>
      <c r="CE1668" s="1" t="s">
        <v>109</v>
      </c>
      <c r="CF1668" s="1" t="s">
        <v>109</v>
      </c>
      <c r="CG1668" s="1" t="s">
        <v>109</v>
      </c>
      <c r="CH1668" s="1" t="s">
        <v>109</v>
      </c>
      <c r="CI1668" s="1" t="s">
        <v>109</v>
      </c>
      <c r="CJ1668" s="1" t="s">
        <v>109</v>
      </c>
      <c r="CK1668" s="1"/>
      <c r="CL1668" s="1">
        <v>0</v>
      </c>
      <c r="CM1668" s="1">
        <v>0</v>
      </c>
      <c r="CN1668" s="1">
        <v>0</v>
      </c>
    </row>
    <row r="1669" spans="1:92" ht="14.25" customHeight="1" x14ac:dyDescent="0.15">
      <c r="A1669" s="1" t="s">
        <v>12562</v>
      </c>
      <c r="B1669" s="1" t="s">
        <v>584</v>
      </c>
      <c r="C1669" s="1"/>
      <c r="D1669" s="1"/>
      <c r="E1669" s="1" t="s">
        <v>823</v>
      </c>
      <c r="F1669" s="1" t="s">
        <v>98</v>
      </c>
      <c r="G1669" s="1" t="s">
        <v>141</v>
      </c>
      <c r="H1669" s="1">
        <v>0</v>
      </c>
      <c r="I1669" s="1" t="s">
        <v>122</v>
      </c>
      <c r="J1669" s="1" t="s">
        <v>824</v>
      </c>
      <c r="K1669" s="1"/>
      <c r="L1669" s="1"/>
      <c r="M1669" s="1" t="s">
        <v>825</v>
      </c>
      <c r="N1669" s="1">
        <v>0</v>
      </c>
      <c r="O1669" s="1">
        <v>0</v>
      </c>
      <c r="P1669" s="1" t="s">
        <v>826</v>
      </c>
      <c r="Q1669" s="1" t="s">
        <v>268</v>
      </c>
      <c r="R1669" s="1" t="s">
        <v>12563</v>
      </c>
      <c r="S1669" s="1" t="s">
        <v>12564</v>
      </c>
      <c r="T1669" s="1" t="s">
        <v>12551</v>
      </c>
      <c r="U1669" s="1" t="s">
        <v>12565</v>
      </c>
      <c r="V1669" s="1">
        <v>1</v>
      </c>
      <c r="W1669" s="1">
        <v>1</v>
      </c>
      <c r="X1669" s="1">
        <v>0</v>
      </c>
      <c r="Y1669" s="1">
        <v>0</v>
      </c>
      <c r="Z1669" s="1">
        <v>0</v>
      </c>
      <c r="AA1669" s="1" t="s">
        <v>109</v>
      </c>
      <c r="AB1669" s="1" t="s">
        <v>109</v>
      </c>
      <c r="AC1669" s="1">
        <v>4</v>
      </c>
      <c r="AD1669" s="1" t="s">
        <v>109</v>
      </c>
      <c r="AE1669" s="1" t="s">
        <v>109</v>
      </c>
      <c r="AF1669" s="1" t="s">
        <v>109</v>
      </c>
      <c r="AG1669" s="1" t="s">
        <v>109</v>
      </c>
      <c r="AH1669" s="1" t="s">
        <v>109</v>
      </c>
      <c r="AI1669" s="1" t="s">
        <v>109</v>
      </c>
      <c r="AJ1669" s="1" t="s">
        <v>109</v>
      </c>
      <c r="AK1669" s="1">
        <v>4</v>
      </c>
      <c r="AL1669" s="1">
        <v>4</v>
      </c>
      <c r="AM1669" s="1" t="s">
        <v>109</v>
      </c>
      <c r="AN1669" s="1" t="s">
        <v>109</v>
      </c>
      <c r="AO1669" s="1" t="s">
        <v>109</v>
      </c>
      <c r="AP1669" s="1"/>
      <c r="AQ1669" s="1">
        <v>4</v>
      </c>
      <c r="AR1669" s="1"/>
      <c r="AS1669" s="1"/>
      <c r="AT1669" s="1">
        <v>0</v>
      </c>
      <c r="AU1669" s="1">
        <v>0</v>
      </c>
      <c r="AV1669" s="1">
        <v>0</v>
      </c>
      <c r="AW1669" s="1">
        <v>0</v>
      </c>
      <c r="AX1669" s="1">
        <v>0</v>
      </c>
      <c r="AY1669" s="1">
        <v>0</v>
      </c>
      <c r="AZ1669" s="1">
        <v>0</v>
      </c>
      <c r="BA1669" s="1">
        <v>0</v>
      </c>
      <c r="BB1669" s="1">
        <v>0</v>
      </c>
      <c r="BC1669" s="1">
        <v>0</v>
      </c>
      <c r="BD1669" s="1">
        <v>0</v>
      </c>
      <c r="BE1669" s="1">
        <v>0</v>
      </c>
      <c r="BF1669" s="1">
        <v>0</v>
      </c>
      <c r="BG1669" s="1">
        <v>0</v>
      </c>
      <c r="BH1669" s="1">
        <v>0</v>
      </c>
      <c r="BI1669" s="1">
        <v>0</v>
      </c>
      <c r="BJ1669" s="1">
        <v>0</v>
      </c>
      <c r="BK1669" s="1">
        <v>0</v>
      </c>
      <c r="BL1669" s="1">
        <v>0</v>
      </c>
      <c r="BM1669" s="1">
        <v>0</v>
      </c>
      <c r="BN1669" s="1">
        <v>0</v>
      </c>
      <c r="BO1669" s="1">
        <v>0</v>
      </c>
      <c r="BP1669" s="1">
        <v>0</v>
      </c>
      <c r="BQ1669" s="1">
        <v>0</v>
      </c>
      <c r="BR1669" s="1">
        <v>0</v>
      </c>
      <c r="BS1669" s="1" t="s">
        <v>109</v>
      </c>
      <c r="BT1669" s="1">
        <v>1737</v>
      </c>
      <c r="BU1669" s="1" t="s">
        <v>109</v>
      </c>
      <c r="BV1669" s="1"/>
      <c r="BW1669" s="1"/>
      <c r="BX1669" s="1"/>
      <c r="BY1669" s="1"/>
      <c r="BZ1669" s="1">
        <v>0</v>
      </c>
      <c r="CA1669" s="1" t="s">
        <v>109</v>
      </c>
      <c r="CB1669" s="1" t="s">
        <v>109</v>
      </c>
      <c r="CC1669" s="1" t="s">
        <v>109</v>
      </c>
      <c r="CD1669" s="1" t="s">
        <v>109</v>
      </c>
      <c r="CE1669" s="1" t="s">
        <v>109</v>
      </c>
      <c r="CF1669" s="1" t="s">
        <v>109</v>
      </c>
      <c r="CG1669" s="1" t="s">
        <v>109</v>
      </c>
      <c r="CH1669" s="1" t="s">
        <v>109</v>
      </c>
      <c r="CI1669" s="1" t="s">
        <v>109</v>
      </c>
      <c r="CJ1669" s="1" t="s">
        <v>109</v>
      </c>
      <c r="CK1669" s="1"/>
      <c r="CL1669" s="1">
        <v>0</v>
      </c>
      <c r="CM1669" s="1">
        <v>0</v>
      </c>
      <c r="CN1669" s="1">
        <v>0</v>
      </c>
    </row>
    <row r="1670" spans="1:92" ht="14.25" customHeight="1" x14ac:dyDescent="0.15">
      <c r="A1670" s="1" t="s">
        <v>12566</v>
      </c>
      <c r="B1670" s="1" t="s">
        <v>242</v>
      </c>
      <c r="C1670" s="1"/>
      <c r="D1670" s="1"/>
      <c r="E1670" s="1" t="s">
        <v>913</v>
      </c>
      <c r="F1670" s="1" t="s">
        <v>98</v>
      </c>
      <c r="G1670" s="1" t="s">
        <v>12567</v>
      </c>
      <c r="H1670" s="1">
        <v>1</v>
      </c>
      <c r="I1670" s="1" t="s">
        <v>915</v>
      </c>
      <c r="J1670" s="1"/>
      <c r="K1670" s="1"/>
      <c r="L1670" s="1" t="s">
        <v>12568</v>
      </c>
      <c r="M1670" s="1" t="s">
        <v>574</v>
      </c>
      <c r="N1670" s="1">
        <v>1</v>
      </c>
      <c r="O1670" s="1">
        <v>0</v>
      </c>
      <c r="P1670" s="1" t="s">
        <v>211</v>
      </c>
      <c r="Q1670" s="1" t="s">
        <v>167</v>
      </c>
      <c r="R1670" s="1" t="s">
        <v>12569</v>
      </c>
      <c r="S1670" s="1" t="s">
        <v>12570</v>
      </c>
      <c r="T1670" s="1" t="s">
        <v>12551</v>
      </c>
      <c r="U1670" s="1" t="s">
        <v>12571</v>
      </c>
      <c r="V1670" s="1">
        <v>1</v>
      </c>
      <c r="W1670" s="1">
        <v>1</v>
      </c>
      <c r="X1670" s="1">
        <v>0</v>
      </c>
      <c r="Y1670" s="1">
        <v>0</v>
      </c>
      <c r="Z1670" s="1">
        <v>0</v>
      </c>
      <c r="AA1670" s="1" t="s">
        <v>109</v>
      </c>
      <c r="AB1670" s="1" t="s">
        <v>109</v>
      </c>
      <c r="AC1670" s="1">
        <v>8</v>
      </c>
      <c r="AD1670" s="1" t="s">
        <v>109</v>
      </c>
      <c r="AE1670" s="1" t="s">
        <v>109</v>
      </c>
      <c r="AF1670" s="1" t="s">
        <v>109</v>
      </c>
      <c r="AG1670" s="1" t="s">
        <v>109</v>
      </c>
      <c r="AH1670" s="1" t="s">
        <v>109</v>
      </c>
      <c r="AI1670" s="1" t="s">
        <v>109</v>
      </c>
      <c r="AJ1670" s="1" t="s">
        <v>109</v>
      </c>
      <c r="AK1670" s="1" t="s">
        <v>109</v>
      </c>
      <c r="AL1670" s="1">
        <v>8</v>
      </c>
      <c r="AM1670" s="1" t="s">
        <v>109</v>
      </c>
      <c r="AN1670" s="1" t="s">
        <v>109</v>
      </c>
      <c r="AO1670" s="1" t="s">
        <v>109</v>
      </c>
      <c r="AP1670" s="1"/>
      <c r="AQ1670" s="1">
        <v>8</v>
      </c>
      <c r="AR1670" s="1"/>
      <c r="AS1670" s="1"/>
      <c r="AT1670" s="1">
        <v>0</v>
      </c>
      <c r="AU1670" s="1">
        <v>0</v>
      </c>
      <c r="AV1670" s="1">
        <v>0</v>
      </c>
      <c r="AW1670" s="1">
        <v>0</v>
      </c>
      <c r="AX1670" s="1">
        <v>0</v>
      </c>
      <c r="AY1670" s="1">
        <v>0</v>
      </c>
      <c r="AZ1670" s="1">
        <v>0</v>
      </c>
      <c r="BA1670" s="1">
        <v>0</v>
      </c>
      <c r="BB1670" s="1">
        <v>0</v>
      </c>
      <c r="BC1670" s="1">
        <v>0</v>
      </c>
      <c r="BD1670" s="1">
        <v>0</v>
      </c>
      <c r="BE1670" s="1">
        <v>0</v>
      </c>
      <c r="BF1670" s="1">
        <v>0</v>
      </c>
      <c r="BG1670" s="1">
        <v>0</v>
      </c>
      <c r="BH1670" s="1">
        <v>0</v>
      </c>
      <c r="BI1670" s="1">
        <v>0</v>
      </c>
      <c r="BJ1670" s="1">
        <v>0</v>
      </c>
      <c r="BK1670" s="1">
        <v>0</v>
      </c>
      <c r="BL1670" s="1">
        <v>0</v>
      </c>
      <c r="BM1670" s="1">
        <v>0</v>
      </c>
      <c r="BN1670" s="1">
        <v>0</v>
      </c>
      <c r="BO1670" s="1">
        <v>0</v>
      </c>
      <c r="BP1670" s="1">
        <v>0</v>
      </c>
      <c r="BQ1670" s="1">
        <v>0</v>
      </c>
      <c r="BR1670" s="1">
        <v>0</v>
      </c>
      <c r="BS1670" s="1" t="s">
        <v>109</v>
      </c>
      <c r="BT1670" s="1">
        <v>1738</v>
      </c>
      <c r="BU1670" s="1">
        <v>500</v>
      </c>
      <c r="BV1670" s="1"/>
      <c r="BW1670" s="1"/>
      <c r="BX1670" s="1"/>
      <c r="BY1670" s="1"/>
      <c r="BZ1670" s="1">
        <v>0</v>
      </c>
      <c r="CA1670" s="1" t="s">
        <v>109</v>
      </c>
      <c r="CB1670" s="1" t="s">
        <v>109</v>
      </c>
      <c r="CC1670" s="1" t="s">
        <v>109</v>
      </c>
      <c r="CD1670" s="1" t="s">
        <v>109</v>
      </c>
      <c r="CE1670" s="1" t="s">
        <v>109</v>
      </c>
      <c r="CF1670" s="1" t="s">
        <v>109</v>
      </c>
      <c r="CG1670" s="1" t="s">
        <v>109</v>
      </c>
      <c r="CH1670" s="1" t="s">
        <v>109</v>
      </c>
      <c r="CI1670" s="1" t="s">
        <v>109</v>
      </c>
      <c r="CJ1670" s="1" t="s">
        <v>109</v>
      </c>
      <c r="CK1670" s="1"/>
      <c r="CL1670" s="1">
        <v>0</v>
      </c>
      <c r="CM1670" s="1">
        <v>0</v>
      </c>
      <c r="CN1670" s="1">
        <v>0</v>
      </c>
    </row>
    <row r="1671" spans="1:92" ht="14.25" customHeight="1" x14ac:dyDescent="0.15">
      <c r="A1671" s="1" t="s">
        <v>12572</v>
      </c>
      <c r="B1671" s="1" t="s">
        <v>242</v>
      </c>
      <c r="C1671" s="1"/>
      <c r="D1671" s="1"/>
      <c r="E1671" s="1" t="s">
        <v>447</v>
      </c>
      <c r="F1671" s="1" t="s">
        <v>98</v>
      </c>
      <c r="G1671" s="1" t="s">
        <v>160</v>
      </c>
      <c r="H1671" s="1">
        <v>0</v>
      </c>
      <c r="I1671" s="1" t="s">
        <v>161</v>
      </c>
      <c r="J1671" s="1"/>
      <c r="K1671" s="1"/>
      <c r="L1671" s="1" t="s">
        <v>12573</v>
      </c>
      <c r="M1671" s="1" t="s">
        <v>1587</v>
      </c>
      <c r="N1671" s="1">
        <v>0</v>
      </c>
      <c r="O1671" s="1">
        <v>0</v>
      </c>
      <c r="P1671" s="1" t="s">
        <v>211</v>
      </c>
      <c r="Q1671" s="1" t="s">
        <v>211</v>
      </c>
      <c r="R1671" s="1" t="s">
        <v>12574</v>
      </c>
      <c r="S1671" s="1" t="s">
        <v>12575</v>
      </c>
      <c r="T1671" s="1" t="s">
        <v>12551</v>
      </c>
      <c r="U1671" s="1" t="s">
        <v>12576</v>
      </c>
      <c r="V1671" s="1">
        <v>1</v>
      </c>
      <c r="W1671" s="1">
        <v>1</v>
      </c>
      <c r="X1671" s="1">
        <v>0</v>
      </c>
      <c r="Y1671" s="1">
        <v>0</v>
      </c>
      <c r="Z1671" s="1">
        <v>1</v>
      </c>
      <c r="AA1671" s="1" t="s">
        <v>109</v>
      </c>
      <c r="AB1671" s="1" t="s">
        <v>109</v>
      </c>
      <c r="AC1671" s="1">
        <v>5</v>
      </c>
      <c r="AD1671" s="1">
        <v>5</v>
      </c>
      <c r="AE1671" s="1" t="s">
        <v>109</v>
      </c>
      <c r="AF1671" s="1" t="s">
        <v>109</v>
      </c>
      <c r="AG1671" s="1" t="s">
        <v>109</v>
      </c>
      <c r="AH1671" s="1" t="s">
        <v>109</v>
      </c>
      <c r="AI1671" s="1" t="s">
        <v>109</v>
      </c>
      <c r="AJ1671" s="1" t="s">
        <v>109</v>
      </c>
      <c r="AK1671" s="1">
        <v>5</v>
      </c>
      <c r="AL1671" s="1">
        <v>5</v>
      </c>
      <c r="AM1671" s="1" t="s">
        <v>109</v>
      </c>
      <c r="AN1671" s="1" t="s">
        <v>109</v>
      </c>
      <c r="AO1671" s="1" t="s">
        <v>109</v>
      </c>
      <c r="AP1671" s="1"/>
      <c r="AQ1671" s="1">
        <v>5</v>
      </c>
      <c r="AR1671" s="1"/>
      <c r="AS1671" s="1"/>
      <c r="AT1671" s="1">
        <v>0</v>
      </c>
      <c r="AU1671" s="1">
        <v>0</v>
      </c>
      <c r="AV1671" s="1">
        <v>0</v>
      </c>
      <c r="AW1671" s="1">
        <v>0</v>
      </c>
      <c r="AX1671" s="1">
        <v>0</v>
      </c>
      <c r="AY1671" s="1">
        <v>0</v>
      </c>
      <c r="AZ1671" s="1">
        <v>0</v>
      </c>
      <c r="BA1671" s="1">
        <v>0</v>
      </c>
      <c r="BB1671" s="1">
        <v>0</v>
      </c>
      <c r="BC1671" s="1">
        <v>0</v>
      </c>
      <c r="BD1671" s="1">
        <v>0</v>
      </c>
      <c r="BE1671" s="1">
        <v>0</v>
      </c>
      <c r="BF1671" s="1">
        <v>0</v>
      </c>
      <c r="BG1671" s="1">
        <v>0</v>
      </c>
      <c r="BH1671" s="1">
        <v>0</v>
      </c>
      <c r="BI1671" s="1">
        <v>0</v>
      </c>
      <c r="BJ1671" s="1">
        <v>0</v>
      </c>
      <c r="BK1671" s="1">
        <v>0</v>
      </c>
      <c r="BL1671" s="1">
        <v>0</v>
      </c>
      <c r="BM1671" s="1">
        <v>0</v>
      </c>
      <c r="BN1671" s="1">
        <v>0</v>
      </c>
      <c r="BO1671" s="1">
        <v>0</v>
      </c>
      <c r="BP1671" s="1">
        <v>0</v>
      </c>
      <c r="BQ1671" s="1">
        <v>0</v>
      </c>
      <c r="BR1671" s="1">
        <v>0</v>
      </c>
      <c r="BS1671" s="1" t="s">
        <v>109</v>
      </c>
      <c r="BT1671" s="1">
        <v>1739</v>
      </c>
      <c r="BU1671" s="1" t="s">
        <v>109</v>
      </c>
      <c r="BV1671" s="1"/>
      <c r="BW1671" s="1"/>
      <c r="BX1671" s="1"/>
      <c r="BY1671" s="1"/>
      <c r="BZ1671" s="1">
        <v>0</v>
      </c>
      <c r="CA1671" s="1" t="s">
        <v>109</v>
      </c>
      <c r="CB1671" s="1" t="s">
        <v>109</v>
      </c>
      <c r="CC1671" s="1" t="s">
        <v>109</v>
      </c>
      <c r="CD1671" s="1" t="s">
        <v>109</v>
      </c>
      <c r="CE1671" s="1" t="s">
        <v>109</v>
      </c>
      <c r="CF1671" s="1" t="s">
        <v>109</v>
      </c>
      <c r="CG1671" s="1" t="s">
        <v>109</v>
      </c>
      <c r="CH1671" s="1" t="s">
        <v>109</v>
      </c>
      <c r="CI1671" s="1" t="s">
        <v>109</v>
      </c>
      <c r="CJ1671" s="1">
        <v>5</v>
      </c>
      <c r="CK1671" s="1"/>
      <c r="CL1671" s="1">
        <v>0</v>
      </c>
      <c r="CM1671" s="1">
        <v>0</v>
      </c>
      <c r="CN1671" s="1">
        <v>0</v>
      </c>
    </row>
    <row r="1672" spans="1:92" ht="14.25" customHeight="1" x14ac:dyDescent="0.15">
      <c r="A1672" s="1" t="s">
        <v>12577</v>
      </c>
      <c r="B1672" s="1" t="s">
        <v>242</v>
      </c>
      <c r="C1672" s="1"/>
      <c r="D1672" s="1"/>
      <c r="E1672" s="1" t="s">
        <v>12578</v>
      </c>
      <c r="F1672" s="1" t="s">
        <v>98</v>
      </c>
      <c r="G1672" s="1" t="s">
        <v>160</v>
      </c>
      <c r="H1672" s="1">
        <v>0</v>
      </c>
      <c r="I1672" s="1" t="s">
        <v>142</v>
      </c>
      <c r="J1672" s="1"/>
      <c r="K1672" s="1"/>
      <c r="L1672" s="1" t="s">
        <v>12579</v>
      </c>
      <c r="M1672" s="1" t="s">
        <v>300</v>
      </c>
      <c r="N1672" s="1">
        <v>0</v>
      </c>
      <c r="O1672" s="1">
        <v>0</v>
      </c>
      <c r="P1672" s="1" t="s">
        <v>507</v>
      </c>
      <c r="Q1672" s="1" t="s">
        <v>167</v>
      </c>
      <c r="R1672" s="1" t="s">
        <v>12580</v>
      </c>
      <c r="S1672" s="1" t="s">
        <v>12581</v>
      </c>
      <c r="T1672" s="1" t="s">
        <v>12551</v>
      </c>
      <c r="U1672" s="1" t="s">
        <v>12582</v>
      </c>
      <c r="V1672" s="1">
        <v>1</v>
      </c>
      <c r="W1672" s="1">
        <v>1</v>
      </c>
      <c r="X1672" s="1">
        <v>0</v>
      </c>
      <c r="Y1672" s="1">
        <v>0</v>
      </c>
      <c r="Z1672" s="1">
        <v>1</v>
      </c>
      <c r="AA1672" s="1" t="s">
        <v>109</v>
      </c>
      <c r="AB1672" s="1" t="s">
        <v>109</v>
      </c>
      <c r="AC1672" s="1">
        <v>2</v>
      </c>
      <c r="AD1672" s="1">
        <v>2</v>
      </c>
      <c r="AE1672" s="1" t="s">
        <v>109</v>
      </c>
      <c r="AF1672" s="1" t="s">
        <v>109</v>
      </c>
      <c r="AG1672" s="1" t="s">
        <v>109</v>
      </c>
      <c r="AH1672" s="1" t="s">
        <v>109</v>
      </c>
      <c r="AI1672" s="1" t="s">
        <v>109</v>
      </c>
      <c r="AJ1672" s="1" t="s">
        <v>109</v>
      </c>
      <c r="AK1672" s="1" t="s">
        <v>109</v>
      </c>
      <c r="AL1672" s="1">
        <v>2</v>
      </c>
      <c r="AM1672" s="1" t="s">
        <v>109</v>
      </c>
      <c r="AN1672" s="1" t="s">
        <v>109</v>
      </c>
      <c r="AO1672" s="1" t="s">
        <v>109</v>
      </c>
      <c r="AP1672" s="1"/>
      <c r="AQ1672" s="1">
        <v>2</v>
      </c>
      <c r="AR1672" s="1"/>
      <c r="AS1672" s="1"/>
      <c r="AT1672" s="1">
        <v>0</v>
      </c>
      <c r="AU1672" s="1">
        <v>0</v>
      </c>
      <c r="AV1672" s="1">
        <v>0</v>
      </c>
      <c r="AW1672" s="1">
        <v>0</v>
      </c>
      <c r="AX1672" s="1">
        <v>0</v>
      </c>
      <c r="AY1672" s="1">
        <v>0</v>
      </c>
      <c r="AZ1672" s="1">
        <v>0</v>
      </c>
      <c r="BA1672" s="1">
        <v>0</v>
      </c>
      <c r="BB1672" s="1">
        <v>0</v>
      </c>
      <c r="BC1672" s="1">
        <v>0</v>
      </c>
      <c r="BD1672" s="1">
        <v>0</v>
      </c>
      <c r="BE1672" s="1">
        <v>0</v>
      </c>
      <c r="BF1672" s="1">
        <v>0</v>
      </c>
      <c r="BG1672" s="1">
        <v>0</v>
      </c>
      <c r="BH1672" s="1">
        <v>0</v>
      </c>
      <c r="BI1672" s="1">
        <v>0</v>
      </c>
      <c r="BJ1672" s="1">
        <v>0</v>
      </c>
      <c r="BK1672" s="1">
        <v>0</v>
      </c>
      <c r="BL1672" s="1">
        <v>0</v>
      </c>
      <c r="BM1672" s="1">
        <v>0</v>
      </c>
      <c r="BN1672" s="1">
        <v>0</v>
      </c>
      <c r="BO1672" s="1">
        <v>0</v>
      </c>
      <c r="BP1672" s="1">
        <v>0</v>
      </c>
      <c r="BQ1672" s="1">
        <v>0</v>
      </c>
      <c r="BR1672" s="1">
        <v>0</v>
      </c>
      <c r="BS1672" s="1" t="s">
        <v>109</v>
      </c>
      <c r="BT1672" s="1">
        <v>1740</v>
      </c>
      <c r="BU1672" s="1" t="s">
        <v>109</v>
      </c>
      <c r="BV1672" s="1"/>
      <c r="BW1672" s="1"/>
      <c r="BX1672" s="1"/>
      <c r="BY1672" s="1"/>
      <c r="BZ1672" s="1">
        <v>0</v>
      </c>
      <c r="CA1672" s="1" t="s">
        <v>109</v>
      </c>
      <c r="CB1672" s="1" t="s">
        <v>109</v>
      </c>
      <c r="CC1672" s="1" t="s">
        <v>109</v>
      </c>
      <c r="CD1672" s="1" t="s">
        <v>109</v>
      </c>
      <c r="CE1672" s="1" t="s">
        <v>109</v>
      </c>
      <c r="CF1672" s="1" t="s">
        <v>109</v>
      </c>
      <c r="CG1672" s="1" t="s">
        <v>109</v>
      </c>
      <c r="CH1672" s="1" t="s">
        <v>109</v>
      </c>
      <c r="CI1672" s="1" t="s">
        <v>109</v>
      </c>
      <c r="CJ1672" s="1">
        <v>2</v>
      </c>
      <c r="CK1672" s="1"/>
      <c r="CL1672" s="1">
        <v>0</v>
      </c>
      <c r="CM1672" s="1">
        <v>0</v>
      </c>
      <c r="CN1672" s="1">
        <v>0</v>
      </c>
    </row>
    <row r="1673" spans="1:92" ht="14.25" customHeight="1" x14ac:dyDescent="0.15">
      <c r="A1673" s="1" t="s">
        <v>12583</v>
      </c>
      <c r="B1673" s="1" t="s">
        <v>254</v>
      </c>
      <c r="C1673" s="1"/>
      <c r="D1673" s="1"/>
      <c r="E1673" s="1" t="s">
        <v>11740</v>
      </c>
      <c r="F1673" s="1" t="s">
        <v>98</v>
      </c>
      <c r="G1673" s="1" t="s">
        <v>141</v>
      </c>
      <c r="H1673" s="1">
        <v>0</v>
      </c>
      <c r="I1673" s="1" t="s">
        <v>161</v>
      </c>
      <c r="J1673" s="1"/>
      <c r="K1673" s="1"/>
      <c r="L1673" s="1" t="s">
        <v>12584</v>
      </c>
      <c r="M1673" s="1" t="s">
        <v>408</v>
      </c>
      <c r="N1673" s="1">
        <v>0</v>
      </c>
      <c r="O1673" s="1">
        <v>0</v>
      </c>
      <c r="P1673" s="1" t="s">
        <v>5812</v>
      </c>
      <c r="Q1673" s="1" t="s">
        <v>630</v>
      </c>
      <c r="R1673" s="1" t="s">
        <v>12585</v>
      </c>
      <c r="S1673" s="1" t="s">
        <v>12586</v>
      </c>
      <c r="T1673" s="1" t="s">
        <v>12587</v>
      </c>
      <c r="U1673" s="1" t="s">
        <v>12588</v>
      </c>
      <c r="V1673" s="1">
        <v>1</v>
      </c>
      <c r="W1673" s="1">
        <v>1</v>
      </c>
      <c r="X1673" s="1">
        <v>0</v>
      </c>
      <c r="Y1673" s="1">
        <v>0</v>
      </c>
      <c r="Z1673" s="1">
        <v>0</v>
      </c>
      <c r="AA1673" s="1">
        <v>3</v>
      </c>
      <c r="AB1673" s="1">
        <v>3</v>
      </c>
      <c r="AC1673" s="1" t="s">
        <v>109</v>
      </c>
      <c r="AD1673" s="1" t="s">
        <v>109</v>
      </c>
      <c r="AE1673" s="1" t="s">
        <v>109</v>
      </c>
      <c r="AF1673" s="1">
        <v>3</v>
      </c>
      <c r="AG1673" s="1" t="s">
        <v>109</v>
      </c>
      <c r="AH1673" s="1" t="s">
        <v>109</v>
      </c>
      <c r="AI1673" s="1" t="s">
        <v>109</v>
      </c>
      <c r="AJ1673" s="1">
        <v>3</v>
      </c>
      <c r="AK1673" s="1">
        <v>3</v>
      </c>
      <c r="AL1673" s="1" t="s">
        <v>109</v>
      </c>
      <c r="AM1673" s="1" t="s">
        <v>109</v>
      </c>
      <c r="AN1673" s="1" t="s">
        <v>109</v>
      </c>
      <c r="AO1673" s="1" t="s">
        <v>109</v>
      </c>
      <c r="AP1673" s="1"/>
      <c r="AQ1673" s="1">
        <v>3</v>
      </c>
      <c r="AR1673" s="1"/>
      <c r="AS1673" s="1"/>
      <c r="AT1673" s="1">
        <v>0</v>
      </c>
      <c r="AU1673" s="1">
        <v>0</v>
      </c>
      <c r="AV1673" s="1">
        <v>0</v>
      </c>
      <c r="AW1673" s="1">
        <v>0</v>
      </c>
      <c r="AX1673" s="1">
        <v>0</v>
      </c>
      <c r="AY1673" s="1">
        <v>0</v>
      </c>
      <c r="AZ1673" s="1">
        <v>0</v>
      </c>
      <c r="BA1673" s="1">
        <v>0</v>
      </c>
      <c r="BB1673" s="1">
        <v>0</v>
      </c>
      <c r="BC1673" s="1">
        <v>0</v>
      </c>
      <c r="BD1673" s="1">
        <v>0</v>
      </c>
      <c r="BE1673" s="1">
        <v>0</v>
      </c>
      <c r="BF1673" s="1">
        <v>0</v>
      </c>
      <c r="BG1673" s="1">
        <v>0</v>
      </c>
      <c r="BH1673" s="1">
        <v>0</v>
      </c>
      <c r="BI1673" s="1">
        <v>0</v>
      </c>
      <c r="BJ1673" s="1">
        <v>0</v>
      </c>
      <c r="BK1673" s="1">
        <v>0</v>
      </c>
      <c r="BL1673" s="1">
        <v>0</v>
      </c>
      <c r="BM1673" s="1">
        <v>0</v>
      </c>
      <c r="BN1673" s="1">
        <v>0</v>
      </c>
      <c r="BO1673" s="1">
        <v>0</v>
      </c>
      <c r="BP1673" s="1">
        <v>0</v>
      </c>
      <c r="BQ1673" s="1">
        <v>0</v>
      </c>
      <c r="BR1673" s="1">
        <v>0</v>
      </c>
      <c r="BS1673" s="1" t="s">
        <v>109</v>
      </c>
      <c r="BT1673" s="1">
        <v>1741</v>
      </c>
      <c r="BU1673" s="1" t="s">
        <v>109</v>
      </c>
      <c r="BV1673" s="1"/>
      <c r="BW1673" s="1"/>
      <c r="BX1673" s="1"/>
      <c r="BY1673" s="1"/>
      <c r="BZ1673" s="1">
        <v>0</v>
      </c>
      <c r="CA1673" s="1" t="s">
        <v>109</v>
      </c>
      <c r="CB1673" s="1" t="s">
        <v>109</v>
      </c>
      <c r="CC1673" s="1" t="s">
        <v>109</v>
      </c>
      <c r="CD1673" s="1" t="s">
        <v>109</v>
      </c>
      <c r="CE1673" s="1" t="s">
        <v>109</v>
      </c>
      <c r="CF1673" s="1" t="s">
        <v>109</v>
      </c>
      <c r="CG1673" s="1" t="s">
        <v>109</v>
      </c>
      <c r="CH1673" s="1" t="s">
        <v>109</v>
      </c>
      <c r="CI1673" s="1" t="s">
        <v>109</v>
      </c>
      <c r="CJ1673" s="1" t="s">
        <v>109</v>
      </c>
      <c r="CK1673" s="1"/>
      <c r="CL1673" s="1">
        <v>0</v>
      </c>
      <c r="CM1673" s="1">
        <v>0</v>
      </c>
      <c r="CN1673" s="1">
        <v>0</v>
      </c>
    </row>
    <row r="1674" spans="1:92" ht="14.25" customHeight="1" x14ac:dyDescent="0.15">
      <c r="A1674" s="1" t="s">
        <v>12589</v>
      </c>
      <c r="B1674" s="1" t="s">
        <v>95</v>
      </c>
      <c r="C1674" s="1" t="s">
        <v>1179</v>
      </c>
      <c r="D1674" s="1"/>
      <c r="E1674" s="1" t="s">
        <v>10959</v>
      </c>
      <c r="F1674" s="1" t="s">
        <v>355</v>
      </c>
      <c r="G1674" s="1" t="s">
        <v>12590</v>
      </c>
      <c r="H1674" s="1">
        <v>0</v>
      </c>
      <c r="I1674" s="1" t="s">
        <v>142</v>
      </c>
      <c r="J1674" s="1"/>
      <c r="K1674" s="1" t="s">
        <v>12591</v>
      </c>
      <c r="L1674" s="1"/>
      <c r="M1674" s="1" t="s">
        <v>574</v>
      </c>
      <c r="N1674" s="1">
        <v>1</v>
      </c>
      <c r="O1674" s="1">
        <v>0</v>
      </c>
      <c r="P1674" s="1" t="s">
        <v>103</v>
      </c>
      <c r="Q1674" s="1" t="s">
        <v>104</v>
      </c>
      <c r="R1674" s="1" t="s">
        <v>12592</v>
      </c>
      <c r="S1674" s="1" t="s">
        <v>12593</v>
      </c>
      <c r="T1674" s="1" t="s">
        <v>12594</v>
      </c>
      <c r="U1674" s="1" t="s">
        <v>12595</v>
      </c>
      <c r="V1674" s="1">
        <v>1</v>
      </c>
      <c r="W1674" s="1">
        <v>1</v>
      </c>
      <c r="X1674" s="1">
        <v>0</v>
      </c>
      <c r="Y1674" s="1">
        <v>0</v>
      </c>
      <c r="Z1674" s="1">
        <v>1</v>
      </c>
      <c r="AA1674" s="1">
        <v>5</v>
      </c>
      <c r="AB1674" s="1">
        <v>5</v>
      </c>
      <c r="AC1674" s="1">
        <v>5</v>
      </c>
      <c r="AD1674" s="1" t="s">
        <v>109</v>
      </c>
      <c r="AE1674" s="1" t="s">
        <v>109</v>
      </c>
      <c r="AF1674" s="1" t="s">
        <v>109</v>
      </c>
      <c r="AG1674" s="1" t="s">
        <v>109</v>
      </c>
      <c r="AH1674" s="1" t="s">
        <v>109</v>
      </c>
      <c r="AI1674" s="1">
        <v>4</v>
      </c>
      <c r="AJ1674" s="1">
        <v>5</v>
      </c>
      <c r="AK1674" s="1" t="s">
        <v>109</v>
      </c>
      <c r="AL1674" s="1">
        <v>5</v>
      </c>
      <c r="AM1674" s="1" t="s">
        <v>109</v>
      </c>
      <c r="AN1674" s="1" t="s">
        <v>109</v>
      </c>
      <c r="AO1674" s="1" t="s">
        <v>109</v>
      </c>
      <c r="AP1674" s="1"/>
      <c r="AQ1674" s="1">
        <v>5</v>
      </c>
      <c r="AR1674" s="1"/>
      <c r="AS1674" s="1"/>
      <c r="AT1674" s="1">
        <v>0</v>
      </c>
      <c r="AU1674" s="1">
        <v>0</v>
      </c>
      <c r="AV1674" s="1">
        <v>0</v>
      </c>
      <c r="AW1674" s="1">
        <v>0</v>
      </c>
      <c r="AX1674" s="1">
        <v>0</v>
      </c>
      <c r="AY1674" s="1">
        <v>0</v>
      </c>
      <c r="AZ1674" s="1">
        <v>0</v>
      </c>
      <c r="BA1674" s="1">
        <v>0</v>
      </c>
      <c r="BB1674" s="1">
        <v>0</v>
      </c>
      <c r="BC1674" s="1">
        <v>0</v>
      </c>
      <c r="BD1674" s="1">
        <v>0</v>
      </c>
      <c r="BE1674" s="1">
        <v>0</v>
      </c>
      <c r="BF1674" s="1">
        <v>0</v>
      </c>
      <c r="BG1674" s="1">
        <v>0</v>
      </c>
      <c r="BH1674" s="1">
        <v>0</v>
      </c>
      <c r="BI1674" s="1">
        <v>0</v>
      </c>
      <c r="BJ1674" s="1">
        <v>0</v>
      </c>
      <c r="BK1674" s="1">
        <v>0</v>
      </c>
      <c r="BL1674" s="1">
        <v>0</v>
      </c>
      <c r="BM1674" s="1">
        <v>0</v>
      </c>
      <c r="BN1674" s="1">
        <v>0</v>
      </c>
      <c r="BO1674" s="1">
        <v>0</v>
      </c>
      <c r="BP1674" s="1">
        <v>0</v>
      </c>
      <c r="BQ1674" s="1">
        <v>0</v>
      </c>
      <c r="BR1674" s="1">
        <v>0</v>
      </c>
      <c r="BS1674" s="1" t="s">
        <v>109</v>
      </c>
      <c r="BT1674" s="1">
        <v>1742</v>
      </c>
      <c r="BU1674" s="1" t="s">
        <v>109</v>
      </c>
      <c r="BV1674" s="1"/>
      <c r="BW1674" s="1"/>
      <c r="BX1674" s="1"/>
      <c r="BY1674" s="1"/>
      <c r="BZ1674" s="1">
        <v>0</v>
      </c>
      <c r="CA1674" s="1" t="s">
        <v>109</v>
      </c>
      <c r="CB1674" s="1" t="s">
        <v>109</v>
      </c>
      <c r="CC1674" s="1" t="s">
        <v>109</v>
      </c>
      <c r="CD1674" s="1" t="s">
        <v>109</v>
      </c>
      <c r="CE1674" s="1" t="s">
        <v>109</v>
      </c>
      <c r="CF1674" s="1" t="s">
        <v>109</v>
      </c>
      <c r="CG1674" s="1" t="s">
        <v>109</v>
      </c>
      <c r="CH1674" s="1" t="s">
        <v>109</v>
      </c>
      <c r="CI1674" s="1" t="s">
        <v>109</v>
      </c>
      <c r="CJ1674" s="1" t="s">
        <v>109</v>
      </c>
      <c r="CK1674" s="1"/>
      <c r="CL1674" s="1">
        <v>0</v>
      </c>
      <c r="CM1674" s="1">
        <v>0</v>
      </c>
      <c r="CN1674" s="1">
        <v>0</v>
      </c>
    </row>
    <row r="1675" spans="1:92" ht="14.25" customHeight="1" x14ac:dyDescent="0.15">
      <c r="A1675" s="1" t="s">
        <v>12596</v>
      </c>
      <c r="B1675" s="1" t="s">
        <v>95</v>
      </c>
      <c r="C1675" s="1" t="s">
        <v>1179</v>
      </c>
      <c r="D1675" s="1"/>
      <c r="E1675" s="1" t="s">
        <v>12530</v>
      </c>
      <c r="F1675" s="1" t="s">
        <v>355</v>
      </c>
      <c r="G1675" s="1" t="s">
        <v>12597</v>
      </c>
      <c r="H1675" s="1">
        <v>0</v>
      </c>
      <c r="I1675" s="1" t="s">
        <v>142</v>
      </c>
      <c r="J1675" s="1"/>
      <c r="K1675" s="1" t="s">
        <v>12598</v>
      </c>
      <c r="L1675" s="1"/>
      <c r="M1675" s="1" t="s">
        <v>574</v>
      </c>
      <c r="N1675" s="1">
        <v>1</v>
      </c>
      <c r="O1675" s="1">
        <v>0</v>
      </c>
      <c r="P1675" s="1" t="s">
        <v>103</v>
      </c>
      <c r="Q1675" s="1" t="s">
        <v>104</v>
      </c>
      <c r="R1675" s="1" t="s">
        <v>12599</v>
      </c>
      <c r="S1675" s="1" t="s">
        <v>12600</v>
      </c>
      <c r="T1675" s="1" t="s">
        <v>12594</v>
      </c>
      <c r="U1675" s="1" t="s">
        <v>12601</v>
      </c>
      <c r="V1675" s="1">
        <v>1</v>
      </c>
      <c r="W1675" s="1">
        <v>1</v>
      </c>
      <c r="X1675" s="1">
        <v>0</v>
      </c>
      <c r="Y1675" s="1">
        <v>0</v>
      </c>
      <c r="Z1675" s="1">
        <v>1</v>
      </c>
      <c r="AA1675" s="1">
        <v>6</v>
      </c>
      <c r="AB1675" s="1">
        <v>6</v>
      </c>
      <c r="AC1675" s="1">
        <v>6</v>
      </c>
      <c r="AD1675" s="1" t="s">
        <v>109</v>
      </c>
      <c r="AE1675" s="1" t="s">
        <v>109</v>
      </c>
      <c r="AF1675" s="1" t="s">
        <v>109</v>
      </c>
      <c r="AG1675" s="1" t="s">
        <v>109</v>
      </c>
      <c r="AH1675" s="1" t="s">
        <v>109</v>
      </c>
      <c r="AI1675" s="1">
        <v>5</v>
      </c>
      <c r="AJ1675" s="1">
        <v>6</v>
      </c>
      <c r="AK1675" s="1" t="s">
        <v>109</v>
      </c>
      <c r="AL1675" s="1">
        <v>6</v>
      </c>
      <c r="AM1675" s="1" t="s">
        <v>109</v>
      </c>
      <c r="AN1675" s="1" t="s">
        <v>109</v>
      </c>
      <c r="AO1675" s="1" t="s">
        <v>109</v>
      </c>
      <c r="AP1675" s="1"/>
      <c r="AQ1675" s="1">
        <v>6</v>
      </c>
      <c r="AR1675" s="1"/>
      <c r="AS1675" s="1"/>
      <c r="AT1675" s="1">
        <v>0</v>
      </c>
      <c r="AU1675" s="1">
        <v>0</v>
      </c>
      <c r="AV1675" s="1">
        <v>0</v>
      </c>
      <c r="AW1675" s="1">
        <v>0</v>
      </c>
      <c r="AX1675" s="1">
        <v>0</v>
      </c>
      <c r="AY1675" s="1">
        <v>0</v>
      </c>
      <c r="AZ1675" s="1">
        <v>0</v>
      </c>
      <c r="BA1675" s="1">
        <v>0</v>
      </c>
      <c r="BB1675" s="1">
        <v>0</v>
      </c>
      <c r="BC1675" s="1">
        <v>0</v>
      </c>
      <c r="BD1675" s="1">
        <v>0</v>
      </c>
      <c r="BE1675" s="1">
        <v>0</v>
      </c>
      <c r="BF1675" s="1">
        <v>0</v>
      </c>
      <c r="BG1675" s="1">
        <v>0</v>
      </c>
      <c r="BH1675" s="1">
        <v>0</v>
      </c>
      <c r="BI1675" s="1">
        <v>0</v>
      </c>
      <c r="BJ1675" s="1">
        <v>0</v>
      </c>
      <c r="BK1675" s="1">
        <v>0</v>
      </c>
      <c r="BL1675" s="1">
        <v>0</v>
      </c>
      <c r="BM1675" s="1">
        <v>0</v>
      </c>
      <c r="BN1675" s="1">
        <v>0</v>
      </c>
      <c r="BO1675" s="1">
        <v>0</v>
      </c>
      <c r="BP1675" s="1">
        <v>0</v>
      </c>
      <c r="BQ1675" s="1">
        <v>0</v>
      </c>
      <c r="BR1675" s="1">
        <v>0</v>
      </c>
      <c r="BS1675" s="1" t="s">
        <v>109</v>
      </c>
      <c r="BT1675" s="1">
        <v>1743</v>
      </c>
      <c r="BU1675" s="1" t="s">
        <v>109</v>
      </c>
      <c r="BV1675" s="1"/>
      <c r="BW1675" s="1"/>
      <c r="BX1675" s="1"/>
      <c r="BY1675" s="1"/>
      <c r="BZ1675" s="1">
        <v>0</v>
      </c>
      <c r="CA1675" s="1" t="s">
        <v>109</v>
      </c>
      <c r="CB1675" s="1" t="s">
        <v>109</v>
      </c>
      <c r="CC1675" s="1" t="s">
        <v>109</v>
      </c>
      <c r="CD1675" s="1" t="s">
        <v>109</v>
      </c>
      <c r="CE1675" s="1" t="s">
        <v>109</v>
      </c>
      <c r="CF1675" s="1" t="s">
        <v>109</v>
      </c>
      <c r="CG1675" s="1" t="s">
        <v>109</v>
      </c>
      <c r="CH1675" s="1" t="s">
        <v>109</v>
      </c>
      <c r="CI1675" s="1" t="s">
        <v>109</v>
      </c>
      <c r="CJ1675" s="1" t="s">
        <v>109</v>
      </c>
      <c r="CK1675" s="1"/>
      <c r="CL1675" s="1">
        <v>0</v>
      </c>
      <c r="CM1675" s="1">
        <v>0</v>
      </c>
      <c r="CN1675" s="1">
        <v>0</v>
      </c>
    </row>
    <row r="1676" spans="1:92" ht="14.25" customHeight="1" x14ac:dyDescent="0.15">
      <c r="A1676" s="1" t="s">
        <v>12602</v>
      </c>
      <c r="B1676" s="1" t="s">
        <v>308</v>
      </c>
      <c r="C1676" s="1"/>
      <c r="D1676" s="1"/>
      <c r="E1676" s="1" t="s">
        <v>8836</v>
      </c>
      <c r="F1676" s="1" t="s">
        <v>98</v>
      </c>
      <c r="G1676" s="1" t="s">
        <v>12603</v>
      </c>
      <c r="H1676" s="1">
        <v>1</v>
      </c>
      <c r="I1676" s="1" t="s">
        <v>235</v>
      </c>
      <c r="J1676" s="1"/>
      <c r="K1676" s="1"/>
      <c r="L1676" s="1" t="s">
        <v>236</v>
      </c>
      <c r="M1676" s="1" t="s">
        <v>12604</v>
      </c>
      <c r="N1676" s="1">
        <v>0</v>
      </c>
      <c r="O1676" s="1">
        <v>0</v>
      </c>
      <c r="P1676" s="1"/>
      <c r="Q1676" s="1"/>
      <c r="R1676" s="1" t="s">
        <v>12605</v>
      </c>
      <c r="S1676" s="1" t="s">
        <v>12606</v>
      </c>
      <c r="T1676" s="1" t="s">
        <v>12607</v>
      </c>
      <c r="U1676" s="1" t="s">
        <v>12608</v>
      </c>
      <c r="V1676" s="1">
        <v>1</v>
      </c>
      <c r="W1676" s="1">
        <v>1</v>
      </c>
      <c r="X1676" s="1">
        <v>0</v>
      </c>
      <c r="Y1676" s="1">
        <v>0</v>
      </c>
      <c r="Z1676" s="1">
        <v>0</v>
      </c>
      <c r="AA1676" s="1">
        <v>5</v>
      </c>
      <c r="AB1676" s="1">
        <v>5</v>
      </c>
      <c r="AC1676" s="1" t="s">
        <v>109</v>
      </c>
      <c r="AD1676" s="1" t="s">
        <v>109</v>
      </c>
      <c r="AE1676" s="1" t="s">
        <v>109</v>
      </c>
      <c r="AF1676" s="1" t="s">
        <v>109</v>
      </c>
      <c r="AG1676" s="1" t="s">
        <v>109</v>
      </c>
      <c r="AH1676" s="1" t="s">
        <v>109</v>
      </c>
      <c r="AI1676" s="1" t="s">
        <v>109</v>
      </c>
      <c r="AJ1676" s="1">
        <v>5</v>
      </c>
      <c r="AK1676" s="1" t="s">
        <v>109</v>
      </c>
      <c r="AL1676" s="1" t="s">
        <v>109</v>
      </c>
      <c r="AM1676" s="1" t="s">
        <v>109</v>
      </c>
      <c r="AN1676" s="1" t="s">
        <v>109</v>
      </c>
      <c r="AO1676" s="1" t="s">
        <v>109</v>
      </c>
      <c r="AP1676" s="1"/>
      <c r="AQ1676" s="1">
        <v>5</v>
      </c>
      <c r="AR1676" s="1"/>
      <c r="AS1676" s="1"/>
      <c r="AT1676" s="1">
        <v>0</v>
      </c>
      <c r="AU1676" s="1">
        <v>0</v>
      </c>
      <c r="AV1676" s="1">
        <v>0</v>
      </c>
      <c r="AW1676" s="1">
        <v>0</v>
      </c>
      <c r="AX1676" s="1">
        <v>0</v>
      </c>
      <c r="AY1676" s="1">
        <v>0</v>
      </c>
      <c r="AZ1676" s="1">
        <v>0</v>
      </c>
      <c r="BA1676" s="1">
        <v>0</v>
      </c>
      <c r="BB1676" s="1">
        <v>0</v>
      </c>
      <c r="BC1676" s="1">
        <v>0</v>
      </c>
      <c r="BD1676" s="1">
        <v>0</v>
      </c>
      <c r="BE1676" s="1">
        <v>0</v>
      </c>
      <c r="BF1676" s="1">
        <v>0</v>
      </c>
      <c r="BG1676" s="1">
        <v>0</v>
      </c>
      <c r="BH1676" s="1">
        <v>0</v>
      </c>
      <c r="BI1676" s="1">
        <v>0</v>
      </c>
      <c r="BJ1676" s="1">
        <v>0</v>
      </c>
      <c r="BK1676" s="1">
        <v>0</v>
      </c>
      <c r="BL1676" s="1">
        <v>0</v>
      </c>
      <c r="BM1676" s="1">
        <v>0</v>
      </c>
      <c r="BN1676" s="1">
        <v>0</v>
      </c>
      <c r="BO1676" s="1">
        <v>0</v>
      </c>
      <c r="BP1676" s="1">
        <v>0</v>
      </c>
      <c r="BQ1676" s="1">
        <v>0</v>
      </c>
      <c r="BR1676" s="1">
        <v>0</v>
      </c>
      <c r="BS1676" s="1" t="s">
        <v>109</v>
      </c>
      <c r="BT1676" s="1">
        <v>1744</v>
      </c>
      <c r="BU1676" s="1">
        <v>500</v>
      </c>
      <c r="BV1676" s="1"/>
      <c r="BW1676" s="1"/>
      <c r="BX1676" s="1"/>
      <c r="BY1676" s="1"/>
      <c r="BZ1676" s="1">
        <v>0</v>
      </c>
      <c r="CA1676" s="1" t="s">
        <v>109</v>
      </c>
      <c r="CB1676" s="1" t="s">
        <v>109</v>
      </c>
      <c r="CC1676" s="1" t="s">
        <v>109</v>
      </c>
      <c r="CD1676" s="1" t="s">
        <v>109</v>
      </c>
      <c r="CE1676" s="1" t="s">
        <v>109</v>
      </c>
      <c r="CF1676" s="1" t="s">
        <v>109</v>
      </c>
      <c r="CG1676" s="1" t="s">
        <v>109</v>
      </c>
      <c r="CH1676" s="1" t="s">
        <v>109</v>
      </c>
      <c r="CI1676" s="1" t="s">
        <v>109</v>
      </c>
      <c r="CJ1676" s="1" t="s">
        <v>109</v>
      </c>
      <c r="CK1676" s="1"/>
      <c r="CL1676" s="1">
        <v>0</v>
      </c>
      <c r="CM1676" s="1">
        <v>0</v>
      </c>
      <c r="CN1676" s="1">
        <v>0</v>
      </c>
    </row>
    <row r="1677" spans="1:92" ht="14.25" customHeight="1" x14ac:dyDescent="0.15">
      <c r="A1677" s="1" t="s">
        <v>12609</v>
      </c>
      <c r="B1677" s="1" t="s">
        <v>242</v>
      </c>
      <c r="C1677" s="1"/>
      <c r="D1677" s="1"/>
      <c r="E1677" s="1" t="s">
        <v>12610</v>
      </c>
      <c r="F1677" s="1" t="s">
        <v>98</v>
      </c>
      <c r="G1677" s="1" t="s">
        <v>160</v>
      </c>
      <c r="H1677" s="1">
        <v>0</v>
      </c>
      <c r="I1677" s="1" t="s">
        <v>161</v>
      </c>
      <c r="J1677" s="1"/>
      <c r="K1677" s="1" t="s">
        <v>12611</v>
      </c>
      <c r="L1677" s="1"/>
      <c r="M1677" s="1" t="s">
        <v>289</v>
      </c>
      <c r="N1677" s="1">
        <v>0</v>
      </c>
      <c r="O1677" s="1">
        <v>0</v>
      </c>
      <c r="P1677" s="1" t="s">
        <v>2475</v>
      </c>
      <c r="Q1677" s="1" t="s">
        <v>268</v>
      </c>
      <c r="R1677" s="1" t="s">
        <v>12612</v>
      </c>
      <c r="S1677" s="1" t="s">
        <v>12613</v>
      </c>
      <c r="T1677" s="1" t="s">
        <v>12607</v>
      </c>
      <c r="U1677" s="1" t="s">
        <v>12614</v>
      </c>
      <c r="V1677" s="1">
        <v>1</v>
      </c>
      <c r="W1677" s="1">
        <v>1</v>
      </c>
      <c r="X1677" s="1">
        <v>0</v>
      </c>
      <c r="Y1677" s="1">
        <v>0</v>
      </c>
      <c r="Z1677" s="1">
        <v>1</v>
      </c>
      <c r="AA1677" s="1" t="s">
        <v>109</v>
      </c>
      <c r="AB1677" s="1" t="s">
        <v>109</v>
      </c>
      <c r="AC1677" s="1">
        <v>5</v>
      </c>
      <c r="AD1677" s="1" t="s">
        <v>109</v>
      </c>
      <c r="AE1677" s="1" t="s">
        <v>109</v>
      </c>
      <c r="AF1677" s="1" t="s">
        <v>109</v>
      </c>
      <c r="AG1677" s="1" t="s">
        <v>109</v>
      </c>
      <c r="AH1677" s="1" t="s">
        <v>109</v>
      </c>
      <c r="AI1677" s="1" t="s">
        <v>109</v>
      </c>
      <c r="AJ1677" s="1">
        <v>5</v>
      </c>
      <c r="AK1677" s="1">
        <v>4</v>
      </c>
      <c r="AL1677" s="1">
        <v>5</v>
      </c>
      <c r="AM1677" s="1" t="s">
        <v>109</v>
      </c>
      <c r="AN1677" s="1" t="s">
        <v>109</v>
      </c>
      <c r="AO1677" s="1" t="s">
        <v>109</v>
      </c>
      <c r="AP1677" s="1"/>
      <c r="AQ1677" s="1">
        <v>5</v>
      </c>
      <c r="AR1677" s="1"/>
      <c r="AS1677" s="1"/>
      <c r="AT1677" s="1">
        <v>0</v>
      </c>
      <c r="AU1677" s="1">
        <v>0</v>
      </c>
      <c r="AV1677" s="1">
        <v>0</v>
      </c>
      <c r="AW1677" s="1">
        <v>0</v>
      </c>
      <c r="AX1677" s="1">
        <v>0</v>
      </c>
      <c r="AY1677" s="1">
        <v>0</v>
      </c>
      <c r="AZ1677" s="1">
        <v>0</v>
      </c>
      <c r="BA1677" s="1">
        <v>0</v>
      </c>
      <c r="BB1677" s="1">
        <v>0</v>
      </c>
      <c r="BC1677" s="1">
        <v>0</v>
      </c>
      <c r="BD1677" s="1">
        <v>0</v>
      </c>
      <c r="BE1677" s="1">
        <v>0</v>
      </c>
      <c r="BF1677" s="1">
        <v>0</v>
      </c>
      <c r="BG1677" s="1">
        <v>0</v>
      </c>
      <c r="BH1677" s="1">
        <v>0</v>
      </c>
      <c r="BI1677" s="1">
        <v>0</v>
      </c>
      <c r="BJ1677" s="1">
        <v>0</v>
      </c>
      <c r="BK1677" s="1">
        <v>0</v>
      </c>
      <c r="BL1677" s="1">
        <v>0</v>
      </c>
      <c r="BM1677" s="1">
        <v>0</v>
      </c>
      <c r="BN1677" s="1">
        <v>0</v>
      </c>
      <c r="BO1677" s="1">
        <v>0</v>
      </c>
      <c r="BP1677" s="1">
        <v>0</v>
      </c>
      <c r="BQ1677" s="1">
        <v>0</v>
      </c>
      <c r="BR1677" s="1">
        <v>0</v>
      </c>
      <c r="BS1677" s="1" t="s">
        <v>109</v>
      </c>
      <c r="BT1677" s="1">
        <v>1745</v>
      </c>
      <c r="BU1677" s="1" t="s">
        <v>109</v>
      </c>
      <c r="BV1677" s="1"/>
      <c r="BW1677" s="1"/>
      <c r="BX1677" s="1"/>
      <c r="BY1677" s="1"/>
      <c r="BZ1677" s="1">
        <v>0</v>
      </c>
      <c r="CA1677" s="1" t="s">
        <v>109</v>
      </c>
      <c r="CB1677" s="1" t="s">
        <v>109</v>
      </c>
      <c r="CC1677" s="1" t="s">
        <v>109</v>
      </c>
      <c r="CD1677" s="1" t="s">
        <v>109</v>
      </c>
      <c r="CE1677" s="1" t="s">
        <v>109</v>
      </c>
      <c r="CF1677" s="1" t="s">
        <v>109</v>
      </c>
      <c r="CG1677" s="1" t="s">
        <v>109</v>
      </c>
      <c r="CH1677" s="1" t="s">
        <v>109</v>
      </c>
      <c r="CI1677" s="1" t="s">
        <v>109</v>
      </c>
      <c r="CJ1677" s="1" t="s">
        <v>109</v>
      </c>
      <c r="CK1677" s="1"/>
      <c r="CL1677" s="1">
        <v>0</v>
      </c>
      <c r="CM1677" s="1">
        <v>0</v>
      </c>
      <c r="CN1677" s="1">
        <v>0</v>
      </c>
    </row>
    <row r="1678" spans="1:92" ht="14.25" customHeight="1" x14ac:dyDescent="0.15">
      <c r="A1678" s="1" t="s">
        <v>12615</v>
      </c>
      <c r="B1678" s="1" t="s">
        <v>254</v>
      </c>
      <c r="C1678" s="1"/>
      <c r="D1678" s="1"/>
      <c r="E1678" s="1" t="s">
        <v>12616</v>
      </c>
      <c r="F1678" s="1" t="s">
        <v>98</v>
      </c>
      <c r="G1678" s="1" t="s">
        <v>141</v>
      </c>
      <c r="H1678" s="1">
        <v>0</v>
      </c>
      <c r="I1678" s="1" t="s">
        <v>142</v>
      </c>
      <c r="J1678" s="1"/>
      <c r="K1678" s="1"/>
      <c r="L1678" s="1" t="s">
        <v>983</v>
      </c>
      <c r="M1678" s="1" t="s">
        <v>5642</v>
      </c>
      <c r="N1678" s="1">
        <v>0</v>
      </c>
      <c r="O1678" s="1">
        <v>0</v>
      </c>
      <c r="P1678" s="1" t="s">
        <v>301</v>
      </c>
      <c r="Q1678" s="1" t="s">
        <v>104</v>
      </c>
      <c r="R1678" s="1" t="s">
        <v>12617</v>
      </c>
      <c r="S1678" s="1" t="s">
        <v>12618</v>
      </c>
      <c r="T1678" s="1" t="s">
        <v>12607</v>
      </c>
      <c r="U1678" s="1" t="s">
        <v>12619</v>
      </c>
      <c r="V1678" s="1">
        <v>1</v>
      </c>
      <c r="W1678" s="1">
        <v>1</v>
      </c>
      <c r="X1678" s="1">
        <v>0</v>
      </c>
      <c r="Y1678" s="1">
        <v>0</v>
      </c>
      <c r="Z1678" s="1">
        <v>0</v>
      </c>
      <c r="AA1678" s="1">
        <v>2</v>
      </c>
      <c r="AB1678" s="1">
        <v>2</v>
      </c>
      <c r="AC1678" s="1">
        <v>1</v>
      </c>
      <c r="AD1678" s="1" t="s">
        <v>109</v>
      </c>
      <c r="AE1678" s="1">
        <v>1</v>
      </c>
      <c r="AF1678" s="1" t="s">
        <v>109</v>
      </c>
      <c r="AG1678" s="1" t="s">
        <v>109</v>
      </c>
      <c r="AH1678" s="1" t="s">
        <v>109</v>
      </c>
      <c r="AI1678" s="1" t="s">
        <v>109</v>
      </c>
      <c r="AJ1678" s="1">
        <v>1</v>
      </c>
      <c r="AK1678" s="1" t="s">
        <v>109</v>
      </c>
      <c r="AL1678" s="1">
        <v>1</v>
      </c>
      <c r="AM1678" s="1" t="s">
        <v>109</v>
      </c>
      <c r="AN1678" s="1" t="s">
        <v>109</v>
      </c>
      <c r="AO1678" s="1" t="s">
        <v>109</v>
      </c>
      <c r="AP1678" s="1"/>
      <c r="AQ1678" s="1">
        <v>2</v>
      </c>
      <c r="AR1678" s="1"/>
      <c r="AS1678" s="1"/>
      <c r="AT1678" s="1">
        <v>0</v>
      </c>
      <c r="AU1678" s="1">
        <v>0</v>
      </c>
      <c r="AV1678" s="1">
        <v>0</v>
      </c>
      <c r="AW1678" s="1">
        <v>0</v>
      </c>
      <c r="AX1678" s="1">
        <v>0</v>
      </c>
      <c r="AY1678" s="1">
        <v>0</v>
      </c>
      <c r="AZ1678" s="1">
        <v>0</v>
      </c>
      <c r="BA1678" s="1">
        <v>0</v>
      </c>
      <c r="BB1678" s="1">
        <v>0</v>
      </c>
      <c r="BC1678" s="1">
        <v>0</v>
      </c>
      <c r="BD1678" s="1">
        <v>0</v>
      </c>
      <c r="BE1678" s="1">
        <v>0</v>
      </c>
      <c r="BF1678" s="1">
        <v>0</v>
      </c>
      <c r="BG1678" s="1">
        <v>0</v>
      </c>
      <c r="BH1678" s="1">
        <v>0</v>
      </c>
      <c r="BI1678" s="1">
        <v>0</v>
      </c>
      <c r="BJ1678" s="1">
        <v>0</v>
      </c>
      <c r="BK1678" s="1">
        <v>0</v>
      </c>
      <c r="BL1678" s="1">
        <v>0</v>
      </c>
      <c r="BM1678" s="1">
        <v>0</v>
      </c>
      <c r="BN1678" s="1">
        <v>0</v>
      </c>
      <c r="BO1678" s="1">
        <v>0</v>
      </c>
      <c r="BP1678" s="1">
        <v>0</v>
      </c>
      <c r="BQ1678" s="1">
        <v>0</v>
      </c>
      <c r="BR1678" s="1">
        <v>0</v>
      </c>
      <c r="BS1678" s="1" t="s">
        <v>109</v>
      </c>
      <c r="BT1678" s="1">
        <v>1746</v>
      </c>
      <c r="BU1678" s="1" t="s">
        <v>109</v>
      </c>
      <c r="BV1678" s="1"/>
      <c r="BW1678" s="1"/>
      <c r="BX1678" s="1"/>
      <c r="BY1678" s="1"/>
      <c r="BZ1678" s="1">
        <v>0</v>
      </c>
      <c r="CA1678" s="1" t="s">
        <v>109</v>
      </c>
      <c r="CB1678" s="1" t="s">
        <v>109</v>
      </c>
      <c r="CC1678" s="1" t="s">
        <v>109</v>
      </c>
      <c r="CD1678" s="1" t="s">
        <v>109</v>
      </c>
      <c r="CE1678" s="1" t="s">
        <v>109</v>
      </c>
      <c r="CF1678" s="1" t="s">
        <v>109</v>
      </c>
      <c r="CG1678" s="1" t="s">
        <v>109</v>
      </c>
      <c r="CH1678" s="1" t="s">
        <v>109</v>
      </c>
      <c r="CI1678" s="1" t="s">
        <v>109</v>
      </c>
      <c r="CJ1678" s="1">
        <v>1</v>
      </c>
      <c r="CK1678" s="1"/>
      <c r="CL1678" s="1">
        <v>0</v>
      </c>
      <c r="CM1678" s="1">
        <v>0</v>
      </c>
      <c r="CN1678" s="1">
        <v>0</v>
      </c>
    </row>
    <row r="1679" spans="1:92" ht="14.25" customHeight="1" x14ac:dyDescent="0.15">
      <c r="A1679" s="1" t="s">
        <v>12620</v>
      </c>
      <c r="B1679" s="1" t="s">
        <v>189</v>
      </c>
      <c r="C1679" s="1"/>
      <c r="D1679" s="1" t="s">
        <v>61</v>
      </c>
      <c r="E1679" s="1" t="s">
        <v>12621</v>
      </c>
      <c r="F1679" s="1" t="s">
        <v>98</v>
      </c>
      <c r="G1679" s="1" t="s">
        <v>141</v>
      </c>
      <c r="H1679" s="1">
        <v>0</v>
      </c>
      <c r="I1679" s="1" t="s">
        <v>161</v>
      </c>
      <c r="J1679" s="1"/>
      <c r="K1679" s="1"/>
      <c r="L1679" s="1" t="s">
        <v>12622</v>
      </c>
      <c r="M1679" s="1" t="s">
        <v>3042</v>
      </c>
      <c r="N1679" s="1">
        <v>0</v>
      </c>
      <c r="O1679" s="1">
        <v>0</v>
      </c>
      <c r="P1679" s="1" t="s">
        <v>11630</v>
      </c>
      <c r="Q1679" s="1" t="s">
        <v>104</v>
      </c>
      <c r="R1679" s="1" t="s">
        <v>12623</v>
      </c>
      <c r="S1679" s="1" t="s">
        <v>12624</v>
      </c>
      <c r="T1679" s="1" t="s">
        <v>12607</v>
      </c>
      <c r="U1679" s="1" t="s">
        <v>12625</v>
      </c>
      <c r="V1679" s="1">
        <v>1</v>
      </c>
      <c r="W1679" s="1">
        <v>1</v>
      </c>
      <c r="X1679" s="1">
        <v>0</v>
      </c>
      <c r="Y1679" s="1">
        <v>0</v>
      </c>
      <c r="Z1679" s="1">
        <v>0</v>
      </c>
      <c r="AA1679" s="1" t="s">
        <v>109</v>
      </c>
      <c r="AB1679" s="1" t="s">
        <v>109</v>
      </c>
      <c r="AC1679" s="1" t="s">
        <v>109</v>
      </c>
      <c r="AD1679" s="1" t="s">
        <v>109</v>
      </c>
      <c r="AE1679" s="1" t="s">
        <v>109</v>
      </c>
      <c r="AF1679" s="1">
        <v>2</v>
      </c>
      <c r="AG1679" s="1">
        <v>1</v>
      </c>
      <c r="AH1679" s="1">
        <v>2</v>
      </c>
      <c r="AI1679" s="1" t="s">
        <v>109</v>
      </c>
      <c r="AJ1679" s="1" t="s">
        <v>109</v>
      </c>
      <c r="AK1679" s="1" t="s">
        <v>109</v>
      </c>
      <c r="AL1679" s="1" t="s">
        <v>109</v>
      </c>
      <c r="AM1679" s="1" t="s">
        <v>109</v>
      </c>
      <c r="AN1679" s="1" t="s">
        <v>109</v>
      </c>
      <c r="AO1679" s="1" t="s">
        <v>109</v>
      </c>
      <c r="AP1679" s="1"/>
      <c r="AQ1679" s="1">
        <v>2</v>
      </c>
      <c r="AR1679" s="1"/>
      <c r="AS1679" s="1"/>
      <c r="AT1679" s="1">
        <v>0</v>
      </c>
      <c r="AU1679" s="1">
        <v>0</v>
      </c>
      <c r="AV1679" s="1">
        <v>0</v>
      </c>
      <c r="AW1679" s="1">
        <v>0</v>
      </c>
      <c r="AX1679" s="1">
        <v>0</v>
      </c>
      <c r="AY1679" s="1">
        <v>0</v>
      </c>
      <c r="AZ1679" s="1">
        <v>0</v>
      </c>
      <c r="BA1679" s="1">
        <v>0</v>
      </c>
      <c r="BB1679" s="1">
        <v>0</v>
      </c>
      <c r="BC1679" s="1">
        <v>0</v>
      </c>
      <c r="BD1679" s="1">
        <v>0</v>
      </c>
      <c r="BE1679" s="1">
        <v>0</v>
      </c>
      <c r="BF1679" s="1">
        <v>0</v>
      </c>
      <c r="BG1679" s="1">
        <v>0</v>
      </c>
      <c r="BH1679" s="1">
        <v>0</v>
      </c>
      <c r="BI1679" s="1">
        <v>1</v>
      </c>
      <c r="BJ1679" s="1">
        <v>0</v>
      </c>
      <c r="BK1679" s="1">
        <v>0</v>
      </c>
      <c r="BL1679" s="1">
        <v>0</v>
      </c>
      <c r="BM1679" s="1">
        <v>0</v>
      </c>
      <c r="BN1679" s="1">
        <v>0</v>
      </c>
      <c r="BO1679" s="1">
        <v>0</v>
      </c>
      <c r="BP1679" s="1">
        <v>0</v>
      </c>
      <c r="BQ1679" s="1">
        <v>0</v>
      </c>
      <c r="BR1679" s="1">
        <v>0</v>
      </c>
      <c r="BS1679" s="1" t="s">
        <v>109</v>
      </c>
      <c r="BT1679" s="1">
        <v>1747</v>
      </c>
      <c r="BU1679" s="1" t="s">
        <v>109</v>
      </c>
      <c r="BV1679" s="1"/>
      <c r="BW1679" s="1"/>
      <c r="BX1679" s="1"/>
      <c r="BY1679" s="1"/>
      <c r="BZ1679" s="1">
        <v>0</v>
      </c>
      <c r="CA1679" s="1" t="s">
        <v>109</v>
      </c>
      <c r="CB1679" s="1" t="s">
        <v>109</v>
      </c>
      <c r="CC1679" s="1" t="s">
        <v>109</v>
      </c>
      <c r="CD1679" s="1" t="s">
        <v>109</v>
      </c>
      <c r="CE1679" s="1" t="s">
        <v>109</v>
      </c>
      <c r="CF1679" s="1" t="s">
        <v>109</v>
      </c>
      <c r="CG1679" s="1" t="s">
        <v>109</v>
      </c>
      <c r="CH1679" s="1" t="s">
        <v>109</v>
      </c>
      <c r="CI1679" s="1" t="s">
        <v>109</v>
      </c>
      <c r="CJ1679" s="1" t="s">
        <v>109</v>
      </c>
      <c r="CK1679" s="1"/>
      <c r="CL1679" s="1">
        <v>0</v>
      </c>
      <c r="CM1679" s="1">
        <v>0</v>
      </c>
      <c r="CN1679" s="1">
        <v>0</v>
      </c>
    </row>
    <row r="1680" spans="1:92" ht="14.25" customHeight="1" x14ac:dyDescent="0.15">
      <c r="A1680" s="1" t="s">
        <v>12626</v>
      </c>
      <c r="B1680" s="1" t="s">
        <v>95</v>
      </c>
      <c r="C1680" s="1" t="s">
        <v>96</v>
      </c>
      <c r="D1680" s="1" t="s">
        <v>60</v>
      </c>
      <c r="E1680" s="1" t="s">
        <v>12627</v>
      </c>
      <c r="F1680" s="1" t="s">
        <v>98</v>
      </c>
      <c r="G1680" s="1" t="s">
        <v>12628</v>
      </c>
      <c r="H1680" s="1">
        <v>0</v>
      </c>
      <c r="I1680" s="1" t="s">
        <v>122</v>
      </c>
      <c r="J1680" s="1"/>
      <c r="K1680" s="1" t="s">
        <v>12629</v>
      </c>
      <c r="L1680" s="1"/>
      <c r="M1680" s="1" t="s">
        <v>125</v>
      </c>
      <c r="N1680" s="1">
        <v>0</v>
      </c>
      <c r="O1680" s="1">
        <v>0</v>
      </c>
      <c r="P1680" s="1" t="s">
        <v>103</v>
      </c>
      <c r="Q1680" s="1" t="s">
        <v>268</v>
      </c>
      <c r="R1680" s="1" t="s">
        <v>12630</v>
      </c>
      <c r="S1680" s="1" t="s">
        <v>12631</v>
      </c>
      <c r="T1680" s="1" t="s">
        <v>12607</v>
      </c>
      <c r="U1680" s="1" t="s">
        <v>12632</v>
      </c>
      <c r="V1680" s="1">
        <v>1</v>
      </c>
      <c r="W1680" s="1">
        <v>1</v>
      </c>
      <c r="X1680" s="1">
        <v>1</v>
      </c>
      <c r="Y1680" s="1">
        <v>0</v>
      </c>
      <c r="Z1680" s="1">
        <v>0</v>
      </c>
      <c r="AA1680" s="1">
        <v>3</v>
      </c>
      <c r="AB1680" s="1">
        <v>3</v>
      </c>
      <c r="AC1680" s="1" t="s">
        <v>109</v>
      </c>
      <c r="AD1680" s="1" t="s">
        <v>109</v>
      </c>
      <c r="AE1680" s="1" t="s">
        <v>109</v>
      </c>
      <c r="AF1680" s="1" t="s">
        <v>109</v>
      </c>
      <c r="AG1680" s="1" t="s">
        <v>109</v>
      </c>
      <c r="AH1680" s="1" t="s">
        <v>109</v>
      </c>
      <c r="AI1680" s="1">
        <v>2</v>
      </c>
      <c r="AJ1680" s="1" t="s">
        <v>109</v>
      </c>
      <c r="AK1680" s="1">
        <v>2</v>
      </c>
      <c r="AL1680" s="1" t="s">
        <v>109</v>
      </c>
      <c r="AM1680" s="1" t="s">
        <v>109</v>
      </c>
      <c r="AN1680" s="1">
        <v>2</v>
      </c>
      <c r="AO1680" s="1" t="s">
        <v>109</v>
      </c>
      <c r="AP1680" s="1"/>
      <c r="AQ1680" s="1">
        <v>3</v>
      </c>
      <c r="AR1680" s="1"/>
      <c r="AS1680" s="1"/>
      <c r="AT1680" s="1">
        <v>0</v>
      </c>
      <c r="AU1680" s="1">
        <v>0</v>
      </c>
      <c r="AV1680" s="1">
        <v>0</v>
      </c>
      <c r="AW1680" s="1">
        <v>0</v>
      </c>
      <c r="AX1680" s="1">
        <v>0</v>
      </c>
      <c r="AY1680" s="1">
        <v>0</v>
      </c>
      <c r="AZ1680" s="1">
        <v>0</v>
      </c>
      <c r="BA1680" s="1">
        <v>0</v>
      </c>
      <c r="BB1680" s="1">
        <v>0</v>
      </c>
      <c r="BC1680" s="1">
        <v>0</v>
      </c>
      <c r="BD1680" s="1">
        <v>0</v>
      </c>
      <c r="BE1680" s="1">
        <v>0</v>
      </c>
      <c r="BF1680" s="1">
        <v>0</v>
      </c>
      <c r="BG1680" s="1">
        <v>0</v>
      </c>
      <c r="BH1680" s="1">
        <v>1</v>
      </c>
      <c r="BI1680" s="1">
        <v>0</v>
      </c>
      <c r="BJ1680" s="1">
        <v>0</v>
      </c>
      <c r="BK1680" s="1">
        <v>0</v>
      </c>
      <c r="BL1680" s="1">
        <v>0</v>
      </c>
      <c r="BM1680" s="1">
        <v>0</v>
      </c>
      <c r="BN1680" s="1">
        <v>0</v>
      </c>
      <c r="BO1680" s="1">
        <v>0</v>
      </c>
      <c r="BP1680" s="1">
        <v>0</v>
      </c>
      <c r="BQ1680" s="1">
        <v>0</v>
      </c>
      <c r="BR1680" s="1">
        <v>0</v>
      </c>
      <c r="BS1680" s="1" t="s">
        <v>109</v>
      </c>
      <c r="BT1680" s="1">
        <v>1748</v>
      </c>
      <c r="BU1680" s="1" t="s">
        <v>109</v>
      </c>
      <c r="BV1680" s="1"/>
      <c r="BW1680" s="1"/>
      <c r="BX1680" s="1"/>
      <c r="BY1680" s="1"/>
      <c r="BZ1680" s="1">
        <v>0</v>
      </c>
      <c r="CA1680" s="1" t="s">
        <v>109</v>
      </c>
      <c r="CB1680" s="1" t="s">
        <v>109</v>
      </c>
      <c r="CC1680" s="1" t="s">
        <v>109</v>
      </c>
      <c r="CD1680" s="1" t="s">
        <v>109</v>
      </c>
      <c r="CE1680" s="1" t="s">
        <v>109</v>
      </c>
      <c r="CF1680" s="1" t="s">
        <v>109</v>
      </c>
      <c r="CG1680" s="1" t="s">
        <v>109</v>
      </c>
      <c r="CH1680" s="1" t="s">
        <v>109</v>
      </c>
      <c r="CI1680" s="1" t="s">
        <v>109</v>
      </c>
      <c r="CJ1680" s="1" t="s">
        <v>109</v>
      </c>
      <c r="CK1680" s="1"/>
      <c r="CL1680" s="1">
        <v>0</v>
      </c>
      <c r="CM1680" s="1">
        <v>0</v>
      </c>
      <c r="CN1680" s="1">
        <v>0</v>
      </c>
    </row>
    <row r="1681" spans="1:92" ht="14.25" customHeight="1" x14ac:dyDescent="0.15">
      <c r="A1681" s="1" t="s">
        <v>12633</v>
      </c>
      <c r="B1681" s="1" t="s">
        <v>95</v>
      </c>
      <c r="C1681" s="1" t="s">
        <v>694</v>
      </c>
      <c r="D1681" s="1"/>
      <c r="E1681" s="1" t="s">
        <v>12634</v>
      </c>
      <c r="F1681" s="1" t="s">
        <v>98</v>
      </c>
      <c r="G1681" s="1" t="s">
        <v>2570</v>
      </c>
      <c r="H1681" s="1">
        <v>0</v>
      </c>
      <c r="I1681" s="1" t="s">
        <v>235</v>
      </c>
      <c r="J1681" s="1"/>
      <c r="K1681" s="1"/>
      <c r="L1681" s="1" t="s">
        <v>236</v>
      </c>
      <c r="M1681" s="1" t="s">
        <v>8243</v>
      </c>
      <c r="N1681" s="1">
        <v>0</v>
      </c>
      <c r="O1681" s="1">
        <v>0</v>
      </c>
      <c r="P1681" s="1"/>
      <c r="Q1681" s="1"/>
      <c r="R1681" s="1" t="s">
        <v>12635</v>
      </c>
      <c r="S1681" s="1" t="s">
        <v>12636</v>
      </c>
      <c r="T1681" s="1" t="s">
        <v>12607</v>
      </c>
      <c r="U1681" s="1" t="s">
        <v>12637</v>
      </c>
      <c r="V1681" s="1">
        <v>0</v>
      </c>
      <c r="W1681" s="1">
        <v>1</v>
      </c>
      <c r="X1681" s="1">
        <v>0</v>
      </c>
      <c r="Y1681" s="1">
        <v>0</v>
      </c>
      <c r="Z1681" s="1">
        <v>1</v>
      </c>
      <c r="AA1681" s="1" t="s">
        <v>109</v>
      </c>
      <c r="AB1681" s="1" t="s">
        <v>109</v>
      </c>
      <c r="AC1681" s="1">
        <v>3</v>
      </c>
      <c r="AD1681" s="1">
        <v>3</v>
      </c>
      <c r="AE1681" s="1" t="s">
        <v>109</v>
      </c>
      <c r="AF1681" s="1" t="s">
        <v>109</v>
      </c>
      <c r="AG1681" s="1">
        <v>2</v>
      </c>
      <c r="AH1681" s="1" t="s">
        <v>109</v>
      </c>
      <c r="AI1681" s="1" t="s">
        <v>109</v>
      </c>
      <c r="AJ1681" s="1" t="s">
        <v>109</v>
      </c>
      <c r="AK1681" s="1" t="s">
        <v>109</v>
      </c>
      <c r="AL1681" s="1">
        <v>3</v>
      </c>
      <c r="AM1681" s="1" t="s">
        <v>109</v>
      </c>
      <c r="AN1681" s="1" t="s">
        <v>109</v>
      </c>
      <c r="AO1681" s="1" t="s">
        <v>109</v>
      </c>
      <c r="AP1681" s="1"/>
      <c r="AQ1681" s="1">
        <v>3</v>
      </c>
      <c r="AR1681" s="1"/>
      <c r="AS1681" s="1"/>
      <c r="AT1681" s="1">
        <v>0</v>
      </c>
      <c r="AU1681" s="1">
        <v>0</v>
      </c>
      <c r="AV1681" s="1">
        <v>0</v>
      </c>
      <c r="AW1681" s="1">
        <v>0</v>
      </c>
      <c r="AX1681" s="1">
        <v>0</v>
      </c>
      <c r="AY1681" s="1">
        <v>0</v>
      </c>
      <c r="AZ1681" s="1">
        <v>0</v>
      </c>
      <c r="BA1681" s="1">
        <v>0</v>
      </c>
      <c r="BB1681" s="1">
        <v>0</v>
      </c>
      <c r="BC1681" s="1">
        <v>0</v>
      </c>
      <c r="BD1681" s="1">
        <v>0</v>
      </c>
      <c r="BE1681" s="1">
        <v>0</v>
      </c>
      <c r="BF1681" s="1">
        <v>0</v>
      </c>
      <c r="BG1681" s="1">
        <v>0</v>
      </c>
      <c r="BH1681" s="1">
        <v>0</v>
      </c>
      <c r="BI1681" s="1">
        <v>0</v>
      </c>
      <c r="BJ1681" s="1">
        <v>0</v>
      </c>
      <c r="BK1681" s="1">
        <v>0</v>
      </c>
      <c r="BL1681" s="1">
        <v>0</v>
      </c>
      <c r="BM1681" s="1">
        <v>0</v>
      </c>
      <c r="BN1681" s="1">
        <v>0</v>
      </c>
      <c r="BO1681" s="1">
        <v>0</v>
      </c>
      <c r="BP1681" s="1">
        <v>0</v>
      </c>
      <c r="BQ1681" s="1">
        <v>0</v>
      </c>
      <c r="BR1681" s="1">
        <v>0</v>
      </c>
      <c r="BS1681" s="1" t="s">
        <v>109</v>
      </c>
      <c r="BT1681" s="1">
        <v>1749</v>
      </c>
      <c r="BU1681" s="1" t="s">
        <v>109</v>
      </c>
      <c r="BV1681" s="1"/>
      <c r="BW1681" s="1"/>
      <c r="BX1681" s="1"/>
      <c r="BY1681" s="1"/>
      <c r="BZ1681" s="1">
        <v>0</v>
      </c>
      <c r="CA1681" s="1" t="s">
        <v>109</v>
      </c>
      <c r="CB1681" s="1" t="s">
        <v>109</v>
      </c>
      <c r="CC1681" s="1" t="s">
        <v>109</v>
      </c>
      <c r="CD1681" s="1" t="s">
        <v>109</v>
      </c>
      <c r="CE1681" s="1" t="s">
        <v>109</v>
      </c>
      <c r="CF1681" s="1" t="s">
        <v>109</v>
      </c>
      <c r="CG1681" s="1" t="s">
        <v>109</v>
      </c>
      <c r="CH1681" s="1" t="s">
        <v>109</v>
      </c>
      <c r="CI1681" s="1" t="s">
        <v>109</v>
      </c>
      <c r="CJ1681" s="1">
        <v>3</v>
      </c>
      <c r="CK1681" s="1"/>
      <c r="CL1681" s="1">
        <v>0</v>
      </c>
      <c r="CM1681" s="1">
        <v>0</v>
      </c>
      <c r="CN1681" s="1">
        <v>0</v>
      </c>
    </row>
    <row r="1682" spans="1:92" ht="14.25" customHeight="1" x14ac:dyDescent="0.15">
      <c r="A1682" s="1" t="s">
        <v>12638</v>
      </c>
      <c r="B1682" s="1" t="s">
        <v>308</v>
      </c>
      <c r="C1682" s="1"/>
      <c r="D1682" s="1"/>
      <c r="E1682" s="1" t="s">
        <v>12639</v>
      </c>
      <c r="F1682" s="1" t="s">
        <v>355</v>
      </c>
      <c r="G1682" s="1" t="s">
        <v>12640</v>
      </c>
      <c r="H1682" s="1">
        <v>0</v>
      </c>
      <c r="I1682" s="1" t="s">
        <v>142</v>
      </c>
      <c r="J1682" s="1"/>
      <c r="K1682" s="1"/>
      <c r="L1682" s="1" t="s">
        <v>983</v>
      </c>
      <c r="M1682" s="1" t="s">
        <v>289</v>
      </c>
      <c r="N1682" s="1">
        <v>0</v>
      </c>
      <c r="O1682" s="1">
        <v>0</v>
      </c>
      <c r="P1682" s="1" t="s">
        <v>301</v>
      </c>
      <c r="Q1682" s="1" t="s">
        <v>268</v>
      </c>
      <c r="R1682" s="1" t="s">
        <v>12641</v>
      </c>
      <c r="S1682" s="1" t="s">
        <v>12642</v>
      </c>
      <c r="T1682" s="1" t="s">
        <v>12607</v>
      </c>
      <c r="U1682" s="1" t="s">
        <v>12643</v>
      </c>
      <c r="V1682" s="1">
        <v>1</v>
      </c>
      <c r="W1682" s="1">
        <v>1</v>
      </c>
      <c r="X1682" s="1">
        <v>1</v>
      </c>
      <c r="Y1682" s="1">
        <v>0</v>
      </c>
      <c r="Z1682" s="1">
        <v>1</v>
      </c>
      <c r="AA1682" s="1">
        <v>3</v>
      </c>
      <c r="AB1682" s="1">
        <v>3</v>
      </c>
      <c r="AC1682" s="1">
        <v>2</v>
      </c>
      <c r="AD1682" s="1" t="s">
        <v>109</v>
      </c>
      <c r="AE1682" s="1" t="s">
        <v>109</v>
      </c>
      <c r="AF1682" s="1" t="s">
        <v>109</v>
      </c>
      <c r="AG1682" s="1" t="s">
        <v>109</v>
      </c>
      <c r="AH1682" s="1" t="s">
        <v>109</v>
      </c>
      <c r="AI1682" s="1" t="s">
        <v>109</v>
      </c>
      <c r="AJ1682" s="1">
        <v>3</v>
      </c>
      <c r="AK1682" s="1" t="s">
        <v>109</v>
      </c>
      <c r="AL1682" s="1">
        <v>2</v>
      </c>
      <c r="AM1682" s="1" t="s">
        <v>109</v>
      </c>
      <c r="AN1682" s="1" t="s">
        <v>109</v>
      </c>
      <c r="AO1682" s="1" t="s">
        <v>109</v>
      </c>
      <c r="AP1682" s="1"/>
      <c r="AQ1682" s="1">
        <v>3</v>
      </c>
      <c r="AR1682" s="1"/>
      <c r="AS1682" s="1"/>
      <c r="AT1682" s="1">
        <v>0</v>
      </c>
      <c r="AU1682" s="1">
        <v>0</v>
      </c>
      <c r="AV1682" s="1">
        <v>0</v>
      </c>
      <c r="AW1682" s="1">
        <v>0</v>
      </c>
      <c r="AX1682" s="1">
        <v>0</v>
      </c>
      <c r="AY1682" s="1">
        <v>0</v>
      </c>
      <c r="AZ1682" s="1">
        <v>0</v>
      </c>
      <c r="BA1682" s="1">
        <v>0</v>
      </c>
      <c r="BB1682" s="1">
        <v>0</v>
      </c>
      <c r="BC1682" s="1">
        <v>0</v>
      </c>
      <c r="BD1682" s="1">
        <v>0</v>
      </c>
      <c r="BE1682" s="1">
        <v>0</v>
      </c>
      <c r="BF1682" s="1">
        <v>0</v>
      </c>
      <c r="BG1682" s="1">
        <v>0</v>
      </c>
      <c r="BH1682" s="1">
        <v>0</v>
      </c>
      <c r="BI1682" s="1">
        <v>0</v>
      </c>
      <c r="BJ1682" s="1">
        <v>0</v>
      </c>
      <c r="BK1682" s="1">
        <v>0</v>
      </c>
      <c r="BL1682" s="1">
        <v>0</v>
      </c>
      <c r="BM1682" s="1">
        <v>0</v>
      </c>
      <c r="BN1682" s="1">
        <v>0</v>
      </c>
      <c r="BO1682" s="1">
        <v>0</v>
      </c>
      <c r="BP1682" s="1">
        <v>0</v>
      </c>
      <c r="BQ1682" s="1">
        <v>0</v>
      </c>
      <c r="BR1682" s="1">
        <v>0</v>
      </c>
      <c r="BS1682" s="1" t="s">
        <v>109</v>
      </c>
      <c r="BT1682" s="1">
        <v>1750</v>
      </c>
      <c r="BU1682" s="1" t="s">
        <v>109</v>
      </c>
      <c r="BV1682" s="1"/>
      <c r="BW1682" s="1"/>
      <c r="BX1682" s="1"/>
      <c r="BY1682" s="1"/>
      <c r="BZ1682" s="1">
        <v>0</v>
      </c>
      <c r="CA1682" s="1" t="s">
        <v>109</v>
      </c>
      <c r="CB1682" s="1" t="s">
        <v>109</v>
      </c>
      <c r="CC1682" s="1" t="s">
        <v>109</v>
      </c>
      <c r="CD1682" s="1" t="s">
        <v>109</v>
      </c>
      <c r="CE1682" s="1" t="s">
        <v>109</v>
      </c>
      <c r="CF1682" s="1" t="s">
        <v>109</v>
      </c>
      <c r="CG1682" s="1" t="s">
        <v>109</v>
      </c>
      <c r="CH1682" s="1" t="s">
        <v>109</v>
      </c>
      <c r="CI1682" s="1" t="s">
        <v>109</v>
      </c>
      <c r="CJ1682" s="1" t="s">
        <v>109</v>
      </c>
      <c r="CK1682" s="1"/>
      <c r="CL1682" s="1">
        <v>0</v>
      </c>
      <c r="CM1682" s="1">
        <v>0</v>
      </c>
      <c r="CN1682" s="1">
        <v>0</v>
      </c>
    </row>
    <row r="1683" spans="1:92" ht="14.25" customHeight="1" x14ac:dyDescent="0.15">
      <c r="A1683" s="1" t="s">
        <v>12644</v>
      </c>
      <c r="B1683" s="1" t="s">
        <v>308</v>
      </c>
      <c r="C1683" s="1"/>
      <c r="D1683" s="1"/>
      <c r="E1683" s="1" t="s">
        <v>12645</v>
      </c>
      <c r="F1683" s="1" t="s">
        <v>98</v>
      </c>
      <c r="G1683" s="1" t="s">
        <v>12646</v>
      </c>
      <c r="H1683" s="1">
        <v>0</v>
      </c>
      <c r="I1683" s="1" t="s">
        <v>142</v>
      </c>
      <c r="J1683" s="1"/>
      <c r="K1683" s="1"/>
      <c r="L1683" s="1" t="s">
        <v>983</v>
      </c>
      <c r="M1683" s="1" t="s">
        <v>7174</v>
      </c>
      <c r="N1683" s="1">
        <v>1</v>
      </c>
      <c r="O1683" s="1">
        <v>0</v>
      </c>
      <c r="P1683" s="1" t="s">
        <v>564</v>
      </c>
      <c r="Q1683" s="1" t="s">
        <v>268</v>
      </c>
      <c r="R1683" s="1" t="s">
        <v>12647</v>
      </c>
      <c r="S1683" s="1" t="s">
        <v>12648</v>
      </c>
      <c r="T1683" s="1" t="s">
        <v>12607</v>
      </c>
      <c r="U1683" s="1" t="s">
        <v>12649</v>
      </c>
      <c r="V1683" s="1">
        <v>1</v>
      </c>
      <c r="W1683" s="1">
        <v>1</v>
      </c>
      <c r="X1683" s="1">
        <v>0</v>
      </c>
      <c r="Y1683" s="1">
        <v>0</v>
      </c>
      <c r="Z1683" s="1">
        <v>1</v>
      </c>
      <c r="AA1683" s="1">
        <v>4</v>
      </c>
      <c r="AB1683" s="1">
        <v>4</v>
      </c>
      <c r="AC1683" s="1">
        <v>4</v>
      </c>
      <c r="AD1683" s="1" t="s">
        <v>109</v>
      </c>
      <c r="AE1683" s="1" t="s">
        <v>109</v>
      </c>
      <c r="AF1683" s="1" t="s">
        <v>109</v>
      </c>
      <c r="AG1683" s="1" t="s">
        <v>109</v>
      </c>
      <c r="AH1683" s="1" t="s">
        <v>109</v>
      </c>
      <c r="AI1683" s="1" t="s">
        <v>109</v>
      </c>
      <c r="AJ1683" s="1">
        <v>4</v>
      </c>
      <c r="AK1683" s="1" t="s">
        <v>109</v>
      </c>
      <c r="AL1683" s="1">
        <v>4</v>
      </c>
      <c r="AM1683" s="1" t="s">
        <v>109</v>
      </c>
      <c r="AN1683" s="1" t="s">
        <v>109</v>
      </c>
      <c r="AO1683" s="1" t="s">
        <v>109</v>
      </c>
      <c r="AP1683" s="1"/>
      <c r="AQ1683" s="1">
        <v>4</v>
      </c>
      <c r="AR1683" s="1"/>
      <c r="AS1683" s="1"/>
      <c r="AT1683" s="1">
        <v>0</v>
      </c>
      <c r="AU1683" s="1">
        <v>0</v>
      </c>
      <c r="AV1683" s="1">
        <v>0</v>
      </c>
      <c r="AW1683" s="1">
        <v>0</v>
      </c>
      <c r="AX1683" s="1">
        <v>0</v>
      </c>
      <c r="AY1683" s="1">
        <v>0</v>
      </c>
      <c r="AZ1683" s="1">
        <v>0</v>
      </c>
      <c r="BA1683" s="1">
        <v>0</v>
      </c>
      <c r="BB1683" s="1">
        <v>0</v>
      </c>
      <c r="BC1683" s="1">
        <v>0</v>
      </c>
      <c r="BD1683" s="1">
        <v>0</v>
      </c>
      <c r="BE1683" s="1">
        <v>0</v>
      </c>
      <c r="BF1683" s="1">
        <v>0</v>
      </c>
      <c r="BG1683" s="1">
        <v>0</v>
      </c>
      <c r="BH1683" s="1">
        <v>0</v>
      </c>
      <c r="BI1683" s="1">
        <v>0</v>
      </c>
      <c r="BJ1683" s="1">
        <v>0</v>
      </c>
      <c r="BK1683" s="1">
        <v>0</v>
      </c>
      <c r="BL1683" s="1">
        <v>0</v>
      </c>
      <c r="BM1683" s="1">
        <v>0</v>
      </c>
      <c r="BN1683" s="1">
        <v>0</v>
      </c>
      <c r="BO1683" s="1">
        <v>0</v>
      </c>
      <c r="BP1683" s="1">
        <v>0</v>
      </c>
      <c r="BQ1683" s="1">
        <v>0</v>
      </c>
      <c r="BR1683" s="1">
        <v>0</v>
      </c>
      <c r="BS1683" s="1" t="s">
        <v>109</v>
      </c>
      <c r="BT1683" s="1">
        <v>1751</v>
      </c>
      <c r="BU1683" s="1" t="s">
        <v>109</v>
      </c>
      <c r="BV1683" s="1"/>
      <c r="BW1683" s="1"/>
      <c r="BX1683" s="1"/>
      <c r="BY1683" s="1"/>
      <c r="BZ1683" s="1">
        <v>0</v>
      </c>
      <c r="CA1683" s="1" t="s">
        <v>109</v>
      </c>
      <c r="CB1683" s="1" t="s">
        <v>109</v>
      </c>
      <c r="CC1683" s="1" t="s">
        <v>109</v>
      </c>
      <c r="CD1683" s="1" t="s">
        <v>109</v>
      </c>
      <c r="CE1683" s="1" t="s">
        <v>109</v>
      </c>
      <c r="CF1683" s="1" t="s">
        <v>109</v>
      </c>
      <c r="CG1683" s="1" t="s">
        <v>109</v>
      </c>
      <c r="CH1683" s="1" t="s">
        <v>109</v>
      </c>
      <c r="CI1683" s="1" t="s">
        <v>109</v>
      </c>
      <c r="CJ1683" s="1" t="s">
        <v>109</v>
      </c>
      <c r="CK1683" s="1"/>
      <c r="CL1683" s="1">
        <v>0</v>
      </c>
      <c r="CM1683" s="1">
        <v>0</v>
      </c>
      <c r="CN1683" s="1">
        <v>0</v>
      </c>
    </row>
    <row r="1684" spans="1:92" ht="14.25" customHeight="1" x14ac:dyDescent="0.15">
      <c r="A1684" s="1" t="s">
        <v>12650</v>
      </c>
      <c r="B1684" s="1" t="s">
        <v>156</v>
      </c>
      <c r="C1684" s="1" t="s">
        <v>157</v>
      </c>
      <c r="D1684" s="1" t="s">
        <v>158</v>
      </c>
      <c r="E1684" s="1" t="s">
        <v>12295</v>
      </c>
      <c r="F1684" s="1" t="s">
        <v>98</v>
      </c>
      <c r="G1684" s="1" t="s">
        <v>160</v>
      </c>
      <c r="H1684" s="1">
        <v>0</v>
      </c>
      <c r="I1684" s="1" t="s">
        <v>161</v>
      </c>
      <c r="J1684" s="1"/>
      <c r="K1684" s="1"/>
      <c r="L1684" s="1" t="s">
        <v>506</v>
      </c>
      <c r="M1684" s="1" t="s">
        <v>164</v>
      </c>
      <c r="N1684" s="1">
        <v>0</v>
      </c>
      <c r="O1684" s="1">
        <v>0</v>
      </c>
      <c r="P1684" s="1" t="s">
        <v>301</v>
      </c>
      <c r="Q1684" s="1" t="s">
        <v>268</v>
      </c>
      <c r="R1684" s="1" t="s">
        <v>12651</v>
      </c>
      <c r="S1684" s="1" t="s">
        <v>12652</v>
      </c>
      <c r="T1684" s="1" t="s">
        <v>12653</v>
      </c>
      <c r="U1684" s="1" t="s">
        <v>12654</v>
      </c>
      <c r="V1684" s="1">
        <v>1</v>
      </c>
      <c r="W1684" s="1">
        <v>1</v>
      </c>
      <c r="X1684" s="1">
        <v>0</v>
      </c>
      <c r="Y1684" s="1">
        <v>0</v>
      </c>
      <c r="Z1684" s="1">
        <v>1</v>
      </c>
      <c r="AA1684" s="1" t="s">
        <v>109</v>
      </c>
      <c r="AB1684" s="1" t="s">
        <v>109</v>
      </c>
      <c r="AC1684" s="1">
        <v>1</v>
      </c>
      <c r="AD1684" s="1" t="s">
        <v>109</v>
      </c>
      <c r="AE1684" s="1" t="s">
        <v>109</v>
      </c>
      <c r="AF1684" s="1" t="s">
        <v>109</v>
      </c>
      <c r="AG1684" s="1">
        <v>1</v>
      </c>
      <c r="AH1684" s="1" t="s">
        <v>109</v>
      </c>
      <c r="AI1684" s="1" t="s">
        <v>109</v>
      </c>
      <c r="AJ1684" s="1" t="s">
        <v>109</v>
      </c>
      <c r="AK1684" s="1">
        <v>1</v>
      </c>
      <c r="AL1684" s="1">
        <v>1</v>
      </c>
      <c r="AM1684" s="1" t="s">
        <v>109</v>
      </c>
      <c r="AN1684" s="1" t="s">
        <v>109</v>
      </c>
      <c r="AO1684" s="1" t="s">
        <v>109</v>
      </c>
      <c r="AP1684" s="1" t="s">
        <v>12655</v>
      </c>
      <c r="AQ1684" s="1">
        <v>1</v>
      </c>
      <c r="AR1684" s="1"/>
      <c r="AS1684" s="1"/>
      <c r="AT1684" s="1">
        <v>0</v>
      </c>
      <c r="AU1684" s="1">
        <v>0</v>
      </c>
      <c r="AV1684" s="1">
        <v>0</v>
      </c>
      <c r="AW1684" s="1">
        <v>0</v>
      </c>
      <c r="AX1684" s="1">
        <v>0</v>
      </c>
      <c r="AY1684" s="1">
        <v>0</v>
      </c>
      <c r="AZ1684" s="1">
        <v>0</v>
      </c>
      <c r="BA1684" s="1">
        <v>0</v>
      </c>
      <c r="BB1684" s="1">
        <v>0</v>
      </c>
      <c r="BC1684" s="1">
        <v>0</v>
      </c>
      <c r="BD1684" s="1">
        <v>0</v>
      </c>
      <c r="BE1684" s="1">
        <v>0</v>
      </c>
      <c r="BF1684" s="1">
        <v>0</v>
      </c>
      <c r="BG1684" s="1">
        <v>0</v>
      </c>
      <c r="BH1684" s="1">
        <v>0</v>
      </c>
      <c r="BI1684" s="1">
        <v>0</v>
      </c>
      <c r="BJ1684" s="1">
        <v>0</v>
      </c>
      <c r="BK1684" s="1">
        <v>0</v>
      </c>
      <c r="BL1684" s="1">
        <v>0</v>
      </c>
      <c r="BM1684" s="1">
        <v>1</v>
      </c>
      <c r="BN1684" s="1">
        <v>0</v>
      </c>
      <c r="BO1684" s="1">
        <v>0</v>
      </c>
      <c r="BP1684" s="1">
        <v>0</v>
      </c>
      <c r="BQ1684" s="1">
        <v>0</v>
      </c>
      <c r="BR1684" s="1">
        <v>0</v>
      </c>
      <c r="BS1684" s="1" t="s">
        <v>109</v>
      </c>
      <c r="BT1684" s="1">
        <v>1752</v>
      </c>
      <c r="BU1684" s="1" t="s">
        <v>109</v>
      </c>
      <c r="BV1684" s="1"/>
      <c r="BW1684" s="1"/>
      <c r="BX1684" s="1"/>
      <c r="BY1684" s="1"/>
      <c r="BZ1684" s="1">
        <v>0</v>
      </c>
      <c r="CA1684" s="1" t="s">
        <v>109</v>
      </c>
      <c r="CB1684" s="1" t="s">
        <v>109</v>
      </c>
      <c r="CC1684" s="1" t="s">
        <v>109</v>
      </c>
      <c r="CD1684" s="1" t="s">
        <v>109</v>
      </c>
      <c r="CE1684" s="1" t="s">
        <v>109</v>
      </c>
      <c r="CF1684" s="1" t="s">
        <v>109</v>
      </c>
      <c r="CG1684" s="1" t="s">
        <v>109</v>
      </c>
      <c r="CH1684" s="1" t="s">
        <v>109</v>
      </c>
      <c r="CI1684" s="1" t="s">
        <v>109</v>
      </c>
      <c r="CJ1684" s="1" t="s">
        <v>109</v>
      </c>
      <c r="CK1684" s="1"/>
      <c r="CL1684" s="1">
        <v>0</v>
      </c>
      <c r="CM1684" s="1">
        <v>0</v>
      </c>
      <c r="CN1684" s="1">
        <v>0</v>
      </c>
    </row>
    <row r="1685" spans="1:92" ht="14.25" customHeight="1" x14ac:dyDescent="0.15">
      <c r="A1685" s="1" t="s">
        <v>12656</v>
      </c>
      <c r="B1685" s="1" t="s">
        <v>189</v>
      </c>
      <c r="C1685" s="1"/>
      <c r="D1685" s="1"/>
      <c r="E1685" s="1" t="s">
        <v>12657</v>
      </c>
      <c r="F1685" s="1" t="s">
        <v>98</v>
      </c>
      <c r="G1685" s="1" t="s">
        <v>333</v>
      </c>
      <c r="H1685" s="1">
        <v>0</v>
      </c>
      <c r="I1685" s="1" t="s">
        <v>161</v>
      </c>
      <c r="J1685" s="1"/>
      <c r="K1685" s="1"/>
      <c r="L1685" s="1" t="s">
        <v>12658</v>
      </c>
      <c r="M1685" s="1" t="s">
        <v>377</v>
      </c>
      <c r="N1685" s="1">
        <v>0</v>
      </c>
      <c r="O1685" s="1">
        <v>0</v>
      </c>
      <c r="P1685" s="1" t="s">
        <v>1382</v>
      </c>
      <c r="Q1685" s="1" t="s">
        <v>167</v>
      </c>
      <c r="R1685" s="1" t="s">
        <v>12659</v>
      </c>
      <c r="S1685" s="1" t="s">
        <v>12660</v>
      </c>
      <c r="T1685" s="1" t="s">
        <v>12653</v>
      </c>
      <c r="U1685" s="1" t="s">
        <v>12661</v>
      </c>
      <c r="V1685" s="1">
        <v>1</v>
      </c>
      <c r="W1685" s="1">
        <v>0</v>
      </c>
      <c r="X1685" s="1">
        <v>0</v>
      </c>
      <c r="Y1685" s="1">
        <v>0</v>
      </c>
      <c r="Z1685" s="1">
        <v>0</v>
      </c>
      <c r="AA1685" s="1" t="s">
        <v>109</v>
      </c>
      <c r="AB1685" s="1" t="s">
        <v>109</v>
      </c>
      <c r="AC1685" s="1">
        <v>1</v>
      </c>
      <c r="AD1685" s="1">
        <v>1</v>
      </c>
      <c r="AE1685" s="1" t="s">
        <v>109</v>
      </c>
      <c r="AF1685" s="1">
        <v>1</v>
      </c>
      <c r="AG1685" s="1" t="s">
        <v>109</v>
      </c>
      <c r="AH1685" s="1" t="s">
        <v>109</v>
      </c>
      <c r="AI1685" s="1" t="s">
        <v>109</v>
      </c>
      <c r="AJ1685" s="1">
        <v>1</v>
      </c>
      <c r="AK1685" s="1" t="s">
        <v>109</v>
      </c>
      <c r="AL1685" s="1">
        <v>1</v>
      </c>
      <c r="AM1685" s="1" t="s">
        <v>109</v>
      </c>
      <c r="AN1685" s="1" t="s">
        <v>109</v>
      </c>
      <c r="AO1685" s="1" t="s">
        <v>109</v>
      </c>
      <c r="AP1685" s="1" t="s">
        <v>12662</v>
      </c>
      <c r="AQ1685" s="1">
        <v>1</v>
      </c>
      <c r="AR1685" s="1"/>
      <c r="AS1685" s="1"/>
      <c r="AT1685" s="1">
        <v>0</v>
      </c>
      <c r="AU1685" s="1">
        <v>0</v>
      </c>
      <c r="AV1685" s="1">
        <v>0</v>
      </c>
      <c r="AW1685" s="1">
        <v>0</v>
      </c>
      <c r="AX1685" s="1">
        <v>0</v>
      </c>
      <c r="AY1685" s="1">
        <v>0</v>
      </c>
      <c r="AZ1685" s="1">
        <v>0</v>
      </c>
      <c r="BA1685" s="1">
        <v>0</v>
      </c>
      <c r="BB1685" s="1">
        <v>0</v>
      </c>
      <c r="BC1685" s="1">
        <v>0</v>
      </c>
      <c r="BD1685" s="1">
        <v>0</v>
      </c>
      <c r="BE1685" s="1">
        <v>0</v>
      </c>
      <c r="BF1685" s="1">
        <v>0</v>
      </c>
      <c r="BG1685" s="1">
        <v>0</v>
      </c>
      <c r="BH1685" s="1">
        <v>0</v>
      </c>
      <c r="BI1685" s="1">
        <v>0</v>
      </c>
      <c r="BJ1685" s="1">
        <v>0</v>
      </c>
      <c r="BK1685" s="1">
        <v>0</v>
      </c>
      <c r="BL1685" s="1">
        <v>0</v>
      </c>
      <c r="BM1685" s="1">
        <v>0</v>
      </c>
      <c r="BN1685" s="1">
        <v>0</v>
      </c>
      <c r="BO1685" s="1">
        <v>0</v>
      </c>
      <c r="BP1685" s="1">
        <v>0</v>
      </c>
      <c r="BQ1685" s="1">
        <v>0</v>
      </c>
      <c r="BR1685" s="1">
        <v>0</v>
      </c>
      <c r="BS1685" s="1" t="s">
        <v>109</v>
      </c>
      <c r="BT1685" s="1">
        <v>1753</v>
      </c>
      <c r="BU1685" s="1" t="s">
        <v>109</v>
      </c>
      <c r="BV1685" s="1"/>
      <c r="BW1685" s="1"/>
      <c r="BX1685" s="1"/>
      <c r="BY1685" s="1"/>
      <c r="BZ1685" s="1">
        <v>0</v>
      </c>
      <c r="CA1685" s="1" t="s">
        <v>109</v>
      </c>
      <c r="CB1685" s="1" t="s">
        <v>109</v>
      </c>
      <c r="CC1685" s="1" t="s">
        <v>109</v>
      </c>
      <c r="CD1685" s="1" t="s">
        <v>109</v>
      </c>
      <c r="CE1685" s="1" t="s">
        <v>109</v>
      </c>
      <c r="CF1685" s="1" t="s">
        <v>109</v>
      </c>
      <c r="CG1685" s="1" t="s">
        <v>109</v>
      </c>
      <c r="CH1685" s="1" t="s">
        <v>109</v>
      </c>
      <c r="CI1685" s="1" t="s">
        <v>109</v>
      </c>
      <c r="CJ1685" s="1">
        <v>1</v>
      </c>
      <c r="CK1685" s="1"/>
      <c r="CL1685" s="1">
        <v>0</v>
      </c>
      <c r="CM1685" s="1">
        <v>0</v>
      </c>
      <c r="CN1685" s="1">
        <v>0</v>
      </c>
    </row>
    <row r="1686" spans="1:92" ht="14.25" customHeight="1" x14ac:dyDescent="0.15">
      <c r="A1686" s="1" t="s">
        <v>12663</v>
      </c>
      <c r="B1686" s="1" t="s">
        <v>189</v>
      </c>
      <c r="C1686" s="1" t="s">
        <v>231</v>
      </c>
      <c r="D1686" s="1"/>
      <c r="E1686" s="1" t="s">
        <v>12664</v>
      </c>
      <c r="F1686" s="1" t="s">
        <v>98</v>
      </c>
      <c r="G1686" s="1" t="s">
        <v>12665</v>
      </c>
      <c r="H1686" s="1">
        <v>0</v>
      </c>
      <c r="I1686" s="1" t="s">
        <v>161</v>
      </c>
      <c r="J1686" s="1"/>
      <c r="K1686" s="1"/>
      <c r="L1686" s="1" t="s">
        <v>563</v>
      </c>
      <c r="M1686" s="1" t="s">
        <v>125</v>
      </c>
      <c r="N1686" s="1">
        <v>0</v>
      </c>
      <c r="O1686" s="1">
        <v>0</v>
      </c>
      <c r="P1686" s="1" t="s">
        <v>267</v>
      </c>
      <c r="Q1686" s="1" t="s">
        <v>268</v>
      </c>
      <c r="R1686" s="1" t="s">
        <v>12666</v>
      </c>
      <c r="S1686" s="1" t="s">
        <v>12667</v>
      </c>
      <c r="T1686" s="1" t="s">
        <v>12653</v>
      </c>
      <c r="U1686" s="1" t="s">
        <v>12668</v>
      </c>
      <c r="V1686" s="1">
        <v>1</v>
      </c>
      <c r="W1686" s="1">
        <v>0</v>
      </c>
      <c r="X1686" s="1">
        <v>1</v>
      </c>
      <c r="Y1686" s="1">
        <v>0</v>
      </c>
      <c r="Z1686" s="1">
        <v>1</v>
      </c>
      <c r="AA1686" s="1">
        <v>4</v>
      </c>
      <c r="AB1686" s="1">
        <v>4</v>
      </c>
      <c r="AC1686" s="1">
        <v>4</v>
      </c>
      <c r="AD1686" s="1">
        <v>4</v>
      </c>
      <c r="AE1686" s="1" t="s">
        <v>109</v>
      </c>
      <c r="AF1686" s="1" t="s">
        <v>109</v>
      </c>
      <c r="AG1686" s="1" t="s">
        <v>109</v>
      </c>
      <c r="AH1686" s="1" t="s">
        <v>109</v>
      </c>
      <c r="AI1686" s="1">
        <v>4</v>
      </c>
      <c r="AJ1686" s="1">
        <v>4</v>
      </c>
      <c r="AK1686" s="1" t="s">
        <v>109</v>
      </c>
      <c r="AL1686" s="1">
        <v>4</v>
      </c>
      <c r="AM1686" s="1" t="s">
        <v>109</v>
      </c>
      <c r="AN1686" s="1" t="s">
        <v>109</v>
      </c>
      <c r="AO1686" s="1" t="s">
        <v>109</v>
      </c>
      <c r="AP1686" s="1"/>
      <c r="AQ1686" s="1">
        <v>4</v>
      </c>
      <c r="AR1686" s="1"/>
      <c r="AS1686" s="1"/>
      <c r="AT1686" s="1">
        <v>0</v>
      </c>
      <c r="AU1686" s="1">
        <v>0</v>
      </c>
      <c r="AV1686" s="1">
        <v>0</v>
      </c>
      <c r="AW1686" s="1">
        <v>0</v>
      </c>
      <c r="AX1686" s="1">
        <v>0</v>
      </c>
      <c r="AY1686" s="1">
        <v>0</v>
      </c>
      <c r="AZ1686" s="1">
        <v>0</v>
      </c>
      <c r="BA1686" s="1">
        <v>0</v>
      </c>
      <c r="BB1686" s="1">
        <v>0</v>
      </c>
      <c r="BC1686" s="1">
        <v>0</v>
      </c>
      <c r="BD1686" s="1">
        <v>0</v>
      </c>
      <c r="BE1686" s="1">
        <v>0</v>
      </c>
      <c r="BF1686" s="1">
        <v>0</v>
      </c>
      <c r="BG1686" s="1">
        <v>0</v>
      </c>
      <c r="BH1686" s="1">
        <v>0</v>
      </c>
      <c r="BI1686" s="1">
        <v>0</v>
      </c>
      <c r="BJ1686" s="1">
        <v>0</v>
      </c>
      <c r="BK1686" s="1">
        <v>0</v>
      </c>
      <c r="BL1686" s="1">
        <v>0</v>
      </c>
      <c r="BM1686" s="1">
        <v>0</v>
      </c>
      <c r="BN1686" s="1">
        <v>0</v>
      </c>
      <c r="BO1686" s="1">
        <v>0</v>
      </c>
      <c r="BP1686" s="1">
        <v>0</v>
      </c>
      <c r="BQ1686" s="1">
        <v>0</v>
      </c>
      <c r="BR1686" s="1">
        <v>0</v>
      </c>
      <c r="BS1686" s="1" t="s">
        <v>109</v>
      </c>
      <c r="BT1686" s="1">
        <v>1755</v>
      </c>
      <c r="BU1686" s="1" t="s">
        <v>109</v>
      </c>
      <c r="BV1686" s="1"/>
      <c r="BW1686" s="1"/>
      <c r="BX1686" s="1"/>
      <c r="BY1686" s="1"/>
      <c r="BZ1686" s="1">
        <v>0</v>
      </c>
      <c r="CA1686" s="1" t="s">
        <v>109</v>
      </c>
      <c r="CB1686" s="1" t="s">
        <v>109</v>
      </c>
      <c r="CC1686" s="1" t="s">
        <v>109</v>
      </c>
      <c r="CD1686" s="1" t="s">
        <v>109</v>
      </c>
      <c r="CE1686" s="1" t="s">
        <v>109</v>
      </c>
      <c r="CF1686" s="1" t="s">
        <v>109</v>
      </c>
      <c r="CG1686" s="1" t="s">
        <v>109</v>
      </c>
      <c r="CH1686" s="1" t="s">
        <v>109</v>
      </c>
      <c r="CI1686" s="1" t="s">
        <v>109</v>
      </c>
      <c r="CJ1686" s="1">
        <v>4</v>
      </c>
      <c r="CK1686" s="1"/>
      <c r="CL1686" s="1">
        <v>0</v>
      </c>
      <c r="CM1686" s="1">
        <v>0</v>
      </c>
      <c r="CN1686" s="1">
        <v>0</v>
      </c>
    </row>
    <row r="1687" spans="1:92" ht="14.25" customHeight="1" x14ac:dyDescent="0.15">
      <c r="A1687" s="1" t="s">
        <v>12669</v>
      </c>
      <c r="B1687" s="1" t="s">
        <v>254</v>
      </c>
      <c r="C1687" s="1"/>
      <c r="D1687" s="1"/>
      <c r="E1687" s="1" t="s">
        <v>12670</v>
      </c>
      <c r="F1687" s="1" t="s">
        <v>98</v>
      </c>
      <c r="G1687" s="1" t="s">
        <v>12671</v>
      </c>
      <c r="H1687" s="1">
        <v>0</v>
      </c>
      <c r="I1687" s="1" t="s">
        <v>12672</v>
      </c>
      <c r="J1687" s="1"/>
      <c r="K1687" s="1"/>
      <c r="L1687" s="1" t="s">
        <v>236</v>
      </c>
      <c r="M1687" s="1" t="s">
        <v>6144</v>
      </c>
      <c r="N1687" s="1">
        <v>1</v>
      </c>
      <c r="O1687" s="1">
        <v>0</v>
      </c>
      <c r="P1687" s="1"/>
      <c r="Q1687" s="1"/>
      <c r="R1687" s="1" t="s">
        <v>12673</v>
      </c>
      <c r="S1687" s="1" t="s">
        <v>12674</v>
      </c>
      <c r="T1687" s="1" t="s">
        <v>12653</v>
      </c>
      <c r="U1687" s="1" t="s">
        <v>12675</v>
      </c>
      <c r="V1687" s="1">
        <v>1</v>
      </c>
      <c r="W1687" s="1">
        <v>1</v>
      </c>
      <c r="X1687" s="1">
        <v>1</v>
      </c>
      <c r="Y1687" s="1">
        <v>0</v>
      </c>
      <c r="Z1687" s="1">
        <v>1</v>
      </c>
      <c r="AA1687" s="1" t="s">
        <v>109</v>
      </c>
      <c r="AB1687" s="1" t="s">
        <v>109</v>
      </c>
      <c r="AC1687" s="1">
        <v>3</v>
      </c>
      <c r="AD1687" s="1" t="s">
        <v>109</v>
      </c>
      <c r="AE1687" s="1" t="s">
        <v>109</v>
      </c>
      <c r="AF1687" s="1">
        <v>3</v>
      </c>
      <c r="AG1687" s="1">
        <v>4</v>
      </c>
      <c r="AH1687" s="1" t="s">
        <v>109</v>
      </c>
      <c r="AI1687" s="1" t="s">
        <v>109</v>
      </c>
      <c r="AJ1687" s="1" t="s">
        <v>109</v>
      </c>
      <c r="AK1687" s="1">
        <v>4</v>
      </c>
      <c r="AL1687" s="1">
        <v>3</v>
      </c>
      <c r="AM1687" s="1" t="s">
        <v>109</v>
      </c>
      <c r="AN1687" s="1" t="s">
        <v>109</v>
      </c>
      <c r="AO1687" s="1" t="s">
        <v>109</v>
      </c>
      <c r="AP1687" s="1" t="s">
        <v>12676</v>
      </c>
      <c r="AQ1687" s="1">
        <v>3</v>
      </c>
      <c r="AR1687" s="1"/>
      <c r="AS1687" s="1"/>
      <c r="AT1687" s="1">
        <v>0</v>
      </c>
      <c r="AU1687" s="1">
        <v>0</v>
      </c>
      <c r="AV1687" s="1">
        <v>0</v>
      </c>
      <c r="AW1687" s="1">
        <v>0</v>
      </c>
      <c r="AX1687" s="1">
        <v>0</v>
      </c>
      <c r="AY1687" s="1">
        <v>0</v>
      </c>
      <c r="AZ1687" s="1">
        <v>0</v>
      </c>
      <c r="BA1687" s="1">
        <v>0</v>
      </c>
      <c r="BB1687" s="1">
        <v>0</v>
      </c>
      <c r="BC1687" s="1">
        <v>0</v>
      </c>
      <c r="BD1687" s="1">
        <v>0</v>
      </c>
      <c r="BE1687" s="1">
        <v>0</v>
      </c>
      <c r="BF1687" s="1">
        <v>0</v>
      </c>
      <c r="BG1687" s="1">
        <v>0</v>
      </c>
      <c r="BH1687" s="1">
        <v>0</v>
      </c>
      <c r="BI1687" s="1">
        <v>0</v>
      </c>
      <c r="BJ1687" s="1">
        <v>0</v>
      </c>
      <c r="BK1687" s="1">
        <v>0</v>
      </c>
      <c r="BL1687" s="1">
        <v>0</v>
      </c>
      <c r="BM1687" s="1">
        <v>0</v>
      </c>
      <c r="BN1687" s="1">
        <v>0</v>
      </c>
      <c r="BO1687" s="1">
        <v>0</v>
      </c>
      <c r="BP1687" s="1">
        <v>0</v>
      </c>
      <c r="BQ1687" s="1">
        <v>0</v>
      </c>
      <c r="BR1687" s="1">
        <v>0</v>
      </c>
      <c r="BS1687" s="1" t="s">
        <v>109</v>
      </c>
      <c r="BT1687" s="1">
        <v>1756</v>
      </c>
      <c r="BU1687" s="1" t="s">
        <v>109</v>
      </c>
      <c r="BV1687" s="1"/>
      <c r="BW1687" s="1"/>
      <c r="BX1687" s="1"/>
      <c r="BY1687" s="1"/>
      <c r="BZ1687" s="1">
        <v>0</v>
      </c>
      <c r="CA1687" s="1" t="s">
        <v>109</v>
      </c>
      <c r="CB1687" s="1" t="s">
        <v>109</v>
      </c>
      <c r="CC1687" s="1" t="s">
        <v>109</v>
      </c>
      <c r="CD1687" s="1" t="s">
        <v>109</v>
      </c>
      <c r="CE1687" s="1" t="s">
        <v>109</v>
      </c>
      <c r="CF1687" s="1" t="s">
        <v>109</v>
      </c>
      <c r="CG1687" s="1" t="s">
        <v>109</v>
      </c>
      <c r="CH1687" s="1" t="s">
        <v>109</v>
      </c>
      <c r="CI1687" s="1" t="s">
        <v>109</v>
      </c>
      <c r="CJ1687" s="1" t="s">
        <v>109</v>
      </c>
      <c r="CK1687" s="1"/>
      <c r="CL1687" s="1">
        <v>0</v>
      </c>
      <c r="CM1687" s="1">
        <v>0</v>
      </c>
      <c r="CN1687" s="1">
        <v>0</v>
      </c>
    </row>
    <row r="1688" spans="1:92" ht="14.25" customHeight="1" x14ac:dyDescent="0.15">
      <c r="A1688" s="1" t="s">
        <v>12677</v>
      </c>
      <c r="B1688" s="1" t="s">
        <v>242</v>
      </c>
      <c r="C1688" s="1"/>
      <c r="D1688" s="1"/>
      <c r="E1688" s="1" t="s">
        <v>12678</v>
      </c>
      <c r="F1688" s="1" t="s">
        <v>98</v>
      </c>
      <c r="G1688" s="1" t="s">
        <v>141</v>
      </c>
      <c r="H1688" s="1">
        <v>0</v>
      </c>
      <c r="I1688" s="1" t="s">
        <v>235</v>
      </c>
      <c r="J1688" s="1"/>
      <c r="K1688" s="1"/>
      <c r="L1688" s="1" t="s">
        <v>236</v>
      </c>
      <c r="M1688" s="1" t="s">
        <v>125</v>
      </c>
      <c r="N1688" s="1">
        <v>0</v>
      </c>
      <c r="O1688" s="1">
        <v>0</v>
      </c>
      <c r="P1688" s="1" t="s">
        <v>103</v>
      </c>
      <c r="Q1688" s="1" t="s">
        <v>104</v>
      </c>
      <c r="R1688" s="1" t="s">
        <v>12679</v>
      </c>
      <c r="S1688" s="1" t="s">
        <v>12680</v>
      </c>
      <c r="T1688" s="1" t="s">
        <v>12653</v>
      </c>
      <c r="U1688" s="1" t="s">
        <v>12681</v>
      </c>
      <c r="V1688" s="1">
        <v>1</v>
      </c>
      <c r="W1688" s="1">
        <v>1</v>
      </c>
      <c r="X1688" s="1">
        <v>0</v>
      </c>
      <c r="Y1688" s="1">
        <v>0</v>
      </c>
      <c r="Z1688" s="1">
        <v>0</v>
      </c>
      <c r="AA1688" s="1">
        <v>3</v>
      </c>
      <c r="AB1688" s="1">
        <v>3</v>
      </c>
      <c r="AC1688" s="1" t="s">
        <v>109</v>
      </c>
      <c r="AD1688" s="1">
        <v>3</v>
      </c>
      <c r="AE1688" s="1">
        <v>3</v>
      </c>
      <c r="AF1688" s="1" t="s">
        <v>109</v>
      </c>
      <c r="AG1688" s="1" t="s">
        <v>109</v>
      </c>
      <c r="AH1688" s="1" t="s">
        <v>109</v>
      </c>
      <c r="AI1688" s="1" t="s">
        <v>109</v>
      </c>
      <c r="AJ1688" s="1" t="s">
        <v>109</v>
      </c>
      <c r="AK1688" s="1" t="s">
        <v>109</v>
      </c>
      <c r="AL1688" s="1" t="s">
        <v>109</v>
      </c>
      <c r="AM1688" s="1" t="s">
        <v>109</v>
      </c>
      <c r="AN1688" s="1">
        <v>3</v>
      </c>
      <c r="AO1688" s="1" t="s">
        <v>109</v>
      </c>
      <c r="AP1688" s="1"/>
      <c r="AQ1688" s="1">
        <v>3</v>
      </c>
      <c r="AR1688" s="1"/>
      <c r="AS1688" s="1"/>
      <c r="AT1688" s="1">
        <v>0</v>
      </c>
      <c r="AU1688" s="1">
        <v>0</v>
      </c>
      <c r="AV1688" s="1">
        <v>0</v>
      </c>
      <c r="AW1688" s="1">
        <v>0</v>
      </c>
      <c r="AX1688" s="1">
        <v>0</v>
      </c>
      <c r="AY1688" s="1">
        <v>0</v>
      </c>
      <c r="AZ1688" s="1">
        <v>0</v>
      </c>
      <c r="BA1688" s="1">
        <v>0</v>
      </c>
      <c r="BB1688" s="1">
        <v>0</v>
      </c>
      <c r="BC1688" s="1">
        <v>0</v>
      </c>
      <c r="BD1688" s="1">
        <v>0</v>
      </c>
      <c r="BE1688" s="1">
        <v>0</v>
      </c>
      <c r="BF1688" s="1">
        <v>0</v>
      </c>
      <c r="BG1688" s="1">
        <v>0</v>
      </c>
      <c r="BH1688" s="1">
        <v>0</v>
      </c>
      <c r="BI1688" s="1">
        <v>0</v>
      </c>
      <c r="BJ1688" s="1">
        <v>0</v>
      </c>
      <c r="BK1688" s="1">
        <v>0</v>
      </c>
      <c r="BL1688" s="1">
        <v>0</v>
      </c>
      <c r="BM1688" s="1">
        <v>0</v>
      </c>
      <c r="BN1688" s="1">
        <v>0</v>
      </c>
      <c r="BO1688" s="1">
        <v>0</v>
      </c>
      <c r="BP1688" s="1">
        <v>0</v>
      </c>
      <c r="BQ1688" s="1">
        <v>0</v>
      </c>
      <c r="BR1688" s="1">
        <v>0</v>
      </c>
      <c r="BS1688" s="1" t="s">
        <v>109</v>
      </c>
      <c r="BT1688" s="1">
        <v>1757</v>
      </c>
      <c r="BU1688" s="1" t="s">
        <v>109</v>
      </c>
      <c r="BV1688" s="1"/>
      <c r="BW1688" s="1"/>
      <c r="BX1688" s="1"/>
      <c r="BY1688" s="1"/>
      <c r="BZ1688" s="1">
        <v>0</v>
      </c>
      <c r="CA1688" s="1" t="s">
        <v>109</v>
      </c>
      <c r="CB1688" s="1" t="s">
        <v>109</v>
      </c>
      <c r="CC1688" s="1" t="s">
        <v>109</v>
      </c>
      <c r="CD1688" s="1" t="s">
        <v>109</v>
      </c>
      <c r="CE1688" s="1" t="s">
        <v>109</v>
      </c>
      <c r="CF1688" s="1" t="s">
        <v>109</v>
      </c>
      <c r="CG1688" s="1" t="s">
        <v>109</v>
      </c>
      <c r="CH1688" s="1" t="s">
        <v>109</v>
      </c>
      <c r="CI1688" s="1" t="s">
        <v>109</v>
      </c>
      <c r="CJ1688" s="1">
        <v>3</v>
      </c>
      <c r="CK1688" s="1"/>
      <c r="CL1688" s="1">
        <v>0</v>
      </c>
      <c r="CM1688" s="1">
        <v>0</v>
      </c>
      <c r="CN1688" s="1">
        <v>0</v>
      </c>
    </row>
    <row r="1689" spans="1:92" ht="14.25" customHeight="1" x14ac:dyDescent="0.15">
      <c r="A1689" s="1" t="s">
        <v>12682</v>
      </c>
      <c r="B1689" s="1" t="s">
        <v>156</v>
      </c>
      <c r="C1689" s="1" t="s">
        <v>157</v>
      </c>
      <c r="D1689" s="1" t="s">
        <v>158</v>
      </c>
      <c r="E1689" s="1" t="s">
        <v>12295</v>
      </c>
      <c r="F1689" s="1" t="s">
        <v>98</v>
      </c>
      <c r="G1689" s="1" t="s">
        <v>160</v>
      </c>
      <c r="H1689" s="1">
        <v>0</v>
      </c>
      <c r="I1689" s="1" t="s">
        <v>475</v>
      </c>
      <c r="J1689" s="1" t="s">
        <v>616</v>
      </c>
      <c r="K1689" s="1"/>
      <c r="L1689" s="1"/>
      <c r="M1689" s="1" t="s">
        <v>289</v>
      </c>
      <c r="N1689" s="1">
        <v>0</v>
      </c>
      <c r="O1689" s="1">
        <v>0</v>
      </c>
      <c r="P1689" s="1" t="s">
        <v>103</v>
      </c>
      <c r="Q1689" s="1" t="s">
        <v>167</v>
      </c>
      <c r="R1689" s="1" t="s">
        <v>12683</v>
      </c>
      <c r="S1689" s="1" t="s">
        <v>12684</v>
      </c>
      <c r="T1689" s="1" t="s">
        <v>12653</v>
      </c>
      <c r="U1689" s="1" t="s">
        <v>12685</v>
      </c>
      <c r="V1689" s="1">
        <v>1</v>
      </c>
      <c r="W1689" s="1">
        <v>1</v>
      </c>
      <c r="X1689" s="1">
        <v>0</v>
      </c>
      <c r="Y1689" s="1">
        <v>0</v>
      </c>
      <c r="Z1689" s="1">
        <v>1</v>
      </c>
      <c r="AA1689" s="1" t="s">
        <v>109</v>
      </c>
      <c r="AB1689" s="1" t="s">
        <v>109</v>
      </c>
      <c r="AC1689" s="1">
        <v>1</v>
      </c>
      <c r="AD1689" s="1" t="s">
        <v>109</v>
      </c>
      <c r="AE1689" s="1" t="s">
        <v>109</v>
      </c>
      <c r="AF1689" s="1" t="s">
        <v>109</v>
      </c>
      <c r="AG1689" s="1">
        <v>1</v>
      </c>
      <c r="AH1689" s="1" t="s">
        <v>109</v>
      </c>
      <c r="AI1689" s="1" t="s">
        <v>109</v>
      </c>
      <c r="AJ1689" s="1" t="s">
        <v>109</v>
      </c>
      <c r="AK1689" s="1">
        <v>1</v>
      </c>
      <c r="AL1689" s="1">
        <v>1</v>
      </c>
      <c r="AM1689" s="1" t="s">
        <v>109</v>
      </c>
      <c r="AN1689" s="1" t="s">
        <v>109</v>
      </c>
      <c r="AO1689" s="1" t="s">
        <v>109</v>
      </c>
      <c r="AP1689" s="1" t="s">
        <v>12655</v>
      </c>
      <c r="AQ1689" s="1">
        <v>1</v>
      </c>
      <c r="AR1689" s="1"/>
      <c r="AS1689" s="1"/>
      <c r="AT1689" s="1">
        <v>0</v>
      </c>
      <c r="AU1689" s="1">
        <v>0</v>
      </c>
      <c r="AV1689" s="1">
        <v>0</v>
      </c>
      <c r="AW1689" s="1">
        <v>0</v>
      </c>
      <c r="AX1689" s="1">
        <v>0</v>
      </c>
      <c r="AY1689" s="1">
        <v>0</v>
      </c>
      <c r="AZ1689" s="1">
        <v>0</v>
      </c>
      <c r="BA1689" s="1">
        <v>0</v>
      </c>
      <c r="BB1689" s="1">
        <v>0</v>
      </c>
      <c r="BC1689" s="1">
        <v>0</v>
      </c>
      <c r="BD1689" s="1">
        <v>0</v>
      </c>
      <c r="BE1689" s="1">
        <v>0</v>
      </c>
      <c r="BF1689" s="1">
        <v>0</v>
      </c>
      <c r="BG1689" s="1">
        <v>0</v>
      </c>
      <c r="BH1689" s="1">
        <v>0</v>
      </c>
      <c r="BI1689" s="1">
        <v>0</v>
      </c>
      <c r="BJ1689" s="1">
        <v>0</v>
      </c>
      <c r="BK1689" s="1">
        <v>0</v>
      </c>
      <c r="BL1689" s="1">
        <v>0</v>
      </c>
      <c r="BM1689" s="1">
        <v>1</v>
      </c>
      <c r="BN1689" s="1">
        <v>0</v>
      </c>
      <c r="BO1689" s="1">
        <v>0</v>
      </c>
      <c r="BP1689" s="1">
        <v>0</v>
      </c>
      <c r="BQ1689" s="1">
        <v>0</v>
      </c>
      <c r="BR1689" s="1">
        <v>0</v>
      </c>
      <c r="BS1689" s="1" t="s">
        <v>109</v>
      </c>
      <c r="BT1689" s="1">
        <v>1758</v>
      </c>
      <c r="BU1689" s="1" t="s">
        <v>109</v>
      </c>
      <c r="BV1689" s="1"/>
      <c r="BW1689" s="1"/>
      <c r="BX1689" s="1"/>
      <c r="BY1689" s="1"/>
      <c r="BZ1689" s="1">
        <v>0</v>
      </c>
      <c r="CA1689" s="1" t="s">
        <v>109</v>
      </c>
      <c r="CB1689" s="1" t="s">
        <v>109</v>
      </c>
      <c r="CC1689" s="1" t="s">
        <v>109</v>
      </c>
      <c r="CD1689" s="1" t="s">
        <v>109</v>
      </c>
      <c r="CE1689" s="1" t="s">
        <v>109</v>
      </c>
      <c r="CF1689" s="1" t="s">
        <v>109</v>
      </c>
      <c r="CG1689" s="1" t="s">
        <v>109</v>
      </c>
      <c r="CH1689" s="1" t="s">
        <v>109</v>
      </c>
      <c r="CI1689" s="1" t="s">
        <v>109</v>
      </c>
      <c r="CJ1689" s="1" t="s">
        <v>109</v>
      </c>
      <c r="CK1689" s="1"/>
      <c r="CL1689" s="1">
        <v>0</v>
      </c>
      <c r="CM1689" s="1">
        <v>0</v>
      </c>
      <c r="CN1689" s="1">
        <v>0</v>
      </c>
    </row>
    <row r="1690" spans="1:92" ht="14.25" customHeight="1" x14ac:dyDescent="0.15">
      <c r="A1690" s="1" t="s">
        <v>12686</v>
      </c>
      <c r="B1690" s="1" t="s">
        <v>189</v>
      </c>
      <c r="C1690" s="1"/>
      <c r="D1690" s="1"/>
      <c r="E1690" s="1" t="s">
        <v>12687</v>
      </c>
      <c r="F1690" s="1" t="s">
        <v>98</v>
      </c>
      <c r="G1690" s="1" t="s">
        <v>141</v>
      </c>
      <c r="H1690" s="1">
        <v>0</v>
      </c>
      <c r="I1690" s="1" t="s">
        <v>142</v>
      </c>
      <c r="J1690" s="1" t="s">
        <v>12688</v>
      </c>
      <c r="K1690" s="1"/>
      <c r="L1690" s="1"/>
      <c r="M1690" s="1" t="s">
        <v>125</v>
      </c>
      <c r="N1690" s="1">
        <v>0</v>
      </c>
      <c r="O1690" s="1">
        <v>0</v>
      </c>
      <c r="P1690" s="1" t="s">
        <v>629</v>
      </c>
      <c r="Q1690" s="1" t="s">
        <v>630</v>
      </c>
      <c r="R1690" s="1" t="s">
        <v>12689</v>
      </c>
      <c r="S1690" s="1" t="s">
        <v>12690</v>
      </c>
      <c r="T1690" s="1" t="s">
        <v>12653</v>
      </c>
      <c r="U1690" s="1" t="s">
        <v>12691</v>
      </c>
      <c r="V1690" s="1">
        <v>1</v>
      </c>
      <c r="W1690" s="1">
        <v>1</v>
      </c>
      <c r="X1690" s="1">
        <v>0</v>
      </c>
      <c r="Y1690" s="1">
        <v>0</v>
      </c>
      <c r="Z1690" s="1">
        <v>0</v>
      </c>
      <c r="AA1690" s="1">
        <v>2</v>
      </c>
      <c r="AB1690" s="1">
        <v>2</v>
      </c>
      <c r="AC1690" s="1">
        <v>2</v>
      </c>
      <c r="AD1690" s="1">
        <v>2</v>
      </c>
      <c r="AE1690" s="1" t="s">
        <v>109</v>
      </c>
      <c r="AF1690" s="1" t="s">
        <v>109</v>
      </c>
      <c r="AG1690" s="1" t="s">
        <v>109</v>
      </c>
      <c r="AH1690" s="1" t="s">
        <v>109</v>
      </c>
      <c r="AI1690" s="1" t="s">
        <v>109</v>
      </c>
      <c r="AJ1690" s="1">
        <v>2</v>
      </c>
      <c r="AK1690" s="1">
        <v>2</v>
      </c>
      <c r="AL1690" s="1">
        <v>2</v>
      </c>
      <c r="AM1690" s="1">
        <v>2</v>
      </c>
      <c r="AN1690" s="1" t="s">
        <v>109</v>
      </c>
      <c r="AO1690" s="1" t="s">
        <v>109</v>
      </c>
      <c r="AP1690" s="1" t="s">
        <v>12692</v>
      </c>
      <c r="AQ1690" s="1">
        <v>2</v>
      </c>
      <c r="AR1690" s="1"/>
      <c r="AS1690" s="1"/>
      <c r="AT1690" s="1">
        <v>0</v>
      </c>
      <c r="AU1690" s="1">
        <v>0</v>
      </c>
      <c r="AV1690" s="1">
        <v>0</v>
      </c>
      <c r="AW1690" s="1">
        <v>0</v>
      </c>
      <c r="AX1690" s="1">
        <v>0</v>
      </c>
      <c r="AY1690" s="1">
        <v>0</v>
      </c>
      <c r="AZ1690" s="1">
        <v>0</v>
      </c>
      <c r="BA1690" s="1">
        <v>0</v>
      </c>
      <c r="BB1690" s="1">
        <v>0</v>
      </c>
      <c r="BC1690" s="1">
        <v>0</v>
      </c>
      <c r="BD1690" s="1">
        <v>0</v>
      </c>
      <c r="BE1690" s="1">
        <v>0</v>
      </c>
      <c r="BF1690" s="1">
        <v>0</v>
      </c>
      <c r="BG1690" s="1">
        <v>0</v>
      </c>
      <c r="BH1690" s="1">
        <v>0</v>
      </c>
      <c r="BI1690" s="1">
        <v>0</v>
      </c>
      <c r="BJ1690" s="1">
        <v>0</v>
      </c>
      <c r="BK1690" s="1">
        <v>0</v>
      </c>
      <c r="BL1690" s="1">
        <v>0</v>
      </c>
      <c r="BM1690" s="1">
        <v>0</v>
      </c>
      <c r="BN1690" s="1">
        <v>0</v>
      </c>
      <c r="BO1690" s="1">
        <v>0</v>
      </c>
      <c r="BP1690" s="1">
        <v>0</v>
      </c>
      <c r="BQ1690" s="1">
        <v>0</v>
      </c>
      <c r="BR1690" s="1">
        <v>0</v>
      </c>
      <c r="BS1690" s="1" t="s">
        <v>109</v>
      </c>
      <c r="BT1690" s="1">
        <v>1759</v>
      </c>
      <c r="BU1690" s="1" t="s">
        <v>109</v>
      </c>
      <c r="BV1690" s="1"/>
      <c r="BW1690" s="1"/>
      <c r="BX1690" s="1"/>
      <c r="BY1690" s="1"/>
      <c r="BZ1690" s="1">
        <v>0</v>
      </c>
      <c r="CA1690" s="1" t="s">
        <v>109</v>
      </c>
      <c r="CB1690" s="1" t="s">
        <v>109</v>
      </c>
      <c r="CC1690" s="1" t="s">
        <v>109</v>
      </c>
      <c r="CD1690" s="1" t="s">
        <v>109</v>
      </c>
      <c r="CE1690" s="1" t="s">
        <v>109</v>
      </c>
      <c r="CF1690" s="1" t="s">
        <v>109</v>
      </c>
      <c r="CG1690" s="1" t="s">
        <v>109</v>
      </c>
      <c r="CH1690" s="1" t="s">
        <v>109</v>
      </c>
      <c r="CI1690" s="1" t="s">
        <v>109</v>
      </c>
      <c r="CJ1690" s="1">
        <v>2</v>
      </c>
      <c r="CK1690" s="1"/>
      <c r="CL1690" s="1">
        <v>0</v>
      </c>
      <c r="CM1690" s="1">
        <v>0</v>
      </c>
      <c r="CN1690" s="1">
        <v>0</v>
      </c>
    </row>
    <row r="1691" spans="1:92" ht="14.25" customHeight="1" x14ac:dyDescent="0.15">
      <c r="A1691" s="1" t="s">
        <v>12693</v>
      </c>
      <c r="B1691" s="1" t="s">
        <v>156</v>
      </c>
      <c r="C1691" s="1" t="s">
        <v>157</v>
      </c>
      <c r="D1691" s="1" t="s">
        <v>158</v>
      </c>
      <c r="E1691" s="1" t="s">
        <v>12694</v>
      </c>
      <c r="F1691" s="1" t="s">
        <v>98</v>
      </c>
      <c r="G1691" s="1" t="s">
        <v>160</v>
      </c>
      <c r="H1691" s="1">
        <v>0</v>
      </c>
      <c r="I1691" s="1"/>
      <c r="J1691" s="1" t="s">
        <v>12695</v>
      </c>
      <c r="K1691" s="1"/>
      <c r="L1691" s="1"/>
      <c r="M1691" s="1" t="s">
        <v>12696</v>
      </c>
      <c r="N1691" s="1">
        <v>0</v>
      </c>
      <c r="O1691" s="1">
        <v>0</v>
      </c>
      <c r="P1691" s="1" t="s">
        <v>507</v>
      </c>
      <c r="Q1691" s="1" t="s">
        <v>167</v>
      </c>
      <c r="R1691" s="1" t="s">
        <v>12697</v>
      </c>
      <c r="S1691" s="1" t="s">
        <v>12698</v>
      </c>
      <c r="T1691" s="1" t="s">
        <v>12653</v>
      </c>
      <c r="U1691" s="1" t="s">
        <v>12699</v>
      </c>
      <c r="V1691" s="1">
        <v>1</v>
      </c>
      <c r="W1691" s="1">
        <v>1</v>
      </c>
      <c r="X1691" s="1">
        <v>0</v>
      </c>
      <c r="Y1691" s="1">
        <v>0</v>
      </c>
      <c r="Z1691" s="1">
        <v>1</v>
      </c>
      <c r="AA1691" s="1" t="s">
        <v>109</v>
      </c>
      <c r="AB1691" s="1" t="s">
        <v>109</v>
      </c>
      <c r="AC1691" s="1">
        <v>5</v>
      </c>
      <c r="AD1691" s="1" t="s">
        <v>109</v>
      </c>
      <c r="AE1691" s="1" t="s">
        <v>109</v>
      </c>
      <c r="AF1691" s="1" t="s">
        <v>109</v>
      </c>
      <c r="AG1691" s="1">
        <v>4</v>
      </c>
      <c r="AH1691" s="1" t="s">
        <v>109</v>
      </c>
      <c r="AI1691" s="1" t="s">
        <v>109</v>
      </c>
      <c r="AJ1691" s="1" t="s">
        <v>109</v>
      </c>
      <c r="AK1691" s="1">
        <v>4</v>
      </c>
      <c r="AL1691" s="1">
        <v>5</v>
      </c>
      <c r="AM1691" s="1" t="s">
        <v>109</v>
      </c>
      <c r="AN1691" s="1" t="s">
        <v>109</v>
      </c>
      <c r="AO1691" s="1" t="s">
        <v>109</v>
      </c>
      <c r="AP1691" s="1" t="s">
        <v>12700</v>
      </c>
      <c r="AQ1691" s="1">
        <v>5</v>
      </c>
      <c r="AR1691" s="1"/>
      <c r="AS1691" s="1"/>
      <c r="AT1691" s="1">
        <v>0</v>
      </c>
      <c r="AU1691" s="1">
        <v>0</v>
      </c>
      <c r="AV1691" s="1">
        <v>0</v>
      </c>
      <c r="AW1691" s="1">
        <v>0</v>
      </c>
      <c r="AX1691" s="1">
        <v>0</v>
      </c>
      <c r="AY1691" s="1">
        <v>0</v>
      </c>
      <c r="AZ1691" s="1">
        <v>0</v>
      </c>
      <c r="BA1691" s="1">
        <v>0</v>
      </c>
      <c r="BB1691" s="1">
        <v>0</v>
      </c>
      <c r="BC1691" s="1">
        <v>0</v>
      </c>
      <c r="BD1691" s="1">
        <v>0</v>
      </c>
      <c r="BE1691" s="1">
        <v>0</v>
      </c>
      <c r="BF1691" s="1">
        <v>0</v>
      </c>
      <c r="BG1691" s="1">
        <v>0</v>
      </c>
      <c r="BH1691" s="1">
        <v>0</v>
      </c>
      <c r="BI1691" s="1">
        <v>0</v>
      </c>
      <c r="BJ1691" s="1">
        <v>0</v>
      </c>
      <c r="BK1691" s="1">
        <v>0</v>
      </c>
      <c r="BL1691" s="1">
        <v>0</v>
      </c>
      <c r="BM1691" s="1">
        <v>1</v>
      </c>
      <c r="BN1691" s="1">
        <v>0</v>
      </c>
      <c r="BO1691" s="1">
        <v>0</v>
      </c>
      <c r="BP1691" s="1">
        <v>0</v>
      </c>
      <c r="BQ1691" s="1">
        <v>0</v>
      </c>
      <c r="BR1691" s="1">
        <v>0</v>
      </c>
      <c r="BS1691" s="1" t="s">
        <v>109</v>
      </c>
      <c r="BT1691" s="1">
        <v>1760</v>
      </c>
      <c r="BU1691" s="1" t="s">
        <v>109</v>
      </c>
      <c r="BV1691" s="1"/>
      <c r="BW1691" s="1"/>
      <c r="BX1691" s="1"/>
      <c r="BY1691" s="1"/>
      <c r="BZ1691" s="1">
        <v>0</v>
      </c>
      <c r="CA1691" s="1" t="s">
        <v>109</v>
      </c>
      <c r="CB1691" s="1" t="s">
        <v>109</v>
      </c>
      <c r="CC1691" s="1" t="s">
        <v>109</v>
      </c>
      <c r="CD1691" s="1" t="s">
        <v>109</v>
      </c>
      <c r="CE1691" s="1" t="s">
        <v>109</v>
      </c>
      <c r="CF1691" s="1" t="s">
        <v>109</v>
      </c>
      <c r="CG1691" s="1" t="s">
        <v>109</v>
      </c>
      <c r="CH1691" s="1" t="s">
        <v>109</v>
      </c>
      <c r="CI1691" s="1" t="s">
        <v>109</v>
      </c>
      <c r="CJ1691" s="1" t="s">
        <v>109</v>
      </c>
      <c r="CK1691" s="1"/>
      <c r="CL1691" s="1">
        <v>0</v>
      </c>
      <c r="CM1691" s="1">
        <v>0</v>
      </c>
      <c r="CN1691" s="1">
        <v>0</v>
      </c>
    </row>
    <row r="1692" spans="1:92" ht="14.25" customHeight="1" x14ac:dyDescent="0.15">
      <c r="A1692" s="1" t="s">
        <v>12701</v>
      </c>
      <c r="B1692" s="1" t="s">
        <v>189</v>
      </c>
      <c r="C1692" s="1"/>
      <c r="D1692" s="1" t="s">
        <v>46</v>
      </c>
      <c r="E1692" s="1" t="s">
        <v>12702</v>
      </c>
      <c r="F1692" s="1" t="s">
        <v>98</v>
      </c>
      <c r="G1692" s="1" t="s">
        <v>12703</v>
      </c>
      <c r="H1692" s="1">
        <v>0</v>
      </c>
      <c r="I1692" s="1" t="s">
        <v>235</v>
      </c>
      <c r="J1692" s="1"/>
      <c r="K1692" s="1"/>
      <c r="L1692" s="1" t="s">
        <v>236</v>
      </c>
      <c r="M1692" s="1" t="s">
        <v>125</v>
      </c>
      <c r="N1692" s="1">
        <v>0</v>
      </c>
      <c r="O1692" s="1">
        <v>0</v>
      </c>
      <c r="P1692" s="1" t="s">
        <v>12704</v>
      </c>
      <c r="Q1692" s="1" t="s">
        <v>104</v>
      </c>
      <c r="R1692" s="1" t="s">
        <v>12705</v>
      </c>
      <c r="S1692" s="1" t="s">
        <v>12706</v>
      </c>
      <c r="T1692" s="1" t="s">
        <v>12653</v>
      </c>
      <c r="U1692" s="1" t="s">
        <v>12707</v>
      </c>
      <c r="V1692" s="1">
        <v>1</v>
      </c>
      <c r="W1692" s="1">
        <v>1</v>
      </c>
      <c r="X1692" s="1">
        <v>1</v>
      </c>
      <c r="Y1692" s="1">
        <v>0</v>
      </c>
      <c r="Z1692" s="1">
        <v>0</v>
      </c>
      <c r="AA1692" s="1">
        <v>5</v>
      </c>
      <c r="AB1692" s="1">
        <v>5</v>
      </c>
      <c r="AC1692" s="1">
        <v>5</v>
      </c>
      <c r="AD1692" s="1">
        <v>4</v>
      </c>
      <c r="AE1692" s="1" t="s">
        <v>109</v>
      </c>
      <c r="AF1692" s="1" t="s">
        <v>109</v>
      </c>
      <c r="AG1692" s="1" t="s">
        <v>109</v>
      </c>
      <c r="AH1692" s="1">
        <v>4</v>
      </c>
      <c r="AI1692" s="1">
        <v>4</v>
      </c>
      <c r="AJ1692" s="1" t="s">
        <v>109</v>
      </c>
      <c r="AK1692" s="1" t="s">
        <v>109</v>
      </c>
      <c r="AL1692" s="1">
        <v>5</v>
      </c>
      <c r="AM1692" s="1" t="s">
        <v>109</v>
      </c>
      <c r="AN1692" s="1">
        <v>4</v>
      </c>
      <c r="AO1692" s="1" t="s">
        <v>109</v>
      </c>
      <c r="AP1692" s="1"/>
      <c r="AQ1692" s="1">
        <v>5</v>
      </c>
      <c r="AR1692" s="1"/>
      <c r="AS1692" s="1"/>
      <c r="AT1692" s="1">
        <v>1</v>
      </c>
      <c r="AU1692" s="1">
        <v>0</v>
      </c>
      <c r="AV1692" s="1">
        <v>0</v>
      </c>
      <c r="AW1692" s="1">
        <v>0</v>
      </c>
      <c r="AX1692" s="1">
        <v>0</v>
      </c>
      <c r="AY1692" s="1">
        <v>0</v>
      </c>
      <c r="AZ1692" s="1">
        <v>0</v>
      </c>
      <c r="BA1692" s="1">
        <v>0</v>
      </c>
      <c r="BB1692" s="1">
        <v>0</v>
      </c>
      <c r="BC1692" s="1">
        <v>0</v>
      </c>
      <c r="BD1692" s="1">
        <v>0</v>
      </c>
      <c r="BE1692" s="1">
        <v>0</v>
      </c>
      <c r="BF1692" s="1">
        <v>0</v>
      </c>
      <c r="BG1692" s="1">
        <v>0</v>
      </c>
      <c r="BH1692" s="1">
        <v>0</v>
      </c>
      <c r="BI1692" s="1">
        <v>0</v>
      </c>
      <c r="BJ1692" s="1">
        <v>0</v>
      </c>
      <c r="BK1692" s="1">
        <v>0</v>
      </c>
      <c r="BL1692" s="1">
        <v>0</v>
      </c>
      <c r="BM1692" s="1">
        <v>0</v>
      </c>
      <c r="BN1692" s="1">
        <v>0</v>
      </c>
      <c r="BO1692" s="1">
        <v>0</v>
      </c>
      <c r="BP1692" s="1">
        <v>0</v>
      </c>
      <c r="BQ1692" s="1">
        <v>0</v>
      </c>
      <c r="BR1692" s="1">
        <v>0</v>
      </c>
      <c r="BS1692" s="1" t="s">
        <v>109</v>
      </c>
      <c r="BT1692" s="1">
        <v>1761</v>
      </c>
      <c r="BU1692" s="1" t="s">
        <v>109</v>
      </c>
      <c r="BV1692" s="1"/>
      <c r="BW1692" s="1"/>
      <c r="BX1692" s="1"/>
      <c r="BY1692" s="1"/>
      <c r="BZ1692" s="1">
        <v>0</v>
      </c>
      <c r="CA1692" s="1" t="s">
        <v>109</v>
      </c>
      <c r="CB1692" s="1" t="s">
        <v>109</v>
      </c>
      <c r="CC1692" s="1" t="s">
        <v>109</v>
      </c>
      <c r="CD1692" s="1" t="s">
        <v>109</v>
      </c>
      <c r="CE1692" s="1" t="s">
        <v>109</v>
      </c>
      <c r="CF1692" s="1" t="s">
        <v>109</v>
      </c>
      <c r="CG1692" s="1" t="s">
        <v>109</v>
      </c>
      <c r="CH1692" s="1" t="s">
        <v>109</v>
      </c>
      <c r="CI1692" s="1" t="s">
        <v>109</v>
      </c>
      <c r="CJ1692" s="1">
        <v>4</v>
      </c>
      <c r="CK1692" s="1"/>
      <c r="CL1692" s="1">
        <v>0</v>
      </c>
      <c r="CM1692" s="1">
        <v>0</v>
      </c>
      <c r="CN1692" s="1">
        <v>0</v>
      </c>
    </row>
    <row r="1693" spans="1:92" ht="14.25" customHeight="1" x14ac:dyDescent="0.15">
      <c r="A1693" s="1" t="s">
        <v>12708</v>
      </c>
      <c r="B1693" s="1" t="s">
        <v>584</v>
      </c>
      <c r="C1693" s="1"/>
      <c r="D1693" s="1"/>
      <c r="E1693" s="1" t="s">
        <v>12709</v>
      </c>
      <c r="F1693" s="1" t="s">
        <v>98</v>
      </c>
      <c r="G1693" s="1" t="s">
        <v>160</v>
      </c>
      <c r="H1693" s="1">
        <v>0</v>
      </c>
      <c r="I1693" s="1" t="s">
        <v>161</v>
      </c>
      <c r="J1693" s="1"/>
      <c r="K1693" s="1"/>
      <c r="L1693" s="1" t="s">
        <v>12710</v>
      </c>
      <c r="M1693" s="1" t="s">
        <v>12711</v>
      </c>
      <c r="N1693" s="1">
        <v>0</v>
      </c>
      <c r="O1693" s="1">
        <v>0</v>
      </c>
      <c r="P1693" s="1" t="s">
        <v>12712</v>
      </c>
      <c r="Q1693" s="1" t="s">
        <v>12713</v>
      </c>
      <c r="R1693" s="1" t="s">
        <v>12714</v>
      </c>
      <c r="S1693" s="1" t="s">
        <v>12715</v>
      </c>
      <c r="T1693" s="1" t="s">
        <v>12653</v>
      </c>
      <c r="U1693" s="1" t="s">
        <v>12716</v>
      </c>
      <c r="V1693" s="1">
        <v>1</v>
      </c>
      <c r="W1693" s="1">
        <v>1</v>
      </c>
      <c r="X1693" s="1">
        <v>0</v>
      </c>
      <c r="Y1693" s="1">
        <v>0</v>
      </c>
      <c r="Z1693" s="1">
        <v>1</v>
      </c>
      <c r="AA1693" s="1">
        <v>3</v>
      </c>
      <c r="AB1693" s="1">
        <v>3</v>
      </c>
      <c r="AC1693" s="1">
        <v>3</v>
      </c>
      <c r="AD1693" s="1">
        <v>3</v>
      </c>
      <c r="AE1693" s="1">
        <v>3</v>
      </c>
      <c r="AF1693" s="1">
        <v>3</v>
      </c>
      <c r="AG1693" s="1" t="s">
        <v>109</v>
      </c>
      <c r="AH1693" s="1" t="s">
        <v>109</v>
      </c>
      <c r="AI1693" s="1" t="s">
        <v>109</v>
      </c>
      <c r="AJ1693" s="1">
        <v>3</v>
      </c>
      <c r="AK1693" s="1" t="s">
        <v>109</v>
      </c>
      <c r="AL1693" s="1">
        <v>3</v>
      </c>
      <c r="AM1693" s="1" t="s">
        <v>109</v>
      </c>
      <c r="AN1693" s="1" t="s">
        <v>109</v>
      </c>
      <c r="AO1693" s="1" t="s">
        <v>109</v>
      </c>
      <c r="AP1693" s="1" t="s">
        <v>12717</v>
      </c>
      <c r="AQ1693" s="1">
        <v>3</v>
      </c>
      <c r="AR1693" s="1"/>
      <c r="AS1693" s="1"/>
      <c r="AT1693" s="1">
        <v>0</v>
      </c>
      <c r="AU1693" s="1">
        <v>0</v>
      </c>
      <c r="AV1693" s="1">
        <v>0</v>
      </c>
      <c r="AW1693" s="1">
        <v>0</v>
      </c>
      <c r="AX1693" s="1">
        <v>0</v>
      </c>
      <c r="AY1693" s="1">
        <v>0</v>
      </c>
      <c r="AZ1693" s="1">
        <v>0</v>
      </c>
      <c r="BA1693" s="1">
        <v>0</v>
      </c>
      <c r="BB1693" s="1">
        <v>0</v>
      </c>
      <c r="BC1693" s="1">
        <v>0</v>
      </c>
      <c r="BD1693" s="1">
        <v>0</v>
      </c>
      <c r="BE1693" s="1">
        <v>0</v>
      </c>
      <c r="BF1693" s="1">
        <v>0</v>
      </c>
      <c r="BG1693" s="1">
        <v>0</v>
      </c>
      <c r="BH1693" s="1">
        <v>0</v>
      </c>
      <c r="BI1693" s="1">
        <v>0</v>
      </c>
      <c r="BJ1693" s="1">
        <v>0</v>
      </c>
      <c r="BK1693" s="1">
        <v>0</v>
      </c>
      <c r="BL1693" s="1">
        <v>0</v>
      </c>
      <c r="BM1693" s="1">
        <v>0</v>
      </c>
      <c r="BN1693" s="1">
        <v>0</v>
      </c>
      <c r="BO1693" s="1">
        <v>0</v>
      </c>
      <c r="BP1693" s="1">
        <v>0</v>
      </c>
      <c r="BQ1693" s="1">
        <v>0</v>
      </c>
      <c r="BR1693" s="1">
        <v>0</v>
      </c>
      <c r="BS1693" s="1" t="s">
        <v>109</v>
      </c>
      <c r="BT1693" s="1">
        <v>1762</v>
      </c>
      <c r="BU1693" s="1" t="s">
        <v>109</v>
      </c>
      <c r="BV1693" s="1"/>
      <c r="BW1693" s="1"/>
      <c r="BX1693" s="1"/>
      <c r="BY1693" s="1"/>
      <c r="BZ1693" s="1">
        <v>0</v>
      </c>
      <c r="CA1693" s="1" t="s">
        <v>109</v>
      </c>
      <c r="CB1693" s="1" t="s">
        <v>109</v>
      </c>
      <c r="CC1693" s="1" t="s">
        <v>109</v>
      </c>
      <c r="CD1693" s="1" t="s">
        <v>109</v>
      </c>
      <c r="CE1693" s="1" t="s">
        <v>109</v>
      </c>
      <c r="CF1693" s="1" t="s">
        <v>109</v>
      </c>
      <c r="CG1693" s="1" t="s">
        <v>109</v>
      </c>
      <c r="CH1693" s="1" t="s">
        <v>109</v>
      </c>
      <c r="CI1693" s="1" t="s">
        <v>109</v>
      </c>
      <c r="CJ1693" s="1">
        <v>3</v>
      </c>
      <c r="CK1693" s="1"/>
      <c r="CL1693" s="1">
        <v>0</v>
      </c>
      <c r="CM1693" s="1">
        <v>0</v>
      </c>
      <c r="CN1693" s="1">
        <v>0</v>
      </c>
    </row>
    <row r="1694" spans="1:92" ht="14.25" customHeight="1" x14ac:dyDescent="0.15">
      <c r="A1694" s="1" t="s">
        <v>12718</v>
      </c>
      <c r="B1694" s="1" t="s">
        <v>189</v>
      </c>
      <c r="C1694" s="1"/>
      <c r="D1694" s="1"/>
      <c r="E1694" s="1" t="s">
        <v>12719</v>
      </c>
      <c r="F1694" s="1" t="s">
        <v>98</v>
      </c>
      <c r="G1694" s="1" t="s">
        <v>141</v>
      </c>
      <c r="H1694" s="1">
        <v>0</v>
      </c>
      <c r="I1694" s="1" t="s">
        <v>235</v>
      </c>
      <c r="J1694" s="1"/>
      <c r="K1694" s="1"/>
      <c r="L1694" s="1" t="s">
        <v>236</v>
      </c>
      <c r="M1694" s="1" t="s">
        <v>125</v>
      </c>
      <c r="N1694" s="1">
        <v>0</v>
      </c>
      <c r="O1694" s="1">
        <v>0</v>
      </c>
      <c r="P1694" s="1"/>
      <c r="Q1694" s="1"/>
      <c r="R1694" s="1" t="s">
        <v>12720</v>
      </c>
      <c r="S1694" s="1" t="s">
        <v>12721</v>
      </c>
      <c r="T1694" s="1" t="s">
        <v>12653</v>
      </c>
      <c r="U1694" s="1" t="s">
        <v>12722</v>
      </c>
      <c r="V1694" s="1">
        <v>1</v>
      </c>
      <c r="W1694" s="1">
        <v>1</v>
      </c>
      <c r="X1694" s="1">
        <v>0</v>
      </c>
      <c r="Y1694" s="1">
        <v>0</v>
      </c>
      <c r="Z1694" s="1">
        <v>0</v>
      </c>
      <c r="AA1694" s="1" t="s">
        <v>109</v>
      </c>
      <c r="AB1694" s="1" t="s">
        <v>109</v>
      </c>
      <c r="AC1694" s="1">
        <v>3</v>
      </c>
      <c r="AD1694" s="1" t="s">
        <v>109</v>
      </c>
      <c r="AE1694" s="1" t="s">
        <v>109</v>
      </c>
      <c r="AF1694" s="1" t="s">
        <v>109</v>
      </c>
      <c r="AG1694" s="1" t="s">
        <v>109</v>
      </c>
      <c r="AH1694" s="1">
        <v>3</v>
      </c>
      <c r="AI1694" s="1" t="s">
        <v>109</v>
      </c>
      <c r="AJ1694" s="1" t="s">
        <v>109</v>
      </c>
      <c r="AK1694" s="1">
        <v>3</v>
      </c>
      <c r="AL1694" s="1">
        <v>3</v>
      </c>
      <c r="AM1694" s="1" t="s">
        <v>109</v>
      </c>
      <c r="AN1694" s="1">
        <v>3</v>
      </c>
      <c r="AO1694" s="1" t="s">
        <v>109</v>
      </c>
      <c r="AP1694" s="1" t="s">
        <v>12662</v>
      </c>
      <c r="AQ1694" s="1">
        <v>3</v>
      </c>
      <c r="AR1694" s="1"/>
      <c r="AS1694" s="1"/>
      <c r="AT1694" s="1">
        <v>0</v>
      </c>
      <c r="AU1694" s="1">
        <v>0</v>
      </c>
      <c r="AV1694" s="1">
        <v>0</v>
      </c>
      <c r="AW1694" s="1">
        <v>0</v>
      </c>
      <c r="AX1694" s="1">
        <v>0</v>
      </c>
      <c r="AY1694" s="1">
        <v>0</v>
      </c>
      <c r="AZ1694" s="1">
        <v>0</v>
      </c>
      <c r="BA1694" s="1">
        <v>0</v>
      </c>
      <c r="BB1694" s="1">
        <v>0</v>
      </c>
      <c r="BC1694" s="1">
        <v>0</v>
      </c>
      <c r="BD1694" s="1">
        <v>0</v>
      </c>
      <c r="BE1694" s="1">
        <v>0</v>
      </c>
      <c r="BF1694" s="1">
        <v>0</v>
      </c>
      <c r="BG1694" s="1">
        <v>0</v>
      </c>
      <c r="BH1694" s="1">
        <v>0</v>
      </c>
      <c r="BI1694" s="1">
        <v>0</v>
      </c>
      <c r="BJ1694" s="1">
        <v>0</v>
      </c>
      <c r="BK1694" s="1">
        <v>0</v>
      </c>
      <c r="BL1694" s="1">
        <v>0</v>
      </c>
      <c r="BM1694" s="1">
        <v>0</v>
      </c>
      <c r="BN1694" s="1">
        <v>0</v>
      </c>
      <c r="BO1694" s="1">
        <v>0</v>
      </c>
      <c r="BP1694" s="1">
        <v>0</v>
      </c>
      <c r="BQ1694" s="1">
        <v>0</v>
      </c>
      <c r="BR1694" s="1">
        <v>0</v>
      </c>
      <c r="BS1694" s="1" t="s">
        <v>109</v>
      </c>
      <c r="BT1694" s="1">
        <v>1763</v>
      </c>
      <c r="BU1694" s="1" t="s">
        <v>109</v>
      </c>
      <c r="BV1694" s="1"/>
      <c r="BW1694" s="1"/>
      <c r="BX1694" s="1"/>
      <c r="BY1694" s="1"/>
      <c r="BZ1694" s="1">
        <v>0</v>
      </c>
      <c r="CA1694" s="1" t="s">
        <v>109</v>
      </c>
      <c r="CB1694" s="1" t="s">
        <v>109</v>
      </c>
      <c r="CC1694" s="1" t="s">
        <v>109</v>
      </c>
      <c r="CD1694" s="1" t="s">
        <v>109</v>
      </c>
      <c r="CE1694" s="1" t="s">
        <v>109</v>
      </c>
      <c r="CF1694" s="1" t="s">
        <v>109</v>
      </c>
      <c r="CG1694" s="1" t="s">
        <v>109</v>
      </c>
      <c r="CH1694" s="1" t="s">
        <v>109</v>
      </c>
      <c r="CI1694" s="1" t="s">
        <v>109</v>
      </c>
      <c r="CJ1694" s="1" t="s">
        <v>109</v>
      </c>
      <c r="CK1694" s="1"/>
      <c r="CL1694" s="1">
        <v>0</v>
      </c>
      <c r="CM1694" s="1">
        <v>0</v>
      </c>
      <c r="CN1694" s="1">
        <v>0</v>
      </c>
    </row>
    <row r="1695" spans="1:92" ht="14.25" customHeight="1" x14ac:dyDescent="0.15">
      <c r="A1695" s="1" t="s">
        <v>12723</v>
      </c>
      <c r="B1695" s="1" t="s">
        <v>584</v>
      </c>
      <c r="C1695" s="1"/>
      <c r="D1695" s="1" t="s">
        <v>55</v>
      </c>
      <c r="E1695" s="1" t="s">
        <v>12724</v>
      </c>
      <c r="F1695" s="1" t="s">
        <v>98</v>
      </c>
      <c r="G1695" s="1" t="s">
        <v>12725</v>
      </c>
      <c r="H1695" s="1">
        <v>0</v>
      </c>
      <c r="I1695" s="1" t="s">
        <v>12726</v>
      </c>
      <c r="J1695" s="1"/>
      <c r="K1695" s="1" t="s">
        <v>12727</v>
      </c>
      <c r="L1695" s="1"/>
      <c r="M1695" s="1" t="s">
        <v>12728</v>
      </c>
      <c r="N1695" s="1">
        <v>0</v>
      </c>
      <c r="O1695" s="1">
        <v>0</v>
      </c>
      <c r="P1695" s="1" t="s">
        <v>103</v>
      </c>
      <c r="Q1695" s="1" t="s">
        <v>268</v>
      </c>
      <c r="R1695" s="1" t="s">
        <v>12729</v>
      </c>
      <c r="S1695" s="1" t="s">
        <v>12730</v>
      </c>
      <c r="T1695" s="1" t="s">
        <v>12653</v>
      </c>
      <c r="U1695" s="1" t="s">
        <v>12731</v>
      </c>
      <c r="V1695" s="1">
        <v>1</v>
      </c>
      <c r="W1695" s="1">
        <v>1</v>
      </c>
      <c r="X1695" s="1">
        <v>1</v>
      </c>
      <c r="Y1695" s="1">
        <v>0</v>
      </c>
      <c r="Z1695" s="1">
        <v>0</v>
      </c>
      <c r="AA1695" s="1" t="s">
        <v>109</v>
      </c>
      <c r="AB1695" s="1" t="s">
        <v>109</v>
      </c>
      <c r="AC1695" s="1">
        <v>2</v>
      </c>
      <c r="AD1695" s="1">
        <v>1</v>
      </c>
      <c r="AE1695" s="1">
        <v>1</v>
      </c>
      <c r="AF1695" s="1" t="s">
        <v>109</v>
      </c>
      <c r="AG1695" s="1">
        <v>1</v>
      </c>
      <c r="AH1695" s="1" t="s">
        <v>109</v>
      </c>
      <c r="AI1695" s="1" t="s">
        <v>109</v>
      </c>
      <c r="AJ1695" s="1" t="s">
        <v>109</v>
      </c>
      <c r="AK1695" s="1">
        <v>1</v>
      </c>
      <c r="AL1695" s="1">
        <v>2</v>
      </c>
      <c r="AM1695" s="1" t="s">
        <v>109</v>
      </c>
      <c r="AN1695" s="1">
        <v>1</v>
      </c>
      <c r="AO1695" s="1" t="s">
        <v>109</v>
      </c>
      <c r="AP1695" s="1" t="s">
        <v>12732</v>
      </c>
      <c r="AQ1695" s="1">
        <v>2</v>
      </c>
      <c r="AR1695" s="1"/>
      <c r="AS1695" s="1"/>
      <c r="AT1695" s="1">
        <v>0</v>
      </c>
      <c r="AU1695" s="1">
        <v>0</v>
      </c>
      <c r="AV1695" s="1">
        <v>0</v>
      </c>
      <c r="AW1695" s="1">
        <v>0</v>
      </c>
      <c r="AX1695" s="1">
        <v>0</v>
      </c>
      <c r="AY1695" s="1">
        <v>0</v>
      </c>
      <c r="AZ1695" s="1">
        <v>0</v>
      </c>
      <c r="BA1695" s="1">
        <v>0</v>
      </c>
      <c r="BB1695" s="1">
        <v>0</v>
      </c>
      <c r="BC1695" s="1">
        <v>1</v>
      </c>
      <c r="BD1695" s="1">
        <v>0</v>
      </c>
      <c r="BE1695" s="1">
        <v>0</v>
      </c>
      <c r="BF1695" s="1">
        <v>0</v>
      </c>
      <c r="BG1695" s="1">
        <v>0</v>
      </c>
      <c r="BH1695" s="1">
        <v>0</v>
      </c>
      <c r="BI1695" s="1">
        <v>0</v>
      </c>
      <c r="BJ1695" s="1">
        <v>0</v>
      </c>
      <c r="BK1695" s="1">
        <v>0</v>
      </c>
      <c r="BL1695" s="1">
        <v>0</v>
      </c>
      <c r="BM1695" s="1">
        <v>0</v>
      </c>
      <c r="BN1695" s="1">
        <v>0</v>
      </c>
      <c r="BO1695" s="1">
        <v>0</v>
      </c>
      <c r="BP1695" s="1">
        <v>0</v>
      </c>
      <c r="BQ1695" s="1">
        <v>0</v>
      </c>
      <c r="BR1695" s="1">
        <v>0</v>
      </c>
      <c r="BS1695" s="1" t="s">
        <v>109</v>
      </c>
      <c r="BT1695" s="1">
        <v>1764</v>
      </c>
      <c r="BU1695" s="1" t="s">
        <v>109</v>
      </c>
      <c r="BV1695" s="1"/>
      <c r="BW1695" s="1"/>
      <c r="BX1695" s="1"/>
      <c r="BY1695" s="1"/>
      <c r="BZ1695" s="1">
        <v>0</v>
      </c>
      <c r="CA1695" s="1" t="s">
        <v>109</v>
      </c>
      <c r="CB1695" s="1" t="s">
        <v>109</v>
      </c>
      <c r="CC1695" s="1" t="s">
        <v>109</v>
      </c>
      <c r="CD1695" s="1" t="s">
        <v>109</v>
      </c>
      <c r="CE1695" s="1" t="s">
        <v>109</v>
      </c>
      <c r="CF1695" s="1" t="s">
        <v>109</v>
      </c>
      <c r="CG1695" s="1" t="s">
        <v>109</v>
      </c>
      <c r="CH1695" s="1" t="s">
        <v>109</v>
      </c>
      <c r="CI1695" s="1" t="s">
        <v>109</v>
      </c>
      <c r="CJ1695" s="1">
        <v>1</v>
      </c>
      <c r="CK1695" s="1"/>
      <c r="CL1695" s="1">
        <v>0</v>
      </c>
      <c r="CM1695" s="1">
        <v>0</v>
      </c>
      <c r="CN1695" s="1">
        <v>0</v>
      </c>
    </row>
    <row r="1696" spans="1:92" ht="14.25" customHeight="1" x14ac:dyDescent="0.15">
      <c r="A1696" s="1" t="s">
        <v>12733</v>
      </c>
      <c r="B1696" s="1" t="s">
        <v>308</v>
      </c>
      <c r="C1696" s="1"/>
      <c r="D1696" s="1"/>
      <c r="E1696" s="1" t="s">
        <v>12734</v>
      </c>
      <c r="F1696" s="1" t="s">
        <v>98</v>
      </c>
      <c r="G1696" s="1" t="s">
        <v>12735</v>
      </c>
      <c r="H1696" s="1">
        <v>0</v>
      </c>
      <c r="I1696" s="1" t="s">
        <v>235</v>
      </c>
      <c r="J1696" s="1"/>
      <c r="K1696" s="1"/>
      <c r="L1696" s="1" t="s">
        <v>236</v>
      </c>
      <c r="M1696" s="1" t="s">
        <v>3385</v>
      </c>
      <c r="N1696" s="1">
        <v>0</v>
      </c>
      <c r="O1696" s="1">
        <v>0</v>
      </c>
      <c r="P1696" s="1"/>
      <c r="Q1696" s="1"/>
      <c r="R1696" s="1" t="s">
        <v>12736</v>
      </c>
      <c r="S1696" s="1" t="s">
        <v>12737</v>
      </c>
      <c r="T1696" s="1" t="s">
        <v>12653</v>
      </c>
      <c r="U1696" s="1" t="s">
        <v>12738</v>
      </c>
      <c r="V1696" s="1">
        <v>1</v>
      </c>
      <c r="W1696" s="1">
        <v>1</v>
      </c>
      <c r="X1696" s="1">
        <v>0</v>
      </c>
      <c r="Y1696" s="1">
        <v>0</v>
      </c>
      <c r="Z1696" s="1">
        <v>1</v>
      </c>
      <c r="AA1696" s="1">
        <v>2</v>
      </c>
      <c r="AB1696" s="1">
        <v>2</v>
      </c>
      <c r="AC1696" s="1">
        <v>2</v>
      </c>
      <c r="AD1696" s="1" t="s">
        <v>109</v>
      </c>
      <c r="AE1696" s="1" t="s">
        <v>109</v>
      </c>
      <c r="AF1696" s="1" t="s">
        <v>109</v>
      </c>
      <c r="AG1696" s="1" t="s">
        <v>109</v>
      </c>
      <c r="AH1696" s="1" t="s">
        <v>109</v>
      </c>
      <c r="AI1696" s="1" t="s">
        <v>109</v>
      </c>
      <c r="AJ1696" s="1">
        <v>2</v>
      </c>
      <c r="AK1696" s="1">
        <v>2</v>
      </c>
      <c r="AL1696" s="1">
        <v>2</v>
      </c>
      <c r="AM1696" s="1" t="s">
        <v>109</v>
      </c>
      <c r="AN1696" s="1">
        <v>2</v>
      </c>
      <c r="AO1696" s="1" t="s">
        <v>109</v>
      </c>
      <c r="AP1696" s="1" t="s">
        <v>12739</v>
      </c>
      <c r="AQ1696" s="1">
        <v>2</v>
      </c>
      <c r="AR1696" s="1"/>
      <c r="AS1696" s="1"/>
      <c r="AT1696" s="1">
        <v>0</v>
      </c>
      <c r="AU1696" s="1">
        <v>0</v>
      </c>
      <c r="AV1696" s="1">
        <v>0</v>
      </c>
      <c r="AW1696" s="1">
        <v>0</v>
      </c>
      <c r="AX1696" s="1">
        <v>0</v>
      </c>
      <c r="AY1696" s="1">
        <v>0</v>
      </c>
      <c r="AZ1696" s="1">
        <v>0</v>
      </c>
      <c r="BA1696" s="1">
        <v>0</v>
      </c>
      <c r="BB1696" s="1">
        <v>0</v>
      </c>
      <c r="BC1696" s="1">
        <v>0</v>
      </c>
      <c r="BD1696" s="1">
        <v>0</v>
      </c>
      <c r="BE1696" s="1">
        <v>0</v>
      </c>
      <c r="BF1696" s="1">
        <v>0</v>
      </c>
      <c r="BG1696" s="1">
        <v>0</v>
      </c>
      <c r="BH1696" s="1">
        <v>0</v>
      </c>
      <c r="BI1696" s="1">
        <v>0</v>
      </c>
      <c r="BJ1696" s="1">
        <v>0</v>
      </c>
      <c r="BK1696" s="1">
        <v>0</v>
      </c>
      <c r="BL1696" s="1">
        <v>0</v>
      </c>
      <c r="BM1696" s="1">
        <v>0</v>
      </c>
      <c r="BN1696" s="1">
        <v>0</v>
      </c>
      <c r="BO1696" s="1">
        <v>0</v>
      </c>
      <c r="BP1696" s="1">
        <v>0</v>
      </c>
      <c r="BQ1696" s="1">
        <v>0</v>
      </c>
      <c r="BR1696" s="1">
        <v>0</v>
      </c>
      <c r="BS1696" s="1" t="s">
        <v>109</v>
      </c>
      <c r="BT1696" s="1">
        <v>1765</v>
      </c>
      <c r="BU1696" s="1" t="s">
        <v>109</v>
      </c>
      <c r="BV1696" s="1"/>
      <c r="BW1696" s="1"/>
      <c r="BX1696" s="1"/>
      <c r="BY1696" s="1"/>
      <c r="BZ1696" s="1">
        <v>0</v>
      </c>
      <c r="CA1696" s="1" t="s">
        <v>109</v>
      </c>
      <c r="CB1696" s="1" t="s">
        <v>109</v>
      </c>
      <c r="CC1696" s="1" t="s">
        <v>109</v>
      </c>
      <c r="CD1696" s="1" t="s">
        <v>109</v>
      </c>
      <c r="CE1696" s="1" t="s">
        <v>109</v>
      </c>
      <c r="CF1696" s="1" t="s">
        <v>109</v>
      </c>
      <c r="CG1696" s="1" t="s">
        <v>109</v>
      </c>
      <c r="CH1696" s="1" t="s">
        <v>109</v>
      </c>
      <c r="CI1696" s="1" t="s">
        <v>109</v>
      </c>
      <c r="CJ1696" s="1" t="s">
        <v>109</v>
      </c>
      <c r="CK1696" s="1"/>
      <c r="CL1696" s="1">
        <v>0</v>
      </c>
      <c r="CM1696" s="1">
        <v>0</v>
      </c>
      <c r="CN1696" s="1">
        <v>0</v>
      </c>
    </row>
    <row r="1697" spans="1:92" ht="14.25" customHeight="1" x14ac:dyDescent="0.15">
      <c r="A1697" s="1" t="s">
        <v>12740</v>
      </c>
      <c r="B1697" s="1" t="s">
        <v>95</v>
      </c>
      <c r="C1697" s="1" t="s">
        <v>96</v>
      </c>
      <c r="D1697" s="1"/>
      <c r="E1697" s="1" t="s">
        <v>12741</v>
      </c>
      <c r="F1697" s="1" t="s">
        <v>98</v>
      </c>
      <c r="G1697" s="1" t="s">
        <v>160</v>
      </c>
      <c r="H1697" s="1">
        <v>0</v>
      </c>
      <c r="I1697" s="1" t="s">
        <v>161</v>
      </c>
      <c r="J1697" s="1"/>
      <c r="K1697" s="1"/>
      <c r="L1697" s="1" t="s">
        <v>506</v>
      </c>
      <c r="M1697" s="1" t="s">
        <v>144</v>
      </c>
      <c r="N1697" s="1">
        <v>0</v>
      </c>
      <c r="O1697" s="1">
        <v>0</v>
      </c>
      <c r="P1697" s="1" t="s">
        <v>507</v>
      </c>
      <c r="Q1697" s="1" t="s">
        <v>167</v>
      </c>
      <c r="R1697" s="1" t="s">
        <v>12742</v>
      </c>
      <c r="S1697" s="1" t="s">
        <v>12743</v>
      </c>
      <c r="T1697" s="1" t="s">
        <v>12653</v>
      </c>
      <c r="U1697" s="1" t="s">
        <v>12744</v>
      </c>
      <c r="V1697" s="1">
        <v>1</v>
      </c>
      <c r="W1697" s="1">
        <v>1</v>
      </c>
      <c r="X1697" s="1">
        <v>0</v>
      </c>
      <c r="Y1697" s="1">
        <v>0</v>
      </c>
      <c r="Z1697" s="1">
        <v>1</v>
      </c>
      <c r="AA1697" s="1" t="s">
        <v>109</v>
      </c>
      <c r="AB1697" s="1" t="s">
        <v>109</v>
      </c>
      <c r="AC1697" s="1">
        <v>1</v>
      </c>
      <c r="AD1697" s="1">
        <v>1</v>
      </c>
      <c r="AE1697" s="1">
        <v>1</v>
      </c>
      <c r="AF1697" s="1" t="s">
        <v>109</v>
      </c>
      <c r="AG1697" s="1" t="s">
        <v>109</v>
      </c>
      <c r="AH1697" s="1" t="s">
        <v>109</v>
      </c>
      <c r="AI1697" s="1" t="s">
        <v>109</v>
      </c>
      <c r="AJ1697" s="1" t="s">
        <v>109</v>
      </c>
      <c r="AK1697" s="1" t="s">
        <v>109</v>
      </c>
      <c r="AL1697" s="1">
        <v>1</v>
      </c>
      <c r="AM1697" s="1" t="s">
        <v>109</v>
      </c>
      <c r="AN1697" s="1" t="s">
        <v>109</v>
      </c>
      <c r="AO1697" s="1" t="s">
        <v>109</v>
      </c>
      <c r="AP1697" s="1" t="s">
        <v>12676</v>
      </c>
      <c r="AQ1697" s="1">
        <v>1</v>
      </c>
      <c r="AR1697" s="1"/>
      <c r="AS1697" s="1"/>
      <c r="AT1697" s="1">
        <v>0</v>
      </c>
      <c r="AU1697" s="1">
        <v>0</v>
      </c>
      <c r="AV1697" s="1">
        <v>0</v>
      </c>
      <c r="AW1697" s="1">
        <v>0</v>
      </c>
      <c r="AX1697" s="1">
        <v>0</v>
      </c>
      <c r="AY1697" s="1">
        <v>0</v>
      </c>
      <c r="AZ1697" s="1">
        <v>0</v>
      </c>
      <c r="BA1697" s="1">
        <v>0</v>
      </c>
      <c r="BB1697" s="1">
        <v>0</v>
      </c>
      <c r="BC1697" s="1">
        <v>0</v>
      </c>
      <c r="BD1697" s="1">
        <v>0</v>
      </c>
      <c r="BE1697" s="1">
        <v>0</v>
      </c>
      <c r="BF1697" s="1">
        <v>0</v>
      </c>
      <c r="BG1697" s="1">
        <v>0</v>
      </c>
      <c r="BH1697" s="1">
        <v>0</v>
      </c>
      <c r="BI1697" s="1">
        <v>0</v>
      </c>
      <c r="BJ1697" s="1">
        <v>0</v>
      </c>
      <c r="BK1697" s="1">
        <v>0</v>
      </c>
      <c r="BL1697" s="1">
        <v>0</v>
      </c>
      <c r="BM1697" s="1">
        <v>0</v>
      </c>
      <c r="BN1697" s="1">
        <v>0</v>
      </c>
      <c r="BO1697" s="1">
        <v>0</v>
      </c>
      <c r="BP1697" s="1">
        <v>0</v>
      </c>
      <c r="BQ1697" s="1">
        <v>0</v>
      </c>
      <c r="BR1697" s="1">
        <v>0</v>
      </c>
      <c r="BS1697" s="1" t="s">
        <v>109</v>
      </c>
      <c r="BT1697" s="1">
        <v>1766</v>
      </c>
      <c r="BU1697" s="1" t="s">
        <v>109</v>
      </c>
      <c r="BV1697" s="1"/>
      <c r="BW1697" s="1"/>
      <c r="BX1697" s="1"/>
      <c r="BY1697" s="1"/>
      <c r="BZ1697" s="1">
        <v>0</v>
      </c>
      <c r="CA1697" s="1" t="s">
        <v>109</v>
      </c>
      <c r="CB1697" s="1" t="s">
        <v>109</v>
      </c>
      <c r="CC1697" s="1" t="s">
        <v>109</v>
      </c>
      <c r="CD1697" s="1" t="s">
        <v>109</v>
      </c>
      <c r="CE1697" s="1" t="s">
        <v>109</v>
      </c>
      <c r="CF1697" s="1" t="s">
        <v>109</v>
      </c>
      <c r="CG1697" s="1" t="s">
        <v>109</v>
      </c>
      <c r="CH1697" s="1" t="s">
        <v>109</v>
      </c>
      <c r="CI1697" s="1" t="s">
        <v>109</v>
      </c>
      <c r="CJ1697" s="1">
        <v>1</v>
      </c>
      <c r="CK1697" s="1"/>
      <c r="CL1697" s="1">
        <v>0</v>
      </c>
      <c r="CM1697" s="1">
        <v>0</v>
      </c>
      <c r="CN1697" s="1">
        <v>0</v>
      </c>
    </row>
    <row r="1698" spans="1:92" ht="14.25" customHeight="1" x14ac:dyDescent="0.15">
      <c r="A1698" s="1" t="s">
        <v>12745</v>
      </c>
      <c r="B1698" s="1" t="s">
        <v>254</v>
      </c>
      <c r="C1698" s="1"/>
      <c r="D1698" s="1"/>
      <c r="E1698" s="1" t="s">
        <v>12746</v>
      </c>
      <c r="F1698" s="1" t="s">
        <v>98</v>
      </c>
      <c r="G1698" s="1" t="s">
        <v>160</v>
      </c>
      <c r="H1698" s="1">
        <v>0</v>
      </c>
      <c r="I1698" s="1" t="s">
        <v>142</v>
      </c>
      <c r="J1698" s="1"/>
      <c r="K1698" s="1"/>
      <c r="L1698" s="1" t="s">
        <v>836</v>
      </c>
      <c r="M1698" s="1" t="s">
        <v>8448</v>
      </c>
      <c r="N1698" s="1">
        <v>0</v>
      </c>
      <c r="O1698" s="1">
        <v>0</v>
      </c>
      <c r="P1698" s="1" t="s">
        <v>301</v>
      </c>
      <c r="Q1698" s="1" t="s">
        <v>268</v>
      </c>
      <c r="R1698" s="1" t="s">
        <v>12747</v>
      </c>
      <c r="S1698" s="1" t="s">
        <v>12748</v>
      </c>
      <c r="T1698" s="1" t="s">
        <v>12653</v>
      </c>
      <c r="U1698" s="1" t="s">
        <v>12749</v>
      </c>
      <c r="V1698" s="1">
        <v>1</v>
      </c>
      <c r="W1698" s="1">
        <v>1</v>
      </c>
      <c r="X1698" s="1">
        <v>0</v>
      </c>
      <c r="Y1698" s="1">
        <v>0</v>
      </c>
      <c r="Z1698" s="1">
        <v>1</v>
      </c>
      <c r="AA1698" s="1" t="s">
        <v>109</v>
      </c>
      <c r="AB1698" s="1" t="s">
        <v>109</v>
      </c>
      <c r="AC1698" s="1">
        <v>2</v>
      </c>
      <c r="AD1698" s="1" t="s">
        <v>109</v>
      </c>
      <c r="AE1698" s="1" t="s">
        <v>109</v>
      </c>
      <c r="AF1698" s="1" t="s">
        <v>109</v>
      </c>
      <c r="AG1698" s="1" t="s">
        <v>109</v>
      </c>
      <c r="AH1698" s="1" t="s">
        <v>109</v>
      </c>
      <c r="AI1698" s="1" t="s">
        <v>109</v>
      </c>
      <c r="AJ1698" s="1">
        <v>1</v>
      </c>
      <c r="AK1698" s="1">
        <v>2</v>
      </c>
      <c r="AL1698" s="1">
        <v>2</v>
      </c>
      <c r="AM1698" s="1" t="s">
        <v>109</v>
      </c>
      <c r="AN1698" s="1" t="s">
        <v>109</v>
      </c>
      <c r="AO1698" s="1" t="s">
        <v>109</v>
      </c>
      <c r="AP1698" s="1" t="s">
        <v>12739</v>
      </c>
      <c r="AQ1698" s="1">
        <v>2</v>
      </c>
      <c r="AR1698" s="1"/>
      <c r="AS1698" s="1"/>
      <c r="AT1698" s="1">
        <v>0</v>
      </c>
      <c r="AU1698" s="1">
        <v>0</v>
      </c>
      <c r="AV1698" s="1">
        <v>0</v>
      </c>
      <c r="AW1698" s="1">
        <v>0</v>
      </c>
      <c r="AX1698" s="1">
        <v>0</v>
      </c>
      <c r="AY1698" s="1">
        <v>0</v>
      </c>
      <c r="AZ1698" s="1">
        <v>0</v>
      </c>
      <c r="BA1698" s="1">
        <v>0</v>
      </c>
      <c r="BB1698" s="1">
        <v>0</v>
      </c>
      <c r="BC1698" s="1">
        <v>0</v>
      </c>
      <c r="BD1698" s="1">
        <v>0</v>
      </c>
      <c r="BE1698" s="1">
        <v>0</v>
      </c>
      <c r="BF1698" s="1">
        <v>0</v>
      </c>
      <c r="BG1698" s="1">
        <v>0</v>
      </c>
      <c r="BH1698" s="1">
        <v>0</v>
      </c>
      <c r="BI1698" s="1">
        <v>0</v>
      </c>
      <c r="BJ1698" s="1">
        <v>0</v>
      </c>
      <c r="BK1698" s="1">
        <v>0</v>
      </c>
      <c r="BL1698" s="1">
        <v>0</v>
      </c>
      <c r="BM1698" s="1">
        <v>0</v>
      </c>
      <c r="BN1698" s="1">
        <v>0</v>
      </c>
      <c r="BO1698" s="1">
        <v>0</v>
      </c>
      <c r="BP1698" s="1">
        <v>0</v>
      </c>
      <c r="BQ1698" s="1">
        <v>0</v>
      </c>
      <c r="BR1698" s="1">
        <v>0</v>
      </c>
      <c r="BS1698" s="1" t="s">
        <v>109</v>
      </c>
      <c r="BT1698" s="1">
        <v>1767</v>
      </c>
      <c r="BU1698" s="1" t="s">
        <v>109</v>
      </c>
      <c r="BV1698" s="1"/>
      <c r="BW1698" s="1"/>
      <c r="BX1698" s="1"/>
      <c r="BY1698" s="1"/>
      <c r="BZ1698" s="1">
        <v>0</v>
      </c>
      <c r="CA1698" s="1" t="s">
        <v>109</v>
      </c>
      <c r="CB1698" s="1" t="s">
        <v>109</v>
      </c>
      <c r="CC1698" s="1" t="s">
        <v>109</v>
      </c>
      <c r="CD1698" s="1" t="s">
        <v>109</v>
      </c>
      <c r="CE1698" s="1" t="s">
        <v>109</v>
      </c>
      <c r="CF1698" s="1" t="s">
        <v>109</v>
      </c>
      <c r="CG1698" s="1" t="s">
        <v>109</v>
      </c>
      <c r="CH1698" s="1" t="s">
        <v>109</v>
      </c>
      <c r="CI1698" s="1" t="s">
        <v>109</v>
      </c>
      <c r="CJ1698" s="1" t="s">
        <v>109</v>
      </c>
      <c r="CK1698" s="1"/>
      <c r="CL1698" s="1">
        <v>0</v>
      </c>
      <c r="CM1698" s="1">
        <v>0</v>
      </c>
      <c r="CN1698" s="1">
        <v>0</v>
      </c>
    </row>
    <row r="1699" spans="1:92" ht="14.25" customHeight="1" x14ac:dyDescent="0.15">
      <c r="A1699" s="1" t="s">
        <v>12750</v>
      </c>
      <c r="B1699" s="1" t="s">
        <v>189</v>
      </c>
      <c r="C1699" s="1"/>
      <c r="D1699" s="1"/>
      <c r="E1699" s="1" t="s">
        <v>12751</v>
      </c>
      <c r="F1699" s="1" t="s">
        <v>355</v>
      </c>
      <c r="G1699" s="1" t="s">
        <v>141</v>
      </c>
      <c r="H1699" s="1">
        <v>0</v>
      </c>
      <c r="I1699" s="1" t="s">
        <v>161</v>
      </c>
      <c r="J1699" s="1"/>
      <c r="K1699" s="1"/>
      <c r="L1699" s="1" t="s">
        <v>12752</v>
      </c>
      <c r="M1699" s="1" t="s">
        <v>144</v>
      </c>
      <c r="N1699" s="1">
        <v>0</v>
      </c>
      <c r="O1699" s="1">
        <v>0</v>
      </c>
      <c r="P1699" s="1" t="s">
        <v>10057</v>
      </c>
      <c r="Q1699" s="1" t="s">
        <v>216</v>
      </c>
      <c r="R1699" s="1" t="s">
        <v>12753</v>
      </c>
      <c r="S1699" s="1" t="s">
        <v>12754</v>
      </c>
      <c r="T1699" s="1" t="s">
        <v>12653</v>
      </c>
      <c r="U1699" s="1" t="s">
        <v>12755</v>
      </c>
      <c r="V1699" s="1">
        <v>1</v>
      </c>
      <c r="W1699" s="1">
        <v>1</v>
      </c>
      <c r="X1699" s="1">
        <v>0</v>
      </c>
      <c r="Y1699" s="1">
        <v>0</v>
      </c>
      <c r="Z1699" s="1">
        <v>0</v>
      </c>
      <c r="AA1699" s="1" t="s">
        <v>109</v>
      </c>
      <c r="AB1699" s="1" t="s">
        <v>109</v>
      </c>
      <c r="AC1699" s="1">
        <v>1</v>
      </c>
      <c r="AD1699" s="1" t="s">
        <v>109</v>
      </c>
      <c r="AE1699" s="1" t="s">
        <v>109</v>
      </c>
      <c r="AF1699" s="1">
        <v>1</v>
      </c>
      <c r="AG1699" s="1">
        <v>1</v>
      </c>
      <c r="AH1699" s="1" t="s">
        <v>109</v>
      </c>
      <c r="AI1699" s="1" t="s">
        <v>109</v>
      </c>
      <c r="AJ1699" s="1" t="s">
        <v>109</v>
      </c>
      <c r="AK1699" s="1" t="s">
        <v>109</v>
      </c>
      <c r="AL1699" s="1">
        <v>1</v>
      </c>
      <c r="AM1699" s="1" t="s">
        <v>109</v>
      </c>
      <c r="AN1699" s="1" t="s">
        <v>109</v>
      </c>
      <c r="AO1699" s="1" t="s">
        <v>109</v>
      </c>
      <c r="AP1699" s="1" t="s">
        <v>12756</v>
      </c>
      <c r="AQ1699" s="1">
        <v>1</v>
      </c>
      <c r="AR1699" s="1"/>
      <c r="AS1699" s="1"/>
      <c r="AT1699" s="1">
        <v>0</v>
      </c>
      <c r="AU1699" s="1">
        <v>0</v>
      </c>
      <c r="AV1699" s="1">
        <v>0</v>
      </c>
      <c r="AW1699" s="1">
        <v>0</v>
      </c>
      <c r="AX1699" s="1">
        <v>0</v>
      </c>
      <c r="AY1699" s="1">
        <v>0</v>
      </c>
      <c r="AZ1699" s="1">
        <v>0</v>
      </c>
      <c r="BA1699" s="1">
        <v>0</v>
      </c>
      <c r="BB1699" s="1">
        <v>0</v>
      </c>
      <c r="BC1699" s="1">
        <v>0</v>
      </c>
      <c r="BD1699" s="1">
        <v>0</v>
      </c>
      <c r="BE1699" s="1">
        <v>0</v>
      </c>
      <c r="BF1699" s="1">
        <v>0</v>
      </c>
      <c r="BG1699" s="1">
        <v>0</v>
      </c>
      <c r="BH1699" s="1">
        <v>0</v>
      </c>
      <c r="BI1699" s="1">
        <v>0</v>
      </c>
      <c r="BJ1699" s="1">
        <v>0</v>
      </c>
      <c r="BK1699" s="1">
        <v>0</v>
      </c>
      <c r="BL1699" s="1">
        <v>0</v>
      </c>
      <c r="BM1699" s="1">
        <v>0</v>
      </c>
      <c r="BN1699" s="1">
        <v>0</v>
      </c>
      <c r="BO1699" s="1">
        <v>0</v>
      </c>
      <c r="BP1699" s="1">
        <v>0</v>
      </c>
      <c r="BQ1699" s="1">
        <v>0</v>
      </c>
      <c r="BR1699" s="1">
        <v>0</v>
      </c>
      <c r="BS1699" s="1" t="s">
        <v>109</v>
      </c>
      <c r="BT1699" s="1">
        <v>1768</v>
      </c>
      <c r="BU1699" s="1" t="s">
        <v>109</v>
      </c>
      <c r="BV1699" s="1"/>
      <c r="BW1699" s="1"/>
      <c r="BX1699" s="1"/>
      <c r="BY1699" s="1"/>
      <c r="BZ1699" s="1">
        <v>0</v>
      </c>
      <c r="CA1699" s="1" t="s">
        <v>109</v>
      </c>
      <c r="CB1699" s="1" t="s">
        <v>109</v>
      </c>
      <c r="CC1699" s="1" t="s">
        <v>109</v>
      </c>
      <c r="CD1699" s="1" t="s">
        <v>109</v>
      </c>
      <c r="CE1699" s="1" t="s">
        <v>109</v>
      </c>
      <c r="CF1699" s="1" t="s">
        <v>109</v>
      </c>
      <c r="CG1699" s="1" t="s">
        <v>109</v>
      </c>
      <c r="CH1699" s="1" t="s">
        <v>109</v>
      </c>
      <c r="CI1699" s="1" t="s">
        <v>109</v>
      </c>
      <c r="CJ1699" s="1" t="s">
        <v>109</v>
      </c>
      <c r="CK1699" s="1"/>
      <c r="CL1699" s="1">
        <v>0</v>
      </c>
      <c r="CM1699" s="1">
        <v>0</v>
      </c>
      <c r="CN1699" s="1">
        <v>0</v>
      </c>
    </row>
    <row r="1700" spans="1:92" ht="14.25" customHeight="1" x14ac:dyDescent="0.15">
      <c r="A1700" s="1" t="s">
        <v>12757</v>
      </c>
      <c r="B1700" s="1" t="s">
        <v>189</v>
      </c>
      <c r="C1700" s="1" t="s">
        <v>231</v>
      </c>
      <c r="D1700" s="1"/>
      <c r="E1700" s="1" t="s">
        <v>12758</v>
      </c>
      <c r="F1700" s="1" t="s">
        <v>98</v>
      </c>
      <c r="G1700" s="1" t="s">
        <v>141</v>
      </c>
      <c r="H1700" s="1">
        <v>0</v>
      </c>
      <c r="I1700" s="1" t="s">
        <v>161</v>
      </c>
      <c r="J1700" s="1"/>
      <c r="K1700" s="1"/>
      <c r="L1700" s="1" t="s">
        <v>506</v>
      </c>
      <c r="M1700" s="1" t="s">
        <v>3042</v>
      </c>
      <c r="N1700" s="1">
        <v>0</v>
      </c>
      <c r="O1700" s="1">
        <v>0</v>
      </c>
      <c r="P1700" s="1" t="s">
        <v>1382</v>
      </c>
      <c r="Q1700" s="1" t="s">
        <v>167</v>
      </c>
      <c r="R1700" s="1" t="s">
        <v>12759</v>
      </c>
      <c r="S1700" s="1" t="s">
        <v>12760</v>
      </c>
      <c r="T1700" s="1" t="s">
        <v>12653</v>
      </c>
      <c r="U1700" s="1" t="s">
        <v>12761</v>
      </c>
      <c r="V1700" s="1">
        <v>1</v>
      </c>
      <c r="W1700" s="1">
        <v>1</v>
      </c>
      <c r="X1700" s="1">
        <v>0</v>
      </c>
      <c r="Y1700" s="1">
        <v>0</v>
      </c>
      <c r="Z1700" s="1">
        <v>0</v>
      </c>
      <c r="AA1700" s="1">
        <v>1</v>
      </c>
      <c r="AB1700" s="1">
        <v>1</v>
      </c>
      <c r="AC1700" s="1">
        <v>1</v>
      </c>
      <c r="AD1700" s="1">
        <v>1</v>
      </c>
      <c r="AE1700" s="1" t="s">
        <v>109</v>
      </c>
      <c r="AF1700" s="1" t="s">
        <v>109</v>
      </c>
      <c r="AG1700" s="1" t="s">
        <v>109</v>
      </c>
      <c r="AH1700" s="1" t="s">
        <v>109</v>
      </c>
      <c r="AI1700" s="1" t="s">
        <v>109</v>
      </c>
      <c r="AJ1700" s="1" t="s">
        <v>109</v>
      </c>
      <c r="AK1700" s="1" t="s">
        <v>109</v>
      </c>
      <c r="AL1700" s="1">
        <v>1</v>
      </c>
      <c r="AM1700" s="1">
        <v>1</v>
      </c>
      <c r="AN1700" s="1" t="s">
        <v>109</v>
      </c>
      <c r="AO1700" s="1">
        <v>1</v>
      </c>
      <c r="AP1700" s="1" t="s">
        <v>12692</v>
      </c>
      <c r="AQ1700" s="1">
        <v>1</v>
      </c>
      <c r="AR1700" s="1"/>
      <c r="AS1700" s="1"/>
      <c r="AT1700" s="1">
        <v>0</v>
      </c>
      <c r="AU1700" s="1">
        <v>0</v>
      </c>
      <c r="AV1700" s="1">
        <v>0</v>
      </c>
      <c r="AW1700" s="1">
        <v>0</v>
      </c>
      <c r="AX1700" s="1">
        <v>0</v>
      </c>
      <c r="AY1700" s="1">
        <v>0</v>
      </c>
      <c r="AZ1700" s="1">
        <v>0</v>
      </c>
      <c r="BA1700" s="1">
        <v>0</v>
      </c>
      <c r="BB1700" s="1">
        <v>0</v>
      </c>
      <c r="BC1700" s="1">
        <v>0</v>
      </c>
      <c r="BD1700" s="1">
        <v>0</v>
      </c>
      <c r="BE1700" s="1">
        <v>0</v>
      </c>
      <c r="BF1700" s="1">
        <v>0</v>
      </c>
      <c r="BG1700" s="1">
        <v>0</v>
      </c>
      <c r="BH1700" s="1">
        <v>0</v>
      </c>
      <c r="BI1700" s="1">
        <v>0</v>
      </c>
      <c r="BJ1700" s="1">
        <v>0</v>
      </c>
      <c r="BK1700" s="1">
        <v>0</v>
      </c>
      <c r="BL1700" s="1">
        <v>0</v>
      </c>
      <c r="BM1700" s="1">
        <v>0</v>
      </c>
      <c r="BN1700" s="1">
        <v>0</v>
      </c>
      <c r="BO1700" s="1">
        <v>0</v>
      </c>
      <c r="BP1700" s="1">
        <v>0</v>
      </c>
      <c r="BQ1700" s="1">
        <v>0</v>
      </c>
      <c r="BR1700" s="1">
        <v>0</v>
      </c>
      <c r="BS1700" s="1" t="s">
        <v>109</v>
      </c>
      <c r="BT1700" s="1">
        <v>1769</v>
      </c>
      <c r="BU1700" s="1" t="s">
        <v>109</v>
      </c>
      <c r="BV1700" s="1"/>
      <c r="BW1700" s="1"/>
      <c r="BX1700" s="1"/>
      <c r="BY1700" s="1"/>
      <c r="BZ1700" s="1">
        <v>0</v>
      </c>
      <c r="CA1700" s="1" t="s">
        <v>109</v>
      </c>
      <c r="CB1700" s="1" t="s">
        <v>109</v>
      </c>
      <c r="CC1700" s="1" t="s">
        <v>109</v>
      </c>
      <c r="CD1700" s="1" t="s">
        <v>109</v>
      </c>
      <c r="CE1700" s="1" t="s">
        <v>109</v>
      </c>
      <c r="CF1700" s="1" t="s">
        <v>109</v>
      </c>
      <c r="CG1700" s="1" t="s">
        <v>109</v>
      </c>
      <c r="CH1700" s="1" t="s">
        <v>109</v>
      </c>
      <c r="CI1700" s="1" t="s">
        <v>109</v>
      </c>
      <c r="CJ1700" s="1">
        <v>1</v>
      </c>
      <c r="CK1700" s="1"/>
      <c r="CL1700" s="1">
        <v>0</v>
      </c>
      <c r="CM1700" s="1">
        <v>0</v>
      </c>
      <c r="CN1700" s="1">
        <v>0</v>
      </c>
    </row>
    <row r="1701" spans="1:92" ht="14.25" customHeight="1" x14ac:dyDescent="0.15">
      <c r="A1701" s="1" t="s">
        <v>12762</v>
      </c>
      <c r="B1701" s="1" t="s">
        <v>156</v>
      </c>
      <c r="C1701" s="1" t="s">
        <v>157</v>
      </c>
      <c r="D1701" s="1" t="s">
        <v>158</v>
      </c>
      <c r="E1701" s="1" t="s">
        <v>12763</v>
      </c>
      <c r="F1701" s="1" t="s">
        <v>355</v>
      </c>
      <c r="G1701" s="1" t="s">
        <v>160</v>
      </c>
      <c r="H1701" s="1">
        <v>0</v>
      </c>
      <c r="I1701" s="1" t="s">
        <v>142</v>
      </c>
      <c r="J1701" s="1"/>
      <c r="K1701" s="1"/>
      <c r="L1701" s="1" t="s">
        <v>12764</v>
      </c>
      <c r="M1701" s="1" t="s">
        <v>3042</v>
      </c>
      <c r="N1701" s="1">
        <v>0</v>
      </c>
      <c r="O1701" s="1">
        <v>0</v>
      </c>
      <c r="P1701" s="1" t="s">
        <v>301</v>
      </c>
      <c r="Q1701" s="1" t="s">
        <v>268</v>
      </c>
      <c r="R1701" s="1" t="s">
        <v>12765</v>
      </c>
      <c r="S1701" s="1" t="s">
        <v>12766</v>
      </c>
      <c r="T1701" s="1" t="s">
        <v>12653</v>
      </c>
      <c r="U1701" s="1" t="s">
        <v>12767</v>
      </c>
      <c r="V1701" s="1">
        <v>1</v>
      </c>
      <c r="W1701" s="1">
        <v>1</v>
      </c>
      <c r="X1701" s="1">
        <v>0</v>
      </c>
      <c r="Y1701" s="1">
        <v>0</v>
      </c>
      <c r="Z1701" s="1">
        <v>1</v>
      </c>
      <c r="AA1701" s="1" t="s">
        <v>109</v>
      </c>
      <c r="AB1701" s="1" t="s">
        <v>109</v>
      </c>
      <c r="AC1701" s="1">
        <v>1</v>
      </c>
      <c r="AD1701" s="1" t="s">
        <v>109</v>
      </c>
      <c r="AE1701" s="1" t="s">
        <v>109</v>
      </c>
      <c r="AF1701" s="1" t="s">
        <v>109</v>
      </c>
      <c r="AG1701" s="1">
        <v>2</v>
      </c>
      <c r="AH1701" s="1" t="s">
        <v>109</v>
      </c>
      <c r="AI1701" s="1" t="s">
        <v>109</v>
      </c>
      <c r="AJ1701" s="1" t="s">
        <v>109</v>
      </c>
      <c r="AK1701" s="1">
        <v>2</v>
      </c>
      <c r="AL1701" s="1">
        <v>1</v>
      </c>
      <c r="AM1701" s="1" t="s">
        <v>109</v>
      </c>
      <c r="AN1701" s="1" t="s">
        <v>109</v>
      </c>
      <c r="AO1701" s="1" t="s">
        <v>109</v>
      </c>
      <c r="AP1701" s="1" t="s">
        <v>12655</v>
      </c>
      <c r="AQ1701" s="1">
        <v>1</v>
      </c>
      <c r="AR1701" s="1"/>
      <c r="AS1701" s="1"/>
      <c r="AT1701" s="1">
        <v>0</v>
      </c>
      <c r="AU1701" s="1">
        <v>0</v>
      </c>
      <c r="AV1701" s="1">
        <v>0</v>
      </c>
      <c r="AW1701" s="1">
        <v>0</v>
      </c>
      <c r="AX1701" s="1">
        <v>0</v>
      </c>
      <c r="AY1701" s="1">
        <v>0</v>
      </c>
      <c r="AZ1701" s="1">
        <v>0</v>
      </c>
      <c r="BA1701" s="1">
        <v>0</v>
      </c>
      <c r="BB1701" s="1">
        <v>0</v>
      </c>
      <c r="BC1701" s="1">
        <v>0</v>
      </c>
      <c r="BD1701" s="1">
        <v>0</v>
      </c>
      <c r="BE1701" s="1">
        <v>0</v>
      </c>
      <c r="BF1701" s="1">
        <v>0</v>
      </c>
      <c r="BG1701" s="1">
        <v>0</v>
      </c>
      <c r="BH1701" s="1">
        <v>0</v>
      </c>
      <c r="BI1701" s="1">
        <v>0</v>
      </c>
      <c r="BJ1701" s="1">
        <v>0</v>
      </c>
      <c r="BK1701" s="1">
        <v>0</v>
      </c>
      <c r="BL1701" s="1">
        <v>0</v>
      </c>
      <c r="BM1701" s="1">
        <v>1</v>
      </c>
      <c r="BN1701" s="1">
        <v>0</v>
      </c>
      <c r="BO1701" s="1">
        <v>0</v>
      </c>
      <c r="BP1701" s="1">
        <v>0</v>
      </c>
      <c r="BQ1701" s="1">
        <v>0</v>
      </c>
      <c r="BR1701" s="1">
        <v>0</v>
      </c>
      <c r="BS1701" s="1" t="s">
        <v>109</v>
      </c>
      <c r="BT1701" s="1">
        <v>1770</v>
      </c>
      <c r="BU1701" s="1" t="s">
        <v>109</v>
      </c>
      <c r="BV1701" s="1"/>
      <c r="BW1701" s="1"/>
      <c r="BX1701" s="1"/>
      <c r="BY1701" s="1"/>
      <c r="BZ1701" s="1">
        <v>0</v>
      </c>
      <c r="CA1701" s="1" t="s">
        <v>109</v>
      </c>
      <c r="CB1701" s="1" t="s">
        <v>109</v>
      </c>
      <c r="CC1701" s="1" t="s">
        <v>109</v>
      </c>
      <c r="CD1701" s="1" t="s">
        <v>109</v>
      </c>
      <c r="CE1701" s="1" t="s">
        <v>109</v>
      </c>
      <c r="CF1701" s="1" t="s">
        <v>109</v>
      </c>
      <c r="CG1701" s="1" t="s">
        <v>109</v>
      </c>
      <c r="CH1701" s="1" t="s">
        <v>109</v>
      </c>
      <c r="CI1701" s="1" t="s">
        <v>109</v>
      </c>
      <c r="CJ1701" s="1" t="s">
        <v>109</v>
      </c>
      <c r="CK1701" s="1"/>
      <c r="CL1701" s="1">
        <v>0</v>
      </c>
      <c r="CM1701" s="1">
        <v>0</v>
      </c>
      <c r="CN1701" s="1">
        <v>0</v>
      </c>
    </row>
    <row r="1702" spans="1:92" ht="14.25" customHeight="1" x14ac:dyDescent="0.15">
      <c r="A1702" s="1" t="s">
        <v>12768</v>
      </c>
      <c r="B1702" s="1" t="s">
        <v>242</v>
      </c>
      <c r="C1702" s="1"/>
      <c r="D1702" s="1"/>
      <c r="E1702" s="1" t="s">
        <v>12769</v>
      </c>
      <c r="F1702" s="1" t="s">
        <v>98</v>
      </c>
      <c r="G1702" s="1" t="s">
        <v>160</v>
      </c>
      <c r="H1702" s="1">
        <v>0</v>
      </c>
      <c r="I1702" s="1" t="s">
        <v>235</v>
      </c>
      <c r="J1702" s="1"/>
      <c r="K1702" s="1"/>
      <c r="L1702" s="1" t="s">
        <v>236</v>
      </c>
      <c r="M1702" s="1" t="s">
        <v>12770</v>
      </c>
      <c r="N1702" s="1">
        <v>0</v>
      </c>
      <c r="O1702" s="1">
        <v>0</v>
      </c>
      <c r="P1702" s="1"/>
      <c r="Q1702" s="1"/>
      <c r="R1702" s="1" t="s">
        <v>12771</v>
      </c>
      <c r="S1702" s="1" t="s">
        <v>12772</v>
      </c>
      <c r="T1702" s="1" t="s">
        <v>12653</v>
      </c>
      <c r="U1702" s="1" t="s">
        <v>12773</v>
      </c>
      <c r="V1702" s="1">
        <v>1</v>
      </c>
      <c r="W1702" s="1">
        <v>1</v>
      </c>
      <c r="X1702" s="1">
        <v>0</v>
      </c>
      <c r="Y1702" s="1">
        <v>0</v>
      </c>
      <c r="Z1702" s="1">
        <v>1</v>
      </c>
      <c r="AA1702" s="1" t="s">
        <v>109</v>
      </c>
      <c r="AB1702" s="1" t="s">
        <v>109</v>
      </c>
      <c r="AC1702" s="1">
        <v>1</v>
      </c>
      <c r="AD1702" s="1" t="s">
        <v>109</v>
      </c>
      <c r="AE1702" s="1" t="s">
        <v>109</v>
      </c>
      <c r="AF1702" s="1" t="s">
        <v>109</v>
      </c>
      <c r="AG1702" s="1">
        <v>1</v>
      </c>
      <c r="AH1702" s="1" t="s">
        <v>109</v>
      </c>
      <c r="AI1702" s="1" t="s">
        <v>109</v>
      </c>
      <c r="AJ1702" s="1" t="s">
        <v>109</v>
      </c>
      <c r="AK1702" s="1">
        <v>1</v>
      </c>
      <c r="AL1702" s="1">
        <v>1</v>
      </c>
      <c r="AM1702" s="1" t="s">
        <v>109</v>
      </c>
      <c r="AN1702" s="1">
        <v>1</v>
      </c>
      <c r="AO1702" s="1" t="s">
        <v>109</v>
      </c>
      <c r="AP1702" s="1" t="s">
        <v>11663</v>
      </c>
      <c r="AQ1702" s="1">
        <v>1</v>
      </c>
      <c r="AR1702" s="1"/>
      <c r="AS1702" s="1"/>
      <c r="AT1702" s="1">
        <v>0</v>
      </c>
      <c r="AU1702" s="1">
        <v>0</v>
      </c>
      <c r="AV1702" s="1">
        <v>0</v>
      </c>
      <c r="AW1702" s="1">
        <v>0</v>
      </c>
      <c r="AX1702" s="1">
        <v>0</v>
      </c>
      <c r="AY1702" s="1">
        <v>0</v>
      </c>
      <c r="AZ1702" s="1">
        <v>0</v>
      </c>
      <c r="BA1702" s="1">
        <v>0</v>
      </c>
      <c r="BB1702" s="1">
        <v>0</v>
      </c>
      <c r="BC1702" s="1">
        <v>0</v>
      </c>
      <c r="BD1702" s="1">
        <v>0</v>
      </c>
      <c r="BE1702" s="1">
        <v>0</v>
      </c>
      <c r="BF1702" s="1">
        <v>0</v>
      </c>
      <c r="BG1702" s="1">
        <v>0</v>
      </c>
      <c r="BH1702" s="1">
        <v>0</v>
      </c>
      <c r="BI1702" s="1">
        <v>0</v>
      </c>
      <c r="BJ1702" s="1">
        <v>0</v>
      </c>
      <c r="BK1702" s="1">
        <v>0</v>
      </c>
      <c r="BL1702" s="1">
        <v>0</v>
      </c>
      <c r="BM1702" s="1">
        <v>0</v>
      </c>
      <c r="BN1702" s="1">
        <v>0</v>
      </c>
      <c r="BO1702" s="1">
        <v>0</v>
      </c>
      <c r="BP1702" s="1">
        <v>0</v>
      </c>
      <c r="BQ1702" s="1">
        <v>0</v>
      </c>
      <c r="BR1702" s="1">
        <v>0</v>
      </c>
      <c r="BS1702" s="1" t="s">
        <v>109</v>
      </c>
      <c r="BT1702" s="1">
        <v>1771</v>
      </c>
      <c r="BU1702" s="1" t="s">
        <v>109</v>
      </c>
      <c r="BV1702" s="1"/>
      <c r="BW1702" s="1"/>
      <c r="BX1702" s="1"/>
      <c r="BY1702" s="1"/>
      <c r="BZ1702" s="1">
        <v>0</v>
      </c>
      <c r="CA1702" s="1" t="s">
        <v>109</v>
      </c>
      <c r="CB1702" s="1" t="s">
        <v>109</v>
      </c>
      <c r="CC1702" s="1" t="s">
        <v>109</v>
      </c>
      <c r="CD1702" s="1" t="s">
        <v>109</v>
      </c>
      <c r="CE1702" s="1" t="s">
        <v>109</v>
      </c>
      <c r="CF1702" s="1" t="s">
        <v>109</v>
      </c>
      <c r="CG1702" s="1" t="s">
        <v>109</v>
      </c>
      <c r="CH1702" s="1" t="s">
        <v>109</v>
      </c>
      <c r="CI1702" s="1" t="s">
        <v>109</v>
      </c>
      <c r="CJ1702" s="1" t="s">
        <v>109</v>
      </c>
      <c r="CK1702" s="1"/>
      <c r="CL1702" s="1">
        <v>0</v>
      </c>
      <c r="CM1702" s="1">
        <v>0</v>
      </c>
      <c r="CN1702" s="1">
        <v>0</v>
      </c>
    </row>
    <row r="1703" spans="1:92" ht="14.25" customHeight="1" x14ac:dyDescent="0.15">
      <c r="A1703" s="1" t="s">
        <v>12774</v>
      </c>
      <c r="B1703" s="1" t="s">
        <v>156</v>
      </c>
      <c r="C1703" s="1" t="s">
        <v>157</v>
      </c>
      <c r="D1703" s="1" t="s">
        <v>158</v>
      </c>
      <c r="E1703" s="1" t="s">
        <v>12775</v>
      </c>
      <c r="F1703" s="1" t="s">
        <v>355</v>
      </c>
      <c r="G1703" s="1" t="s">
        <v>12776</v>
      </c>
      <c r="H1703" s="1">
        <v>1</v>
      </c>
      <c r="I1703" s="1" t="s">
        <v>142</v>
      </c>
      <c r="J1703" s="1"/>
      <c r="K1703" s="1"/>
      <c r="L1703" s="1" t="s">
        <v>563</v>
      </c>
      <c r="M1703" s="1" t="s">
        <v>3246</v>
      </c>
      <c r="N1703" s="1">
        <v>0</v>
      </c>
      <c r="O1703" s="1">
        <v>0</v>
      </c>
      <c r="P1703" s="1" t="s">
        <v>301</v>
      </c>
      <c r="Q1703" s="1" t="s">
        <v>268</v>
      </c>
      <c r="R1703" s="1" t="s">
        <v>12777</v>
      </c>
      <c r="S1703" s="1" t="s">
        <v>12778</v>
      </c>
      <c r="T1703" s="1" t="s">
        <v>12653</v>
      </c>
      <c r="U1703" s="1" t="s">
        <v>12779</v>
      </c>
      <c r="V1703" s="1">
        <v>1</v>
      </c>
      <c r="W1703" s="1">
        <v>1</v>
      </c>
      <c r="X1703" s="1">
        <v>1</v>
      </c>
      <c r="Y1703" s="1">
        <v>0</v>
      </c>
      <c r="Z1703" s="1">
        <v>0</v>
      </c>
      <c r="AA1703" s="1" t="s">
        <v>109</v>
      </c>
      <c r="AB1703" s="1" t="s">
        <v>109</v>
      </c>
      <c r="AC1703" s="1">
        <v>3</v>
      </c>
      <c r="AD1703" s="1" t="s">
        <v>109</v>
      </c>
      <c r="AE1703" s="1" t="s">
        <v>109</v>
      </c>
      <c r="AF1703" s="1">
        <v>3</v>
      </c>
      <c r="AG1703" s="1" t="s">
        <v>109</v>
      </c>
      <c r="AH1703" s="1" t="s">
        <v>109</v>
      </c>
      <c r="AI1703" s="1" t="s">
        <v>109</v>
      </c>
      <c r="AJ1703" s="1" t="s">
        <v>109</v>
      </c>
      <c r="AK1703" s="1">
        <v>3</v>
      </c>
      <c r="AL1703" s="1">
        <v>3</v>
      </c>
      <c r="AM1703" s="1" t="s">
        <v>109</v>
      </c>
      <c r="AN1703" s="1" t="s">
        <v>109</v>
      </c>
      <c r="AO1703" s="1" t="s">
        <v>109</v>
      </c>
      <c r="AP1703" s="1" t="s">
        <v>12780</v>
      </c>
      <c r="AQ1703" s="1">
        <v>3</v>
      </c>
      <c r="AR1703" s="1"/>
      <c r="AS1703" s="1"/>
      <c r="AT1703" s="1">
        <v>0</v>
      </c>
      <c r="AU1703" s="1">
        <v>0</v>
      </c>
      <c r="AV1703" s="1">
        <v>0</v>
      </c>
      <c r="AW1703" s="1">
        <v>0</v>
      </c>
      <c r="AX1703" s="1">
        <v>0</v>
      </c>
      <c r="AY1703" s="1">
        <v>0</v>
      </c>
      <c r="AZ1703" s="1">
        <v>0</v>
      </c>
      <c r="BA1703" s="1">
        <v>0</v>
      </c>
      <c r="BB1703" s="1">
        <v>0</v>
      </c>
      <c r="BC1703" s="1">
        <v>0</v>
      </c>
      <c r="BD1703" s="1">
        <v>0</v>
      </c>
      <c r="BE1703" s="1">
        <v>0</v>
      </c>
      <c r="BF1703" s="1">
        <v>0</v>
      </c>
      <c r="BG1703" s="1">
        <v>0</v>
      </c>
      <c r="BH1703" s="1">
        <v>0</v>
      </c>
      <c r="BI1703" s="1">
        <v>0</v>
      </c>
      <c r="BJ1703" s="1">
        <v>0</v>
      </c>
      <c r="BK1703" s="1">
        <v>0</v>
      </c>
      <c r="BL1703" s="1">
        <v>0</v>
      </c>
      <c r="BM1703" s="1">
        <v>1</v>
      </c>
      <c r="BN1703" s="1">
        <v>0</v>
      </c>
      <c r="BO1703" s="1">
        <v>0</v>
      </c>
      <c r="BP1703" s="1">
        <v>0</v>
      </c>
      <c r="BQ1703" s="1">
        <v>0</v>
      </c>
      <c r="BR1703" s="1">
        <v>0</v>
      </c>
      <c r="BS1703" s="1" t="s">
        <v>109</v>
      </c>
      <c r="BT1703" s="1">
        <v>1772</v>
      </c>
      <c r="BU1703" s="1">
        <v>100</v>
      </c>
      <c r="BV1703" s="1"/>
      <c r="BW1703" s="1"/>
      <c r="BX1703" s="1"/>
      <c r="BY1703" s="1"/>
      <c r="BZ1703" s="1">
        <v>0</v>
      </c>
      <c r="CA1703" s="1" t="s">
        <v>109</v>
      </c>
      <c r="CB1703" s="1" t="s">
        <v>109</v>
      </c>
      <c r="CC1703" s="1" t="s">
        <v>109</v>
      </c>
      <c r="CD1703" s="1" t="s">
        <v>109</v>
      </c>
      <c r="CE1703" s="1" t="s">
        <v>109</v>
      </c>
      <c r="CF1703" s="1" t="s">
        <v>109</v>
      </c>
      <c r="CG1703" s="1" t="s">
        <v>109</v>
      </c>
      <c r="CH1703" s="1" t="s">
        <v>109</v>
      </c>
      <c r="CI1703" s="1" t="s">
        <v>109</v>
      </c>
      <c r="CJ1703" s="1" t="s">
        <v>109</v>
      </c>
      <c r="CK1703" s="1"/>
      <c r="CL1703" s="1">
        <v>0</v>
      </c>
      <c r="CM1703" s="1">
        <v>0</v>
      </c>
      <c r="CN1703" s="1">
        <v>0</v>
      </c>
    </row>
    <row r="1704" spans="1:92" ht="14.25" customHeight="1" x14ac:dyDescent="0.15">
      <c r="A1704" s="1" t="s">
        <v>12781</v>
      </c>
      <c r="B1704" s="1" t="s">
        <v>242</v>
      </c>
      <c r="C1704" s="1"/>
      <c r="D1704" s="1"/>
      <c r="E1704" s="1" t="s">
        <v>12782</v>
      </c>
      <c r="F1704" s="1" t="s">
        <v>98</v>
      </c>
      <c r="G1704" s="1" t="s">
        <v>160</v>
      </c>
      <c r="H1704" s="1">
        <v>0</v>
      </c>
      <c r="I1704" s="1" t="s">
        <v>235</v>
      </c>
      <c r="J1704" s="1"/>
      <c r="K1704" s="1"/>
      <c r="L1704" s="1" t="s">
        <v>236</v>
      </c>
      <c r="M1704" s="1" t="s">
        <v>3042</v>
      </c>
      <c r="N1704" s="1">
        <v>0</v>
      </c>
      <c r="O1704" s="1">
        <v>0</v>
      </c>
      <c r="P1704" s="1" t="s">
        <v>2045</v>
      </c>
      <c r="Q1704" s="1" t="s">
        <v>4298</v>
      </c>
      <c r="R1704" s="1" t="s">
        <v>12783</v>
      </c>
      <c r="S1704" s="1" t="s">
        <v>12784</v>
      </c>
      <c r="T1704" s="1" t="s">
        <v>12653</v>
      </c>
      <c r="U1704" s="1" t="s">
        <v>12785</v>
      </c>
      <c r="V1704" s="1">
        <v>1</v>
      </c>
      <c r="W1704" s="1">
        <v>1</v>
      </c>
      <c r="X1704" s="1">
        <v>0</v>
      </c>
      <c r="Y1704" s="1">
        <v>0</v>
      </c>
      <c r="Z1704" s="1">
        <v>1</v>
      </c>
      <c r="AA1704" s="1" t="s">
        <v>109</v>
      </c>
      <c r="AB1704" s="1" t="s">
        <v>109</v>
      </c>
      <c r="AC1704" s="1">
        <v>1</v>
      </c>
      <c r="AD1704" s="1">
        <v>1</v>
      </c>
      <c r="AE1704" s="1" t="s">
        <v>109</v>
      </c>
      <c r="AF1704" s="1" t="s">
        <v>109</v>
      </c>
      <c r="AG1704" s="1">
        <v>1</v>
      </c>
      <c r="AH1704" s="1">
        <v>1</v>
      </c>
      <c r="AI1704" s="1" t="s">
        <v>109</v>
      </c>
      <c r="AJ1704" s="1" t="s">
        <v>109</v>
      </c>
      <c r="AK1704" s="1" t="s">
        <v>109</v>
      </c>
      <c r="AL1704" s="1">
        <v>1</v>
      </c>
      <c r="AM1704" s="1" t="s">
        <v>109</v>
      </c>
      <c r="AN1704" s="1" t="s">
        <v>109</v>
      </c>
      <c r="AO1704" s="1" t="s">
        <v>109</v>
      </c>
      <c r="AP1704" s="1" t="s">
        <v>11663</v>
      </c>
      <c r="AQ1704" s="1">
        <v>1</v>
      </c>
      <c r="AR1704" s="1"/>
      <c r="AS1704" s="1"/>
      <c r="AT1704" s="1">
        <v>0</v>
      </c>
      <c r="AU1704" s="1">
        <v>0</v>
      </c>
      <c r="AV1704" s="1">
        <v>0</v>
      </c>
      <c r="AW1704" s="1">
        <v>0</v>
      </c>
      <c r="AX1704" s="1">
        <v>0</v>
      </c>
      <c r="AY1704" s="1">
        <v>0</v>
      </c>
      <c r="AZ1704" s="1">
        <v>0</v>
      </c>
      <c r="BA1704" s="1">
        <v>0</v>
      </c>
      <c r="BB1704" s="1">
        <v>0</v>
      </c>
      <c r="BC1704" s="1">
        <v>0</v>
      </c>
      <c r="BD1704" s="1">
        <v>0</v>
      </c>
      <c r="BE1704" s="1">
        <v>0</v>
      </c>
      <c r="BF1704" s="1">
        <v>0</v>
      </c>
      <c r="BG1704" s="1">
        <v>0</v>
      </c>
      <c r="BH1704" s="1">
        <v>0</v>
      </c>
      <c r="BI1704" s="1">
        <v>0</v>
      </c>
      <c r="BJ1704" s="1">
        <v>0</v>
      </c>
      <c r="BK1704" s="1">
        <v>0</v>
      </c>
      <c r="BL1704" s="1">
        <v>0</v>
      </c>
      <c r="BM1704" s="1">
        <v>0</v>
      </c>
      <c r="BN1704" s="1">
        <v>0</v>
      </c>
      <c r="BO1704" s="1">
        <v>0</v>
      </c>
      <c r="BP1704" s="1">
        <v>0</v>
      </c>
      <c r="BQ1704" s="1">
        <v>0</v>
      </c>
      <c r="BR1704" s="1">
        <v>0</v>
      </c>
      <c r="BS1704" s="1" t="s">
        <v>109</v>
      </c>
      <c r="BT1704" s="1">
        <v>1773</v>
      </c>
      <c r="BU1704" s="1" t="s">
        <v>109</v>
      </c>
      <c r="BV1704" s="1"/>
      <c r="BW1704" s="1"/>
      <c r="BX1704" s="1"/>
      <c r="BY1704" s="1"/>
      <c r="BZ1704" s="1">
        <v>0</v>
      </c>
      <c r="CA1704" s="1" t="s">
        <v>109</v>
      </c>
      <c r="CB1704" s="1" t="s">
        <v>109</v>
      </c>
      <c r="CC1704" s="1" t="s">
        <v>109</v>
      </c>
      <c r="CD1704" s="1" t="s">
        <v>109</v>
      </c>
      <c r="CE1704" s="1" t="s">
        <v>109</v>
      </c>
      <c r="CF1704" s="1" t="s">
        <v>109</v>
      </c>
      <c r="CG1704" s="1" t="s">
        <v>109</v>
      </c>
      <c r="CH1704" s="1" t="s">
        <v>109</v>
      </c>
      <c r="CI1704" s="1" t="s">
        <v>109</v>
      </c>
      <c r="CJ1704" s="1">
        <v>1</v>
      </c>
      <c r="CK1704" s="1"/>
      <c r="CL1704" s="1">
        <v>0</v>
      </c>
      <c r="CM1704" s="1">
        <v>0</v>
      </c>
      <c r="CN1704" s="1">
        <v>0</v>
      </c>
    </row>
    <row r="1705" spans="1:92" ht="14.25" customHeight="1" x14ac:dyDescent="0.15">
      <c r="A1705" s="1" t="s">
        <v>12786</v>
      </c>
      <c r="B1705" s="1" t="s">
        <v>189</v>
      </c>
      <c r="C1705" s="1"/>
      <c r="D1705" s="1"/>
      <c r="E1705" s="1" t="s">
        <v>9621</v>
      </c>
      <c r="F1705" s="1" t="s">
        <v>6545</v>
      </c>
      <c r="G1705" s="1" t="s">
        <v>141</v>
      </c>
      <c r="H1705" s="1">
        <v>0</v>
      </c>
      <c r="I1705" s="1" t="s">
        <v>235</v>
      </c>
      <c r="J1705" s="1"/>
      <c r="K1705" s="1"/>
      <c r="L1705" s="1" t="s">
        <v>236</v>
      </c>
      <c r="M1705" s="1" t="s">
        <v>144</v>
      </c>
      <c r="N1705" s="1">
        <v>0</v>
      </c>
      <c r="O1705" s="1">
        <v>0</v>
      </c>
      <c r="P1705" s="1"/>
      <c r="Q1705" s="1"/>
      <c r="R1705" s="1" t="s">
        <v>12787</v>
      </c>
      <c r="S1705" s="1" t="s">
        <v>12788</v>
      </c>
      <c r="T1705" s="1" t="s">
        <v>12653</v>
      </c>
      <c r="U1705" s="1" t="s">
        <v>12789</v>
      </c>
      <c r="V1705" s="1">
        <v>1</v>
      </c>
      <c r="W1705" s="1">
        <v>1</v>
      </c>
      <c r="X1705" s="1">
        <v>0</v>
      </c>
      <c r="Y1705" s="1">
        <v>0</v>
      </c>
      <c r="Z1705" s="1">
        <v>0</v>
      </c>
      <c r="AA1705" s="1">
        <v>3</v>
      </c>
      <c r="AB1705" s="1">
        <v>3</v>
      </c>
      <c r="AC1705" s="1">
        <v>3</v>
      </c>
      <c r="AD1705" s="1" t="s">
        <v>109</v>
      </c>
      <c r="AE1705" s="1" t="s">
        <v>109</v>
      </c>
      <c r="AF1705" s="1">
        <v>3</v>
      </c>
      <c r="AG1705" s="1" t="s">
        <v>109</v>
      </c>
      <c r="AH1705" s="1" t="s">
        <v>109</v>
      </c>
      <c r="AI1705" s="1" t="s">
        <v>109</v>
      </c>
      <c r="AJ1705" s="1" t="s">
        <v>109</v>
      </c>
      <c r="AK1705" s="1" t="s">
        <v>109</v>
      </c>
      <c r="AL1705" s="1">
        <v>3</v>
      </c>
      <c r="AM1705" s="1" t="s">
        <v>109</v>
      </c>
      <c r="AN1705" s="1" t="s">
        <v>109</v>
      </c>
      <c r="AO1705" s="1" t="s">
        <v>109</v>
      </c>
      <c r="AP1705" s="1" t="s">
        <v>12717</v>
      </c>
      <c r="AQ1705" s="1">
        <v>3</v>
      </c>
      <c r="AR1705" s="1"/>
      <c r="AS1705" s="1"/>
      <c r="AT1705" s="1">
        <v>0</v>
      </c>
      <c r="AU1705" s="1">
        <v>0</v>
      </c>
      <c r="AV1705" s="1">
        <v>0</v>
      </c>
      <c r="AW1705" s="1">
        <v>0</v>
      </c>
      <c r="AX1705" s="1">
        <v>0</v>
      </c>
      <c r="AY1705" s="1">
        <v>0</v>
      </c>
      <c r="AZ1705" s="1">
        <v>0</v>
      </c>
      <c r="BA1705" s="1">
        <v>0</v>
      </c>
      <c r="BB1705" s="1">
        <v>0</v>
      </c>
      <c r="BC1705" s="1">
        <v>0</v>
      </c>
      <c r="BD1705" s="1">
        <v>0</v>
      </c>
      <c r="BE1705" s="1">
        <v>0</v>
      </c>
      <c r="BF1705" s="1">
        <v>0</v>
      </c>
      <c r="BG1705" s="1">
        <v>0</v>
      </c>
      <c r="BH1705" s="1">
        <v>0</v>
      </c>
      <c r="BI1705" s="1">
        <v>0</v>
      </c>
      <c r="BJ1705" s="1">
        <v>0</v>
      </c>
      <c r="BK1705" s="1">
        <v>0</v>
      </c>
      <c r="BL1705" s="1">
        <v>0</v>
      </c>
      <c r="BM1705" s="1">
        <v>0</v>
      </c>
      <c r="BN1705" s="1">
        <v>0</v>
      </c>
      <c r="BO1705" s="1">
        <v>0</v>
      </c>
      <c r="BP1705" s="1">
        <v>0</v>
      </c>
      <c r="BQ1705" s="1">
        <v>0</v>
      </c>
      <c r="BR1705" s="1">
        <v>0</v>
      </c>
      <c r="BS1705" s="1" t="s">
        <v>109</v>
      </c>
      <c r="BT1705" s="1">
        <v>1774</v>
      </c>
      <c r="BU1705" s="1" t="s">
        <v>109</v>
      </c>
      <c r="BV1705" s="1"/>
      <c r="BW1705" s="1"/>
      <c r="BX1705" s="1"/>
      <c r="BY1705" s="1"/>
      <c r="BZ1705" s="1">
        <v>0</v>
      </c>
      <c r="CA1705" s="1" t="s">
        <v>109</v>
      </c>
      <c r="CB1705" s="1" t="s">
        <v>109</v>
      </c>
      <c r="CC1705" s="1" t="s">
        <v>109</v>
      </c>
      <c r="CD1705" s="1" t="s">
        <v>109</v>
      </c>
      <c r="CE1705" s="1" t="s">
        <v>109</v>
      </c>
      <c r="CF1705" s="1" t="s">
        <v>109</v>
      </c>
      <c r="CG1705" s="1" t="s">
        <v>109</v>
      </c>
      <c r="CH1705" s="1" t="s">
        <v>109</v>
      </c>
      <c r="CI1705" s="1" t="s">
        <v>109</v>
      </c>
      <c r="CJ1705" s="1" t="s">
        <v>109</v>
      </c>
      <c r="CK1705" s="1"/>
      <c r="CL1705" s="1">
        <v>0</v>
      </c>
      <c r="CM1705" s="1">
        <v>0</v>
      </c>
      <c r="CN1705" s="1">
        <v>0</v>
      </c>
    </row>
    <row r="1706" spans="1:92" ht="14.25" customHeight="1" x14ac:dyDescent="0.15">
      <c r="A1706" s="1" t="s">
        <v>12790</v>
      </c>
      <c r="B1706" s="1" t="s">
        <v>95</v>
      </c>
      <c r="C1706" s="1" t="s">
        <v>1522</v>
      </c>
      <c r="D1706" s="1"/>
      <c r="E1706" s="1" t="s">
        <v>12791</v>
      </c>
      <c r="F1706" s="1" t="s">
        <v>98</v>
      </c>
      <c r="G1706" s="1" t="s">
        <v>12792</v>
      </c>
      <c r="H1706" s="1">
        <v>0</v>
      </c>
      <c r="I1706" s="1" t="s">
        <v>142</v>
      </c>
      <c r="J1706" s="1"/>
      <c r="K1706" s="1"/>
      <c r="L1706" s="1" t="s">
        <v>1391</v>
      </c>
      <c r="M1706" s="1" t="s">
        <v>144</v>
      </c>
      <c r="N1706" s="1">
        <v>0</v>
      </c>
      <c r="O1706" s="1">
        <v>0</v>
      </c>
      <c r="P1706" s="1" t="s">
        <v>507</v>
      </c>
      <c r="Q1706" s="1" t="s">
        <v>167</v>
      </c>
      <c r="R1706" s="1" t="s">
        <v>12793</v>
      </c>
      <c r="S1706" s="1" t="s">
        <v>12794</v>
      </c>
      <c r="T1706" s="1" t="s">
        <v>12653</v>
      </c>
      <c r="U1706" s="1" t="s">
        <v>12795</v>
      </c>
      <c r="V1706" s="1">
        <v>1</v>
      </c>
      <c r="W1706" s="1">
        <v>1</v>
      </c>
      <c r="X1706" s="1">
        <v>1</v>
      </c>
      <c r="Y1706" s="1">
        <v>0</v>
      </c>
      <c r="Z1706" s="1">
        <v>1</v>
      </c>
      <c r="AA1706" s="1">
        <v>4</v>
      </c>
      <c r="AB1706" s="1">
        <v>4</v>
      </c>
      <c r="AC1706" s="1">
        <v>5</v>
      </c>
      <c r="AD1706" s="1" t="s">
        <v>109</v>
      </c>
      <c r="AE1706" s="1" t="s">
        <v>109</v>
      </c>
      <c r="AF1706" s="1">
        <v>5</v>
      </c>
      <c r="AG1706" s="1" t="s">
        <v>109</v>
      </c>
      <c r="AH1706" s="1" t="s">
        <v>109</v>
      </c>
      <c r="AI1706" s="1" t="s">
        <v>109</v>
      </c>
      <c r="AJ1706" s="1" t="s">
        <v>109</v>
      </c>
      <c r="AK1706" s="1">
        <v>5</v>
      </c>
      <c r="AL1706" s="1">
        <v>5</v>
      </c>
      <c r="AM1706" s="1" t="s">
        <v>109</v>
      </c>
      <c r="AN1706" s="1" t="s">
        <v>109</v>
      </c>
      <c r="AO1706" s="1" t="s">
        <v>109</v>
      </c>
      <c r="AP1706" s="1" t="s">
        <v>12756</v>
      </c>
      <c r="AQ1706" s="1">
        <v>4</v>
      </c>
      <c r="AR1706" s="1"/>
      <c r="AS1706" s="1"/>
      <c r="AT1706" s="1">
        <v>0</v>
      </c>
      <c r="AU1706" s="1">
        <v>0</v>
      </c>
      <c r="AV1706" s="1">
        <v>0</v>
      </c>
      <c r="AW1706" s="1">
        <v>0</v>
      </c>
      <c r="AX1706" s="1">
        <v>0</v>
      </c>
      <c r="AY1706" s="1">
        <v>0</v>
      </c>
      <c r="AZ1706" s="1">
        <v>0</v>
      </c>
      <c r="BA1706" s="1">
        <v>0</v>
      </c>
      <c r="BB1706" s="1">
        <v>0</v>
      </c>
      <c r="BC1706" s="1">
        <v>0</v>
      </c>
      <c r="BD1706" s="1">
        <v>0</v>
      </c>
      <c r="BE1706" s="1">
        <v>0</v>
      </c>
      <c r="BF1706" s="1">
        <v>0</v>
      </c>
      <c r="BG1706" s="1">
        <v>0</v>
      </c>
      <c r="BH1706" s="1">
        <v>0</v>
      </c>
      <c r="BI1706" s="1">
        <v>0</v>
      </c>
      <c r="BJ1706" s="1">
        <v>0</v>
      </c>
      <c r="BK1706" s="1">
        <v>0</v>
      </c>
      <c r="BL1706" s="1">
        <v>0</v>
      </c>
      <c r="BM1706" s="1">
        <v>0</v>
      </c>
      <c r="BN1706" s="1">
        <v>0</v>
      </c>
      <c r="BO1706" s="1">
        <v>0</v>
      </c>
      <c r="BP1706" s="1">
        <v>0</v>
      </c>
      <c r="BQ1706" s="1">
        <v>0</v>
      </c>
      <c r="BR1706" s="1">
        <v>0</v>
      </c>
      <c r="BS1706" s="1" t="s">
        <v>109</v>
      </c>
      <c r="BT1706" s="1">
        <v>1775</v>
      </c>
      <c r="BU1706" s="1" t="s">
        <v>109</v>
      </c>
      <c r="BV1706" s="1"/>
      <c r="BW1706" s="1"/>
      <c r="BX1706" s="1"/>
      <c r="BY1706" s="1"/>
      <c r="BZ1706" s="1">
        <v>0</v>
      </c>
      <c r="CA1706" s="1" t="s">
        <v>109</v>
      </c>
      <c r="CB1706" s="1" t="s">
        <v>109</v>
      </c>
      <c r="CC1706" s="1" t="s">
        <v>109</v>
      </c>
      <c r="CD1706" s="1" t="s">
        <v>109</v>
      </c>
      <c r="CE1706" s="1" t="s">
        <v>109</v>
      </c>
      <c r="CF1706" s="1" t="s">
        <v>109</v>
      </c>
      <c r="CG1706" s="1" t="s">
        <v>109</v>
      </c>
      <c r="CH1706" s="1" t="s">
        <v>109</v>
      </c>
      <c r="CI1706" s="1" t="s">
        <v>109</v>
      </c>
      <c r="CJ1706" s="1" t="s">
        <v>109</v>
      </c>
      <c r="CK1706" s="1"/>
      <c r="CL1706" s="1">
        <v>0</v>
      </c>
      <c r="CM1706" s="1">
        <v>0</v>
      </c>
      <c r="CN1706" s="1">
        <v>0</v>
      </c>
    </row>
    <row r="1707" spans="1:92" ht="14.25" customHeight="1" x14ac:dyDescent="0.15">
      <c r="A1707" s="1" t="s">
        <v>12796</v>
      </c>
      <c r="B1707" s="1" t="s">
        <v>308</v>
      </c>
      <c r="C1707" s="1"/>
      <c r="D1707" s="1" t="s">
        <v>12797</v>
      </c>
      <c r="E1707" s="1" t="s">
        <v>12798</v>
      </c>
      <c r="F1707" s="1" t="s">
        <v>98</v>
      </c>
      <c r="G1707" s="1" t="s">
        <v>141</v>
      </c>
      <c r="H1707" s="1">
        <v>0</v>
      </c>
      <c r="I1707" s="1" t="s">
        <v>142</v>
      </c>
      <c r="J1707" s="1"/>
      <c r="K1707" s="1"/>
      <c r="L1707" s="1" t="s">
        <v>836</v>
      </c>
      <c r="M1707" s="1" t="s">
        <v>9367</v>
      </c>
      <c r="N1707" s="1">
        <v>0</v>
      </c>
      <c r="O1707" s="1">
        <v>0</v>
      </c>
      <c r="P1707" s="1" t="s">
        <v>564</v>
      </c>
      <c r="Q1707" s="1" t="s">
        <v>268</v>
      </c>
      <c r="R1707" s="1" t="s">
        <v>12799</v>
      </c>
      <c r="S1707" s="1" t="s">
        <v>12800</v>
      </c>
      <c r="T1707" s="1" t="s">
        <v>12653</v>
      </c>
      <c r="U1707" s="1" t="s">
        <v>12801</v>
      </c>
      <c r="V1707" s="1">
        <v>1</v>
      </c>
      <c r="W1707" s="1">
        <v>1</v>
      </c>
      <c r="X1707" s="1">
        <v>0</v>
      </c>
      <c r="Y1707" s="1">
        <v>0</v>
      </c>
      <c r="Z1707" s="1">
        <v>0</v>
      </c>
      <c r="AA1707" s="1">
        <v>2</v>
      </c>
      <c r="AB1707" s="1">
        <v>2</v>
      </c>
      <c r="AC1707" s="1">
        <v>2</v>
      </c>
      <c r="AD1707" s="1" t="s">
        <v>109</v>
      </c>
      <c r="AE1707" s="1" t="s">
        <v>109</v>
      </c>
      <c r="AF1707" s="1" t="s">
        <v>109</v>
      </c>
      <c r="AG1707" s="1" t="s">
        <v>109</v>
      </c>
      <c r="AH1707" s="1" t="s">
        <v>109</v>
      </c>
      <c r="AI1707" s="1" t="s">
        <v>109</v>
      </c>
      <c r="AJ1707" s="1">
        <v>2</v>
      </c>
      <c r="AK1707" s="1" t="s">
        <v>109</v>
      </c>
      <c r="AL1707" s="1">
        <v>2</v>
      </c>
      <c r="AM1707" s="1">
        <v>2</v>
      </c>
      <c r="AN1707" s="1" t="s">
        <v>109</v>
      </c>
      <c r="AO1707" s="1" t="s">
        <v>109</v>
      </c>
      <c r="AP1707" s="1" t="s">
        <v>10888</v>
      </c>
      <c r="AQ1707" s="1">
        <v>2</v>
      </c>
      <c r="AR1707" s="1"/>
      <c r="AS1707" s="1"/>
      <c r="AT1707" s="1">
        <v>0</v>
      </c>
      <c r="AU1707" s="1">
        <v>0</v>
      </c>
      <c r="AV1707" s="1">
        <v>0</v>
      </c>
      <c r="AW1707" s="1">
        <v>0</v>
      </c>
      <c r="AX1707" s="1">
        <v>0</v>
      </c>
      <c r="AY1707" s="1">
        <v>0</v>
      </c>
      <c r="AZ1707" s="1">
        <v>0</v>
      </c>
      <c r="BA1707" s="1">
        <v>0</v>
      </c>
      <c r="BB1707" s="1">
        <v>0</v>
      </c>
      <c r="BC1707" s="1">
        <v>0</v>
      </c>
      <c r="BD1707" s="1">
        <v>0</v>
      </c>
      <c r="BE1707" s="1">
        <v>1</v>
      </c>
      <c r="BF1707" s="1">
        <v>0</v>
      </c>
      <c r="BG1707" s="1">
        <v>0</v>
      </c>
      <c r="BH1707" s="1">
        <v>0</v>
      </c>
      <c r="BI1707" s="1">
        <v>0</v>
      </c>
      <c r="BJ1707" s="1">
        <v>0</v>
      </c>
      <c r="BK1707" s="1">
        <v>0</v>
      </c>
      <c r="BL1707" s="1">
        <v>0</v>
      </c>
      <c r="BM1707" s="1">
        <v>1</v>
      </c>
      <c r="BN1707" s="1">
        <v>0</v>
      </c>
      <c r="BO1707" s="1">
        <v>0</v>
      </c>
      <c r="BP1707" s="1">
        <v>0</v>
      </c>
      <c r="BQ1707" s="1">
        <v>0</v>
      </c>
      <c r="BR1707" s="1">
        <v>0</v>
      </c>
      <c r="BS1707" s="1" t="s">
        <v>109</v>
      </c>
      <c r="BT1707" s="1">
        <v>1776</v>
      </c>
      <c r="BU1707" s="1" t="s">
        <v>109</v>
      </c>
      <c r="BV1707" s="1"/>
      <c r="BW1707" s="1"/>
      <c r="BX1707" s="1"/>
      <c r="BY1707" s="1"/>
      <c r="BZ1707" s="1">
        <v>0</v>
      </c>
      <c r="CA1707" s="1" t="s">
        <v>109</v>
      </c>
      <c r="CB1707" s="1" t="s">
        <v>109</v>
      </c>
      <c r="CC1707" s="1" t="s">
        <v>109</v>
      </c>
      <c r="CD1707" s="1" t="s">
        <v>109</v>
      </c>
      <c r="CE1707" s="1" t="s">
        <v>109</v>
      </c>
      <c r="CF1707" s="1" t="s">
        <v>109</v>
      </c>
      <c r="CG1707" s="1" t="s">
        <v>109</v>
      </c>
      <c r="CH1707" s="1" t="s">
        <v>109</v>
      </c>
      <c r="CI1707" s="1" t="s">
        <v>109</v>
      </c>
      <c r="CJ1707" s="1" t="s">
        <v>109</v>
      </c>
      <c r="CK1707" s="1"/>
      <c r="CL1707" s="1">
        <v>0</v>
      </c>
      <c r="CM1707" s="1">
        <v>0</v>
      </c>
      <c r="CN1707" s="1">
        <v>0</v>
      </c>
    </row>
    <row r="1708" spans="1:92" ht="14.25" customHeight="1" x14ac:dyDescent="0.15">
      <c r="A1708" s="1" t="s">
        <v>12802</v>
      </c>
      <c r="B1708" s="1" t="s">
        <v>584</v>
      </c>
      <c r="C1708" s="1"/>
      <c r="D1708" s="1" t="s">
        <v>55</v>
      </c>
      <c r="E1708" s="1" t="s">
        <v>12803</v>
      </c>
      <c r="F1708" s="1" t="s">
        <v>98</v>
      </c>
      <c r="G1708" s="1" t="s">
        <v>160</v>
      </c>
      <c r="H1708" s="1">
        <v>0</v>
      </c>
      <c r="I1708" s="1" t="s">
        <v>925</v>
      </c>
      <c r="J1708" s="1"/>
      <c r="K1708" s="1" t="s">
        <v>12804</v>
      </c>
      <c r="L1708" s="1"/>
      <c r="M1708" s="1" t="s">
        <v>6144</v>
      </c>
      <c r="N1708" s="1">
        <v>1</v>
      </c>
      <c r="O1708" s="1">
        <v>0</v>
      </c>
      <c r="P1708" s="1" t="s">
        <v>103</v>
      </c>
      <c r="Q1708" s="1" t="s">
        <v>268</v>
      </c>
      <c r="R1708" s="1" t="s">
        <v>12805</v>
      </c>
      <c r="S1708" s="1" t="s">
        <v>12806</v>
      </c>
      <c r="T1708" s="1" t="s">
        <v>12653</v>
      </c>
      <c r="U1708" s="1" t="s">
        <v>12807</v>
      </c>
      <c r="V1708" s="1">
        <v>1</v>
      </c>
      <c r="W1708" s="1">
        <v>1</v>
      </c>
      <c r="X1708" s="1">
        <v>0</v>
      </c>
      <c r="Y1708" s="1">
        <v>0</v>
      </c>
      <c r="Z1708" s="1">
        <v>1</v>
      </c>
      <c r="AA1708" s="1" t="s">
        <v>109</v>
      </c>
      <c r="AB1708" s="1" t="s">
        <v>109</v>
      </c>
      <c r="AC1708" s="1">
        <v>2</v>
      </c>
      <c r="AD1708" s="1">
        <v>2</v>
      </c>
      <c r="AE1708" s="1" t="s">
        <v>109</v>
      </c>
      <c r="AF1708" s="1" t="s">
        <v>109</v>
      </c>
      <c r="AG1708" s="1" t="s">
        <v>109</v>
      </c>
      <c r="AH1708" s="1" t="s">
        <v>109</v>
      </c>
      <c r="AI1708" s="1" t="s">
        <v>109</v>
      </c>
      <c r="AJ1708" s="1">
        <v>2</v>
      </c>
      <c r="AK1708" s="1" t="s">
        <v>109</v>
      </c>
      <c r="AL1708" s="1">
        <v>2</v>
      </c>
      <c r="AM1708" s="1" t="s">
        <v>109</v>
      </c>
      <c r="AN1708" s="1" t="s">
        <v>109</v>
      </c>
      <c r="AO1708" s="1" t="s">
        <v>109</v>
      </c>
      <c r="AP1708" s="1" t="s">
        <v>12808</v>
      </c>
      <c r="AQ1708" s="1">
        <v>2</v>
      </c>
      <c r="AR1708" s="1"/>
      <c r="AS1708" s="1"/>
      <c r="AT1708" s="1">
        <v>0</v>
      </c>
      <c r="AU1708" s="1">
        <v>0</v>
      </c>
      <c r="AV1708" s="1">
        <v>0</v>
      </c>
      <c r="AW1708" s="1">
        <v>0</v>
      </c>
      <c r="AX1708" s="1">
        <v>0</v>
      </c>
      <c r="AY1708" s="1">
        <v>0</v>
      </c>
      <c r="AZ1708" s="1">
        <v>0</v>
      </c>
      <c r="BA1708" s="1">
        <v>0</v>
      </c>
      <c r="BB1708" s="1">
        <v>0</v>
      </c>
      <c r="BC1708" s="1">
        <v>1</v>
      </c>
      <c r="BD1708" s="1">
        <v>0</v>
      </c>
      <c r="BE1708" s="1">
        <v>0</v>
      </c>
      <c r="BF1708" s="1">
        <v>0</v>
      </c>
      <c r="BG1708" s="1">
        <v>0</v>
      </c>
      <c r="BH1708" s="1">
        <v>0</v>
      </c>
      <c r="BI1708" s="1">
        <v>0</v>
      </c>
      <c r="BJ1708" s="1">
        <v>0</v>
      </c>
      <c r="BK1708" s="1">
        <v>0</v>
      </c>
      <c r="BL1708" s="1">
        <v>0</v>
      </c>
      <c r="BM1708" s="1">
        <v>0</v>
      </c>
      <c r="BN1708" s="1">
        <v>0</v>
      </c>
      <c r="BO1708" s="1">
        <v>0</v>
      </c>
      <c r="BP1708" s="1">
        <v>0</v>
      </c>
      <c r="BQ1708" s="1">
        <v>0</v>
      </c>
      <c r="BR1708" s="1">
        <v>0</v>
      </c>
      <c r="BS1708" s="1" t="s">
        <v>109</v>
      </c>
      <c r="BT1708" s="1">
        <v>1777</v>
      </c>
      <c r="BU1708" s="1" t="s">
        <v>109</v>
      </c>
      <c r="BV1708" s="1"/>
      <c r="BW1708" s="1"/>
      <c r="BX1708" s="1"/>
      <c r="BY1708" s="1"/>
      <c r="BZ1708" s="1">
        <v>0</v>
      </c>
      <c r="CA1708" s="1" t="s">
        <v>109</v>
      </c>
      <c r="CB1708" s="1" t="s">
        <v>109</v>
      </c>
      <c r="CC1708" s="1" t="s">
        <v>109</v>
      </c>
      <c r="CD1708" s="1" t="s">
        <v>109</v>
      </c>
      <c r="CE1708" s="1" t="s">
        <v>109</v>
      </c>
      <c r="CF1708" s="1" t="s">
        <v>109</v>
      </c>
      <c r="CG1708" s="1" t="s">
        <v>109</v>
      </c>
      <c r="CH1708" s="1" t="s">
        <v>109</v>
      </c>
      <c r="CI1708" s="1" t="s">
        <v>109</v>
      </c>
      <c r="CJ1708" s="1">
        <v>2</v>
      </c>
      <c r="CK1708" s="1"/>
      <c r="CL1708" s="1">
        <v>0</v>
      </c>
      <c r="CM1708" s="1">
        <v>0</v>
      </c>
      <c r="CN1708" s="1">
        <v>0</v>
      </c>
    </row>
    <row r="1709" spans="1:92" ht="14.25" customHeight="1" x14ac:dyDescent="0.15">
      <c r="A1709" s="1" t="s">
        <v>12809</v>
      </c>
      <c r="B1709" s="1" t="s">
        <v>189</v>
      </c>
      <c r="C1709" s="1"/>
      <c r="D1709" s="1" t="s">
        <v>54</v>
      </c>
      <c r="E1709" s="1" t="s">
        <v>12810</v>
      </c>
      <c r="F1709" s="1" t="s">
        <v>98</v>
      </c>
      <c r="G1709" s="1" t="s">
        <v>12811</v>
      </c>
      <c r="H1709" s="1">
        <v>0</v>
      </c>
      <c r="I1709" s="1" t="s">
        <v>161</v>
      </c>
      <c r="J1709" s="1"/>
      <c r="K1709" s="1"/>
      <c r="L1709" s="1" t="s">
        <v>12812</v>
      </c>
      <c r="M1709" s="1" t="s">
        <v>125</v>
      </c>
      <c r="N1709" s="1">
        <v>0</v>
      </c>
      <c r="O1709" s="1">
        <v>0</v>
      </c>
      <c r="P1709" s="1" t="s">
        <v>5812</v>
      </c>
      <c r="Q1709" s="1" t="s">
        <v>630</v>
      </c>
      <c r="R1709" s="1" t="s">
        <v>12813</v>
      </c>
      <c r="S1709" s="1" t="s">
        <v>12814</v>
      </c>
      <c r="T1709" s="1" t="s">
        <v>12653</v>
      </c>
      <c r="U1709" s="1" t="s">
        <v>12815</v>
      </c>
      <c r="V1709" s="1">
        <v>1</v>
      </c>
      <c r="W1709" s="1">
        <v>1</v>
      </c>
      <c r="X1709" s="1">
        <v>1</v>
      </c>
      <c r="Y1709" s="1">
        <v>0</v>
      </c>
      <c r="Z1709" s="1">
        <v>0</v>
      </c>
      <c r="AA1709" s="1" t="s">
        <v>109</v>
      </c>
      <c r="AB1709" s="1" t="s">
        <v>109</v>
      </c>
      <c r="AC1709" s="1">
        <v>1</v>
      </c>
      <c r="AD1709" s="1">
        <v>1</v>
      </c>
      <c r="AE1709" s="1" t="s">
        <v>109</v>
      </c>
      <c r="AF1709" s="1" t="s">
        <v>109</v>
      </c>
      <c r="AG1709" s="1" t="s">
        <v>109</v>
      </c>
      <c r="AH1709" s="1" t="s">
        <v>109</v>
      </c>
      <c r="AI1709" s="1" t="s">
        <v>109</v>
      </c>
      <c r="AJ1709" s="1">
        <v>1</v>
      </c>
      <c r="AK1709" s="1" t="s">
        <v>109</v>
      </c>
      <c r="AL1709" s="1">
        <v>1</v>
      </c>
      <c r="AM1709" s="1" t="s">
        <v>109</v>
      </c>
      <c r="AN1709" s="1" t="s">
        <v>109</v>
      </c>
      <c r="AO1709" s="1" t="s">
        <v>109</v>
      </c>
      <c r="AP1709" s="1" t="s">
        <v>11663</v>
      </c>
      <c r="AQ1709" s="1">
        <v>1</v>
      </c>
      <c r="AR1709" s="1"/>
      <c r="AS1709" s="1"/>
      <c r="AT1709" s="1">
        <v>0</v>
      </c>
      <c r="AU1709" s="1">
        <v>0</v>
      </c>
      <c r="AV1709" s="1">
        <v>0</v>
      </c>
      <c r="AW1709" s="1">
        <v>0</v>
      </c>
      <c r="AX1709" s="1">
        <v>0</v>
      </c>
      <c r="AY1709" s="1">
        <v>0</v>
      </c>
      <c r="AZ1709" s="1">
        <v>0</v>
      </c>
      <c r="BA1709" s="1">
        <v>0</v>
      </c>
      <c r="BB1709" s="1">
        <v>1</v>
      </c>
      <c r="BC1709" s="1">
        <v>0</v>
      </c>
      <c r="BD1709" s="1">
        <v>0</v>
      </c>
      <c r="BE1709" s="1">
        <v>0</v>
      </c>
      <c r="BF1709" s="1">
        <v>0</v>
      </c>
      <c r="BG1709" s="1">
        <v>0</v>
      </c>
      <c r="BH1709" s="1">
        <v>0</v>
      </c>
      <c r="BI1709" s="1">
        <v>0</v>
      </c>
      <c r="BJ1709" s="1">
        <v>0</v>
      </c>
      <c r="BK1709" s="1">
        <v>0</v>
      </c>
      <c r="BL1709" s="1">
        <v>0</v>
      </c>
      <c r="BM1709" s="1">
        <v>0</v>
      </c>
      <c r="BN1709" s="1">
        <v>0</v>
      </c>
      <c r="BO1709" s="1">
        <v>0</v>
      </c>
      <c r="BP1709" s="1">
        <v>0</v>
      </c>
      <c r="BQ1709" s="1">
        <v>0</v>
      </c>
      <c r="BR1709" s="1">
        <v>0</v>
      </c>
      <c r="BS1709" s="1" t="s">
        <v>109</v>
      </c>
      <c r="BT1709" s="1">
        <v>1778</v>
      </c>
      <c r="BU1709" s="1" t="s">
        <v>109</v>
      </c>
      <c r="BV1709" s="1"/>
      <c r="BW1709" s="1"/>
      <c r="BX1709" s="1"/>
      <c r="BY1709" s="1"/>
      <c r="BZ1709" s="1">
        <v>0</v>
      </c>
      <c r="CA1709" s="1" t="s">
        <v>109</v>
      </c>
      <c r="CB1709" s="1" t="s">
        <v>109</v>
      </c>
      <c r="CC1709" s="1" t="s">
        <v>109</v>
      </c>
      <c r="CD1709" s="1" t="s">
        <v>109</v>
      </c>
      <c r="CE1709" s="1" t="s">
        <v>109</v>
      </c>
      <c r="CF1709" s="1" t="s">
        <v>109</v>
      </c>
      <c r="CG1709" s="1" t="s">
        <v>109</v>
      </c>
      <c r="CH1709" s="1" t="s">
        <v>109</v>
      </c>
      <c r="CI1709" s="1" t="s">
        <v>109</v>
      </c>
      <c r="CJ1709" s="1">
        <v>1</v>
      </c>
      <c r="CK1709" s="1"/>
      <c r="CL1709" s="1">
        <v>0</v>
      </c>
      <c r="CM1709" s="1">
        <v>0</v>
      </c>
      <c r="CN1709" s="1">
        <v>0</v>
      </c>
    </row>
    <row r="1710" spans="1:92" ht="14.25" customHeight="1" x14ac:dyDescent="0.15">
      <c r="A1710" s="1" t="s">
        <v>12816</v>
      </c>
      <c r="B1710" s="1" t="s">
        <v>189</v>
      </c>
      <c r="C1710" s="1"/>
      <c r="D1710" s="1"/>
      <c r="E1710" s="1" t="s">
        <v>12817</v>
      </c>
      <c r="F1710" s="1" t="s">
        <v>98</v>
      </c>
      <c r="G1710" s="1" t="s">
        <v>12818</v>
      </c>
      <c r="H1710" s="1">
        <v>1</v>
      </c>
      <c r="I1710" s="1"/>
      <c r="J1710" s="1" t="s">
        <v>5961</v>
      </c>
      <c r="K1710" s="1"/>
      <c r="L1710" s="1"/>
      <c r="M1710" s="1" t="s">
        <v>144</v>
      </c>
      <c r="N1710" s="1">
        <v>0</v>
      </c>
      <c r="O1710" s="1">
        <v>0</v>
      </c>
      <c r="P1710" s="1" t="s">
        <v>1382</v>
      </c>
      <c r="Q1710" s="1" t="s">
        <v>167</v>
      </c>
      <c r="R1710" s="1" t="s">
        <v>12819</v>
      </c>
      <c r="S1710" s="1" t="s">
        <v>12820</v>
      </c>
      <c r="T1710" s="1" t="s">
        <v>12653</v>
      </c>
      <c r="U1710" s="1" t="s">
        <v>12821</v>
      </c>
      <c r="V1710" s="1">
        <v>1</v>
      </c>
      <c r="W1710" s="1">
        <v>1</v>
      </c>
      <c r="X1710" s="1">
        <v>0</v>
      </c>
      <c r="Y1710" s="1">
        <v>0</v>
      </c>
      <c r="Z1710" s="1">
        <v>1</v>
      </c>
      <c r="AA1710" s="1">
        <v>5</v>
      </c>
      <c r="AB1710" s="1">
        <v>5</v>
      </c>
      <c r="AC1710" s="1">
        <v>6</v>
      </c>
      <c r="AD1710" s="1" t="s">
        <v>109</v>
      </c>
      <c r="AE1710" s="1" t="s">
        <v>109</v>
      </c>
      <c r="AF1710" s="1" t="s">
        <v>109</v>
      </c>
      <c r="AG1710" s="1" t="s">
        <v>109</v>
      </c>
      <c r="AH1710" s="1" t="s">
        <v>109</v>
      </c>
      <c r="AI1710" s="1">
        <v>5</v>
      </c>
      <c r="AJ1710" s="1" t="s">
        <v>109</v>
      </c>
      <c r="AK1710" s="1" t="s">
        <v>109</v>
      </c>
      <c r="AL1710" s="1">
        <v>6</v>
      </c>
      <c r="AM1710" s="1" t="s">
        <v>109</v>
      </c>
      <c r="AN1710" s="1" t="s">
        <v>109</v>
      </c>
      <c r="AO1710" s="1" t="s">
        <v>109</v>
      </c>
      <c r="AP1710" s="1" t="s">
        <v>11663</v>
      </c>
      <c r="AQ1710" s="1">
        <v>5</v>
      </c>
      <c r="AR1710" s="1"/>
      <c r="AS1710" s="1"/>
      <c r="AT1710" s="1">
        <v>0</v>
      </c>
      <c r="AU1710" s="1">
        <v>0</v>
      </c>
      <c r="AV1710" s="1">
        <v>0</v>
      </c>
      <c r="AW1710" s="1">
        <v>0</v>
      </c>
      <c r="AX1710" s="1">
        <v>0</v>
      </c>
      <c r="AY1710" s="1">
        <v>0</v>
      </c>
      <c r="AZ1710" s="1">
        <v>0</v>
      </c>
      <c r="BA1710" s="1">
        <v>0</v>
      </c>
      <c r="BB1710" s="1">
        <v>0</v>
      </c>
      <c r="BC1710" s="1">
        <v>0</v>
      </c>
      <c r="BD1710" s="1">
        <v>0</v>
      </c>
      <c r="BE1710" s="1">
        <v>0</v>
      </c>
      <c r="BF1710" s="1">
        <v>0</v>
      </c>
      <c r="BG1710" s="1">
        <v>0</v>
      </c>
      <c r="BH1710" s="1">
        <v>0</v>
      </c>
      <c r="BI1710" s="1">
        <v>0</v>
      </c>
      <c r="BJ1710" s="1">
        <v>0</v>
      </c>
      <c r="BK1710" s="1">
        <v>0</v>
      </c>
      <c r="BL1710" s="1">
        <v>0</v>
      </c>
      <c r="BM1710" s="1">
        <v>0</v>
      </c>
      <c r="BN1710" s="1">
        <v>0</v>
      </c>
      <c r="BO1710" s="1">
        <v>0</v>
      </c>
      <c r="BP1710" s="1">
        <v>0</v>
      </c>
      <c r="BQ1710" s="1">
        <v>0</v>
      </c>
      <c r="BR1710" s="1">
        <v>0</v>
      </c>
      <c r="BS1710" s="1" t="s">
        <v>109</v>
      </c>
      <c r="BT1710" s="1">
        <v>1779</v>
      </c>
      <c r="BU1710" s="1">
        <v>300</v>
      </c>
      <c r="BV1710" s="1"/>
      <c r="BW1710" s="1"/>
      <c r="BX1710" s="1"/>
      <c r="BY1710" s="1"/>
      <c r="BZ1710" s="1">
        <v>0</v>
      </c>
      <c r="CA1710" s="1" t="s">
        <v>109</v>
      </c>
      <c r="CB1710" s="1" t="s">
        <v>109</v>
      </c>
      <c r="CC1710" s="1" t="s">
        <v>109</v>
      </c>
      <c r="CD1710" s="1" t="s">
        <v>109</v>
      </c>
      <c r="CE1710" s="1" t="s">
        <v>109</v>
      </c>
      <c r="CF1710" s="1" t="s">
        <v>109</v>
      </c>
      <c r="CG1710" s="1" t="s">
        <v>109</v>
      </c>
      <c r="CH1710" s="1" t="s">
        <v>109</v>
      </c>
      <c r="CI1710" s="1" t="s">
        <v>109</v>
      </c>
      <c r="CJ1710" s="1" t="s">
        <v>109</v>
      </c>
      <c r="CK1710" s="1"/>
      <c r="CL1710" s="1">
        <v>0</v>
      </c>
      <c r="CM1710" s="1">
        <v>0</v>
      </c>
      <c r="CN1710" s="1">
        <v>0</v>
      </c>
    </row>
    <row r="1711" spans="1:92" ht="14.25" customHeight="1" x14ac:dyDescent="0.15">
      <c r="A1711" s="1" t="s">
        <v>12822</v>
      </c>
      <c r="B1711" s="1" t="s">
        <v>156</v>
      </c>
      <c r="C1711" s="1" t="s">
        <v>834</v>
      </c>
      <c r="D1711" s="1" t="s">
        <v>8086</v>
      </c>
      <c r="E1711" s="1" t="s">
        <v>12823</v>
      </c>
      <c r="F1711" s="1" t="s">
        <v>98</v>
      </c>
      <c r="G1711" s="1" t="s">
        <v>12824</v>
      </c>
      <c r="H1711" s="1">
        <v>0</v>
      </c>
      <c r="I1711" s="1" t="s">
        <v>142</v>
      </c>
      <c r="J1711" s="1"/>
      <c r="K1711" s="1"/>
      <c r="L1711" s="1" t="s">
        <v>1391</v>
      </c>
      <c r="M1711" s="1" t="s">
        <v>125</v>
      </c>
      <c r="N1711" s="1">
        <v>0</v>
      </c>
      <c r="O1711" s="1">
        <v>0</v>
      </c>
      <c r="P1711" s="1" t="s">
        <v>301</v>
      </c>
      <c r="Q1711" s="1" t="s">
        <v>268</v>
      </c>
      <c r="R1711" s="1" t="s">
        <v>12825</v>
      </c>
      <c r="S1711" s="1" t="s">
        <v>12826</v>
      </c>
      <c r="T1711" s="1" t="s">
        <v>12653</v>
      </c>
      <c r="U1711" s="1" t="s">
        <v>12827</v>
      </c>
      <c r="V1711" s="1">
        <v>1</v>
      </c>
      <c r="W1711" s="1">
        <v>0</v>
      </c>
      <c r="X1711" s="1">
        <v>1</v>
      </c>
      <c r="Y1711" s="1">
        <v>0</v>
      </c>
      <c r="Z1711" s="1">
        <v>0</v>
      </c>
      <c r="AA1711" s="1" t="s">
        <v>109</v>
      </c>
      <c r="AB1711" s="1" t="s">
        <v>109</v>
      </c>
      <c r="AC1711" s="1">
        <v>1</v>
      </c>
      <c r="AD1711" s="1" t="s">
        <v>109</v>
      </c>
      <c r="AE1711" s="1" t="s">
        <v>109</v>
      </c>
      <c r="AF1711" s="1">
        <v>1</v>
      </c>
      <c r="AG1711" s="1">
        <v>1</v>
      </c>
      <c r="AH1711" s="1" t="s">
        <v>109</v>
      </c>
      <c r="AI1711" s="1" t="s">
        <v>109</v>
      </c>
      <c r="AJ1711" s="1">
        <v>1</v>
      </c>
      <c r="AK1711" s="1">
        <v>1</v>
      </c>
      <c r="AL1711" s="1">
        <v>1</v>
      </c>
      <c r="AM1711" s="1" t="s">
        <v>109</v>
      </c>
      <c r="AN1711" s="1" t="s">
        <v>109</v>
      </c>
      <c r="AO1711" s="1" t="s">
        <v>109</v>
      </c>
      <c r="AP1711" s="1" t="s">
        <v>12676</v>
      </c>
      <c r="AQ1711" s="1">
        <v>1</v>
      </c>
      <c r="AR1711" s="1"/>
      <c r="AS1711" s="1"/>
      <c r="AT1711" s="1">
        <v>0</v>
      </c>
      <c r="AU1711" s="1">
        <v>0</v>
      </c>
      <c r="AV1711" s="1">
        <v>0</v>
      </c>
      <c r="AW1711" s="1">
        <v>0</v>
      </c>
      <c r="AX1711" s="1">
        <v>0</v>
      </c>
      <c r="AY1711" s="1">
        <v>0</v>
      </c>
      <c r="AZ1711" s="1">
        <v>0</v>
      </c>
      <c r="BA1711" s="1">
        <v>0</v>
      </c>
      <c r="BB1711" s="1">
        <v>0</v>
      </c>
      <c r="BC1711" s="1">
        <v>0</v>
      </c>
      <c r="BD1711" s="1">
        <v>1</v>
      </c>
      <c r="BE1711" s="1">
        <v>0</v>
      </c>
      <c r="BF1711" s="1">
        <v>0</v>
      </c>
      <c r="BG1711" s="1">
        <v>0</v>
      </c>
      <c r="BH1711" s="1">
        <v>0</v>
      </c>
      <c r="BI1711" s="1">
        <v>0</v>
      </c>
      <c r="BJ1711" s="1">
        <v>0</v>
      </c>
      <c r="BK1711" s="1">
        <v>0</v>
      </c>
      <c r="BL1711" s="1">
        <v>0</v>
      </c>
      <c r="BM1711" s="1">
        <v>1</v>
      </c>
      <c r="BN1711" s="1">
        <v>0</v>
      </c>
      <c r="BO1711" s="1">
        <v>0</v>
      </c>
      <c r="BP1711" s="1">
        <v>0</v>
      </c>
      <c r="BQ1711" s="1">
        <v>0</v>
      </c>
      <c r="BR1711" s="1">
        <v>0</v>
      </c>
      <c r="BS1711" s="1" t="s">
        <v>109</v>
      </c>
      <c r="BT1711" s="1">
        <v>1780</v>
      </c>
      <c r="BU1711" s="1" t="s">
        <v>109</v>
      </c>
      <c r="BV1711" s="1"/>
      <c r="BW1711" s="1"/>
      <c r="BX1711" s="1"/>
      <c r="BY1711" s="1"/>
      <c r="BZ1711" s="1">
        <v>0</v>
      </c>
      <c r="CA1711" s="1" t="s">
        <v>109</v>
      </c>
      <c r="CB1711" s="1" t="s">
        <v>109</v>
      </c>
      <c r="CC1711" s="1" t="s">
        <v>109</v>
      </c>
      <c r="CD1711" s="1" t="s">
        <v>109</v>
      </c>
      <c r="CE1711" s="1" t="s">
        <v>109</v>
      </c>
      <c r="CF1711" s="1" t="s">
        <v>109</v>
      </c>
      <c r="CG1711" s="1" t="s">
        <v>109</v>
      </c>
      <c r="CH1711" s="1" t="s">
        <v>109</v>
      </c>
      <c r="CI1711" s="1" t="s">
        <v>109</v>
      </c>
      <c r="CJ1711" s="1" t="s">
        <v>109</v>
      </c>
      <c r="CK1711" s="1"/>
      <c r="CL1711" s="1">
        <v>0</v>
      </c>
      <c r="CM1711" s="1">
        <v>0</v>
      </c>
      <c r="CN1711" s="1">
        <v>0</v>
      </c>
    </row>
    <row r="1712" spans="1:92" ht="14.25" customHeight="1" x14ac:dyDescent="0.15">
      <c r="A1712" s="1" t="s">
        <v>12828</v>
      </c>
      <c r="B1712" s="1" t="s">
        <v>189</v>
      </c>
      <c r="C1712" s="1"/>
      <c r="D1712" s="1"/>
      <c r="E1712" s="1" t="s">
        <v>447</v>
      </c>
      <c r="F1712" s="1" t="s">
        <v>98</v>
      </c>
      <c r="G1712" s="1" t="s">
        <v>160</v>
      </c>
      <c r="H1712" s="1">
        <v>0</v>
      </c>
      <c r="I1712" s="1" t="s">
        <v>142</v>
      </c>
      <c r="J1712" s="1"/>
      <c r="K1712" s="1"/>
      <c r="L1712" s="1" t="s">
        <v>716</v>
      </c>
      <c r="M1712" s="1" t="s">
        <v>289</v>
      </c>
      <c r="N1712" s="1">
        <v>0</v>
      </c>
      <c r="O1712" s="1">
        <v>0</v>
      </c>
      <c r="P1712" s="1" t="s">
        <v>507</v>
      </c>
      <c r="Q1712" s="1" t="s">
        <v>167</v>
      </c>
      <c r="R1712" s="1" t="s">
        <v>12829</v>
      </c>
      <c r="S1712" s="1" t="s">
        <v>12830</v>
      </c>
      <c r="T1712" s="1" t="s">
        <v>12653</v>
      </c>
      <c r="U1712" s="1" t="s">
        <v>12831</v>
      </c>
      <c r="V1712" s="1">
        <v>1</v>
      </c>
      <c r="W1712" s="1">
        <v>1</v>
      </c>
      <c r="X1712" s="1">
        <v>0</v>
      </c>
      <c r="Y1712" s="1">
        <v>0</v>
      </c>
      <c r="Z1712" s="1">
        <v>1</v>
      </c>
      <c r="AA1712" s="1" t="s">
        <v>109</v>
      </c>
      <c r="AB1712" s="1" t="s">
        <v>109</v>
      </c>
      <c r="AC1712" s="1">
        <v>5</v>
      </c>
      <c r="AD1712" s="1">
        <v>5</v>
      </c>
      <c r="AE1712" s="1" t="s">
        <v>109</v>
      </c>
      <c r="AF1712" s="1" t="s">
        <v>109</v>
      </c>
      <c r="AG1712" s="1" t="s">
        <v>109</v>
      </c>
      <c r="AH1712" s="1" t="s">
        <v>109</v>
      </c>
      <c r="AI1712" s="1" t="s">
        <v>109</v>
      </c>
      <c r="AJ1712" s="1" t="s">
        <v>109</v>
      </c>
      <c r="AK1712" s="1">
        <v>5</v>
      </c>
      <c r="AL1712" s="1">
        <v>5</v>
      </c>
      <c r="AM1712" s="1" t="s">
        <v>109</v>
      </c>
      <c r="AN1712" s="1" t="s">
        <v>109</v>
      </c>
      <c r="AO1712" s="1" t="s">
        <v>109</v>
      </c>
      <c r="AP1712" s="1" t="s">
        <v>12732</v>
      </c>
      <c r="AQ1712" s="1">
        <v>5</v>
      </c>
      <c r="AR1712" s="1"/>
      <c r="AS1712" s="1"/>
      <c r="AT1712" s="1">
        <v>0</v>
      </c>
      <c r="AU1712" s="1">
        <v>0</v>
      </c>
      <c r="AV1712" s="1">
        <v>0</v>
      </c>
      <c r="AW1712" s="1">
        <v>0</v>
      </c>
      <c r="AX1712" s="1">
        <v>0</v>
      </c>
      <c r="AY1712" s="1">
        <v>0</v>
      </c>
      <c r="AZ1712" s="1">
        <v>0</v>
      </c>
      <c r="BA1712" s="1">
        <v>0</v>
      </c>
      <c r="BB1712" s="1">
        <v>0</v>
      </c>
      <c r="BC1712" s="1">
        <v>0</v>
      </c>
      <c r="BD1712" s="1">
        <v>0</v>
      </c>
      <c r="BE1712" s="1">
        <v>0</v>
      </c>
      <c r="BF1712" s="1">
        <v>0</v>
      </c>
      <c r="BG1712" s="1">
        <v>0</v>
      </c>
      <c r="BH1712" s="1">
        <v>0</v>
      </c>
      <c r="BI1712" s="1">
        <v>0</v>
      </c>
      <c r="BJ1712" s="1">
        <v>0</v>
      </c>
      <c r="BK1712" s="1">
        <v>0</v>
      </c>
      <c r="BL1712" s="1">
        <v>0</v>
      </c>
      <c r="BM1712" s="1">
        <v>0</v>
      </c>
      <c r="BN1712" s="1">
        <v>0</v>
      </c>
      <c r="BO1712" s="1">
        <v>0</v>
      </c>
      <c r="BP1712" s="1">
        <v>0</v>
      </c>
      <c r="BQ1712" s="1">
        <v>0</v>
      </c>
      <c r="BR1712" s="1">
        <v>0</v>
      </c>
      <c r="BS1712" s="1" t="s">
        <v>109</v>
      </c>
      <c r="BT1712" s="1">
        <v>1781</v>
      </c>
      <c r="BU1712" s="1" t="s">
        <v>109</v>
      </c>
      <c r="BV1712" s="1"/>
      <c r="BW1712" s="1"/>
      <c r="BX1712" s="1"/>
      <c r="BY1712" s="1"/>
      <c r="BZ1712" s="1">
        <v>0</v>
      </c>
      <c r="CA1712" s="1" t="s">
        <v>109</v>
      </c>
      <c r="CB1712" s="1" t="s">
        <v>109</v>
      </c>
      <c r="CC1712" s="1" t="s">
        <v>109</v>
      </c>
      <c r="CD1712" s="1" t="s">
        <v>109</v>
      </c>
      <c r="CE1712" s="1" t="s">
        <v>109</v>
      </c>
      <c r="CF1712" s="1" t="s">
        <v>109</v>
      </c>
      <c r="CG1712" s="1" t="s">
        <v>109</v>
      </c>
      <c r="CH1712" s="1" t="s">
        <v>109</v>
      </c>
      <c r="CI1712" s="1" t="s">
        <v>109</v>
      </c>
      <c r="CJ1712" s="1">
        <v>5</v>
      </c>
      <c r="CK1712" s="1"/>
      <c r="CL1712" s="1">
        <v>0</v>
      </c>
      <c r="CM1712" s="1">
        <v>0</v>
      </c>
      <c r="CN1712" s="1">
        <v>0</v>
      </c>
    </row>
    <row r="1713" spans="1:92" ht="14.25" customHeight="1" x14ac:dyDescent="0.15">
      <c r="A1713" s="1" t="s">
        <v>12832</v>
      </c>
      <c r="B1713" s="1" t="s">
        <v>189</v>
      </c>
      <c r="C1713" s="1"/>
      <c r="D1713" s="1" t="s">
        <v>11824</v>
      </c>
      <c r="E1713" s="1" t="s">
        <v>11023</v>
      </c>
      <c r="F1713" s="1" t="s">
        <v>277</v>
      </c>
      <c r="G1713" s="1" t="s">
        <v>12833</v>
      </c>
      <c r="H1713" s="1">
        <v>0</v>
      </c>
      <c r="I1713" s="1" t="s">
        <v>4917</v>
      </c>
      <c r="J1713" s="1"/>
      <c r="K1713" s="1" t="s">
        <v>12834</v>
      </c>
      <c r="L1713" s="1"/>
      <c r="M1713" s="1" t="s">
        <v>12835</v>
      </c>
      <c r="N1713" s="1">
        <v>0</v>
      </c>
      <c r="O1713" s="1">
        <v>0</v>
      </c>
      <c r="P1713" s="1" t="s">
        <v>103</v>
      </c>
      <c r="Q1713" s="1" t="s">
        <v>104</v>
      </c>
      <c r="R1713" s="1" t="s">
        <v>12836</v>
      </c>
      <c r="S1713" s="1" t="s">
        <v>12837</v>
      </c>
      <c r="T1713" s="1" t="s">
        <v>12653</v>
      </c>
      <c r="U1713" s="1" t="s">
        <v>12838</v>
      </c>
      <c r="V1713" s="1">
        <v>1</v>
      </c>
      <c r="W1713" s="1">
        <v>1</v>
      </c>
      <c r="X1713" s="1">
        <v>0</v>
      </c>
      <c r="Y1713" s="1">
        <v>0</v>
      </c>
      <c r="Z1713" s="1">
        <v>0</v>
      </c>
      <c r="AA1713" s="1" t="s">
        <v>109</v>
      </c>
      <c r="AB1713" s="1" t="s">
        <v>109</v>
      </c>
      <c r="AC1713" s="1">
        <v>1</v>
      </c>
      <c r="AD1713" s="1">
        <v>1</v>
      </c>
      <c r="AE1713" s="1" t="s">
        <v>109</v>
      </c>
      <c r="AF1713" s="1" t="s">
        <v>109</v>
      </c>
      <c r="AG1713" s="1" t="s">
        <v>109</v>
      </c>
      <c r="AH1713" s="1" t="s">
        <v>109</v>
      </c>
      <c r="AI1713" s="1" t="s">
        <v>109</v>
      </c>
      <c r="AJ1713" s="1" t="s">
        <v>109</v>
      </c>
      <c r="AK1713" s="1" t="s">
        <v>109</v>
      </c>
      <c r="AL1713" s="1">
        <v>1</v>
      </c>
      <c r="AM1713" s="1" t="s">
        <v>109</v>
      </c>
      <c r="AN1713" s="1" t="s">
        <v>109</v>
      </c>
      <c r="AO1713" s="1" t="s">
        <v>109</v>
      </c>
      <c r="AP1713" s="1" t="s">
        <v>12808</v>
      </c>
      <c r="AQ1713" s="1">
        <v>1</v>
      </c>
      <c r="AR1713" s="1"/>
      <c r="AS1713" s="1"/>
      <c r="AT1713" s="1">
        <v>0</v>
      </c>
      <c r="AU1713" s="1">
        <v>0</v>
      </c>
      <c r="AV1713" s="1">
        <v>0</v>
      </c>
      <c r="AW1713" s="1">
        <v>1</v>
      </c>
      <c r="AX1713" s="1">
        <v>0</v>
      </c>
      <c r="AY1713" s="1">
        <v>0</v>
      </c>
      <c r="AZ1713" s="1">
        <v>0</v>
      </c>
      <c r="BA1713" s="1">
        <v>0</v>
      </c>
      <c r="BB1713" s="1">
        <v>0</v>
      </c>
      <c r="BC1713" s="1">
        <v>0</v>
      </c>
      <c r="BD1713" s="1">
        <v>0</v>
      </c>
      <c r="BE1713" s="1">
        <v>0</v>
      </c>
      <c r="BF1713" s="1">
        <v>0</v>
      </c>
      <c r="BG1713" s="1">
        <v>0</v>
      </c>
      <c r="BH1713" s="1">
        <v>0</v>
      </c>
      <c r="BI1713" s="1">
        <v>0</v>
      </c>
      <c r="BJ1713" s="1">
        <v>0</v>
      </c>
      <c r="BK1713" s="1">
        <v>0</v>
      </c>
      <c r="BL1713" s="1">
        <v>0</v>
      </c>
      <c r="BM1713" s="1">
        <v>0</v>
      </c>
      <c r="BN1713" s="1">
        <v>0</v>
      </c>
      <c r="BO1713" s="1">
        <v>0</v>
      </c>
      <c r="BP1713" s="1">
        <v>0</v>
      </c>
      <c r="BQ1713" s="1">
        <v>0</v>
      </c>
      <c r="BR1713" s="1">
        <v>1</v>
      </c>
      <c r="BS1713" s="1" t="s">
        <v>109</v>
      </c>
      <c r="BT1713" s="1">
        <v>1782</v>
      </c>
      <c r="BU1713" s="1" t="s">
        <v>109</v>
      </c>
      <c r="BV1713" s="1"/>
      <c r="BW1713" s="1"/>
      <c r="BX1713" s="1"/>
      <c r="BY1713" s="1"/>
      <c r="BZ1713" s="1">
        <v>0</v>
      </c>
      <c r="CA1713" s="1" t="s">
        <v>109</v>
      </c>
      <c r="CB1713" s="1" t="s">
        <v>109</v>
      </c>
      <c r="CC1713" s="1" t="s">
        <v>109</v>
      </c>
      <c r="CD1713" s="1" t="s">
        <v>109</v>
      </c>
      <c r="CE1713" s="1" t="s">
        <v>109</v>
      </c>
      <c r="CF1713" s="1" t="s">
        <v>109</v>
      </c>
      <c r="CG1713" s="1" t="s">
        <v>109</v>
      </c>
      <c r="CH1713" s="1" t="s">
        <v>109</v>
      </c>
      <c r="CI1713" s="1" t="s">
        <v>109</v>
      </c>
      <c r="CJ1713" s="1">
        <v>1</v>
      </c>
      <c r="CK1713" s="1"/>
      <c r="CL1713" s="1">
        <v>0</v>
      </c>
      <c r="CM1713" s="1">
        <v>0</v>
      </c>
      <c r="CN1713" s="1">
        <v>0</v>
      </c>
    </row>
    <row r="1714" spans="1:92" ht="14.25" customHeight="1" x14ac:dyDescent="0.15">
      <c r="A1714" s="1" t="s">
        <v>12839</v>
      </c>
      <c r="B1714" s="1" t="s">
        <v>189</v>
      </c>
      <c r="C1714" s="1"/>
      <c r="D1714" s="1"/>
      <c r="E1714" s="1" t="s">
        <v>11201</v>
      </c>
      <c r="F1714" s="1" t="s">
        <v>6545</v>
      </c>
      <c r="G1714" s="1" t="s">
        <v>160</v>
      </c>
      <c r="H1714" s="1">
        <v>0</v>
      </c>
      <c r="I1714" s="1" t="s">
        <v>235</v>
      </c>
      <c r="J1714" s="1"/>
      <c r="K1714" s="1"/>
      <c r="L1714" s="1" t="s">
        <v>236</v>
      </c>
      <c r="M1714" s="1" t="s">
        <v>211</v>
      </c>
      <c r="N1714" s="1">
        <v>0</v>
      </c>
      <c r="O1714" s="1">
        <v>0</v>
      </c>
      <c r="P1714" s="1"/>
      <c r="Q1714" s="1"/>
      <c r="R1714" s="1" t="s">
        <v>12840</v>
      </c>
      <c r="S1714" s="1" t="s">
        <v>12841</v>
      </c>
      <c r="T1714" s="1" t="s">
        <v>12653</v>
      </c>
      <c r="U1714" s="1" t="s">
        <v>12842</v>
      </c>
      <c r="V1714" s="1">
        <v>1</v>
      </c>
      <c r="W1714" s="1">
        <v>1</v>
      </c>
      <c r="X1714" s="1">
        <v>0</v>
      </c>
      <c r="Y1714" s="1">
        <v>0</v>
      </c>
      <c r="Z1714" s="1">
        <v>1</v>
      </c>
      <c r="AA1714" s="1" t="s">
        <v>109</v>
      </c>
      <c r="AB1714" s="1" t="s">
        <v>109</v>
      </c>
      <c r="AC1714" s="1">
        <v>2</v>
      </c>
      <c r="AD1714" s="1" t="s">
        <v>109</v>
      </c>
      <c r="AE1714" s="1" t="s">
        <v>109</v>
      </c>
      <c r="AF1714" s="1" t="s">
        <v>109</v>
      </c>
      <c r="AG1714" s="1">
        <v>2</v>
      </c>
      <c r="AH1714" s="1" t="s">
        <v>109</v>
      </c>
      <c r="AI1714" s="1" t="s">
        <v>109</v>
      </c>
      <c r="AJ1714" s="1" t="s">
        <v>109</v>
      </c>
      <c r="AK1714" s="1">
        <v>2</v>
      </c>
      <c r="AL1714" s="1">
        <v>2</v>
      </c>
      <c r="AM1714" s="1" t="s">
        <v>109</v>
      </c>
      <c r="AN1714" s="1" t="s">
        <v>109</v>
      </c>
      <c r="AO1714" s="1" t="s">
        <v>109</v>
      </c>
      <c r="AP1714" s="1" t="s">
        <v>12700</v>
      </c>
      <c r="AQ1714" s="1">
        <v>2</v>
      </c>
      <c r="AR1714" s="1"/>
      <c r="AS1714" s="1"/>
      <c r="AT1714" s="1">
        <v>0</v>
      </c>
      <c r="AU1714" s="1">
        <v>0</v>
      </c>
      <c r="AV1714" s="1">
        <v>0</v>
      </c>
      <c r="AW1714" s="1">
        <v>0</v>
      </c>
      <c r="AX1714" s="1">
        <v>0</v>
      </c>
      <c r="AY1714" s="1">
        <v>0</v>
      </c>
      <c r="AZ1714" s="1">
        <v>0</v>
      </c>
      <c r="BA1714" s="1">
        <v>0</v>
      </c>
      <c r="BB1714" s="1">
        <v>0</v>
      </c>
      <c r="BC1714" s="1">
        <v>0</v>
      </c>
      <c r="BD1714" s="1">
        <v>0</v>
      </c>
      <c r="BE1714" s="1">
        <v>0</v>
      </c>
      <c r="BF1714" s="1">
        <v>0</v>
      </c>
      <c r="BG1714" s="1">
        <v>0</v>
      </c>
      <c r="BH1714" s="1">
        <v>0</v>
      </c>
      <c r="BI1714" s="1">
        <v>0</v>
      </c>
      <c r="BJ1714" s="1">
        <v>0</v>
      </c>
      <c r="BK1714" s="1">
        <v>0</v>
      </c>
      <c r="BL1714" s="1">
        <v>0</v>
      </c>
      <c r="BM1714" s="1">
        <v>0</v>
      </c>
      <c r="BN1714" s="1">
        <v>0</v>
      </c>
      <c r="BO1714" s="1">
        <v>0</v>
      </c>
      <c r="BP1714" s="1">
        <v>0</v>
      </c>
      <c r="BQ1714" s="1">
        <v>0</v>
      </c>
      <c r="BR1714" s="1">
        <v>0</v>
      </c>
      <c r="BS1714" s="1" t="s">
        <v>109</v>
      </c>
      <c r="BT1714" s="1">
        <v>1783</v>
      </c>
      <c r="BU1714" s="1" t="s">
        <v>109</v>
      </c>
      <c r="BV1714" s="1"/>
      <c r="BW1714" s="1"/>
      <c r="BX1714" s="1"/>
      <c r="BY1714" s="1"/>
      <c r="BZ1714" s="1">
        <v>0</v>
      </c>
      <c r="CA1714" s="1" t="s">
        <v>109</v>
      </c>
      <c r="CB1714" s="1" t="s">
        <v>109</v>
      </c>
      <c r="CC1714" s="1" t="s">
        <v>109</v>
      </c>
      <c r="CD1714" s="1" t="s">
        <v>109</v>
      </c>
      <c r="CE1714" s="1" t="s">
        <v>109</v>
      </c>
      <c r="CF1714" s="1" t="s">
        <v>109</v>
      </c>
      <c r="CG1714" s="1" t="s">
        <v>109</v>
      </c>
      <c r="CH1714" s="1" t="s">
        <v>109</v>
      </c>
      <c r="CI1714" s="1" t="s">
        <v>109</v>
      </c>
      <c r="CJ1714" s="1" t="s">
        <v>109</v>
      </c>
      <c r="CK1714" s="1"/>
      <c r="CL1714" s="1">
        <v>0</v>
      </c>
      <c r="CM1714" s="1">
        <v>0</v>
      </c>
      <c r="CN1714" s="1">
        <v>0</v>
      </c>
    </row>
    <row r="1715" spans="1:92" ht="14.25" customHeight="1" x14ac:dyDescent="0.15">
      <c r="A1715" s="1" t="s">
        <v>12843</v>
      </c>
      <c r="B1715" s="1" t="s">
        <v>584</v>
      </c>
      <c r="C1715" s="1"/>
      <c r="D1715" s="1" t="s">
        <v>64</v>
      </c>
      <c r="E1715" s="1" t="s">
        <v>12844</v>
      </c>
      <c r="F1715" s="1" t="s">
        <v>98</v>
      </c>
      <c r="G1715" s="1" t="s">
        <v>141</v>
      </c>
      <c r="H1715" s="1">
        <v>0</v>
      </c>
      <c r="I1715" s="1" t="s">
        <v>142</v>
      </c>
      <c r="J1715" s="1"/>
      <c r="K1715" s="1"/>
      <c r="L1715" s="1" t="s">
        <v>12845</v>
      </c>
      <c r="M1715" s="1" t="s">
        <v>574</v>
      </c>
      <c r="N1715" s="1">
        <v>1</v>
      </c>
      <c r="O1715" s="1">
        <v>0</v>
      </c>
      <c r="P1715" s="1" t="s">
        <v>2092</v>
      </c>
      <c r="Q1715" s="1" t="s">
        <v>268</v>
      </c>
      <c r="R1715" s="1" t="s">
        <v>12846</v>
      </c>
      <c r="S1715" s="1" t="s">
        <v>12847</v>
      </c>
      <c r="T1715" s="1" t="s">
        <v>12653</v>
      </c>
      <c r="U1715" s="1" t="s">
        <v>12848</v>
      </c>
      <c r="V1715" s="1">
        <v>1</v>
      </c>
      <c r="W1715" s="1">
        <v>1</v>
      </c>
      <c r="X1715" s="1">
        <v>0</v>
      </c>
      <c r="Y1715" s="1">
        <v>0</v>
      </c>
      <c r="Z1715" s="1">
        <v>0</v>
      </c>
      <c r="AA1715" s="1">
        <v>2</v>
      </c>
      <c r="AB1715" s="1">
        <v>2</v>
      </c>
      <c r="AC1715" s="1">
        <v>2</v>
      </c>
      <c r="AD1715" s="1" t="s">
        <v>109</v>
      </c>
      <c r="AE1715" s="1" t="s">
        <v>109</v>
      </c>
      <c r="AF1715" s="1">
        <v>2</v>
      </c>
      <c r="AG1715" s="1" t="s">
        <v>109</v>
      </c>
      <c r="AH1715" s="1" t="s">
        <v>109</v>
      </c>
      <c r="AI1715" s="1" t="s">
        <v>109</v>
      </c>
      <c r="AJ1715" s="1" t="s">
        <v>109</v>
      </c>
      <c r="AK1715" s="1">
        <v>2</v>
      </c>
      <c r="AL1715" s="1">
        <v>2</v>
      </c>
      <c r="AM1715" s="1" t="s">
        <v>109</v>
      </c>
      <c r="AN1715" s="1">
        <v>2</v>
      </c>
      <c r="AO1715" s="1" t="s">
        <v>109</v>
      </c>
      <c r="AP1715" s="1" t="s">
        <v>12700</v>
      </c>
      <c r="AQ1715" s="1">
        <v>2</v>
      </c>
      <c r="AR1715" s="1"/>
      <c r="AS1715" s="1"/>
      <c r="AT1715" s="1">
        <v>0</v>
      </c>
      <c r="AU1715" s="1">
        <v>0</v>
      </c>
      <c r="AV1715" s="1">
        <v>0</v>
      </c>
      <c r="AW1715" s="1">
        <v>0</v>
      </c>
      <c r="AX1715" s="1">
        <v>0</v>
      </c>
      <c r="AY1715" s="1">
        <v>0</v>
      </c>
      <c r="AZ1715" s="1">
        <v>0</v>
      </c>
      <c r="BA1715" s="1">
        <v>0</v>
      </c>
      <c r="BB1715" s="1">
        <v>0</v>
      </c>
      <c r="BC1715" s="1">
        <v>0</v>
      </c>
      <c r="BD1715" s="1">
        <v>0</v>
      </c>
      <c r="BE1715" s="1">
        <v>0</v>
      </c>
      <c r="BF1715" s="1">
        <v>0</v>
      </c>
      <c r="BG1715" s="1">
        <v>0</v>
      </c>
      <c r="BH1715" s="1">
        <v>0</v>
      </c>
      <c r="BI1715" s="1">
        <v>0</v>
      </c>
      <c r="BJ1715" s="1">
        <v>0</v>
      </c>
      <c r="BK1715" s="1">
        <v>0</v>
      </c>
      <c r="BL1715" s="1">
        <v>1</v>
      </c>
      <c r="BM1715" s="1">
        <v>0</v>
      </c>
      <c r="BN1715" s="1">
        <v>0</v>
      </c>
      <c r="BO1715" s="1">
        <v>0</v>
      </c>
      <c r="BP1715" s="1">
        <v>0</v>
      </c>
      <c r="BQ1715" s="1">
        <v>0</v>
      </c>
      <c r="BR1715" s="1">
        <v>0</v>
      </c>
      <c r="BS1715" s="1" t="s">
        <v>109</v>
      </c>
      <c r="BT1715" s="1">
        <v>1784</v>
      </c>
      <c r="BU1715" s="1" t="s">
        <v>109</v>
      </c>
      <c r="BV1715" s="1"/>
      <c r="BW1715" s="1"/>
      <c r="BX1715" s="1"/>
      <c r="BY1715" s="1"/>
      <c r="BZ1715" s="1">
        <v>0</v>
      </c>
      <c r="CA1715" s="1" t="s">
        <v>109</v>
      </c>
      <c r="CB1715" s="1" t="s">
        <v>109</v>
      </c>
      <c r="CC1715" s="1" t="s">
        <v>109</v>
      </c>
      <c r="CD1715" s="1" t="s">
        <v>109</v>
      </c>
      <c r="CE1715" s="1" t="s">
        <v>109</v>
      </c>
      <c r="CF1715" s="1" t="s">
        <v>109</v>
      </c>
      <c r="CG1715" s="1" t="s">
        <v>109</v>
      </c>
      <c r="CH1715" s="1" t="s">
        <v>109</v>
      </c>
      <c r="CI1715" s="1" t="s">
        <v>109</v>
      </c>
      <c r="CJ1715" s="1" t="s">
        <v>109</v>
      </c>
      <c r="CK1715" s="1"/>
      <c r="CL1715" s="1">
        <v>0</v>
      </c>
      <c r="CM1715" s="1">
        <v>0</v>
      </c>
      <c r="CN1715" s="1">
        <v>0</v>
      </c>
    </row>
    <row r="1716" spans="1:92" ht="14.25" customHeight="1" x14ac:dyDescent="0.15">
      <c r="A1716" s="1" t="s">
        <v>12849</v>
      </c>
      <c r="B1716" s="1" t="s">
        <v>189</v>
      </c>
      <c r="C1716" s="1"/>
      <c r="D1716" s="1"/>
      <c r="E1716" s="1" t="s">
        <v>12850</v>
      </c>
      <c r="F1716" s="1" t="s">
        <v>98</v>
      </c>
      <c r="G1716" s="1" t="s">
        <v>12851</v>
      </c>
      <c r="H1716" s="1">
        <v>0</v>
      </c>
      <c r="I1716" s="1" t="s">
        <v>142</v>
      </c>
      <c r="J1716" s="1"/>
      <c r="K1716" s="1"/>
      <c r="L1716" s="1" t="s">
        <v>12852</v>
      </c>
      <c r="M1716" s="1" t="s">
        <v>3042</v>
      </c>
      <c r="N1716" s="1">
        <v>0</v>
      </c>
      <c r="O1716" s="1">
        <v>0</v>
      </c>
      <c r="P1716" s="1" t="s">
        <v>629</v>
      </c>
      <c r="Q1716" s="1" t="s">
        <v>630</v>
      </c>
      <c r="R1716" s="1" t="s">
        <v>12853</v>
      </c>
      <c r="S1716" s="1" t="s">
        <v>12854</v>
      </c>
      <c r="T1716" s="1" t="s">
        <v>12653</v>
      </c>
      <c r="U1716" s="1" t="s">
        <v>12855</v>
      </c>
      <c r="V1716" s="1">
        <v>1</v>
      </c>
      <c r="W1716" s="1">
        <v>0</v>
      </c>
      <c r="X1716" s="1">
        <v>1</v>
      </c>
      <c r="Y1716" s="1">
        <v>0</v>
      </c>
      <c r="Z1716" s="1">
        <v>0</v>
      </c>
      <c r="AA1716" s="1">
        <v>1</v>
      </c>
      <c r="AB1716" s="1">
        <v>1</v>
      </c>
      <c r="AC1716" s="1">
        <v>1</v>
      </c>
      <c r="AD1716" s="1" t="s">
        <v>109</v>
      </c>
      <c r="AE1716" s="1" t="s">
        <v>109</v>
      </c>
      <c r="AF1716" s="1">
        <v>1</v>
      </c>
      <c r="AG1716" s="1" t="s">
        <v>109</v>
      </c>
      <c r="AH1716" s="1" t="s">
        <v>109</v>
      </c>
      <c r="AI1716" s="1">
        <v>1</v>
      </c>
      <c r="AJ1716" s="1" t="s">
        <v>109</v>
      </c>
      <c r="AK1716" s="1" t="s">
        <v>109</v>
      </c>
      <c r="AL1716" s="1">
        <v>1</v>
      </c>
      <c r="AM1716" s="1" t="s">
        <v>109</v>
      </c>
      <c r="AN1716" s="1">
        <v>1</v>
      </c>
      <c r="AO1716" s="1" t="s">
        <v>109</v>
      </c>
      <c r="AP1716" s="1" t="s">
        <v>12856</v>
      </c>
      <c r="AQ1716" s="1">
        <v>1</v>
      </c>
      <c r="AR1716" s="1"/>
      <c r="AS1716" s="1"/>
      <c r="AT1716" s="1">
        <v>0</v>
      </c>
      <c r="AU1716" s="1">
        <v>0</v>
      </c>
      <c r="AV1716" s="1">
        <v>0</v>
      </c>
      <c r="AW1716" s="1">
        <v>0</v>
      </c>
      <c r="AX1716" s="1">
        <v>0</v>
      </c>
      <c r="AY1716" s="1">
        <v>0</v>
      </c>
      <c r="AZ1716" s="1">
        <v>0</v>
      </c>
      <c r="BA1716" s="1">
        <v>0</v>
      </c>
      <c r="BB1716" s="1">
        <v>0</v>
      </c>
      <c r="BC1716" s="1">
        <v>0</v>
      </c>
      <c r="BD1716" s="1">
        <v>0</v>
      </c>
      <c r="BE1716" s="1">
        <v>0</v>
      </c>
      <c r="BF1716" s="1">
        <v>0</v>
      </c>
      <c r="BG1716" s="1">
        <v>0</v>
      </c>
      <c r="BH1716" s="1">
        <v>0</v>
      </c>
      <c r="BI1716" s="1">
        <v>0</v>
      </c>
      <c r="BJ1716" s="1">
        <v>0</v>
      </c>
      <c r="BK1716" s="1">
        <v>0</v>
      </c>
      <c r="BL1716" s="1">
        <v>0</v>
      </c>
      <c r="BM1716" s="1">
        <v>0</v>
      </c>
      <c r="BN1716" s="1">
        <v>0</v>
      </c>
      <c r="BO1716" s="1">
        <v>0</v>
      </c>
      <c r="BP1716" s="1">
        <v>0</v>
      </c>
      <c r="BQ1716" s="1">
        <v>0</v>
      </c>
      <c r="BR1716" s="1">
        <v>0</v>
      </c>
      <c r="BS1716" s="1" t="s">
        <v>109</v>
      </c>
      <c r="BT1716" s="1">
        <v>1785</v>
      </c>
      <c r="BU1716" s="1" t="s">
        <v>109</v>
      </c>
      <c r="BV1716" s="1"/>
      <c r="BW1716" s="1"/>
      <c r="BX1716" s="1"/>
      <c r="BY1716" s="1"/>
      <c r="BZ1716" s="1">
        <v>0</v>
      </c>
      <c r="CA1716" s="1" t="s">
        <v>109</v>
      </c>
      <c r="CB1716" s="1" t="s">
        <v>109</v>
      </c>
      <c r="CC1716" s="1" t="s">
        <v>109</v>
      </c>
      <c r="CD1716" s="1" t="s">
        <v>109</v>
      </c>
      <c r="CE1716" s="1" t="s">
        <v>109</v>
      </c>
      <c r="CF1716" s="1" t="s">
        <v>109</v>
      </c>
      <c r="CG1716" s="1" t="s">
        <v>109</v>
      </c>
      <c r="CH1716" s="1" t="s">
        <v>109</v>
      </c>
      <c r="CI1716" s="1" t="s">
        <v>109</v>
      </c>
      <c r="CJ1716" s="1" t="s">
        <v>109</v>
      </c>
      <c r="CK1716" s="1"/>
      <c r="CL1716" s="1">
        <v>0</v>
      </c>
      <c r="CM1716" s="1">
        <v>0</v>
      </c>
      <c r="CN1716" s="1">
        <v>0</v>
      </c>
    </row>
    <row r="1717" spans="1:92" ht="14.25" customHeight="1" x14ac:dyDescent="0.15">
      <c r="A1717" s="1" t="s">
        <v>12857</v>
      </c>
      <c r="B1717" s="1" t="s">
        <v>189</v>
      </c>
      <c r="C1717" s="1"/>
      <c r="D1717" s="1"/>
      <c r="E1717" s="1" t="s">
        <v>12858</v>
      </c>
      <c r="F1717" s="1" t="s">
        <v>98</v>
      </c>
      <c r="G1717" s="1" t="s">
        <v>12851</v>
      </c>
      <c r="H1717" s="1">
        <v>0</v>
      </c>
      <c r="I1717" s="1" t="s">
        <v>142</v>
      </c>
      <c r="J1717" s="1"/>
      <c r="K1717" s="1"/>
      <c r="L1717" s="1" t="s">
        <v>12859</v>
      </c>
      <c r="M1717" s="1" t="s">
        <v>5642</v>
      </c>
      <c r="N1717" s="1">
        <v>0</v>
      </c>
      <c r="O1717" s="1">
        <v>0</v>
      </c>
      <c r="P1717" s="1" t="s">
        <v>629</v>
      </c>
      <c r="Q1717" s="1" t="s">
        <v>630</v>
      </c>
      <c r="R1717" s="1" t="s">
        <v>12860</v>
      </c>
      <c r="S1717" s="1" t="s">
        <v>12861</v>
      </c>
      <c r="T1717" s="1" t="s">
        <v>12653</v>
      </c>
      <c r="U1717" s="1" t="s">
        <v>12862</v>
      </c>
      <c r="V1717" s="1">
        <v>1</v>
      </c>
      <c r="W1717" s="1">
        <v>0</v>
      </c>
      <c r="X1717" s="1">
        <v>1</v>
      </c>
      <c r="Y1717" s="1">
        <v>0</v>
      </c>
      <c r="Z1717" s="1">
        <v>0</v>
      </c>
      <c r="AA1717" s="1">
        <v>5</v>
      </c>
      <c r="AB1717" s="1">
        <v>5</v>
      </c>
      <c r="AC1717" s="1">
        <v>5</v>
      </c>
      <c r="AD1717" s="1" t="s">
        <v>109</v>
      </c>
      <c r="AE1717" s="1" t="s">
        <v>109</v>
      </c>
      <c r="AF1717" s="1" t="s">
        <v>109</v>
      </c>
      <c r="AG1717" s="1" t="s">
        <v>109</v>
      </c>
      <c r="AH1717" s="1" t="s">
        <v>109</v>
      </c>
      <c r="AI1717" s="1">
        <v>5</v>
      </c>
      <c r="AJ1717" s="1" t="s">
        <v>109</v>
      </c>
      <c r="AK1717" s="1" t="s">
        <v>109</v>
      </c>
      <c r="AL1717" s="1">
        <v>5</v>
      </c>
      <c r="AM1717" s="1" t="s">
        <v>109</v>
      </c>
      <c r="AN1717" s="1">
        <v>5</v>
      </c>
      <c r="AO1717" s="1" t="s">
        <v>109</v>
      </c>
      <c r="AP1717" s="1" t="s">
        <v>12856</v>
      </c>
      <c r="AQ1717" s="1">
        <v>5</v>
      </c>
      <c r="AR1717" s="1"/>
      <c r="AS1717" s="1"/>
      <c r="AT1717" s="1">
        <v>0</v>
      </c>
      <c r="AU1717" s="1">
        <v>0</v>
      </c>
      <c r="AV1717" s="1">
        <v>0</v>
      </c>
      <c r="AW1717" s="1">
        <v>0</v>
      </c>
      <c r="AX1717" s="1">
        <v>0</v>
      </c>
      <c r="AY1717" s="1">
        <v>0</v>
      </c>
      <c r="AZ1717" s="1">
        <v>0</v>
      </c>
      <c r="BA1717" s="1">
        <v>0</v>
      </c>
      <c r="BB1717" s="1">
        <v>0</v>
      </c>
      <c r="BC1717" s="1">
        <v>0</v>
      </c>
      <c r="BD1717" s="1">
        <v>0</v>
      </c>
      <c r="BE1717" s="1">
        <v>0</v>
      </c>
      <c r="BF1717" s="1">
        <v>0</v>
      </c>
      <c r="BG1717" s="1">
        <v>0</v>
      </c>
      <c r="BH1717" s="1">
        <v>0</v>
      </c>
      <c r="BI1717" s="1">
        <v>0</v>
      </c>
      <c r="BJ1717" s="1">
        <v>0</v>
      </c>
      <c r="BK1717" s="1">
        <v>0</v>
      </c>
      <c r="BL1717" s="1">
        <v>0</v>
      </c>
      <c r="BM1717" s="1">
        <v>0</v>
      </c>
      <c r="BN1717" s="1">
        <v>0</v>
      </c>
      <c r="BO1717" s="1">
        <v>0</v>
      </c>
      <c r="BP1717" s="1">
        <v>0</v>
      </c>
      <c r="BQ1717" s="1">
        <v>0</v>
      </c>
      <c r="BR1717" s="1">
        <v>0</v>
      </c>
      <c r="BS1717" s="1" t="s">
        <v>109</v>
      </c>
      <c r="BT1717" s="1">
        <v>1786</v>
      </c>
      <c r="BU1717" s="1" t="s">
        <v>109</v>
      </c>
      <c r="BV1717" s="1"/>
      <c r="BW1717" s="1"/>
      <c r="BX1717" s="1"/>
      <c r="BY1717" s="1"/>
      <c r="BZ1717" s="1">
        <v>0</v>
      </c>
      <c r="CA1717" s="1" t="s">
        <v>109</v>
      </c>
      <c r="CB1717" s="1" t="s">
        <v>109</v>
      </c>
      <c r="CC1717" s="1" t="s">
        <v>109</v>
      </c>
      <c r="CD1717" s="1" t="s">
        <v>109</v>
      </c>
      <c r="CE1717" s="1" t="s">
        <v>109</v>
      </c>
      <c r="CF1717" s="1" t="s">
        <v>109</v>
      </c>
      <c r="CG1717" s="1" t="s">
        <v>109</v>
      </c>
      <c r="CH1717" s="1" t="s">
        <v>109</v>
      </c>
      <c r="CI1717" s="1" t="s">
        <v>109</v>
      </c>
      <c r="CJ1717" s="1" t="s">
        <v>109</v>
      </c>
      <c r="CK1717" s="1"/>
      <c r="CL1717" s="1">
        <v>0</v>
      </c>
      <c r="CM1717" s="1">
        <v>0</v>
      </c>
      <c r="CN1717" s="1">
        <v>0</v>
      </c>
    </row>
    <row r="1718" spans="1:92" ht="14.25" customHeight="1" x14ac:dyDescent="0.15">
      <c r="A1718" s="1" t="s">
        <v>12863</v>
      </c>
      <c r="B1718" s="1" t="s">
        <v>674</v>
      </c>
      <c r="C1718" s="1" t="s">
        <v>675</v>
      </c>
      <c r="D1718" s="1"/>
      <c r="E1718" s="1" t="s">
        <v>12864</v>
      </c>
      <c r="F1718" s="1" t="s">
        <v>98</v>
      </c>
      <c r="G1718" s="1" t="s">
        <v>141</v>
      </c>
      <c r="H1718" s="1">
        <v>0</v>
      </c>
      <c r="I1718" s="1" t="s">
        <v>142</v>
      </c>
      <c r="J1718" s="1"/>
      <c r="K1718" s="1"/>
      <c r="L1718" s="1" t="s">
        <v>3277</v>
      </c>
      <c r="M1718" s="1" t="s">
        <v>815</v>
      </c>
      <c r="N1718" s="1">
        <v>1</v>
      </c>
      <c r="O1718" s="1">
        <v>0</v>
      </c>
      <c r="P1718" s="1" t="s">
        <v>507</v>
      </c>
      <c r="Q1718" s="1" t="s">
        <v>167</v>
      </c>
      <c r="R1718" s="1" t="s">
        <v>12865</v>
      </c>
      <c r="S1718" s="1" t="s">
        <v>12866</v>
      </c>
      <c r="T1718" s="1" t="s">
        <v>12653</v>
      </c>
      <c r="U1718" s="1" t="s">
        <v>12867</v>
      </c>
      <c r="V1718" s="1">
        <v>1</v>
      </c>
      <c r="W1718" s="1">
        <v>1</v>
      </c>
      <c r="X1718" s="1">
        <v>0</v>
      </c>
      <c r="Y1718" s="1">
        <v>0</v>
      </c>
      <c r="Z1718" s="1">
        <v>0</v>
      </c>
      <c r="AA1718" s="1">
        <v>1</v>
      </c>
      <c r="AB1718" s="1">
        <v>1</v>
      </c>
      <c r="AC1718" s="1" t="s">
        <v>109</v>
      </c>
      <c r="AD1718" s="1" t="s">
        <v>109</v>
      </c>
      <c r="AE1718" s="1">
        <v>1</v>
      </c>
      <c r="AF1718" s="1" t="s">
        <v>109</v>
      </c>
      <c r="AG1718" s="1" t="s">
        <v>109</v>
      </c>
      <c r="AH1718" s="1" t="s">
        <v>109</v>
      </c>
      <c r="AI1718" s="1" t="s">
        <v>109</v>
      </c>
      <c r="AJ1718" s="1" t="s">
        <v>109</v>
      </c>
      <c r="AK1718" s="1" t="s">
        <v>109</v>
      </c>
      <c r="AL1718" s="1" t="s">
        <v>109</v>
      </c>
      <c r="AM1718" s="1">
        <v>2</v>
      </c>
      <c r="AN1718" s="1" t="s">
        <v>109</v>
      </c>
      <c r="AO1718" s="1" t="s">
        <v>109</v>
      </c>
      <c r="AP1718" s="1" t="s">
        <v>12780</v>
      </c>
      <c r="AQ1718" s="1">
        <v>1</v>
      </c>
      <c r="AR1718" s="1"/>
      <c r="AS1718" s="1"/>
      <c r="AT1718" s="1">
        <v>0</v>
      </c>
      <c r="AU1718" s="1">
        <v>0</v>
      </c>
      <c r="AV1718" s="1">
        <v>0</v>
      </c>
      <c r="AW1718" s="1">
        <v>0</v>
      </c>
      <c r="AX1718" s="1">
        <v>0</v>
      </c>
      <c r="AY1718" s="1">
        <v>0</v>
      </c>
      <c r="AZ1718" s="1">
        <v>0</v>
      </c>
      <c r="BA1718" s="1">
        <v>0</v>
      </c>
      <c r="BB1718" s="1">
        <v>0</v>
      </c>
      <c r="BC1718" s="1">
        <v>0</v>
      </c>
      <c r="BD1718" s="1">
        <v>0</v>
      </c>
      <c r="BE1718" s="1">
        <v>0</v>
      </c>
      <c r="BF1718" s="1">
        <v>0</v>
      </c>
      <c r="BG1718" s="1">
        <v>0</v>
      </c>
      <c r="BH1718" s="1">
        <v>0</v>
      </c>
      <c r="BI1718" s="1">
        <v>0</v>
      </c>
      <c r="BJ1718" s="1">
        <v>0</v>
      </c>
      <c r="BK1718" s="1">
        <v>0</v>
      </c>
      <c r="BL1718" s="1">
        <v>0</v>
      </c>
      <c r="BM1718" s="1">
        <v>0</v>
      </c>
      <c r="BN1718" s="1">
        <v>0</v>
      </c>
      <c r="BO1718" s="1">
        <v>0</v>
      </c>
      <c r="BP1718" s="1">
        <v>0</v>
      </c>
      <c r="BQ1718" s="1">
        <v>0</v>
      </c>
      <c r="BR1718" s="1">
        <v>0</v>
      </c>
      <c r="BS1718" s="1" t="s">
        <v>109</v>
      </c>
      <c r="BT1718" s="1">
        <v>1787</v>
      </c>
      <c r="BU1718" s="1" t="s">
        <v>109</v>
      </c>
      <c r="BV1718" s="1"/>
      <c r="BW1718" s="1"/>
      <c r="BX1718" s="1"/>
      <c r="BY1718" s="1"/>
      <c r="BZ1718" s="1">
        <v>0</v>
      </c>
      <c r="CA1718" s="1" t="s">
        <v>109</v>
      </c>
      <c r="CB1718" s="1" t="s">
        <v>109</v>
      </c>
      <c r="CC1718" s="1" t="s">
        <v>109</v>
      </c>
      <c r="CD1718" s="1" t="s">
        <v>109</v>
      </c>
      <c r="CE1718" s="1" t="s">
        <v>109</v>
      </c>
      <c r="CF1718" s="1" t="s">
        <v>109</v>
      </c>
      <c r="CG1718" s="1" t="s">
        <v>109</v>
      </c>
      <c r="CH1718" s="1" t="s">
        <v>109</v>
      </c>
      <c r="CI1718" s="1" t="s">
        <v>109</v>
      </c>
      <c r="CJ1718" s="1">
        <v>1</v>
      </c>
      <c r="CK1718" s="1"/>
      <c r="CL1718" s="1">
        <v>0</v>
      </c>
      <c r="CM1718" s="1">
        <v>0</v>
      </c>
      <c r="CN1718" s="1">
        <v>0</v>
      </c>
    </row>
    <row r="1719" spans="1:92" ht="14.25" customHeight="1" x14ac:dyDescent="0.15">
      <c r="A1719" s="1" t="s">
        <v>12868</v>
      </c>
      <c r="B1719" s="1" t="s">
        <v>95</v>
      </c>
      <c r="C1719" s="1" t="s">
        <v>1522</v>
      </c>
      <c r="D1719" s="1"/>
      <c r="E1719" s="1" t="s">
        <v>10942</v>
      </c>
      <c r="F1719" s="1" t="s">
        <v>355</v>
      </c>
      <c r="G1719" s="1" t="s">
        <v>12869</v>
      </c>
      <c r="H1719" s="1">
        <v>0</v>
      </c>
      <c r="I1719" s="1" t="s">
        <v>142</v>
      </c>
      <c r="J1719" s="1"/>
      <c r="K1719" s="1"/>
      <c r="L1719" s="1" t="s">
        <v>1391</v>
      </c>
      <c r="M1719" s="1" t="s">
        <v>6546</v>
      </c>
      <c r="N1719" s="1">
        <v>0</v>
      </c>
      <c r="O1719" s="1">
        <v>0</v>
      </c>
      <c r="P1719" s="1" t="s">
        <v>564</v>
      </c>
      <c r="Q1719" s="1" t="s">
        <v>268</v>
      </c>
      <c r="R1719" s="1" t="s">
        <v>12870</v>
      </c>
      <c r="S1719" s="1" t="s">
        <v>12871</v>
      </c>
      <c r="T1719" s="1" t="s">
        <v>12653</v>
      </c>
      <c r="U1719" s="1" t="s">
        <v>12872</v>
      </c>
      <c r="V1719" s="1">
        <v>1</v>
      </c>
      <c r="W1719" s="1">
        <v>1</v>
      </c>
      <c r="X1719" s="1">
        <v>1</v>
      </c>
      <c r="Y1719" s="1">
        <v>0</v>
      </c>
      <c r="Z1719" s="1">
        <v>0</v>
      </c>
      <c r="AA1719" s="1">
        <v>7</v>
      </c>
      <c r="AB1719" s="1">
        <v>7</v>
      </c>
      <c r="AC1719" s="1">
        <v>7</v>
      </c>
      <c r="AD1719" s="1" t="s">
        <v>109</v>
      </c>
      <c r="AE1719" s="1" t="s">
        <v>109</v>
      </c>
      <c r="AF1719" s="1" t="s">
        <v>109</v>
      </c>
      <c r="AG1719" s="1" t="s">
        <v>109</v>
      </c>
      <c r="AH1719" s="1" t="s">
        <v>109</v>
      </c>
      <c r="AI1719" s="1" t="s">
        <v>109</v>
      </c>
      <c r="AJ1719" s="1">
        <v>7</v>
      </c>
      <c r="AK1719" s="1" t="s">
        <v>109</v>
      </c>
      <c r="AL1719" s="1">
        <v>7</v>
      </c>
      <c r="AM1719" s="1" t="s">
        <v>109</v>
      </c>
      <c r="AN1719" s="1" t="s">
        <v>109</v>
      </c>
      <c r="AO1719" s="1" t="s">
        <v>109</v>
      </c>
      <c r="AP1719" s="1" t="s">
        <v>12873</v>
      </c>
      <c r="AQ1719" s="1">
        <v>7</v>
      </c>
      <c r="AR1719" s="1"/>
      <c r="AS1719" s="1"/>
      <c r="AT1719" s="1">
        <v>0</v>
      </c>
      <c r="AU1719" s="1">
        <v>0</v>
      </c>
      <c r="AV1719" s="1">
        <v>0</v>
      </c>
      <c r="AW1719" s="1">
        <v>0</v>
      </c>
      <c r="AX1719" s="1">
        <v>0</v>
      </c>
      <c r="AY1719" s="1">
        <v>0</v>
      </c>
      <c r="AZ1719" s="1">
        <v>0</v>
      </c>
      <c r="BA1719" s="1">
        <v>0</v>
      </c>
      <c r="BB1719" s="1">
        <v>0</v>
      </c>
      <c r="BC1719" s="1">
        <v>0</v>
      </c>
      <c r="BD1719" s="1">
        <v>0</v>
      </c>
      <c r="BE1719" s="1">
        <v>0</v>
      </c>
      <c r="BF1719" s="1">
        <v>0</v>
      </c>
      <c r="BG1719" s="1">
        <v>0</v>
      </c>
      <c r="BH1719" s="1">
        <v>0</v>
      </c>
      <c r="BI1719" s="1">
        <v>0</v>
      </c>
      <c r="BJ1719" s="1">
        <v>0</v>
      </c>
      <c r="BK1719" s="1">
        <v>0</v>
      </c>
      <c r="BL1719" s="1">
        <v>0</v>
      </c>
      <c r="BM1719" s="1">
        <v>0</v>
      </c>
      <c r="BN1719" s="1">
        <v>0</v>
      </c>
      <c r="BO1719" s="1">
        <v>0</v>
      </c>
      <c r="BP1719" s="1">
        <v>0</v>
      </c>
      <c r="BQ1719" s="1">
        <v>0</v>
      </c>
      <c r="BR1719" s="1">
        <v>0</v>
      </c>
      <c r="BS1719" s="1" t="s">
        <v>109</v>
      </c>
      <c r="BT1719" s="1">
        <v>1788</v>
      </c>
      <c r="BU1719" s="1" t="s">
        <v>109</v>
      </c>
      <c r="BV1719" s="1"/>
      <c r="BW1719" s="1"/>
      <c r="BX1719" s="1"/>
      <c r="BY1719" s="1"/>
      <c r="BZ1719" s="1">
        <v>0</v>
      </c>
      <c r="CA1719" s="1" t="s">
        <v>109</v>
      </c>
      <c r="CB1719" s="1" t="s">
        <v>109</v>
      </c>
      <c r="CC1719" s="1" t="s">
        <v>109</v>
      </c>
      <c r="CD1719" s="1" t="s">
        <v>109</v>
      </c>
      <c r="CE1719" s="1" t="s">
        <v>109</v>
      </c>
      <c r="CF1719" s="1" t="s">
        <v>109</v>
      </c>
      <c r="CG1719" s="1" t="s">
        <v>109</v>
      </c>
      <c r="CH1719" s="1" t="s">
        <v>109</v>
      </c>
      <c r="CI1719" s="1" t="s">
        <v>109</v>
      </c>
      <c r="CJ1719" s="1" t="s">
        <v>109</v>
      </c>
      <c r="CK1719" s="1"/>
      <c r="CL1719" s="1">
        <v>0</v>
      </c>
      <c r="CM1719" s="1">
        <v>0</v>
      </c>
      <c r="CN1719" s="1">
        <v>0</v>
      </c>
    </row>
    <row r="1720" spans="1:92" ht="14.25" customHeight="1" x14ac:dyDescent="0.15">
      <c r="A1720" s="1" t="s">
        <v>12874</v>
      </c>
      <c r="B1720" s="1" t="s">
        <v>189</v>
      </c>
      <c r="C1720" s="1" t="s">
        <v>231</v>
      </c>
      <c r="D1720" s="1"/>
      <c r="E1720" s="1" t="s">
        <v>12875</v>
      </c>
      <c r="F1720" s="1" t="s">
        <v>277</v>
      </c>
      <c r="G1720" s="1" t="s">
        <v>141</v>
      </c>
      <c r="H1720" s="1">
        <v>0</v>
      </c>
      <c r="I1720" s="1" t="s">
        <v>161</v>
      </c>
      <c r="J1720" s="1"/>
      <c r="K1720" s="1"/>
      <c r="L1720" s="1" t="s">
        <v>506</v>
      </c>
      <c r="M1720" s="1" t="s">
        <v>289</v>
      </c>
      <c r="N1720" s="1">
        <v>0</v>
      </c>
      <c r="O1720" s="1">
        <v>0</v>
      </c>
      <c r="P1720" s="1" t="s">
        <v>301</v>
      </c>
      <c r="Q1720" s="1" t="s">
        <v>268</v>
      </c>
      <c r="R1720" s="1" t="s">
        <v>12876</v>
      </c>
      <c r="S1720" s="1" t="s">
        <v>12877</v>
      </c>
      <c r="T1720" s="1" t="s">
        <v>12653</v>
      </c>
      <c r="U1720" s="1" t="s">
        <v>12878</v>
      </c>
      <c r="V1720" s="1">
        <v>1</v>
      </c>
      <c r="W1720" s="1">
        <v>1</v>
      </c>
      <c r="X1720" s="1">
        <v>0</v>
      </c>
      <c r="Y1720" s="1">
        <v>0</v>
      </c>
      <c r="Z1720" s="1">
        <v>0</v>
      </c>
      <c r="AA1720" s="1">
        <v>3</v>
      </c>
      <c r="AB1720" s="1">
        <v>3</v>
      </c>
      <c r="AC1720" s="1">
        <v>3</v>
      </c>
      <c r="AD1720" s="1" t="s">
        <v>109</v>
      </c>
      <c r="AE1720" s="1" t="s">
        <v>109</v>
      </c>
      <c r="AF1720" s="1" t="s">
        <v>109</v>
      </c>
      <c r="AG1720" s="1" t="s">
        <v>109</v>
      </c>
      <c r="AH1720" s="1" t="s">
        <v>109</v>
      </c>
      <c r="AI1720" s="1" t="s">
        <v>109</v>
      </c>
      <c r="AJ1720" s="1">
        <v>4</v>
      </c>
      <c r="AK1720" s="1" t="s">
        <v>109</v>
      </c>
      <c r="AL1720" s="1">
        <v>3</v>
      </c>
      <c r="AM1720" s="1" t="s">
        <v>109</v>
      </c>
      <c r="AN1720" s="1" t="s">
        <v>109</v>
      </c>
      <c r="AO1720" s="1" t="s">
        <v>109</v>
      </c>
      <c r="AP1720" s="1" t="s">
        <v>12879</v>
      </c>
      <c r="AQ1720" s="1">
        <v>3</v>
      </c>
      <c r="AR1720" s="1"/>
      <c r="AS1720" s="1"/>
      <c r="AT1720" s="1">
        <v>0</v>
      </c>
      <c r="AU1720" s="1">
        <v>0</v>
      </c>
      <c r="AV1720" s="1">
        <v>0</v>
      </c>
      <c r="AW1720" s="1">
        <v>0</v>
      </c>
      <c r="AX1720" s="1">
        <v>0</v>
      </c>
      <c r="AY1720" s="1">
        <v>0</v>
      </c>
      <c r="AZ1720" s="1">
        <v>0</v>
      </c>
      <c r="BA1720" s="1">
        <v>0</v>
      </c>
      <c r="BB1720" s="1">
        <v>0</v>
      </c>
      <c r="BC1720" s="1">
        <v>0</v>
      </c>
      <c r="BD1720" s="1">
        <v>0</v>
      </c>
      <c r="BE1720" s="1">
        <v>0</v>
      </c>
      <c r="BF1720" s="1">
        <v>0</v>
      </c>
      <c r="BG1720" s="1">
        <v>0</v>
      </c>
      <c r="BH1720" s="1">
        <v>0</v>
      </c>
      <c r="BI1720" s="1">
        <v>0</v>
      </c>
      <c r="BJ1720" s="1">
        <v>0</v>
      </c>
      <c r="BK1720" s="1">
        <v>0</v>
      </c>
      <c r="BL1720" s="1">
        <v>0</v>
      </c>
      <c r="BM1720" s="1">
        <v>0</v>
      </c>
      <c r="BN1720" s="1">
        <v>0</v>
      </c>
      <c r="BO1720" s="1">
        <v>0</v>
      </c>
      <c r="BP1720" s="1">
        <v>0</v>
      </c>
      <c r="BQ1720" s="1">
        <v>0</v>
      </c>
      <c r="BR1720" s="1">
        <v>0</v>
      </c>
      <c r="BS1720" s="1" t="s">
        <v>109</v>
      </c>
      <c r="BT1720" s="1">
        <v>1789</v>
      </c>
      <c r="BU1720" s="1" t="s">
        <v>109</v>
      </c>
      <c r="BV1720" s="1"/>
      <c r="BW1720" s="1"/>
      <c r="BX1720" s="1"/>
      <c r="BY1720" s="1"/>
      <c r="BZ1720" s="1">
        <v>0</v>
      </c>
      <c r="CA1720" s="1" t="s">
        <v>109</v>
      </c>
      <c r="CB1720" s="1" t="s">
        <v>109</v>
      </c>
      <c r="CC1720" s="1" t="s">
        <v>109</v>
      </c>
      <c r="CD1720" s="1" t="s">
        <v>109</v>
      </c>
      <c r="CE1720" s="1" t="s">
        <v>109</v>
      </c>
      <c r="CF1720" s="1" t="s">
        <v>109</v>
      </c>
      <c r="CG1720" s="1" t="s">
        <v>109</v>
      </c>
      <c r="CH1720" s="1" t="s">
        <v>109</v>
      </c>
      <c r="CI1720" s="1" t="s">
        <v>109</v>
      </c>
      <c r="CJ1720" s="1" t="s">
        <v>109</v>
      </c>
      <c r="CK1720" s="1"/>
      <c r="CL1720" s="1">
        <v>0</v>
      </c>
      <c r="CM1720" s="1">
        <v>0</v>
      </c>
      <c r="CN1720" s="1">
        <v>0</v>
      </c>
    </row>
    <row r="1721" spans="1:92" ht="14.25" customHeight="1" x14ac:dyDescent="0.15">
      <c r="A1721" s="1" t="s">
        <v>12880</v>
      </c>
      <c r="B1721" s="1" t="s">
        <v>584</v>
      </c>
      <c r="C1721" s="1"/>
      <c r="D1721" s="1"/>
      <c r="E1721" s="1" t="s">
        <v>12881</v>
      </c>
      <c r="F1721" s="1" t="s">
        <v>98</v>
      </c>
      <c r="G1721" s="1" t="s">
        <v>141</v>
      </c>
      <c r="H1721" s="1">
        <v>0</v>
      </c>
      <c r="I1721" s="1" t="s">
        <v>142</v>
      </c>
      <c r="J1721" s="1"/>
      <c r="K1721" s="1" t="s">
        <v>12882</v>
      </c>
      <c r="L1721" s="1"/>
      <c r="M1721" s="1" t="s">
        <v>6144</v>
      </c>
      <c r="N1721" s="1">
        <v>1</v>
      </c>
      <c r="O1721" s="1">
        <v>0</v>
      </c>
      <c r="P1721" s="1" t="s">
        <v>727</v>
      </c>
      <c r="Q1721" s="1" t="s">
        <v>268</v>
      </c>
      <c r="R1721" s="1" t="s">
        <v>12883</v>
      </c>
      <c r="S1721" s="1" t="s">
        <v>12884</v>
      </c>
      <c r="T1721" s="1" t="s">
        <v>12653</v>
      </c>
      <c r="U1721" s="1" t="s">
        <v>12885</v>
      </c>
      <c r="V1721" s="1">
        <v>1</v>
      </c>
      <c r="W1721" s="1">
        <v>1</v>
      </c>
      <c r="X1721" s="1">
        <v>0</v>
      </c>
      <c r="Y1721" s="1">
        <v>0</v>
      </c>
      <c r="Z1721" s="1">
        <v>0</v>
      </c>
      <c r="AA1721" s="1">
        <v>3</v>
      </c>
      <c r="AB1721" s="1">
        <v>3</v>
      </c>
      <c r="AC1721" s="1" t="s">
        <v>109</v>
      </c>
      <c r="AD1721" s="1" t="s">
        <v>109</v>
      </c>
      <c r="AE1721" s="1">
        <v>4</v>
      </c>
      <c r="AF1721" s="1" t="s">
        <v>109</v>
      </c>
      <c r="AG1721" s="1" t="s">
        <v>109</v>
      </c>
      <c r="AH1721" s="1" t="s">
        <v>109</v>
      </c>
      <c r="AI1721" s="1">
        <v>3</v>
      </c>
      <c r="AJ1721" s="1" t="s">
        <v>109</v>
      </c>
      <c r="AK1721" s="1">
        <v>3</v>
      </c>
      <c r="AL1721" s="1" t="s">
        <v>109</v>
      </c>
      <c r="AM1721" s="1">
        <v>4</v>
      </c>
      <c r="AN1721" s="1" t="s">
        <v>109</v>
      </c>
      <c r="AO1721" s="1" t="s">
        <v>109</v>
      </c>
      <c r="AP1721" s="1" t="s">
        <v>12780</v>
      </c>
      <c r="AQ1721" s="1">
        <v>3</v>
      </c>
      <c r="AR1721" s="1"/>
      <c r="AS1721" s="1"/>
      <c r="AT1721" s="1">
        <v>0</v>
      </c>
      <c r="AU1721" s="1">
        <v>0</v>
      </c>
      <c r="AV1721" s="1">
        <v>0</v>
      </c>
      <c r="AW1721" s="1">
        <v>0</v>
      </c>
      <c r="AX1721" s="1">
        <v>0</v>
      </c>
      <c r="AY1721" s="1">
        <v>0</v>
      </c>
      <c r="AZ1721" s="1">
        <v>0</v>
      </c>
      <c r="BA1721" s="1">
        <v>0</v>
      </c>
      <c r="BB1721" s="1">
        <v>0</v>
      </c>
      <c r="BC1721" s="1">
        <v>0</v>
      </c>
      <c r="BD1721" s="1">
        <v>0</v>
      </c>
      <c r="BE1721" s="1">
        <v>0</v>
      </c>
      <c r="BF1721" s="1">
        <v>0</v>
      </c>
      <c r="BG1721" s="1">
        <v>0</v>
      </c>
      <c r="BH1721" s="1">
        <v>0</v>
      </c>
      <c r="BI1721" s="1">
        <v>0</v>
      </c>
      <c r="BJ1721" s="1">
        <v>0</v>
      </c>
      <c r="BK1721" s="1">
        <v>0</v>
      </c>
      <c r="BL1721" s="1">
        <v>0</v>
      </c>
      <c r="BM1721" s="1">
        <v>0</v>
      </c>
      <c r="BN1721" s="1">
        <v>0</v>
      </c>
      <c r="BO1721" s="1">
        <v>0</v>
      </c>
      <c r="BP1721" s="1">
        <v>0</v>
      </c>
      <c r="BQ1721" s="1">
        <v>0</v>
      </c>
      <c r="BR1721" s="1">
        <v>0</v>
      </c>
      <c r="BS1721" s="1" t="s">
        <v>109</v>
      </c>
      <c r="BT1721" s="1">
        <v>1790</v>
      </c>
      <c r="BU1721" s="1" t="s">
        <v>109</v>
      </c>
      <c r="BV1721" s="1"/>
      <c r="BW1721" s="1"/>
      <c r="BX1721" s="1"/>
      <c r="BY1721" s="1"/>
      <c r="BZ1721" s="1">
        <v>0</v>
      </c>
      <c r="CA1721" s="1" t="s">
        <v>109</v>
      </c>
      <c r="CB1721" s="1" t="s">
        <v>109</v>
      </c>
      <c r="CC1721" s="1" t="s">
        <v>109</v>
      </c>
      <c r="CD1721" s="1" t="s">
        <v>109</v>
      </c>
      <c r="CE1721" s="1" t="s">
        <v>109</v>
      </c>
      <c r="CF1721" s="1" t="s">
        <v>109</v>
      </c>
      <c r="CG1721" s="1" t="s">
        <v>109</v>
      </c>
      <c r="CH1721" s="1" t="s">
        <v>109</v>
      </c>
      <c r="CI1721" s="1" t="s">
        <v>109</v>
      </c>
      <c r="CJ1721" s="1">
        <v>4</v>
      </c>
      <c r="CK1721" s="1"/>
      <c r="CL1721" s="1">
        <v>0</v>
      </c>
      <c r="CM1721" s="1">
        <v>0</v>
      </c>
      <c r="CN1721" s="1">
        <v>0</v>
      </c>
    </row>
    <row r="1722" spans="1:92" ht="14.25" customHeight="1" x14ac:dyDescent="0.15">
      <c r="A1722" s="1" t="s">
        <v>12886</v>
      </c>
      <c r="B1722" s="1" t="s">
        <v>95</v>
      </c>
      <c r="C1722" s="1" t="s">
        <v>694</v>
      </c>
      <c r="D1722" s="1" t="s">
        <v>158</v>
      </c>
      <c r="E1722" s="1" t="s">
        <v>12887</v>
      </c>
      <c r="F1722" s="1" t="s">
        <v>98</v>
      </c>
      <c r="G1722" s="1" t="s">
        <v>160</v>
      </c>
      <c r="H1722" s="1">
        <v>0</v>
      </c>
      <c r="I1722" s="1" t="s">
        <v>161</v>
      </c>
      <c r="J1722" s="1"/>
      <c r="K1722" s="1"/>
      <c r="L1722" s="1" t="s">
        <v>506</v>
      </c>
      <c r="M1722" s="1" t="s">
        <v>7934</v>
      </c>
      <c r="N1722" s="1">
        <v>0</v>
      </c>
      <c r="O1722" s="1">
        <v>0</v>
      </c>
      <c r="P1722" s="1" t="s">
        <v>1382</v>
      </c>
      <c r="Q1722" s="1" t="s">
        <v>167</v>
      </c>
      <c r="R1722" s="1" t="s">
        <v>12888</v>
      </c>
      <c r="S1722" s="1" t="s">
        <v>12889</v>
      </c>
      <c r="T1722" s="1" t="s">
        <v>12653</v>
      </c>
      <c r="U1722" s="1" t="s">
        <v>12890</v>
      </c>
      <c r="V1722" s="1">
        <v>1</v>
      </c>
      <c r="W1722" s="1">
        <v>1</v>
      </c>
      <c r="X1722" s="1">
        <v>0</v>
      </c>
      <c r="Y1722" s="1">
        <v>0</v>
      </c>
      <c r="Z1722" s="1">
        <v>1</v>
      </c>
      <c r="AA1722" s="1" t="s">
        <v>109</v>
      </c>
      <c r="AB1722" s="1" t="s">
        <v>109</v>
      </c>
      <c r="AC1722" s="1">
        <v>1</v>
      </c>
      <c r="AD1722" s="1" t="s">
        <v>109</v>
      </c>
      <c r="AE1722" s="1" t="s">
        <v>109</v>
      </c>
      <c r="AF1722" s="1">
        <v>1</v>
      </c>
      <c r="AG1722" s="1" t="s">
        <v>109</v>
      </c>
      <c r="AH1722" s="1" t="s">
        <v>109</v>
      </c>
      <c r="AI1722" s="1" t="s">
        <v>109</v>
      </c>
      <c r="AJ1722" s="1">
        <v>1</v>
      </c>
      <c r="AK1722" s="1">
        <v>1</v>
      </c>
      <c r="AL1722" s="1">
        <v>1</v>
      </c>
      <c r="AM1722" s="1" t="s">
        <v>109</v>
      </c>
      <c r="AN1722" s="1" t="s">
        <v>109</v>
      </c>
      <c r="AO1722" s="1" t="s">
        <v>109</v>
      </c>
      <c r="AP1722" s="1" t="s">
        <v>12756</v>
      </c>
      <c r="AQ1722" s="1">
        <v>1</v>
      </c>
      <c r="AR1722" s="1"/>
      <c r="AS1722" s="1"/>
      <c r="AT1722" s="1">
        <v>0</v>
      </c>
      <c r="AU1722" s="1">
        <v>0</v>
      </c>
      <c r="AV1722" s="1">
        <v>0</v>
      </c>
      <c r="AW1722" s="1">
        <v>0</v>
      </c>
      <c r="AX1722" s="1">
        <v>0</v>
      </c>
      <c r="AY1722" s="1">
        <v>0</v>
      </c>
      <c r="AZ1722" s="1">
        <v>0</v>
      </c>
      <c r="BA1722" s="1">
        <v>0</v>
      </c>
      <c r="BB1722" s="1">
        <v>0</v>
      </c>
      <c r="BC1722" s="1">
        <v>0</v>
      </c>
      <c r="BD1722" s="1">
        <v>0</v>
      </c>
      <c r="BE1722" s="1">
        <v>0</v>
      </c>
      <c r="BF1722" s="1">
        <v>0</v>
      </c>
      <c r="BG1722" s="1">
        <v>0</v>
      </c>
      <c r="BH1722" s="1">
        <v>0</v>
      </c>
      <c r="BI1722" s="1">
        <v>0</v>
      </c>
      <c r="BJ1722" s="1">
        <v>0</v>
      </c>
      <c r="BK1722" s="1">
        <v>0</v>
      </c>
      <c r="BL1722" s="1">
        <v>0</v>
      </c>
      <c r="BM1722" s="1">
        <v>1</v>
      </c>
      <c r="BN1722" s="1">
        <v>0</v>
      </c>
      <c r="BO1722" s="1">
        <v>0</v>
      </c>
      <c r="BP1722" s="1">
        <v>0</v>
      </c>
      <c r="BQ1722" s="1">
        <v>0</v>
      </c>
      <c r="BR1722" s="1">
        <v>0</v>
      </c>
      <c r="BS1722" s="1" t="s">
        <v>109</v>
      </c>
      <c r="BT1722" s="1">
        <v>1791</v>
      </c>
      <c r="BU1722" s="1" t="s">
        <v>109</v>
      </c>
      <c r="BV1722" s="1"/>
      <c r="BW1722" s="1"/>
      <c r="BX1722" s="1"/>
      <c r="BY1722" s="1"/>
      <c r="BZ1722" s="1">
        <v>0</v>
      </c>
      <c r="CA1722" s="1" t="s">
        <v>109</v>
      </c>
      <c r="CB1722" s="1" t="s">
        <v>109</v>
      </c>
      <c r="CC1722" s="1" t="s">
        <v>109</v>
      </c>
      <c r="CD1722" s="1" t="s">
        <v>109</v>
      </c>
      <c r="CE1722" s="1" t="s">
        <v>109</v>
      </c>
      <c r="CF1722" s="1" t="s">
        <v>109</v>
      </c>
      <c r="CG1722" s="1" t="s">
        <v>109</v>
      </c>
      <c r="CH1722" s="1" t="s">
        <v>109</v>
      </c>
      <c r="CI1722" s="1" t="s">
        <v>109</v>
      </c>
      <c r="CJ1722" s="1" t="s">
        <v>109</v>
      </c>
      <c r="CK1722" s="1"/>
      <c r="CL1722" s="1">
        <v>0</v>
      </c>
      <c r="CM1722" s="1">
        <v>0</v>
      </c>
      <c r="CN1722" s="1">
        <v>0</v>
      </c>
    </row>
    <row r="1723" spans="1:92" ht="14.25" customHeight="1" x14ac:dyDescent="0.15">
      <c r="A1723" s="1" t="s">
        <v>12891</v>
      </c>
      <c r="B1723" s="1" t="s">
        <v>308</v>
      </c>
      <c r="C1723" s="1"/>
      <c r="D1723" s="1" t="s">
        <v>8102</v>
      </c>
      <c r="E1723" s="1" t="s">
        <v>12892</v>
      </c>
      <c r="F1723" s="1" t="s">
        <v>98</v>
      </c>
      <c r="G1723" s="1" t="s">
        <v>141</v>
      </c>
      <c r="H1723" s="1">
        <v>0</v>
      </c>
      <c r="I1723" s="1" t="s">
        <v>161</v>
      </c>
      <c r="J1723" s="1"/>
      <c r="K1723" s="1"/>
      <c r="L1723" s="1" t="s">
        <v>563</v>
      </c>
      <c r="M1723" s="1" t="s">
        <v>9367</v>
      </c>
      <c r="N1723" s="1">
        <v>0</v>
      </c>
      <c r="O1723" s="1">
        <v>0</v>
      </c>
      <c r="P1723" s="1" t="s">
        <v>3667</v>
      </c>
      <c r="Q1723" s="1" t="s">
        <v>268</v>
      </c>
      <c r="R1723" s="1" t="s">
        <v>12893</v>
      </c>
      <c r="S1723" s="1" t="s">
        <v>12894</v>
      </c>
      <c r="T1723" s="1" t="s">
        <v>12653</v>
      </c>
      <c r="U1723" s="1" t="s">
        <v>12895</v>
      </c>
      <c r="V1723" s="1">
        <v>1</v>
      </c>
      <c r="W1723" s="1">
        <v>1</v>
      </c>
      <c r="X1723" s="1">
        <v>0</v>
      </c>
      <c r="Y1723" s="1">
        <v>0</v>
      </c>
      <c r="Z1723" s="1">
        <v>0</v>
      </c>
      <c r="AA1723" s="1">
        <v>7</v>
      </c>
      <c r="AB1723" s="1">
        <v>7</v>
      </c>
      <c r="AC1723" s="1">
        <v>6</v>
      </c>
      <c r="AD1723" s="1">
        <v>6</v>
      </c>
      <c r="AE1723" s="1" t="s">
        <v>109</v>
      </c>
      <c r="AF1723" s="1" t="s">
        <v>109</v>
      </c>
      <c r="AG1723" s="1" t="s">
        <v>109</v>
      </c>
      <c r="AH1723" s="1">
        <v>6</v>
      </c>
      <c r="AI1723" s="1" t="s">
        <v>109</v>
      </c>
      <c r="AJ1723" s="1">
        <v>6</v>
      </c>
      <c r="AK1723" s="1">
        <v>6</v>
      </c>
      <c r="AL1723" s="1">
        <v>6</v>
      </c>
      <c r="AM1723" s="1">
        <v>6</v>
      </c>
      <c r="AN1723" s="1" t="s">
        <v>109</v>
      </c>
      <c r="AO1723" s="1" t="s">
        <v>109</v>
      </c>
      <c r="AP1723" s="1" t="s">
        <v>10888</v>
      </c>
      <c r="AQ1723" s="1">
        <v>7</v>
      </c>
      <c r="AR1723" s="1"/>
      <c r="AS1723" s="1"/>
      <c r="AT1723" s="1">
        <v>0</v>
      </c>
      <c r="AU1723" s="1">
        <v>0</v>
      </c>
      <c r="AV1723" s="1">
        <v>0</v>
      </c>
      <c r="AW1723" s="1">
        <v>0</v>
      </c>
      <c r="AX1723" s="1">
        <v>0</v>
      </c>
      <c r="AY1723" s="1">
        <v>0</v>
      </c>
      <c r="AZ1723" s="1">
        <v>0</v>
      </c>
      <c r="BA1723" s="1">
        <v>1</v>
      </c>
      <c r="BB1723" s="1">
        <v>0</v>
      </c>
      <c r="BC1723" s="1">
        <v>0</v>
      </c>
      <c r="BD1723" s="1">
        <v>0</v>
      </c>
      <c r="BE1723" s="1">
        <v>1</v>
      </c>
      <c r="BF1723" s="1">
        <v>0</v>
      </c>
      <c r="BG1723" s="1">
        <v>0</v>
      </c>
      <c r="BH1723" s="1">
        <v>0</v>
      </c>
      <c r="BI1723" s="1">
        <v>0</v>
      </c>
      <c r="BJ1723" s="1">
        <v>0</v>
      </c>
      <c r="BK1723" s="1">
        <v>0</v>
      </c>
      <c r="BL1723" s="1">
        <v>0</v>
      </c>
      <c r="BM1723" s="1">
        <v>0</v>
      </c>
      <c r="BN1723" s="1">
        <v>0</v>
      </c>
      <c r="BO1723" s="1">
        <v>0</v>
      </c>
      <c r="BP1723" s="1">
        <v>0</v>
      </c>
      <c r="BQ1723" s="1">
        <v>0</v>
      </c>
      <c r="BR1723" s="1">
        <v>0</v>
      </c>
      <c r="BS1723" s="1" t="s">
        <v>109</v>
      </c>
      <c r="BT1723" s="1">
        <v>1792</v>
      </c>
      <c r="BU1723" s="1" t="s">
        <v>109</v>
      </c>
      <c r="BV1723" s="1"/>
      <c r="BW1723" s="1"/>
      <c r="BX1723" s="1"/>
      <c r="BY1723" s="1"/>
      <c r="BZ1723" s="1">
        <v>0</v>
      </c>
      <c r="CA1723" s="1" t="s">
        <v>109</v>
      </c>
      <c r="CB1723" s="1" t="s">
        <v>109</v>
      </c>
      <c r="CC1723" s="1" t="s">
        <v>109</v>
      </c>
      <c r="CD1723" s="1" t="s">
        <v>109</v>
      </c>
      <c r="CE1723" s="1" t="s">
        <v>109</v>
      </c>
      <c r="CF1723" s="1" t="s">
        <v>109</v>
      </c>
      <c r="CG1723" s="1" t="s">
        <v>109</v>
      </c>
      <c r="CH1723" s="1" t="s">
        <v>109</v>
      </c>
      <c r="CI1723" s="1" t="s">
        <v>109</v>
      </c>
      <c r="CJ1723" s="1">
        <v>6</v>
      </c>
      <c r="CK1723" s="1"/>
      <c r="CL1723" s="1">
        <v>0</v>
      </c>
      <c r="CM1723" s="1">
        <v>0</v>
      </c>
      <c r="CN1723" s="1">
        <v>0</v>
      </c>
    </row>
    <row r="1724" spans="1:92" ht="14.25" customHeight="1" x14ac:dyDescent="0.15">
      <c r="A1724" s="1" t="s">
        <v>12896</v>
      </c>
      <c r="B1724" s="1" t="s">
        <v>189</v>
      </c>
      <c r="C1724" s="1"/>
      <c r="D1724" s="1" t="s">
        <v>67</v>
      </c>
      <c r="E1724" s="1" t="s">
        <v>12897</v>
      </c>
      <c r="F1724" s="1" t="s">
        <v>98</v>
      </c>
      <c r="G1724" s="1" t="s">
        <v>160</v>
      </c>
      <c r="H1724" s="1">
        <v>0</v>
      </c>
      <c r="I1724" s="1" t="s">
        <v>161</v>
      </c>
      <c r="J1724" s="1"/>
      <c r="K1724" s="1"/>
      <c r="L1724" s="1" t="s">
        <v>12898</v>
      </c>
      <c r="M1724" s="1" t="s">
        <v>3042</v>
      </c>
      <c r="N1724" s="1">
        <v>0</v>
      </c>
      <c r="O1724" s="1">
        <v>0</v>
      </c>
      <c r="P1724" s="1" t="s">
        <v>11630</v>
      </c>
      <c r="Q1724" s="1" t="s">
        <v>11631</v>
      </c>
      <c r="R1724" s="1" t="s">
        <v>12899</v>
      </c>
      <c r="S1724" s="1" t="s">
        <v>12900</v>
      </c>
      <c r="T1724" s="1" t="s">
        <v>12653</v>
      </c>
      <c r="U1724" s="1" t="s">
        <v>12901</v>
      </c>
      <c r="V1724" s="1">
        <v>1</v>
      </c>
      <c r="W1724" s="1">
        <v>1</v>
      </c>
      <c r="X1724" s="1">
        <v>0</v>
      </c>
      <c r="Y1724" s="1">
        <v>0</v>
      </c>
      <c r="Z1724" s="1">
        <v>1</v>
      </c>
      <c r="AA1724" s="1">
        <v>1</v>
      </c>
      <c r="AB1724" s="1">
        <v>1</v>
      </c>
      <c r="AC1724" s="1">
        <v>1</v>
      </c>
      <c r="AD1724" s="1" t="s">
        <v>109</v>
      </c>
      <c r="AE1724" s="1" t="s">
        <v>109</v>
      </c>
      <c r="AF1724" s="1">
        <v>1</v>
      </c>
      <c r="AG1724" s="1" t="s">
        <v>109</v>
      </c>
      <c r="AH1724" s="1" t="s">
        <v>109</v>
      </c>
      <c r="AI1724" s="1" t="s">
        <v>109</v>
      </c>
      <c r="AJ1724" s="1">
        <v>1</v>
      </c>
      <c r="AK1724" s="1">
        <v>1</v>
      </c>
      <c r="AL1724" s="1">
        <v>1</v>
      </c>
      <c r="AM1724" s="1" t="s">
        <v>109</v>
      </c>
      <c r="AN1724" s="1">
        <v>1</v>
      </c>
      <c r="AO1724" s="1" t="s">
        <v>109</v>
      </c>
      <c r="AP1724" s="1" t="s">
        <v>12780</v>
      </c>
      <c r="AQ1724" s="1">
        <v>1</v>
      </c>
      <c r="AR1724" s="1"/>
      <c r="AS1724" s="1"/>
      <c r="AT1724" s="1">
        <v>0</v>
      </c>
      <c r="AU1724" s="1">
        <v>0</v>
      </c>
      <c r="AV1724" s="1">
        <v>0</v>
      </c>
      <c r="AW1724" s="1">
        <v>0</v>
      </c>
      <c r="AX1724" s="1">
        <v>0</v>
      </c>
      <c r="AY1724" s="1">
        <v>0</v>
      </c>
      <c r="AZ1724" s="1">
        <v>0</v>
      </c>
      <c r="BA1724" s="1">
        <v>0</v>
      </c>
      <c r="BB1724" s="1">
        <v>0</v>
      </c>
      <c r="BC1724" s="1">
        <v>0</v>
      </c>
      <c r="BD1724" s="1">
        <v>0</v>
      </c>
      <c r="BE1724" s="1">
        <v>0</v>
      </c>
      <c r="BF1724" s="1">
        <v>0</v>
      </c>
      <c r="BG1724" s="1">
        <v>0</v>
      </c>
      <c r="BH1724" s="1">
        <v>0</v>
      </c>
      <c r="BI1724" s="1">
        <v>0</v>
      </c>
      <c r="BJ1724" s="1">
        <v>0</v>
      </c>
      <c r="BK1724" s="1">
        <v>0</v>
      </c>
      <c r="BL1724" s="1">
        <v>0</v>
      </c>
      <c r="BM1724" s="1">
        <v>0</v>
      </c>
      <c r="BN1724" s="1">
        <v>0</v>
      </c>
      <c r="BO1724" s="1">
        <v>1</v>
      </c>
      <c r="BP1724" s="1">
        <v>0</v>
      </c>
      <c r="BQ1724" s="1">
        <v>0</v>
      </c>
      <c r="BR1724" s="1">
        <v>0</v>
      </c>
      <c r="BS1724" s="1" t="s">
        <v>109</v>
      </c>
      <c r="BT1724" s="1">
        <v>1793</v>
      </c>
      <c r="BU1724" s="1" t="s">
        <v>109</v>
      </c>
      <c r="BV1724" s="1"/>
      <c r="BW1724" s="1"/>
      <c r="BX1724" s="1"/>
      <c r="BY1724" s="1"/>
      <c r="BZ1724" s="1">
        <v>0</v>
      </c>
      <c r="CA1724" s="1" t="s">
        <v>109</v>
      </c>
      <c r="CB1724" s="1" t="s">
        <v>109</v>
      </c>
      <c r="CC1724" s="1" t="s">
        <v>109</v>
      </c>
      <c r="CD1724" s="1" t="s">
        <v>109</v>
      </c>
      <c r="CE1724" s="1" t="s">
        <v>109</v>
      </c>
      <c r="CF1724" s="1" t="s">
        <v>109</v>
      </c>
      <c r="CG1724" s="1" t="s">
        <v>109</v>
      </c>
      <c r="CH1724" s="1" t="s">
        <v>109</v>
      </c>
      <c r="CI1724" s="1" t="s">
        <v>109</v>
      </c>
      <c r="CJ1724" s="1" t="s">
        <v>109</v>
      </c>
      <c r="CK1724" s="1"/>
      <c r="CL1724" s="1">
        <v>0</v>
      </c>
      <c r="CM1724" s="1">
        <v>0</v>
      </c>
      <c r="CN1724" s="1">
        <v>0</v>
      </c>
    </row>
    <row r="1725" spans="1:92" ht="14.25" customHeight="1" x14ac:dyDescent="0.15">
      <c r="A1725" s="1" t="s">
        <v>12902</v>
      </c>
      <c r="B1725" s="1" t="s">
        <v>254</v>
      </c>
      <c r="C1725" s="1"/>
      <c r="D1725" s="1"/>
      <c r="E1725" s="1" t="s">
        <v>12903</v>
      </c>
      <c r="F1725" s="1" t="s">
        <v>277</v>
      </c>
      <c r="G1725" s="1" t="s">
        <v>12904</v>
      </c>
      <c r="H1725" s="1">
        <v>1</v>
      </c>
      <c r="I1725" s="1" t="s">
        <v>235</v>
      </c>
      <c r="J1725" s="1"/>
      <c r="K1725" s="1"/>
      <c r="L1725" s="1" t="s">
        <v>236</v>
      </c>
      <c r="M1725" s="1" t="s">
        <v>144</v>
      </c>
      <c r="N1725" s="1">
        <v>0</v>
      </c>
      <c r="O1725" s="1">
        <v>0</v>
      </c>
      <c r="P1725" s="1"/>
      <c r="Q1725" s="1"/>
      <c r="R1725" s="1" t="s">
        <v>12905</v>
      </c>
      <c r="S1725" s="1" t="s">
        <v>12906</v>
      </c>
      <c r="T1725" s="1" t="s">
        <v>12653</v>
      </c>
      <c r="U1725" s="1" t="s">
        <v>12907</v>
      </c>
      <c r="V1725" s="1">
        <v>1</v>
      </c>
      <c r="W1725" s="1">
        <v>1</v>
      </c>
      <c r="X1725" s="1">
        <v>0</v>
      </c>
      <c r="Y1725" s="1">
        <v>0</v>
      </c>
      <c r="Z1725" s="1">
        <v>0</v>
      </c>
      <c r="AA1725" s="1" t="s">
        <v>109</v>
      </c>
      <c r="AB1725" s="1" t="s">
        <v>109</v>
      </c>
      <c r="AC1725" s="1">
        <v>1</v>
      </c>
      <c r="AD1725" s="1">
        <v>1</v>
      </c>
      <c r="AE1725" s="1">
        <v>1</v>
      </c>
      <c r="AF1725" s="1">
        <v>1</v>
      </c>
      <c r="AG1725" s="1" t="s">
        <v>109</v>
      </c>
      <c r="AH1725" s="1" t="s">
        <v>109</v>
      </c>
      <c r="AI1725" s="1" t="s">
        <v>109</v>
      </c>
      <c r="AJ1725" s="1">
        <v>1</v>
      </c>
      <c r="AK1725" s="1" t="s">
        <v>109</v>
      </c>
      <c r="AL1725" s="1">
        <v>1</v>
      </c>
      <c r="AM1725" s="1" t="s">
        <v>109</v>
      </c>
      <c r="AN1725" s="1" t="s">
        <v>109</v>
      </c>
      <c r="AO1725" s="1" t="s">
        <v>109</v>
      </c>
      <c r="AP1725" s="1" t="s">
        <v>12808</v>
      </c>
      <c r="AQ1725" s="1">
        <v>1</v>
      </c>
      <c r="AR1725" s="1"/>
      <c r="AS1725" s="1"/>
      <c r="AT1725" s="1">
        <v>0</v>
      </c>
      <c r="AU1725" s="1">
        <v>0</v>
      </c>
      <c r="AV1725" s="1">
        <v>0</v>
      </c>
      <c r="AW1725" s="1">
        <v>0</v>
      </c>
      <c r="AX1725" s="1">
        <v>0</v>
      </c>
      <c r="AY1725" s="1">
        <v>0</v>
      </c>
      <c r="AZ1725" s="1">
        <v>0</v>
      </c>
      <c r="BA1725" s="1">
        <v>0</v>
      </c>
      <c r="BB1725" s="1">
        <v>0</v>
      </c>
      <c r="BC1725" s="1">
        <v>0</v>
      </c>
      <c r="BD1725" s="1">
        <v>0</v>
      </c>
      <c r="BE1725" s="1">
        <v>0</v>
      </c>
      <c r="BF1725" s="1">
        <v>0</v>
      </c>
      <c r="BG1725" s="1">
        <v>0</v>
      </c>
      <c r="BH1725" s="1">
        <v>0</v>
      </c>
      <c r="BI1725" s="1">
        <v>0</v>
      </c>
      <c r="BJ1725" s="1">
        <v>0</v>
      </c>
      <c r="BK1725" s="1">
        <v>0</v>
      </c>
      <c r="BL1725" s="1">
        <v>0</v>
      </c>
      <c r="BM1725" s="1">
        <v>0</v>
      </c>
      <c r="BN1725" s="1">
        <v>0</v>
      </c>
      <c r="BO1725" s="1">
        <v>0</v>
      </c>
      <c r="BP1725" s="1">
        <v>0</v>
      </c>
      <c r="BQ1725" s="1">
        <v>0</v>
      </c>
      <c r="BR1725" s="1">
        <v>0</v>
      </c>
      <c r="BS1725" s="1" t="s">
        <v>109</v>
      </c>
      <c r="BT1725" s="1">
        <v>1794</v>
      </c>
      <c r="BU1725" s="1">
        <v>25</v>
      </c>
      <c r="BV1725" s="1"/>
      <c r="BW1725" s="1"/>
      <c r="BX1725" s="1"/>
      <c r="BY1725" s="1"/>
      <c r="BZ1725" s="1">
        <v>0</v>
      </c>
      <c r="CA1725" s="1" t="s">
        <v>109</v>
      </c>
      <c r="CB1725" s="1" t="s">
        <v>109</v>
      </c>
      <c r="CC1725" s="1" t="s">
        <v>109</v>
      </c>
      <c r="CD1725" s="1" t="s">
        <v>109</v>
      </c>
      <c r="CE1725" s="1" t="s">
        <v>109</v>
      </c>
      <c r="CF1725" s="1" t="s">
        <v>109</v>
      </c>
      <c r="CG1725" s="1" t="s">
        <v>109</v>
      </c>
      <c r="CH1725" s="1" t="s">
        <v>109</v>
      </c>
      <c r="CI1725" s="1" t="s">
        <v>109</v>
      </c>
      <c r="CJ1725" s="1">
        <v>1</v>
      </c>
      <c r="CK1725" s="1"/>
      <c r="CL1725" s="1">
        <v>0</v>
      </c>
      <c r="CM1725" s="1">
        <v>0</v>
      </c>
      <c r="CN1725" s="1">
        <v>0</v>
      </c>
    </row>
    <row r="1726" spans="1:92" ht="14.25" customHeight="1" x14ac:dyDescent="0.15">
      <c r="A1726" s="1" t="s">
        <v>12908</v>
      </c>
      <c r="B1726" s="1" t="s">
        <v>95</v>
      </c>
      <c r="C1726" s="1" t="s">
        <v>694</v>
      </c>
      <c r="D1726" s="1"/>
      <c r="E1726" s="1" t="s">
        <v>5967</v>
      </c>
      <c r="F1726" s="1" t="s">
        <v>277</v>
      </c>
      <c r="G1726" s="1" t="s">
        <v>160</v>
      </c>
      <c r="H1726" s="1">
        <v>0</v>
      </c>
      <c r="I1726" s="1" t="s">
        <v>161</v>
      </c>
      <c r="J1726" s="1"/>
      <c r="K1726" s="1"/>
      <c r="L1726" s="1" t="s">
        <v>506</v>
      </c>
      <c r="M1726" s="1" t="s">
        <v>144</v>
      </c>
      <c r="N1726" s="1">
        <v>0</v>
      </c>
      <c r="O1726" s="1">
        <v>0</v>
      </c>
      <c r="P1726" s="1" t="s">
        <v>507</v>
      </c>
      <c r="Q1726" s="1" t="s">
        <v>167</v>
      </c>
      <c r="R1726" s="1" t="s">
        <v>12909</v>
      </c>
      <c r="S1726" s="1" t="s">
        <v>12910</v>
      </c>
      <c r="T1726" s="1" t="s">
        <v>12653</v>
      </c>
      <c r="U1726" s="1" t="s">
        <v>12911</v>
      </c>
      <c r="V1726" s="1">
        <v>1</v>
      </c>
      <c r="W1726" s="1">
        <v>1</v>
      </c>
      <c r="X1726" s="1">
        <v>0</v>
      </c>
      <c r="Y1726" s="1">
        <v>0</v>
      </c>
      <c r="Z1726" s="1">
        <v>1</v>
      </c>
      <c r="AA1726" s="1" t="s">
        <v>109</v>
      </c>
      <c r="AB1726" s="1" t="s">
        <v>109</v>
      </c>
      <c r="AC1726" s="1">
        <v>4</v>
      </c>
      <c r="AD1726" s="1" t="s">
        <v>109</v>
      </c>
      <c r="AE1726" s="1" t="s">
        <v>109</v>
      </c>
      <c r="AF1726" s="1" t="s">
        <v>109</v>
      </c>
      <c r="AG1726" s="1" t="s">
        <v>109</v>
      </c>
      <c r="AH1726" s="1" t="s">
        <v>109</v>
      </c>
      <c r="AI1726" s="1" t="s">
        <v>109</v>
      </c>
      <c r="AJ1726" s="1" t="s">
        <v>109</v>
      </c>
      <c r="AK1726" s="1" t="s">
        <v>109</v>
      </c>
      <c r="AL1726" s="1">
        <v>4</v>
      </c>
      <c r="AM1726" s="1" t="s">
        <v>109</v>
      </c>
      <c r="AN1726" s="1" t="s">
        <v>109</v>
      </c>
      <c r="AO1726" s="1" t="s">
        <v>109</v>
      </c>
      <c r="AP1726" s="1" t="s">
        <v>12662</v>
      </c>
      <c r="AQ1726" s="1">
        <v>4</v>
      </c>
      <c r="AR1726" s="1"/>
      <c r="AS1726" s="1"/>
      <c r="AT1726" s="1">
        <v>0</v>
      </c>
      <c r="AU1726" s="1">
        <v>0</v>
      </c>
      <c r="AV1726" s="1">
        <v>0</v>
      </c>
      <c r="AW1726" s="1">
        <v>0</v>
      </c>
      <c r="AX1726" s="1">
        <v>0</v>
      </c>
      <c r="AY1726" s="1">
        <v>0</v>
      </c>
      <c r="AZ1726" s="1">
        <v>0</v>
      </c>
      <c r="BA1726" s="1">
        <v>0</v>
      </c>
      <c r="BB1726" s="1">
        <v>0</v>
      </c>
      <c r="BC1726" s="1">
        <v>0</v>
      </c>
      <c r="BD1726" s="1">
        <v>0</v>
      </c>
      <c r="BE1726" s="1">
        <v>0</v>
      </c>
      <c r="BF1726" s="1">
        <v>0</v>
      </c>
      <c r="BG1726" s="1">
        <v>0</v>
      </c>
      <c r="BH1726" s="1">
        <v>0</v>
      </c>
      <c r="BI1726" s="1">
        <v>0</v>
      </c>
      <c r="BJ1726" s="1">
        <v>0</v>
      </c>
      <c r="BK1726" s="1">
        <v>0</v>
      </c>
      <c r="BL1726" s="1">
        <v>0</v>
      </c>
      <c r="BM1726" s="1">
        <v>0</v>
      </c>
      <c r="BN1726" s="1">
        <v>0</v>
      </c>
      <c r="BO1726" s="1">
        <v>0</v>
      </c>
      <c r="BP1726" s="1">
        <v>0</v>
      </c>
      <c r="BQ1726" s="1">
        <v>0</v>
      </c>
      <c r="BR1726" s="1">
        <v>0</v>
      </c>
      <c r="BS1726" s="1" t="s">
        <v>109</v>
      </c>
      <c r="BT1726" s="1">
        <v>1795</v>
      </c>
      <c r="BU1726" s="1" t="s">
        <v>109</v>
      </c>
      <c r="BV1726" s="1"/>
      <c r="BW1726" s="1"/>
      <c r="BX1726" s="1"/>
      <c r="BY1726" s="1"/>
      <c r="BZ1726" s="1">
        <v>0</v>
      </c>
      <c r="CA1726" s="1" t="s">
        <v>109</v>
      </c>
      <c r="CB1726" s="1" t="s">
        <v>109</v>
      </c>
      <c r="CC1726" s="1" t="s">
        <v>109</v>
      </c>
      <c r="CD1726" s="1" t="s">
        <v>109</v>
      </c>
      <c r="CE1726" s="1" t="s">
        <v>109</v>
      </c>
      <c r="CF1726" s="1" t="s">
        <v>109</v>
      </c>
      <c r="CG1726" s="1" t="s">
        <v>109</v>
      </c>
      <c r="CH1726" s="1" t="s">
        <v>109</v>
      </c>
      <c r="CI1726" s="1" t="s">
        <v>109</v>
      </c>
      <c r="CJ1726" s="1" t="s">
        <v>109</v>
      </c>
      <c r="CK1726" s="1"/>
      <c r="CL1726" s="1">
        <v>0</v>
      </c>
      <c r="CM1726" s="1">
        <v>0</v>
      </c>
      <c r="CN1726" s="1">
        <v>0</v>
      </c>
    </row>
    <row r="1727" spans="1:92" ht="14.25" customHeight="1" x14ac:dyDescent="0.15">
      <c r="A1727" s="1" t="s">
        <v>12912</v>
      </c>
      <c r="B1727" s="1" t="s">
        <v>189</v>
      </c>
      <c r="C1727" s="1"/>
      <c r="D1727" s="1"/>
      <c r="E1727" s="1" t="s">
        <v>12913</v>
      </c>
      <c r="F1727" s="1" t="s">
        <v>98</v>
      </c>
      <c r="G1727" s="1" t="s">
        <v>141</v>
      </c>
      <c r="H1727" s="1">
        <v>0</v>
      </c>
      <c r="I1727" s="1" t="s">
        <v>1192</v>
      </c>
      <c r="J1727" s="1" t="s">
        <v>726</v>
      </c>
      <c r="K1727" s="1"/>
      <c r="L1727" s="1"/>
      <c r="M1727" s="1" t="s">
        <v>144</v>
      </c>
      <c r="N1727" s="1">
        <v>0</v>
      </c>
      <c r="O1727" s="1">
        <v>0</v>
      </c>
      <c r="P1727" s="1" t="s">
        <v>103</v>
      </c>
      <c r="Q1727" s="1" t="s">
        <v>268</v>
      </c>
      <c r="R1727" s="1" t="s">
        <v>12914</v>
      </c>
      <c r="S1727" s="1" t="s">
        <v>12915</v>
      </c>
      <c r="T1727" s="1" t="s">
        <v>12653</v>
      </c>
      <c r="U1727" s="1" t="s">
        <v>12916</v>
      </c>
      <c r="V1727" s="1">
        <v>1</v>
      </c>
      <c r="W1727" s="1">
        <v>1</v>
      </c>
      <c r="X1727" s="1">
        <v>0</v>
      </c>
      <c r="Y1727" s="1">
        <v>0</v>
      </c>
      <c r="Z1727" s="1">
        <v>0</v>
      </c>
      <c r="AA1727" s="1">
        <v>2</v>
      </c>
      <c r="AB1727" s="1">
        <v>2</v>
      </c>
      <c r="AC1727" s="1">
        <v>2</v>
      </c>
      <c r="AD1727" s="1" t="s">
        <v>109</v>
      </c>
      <c r="AE1727" s="1" t="s">
        <v>109</v>
      </c>
      <c r="AF1727" s="1" t="s">
        <v>109</v>
      </c>
      <c r="AG1727" s="1" t="s">
        <v>109</v>
      </c>
      <c r="AH1727" s="1" t="s">
        <v>109</v>
      </c>
      <c r="AI1727" s="1" t="s">
        <v>109</v>
      </c>
      <c r="AJ1727" s="1">
        <v>2</v>
      </c>
      <c r="AK1727" s="1">
        <v>2</v>
      </c>
      <c r="AL1727" s="1">
        <v>2</v>
      </c>
      <c r="AM1727" s="1" t="s">
        <v>109</v>
      </c>
      <c r="AN1727" s="1" t="s">
        <v>109</v>
      </c>
      <c r="AO1727" s="1">
        <v>2</v>
      </c>
      <c r="AP1727" s="1" t="s">
        <v>12692</v>
      </c>
      <c r="AQ1727" s="1">
        <v>2</v>
      </c>
      <c r="AR1727" s="1"/>
      <c r="AS1727" s="1"/>
      <c r="AT1727" s="1">
        <v>0</v>
      </c>
      <c r="AU1727" s="1">
        <v>0</v>
      </c>
      <c r="AV1727" s="1">
        <v>0</v>
      </c>
      <c r="AW1727" s="1">
        <v>0</v>
      </c>
      <c r="AX1727" s="1">
        <v>0</v>
      </c>
      <c r="AY1727" s="1">
        <v>0</v>
      </c>
      <c r="AZ1727" s="1">
        <v>0</v>
      </c>
      <c r="BA1727" s="1">
        <v>0</v>
      </c>
      <c r="BB1727" s="1">
        <v>0</v>
      </c>
      <c r="BC1727" s="1">
        <v>0</v>
      </c>
      <c r="BD1727" s="1">
        <v>0</v>
      </c>
      <c r="BE1727" s="1">
        <v>0</v>
      </c>
      <c r="BF1727" s="1">
        <v>0</v>
      </c>
      <c r="BG1727" s="1">
        <v>0</v>
      </c>
      <c r="BH1727" s="1">
        <v>0</v>
      </c>
      <c r="BI1727" s="1">
        <v>0</v>
      </c>
      <c r="BJ1727" s="1">
        <v>0</v>
      </c>
      <c r="BK1727" s="1">
        <v>0</v>
      </c>
      <c r="BL1727" s="1">
        <v>0</v>
      </c>
      <c r="BM1727" s="1">
        <v>0</v>
      </c>
      <c r="BN1727" s="1">
        <v>0</v>
      </c>
      <c r="BO1727" s="1">
        <v>0</v>
      </c>
      <c r="BP1727" s="1">
        <v>0</v>
      </c>
      <c r="BQ1727" s="1">
        <v>0</v>
      </c>
      <c r="BR1727" s="1">
        <v>0</v>
      </c>
      <c r="BS1727" s="1" t="s">
        <v>109</v>
      </c>
      <c r="BT1727" s="1">
        <v>1796</v>
      </c>
      <c r="BU1727" s="1" t="s">
        <v>109</v>
      </c>
      <c r="BV1727" s="1"/>
      <c r="BW1727" s="1"/>
      <c r="BX1727" s="1"/>
      <c r="BY1727" s="1"/>
      <c r="BZ1727" s="1">
        <v>0</v>
      </c>
      <c r="CA1727" s="1" t="s">
        <v>109</v>
      </c>
      <c r="CB1727" s="1" t="s">
        <v>109</v>
      </c>
      <c r="CC1727" s="1" t="s">
        <v>109</v>
      </c>
      <c r="CD1727" s="1" t="s">
        <v>109</v>
      </c>
      <c r="CE1727" s="1" t="s">
        <v>109</v>
      </c>
      <c r="CF1727" s="1" t="s">
        <v>109</v>
      </c>
      <c r="CG1727" s="1" t="s">
        <v>109</v>
      </c>
      <c r="CH1727" s="1" t="s">
        <v>109</v>
      </c>
      <c r="CI1727" s="1" t="s">
        <v>109</v>
      </c>
      <c r="CJ1727" s="1" t="s">
        <v>109</v>
      </c>
      <c r="CK1727" s="1"/>
      <c r="CL1727" s="1">
        <v>0</v>
      </c>
      <c r="CM1727" s="1">
        <v>0</v>
      </c>
      <c r="CN1727" s="1">
        <v>0</v>
      </c>
    </row>
    <row r="1728" spans="1:92" ht="14.25" customHeight="1" x14ac:dyDescent="0.15">
      <c r="A1728" s="1" t="s">
        <v>12917</v>
      </c>
      <c r="B1728" s="1" t="s">
        <v>254</v>
      </c>
      <c r="C1728" s="1"/>
      <c r="D1728" s="1"/>
      <c r="E1728" s="1" t="s">
        <v>12918</v>
      </c>
      <c r="F1728" s="1" t="s">
        <v>98</v>
      </c>
      <c r="G1728" s="1" t="s">
        <v>141</v>
      </c>
      <c r="H1728" s="1">
        <v>0</v>
      </c>
      <c r="I1728" s="1" t="s">
        <v>161</v>
      </c>
      <c r="J1728" s="1"/>
      <c r="K1728" s="1"/>
      <c r="L1728" s="1" t="s">
        <v>506</v>
      </c>
      <c r="M1728" s="1" t="s">
        <v>5642</v>
      </c>
      <c r="N1728" s="1">
        <v>0</v>
      </c>
      <c r="O1728" s="1">
        <v>0</v>
      </c>
      <c r="P1728" s="1" t="s">
        <v>507</v>
      </c>
      <c r="Q1728" s="1" t="s">
        <v>12919</v>
      </c>
      <c r="R1728" s="1" t="s">
        <v>12920</v>
      </c>
      <c r="S1728" s="1" t="s">
        <v>12921</v>
      </c>
      <c r="T1728" s="1" t="s">
        <v>12653</v>
      </c>
      <c r="U1728" s="1" t="s">
        <v>12922</v>
      </c>
      <c r="V1728" s="1">
        <v>1</v>
      </c>
      <c r="W1728" s="1">
        <v>1</v>
      </c>
      <c r="X1728" s="1">
        <v>0</v>
      </c>
      <c r="Y1728" s="1">
        <v>0</v>
      </c>
      <c r="Z1728" s="1">
        <v>0</v>
      </c>
      <c r="AA1728" s="1">
        <v>2</v>
      </c>
      <c r="AB1728" s="1">
        <v>2</v>
      </c>
      <c r="AC1728" s="1">
        <v>2</v>
      </c>
      <c r="AD1728" s="1" t="s">
        <v>109</v>
      </c>
      <c r="AE1728" s="1" t="s">
        <v>109</v>
      </c>
      <c r="AF1728" s="1">
        <v>1</v>
      </c>
      <c r="AG1728" s="1" t="s">
        <v>109</v>
      </c>
      <c r="AH1728" s="1" t="s">
        <v>109</v>
      </c>
      <c r="AI1728" s="1" t="s">
        <v>109</v>
      </c>
      <c r="AJ1728" s="1" t="s">
        <v>109</v>
      </c>
      <c r="AK1728" s="1">
        <v>1</v>
      </c>
      <c r="AL1728" s="1">
        <v>2</v>
      </c>
      <c r="AM1728" s="1" t="s">
        <v>109</v>
      </c>
      <c r="AN1728" s="1" t="s">
        <v>109</v>
      </c>
      <c r="AO1728" s="1" t="s">
        <v>109</v>
      </c>
      <c r="AP1728" s="1" t="s">
        <v>12923</v>
      </c>
      <c r="AQ1728" s="1">
        <v>2</v>
      </c>
      <c r="AR1728" s="1"/>
      <c r="AS1728" s="1"/>
      <c r="AT1728" s="1">
        <v>0</v>
      </c>
      <c r="AU1728" s="1">
        <v>0</v>
      </c>
      <c r="AV1728" s="1">
        <v>0</v>
      </c>
      <c r="AW1728" s="1">
        <v>0</v>
      </c>
      <c r="AX1728" s="1">
        <v>0</v>
      </c>
      <c r="AY1728" s="1">
        <v>0</v>
      </c>
      <c r="AZ1728" s="1">
        <v>0</v>
      </c>
      <c r="BA1728" s="1">
        <v>0</v>
      </c>
      <c r="BB1728" s="1">
        <v>0</v>
      </c>
      <c r="BC1728" s="1">
        <v>0</v>
      </c>
      <c r="BD1728" s="1">
        <v>0</v>
      </c>
      <c r="BE1728" s="1">
        <v>0</v>
      </c>
      <c r="BF1728" s="1">
        <v>0</v>
      </c>
      <c r="BG1728" s="1">
        <v>0</v>
      </c>
      <c r="BH1728" s="1">
        <v>0</v>
      </c>
      <c r="BI1728" s="1">
        <v>0</v>
      </c>
      <c r="BJ1728" s="1">
        <v>0</v>
      </c>
      <c r="BK1728" s="1">
        <v>0</v>
      </c>
      <c r="BL1728" s="1">
        <v>0</v>
      </c>
      <c r="BM1728" s="1">
        <v>0</v>
      </c>
      <c r="BN1728" s="1">
        <v>0</v>
      </c>
      <c r="BO1728" s="1">
        <v>0</v>
      </c>
      <c r="BP1728" s="1">
        <v>0</v>
      </c>
      <c r="BQ1728" s="1">
        <v>0</v>
      </c>
      <c r="BR1728" s="1">
        <v>0</v>
      </c>
      <c r="BS1728" s="1" t="s">
        <v>109</v>
      </c>
      <c r="BT1728" s="1">
        <v>1798</v>
      </c>
      <c r="BU1728" s="1" t="s">
        <v>109</v>
      </c>
      <c r="BV1728" s="1"/>
      <c r="BW1728" s="1"/>
      <c r="BX1728" s="1"/>
      <c r="BY1728" s="1"/>
      <c r="BZ1728" s="1">
        <v>0</v>
      </c>
      <c r="CA1728" s="1" t="s">
        <v>109</v>
      </c>
      <c r="CB1728" s="1" t="s">
        <v>109</v>
      </c>
      <c r="CC1728" s="1" t="s">
        <v>109</v>
      </c>
      <c r="CD1728" s="1" t="s">
        <v>109</v>
      </c>
      <c r="CE1728" s="1" t="s">
        <v>109</v>
      </c>
      <c r="CF1728" s="1" t="s">
        <v>109</v>
      </c>
      <c r="CG1728" s="1" t="s">
        <v>109</v>
      </c>
      <c r="CH1728" s="1" t="s">
        <v>109</v>
      </c>
      <c r="CI1728" s="1" t="s">
        <v>109</v>
      </c>
      <c r="CJ1728" s="1" t="s">
        <v>109</v>
      </c>
      <c r="CK1728" s="1"/>
      <c r="CL1728" s="1">
        <v>0</v>
      </c>
      <c r="CM1728" s="1">
        <v>0</v>
      </c>
      <c r="CN1728" s="1">
        <v>0</v>
      </c>
    </row>
    <row r="1729" spans="1:92" ht="14.25" customHeight="1" x14ac:dyDescent="0.15">
      <c r="A1729" s="1" t="s">
        <v>12924</v>
      </c>
      <c r="B1729" s="1" t="s">
        <v>156</v>
      </c>
      <c r="C1729" s="1" t="s">
        <v>834</v>
      </c>
      <c r="D1729" s="1" t="s">
        <v>158</v>
      </c>
      <c r="E1729" s="1" t="s">
        <v>10794</v>
      </c>
      <c r="F1729" s="1" t="s">
        <v>98</v>
      </c>
      <c r="G1729" s="1" t="s">
        <v>160</v>
      </c>
      <c r="H1729" s="1">
        <v>0</v>
      </c>
      <c r="I1729" s="1" t="s">
        <v>235</v>
      </c>
      <c r="J1729" s="1"/>
      <c r="K1729" s="1"/>
      <c r="L1729" s="1" t="s">
        <v>236</v>
      </c>
      <c r="M1729" s="1" t="s">
        <v>6625</v>
      </c>
      <c r="N1729" s="1">
        <v>1</v>
      </c>
      <c r="O1729" s="1">
        <v>0</v>
      </c>
      <c r="P1729" s="1"/>
      <c r="Q1729" s="1"/>
      <c r="R1729" s="1" t="s">
        <v>12925</v>
      </c>
      <c r="S1729" s="1" t="s">
        <v>12926</v>
      </c>
      <c r="T1729" s="1" t="s">
        <v>12653</v>
      </c>
      <c r="U1729" s="1" t="s">
        <v>12927</v>
      </c>
      <c r="V1729" s="1">
        <v>1</v>
      </c>
      <c r="W1729" s="1">
        <v>1</v>
      </c>
      <c r="X1729" s="1">
        <v>0</v>
      </c>
      <c r="Y1729" s="1">
        <v>0</v>
      </c>
      <c r="Z1729" s="1">
        <v>1</v>
      </c>
      <c r="AA1729" s="1">
        <v>2</v>
      </c>
      <c r="AB1729" s="1">
        <v>2</v>
      </c>
      <c r="AC1729" s="1" t="s">
        <v>109</v>
      </c>
      <c r="AD1729" s="1" t="s">
        <v>109</v>
      </c>
      <c r="AE1729" s="1" t="s">
        <v>109</v>
      </c>
      <c r="AF1729" s="1">
        <v>2</v>
      </c>
      <c r="AG1729" s="1" t="s">
        <v>109</v>
      </c>
      <c r="AH1729" s="1" t="s">
        <v>109</v>
      </c>
      <c r="AI1729" s="1" t="s">
        <v>109</v>
      </c>
      <c r="AJ1729" s="1">
        <v>2</v>
      </c>
      <c r="AK1729" s="1" t="s">
        <v>109</v>
      </c>
      <c r="AL1729" s="1" t="s">
        <v>109</v>
      </c>
      <c r="AM1729" s="1" t="s">
        <v>109</v>
      </c>
      <c r="AN1729" s="1" t="s">
        <v>109</v>
      </c>
      <c r="AO1729" s="1" t="s">
        <v>109</v>
      </c>
      <c r="AP1729" s="1" t="s">
        <v>12923</v>
      </c>
      <c r="AQ1729" s="1">
        <v>2</v>
      </c>
      <c r="AR1729" s="1"/>
      <c r="AS1729" s="1"/>
      <c r="AT1729" s="1">
        <v>0</v>
      </c>
      <c r="AU1729" s="1">
        <v>0</v>
      </c>
      <c r="AV1729" s="1">
        <v>0</v>
      </c>
      <c r="AW1729" s="1">
        <v>0</v>
      </c>
      <c r="AX1729" s="1">
        <v>0</v>
      </c>
      <c r="AY1729" s="1">
        <v>0</v>
      </c>
      <c r="AZ1729" s="1">
        <v>0</v>
      </c>
      <c r="BA1729" s="1">
        <v>0</v>
      </c>
      <c r="BB1729" s="1">
        <v>0</v>
      </c>
      <c r="BC1729" s="1">
        <v>0</v>
      </c>
      <c r="BD1729" s="1">
        <v>0</v>
      </c>
      <c r="BE1729" s="1">
        <v>0</v>
      </c>
      <c r="BF1729" s="1">
        <v>0</v>
      </c>
      <c r="BG1729" s="1">
        <v>0</v>
      </c>
      <c r="BH1729" s="1">
        <v>0</v>
      </c>
      <c r="BI1729" s="1">
        <v>0</v>
      </c>
      <c r="BJ1729" s="1">
        <v>0</v>
      </c>
      <c r="BK1729" s="1">
        <v>0</v>
      </c>
      <c r="BL1729" s="1">
        <v>0</v>
      </c>
      <c r="BM1729" s="1">
        <v>1</v>
      </c>
      <c r="BN1729" s="1">
        <v>0</v>
      </c>
      <c r="BO1729" s="1">
        <v>0</v>
      </c>
      <c r="BP1729" s="1">
        <v>0</v>
      </c>
      <c r="BQ1729" s="1">
        <v>0</v>
      </c>
      <c r="BR1729" s="1">
        <v>0</v>
      </c>
      <c r="BS1729" s="1" t="s">
        <v>109</v>
      </c>
      <c r="BT1729" s="1">
        <v>1799</v>
      </c>
      <c r="BU1729" s="1" t="s">
        <v>109</v>
      </c>
      <c r="BV1729" s="1"/>
      <c r="BW1729" s="1"/>
      <c r="BX1729" s="1"/>
      <c r="BY1729" s="1"/>
      <c r="BZ1729" s="1">
        <v>0</v>
      </c>
      <c r="CA1729" s="1" t="s">
        <v>109</v>
      </c>
      <c r="CB1729" s="1" t="s">
        <v>109</v>
      </c>
      <c r="CC1729" s="1" t="s">
        <v>109</v>
      </c>
      <c r="CD1729" s="1" t="s">
        <v>109</v>
      </c>
      <c r="CE1729" s="1" t="s">
        <v>109</v>
      </c>
      <c r="CF1729" s="1" t="s">
        <v>109</v>
      </c>
      <c r="CG1729" s="1" t="s">
        <v>109</v>
      </c>
      <c r="CH1729" s="1" t="s">
        <v>109</v>
      </c>
      <c r="CI1729" s="1" t="s">
        <v>109</v>
      </c>
      <c r="CJ1729" s="1" t="s">
        <v>109</v>
      </c>
      <c r="CK1729" s="1"/>
      <c r="CL1729" s="1">
        <v>0</v>
      </c>
      <c r="CM1729" s="1">
        <v>0</v>
      </c>
      <c r="CN1729" s="1">
        <v>0</v>
      </c>
    </row>
    <row r="1730" spans="1:92" ht="14.25" customHeight="1" x14ac:dyDescent="0.15">
      <c r="A1730" s="1" t="s">
        <v>12928</v>
      </c>
      <c r="B1730" s="1" t="s">
        <v>308</v>
      </c>
      <c r="C1730" s="1"/>
      <c r="D1730" s="1" t="s">
        <v>57</v>
      </c>
      <c r="E1730" s="1" t="s">
        <v>12929</v>
      </c>
      <c r="F1730" s="1" t="s">
        <v>355</v>
      </c>
      <c r="G1730" s="1" t="s">
        <v>141</v>
      </c>
      <c r="H1730" s="1">
        <v>0</v>
      </c>
      <c r="I1730" s="1" t="s">
        <v>142</v>
      </c>
      <c r="J1730" s="1"/>
      <c r="K1730" s="1"/>
      <c r="L1730" s="1" t="s">
        <v>1391</v>
      </c>
      <c r="M1730" s="1" t="s">
        <v>574</v>
      </c>
      <c r="N1730" s="1">
        <v>1</v>
      </c>
      <c r="O1730" s="1">
        <v>0</v>
      </c>
      <c r="P1730" s="1" t="s">
        <v>301</v>
      </c>
      <c r="Q1730" s="1" t="s">
        <v>268</v>
      </c>
      <c r="R1730" s="1" t="s">
        <v>12930</v>
      </c>
      <c r="S1730" s="1" t="s">
        <v>12931</v>
      </c>
      <c r="T1730" s="1" t="s">
        <v>12653</v>
      </c>
      <c r="U1730" s="1" t="s">
        <v>12932</v>
      </c>
      <c r="V1730" s="1">
        <v>1</v>
      </c>
      <c r="W1730" s="1">
        <v>1</v>
      </c>
      <c r="X1730" s="1">
        <v>0</v>
      </c>
      <c r="Y1730" s="1">
        <v>0</v>
      </c>
      <c r="Z1730" s="1">
        <v>0</v>
      </c>
      <c r="AA1730" s="1" t="s">
        <v>109</v>
      </c>
      <c r="AB1730" s="1" t="s">
        <v>109</v>
      </c>
      <c r="AC1730" s="1">
        <v>2</v>
      </c>
      <c r="AD1730" s="1" t="s">
        <v>109</v>
      </c>
      <c r="AE1730" s="1" t="s">
        <v>109</v>
      </c>
      <c r="AF1730" s="1" t="s">
        <v>109</v>
      </c>
      <c r="AG1730" s="1" t="s">
        <v>109</v>
      </c>
      <c r="AH1730" s="1" t="s">
        <v>109</v>
      </c>
      <c r="AI1730" s="1">
        <v>3</v>
      </c>
      <c r="AJ1730" s="1">
        <v>2</v>
      </c>
      <c r="AK1730" s="1" t="s">
        <v>109</v>
      </c>
      <c r="AL1730" s="1">
        <v>2</v>
      </c>
      <c r="AM1730" s="1">
        <v>3</v>
      </c>
      <c r="AN1730" s="1" t="s">
        <v>109</v>
      </c>
      <c r="AO1730" s="1" t="s">
        <v>109</v>
      </c>
      <c r="AP1730" s="1" t="s">
        <v>5622</v>
      </c>
      <c r="AQ1730" s="1">
        <v>2</v>
      </c>
      <c r="AR1730" s="1"/>
      <c r="AS1730" s="1"/>
      <c r="AT1730" s="1">
        <v>0</v>
      </c>
      <c r="AU1730" s="1">
        <v>0</v>
      </c>
      <c r="AV1730" s="1">
        <v>0</v>
      </c>
      <c r="AW1730" s="1">
        <v>0</v>
      </c>
      <c r="AX1730" s="1">
        <v>0</v>
      </c>
      <c r="AY1730" s="1">
        <v>0</v>
      </c>
      <c r="AZ1730" s="1">
        <v>0</v>
      </c>
      <c r="BA1730" s="1">
        <v>0</v>
      </c>
      <c r="BB1730" s="1">
        <v>0</v>
      </c>
      <c r="BC1730" s="1">
        <v>0</v>
      </c>
      <c r="BD1730" s="1">
        <v>0</v>
      </c>
      <c r="BE1730" s="1">
        <v>1</v>
      </c>
      <c r="BF1730" s="1">
        <v>0</v>
      </c>
      <c r="BG1730" s="1">
        <v>0</v>
      </c>
      <c r="BH1730" s="1">
        <v>0</v>
      </c>
      <c r="BI1730" s="1">
        <v>0</v>
      </c>
      <c r="BJ1730" s="1">
        <v>0</v>
      </c>
      <c r="BK1730" s="1">
        <v>0</v>
      </c>
      <c r="BL1730" s="1">
        <v>0</v>
      </c>
      <c r="BM1730" s="1">
        <v>0</v>
      </c>
      <c r="BN1730" s="1">
        <v>0</v>
      </c>
      <c r="BO1730" s="1">
        <v>0</v>
      </c>
      <c r="BP1730" s="1">
        <v>0</v>
      </c>
      <c r="BQ1730" s="1">
        <v>0</v>
      </c>
      <c r="BR1730" s="1">
        <v>0</v>
      </c>
      <c r="BS1730" s="1" t="s">
        <v>109</v>
      </c>
      <c r="BT1730" s="1">
        <v>1800</v>
      </c>
      <c r="BU1730" s="1" t="s">
        <v>109</v>
      </c>
      <c r="BV1730" s="1"/>
      <c r="BW1730" s="1"/>
      <c r="BX1730" s="1"/>
      <c r="BY1730" s="1"/>
      <c r="BZ1730" s="1">
        <v>0</v>
      </c>
      <c r="CA1730" s="1" t="s">
        <v>109</v>
      </c>
      <c r="CB1730" s="1" t="s">
        <v>109</v>
      </c>
      <c r="CC1730" s="1" t="s">
        <v>109</v>
      </c>
      <c r="CD1730" s="1" t="s">
        <v>109</v>
      </c>
      <c r="CE1730" s="1" t="s">
        <v>109</v>
      </c>
      <c r="CF1730" s="1" t="s">
        <v>109</v>
      </c>
      <c r="CG1730" s="1" t="s">
        <v>109</v>
      </c>
      <c r="CH1730" s="1" t="s">
        <v>109</v>
      </c>
      <c r="CI1730" s="1" t="s">
        <v>109</v>
      </c>
      <c r="CJ1730" s="1" t="s">
        <v>109</v>
      </c>
      <c r="CK1730" s="1"/>
      <c r="CL1730" s="1">
        <v>0</v>
      </c>
      <c r="CM1730" s="1">
        <v>0</v>
      </c>
      <c r="CN1730" s="1">
        <v>0</v>
      </c>
    </row>
    <row r="1731" spans="1:92" ht="14.25" customHeight="1" x14ac:dyDescent="0.15">
      <c r="A1731" s="1" t="s">
        <v>12933</v>
      </c>
      <c r="B1731" s="1" t="s">
        <v>584</v>
      </c>
      <c r="C1731" s="1"/>
      <c r="D1731" s="1" t="s">
        <v>7774</v>
      </c>
      <c r="E1731" s="1" t="s">
        <v>12934</v>
      </c>
      <c r="F1731" s="1" t="s">
        <v>98</v>
      </c>
      <c r="G1731" s="1" t="s">
        <v>160</v>
      </c>
      <c r="H1731" s="1">
        <v>0</v>
      </c>
      <c r="I1731" s="1" t="s">
        <v>235</v>
      </c>
      <c r="J1731" s="1"/>
      <c r="K1731" s="1"/>
      <c r="L1731" s="1" t="s">
        <v>236</v>
      </c>
      <c r="M1731" s="1" t="s">
        <v>125</v>
      </c>
      <c r="N1731" s="1">
        <v>0</v>
      </c>
      <c r="O1731" s="1">
        <v>0</v>
      </c>
      <c r="P1731" s="1"/>
      <c r="Q1731" s="1"/>
      <c r="R1731" s="1" t="s">
        <v>12935</v>
      </c>
      <c r="S1731" s="1" t="s">
        <v>12936</v>
      </c>
      <c r="T1731" s="1" t="s">
        <v>12653</v>
      </c>
      <c r="U1731" s="1" t="s">
        <v>12937</v>
      </c>
      <c r="V1731" s="1">
        <v>1</v>
      </c>
      <c r="W1731" s="1">
        <v>1</v>
      </c>
      <c r="X1731" s="1">
        <v>0</v>
      </c>
      <c r="Y1731" s="1">
        <v>0</v>
      </c>
      <c r="Z1731" s="1">
        <v>1</v>
      </c>
      <c r="AA1731" s="1" t="s">
        <v>109</v>
      </c>
      <c r="AB1731" s="1" t="s">
        <v>109</v>
      </c>
      <c r="AC1731" s="1">
        <v>6</v>
      </c>
      <c r="AD1731" s="1" t="s">
        <v>109</v>
      </c>
      <c r="AE1731" s="1" t="s">
        <v>109</v>
      </c>
      <c r="AF1731" s="1">
        <v>6</v>
      </c>
      <c r="AG1731" s="1" t="s">
        <v>109</v>
      </c>
      <c r="AH1731" s="1" t="s">
        <v>109</v>
      </c>
      <c r="AI1731" s="1" t="s">
        <v>109</v>
      </c>
      <c r="AJ1731" s="1" t="s">
        <v>109</v>
      </c>
      <c r="AK1731" s="1" t="s">
        <v>109</v>
      </c>
      <c r="AL1731" s="1">
        <v>6</v>
      </c>
      <c r="AM1731" s="1" t="s">
        <v>109</v>
      </c>
      <c r="AN1731" s="1">
        <v>6</v>
      </c>
      <c r="AO1731" s="1" t="s">
        <v>109</v>
      </c>
      <c r="AP1731" s="1" t="s">
        <v>12938</v>
      </c>
      <c r="AQ1731" s="1">
        <v>6</v>
      </c>
      <c r="AR1731" s="1"/>
      <c r="AS1731" s="1"/>
      <c r="AT1731" s="1">
        <v>0</v>
      </c>
      <c r="AU1731" s="1">
        <v>0</v>
      </c>
      <c r="AV1731" s="1">
        <v>0</v>
      </c>
      <c r="AW1731" s="1">
        <v>0</v>
      </c>
      <c r="AX1731" s="1">
        <v>0</v>
      </c>
      <c r="AY1731" s="1">
        <v>0</v>
      </c>
      <c r="AZ1731" s="1">
        <v>0</v>
      </c>
      <c r="BA1731" s="1">
        <v>0</v>
      </c>
      <c r="BB1731" s="1">
        <v>0</v>
      </c>
      <c r="BC1731" s="1">
        <v>0</v>
      </c>
      <c r="BD1731" s="1">
        <v>0</v>
      </c>
      <c r="BE1731" s="1">
        <v>0</v>
      </c>
      <c r="BF1731" s="1">
        <v>0</v>
      </c>
      <c r="BG1731" s="1">
        <v>1</v>
      </c>
      <c r="BH1731" s="1">
        <v>0</v>
      </c>
      <c r="BI1731" s="1">
        <v>1</v>
      </c>
      <c r="BJ1731" s="1">
        <v>0</v>
      </c>
      <c r="BK1731" s="1">
        <v>0</v>
      </c>
      <c r="BL1731" s="1">
        <v>1</v>
      </c>
      <c r="BM1731" s="1">
        <v>0</v>
      </c>
      <c r="BN1731" s="1">
        <v>0</v>
      </c>
      <c r="BO1731" s="1">
        <v>0</v>
      </c>
      <c r="BP1731" s="1">
        <v>0</v>
      </c>
      <c r="BQ1731" s="1">
        <v>0</v>
      </c>
      <c r="BR1731" s="1">
        <v>0</v>
      </c>
      <c r="BS1731" s="1" t="s">
        <v>109</v>
      </c>
      <c r="BT1731" s="1">
        <v>1801</v>
      </c>
      <c r="BU1731" s="1" t="s">
        <v>109</v>
      </c>
      <c r="BV1731" s="1"/>
      <c r="BW1731" s="1"/>
      <c r="BX1731" s="1"/>
      <c r="BY1731" s="1"/>
      <c r="BZ1731" s="1">
        <v>0</v>
      </c>
      <c r="CA1731" s="1" t="s">
        <v>109</v>
      </c>
      <c r="CB1731" s="1" t="s">
        <v>109</v>
      </c>
      <c r="CC1731" s="1" t="s">
        <v>109</v>
      </c>
      <c r="CD1731" s="1" t="s">
        <v>109</v>
      </c>
      <c r="CE1731" s="1" t="s">
        <v>109</v>
      </c>
      <c r="CF1731" s="1" t="s">
        <v>109</v>
      </c>
      <c r="CG1731" s="1" t="s">
        <v>109</v>
      </c>
      <c r="CH1731" s="1" t="s">
        <v>109</v>
      </c>
      <c r="CI1731" s="1" t="s">
        <v>109</v>
      </c>
      <c r="CJ1731" s="1" t="s">
        <v>109</v>
      </c>
      <c r="CK1731" s="1"/>
      <c r="CL1731" s="1">
        <v>0</v>
      </c>
      <c r="CM1731" s="1">
        <v>0</v>
      </c>
      <c r="CN1731" s="1">
        <v>0</v>
      </c>
    </row>
    <row r="1732" spans="1:92" ht="14.25" customHeight="1" x14ac:dyDescent="0.15">
      <c r="A1732" s="1" t="s">
        <v>12939</v>
      </c>
      <c r="B1732" s="1" t="s">
        <v>189</v>
      </c>
      <c r="C1732" s="1"/>
      <c r="D1732" s="1" t="s">
        <v>47</v>
      </c>
      <c r="E1732" s="1" t="s">
        <v>12940</v>
      </c>
      <c r="F1732" s="1" t="s">
        <v>98</v>
      </c>
      <c r="G1732" s="1" t="s">
        <v>160</v>
      </c>
      <c r="H1732" s="1">
        <v>0</v>
      </c>
      <c r="I1732" s="1" t="s">
        <v>161</v>
      </c>
      <c r="J1732" s="1"/>
      <c r="K1732" s="1"/>
      <c r="L1732" s="1" t="s">
        <v>12941</v>
      </c>
      <c r="M1732" s="1" t="s">
        <v>3042</v>
      </c>
      <c r="N1732" s="1">
        <v>0</v>
      </c>
      <c r="O1732" s="1">
        <v>0</v>
      </c>
      <c r="P1732" s="1" t="s">
        <v>7979</v>
      </c>
      <c r="Q1732" s="1" t="s">
        <v>167</v>
      </c>
      <c r="R1732" s="1" t="s">
        <v>12942</v>
      </c>
      <c r="S1732" s="1" t="s">
        <v>12943</v>
      </c>
      <c r="T1732" s="1" t="s">
        <v>12653</v>
      </c>
      <c r="U1732" s="1" t="s">
        <v>12944</v>
      </c>
      <c r="V1732" s="1">
        <v>1</v>
      </c>
      <c r="W1732" s="1">
        <v>1</v>
      </c>
      <c r="X1732" s="1">
        <v>0</v>
      </c>
      <c r="Y1732" s="1">
        <v>0</v>
      </c>
      <c r="Z1732" s="1">
        <v>1</v>
      </c>
      <c r="AA1732" s="1" t="s">
        <v>109</v>
      </c>
      <c r="AB1732" s="1" t="s">
        <v>109</v>
      </c>
      <c r="AC1732" s="1">
        <v>3</v>
      </c>
      <c r="AD1732" s="1">
        <v>3</v>
      </c>
      <c r="AE1732" s="1" t="s">
        <v>109</v>
      </c>
      <c r="AF1732" s="1" t="s">
        <v>109</v>
      </c>
      <c r="AG1732" s="1" t="s">
        <v>109</v>
      </c>
      <c r="AH1732" s="1" t="s">
        <v>109</v>
      </c>
      <c r="AI1732" s="1" t="s">
        <v>109</v>
      </c>
      <c r="AJ1732" s="1">
        <v>3</v>
      </c>
      <c r="AK1732" s="1" t="s">
        <v>109</v>
      </c>
      <c r="AL1732" s="1">
        <v>3</v>
      </c>
      <c r="AM1732" s="1" t="s">
        <v>109</v>
      </c>
      <c r="AN1732" s="1" t="s">
        <v>109</v>
      </c>
      <c r="AO1732" s="1" t="s">
        <v>109</v>
      </c>
      <c r="AP1732" s="1" t="s">
        <v>12808</v>
      </c>
      <c r="AQ1732" s="1">
        <v>3</v>
      </c>
      <c r="AR1732" s="1"/>
      <c r="AS1732" s="1"/>
      <c r="AT1732" s="1">
        <v>0</v>
      </c>
      <c r="AU1732" s="1">
        <v>1</v>
      </c>
      <c r="AV1732" s="1">
        <v>0</v>
      </c>
      <c r="AW1732" s="1">
        <v>0</v>
      </c>
      <c r="AX1732" s="1">
        <v>0</v>
      </c>
      <c r="AY1732" s="1">
        <v>0</v>
      </c>
      <c r="AZ1732" s="1">
        <v>0</v>
      </c>
      <c r="BA1732" s="1">
        <v>0</v>
      </c>
      <c r="BB1732" s="1">
        <v>0</v>
      </c>
      <c r="BC1732" s="1">
        <v>0</v>
      </c>
      <c r="BD1732" s="1">
        <v>0</v>
      </c>
      <c r="BE1732" s="1">
        <v>0</v>
      </c>
      <c r="BF1732" s="1">
        <v>0</v>
      </c>
      <c r="BG1732" s="1">
        <v>0</v>
      </c>
      <c r="BH1732" s="1">
        <v>0</v>
      </c>
      <c r="BI1732" s="1">
        <v>0</v>
      </c>
      <c r="BJ1732" s="1">
        <v>0</v>
      </c>
      <c r="BK1732" s="1">
        <v>0</v>
      </c>
      <c r="BL1732" s="1">
        <v>0</v>
      </c>
      <c r="BM1732" s="1">
        <v>0</v>
      </c>
      <c r="BN1732" s="1">
        <v>0</v>
      </c>
      <c r="BO1732" s="1">
        <v>0</v>
      </c>
      <c r="BP1732" s="1">
        <v>0</v>
      </c>
      <c r="BQ1732" s="1">
        <v>0</v>
      </c>
      <c r="BR1732" s="1">
        <v>0</v>
      </c>
      <c r="BS1732" s="1" t="s">
        <v>109</v>
      </c>
      <c r="BT1732" s="1">
        <v>1802</v>
      </c>
      <c r="BU1732" s="1" t="s">
        <v>109</v>
      </c>
      <c r="BV1732" s="1"/>
      <c r="BW1732" s="1"/>
      <c r="BX1732" s="1"/>
      <c r="BY1732" s="1"/>
      <c r="BZ1732" s="1">
        <v>0</v>
      </c>
      <c r="CA1732" s="1" t="s">
        <v>109</v>
      </c>
      <c r="CB1732" s="1" t="s">
        <v>109</v>
      </c>
      <c r="CC1732" s="1" t="s">
        <v>109</v>
      </c>
      <c r="CD1732" s="1" t="s">
        <v>109</v>
      </c>
      <c r="CE1732" s="1" t="s">
        <v>109</v>
      </c>
      <c r="CF1732" s="1" t="s">
        <v>109</v>
      </c>
      <c r="CG1732" s="1" t="s">
        <v>109</v>
      </c>
      <c r="CH1732" s="1" t="s">
        <v>109</v>
      </c>
      <c r="CI1732" s="1" t="s">
        <v>109</v>
      </c>
      <c r="CJ1732" s="1">
        <v>3</v>
      </c>
      <c r="CK1732" s="1"/>
      <c r="CL1732" s="1">
        <v>0</v>
      </c>
      <c r="CM1732" s="1">
        <v>0</v>
      </c>
      <c r="CN1732" s="1">
        <v>0</v>
      </c>
    </row>
    <row r="1733" spans="1:92" ht="14.25" customHeight="1" x14ac:dyDescent="0.15">
      <c r="A1733" s="1" t="s">
        <v>12945</v>
      </c>
      <c r="B1733" s="1" t="s">
        <v>584</v>
      </c>
      <c r="C1733" s="1"/>
      <c r="D1733" s="1"/>
      <c r="E1733" s="1" t="s">
        <v>12946</v>
      </c>
      <c r="F1733" s="1" t="s">
        <v>98</v>
      </c>
      <c r="G1733" s="1" t="s">
        <v>160</v>
      </c>
      <c r="H1733" s="1">
        <v>0</v>
      </c>
      <c r="I1733" s="1" t="s">
        <v>235</v>
      </c>
      <c r="J1733" s="1"/>
      <c r="K1733" s="1"/>
      <c r="L1733" s="1" t="s">
        <v>236</v>
      </c>
      <c r="M1733" s="1" t="s">
        <v>125</v>
      </c>
      <c r="N1733" s="1">
        <v>0</v>
      </c>
      <c r="O1733" s="1">
        <v>0</v>
      </c>
      <c r="P1733" s="1"/>
      <c r="Q1733" s="1"/>
      <c r="R1733" s="1" t="s">
        <v>12947</v>
      </c>
      <c r="S1733" s="1" t="s">
        <v>12948</v>
      </c>
      <c r="T1733" s="1" t="s">
        <v>12653</v>
      </c>
      <c r="U1733" s="1" t="s">
        <v>12949</v>
      </c>
      <c r="V1733" s="1">
        <v>1</v>
      </c>
      <c r="W1733" s="1">
        <v>1</v>
      </c>
      <c r="X1733" s="1">
        <v>0</v>
      </c>
      <c r="Y1733" s="1">
        <v>0</v>
      </c>
      <c r="Z1733" s="1">
        <v>1</v>
      </c>
      <c r="AA1733" s="1" t="s">
        <v>109</v>
      </c>
      <c r="AB1733" s="1" t="s">
        <v>109</v>
      </c>
      <c r="AC1733" s="1">
        <v>5</v>
      </c>
      <c r="AD1733" s="1" t="s">
        <v>109</v>
      </c>
      <c r="AE1733" s="1" t="s">
        <v>109</v>
      </c>
      <c r="AF1733" s="1" t="s">
        <v>109</v>
      </c>
      <c r="AG1733" s="1" t="s">
        <v>109</v>
      </c>
      <c r="AH1733" s="1" t="s">
        <v>109</v>
      </c>
      <c r="AI1733" s="1" t="s">
        <v>109</v>
      </c>
      <c r="AJ1733" s="1" t="s">
        <v>109</v>
      </c>
      <c r="AK1733" s="1">
        <v>4</v>
      </c>
      <c r="AL1733" s="1">
        <v>5</v>
      </c>
      <c r="AM1733" s="1" t="s">
        <v>109</v>
      </c>
      <c r="AN1733" s="1" t="s">
        <v>109</v>
      </c>
      <c r="AO1733" s="1" t="s">
        <v>109</v>
      </c>
      <c r="AP1733" s="1" t="s">
        <v>12739</v>
      </c>
      <c r="AQ1733" s="1">
        <v>5</v>
      </c>
      <c r="AR1733" s="1"/>
      <c r="AS1733" s="1"/>
      <c r="AT1733" s="1">
        <v>0</v>
      </c>
      <c r="AU1733" s="1">
        <v>0</v>
      </c>
      <c r="AV1733" s="1">
        <v>0</v>
      </c>
      <c r="AW1733" s="1">
        <v>0</v>
      </c>
      <c r="AX1733" s="1">
        <v>0</v>
      </c>
      <c r="AY1733" s="1">
        <v>0</v>
      </c>
      <c r="AZ1733" s="1">
        <v>0</v>
      </c>
      <c r="BA1733" s="1">
        <v>0</v>
      </c>
      <c r="BB1733" s="1">
        <v>0</v>
      </c>
      <c r="BC1733" s="1">
        <v>0</v>
      </c>
      <c r="BD1733" s="1">
        <v>0</v>
      </c>
      <c r="BE1733" s="1">
        <v>0</v>
      </c>
      <c r="BF1733" s="1">
        <v>0</v>
      </c>
      <c r="BG1733" s="1">
        <v>0</v>
      </c>
      <c r="BH1733" s="1">
        <v>0</v>
      </c>
      <c r="BI1733" s="1">
        <v>0</v>
      </c>
      <c r="BJ1733" s="1">
        <v>0</v>
      </c>
      <c r="BK1733" s="1">
        <v>0</v>
      </c>
      <c r="BL1733" s="1">
        <v>0</v>
      </c>
      <c r="BM1733" s="1">
        <v>0</v>
      </c>
      <c r="BN1733" s="1">
        <v>0</v>
      </c>
      <c r="BO1733" s="1">
        <v>0</v>
      </c>
      <c r="BP1733" s="1">
        <v>0</v>
      </c>
      <c r="BQ1733" s="1">
        <v>0</v>
      </c>
      <c r="BR1733" s="1">
        <v>0</v>
      </c>
      <c r="BS1733" s="1" t="s">
        <v>109</v>
      </c>
      <c r="BT1733" s="1">
        <v>1803</v>
      </c>
      <c r="BU1733" s="1" t="s">
        <v>109</v>
      </c>
      <c r="BV1733" s="1"/>
      <c r="BW1733" s="1"/>
      <c r="BX1733" s="1"/>
      <c r="BY1733" s="1"/>
      <c r="BZ1733" s="1">
        <v>0</v>
      </c>
      <c r="CA1733" s="1" t="s">
        <v>109</v>
      </c>
      <c r="CB1733" s="1" t="s">
        <v>109</v>
      </c>
      <c r="CC1733" s="1" t="s">
        <v>109</v>
      </c>
      <c r="CD1733" s="1" t="s">
        <v>109</v>
      </c>
      <c r="CE1733" s="1" t="s">
        <v>109</v>
      </c>
      <c r="CF1733" s="1" t="s">
        <v>109</v>
      </c>
      <c r="CG1733" s="1" t="s">
        <v>109</v>
      </c>
      <c r="CH1733" s="1" t="s">
        <v>109</v>
      </c>
      <c r="CI1733" s="1" t="s">
        <v>109</v>
      </c>
      <c r="CJ1733" s="1" t="s">
        <v>109</v>
      </c>
      <c r="CK1733" s="1"/>
      <c r="CL1733" s="1">
        <v>0</v>
      </c>
      <c r="CM1733" s="1">
        <v>0</v>
      </c>
      <c r="CN1733" s="1">
        <v>0</v>
      </c>
    </row>
    <row r="1734" spans="1:92" ht="14.25" customHeight="1" x14ac:dyDescent="0.15">
      <c r="A1734" s="1" t="s">
        <v>12950</v>
      </c>
      <c r="B1734" s="1" t="s">
        <v>95</v>
      </c>
      <c r="C1734" s="1" t="s">
        <v>3570</v>
      </c>
      <c r="D1734" s="1" t="s">
        <v>7716</v>
      </c>
      <c r="E1734" s="1" t="s">
        <v>8191</v>
      </c>
      <c r="F1734" s="1" t="s">
        <v>12951</v>
      </c>
      <c r="G1734" s="1" t="s">
        <v>12952</v>
      </c>
      <c r="H1734" s="1">
        <v>0</v>
      </c>
      <c r="I1734" s="1" t="s">
        <v>122</v>
      </c>
      <c r="J1734" s="1"/>
      <c r="K1734" s="1"/>
      <c r="L1734" s="1"/>
      <c r="M1734" s="1" t="s">
        <v>144</v>
      </c>
      <c r="N1734" s="1">
        <v>0</v>
      </c>
      <c r="O1734" s="1">
        <v>0</v>
      </c>
      <c r="P1734" s="1" t="s">
        <v>103</v>
      </c>
      <c r="Q1734" s="1" t="s">
        <v>104</v>
      </c>
      <c r="R1734" s="1" t="s">
        <v>12953</v>
      </c>
      <c r="S1734" s="1" t="s">
        <v>12954</v>
      </c>
      <c r="T1734" s="1" t="s">
        <v>12653</v>
      </c>
      <c r="U1734" s="1" t="s">
        <v>12955</v>
      </c>
      <c r="V1734" s="1">
        <v>1</v>
      </c>
      <c r="W1734" s="1">
        <v>1</v>
      </c>
      <c r="X1734" s="1">
        <v>1</v>
      </c>
      <c r="Y1734" s="1">
        <v>0</v>
      </c>
      <c r="Z1734" s="1">
        <v>1</v>
      </c>
      <c r="AA1734" s="1">
        <v>9</v>
      </c>
      <c r="AB1734" s="1">
        <v>9</v>
      </c>
      <c r="AC1734" s="1">
        <v>9</v>
      </c>
      <c r="AD1734" s="1" t="s">
        <v>109</v>
      </c>
      <c r="AE1734" s="1" t="s">
        <v>109</v>
      </c>
      <c r="AF1734" s="1" t="s">
        <v>109</v>
      </c>
      <c r="AG1734" s="1" t="s">
        <v>109</v>
      </c>
      <c r="AH1734" s="1" t="s">
        <v>109</v>
      </c>
      <c r="AI1734" s="1" t="s">
        <v>109</v>
      </c>
      <c r="AJ1734" s="1">
        <v>9</v>
      </c>
      <c r="AK1734" s="1" t="s">
        <v>109</v>
      </c>
      <c r="AL1734" s="1">
        <v>9</v>
      </c>
      <c r="AM1734" s="1" t="s">
        <v>109</v>
      </c>
      <c r="AN1734" s="1" t="s">
        <v>109</v>
      </c>
      <c r="AO1734" s="1" t="s">
        <v>109</v>
      </c>
      <c r="AP1734" s="1" t="s">
        <v>12692</v>
      </c>
      <c r="AQ1734" s="1">
        <v>9</v>
      </c>
      <c r="AR1734" s="1"/>
      <c r="AS1734" s="1"/>
      <c r="AT1734" s="1">
        <v>0</v>
      </c>
      <c r="AU1734" s="1">
        <v>0</v>
      </c>
      <c r="AV1734" s="1">
        <v>1</v>
      </c>
      <c r="AW1734" s="1">
        <v>0</v>
      </c>
      <c r="AX1734" s="1">
        <v>0</v>
      </c>
      <c r="AY1734" s="1">
        <v>0</v>
      </c>
      <c r="AZ1734" s="1">
        <v>0</v>
      </c>
      <c r="BA1734" s="1">
        <v>0</v>
      </c>
      <c r="BB1734" s="1">
        <v>0</v>
      </c>
      <c r="BC1734" s="1">
        <v>0</v>
      </c>
      <c r="BD1734" s="1">
        <v>0</v>
      </c>
      <c r="BE1734" s="1">
        <v>1</v>
      </c>
      <c r="BF1734" s="1">
        <v>0</v>
      </c>
      <c r="BG1734" s="1">
        <v>0</v>
      </c>
      <c r="BH1734" s="1">
        <v>0</v>
      </c>
      <c r="BI1734" s="1">
        <v>0</v>
      </c>
      <c r="BJ1734" s="1">
        <v>0</v>
      </c>
      <c r="BK1734" s="1">
        <v>0</v>
      </c>
      <c r="BL1734" s="1">
        <v>0</v>
      </c>
      <c r="BM1734" s="1">
        <v>0</v>
      </c>
      <c r="BN1734" s="1">
        <v>0</v>
      </c>
      <c r="BO1734" s="1">
        <v>0</v>
      </c>
      <c r="BP1734" s="1">
        <v>0</v>
      </c>
      <c r="BQ1734" s="1">
        <v>0</v>
      </c>
      <c r="BR1734" s="1">
        <v>0</v>
      </c>
      <c r="BS1734" s="1" t="s">
        <v>109</v>
      </c>
      <c r="BT1734" s="1">
        <v>1804</v>
      </c>
      <c r="BU1734" s="1" t="s">
        <v>109</v>
      </c>
      <c r="BV1734" s="1"/>
      <c r="BW1734" s="1"/>
      <c r="BX1734" s="1" t="s">
        <v>12956</v>
      </c>
      <c r="BY1734" s="1"/>
      <c r="BZ1734" s="1">
        <v>1</v>
      </c>
      <c r="CA1734" s="1" t="s">
        <v>109</v>
      </c>
      <c r="CB1734" s="1" t="s">
        <v>109</v>
      </c>
      <c r="CC1734" s="1" t="s">
        <v>109</v>
      </c>
      <c r="CD1734" s="1" t="s">
        <v>109</v>
      </c>
      <c r="CE1734" s="1" t="s">
        <v>109</v>
      </c>
      <c r="CF1734" s="1" t="s">
        <v>109</v>
      </c>
      <c r="CG1734" s="1" t="s">
        <v>109</v>
      </c>
      <c r="CH1734" s="1" t="s">
        <v>109</v>
      </c>
      <c r="CI1734" s="1" t="s">
        <v>109</v>
      </c>
      <c r="CJ1734" s="1" t="s">
        <v>109</v>
      </c>
      <c r="CK1734" s="1"/>
      <c r="CL1734" s="1">
        <v>0</v>
      </c>
      <c r="CM1734" s="1">
        <v>0</v>
      </c>
      <c r="CN1734" s="1">
        <v>0</v>
      </c>
    </row>
    <row r="1735" spans="1:92" ht="14.25" customHeight="1" x14ac:dyDescent="0.15">
      <c r="A1735" s="1" t="s">
        <v>12957</v>
      </c>
      <c r="B1735" s="1" t="s">
        <v>254</v>
      </c>
      <c r="C1735" s="1"/>
      <c r="D1735" s="1" t="s">
        <v>158</v>
      </c>
      <c r="E1735" s="1" t="s">
        <v>12958</v>
      </c>
      <c r="F1735" s="1" t="s">
        <v>98</v>
      </c>
      <c r="G1735" s="1" t="s">
        <v>12959</v>
      </c>
      <c r="H1735" s="1">
        <v>0</v>
      </c>
      <c r="I1735" s="1" t="s">
        <v>142</v>
      </c>
      <c r="J1735" s="1"/>
      <c r="K1735" s="1"/>
      <c r="L1735" s="1" t="s">
        <v>1391</v>
      </c>
      <c r="M1735" s="1" t="s">
        <v>144</v>
      </c>
      <c r="N1735" s="1">
        <v>0</v>
      </c>
      <c r="O1735" s="1">
        <v>0</v>
      </c>
      <c r="P1735" s="1" t="s">
        <v>301</v>
      </c>
      <c r="Q1735" s="1" t="s">
        <v>268</v>
      </c>
      <c r="R1735" s="1" t="s">
        <v>12960</v>
      </c>
      <c r="S1735" s="1" t="s">
        <v>12961</v>
      </c>
      <c r="T1735" s="1" t="s">
        <v>12653</v>
      </c>
      <c r="U1735" s="1" t="s">
        <v>12962</v>
      </c>
      <c r="V1735" s="1">
        <v>1</v>
      </c>
      <c r="W1735" s="1">
        <v>1</v>
      </c>
      <c r="X1735" s="1">
        <v>0</v>
      </c>
      <c r="Y1735" s="1">
        <v>0</v>
      </c>
      <c r="Z1735" s="1">
        <v>0</v>
      </c>
      <c r="AA1735" s="1">
        <v>2</v>
      </c>
      <c r="AB1735" s="1">
        <v>2</v>
      </c>
      <c r="AC1735" s="1">
        <v>2</v>
      </c>
      <c r="AD1735" s="1" t="s">
        <v>109</v>
      </c>
      <c r="AE1735" s="1" t="s">
        <v>109</v>
      </c>
      <c r="AF1735" s="1">
        <v>2</v>
      </c>
      <c r="AG1735" s="1" t="s">
        <v>109</v>
      </c>
      <c r="AH1735" s="1" t="s">
        <v>109</v>
      </c>
      <c r="AI1735" s="1" t="s">
        <v>109</v>
      </c>
      <c r="AJ1735" s="1">
        <v>2</v>
      </c>
      <c r="AK1735" s="1">
        <v>2</v>
      </c>
      <c r="AL1735" s="1">
        <v>2</v>
      </c>
      <c r="AM1735" s="1" t="s">
        <v>109</v>
      </c>
      <c r="AN1735" s="1" t="s">
        <v>109</v>
      </c>
      <c r="AO1735" s="1" t="s">
        <v>109</v>
      </c>
      <c r="AP1735" s="1" t="s">
        <v>12717</v>
      </c>
      <c r="AQ1735" s="1">
        <v>2</v>
      </c>
      <c r="AR1735" s="1"/>
      <c r="AS1735" s="1"/>
      <c r="AT1735" s="1">
        <v>0</v>
      </c>
      <c r="AU1735" s="1">
        <v>0</v>
      </c>
      <c r="AV1735" s="1">
        <v>0</v>
      </c>
      <c r="AW1735" s="1">
        <v>0</v>
      </c>
      <c r="AX1735" s="1">
        <v>0</v>
      </c>
      <c r="AY1735" s="1">
        <v>0</v>
      </c>
      <c r="AZ1735" s="1">
        <v>0</v>
      </c>
      <c r="BA1735" s="1">
        <v>0</v>
      </c>
      <c r="BB1735" s="1">
        <v>0</v>
      </c>
      <c r="BC1735" s="1">
        <v>0</v>
      </c>
      <c r="BD1735" s="1">
        <v>0</v>
      </c>
      <c r="BE1735" s="1">
        <v>0</v>
      </c>
      <c r="BF1735" s="1">
        <v>0</v>
      </c>
      <c r="BG1735" s="1">
        <v>0</v>
      </c>
      <c r="BH1735" s="1">
        <v>0</v>
      </c>
      <c r="BI1735" s="1">
        <v>0</v>
      </c>
      <c r="BJ1735" s="1">
        <v>0</v>
      </c>
      <c r="BK1735" s="1">
        <v>0</v>
      </c>
      <c r="BL1735" s="1">
        <v>0</v>
      </c>
      <c r="BM1735" s="1">
        <v>1</v>
      </c>
      <c r="BN1735" s="1">
        <v>0</v>
      </c>
      <c r="BO1735" s="1">
        <v>0</v>
      </c>
      <c r="BP1735" s="1">
        <v>0</v>
      </c>
      <c r="BQ1735" s="1">
        <v>0</v>
      </c>
      <c r="BR1735" s="1">
        <v>0</v>
      </c>
      <c r="BS1735" s="1" t="s">
        <v>109</v>
      </c>
      <c r="BT1735" s="1">
        <v>1805</v>
      </c>
      <c r="BU1735" s="1" t="s">
        <v>109</v>
      </c>
      <c r="BV1735" s="1"/>
      <c r="BW1735" s="1"/>
      <c r="BX1735" s="1"/>
      <c r="BY1735" s="1"/>
      <c r="BZ1735" s="1">
        <v>0</v>
      </c>
      <c r="CA1735" s="1" t="s">
        <v>109</v>
      </c>
      <c r="CB1735" s="1" t="s">
        <v>109</v>
      </c>
      <c r="CC1735" s="1" t="s">
        <v>109</v>
      </c>
      <c r="CD1735" s="1" t="s">
        <v>109</v>
      </c>
      <c r="CE1735" s="1" t="s">
        <v>109</v>
      </c>
      <c r="CF1735" s="1" t="s">
        <v>109</v>
      </c>
      <c r="CG1735" s="1" t="s">
        <v>109</v>
      </c>
      <c r="CH1735" s="1" t="s">
        <v>109</v>
      </c>
      <c r="CI1735" s="1" t="s">
        <v>109</v>
      </c>
      <c r="CJ1735" s="1" t="s">
        <v>109</v>
      </c>
      <c r="CK1735" s="1"/>
      <c r="CL1735" s="1">
        <v>0</v>
      </c>
      <c r="CM1735" s="1">
        <v>0</v>
      </c>
      <c r="CN1735" s="1">
        <v>0</v>
      </c>
    </row>
    <row r="1736" spans="1:92" ht="14.25" customHeight="1" x14ac:dyDescent="0.15">
      <c r="A1736" s="1" t="s">
        <v>12963</v>
      </c>
      <c r="B1736" s="1" t="s">
        <v>242</v>
      </c>
      <c r="C1736" s="1"/>
      <c r="D1736" s="1"/>
      <c r="E1736" s="1" t="s">
        <v>10942</v>
      </c>
      <c r="F1736" s="1" t="s">
        <v>98</v>
      </c>
      <c r="G1736" s="1" t="s">
        <v>141</v>
      </c>
      <c r="H1736" s="1">
        <v>0</v>
      </c>
      <c r="I1736" s="1" t="s">
        <v>142</v>
      </c>
      <c r="J1736" s="1"/>
      <c r="K1736" s="1"/>
      <c r="L1736" s="1" t="s">
        <v>1391</v>
      </c>
      <c r="M1736" s="1" t="s">
        <v>12964</v>
      </c>
      <c r="N1736" s="1">
        <v>0</v>
      </c>
      <c r="O1736" s="1">
        <v>0</v>
      </c>
      <c r="P1736" s="1" t="s">
        <v>301</v>
      </c>
      <c r="Q1736" s="1" t="s">
        <v>268</v>
      </c>
      <c r="R1736" s="1" t="s">
        <v>12965</v>
      </c>
      <c r="S1736" s="1" t="s">
        <v>12966</v>
      </c>
      <c r="T1736" s="1" t="s">
        <v>12653</v>
      </c>
      <c r="U1736" s="1" t="s">
        <v>12967</v>
      </c>
      <c r="V1736" s="1">
        <v>1</v>
      </c>
      <c r="W1736" s="1">
        <v>1</v>
      </c>
      <c r="X1736" s="1">
        <v>0</v>
      </c>
      <c r="Y1736" s="1">
        <v>0</v>
      </c>
      <c r="Z1736" s="1">
        <v>0</v>
      </c>
      <c r="AA1736" s="1">
        <v>7</v>
      </c>
      <c r="AB1736" s="1">
        <v>7</v>
      </c>
      <c r="AC1736" s="1">
        <v>7</v>
      </c>
      <c r="AD1736" s="1" t="s">
        <v>109</v>
      </c>
      <c r="AE1736" s="1" t="s">
        <v>109</v>
      </c>
      <c r="AF1736" s="1" t="s">
        <v>109</v>
      </c>
      <c r="AG1736" s="1" t="s">
        <v>109</v>
      </c>
      <c r="AH1736" s="1" t="s">
        <v>109</v>
      </c>
      <c r="AI1736" s="1" t="s">
        <v>109</v>
      </c>
      <c r="AJ1736" s="1">
        <v>7</v>
      </c>
      <c r="AK1736" s="1" t="s">
        <v>109</v>
      </c>
      <c r="AL1736" s="1">
        <v>7</v>
      </c>
      <c r="AM1736" s="1" t="s">
        <v>109</v>
      </c>
      <c r="AN1736" s="1" t="s">
        <v>109</v>
      </c>
      <c r="AO1736" s="1" t="s">
        <v>109</v>
      </c>
      <c r="AP1736" s="1" t="s">
        <v>12717</v>
      </c>
      <c r="AQ1736" s="1">
        <v>7</v>
      </c>
      <c r="AR1736" s="1"/>
      <c r="AS1736" s="1"/>
      <c r="AT1736" s="1">
        <v>0</v>
      </c>
      <c r="AU1736" s="1">
        <v>0</v>
      </c>
      <c r="AV1736" s="1">
        <v>0</v>
      </c>
      <c r="AW1736" s="1">
        <v>0</v>
      </c>
      <c r="AX1736" s="1">
        <v>0</v>
      </c>
      <c r="AY1736" s="1">
        <v>0</v>
      </c>
      <c r="AZ1736" s="1">
        <v>0</v>
      </c>
      <c r="BA1736" s="1">
        <v>0</v>
      </c>
      <c r="BB1736" s="1">
        <v>0</v>
      </c>
      <c r="BC1736" s="1">
        <v>0</v>
      </c>
      <c r="BD1736" s="1">
        <v>0</v>
      </c>
      <c r="BE1736" s="1">
        <v>0</v>
      </c>
      <c r="BF1736" s="1">
        <v>0</v>
      </c>
      <c r="BG1736" s="1">
        <v>0</v>
      </c>
      <c r="BH1736" s="1">
        <v>0</v>
      </c>
      <c r="BI1736" s="1">
        <v>0</v>
      </c>
      <c r="BJ1736" s="1">
        <v>0</v>
      </c>
      <c r="BK1736" s="1">
        <v>0</v>
      </c>
      <c r="BL1736" s="1">
        <v>0</v>
      </c>
      <c r="BM1736" s="1">
        <v>0</v>
      </c>
      <c r="BN1736" s="1">
        <v>0</v>
      </c>
      <c r="BO1736" s="1">
        <v>0</v>
      </c>
      <c r="BP1736" s="1">
        <v>0</v>
      </c>
      <c r="BQ1736" s="1">
        <v>0</v>
      </c>
      <c r="BR1736" s="1">
        <v>0</v>
      </c>
      <c r="BS1736" s="1" t="s">
        <v>109</v>
      </c>
      <c r="BT1736" s="1">
        <v>1806</v>
      </c>
      <c r="BU1736" s="1" t="s">
        <v>109</v>
      </c>
      <c r="BV1736" s="1"/>
      <c r="BW1736" s="1"/>
      <c r="BX1736" s="1"/>
      <c r="BY1736" s="1"/>
      <c r="BZ1736" s="1">
        <v>0</v>
      </c>
      <c r="CA1736" s="1" t="s">
        <v>109</v>
      </c>
      <c r="CB1736" s="1" t="s">
        <v>109</v>
      </c>
      <c r="CC1736" s="1" t="s">
        <v>109</v>
      </c>
      <c r="CD1736" s="1" t="s">
        <v>109</v>
      </c>
      <c r="CE1736" s="1" t="s">
        <v>109</v>
      </c>
      <c r="CF1736" s="1" t="s">
        <v>109</v>
      </c>
      <c r="CG1736" s="1" t="s">
        <v>109</v>
      </c>
      <c r="CH1736" s="1" t="s">
        <v>109</v>
      </c>
      <c r="CI1736" s="1" t="s">
        <v>109</v>
      </c>
      <c r="CJ1736" s="1" t="s">
        <v>109</v>
      </c>
      <c r="CK1736" s="1"/>
      <c r="CL1736" s="1">
        <v>0</v>
      </c>
      <c r="CM1736" s="1">
        <v>0</v>
      </c>
      <c r="CN1736" s="1">
        <v>0</v>
      </c>
    </row>
    <row r="1737" spans="1:92" ht="14.25" customHeight="1" x14ac:dyDescent="0.15">
      <c r="A1737" s="1" t="s">
        <v>12968</v>
      </c>
      <c r="B1737" s="1" t="s">
        <v>156</v>
      </c>
      <c r="C1737" s="1" t="s">
        <v>157</v>
      </c>
      <c r="D1737" s="1" t="s">
        <v>8086</v>
      </c>
      <c r="E1737" s="1" t="s">
        <v>12969</v>
      </c>
      <c r="F1737" s="1" t="s">
        <v>395</v>
      </c>
      <c r="G1737" s="1" t="s">
        <v>12970</v>
      </c>
      <c r="H1737" s="1">
        <v>1</v>
      </c>
      <c r="I1737" s="1" t="s">
        <v>4917</v>
      </c>
      <c r="J1737" s="1"/>
      <c r="K1737" s="1" t="s">
        <v>4918</v>
      </c>
      <c r="L1737" s="1"/>
      <c r="M1737" s="1" t="s">
        <v>211</v>
      </c>
      <c r="N1737" s="1">
        <v>0</v>
      </c>
      <c r="O1737" s="1">
        <v>0</v>
      </c>
      <c r="P1737" s="1" t="s">
        <v>301</v>
      </c>
      <c r="Q1737" s="1" t="s">
        <v>268</v>
      </c>
      <c r="R1737" s="1" t="s">
        <v>12971</v>
      </c>
      <c r="S1737" s="1" t="s">
        <v>12972</v>
      </c>
      <c r="T1737" s="1" t="s">
        <v>12653</v>
      </c>
      <c r="U1737" s="1" t="s">
        <v>12973</v>
      </c>
      <c r="V1737" s="1">
        <v>1</v>
      </c>
      <c r="W1737" s="1">
        <v>1</v>
      </c>
      <c r="X1737" s="1">
        <v>1</v>
      </c>
      <c r="Y1737" s="1">
        <v>0</v>
      </c>
      <c r="Z1737" s="1">
        <v>0</v>
      </c>
      <c r="AA1737" s="1">
        <v>8</v>
      </c>
      <c r="AB1737" s="1">
        <v>8</v>
      </c>
      <c r="AC1737" s="1">
        <v>8</v>
      </c>
      <c r="AD1737" s="1" t="s">
        <v>109</v>
      </c>
      <c r="AE1737" s="1" t="s">
        <v>109</v>
      </c>
      <c r="AF1737" s="1">
        <v>6</v>
      </c>
      <c r="AG1737" s="1" t="s">
        <v>109</v>
      </c>
      <c r="AH1737" s="1" t="s">
        <v>109</v>
      </c>
      <c r="AI1737" s="1" t="s">
        <v>109</v>
      </c>
      <c r="AJ1737" s="1">
        <v>8</v>
      </c>
      <c r="AK1737" s="1" t="s">
        <v>109</v>
      </c>
      <c r="AL1737" s="1">
        <v>8</v>
      </c>
      <c r="AM1737" s="1" t="s">
        <v>109</v>
      </c>
      <c r="AN1737" s="1" t="s">
        <v>109</v>
      </c>
      <c r="AO1737" s="1" t="s">
        <v>109</v>
      </c>
      <c r="AP1737" s="1"/>
      <c r="AQ1737" s="1">
        <v>8</v>
      </c>
      <c r="AR1737" s="1"/>
      <c r="AS1737" s="1"/>
      <c r="AT1737" s="1">
        <v>0</v>
      </c>
      <c r="AU1737" s="1">
        <v>0</v>
      </c>
      <c r="AV1737" s="1">
        <v>0</v>
      </c>
      <c r="AW1737" s="1">
        <v>0</v>
      </c>
      <c r="AX1737" s="1">
        <v>0</v>
      </c>
      <c r="AY1737" s="1">
        <v>0</v>
      </c>
      <c r="AZ1737" s="1">
        <v>0</v>
      </c>
      <c r="BA1737" s="1">
        <v>0</v>
      </c>
      <c r="BB1737" s="1">
        <v>0</v>
      </c>
      <c r="BC1737" s="1">
        <v>0</v>
      </c>
      <c r="BD1737" s="1">
        <v>1</v>
      </c>
      <c r="BE1737" s="1">
        <v>0</v>
      </c>
      <c r="BF1737" s="1">
        <v>0</v>
      </c>
      <c r="BG1737" s="1">
        <v>0</v>
      </c>
      <c r="BH1737" s="1">
        <v>0</v>
      </c>
      <c r="BI1737" s="1">
        <v>0</v>
      </c>
      <c r="BJ1737" s="1">
        <v>0</v>
      </c>
      <c r="BK1737" s="1">
        <v>0</v>
      </c>
      <c r="BL1737" s="1">
        <v>0</v>
      </c>
      <c r="BM1737" s="1">
        <v>1</v>
      </c>
      <c r="BN1737" s="1">
        <v>0</v>
      </c>
      <c r="BO1737" s="1">
        <v>0</v>
      </c>
      <c r="BP1737" s="1">
        <v>0</v>
      </c>
      <c r="BQ1737" s="1">
        <v>0</v>
      </c>
      <c r="BR1737" s="1">
        <v>0</v>
      </c>
      <c r="BS1737" s="1" t="s">
        <v>109</v>
      </c>
      <c r="BT1737" s="1">
        <v>1807</v>
      </c>
      <c r="BU1737" s="1">
        <v>5000</v>
      </c>
      <c r="BV1737" s="1"/>
      <c r="BW1737" s="1"/>
      <c r="BX1737" s="1"/>
      <c r="BY1737" s="1"/>
      <c r="BZ1737" s="1">
        <v>0</v>
      </c>
      <c r="CA1737" s="1" t="s">
        <v>109</v>
      </c>
      <c r="CB1737" s="1" t="s">
        <v>109</v>
      </c>
      <c r="CC1737" s="1" t="s">
        <v>109</v>
      </c>
      <c r="CD1737" s="1" t="s">
        <v>109</v>
      </c>
      <c r="CE1737" s="1" t="s">
        <v>109</v>
      </c>
      <c r="CF1737" s="1" t="s">
        <v>109</v>
      </c>
      <c r="CG1737" s="1" t="s">
        <v>109</v>
      </c>
      <c r="CH1737" s="1" t="s">
        <v>109</v>
      </c>
      <c r="CI1737" s="1" t="s">
        <v>109</v>
      </c>
      <c r="CJ1737" s="1" t="s">
        <v>109</v>
      </c>
      <c r="CK1737" s="1"/>
      <c r="CL1737" s="1">
        <v>0</v>
      </c>
      <c r="CM1737" s="1">
        <v>0</v>
      </c>
      <c r="CN1737" s="1">
        <v>0</v>
      </c>
    </row>
    <row r="1738" spans="1:92" ht="14.25" customHeight="1" x14ac:dyDescent="0.15">
      <c r="A1738" s="1" t="s">
        <v>12974</v>
      </c>
      <c r="B1738" s="1" t="s">
        <v>242</v>
      </c>
      <c r="C1738" s="1"/>
      <c r="D1738" s="1"/>
      <c r="E1738" s="1" t="s">
        <v>12447</v>
      </c>
      <c r="F1738" s="1" t="s">
        <v>395</v>
      </c>
      <c r="G1738" s="1" t="s">
        <v>12975</v>
      </c>
      <c r="H1738" s="1">
        <v>1</v>
      </c>
      <c r="I1738" s="1" t="s">
        <v>4917</v>
      </c>
      <c r="J1738" s="1"/>
      <c r="K1738" s="1" t="s">
        <v>4918</v>
      </c>
      <c r="L1738" s="1"/>
      <c r="M1738" s="1" t="s">
        <v>144</v>
      </c>
      <c r="N1738" s="1">
        <v>0</v>
      </c>
      <c r="O1738" s="1">
        <v>0</v>
      </c>
      <c r="P1738" s="1" t="s">
        <v>103</v>
      </c>
      <c r="Q1738" s="1" t="s">
        <v>104</v>
      </c>
      <c r="R1738" s="1" t="s">
        <v>12976</v>
      </c>
      <c r="S1738" s="1" t="s">
        <v>12977</v>
      </c>
      <c r="T1738" s="1" t="s">
        <v>12653</v>
      </c>
      <c r="U1738" s="1" t="s">
        <v>12978</v>
      </c>
      <c r="V1738" s="1">
        <v>1</v>
      </c>
      <c r="W1738" s="1">
        <v>1</v>
      </c>
      <c r="X1738" s="1">
        <v>1</v>
      </c>
      <c r="Y1738" s="1">
        <v>0</v>
      </c>
      <c r="Z1738" s="1">
        <v>0</v>
      </c>
      <c r="AA1738" s="1">
        <v>8</v>
      </c>
      <c r="AB1738" s="1">
        <v>8</v>
      </c>
      <c r="AC1738" s="1">
        <v>8</v>
      </c>
      <c r="AD1738" s="1" t="s">
        <v>109</v>
      </c>
      <c r="AE1738" s="1" t="s">
        <v>109</v>
      </c>
      <c r="AF1738" s="1" t="s">
        <v>109</v>
      </c>
      <c r="AG1738" s="1" t="s">
        <v>109</v>
      </c>
      <c r="AH1738" s="1" t="s">
        <v>109</v>
      </c>
      <c r="AI1738" s="1" t="s">
        <v>109</v>
      </c>
      <c r="AJ1738" s="1">
        <v>8</v>
      </c>
      <c r="AK1738" s="1" t="s">
        <v>109</v>
      </c>
      <c r="AL1738" s="1">
        <v>8</v>
      </c>
      <c r="AM1738" s="1" t="s">
        <v>109</v>
      </c>
      <c r="AN1738" s="1" t="s">
        <v>109</v>
      </c>
      <c r="AO1738" s="1" t="s">
        <v>109</v>
      </c>
      <c r="AP1738" s="1"/>
      <c r="AQ1738" s="1">
        <v>8</v>
      </c>
      <c r="AR1738" s="1"/>
      <c r="AS1738" s="1"/>
      <c r="AT1738" s="1">
        <v>0</v>
      </c>
      <c r="AU1738" s="1">
        <v>0</v>
      </c>
      <c r="AV1738" s="1">
        <v>0</v>
      </c>
      <c r="AW1738" s="1">
        <v>0</v>
      </c>
      <c r="AX1738" s="1">
        <v>0</v>
      </c>
      <c r="AY1738" s="1">
        <v>0</v>
      </c>
      <c r="AZ1738" s="1">
        <v>0</v>
      </c>
      <c r="BA1738" s="1">
        <v>0</v>
      </c>
      <c r="BB1738" s="1">
        <v>0</v>
      </c>
      <c r="BC1738" s="1">
        <v>0</v>
      </c>
      <c r="BD1738" s="1">
        <v>0</v>
      </c>
      <c r="BE1738" s="1">
        <v>0</v>
      </c>
      <c r="BF1738" s="1">
        <v>0</v>
      </c>
      <c r="BG1738" s="1">
        <v>0</v>
      </c>
      <c r="BH1738" s="1">
        <v>0</v>
      </c>
      <c r="BI1738" s="1">
        <v>0</v>
      </c>
      <c r="BJ1738" s="1">
        <v>0</v>
      </c>
      <c r="BK1738" s="1">
        <v>0</v>
      </c>
      <c r="BL1738" s="1">
        <v>0</v>
      </c>
      <c r="BM1738" s="1">
        <v>0</v>
      </c>
      <c r="BN1738" s="1">
        <v>0</v>
      </c>
      <c r="BO1738" s="1">
        <v>0</v>
      </c>
      <c r="BP1738" s="1">
        <v>0</v>
      </c>
      <c r="BQ1738" s="1">
        <v>0</v>
      </c>
      <c r="BR1738" s="1">
        <v>0</v>
      </c>
      <c r="BS1738" s="1" t="s">
        <v>109</v>
      </c>
      <c r="BT1738" s="1">
        <v>1808</v>
      </c>
      <c r="BU1738" s="1">
        <v>5000</v>
      </c>
      <c r="BV1738" s="1"/>
      <c r="BW1738" s="1"/>
      <c r="BX1738" s="1"/>
      <c r="BY1738" s="1"/>
      <c r="BZ1738" s="1">
        <v>0</v>
      </c>
      <c r="CA1738" s="1" t="s">
        <v>109</v>
      </c>
      <c r="CB1738" s="1" t="s">
        <v>109</v>
      </c>
      <c r="CC1738" s="1" t="s">
        <v>109</v>
      </c>
      <c r="CD1738" s="1" t="s">
        <v>109</v>
      </c>
      <c r="CE1738" s="1" t="s">
        <v>109</v>
      </c>
      <c r="CF1738" s="1" t="s">
        <v>109</v>
      </c>
      <c r="CG1738" s="1" t="s">
        <v>109</v>
      </c>
      <c r="CH1738" s="1" t="s">
        <v>109</v>
      </c>
      <c r="CI1738" s="1" t="s">
        <v>109</v>
      </c>
      <c r="CJ1738" s="1" t="s">
        <v>109</v>
      </c>
      <c r="CK1738" s="1"/>
      <c r="CL1738" s="1">
        <v>0</v>
      </c>
      <c r="CM1738" s="1">
        <v>0</v>
      </c>
      <c r="CN1738" s="1">
        <v>0</v>
      </c>
    </row>
    <row r="1739" spans="1:92" ht="14.25" customHeight="1" x14ac:dyDescent="0.15">
      <c r="A1739" s="1" t="s">
        <v>12979</v>
      </c>
      <c r="B1739" s="1" t="s">
        <v>254</v>
      </c>
      <c r="C1739" s="1"/>
      <c r="D1739" s="1"/>
      <c r="E1739" s="1" t="s">
        <v>12980</v>
      </c>
      <c r="F1739" s="1" t="s">
        <v>98</v>
      </c>
      <c r="G1739" s="1" t="s">
        <v>12981</v>
      </c>
      <c r="H1739" s="1">
        <v>0</v>
      </c>
      <c r="I1739" s="1" t="s">
        <v>235</v>
      </c>
      <c r="J1739" s="1"/>
      <c r="K1739" s="1"/>
      <c r="L1739" s="1" t="s">
        <v>236</v>
      </c>
      <c r="M1739" s="1" t="s">
        <v>3042</v>
      </c>
      <c r="N1739" s="1">
        <v>0</v>
      </c>
      <c r="O1739" s="1">
        <v>0</v>
      </c>
      <c r="P1739" s="1"/>
      <c r="Q1739" s="1"/>
      <c r="R1739" s="1" t="s">
        <v>12982</v>
      </c>
      <c r="S1739" s="1" t="s">
        <v>12983</v>
      </c>
      <c r="T1739" s="1" t="s">
        <v>12653</v>
      </c>
      <c r="U1739" s="1" t="s">
        <v>12984</v>
      </c>
      <c r="V1739" s="1">
        <v>1</v>
      </c>
      <c r="W1739" s="1">
        <v>0</v>
      </c>
      <c r="X1739" s="1">
        <v>1</v>
      </c>
      <c r="Y1739" s="1">
        <v>0</v>
      </c>
      <c r="Z1739" s="1">
        <v>0</v>
      </c>
      <c r="AA1739" s="1" t="s">
        <v>109</v>
      </c>
      <c r="AB1739" s="1" t="s">
        <v>109</v>
      </c>
      <c r="AC1739" s="1">
        <v>1</v>
      </c>
      <c r="AD1739" s="1" t="s">
        <v>109</v>
      </c>
      <c r="AE1739" s="1" t="s">
        <v>109</v>
      </c>
      <c r="AF1739" s="1">
        <v>1</v>
      </c>
      <c r="AG1739" s="1" t="s">
        <v>109</v>
      </c>
      <c r="AH1739" s="1" t="s">
        <v>109</v>
      </c>
      <c r="AI1739" s="1" t="s">
        <v>109</v>
      </c>
      <c r="AJ1739" s="1">
        <v>1</v>
      </c>
      <c r="AK1739" s="1" t="s">
        <v>109</v>
      </c>
      <c r="AL1739" s="1">
        <v>1</v>
      </c>
      <c r="AM1739" s="1" t="s">
        <v>109</v>
      </c>
      <c r="AN1739" s="1" t="s">
        <v>109</v>
      </c>
      <c r="AO1739" s="1" t="s">
        <v>109</v>
      </c>
      <c r="AP1739" s="1" t="s">
        <v>7814</v>
      </c>
      <c r="AQ1739" s="1">
        <v>1</v>
      </c>
      <c r="AR1739" s="1"/>
      <c r="AS1739" s="1"/>
      <c r="AT1739" s="1">
        <v>0</v>
      </c>
      <c r="AU1739" s="1">
        <v>0</v>
      </c>
      <c r="AV1739" s="1">
        <v>0</v>
      </c>
      <c r="AW1739" s="1">
        <v>0</v>
      </c>
      <c r="AX1739" s="1">
        <v>0</v>
      </c>
      <c r="AY1739" s="1">
        <v>0</v>
      </c>
      <c r="AZ1739" s="1">
        <v>0</v>
      </c>
      <c r="BA1739" s="1">
        <v>0</v>
      </c>
      <c r="BB1739" s="1">
        <v>0</v>
      </c>
      <c r="BC1739" s="1">
        <v>0</v>
      </c>
      <c r="BD1739" s="1">
        <v>0</v>
      </c>
      <c r="BE1739" s="1">
        <v>0</v>
      </c>
      <c r="BF1739" s="1">
        <v>0</v>
      </c>
      <c r="BG1739" s="1">
        <v>0</v>
      </c>
      <c r="BH1739" s="1">
        <v>0</v>
      </c>
      <c r="BI1739" s="1">
        <v>0</v>
      </c>
      <c r="BJ1739" s="1">
        <v>0</v>
      </c>
      <c r="BK1739" s="1">
        <v>0</v>
      </c>
      <c r="BL1739" s="1">
        <v>0</v>
      </c>
      <c r="BM1739" s="1">
        <v>0</v>
      </c>
      <c r="BN1739" s="1">
        <v>0</v>
      </c>
      <c r="BO1739" s="1">
        <v>0</v>
      </c>
      <c r="BP1739" s="1">
        <v>0</v>
      </c>
      <c r="BQ1739" s="1">
        <v>0</v>
      </c>
      <c r="BR1739" s="1">
        <v>0</v>
      </c>
      <c r="BS1739" s="1" t="s">
        <v>109</v>
      </c>
      <c r="BT1739" s="1">
        <v>1809</v>
      </c>
      <c r="BU1739" s="1" t="s">
        <v>109</v>
      </c>
      <c r="BV1739" s="1"/>
      <c r="BW1739" s="1"/>
      <c r="BX1739" s="1"/>
      <c r="BY1739" s="1"/>
      <c r="BZ1739" s="1">
        <v>0</v>
      </c>
      <c r="CA1739" s="1" t="s">
        <v>109</v>
      </c>
      <c r="CB1739" s="1" t="s">
        <v>109</v>
      </c>
      <c r="CC1739" s="1" t="s">
        <v>109</v>
      </c>
      <c r="CD1739" s="1" t="s">
        <v>109</v>
      </c>
      <c r="CE1739" s="1" t="s">
        <v>109</v>
      </c>
      <c r="CF1739" s="1" t="s">
        <v>109</v>
      </c>
      <c r="CG1739" s="1" t="s">
        <v>109</v>
      </c>
      <c r="CH1739" s="1" t="s">
        <v>109</v>
      </c>
      <c r="CI1739" s="1" t="s">
        <v>109</v>
      </c>
      <c r="CJ1739" s="1" t="s">
        <v>109</v>
      </c>
      <c r="CK1739" s="1"/>
      <c r="CL1739" s="1">
        <v>0</v>
      </c>
      <c r="CM1739" s="1">
        <v>0</v>
      </c>
      <c r="CN1739" s="1">
        <v>0</v>
      </c>
    </row>
    <row r="1740" spans="1:92" ht="14.25" customHeight="1" x14ac:dyDescent="0.15">
      <c r="A1740" s="1" t="s">
        <v>12985</v>
      </c>
      <c r="B1740" s="1" t="s">
        <v>308</v>
      </c>
      <c r="C1740" s="1"/>
      <c r="D1740" s="1"/>
      <c r="E1740" s="1" t="s">
        <v>12986</v>
      </c>
      <c r="F1740" s="1" t="s">
        <v>98</v>
      </c>
      <c r="G1740" s="1" t="s">
        <v>141</v>
      </c>
      <c r="H1740" s="1">
        <v>0</v>
      </c>
      <c r="I1740" s="1" t="s">
        <v>161</v>
      </c>
      <c r="J1740" s="1"/>
      <c r="K1740" s="1"/>
      <c r="L1740" s="1" t="s">
        <v>162</v>
      </c>
      <c r="M1740" s="1" t="s">
        <v>125</v>
      </c>
      <c r="N1740" s="1">
        <v>0</v>
      </c>
      <c r="O1740" s="1">
        <v>0</v>
      </c>
      <c r="P1740" s="1" t="s">
        <v>301</v>
      </c>
      <c r="Q1740" s="1" t="s">
        <v>268</v>
      </c>
      <c r="R1740" s="1" t="s">
        <v>12987</v>
      </c>
      <c r="S1740" s="1" t="s">
        <v>12988</v>
      </c>
      <c r="T1740" s="1" t="s">
        <v>12653</v>
      </c>
      <c r="U1740" s="1" t="s">
        <v>12989</v>
      </c>
      <c r="V1740" s="1">
        <v>1</v>
      </c>
      <c r="W1740" s="1">
        <v>1</v>
      </c>
      <c r="X1740" s="1">
        <v>0</v>
      </c>
      <c r="Y1740" s="1">
        <v>0</v>
      </c>
      <c r="Z1740" s="1">
        <v>0</v>
      </c>
      <c r="AA1740" s="1">
        <v>2</v>
      </c>
      <c r="AB1740" s="1">
        <v>2</v>
      </c>
      <c r="AC1740" s="1">
        <v>1</v>
      </c>
      <c r="AD1740" s="1">
        <v>1</v>
      </c>
      <c r="AE1740" s="1" t="s">
        <v>109</v>
      </c>
      <c r="AF1740" s="1" t="s">
        <v>109</v>
      </c>
      <c r="AG1740" s="1" t="s">
        <v>109</v>
      </c>
      <c r="AH1740" s="1" t="s">
        <v>109</v>
      </c>
      <c r="AI1740" s="1" t="s">
        <v>109</v>
      </c>
      <c r="AJ1740" s="1">
        <v>2</v>
      </c>
      <c r="AK1740" s="1" t="s">
        <v>109</v>
      </c>
      <c r="AL1740" s="1">
        <v>1</v>
      </c>
      <c r="AM1740" s="1">
        <v>2</v>
      </c>
      <c r="AN1740" s="1" t="s">
        <v>109</v>
      </c>
      <c r="AO1740" s="1" t="s">
        <v>109</v>
      </c>
      <c r="AP1740" s="1" t="s">
        <v>12873</v>
      </c>
      <c r="AQ1740" s="1">
        <v>2</v>
      </c>
      <c r="AR1740" s="1"/>
      <c r="AS1740" s="1"/>
      <c r="AT1740" s="1">
        <v>0</v>
      </c>
      <c r="AU1740" s="1">
        <v>0</v>
      </c>
      <c r="AV1740" s="1">
        <v>0</v>
      </c>
      <c r="AW1740" s="1">
        <v>0</v>
      </c>
      <c r="AX1740" s="1">
        <v>0</v>
      </c>
      <c r="AY1740" s="1">
        <v>0</v>
      </c>
      <c r="AZ1740" s="1">
        <v>0</v>
      </c>
      <c r="BA1740" s="1">
        <v>0</v>
      </c>
      <c r="BB1740" s="1">
        <v>0</v>
      </c>
      <c r="BC1740" s="1">
        <v>0</v>
      </c>
      <c r="BD1740" s="1">
        <v>0</v>
      </c>
      <c r="BE1740" s="1">
        <v>0</v>
      </c>
      <c r="BF1740" s="1">
        <v>0</v>
      </c>
      <c r="BG1740" s="1">
        <v>0</v>
      </c>
      <c r="BH1740" s="1">
        <v>0</v>
      </c>
      <c r="BI1740" s="1">
        <v>0</v>
      </c>
      <c r="BJ1740" s="1">
        <v>0</v>
      </c>
      <c r="BK1740" s="1">
        <v>0</v>
      </c>
      <c r="BL1740" s="1">
        <v>0</v>
      </c>
      <c r="BM1740" s="1">
        <v>0</v>
      </c>
      <c r="BN1740" s="1">
        <v>0</v>
      </c>
      <c r="BO1740" s="1">
        <v>0</v>
      </c>
      <c r="BP1740" s="1">
        <v>0</v>
      </c>
      <c r="BQ1740" s="1">
        <v>0</v>
      </c>
      <c r="BR1740" s="1">
        <v>0</v>
      </c>
      <c r="BS1740" s="1" t="s">
        <v>109</v>
      </c>
      <c r="BT1740" s="1">
        <v>1810</v>
      </c>
      <c r="BU1740" s="1" t="s">
        <v>109</v>
      </c>
      <c r="BV1740" s="1"/>
      <c r="BW1740" s="1"/>
      <c r="BX1740" s="1"/>
      <c r="BY1740" s="1"/>
      <c r="BZ1740" s="1">
        <v>0</v>
      </c>
      <c r="CA1740" s="1" t="s">
        <v>109</v>
      </c>
      <c r="CB1740" s="1" t="s">
        <v>109</v>
      </c>
      <c r="CC1740" s="1" t="s">
        <v>109</v>
      </c>
      <c r="CD1740" s="1" t="s">
        <v>109</v>
      </c>
      <c r="CE1740" s="1" t="s">
        <v>109</v>
      </c>
      <c r="CF1740" s="1" t="s">
        <v>109</v>
      </c>
      <c r="CG1740" s="1" t="s">
        <v>109</v>
      </c>
      <c r="CH1740" s="1" t="s">
        <v>109</v>
      </c>
      <c r="CI1740" s="1" t="s">
        <v>109</v>
      </c>
      <c r="CJ1740" s="1">
        <v>1</v>
      </c>
      <c r="CK1740" s="1"/>
      <c r="CL1740" s="1">
        <v>0</v>
      </c>
      <c r="CM1740" s="1">
        <v>0</v>
      </c>
      <c r="CN1740" s="1">
        <v>0</v>
      </c>
    </row>
    <row r="1741" spans="1:92" ht="14.25" customHeight="1" x14ac:dyDescent="0.15">
      <c r="A1741" s="1" t="s">
        <v>12990</v>
      </c>
      <c r="B1741" s="1" t="s">
        <v>584</v>
      </c>
      <c r="C1741" s="1"/>
      <c r="D1741" s="1"/>
      <c r="E1741" s="1" t="s">
        <v>12991</v>
      </c>
      <c r="F1741" s="1" t="s">
        <v>98</v>
      </c>
      <c r="G1741" s="1" t="s">
        <v>2570</v>
      </c>
      <c r="H1741" s="1">
        <v>0</v>
      </c>
      <c r="I1741" s="1" t="s">
        <v>100</v>
      </c>
      <c r="J1741" s="1"/>
      <c r="K1741" s="1"/>
      <c r="L1741" s="1" t="s">
        <v>1391</v>
      </c>
      <c r="M1741" s="1" t="s">
        <v>6625</v>
      </c>
      <c r="N1741" s="1">
        <v>1</v>
      </c>
      <c r="O1741" s="1">
        <v>0</v>
      </c>
      <c r="P1741" s="1" t="s">
        <v>301</v>
      </c>
      <c r="Q1741" s="1" t="s">
        <v>268</v>
      </c>
      <c r="R1741" s="1" t="s">
        <v>12992</v>
      </c>
      <c r="S1741" s="1" t="s">
        <v>12993</v>
      </c>
      <c r="T1741" s="1" t="s">
        <v>12653</v>
      </c>
      <c r="U1741" s="1" t="s">
        <v>12994</v>
      </c>
      <c r="V1741" s="1">
        <v>0</v>
      </c>
      <c r="W1741" s="1">
        <v>1</v>
      </c>
      <c r="X1741" s="1">
        <v>0</v>
      </c>
      <c r="Y1741" s="1">
        <v>0</v>
      </c>
      <c r="Z1741" s="1">
        <v>1</v>
      </c>
      <c r="AA1741" s="1" t="s">
        <v>109</v>
      </c>
      <c r="AB1741" s="1" t="s">
        <v>109</v>
      </c>
      <c r="AC1741" s="1">
        <v>1</v>
      </c>
      <c r="AD1741" s="1">
        <v>1</v>
      </c>
      <c r="AE1741" s="1">
        <v>1</v>
      </c>
      <c r="AF1741" s="1" t="s">
        <v>109</v>
      </c>
      <c r="AG1741" s="1">
        <v>1</v>
      </c>
      <c r="AH1741" s="1" t="s">
        <v>109</v>
      </c>
      <c r="AI1741" s="1" t="s">
        <v>109</v>
      </c>
      <c r="AJ1741" s="1" t="s">
        <v>109</v>
      </c>
      <c r="AK1741" s="1" t="s">
        <v>109</v>
      </c>
      <c r="AL1741" s="1">
        <v>1</v>
      </c>
      <c r="AM1741" s="1" t="s">
        <v>109</v>
      </c>
      <c r="AN1741" s="1" t="s">
        <v>109</v>
      </c>
      <c r="AO1741" s="1" t="s">
        <v>109</v>
      </c>
      <c r="AP1741" s="1" t="s">
        <v>12732</v>
      </c>
      <c r="AQ1741" s="1">
        <v>1</v>
      </c>
      <c r="AR1741" s="1"/>
      <c r="AS1741" s="1"/>
      <c r="AT1741" s="1">
        <v>0</v>
      </c>
      <c r="AU1741" s="1">
        <v>0</v>
      </c>
      <c r="AV1741" s="1">
        <v>0</v>
      </c>
      <c r="AW1741" s="1">
        <v>0</v>
      </c>
      <c r="AX1741" s="1">
        <v>0</v>
      </c>
      <c r="AY1741" s="1">
        <v>0</v>
      </c>
      <c r="AZ1741" s="1">
        <v>0</v>
      </c>
      <c r="BA1741" s="1">
        <v>0</v>
      </c>
      <c r="BB1741" s="1">
        <v>0</v>
      </c>
      <c r="BC1741" s="1">
        <v>0</v>
      </c>
      <c r="BD1741" s="1">
        <v>0</v>
      </c>
      <c r="BE1741" s="1">
        <v>0</v>
      </c>
      <c r="BF1741" s="1">
        <v>0</v>
      </c>
      <c r="BG1741" s="1">
        <v>0</v>
      </c>
      <c r="BH1741" s="1">
        <v>0</v>
      </c>
      <c r="BI1741" s="1">
        <v>0</v>
      </c>
      <c r="BJ1741" s="1">
        <v>0</v>
      </c>
      <c r="BK1741" s="1">
        <v>0</v>
      </c>
      <c r="BL1741" s="1">
        <v>0</v>
      </c>
      <c r="BM1741" s="1">
        <v>0</v>
      </c>
      <c r="BN1741" s="1">
        <v>0</v>
      </c>
      <c r="BO1741" s="1">
        <v>0</v>
      </c>
      <c r="BP1741" s="1">
        <v>0</v>
      </c>
      <c r="BQ1741" s="1">
        <v>0</v>
      </c>
      <c r="BR1741" s="1">
        <v>0</v>
      </c>
      <c r="BS1741" s="1" t="s">
        <v>109</v>
      </c>
      <c r="BT1741" s="1">
        <v>1811</v>
      </c>
      <c r="BU1741" s="1" t="s">
        <v>109</v>
      </c>
      <c r="BV1741" s="1"/>
      <c r="BW1741" s="1"/>
      <c r="BX1741" s="1"/>
      <c r="BY1741" s="1"/>
      <c r="BZ1741" s="1">
        <v>0</v>
      </c>
      <c r="CA1741" s="1" t="s">
        <v>109</v>
      </c>
      <c r="CB1741" s="1" t="s">
        <v>109</v>
      </c>
      <c r="CC1741" s="1" t="s">
        <v>109</v>
      </c>
      <c r="CD1741" s="1" t="s">
        <v>109</v>
      </c>
      <c r="CE1741" s="1" t="s">
        <v>109</v>
      </c>
      <c r="CF1741" s="1" t="s">
        <v>109</v>
      </c>
      <c r="CG1741" s="1" t="s">
        <v>109</v>
      </c>
      <c r="CH1741" s="1" t="s">
        <v>109</v>
      </c>
      <c r="CI1741" s="1" t="s">
        <v>109</v>
      </c>
      <c r="CJ1741" s="1">
        <v>1</v>
      </c>
      <c r="CK1741" s="1"/>
      <c r="CL1741" s="1">
        <v>0</v>
      </c>
      <c r="CM1741" s="1">
        <v>0</v>
      </c>
      <c r="CN1741" s="1">
        <v>0</v>
      </c>
    </row>
    <row r="1742" spans="1:92" ht="14.25" customHeight="1" x14ac:dyDescent="0.15">
      <c r="A1742" s="1" t="s">
        <v>12995</v>
      </c>
      <c r="B1742" s="1" t="s">
        <v>189</v>
      </c>
      <c r="C1742" s="1"/>
      <c r="D1742" s="1" t="s">
        <v>57</v>
      </c>
      <c r="E1742" s="1" t="s">
        <v>12996</v>
      </c>
      <c r="F1742" s="1" t="s">
        <v>355</v>
      </c>
      <c r="G1742" s="1" t="s">
        <v>12997</v>
      </c>
      <c r="H1742" s="1">
        <v>0</v>
      </c>
      <c r="I1742" s="1" t="s">
        <v>235</v>
      </c>
      <c r="J1742" s="1"/>
      <c r="K1742" s="1"/>
      <c r="L1742" s="1" t="s">
        <v>236</v>
      </c>
      <c r="M1742" s="1" t="s">
        <v>408</v>
      </c>
      <c r="N1742" s="1">
        <v>0</v>
      </c>
      <c r="O1742" s="1">
        <v>0</v>
      </c>
      <c r="P1742" s="1"/>
      <c r="Q1742" s="1"/>
      <c r="R1742" s="1" t="s">
        <v>12998</v>
      </c>
      <c r="S1742" s="1" t="s">
        <v>12999</v>
      </c>
      <c r="T1742" s="1" t="s">
        <v>12653</v>
      </c>
      <c r="U1742" s="1" t="s">
        <v>13000</v>
      </c>
      <c r="V1742" s="1">
        <v>1</v>
      </c>
      <c r="W1742" s="1">
        <v>1</v>
      </c>
      <c r="X1742" s="1">
        <v>1</v>
      </c>
      <c r="Y1742" s="1">
        <v>0</v>
      </c>
      <c r="Z1742" s="1">
        <v>0</v>
      </c>
      <c r="AA1742" s="1">
        <v>5</v>
      </c>
      <c r="AB1742" s="1">
        <v>5</v>
      </c>
      <c r="AC1742" s="1">
        <v>4</v>
      </c>
      <c r="AD1742" s="1" t="s">
        <v>109</v>
      </c>
      <c r="AE1742" s="1" t="s">
        <v>109</v>
      </c>
      <c r="AF1742" s="1" t="s">
        <v>109</v>
      </c>
      <c r="AG1742" s="1" t="s">
        <v>109</v>
      </c>
      <c r="AH1742" s="1">
        <v>5</v>
      </c>
      <c r="AI1742" s="1" t="s">
        <v>109</v>
      </c>
      <c r="AJ1742" s="1">
        <v>5</v>
      </c>
      <c r="AK1742" s="1">
        <v>4</v>
      </c>
      <c r="AL1742" s="1">
        <v>4</v>
      </c>
      <c r="AM1742" s="1">
        <v>4</v>
      </c>
      <c r="AN1742" s="1">
        <v>5</v>
      </c>
      <c r="AO1742" s="1" t="s">
        <v>109</v>
      </c>
      <c r="AP1742" s="1"/>
      <c r="AQ1742" s="1">
        <v>5</v>
      </c>
      <c r="AR1742" s="1"/>
      <c r="AS1742" s="1"/>
      <c r="AT1742" s="1">
        <v>0</v>
      </c>
      <c r="AU1742" s="1">
        <v>0</v>
      </c>
      <c r="AV1742" s="1">
        <v>0</v>
      </c>
      <c r="AW1742" s="1">
        <v>0</v>
      </c>
      <c r="AX1742" s="1">
        <v>0</v>
      </c>
      <c r="AY1742" s="1">
        <v>0</v>
      </c>
      <c r="AZ1742" s="1">
        <v>0</v>
      </c>
      <c r="BA1742" s="1">
        <v>0</v>
      </c>
      <c r="BB1742" s="1">
        <v>0</v>
      </c>
      <c r="BC1742" s="1">
        <v>0</v>
      </c>
      <c r="BD1742" s="1">
        <v>0</v>
      </c>
      <c r="BE1742" s="1">
        <v>1</v>
      </c>
      <c r="BF1742" s="1">
        <v>0</v>
      </c>
      <c r="BG1742" s="1">
        <v>0</v>
      </c>
      <c r="BH1742" s="1">
        <v>0</v>
      </c>
      <c r="BI1742" s="1">
        <v>0</v>
      </c>
      <c r="BJ1742" s="1">
        <v>0</v>
      </c>
      <c r="BK1742" s="1">
        <v>0</v>
      </c>
      <c r="BL1742" s="1">
        <v>0</v>
      </c>
      <c r="BM1742" s="1">
        <v>0</v>
      </c>
      <c r="BN1742" s="1">
        <v>0</v>
      </c>
      <c r="BO1742" s="1">
        <v>0</v>
      </c>
      <c r="BP1742" s="1">
        <v>0</v>
      </c>
      <c r="BQ1742" s="1">
        <v>0</v>
      </c>
      <c r="BR1742" s="1">
        <v>0</v>
      </c>
      <c r="BS1742" s="1" t="s">
        <v>109</v>
      </c>
      <c r="BT1742" s="1">
        <v>1812</v>
      </c>
      <c r="BU1742" s="1" t="s">
        <v>109</v>
      </c>
      <c r="BV1742" s="1"/>
      <c r="BW1742" s="1"/>
      <c r="BX1742" s="1"/>
      <c r="BY1742" s="1"/>
      <c r="BZ1742" s="1">
        <v>0</v>
      </c>
      <c r="CA1742" s="1" t="s">
        <v>109</v>
      </c>
      <c r="CB1742" s="1" t="s">
        <v>109</v>
      </c>
      <c r="CC1742" s="1" t="s">
        <v>109</v>
      </c>
      <c r="CD1742" s="1" t="s">
        <v>109</v>
      </c>
      <c r="CE1742" s="1" t="s">
        <v>109</v>
      </c>
      <c r="CF1742" s="1" t="s">
        <v>109</v>
      </c>
      <c r="CG1742" s="1" t="s">
        <v>109</v>
      </c>
      <c r="CH1742" s="1" t="s">
        <v>109</v>
      </c>
      <c r="CI1742" s="1" t="s">
        <v>109</v>
      </c>
      <c r="CJ1742" s="1" t="s">
        <v>109</v>
      </c>
      <c r="CK1742" s="1"/>
      <c r="CL1742" s="1">
        <v>0</v>
      </c>
      <c r="CM1742" s="1">
        <v>0</v>
      </c>
      <c r="CN1742" s="1">
        <v>0</v>
      </c>
    </row>
    <row r="1743" spans="1:92" ht="14.25" customHeight="1" x14ac:dyDescent="0.15">
      <c r="A1743" s="1" t="s">
        <v>13001</v>
      </c>
      <c r="B1743" s="1" t="s">
        <v>584</v>
      </c>
      <c r="C1743" s="1"/>
      <c r="D1743" s="1" t="s">
        <v>64</v>
      </c>
      <c r="E1743" s="1" t="s">
        <v>13002</v>
      </c>
      <c r="F1743" s="1" t="s">
        <v>98</v>
      </c>
      <c r="G1743" s="1" t="s">
        <v>141</v>
      </c>
      <c r="H1743" s="1">
        <v>0</v>
      </c>
      <c r="I1743" s="1" t="s">
        <v>122</v>
      </c>
      <c r="J1743" s="1"/>
      <c r="K1743" s="1"/>
      <c r="L1743" s="1" t="s">
        <v>13003</v>
      </c>
      <c r="M1743" s="1" t="s">
        <v>3042</v>
      </c>
      <c r="N1743" s="1">
        <v>0</v>
      </c>
      <c r="O1743" s="1">
        <v>0</v>
      </c>
      <c r="P1743" s="1" t="s">
        <v>301</v>
      </c>
      <c r="Q1743" s="1" t="s">
        <v>268</v>
      </c>
      <c r="R1743" s="1" t="s">
        <v>13004</v>
      </c>
      <c r="S1743" s="1" t="s">
        <v>13005</v>
      </c>
      <c r="T1743" s="1" t="s">
        <v>12653</v>
      </c>
      <c r="U1743" s="1" t="s">
        <v>13006</v>
      </c>
      <c r="V1743" s="1">
        <v>1</v>
      </c>
      <c r="W1743" s="1">
        <v>1</v>
      </c>
      <c r="X1743" s="1">
        <v>0</v>
      </c>
      <c r="Y1743" s="1">
        <v>0</v>
      </c>
      <c r="Z1743" s="1">
        <v>0</v>
      </c>
      <c r="AA1743" s="1">
        <v>1</v>
      </c>
      <c r="AB1743" s="1">
        <v>1</v>
      </c>
      <c r="AC1743" s="1">
        <v>1</v>
      </c>
      <c r="AD1743" s="1" t="s">
        <v>109</v>
      </c>
      <c r="AE1743" s="1" t="s">
        <v>109</v>
      </c>
      <c r="AF1743" s="1" t="s">
        <v>109</v>
      </c>
      <c r="AG1743" s="1">
        <v>1</v>
      </c>
      <c r="AH1743" s="1" t="s">
        <v>109</v>
      </c>
      <c r="AI1743" s="1" t="s">
        <v>109</v>
      </c>
      <c r="AJ1743" s="1" t="s">
        <v>109</v>
      </c>
      <c r="AK1743" s="1" t="s">
        <v>109</v>
      </c>
      <c r="AL1743" s="1">
        <v>1</v>
      </c>
      <c r="AM1743" s="1" t="s">
        <v>109</v>
      </c>
      <c r="AN1743" s="1" t="s">
        <v>109</v>
      </c>
      <c r="AO1743" s="1" t="s">
        <v>109</v>
      </c>
      <c r="AP1743" s="1" t="s">
        <v>12938</v>
      </c>
      <c r="AQ1743" s="1">
        <v>1</v>
      </c>
      <c r="AR1743" s="1"/>
      <c r="AS1743" s="1"/>
      <c r="AT1743" s="1">
        <v>0</v>
      </c>
      <c r="AU1743" s="1">
        <v>0</v>
      </c>
      <c r="AV1743" s="1">
        <v>0</v>
      </c>
      <c r="AW1743" s="1">
        <v>0</v>
      </c>
      <c r="AX1743" s="1">
        <v>0</v>
      </c>
      <c r="AY1743" s="1">
        <v>0</v>
      </c>
      <c r="AZ1743" s="1">
        <v>0</v>
      </c>
      <c r="BA1743" s="1">
        <v>0</v>
      </c>
      <c r="BB1743" s="1">
        <v>0</v>
      </c>
      <c r="BC1743" s="1">
        <v>0</v>
      </c>
      <c r="BD1743" s="1">
        <v>0</v>
      </c>
      <c r="BE1743" s="1">
        <v>0</v>
      </c>
      <c r="BF1743" s="1">
        <v>0</v>
      </c>
      <c r="BG1743" s="1">
        <v>0</v>
      </c>
      <c r="BH1743" s="1">
        <v>0</v>
      </c>
      <c r="BI1743" s="1">
        <v>0</v>
      </c>
      <c r="BJ1743" s="1">
        <v>0</v>
      </c>
      <c r="BK1743" s="1">
        <v>0</v>
      </c>
      <c r="BL1743" s="1">
        <v>1</v>
      </c>
      <c r="BM1743" s="1">
        <v>0</v>
      </c>
      <c r="BN1743" s="1">
        <v>0</v>
      </c>
      <c r="BO1743" s="1">
        <v>0</v>
      </c>
      <c r="BP1743" s="1">
        <v>0</v>
      </c>
      <c r="BQ1743" s="1">
        <v>0</v>
      </c>
      <c r="BR1743" s="1">
        <v>0</v>
      </c>
      <c r="BS1743" s="1" t="s">
        <v>109</v>
      </c>
      <c r="BT1743" s="1">
        <v>1813</v>
      </c>
      <c r="BU1743" s="1" t="s">
        <v>109</v>
      </c>
      <c r="BV1743" s="1"/>
      <c r="BW1743" s="1"/>
      <c r="BX1743" s="1"/>
      <c r="BY1743" s="1"/>
      <c r="BZ1743" s="1">
        <v>0</v>
      </c>
      <c r="CA1743" s="1" t="s">
        <v>109</v>
      </c>
      <c r="CB1743" s="1" t="s">
        <v>109</v>
      </c>
      <c r="CC1743" s="1" t="s">
        <v>109</v>
      </c>
      <c r="CD1743" s="1" t="s">
        <v>109</v>
      </c>
      <c r="CE1743" s="1" t="s">
        <v>109</v>
      </c>
      <c r="CF1743" s="1" t="s">
        <v>109</v>
      </c>
      <c r="CG1743" s="1" t="s">
        <v>109</v>
      </c>
      <c r="CH1743" s="1" t="s">
        <v>109</v>
      </c>
      <c r="CI1743" s="1" t="s">
        <v>109</v>
      </c>
      <c r="CJ1743" s="1" t="s">
        <v>109</v>
      </c>
      <c r="CK1743" s="1"/>
      <c r="CL1743" s="1">
        <v>0</v>
      </c>
      <c r="CM1743" s="1">
        <v>0</v>
      </c>
      <c r="CN1743" s="1">
        <v>0</v>
      </c>
    </row>
    <row r="1744" spans="1:92" ht="14.25" customHeight="1" x14ac:dyDescent="0.15">
      <c r="A1744" s="1" t="s">
        <v>13007</v>
      </c>
      <c r="B1744" s="1" t="s">
        <v>189</v>
      </c>
      <c r="C1744" s="1" t="s">
        <v>231</v>
      </c>
      <c r="D1744" s="1" t="s">
        <v>67</v>
      </c>
      <c r="E1744" s="1" t="s">
        <v>13008</v>
      </c>
      <c r="F1744" s="1" t="s">
        <v>98</v>
      </c>
      <c r="G1744" s="1" t="s">
        <v>13009</v>
      </c>
      <c r="H1744" s="1">
        <v>0</v>
      </c>
      <c r="I1744" s="1" t="s">
        <v>235</v>
      </c>
      <c r="J1744" s="1"/>
      <c r="K1744" s="1"/>
      <c r="L1744" s="1" t="s">
        <v>236</v>
      </c>
      <c r="M1744" s="1" t="s">
        <v>125</v>
      </c>
      <c r="N1744" s="1">
        <v>0</v>
      </c>
      <c r="O1744" s="1">
        <v>0</v>
      </c>
      <c r="P1744" s="1" t="s">
        <v>3667</v>
      </c>
      <c r="Q1744" s="1" t="s">
        <v>104</v>
      </c>
      <c r="R1744" s="1" t="s">
        <v>13010</v>
      </c>
      <c r="S1744" s="1" t="s">
        <v>13011</v>
      </c>
      <c r="T1744" s="1" t="s">
        <v>12653</v>
      </c>
      <c r="U1744" s="1" t="s">
        <v>13012</v>
      </c>
      <c r="V1744" s="1">
        <v>1</v>
      </c>
      <c r="W1744" s="1">
        <v>1</v>
      </c>
      <c r="X1744" s="1">
        <v>1</v>
      </c>
      <c r="Y1744" s="1">
        <v>0</v>
      </c>
      <c r="Z1744" s="1">
        <v>1</v>
      </c>
      <c r="AA1744" s="1">
        <v>5</v>
      </c>
      <c r="AB1744" s="1">
        <v>5</v>
      </c>
      <c r="AC1744" s="1">
        <v>6</v>
      </c>
      <c r="AD1744" s="1" t="s">
        <v>109</v>
      </c>
      <c r="AE1744" s="1" t="s">
        <v>109</v>
      </c>
      <c r="AF1744" s="1" t="s">
        <v>109</v>
      </c>
      <c r="AG1744" s="1" t="s">
        <v>109</v>
      </c>
      <c r="AH1744" s="1" t="s">
        <v>109</v>
      </c>
      <c r="AI1744" s="1">
        <v>5</v>
      </c>
      <c r="AJ1744" s="1">
        <v>5</v>
      </c>
      <c r="AK1744" s="1" t="s">
        <v>109</v>
      </c>
      <c r="AL1744" s="1">
        <v>6</v>
      </c>
      <c r="AM1744" s="1" t="s">
        <v>109</v>
      </c>
      <c r="AN1744" s="1" t="s">
        <v>109</v>
      </c>
      <c r="AO1744" s="1" t="s">
        <v>109</v>
      </c>
      <c r="AP1744" s="1" t="s">
        <v>12923</v>
      </c>
      <c r="AQ1744" s="1">
        <v>5</v>
      </c>
      <c r="AR1744" s="1"/>
      <c r="AS1744" s="1"/>
      <c r="AT1744" s="1">
        <v>0</v>
      </c>
      <c r="AU1744" s="1">
        <v>0</v>
      </c>
      <c r="AV1744" s="1">
        <v>0</v>
      </c>
      <c r="AW1744" s="1">
        <v>0</v>
      </c>
      <c r="AX1744" s="1">
        <v>0</v>
      </c>
      <c r="AY1744" s="1">
        <v>0</v>
      </c>
      <c r="AZ1744" s="1">
        <v>0</v>
      </c>
      <c r="BA1744" s="1">
        <v>0</v>
      </c>
      <c r="BB1744" s="1">
        <v>0</v>
      </c>
      <c r="BC1744" s="1">
        <v>0</v>
      </c>
      <c r="BD1744" s="1">
        <v>0</v>
      </c>
      <c r="BE1744" s="1">
        <v>0</v>
      </c>
      <c r="BF1744" s="1">
        <v>0</v>
      </c>
      <c r="BG1744" s="1">
        <v>0</v>
      </c>
      <c r="BH1744" s="1">
        <v>0</v>
      </c>
      <c r="BI1744" s="1">
        <v>0</v>
      </c>
      <c r="BJ1744" s="1">
        <v>0</v>
      </c>
      <c r="BK1744" s="1">
        <v>0</v>
      </c>
      <c r="BL1744" s="1">
        <v>0</v>
      </c>
      <c r="BM1744" s="1">
        <v>0</v>
      </c>
      <c r="BN1744" s="1">
        <v>0</v>
      </c>
      <c r="BO1744" s="1">
        <v>1</v>
      </c>
      <c r="BP1744" s="1">
        <v>0</v>
      </c>
      <c r="BQ1744" s="1">
        <v>0</v>
      </c>
      <c r="BR1744" s="1">
        <v>0</v>
      </c>
      <c r="BS1744" s="1" t="s">
        <v>109</v>
      </c>
      <c r="BT1744" s="1">
        <v>1814</v>
      </c>
      <c r="BU1744" s="1" t="s">
        <v>109</v>
      </c>
      <c r="BV1744" s="1"/>
      <c r="BW1744" s="1"/>
      <c r="BX1744" s="1"/>
      <c r="BY1744" s="1"/>
      <c r="BZ1744" s="1">
        <v>0</v>
      </c>
      <c r="CA1744" s="1" t="s">
        <v>109</v>
      </c>
      <c r="CB1744" s="1" t="s">
        <v>109</v>
      </c>
      <c r="CC1744" s="1" t="s">
        <v>109</v>
      </c>
      <c r="CD1744" s="1" t="s">
        <v>109</v>
      </c>
      <c r="CE1744" s="1" t="s">
        <v>109</v>
      </c>
      <c r="CF1744" s="1" t="s">
        <v>109</v>
      </c>
      <c r="CG1744" s="1" t="s">
        <v>109</v>
      </c>
      <c r="CH1744" s="1" t="s">
        <v>109</v>
      </c>
      <c r="CI1744" s="1" t="s">
        <v>109</v>
      </c>
      <c r="CJ1744" s="1" t="s">
        <v>109</v>
      </c>
      <c r="CK1744" s="1"/>
      <c r="CL1744" s="1">
        <v>0</v>
      </c>
      <c r="CM1744" s="1">
        <v>0</v>
      </c>
      <c r="CN1744" s="1">
        <v>0</v>
      </c>
    </row>
    <row r="1745" spans="1:92" ht="14.25" customHeight="1" x14ac:dyDescent="0.15">
      <c r="A1745" s="1" t="s">
        <v>13013</v>
      </c>
      <c r="B1745" s="1" t="s">
        <v>156</v>
      </c>
      <c r="C1745" s="1" t="s">
        <v>157</v>
      </c>
      <c r="D1745" s="1" t="s">
        <v>158</v>
      </c>
      <c r="E1745" s="1" t="s">
        <v>13014</v>
      </c>
      <c r="F1745" s="1" t="s">
        <v>98</v>
      </c>
      <c r="G1745" s="1" t="s">
        <v>141</v>
      </c>
      <c r="H1745" s="1">
        <v>0</v>
      </c>
      <c r="I1745" s="1" t="s">
        <v>142</v>
      </c>
      <c r="J1745" s="1"/>
      <c r="K1745" s="1"/>
      <c r="L1745" s="1" t="s">
        <v>1391</v>
      </c>
      <c r="M1745" s="1" t="s">
        <v>8243</v>
      </c>
      <c r="N1745" s="1">
        <v>0</v>
      </c>
      <c r="O1745" s="1">
        <v>0</v>
      </c>
      <c r="P1745" s="1" t="s">
        <v>301</v>
      </c>
      <c r="Q1745" s="1" t="s">
        <v>268</v>
      </c>
      <c r="R1745" s="1" t="s">
        <v>13015</v>
      </c>
      <c r="S1745" s="1" t="s">
        <v>13016</v>
      </c>
      <c r="T1745" s="1" t="s">
        <v>12653</v>
      </c>
      <c r="U1745" s="1" t="s">
        <v>13017</v>
      </c>
      <c r="V1745" s="1">
        <v>1</v>
      </c>
      <c r="W1745" s="1">
        <v>1</v>
      </c>
      <c r="X1745" s="1">
        <v>0</v>
      </c>
      <c r="Y1745" s="1">
        <v>0</v>
      </c>
      <c r="Z1745" s="1">
        <v>0</v>
      </c>
      <c r="AA1745" s="1" t="s">
        <v>109</v>
      </c>
      <c r="AB1745" s="1" t="s">
        <v>109</v>
      </c>
      <c r="AC1745" s="1">
        <v>2</v>
      </c>
      <c r="AD1745" s="1" t="s">
        <v>109</v>
      </c>
      <c r="AE1745" s="1" t="s">
        <v>109</v>
      </c>
      <c r="AF1745" s="1" t="s">
        <v>109</v>
      </c>
      <c r="AG1745" s="1" t="s">
        <v>109</v>
      </c>
      <c r="AH1745" s="1" t="s">
        <v>109</v>
      </c>
      <c r="AI1745" s="1" t="s">
        <v>109</v>
      </c>
      <c r="AJ1745" s="1">
        <v>2</v>
      </c>
      <c r="AK1745" s="1">
        <v>2</v>
      </c>
      <c r="AL1745" s="1">
        <v>2</v>
      </c>
      <c r="AM1745" s="1" t="s">
        <v>109</v>
      </c>
      <c r="AN1745" s="1" t="s">
        <v>109</v>
      </c>
      <c r="AO1745" s="1" t="s">
        <v>109</v>
      </c>
      <c r="AP1745" s="1"/>
      <c r="AQ1745" s="1">
        <v>2</v>
      </c>
      <c r="AR1745" s="1"/>
      <c r="AS1745" s="1"/>
      <c r="AT1745" s="1">
        <v>0</v>
      </c>
      <c r="AU1745" s="1">
        <v>0</v>
      </c>
      <c r="AV1745" s="1">
        <v>0</v>
      </c>
      <c r="AW1745" s="1">
        <v>0</v>
      </c>
      <c r="AX1745" s="1">
        <v>0</v>
      </c>
      <c r="AY1745" s="1">
        <v>0</v>
      </c>
      <c r="AZ1745" s="1">
        <v>0</v>
      </c>
      <c r="BA1745" s="1">
        <v>0</v>
      </c>
      <c r="BB1745" s="1">
        <v>0</v>
      </c>
      <c r="BC1745" s="1">
        <v>0</v>
      </c>
      <c r="BD1745" s="1">
        <v>0</v>
      </c>
      <c r="BE1745" s="1">
        <v>0</v>
      </c>
      <c r="BF1745" s="1">
        <v>0</v>
      </c>
      <c r="BG1745" s="1">
        <v>0</v>
      </c>
      <c r="BH1745" s="1">
        <v>0</v>
      </c>
      <c r="BI1745" s="1">
        <v>0</v>
      </c>
      <c r="BJ1745" s="1">
        <v>0</v>
      </c>
      <c r="BK1745" s="1">
        <v>0</v>
      </c>
      <c r="BL1745" s="1">
        <v>0</v>
      </c>
      <c r="BM1745" s="1">
        <v>1</v>
      </c>
      <c r="BN1745" s="1">
        <v>0</v>
      </c>
      <c r="BO1745" s="1">
        <v>0</v>
      </c>
      <c r="BP1745" s="1">
        <v>0</v>
      </c>
      <c r="BQ1745" s="1">
        <v>0</v>
      </c>
      <c r="BR1745" s="1">
        <v>0</v>
      </c>
      <c r="BS1745" s="1" t="s">
        <v>109</v>
      </c>
      <c r="BT1745" s="1">
        <v>1815</v>
      </c>
      <c r="BU1745" s="1" t="s">
        <v>109</v>
      </c>
      <c r="BV1745" s="1"/>
      <c r="BW1745" s="1"/>
      <c r="BX1745" s="1"/>
      <c r="BY1745" s="1"/>
      <c r="BZ1745" s="1">
        <v>0</v>
      </c>
      <c r="CA1745" s="1" t="s">
        <v>109</v>
      </c>
      <c r="CB1745" s="1" t="s">
        <v>109</v>
      </c>
      <c r="CC1745" s="1" t="s">
        <v>109</v>
      </c>
      <c r="CD1745" s="1" t="s">
        <v>109</v>
      </c>
      <c r="CE1745" s="1" t="s">
        <v>109</v>
      </c>
      <c r="CF1745" s="1" t="s">
        <v>109</v>
      </c>
      <c r="CG1745" s="1" t="s">
        <v>109</v>
      </c>
      <c r="CH1745" s="1" t="s">
        <v>109</v>
      </c>
      <c r="CI1745" s="1" t="s">
        <v>109</v>
      </c>
      <c r="CJ1745" s="1" t="s">
        <v>109</v>
      </c>
      <c r="CK1745" s="1"/>
      <c r="CL1745" s="1">
        <v>0</v>
      </c>
      <c r="CM1745" s="1">
        <v>0</v>
      </c>
      <c r="CN1745" s="1">
        <v>0</v>
      </c>
    </row>
    <row r="1746" spans="1:92" ht="14.25" customHeight="1" x14ac:dyDescent="0.15">
      <c r="A1746" s="1" t="s">
        <v>13018</v>
      </c>
      <c r="B1746" s="1" t="s">
        <v>189</v>
      </c>
      <c r="C1746" s="1"/>
      <c r="D1746" s="1"/>
      <c r="E1746" s="1" t="s">
        <v>12295</v>
      </c>
      <c r="F1746" s="1" t="s">
        <v>98</v>
      </c>
      <c r="G1746" s="1" t="s">
        <v>6142</v>
      </c>
      <c r="H1746" s="1">
        <v>0</v>
      </c>
      <c r="I1746" s="1" t="s">
        <v>142</v>
      </c>
      <c r="J1746" s="1"/>
      <c r="K1746" s="1"/>
      <c r="L1746" s="1" t="s">
        <v>13019</v>
      </c>
      <c r="M1746" s="1" t="s">
        <v>125</v>
      </c>
      <c r="N1746" s="1">
        <v>0</v>
      </c>
      <c r="O1746" s="1">
        <v>0</v>
      </c>
      <c r="P1746" s="1" t="s">
        <v>10057</v>
      </c>
      <c r="Q1746" s="1" t="s">
        <v>216</v>
      </c>
      <c r="R1746" s="1" t="s">
        <v>13020</v>
      </c>
      <c r="S1746" s="1" t="s">
        <v>13021</v>
      </c>
      <c r="T1746" s="1" t="s">
        <v>12653</v>
      </c>
      <c r="U1746" s="1" t="s">
        <v>13022</v>
      </c>
      <c r="V1746" s="1">
        <v>1</v>
      </c>
      <c r="W1746" s="1">
        <v>0</v>
      </c>
      <c r="X1746" s="1">
        <v>0</v>
      </c>
      <c r="Y1746" s="1">
        <v>0</v>
      </c>
      <c r="Z1746" s="1">
        <v>1</v>
      </c>
      <c r="AA1746" s="1" t="s">
        <v>109</v>
      </c>
      <c r="AB1746" s="1" t="s">
        <v>109</v>
      </c>
      <c r="AC1746" s="1">
        <v>1</v>
      </c>
      <c r="AD1746" s="1" t="s">
        <v>109</v>
      </c>
      <c r="AE1746" s="1" t="s">
        <v>109</v>
      </c>
      <c r="AF1746" s="1" t="s">
        <v>109</v>
      </c>
      <c r="AG1746" s="1">
        <v>1</v>
      </c>
      <c r="AH1746" s="1" t="s">
        <v>109</v>
      </c>
      <c r="AI1746" s="1" t="s">
        <v>109</v>
      </c>
      <c r="AJ1746" s="1" t="s">
        <v>109</v>
      </c>
      <c r="AK1746" s="1">
        <v>1</v>
      </c>
      <c r="AL1746" s="1">
        <v>1</v>
      </c>
      <c r="AM1746" s="1" t="s">
        <v>109</v>
      </c>
      <c r="AN1746" s="1" t="s">
        <v>109</v>
      </c>
      <c r="AO1746" s="1" t="s">
        <v>109</v>
      </c>
      <c r="AP1746" s="1" t="s">
        <v>12700</v>
      </c>
      <c r="AQ1746" s="1">
        <v>1</v>
      </c>
      <c r="AR1746" s="1"/>
      <c r="AS1746" s="1"/>
      <c r="AT1746" s="1">
        <v>0</v>
      </c>
      <c r="AU1746" s="1">
        <v>0</v>
      </c>
      <c r="AV1746" s="1">
        <v>0</v>
      </c>
      <c r="AW1746" s="1">
        <v>0</v>
      </c>
      <c r="AX1746" s="1">
        <v>0</v>
      </c>
      <c r="AY1746" s="1">
        <v>0</v>
      </c>
      <c r="AZ1746" s="1">
        <v>0</v>
      </c>
      <c r="BA1746" s="1">
        <v>0</v>
      </c>
      <c r="BB1746" s="1">
        <v>0</v>
      </c>
      <c r="BC1746" s="1">
        <v>0</v>
      </c>
      <c r="BD1746" s="1">
        <v>0</v>
      </c>
      <c r="BE1746" s="1">
        <v>0</v>
      </c>
      <c r="BF1746" s="1">
        <v>0</v>
      </c>
      <c r="BG1746" s="1">
        <v>0</v>
      </c>
      <c r="BH1746" s="1">
        <v>0</v>
      </c>
      <c r="BI1746" s="1">
        <v>0</v>
      </c>
      <c r="BJ1746" s="1">
        <v>0</v>
      </c>
      <c r="BK1746" s="1">
        <v>0</v>
      </c>
      <c r="BL1746" s="1">
        <v>0</v>
      </c>
      <c r="BM1746" s="1">
        <v>0</v>
      </c>
      <c r="BN1746" s="1">
        <v>0</v>
      </c>
      <c r="BO1746" s="1">
        <v>0</v>
      </c>
      <c r="BP1746" s="1">
        <v>0</v>
      </c>
      <c r="BQ1746" s="1">
        <v>0</v>
      </c>
      <c r="BR1746" s="1">
        <v>0</v>
      </c>
      <c r="BS1746" s="1" t="s">
        <v>109</v>
      </c>
      <c r="BT1746" s="1">
        <v>1816</v>
      </c>
      <c r="BU1746" s="1" t="s">
        <v>109</v>
      </c>
      <c r="BV1746" s="1"/>
      <c r="BW1746" s="1"/>
      <c r="BX1746" s="1"/>
      <c r="BY1746" s="1"/>
      <c r="BZ1746" s="1">
        <v>0</v>
      </c>
      <c r="CA1746" s="1" t="s">
        <v>109</v>
      </c>
      <c r="CB1746" s="1" t="s">
        <v>109</v>
      </c>
      <c r="CC1746" s="1" t="s">
        <v>109</v>
      </c>
      <c r="CD1746" s="1" t="s">
        <v>109</v>
      </c>
      <c r="CE1746" s="1" t="s">
        <v>109</v>
      </c>
      <c r="CF1746" s="1" t="s">
        <v>109</v>
      </c>
      <c r="CG1746" s="1" t="s">
        <v>109</v>
      </c>
      <c r="CH1746" s="1" t="s">
        <v>109</v>
      </c>
      <c r="CI1746" s="1" t="s">
        <v>109</v>
      </c>
      <c r="CJ1746" s="1" t="s">
        <v>109</v>
      </c>
      <c r="CK1746" s="1"/>
      <c r="CL1746" s="1">
        <v>0</v>
      </c>
      <c r="CM1746" s="1">
        <v>0</v>
      </c>
      <c r="CN1746" s="1">
        <v>0</v>
      </c>
    </row>
    <row r="1747" spans="1:92" ht="14.25" customHeight="1" x14ac:dyDescent="0.15">
      <c r="A1747" s="1" t="s">
        <v>13023</v>
      </c>
      <c r="B1747" s="1" t="s">
        <v>308</v>
      </c>
      <c r="C1747" s="1"/>
      <c r="D1747" s="1" t="s">
        <v>57</v>
      </c>
      <c r="E1747" s="1" t="s">
        <v>5552</v>
      </c>
      <c r="F1747" s="1" t="s">
        <v>377</v>
      </c>
      <c r="G1747" s="1" t="s">
        <v>13024</v>
      </c>
      <c r="H1747" s="1">
        <v>1</v>
      </c>
      <c r="I1747" s="1" t="s">
        <v>142</v>
      </c>
      <c r="J1747" s="1"/>
      <c r="K1747" s="1"/>
      <c r="L1747" s="1" t="s">
        <v>13025</v>
      </c>
      <c r="M1747" s="1" t="s">
        <v>144</v>
      </c>
      <c r="N1747" s="1">
        <v>0</v>
      </c>
      <c r="O1747" s="1">
        <v>0</v>
      </c>
      <c r="P1747" s="1" t="s">
        <v>103</v>
      </c>
      <c r="Q1747" s="1" t="s">
        <v>104</v>
      </c>
      <c r="R1747" s="1" t="s">
        <v>13026</v>
      </c>
      <c r="S1747" s="1" t="s">
        <v>13027</v>
      </c>
      <c r="T1747" s="1" t="s">
        <v>13028</v>
      </c>
      <c r="U1747" s="1" t="s">
        <v>13029</v>
      </c>
      <c r="V1747" s="1">
        <v>1</v>
      </c>
      <c r="W1747" s="1">
        <v>1</v>
      </c>
      <c r="X1747" s="1">
        <v>1</v>
      </c>
      <c r="Y1747" s="1">
        <v>0</v>
      </c>
      <c r="Z1747" s="1">
        <v>0</v>
      </c>
      <c r="AA1747" s="1">
        <v>7</v>
      </c>
      <c r="AB1747" s="1">
        <v>7</v>
      </c>
      <c r="AC1747" s="1">
        <v>7</v>
      </c>
      <c r="AD1747" s="1" t="s">
        <v>109</v>
      </c>
      <c r="AE1747" s="1" t="s">
        <v>109</v>
      </c>
      <c r="AF1747" s="1" t="s">
        <v>109</v>
      </c>
      <c r="AG1747" s="1" t="s">
        <v>109</v>
      </c>
      <c r="AH1747" s="1" t="s">
        <v>109</v>
      </c>
      <c r="AI1747" s="1" t="s">
        <v>109</v>
      </c>
      <c r="AJ1747" s="1" t="s">
        <v>109</v>
      </c>
      <c r="AK1747" s="1" t="s">
        <v>109</v>
      </c>
      <c r="AL1747" s="1">
        <v>7</v>
      </c>
      <c r="AM1747" s="1" t="s">
        <v>109</v>
      </c>
      <c r="AN1747" s="1" t="s">
        <v>109</v>
      </c>
      <c r="AO1747" s="1" t="s">
        <v>109</v>
      </c>
      <c r="AP1747" s="1"/>
      <c r="AQ1747" s="1">
        <v>7</v>
      </c>
      <c r="AR1747" s="1"/>
      <c r="AS1747" s="1"/>
      <c r="AT1747" s="1">
        <v>0</v>
      </c>
      <c r="AU1747" s="1">
        <v>0</v>
      </c>
      <c r="AV1747" s="1">
        <v>0</v>
      </c>
      <c r="AW1747" s="1">
        <v>0</v>
      </c>
      <c r="AX1747" s="1">
        <v>0</v>
      </c>
      <c r="AY1747" s="1">
        <v>0</v>
      </c>
      <c r="AZ1747" s="1">
        <v>0</v>
      </c>
      <c r="BA1747" s="1">
        <v>0</v>
      </c>
      <c r="BB1747" s="1">
        <v>0</v>
      </c>
      <c r="BC1747" s="1">
        <v>0</v>
      </c>
      <c r="BD1747" s="1">
        <v>0</v>
      </c>
      <c r="BE1747" s="1">
        <v>1</v>
      </c>
      <c r="BF1747" s="1">
        <v>0</v>
      </c>
      <c r="BG1747" s="1">
        <v>0</v>
      </c>
      <c r="BH1747" s="1">
        <v>0</v>
      </c>
      <c r="BI1747" s="1">
        <v>0</v>
      </c>
      <c r="BJ1747" s="1">
        <v>0</v>
      </c>
      <c r="BK1747" s="1">
        <v>0</v>
      </c>
      <c r="BL1747" s="1">
        <v>0</v>
      </c>
      <c r="BM1747" s="1">
        <v>0</v>
      </c>
      <c r="BN1747" s="1">
        <v>0</v>
      </c>
      <c r="BO1747" s="1">
        <v>0</v>
      </c>
      <c r="BP1747" s="1">
        <v>0</v>
      </c>
      <c r="BQ1747" s="1">
        <v>0</v>
      </c>
      <c r="BR1747" s="1">
        <v>0</v>
      </c>
      <c r="BS1747" s="1" t="s">
        <v>109</v>
      </c>
      <c r="BT1747" s="1">
        <v>1817</v>
      </c>
      <c r="BU1747" s="1">
        <v>50</v>
      </c>
      <c r="BV1747" s="1"/>
      <c r="BW1747" s="1"/>
      <c r="BX1747" s="1"/>
      <c r="BY1747" s="1"/>
      <c r="BZ1747" s="1">
        <v>0</v>
      </c>
      <c r="CA1747" s="1" t="s">
        <v>109</v>
      </c>
      <c r="CB1747" s="1" t="s">
        <v>109</v>
      </c>
      <c r="CC1747" s="1" t="s">
        <v>109</v>
      </c>
      <c r="CD1747" s="1" t="s">
        <v>109</v>
      </c>
      <c r="CE1747" s="1" t="s">
        <v>109</v>
      </c>
      <c r="CF1747" s="1" t="s">
        <v>109</v>
      </c>
      <c r="CG1747" s="1" t="s">
        <v>109</v>
      </c>
      <c r="CH1747" s="1" t="s">
        <v>109</v>
      </c>
      <c r="CI1747" s="1" t="s">
        <v>109</v>
      </c>
      <c r="CJ1747" s="1" t="s">
        <v>109</v>
      </c>
      <c r="CK1747" s="1"/>
      <c r="CL1747" s="1">
        <v>0</v>
      </c>
      <c r="CM1747" s="1">
        <v>0</v>
      </c>
      <c r="CN1747" s="1">
        <v>0</v>
      </c>
    </row>
    <row r="1748" spans="1:92" ht="14.25" customHeight="1" x14ac:dyDescent="0.15">
      <c r="A1748" s="1" t="s">
        <v>13030</v>
      </c>
      <c r="B1748" s="1" t="s">
        <v>308</v>
      </c>
      <c r="C1748" s="1"/>
      <c r="D1748" s="1" t="s">
        <v>57</v>
      </c>
      <c r="E1748" s="1" t="s">
        <v>12253</v>
      </c>
      <c r="F1748" s="1" t="s">
        <v>98</v>
      </c>
      <c r="G1748" s="1" t="s">
        <v>141</v>
      </c>
      <c r="H1748" s="1">
        <v>0</v>
      </c>
      <c r="I1748" s="1" t="s">
        <v>600</v>
      </c>
      <c r="J1748" s="1" t="s">
        <v>13031</v>
      </c>
      <c r="K1748" s="1"/>
      <c r="L1748" s="1"/>
      <c r="M1748" s="1" t="s">
        <v>144</v>
      </c>
      <c r="N1748" s="1">
        <v>0</v>
      </c>
      <c r="O1748" s="1">
        <v>0</v>
      </c>
      <c r="P1748" s="1" t="s">
        <v>211</v>
      </c>
      <c r="Q1748" s="1" t="s">
        <v>268</v>
      </c>
      <c r="R1748" s="1" t="s">
        <v>13032</v>
      </c>
      <c r="S1748" s="1" t="s">
        <v>13033</v>
      </c>
      <c r="T1748" s="1" t="s">
        <v>13028</v>
      </c>
      <c r="U1748" s="1" t="s">
        <v>13034</v>
      </c>
      <c r="V1748" s="1">
        <v>1</v>
      </c>
      <c r="W1748" s="1">
        <v>1</v>
      </c>
      <c r="X1748" s="1">
        <v>0</v>
      </c>
      <c r="Y1748" s="1">
        <v>0</v>
      </c>
      <c r="Z1748" s="1">
        <v>0</v>
      </c>
      <c r="AA1748" s="1" t="s">
        <v>109</v>
      </c>
      <c r="AB1748" s="1" t="s">
        <v>109</v>
      </c>
      <c r="AC1748" s="1">
        <v>4</v>
      </c>
      <c r="AD1748" s="1" t="s">
        <v>109</v>
      </c>
      <c r="AE1748" s="1" t="s">
        <v>109</v>
      </c>
      <c r="AF1748" s="1" t="s">
        <v>109</v>
      </c>
      <c r="AG1748" s="1" t="s">
        <v>109</v>
      </c>
      <c r="AH1748" s="1" t="s">
        <v>109</v>
      </c>
      <c r="AI1748" s="1" t="s">
        <v>109</v>
      </c>
      <c r="AJ1748" s="1">
        <v>4</v>
      </c>
      <c r="AK1748" s="1" t="s">
        <v>109</v>
      </c>
      <c r="AL1748" s="1">
        <v>4</v>
      </c>
      <c r="AM1748" s="1" t="s">
        <v>109</v>
      </c>
      <c r="AN1748" s="1" t="s">
        <v>109</v>
      </c>
      <c r="AO1748" s="1" t="s">
        <v>109</v>
      </c>
      <c r="AP1748" s="1"/>
      <c r="AQ1748" s="1">
        <v>4</v>
      </c>
      <c r="AR1748" s="1"/>
      <c r="AS1748" s="1"/>
      <c r="AT1748" s="1">
        <v>0</v>
      </c>
      <c r="AU1748" s="1">
        <v>0</v>
      </c>
      <c r="AV1748" s="1">
        <v>0</v>
      </c>
      <c r="AW1748" s="1">
        <v>0</v>
      </c>
      <c r="AX1748" s="1">
        <v>0</v>
      </c>
      <c r="AY1748" s="1">
        <v>0</v>
      </c>
      <c r="AZ1748" s="1">
        <v>0</v>
      </c>
      <c r="BA1748" s="1">
        <v>0</v>
      </c>
      <c r="BB1748" s="1">
        <v>0</v>
      </c>
      <c r="BC1748" s="1">
        <v>0</v>
      </c>
      <c r="BD1748" s="1">
        <v>0</v>
      </c>
      <c r="BE1748" s="1">
        <v>1</v>
      </c>
      <c r="BF1748" s="1">
        <v>0</v>
      </c>
      <c r="BG1748" s="1">
        <v>0</v>
      </c>
      <c r="BH1748" s="1">
        <v>0</v>
      </c>
      <c r="BI1748" s="1">
        <v>0</v>
      </c>
      <c r="BJ1748" s="1">
        <v>0</v>
      </c>
      <c r="BK1748" s="1">
        <v>0</v>
      </c>
      <c r="BL1748" s="1">
        <v>0</v>
      </c>
      <c r="BM1748" s="1">
        <v>0</v>
      </c>
      <c r="BN1748" s="1">
        <v>0</v>
      </c>
      <c r="BO1748" s="1">
        <v>0</v>
      </c>
      <c r="BP1748" s="1">
        <v>0</v>
      </c>
      <c r="BQ1748" s="1">
        <v>0</v>
      </c>
      <c r="BR1748" s="1">
        <v>0</v>
      </c>
      <c r="BS1748" s="1" t="s">
        <v>109</v>
      </c>
      <c r="BT1748" s="1">
        <v>1818</v>
      </c>
      <c r="BU1748" s="1" t="s">
        <v>109</v>
      </c>
      <c r="BV1748" s="1"/>
      <c r="BW1748" s="1"/>
      <c r="BX1748" s="1"/>
      <c r="BY1748" s="1"/>
      <c r="BZ1748" s="1">
        <v>0</v>
      </c>
      <c r="CA1748" s="1" t="s">
        <v>109</v>
      </c>
      <c r="CB1748" s="1" t="s">
        <v>109</v>
      </c>
      <c r="CC1748" s="1" t="s">
        <v>109</v>
      </c>
      <c r="CD1748" s="1" t="s">
        <v>109</v>
      </c>
      <c r="CE1748" s="1" t="s">
        <v>109</v>
      </c>
      <c r="CF1748" s="1" t="s">
        <v>109</v>
      </c>
      <c r="CG1748" s="1" t="s">
        <v>109</v>
      </c>
      <c r="CH1748" s="1" t="s">
        <v>109</v>
      </c>
      <c r="CI1748" s="1" t="s">
        <v>109</v>
      </c>
      <c r="CJ1748" s="1" t="s">
        <v>109</v>
      </c>
      <c r="CK1748" s="1"/>
      <c r="CL1748" s="1">
        <v>0</v>
      </c>
      <c r="CM1748" s="1">
        <v>0</v>
      </c>
      <c r="CN1748" s="1">
        <v>0</v>
      </c>
    </row>
    <row r="1749" spans="1:92" ht="14.25" customHeight="1" x14ac:dyDescent="0.15">
      <c r="A1749" s="1" t="s">
        <v>13035</v>
      </c>
      <c r="B1749" s="1" t="s">
        <v>254</v>
      </c>
      <c r="C1749" s="1"/>
      <c r="D1749" s="1"/>
      <c r="E1749" s="1" t="s">
        <v>13036</v>
      </c>
      <c r="F1749" s="1" t="s">
        <v>98</v>
      </c>
      <c r="G1749" s="1" t="s">
        <v>141</v>
      </c>
      <c r="H1749" s="1">
        <v>0</v>
      </c>
      <c r="I1749" s="1" t="s">
        <v>235</v>
      </c>
      <c r="J1749" s="1"/>
      <c r="K1749" s="1"/>
      <c r="L1749" s="1" t="s">
        <v>236</v>
      </c>
      <c r="M1749" s="1" t="s">
        <v>574</v>
      </c>
      <c r="N1749" s="1">
        <v>1</v>
      </c>
      <c r="O1749" s="1">
        <v>0</v>
      </c>
      <c r="P1749" s="1" t="s">
        <v>103</v>
      </c>
      <c r="Q1749" s="1" t="s">
        <v>104</v>
      </c>
      <c r="R1749" s="1" t="s">
        <v>13037</v>
      </c>
      <c r="S1749" s="1" t="s">
        <v>13038</v>
      </c>
      <c r="T1749" s="1" t="s">
        <v>13039</v>
      </c>
      <c r="U1749" s="1" t="s">
        <v>13040</v>
      </c>
      <c r="V1749" s="1">
        <v>1</v>
      </c>
      <c r="W1749" s="1">
        <v>1</v>
      </c>
      <c r="X1749" s="1">
        <v>0</v>
      </c>
      <c r="Y1749" s="1">
        <v>0</v>
      </c>
      <c r="Z1749" s="1">
        <v>0</v>
      </c>
      <c r="AA1749" s="1" t="s">
        <v>109</v>
      </c>
      <c r="AB1749" s="1" t="s">
        <v>109</v>
      </c>
      <c r="AC1749" s="1">
        <v>3</v>
      </c>
      <c r="AD1749" s="1" t="s">
        <v>109</v>
      </c>
      <c r="AE1749" s="1" t="s">
        <v>109</v>
      </c>
      <c r="AF1749" s="1" t="s">
        <v>109</v>
      </c>
      <c r="AG1749" s="1" t="s">
        <v>109</v>
      </c>
      <c r="AH1749" s="1" t="s">
        <v>109</v>
      </c>
      <c r="AI1749" s="1" t="s">
        <v>109</v>
      </c>
      <c r="AJ1749" s="1">
        <v>4</v>
      </c>
      <c r="AK1749" s="1" t="s">
        <v>109</v>
      </c>
      <c r="AL1749" s="1">
        <v>3</v>
      </c>
      <c r="AM1749" s="1" t="s">
        <v>109</v>
      </c>
      <c r="AN1749" s="1" t="s">
        <v>109</v>
      </c>
      <c r="AO1749" s="1" t="s">
        <v>109</v>
      </c>
      <c r="AP1749" s="1"/>
      <c r="AQ1749" s="1">
        <v>3</v>
      </c>
      <c r="AR1749" s="1"/>
      <c r="AS1749" s="1"/>
      <c r="AT1749" s="1">
        <v>0</v>
      </c>
      <c r="AU1749" s="1">
        <v>0</v>
      </c>
      <c r="AV1749" s="1">
        <v>0</v>
      </c>
      <c r="AW1749" s="1">
        <v>0</v>
      </c>
      <c r="AX1749" s="1">
        <v>0</v>
      </c>
      <c r="AY1749" s="1">
        <v>0</v>
      </c>
      <c r="AZ1749" s="1">
        <v>0</v>
      </c>
      <c r="BA1749" s="1">
        <v>0</v>
      </c>
      <c r="BB1749" s="1">
        <v>0</v>
      </c>
      <c r="BC1749" s="1">
        <v>0</v>
      </c>
      <c r="BD1749" s="1">
        <v>0</v>
      </c>
      <c r="BE1749" s="1">
        <v>0</v>
      </c>
      <c r="BF1749" s="1">
        <v>0</v>
      </c>
      <c r="BG1749" s="1">
        <v>0</v>
      </c>
      <c r="BH1749" s="1">
        <v>0</v>
      </c>
      <c r="BI1749" s="1">
        <v>0</v>
      </c>
      <c r="BJ1749" s="1">
        <v>0</v>
      </c>
      <c r="BK1749" s="1">
        <v>0</v>
      </c>
      <c r="BL1749" s="1">
        <v>0</v>
      </c>
      <c r="BM1749" s="1">
        <v>0</v>
      </c>
      <c r="BN1749" s="1">
        <v>0</v>
      </c>
      <c r="BO1749" s="1">
        <v>0</v>
      </c>
      <c r="BP1749" s="1">
        <v>0</v>
      </c>
      <c r="BQ1749" s="1">
        <v>0</v>
      </c>
      <c r="BR1749" s="1">
        <v>0</v>
      </c>
      <c r="BS1749" s="1" t="s">
        <v>109</v>
      </c>
      <c r="BT1749" s="1">
        <v>1819</v>
      </c>
      <c r="BU1749" s="1" t="s">
        <v>109</v>
      </c>
      <c r="BV1749" s="1"/>
      <c r="BW1749" s="1"/>
      <c r="BX1749" s="1"/>
      <c r="BY1749" s="1"/>
      <c r="BZ1749" s="1">
        <v>0</v>
      </c>
      <c r="CA1749" s="1" t="s">
        <v>109</v>
      </c>
      <c r="CB1749" s="1" t="s">
        <v>109</v>
      </c>
      <c r="CC1749" s="1" t="s">
        <v>109</v>
      </c>
      <c r="CD1749" s="1" t="s">
        <v>109</v>
      </c>
      <c r="CE1749" s="1" t="s">
        <v>109</v>
      </c>
      <c r="CF1749" s="1" t="s">
        <v>109</v>
      </c>
      <c r="CG1749" s="1" t="s">
        <v>109</v>
      </c>
      <c r="CH1749" s="1" t="s">
        <v>109</v>
      </c>
      <c r="CI1749" s="1" t="s">
        <v>109</v>
      </c>
      <c r="CJ1749" s="1" t="s">
        <v>109</v>
      </c>
      <c r="CK1749" s="1"/>
      <c r="CL1749" s="1">
        <v>0</v>
      </c>
      <c r="CM1749" s="1">
        <v>0</v>
      </c>
      <c r="CN1749" s="1">
        <v>0</v>
      </c>
    </row>
    <row r="1750" spans="1:92" ht="14.25" customHeight="1" x14ac:dyDescent="0.15">
      <c r="A1750" s="1" t="s">
        <v>13041</v>
      </c>
      <c r="B1750" s="1" t="s">
        <v>254</v>
      </c>
      <c r="C1750" s="1"/>
      <c r="D1750" s="1"/>
      <c r="E1750" s="1" t="s">
        <v>13042</v>
      </c>
      <c r="F1750" s="1" t="s">
        <v>13043</v>
      </c>
      <c r="G1750" s="1" t="s">
        <v>13044</v>
      </c>
      <c r="H1750" s="1">
        <v>0</v>
      </c>
      <c r="I1750" s="1" t="s">
        <v>235</v>
      </c>
      <c r="J1750" s="1"/>
      <c r="K1750" s="1"/>
      <c r="L1750" s="1" t="s">
        <v>236</v>
      </c>
      <c r="M1750" s="1" t="s">
        <v>13045</v>
      </c>
      <c r="N1750" s="1">
        <v>0</v>
      </c>
      <c r="O1750" s="1">
        <v>0</v>
      </c>
      <c r="P1750" s="1" t="s">
        <v>103</v>
      </c>
      <c r="Q1750" s="1" t="s">
        <v>104</v>
      </c>
      <c r="R1750" s="1" t="s">
        <v>13046</v>
      </c>
      <c r="S1750" s="1" t="s">
        <v>13047</v>
      </c>
      <c r="T1750" s="1" t="s">
        <v>13039</v>
      </c>
      <c r="U1750" s="1" t="s">
        <v>13048</v>
      </c>
      <c r="V1750" s="1">
        <v>1</v>
      </c>
      <c r="W1750" s="1">
        <v>1</v>
      </c>
      <c r="X1750" s="1">
        <v>0</v>
      </c>
      <c r="Y1750" s="1">
        <v>0</v>
      </c>
      <c r="Z1750" s="1">
        <v>1</v>
      </c>
      <c r="AA1750" s="1">
        <v>3</v>
      </c>
      <c r="AB1750" s="1">
        <v>3</v>
      </c>
      <c r="AC1750" s="1">
        <v>2</v>
      </c>
      <c r="AD1750" s="1">
        <v>3</v>
      </c>
      <c r="AE1750" s="1" t="s">
        <v>109</v>
      </c>
      <c r="AF1750" s="1" t="s">
        <v>109</v>
      </c>
      <c r="AG1750" s="1" t="s">
        <v>109</v>
      </c>
      <c r="AH1750" s="1" t="s">
        <v>109</v>
      </c>
      <c r="AI1750" s="1" t="s">
        <v>109</v>
      </c>
      <c r="AJ1750" s="1" t="s">
        <v>109</v>
      </c>
      <c r="AK1750" s="1">
        <v>3</v>
      </c>
      <c r="AL1750" s="1">
        <v>2</v>
      </c>
      <c r="AM1750" s="1" t="s">
        <v>109</v>
      </c>
      <c r="AN1750" s="1" t="s">
        <v>109</v>
      </c>
      <c r="AO1750" s="1" t="s">
        <v>109</v>
      </c>
      <c r="AP1750" s="1"/>
      <c r="AQ1750" s="1">
        <v>3</v>
      </c>
      <c r="AR1750" s="1"/>
      <c r="AS1750" s="1"/>
      <c r="AT1750" s="1">
        <v>0</v>
      </c>
      <c r="AU1750" s="1">
        <v>0</v>
      </c>
      <c r="AV1750" s="1">
        <v>0</v>
      </c>
      <c r="AW1750" s="1">
        <v>0</v>
      </c>
      <c r="AX1750" s="1">
        <v>0</v>
      </c>
      <c r="AY1750" s="1">
        <v>0</v>
      </c>
      <c r="AZ1750" s="1">
        <v>0</v>
      </c>
      <c r="BA1750" s="1">
        <v>0</v>
      </c>
      <c r="BB1750" s="1">
        <v>0</v>
      </c>
      <c r="BC1750" s="1">
        <v>0</v>
      </c>
      <c r="BD1750" s="1">
        <v>0</v>
      </c>
      <c r="BE1750" s="1">
        <v>0</v>
      </c>
      <c r="BF1750" s="1">
        <v>0</v>
      </c>
      <c r="BG1750" s="1">
        <v>0</v>
      </c>
      <c r="BH1750" s="1">
        <v>0</v>
      </c>
      <c r="BI1750" s="1">
        <v>0</v>
      </c>
      <c r="BJ1750" s="1">
        <v>0</v>
      </c>
      <c r="BK1750" s="1">
        <v>0</v>
      </c>
      <c r="BL1750" s="1">
        <v>0</v>
      </c>
      <c r="BM1750" s="1">
        <v>0</v>
      </c>
      <c r="BN1750" s="1">
        <v>0</v>
      </c>
      <c r="BO1750" s="1">
        <v>0</v>
      </c>
      <c r="BP1750" s="1">
        <v>0</v>
      </c>
      <c r="BQ1750" s="1">
        <v>0</v>
      </c>
      <c r="BR1750" s="1">
        <v>0</v>
      </c>
      <c r="BS1750" s="1" t="s">
        <v>109</v>
      </c>
      <c r="BT1750" s="1">
        <v>1820</v>
      </c>
      <c r="BU1750" s="1" t="s">
        <v>109</v>
      </c>
      <c r="BV1750" s="1"/>
      <c r="BW1750" s="1"/>
      <c r="BX1750" s="1"/>
      <c r="BY1750" s="1"/>
      <c r="BZ1750" s="1">
        <v>0</v>
      </c>
      <c r="CA1750" s="1" t="s">
        <v>109</v>
      </c>
      <c r="CB1750" s="1" t="s">
        <v>109</v>
      </c>
      <c r="CC1750" s="1" t="s">
        <v>109</v>
      </c>
      <c r="CD1750" s="1" t="s">
        <v>109</v>
      </c>
      <c r="CE1750" s="1" t="s">
        <v>109</v>
      </c>
      <c r="CF1750" s="1" t="s">
        <v>109</v>
      </c>
      <c r="CG1750" s="1" t="s">
        <v>109</v>
      </c>
      <c r="CH1750" s="1" t="s">
        <v>109</v>
      </c>
      <c r="CI1750" s="1" t="s">
        <v>109</v>
      </c>
      <c r="CJ1750" s="1">
        <v>3</v>
      </c>
      <c r="CK1750" s="1"/>
      <c r="CL1750" s="1">
        <v>0</v>
      </c>
      <c r="CM1750" s="1">
        <v>0</v>
      </c>
      <c r="CN1750" s="1">
        <v>0</v>
      </c>
    </row>
    <row r="1751" spans="1:92" ht="14.25" customHeight="1" x14ac:dyDescent="0.15">
      <c r="A1751" s="1" t="s">
        <v>13049</v>
      </c>
      <c r="B1751" s="1" t="s">
        <v>189</v>
      </c>
      <c r="C1751" s="1"/>
      <c r="D1751" s="1"/>
      <c r="E1751" s="1" t="s">
        <v>13050</v>
      </c>
      <c r="F1751" s="1" t="s">
        <v>98</v>
      </c>
      <c r="G1751" s="1" t="s">
        <v>141</v>
      </c>
      <c r="H1751" s="1">
        <v>0</v>
      </c>
      <c r="I1751" s="1" t="s">
        <v>161</v>
      </c>
      <c r="J1751" s="1"/>
      <c r="K1751" s="1"/>
      <c r="L1751" s="1" t="s">
        <v>8687</v>
      </c>
      <c r="M1751" s="1" t="s">
        <v>13051</v>
      </c>
      <c r="N1751" s="1">
        <v>0</v>
      </c>
      <c r="O1751" s="1">
        <v>0</v>
      </c>
      <c r="P1751" s="1" t="s">
        <v>103</v>
      </c>
      <c r="Q1751" s="1" t="s">
        <v>104</v>
      </c>
      <c r="R1751" s="1" t="s">
        <v>13052</v>
      </c>
      <c r="S1751" s="1" t="s">
        <v>13053</v>
      </c>
      <c r="T1751" s="1" t="s">
        <v>13039</v>
      </c>
      <c r="U1751" s="1" t="s">
        <v>13054</v>
      </c>
      <c r="V1751" s="1">
        <v>1</v>
      </c>
      <c r="W1751" s="1">
        <v>1</v>
      </c>
      <c r="X1751" s="1">
        <v>0</v>
      </c>
      <c r="Y1751" s="1">
        <v>0</v>
      </c>
      <c r="Z1751" s="1">
        <v>0</v>
      </c>
      <c r="AA1751" s="1">
        <v>1</v>
      </c>
      <c r="AB1751" s="1">
        <v>1</v>
      </c>
      <c r="AC1751" s="1">
        <v>1</v>
      </c>
      <c r="AD1751" s="1">
        <v>1</v>
      </c>
      <c r="AE1751" s="1" t="s">
        <v>109</v>
      </c>
      <c r="AF1751" s="1">
        <v>1</v>
      </c>
      <c r="AG1751" s="1">
        <v>1</v>
      </c>
      <c r="AH1751" s="1" t="s">
        <v>109</v>
      </c>
      <c r="AI1751" s="1">
        <v>1</v>
      </c>
      <c r="AJ1751" s="1">
        <v>1</v>
      </c>
      <c r="AK1751" s="1">
        <v>1</v>
      </c>
      <c r="AL1751" s="1">
        <v>1</v>
      </c>
      <c r="AM1751" s="1" t="s">
        <v>109</v>
      </c>
      <c r="AN1751" s="1" t="s">
        <v>109</v>
      </c>
      <c r="AO1751" s="1" t="s">
        <v>109</v>
      </c>
      <c r="AP1751" s="1"/>
      <c r="AQ1751" s="1">
        <v>1</v>
      </c>
      <c r="AR1751" s="1"/>
      <c r="AS1751" s="1"/>
      <c r="AT1751" s="1">
        <v>0</v>
      </c>
      <c r="AU1751" s="1">
        <v>0</v>
      </c>
      <c r="AV1751" s="1">
        <v>0</v>
      </c>
      <c r="AW1751" s="1">
        <v>0</v>
      </c>
      <c r="AX1751" s="1">
        <v>0</v>
      </c>
      <c r="AY1751" s="1">
        <v>0</v>
      </c>
      <c r="AZ1751" s="1">
        <v>0</v>
      </c>
      <c r="BA1751" s="1">
        <v>0</v>
      </c>
      <c r="BB1751" s="1">
        <v>0</v>
      </c>
      <c r="BC1751" s="1">
        <v>0</v>
      </c>
      <c r="BD1751" s="1">
        <v>0</v>
      </c>
      <c r="BE1751" s="1">
        <v>0</v>
      </c>
      <c r="BF1751" s="1">
        <v>0</v>
      </c>
      <c r="BG1751" s="1">
        <v>0</v>
      </c>
      <c r="BH1751" s="1">
        <v>0</v>
      </c>
      <c r="BI1751" s="1">
        <v>0</v>
      </c>
      <c r="BJ1751" s="1">
        <v>0</v>
      </c>
      <c r="BK1751" s="1">
        <v>0</v>
      </c>
      <c r="BL1751" s="1">
        <v>0</v>
      </c>
      <c r="BM1751" s="1">
        <v>0</v>
      </c>
      <c r="BN1751" s="1">
        <v>0</v>
      </c>
      <c r="BO1751" s="1">
        <v>0</v>
      </c>
      <c r="BP1751" s="1">
        <v>0</v>
      </c>
      <c r="BQ1751" s="1">
        <v>0</v>
      </c>
      <c r="BR1751" s="1">
        <v>0</v>
      </c>
      <c r="BS1751" s="1" t="s">
        <v>109</v>
      </c>
      <c r="BT1751" s="1">
        <v>1821</v>
      </c>
      <c r="BU1751" s="1" t="s">
        <v>109</v>
      </c>
      <c r="BV1751" s="1"/>
      <c r="BW1751" s="1"/>
      <c r="BX1751" s="1"/>
      <c r="BY1751" s="1"/>
      <c r="BZ1751" s="1">
        <v>0</v>
      </c>
      <c r="CA1751" s="1" t="s">
        <v>109</v>
      </c>
      <c r="CB1751" s="1" t="s">
        <v>109</v>
      </c>
      <c r="CC1751" s="1" t="s">
        <v>109</v>
      </c>
      <c r="CD1751" s="1" t="s">
        <v>109</v>
      </c>
      <c r="CE1751" s="1" t="s">
        <v>109</v>
      </c>
      <c r="CF1751" s="1" t="s">
        <v>109</v>
      </c>
      <c r="CG1751" s="1" t="s">
        <v>109</v>
      </c>
      <c r="CH1751" s="1" t="s">
        <v>109</v>
      </c>
      <c r="CI1751" s="1" t="s">
        <v>109</v>
      </c>
      <c r="CJ1751" s="1">
        <v>1</v>
      </c>
      <c r="CK1751" s="1"/>
      <c r="CL1751" s="1">
        <v>0</v>
      </c>
      <c r="CM1751" s="1">
        <v>0</v>
      </c>
      <c r="CN1751" s="1">
        <v>0</v>
      </c>
    </row>
    <row r="1752" spans="1:92" ht="14.25" customHeight="1" x14ac:dyDescent="0.15">
      <c r="A1752" s="1" t="s">
        <v>13055</v>
      </c>
      <c r="B1752" s="1" t="s">
        <v>308</v>
      </c>
      <c r="C1752" s="1"/>
      <c r="D1752" s="1" t="s">
        <v>50</v>
      </c>
      <c r="E1752" s="1" t="s">
        <v>13056</v>
      </c>
      <c r="F1752" s="1" t="s">
        <v>98</v>
      </c>
      <c r="G1752" s="1" t="s">
        <v>13057</v>
      </c>
      <c r="H1752" s="1">
        <v>0</v>
      </c>
      <c r="I1752" s="1" t="s">
        <v>161</v>
      </c>
      <c r="J1752" s="1"/>
      <c r="K1752" s="1"/>
      <c r="L1752" s="1" t="s">
        <v>563</v>
      </c>
      <c r="M1752" s="1" t="s">
        <v>211</v>
      </c>
      <c r="N1752" s="1">
        <v>0</v>
      </c>
      <c r="O1752" s="1">
        <v>0</v>
      </c>
      <c r="P1752" s="1" t="s">
        <v>301</v>
      </c>
      <c r="Q1752" s="1" t="s">
        <v>268</v>
      </c>
      <c r="R1752" s="1" t="s">
        <v>13058</v>
      </c>
      <c r="S1752" s="1" t="s">
        <v>13059</v>
      </c>
      <c r="T1752" s="1" t="s">
        <v>13039</v>
      </c>
      <c r="U1752" s="1" t="s">
        <v>13060</v>
      </c>
      <c r="V1752" s="1">
        <v>1</v>
      </c>
      <c r="W1752" s="1">
        <v>1</v>
      </c>
      <c r="X1752" s="1">
        <v>1</v>
      </c>
      <c r="Y1752" s="1">
        <v>0</v>
      </c>
      <c r="Z1752" s="1">
        <v>1</v>
      </c>
      <c r="AA1752" s="1">
        <v>2</v>
      </c>
      <c r="AB1752" s="1">
        <v>2</v>
      </c>
      <c r="AC1752" s="1">
        <v>3</v>
      </c>
      <c r="AD1752" s="1" t="s">
        <v>109</v>
      </c>
      <c r="AE1752" s="1" t="s">
        <v>109</v>
      </c>
      <c r="AF1752" s="1">
        <v>2</v>
      </c>
      <c r="AG1752" s="1" t="s">
        <v>109</v>
      </c>
      <c r="AH1752" s="1" t="s">
        <v>109</v>
      </c>
      <c r="AI1752" s="1" t="s">
        <v>109</v>
      </c>
      <c r="AJ1752" s="1">
        <v>2</v>
      </c>
      <c r="AK1752" s="1" t="s">
        <v>109</v>
      </c>
      <c r="AL1752" s="1">
        <v>3</v>
      </c>
      <c r="AM1752" s="1">
        <v>2</v>
      </c>
      <c r="AN1752" s="1" t="s">
        <v>109</v>
      </c>
      <c r="AO1752" s="1" t="s">
        <v>109</v>
      </c>
      <c r="AP1752" s="1"/>
      <c r="AQ1752" s="1">
        <v>2</v>
      </c>
      <c r="AR1752" s="1"/>
      <c r="AS1752" s="1"/>
      <c r="AT1752" s="1">
        <v>0</v>
      </c>
      <c r="AU1752" s="1">
        <v>0</v>
      </c>
      <c r="AV1752" s="1">
        <v>0</v>
      </c>
      <c r="AW1752" s="1">
        <v>0</v>
      </c>
      <c r="AX1752" s="1">
        <v>1</v>
      </c>
      <c r="AY1752" s="1">
        <v>0</v>
      </c>
      <c r="AZ1752" s="1">
        <v>0</v>
      </c>
      <c r="BA1752" s="1">
        <v>0</v>
      </c>
      <c r="BB1752" s="1">
        <v>0</v>
      </c>
      <c r="BC1752" s="1">
        <v>0</v>
      </c>
      <c r="BD1752" s="1">
        <v>0</v>
      </c>
      <c r="BE1752" s="1">
        <v>0</v>
      </c>
      <c r="BF1752" s="1">
        <v>0</v>
      </c>
      <c r="BG1752" s="1">
        <v>0</v>
      </c>
      <c r="BH1752" s="1">
        <v>0</v>
      </c>
      <c r="BI1752" s="1">
        <v>0</v>
      </c>
      <c r="BJ1752" s="1">
        <v>0</v>
      </c>
      <c r="BK1752" s="1">
        <v>0</v>
      </c>
      <c r="BL1752" s="1">
        <v>0</v>
      </c>
      <c r="BM1752" s="1">
        <v>0</v>
      </c>
      <c r="BN1752" s="1">
        <v>0</v>
      </c>
      <c r="BO1752" s="1">
        <v>0</v>
      </c>
      <c r="BP1752" s="1">
        <v>0</v>
      </c>
      <c r="BQ1752" s="1">
        <v>0</v>
      </c>
      <c r="BR1752" s="1">
        <v>0</v>
      </c>
      <c r="BS1752" s="1" t="s">
        <v>109</v>
      </c>
      <c r="BT1752" s="1">
        <v>1822</v>
      </c>
      <c r="BU1752" s="1" t="s">
        <v>109</v>
      </c>
      <c r="BV1752" s="1"/>
      <c r="BW1752" s="1"/>
      <c r="BX1752" s="1"/>
      <c r="BY1752" s="1"/>
      <c r="BZ1752" s="1">
        <v>0</v>
      </c>
      <c r="CA1752" s="1" t="s">
        <v>109</v>
      </c>
      <c r="CB1752" s="1" t="s">
        <v>109</v>
      </c>
      <c r="CC1752" s="1" t="s">
        <v>109</v>
      </c>
      <c r="CD1752" s="1" t="s">
        <v>109</v>
      </c>
      <c r="CE1752" s="1" t="s">
        <v>109</v>
      </c>
      <c r="CF1752" s="1" t="s">
        <v>109</v>
      </c>
      <c r="CG1752" s="1" t="s">
        <v>109</v>
      </c>
      <c r="CH1752" s="1" t="s">
        <v>109</v>
      </c>
      <c r="CI1752" s="1" t="s">
        <v>109</v>
      </c>
      <c r="CJ1752" s="1" t="s">
        <v>109</v>
      </c>
      <c r="CK1752" s="1"/>
      <c r="CL1752" s="1">
        <v>0</v>
      </c>
      <c r="CM1752" s="1">
        <v>0</v>
      </c>
      <c r="CN1752" s="1">
        <v>0</v>
      </c>
    </row>
    <row r="1753" spans="1:92" ht="14.25" customHeight="1" x14ac:dyDescent="0.15">
      <c r="A1753" s="1" t="s">
        <v>13061</v>
      </c>
      <c r="B1753" s="1" t="s">
        <v>584</v>
      </c>
      <c r="C1753" s="1"/>
      <c r="D1753" s="1"/>
      <c r="E1753" s="1" t="s">
        <v>13062</v>
      </c>
      <c r="F1753" s="1" t="s">
        <v>98</v>
      </c>
      <c r="G1753" s="1" t="s">
        <v>141</v>
      </c>
      <c r="H1753" s="1">
        <v>0</v>
      </c>
      <c r="I1753" s="1" t="s">
        <v>211</v>
      </c>
      <c r="J1753" s="1"/>
      <c r="K1753" s="1"/>
      <c r="L1753" s="1" t="s">
        <v>211</v>
      </c>
      <c r="M1753" s="1" t="s">
        <v>144</v>
      </c>
      <c r="N1753" s="1">
        <v>0</v>
      </c>
      <c r="O1753" s="1">
        <v>0</v>
      </c>
      <c r="P1753" s="1" t="s">
        <v>727</v>
      </c>
      <c r="Q1753" s="1" t="s">
        <v>268</v>
      </c>
      <c r="R1753" s="1" t="s">
        <v>13063</v>
      </c>
      <c r="S1753" s="1" t="s">
        <v>13064</v>
      </c>
      <c r="T1753" s="1" t="s">
        <v>13039</v>
      </c>
      <c r="U1753" s="1" t="s">
        <v>13065</v>
      </c>
      <c r="V1753" s="1">
        <v>1</v>
      </c>
      <c r="W1753" s="1">
        <v>1</v>
      </c>
      <c r="X1753" s="1">
        <v>0</v>
      </c>
      <c r="Y1753" s="1">
        <v>0</v>
      </c>
      <c r="Z1753" s="1">
        <v>0</v>
      </c>
      <c r="AA1753" s="1">
        <v>3</v>
      </c>
      <c r="AB1753" s="1">
        <v>3</v>
      </c>
      <c r="AC1753" s="1" t="s">
        <v>109</v>
      </c>
      <c r="AD1753" s="1" t="s">
        <v>109</v>
      </c>
      <c r="AE1753" s="1" t="s">
        <v>109</v>
      </c>
      <c r="AF1753" s="1" t="s">
        <v>109</v>
      </c>
      <c r="AG1753" s="1" t="s">
        <v>109</v>
      </c>
      <c r="AH1753" s="1" t="s">
        <v>109</v>
      </c>
      <c r="AI1753" s="1" t="s">
        <v>109</v>
      </c>
      <c r="AJ1753" s="1">
        <v>4</v>
      </c>
      <c r="AK1753" s="1" t="s">
        <v>109</v>
      </c>
      <c r="AL1753" s="1" t="s">
        <v>109</v>
      </c>
      <c r="AM1753" s="1" t="s">
        <v>109</v>
      </c>
      <c r="AN1753" s="1">
        <v>3</v>
      </c>
      <c r="AO1753" s="1" t="s">
        <v>109</v>
      </c>
      <c r="AP1753" s="1"/>
      <c r="AQ1753" s="1">
        <v>3</v>
      </c>
      <c r="AR1753" s="1"/>
      <c r="AS1753" s="1"/>
      <c r="AT1753" s="1">
        <v>0</v>
      </c>
      <c r="AU1753" s="1">
        <v>0</v>
      </c>
      <c r="AV1753" s="1">
        <v>0</v>
      </c>
      <c r="AW1753" s="1">
        <v>0</v>
      </c>
      <c r="AX1753" s="1">
        <v>0</v>
      </c>
      <c r="AY1753" s="1">
        <v>0</v>
      </c>
      <c r="AZ1753" s="1">
        <v>0</v>
      </c>
      <c r="BA1753" s="1">
        <v>0</v>
      </c>
      <c r="BB1753" s="1">
        <v>0</v>
      </c>
      <c r="BC1753" s="1">
        <v>0</v>
      </c>
      <c r="BD1753" s="1">
        <v>0</v>
      </c>
      <c r="BE1753" s="1">
        <v>0</v>
      </c>
      <c r="BF1753" s="1">
        <v>0</v>
      </c>
      <c r="BG1753" s="1">
        <v>0</v>
      </c>
      <c r="BH1753" s="1">
        <v>0</v>
      </c>
      <c r="BI1753" s="1">
        <v>0</v>
      </c>
      <c r="BJ1753" s="1">
        <v>0</v>
      </c>
      <c r="BK1753" s="1">
        <v>0</v>
      </c>
      <c r="BL1753" s="1">
        <v>0</v>
      </c>
      <c r="BM1753" s="1">
        <v>0</v>
      </c>
      <c r="BN1753" s="1">
        <v>0</v>
      </c>
      <c r="BO1753" s="1">
        <v>0</v>
      </c>
      <c r="BP1753" s="1">
        <v>0</v>
      </c>
      <c r="BQ1753" s="1">
        <v>0</v>
      </c>
      <c r="BR1753" s="1">
        <v>0</v>
      </c>
      <c r="BS1753" s="1" t="s">
        <v>109</v>
      </c>
      <c r="BT1753" s="1">
        <v>1823</v>
      </c>
      <c r="BU1753" s="1" t="s">
        <v>109</v>
      </c>
      <c r="BV1753" s="1"/>
      <c r="BW1753" s="1"/>
      <c r="BX1753" s="1"/>
      <c r="BY1753" s="1"/>
      <c r="BZ1753" s="1">
        <v>0</v>
      </c>
      <c r="CA1753" s="1" t="s">
        <v>109</v>
      </c>
      <c r="CB1753" s="1" t="s">
        <v>109</v>
      </c>
      <c r="CC1753" s="1" t="s">
        <v>109</v>
      </c>
      <c r="CD1753" s="1" t="s">
        <v>109</v>
      </c>
      <c r="CE1753" s="1" t="s">
        <v>109</v>
      </c>
      <c r="CF1753" s="1" t="s">
        <v>109</v>
      </c>
      <c r="CG1753" s="1" t="s">
        <v>109</v>
      </c>
      <c r="CH1753" s="1" t="s">
        <v>109</v>
      </c>
      <c r="CI1753" s="1" t="s">
        <v>109</v>
      </c>
      <c r="CJ1753" s="1" t="s">
        <v>109</v>
      </c>
      <c r="CK1753" s="1"/>
      <c r="CL1753" s="1">
        <v>0</v>
      </c>
      <c r="CM1753" s="1">
        <v>0</v>
      </c>
      <c r="CN1753" s="1">
        <v>0</v>
      </c>
    </row>
    <row r="1754" spans="1:92" ht="14.25" customHeight="1" x14ac:dyDescent="0.15">
      <c r="A1754" s="1" t="s">
        <v>13066</v>
      </c>
      <c r="B1754" s="1" t="s">
        <v>242</v>
      </c>
      <c r="C1754" s="1"/>
      <c r="D1754" s="1"/>
      <c r="E1754" s="1" t="s">
        <v>11724</v>
      </c>
      <c r="F1754" s="1" t="s">
        <v>98</v>
      </c>
      <c r="G1754" s="1" t="s">
        <v>141</v>
      </c>
      <c r="H1754" s="1">
        <v>0</v>
      </c>
      <c r="I1754" s="1" t="s">
        <v>142</v>
      </c>
      <c r="J1754" s="1"/>
      <c r="K1754" s="1"/>
      <c r="L1754" s="1" t="s">
        <v>211</v>
      </c>
      <c r="M1754" s="1" t="s">
        <v>211</v>
      </c>
      <c r="N1754" s="1">
        <v>0</v>
      </c>
      <c r="O1754" s="1">
        <v>0</v>
      </c>
      <c r="P1754" s="1" t="s">
        <v>103</v>
      </c>
      <c r="Q1754" s="1" t="s">
        <v>104</v>
      </c>
      <c r="R1754" s="1" t="s">
        <v>13067</v>
      </c>
      <c r="S1754" s="1" t="s">
        <v>13068</v>
      </c>
      <c r="T1754" s="1" t="s">
        <v>13039</v>
      </c>
      <c r="U1754" s="1" t="s">
        <v>13069</v>
      </c>
      <c r="V1754" s="1">
        <v>1</v>
      </c>
      <c r="W1754" s="1">
        <v>1</v>
      </c>
      <c r="X1754" s="1">
        <v>0</v>
      </c>
      <c r="Y1754" s="1">
        <v>0</v>
      </c>
      <c r="Z1754" s="1">
        <v>0</v>
      </c>
      <c r="AA1754" s="1">
        <v>3</v>
      </c>
      <c r="AB1754" s="1">
        <v>3</v>
      </c>
      <c r="AC1754" s="1">
        <v>3</v>
      </c>
      <c r="AD1754" s="1" t="s">
        <v>109</v>
      </c>
      <c r="AE1754" s="1" t="s">
        <v>109</v>
      </c>
      <c r="AF1754" s="1" t="s">
        <v>109</v>
      </c>
      <c r="AG1754" s="1" t="s">
        <v>109</v>
      </c>
      <c r="AH1754" s="1" t="s">
        <v>109</v>
      </c>
      <c r="AI1754" s="1" t="s">
        <v>109</v>
      </c>
      <c r="AJ1754" s="1" t="s">
        <v>109</v>
      </c>
      <c r="AK1754" s="1" t="s">
        <v>109</v>
      </c>
      <c r="AL1754" s="1">
        <v>3</v>
      </c>
      <c r="AM1754" s="1" t="s">
        <v>109</v>
      </c>
      <c r="AN1754" s="1" t="s">
        <v>109</v>
      </c>
      <c r="AO1754" s="1" t="s">
        <v>109</v>
      </c>
      <c r="AP1754" s="1"/>
      <c r="AQ1754" s="1">
        <v>3</v>
      </c>
      <c r="AR1754" s="1"/>
      <c r="AS1754" s="1"/>
      <c r="AT1754" s="1">
        <v>0</v>
      </c>
      <c r="AU1754" s="1">
        <v>0</v>
      </c>
      <c r="AV1754" s="1">
        <v>0</v>
      </c>
      <c r="AW1754" s="1">
        <v>0</v>
      </c>
      <c r="AX1754" s="1">
        <v>0</v>
      </c>
      <c r="AY1754" s="1">
        <v>0</v>
      </c>
      <c r="AZ1754" s="1">
        <v>0</v>
      </c>
      <c r="BA1754" s="1">
        <v>0</v>
      </c>
      <c r="BB1754" s="1">
        <v>0</v>
      </c>
      <c r="BC1754" s="1">
        <v>0</v>
      </c>
      <c r="BD1754" s="1">
        <v>0</v>
      </c>
      <c r="BE1754" s="1">
        <v>0</v>
      </c>
      <c r="BF1754" s="1">
        <v>0</v>
      </c>
      <c r="BG1754" s="1">
        <v>0</v>
      </c>
      <c r="BH1754" s="1">
        <v>0</v>
      </c>
      <c r="BI1754" s="1">
        <v>0</v>
      </c>
      <c r="BJ1754" s="1">
        <v>0</v>
      </c>
      <c r="BK1754" s="1">
        <v>0</v>
      </c>
      <c r="BL1754" s="1">
        <v>0</v>
      </c>
      <c r="BM1754" s="1">
        <v>0</v>
      </c>
      <c r="BN1754" s="1">
        <v>0</v>
      </c>
      <c r="BO1754" s="1">
        <v>0</v>
      </c>
      <c r="BP1754" s="1">
        <v>0</v>
      </c>
      <c r="BQ1754" s="1">
        <v>0</v>
      </c>
      <c r="BR1754" s="1">
        <v>0</v>
      </c>
      <c r="BS1754" s="1" t="s">
        <v>109</v>
      </c>
      <c r="BT1754" s="1">
        <v>1824</v>
      </c>
      <c r="BU1754" s="1" t="s">
        <v>109</v>
      </c>
      <c r="BV1754" s="1"/>
      <c r="BW1754" s="1"/>
      <c r="BX1754" s="1"/>
      <c r="BY1754" s="1"/>
      <c r="BZ1754" s="1">
        <v>0</v>
      </c>
      <c r="CA1754" s="1" t="s">
        <v>109</v>
      </c>
      <c r="CB1754" s="1" t="s">
        <v>109</v>
      </c>
      <c r="CC1754" s="1" t="s">
        <v>109</v>
      </c>
      <c r="CD1754" s="1" t="s">
        <v>109</v>
      </c>
      <c r="CE1754" s="1" t="s">
        <v>109</v>
      </c>
      <c r="CF1754" s="1" t="s">
        <v>109</v>
      </c>
      <c r="CG1754" s="1" t="s">
        <v>109</v>
      </c>
      <c r="CH1754" s="1" t="s">
        <v>109</v>
      </c>
      <c r="CI1754" s="1" t="s">
        <v>109</v>
      </c>
      <c r="CJ1754" s="1" t="s">
        <v>109</v>
      </c>
      <c r="CK1754" s="1"/>
      <c r="CL1754" s="1">
        <v>0</v>
      </c>
      <c r="CM1754" s="1">
        <v>0</v>
      </c>
      <c r="CN1754" s="1">
        <v>0</v>
      </c>
    </row>
    <row r="1755" spans="1:92" ht="14.25" customHeight="1" x14ac:dyDescent="0.15">
      <c r="A1755" s="1" t="s">
        <v>13070</v>
      </c>
      <c r="B1755" s="1" t="s">
        <v>308</v>
      </c>
      <c r="C1755" s="1"/>
      <c r="D1755" s="1"/>
      <c r="E1755" s="1" t="s">
        <v>2427</v>
      </c>
      <c r="F1755" s="1" t="s">
        <v>355</v>
      </c>
      <c r="G1755" s="1" t="s">
        <v>13071</v>
      </c>
      <c r="H1755" s="1">
        <v>1</v>
      </c>
      <c r="I1755" s="1" t="s">
        <v>142</v>
      </c>
      <c r="J1755" s="1"/>
      <c r="K1755" s="1" t="s">
        <v>13072</v>
      </c>
      <c r="L1755" s="1"/>
      <c r="M1755" s="1" t="s">
        <v>6625</v>
      </c>
      <c r="N1755" s="1">
        <v>1</v>
      </c>
      <c r="O1755" s="1">
        <v>0</v>
      </c>
      <c r="P1755" s="1" t="s">
        <v>103</v>
      </c>
      <c r="Q1755" s="1" t="s">
        <v>104</v>
      </c>
      <c r="R1755" s="1" t="s">
        <v>13073</v>
      </c>
      <c r="S1755" s="1" t="s">
        <v>13074</v>
      </c>
      <c r="T1755" s="1" t="s">
        <v>13039</v>
      </c>
      <c r="U1755" s="1" t="s">
        <v>13075</v>
      </c>
      <c r="V1755" s="1">
        <v>1</v>
      </c>
      <c r="W1755" s="1">
        <v>1</v>
      </c>
      <c r="X1755" s="1">
        <v>0</v>
      </c>
      <c r="Y1755" s="1">
        <v>0</v>
      </c>
      <c r="Z1755" s="1">
        <v>0</v>
      </c>
      <c r="AA1755" s="1">
        <v>6</v>
      </c>
      <c r="AB1755" s="1">
        <v>6</v>
      </c>
      <c r="AC1755" s="1" t="s">
        <v>109</v>
      </c>
      <c r="AD1755" s="1" t="s">
        <v>109</v>
      </c>
      <c r="AE1755" s="1" t="s">
        <v>109</v>
      </c>
      <c r="AF1755" s="1" t="s">
        <v>109</v>
      </c>
      <c r="AG1755" s="1" t="s">
        <v>109</v>
      </c>
      <c r="AH1755" s="1" t="s">
        <v>109</v>
      </c>
      <c r="AI1755" s="1" t="s">
        <v>109</v>
      </c>
      <c r="AJ1755" s="1">
        <v>6</v>
      </c>
      <c r="AK1755" s="1" t="s">
        <v>109</v>
      </c>
      <c r="AL1755" s="1" t="s">
        <v>109</v>
      </c>
      <c r="AM1755" s="1" t="s">
        <v>109</v>
      </c>
      <c r="AN1755" s="1" t="s">
        <v>109</v>
      </c>
      <c r="AO1755" s="1" t="s">
        <v>109</v>
      </c>
      <c r="AP1755" s="1"/>
      <c r="AQ1755" s="1">
        <v>6</v>
      </c>
      <c r="AR1755" s="1"/>
      <c r="AS1755" s="1"/>
      <c r="AT1755" s="1">
        <v>0</v>
      </c>
      <c r="AU1755" s="1">
        <v>0</v>
      </c>
      <c r="AV1755" s="1">
        <v>0</v>
      </c>
      <c r="AW1755" s="1">
        <v>0</v>
      </c>
      <c r="AX1755" s="1">
        <v>0</v>
      </c>
      <c r="AY1755" s="1">
        <v>0</v>
      </c>
      <c r="AZ1755" s="1">
        <v>0</v>
      </c>
      <c r="BA1755" s="1">
        <v>0</v>
      </c>
      <c r="BB1755" s="1">
        <v>0</v>
      </c>
      <c r="BC1755" s="1">
        <v>0</v>
      </c>
      <c r="BD1755" s="1">
        <v>0</v>
      </c>
      <c r="BE1755" s="1">
        <v>0</v>
      </c>
      <c r="BF1755" s="1">
        <v>0</v>
      </c>
      <c r="BG1755" s="1">
        <v>0</v>
      </c>
      <c r="BH1755" s="1">
        <v>0</v>
      </c>
      <c r="BI1755" s="1">
        <v>0</v>
      </c>
      <c r="BJ1755" s="1">
        <v>0</v>
      </c>
      <c r="BK1755" s="1">
        <v>0</v>
      </c>
      <c r="BL1755" s="1">
        <v>0</v>
      </c>
      <c r="BM1755" s="1">
        <v>0</v>
      </c>
      <c r="BN1755" s="1">
        <v>0</v>
      </c>
      <c r="BO1755" s="1">
        <v>0</v>
      </c>
      <c r="BP1755" s="1">
        <v>0</v>
      </c>
      <c r="BQ1755" s="1">
        <v>0</v>
      </c>
      <c r="BR1755" s="1">
        <v>0</v>
      </c>
      <c r="BS1755" s="1" t="s">
        <v>109</v>
      </c>
      <c r="BT1755" s="1">
        <v>1827</v>
      </c>
      <c r="BU1755" s="1">
        <v>100</v>
      </c>
      <c r="BV1755" s="1"/>
      <c r="BW1755" s="1"/>
      <c r="BX1755" s="1"/>
      <c r="BY1755" s="1"/>
      <c r="BZ1755" s="1">
        <v>0</v>
      </c>
      <c r="CA1755" s="1" t="s">
        <v>109</v>
      </c>
      <c r="CB1755" s="1" t="s">
        <v>109</v>
      </c>
      <c r="CC1755" s="1" t="s">
        <v>109</v>
      </c>
      <c r="CD1755" s="1" t="s">
        <v>109</v>
      </c>
      <c r="CE1755" s="1" t="s">
        <v>109</v>
      </c>
      <c r="CF1755" s="1" t="s">
        <v>109</v>
      </c>
      <c r="CG1755" s="1" t="s">
        <v>109</v>
      </c>
      <c r="CH1755" s="1" t="s">
        <v>109</v>
      </c>
      <c r="CI1755" s="1" t="s">
        <v>109</v>
      </c>
      <c r="CJ1755" s="1" t="s">
        <v>109</v>
      </c>
      <c r="CK1755" s="1"/>
      <c r="CL1755" s="1">
        <v>0</v>
      </c>
      <c r="CM1755" s="1">
        <v>0</v>
      </c>
      <c r="CN1755" s="1">
        <v>0</v>
      </c>
    </row>
    <row r="1756" spans="1:92" ht="14.25" customHeight="1" x14ac:dyDescent="0.15">
      <c r="A1756" s="1" t="s">
        <v>13076</v>
      </c>
      <c r="B1756" s="1" t="s">
        <v>254</v>
      </c>
      <c r="C1756" s="1"/>
      <c r="D1756" s="1"/>
      <c r="E1756" s="1" t="s">
        <v>13077</v>
      </c>
      <c r="F1756" s="1" t="s">
        <v>395</v>
      </c>
      <c r="G1756" s="1" t="s">
        <v>13078</v>
      </c>
      <c r="H1756" s="1">
        <v>0</v>
      </c>
      <c r="I1756" s="1" t="s">
        <v>161</v>
      </c>
      <c r="J1756" s="1"/>
      <c r="K1756" s="1"/>
      <c r="L1756" s="1" t="s">
        <v>13079</v>
      </c>
      <c r="M1756" s="1" t="s">
        <v>7747</v>
      </c>
      <c r="N1756" s="1">
        <v>0</v>
      </c>
      <c r="O1756" s="1">
        <v>0</v>
      </c>
      <c r="P1756" s="1"/>
      <c r="Q1756" s="1"/>
      <c r="R1756" s="1" t="s">
        <v>13080</v>
      </c>
      <c r="S1756" s="1" t="s">
        <v>13081</v>
      </c>
      <c r="T1756" s="1" t="s">
        <v>13082</v>
      </c>
      <c r="U1756" s="1" t="s">
        <v>13083</v>
      </c>
      <c r="V1756" s="1">
        <v>1</v>
      </c>
      <c r="W1756" s="1">
        <v>1</v>
      </c>
      <c r="X1756" s="1">
        <v>0</v>
      </c>
      <c r="Y1756" s="1">
        <v>0</v>
      </c>
      <c r="Z1756" s="1">
        <v>0</v>
      </c>
      <c r="AA1756" s="1">
        <v>6</v>
      </c>
      <c r="AB1756" s="1">
        <v>6</v>
      </c>
      <c r="AC1756" s="1" t="s">
        <v>109</v>
      </c>
      <c r="AD1756" s="1" t="s">
        <v>109</v>
      </c>
      <c r="AE1756" s="1" t="s">
        <v>109</v>
      </c>
      <c r="AF1756" s="1">
        <v>5</v>
      </c>
      <c r="AG1756" s="1" t="s">
        <v>109</v>
      </c>
      <c r="AH1756" s="1" t="s">
        <v>109</v>
      </c>
      <c r="AI1756" s="1" t="s">
        <v>109</v>
      </c>
      <c r="AJ1756" s="1">
        <v>6</v>
      </c>
      <c r="AK1756" s="1" t="s">
        <v>109</v>
      </c>
      <c r="AL1756" s="1" t="s">
        <v>109</v>
      </c>
      <c r="AM1756" s="1" t="s">
        <v>109</v>
      </c>
      <c r="AN1756" s="1" t="s">
        <v>109</v>
      </c>
      <c r="AO1756" s="1" t="s">
        <v>109</v>
      </c>
      <c r="AP1756" s="1"/>
      <c r="AQ1756" s="1">
        <v>6</v>
      </c>
      <c r="AR1756" s="1"/>
      <c r="AS1756" s="1"/>
      <c r="AT1756" s="1">
        <v>0</v>
      </c>
      <c r="AU1756" s="1">
        <v>0</v>
      </c>
      <c r="AV1756" s="1">
        <v>0</v>
      </c>
      <c r="AW1756" s="1">
        <v>0</v>
      </c>
      <c r="AX1756" s="1">
        <v>0</v>
      </c>
      <c r="AY1756" s="1">
        <v>0</v>
      </c>
      <c r="AZ1756" s="1">
        <v>0</v>
      </c>
      <c r="BA1756" s="1">
        <v>0</v>
      </c>
      <c r="BB1756" s="1">
        <v>0</v>
      </c>
      <c r="BC1756" s="1">
        <v>0</v>
      </c>
      <c r="BD1756" s="1">
        <v>0</v>
      </c>
      <c r="BE1756" s="1">
        <v>0</v>
      </c>
      <c r="BF1756" s="1">
        <v>0</v>
      </c>
      <c r="BG1756" s="1">
        <v>0</v>
      </c>
      <c r="BH1756" s="1">
        <v>0</v>
      </c>
      <c r="BI1756" s="1">
        <v>0</v>
      </c>
      <c r="BJ1756" s="1">
        <v>0</v>
      </c>
      <c r="BK1756" s="1">
        <v>0</v>
      </c>
      <c r="BL1756" s="1">
        <v>0</v>
      </c>
      <c r="BM1756" s="1">
        <v>0</v>
      </c>
      <c r="BN1756" s="1">
        <v>0</v>
      </c>
      <c r="BO1756" s="1">
        <v>0</v>
      </c>
      <c r="BP1756" s="1">
        <v>0</v>
      </c>
      <c r="BQ1756" s="1">
        <v>0</v>
      </c>
      <c r="BR1756" s="1">
        <v>0</v>
      </c>
      <c r="BS1756" s="1" t="s">
        <v>109</v>
      </c>
      <c r="BT1756" s="1">
        <v>1828</v>
      </c>
      <c r="BU1756" s="1" t="s">
        <v>109</v>
      </c>
      <c r="BV1756" s="1" t="s">
        <v>13084</v>
      </c>
      <c r="BW1756" s="1"/>
      <c r="BX1756" s="1"/>
      <c r="BY1756" s="1"/>
      <c r="BZ1756" s="1">
        <v>0</v>
      </c>
      <c r="CA1756" s="1" t="s">
        <v>109</v>
      </c>
      <c r="CB1756" s="1" t="s">
        <v>109</v>
      </c>
      <c r="CC1756" s="1" t="s">
        <v>109</v>
      </c>
      <c r="CD1756" s="1" t="s">
        <v>109</v>
      </c>
      <c r="CE1756" s="1" t="s">
        <v>109</v>
      </c>
      <c r="CF1756" s="1" t="s">
        <v>109</v>
      </c>
      <c r="CG1756" s="1" t="s">
        <v>109</v>
      </c>
      <c r="CH1756" s="1" t="s">
        <v>109</v>
      </c>
      <c r="CI1756" s="1" t="s">
        <v>109</v>
      </c>
      <c r="CJ1756" s="1" t="s">
        <v>109</v>
      </c>
      <c r="CK1756" s="1"/>
      <c r="CL1756" s="1">
        <v>0</v>
      </c>
      <c r="CM1756" s="1">
        <v>0</v>
      </c>
      <c r="CN1756" s="1">
        <v>0</v>
      </c>
    </row>
    <row r="1757" spans="1:92" ht="14.25" customHeight="1" x14ac:dyDescent="0.15">
      <c r="A1757" s="1" t="s">
        <v>13085</v>
      </c>
      <c r="B1757" s="1" t="s">
        <v>242</v>
      </c>
      <c r="C1757" s="1"/>
      <c r="D1757" s="1"/>
      <c r="E1757" s="1" t="s">
        <v>11201</v>
      </c>
      <c r="F1757" s="1" t="s">
        <v>277</v>
      </c>
      <c r="G1757" s="1" t="s">
        <v>13086</v>
      </c>
      <c r="H1757" s="1">
        <v>1</v>
      </c>
      <c r="I1757" s="1" t="s">
        <v>161</v>
      </c>
      <c r="J1757" s="1"/>
      <c r="K1757" s="1"/>
      <c r="L1757" s="1" t="s">
        <v>506</v>
      </c>
      <c r="M1757" s="1" t="s">
        <v>465</v>
      </c>
      <c r="N1757" s="1">
        <v>0</v>
      </c>
      <c r="O1757" s="1">
        <v>0</v>
      </c>
      <c r="P1757" s="1" t="s">
        <v>507</v>
      </c>
      <c r="Q1757" s="1" t="s">
        <v>167</v>
      </c>
      <c r="R1757" s="1" t="s">
        <v>13087</v>
      </c>
      <c r="S1757" s="1" t="s">
        <v>13088</v>
      </c>
      <c r="T1757" s="1" t="s">
        <v>13089</v>
      </c>
      <c r="U1757" s="1" t="s">
        <v>13090</v>
      </c>
      <c r="V1757" s="1">
        <v>1</v>
      </c>
      <c r="W1757" s="1">
        <v>1</v>
      </c>
      <c r="X1757" s="1">
        <v>1</v>
      </c>
      <c r="Y1757" s="1">
        <v>0</v>
      </c>
      <c r="Z1757" s="1">
        <v>1</v>
      </c>
      <c r="AA1757" s="1" t="s">
        <v>109</v>
      </c>
      <c r="AB1757" s="1" t="s">
        <v>109</v>
      </c>
      <c r="AC1757" s="1">
        <v>2</v>
      </c>
      <c r="AD1757" s="1" t="s">
        <v>109</v>
      </c>
      <c r="AE1757" s="1" t="s">
        <v>109</v>
      </c>
      <c r="AF1757" s="1" t="s">
        <v>109</v>
      </c>
      <c r="AG1757" s="1">
        <v>2</v>
      </c>
      <c r="AH1757" s="1" t="s">
        <v>109</v>
      </c>
      <c r="AI1757" s="1" t="s">
        <v>109</v>
      </c>
      <c r="AJ1757" s="1" t="s">
        <v>109</v>
      </c>
      <c r="AK1757" s="1">
        <v>2</v>
      </c>
      <c r="AL1757" s="1">
        <v>2</v>
      </c>
      <c r="AM1757" s="1" t="s">
        <v>109</v>
      </c>
      <c r="AN1757" s="1" t="s">
        <v>109</v>
      </c>
      <c r="AO1757" s="1" t="s">
        <v>109</v>
      </c>
      <c r="AP1757" s="1"/>
      <c r="AQ1757" s="1">
        <v>2</v>
      </c>
      <c r="AR1757" s="1"/>
      <c r="AS1757" s="1"/>
      <c r="AT1757" s="1">
        <v>0</v>
      </c>
      <c r="AU1757" s="1">
        <v>0</v>
      </c>
      <c r="AV1757" s="1">
        <v>0</v>
      </c>
      <c r="AW1757" s="1">
        <v>0</v>
      </c>
      <c r="AX1757" s="1">
        <v>0</v>
      </c>
      <c r="AY1757" s="1">
        <v>0</v>
      </c>
      <c r="AZ1757" s="1">
        <v>0</v>
      </c>
      <c r="BA1757" s="1">
        <v>0</v>
      </c>
      <c r="BB1757" s="1">
        <v>0</v>
      </c>
      <c r="BC1757" s="1">
        <v>0</v>
      </c>
      <c r="BD1757" s="1">
        <v>0</v>
      </c>
      <c r="BE1757" s="1">
        <v>0</v>
      </c>
      <c r="BF1757" s="1">
        <v>0</v>
      </c>
      <c r="BG1757" s="1">
        <v>0</v>
      </c>
      <c r="BH1757" s="1">
        <v>0</v>
      </c>
      <c r="BI1757" s="1">
        <v>0</v>
      </c>
      <c r="BJ1757" s="1">
        <v>0</v>
      </c>
      <c r="BK1757" s="1">
        <v>0</v>
      </c>
      <c r="BL1757" s="1">
        <v>0</v>
      </c>
      <c r="BM1757" s="1">
        <v>0</v>
      </c>
      <c r="BN1757" s="1">
        <v>0</v>
      </c>
      <c r="BO1757" s="1">
        <v>0</v>
      </c>
      <c r="BP1757" s="1">
        <v>0</v>
      </c>
      <c r="BQ1757" s="1">
        <v>0</v>
      </c>
      <c r="BR1757" s="1">
        <v>0</v>
      </c>
      <c r="BS1757" s="1" t="s">
        <v>109</v>
      </c>
      <c r="BT1757" s="1">
        <v>1829</v>
      </c>
      <c r="BU1757" s="1">
        <v>25</v>
      </c>
      <c r="BV1757" s="1"/>
      <c r="BW1757" s="1"/>
      <c r="BX1757" s="1"/>
      <c r="BY1757" s="1"/>
      <c r="BZ1757" s="1">
        <v>0</v>
      </c>
      <c r="CA1757" s="1" t="s">
        <v>109</v>
      </c>
      <c r="CB1757" s="1" t="s">
        <v>109</v>
      </c>
      <c r="CC1757" s="1" t="s">
        <v>109</v>
      </c>
      <c r="CD1757" s="1" t="s">
        <v>109</v>
      </c>
      <c r="CE1757" s="1" t="s">
        <v>109</v>
      </c>
      <c r="CF1757" s="1" t="s">
        <v>109</v>
      </c>
      <c r="CG1757" s="1" t="s">
        <v>109</v>
      </c>
      <c r="CH1757" s="1" t="s">
        <v>109</v>
      </c>
      <c r="CI1757" s="1" t="s">
        <v>109</v>
      </c>
      <c r="CJ1757" s="1" t="s">
        <v>109</v>
      </c>
      <c r="CK1757" s="1"/>
      <c r="CL1757" s="1">
        <v>0</v>
      </c>
      <c r="CM1757" s="1">
        <v>0</v>
      </c>
      <c r="CN1757" s="1">
        <v>0</v>
      </c>
    </row>
    <row r="1758" spans="1:92" ht="14.25" customHeight="1" x14ac:dyDescent="0.15">
      <c r="A1758" s="1" t="s">
        <v>13091</v>
      </c>
      <c r="B1758" s="1" t="s">
        <v>308</v>
      </c>
      <c r="C1758" s="1"/>
      <c r="D1758" s="1"/>
      <c r="E1758" s="1" t="s">
        <v>13092</v>
      </c>
      <c r="F1758" s="1" t="s">
        <v>98</v>
      </c>
      <c r="G1758" s="1" t="s">
        <v>141</v>
      </c>
      <c r="H1758" s="1">
        <v>0</v>
      </c>
      <c r="I1758" s="1" t="s">
        <v>142</v>
      </c>
      <c r="J1758" s="1"/>
      <c r="K1758" s="1"/>
      <c r="L1758" s="1" t="s">
        <v>1391</v>
      </c>
      <c r="M1758" s="1" t="s">
        <v>144</v>
      </c>
      <c r="N1758" s="1">
        <v>0</v>
      </c>
      <c r="O1758" s="1">
        <v>0</v>
      </c>
      <c r="P1758" s="1" t="s">
        <v>211</v>
      </c>
      <c r="Q1758" s="1" t="s">
        <v>268</v>
      </c>
      <c r="R1758" s="1" t="s">
        <v>13093</v>
      </c>
      <c r="S1758" s="1" t="s">
        <v>13094</v>
      </c>
      <c r="T1758" s="1" t="s">
        <v>13089</v>
      </c>
      <c r="U1758" s="1" t="s">
        <v>13095</v>
      </c>
      <c r="V1758" s="1">
        <v>1</v>
      </c>
      <c r="W1758" s="1">
        <v>1</v>
      </c>
      <c r="X1758" s="1">
        <v>0</v>
      </c>
      <c r="Y1758" s="1">
        <v>0</v>
      </c>
      <c r="Z1758" s="1">
        <v>0</v>
      </c>
      <c r="AA1758" s="1">
        <v>4</v>
      </c>
      <c r="AB1758" s="1">
        <v>4</v>
      </c>
      <c r="AC1758" s="1">
        <v>3</v>
      </c>
      <c r="AD1758" s="1">
        <v>3</v>
      </c>
      <c r="AE1758" s="1" t="s">
        <v>109</v>
      </c>
      <c r="AF1758" s="1" t="s">
        <v>109</v>
      </c>
      <c r="AG1758" s="1" t="s">
        <v>109</v>
      </c>
      <c r="AH1758" s="1" t="s">
        <v>109</v>
      </c>
      <c r="AI1758" s="1" t="s">
        <v>109</v>
      </c>
      <c r="AJ1758" s="1">
        <v>3</v>
      </c>
      <c r="AK1758" s="1" t="s">
        <v>109</v>
      </c>
      <c r="AL1758" s="1">
        <v>3</v>
      </c>
      <c r="AM1758" s="1" t="s">
        <v>109</v>
      </c>
      <c r="AN1758" s="1" t="s">
        <v>109</v>
      </c>
      <c r="AO1758" s="1" t="s">
        <v>109</v>
      </c>
      <c r="AP1758" s="1"/>
      <c r="AQ1758" s="1">
        <v>4</v>
      </c>
      <c r="AR1758" s="1"/>
      <c r="AS1758" s="1"/>
      <c r="AT1758" s="1">
        <v>0</v>
      </c>
      <c r="AU1758" s="1">
        <v>0</v>
      </c>
      <c r="AV1758" s="1">
        <v>0</v>
      </c>
      <c r="AW1758" s="1">
        <v>0</v>
      </c>
      <c r="AX1758" s="1">
        <v>0</v>
      </c>
      <c r="AY1758" s="1">
        <v>0</v>
      </c>
      <c r="AZ1758" s="1">
        <v>0</v>
      </c>
      <c r="BA1758" s="1">
        <v>0</v>
      </c>
      <c r="BB1758" s="1">
        <v>0</v>
      </c>
      <c r="BC1758" s="1">
        <v>0</v>
      </c>
      <c r="BD1758" s="1">
        <v>0</v>
      </c>
      <c r="BE1758" s="1">
        <v>0</v>
      </c>
      <c r="BF1758" s="1">
        <v>0</v>
      </c>
      <c r="BG1758" s="1">
        <v>0</v>
      </c>
      <c r="BH1758" s="1">
        <v>0</v>
      </c>
      <c r="BI1758" s="1">
        <v>0</v>
      </c>
      <c r="BJ1758" s="1">
        <v>0</v>
      </c>
      <c r="BK1758" s="1">
        <v>0</v>
      </c>
      <c r="BL1758" s="1">
        <v>0</v>
      </c>
      <c r="BM1758" s="1">
        <v>0</v>
      </c>
      <c r="BN1758" s="1">
        <v>0</v>
      </c>
      <c r="BO1758" s="1">
        <v>0</v>
      </c>
      <c r="BP1758" s="1">
        <v>0</v>
      </c>
      <c r="BQ1758" s="1">
        <v>0</v>
      </c>
      <c r="BR1758" s="1">
        <v>0</v>
      </c>
      <c r="BS1758" s="1" t="s">
        <v>109</v>
      </c>
      <c r="BT1758" s="1">
        <v>1830</v>
      </c>
      <c r="BU1758" s="1" t="s">
        <v>109</v>
      </c>
      <c r="BV1758" s="1"/>
      <c r="BW1758" s="1"/>
      <c r="BX1758" s="1"/>
      <c r="BY1758" s="1"/>
      <c r="BZ1758" s="1">
        <v>0</v>
      </c>
      <c r="CA1758" s="1" t="s">
        <v>109</v>
      </c>
      <c r="CB1758" s="1" t="s">
        <v>109</v>
      </c>
      <c r="CC1758" s="1" t="s">
        <v>109</v>
      </c>
      <c r="CD1758" s="1" t="s">
        <v>109</v>
      </c>
      <c r="CE1758" s="1" t="s">
        <v>109</v>
      </c>
      <c r="CF1758" s="1" t="s">
        <v>109</v>
      </c>
      <c r="CG1758" s="1" t="s">
        <v>109</v>
      </c>
      <c r="CH1758" s="1" t="s">
        <v>109</v>
      </c>
      <c r="CI1758" s="1" t="s">
        <v>109</v>
      </c>
      <c r="CJ1758" s="1">
        <v>3</v>
      </c>
      <c r="CK1758" s="1"/>
      <c r="CL1758" s="1">
        <v>0</v>
      </c>
      <c r="CM1758" s="1">
        <v>0</v>
      </c>
      <c r="CN1758" s="1">
        <v>0</v>
      </c>
    </row>
    <row r="1759" spans="1:92" ht="14.25" customHeight="1" x14ac:dyDescent="0.15">
      <c r="A1759" s="1" t="s">
        <v>13096</v>
      </c>
      <c r="B1759" s="1" t="s">
        <v>308</v>
      </c>
      <c r="C1759" s="1"/>
      <c r="D1759" s="1"/>
      <c r="E1759" s="1" t="s">
        <v>13097</v>
      </c>
      <c r="F1759" s="1" t="s">
        <v>98</v>
      </c>
      <c r="G1759" s="1" t="s">
        <v>141</v>
      </c>
      <c r="H1759" s="1">
        <v>0</v>
      </c>
      <c r="I1759" s="1" t="s">
        <v>161</v>
      </c>
      <c r="J1759" s="1"/>
      <c r="K1759" s="1"/>
      <c r="L1759" s="1" t="s">
        <v>506</v>
      </c>
      <c r="M1759" s="1" t="s">
        <v>408</v>
      </c>
      <c r="N1759" s="1">
        <v>0</v>
      </c>
      <c r="O1759" s="1">
        <v>0</v>
      </c>
      <c r="P1759" s="1" t="s">
        <v>301</v>
      </c>
      <c r="Q1759" s="1" t="s">
        <v>268</v>
      </c>
      <c r="R1759" s="1" t="s">
        <v>13098</v>
      </c>
      <c r="S1759" s="1" t="s">
        <v>13099</v>
      </c>
      <c r="T1759" s="1" t="s">
        <v>13089</v>
      </c>
      <c r="U1759" s="1" t="s">
        <v>13100</v>
      </c>
      <c r="V1759" s="1">
        <v>1</v>
      </c>
      <c r="W1759" s="1">
        <v>1</v>
      </c>
      <c r="X1759" s="1">
        <v>0</v>
      </c>
      <c r="Y1759" s="1">
        <v>0</v>
      </c>
      <c r="Z1759" s="1">
        <v>0</v>
      </c>
      <c r="AA1759" s="1">
        <v>8</v>
      </c>
      <c r="AB1759" s="1">
        <v>8</v>
      </c>
      <c r="AC1759" s="1">
        <v>7</v>
      </c>
      <c r="AD1759" s="1" t="s">
        <v>109</v>
      </c>
      <c r="AE1759" s="1" t="s">
        <v>109</v>
      </c>
      <c r="AF1759" s="1" t="s">
        <v>109</v>
      </c>
      <c r="AG1759" s="1" t="s">
        <v>109</v>
      </c>
      <c r="AH1759" s="1" t="s">
        <v>109</v>
      </c>
      <c r="AI1759" s="1" t="s">
        <v>109</v>
      </c>
      <c r="AJ1759" s="1">
        <v>7</v>
      </c>
      <c r="AK1759" s="1" t="s">
        <v>109</v>
      </c>
      <c r="AL1759" s="1">
        <v>7</v>
      </c>
      <c r="AM1759" s="1" t="s">
        <v>109</v>
      </c>
      <c r="AN1759" s="1" t="s">
        <v>109</v>
      </c>
      <c r="AO1759" s="1" t="s">
        <v>109</v>
      </c>
      <c r="AP1759" s="1"/>
      <c r="AQ1759" s="1">
        <v>8</v>
      </c>
      <c r="AR1759" s="1" t="s">
        <v>13101</v>
      </c>
      <c r="AS1759" s="1"/>
      <c r="AT1759" s="1">
        <v>0</v>
      </c>
      <c r="AU1759" s="1">
        <v>0</v>
      </c>
      <c r="AV1759" s="1">
        <v>0</v>
      </c>
      <c r="AW1759" s="1">
        <v>0</v>
      </c>
      <c r="AX1759" s="1">
        <v>0</v>
      </c>
      <c r="AY1759" s="1">
        <v>0</v>
      </c>
      <c r="AZ1759" s="1">
        <v>0</v>
      </c>
      <c r="BA1759" s="1">
        <v>0</v>
      </c>
      <c r="BB1759" s="1">
        <v>0</v>
      </c>
      <c r="BC1759" s="1">
        <v>0</v>
      </c>
      <c r="BD1759" s="1">
        <v>0</v>
      </c>
      <c r="BE1759" s="1">
        <v>0</v>
      </c>
      <c r="BF1759" s="1">
        <v>0</v>
      </c>
      <c r="BG1759" s="1">
        <v>0</v>
      </c>
      <c r="BH1759" s="1">
        <v>0</v>
      </c>
      <c r="BI1759" s="1">
        <v>0</v>
      </c>
      <c r="BJ1759" s="1">
        <v>0</v>
      </c>
      <c r="BK1759" s="1">
        <v>0</v>
      </c>
      <c r="BL1759" s="1">
        <v>0</v>
      </c>
      <c r="BM1759" s="1">
        <v>0</v>
      </c>
      <c r="BN1759" s="1">
        <v>0</v>
      </c>
      <c r="BO1759" s="1">
        <v>0</v>
      </c>
      <c r="BP1759" s="1">
        <v>0</v>
      </c>
      <c r="BQ1759" s="1">
        <v>0</v>
      </c>
      <c r="BR1759" s="1">
        <v>0</v>
      </c>
      <c r="BS1759" s="1" t="s">
        <v>109</v>
      </c>
      <c r="BT1759" s="1">
        <v>1831</v>
      </c>
      <c r="BU1759" s="1" t="s">
        <v>109</v>
      </c>
      <c r="BV1759" s="1"/>
      <c r="BW1759" s="1"/>
      <c r="BX1759" s="1"/>
      <c r="BY1759" s="1"/>
      <c r="BZ1759" s="1">
        <v>0</v>
      </c>
      <c r="CA1759" s="1" t="s">
        <v>109</v>
      </c>
      <c r="CB1759" s="1" t="s">
        <v>109</v>
      </c>
      <c r="CC1759" s="1" t="s">
        <v>109</v>
      </c>
      <c r="CD1759" s="1" t="s">
        <v>109</v>
      </c>
      <c r="CE1759" s="1" t="s">
        <v>109</v>
      </c>
      <c r="CF1759" s="1" t="s">
        <v>109</v>
      </c>
      <c r="CG1759" s="1" t="s">
        <v>109</v>
      </c>
      <c r="CH1759" s="1" t="s">
        <v>109</v>
      </c>
      <c r="CI1759" s="1" t="s">
        <v>109</v>
      </c>
      <c r="CJ1759" s="1" t="s">
        <v>109</v>
      </c>
      <c r="CK1759" s="1"/>
      <c r="CL1759" s="1">
        <v>0</v>
      </c>
      <c r="CM1759" s="1">
        <v>0</v>
      </c>
      <c r="CN1759" s="1">
        <v>0</v>
      </c>
    </row>
    <row r="1760" spans="1:92" ht="14.25" customHeight="1" x14ac:dyDescent="0.15">
      <c r="A1760" s="1" t="s">
        <v>13102</v>
      </c>
      <c r="B1760" s="1" t="s">
        <v>95</v>
      </c>
      <c r="C1760" s="1" t="s">
        <v>1522</v>
      </c>
      <c r="D1760" s="1" t="s">
        <v>55</v>
      </c>
      <c r="E1760" s="1" t="s">
        <v>13103</v>
      </c>
      <c r="F1760" s="1" t="s">
        <v>98</v>
      </c>
      <c r="G1760" s="1" t="s">
        <v>333</v>
      </c>
      <c r="H1760" s="1">
        <v>0</v>
      </c>
      <c r="I1760" s="1" t="s">
        <v>142</v>
      </c>
      <c r="J1760" s="1"/>
      <c r="K1760" s="1"/>
      <c r="L1760" s="1" t="s">
        <v>236</v>
      </c>
      <c r="M1760" s="1" t="s">
        <v>144</v>
      </c>
      <c r="N1760" s="1">
        <v>0</v>
      </c>
      <c r="O1760" s="1">
        <v>0</v>
      </c>
      <c r="P1760" s="1" t="s">
        <v>13104</v>
      </c>
      <c r="Q1760" s="1" t="s">
        <v>268</v>
      </c>
      <c r="R1760" s="1" t="s">
        <v>13105</v>
      </c>
      <c r="S1760" s="1" t="s">
        <v>13106</v>
      </c>
      <c r="T1760" s="1" t="s">
        <v>13107</v>
      </c>
      <c r="U1760" s="1" t="s">
        <v>13108</v>
      </c>
      <c r="V1760" s="1">
        <v>1</v>
      </c>
      <c r="W1760" s="1">
        <v>0</v>
      </c>
      <c r="X1760" s="1">
        <v>0</v>
      </c>
      <c r="Y1760" s="1">
        <v>0</v>
      </c>
      <c r="Z1760" s="1">
        <v>0</v>
      </c>
      <c r="AA1760" s="1">
        <v>3</v>
      </c>
      <c r="AB1760" s="1">
        <v>3</v>
      </c>
      <c r="AC1760" s="1" t="s">
        <v>109</v>
      </c>
      <c r="AD1760" s="1" t="s">
        <v>109</v>
      </c>
      <c r="AE1760" s="1" t="s">
        <v>109</v>
      </c>
      <c r="AF1760" s="1" t="s">
        <v>109</v>
      </c>
      <c r="AG1760" s="1" t="s">
        <v>109</v>
      </c>
      <c r="AH1760" s="1" t="s">
        <v>109</v>
      </c>
      <c r="AI1760" s="1" t="s">
        <v>109</v>
      </c>
      <c r="AJ1760" s="1">
        <v>3</v>
      </c>
      <c r="AK1760" s="1" t="s">
        <v>109</v>
      </c>
      <c r="AL1760" s="1" t="s">
        <v>109</v>
      </c>
      <c r="AM1760" s="1" t="s">
        <v>109</v>
      </c>
      <c r="AN1760" s="1">
        <v>3</v>
      </c>
      <c r="AO1760" s="1" t="s">
        <v>109</v>
      </c>
      <c r="AP1760" s="1"/>
      <c r="AQ1760" s="1">
        <v>3</v>
      </c>
      <c r="AR1760" s="1"/>
      <c r="AS1760" s="1"/>
      <c r="AT1760" s="1">
        <v>0</v>
      </c>
      <c r="AU1760" s="1">
        <v>0</v>
      </c>
      <c r="AV1760" s="1">
        <v>0</v>
      </c>
      <c r="AW1760" s="1">
        <v>0</v>
      </c>
      <c r="AX1760" s="1">
        <v>0</v>
      </c>
      <c r="AY1760" s="1">
        <v>0</v>
      </c>
      <c r="AZ1760" s="1">
        <v>0</v>
      </c>
      <c r="BA1760" s="1">
        <v>0</v>
      </c>
      <c r="BB1760" s="1">
        <v>0</v>
      </c>
      <c r="BC1760" s="1">
        <v>1</v>
      </c>
      <c r="BD1760" s="1">
        <v>0</v>
      </c>
      <c r="BE1760" s="1">
        <v>0</v>
      </c>
      <c r="BF1760" s="1">
        <v>0</v>
      </c>
      <c r="BG1760" s="1">
        <v>0</v>
      </c>
      <c r="BH1760" s="1">
        <v>0</v>
      </c>
      <c r="BI1760" s="1">
        <v>0</v>
      </c>
      <c r="BJ1760" s="1">
        <v>0</v>
      </c>
      <c r="BK1760" s="1">
        <v>0</v>
      </c>
      <c r="BL1760" s="1">
        <v>0</v>
      </c>
      <c r="BM1760" s="1">
        <v>0</v>
      </c>
      <c r="BN1760" s="1">
        <v>0</v>
      </c>
      <c r="BO1760" s="1">
        <v>0</v>
      </c>
      <c r="BP1760" s="1">
        <v>0</v>
      </c>
      <c r="BQ1760" s="1">
        <v>0</v>
      </c>
      <c r="BR1760" s="1">
        <v>0</v>
      </c>
      <c r="BS1760" s="1" t="s">
        <v>109</v>
      </c>
      <c r="BT1760" s="1">
        <v>1833</v>
      </c>
      <c r="BU1760" s="1" t="s">
        <v>109</v>
      </c>
      <c r="BV1760" s="1"/>
      <c r="BW1760" s="1"/>
      <c r="BX1760" s="1"/>
      <c r="BY1760" s="1"/>
      <c r="BZ1760" s="1">
        <v>0</v>
      </c>
      <c r="CA1760" s="1" t="s">
        <v>109</v>
      </c>
      <c r="CB1760" s="1" t="s">
        <v>109</v>
      </c>
      <c r="CC1760" s="1" t="s">
        <v>109</v>
      </c>
      <c r="CD1760" s="1" t="s">
        <v>109</v>
      </c>
      <c r="CE1760" s="1" t="s">
        <v>109</v>
      </c>
      <c r="CF1760" s="1" t="s">
        <v>109</v>
      </c>
      <c r="CG1760" s="1" t="s">
        <v>109</v>
      </c>
      <c r="CH1760" s="1" t="s">
        <v>109</v>
      </c>
      <c r="CI1760" s="1" t="s">
        <v>109</v>
      </c>
      <c r="CJ1760" s="1" t="s">
        <v>109</v>
      </c>
      <c r="CK1760" s="1"/>
      <c r="CL1760" s="1">
        <v>0</v>
      </c>
      <c r="CM1760" s="1">
        <v>0</v>
      </c>
      <c r="CN1760" s="1">
        <v>0</v>
      </c>
    </row>
    <row r="1761" spans="1:92" ht="14.25" customHeight="1" x14ac:dyDescent="0.15">
      <c r="A1761" s="1" t="s">
        <v>13109</v>
      </c>
      <c r="B1761" s="1" t="s">
        <v>308</v>
      </c>
      <c r="C1761" s="1"/>
      <c r="D1761" s="1"/>
      <c r="E1761" s="1" t="s">
        <v>13110</v>
      </c>
      <c r="F1761" s="1" t="s">
        <v>98</v>
      </c>
      <c r="G1761" s="1" t="s">
        <v>13111</v>
      </c>
      <c r="H1761" s="1">
        <v>0</v>
      </c>
      <c r="I1761" s="1" t="s">
        <v>13112</v>
      </c>
      <c r="J1761" s="1"/>
      <c r="K1761" s="1"/>
      <c r="L1761" s="1" t="s">
        <v>13113</v>
      </c>
      <c r="M1761" s="1" t="s">
        <v>13114</v>
      </c>
      <c r="N1761" s="1">
        <v>0</v>
      </c>
      <c r="O1761" s="1">
        <v>0</v>
      </c>
      <c r="P1761" s="1" t="s">
        <v>8321</v>
      </c>
      <c r="Q1761" s="1" t="s">
        <v>268</v>
      </c>
      <c r="R1761" s="1" t="s">
        <v>13115</v>
      </c>
      <c r="S1761" s="1" t="s">
        <v>13116</v>
      </c>
      <c r="T1761" s="1" t="s">
        <v>13117</v>
      </c>
      <c r="U1761" s="1" t="s">
        <v>13118</v>
      </c>
      <c r="V1761" s="1">
        <v>1</v>
      </c>
      <c r="W1761" s="1">
        <v>1</v>
      </c>
      <c r="X1761" s="1">
        <v>1</v>
      </c>
      <c r="Y1761" s="1">
        <v>0</v>
      </c>
      <c r="Z1761" s="1">
        <v>0</v>
      </c>
      <c r="AA1761" s="1">
        <v>4</v>
      </c>
      <c r="AB1761" s="1">
        <v>4</v>
      </c>
      <c r="AC1761" s="1">
        <v>5</v>
      </c>
      <c r="AD1761" s="1" t="s">
        <v>109</v>
      </c>
      <c r="AE1761" s="1" t="s">
        <v>109</v>
      </c>
      <c r="AF1761" s="1" t="s">
        <v>109</v>
      </c>
      <c r="AG1761" s="1" t="s">
        <v>109</v>
      </c>
      <c r="AH1761" s="1" t="s">
        <v>109</v>
      </c>
      <c r="AI1761" s="1" t="s">
        <v>109</v>
      </c>
      <c r="AJ1761" s="1" t="s">
        <v>109</v>
      </c>
      <c r="AK1761" s="1" t="s">
        <v>109</v>
      </c>
      <c r="AL1761" s="1">
        <v>5</v>
      </c>
      <c r="AM1761" s="1" t="s">
        <v>109</v>
      </c>
      <c r="AN1761" s="1" t="s">
        <v>109</v>
      </c>
      <c r="AO1761" s="1" t="s">
        <v>109</v>
      </c>
      <c r="AP1761" s="1"/>
      <c r="AQ1761" s="1">
        <v>4</v>
      </c>
      <c r="AR1761" s="1"/>
      <c r="AS1761" s="1"/>
      <c r="AT1761" s="1">
        <v>0</v>
      </c>
      <c r="AU1761" s="1">
        <v>0</v>
      </c>
      <c r="AV1761" s="1">
        <v>0</v>
      </c>
      <c r="AW1761" s="1">
        <v>0</v>
      </c>
      <c r="AX1761" s="1">
        <v>0</v>
      </c>
      <c r="AY1761" s="1">
        <v>0</v>
      </c>
      <c r="AZ1761" s="1">
        <v>0</v>
      </c>
      <c r="BA1761" s="1">
        <v>0</v>
      </c>
      <c r="BB1761" s="1">
        <v>0</v>
      </c>
      <c r="BC1761" s="1">
        <v>0</v>
      </c>
      <c r="BD1761" s="1">
        <v>0</v>
      </c>
      <c r="BE1761" s="1">
        <v>0</v>
      </c>
      <c r="BF1761" s="1">
        <v>0</v>
      </c>
      <c r="BG1761" s="1">
        <v>0</v>
      </c>
      <c r="BH1761" s="1">
        <v>0</v>
      </c>
      <c r="BI1761" s="1">
        <v>0</v>
      </c>
      <c r="BJ1761" s="1">
        <v>0</v>
      </c>
      <c r="BK1761" s="1">
        <v>0</v>
      </c>
      <c r="BL1761" s="1">
        <v>0</v>
      </c>
      <c r="BM1761" s="1">
        <v>0</v>
      </c>
      <c r="BN1761" s="1">
        <v>0</v>
      </c>
      <c r="BO1761" s="1">
        <v>0</v>
      </c>
      <c r="BP1761" s="1">
        <v>0</v>
      </c>
      <c r="BQ1761" s="1">
        <v>0</v>
      </c>
      <c r="BR1761" s="1">
        <v>0</v>
      </c>
      <c r="BS1761" s="1" t="s">
        <v>109</v>
      </c>
      <c r="BT1761" s="1">
        <v>1834</v>
      </c>
      <c r="BU1761" s="1" t="s">
        <v>109</v>
      </c>
      <c r="BV1761" s="1"/>
      <c r="BW1761" s="1"/>
      <c r="BX1761" s="1"/>
      <c r="BY1761" s="1"/>
      <c r="BZ1761" s="1">
        <v>0</v>
      </c>
      <c r="CA1761" s="1" t="s">
        <v>109</v>
      </c>
      <c r="CB1761" s="1" t="s">
        <v>109</v>
      </c>
      <c r="CC1761" s="1" t="s">
        <v>109</v>
      </c>
      <c r="CD1761" s="1" t="s">
        <v>109</v>
      </c>
      <c r="CE1761" s="1" t="s">
        <v>109</v>
      </c>
      <c r="CF1761" s="1" t="s">
        <v>109</v>
      </c>
      <c r="CG1761" s="1" t="s">
        <v>109</v>
      </c>
      <c r="CH1761" s="1" t="s">
        <v>109</v>
      </c>
      <c r="CI1761" s="1" t="s">
        <v>109</v>
      </c>
      <c r="CJ1761" s="1" t="s">
        <v>109</v>
      </c>
      <c r="CK1761" s="1"/>
      <c r="CL1761" s="1">
        <v>0</v>
      </c>
      <c r="CM1761" s="1">
        <v>0</v>
      </c>
      <c r="CN1761" s="1">
        <v>0</v>
      </c>
    </row>
    <row r="1762" spans="1:92" ht="14.25" customHeight="1" x14ac:dyDescent="0.15">
      <c r="A1762" s="1" t="s">
        <v>13119</v>
      </c>
      <c r="B1762" s="1" t="s">
        <v>189</v>
      </c>
      <c r="C1762" s="1"/>
      <c r="D1762" s="1" t="s">
        <v>70</v>
      </c>
      <c r="E1762" s="1" t="s">
        <v>13120</v>
      </c>
      <c r="F1762" s="1" t="s">
        <v>98</v>
      </c>
      <c r="G1762" s="1" t="s">
        <v>13121</v>
      </c>
      <c r="H1762" s="1">
        <v>0</v>
      </c>
      <c r="I1762" s="1" t="s">
        <v>122</v>
      </c>
      <c r="J1762" s="1"/>
      <c r="K1762" s="1"/>
      <c r="L1762" s="1" t="s">
        <v>13122</v>
      </c>
      <c r="M1762" s="1" t="s">
        <v>6144</v>
      </c>
      <c r="N1762" s="1">
        <v>1</v>
      </c>
      <c r="O1762" s="1">
        <v>0</v>
      </c>
      <c r="P1762" s="1" t="s">
        <v>103</v>
      </c>
      <c r="Q1762" s="1" t="s">
        <v>104</v>
      </c>
      <c r="R1762" s="1" t="s">
        <v>13123</v>
      </c>
      <c r="S1762" s="1" t="s">
        <v>13124</v>
      </c>
      <c r="T1762" s="1" t="s">
        <v>13125</v>
      </c>
      <c r="U1762" s="1" t="s">
        <v>13126</v>
      </c>
      <c r="V1762" s="1">
        <v>1</v>
      </c>
      <c r="W1762" s="1">
        <v>1</v>
      </c>
      <c r="X1762" s="1">
        <v>1</v>
      </c>
      <c r="Y1762" s="1">
        <v>0</v>
      </c>
      <c r="Z1762" s="1">
        <v>0</v>
      </c>
      <c r="AA1762" s="1">
        <v>5</v>
      </c>
      <c r="AB1762" s="1">
        <v>5</v>
      </c>
      <c r="AC1762" s="1">
        <v>4</v>
      </c>
      <c r="AD1762" s="1">
        <v>4</v>
      </c>
      <c r="AE1762" s="1" t="s">
        <v>109</v>
      </c>
      <c r="AF1762" s="1" t="s">
        <v>109</v>
      </c>
      <c r="AG1762" s="1" t="s">
        <v>109</v>
      </c>
      <c r="AH1762" s="1" t="s">
        <v>109</v>
      </c>
      <c r="AI1762" s="1" t="s">
        <v>109</v>
      </c>
      <c r="AJ1762" s="1" t="s">
        <v>109</v>
      </c>
      <c r="AK1762" s="1" t="s">
        <v>109</v>
      </c>
      <c r="AL1762" s="1">
        <v>4</v>
      </c>
      <c r="AM1762" s="1" t="s">
        <v>109</v>
      </c>
      <c r="AN1762" s="1" t="s">
        <v>109</v>
      </c>
      <c r="AO1762" s="1" t="s">
        <v>109</v>
      </c>
      <c r="AP1762" s="1"/>
      <c r="AQ1762" s="1">
        <v>5</v>
      </c>
      <c r="AR1762" s="1"/>
      <c r="AS1762" s="1"/>
      <c r="AT1762" s="1">
        <v>0</v>
      </c>
      <c r="AU1762" s="1">
        <v>0</v>
      </c>
      <c r="AV1762" s="1">
        <v>0</v>
      </c>
      <c r="AW1762" s="1">
        <v>0</v>
      </c>
      <c r="AX1762" s="1">
        <v>0</v>
      </c>
      <c r="AY1762" s="1">
        <v>0</v>
      </c>
      <c r="AZ1762" s="1">
        <v>0</v>
      </c>
      <c r="BA1762" s="1">
        <v>0</v>
      </c>
      <c r="BB1762" s="1">
        <v>0</v>
      </c>
      <c r="BC1762" s="1">
        <v>0</v>
      </c>
      <c r="BD1762" s="1">
        <v>0</v>
      </c>
      <c r="BE1762" s="1">
        <v>0</v>
      </c>
      <c r="BF1762" s="1">
        <v>0</v>
      </c>
      <c r="BG1762" s="1">
        <v>0</v>
      </c>
      <c r="BH1762" s="1">
        <v>0</v>
      </c>
      <c r="BI1762" s="1">
        <v>0</v>
      </c>
      <c r="BJ1762" s="1">
        <v>0</v>
      </c>
      <c r="BK1762" s="1">
        <v>0</v>
      </c>
      <c r="BL1762" s="1">
        <v>0</v>
      </c>
      <c r="BM1762" s="1">
        <v>0</v>
      </c>
      <c r="BN1762" s="1">
        <v>0</v>
      </c>
      <c r="BO1762" s="1">
        <v>0</v>
      </c>
      <c r="BP1762" s="1">
        <v>0</v>
      </c>
      <c r="BQ1762" s="1">
        <v>0</v>
      </c>
      <c r="BR1762" s="1">
        <v>1</v>
      </c>
      <c r="BS1762" s="1" t="s">
        <v>109</v>
      </c>
      <c r="BT1762" s="1">
        <v>1835</v>
      </c>
      <c r="BU1762" s="1" t="s">
        <v>109</v>
      </c>
      <c r="BV1762" s="1"/>
      <c r="BW1762" s="1"/>
      <c r="BX1762" s="1"/>
      <c r="BY1762" s="1"/>
      <c r="BZ1762" s="1">
        <v>0</v>
      </c>
      <c r="CA1762" s="1" t="s">
        <v>109</v>
      </c>
      <c r="CB1762" s="1" t="s">
        <v>109</v>
      </c>
      <c r="CC1762" s="1" t="s">
        <v>109</v>
      </c>
      <c r="CD1762" s="1" t="s">
        <v>109</v>
      </c>
      <c r="CE1762" s="1" t="s">
        <v>109</v>
      </c>
      <c r="CF1762" s="1" t="s">
        <v>109</v>
      </c>
      <c r="CG1762" s="1" t="s">
        <v>109</v>
      </c>
      <c r="CH1762" s="1" t="s">
        <v>109</v>
      </c>
      <c r="CI1762" s="1" t="s">
        <v>109</v>
      </c>
      <c r="CJ1762" s="1">
        <v>4</v>
      </c>
      <c r="CK1762" s="1"/>
      <c r="CL1762" s="1">
        <v>0</v>
      </c>
      <c r="CM1762" s="1">
        <v>0</v>
      </c>
      <c r="CN1762" s="1">
        <v>0</v>
      </c>
    </row>
    <row r="1763" spans="1:92" ht="14.25" customHeight="1" x14ac:dyDescent="0.15">
      <c r="A1763" s="1" t="s">
        <v>13127</v>
      </c>
      <c r="B1763" s="1" t="s">
        <v>254</v>
      </c>
      <c r="C1763" s="1"/>
      <c r="D1763" s="1"/>
      <c r="E1763" s="1" t="s">
        <v>13128</v>
      </c>
      <c r="F1763" s="1" t="s">
        <v>98</v>
      </c>
      <c r="G1763" s="1" t="s">
        <v>13129</v>
      </c>
      <c r="H1763" s="1">
        <v>0</v>
      </c>
      <c r="I1763" s="1" t="s">
        <v>1016</v>
      </c>
      <c r="J1763" s="1" t="s">
        <v>1346</v>
      </c>
      <c r="K1763" s="1"/>
      <c r="L1763" s="1"/>
      <c r="M1763" s="1" t="s">
        <v>11884</v>
      </c>
      <c r="N1763" s="1">
        <v>1</v>
      </c>
      <c r="O1763" s="1">
        <v>0</v>
      </c>
      <c r="P1763" s="1" t="s">
        <v>103</v>
      </c>
      <c r="Q1763" s="1" t="s">
        <v>104</v>
      </c>
      <c r="R1763" s="1" t="s">
        <v>13130</v>
      </c>
      <c r="S1763" s="1" t="s">
        <v>13131</v>
      </c>
      <c r="T1763" s="1" t="s">
        <v>13125</v>
      </c>
      <c r="U1763" s="1" t="s">
        <v>13132</v>
      </c>
      <c r="V1763" s="1">
        <v>1</v>
      </c>
      <c r="W1763" s="1">
        <v>1</v>
      </c>
      <c r="X1763" s="1">
        <v>0</v>
      </c>
      <c r="Y1763" s="1">
        <v>0</v>
      </c>
      <c r="Z1763" s="1">
        <v>0</v>
      </c>
      <c r="AA1763" s="1">
        <v>1</v>
      </c>
      <c r="AB1763" s="1">
        <v>1</v>
      </c>
      <c r="AC1763" s="1" t="s">
        <v>109</v>
      </c>
      <c r="AD1763" s="1" t="s">
        <v>109</v>
      </c>
      <c r="AE1763" s="1" t="s">
        <v>109</v>
      </c>
      <c r="AF1763" s="1">
        <v>1</v>
      </c>
      <c r="AG1763" s="1" t="s">
        <v>109</v>
      </c>
      <c r="AH1763" s="1">
        <v>1</v>
      </c>
      <c r="AI1763" s="1">
        <v>1</v>
      </c>
      <c r="AJ1763" s="1" t="s">
        <v>109</v>
      </c>
      <c r="AK1763" s="1" t="s">
        <v>109</v>
      </c>
      <c r="AL1763" s="1" t="s">
        <v>109</v>
      </c>
      <c r="AM1763" s="1" t="s">
        <v>109</v>
      </c>
      <c r="AN1763" s="1" t="s">
        <v>109</v>
      </c>
      <c r="AO1763" s="1" t="s">
        <v>109</v>
      </c>
      <c r="AP1763" s="1"/>
      <c r="AQ1763" s="1">
        <v>1</v>
      </c>
      <c r="AR1763" s="1"/>
      <c r="AS1763" s="1"/>
      <c r="AT1763" s="1">
        <v>0</v>
      </c>
      <c r="AU1763" s="1">
        <v>0</v>
      </c>
      <c r="AV1763" s="1">
        <v>0</v>
      </c>
      <c r="AW1763" s="1">
        <v>0</v>
      </c>
      <c r="AX1763" s="1">
        <v>0</v>
      </c>
      <c r="AY1763" s="1">
        <v>0</v>
      </c>
      <c r="AZ1763" s="1">
        <v>0</v>
      </c>
      <c r="BA1763" s="1">
        <v>0</v>
      </c>
      <c r="BB1763" s="1">
        <v>0</v>
      </c>
      <c r="BC1763" s="1">
        <v>0</v>
      </c>
      <c r="BD1763" s="1">
        <v>0</v>
      </c>
      <c r="BE1763" s="1">
        <v>0</v>
      </c>
      <c r="BF1763" s="1">
        <v>0</v>
      </c>
      <c r="BG1763" s="1">
        <v>0</v>
      </c>
      <c r="BH1763" s="1">
        <v>0</v>
      </c>
      <c r="BI1763" s="1">
        <v>0</v>
      </c>
      <c r="BJ1763" s="1">
        <v>0</v>
      </c>
      <c r="BK1763" s="1">
        <v>0</v>
      </c>
      <c r="BL1763" s="1">
        <v>0</v>
      </c>
      <c r="BM1763" s="1">
        <v>0</v>
      </c>
      <c r="BN1763" s="1">
        <v>0</v>
      </c>
      <c r="BO1763" s="1">
        <v>0</v>
      </c>
      <c r="BP1763" s="1">
        <v>0</v>
      </c>
      <c r="BQ1763" s="1">
        <v>0</v>
      </c>
      <c r="BR1763" s="1">
        <v>0</v>
      </c>
      <c r="BS1763" s="1" t="s">
        <v>109</v>
      </c>
      <c r="BT1763" s="1">
        <v>1836</v>
      </c>
      <c r="BU1763" s="1" t="s">
        <v>109</v>
      </c>
      <c r="BV1763" s="1"/>
      <c r="BW1763" s="1"/>
      <c r="BX1763" s="1"/>
      <c r="BY1763" s="1"/>
      <c r="BZ1763" s="1">
        <v>0</v>
      </c>
      <c r="CA1763" s="1" t="s">
        <v>109</v>
      </c>
      <c r="CB1763" s="1" t="s">
        <v>109</v>
      </c>
      <c r="CC1763" s="1" t="s">
        <v>109</v>
      </c>
      <c r="CD1763" s="1" t="s">
        <v>109</v>
      </c>
      <c r="CE1763" s="1" t="s">
        <v>109</v>
      </c>
      <c r="CF1763" s="1" t="s">
        <v>109</v>
      </c>
      <c r="CG1763" s="1" t="s">
        <v>109</v>
      </c>
      <c r="CH1763" s="1" t="s">
        <v>109</v>
      </c>
      <c r="CI1763" s="1" t="s">
        <v>109</v>
      </c>
      <c r="CJ1763" s="1" t="s">
        <v>109</v>
      </c>
      <c r="CK1763" s="1"/>
      <c r="CL1763" s="1">
        <v>0</v>
      </c>
      <c r="CM1763" s="1">
        <v>0</v>
      </c>
      <c r="CN1763" s="1">
        <v>0</v>
      </c>
    </row>
    <row r="1764" spans="1:92" ht="14.25" customHeight="1" x14ac:dyDescent="0.15">
      <c r="A1764" s="1" t="s">
        <v>13133</v>
      </c>
      <c r="B1764" s="1" t="s">
        <v>95</v>
      </c>
      <c r="C1764" s="1" t="s">
        <v>96</v>
      </c>
      <c r="D1764" s="1"/>
      <c r="E1764" s="1" t="s">
        <v>13134</v>
      </c>
      <c r="F1764" s="1" t="s">
        <v>277</v>
      </c>
      <c r="G1764" s="1" t="s">
        <v>13135</v>
      </c>
      <c r="H1764" s="1">
        <v>0</v>
      </c>
      <c r="I1764" s="1" t="s">
        <v>142</v>
      </c>
      <c r="J1764" s="1"/>
      <c r="K1764" s="1" t="s">
        <v>13136</v>
      </c>
      <c r="L1764" s="1"/>
      <c r="M1764" s="1" t="s">
        <v>815</v>
      </c>
      <c r="N1764" s="1">
        <v>1</v>
      </c>
      <c r="O1764" s="1">
        <v>0</v>
      </c>
      <c r="P1764" s="1" t="s">
        <v>103</v>
      </c>
      <c r="Q1764" s="1" t="s">
        <v>104</v>
      </c>
      <c r="R1764" s="1" t="s">
        <v>13137</v>
      </c>
      <c r="S1764" s="1" t="s">
        <v>13138</v>
      </c>
      <c r="T1764" s="1" t="s">
        <v>13125</v>
      </c>
      <c r="U1764" s="1" t="s">
        <v>13139</v>
      </c>
      <c r="V1764" s="1">
        <v>1</v>
      </c>
      <c r="W1764" s="1">
        <v>1</v>
      </c>
      <c r="X1764" s="1">
        <v>1</v>
      </c>
      <c r="Y1764" s="1">
        <v>0</v>
      </c>
      <c r="Z1764" s="1">
        <v>0</v>
      </c>
      <c r="AA1764" s="1" t="s">
        <v>109</v>
      </c>
      <c r="AB1764" s="1" t="s">
        <v>109</v>
      </c>
      <c r="AC1764" s="1">
        <v>2</v>
      </c>
      <c r="AD1764" s="1">
        <v>2</v>
      </c>
      <c r="AE1764" s="1">
        <v>1</v>
      </c>
      <c r="AF1764" s="1" t="s">
        <v>109</v>
      </c>
      <c r="AG1764" s="1" t="s">
        <v>109</v>
      </c>
      <c r="AH1764" s="1" t="s">
        <v>109</v>
      </c>
      <c r="AI1764" s="1">
        <v>1</v>
      </c>
      <c r="AJ1764" s="1" t="s">
        <v>109</v>
      </c>
      <c r="AK1764" s="1" t="s">
        <v>109</v>
      </c>
      <c r="AL1764" s="1">
        <v>2</v>
      </c>
      <c r="AM1764" s="1" t="s">
        <v>109</v>
      </c>
      <c r="AN1764" s="1" t="s">
        <v>109</v>
      </c>
      <c r="AO1764" s="1" t="s">
        <v>109</v>
      </c>
      <c r="AP1764" s="1"/>
      <c r="AQ1764" s="1">
        <v>2</v>
      </c>
      <c r="AR1764" s="1"/>
      <c r="AS1764" s="1"/>
      <c r="AT1764" s="1">
        <v>0</v>
      </c>
      <c r="AU1764" s="1">
        <v>0</v>
      </c>
      <c r="AV1764" s="1">
        <v>0</v>
      </c>
      <c r="AW1764" s="1">
        <v>0</v>
      </c>
      <c r="AX1764" s="1">
        <v>0</v>
      </c>
      <c r="AY1764" s="1">
        <v>0</v>
      </c>
      <c r="AZ1764" s="1">
        <v>0</v>
      </c>
      <c r="BA1764" s="1">
        <v>0</v>
      </c>
      <c r="BB1764" s="1">
        <v>0</v>
      </c>
      <c r="BC1764" s="1">
        <v>0</v>
      </c>
      <c r="BD1764" s="1">
        <v>0</v>
      </c>
      <c r="BE1764" s="1">
        <v>0</v>
      </c>
      <c r="BF1764" s="1">
        <v>0</v>
      </c>
      <c r="BG1764" s="1">
        <v>0</v>
      </c>
      <c r="BH1764" s="1">
        <v>0</v>
      </c>
      <c r="BI1764" s="1">
        <v>0</v>
      </c>
      <c r="BJ1764" s="1">
        <v>0</v>
      </c>
      <c r="BK1764" s="1">
        <v>0</v>
      </c>
      <c r="BL1764" s="1">
        <v>0</v>
      </c>
      <c r="BM1764" s="1">
        <v>0</v>
      </c>
      <c r="BN1764" s="1">
        <v>0</v>
      </c>
      <c r="BO1764" s="1">
        <v>0</v>
      </c>
      <c r="BP1764" s="1">
        <v>0</v>
      </c>
      <c r="BQ1764" s="1">
        <v>0</v>
      </c>
      <c r="BR1764" s="1">
        <v>0</v>
      </c>
      <c r="BS1764" s="1" t="s">
        <v>109</v>
      </c>
      <c r="BT1764" s="1">
        <v>1837</v>
      </c>
      <c r="BU1764" s="1" t="s">
        <v>109</v>
      </c>
      <c r="BV1764" s="1"/>
      <c r="BW1764" s="1"/>
      <c r="BX1764" s="1"/>
      <c r="BY1764" s="1"/>
      <c r="BZ1764" s="1">
        <v>0</v>
      </c>
      <c r="CA1764" s="1" t="s">
        <v>109</v>
      </c>
      <c r="CB1764" s="1" t="s">
        <v>109</v>
      </c>
      <c r="CC1764" s="1" t="s">
        <v>109</v>
      </c>
      <c r="CD1764" s="1" t="s">
        <v>109</v>
      </c>
      <c r="CE1764" s="1" t="s">
        <v>109</v>
      </c>
      <c r="CF1764" s="1" t="s">
        <v>109</v>
      </c>
      <c r="CG1764" s="1" t="s">
        <v>109</v>
      </c>
      <c r="CH1764" s="1" t="s">
        <v>109</v>
      </c>
      <c r="CI1764" s="1" t="s">
        <v>109</v>
      </c>
      <c r="CJ1764" s="1">
        <v>1</v>
      </c>
      <c r="CK1764" s="1"/>
      <c r="CL1764" s="1">
        <v>0</v>
      </c>
      <c r="CM1764" s="1">
        <v>0</v>
      </c>
      <c r="CN1764" s="1">
        <v>0</v>
      </c>
    </row>
    <row r="1765" spans="1:92" ht="14.25" customHeight="1" x14ac:dyDescent="0.15">
      <c r="A1765" s="1" t="s">
        <v>13140</v>
      </c>
      <c r="B1765" s="1" t="s">
        <v>242</v>
      </c>
      <c r="C1765" s="1"/>
      <c r="D1765" s="1"/>
      <c r="E1765" s="1" t="s">
        <v>13141</v>
      </c>
      <c r="F1765" s="1" t="s">
        <v>98</v>
      </c>
      <c r="G1765" s="1" t="s">
        <v>141</v>
      </c>
      <c r="H1765" s="1">
        <v>0</v>
      </c>
      <c r="I1765" s="1" t="s">
        <v>1192</v>
      </c>
      <c r="J1765" s="1" t="s">
        <v>6927</v>
      </c>
      <c r="K1765" s="1"/>
      <c r="L1765" s="1"/>
      <c r="M1765" s="1" t="s">
        <v>12434</v>
      </c>
      <c r="N1765" s="1">
        <v>1</v>
      </c>
      <c r="O1765" s="1">
        <v>0</v>
      </c>
      <c r="P1765" s="1" t="s">
        <v>13142</v>
      </c>
      <c r="Q1765" s="1" t="s">
        <v>630</v>
      </c>
      <c r="R1765" s="1" t="s">
        <v>13143</v>
      </c>
      <c r="S1765" s="1" t="s">
        <v>13144</v>
      </c>
      <c r="T1765" s="1" t="s">
        <v>13125</v>
      </c>
      <c r="U1765" s="1" t="s">
        <v>13145</v>
      </c>
      <c r="V1765" s="1">
        <v>1</v>
      </c>
      <c r="W1765" s="1">
        <v>1</v>
      </c>
      <c r="X1765" s="1">
        <v>0</v>
      </c>
      <c r="Y1765" s="1">
        <v>0</v>
      </c>
      <c r="Z1765" s="1">
        <v>0</v>
      </c>
      <c r="AA1765" s="1">
        <v>7</v>
      </c>
      <c r="AB1765" s="1">
        <v>7</v>
      </c>
      <c r="AC1765" s="1">
        <v>7</v>
      </c>
      <c r="AD1765" s="1" t="s">
        <v>109</v>
      </c>
      <c r="AE1765" s="1" t="s">
        <v>109</v>
      </c>
      <c r="AF1765" s="1" t="s">
        <v>109</v>
      </c>
      <c r="AG1765" s="1" t="s">
        <v>109</v>
      </c>
      <c r="AH1765" s="1">
        <v>6</v>
      </c>
      <c r="AI1765" s="1">
        <v>6</v>
      </c>
      <c r="AJ1765" s="1">
        <v>7</v>
      </c>
      <c r="AK1765" s="1" t="s">
        <v>109</v>
      </c>
      <c r="AL1765" s="1">
        <v>7</v>
      </c>
      <c r="AM1765" s="1" t="s">
        <v>109</v>
      </c>
      <c r="AN1765" s="1">
        <v>6</v>
      </c>
      <c r="AO1765" s="1" t="s">
        <v>109</v>
      </c>
      <c r="AP1765" s="1"/>
      <c r="AQ1765" s="1">
        <v>7</v>
      </c>
      <c r="AR1765" s="1"/>
      <c r="AS1765" s="1"/>
      <c r="AT1765" s="1">
        <v>0</v>
      </c>
      <c r="AU1765" s="1">
        <v>0</v>
      </c>
      <c r="AV1765" s="1">
        <v>0</v>
      </c>
      <c r="AW1765" s="1">
        <v>0</v>
      </c>
      <c r="AX1765" s="1">
        <v>0</v>
      </c>
      <c r="AY1765" s="1">
        <v>0</v>
      </c>
      <c r="AZ1765" s="1">
        <v>0</v>
      </c>
      <c r="BA1765" s="1">
        <v>0</v>
      </c>
      <c r="BB1765" s="1">
        <v>0</v>
      </c>
      <c r="BC1765" s="1">
        <v>0</v>
      </c>
      <c r="BD1765" s="1">
        <v>0</v>
      </c>
      <c r="BE1765" s="1">
        <v>0</v>
      </c>
      <c r="BF1765" s="1">
        <v>0</v>
      </c>
      <c r="BG1765" s="1">
        <v>0</v>
      </c>
      <c r="BH1765" s="1">
        <v>0</v>
      </c>
      <c r="BI1765" s="1">
        <v>0</v>
      </c>
      <c r="BJ1765" s="1">
        <v>0</v>
      </c>
      <c r="BK1765" s="1">
        <v>0</v>
      </c>
      <c r="BL1765" s="1">
        <v>0</v>
      </c>
      <c r="BM1765" s="1">
        <v>0</v>
      </c>
      <c r="BN1765" s="1">
        <v>0</v>
      </c>
      <c r="BO1765" s="1">
        <v>0</v>
      </c>
      <c r="BP1765" s="1">
        <v>0</v>
      </c>
      <c r="BQ1765" s="1">
        <v>0</v>
      </c>
      <c r="BR1765" s="1">
        <v>0</v>
      </c>
      <c r="BS1765" s="1" t="s">
        <v>109</v>
      </c>
      <c r="BT1765" s="1">
        <v>1838</v>
      </c>
      <c r="BU1765" s="1" t="s">
        <v>109</v>
      </c>
      <c r="BV1765" s="1" t="s">
        <v>13146</v>
      </c>
      <c r="BW1765" s="1"/>
      <c r="BX1765" s="1"/>
      <c r="BY1765" s="1"/>
      <c r="BZ1765" s="1">
        <v>0</v>
      </c>
      <c r="CA1765" s="1" t="s">
        <v>109</v>
      </c>
      <c r="CB1765" s="1" t="s">
        <v>109</v>
      </c>
      <c r="CC1765" s="1" t="s">
        <v>109</v>
      </c>
      <c r="CD1765" s="1" t="s">
        <v>109</v>
      </c>
      <c r="CE1765" s="1" t="s">
        <v>109</v>
      </c>
      <c r="CF1765" s="1" t="s">
        <v>109</v>
      </c>
      <c r="CG1765" s="1" t="s">
        <v>109</v>
      </c>
      <c r="CH1765" s="1" t="s">
        <v>109</v>
      </c>
      <c r="CI1765" s="1" t="s">
        <v>109</v>
      </c>
      <c r="CJ1765" s="1" t="s">
        <v>109</v>
      </c>
      <c r="CK1765" s="1"/>
      <c r="CL1765" s="1">
        <v>0</v>
      </c>
      <c r="CM1765" s="1">
        <v>0</v>
      </c>
      <c r="CN1765" s="1">
        <v>0</v>
      </c>
    </row>
    <row r="1766" spans="1:92" ht="14.25" customHeight="1" x14ac:dyDescent="0.15">
      <c r="A1766" s="1" t="s">
        <v>13147</v>
      </c>
      <c r="B1766" s="1" t="s">
        <v>189</v>
      </c>
      <c r="C1766" s="1"/>
      <c r="D1766" s="1"/>
      <c r="E1766" s="1" t="s">
        <v>6083</v>
      </c>
      <c r="F1766" s="1" t="s">
        <v>98</v>
      </c>
      <c r="G1766" s="1" t="s">
        <v>13148</v>
      </c>
      <c r="H1766" s="1">
        <v>0</v>
      </c>
      <c r="I1766" s="1" t="s">
        <v>1192</v>
      </c>
      <c r="J1766" s="1" t="s">
        <v>13149</v>
      </c>
      <c r="K1766" s="1"/>
      <c r="L1766" s="1"/>
      <c r="M1766" s="1" t="s">
        <v>125</v>
      </c>
      <c r="N1766" s="1">
        <v>0</v>
      </c>
      <c r="O1766" s="1">
        <v>0</v>
      </c>
      <c r="P1766" s="1" t="s">
        <v>2092</v>
      </c>
      <c r="Q1766" s="1" t="s">
        <v>630</v>
      </c>
      <c r="R1766" s="1" t="s">
        <v>13150</v>
      </c>
      <c r="S1766" s="1" t="s">
        <v>13151</v>
      </c>
      <c r="T1766" s="1" t="s">
        <v>13125</v>
      </c>
      <c r="U1766" s="1" t="s">
        <v>13152</v>
      </c>
      <c r="V1766" s="1">
        <v>0</v>
      </c>
      <c r="W1766" s="1">
        <v>1</v>
      </c>
      <c r="X1766" s="1">
        <v>0</v>
      </c>
      <c r="Y1766" s="1">
        <v>0</v>
      </c>
      <c r="Z1766" s="1">
        <v>0</v>
      </c>
      <c r="AA1766" s="1" t="s">
        <v>109</v>
      </c>
      <c r="AB1766" s="1" t="s">
        <v>109</v>
      </c>
      <c r="AC1766" s="1" t="s">
        <v>109</v>
      </c>
      <c r="AD1766" s="1" t="s">
        <v>109</v>
      </c>
      <c r="AE1766" s="1" t="s">
        <v>109</v>
      </c>
      <c r="AF1766" s="1">
        <v>2</v>
      </c>
      <c r="AG1766" s="1" t="s">
        <v>109</v>
      </c>
      <c r="AH1766" s="1" t="s">
        <v>109</v>
      </c>
      <c r="AI1766" s="1" t="s">
        <v>109</v>
      </c>
      <c r="AJ1766" s="1" t="s">
        <v>109</v>
      </c>
      <c r="AK1766" s="1" t="s">
        <v>109</v>
      </c>
      <c r="AL1766" s="1" t="s">
        <v>109</v>
      </c>
      <c r="AM1766" s="1" t="s">
        <v>109</v>
      </c>
      <c r="AN1766" s="1" t="s">
        <v>109</v>
      </c>
      <c r="AO1766" s="1" t="s">
        <v>109</v>
      </c>
      <c r="AP1766" s="1"/>
      <c r="AQ1766" s="1">
        <v>2</v>
      </c>
      <c r="AR1766" s="1"/>
      <c r="AS1766" s="1"/>
      <c r="AT1766" s="1">
        <v>0</v>
      </c>
      <c r="AU1766" s="1">
        <v>0</v>
      </c>
      <c r="AV1766" s="1">
        <v>0</v>
      </c>
      <c r="AW1766" s="1">
        <v>0</v>
      </c>
      <c r="AX1766" s="1">
        <v>0</v>
      </c>
      <c r="AY1766" s="1">
        <v>0</v>
      </c>
      <c r="AZ1766" s="1">
        <v>0</v>
      </c>
      <c r="BA1766" s="1">
        <v>0</v>
      </c>
      <c r="BB1766" s="1">
        <v>0</v>
      </c>
      <c r="BC1766" s="1">
        <v>0</v>
      </c>
      <c r="BD1766" s="1">
        <v>0</v>
      </c>
      <c r="BE1766" s="1">
        <v>0</v>
      </c>
      <c r="BF1766" s="1">
        <v>0</v>
      </c>
      <c r="BG1766" s="1">
        <v>0</v>
      </c>
      <c r="BH1766" s="1">
        <v>0</v>
      </c>
      <c r="BI1766" s="1">
        <v>0</v>
      </c>
      <c r="BJ1766" s="1">
        <v>0</v>
      </c>
      <c r="BK1766" s="1">
        <v>0</v>
      </c>
      <c r="BL1766" s="1">
        <v>0</v>
      </c>
      <c r="BM1766" s="1">
        <v>0</v>
      </c>
      <c r="BN1766" s="1">
        <v>0</v>
      </c>
      <c r="BO1766" s="1">
        <v>0</v>
      </c>
      <c r="BP1766" s="1">
        <v>0</v>
      </c>
      <c r="BQ1766" s="1">
        <v>0</v>
      </c>
      <c r="BR1766" s="1">
        <v>0</v>
      </c>
      <c r="BS1766" s="1" t="s">
        <v>109</v>
      </c>
      <c r="BT1766" s="1">
        <v>1839</v>
      </c>
      <c r="BU1766" s="1" t="s">
        <v>109</v>
      </c>
      <c r="BV1766" s="1"/>
      <c r="BW1766" s="1"/>
      <c r="BX1766" s="1"/>
      <c r="BY1766" s="1"/>
      <c r="BZ1766" s="1">
        <v>0</v>
      </c>
      <c r="CA1766" s="1" t="s">
        <v>109</v>
      </c>
      <c r="CB1766" s="1" t="s">
        <v>109</v>
      </c>
      <c r="CC1766" s="1" t="s">
        <v>109</v>
      </c>
      <c r="CD1766" s="1" t="s">
        <v>109</v>
      </c>
      <c r="CE1766" s="1" t="s">
        <v>109</v>
      </c>
      <c r="CF1766" s="1" t="s">
        <v>109</v>
      </c>
      <c r="CG1766" s="1" t="s">
        <v>109</v>
      </c>
      <c r="CH1766" s="1" t="s">
        <v>109</v>
      </c>
      <c r="CI1766" s="1" t="s">
        <v>109</v>
      </c>
      <c r="CJ1766" s="1" t="s">
        <v>109</v>
      </c>
      <c r="CK1766" s="1"/>
      <c r="CL1766" s="1">
        <v>0</v>
      </c>
      <c r="CM1766" s="1">
        <v>0</v>
      </c>
      <c r="CN1766" s="1">
        <v>0</v>
      </c>
    </row>
    <row r="1767" spans="1:92" ht="14.25" customHeight="1" x14ac:dyDescent="0.15">
      <c r="A1767" s="1" t="s">
        <v>13153</v>
      </c>
      <c r="B1767" s="1" t="s">
        <v>254</v>
      </c>
      <c r="C1767" s="1" t="s">
        <v>393</v>
      </c>
      <c r="D1767" s="1"/>
      <c r="E1767" s="1" t="s">
        <v>13154</v>
      </c>
      <c r="F1767" s="1" t="s">
        <v>277</v>
      </c>
      <c r="G1767" s="1" t="s">
        <v>13155</v>
      </c>
      <c r="H1767" s="1">
        <v>0</v>
      </c>
      <c r="I1767" s="1" t="s">
        <v>211</v>
      </c>
      <c r="J1767" s="1"/>
      <c r="K1767" s="1" t="s">
        <v>398</v>
      </c>
      <c r="L1767" s="1" t="s">
        <v>13156</v>
      </c>
      <c r="M1767" s="1" t="s">
        <v>6144</v>
      </c>
      <c r="N1767" s="1">
        <v>1</v>
      </c>
      <c r="O1767" s="1">
        <v>0</v>
      </c>
      <c r="P1767" s="1" t="s">
        <v>103</v>
      </c>
      <c r="Q1767" s="1" t="s">
        <v>104</v>
      </c>
      <c r="R1767" s="1" t="s">
        <v>13157</v>
      </c>
      <c r="S1767" s="1" t="s">
        <v>13158</v>
      </c>
      <c r="T1767" s="1" t="s">
        <v>13125</v>
      </c>
      <c r="U1767" s="1" t="s">
        <v>13159</v>
      </c>
      <c r="V1767" s="1">
        <v>1</v>
      </c>
      <c r="W1767" s="1">
        <v>1</v>
      </c>
      <c r="X1767" s="1">
        <v>0</v>
      </c>
      <c r="Y1767" s="1">
        <v>0</v>
      </c>
      <c r="Z1767" s="1">
        <v>1</v>
      </c>
      <c r="AA1767" s="1" t="s">
        <v>109</v>
      </c>
      <c r="AB1767" s="1" t="s">
        <v>109</v>
      </c>
      <c r="AC1767" s="1">
        <v>3</v>
      </c>
      <c r="AD1767" s="1">
        <v>2</v>
      </c>
      <c r="AE1767" s="1">
        <v>2</v>
      </c>
      <c r="AF1767" s="1" t="s">
        <v>109</v>
      </c>
      <c r="AG1767" s="1" t="s">
        <v>109</v>
      </c>
      <c r="AH1767" s="1" t="s">
        <v>109</v>
      </c>
      <c r="AI1767" s="1" t="s">
        <v>109</v>
      </c>
      <c r="AJ1767" s="1">
        <v>3</v>
      </c>
      <c r="AK1767" s="1">
        <v>3</v>
      </c>
      <c r="AL1767" s="1">
        <v>3</v>
      </c>
      <c r="AM1767" s="1" t="s">
        <v>109</v>
      </c>
      <c r="AN1767" s="1" t="s">
        <v>109</v>
      </c>
      <c r="AO1767" s="1" t="s">
        <v>109</v>
      </c>
      <c r="AP1767" s="1"/>
      <c r="AQ1767" s="1">
        <v>3</v>
      </c>
      <c r="AR1767" s="1"/>
      <c r="AS1767" s="1"/>
      <c r="AT1767" s="1">
        <v>0</v>
      </c>
      <c r="AU1767" s="1">
        <v>0</v>
      </c>
      <c r="AV1767" s="1">
        <v>0</v>
      </c>
      <c r="AW1767" s="1">
        <v>0</v>
      </c>
      <c r="AX1767" s="1">
        <v>0</v>
      </c>
      <c r="AY1767" s="1">
        <v>0</v>
      </c>
      <c r="AZ1767" s="1">
        <v>0</v>
      </c>
      <c r="BA1767" s="1">
        <v>0</v>
      </c>
      <c r="BB1767" s="1">
        <v>0</v>
      </c>
      <c r="BC1767" s="1">
        <v>0</v>
      </c>
      <c r="BD1767" s="1">
        <v>0</v>
      </c>
      <c r="BE1767" s="1">
        <v>0</v>
      </c>
      <c r="BF1767" s="1">
        <v>0</v>
      </c>
      <c r="BG1767" s="1">
        <v>0</v>
      </c>
      <c r="BH1767" s="1">
        <v>0</v>
      </c>
      <c r="BI1767" s="1">
        <v>0</v>
      </c>
      <c r="BJ1767" s="1">
        <v>0</v>
      </c>
      <c r="BK1767" s="1">
        <v>0</v>
      </c>
      <c r="BL1767" s="1">
        <v>0</v>
      </c>
      <c r="BM1767" s="1">
        <v>0</v>
      </c>
      <c r="BN1767" s="1">
        <v>0</v>
      </c>
      <c r="BO1767" s="1">
        <v>0</v>
      </c>
      <c r="BP1767" s="1">
        <v>0</v>
      </c>
      <c r="BQ1767" s="1">
        <v>0</v>
      </c>
      <c r="BR1767" s="1">
        <v>0</v>
      </c>
      <c r="BS1767" s="1" t="s">
        <v>109</v>
      </c>
      <c r="BT1767" s="1">
        <v>1840</v>
      </c>
      <c r="BU1767" s="1" t="s">
        <v>109</v>
      </c>
      <c r="BV1767" s="1"/>
      <c r="BW1767" s="1"/>
      <c r="BX1767" s="1"/>
      <c r="BY1767" s="1"/>
      <c r="BZ1767" s="1">
        <v>0</v>
      </c>
      <c r="CA1767" s="1" t="s">
        <v>109</v>
      </c>
      <c r="CB1767" s="1" t="s">
        <v>109</v>
      </c>
      <c r="CC1767" s="1" t="s">
        <v>109</v>
      </c>
      <c r="CD1767" s="1" t="s">
        <v>109</v>
      </c>
      <c r="CE1767" s="1" t="s">
        <v>109</v>
      </c>
      <c r="CF1767" s="1" t="s">
        <v>109</v>
      </c>
      <c r="CG1767" s="1" t="s">
        <v>109</v>
      </c>
      <c r="CH1767" s="1" t="s">
        <v>109</v>
      </c>
      <c r="CI1767" s="1" t="s">
        <v>109</v>
      </c>
      <c r="CJ1767" s="1">
        <v>2</v>
      </c>
      <c r="CK1767" s="1"/>
      <c r="CL1767" s="1">
        <v>0</v>
      </c>
      <c r="CM1767" s="1">
        <v>0</v>
      </c>
      <c r="CN1767" s="1">
        <v>0</v>
      </c>
    </row>
    <row r="1768" spans="1:92" ht="14.25" customHeight="1" x14ac:dyDescent="0.15">
      <c r="A1768" s="1" t="s">
        <v>13160</v>
      </c>
      <c r="B1768" s="1" t="s">
        <v>189</v>
      </c>
      <c r="C1768" s="1"/>
      <c r="D1768" s="1"/>
      <c r="E1768" s="1" t="s">
        <v>13161</v>
      </c>
      <c r="F1768" s="1" t="s">
        <v>98</v>
      </c>
      <c r="G1768" s="1" t="s">
        <v>7808</v>
      </c>
      <c r="H1768" s="1">
        <v>0</v>
      </c>
      <c r="I1768" s="1" t="s">
        <v>161</v>
      </c>
      <c r="J1768" s="1"/>
      <c r="K1768" s="1"/>
      <c r="L1768" s="1"/>
      <c r="M1768" s="1" t="s">
        <v>125</v>
      </c>
      <c r="N1768" s="1">
        <v>0</v>
      </c>
      <c r="O1768" s="1">
        <v>0</v>
      </c>
      <c r="P1768" s="1" t="s">
        <v>380</v>
      </c>
      <c r="Q1768" s="1" t="s">
        <v>268</v>
      </c>
      <c r="R1768" s="1" t="s">
        <v>13162</v>
      </c>
      <c r="S1768" s="1" t="s">
        <v>13163</v>
      </c>
      <c r="T1768" s="1" t="s">
        <v>13125</v>
      </c>
      <c r="U1768" s="1" t="s">
        <v>13164</v>
      </c>
      <c r="V1768" s="1">
        <v>1</v>
      </c>
      <c r="W1768" s="1">
        <v>1</v>
      </c>
      <c r="X1768" s="1">
        <v>0</v>
      </c>
      <c r="Y1768" s="1">
        <v>0</v>
      </c>
      <c r="Z1768" s="1">
        <v>0</v>
      </c>
      <c r="AA1768" s="1">
        <v>6</v>
      </c>
      <c r="AB1768" s="1">
        <v>6</v>
      </c>
      <c r="AC1768" s="1" t="s">
        <v>109</v>
      </c>
      <c r="AD1768" s="1" t="s">
        <v>109</v>
      </c>
      <c r="AE1768" s="1" t="s">
        <v>109</v>
      </c>
      <c r="AF1768" s="1">
        <v>5</v>
      </c>
      <c r="AG1768" s="1" t="s">
        <v>109</v>
      </c>
      <c r="AH1768" s="1" t="s">
        <v>109</v>
      </c>
      <c r="AI1768" s="1" t="s">
        <v>109</v>
      </c>
      <c r="AJ1768" s="1">
        <v>6</v>
      </c>
      <c r="AK1768" s="1">
        <v>5</v>
      </c>
      <c r="AL1768" s="1" t="s">
        <v>109</v>
      </c>
      <c r="AM1768" s="1" t="s">
        <v>109</v>
      </c>
      <c r="AN1768" s="1" t="s">
        <v>109</v>
      </c>
      <c r="AO1768" s="1" t="s">
        <v>109</v>
      </c>
      <c r="AP1768" s="1"/>
      <c r="AQ1768" s="1">
        <v>6</v>
      </c>
      <c r="AR1768" s="1"/>
      <c r="AS1768" s="1"/>
      <c r="AT1768" s="1">
        <v>0</v>
      </c>
      <c r="AU1768" s="1">
        <v>0</v>
      </c>
      <c r="AV1768" s="1">
        <v>0</v>
      </c>
      <c r="AW1768" s="1">
        <v>0</v>
      </c>
      <c r="AX1768" s="1">
        <v>0</v>
      </c>
      <c r="AY1768" s="1">
        <v>0</v>
      </c>
      <c r="AZ1768" s="1">
        <v>0</v>
      </c>
      <c r="BA1768" s="1">
        <v>0</v>
      </c>
      <c r="BB1768" s="1">
        <v>0</v>
      </c>
      <c r="BC1768" s="1">
        <v>0</v>
      </c>
      <c r="BD1768" s="1">
        <v>0</v>
      </c>
      <c r="BE1768" s="1">
        <v>0</v>
      </c>
      <c r="BF1768" s="1">
        <v>0</v>
      </c>
      <c r="BG1768" s="1">
        <v>0</v>
      </c>
      <c r="BH1768" s="1">
        <v>0</v>
      </c>
      <c r="BI1768" s="1">
        <v>0</v>
      </c>
      <c r="BJ1768" s="1">
        <v>0</v>
      </c>
      <c r="BK1768" s="1">
        <v>0</v>
      </c>
      <c r="BL1768" s="1">
        <v>0</v>
      </c>
      <c r="BM1768" s="1">
        <v>0</v>
      </c>
      <c r="BN1768" s="1">
        <v>0</v>
      </c>
      <c r="BO1768" s="1">
        <v>0</v>
      </c>
      <c r="BP1768" s="1">
        <v>0</v>
      </c>
      <c r="BQ1768" s="1">
        <v>0</v>
      </c>
      <c r="BR1768" s="1">
        <v>0</v>
      </c>
      <c r="BS1768" s="1" t="s">
        <v>109</v>
      </c>
      <c r="BT1768" s="1">
        <v>1841</v>
      </c>
      <c r="BU1768" s="1" t="s">
        <v>109</v>
      </c>
      <c r="BV1768" s="1"/>
      <c r="BW1768" s="1"/>
      <c r="BX1768" s="1"/>
      <c r="BY1768" s="1"/>
      <c r="BZ1768" s="1">
        <v>0</v>
      </c>
      <c r="CA1768" s="1" t="s">
        <v>109</v>
      </c>
      <c r="CB1768" s="1" t="s">
        <v>109</v>
      </c>
      <c r="CC1768" s="1" t="s">
        <v>109</v>
      </c>
      <c r="CD1768" s="1" t="s">
        <v>109</v>
      </c>
      <c r="CE1768" s="1" t="s">
        <v>109</v>
      </c>
      <c r="CF1768" s="1" t="s">
        <v>109</v>
      </c>
      <c r="CG1768" s="1" t="s">
        <v>109</v>
      </c>
      <c r="CH1768" s="1" t="s">
        <v>109</v>
      </c>
      <c r="CI1768" s="1" t="s">
        <v>109</v>
      </c>
      <c r="CJ1768" s="1" t="s">
        <v>109</v>
      </c>
      <c r="CK1768" s="1"/>
      <c r="CL1768" s="1">
        <v>0</v>
      </c>
      <c r="CM1768" s="1">
        <v>0</v>
      </c>
      <c r="CN1768" s="1">
        <v>0</v>
      </c>
    </row>
    <row r="1769" spans="1:92" ht="14.25" customHeight="1" x14ac:dyDescent="0.15">
      <c r="A1769" s="1" t="s">
        <v>13165</v>
      </c>
      <c r="B1769" s="1" t="s">
        <v>242</v>
      </c>
      <c r="C1769" s="1"/>
      <c r="D1769" s="1"/>
      <c r="E1769" s="1" t="s">
        <v>13166</v>
      </c>
      <c r="F1769" s="1" t="s">
        <v>98</v>
      </c>
      <c r="G1769" s="1" t="s">
        <v>13167</v>
      </c>
      <c r="H1769" s="1">
        <v>0</v>
      </c>
      <c r="I1769" s="1" t="s">
        <v>356</v>
      </c>
      <c r="J1769" s="1"/>
      <c r="K1769" s="1"/>
      <c r="L1769" s="1" t="s">
        <v>4038</v>
      </c>
      <c r="M1769" s="1" t="s">
        <v>6144</v>
      </c>
      <c r="N1769" s="1">
        <v>1</v>
      </c>
      <c r="O1769" s="1">
        <v>0</v>
      </c>
      <c r="P1769" s="1" t="s">
        <v>8321</v>
      </c>
      <c r="Q1769" s="1" t="s">
        <v>268</v>
      </c>
      <c r="R1769" s="1" t="s">
        <v>13168</v>
      </c>
      <c r="S1769" s="1" t="s">
        <v>13169</v>
      </c>
      <c r="T1769" s="1" t="s">
        <v>13170</v>
      </c>
      <c r="U1769" s="1" t="s">
        <v>13171</v>
      </c>
      <c r="V1769" s="1">
        <v>1</v>
      </c>
      <c r="W1769" s="1">
        <v>1</v>
      </c>
      <c r="X1769" s="1">
        <v>1</v>
      </c>
      <c r="Y1769" s="1">
        <v>0</v>
      </c>
      <c r="Z1769" s="1">
        <v>1</v>
      </c>
      <c r="AA1769" s="1">
        <v>7</v>
      </c>
      <c r="AB1769" s="1">
        <v>7</v>
      </c>
      <c r="AC1769" s="1" t="s">
        <v>109</v>
      </c>
      <c r="AD1769" s="1">
        <v>6</v>
      </c>
      <c r="AE1769" s="1" t="s">
        <v>109</v>
      </c>
      <c r="AF1769" s="1" t="s">
        <v>109</v>
      </c>
      <c r="AG1769" s="1" t="s">
        <v>109</v>
      </c>
      <c r="AH1769" s="1" t="s">
        <v>109</v>
      </c>
      <c r="AI1769" s="1" t="s">
        <v>109</v>
      </c>
      <c r="AJ1769" s="1" t="s">
        <v>109</v>
      </c>
      <c r="AK1769" s="1" t="s">
        <v>109</v>
      </c>
      <c r="AL1769" s="1" t="s">
        <v>109</v>
      </c>
      <c r="AM1769" s="1" t="s">
        <v>109</v>
      </c>
      <c r="AN1769" s="1" t="s">
        <v>109</v>
      </c>
      <c r="AO1769" s="1" t="s">
        <v>109</v>
      </c>
      <c r="AP1769" s="1"/>
      <c r="AQ1769" s="1">
        <v>7</v>
      </c>
      <c r="AR1769" s="1"/>
      <c r="AS1769" s="1"/>
      <c r="AT1769" s="1">
        <v>0</v>
      </c>
      <c r="AU1769" s="1">
        <v>0</v>
      </c>
      <c r="AV1769" s="1">
        <v>0</v>
      </c>
      <c r="AW1769" s="1">
        <v>0</v>
      </c>
      <c r="AX1769" s="1">
        <v>0</v>
      </c>
      <c r="AY1769" s="1">
        <v>0</v>
      </c>
      <c r="AZ1769" s="1">
        <v>0</v>
      </c>
      <c r="BA1769" s="1">
        <v>0</v>
      </c>
      <c r="BB1769" s="1">
        <v>0</v>
      </c>
      <c r="BC1769" s="1">
        <v>0</v>
      </c>
      <c r="BD1769" s="1">
        <v>0</v>
      </c>
      <c r="BE1769" s="1">
        <v>0</v>
      </c>
      <c r="BF1769" s="1">
        <v>0</v>
      </c>
      <c r="BG1769" s="1">
        <v>0</v>
      </c>
      <c r="BH1769" s="1">
        <v>0</v>
      </c>
      <c r="BI1769" s="1">
        <v>0</v>
      </c>
      <c r="BJ1769" s="1">
        <v>0</v>
      </c>
      <c r="BK1769" s="1">
        <v>0</v>
      </c>
      <c r="BL1769" s="1">
        <v>0</v>
      </c>
      <c r="BM1769" s="1">
        <v>0</v>
      </c>
      <c r="BN1769" s="1">
        <v>0</v>
      </c>
      <c r="BO1769" s="1">
        <v>0</v>
      </c>
      <c r="BP1769" s="1">
        <v>0</v>
      </c>
      <c r="BQ1769" s="1">
        <v>0</v>
      </c>
      <c r="BR1769" s="1">
        <v>0</v>
      </c>
      <c r="BS1769" s="1" t="s">
        <v>109</v>
      </c>
      <c r="BT1769" s="1">
        <v>1842</v>
      </c>
      <c r="BU1769" s="1" t="s">
        <v>109</v>
      </c>
      <c r="BV1769" s="1"/>
      <c r="BW1769" s="1"/>
      <c r="BX1769" s="1"/>
      <c r="BY1769" s="1"/>
      <c r="BZ1769" s="1">
        <v>0</v>
      </c>
      <c r="CA1769" s="1" t="s">
        <v>109</v>
      </c>
      <c r="CB1769" s="1" t="s">
        <v>109</v>
      </c>
      <c r="CC1769" s="1" t="s">
        <v>109</v>
      </c>
      <c r="CD1769" s="1" t="s">
        <v>109</v>
      </c>
      <c r="CE1769" s="1" t="s">
        <v>109</v>
      </c>
      <c r="CF1769" s="1" t="s">
        <v>109</v>
      </c>
      <c r="CG1769" s="1" t="s">
        <v>109</v>
      </c>
      <c r="CH1769" s="1" t="s">
        <v>109</v>
      </c>
      <c r="CI1769" s="1" t="s">
        <v>109</v>
      </c>
      <c r="CJ1769" s="1">
        <v>6</v>
      </c>
      <c r="CK1769" s="1"/>
      <c r="CL1769" s="1">
        <v>0</v>
      </c>
      <c r="CM1769" s="1">
        <v>0</v>
      </c>
      <c r="CN1769" s="1">
        <v>0</v>
      </c>
    </row>
    <row r="1770" spans="1:92" ht="14.25" customHeight="1" x14ac:dyDescent="0.15">
      <c r="A1770" s="1" t="s">
        <v>13172</v>
      </c>
      <c r="B1770" s="1" t="s">
        <v>189</v>
      </c>
      <c r="C1770" s="1"/>
      <c r="D1770" s="1"/>
      <c r="E1770" s="1" t="s">
        <v>13173</v>
      </c>
      <c r="F1770" s="1" t="s">
        <v>98</v>
      </c>
      <c r="G1770" s="1" t="s">
        <v>13174</v>
      </c>
      <c r="H1770" s="1">
        <v>0</v>
      </c>
      <c r="I1770" s="1" t="s">
        <v>142</v>
      </c>
      <c r="J1770" s="1"/>
      <c r="K1770" s="1"/>
      <c r="L1770" s="1" t="s">
        <v>13175</v>
      </c>
      <c r="M1770" s="1" t="s">
        <v>144</v>
      </c>
      <c r="N1770" s="1">
        <v>0</v>
      </c>
      <c r="O1770" s="1">
        <v>0</v>
      </c>
      <c r="P1770" s="1" t="s">
        <v>1410</v>
      </c>
      <c r="Q1770" s="1" t="s">
        <v>268</v>
      </c>
      <c r="R1770" s="1" t="s">
        <v>13176</v>
      </c>
      <c r="S1770" s="1" t="s">
        <v>13177</v>
      </c>
      <c r="T1770" s="1" t="s">
        <v>13170</v>
      </c>
      <c r="U1770" s="1" t="s">
        <v>13178</v>
      </c>
      <c r="V1770" s="1">
        <v>1</v>
      </c>
      <c r="W1770" s="1">
        <v>1</v>
      </c>
      <c r="X1770" s="1">
        <v>0</v>
      </c>
      <c r="Y1770" s="1">
        <v>0</v>
      </c>
      <c r="Z1770" s="1">
        <v>1</v>
      </c>
      <c r="AA1770" s="1">
        <v>6</v>
      </c>
      <c r="AB1770" s="1">
        <v>6</v>
      </c>
      <c r="AC1770" s="1" t="s">
        <v>109</v>
      </c>
      <c r="AD1770" s="1">
        <v>5</v>
      </c>
      <c r="AE1770" s="1" t="s">
        <v>109</v>
      </c>
      <c r="AF1770" s="1" t="s">
        <v>109</v>
      </c>
      <c r="AG1770" s="1" t="s">
        <v>109</v>
      </c>
      <c r="AH1770" s="1" t="s">
        <v>109</v>
      </c>
      <c r="AI1770" s="1" t="s">
        <v>109</v>
      </c>
      <c r="AJ1770" s="1" t="s">
        <v>109</v>
      </c>
      <c r="AK1770" s="1" t="s">
        <v>109</v>
      </c>
      <c r="AL1770" s="1" t="s">
        <v>109</v>
      </c>
      <c r="AM1770" s="1" t="s">
        <v>109</v>
      </c>
      <c r="AN1770" s="1" t="s">
        <v>109</v>
      </c>
      <c r="AO1770" s="1" t="s">
        <v>109</v>
      </c>
      <c r="AP1770" s="1"/>
      <c r="AQ1770" s="1">
        <v>6</v>
      </c>
      <c r="AR1770" s="1"/>
      <c r="AS1770" s="1"/>
      <c r="AT1770" s="1">
        <v>0</v>
      </c>
      <c r="AU1770" s="1">
        <v>0</v>
      </c>
      <c r="AV1770" s="1">
        <v>0</v>
      </c>
      <c r="AW1770" s="1">
        <v>0</v>
      </c>
      <c r="AX1770" s="1">
        <v>0</v>
      </c>
      <c r="AY1770" s="1">
        <v>0</v>
      </c>
      <c r="AZ1770" s="1">
        <v>0</v>
      </c>
      <c r="BA1770" s="1">
        <v>0</v>
      </c>
      <c r="BB1770" s="1">
        <v>0</v>
      </c>
      <c r="BC1770" s="1">
        <v>0</v>
      </c>
      <c r="BD1770" s="1">
        <v>0</v>
      </c>
      <c r="BE1770" s="1">
        <v>0</v>
      </c>
      <c r="BF1770" s="1">
        <v>0</v>
      </c>
      <c r="BG1770" s="1">
        <v>0</v>
      </c>
      <c r="BH1770" s="1">
        <v>0</v>
      </c>
      <c r="BI1770" s="1">
        <v>0</v>
      </c>
      <c r="BJ1770" s="1">
        <v>0</v>
      </c>
      <c r="BK1770" s="1">
        <v>0</v>
      </c>
      <c r="BL1770" s="1">
        <v>0</v>
      </c>
      <c r="BM1770" s="1">
        <v>0</v>
      </c>
      <c r="BN1770" s="1">
        <v>0</v>
      </c>
      <c r="BO1770" s="1">
        <v>0</v>
      </c>
      <c r="BP1770" s="1">
        <v>0</v>
      </c>
      <c r="BQ1770" s="1">
        <v>0</v>
      </c>
      <c r="BR1770" s="1">
        <v>0</v>
      </c>
      <c r="BS1770" s="1" t="s">
        <v>109</v>
      </c>
      <c r="BT1770" s="1">
        <v>1843</v>
      </c>
      <c r="BU1770" s="1" t="s">
        <v>109</v>
      </c>
      <c r="BV1770" s="1"/>
      <c r="BW1770" s="1"/>
      <c r="BX1770" s="1"/>
      <c r="BY1770" s="1"/>
      <c r="BZ1770" s="1">
        <v>0</v>
      </c>
      <c r="CA1770" s="1" t="s">
        <v>109</v>
      </c>
      <c r="CB1770" s="1" t="s">
        <v>109</v>
      </c>
      <c r="CC1770" s="1" t="s">
        <v>109</v>
      </c>
      <c r="CD1770" s="1" t="s">
        <v>109</v>
      </c>
      <c r="CE1770" s="1" t="s">
        <v>109</v>
      </c>
      <c r="CF1770" s="1" t="s">
        <v>109</v>
      </c>
      <c r="CG1770" s="1" t="s">
        <v>109</v>
      </c>
      <c r="CH1770" s="1" t="s">
        <v>109</v>
      </c>
      <c r="CI1770" s="1" t="s">
        <v>109</v>
      </c>
      <c r="CJ1770" s="1">
        <v>5</v>
      </c>
      <c r="CK1770" s="1"/>
      <c r="CL1770" s="1">
        <v>0</v>
      </c>
      <c r="CM1770" s="1">
        <v>0</v>
      </c>
      <c r="CN1770" s="1">
        <v>0</v>
      </c>
    </row>
    <row r="1771" spans="1:92" ht="14.25" customHeight="1" x14ac:dyDescent="0.15">
      <c r="A1771" s="1" t="s">
        <v>13179</v>
      </c>
      <c r="B1771" s="1" t="s">
        <v>254</v>
      </c>
      <c r="C1771" s="1"/>
      <c r="D1771" s="1"/>
      <c r="E1771" s="1" t="s">
        <v>13180</v>
      </c>
      <c r="F1771" s="1" t="s">
        <v>98</v>
      </c>
      <c r="G1771" s="1" t="s">
        <v>141</v>
      </c>
      <c r="H1771" s="1">
        <v>0</v>
      </c>
      <c r="I1771" s="1" t="s">
        <v>2962</v>
      </c>
      <c r="J1771" s="1" t="s">
        <v>13181</v>
      </c>
      <c r="K1771" s="1"/>
      <c r="L1771" s="1"/>
      <c r="M1771" s="1" t="s">
        <v>7934</v>
      </c>
      <c r="N1771" s="1">
        <v>0</v>
      </c>
      <c r="O1771" s="1">
        <v>0</v>
      </c>
      <c r="P1771" s="1" t="s">
        <v>103</v>
      </c>
      <c r="Q1771" s="1" t="s">
        <v>104</v>
      </c>
      <c r="R1771" s="1" t="s">
        <v>13182</v>
      </c>
      <c r="S1771" s="1" t="s">
        <v>13183</v>
      </c>
      <c r="T1771" s="1" t="s">
        <v>13170</v>
      </c>
      <c r="U1771" s="1" t="s">
        <v>13184</v>
      </c>
      <c r="V1771" s="1">
        <v>1</v>
      </c>
      <c r="W1771" s="1">
        <v>1</v>
      </c>
      <c r="X1771" s="1">
        <v>0</v>
      </c>
      <c r="Y1771" s="1">
        <v>0</v>
      </c>
      <c r="Z1771" s="1">
        <v>0</v>
      </c>
      <c r="AA1771" s="1">
        <v>1</v>
      </c>
      <c r="AB1771" s="1">
        <v>1</v>
      </c>
      <c r="AC1771" s="1">
        <v>1</v>
      </c>
      <c r="AD1771" s="1">
        <v>1</v>
      </c>
      <c r="AE1771" s="1">
        <v>1</v>
      </c>
      <c r="AF1771" s="1">
        <v>1</v>
      </c>
      <c r="AG1771" s="1" t="s">
        <v>109</v>
      </c>
      <c r="AH1771" s="1" t="s">
        <v>109</v>
      </c>
      <c r="AI1771" s="1" t="s">
        <v>109</v>
      </c>
      <c r="AJ1771" s="1" t="s">
        <v>109</v>
      </c>
      <c r="AK1771" s="1" t="s">
        <v>109</v>
      </c>
      <c r="AL1771" s="1">
        <v>1</v>
      </c>
      <c r="AM1771" s="1" t="s">
        <v>109</v>
      </c>
      <c r="AN1771" s="1" t="s">
        <v>109</v>
      </c>
      <c r="AO1771" s="1" t="s">
        <v>109</v>
      </c>
      <c r="AP1771" s="1"/>
      <c r="AQ1771" s="1">
        <v>1</v>
      </c>
      <c r="AR1771" s="1"/>
      <c r="AS1771" s="1"/>
      <c r="AT1771" s="1">
        <v>0</v>
      </c>
      <c r="AU1771" s="1">
        <v>0</v>
      </c>
      <c r="AV1771" s="1">
        <v>0</v>
      </c>
      <c r="AW1771" s="1">
        <v>0</v>
      </c>
      <c r="AX1771" s="1">
        <v>0</v>
      </c>
      <c r="AY1771" s="1">
        <v>0</v>
      </c>
      <c r="AZ1771" s="1">
        <v>0</v>
      </c>
      <c r="BA1771" s="1">
        <v>0</v>
      </c>
      <c r="BB1771" s="1">
        <v>0</v>
      </c>
      <c r="BC1771" s="1">
        <v>0</v>
      </c>
      <c r="BD1771" s="1">
        <v>0</v>
      </c>
      <c r="BE1771" s="1">
        <v>0</v>
      </c>
      <c r="BF1771" s="1">
        <v>0</v>
      </c>
      <c r="BG1771" s="1">
        <v>0</v>
      </c>
      <c r="BH1771" s="1">
        <v>0</v>
      </c>
      <c r="BI1771" s="1">
        <v>0</v>
      </c>
      <c r="BJ1771" s="1">
        <v>0</v>
      </c>
      <c r="BK1771" s="1">
        <v>0</v>
      </c>
      <c r="BL1771" s="1">
        <v>0</v>
      </c>
      <c r="BM1771" s="1">
        <v>0</v>
      </c>
      <c r="BN1771" s="1">
        <v>0</v>
      </c>
      <c r="BO1771" s="1">
        <v>0</v>
      </c>
      <c r="BP1771" s="1">
        <v>0</v>
      </c>
      <c r="BQ1771" s="1">
        <v>0</v>
      </c>
      <c r="BR1771" s="1">
        <v>0</v>
      </c>
      <c r="BS1771" s="1" t="s">
        <v>109</v>
      </c>
      <c r="BT1771" s="1">
        <v>1844</v>
      </c>
      <c r="BU1771" s="1" t="s">
        <v>109</v>
      </c>
      <c r="BV1771" s="1"/>
      <c r="BW1771" s="1"/>
      <c r="BX1771" s="1"/>
      <c r="BY1771" s="1"/>
      <c r="BZ1771" s="1">
        <v>0</v>
      </c>
      <c r="CA1771" s="1" t="s">
        <v>109</v>
      </c>
      <c r="CB1771" s="1" t="s">
        <v>109</v>
      </c>
      <c r="CC1771" s="1" t="s">
        <v>109</v>
      </c>
      <c r="CD1771" s="1" t="s">
        <v>109</v>
      </c>
      <c r="CE1771" s="1" t="s">
        <v>109</v>
      </c>
      <c r="CF1771" s="1" t="s">
        <v>109</v>
      </c>
      <c r="CG1771" s="1" t="s">
        <v>109</v>
      </c>
      <c r="CH1771" s="1" t="s">
        <v>109</v>
      </c>
      <c r="CI1771" s="1" t="s">
        <v>109</v>
      </c>
      <c r="CJ1771" s="1">
        <v>1</v>
      </c>
      <c r="CK1771" s="1"/>
      <c r="CL1771" s="1">
        <v>0</v>
      </c>
      <c r="CM1771" s="1">
        <v>0</v>
      </c>
      <c r="CN1771" s="1">
        <v>0</v>
      </c>
    </row>
    <row r="1772" spans="1:92" ht="14.25" customHeight="1" x14ac:dyDescent="0.15">
      <c r="A1772" s="1" t="s">
        <v>13185</v>
      </c>
      <c r="B1772" s="1" t="s">
        <v>242</v>
      </c>
      <c r="C1772" s="1"/>
      <c r="D1772" s="1"/>
      <c r="E1772" s="1" t="s">
        <v>13186</v>
      </c>
      <c r="F1772" s="1" t="s">
        <v>98</v>
      </c>
      <c r="G1772" s="1" t="s">
        <v>141</v>
      </c>
      <c r="H1772" s="1">
        <v>0</v>
      </c>
      <c r="I1772" s="1" t="s">
        <v>122</v>
      </c>
      <c r="J1772" s="1"/>
      <c r="K1772" s="1"/>
      <c r="L1772" s="1" t="s">
        <v>13187</v>
      </c>
      <c r="M1772" s="1" t="s">
        <v>144</v>
      </c>
      <c r="N1772" s="1">
        <v>0</v>
      </c>
      <c r="O1772" s="1">
        <v>0</v>
      </c>
      <c r="P1772" s="1" t="s">
        <v>267</v>
      </c>
      <c r="Q1772" s="1" t="s">
        <v>104</v>
      </c>
      <c r="R1772" s="1" t="s">
        <v>13188</v>
      </c>
      <c r="S1772" s="1" t="s">
        <v>13189</v>
      </c>
      <c r="T1772" s="1" t="s">
        <v>13170</v>
      </c>
      <c r="U1772" s="1" t="s">
        <v>13190</v>
      </c>
      <c r="V1772" s="1">
        <v>1</v>
      </c>
      <c r="W1772" s="1">
        <v>1</v>
      </c>
      <c r="X1772" s="1">
        <v>0</v>
      </c>
      <c r="Y1772" s="1">
        <v>0</v>
      </c>
      <c r="Z1772" s="1">
        <v>0</v>
      </c>
      <c r="AA1772" s="1">
        <v>3</v>
      </c>
      <c r="AB1772" s="1">
        <v>3</v>
      </c>
      <c r="AC1772" s="1">
        <v>3</v>
      </c>
      <c r="AD1772" s="1" t="s">
        <v>109</v>
      </c>
      <c r="AE1772" s="1" t="s">
        <v>109</v>
      </c>
      <c r="AF1772" s="1">
        <v>3</v>
      </c>
      <c r="AG1772" s="1" t="s">
        <v>109</v>
      </c>
      <c r="AH1772" s="1" t="s">
        <v>109</v>
      </c>
      <c r="AI1772" s="1" t="s">
        <v>109</v>
      </c>
      <c r="AJ1772" s="1">
        <v>3</v>
      </c>
      <c r="AK1772" s="1" t="s">
        <v>109</v>
      </c>
      <c r="AL1772" s="1">
        <v>3</v>
      </c>
      <c r="AM1772" s="1" t="s">
        <v>109</v>
      </c>
      <c r="AN1772" s="1">
        <v>3</v>
      </c>
      <c r="AO1772" s="1" t="s">
        <v>109</v>
      </c>
      <c r="AP1772" s="1"/>
      <c r="AQ1772" s="1">
        <v>3</v>
      </c>
      <c r="AR1772" s="1"/>
      <c r="AS1772" s="1"/>
      <c r="AT1772" s="1">
        <v>0</v>
      </c>
      <c r="AU1772" s="1">
        <v>0</v>
      </c>
      <c r="AV1772" s="1">
        <v>0</v>
      </c>
      <c r="AW1772" s="1">
        <v>0</v>
      </c>
      <c r="AX1772" s="1">
        <v>0</v>
      </c>
      <c r="AY1772" s="1">
        <v>0</v>
      </c>
      <c r="AZ1772" s="1">
        <v>0</v>
      </c>
      <c r="BA1772" s="1">
        <v>0</v>
      </c>
      <c r="BB1772" s="1">
        <v>0</v>
      </c>
      <c r="BC1772" s="1">
        <v>0</v>
      </c>
      <c r="BD1772" s="1">
        <v>0</v>
      </c>
      <c r="BE1772" s="1">
        <v>0</v>
      </c>
      <c r="BF1772" s="1">
        <v>0</v>
      </c>
      <c r="BG1772" s="1">
        <v>0</v>
      </c>
      <c r="BH1772" s="1">
        <v>0</v>
      </c>
      <c r="BI1772" s="1">
        <v>0</v>
      </c>
      <c r="BJ1772" s="1">
        <v>0</v>
      </c>
      <c r="BK1772" s="1">
        <v>0</v>
      </c>
      <c r="BL1772" s="1">
        <v>0</v>
      </c>
      <c r="BM1772" s="1">
        <v>0</v>
      </c>
      <c r="BN1772" s="1">
        <v>0</v>
      </c>
      <c r="BO1772" s="1">
        <v>0</v>
      </c>
      <c r="BP1772" s="1">
        <v>0</v>
      </c>
      <c r="BQ1772" s="1">
        <v>0</v>
      </c>
      <c r="BR1772" s="1">
        <v>0</v>
      </c>
      <c r="BS1772" s="1" t="s">
        <v>109</v>
      </c>
      <c r="BT1772" s="1">
        <v>1845</v>
      </c>
      <c r="BU1772" s="1" t="s">
        <v>109</v>
      </c>
      <c r="BV1772" s="1"/>
      <c r="BW1772" s="1"/>
      <c r="BX1772" s="1"/>
      <c r="BY1772" s="1"/>
      <c r="BZ1772" s="1">
        <v>0</v>
      </c>
      <c r="CA1772" s="1" t="s">
        <v>109</v>
      </c>
      <c r="CB1772" s="1" t="s">
        <v>109</v>
      </c>
      <c r="CC1772" s="1" t="s">
        <v>109</v>
      </c>
      <c r="CD1772" s="1" t="s">
        <v>109</v>
      </c>
      <c r="CE1772" s="1" t="s">
        <v>109</v>
      </c>
      <c r="CF1772" s="1" t="s">
        <v>109</v>
      </c>
      <c r="CG1772" s="1" t="s">
        <v>109</v>
      </c>
      <c r="CH1772" s="1" t="s">
        <v>109</v>
      </c>
      <c r="CI1772" s="1" t="s">
        <v>109</v>
      </c>
      <c r="CJ1772" s="1" t="s">
        <v>109</v>
      </c>
      <c r="CK1772" s="1"/>
      <c r="CL1772" s="1">
        <v>0</v>
      </c>
      <c r="CM1772" s="1">
        <v>0</v>
      </c>
      <c r="CN1772" s="1">
        <v>0</v>
      </c>
    </row>
    <row r="1773" spans="1:92" ht="14.25" customHeight="1" x14ac:dyDescent="0.15">
      <c r="A1773" s="1" t="s">
        <v>13191</v>
      </c>
      <c r="B1773" s="1" t="s">
        <v>242</v>
      </c>
      <c r="C1773" s="1"/>
      <c r="D1773" s="1"/>
      <c r="E1773" s="1" t="s">
        <v>13192</v>
      </c>
      <c r="F1773" s="1" t="s">
        <v>98</v>
      </c>
      <c r="G1773" s="1" t="s">
        <v>141</v>
      </c>
      <c r="H1773" s="1">
        <v>0</v>
      </c>
      <c r="I1773" s="1" t="s">
        <v>122</v>
      </c>
      <c r="J1773" s="1" t="s">
        <v>13193</v>
      </c>
      <c r="K1773" s="1"/>
      <c r="L1773" s="1" t="s">
        <v>13193</v>
      </c>
      <c r="M1773" s="1" t="s">
        <v>144</v>
      </c>
      <c r="N1773" s="1">
        <v>0</v>
      </c>
      <c r="O1773" s="1">
        <v>0</v>
      </c>
      <c r="P1773" s="1" t="s">
        <v>267</v>
      </c>
      <c r="Q1773" s="1" t="s">
        <v>104</v>
      </c>
      <c r="R1773" s="1" t="s">
        <v>13194</v>
      </c>
      <c r="S1773" s="1" t="s">
        <v>13195</v>
      </c>
      <c r="T1773" s="1" t="s">
        <v>13170</v>
      </c>
      <c r="U1773" s="1" t="s">
        <v>13196</v>
      </c>
      <c r="V1773" s="1">
        <v>1</v>
      </c>
      <c r="W1773" s="1">
        <v>1</v>
      </c>
      <c r="X1773" s="1">
        <v>0</v>
      </c>
      <c r="Y1773" s="1">
        <v>0</v>
      </c>
      <c r="Z1773" s="1">
        <v>0</v>
      </c>
      <c r="AA1773" s="1">
        <v>6</v>
      </c>
      <c r="AB1773" s="1">
        <v>6</v>
      </c>
      <c r="AC1773" s="1">
        <v>6</v>
      </c>
      <c r="AD1773" s="1" t="s">
        <v>109</v>
      </c>
      <c r="AE1773" s="1" t="s">
        <v>109</v>
      </c>
      <c r="AF1773" s="1">
        <v>6</v>
      </c>
      <c r="AG1773" s="1" t="s">
        <v>109</v>
      </c>
      <c r="AH1773" s="1" t="s">
        <v>109</v>
      </c>
      <c r="AI1773" s="1" t="s">
        <v>109</v>
      </c>
      <c r="AJ1773" s="1">
        <v>6</v>
      </c>
      <c r="AK1773" s="1" t="s">
        <v>109</v>
      </c>
      <c r="AL1773" s="1">
        <v>6</v>
      </c>
      <c r="AM1773" s="1" t="s">
        <v>109</v>
      </c>
      <c r="AN1773" s="1">
        <v>6</v>
      </c>
      <c r="AO1773" s="1" t="s">
        <v>109</v>
      </c>
      <c r="AP1773" s="1"/>
      <c r="AQ1773" s="1">
        <v>6</v>
      </c>
      <c r="AR1773" s="1"/>
      <c r="AS1773" s="1"/>
      <c r="AT1773" s="1">
        <v>0</v>
      </c>
      <c r="AU1773" s="1">
        <v>0</v>
      </c>
      <c r="AV1773" s="1">
        <v>0</v>
      </c>
      <c r="AW1773" s="1">
        <v>0</v>
      </c>
      <c r="AX1773" s="1">
        <v>0</v>
      </c>
      <c r="AY1773" s="1">
        <v>0</v>
      </c>
      <c r="AZ1773" s="1">
        <v>0</v>
      </c>
      <c r="BA1773" s="1">
        <v>0</v>
      </c>
      <c r="BB1773" s="1">
        <v>0</v>
      </c>
      <c r="BC1773" s="1">
        <v>0</v>
      </c>
      <c r="BD1773" s="1">
        <v>0</v>
      </c>
      <c r="BE1773" s="1">
        <v>0</v>
      </c>
      <c r="BF1773" s="1">
        <v>0</v>
      </c>
      <c r="BG1773" s="1">
        <v>0</v>
      </c>
      <c r="BH1773" s="1">
        <v>0</v>
      </c>
      <c r="BI1773" s="1">
        <v>0</v>
      </c>
      <c r="BJ1773" s="1">
        <v>0</v>
      </c>
      <c r="BK1773" s="1">
        <v>0</v>
      </c>
      <c r="BL1773" s="1">
        <v>0</v>
      </c>
      <c r="BM1773" s="1">
        <v>0</v>
      </c>
      <c r="BN1773" s="1">
        <v>0</v>
      </c>
      <c r="BO1773" s="1">
        <v>0</v>
      </c>
      <c r="BP1773" s="1">
        <v>0</v>
      </c>
      <c r="BQ1773" s="1">
        <v>0</v>
      </c>
      <c r="BR1773" s="1">
        <v>0</v>
      </c>
      <c r="BS1773" s="1" t="s">
        <v>109</v>
      </c>
      <c r="BT1773" s="1">
        <v>1846</v>
      </c>
      <c r="BU1773" s="1" t="s">
        <v>109</v>
      </c>
      <c r="BV1773" s="1"/>
      <c r="BW1773" s="1"/>
      <c r="BX1773" s="1"/>
      <c r="BY1773" s="1"/>
      <c r="BZ1773" s="1">
        <v>0</v>
      </c>
      <c r="CA1773" s="1" t="s">
        <v>109</v>
      </c>
      <c r="CB1773" s="1" t="s">
        <v>109</v>
      </c>
      <c r="CC1773" s="1" t="s">
        <v>109</v>
      </c>
      <c r="CD1773" s="1" t="s">
        <v>109</v>
      </c>
      <c r="CE1773" s="1" t="s">
        <v>109</v>
      </c>
      <c r="CF1773" s="1" t="s">
        <v>109</v>
      </c>
      <c r="CG1773" s="1" t="s">
        <v>109</v>
      </c>
      <c r="CH1773" s="1" t="s">
        <v>109</v>
      </c>
      <c r="CI1773" s="1" t="s">
        <v>109</v>
      </c>
      <c r="CJ1773" s="1" t="s">
        <v>109</v>
      </c>
      <c r="CK1773" s="1"/>
      <c r="CL1773" s="1">
        <v>0</v>
      </c>
      <c r="CM1773" s="1">
        <v>0</v>
      </c>
      <c r="CN1773" s="1">
        <v>0</v>
      </c>
    </row>
    <row r="1774" spans="1:92" ht="14.25" customHeight="1" x14ac:dyDescent="0.15">
      <c r="A1774" s="1" t="s">
        <v>13197</v>
      </c>
      <c r="B1774" s="1" t="s">
        <v>189</v>
      </c>
      <c r="C1774" s="1"/>
      <c r="D1774" s="1"/>
      <c r="E1774" s="1" t="s">
        <v>13198</v>
      </c>
      <c r="F1774" s="1" t="s">
        <v>98</v>
      </c>
      <c r="G1774" s="1" t="s">
        <v>141</v>
      </c>
      <c r="H1774" s="1">
        <v>0</v>
      </c>
      <c r="I1774" s="1" t="s">
        <v>122</v>
      </c>
      <c r="J1774" s="1"/>
      <c r="K1774" s="1"/>
      <c r="L1774" s="1" t="s">
        <v>13199</v>
      </c>
      <c r="M1774" s="1" t="s">
        <v>6625</v>
      </c>
      <c r="N1774" s="1">
        <v>1</v>
      </c>
      <c r="O1774" s="1">
        <v>0</v>
      </c>
      <c r="P1774" s="1" t="s">
        <v>301</v>
      </c>
      <c r="Q1774" s="1" t="s">
        <v>268</v>
      </c>
      <c r="R1774" s="1" t="s">
        <v>13200</v>
      </c>
      <c r="S1774" s="1" t="s">
        <v>13201</v>
      </c>
      <c r="T1774" s="1" t="s">
        <v>13170</v>
      </c>
      <c r="U1774" s="1" t="s">
        <v>13202</v>
      </c>
      <c r="V1774" s="1">
        <v>1</v>
      </c>
      <c r="W1774" s="1">
        <v>1</v>
      </c>
      <c r="X1774" s="1">
        <v>0</v>
      </c>
      <c r="Y1774" s="1">
        <v>0</v>
      </c>
      <c r="Z1774" s="1">
        <v>0</v>
      </c>
      <c r="AA1774" s="1">
        <v>7</v>
      </c>
      <c r="AB1774" s="1">
        <v>7</v>
      </c>
      <c r="AC1774" s="1">
        <v>7</v>
      </c>
      <c r="AD1774" s="1">
        <v>7</v>
      </c>
      <c r="AE1774" s="1" t="s">
        <v>109</v>
      </c>
      <c r="AF1774" s="1" t="s">
        <v>109</v>
      </c>
      <c r="AG1774" s="1" t="s">
        <v>109</v>
      </c>
      <c r="AH1774" s="1" t="s">
        <v>109</v>
      </c>
      <c r="AI1774" s="1" t="s">
        <v>109</v>
      </c>
      <c r="AJ1774" s="1">
        <v>7</v>
      </c>
      <c r="AK1774" s="1" t="s">
        <v>109</v>
      </c>
      <c r="AL1774" s="1">
        <v>7</v>
      </c>
      <c r="AM1774" s="1" t="s">
        <v>109</v>
      </c>
      <c r="AN1774" s="1" t="s">
        <v>109</v>
      </c>
      <c r="AO1774" s="1" t="s">
        <v>109</v>
      </c>
      <c r="AP1774" s="1"/>
      <c r="AQ1774" s="1">
        <v>7</v>
      </c>
      <c r="AR1774" s="1"/>
      <c r="AS1774" s="1"/>
      <c r="AT1774" s="1">
        <v>0</v>
      </c>
      <c r="AU1774" s="1">
        <v>0</v>
      </c>
      <c r="AV1774" s="1">
        <v>0</v>
      </c>
      <c r="AW1774" s="1">
        <v>0</v>
      </c>
      <c r="AX1774" s="1">
        <v>0</v>
      </c>
      <c r="AY1774" s="1">
        <v>0</v>
      </c>
      <c r="AZ1774" s="1">
        <v>0</v>
      </c>
      <c r="BA1774" s="1">
        <v>0</v>
      </c>
      <c r="BB1774" s="1">
        <v>0</v>
      </c>
      <c r="BC1774" s="1">
        <v>0</v>
      </c>
      <c r="BD1774" s="1">
        <v>0</v>
      </c>
      <c r="BE1774" s="1">
        <v>0</v>
      </c>
      <c r="BF1774" s="1">
        <v>0</v>
      </c>
      <c r="BG1774" s="1">
        <v>0</v>
      </c>
      <c r="BH1774" s="1">
        <v>0</v>
      </c>
      <c r="BI1774" s="1">
        <v>0</v>
      </c>
      <c r="BJ1774" s="1">
        <v>0</v>
      </c>
      <c r="BK1774" s="1">
        <v>0</v>
      </c>
      <c r="BL1774" s="1">
        <v>0</v>
      </c>
      <c r="BM1774" s="1">
        <v>0</v>
      </c>
      <c r="BN1774" s="1">
        <v>0</v>
      </c>
      <c r="BO1774" s="1">
        <v>0</v>
      </c>
      <c r="BP1774" s="1">
        <v>0</v>
      </c>
      <c r="BQ1774" s="1">
        <v>0</v>
      </c>
      <c r="BR1774" s="1">
        <v>0</v>
      </c>
      <c r="BS1774" s="1" t="s">
        <v>109</v>
      </c>
      <c r="BT1774" s="1">
        <v>1847</v>
      </c>
      <c r="BU1774" s="1" t="s">
        <v>109</v>
      </c>
      <c r="BV1774" s="1"/>
      <c r="BW1774" s="1"/>
      <c r="BX1774" s="1"/>
      <c r="BY1774" s="1"/>
      <c r="BZ1774" s="1">
        <v>0</v>
      </c>
      <c r="CA1774" s="1" t="s">
        <v>109</v>
      </c>
      <c r="CB1774" s="1" t="s">
        <v>109</v>
      </c>
      <c r="CC1774" s="1" t="s">
        <v>109</v>
      </c>
      <c r="CD1774" s="1" t="s">
        <v>109</v>
      </c>
      <c r="CE1774" s="1" t="s">
        <v>109</v>
      </c>
      <c r="CF1774" s="1" t="s">
        <v>109</v>
      </c>
      <c r="CG1774" s="1" t="s">
        <v>109</v>
      </c>
      <c r="CH1774" s="1" t="s">
        <v>109</v>
      </c>
      <c r="CI1774" s="1" t="s">
        <v>109</v>
      </c>
      <c r="CJ1774" s="1" t="s">
        <v>109</v>
      </c>
      <c r="CK1774" s="1"/>
      <c r="CL1774" s="1">
        <v>0</v>
      </c>
      <c r="CM1774" s="1">
        <v>0</v>
      </c>
      <c r="CN1774" s="1">
        <v>0</v>
      </c>
    </row>
    <row r="1775" spans="1:92" ht="14.25" customHeight="1" x14ac:dyDescent="0.15">
      <c r="A1775" s="1" t="s">
        <v>13203</v>
      </c>
      <c r="B1775" s="1" t="s">
        <v>95</v>
      </c>
      <c r="C1775" s="1" t="s">
        <v>96</v>
      </c>
      <c r="D1775" s="1"/>
      <c r="E1775" s="1" t="s">
        <v>13204</v>
      </c>
      <c r="F1775" s="1" t="s">
        <v>98</v>
      </c>
      <c r="G1775" s="1" t="s">
        <v>141</v>
      </c>
      <c r="H1775" s="1">
        <v>0</v>
      </c>
      <c r="I1775" s="1" t="s">
        <v>122</v>
      </c>
      <c r="J1775" s="1"/>
      <c r="K1775" s="1" t="s">
        <v>9637</v>
      </c>
      <c r="L1775" s="1"/>
      <c r="M1775" s="1" t="s">
        <v>144</v>
      </c>
      <c r="N1775" s="1">
        <v>0</v>
      </c>
      <c r="O1775" s="1">
        <v>0</v>
      </c>
      <c r="P1775" s="1" t="s">
        <v>9812</v>
      </c>
      <c r="Q1775" s="1" t="s">
        <v>104</v>
      </c>
      <c r="R1775" s="1" t="s">
        <v>13205</v>
      </c>
      <c r="S1775" s="1" t="s">
        <v>13206</v>
      </c>
      <c r="T1775" s="1" t="s">
        <v>13170</v>
      </c>
      <c r="U1775" s="1" t="s">
        <v>13207</v>
      </c>
      <c r="V1775" s="1">
        <v>1</v>
      </c>
      <c r="W1775" s="1">
        <v>1</v>
      </c>
      <c r="X1775" s="1">
        <v>0</v>
      </c>
      <c r="Y1775" s="1">
        <v>0</v>
      </c>
      <c r="Z1775" s="1">
        <v>0</v>
      </c>
      <c r="AA1775" s="1">
        <v>3</v>
      </c>
      <c r="AB1775" s="1">
        <v>3</v>
      </c>
      <c r="AC1775" s="1">
        <v>3</v>
      </c>
      <c r="AD1775" s="1">
        <v>4</v>
      </c>
      <c r="AE1775" s="1" t="s">
        <v>109</v>
      </c>
      <c r="AF1775" s="1" t="s">
        <v>109</v>
      </c>
      <c r="AG1775" s="1" t="s">
        <v>109</v>
      </c>
      <c r="AH1775" s="1" t="s">
        <v>109</v>
      </c>
      <c r="AI1775" s="1">
        <v>3</v>
      </c>
      <c r="AJ1775" s="1">
        <v>3</v>
      </c>
      <c r="AK1775" s="1" t="s">
        <v>109</v>
      </c>
      <c r="AL1775" s="1">
        <v>3</v>
      </c>
      <c r="AM1775" s="1" t="s">
        <v>109</v>
      </c>
      <c r="AN1775" s="1">
        <v>3</v>
      </c>
      <c r="AO1775" s="1" t="s">
        <v>109</v>
      </c>
      <c r="AP1775" s="1"/>
      <c r="AQ1775" s="1">
        <v>3</v>
      </c>
      <c r="AR1775" s="1"/>
      <c r="AS1775" s="1"/>
      <c r="AT1775" s="1">
        <v>0</v>
      </c>
      <c r="AU1775" s="1">
        <v>0</v>
      </c>
      <c r="AV1775" s="1">
        <v>0</v>
      </c>
      <c r="AW1775" s="1">
        <v>0</v>
      </c>
      <c r="AX1775" s="1">
        <v>0</v>
      </c>
      <c r="AY1775" s="1">
        <v>0</v>
      </c>
      <c r="AZ1775" s="1">
        <v>0</v>
      </c>
      <c r="BA1775" s="1">
        <v>0</v>
      </c>
      <c r="BB1775" s="1">
        <v>0</v>
      </c>
      <c r="BC1775" s="1">
        <v>0</v>
      </c>
      <c r="BD1775" s="1">
        <v>0</v>
      </c>
      <c r="BE1775" s="1">
        <v>0</v>
      </c>
      <c r="BF1775" s="1">
        <v>0</v>
      </c>
      <c r="BG1775" s="1">
        <v>0</v>
      </c>
      <c r="BH1775" s="1">
        <v>0</v>
      </c>
      <c r="BI1775" s="1">
        <v>0</v>
      </c>
      <c r="BJ1775" s="1">
        <v>0</v>
      </c>
      <c r="BK1775" s="1">
        <v>0</v>
      </c>
      <c r="BL1775" s="1">
        <v>0</v>
      </c>
      <c r="BM1775" s="1">
        <v>0</v>
      </c>
      <c r="BN1775" s="1">
        <v>0</v>
      </c>
      <c r="BO1775" s="1">
        <v>0</v>
      </c>
      <c r="BP1775" s="1">
        <v>0</v>
      </c>
      <c r="BQ1775" s="1">
        <v>0</v>
      </c>
      <c r="BR1775" s="1">
        <v>0</v>
      </c>
      <c r="BS1775" s="1" t="s">
        <v>109</v>
      </c>
      <c r="BT1775" s="1">
        <v>1848</v>
      </c>
      <c r="BU1775" s="1" t="s">
        <v>109</v>
      </c>
      <c r="BV1775" s="1"/>
      <c r="BW1775" s="1"/>
      <c r="BX1775" s="1"/>
      <c r="BY1775" s="1"/>
      <c r="BZ1775" s="1">
        <v>0</v>
      </c>
      <c r="CA1775" s="1" t="s">
        <v>109</v>
      </c>
      <c r="CB1775" s="1" t="s">
        <v>109</v>
      </c>
      <c r="CC1775" s="1" t="s">
        <v>109</v>
      </c>
      <c r="CD1775" s="1" t="s">
        <v>109</v>
      </c>
      <c r="CE1775" s="1" t="s">
        <v>109</v>
      </c>
      <c r="CF1775" s="1" t="s">
        <v>109</v>
      </c>
      <c r="CG1775" s="1" t="s">
        <v>109</v>
      </c>
      <c r="CH1775" s="1" t="s">
        <v>109</v>
      </c>
      <c r="CI1775" s="1" t="s">
        <v>109</v>
      </c>
      <c r="CJ1775" s="1">
        <v>4</v>
      </c>
      <c r="CK1775" s="1"/>
      <c r="CL1775" s="1">
        <v>0</v>
      </c>
      <c r="CM1775" s="1">
        <v>0</v>
      </c>
      <c r="CN1775" s="1">
        <v>0</v>
      </c>
    </row>
    <row r="1776" spans="1:92" ht="14.25" customHeight="1" x14ac:dyDescent="0.15">
      <c r="A1776" s="1" t="s">
        <v>13208</v>
      </c>
      <c r="B1776" s="1" t="s">
        <v>242</v>
      </c>
      <c r="C1776" s="1"/>
      <c r="D1776" s="1"/>
      <c r="E1776" s="1" t="s">
        <v>5518</v>
      </c>
      <c r="F1776" s="1" t="s">
        <v>98</v>
      </c>
      <c r="G1776" s="1" t="s">
        <v>13209</v>
      </c>
      <c r="H1776" s="1">
        <v>0</v>
      </c>
      <c r="I1776" s="1" t="s">
        <v>161</v>
      </c>
      <c r="J1776" s="1" t="s">
        <v>3101</v>
      </c>
      <c r="K1776" s="1"/>
      <c r="L1776" s="1"/>
      <c r="M1776" s="1" t="s">
        <v>7934</v>
      </c>
      <c r="N1776" s="1">
        <v>0</v>
      </c>
      <c r="O1776" s="1">
        <v>0</v>
      </c>
      <c r="P1776" s="1" t="s">
        <v>13210</v>
      </c>
      <c r="Q1776" s="1" t="s">
        <v>3102</v>
      </c>
      <c r="R1776" s="1" t="s">
        <v>13211</v>
      </c>
      <c r="S1776" s="1" t="s">
        <v>13212</v>
      </c>
      <c r="T1776" s="1" t="s">
        <v>13170</v>
      </c>
      <c r="U1776" s="1" t="s">
        <v>13213</v>
      </c>
      <c r="V1776" s="1">
        <v>1</v>
      </c>
      <c r="W1776" s="1">
        <v>1</v>
      </c>
      <c r="X1776" s="1">
        <v>1</v>
      </c>
      <c r="Y1776" s="1">
        <v>0</v>
      </c>
      <c r="Z1776" s="1">
        <v>1</v>
      </c>
      <c r="AA1776" s="1">
        <v>4</v>
      </c>
      <c r="AB1776" s="1">
        <v>4</v>
      </c>
      <c r="AC1776" s="1">
        <v>4</v>
      </c>
      <c r="AD1776" s="1" t="s">
        <v>109</v>
      </c>
      <c r="AE1776" s="1" t="s">
        <v>109</v>
      </c>
      <c r="AF1776" s="1" t="s">
        <v>109</v>
      </c>
      <c r="AG1776" s="1" t="s">
        <v>109</v>
      </c>
      <c r="AH1776" s="1" t="s">
        <v>109</v>
      </c>
      <c r="AI1776" s="1" t="s">
        <v>109</v>
      </c>
      <c r="AJ1776" s="1" t="s">
        <v>109</v>
      </c>
      <c r="AK1776" s="1" t="s">
        <v>109</v>
      </c>
      <c r="AL1776" s="1">
        <v>4</v>
      </c>
      <c r="AM1776" s="1" t="s">
        <v>109</v>
      </c>
      <c r="AN1776" s="1" t="s">
        <v>109</v>
      </c>
      <c r="AO1776" s="1" t="s">
        <v>109</v>
      </c>
      <c r="AP1776" s="1"/>
      <c r="AQ1776" s="1">
        <v>4</v>
      </c>
      <c r="AR1776" s="1"/>
      <c r="AS1776" s="1"/>
      <c r="AT1776" s="1">
        <v>0</v>
      </c>
      <c r="AU1776" s="1">
        <v>0</v>
      </c>
      <c r="AV1776" s="1">
        <v>0</v>
      </c>
      <c r="AW1776" s="1">
        <v>0</v>
      </c>
      <c r="AX1776" s="1">
        <v>0</v>
      </c>
      <c r="AY1776" s="1">
        <v>0</v>
      </c>
      <c r="AZ1776" s="1">
        <v>0</v>
      </c>
      <c r="BA1776" s="1">
        <v>0</v>
      </c>
      <c r="BB1776" s="1">
        <v>0</v>
      </c>
      <c r="BC1776" s="1">
        <v>0</v>
      </c>
      <c r="BD1776" s="1">
        <v>0</v>
      </c>
      <c r="BE1776" s="1">
        <v>0</v>
      </c>
      <c r="BF1776" s="1">
        <v>0</v>
      </c>
      <c r="BG1776" s="1">
        <v>0</v>
      </c>
      <c r="BH1776" s="1">
        <v>0</v>
      </c>
      <c r="BI1776" s="1">
        <v>0</v>
      </c>
      <c r="BJ1776" s="1">
        <v>0</v>
      </c>
      <c r="BK1776" s="1">
        <v>0</v>
      </c>
      <c r="BL1776" s="1">
        <v>0</v>
      </c>
      <c r="BM1776" s="1">
        <v>0</v>
      </c>
      <c r="BN1776" s="1">
        <v>0</v>
      </c>
      <c r="BO1776" s="1">
        <v>0</v>
      </c>
      <c r="BP1776" s="1">
        <v>0</v>
      </c>
      <c r="BQ1776" s="1">
        <v>0</v>
      </c>
      <c r="BR1776" s="1">
        <v>0</v>
      </c>
      <c r="BS1776" s="1" t="s">
        <v>109</v>
      </c>
      <c r="BT1776" s="1">
        <v>1849</v>
      </c>
      <c r="BU1776" s="1" t="s">
        <v>109</v>
      </c>
      <c r="BV1776" s="1"/>
      <c r="BW1776" s="1"/>
      <c r="BX1776" s="1"/>
      <c r="BY1776" s="1"/>
      <c r="BZ1776" s="1">
        <v>0</v>
      </c>
      <c r="CA1776" s="1" t="s">
        <v>109</v>
      </c>
      <c r="CB1776" s="1" t="s">
        <v>109</v>
      </c>
      <c r="CC1776" s="1" t="s">
        <v>109</v>
      </c>
      <c r="CD1776" s="1" t="s">
        <v>109</v>
      </c>
      <c r="CE1776" s="1" t="s">
        <v>109</v>
      </c>
      <c r="CF1776" s="1" t="s">
        <v>109</v>
      </c>
      <c r="CG1776" s="1" t="s">
        <v>109</v>
      </c>
      <c r="CH1776" s="1" t="s">
        <v>109</v>
      </c>
      <c r="CI1776" s="1" t="s">
        <v>109</v>
      </c>
      <c r="CJ1776" s="1" t="s">
        <v>109</v>
      </c>
      <c r="CK1776" s="1"/>
      <c r="CL1776" s="1">
        <v>0</v>
      </c>
      <c r="CM1776" s="1">
        <v>0</v>
      </c>
      <c r="CN1776" s="1">
        <v>0</v>
      </c>
    </row>
    <row r="1777" spans="1:92" ht="14.25" customHeight="1" x14ac:dyDescent="0.15">
      <c r="A1777" s="1" t="s">
        <v>13214</v>
      </c>
      <c r="B1777" s="1" t="s">
        <v>189</v>
      </c>
      <c r="C1777" s="1"/>
      <c r="D1777" s="1"/>
      <c r="E1777" s="1" t="s">
        <v>5518</v>
      </c>
      <c r="F1777" s="1" t="s">
        <v>98</v>
      </c>
      <c r="G1777" s="1" t="s">
        <v>141</v>
      </c>
      <c r="H1777" s="1">
        <v>0</v>
      </c>
      <c r="I1777" s="1" t="s">
        <v>356</v>
      </c>
      <c r="J1777" s="1"/>
      <c r="K1777" s="1"/>
      <c r="L1777" s="1" t="s">
        <v>13215</v>
      </c>
      <c r="M1777" s="1" t="s">
        <v>144</v>
      </c>
      <c r="N1777" s="1">
        <v>0</v>
      </c>
      <c r="O1777" s="1">
        <v>0</v>
      </c>
      <c r="P1777" s="1" t="s">
        <v>215</v>
      </c>
      <c r="Q1777" s="1" t="s">
        <v>216</v>
      </c>
      <c r="R1777" s="1" t="s">
        <v>13216</v>
      </c>
      <c r="S1777" s="1" t="s">
        <v>13217</v>
      </c>
      <c r="T1777" s="1" t="s">
        <v>13170</v>
      </c>
      <c r="U1777" s="1" t="s">
        <v>13218</v>
      </c>
      <c r="V1777" s="1">
        <v>1</v>
      </c>
      <c r="W1777" s="1">
        <v>1</v>
      </c>
      <c r="X1777" s="1">
        <v>0</v>
      </c>
      <c r="Y1777" s="1">
        <v>0</v>
      </c>
      <c r="Z1777" s="1">
        <v>0</v>
      </c>
      <c r="AA1777" s="1">
        <v>4</v>
      </c>
      <c r="AB1777" s="1">
        <v>4</v>
      </c>
      <c r="AC1777" s="1">
        <v>4</v>
      </c>
      <c r="AD1777" s="1" t="s">
        <v>109</v>
      </c>
      <c r="AE1777" s="1" t="s">
        <v>109</v>
      </c>
      <c r="AF1777" s="1" t="s">
        <v>109</v>
      </c>
      <c r="AG1777" s="1" t="s">
        <v>109</v>
      </c>
      <c r="AH1777" s="1" t="s">
        <v>109</v>
      </c>
      <c r="AI1777" s="1" t="s">
        <v>109</v>
      </c>
      <c r="AJ1777" s="1" t="s">
        <v>109</v>
      </c>
      <c r="AK1777" s="1" t="s">
        <v>109</v>
      </c>
      <c r="AL1777" s="1">
        <v>4</v>
      </c>
      <c r="AM1777" s="1" t="s">
        <v>109</v>
      </c>
      <c r="AN1777" s="1" t="s">
        <v>109</v>
      </c>
      <c r="AO1777" s="1" t="s">
        <v>109</v>
      </c>
      <c r="AP1777" s="1"/>
      <c r="AQ1777" s="1">
        <v>4</v>
      </c>
      <c r="AR1777" s="1"/>
      <c r="AS1777" s="1"/>
      <c r="AT1777" s="1">
        <v>0</v>
      </c>
      <c r="AU1777" s="1">
        <v>0</v>
      </c>
      <c r="AV1777" s="1">
        <v>0</v>
      </c>
      <c r="AW1777" s="1">
        <v>0</v>
      </c>
      <c r="AX1777" s="1">
        <v>0</v>
      </c>
      <c r="AY1777" s="1">
        <v>0</v>
      </c>
      <c r="AZ1777" s="1">
        <v>0</v>
      </c>
      <c r="BA1777" s="1">
        <v>0</v>
      </c>
      <c r="BB1777" s="1">
        <v>0</v>
      </c>
      <c r="BC1777" s="1">
        <v>0</v>
      </c>
      <c r="BD1777" s="1">
        <v>0</v>
      </c>
      <c r="BE1777" s="1">
        <v>0</v>
      </c>
      <c r="BF1777" s="1">
        <v>0</v>
      </c>
      <c r="BG1777" s="1">
        <v>0</v>
      </c>
      <c r="BH1777" s="1">
        <v>0</v>
      </c>
      <c r="BI1777" s="1">
        <v>0</v>
      </c>
      <c r="BJ1777" s="1">
        <v>0</v>
      </c>
      <c r="BK1777" s="1">
        <v>0</v>
      </c>
      <c r="BL1777" s="1">
        <v>0</v>
      </c>
      <c r="BM1777" s="1">
        <v>0</v>
      </c>
      <c r="BN1777" s="1">
        <v>0</v>
      </c>
      <c r="BO1777" s="1">
        <v>0</v>
      </c>
      <c r="BP1777" s="1">
        <v>0</v>
      </c>
      <c r="BQ1777" s="1">
        <v>0</v>
      </c>
      <c r="BR1777" s="1">
        <v>0</v>
      </c>
      <c r="BS1777" s="1" t="s">
        <v>109</v>
      </c>
      <c r="BT1777" s="1">
        <v>1850</v>
      </c>
      <c r="BU1777" s="1" t="s">
        <v>109</v>
      </c>
      <c r="BV1777" s="1"/>
      <c r="BW1777" s="1"/>
      <c r="BX1777" s="1"/>
      <c r="BY1777" s="1"/>
      <c r="BZ1777" s="1">
        <v>0</v>
      </c>
      <c r="CA1777" s="1" t="s">
        <v>109</v>
      </c>
      <c r="CB1777" s="1" t="s">
        <v>109</v>
      </c>
      <c r="CC1777" s="1" t="s">
        <v>109</v>
      </c>
      <c r="CD1777" s="1" t="s">
        <v>109</v>
      </c>
      <c r="CE1777" s="1" t="s">
        <v>109</v>
      </c>
      <c r="CF1777" s="1" t="s">
        <v>109</v>
      </c>
      <c r="CG1777" s="1" t="s">
        <v>109</v>
      </c>
      <c r="CH1777" s="1" t="s">
        <v>109</v>
      </c>
      <c r="CI1777" s="1" t="s">
        <v>109</v>
      </c>
      <c r="CJ1777" s="1" t="s">
        <v>109</v>
      </c>
      <c r="CK1777" s="1"/>
      <c r="CL1777" s="1">
        <v>0</v>
      </c>
      <c r="CM1777" s="1">
        <v>0</v>
      </c>
      <c r="CN1777" s="1">
        <v>0</v>
      </c>
    </row>
    <row r="1778" spans="1:92" ht="14.25" customHeight="1" x14ac:dyDescent="0.15">
      <c r="A1778" s="1" t="s">
        <v>13219</v>
      </c>
      <c r="B1778" s="1" t="s">
        <v>189</v>
      </c>
      <c r="C1778" s="1"/>
      <c r="D1778" s="1"/>
      <c r="E1778" s="1" t="s">
        <v>5552</v>
      </c>
      <c r="F1778" s="1" t="s">
        <v>98</v>
      </c>
      <c r="G1778" s="1" t="s">
        <v>13220</v>
      </c>
      <c r="H1778" s="1">
        <v>1</v>
      </c>
      <c r="I1778" s="1" t="s">
        <v>161</v>
      </c>
      <c r="J1778" s="1"/>
      <c r="K1778" s="1"/>
      <c r="L1778" s="1" t="s">
        <v>13221</v>
      </c>
      <c r="M1778" s="1" t="s">
        <v>144</v>
      </c>
      <c r="N1778" s="1">
        <v>0</v>
      </c>
      <c r="O1778" s="1">
        <v>0</v>
      </c>
      <c r="P1778" s="1" t="s">
        <v>301</v>
      </c>
      <c r="Q1778" s="1" t="s">
        <v>268</v>
      </c>
      <c r="R1778" s="1" t="s">
        <v>13222</v>
      </c>
      <c r="S1778" s="1" t="s">
        <v>13223</v>
      </c>
      <c r="T1778" s="1" t="s">
        <v>13170</v>
      </c>
      <c r="U1778" s="1" t="s">
        <v>13224</v>
      </c>
      <c r="V1778" s="1">
        <v>1</v>
      </c>
      <c r="W1778" s="1">
        <v>1</v>
      </c>
      <c r="X1778" s="1">
        <v>0</v>
      </c>
      <c r="Y1778" s="1">
        <v>0</v>
      </c>
      <c r="Z1778" s="1">
        <v>0</v>
      </c>
      <c r="AA1778" s="1">
        <v>7</v>
      </c>
      <c r="AB1778" s="1">
        <v>7</v>
      </c>
      <c r="AC1778" s="1">
        <v>7</v>
      </c>
      <c r="AD1778" s="1" t="s">
        <v>109</v>
      </c>
      <c r="AE1778" s="1" t="s">
        <v>109</v>
      </c>
      <c r="AF1778" s="1" t="s">
        <v>109</v>
      </c>
      <c r="AG1778" s="1" t="s">
        <v>109</v>
      </c>
      <c r="AH1778" s="1" t="s">
        <v>109</v>
      </c>
      <c r="AI1778" s="1" t="s">
        <v>109</v>
      </c>
      <c r="AJ1778" s="1" t="s">
        <v>109</v>
      </c>
      <c r="AK1778" s="1" t="s">
        <v>109</v>
      </c>
      <c r="AL1778" s="1">
        <v>7</v>
      </c>
      <c r="AM1778" s="1" t="s">
        <v>109</v>
      </c>
      <c r="AN1778" s="1" t="s">
        <v>109</v>
      </c>
      <c r="AO1778" s="1" t="s">
        <v>109</v>
      </c>
      <c r="AP1778" s="1"/>
      <c r="AQ1778" s="1">
        <v>7</v>
      </c>
      <c r="AR1778" s="1"/>
      <c r="AS1778" s="1"/>
      <c r="AT1778" s="1">
        <v>0</v>
      </c>
      <c r="AU1778" s="1">
        <v>0</v>
      </c>
      <c r="AV1778" s="1">
        <v>0</v>
      </c>
      <c r="AW1778" s="1">
        <v>0</v>
      </c>
      <c r="AX1778" s="1">
        <v>0</v>
      </c>
      <c r="AY1778" s="1">
        <v>0</v>
      </c>
      <c r="AZ1778" s="1">
        <v>0</v>
      </c>
      <c r="BA1778" s="1">
        <v>0</v>
      </c>
      <c r="BB1778" s="1">
        <v>0</v>
      </c>
      <c r="BC1778" s="1">
        <v>0</v>
      </c>
      <c r="BD1778" s="1">
        <v>0</v>
      </c>
      <c r="BE1778" s="1">
        <v>0</v>
      </c>
      <c r="BF1778" s="1">
        <v>0</v>
      </c>
      <c r="BG1778" s="1">
        <v>0</v>
      </c>
      <c r="BH1778" s="1">
        <v>0</v>
      </c>
      <c r="BI1778" s="1">
        <v>0</v>
      </c>
      <c r="BJ1778" s="1">
        <v>0</v>
      </c>
      <c r="BK1778" s="1">
        <v>0</v>
      </c>
      <c r="BL1778" s="1">
        <v>0</v>
      </c>
      <c r="BM1778" s="1">
        <v>0</v>
      </c>
      <c r="BN1778" s="1">
        <v>0</v>
      </c>
      <c r="BO1778" s="1">
        <v>0</v>
      </c>
      <c r="BP1778" s="1">
        <v>0</v>
      </c>
      <c r="BQ1778" s="1">
        <v>0</v>
      </c>
      <c r="BR1778" s="1">
        <v>0</v>
      </c>
      <c r="BS1778" s="1" t="s">
        <v>109</v>
      </c>
      <c r="BT1778" s="1">
        <v>1851</v>
      </c>
      <c r="BU1778" s="1">
        <v>10000</v>
      </c>
      <c r="BV1778" s="1"/>
      <c r="BW1778" s="1"/>
      <c r="BX1778" s="1"/>
      <c r="BY1778" s="1"/>
      <c r="BZ1778" s="1">
        <v>0</v>
      </c>
      <c r="CA1778" s="1" t="s">
        <v>109</v>
      </c>
      <c r="CB1778" s="1" t="s">
        <v>109</v>
      </c>
      <c r="CC1778" s="1" t="s">
        <v>109</v>
      </c>
      <c r="CD1778" s="1" t="s">
        <v>109</v>
      </c>
      <c r="CE1778" s="1" t="s">
        <v>109</v>
      </c>
      <c r="CF1778" s="1" t="s">
        <v>109</v>
      </c>
      <c r="CG1778" s="1" t="s">
        <v>109</v>
      </c>
      <c r="CH1778" s="1" t="s">
        <v>109</v>
      </c>
      <c r="CI1778" s="1" t="s">
        <v>109</v>
      </c>
      <c r="CJ1778" s="1" t="s">
        <v>109</v>
      </c>
      <c r="CK1778" s="1"/>
      <c r="CL1778" s="1">
        <v>0</v>
      </c>
      <c r="CM1778" s="1">
        <v>0</v>
      </c>
      <c r="CN1778" s="1">
        <v>0</v>
      </c>
    </row>
    <row r="1779" spans="1:92" ht="14.25" customHeight="1" x14ac:dyDescent="0.15">
      <c r="A1779" s="1" t="s">
        <v>13225</v>
      </c>
      <c r="B1779" s="1" t="s">
        <v>242</v>
      </c>
      <c r="C1779" s="1"/>
      <c r="D1779" s="1"/>
      <c r="E1779" s="1" t="s">
        <v>12037</v>
      </c>
      <c r="F1779" s="1" t="s">
        <v>98</v>
      </c>
      <c r="G1779" s="1" t="s">
        <v>13226</v>
      </c>
      <c r="H1779" s="1">
        <v>0</v>
      </c>
      <c r="I1779" s="1" t="s">
        <v>161</v>
      </c>
      <c r="J1779" s="1"/>
      <c r="K1779" s="1"/>
      <c r="L1779" s="1" t="s">
        <v>506</v>
      </c>
      <c r="M1779" s="1" t="s">
        <v>6144</v>
      </c>
      <c r="N1779" s="1">
        <v>1</v>
      </c>
      <c r="O1779" s="1">
        <v>0</v>
      </c>
      <c r="P1779" s="1" t="s">
        <v>13210</v>
      </c>
      <c r="Q1779" s="1" t="s">
        <v>13227</v>
      </c>
      <c r="R1779" s="1" t="s">
        <v>13228</v>
      </c>
      <c r="S1779" s="1" t="s">
        <v>13229</v>
      </c>
      <c r="T1779" s="1" t="s">
        <v>13170</v>
      </c>
      <c r="U1779" s="1" t="s">
        <v>13230</v>
      </c>
      <c r="V1779" s="1">
        <v>1</v>
      </c>
      <c r="W1779" s="1">
        <v>1</v>
      </c>
      <c r="X1779" s="1">
        <v>1</v>
      </c>
      <c r="Y1779" s="1">
        <v>0</v>
      </c>
      <c r="Z1779" s="1">
        <v>1</v>
      </c>
      <c r="AA1779" s="1">
        <v>2</v>
      </c>
      <c r="AB1779" s="1">
        <v>2</v>
      </c>
      <c r="AC1779" s="1">
        <v>2</v>
      </c>
      <c r="AD1779" s="1" t="s">
        <v>109</v>
      </c>
      <c r="AE1779" s="1" t="s">
        <v>109</v>
      </c>
      <c r="AF1779" s="1" t="s">
        <v>109</v>
      </c>
      <c r="AG1779" s="1" t="s">
        <v>109</v>
      </c>
      <c r="AH1779" s="1" t="s">
        <v>109</v>
      </c>
      <c r="AI1779" s="1" t="s">
        <v>109</v>
      </c>
      <c r="AJ1779" s="1" t="s">
        <v>109</v>
      </c>
      <c r="AK1779" s="1" t="s">
        <v>109</v>
      </c>
      <c r="AL1779" s="1">
        <v>2</v>
      </c>
      <c r="AM1779" s="1" t="s">
        <v>109</v>
      </c>
      <c r="AN1779" s="1" t="s">
        <v>109</v>
      </c>
      <c r="AO1779" s="1" t="s">
        <v>109</v>
      </c>
      <c r="AP1779" s="1"/>
      <c r="AQ1779" s="1">
        <v>2</v>
      </c>
      <c r="AR1779" s="1"/>
      <c r="AS1779" s="1"/>
      <c r="AT1779" s="1">
        <v>0</v>
      </c>
      <c r="AU1779" s="1">
        <v>0</v>
      </c>
      <c r="AV1779" s="1">
        <v>0</v>
      </c>
      <c r="AW1779" s="1">
        <v>0</v>
      </c>
      <c r="AX1779" s="1">
        <v>0</v>
      </c>
      <c r="AY1779" s="1">
        <v>0</v>
      </c>
      <c r="AZ1779" s="1">
        <v>0</v>
      </c>
      <c r="BA1779" s="1">
        <v>0</v>
      </c>
      <c r="BB1779" s="1">
        <v>0</v>
      </c>
      <c r="BC1779" s="1">
        <v>0</v>
      </c>
      <c r="BD1779" s="1">
        <v>0</v>
      </c>
      <c r="BE1779" s="1">
        <v>0</v>
      </c>
      <c r="BF1779" s="1">
        <v>0</v>
      </c>
      <c r="BG1779" s="1">
        <v>0</v>
      </c>
      <c r="BH1779" s="1">
        <v>0</v>
      </c>
      <c r="BI1779" s="1">
        <v>0</v>
      </c>
      <c r="BJ1779" s="1">
        <v>0</v>
      </c>
      <c r="BK1779" s="1">
        <v>0</v>
      </c>
      <c r="BL1779" s="1">
        <v>0</v>
      </c>
      <c r="BM1779" s="1">
        <v>0</v>
      </c>
      <c r="BN1779" s="1">
        <v>0</v>
      </c>
      <c r="BO1779" s="1">
        <v>0</v>
      </c>
      <c r="BP1779" s="1">
        <v>0</v>
      </c>
      <c r="BQ1779" s="1">
        <v>0</v>
      </c>
      <c r="BR1779" s="1">
        <v>0</v>
      </c>
      <c r="BS1779" s="1" t="s">
        <v>109</v>
      </c>
      <c r="BT1779" s="1">
        <v>1852</v>
      </c>
      <c r="BU1779" s="1" t="s">
        <v>109</v>
      </c>
      <c r="BV1779" s="1"/>
      <c r="BW1779" s="1"/>
      <c r="BX1779" s="1"/>
      <c r="BY1779" s="1"/>
      <c r="BZ1779" s="1">
        <v>0</v>
      </c>
      <c r="CA1779" s="1" t="s">
        <v>109</v>
      </c>
      <c r="CB1779" s="1" t="s">
        <v>109</v>
      </c>
      <c r="CC1779" s="1" t="s">
        <v>109</v>
      </c>
      <c r="CD1779" s="1" t="s">
        <v>109</v>
      </c>
      <c r="CE1779" s="1" t="s">
        <v>109</v>
      </c>
      <c r="CF1779" s="1" t="s">
        <v>109</v>
      </c>
      <c r="CG1779" s="1" t="s">
        <v>109</v>
      </c>
      <c r="CH1779" s="1" t="s">
        <v>109</v>
      </c>
      <c r="CI1779" s="1" t="s">
        <v>109</v>
      </c>
      <c r="CJ1779" s="1" t="s">
        <v>109</v>
      </c>
      <c r="CK1779" s="1"/>
      <c r="CL1779" s="1">
        <v>0</v>
      </c>
      <c r="CM1779" s="1">
        <v>0</v>
      </c>
      <c r="CN1779" s="1">
        <v>0</v>
      </c>
    </row>
    <row r="1780" spans="1:92" ht="14.25" customHeight="1" x14ac:dyDescent="0.15">
      <c r="A1780" s="1" t="s">
        <v>13231</v>
      </c>
      <c r="B1780" s="1" t="s">
        <v>242</v>
      </c>
      <c r="C1780" s="1"/>
      <c r="D1780" s="1"/>
      <c r="E1780" s="1" t="s">
        <v>13232</v>
      </c>
      <c r="F1780" s="1" t="s">
        <v>98</v>
      </c>
      <c r="G1780" s="1" t="s">
        <v>13233</v>
      </c>
      <c r="H1780" s="1">
        <v>0</v>
      </c>
      <c r="I1780" s="1" t="s">
        <v>122</v>
      </c>
      <c r="J1780" s="1"/>
      <c r="K1780" s="1"/>
      <c r="L1780" s="1" t="s">
        <v>13234</v>
      </c>
      <c r="M1780" s="1" t="s">
        <v>125</v>
      </c>
      <c r="N1780" s="1">
        <v>0</v>
      </c>
      <c r="O1780" s="1">
        <v>0</v>
      </c>
      <c r="P1780" s="1" t="s">
        <v>5812</v>
      </c>
      <c r="Q1780" s="1" t="s">
        <v>630</v>
      </c>
      <c r="R1780" s="1" t="s">
        <v>13235</v>
      </c>
      <c r="S1780" s="1" t="s">
        <v>13236</v>
      </c>
      <c r="T1780" s="1" t="s">
        <v>13170</v>
      </c>
      <c r="U1780" s="1" t="s">
        <v>13237</v>
      </c>
      <c r="V1780" s="1">
        <v>1</v>
      </c>
      <c r="W1780" s="1">
        <v>1</v>
      </c>
      <c r="X1780" s="1">
        <v>0</v>
      </c>
      <c r="Y1780" s="1">
        <v>0</v>
      </c>
      <c r="Z1780" s="1">
        <v>1</v>
      </c>
      <c r="AA1780" s="1">
        <v>4</v>
      </c>
      <c r="AB1780" s="1">
        <v>4</v>
      </c>
      <c r="AC1780" s="1" t="s">
        <v>109</v>
      </c>
      <c r="AD1780" s="1">
        <v>4</v>
      </c>
      <c r="AE1780" s="1" t="s">
        <v>109</v>
      </c>
      <c r="AF1780" s="1" t="s">
        <v>109</v>
      </c>
      <c r="AG1780" s="1" t="s">
        <v>109</v>
      </c>
      <c r="AH1780" s="1" t="s">
        <v>109</v>
      </c>
      <c r="AI1780" s="1" t="s">
        <v>109</v>
      </c>
      <c r="AJ1780" s="1" t="s">
        <v>109</v>
      </c>
      <c r="AK1780" s="1" t="s">
        <v>109</v>
      </c>
      <c r="AL1780" s="1" t="s">
        <v>109</v>
      </c>
      <c r="AM1780" s="1" t="s">
        <v>109</v>
      </c>
      <c r="AN1780" s="1" t="s">
        <v>109</v>
      </c>
      <c r="AO1780" s="1" t="s">
        <v>109</v>
      </c>
      <c r="AP1780" s="1"/>
      <c r="AQ1780" s="1">
        <v>4</v>
      </c>
      <c r="AR1780" s="1"/>
      <c r="AS1780" s="1"/>
      <c r="AT1780" s="1">
        <v>0</v>
      </c>
      <c r="AU1780" s="1">
        <v>0</v>
      </c>
      <c r="AV1780" s="1">
        <v>0</v>
      </c>
      <c r="AW1780" s="1">
        <v>0</v>
      </c>
      <c r="AX1780" s="1">
        <v>0</v>
      </c>
      <c r="AY1780" s="1">
        <v>0</v>
      </c>
      <c r="AZ1780" s="1">
        <v>0</v>
      </c>
      <c r="BA1780" s="1">
        <v>0</v>
      </c>
      <c r="BB1780" s="1">
        <v>0</v>
      </c>
      <c r="BC1780" s="1">
        <v>0</v>
      </c>
      <c r="BD1780" s="1">
        <v>0</v>
      </c>
      <c r="BE1780" s="1">
        <v>0</v>
      </c>
      <c r="BF1780" s="1">
        <v>0</v>
      </c>
      <c r="BG1780" s="1">
        <v>0</v>
      </c>
      <c r="BH1780" s="1">
        <v>0</v>
      </c>
      <c r="BI1780" s="1">
        <v>0</v>
      </c>
      <c r="BJ1780" s="1">
        <v>0</v>
      </c>
      <c r="BK1780" s="1">
        <v>0</v>
      </c>
      <c r="BL1780" s="1">
        <v>0</v>
      </c>
      <c r="BM1780" s="1">
        <v>0</v>
      </c>
      <c r="BN1780" s="1">
        <v>0</v>
      </c>
      <c r="BO1780" s="1">
        <v>0</v>
      </c>
      <c r="BP1780" s="1">
        <v>0</v>
      </c>
      <c r="BQ1780" s="1">
        <v>0</v>
      </c>
      <c r="BR1780" s="1">
        <v>0</v>
      </c>
      <c r="BS1780" s="1" t="s">
        <v>109</v>
      </c>
      <c r="BT1780" s="1">
        <v>1853</v>
      </c>
      <c r="BU1780" s="1" t="s">
        <v>109</v>
      </c>
      <c r="BV1780" s="1"/>
      <c r="BW1780" s="1"/>
      <c r="BX1780" s="1"/>
      <c r="BY1780" s="1"/>
      <c r="BZ1780" s="1">
        <v>0</v>
      </c>
      <c r="CA1780" s="1" t="s">
        <v>109</v>
      </c>
      <c r="CB1780" s="1" t="s">
        <v>109</v>
      </c>
      <c r="CC1780" s="1" t="s">
        <v>109</v>
      </c>
      <c r="CD1780" s="1" t="s">
        <v>109</v>
      </c>
      <c r="CE1780" s="1" t="s">
        <v>109</v>
      </c>
      <c r="CF1780" s="1" t="s">
        <v>109</v>
      </c>
      <c r="CG1780" s="1" t="s">
        <v>109</v>
      </c>
      <c r="CH1780" s="1" t="s">
        <v>109</v>
      </c>
      <c r="CI1780" s="1" t="s">
        <v>109</v>
      </c>
      <c r="CJ1780" s="1">
        <v>4</v>
      </c>
      <c r="CK1780" s="1"/>
      <c r="CL1780" s="1">
        <v>0</v>
      </c>
      <c r="CM1780" s="1">
        <v>0</v>
      </c>
      <c r="CN1780" s="1">
        <v>0</v>
      </c>
    </row>
    <row r="1781" spans="1:92" ht="14.25" customHeight="1" x14ac:dyDescent="0.15">
      <c r="A1781" s="1" t="s">
        <v>13238</v>
      </c>
      <c r="B1781" s="1" t="s">
        <v>584</v>
      </c>
      <c r="C1781" s="1"/>
      <c r="D1781" s="1"/>
      <c r="E1781" s="1" t="s">
        <v>13239</v>
      </c>
      <c r="F1781" s="1" t="s">
        <v>355</v>
      </c>
      <c r="G1781" s="1" t="s">
        <v>13240</v>
      </c>
      <c r="H1781" s="1">
        <v>1</v>
      </c>
      <c r="I1781" s="1" t="s">
        <v>161</v>
      </c>
      <c r="J1781" s="1"/>
      <c r="K1781" s="1"/>
      <c r="L1781" s="1" t="s">
        <v>1285</v>
      </c>
      <c r="M1781" s="1" t="s">
        <v>144</v>
      </c>
      <c r="N1781" s="1">
        <v>0</v>
      </c>
      <c r="O1781" s="1">
        <v>0</v>
      </c>
      <c r="P1781" s="1" t="s">
        <v>5812</v>
      </c>
      <c r="Q1781" s="1" t="s">
        <v>630</v>
      </c>
      <c r="R1781" s="1" t="s">
        <v>13241</v>
      </c>
      <c r="S1781" s="1" t="s">
        <v>13242</v>
      </c>
      <c r="T1781" s="1" t="s">
        <v>13170</v>
      </c>
      <c r="U1781" s="1" t="s">
        <v>13243</v>
      </c>
      <c r="V1781" s="1">
        <v>1</v>
      </c>
      <c r="W1781" s="1">
        <v>1</v>
      </c>
      <c r="X1781" s="1">
        <v>1</v>
      </c>
      <c r="Y1781" s="1">
        <v>0</v>
      </c>
      <c r="Z1781" s="1">
        <v>0</v>
      </c>
      <c r="AA1781" s="1">
        <v>3</v>
      </c>
      <c r="AB1781" s="1">
        <v>3</v>
      </c>
      <c r="AC1781" s="1">
        <v>3</v>
      </c>
      <c r="AD1781" s="1" t="s">
        <v>109</v>
      </c>
      <c r="AE1781" s="1" t="s">
        <v>109</v>
      </c>
      <c r="AF1781" s="1">
        <v>2</v>
      </c>
      <c r="AG1781" s="1" t="s">
        <v>109</v>
      </c>
      <c r="AH1781" s="1" t="s">
        <v>109</v>
      </c>
      <c r="AI1781" s="1" t="s">
        <v>109</v>
      </c>
      <c r="AJ1781" s="1" t="s">
        <v>109</v>
      </c>
      <c r="AK1781" s="1" t="s">
        <v>109</v>
      </c>
      <c r="AL1781" s="1">
        <v>3</v>
      </c>
      <c r="AM1781" s="1" t="s">
        <v>109</v>
      </c>
      <c r="AN1781" s="1">
        <v>3</v>
      </c>
      <c r="AO1781" s="1" t="s">
        <v>109</v>
      </c>
      <c r="AP1781" s="1"/>
      <c r="AQ1781" s="1">
        <v>3</v>
      </c>
      <c r="AR1781" s="1"/>
      <c r="AS1781" s="1"/>
      <c r="AT1781" s="1">
        <v>0</v>
      </c>
      <c r="AU1781" s="1">
        <v>0</v>
      </c>
      <c r="AV1781" s="1">
        <v>0</v>
      </c>
      <c r="AW1781" s="1">
        <v>0</v>
      </c>
      <c r="AX1781" s="1">
        <v>0</v>
      </c>
      <c r="AY1781" s="1">
        <v>0</v>
      </c>
      <c r="AZ1781" s="1">
        <v>0</v>
      </c>
      <c r="BA1781" s="1">
        <v>0</v>
      </c>
      <c r="BB1781" s="1">
        <v>0</v>
      </c>
      <c r="BC1781" s="1">
        <v>0</v>
      </c>
      <c r="BD1781" s="1">
        <v>0</v>
      </c>
      <c r="BE1781" s="1">
        <v>0</v>
      </c>
      <c r="BF1781" s="1">
        <v>0</v>
      </c>
      <c r="BG1781" s="1">
        <v>0</v>
      </c>
      <c r="BH1781" s="1">
        <v>0</v>
      </c>
      <c r="BI1781" s="1">
        <v>0</v>
      </c>
      <c r="BJ1781" s="1">
        <v>0</v>
      </c>
      <c r="BK1781" s="1">
        <v>0</v>
      </c>
      <c r="BL1781" s="1">
        <v>0</v>
      </c>
      <c r="BM1781" s="1">
        <v>0</v>
      </c>
      <c r="BN1781" s="1">
        <v>0</v>
      </c>
      <c r="BO1781" s="1">
        <v>0</v>
      </c>
      <c r="BP1781" s="1">
        <v>0</v>
      </c>
      <c r="BQ1781" s="1">
        <v>0</v>
      </c>
      <c r="BR1781" s="1">
        <v>0</v>
      </c>
      <c r="BS1781" s="1" t="s">
        <v>109</v>
      </c>
      <c r="BT1781" s="1">
        <v>1854</v>
      </c>
      <c r="BU1781" s="1">
        <v>500</v>
      </c>
      <c r="BV1781" s="1"/>
      <c r="BW1781" s="1"/>
      <c r="BX1781" s="1"/>
      <c r="BY1781" s="1"/>
      <c r="BZ1781" s="1">
        <v>0</v>
      </c>
      <c r="CA1781" s="1" t="s">
        <v>109</v>
      </c>
      <c r="CB1781" s="1" t="s">
        <v>109</v>
      </c>
      <c r="CC1781" s="1" t="s">
        <v>109</v>
      </c>
      <c r="CD1781" s="1" t="s">
        <v>109</v>
      </c>
      <c r="CE1781" s="1" t="s">
        <v>109</v>
      </c>
      <c r="CF1781" s="1" t="s">
        <v>109</v>
      </c>
      <c r="CG1781" s="1" t="s">
        <v>109</v>
      </c>
      <c r="CH1781" s="1" t="s">
        <v>109</v>
      </c>
      <c r="CI1781" s="1" t="s">
        <v>109</v>
      </c>
      <c r="CJ1781" s="1" t="s">
        <v>109</v>
      </c>
      <c r="CK1781" s="1"/>
      <c r="CL1781" s="1">
        <v>0</v>
      </c>
      <c r="CM1781" s="1">
        <v>0</v>
      </c>
      <c r="CN1781" s="1">
        <v>0</v>
      </c>
    </row>
    <row r="1782" spans="1:92" ht="14.25" customHeight="1" x14ac:dyDescent="0.15">
      <c r="A1782" s="1" t="s">
        <v>13244</v>
      </c>
      <c r="B1782" s="1" t="s">
        <v>95</v>
      </c>
      <c r="C1782" s="1" t="s">
        <v>694</v>
      </c>
      <c r="D1782" s="1"/>
      <c r="E1782" s="1" t="s">
        <v>13245</v>
      </c>
      <c r="F1782" s="1" t="s">
        <v>98</v>
      </c>
      <c r="G1782" s="1" t="s">
        <v>141</v>
      </c>
      <c r="H1782" s="1">
        <v>0</v>
      </c>
      <c r="I1782" s="1" t="s">
        <v>161</v>
      </c>
      <c r="J1782" s="1"/>
      <c r="K1782" s="1"/>
      <c r="L1782" s="1" t="s">
        <v>3434</v>
      </c>
      <c r="M1782" s="1" t="s">
        <v>144</v>
      </c>
      <c r="N1782" s="1">
        <v>0</v>
      </c>
      <c r="O1782" s="1">
        <v>0</v>
      </c>
      <c r="P1782" s="1" t="s">
        <v>5812</v>
      </c>
      <c r="Q1782" s="1" t="s">
        <v>630</v>
      </c>
      <c r="R1782" s="1" t="s">
        <v>13246</v>
      </c>
      <c r="S1782" s="1" t="s">
        <v>13247</v>
      </c>
      <c r="T1782" s="1" t="s">
        <v>13170</v>
      </c>
      <c r="U1782" s="1" t="s">
        <v>13248</v>
      </c>
      <c r="V1782" s="1">
        <v>1</v>
      </c>
      <c r="W1782" s="1">
        <v>1</v>
      </c>
      <c r="X1782" s="1">
        <v>0</v>
      </c>
      <c r="Y1782" s="1">
        <v>0</v>
      </c>
      <c r="Z1782" s="1">
        <v>0</v>
      </c>
      <c r="AA1782" s="1" t="s">
        <v>109</v>
      </c>
      <c r="AB1782" s="1" t="s">
        <v>109</v>
      </c>
      <c r="AC1782" s="1">
        <v>4</v>
      </c>
      <c r="AD1782" s="1">
        <v>4</v>
      </c>
      <c r="AE1782" s="1">
        <v>4</v>
      </c>
      <c r="AF1782" s="1">
        <v>4</v>
      </c>
      <c r="AG1782" s="1">
        <v>4</v>
      </c>
      <c r="AH1782" s="1" t="s">
        <v>109</v>
      </c>
      <c r="AI1782" s="1" t="s">
        <v>109</v>
      </c>
      <c r="AJ1782" s="1">
        <v>4</v>
      </c>
      <c r="AK1782" s="1">
        <v>4</v>
      </c>
      <c r="AL1782" s="1">
        <v>4</v>
      </c>
      <c r="AM1782" s="1" t="s">
        <v>109</v>
      </c>
      <c r="AN1782" s="1" t="s">
        <v>109</v>
      </c>
      <c r="AO1782" s="1" t="s">
        <v>109</v>
      </c>
      <c r="AP1782" s="1"/>
      <c r="AQ1782" s="1">
        <v>4</v>
      </c>
      <c r="AR1782" s="1"/>
      <c r="AS1782" s="1"/>
      <c r="AT1782" s="1">
        <v>0</v>
      </c>
      <c r="AU1782" s="1">
        <v>0</v>
      </c>
      <c r="AV1782" s="1">
        <v>0</v>
      </c>
      <c r="AW1782" s="1">
        <v>0</v>
      </c>
      <c r="AX1782" s="1">
        <v>0</v>
      </c>
      <c r="AY1782" s="1">
        <v>0</v>
      </c>
      <c r="AZ1782" s="1">
        <v>0</v>
      </c>
      <c r="BA1782" s="1">
        <v>0</v>
      </c>
      <c r="BB1782" s="1">
        <v>0</v>
      </c>
      <c r="BC1782" s="1">
        <v>0</v>
      </c>
      <c r="BD1782" s="1">
        <v>0</v>
      </c>
      <c r="BE1782" s="1">
        <v>0</v>
      </c>
      <c r="BF1782" s="1">
        <v>0</v>
      </c>
      <c r="BG1782" s="1">
        <v>0</v>
      </c>
      <c r="BH1782" s="1">
        <v>0</v>
      </c>
      <c r="BI1782" s="1">
        <v>0</v>
      </c>
      <c r="BJ1782" s="1">
        <v>0</v>
      </c>
      <c r="BK1782" s="1">
        <v>0</v>
      </c>
      <c r="BL1782" s="1">
        <v>0</v>
      </c>
      <c r="BM1782" s="1">
        <v>0</v>
      </c>
      <c r="BN1782" s="1">
        <v>0</v>
      </c>
      <c r="BO1782" s="1">
        <v>0</v>
      </c>
      <c r="BP1782" s="1">
        <v>0</v>
      </c>
      <c r="BQ1782" s="1">
        <v>0</v>
      </c>
      <c r="BR1782" s="1">
        <v>0</v>
      </c>
      <c r="BS1782" s="1" t="s">
        <v>109</v>
      </c>
      <c r="BT1782" s="1">
        <v>1855</v>
      </c>
      <c r="BU1782" s="1" t="s">
        <v>109</v>
      </c>
      <c r="BV1782" s="1"/>
      <c r="BW1782" s="1"/>
      <c r="BX1782" s="1"/>
      <c r="BY1782" s="1"/>
      <c r="BZ1782" s="1">
        <v>0</v>
      </c>
      <c r="CA1782" s="1" t="s">
        <v>109</v>
      </c>
      <c r="CB1782" s="1" t="s">
        <v>109</v>
      </c>
      <c r="CC1782" s="1" t="s">
        <v>109</v>
      </c>
      <c r="CD1782" s="1" t="s">
        <v>109</v>
      </c>
      <c r="CE1782" s="1" t="s">
        <v>109</v>
      </c>
      <c r="CF1782" s="1" t="s">
        <v>109</v>
      </c>
      <c r="CG1782" s="1" t="s">
        <v>109</v>
      </c>
      <c r="CH1782" s="1" t="s">
        <v>109</v>
      </c>
      <c r="CI1782" s="1" t="s">
        <v>109</v>
      </c>
      <c r="CJ1782" s="1">
        <v>4</v>
      </c>
      <c r="CK1782" s="1"/>
      <c r="CL1782" s="1">
        <v>0</v>
      </c>
      <c r="CM1782" s="1">
        <v>0</v>
      </c>
      <c r="CN1782" s="1">
        <v>0</v>
      </c>
    </row>
    <row r="1783" spans="1:92" ht="14.25" customHeight="1" x14ac:dyDescent="0.15">
      <c r="A1783" s="1" t="s">
        <v>13249</v>
      </c>
      <c r="B1783" s="1" t="s">
        <v>95</v>
      </c>
      <c r="C1783" s="1" t="s">
        <v>694</v>
      </c>
      <c r="D1783" s="1"/>
      <c r="E1783" s="1" t="s">
        <v>13250</v>
      </c>
      <c r="F1783" s="1" t="s">
        <v>98</v>
      </c>
      <c r="G1783" s="1" t="s">
        <v>141</v>
      </c>
      <c r="H1783" s="1">
        <v>0</v>
      </c>
      <c r="I1783" s="1" t="s">
        <v>161</v>
      </c>
      <c r="J1783" s="1"/>
      <c r="K1783" s="1"/>
      <c r="L1783" s="1" t="s">
        <v>3434</v>
      </c>
      <c r="M1783" s="1" t="s">
        <v>144</v>
      </c>
      <c r="N1783" s="1">
        <v>0</v>
      </c>
      <c r="O1783" s="1">
        <v>0</v>
      </c>
      <c r="P1783" s="1" t="s">
        <v>5812</v>
      </c>
      <c r="Q1783" s="1" t="s">
        <v>630</v>
      </c>
      <c r="R1783" s="1" t="s">
        <v>13251</v>
      </c>
      <c r="S1783" s="1" t="s">
        <v>13252</v>
      </c>
      <c r="T1783" s="1" t="s">
        <v>13170</v>
      </c>
      <c r="U1783" s="1" t="s">
        <v>13253</v>
      </c>
      <c r="V1783" s="1">
        <v>1</v>
      </c>
      <c r="W1783" s="1">
        <v>1</v>
      </c>
      <c r="X1783" s="1">
        <v>0</v>
      </c>
      <c r="Y1783" s="1">
        <v>0</v>
      </c>
      <c r="Z1783" s="1">
        <v>0</v>
      </c>
      <c r="AA1783" s="1" t="s">
        <v>109</v>
      </c>
      <c r="AB1783" s="1" t="s">
        <v>109</v>
      </c>
      <c r="AC1783" s="1">
        <v>8</v>
      </c>
      <c r="AD1783" s="1">
        <v>8</v>
      </c>
      <c r="AE1783" s="1" t="s">
        <v>109</v>
      </c>
      <c r="AF1783" s="1" t="s">
        <v>109</v>
      </c>
      <c r="AG1783" s="1" t="s">
        <v>109</v>
      </c>
      <c r="AH1783" s="1" t="s">
        <v>109</v>
      </c>
      <c r="AI1783" s="1" t="s">
        <v>109</v>
      </c>
      <c r="AJ1783" s="1">
        <v>8</v>
      </c>
      <c r="AK1783" s="1" t="s">
        <v>109</v>
      </c>
      <c r="AL1783" s="1">
        <v>8</v>
      </c>
      <c r="AM1783" s="1" t="s">
        <v>109</v>
      </c>
      <c r="AN1783" s="1" t="s">
        <v>109</v>
      </c>
      <c r="AO1783" s="1" t="s">
        <v>109</v>
      </c>
      <c r="AP1783" s="1"/>
      <c r="AQ1783" s="1">
        <v>8</v>
      </c>
      <c r="AR1783" s="1"/>
      <c r="AS1783" s="1"/>
      <c r="AT1783" s="1">
        <v>0</v>
      </c>
      <c r="AU1783" s="1">
        <v>0</v>
      </c>
      <c r="AV1783" s="1">
        <v>0</v>
      </c>
      <c r="AW1783" s="1">
        <v>0</v>
      </c>
      <c r="AX1783" s="1">
        <v>0</v>
      </c>
      <c r="AY1783" s="1">
        <v>0</v>
      </c>
      <c r="AZ1783" s="1">
        <v>0</v>
      </c>
      <c r="BA1783" s="1">
        <v>0</v>
      </c>
      <c r="BB1783" s="1">
        <v>0</v>
      </c>
      <c r="BC1783" s="1">
        <v>0</v>
      </c>
      <c r="BD1783" s="1">
        <v>0</v>
      </c>
      <c r="BE1783" s="1">
        <v>0</v>
      </c>
      <c r="BF1783" s="1">
        <v>0</v>
      </c>
      <c r="BG1783" s="1">
        <v>0</v>
      </c>
      <c r="BH1783" s="1">
        <v>0</v>
      </c>
      <c r="BI1783" s="1">
        <v>0</v>
      </c>
      <c r="BJ1783" s="1">
        <v>0</v>
      </c>
      <c r="BK1783" s="1">
        <v>0</v>
      </c>
      <c r="BL1783" s="1">
        <v>0</v>
      </c>
      <c r="BM1783" s="1">
        <v>0</v>
      </c>
      <c r="BN1783" s="1">
        <v>0</v>
      </c>
      <c r="BO1783" s="1">
        <v>0</v>
      </c>
      <c r="BP1783" s="1">
        <v>0</v>
      </c>
      <c r="BQ1783" s="1">
        <v>0</v>
      </c>
      <c r="BR1783" s="1">
        <v>0</v>
      </c>
      <c r="BS1783" s="1" t="s">
        <v>109</v>
      </c>
      <c r="BT1783" s="1">
        <v>1856</v>
      </c>
      <c r="BU1783" s="1" t="s">
        <v>109</v>
      </c>
      <c r="BV1783" s="1"/>
      <c r="BW1783" s="1"/>
      <c r="BX1783" s="1"/>
      <c r="BY1783" s="1"/>
      <c r="BZ1783" s="1">
        <v>0</v>
      </c>
      <c r="CA1783" s="1" t="s">
        <v>109</v>
      </c>
      <c r="CB1783" s="1" t="s">
        <v>109</v>
      </c>
      <c r="CC1783" s="1" t="s">
        <v>109</v>
      </c>
      <c r="CD1783" s="1" t="s">
        <v>109</v>
      </c>
      <c r="CE1783" s="1" t="s">
        <v>109</v>
      </c>
      <c r="CF1783" s="1" t="s">
        <v>109</v>
      </c>
      <c r="CG1783" s="1" t="s">
        <v>109</v>
      </c>
      <c r="CH1783" s="1" t="s">
        <v>109</v>
      </c>
      <c r="CI1783" s="1" t="s">
        <v>109</v>
      </c>
      <c r="CJ1783" s="1" t="s">
        <v>109</v>
      </c>
      <c r="CK1783" s="1"/>
      <c r="CL1783" s="1">
        <v>0</v>
      </c>
      <c r="CM1783" s="1">
        <v>0</v>
      </c>
      <c r="CN1783" s="1">
        <v>0</v>
      </c>
    </row>
    <row r="1784" spans="1:92" ht="14.25" customHeight="1" x14ac:dyDescent="0.15">
      <c r="A1784" s="1" t="s">
        <v>13254</v>
      </c>
      <c r="B1784" s="1" t="s">
        <v>254</v>
      </c>
      <c r="C1784" s="1"/>
      <c r="D1784" s="1"/>
      <c r="E1784" s="1" t="s">
        <v>5732</v>
      </c>
      <c r="F1784" s="1" t="s">
        <v>98</v>
      </c>
      <c r="G1784" s="1" t="s">
        <v>13255</v>
      </c>
      <c r="H1784" s="1">
        <v>0</v>
      </c>
      <c r="I1784" s="1" t="s">
        <v>1016</v>
      </c>
      <c r="J1784" s="1"/>
      <c r="K1784" s="1"/>
      <c r="L1784" s="1" t="s">
        <v>1346</v>
      </c>
      <c r="M1784" s="1" t="s">
        <v>2713</v>
      </c>
      <c r="N1784" s="1">
        <v>0</v>
      </c>
      <c r="O1784" s="1">
        <v>0</v>
      </c>
      <c r="P1784" s="1" t="s">
        <v>103</v>
      </c>
      <c r="Q1784" s="1" t="s">
        <v>104</v>
      </c>
      <c r="R1784" s="1" t="s">
        <v>13256</v>
      </c>
      <c r="S1784" s="1" t="s">
        <v>13257</v>
      </c>
      <c r="T1784" s="1" t="s">
        <v>13170</v>
      </c>
      <c r="U1784" s="1" t="s">
        <v>13258</v>
      </c>
      <c r="V1784" s="1">
        <v>1</v>
      </c>
      <c r="W1784" s="1">
        <v>1</v>
      </c>
      <c r="X1784" s="1">
        <v>1</v>
      </c>
      <c r="Y1784" s="1">
        <v>0</v>
      </c>
      <c r="Z1784" s="1">
        <v>0</v>
      </c>
      <c r="AA1784" s="1">
        <v>1</v>
      </c>
      <c r="AB1784" s="1">
        <v>1</v>
      </c>
      <c r="AC1784" s="1" t="s">
        <v>109</v>
      </c>
      <c r="AD1784" s="1" t="s">
        <v>109</v>
      </c>
      <c r="AE1784" s="1" t="s">
        <v>109</v>
      </c>
      <c r="AF1784" s="1">
        <v>1</v>
      </c>
      <c r="AG1784" s="1" t="s">
        <v>109</v>
      </c>
      <c r="AH1784" s="1" t="s">
        <v>109</v>
      </c>
      <c r="AI1784" s="1" t="s">
        <v>109</v>
      </c>
      <c r="AJ1784" s="1" t="s">
        <v>109</v>
      </c>
      <c r="AK1784" s="1" t="s">
        <v>109</v>
      </c>
      <c r="AL1784" s="1" t="s">
        <v>109</v>
      </c>
      <c r="AM1784" s="1" t="s">
        <v>109</v>
      </c>
      <c r="AN1784" s="1" t="s">
        <v>109</v>
      </c>
      <c r="AO1784" s="1" t="s">
        <v>109</v>
      </c>
      <c r="AP1784" s="1"/>
      <c r="AQ1784" s="1">
        <v>1</v>
      </c>
      <c r="AR1784" s="1"/>
      <c r="AS1784" s="1"/>
      <c r="AT1784" s="1">
        <v>0</v>
      </c>
      <c r="AU1784" s="1">
        <v>0</v>
      </c>
      <c r="AV1784" s="1">
        <v>0</v>
      </c>
      <c r="AW1784" s="1">
        <v>0</v>
      </c>
      <c r="AX1784" s="1">
        <v>0</v>
      </c>
      <c r="AY1784" s="1">
        <v>0</v>
      </c>
      <c r="AZ1784" s="1">
        <v>0</v>
      </c>
      <c r="BA1784" s="1">
        <v>0</v>
      </c>
      <c r="BB1784" s="1">
        <v>0</v>
      </c>
      <c r="BC1784" s="1">
        <v>0</v>
      </c>
      <c r="BD1784" s="1">
        <v>0</v>
      </c>
      <c r="BE1784" s="1">
        <v>0</v>
      </c>
      <c r="BF1784" s="1">
        <v>0</v>
      </c>
      <c r="BG1784" s="1">
        <v>0</v>
      </c>
      <c r="BH1784" s="1">
        <v>0</v>
      </c>
      <c r="BI1784" s="1">
        <v>0</v>
      </c>
      <c r="BJ1784" s="1">
        <v>0</v>
      </c>
      <c r="BK1784" s="1">
        <v>0</v>
      </c>
      <c r="BL1784" s="1">
        <v>0</v>
      </c>
      <c r="BM1784" s="1">
        <v>0</v>
      </c>
      <c r="BN1784" s="1">
        <v>0</v>
      </c>
      <c r="BO1784" s="1">
        <v>0</v>
      </c>
      <c r="BP1784" s="1">
        <v>0</v>
      </c>
      <c r="BQ1784" s="1">
        <v>0</v>
      </c>
      <c r="BR1784" s="1">
        <v>0</v>
      </c>
      <c r="BS1784" s="1" t="s">
        <v>109</v>
      </c>
      <c r="BT1784" s="1">
        <v>1857</v>
      </c>
      <c r="BU1784" s="1" t="s">
        <v>109</v>
      </c>
      <c r="BV1784" s="1"/>
      <c r="BW1784" s="1"/>
      <c r="BX1784" s="1"/>
      <c r="BY1784" s="1"/>
      <c r="BZ1784" s="1">
        <v>0</v>
      </c>
      <c r="CA1784" s="1" t="s">
        <v>109</v>
      </c>
      <c r="CB1784" s="1" t="s">
        <v>109</v>
      </c>
      <c r="CC1784" s="1" t="s">
        <v>109</v>
      </c>
      <c r="CD1784" s="1" t="s">
        <v>109</v>
      </c>
      <c r="CE1784" s="1" t="s">
        <v>109</v>
      </c>
      <c r="CF1784" s="1" t="s">
        <v>109</v>
      </c>
      <c r="CG1784" s="1" t="s">
        <v>109</v>
      </c>
      <c r="CH1784" s="1" t="s">
        <v>109</v>
      </c>
      <c r="CI1784" s="1" t="s">
        <v>109</v>
      </c>
      <c r="CJ1784" s="1" t="s">
        <v>109</v>
      </c>
      <c r="CK1784" s="1"/>
      <c r="CL1784" s="1">
        <v>0</v>
      </c>
      <c r="CM1784" s="1">
        <v>0</v>
      </c>
      <c r="CN1784" s="1">
        <v>0</v>
      </c>
    </row>
    <row r="1785" spans="1:92" ht="14.25" customHeight="1" x14ac:dyDescent="0.15">
      <c r="A1785" s="1" t="s">
        <v>13259</v>
      </c>
      <c r="B1785" s="1" t="s">
        <v>584</v>
      </c>
      <c r="C1785" s="1"/>
      <c r="D1785" s="1"/>
      <c r="E1785" s="1" t="s">
        <v>13260</v>
      </c>
      <c r="F1785" s="1" t="s">
        <v>98</v>
      </c>
      <c r="G1785" s="1" t="s">
        <v>13261</v>
      </c>
      <c r="H1785" s="1">
        <v>0</v>
      </c>
      <c r="I1785" s="1" t="s">
        <v>142</v>
      </c>
      <c r="J1785" s="1"/>
      <c r="K1785" s="1" t="s">
        <v>1506</v>
      </c>
      <c r="L1785" s="1"/>
      <c r="M1785" s="1" t="s">
        <v>13262</v>
      </c>
      <c r="N1785" s="1">
        <v>0</v>
      </c>
      <c r="O1785" s="1">
        <v>0</v>
      </c>
      <c r="P1785" s="1" t="s">
        <v>1410</v>
      </c>
      <c r="Q1785" s="1" t="s">
        <v>268</v>
      </c>
      <c r="R1785" s="1" t="s">
        <v>13263</v>
      </c>
      <c r="S1785" s="1" t="s">
        <v>13264</v>
      </c>
      <c r="T1785" s="1" t="s">
        <v>13265</v>
      </c>
      <c r="U1785" s="1" t="s">
        <v>13266</v>
      </c>
      <c r="V1785" s="1">
        <v>1</v>
      </c>
      <c r="W1785" s="1">
        <v>1</v>
      </c>
      <c r="X1785" s="1">
        <v>1</v>
      </c>
      <c r="Y1785" s="1">
        <v>0</v>
      </c>
      <c r="Z1785" s="1">
        <v>0</v>
      </c>
      <c r="AA1785" s="1">
        <v>6</v>
      </c>
      <c r="AB1785" s="1">
        <v>6</v>
      </c>
      <c r="AC1785" s="1" t="s">
        <v>109</v>
      </c>
      <c r="AD1785" s="1" t="s">
        <v>109</v>
      </c>
      <c r="AE1785" s="1" t="s">
        <v>109</v>
      </c>
      <c r="AF1785" s="1" t="s">
        <v>109</v>
      </c>
      <c r="AG1785" s="1" t="s">
        <v>109</v>
      </c>
      <c r="AH1785" s="1" t="s">
        <v>109</v>
      </c>
      <c r="AI1785" s="1" t="s">
        <v>109</v>
      </c>
      <c r="AJ1785" s="1" t="s">
        <v>109</v>
      </c>
      <c r="AK1785" s="1" t="s">
        <v>109</v>
      </c>
      <c r="AL1785" s="1" t="s">
        <v>109</v>
      </c>
      <c r="AM1785" s="1" t="s">
        <v>109</v>
      </c>
      <c r="AN1785" s="1">
        <v>5</v>
      </c>
      <c r="AO1785" s="1" t="s">
        <v>109</v>
      </c>
      <c r="AP1785" s="1"/>
      <c r="AQ1785" s="1">
        <v>6</v>
      </c>
      <c r="AR1785" s="1"/>
      <c r="AS1785" s="1"/>
      <c r="AT1785" s="1">
        <v>0</v>
      </c>
      <c r="AU1785" s="1">
        <v>0</v>
      </c>
      <c r="AV1785" s="1">
        <v>0</v>
      </c>
      <c r="AW1785" s="1">
        <v>0</v>
      </c>
      <c r="AX1785" s="1">
        <v>0</v>
      </c>
      <c r="AY1785" s="1">
        <v>0</v>
      </c>
      <c r="AZ1785" s="1">
        <v>0</v>
      </c>
      <c r="BA1785" s="1">
        <v>0</v>
      </c>
      <c r="BB1785" s="1">
        <v>0</v>
      </c>
      <c r="BC1785" s="1">
        <v>0</v>
      </c>
      <c r="BD1785" s="1">
        <v>0</v>
      </c>
      <c r="BE1785" s="1">
        <v>0</v>
      </c>
      <c r="BF1785" s="1">
        <v>0</v>
      </c>
      <c r="BG1785" s="1">
        <v>0</v>
      </c>
      <c r="BH1785" s="1">
        <v>0</v>
      </c>
      <c r="BI1785" s="1">
        <v>0</v>
      </c>
      <c r="BJ1785" s="1">
        <v>0</v>
      </c>
      <c r="BK1785" s="1">
        <v>0</v>
      </c>
      <c r="BL1785" s="1">
        <v>0</v>
      </c>
      <c r="BM1785" s="1">
        <v>0</v>
      </c>
      <c r="BN1785" s="1">
        <v>0</v>
      </c>
      <c r="BO1785" s="1">
        <v>0</v>
      </c>
      <c r="BP1785" s="1">
        <v>0</v>
      </c>
      <c r="BQ1785" s="1">
        <v>0</v>
      </c>
      <c r="BR1785" s="1">
        <v>0</v>
      </c>
      <c r="BS1785" s="1" t="s">
        <v>109</v>
      </c>
      <c r="BT1785" s="1">
        <v>1858</v>
      </c>
      <c r="BU1785" s="1" t="s">
        <v>109</v>
      </c>
      <c r="BV1785" s="1"/>
      <c r="BW1785" s="1"/>
      <c r="BX1785" s="1"/>
      <c r="BY1785" s="1"/>
      <c r="BZ1785" s="1">
        <v>0</v>
      </c>
      <c r="CA1785" s="1" t="s">
        <v>109</v>
      </c>
      <c r="CB1785" s="1" t="s">
        <v>109</v>
      </c>
      <c r="CC1785" s="1" t="s">
        <v>109</v>
      </c>
      <c r="CD1785" s="1" t="s">
        <v>109</v>
      </c>
      <c r="CE1785" s="1" t="s">
        <v>109</v>
      </c>
      <c r="CF1785" s="1" t="s">
        <v>109</v>
      </c>
      <c r="CG1785" s="1" t="s">
        <v>109</v>
      </c>
      <c r="CH1785" s="1" t="s">
        <v>109</v>
      </c>
      <c r="CI1785" s="1" t="s">
        <v>109</v>
      </c>
      <c r="CJ1785" s="1" t="s">
        <v>109</v>
      </c>
      <c r="CK1785" s="1"/>
      <c r="CL1785" s="1">
        <v>0</v>
      </c>
      <c r="CM1785" s="1">
        <v>0</v>
      </c>
      <c r="CN1785" s="1">
        <v>0</v>
      </c>
    </row>
    <row r="1786" spans="1:92" ht="14.25" customHeight="1" x14ac:dyDescent="0.15">
      <c r="A1786" s="1" t="s">
        <v>13267</v>
      </c>
      <c r="B1786" s="1" t="s">
        <v>189</v>
      </c>
      <c r="C1786" s="1"/>
      <c r="D1786" s="1"/>
      <c r="E1786" s="1" t="s">
        <v>12184</v>
      </c>
      <c r="F1786" s="1" t="s">
        <v>98</v>
      </c>
      <c r="G1786" s="1" t="s">
        <v>13268</v>
      </c>
      <c r="H1786" s="1">
        <v>0</v>
      </c>
      <c r="I1786" s="1" t="s">
        <v>122</v>
      </c>
      <c r="J1786" s="1"/>
      <c r="K1786" s="1" t="s">
        <v>13269</v>
      </c>
      <c r="L1786" s="1"/>
      <c r="M1786" s="1" t="s">
        <v>574</v>
      </c>
      <c r="N1786" s="1">
        <v>1</v>
      </c>
      <c r="O1786" s="1">
        <v>0</v>
      </c>
      <c r="P1786" s="1" t="s">
        <v>8111</v>
      </c>
      <c r="Q1786" s="1" t="s">
        <v>104</v>
      </c>
      <c r="R1786" s="1" t="s">
        <v>13270</v>
      </c>
      <c r="S1786" s="1" t="s">
        <v>13271</v>
      </c>
      <c r="T1786" s="1" t="s">
        <v>13265</v>
      </c>
      <c r="U1786" s="1" t="s">
        <v>13272</v>
      </c>
      <c r="V1786" s="1">
        <v>1</v>
      </c>
      <c r="W1786" s="1">
        <v>1</v>
      </c>
      <c r="X1786" s="1">
        <v>1</v>
      </c>
      <c r="Y1786" s="1">
        <v>0</v>
      </c>
      <c r="Z1786" s="1">
        <v>0</v>
      </c>
      <c r="AA1786" s="1">
        <v>5</v>
      </c>
      <c r="AB1786" s="1">
        <v>5</v>
      </c>
      <c r="AC1786" s="1" t="s">
        <v>109</v>
      </c>
      <c r="AD1786" s="1">
        <v>6</v>
      </c>
      <c r="AE1786" s="1" t="s">
        <v>109</v>
      </c>
      <c r="AF1786" s="1" t="s">
        <v>109</v>
      </c>
      <c r="AG1786" s="1" t="s">
        <v>109</v>
      </c>
      <c r="AH1786" s="1" t="s">
        <v>109</v>
      </c>
      <c r="AI1786" s="1" t="s">
        <v>109</v>
      </c>
      <c r="AJ1786" s="1" t="s">
        <v>109</v>
      </c>
      <c r="AK1786" s="1" t="s">
        <v>109</v>
      </c>
      <c r="AL1786" s="1" t="s">
        <v>109</v>
      </c>
      <c r="AM1786" s="1" t="s">
        <v>109</v>
      </c>
      <c r="AN1786" s="1" t="s">
        <v>109</v>
      </c>
      <c r="AO1786" s="1" t="s">
        <v>109</v>
      </c>
      <c r="AP1786" s="1"/>
      <c r="AQ1786" s="1">
        <v>5</v>
      </c>
      <c r="AR1786" s="1"/>
      <c r="AS1786" s="1"/>
      <c r="AT1786" s="1">
        <v>0</v>
      </c>
      <c r="AU1786" s="1">
        <v>0</v>
      </c>
      <c r="AV1786" s="1">
        <v>0</v>
      </c>
      <c r="AW1786" s="1">
        <v>0</v>
      </c>
      <c r="AX1786" s="1">
        <v>0</v>
      </c>
      <c r="AY1786" s="1">
        <v>0</v>
      </c>
      <c r="AZ1786" s="1">
        <v>0</v>
      </c>
      <c r="BA1786" s="1">
        <v>0</v>
      </c>
      <c r="BB1786" s="1">
        <v>0</v>
      </c>
      <c r="BC1786" s="1">
        <v>0</v>
      </c>
      <c r="BD1786" s="1">
        <v>0</v>
      </c>
      <c r="BE1786" s="1">
        <v>0</v>
      </c>
      <c r="BF1786" s="1">
        <v>0</v>
      </c>
      <c r="BG1786" s="1">
        <v>0</v>
      </c>
      <c r="BH1786" s="1">
        <v>0</v>
      </c>
      <c r="BI1786" s="1">
        <v>0</v>
      </c>
      <c r="BJ1786" s="1">
        <v>0</v>
      </c>
      <c r="BK1786" s="1">
        <v>0</v>
      </c>
      <c r="BL1786" s="1">
        <v>0</v>
      </c>
      <c r="BM1786" s="1">
        <v>0</v>
      </c>
      <c r="BN1786" s="1">
        <v>0</v>
      </c>
      <c r="BO1786" s="1">
        <v>0</v>
      </c>
      <c r="BP1786" s="1">
        <v>0</v>
      </c>
      <c r="BQ1786" s="1">
        <v>0</v>
      </c>
      <c r="BR1786" s="1">
        <v>0</v>
      </c>
      <c r="BS1786" s="1" t="s">
        <v>109</v>
      </c>
      <c r="BT1786" s="1">
        <v>1859</v>
      </c>
      <c r="BU1786" s="1" t="s">
        <v>109</v>
      </c>
      <c r="BV1786" s="1"/>
      <c r="BW1786" s="1"/>
      <c r="BX1786" s="1"/>
      <c r="BY1786" s="1"/>
      <c r="BZ1786" s="1">
        <v>0</v>
      </c>
      <c r="CA1786" s="1" t="s">
        <v>109</v>
      </c>
      <c r="CB1786" s="1" t="s">
        <v>109</v>
      </c>
      <c r="CC1786" s="1" t="s">
        <v>109</v>
      </c>
      <c r="CD1786" s="1" t="s">
        <v>109</v>
      </c>
      <c r="CE1786" s="1" t="s">
        <v>109</v>
      </c>
      <c r="CF1786" s="1" t="s">
        <v>109</v>
      </c>
      <c r="CG1786" s="1" t="s">
        <v>109</v>
      </c>
      <c r="CH1786" s="1" t="s">
        <v>109</v>
      </c>
      <c r="CI1786" s="1" t="s">
        <v>109</v>
      </c>
      <c r="CJ1786" s="1">
        <v>6</v>
      </c>
      <c r="CK1786" s="1"/>
      <c r="CL1786" s="1">
        <v>0</v>
      </c>
      <c r="CM1786" s="1">
        <v>0</v>
      </c>
      <c r="CN1786" s="1">
        <v>0</v>
      </c>
    </row>
    <row r="1787" spans="1:92" ht="14.25" customHeight="1" x14ac:dyDescent="0.15">
      <c r="A1787" s="1" t="s">
        <v>13273</v>
      </c>
      <c r="B1787" s="1" t="s">
        <v>674</v>
      </c>
      <c r="C1787" s="1" t="s">
        <v>2300</v>
      </c>
      <c r="D1787" s="1"/>
      <c r="E1787" s="1" t="s">
        <v>13274</v>
      </c>
      <c r="F1787" s="1" t="s">
        <v>98</v>
      </c>
      <c r="G1787" s="1" t="s">
        <v>141</v>
      </c>
      <c r="H1787" s="1">
        <v>0</v>
      </c>
      <c r="I1787" s="1" t="s">
        <v>142</v>
      </c>
      <c r="J1787" s="1"/>
      <c r="K1787" s="1" t="s">
        <v>13275</v>
      </c>
      <c r="L1787" s="1"/>
      <c r="M1787" s="1" t="s">
        <v>13276</v>
      </c>
      <c r="N1787" s="1">
        <v>0</v>
      </c>
      <c r="O1787" s="1">
        <v>0</v>
      </c>
      <c r="P1787" s="1" t="s">
        <v>103</v>
      </c>
      <c r="Q1787" s="1" t="s">
        <v>13277</v>
      </c>
      <c r="R1787" s="1" t="s">
        <v>13278</v>
      </c>
      <c r="S1787" s="1" t="s">
        <v>13279</v>
      </c>
      <c r="T1787" s="1" t="s">
        <v>13265</v>
      </c>
      <c r="U1787" s="1" t="s">
        <v>13280</v>
      </c>
      <c r="V1787" s="1">
        <v>1</v>
      </c>
      <c r="W1787" s="1">
        <v>1</v>
      </c>
      <c r="X1787" s="1">
        <v>0</v>
      </c>
      <c r="Y1787" s="1">
        <v>0</v>
      </c>
      <c r="Z1787" s="1">
        <v>0</v>
      </c>
      <c r="AA1787" s="1">
        <v>2</v>
      </c>
      <c r="AB1787" s="1">
        <v>2</v>
      </c>
      <c r="AC1787" s="1">
        <v>2</v>
      </c>
      <c r="AD1787" s="1">
        <v>2</v>
      </c>
      <c r="AE1787" s="1" t="s">
        <v>109</v>
      </c>
      <c r="AF1787" s="1">
        <v>2</v>
      </c>
      <c r="AG1787" s="1" t="s">
        <v>109</v>
      </c>
      <c r="AH1787" s="1" t="s">
        <v>109</v>
      </c>
      <c r="AI1787" s="1">
        <v>2</v>
      </c>
      <c r="AJ1787" s="1">
        <v>2</v>
      </c>
      <c r="AK1787" s="1" t="s">
        <v>109</v>
      </c>
      <c r="AL1787" s="1">
        <v>2</v>
      </c>
      <c r="AM1787" s="1" t="s">
        <v>109</v>
      </c>
      <c r="AN1787" s="1" t="s">
        <v>109</v>
      </c>
      <c r="AO1787" s="1" t="s">
        <v>109</v>
      </c>
      <c r="AP1787" s="1"/>
      <c r="AQ1787" s="1">
        <v>2</v>
      </c>
      <c r="AR1787" s="1"/>
      <c r="AS1787" s="1"/>
      <c r="AT1787" s="1">
        <v>0</v>
      </c>
      <c r="AU1787" s="1">
        <v>0</v>
      </c>
      <c r="AV1787" s="1">
        <v>0</v>
      </c>
      <c r="AW1787" s="1">
        <v>0</v>
      </c>
      <c r="AX1787" s="1">
        <v>0</v>
      </c>
      <c r="AY1787" s="1">
        <v>0</v>
      </c>
      <c r="AZ1787" s="1">
        <v>0</v>
      </c>
      <c r="BA1787" s="1">
        <v>0</v>
      </c>
      <c r="BB1787" s="1">
        <v>0</v>
      </c>
      <c r="BC1787" s="1">
        <v>0</v>
      </c>
      <c r="BD1787" s="1">
        <v>0</v>
      </c>
      <c r="BE1787" s="1">
        <v>0</v>
      </c>
      <c r="BF1787" s="1">
        <v>0</v>
      </c>
      <c r="BG1787" s="1">
        <v>0</v>
      </c>
      <c r="BH1787" s="1">
        <v>0</v>
      </c>
      <c r="BI1787" s="1">
        <v>0</v>
      </c>
      <c r="BJ1787" s="1">
        <v>0</v>
      </c>
      <c r="BK1787" s="1">
        <v>0</v>
      </c>
      <c r="BL1787" s="1">
        <v>0</v>
      </c>
      <c r="BM1787" s="1">
        <v>0</v>
      </c>
      <c r="BN1787" s="1">
        <v>0</v>
      </c>
      <c r="BO1787" s="1">
        <v>0</v>
      </c>
      <c r="BP1787" s="1">
        <v>0</v>
      </c>
      <c r="BQ1787" s="1">
        <v>0</v>
      </c>
      <c r="BR1787" s="1">
        <v>0</v>
      </c>
      <c r="BS1787" s="1" t="s">
        <v>109</v>
      </c>
      <c r="BT1787" s="1">
        <v>1860</v>
      </c>
      <c r="BU1787" s="1" t="s">
        <v>109</v>
      </c>
      <c r="BV1787" s="1"/>
      <c r="BW1787" s="1"/>
      <c r="BX1787" s="1"/>
      <c r="BY1787" s="1"/>
      <c r="BZ1787" s="1">
        <v>0</v>
      </c>
      <c r="CA1787" s="1" t="s">
        <v>109</v>
      </c>
      <c r="CB1787" s="1" t="s">
        <v>109</v>
      </c>
      <c r="CC1787" s="1" t="s">
        <v>109</v>
      </c>
      <c r="CD1787" s="1" t="s">
        <v>109</v>
      </c>
      <c r="CE1787" s="1" t="s">
        <v>109</v>
      </c>
      <c r="CF1787" s="1" t="s">
        <v>109</v>
      </c>
      <c r="CG1787" s="1" t="s">
        <v>109</v>
      </c>
      <c r="CH1787" s="1" t="s">
        <v>109</v>
      </c>
      <c r="CI1787" s="1" t="s">
        <v>109</v>
      </c>
      <c r="CJ1787" s="1">
        <v>2</v>
      </c>
      <c r="CK1787" s="1"/>
      <c r="CL1787" s="1">
        <v>0</v>
      </c>
      <c r="CM1787" s="1">
        <v>0</v>
      </c>
      <c r="CN1787" s="1">
        <v>0</v>
      </c>
    </row>
    <row r="1788" spans="1:92" ht="14.25" customHeight="1" x14ac:dyDescent="0.15">
      <c r="A1788" s="1" t="s">
        <v>13281</v>
      </c>
      <c r="B1788" s="1" t="s">
        <v>189</v>
      </c>
      <c r="C1788" s="1"/>
      <c r="D1788" s="1"/>
      <c r="E1788" s="1" t="s">
        <v>13282</v>
      </c>
      <c r="F1788" s="1" t="s">
        <v>98</v>
      </c>
      <c r="G1788" s="1" t="s">
        <v>333</v>
      </c>
      <c r="H1788" s="1">
        <v>0</v>
      </c>
      <c r="I1788" s="1" t="s">
        <v>235</v>
      </c>
      <c r="J1788" s="1"/>
      <c r="K1788" s="1"/>
      <c r="L1788" s="1" t="s">
        <v>236</v>
      </c>
      <c r="M1788" s="1" t="s">
        <v>289</v>
      </c>
      <c r="N1788" s="1">
        <v>0</v>
      </c>
      <c r="O1788" s="1">
        <v>0</v>
      </c>
      <c r="P1788" s="1"/>
      <c r="Q1788" s="1"/>
      <c r="R1788" s="1" t="s">
        <v>13283</v>
      </c>
      <c r="S1788" s="1" t="s">
        <v>13284</v>
      </c>
      <c r="T1788" s="1" t="s">
        <v>13265</v>
      </c>
      <c r="U1788" s="1" t="s">
        <v>13285</v>
      </c>
      <c r="V1788" s="1">
        <v>1</v>
      </c>
      <c r="W1788" s="1">
        <v>0</v>
      </c>
      <c r="X1788" s="1">
        <v>0</v>
      </c>
      <c r="Y1788" s="1">
        <v>0</v>
      </c>
      <c r="Z1788" s="1">
        <v>0</v>
      </c>
      <c r="AA1788" s="1">
        <v>5</v>
      </c>
      <c r="AB1788" s="1">
        <v>5</v>
      </c>
      <c r="AC1788" s="1">
        <v>4</v>
      </c>
      <c r="AD1788" s="1" t="s">
        <v>109</v>
      </c>
      <c r="AE1788" s="1" t="s">
        <v>109</v>
      </c>
      <c r="AF1788" s="1" t="s">
        <v>109</v>
      </c>
      <c r="AG1788" s="1" t="s">
        <v>109</v>
      </c>
      <c r="AH1788" s="1">
        <v>5</v>
      </c>
      <c r="AI1788" s="1">
        <v>5</v>
      </c>
      <c r="AJ1788" s="1" t="s">
        <v>109</v>
      </c>
      <c r="AK1788" s="1" t="s">
        <v>109</v>
      </c>
      <c r="AL1788" s="1">
        <v>4</v>
      </c>
      <c r="AM1788" s="1" t="s">
        <v>109</v>
      </c>
      <c r="AN1788" s="1" t="s">
        <v>109</v>
      </c>
      <c r="AO1788" s="1" t="s">
        <v>109</v>
      </c>
      <c r="AP1788" s="1"/>
      <c r="AQ1788" s="1">
        <v>5</v>
      </c>
      <c r="AR1788" s="1"/>
      <c r="AS1788" s="1"/>
      <c r="AT1788" s="1">
        <v>0</v>
      </c>
      <c r="AU1788" s="1">
        <v>0</v>
      </c>
      <c r="AV1788" s="1">
        <v>0</v>
      </c>
      <c r="AW1788" s="1">
        <v>0</v>
      </c>
      <c r="AX1788" s="1">
        <v>0</v>
      </c>
      <c r="AY1788" s="1">
        <v>0</v>
      </c>
      <c r="AZ1788" s="1">
        <v>0</v>
      </c>
      <c r="BA1788" s="1">
        <v>0</v>
      </c>
      <c r="BB1788" s="1">
        <v>0</v>
      </c>
      <c r="BC1788" s="1">
        <v>0</v>
      </c>
      <c r="BD1788" s="1">
        <v>0</v>
      </c>
      <c r="BE1788" s="1">
        <v>0</v>
      </c>
      <c r="BF1788" s="1">
        <v>0</v>
      </c>
      <c r="BG1788" s="1">
        <v>0</v>
      </c>
      <c r="BH1788" s="1">
        <v>0</v>
      </c>
      <c r="BI1788" s="1">
        <v>0</v>
      </c>
      <c r="BJ1788" s="1">
        <v>0</v>
      </c>
      <c r="BK1788" s="1">
        <v>0</v>
      </c>
      <c r="BL1788" s="1">
        <v>0</v>
      </c>
      <c r="BM1788" s="1">
        <v>0</v>
      </c>
      <c r="BN1788" s="1">
        <v>0</v>
      </c>
      <c r="BO1788" s="1">
        <v>0</v>
      </c>
      <c r="BP1788" s="1">
        <v>0</v>
      </c>
      <c r="BQ1788" s="1">
        <v>0</v>
      </c>
      <c r="BR1788" s="1">
        <v>0</v>
      </c>
      <c r="BS1788" s="1" t="s">
        <v>109</v>
      </c>
      <c r="BT1788" s="1">
        <v>1861</v>
      </c>
      <c r="BU1788" s="1" t="s">
        <v>109</v>
      </c>
      <c r="BV1788" s="1"/>
      <c r="BW1788" s="1"/>
      <c r="BX1788" s="1"/>
      <c r="BY1788" s="1"/>
      <c r="BZ1788" s="1">
        <v>0</v>
      </c>
      <c r="CA1788" s="1" t="s">
        <v>109</v>
      </c>
      <c r="CB1788" s="1" t="s">
        <v>109</v>
      </c>
      <c r="CC1788" s="1" t="s">
        <v>109</v>
      </c>
      <c r="CD1788" s="1" t="s">
        <v>109</v>
      </c>
      <c r="CE1788" s="1" t="s">
        <v>109</v>
      </c>
      <c r="CF1788" s="1" t="s">
        <v>109</v>
      </c>
      <c r="CG1788" s="1" t="s">
        <v>109</v>
      </c>
      <c r="CH1788" s="1" t="s">
        <v>109</v>
      </c>
      <c r="CI1788" s="1" t="s">
        <v>109</v>
      </c>
      <c r="CJ1788" s="1" t="s">
        <v>109</v>
      </c>
      <c r="CK1788" s="1"/>
      <c r="CL1788" s="1">
        <v>0</v>
      </c>
      <c r="CM1788" s="1">
        <v>0</v>
      </c>
      <c r="CN1788" s="1">
        <v>0</v>
      </c>
    </row>
    <row r="1789" spans="1:92" ht="14.25" customHeight="1" x14ac:dyDescent="0.15">
      <c r="A1789" s="1" t="s">
        <v>13286</v>
      </c>
      <c r="B1789" s="1" t="s">
        <v>189</v>
      </c>
      <c r="C1789" s="1"/>
      <c r="D1789" s="1"/>
      <c r="E1789" s="1" t="s">
        <v>13287</v>
      </c>
      <c r="F1789" s="1" t="s">
        <v>98</v>
      </c>
      <c r="G1789" s="1" t="s">
        <v>141</v>
      </c>
      <c r="H1789" s="1">
        <v>0</v>
      </c>
      <c r="I1789" s="1" t="s">
        <v>142</v>
      </c>
      <c r="J1789" s="1"/>
      <c r="K1789" s="1"/>
      <c r="L1789" s="1" t="s">
        <v>716</v>
      </c>
      <c r="M1789" s="1" t="s">
        <v>289</v>
      </c>
      <c r="N1789" s="1">
        <v>0</v>
      </c>
      <c r="O1789" s="1">
        <v>0</v>
      </c>
      <c r="P1789" s="1" t="s">
        <v>507</v>
      </c>
      <c r="Q1789" s="1" t="s">
        <v>167</v>
      </c>
      <c r="R1789" s="1" t="s">
        <v>13288</v>
      </c>
      <c r="S1789" s="1" t="s">
        <v>13289</v>
      </c>
      <c r="T1789" s="1" t="s">
        <v>13265</v>
      </c>
      <c r="U1789" s="1" t="s">
        <v>13290</v>
      </c>
      <c r="V1789" s="1">
        <v>1</v>
      </c>
      <c r="W1789" s="1">
        <v>1</v>
      </c>
      <c r="X1789" s="1">
        <v>0</v>
      </c>
      <c r="Y1789" s="1">
        <v>0</v>
      </c>
      <c r="Z1789" s="1">
        <v>0</v>
      </c>
      <c r="AA1789" s="1">
        <v>7</v>
      </c>
      <c r="AB1789" s="1">
        <v>7</v>
      </c>
      <c r="AC1789" s="1">
        <v>6</v>
      </c>
      <c r="AD1789" s="1" t="s">
        <v>109</v>
      </c>
      <c r="AE1789" s="1" t="s">
        <v>109</v>
      </c>
      <c r="AF1789" s="1" t="s">
        <v>109</v>
      </c>
      <c r="AG1789" s="1" t="s">
        <v>109</v>
      </c>
      <c r="AH1789" s="1" t="s">
        <v>109</v>
      </c>
      <c r="AI1789" s="1">
        <v>6</v>
      </c>
      <c r="AJ1789" s="1" t="s">
        <v>109</v>
      </c>
      <c r="AK1789" s="1" t="s">
        <v>109</v>
      </c>
      <c r="AL1789" s="1">
        <v>6</v>
      </c>
      <c r="AM1789" s="1" t="s">
        <v>109</v>
      </c>
      <c r="AN1789" s="1" t="s">
        <v>109</v>
      </c>
      <c r="AO1789" s="1" t="s">
        <v>109</v>
      </c>
      <c r="AP1789" s="1"/>
      <c r="AQ1789" s="1">
        <v>7</v>
      </c>
      <c r="AR1789" s="1"/>
      <c r="AS1789" s="1"/>
      <c r="AT1789" s="1">
        <v>0</v>
      </c>
      <c r="AU1789" s="1">
        <v>0</v>
      </c>
      <c r="AV1789" s="1">
        <v>0</v>
      </c>
      <c r="AW1789" s="1">
        <v>0</v>
      </c>
      <c r="AX1789" s="1">
        <v>0</v>
      </c>
      <c r="AY1789" s="1">
        <v>0</v>
      </c>
      <c r="AZ1789" s="1">
        <v>0</v>
      </c>
      <c r="BA1789" s="1">
        <v>0</v>
      </c>
      <c r="BB1789" s="1">
        <v>0</v>
      </c>
      <c r="BC1789" s="1">
        <v>0</v>
      </c>
      <c r="BD1789" s="1">
        <v>0</v>
      </c>
      <c r="BE1789" s="1">
        <v>0</v>
      </c>
      <c r="BF1789" s="1">
        <v>0</v>
      </c>
      <c r="BG1789" s="1">
        <v>0</v>
      </c>
      <c r="BH1789" s="1">
        <v>0</v>
      </c>
      <c r="BI1789" s="1">
        <v>0</v>
      </c>
      <c r="BJ1789" s="1">
        <v>0</v>
      </c>
      <c r="BK1789" s="1">
        <v>0</v>
      </c>
      <c r="BL1789" s="1">
        <v>0</v>
      </c>
      <c r="BM1789" s="1">
        <v>0</v>
      </c>
      <c r="BN1789" s="1">
        <v>0</v>
      </c>
      <c r="BO1789" s="1">
        <v>0</v>
      </c>
      <c r="BP1789" s="1">
        <v>0</v>
      </c>
      <c r="BQ1789" s="1">
        <v>0</v>
      </c>
      <c r="BR1789" s="1">
        <v>0</v>
      </c>
      <c r="BS1789" s="1" t="s">
        <v>109</v>
      </c>
      <c r="BT1789" s="1">
        <v>1862</v>
      </c>
      <c r="BU1789" s="1" t="s">
        <v>109</v>
      </c>
      <c r="BV1789" s="1"/>
      <c r="BW1789" s="1"/>
      <c r="BX1789" s="1"/>
      <c r="BY1789" s="1"/>
      <c r="BZ1789" s="1">
        <v>0</v>
      </c>
      <c r="CA1789" s="1" t="s">
        <v>109</v>
      </c>
      <c r="CB1789" s="1" t="s">
        <v>109</v>
      </c>
      <c r="CC1789" s="1" t="s">
        <v>109</v>
      </c>
      <c r="CD1789" s="1" t="s">
        <v>109</v>
      </c>
      <c r="CE1789" s="1" t="s">
        <v>109</v>
      </c>
      <c r="CF1789" s="1" t="s">
        <v>109</v>
      </c>
      <c r="CG1789" s="1" t="s">
        <v>109</v>
      </c>
      <c r="CH1789" s="1" t="s">
        <v>109</v>
      </c>
      <c r="CI1789" s="1" t="s">
        <v>109</v>
      </c>
      <c r="CJ1789" s="1" t="s">
        <v>109</v>
      </c>
      <c r="CK1789" s="1"/>
      <c r="CL1789" s="1">
        <v>0</v>
      </c>
      <c r="CM1789" s="1">
        <v>0</v>
      </c>
      <c r="CN1789" s="1">
        <v>0</v>
      </c>
    </row>
    <row r="1790" spans="1:92" ht="14.25" customHeight="1" x14ac:dyDescent="0.15">
      <c r="A1790" s="1" t="s">
        <v>13291</v>
      </c>
      <c r="B1790" s="1" t="s">
        <v>189</v>
      </c>
      <c r="C1790" s="1"/>
      <c r="D1790" s="1"/>
      <c r="E1790" s="1" t="s">
        <v>10959</v>
      </c>
      <c r="F1790" s="1" t="s">
        <v>355</v>
      </c>
      <c r="G1790" s="1" t="s">
        <v>13292</v>
      </c>
      <c r="H1790" s="1">
        <v>1</v>
      </c>
      <c r="I1790" s="1" t="s">
        <v>142</v>
      </c>
      <c r="J1790" s="1"/>
      <c r="K1790" s="1"/>
      <c r="L1790" s="1" t="s">
        <v>13293</v>
      </c>
      <c r="M1790" s="1" t="s">
        <v>574</v>
      </c>
      <c r="N1790" s="1">
        <v>1</v>
      </c>
      <c r="O1790" s="1">
        <v>0</v>
      </c>
      <c r="P1790" s="1" t="s">
        <v>103</v>
      </c>
      <c r="Q1790" s="1" t="s">
        <v>104</v>
      </c>
      <c r="R1790" s="1" t="s">
        <v>13294</v>
      </c>
      <c r="S1790" s="1" t="s">
        <v>13295</v>
      </c>
      <c r="T1790" s="1" t="s">
        <v>13265</v>
      </c>
      <c r="U1790" s="1" t="s">
        <v>13296</v>
      </c>
      <c r="V1790" s="1">
        <v>1</v>
      </c>
      <c r="W1790" s="1">
        <v>1</v>
      </c>
      <c r="X1790" s="1">
        <v>0</v>
      </c>
      <c r="Y1790" s="1">
        <v>0</v>
      </c>
      <c r="Z1790" s="1">
        <v>0</v>
      </c>
      <c r="AA1790" s="1">
        <v>5</v>
      </c>
      <c r="AB1790" s="1">
        <v>5</v>
      </c>
      <c r="AC1790" s="1">
        <v>5</v>
      </c>
      <c r="AD1790" s="1" t="s">
        <v>109</v>
      </c>
      <c r="AE1790" s="1" t="s">
        <v>109</v>
      </c>
      <c r="AF1790" s="1" t="s">
        <v>109</v>
      </c>
      <c r="AG1790" s="1" t="s">
        <v>109</v>
      </c>
      <c r="AH1790" s="1" t="s">
        <v>109</v>
      </c>
      <c r="AI1790" s="1">
        <v>4</v>
      </c>
      <c r="AJ1790" s="1">
        <v>5</v>
      </c>
      <c r="AK1790" s="1" t="s">
        <v>109</v>
      </c>
      <c r="AL1790" s="1">
        <v>5</v>
      </c>
      <c r="AM1790" s="1" t="s">
        <v>109</v>
      </c>
      <c r="AN1790" s="1" t="s">
        <v>109</v>
      </c>
      <c r="AO1790" s="1" t="s">
        <v>109</v>
      </c>
      <c r="AP1790" s="1"/>
      <c r="AQ1790" s="1">
        <v>5</v>
      </c>
      <c r="AR1790" s="1"/>
      <c r="AS1790" s="1"/>
      <c r="AT1790" s="1">
        <v>0</v>
      </c>
      <c r="AU1790" s="1">
        <v>0</v>
      </c>
      <c r="AV1790" s="1">
        <v>0</v>
      </c>
      <c r="AW1790" s="1">
        <v>0</v>
      </c>
      <c r="AX1790" s="1">
        <v>0</v>
      </c>
      <c r="AY1790" s="1">
        <v>0</v>
      </c>
      <c r="AZ1790" s="1">
        <v>0</v>
      </c>
      <c r="BA1790" s="1">
        <v>0</v>
      </c>
      <c r="BB1790" s="1">
        <v>0</v>
      </c>
      <c r="BC1790" s="1">
        <v>0</v>
      </c>
      <c r="BD1790" s="1">
        <v>0</v>
      </c>
      <c r="BE1790" s="1">
        <v>0</v>
      </c>
      <c r="BF1790" s="1">
        <v>0</v>
      </c>
      <c r="BG1790" s="1">
        <v>0</v>
      </c>
      <c r="BH1790" s="1">
        <v>0</v>
      </c>
      <c r="BI1790" s="1">
        <v>0</v>
      </c>
      <c r="BJ1790" s="1">
        <v>0</v>
      </c>
      <c r="BK1790" s="1">
        <v>0</v>
      </c>
      <c r="BL1790" s="1">
        <v>0</v>
      </c>
      <c r="BM1790" s="1">
        <v>0</v>
      </c>
      <c r="BN1790" s="1">
        <v>0</v>
      </c>
      <c r="BO1790" s="1">
        <v>0</v>
      </c>
      <c r="BP1790" s="1">
        <v>0</v>
      </c>
      <c r="BQ1790" s="1">
        <v>0</v>
      </c>
      <c r="BR1790" s="1">
        <v>0</v>
      </c>
      <c r="BS1790" s="1" t="s">
        <v>109</v>
      </c>
      <c r="BT1790" s="1">
        <v>1863</v>
      </c>
      <c r="BU1790" s="1">
        <v>25</v>
      </c>
      <c r="BV1790" s="1"/>
      <c r="BW1790" s="1"/>
      <c r="BX1790" s="1"/>
      <c r="BY1790" s="1"/>
      <c r="BZ1790" s="1">
        <v>0</v>
      </c>
      <c r="CA1790" s="1" t="s">
        <v>109</v>
      </c>
      <c r="CB1790" s="1" t="s">
        <v>109</v>
      </c>
      <c r="CC1790" s="1" t="s">
        <v>109</v>
      </c>
      <c r="CD1790" s="1" t="s">
        <v>109</v>
      </c>
      <c r="CE1790" s="1" t="s">
        <v>109</v>
      </c>
      <c r="CF1790" s="1" t="s">
        <v>109</v>
      </c>
      <c r="CG1790" s="1" t="s">
        <v>109</v>
      </c>
      <c r="CH1790" s="1" t="s">
        <v>109</v>
      </c>
      <c r="CI1790" s="1" t="s">
        <v>109</v>
      </c>
      <c r="CJ1790" s="1" t="s">
        <v>109</v>
      </c>
      <c r="CK1790" s="1"/>
      <c r="CL1790" s="1">
        <v>0</v>
      </c>
      <c r="CM1790" s="1">
        <v>0</v>
      </c>
      <c r="CN1790" s="1">
        <v>0</v>
      </c>
    </row>
    <row r="1791" spans="1:92" ht="14.25" customHeight="1" x14ac:dyDescent="0.15">
      <c r="A1791" s="1" t="s">
        <v>13297</v>
      </c>
      <c r="B1791" s="1" t="s">
        <v>254</v>
      </c>
      <c r="C1791" s="1"/>
      <c r="D1791" s="1"/>
      <c r="E1791" s="1" t="s">
        <v>13298</v>
      </c>
      <c r="F1791" s="1" t="s">
        <v>98</v>
      </c>
      <c r="G1791" s="1" t="s">
        <v>141</v>
      </c>
      <c r="H1791" s="1">
        <v>0</v>
      </c>
      <c r="I1791" s="1" t="s">
        <v>235</v>
      </c>
      <c r="J1791" s="1"/>
      <c r="K1791" s="1"/>
      <c r="L1791" s="1" t="s">
        <v>236</v>
      </c>
      <c r="M1791" s="1" t="s">
        <v>5642</v>
      </c>
      <c r="N1791" s="1">
        <v>0</v>
      </c>
      <c r="O1791" s="1">
        <v>0</v>
      </c>
      <c r="P1791" s="1"/>
      <c r="Q1791" s="1"/>
      <c r="R1791" s="1" t="s">
        <v>13299</v>
      </c>
      <c r="S1791" s="1" t="s">
        <v>13300</v>
      </c>
      <c r="T1791" s="1" t="s">
        <v>13265</v>
      </c>
      <c r="U1791" s="1" t="s">
        <v>13301</v>
      </c>
      <c r="V1791" s="1">
        <v>1</v>
      </c>
      <c r="W1791" s="1">
        <v>1</v>
      </c>
      <c r="X1791" s="1">
        <v>0</v>
      </c>
      <c r="Y1791" s="1">
        <v>0</v>
      </c>
      <c r="Z1791" s="1">
        <v>0</v>
      </c>
      <c r="AA1791" s="1">
        <v>1</v>
      </c>
      <c r="AB1791" s="1">
        <v>1</v>
      </c>
      <c r="AC1791" s="1">
        <v>1</v>
      </c>
      <c r="AD1791" s="1">
        <v>1</v>
      </c>
      <c r="AE1791" s="1">
        <v>1</v>
      </c>
      <c r="AF1791" s="1">
        <v>1</v>
      </c>
      <c r="AG1791" s="1" t="s">
        <v>109</v>
      </c>
      <c r="AH1791" s="1">
        <v>1</v>
      </c>
      <c r="AI1791" s="1" t="s">
        <v>109</v>
      </c>
      <c r="AJ1791" s="1">
        <v>1</v>
      </c>
      <c r="AK1791" s="1" t="s">
        <v>109</v>
      </c>
      <c r="AL1791" s="1">
        <v>1</v>
      </c>
      <c r="AM1791" s="1" t="s">
        <v>109</v>
      </c>
      <c r="AN1791" s="1" t="s">
        <v>109</v>
      </c>
      <c r="AO1791" s="1" t="s">
        <v>109</v>
      </c>
      <c r="AP1791" s="1"/>
      <c r="AQ1791" s="1">
        <v>1</v>
      </c>
      <c r="AR1791" s="1"/>
      <c r="AS1791" s="1"/>
      <c r="AT1791" s="1">
        <v>0</v>
      </c>
      <c r="AU1791" s="1">
        <v>0</v>
      </c>
      <c r="AV1791" s="1">
        <v>0</v>
      </c>
      <c r="AW1791" s="1">
        <v>0</v>
      </c>
      <c r="AX1791" s="1">
        <v>0</v>
      </c>
      <c r="AY1791" s="1">
        <v>0</v>
      </c>
      <c r="AZ1791" s="1">
        <v>0</v>
      </c>
      <c r="BA1791" s="1">
        <v>0</v>
      </c>
      <c r="BB1791" s="1">
        <v>0</v>
      </c>
      <c r="BC1791" s="1">
        <v>0</v>
      </c>
      <c r="BD1791" s="1">
        <v>0</v>
      </c>
      <c r="BE1791" s="1">
        <v>0</v>
      </c>
      <c r="BF1791" s="1">
        <v>0</v>
      </c>
      <c r="BG1791" s="1">
        <v>0</v>
      </c>
      <c r="BH1791" s="1">
        <v>0</v>
      </c>
      <c r="BI1791" s="1">
        <v>0</v>
      </c>
      <c r="BJ1791" s="1">
        <v>0</v>
      </c>
      <c r="BK1791" s="1">
        <v>0</v>
      </c>
      <c r="BL1791" s="1">
        <v>0</v>
      </c>
      <c r="BM1791" s="1">
        <v>0</v>
      </c>
      <c r="BN1791" s="1">
        <v>0</v>
      </c>
      <c r="BO1791" s="1">
        <v>0</v>
      </c>
      <c r="BP1791" s="1">
        <v>0</v>
      </c>
      <c r="BQ1791" s="1">
        <v>0</v>
      </c>
      <c r="BR1791" s="1">
        <v>0</v>
      </c>
      <c r="BS1791" s="1" t="s">
        <v>109</v>
      </c>
      <c r="BT1791" s="1">
        <v>1864</v>
      </c>
      <c r="BU1791" s="1" t="s">
        <v>109</v>
      </c>
      <c r="BV1791" s="1"/>
      <c r="BW1791" s="1"/>
      <c r="BX1791" s="1"/>
      <c r="BY1791" s="1"/>
      <c r="BZ1791" s="1">
        <v>0</v>
      </c>
      <c r="CA1791" s="1" t="s">
        <v>109</v>
      </c>
      <c r="CB1791" s="1" t="s">
        <v>109</v>
      </c>
      <c r="CC1791" s="1" t="s">
        <v>109</v>
      </c>
      <c r="CD1791" s="1" t="s">
        <v>109</v>
      </c>
      <c r="CE1791" s="1" t="s">
        <v>109</v>
      </c>
      <c r="CF1791" s="1" t="s">
        <v>109</v>
      </c>
      <c r="CG1791" s="1" t="s">
        <v>109</v>
      </c>
      <c r="CH1791" s="1" t="s">
        <v>109</v>
      </c>
      <c r="CI1791" s="1" t="s">
        <v>109</v>
      </c>
      <c r="CJ1791" s="1">
        <v>1</v>
      </c>
      <c r="CK1791" s="1"/>
      <c r="CL1791" s="1">
        <v>0</v>
      </c>
      <c r="CM1791" s="1">
        <v>0</v>
      </c>
      <c r="CN1791" s="1">
        <v>0</v>
      </c>
    </row>
    <row r="1792" spans="1:92" ht="14.25" customHeight="1" x14ac:dyDescent="0.15">
      <c r="A1792" s="1" t="s">
        <v>13302</v>
      </c>
      <c r="B1792" s="1" t="s">
        <v>189</v>
      </c>
      <c r="C1792" s="1"/>
      <c r="D1792" s="1"/>
      <c r="E1792" s="1" t="s">
        <v>13303</v>
      </c>
      <c r="F1792" s="1" t="s">
        <v>98</v>
      </c>
      <c r="G1792" s="1" t="s">
        <v>141</v>
      </c>
      <c r="H1792" s="1">
        <v>0</v>
      </c>
      <c r="I1792" s="1" t="s">
        <v>235</v>
      </c>
      <c r="J1792" s="1"/>
      <c r="K1792" s="1"/>
      <c r="L1792" s="1" t="s">
        <v>236</v>
      </c>
      <c r="M1792" s="1" t="s">
        <v>3042</v>
      </c>
      <c r="N1792" s="1">
        <v>0</v>
      </c>
      <c r="O1792" s="1">
        <v>0</v>
      </c>
      <c r="P1792" s="1" t="s">
        <v>11863</v>
      </c>
      <c r="Q1792" s="1" t="s">
        <v>104</v>
      </c>
      <c r="R1792" s="1" t="s">
        <v>13304</v>
      </c>
      <c r="S1792" s="1" t="s">
        <v>13305</v>
      </c>
      <c r="T1792" s="1" t="s">
        <v>13306</v>
      </c>
      <c r="U1792" s="1" t="s">
        <v>13307</v>
      </c>
      <c r="V1792" s="1">
        <v>1</v>
      </c>
      <c r="W1792" s="1">
        <v>1</v>
      </c>
      <c r="X1792" s="1">
        <v>0</v>
      </c>
      <c r="Y1792" s="1">
        <v>0</v>
      </c>
      <c r="Z1792" s="1">
        <v>0</v>
      </c>
      <c r="AA1792" s="1">
        <v>2</v>
      </c>
      <c r="AB1792" s="1">
        <v>2</v>
      </c>
      <c r="AC1792" s="1" t="s">
        <v>109</v>
      </c>
      <c r="AD1792" s="1" t="s">
        <v>109</v>
      </c>
      <c r="AE1792" s="1" t="s">
        <v>109</v>
      </c>
      <c r="AF1792" s="1" t="s">
        <v>109</v>
      </c>
      <c r="AG1792" s="1" t="s">
        <v>109</v>
      </c>
      <c r="AH1792" s="1">
        <v>2</v>
      </c>
      <c r="AI1792" s="1" t="s">
        <v>109</v>
      </c>
      <c r="AJ1792" s="1">
        <v>2</v>
      </c>
      <c r="AK1792" s="1" t="s">
        <v>109</v>
      </c>
      <c r="AL1792" s="1" t="s">
        <v>109</v>
      </c>
      <c r="AM1792" s="1" t="s">
        <v>109</v>
      </c>
      <c r="AN1792" s="1" t="s">
        <v>109</v>
      </c>
      <c r="AO1792" s="1" t="s">
        <v>109</v>
      </c>
      <c r="AP1792" s="1"/>
      <c r="AQ1792" s="1">
        <v>2</v>
      </c>
      <c r="AR1792" s="1"/>
      <c r="AS1792" s="1" t="s">
        <v>13308</v>
      </c>
      <c r="AT1792" s="1">
        <v>0</v>
      </c>
      <c r="AU1792" s="1">
        <v>0</v>
      </c>
      <c r="AV1792" s="1">
        <v>0</v>
      </c>
      <c r="AW1792" s="1">
        <v>0</v>
      </c>
      <c r="AX1792" s="1">
        <v>0</v>
      </c>
      <c r="AY1792" s="1">
        <v>0</v>
      </c>
      <c r="AZ1792" s="1">
        <v>0</v>
      </c>
      <c r="BA1792" s="1">
        <v>0</v>
      </c>
      <c r="BB1792" s="1">
        <v>0</v>
      </c>
      <c r="BC1792" s="1">
        <v>0</v>
      </c>
      <c r="BD1792" s="1">
        <v>0</v>
      </c>
      <c r="BE1792" s="1">
        <v>0</v>
      </c>
      <c r="BF1792" s="1">
        <v>0</v>
      </c>
      <c r="BG1792" s="1">
        <v>0</v>
      </c>
      <c r="BH1792" s="1">
        <v>0</v>
      </c>
      <c r="BI1792" s="1">
        <v>0</v>
      </c>
      <c r="BJ1792" s="1">
        <v>0</v>
      </c>
      <c r="BK1792" s="1">
        <v>0</v>
      </c>
      <c r="BL1792" s="1">
        <v>0</v>
      </c>
      <c r="BM1792" s="1">
        <v>0</v>
      </c>
      <c r="BN1792" s="1">
        <v>0</v>
      </c>
      <c r="BO1792" s="1">
        <v>0</v>
      </c>
      <c r="BP1792" s="1">
        <v>0</v>
      </c>
      <c r="BQ1792" s="1">
        <v>0</v>
      </c>
      <c r="BR1792" s="1">
        <v>0</v>
      </c>
      <c r="BS1792" s="1" t="s">
        <v>109</v>
      </c>
      <c r="BT1792" s="1">
        <v>1865</v>
      </c>
      <c r="BU1792" s="1" t="s">
        <v>109</v>
      </c>
      <c r="BV1792" s="1"/>
      <c r="BW1792" s="1"/>
      <c r="BX1792" s="1"/>
      <c r="BY1792" s="1"/>
      <c r="BZ1792" s="1">
        <v>0</v>
      </c>
      <c r="CA1792" s="1">
        <v>2</v>
      </c>
      <c r="CB1792" s="1" t="s">
        <v>109</v>
      </c>
      <c r="CC1792" s="1">
        <v>2</v>
      </c>
      <c r="CD1792" s="1" t="s">
        <v>109</v>
      </c>
      <c r="CE1792" s="1" t="s">
        <v>109</v>
      </c>
      <c r="CF1792" s="1" t="s">
        <v>109</v>
      </c>
      <c r="CG1792" s="1" t="s">
        <v>109</v>
      </c>
      <c r="CH1792" s="1" t="s">
        <v>109</v>
      </c>
      <c r="CI1792" s="1" t="s">
        <v>109</v>
      </c>
      <c r="CJ1792" s="1" t="s">
        <v>109</v>
      </c>
      <c r="CK1792" s="1"/>
      <c r="CL1792" s="1">
        <v>0</v>
      </c>
      <c r="CM1792" s="1">
        <v>0</v>
      </c>
      <c r="CN1792" s="1">
        <v>0</v>
      </c>
    </row>
    <row r="1793" spans="1:92" ht="14.25" customHeight="1" x14ac:dyDescent="0.15">
      <c r="A1793" s="1" t="s">
        <v>13309</v>
      </c>
      <c r="B1793" s="1" t="s">
        <v>95</v>
      </c>
      <c r="C1793" s="1" t="s">
        <v>96</v>
      </c>
      <c r="D1793" s="1"/>
      <c r="E1793" s="1" t="s">
        <v>13310</v>
      </c>
      <c r="F1793" s="1" t="s">
        <v>98</v>
      </c>
      <c r="G1793" s="1" t="s">
        <v>141</v>
      </c>
      <c r="H1793" s="1">
        <v>0</v>
      </c>
      <c r="I1793" s="1" t="s">
        <v>725</v>
      </c>
      <c r="J1793" s="1"/>
      <c r="K1793" s="1"/>
      <c r="L1793" s="1" t="s">
        <v>1391</v>
      </c>
      <c r="M1793" s="1" t="s">
        <v>13311</v>
      </c>
      <c r="N1793" s="1">
        <v>0</v>
      </c>
      <c r="O1793" s="1">
        <v>0</v>
      </c>
      <c r="P1793" s="1" t="s">
        <v>4647</v>
      </c>
      <c r="Q1793" s="1" t="s">
        <v>104</v>
      </c>
      <c r="R1793" s="1" t="s">
        <v>13312</v>
      </c>
      <c r="S1793" s="1" t="s">
        <v>13313</v>
      </c>
      <c r="T1793" s="1" t="s">
        <v>13306</v>
      </c>
      <c r="U1793" s="1" t="s">
        <v>13314</v>
      </c>
      <c r="V1793" s="1">
        <v>1</v>
      </c>
      <c r="W1793" s="1">
        <v>1</v>
      </c>
      <c r="X1793" s="1">
        <v>0</v>
      </c>
      <c r="Y1793" s="1">
        <v>0</v>
      </c>
      <c r="Z1793" s="1">
        <v>0</v>
      </c>
      <c r="AA1793" s="1">
        <v>1</v>
      </c>
      <c r="AB1793" s="1">
        <v>1</v>
      </c>
      <c r="AC1793" s="1" t="s">
        <v>109</v>
      </c>
      <c r="AD1793" s="1" t="s">
        <v>109</v>
      </c>
      <c r="AE1793" s="1" t="s">
        <v>109</v>
      </c>
      <c r="AF1793" s="1" t="s">
        <v>109</v>
      </c>
      <c r="AG1793" s="1" t="s">
        <v>109</v>
      </c>
      <c r="AH1793" s="1">
        <v>1</v>
      </c>
      <c r="AI1793" s="1" t="s">
        <v>109</v>
      </c>
      <c r="AJ1793" s="1">
        <v>1</v>
      </c>
      <c r="AK1793" s="1" t="s">
        <v>109</v>
      </c>
      <c r="AL1793" s="1" t="s">
        <v>109</v>
      </c>
      <c r="AM1793" s="1" t="s">
        <v>109</v>
      </c>
      <c r="AN1793" s="1" t="s">
        <v>109</v>
      </c>
      <c r="AO1793" s="1" t="s">
        <v>109</v>
      </c>
      <c r="AP1793" s="1"/>
      <c r="AQ1793" s="1">
        <v>1</v>
      </c>
      <c r="AR1793" s="1"/>
      <c r="AS1793" s="1" t="s">
        <v>13315</v>
      </c>
      <c r="AT1793" s="1">
        <v>0</v>
      </c>
      <c r="AU1793" s="1">
        <v>0</v>
      </c>
      <c r="AV1793" s="1">
        <v>0</v>
      </c>
      <c r="AW1793" s="1">
        <v>0</v>
      </c>
      <c r="AX1793" s="1">
        <v>0</v>
      </c>
      <c r="AY1793" s="1">
        <v>0</v>
      </c>
      <c r="AZ1793" s="1">
        <v>0</v>
      </c>
      <c r="BA1793" s="1">
        <v>0</v>
      </c>
      <c r="BB1793" s="1">
        <v>0</v>
      </c>
      <c r="BC1793" s="1">
        <v>0</v>
      </c>
      <c r="BD1793" s="1">
        <v>0</v>
      </c>
      <c r="BE1793" s="1">
        <v>0</v>
      </c>
      <c r="BF1793" s="1">
        <v>0</v>
      </c>
      <c r="BG1793" s="1">
        <v>0</v>
      </c>
      <c r="BH1793" s="1">
        <v>0</v>
      </c>
      <c r="BI1793" s="1">
        <v>0</v>
      </c>
      <c r="BJ1793" s="1">
        <v>0</v>
      </c>
      <c r="BK1793" s="1">
        <v>0</v>
      </c>
      <c r="BL1793" s="1">
        <v>0</v>
      </c>
      <c r="BM1793" s="1">
        <v>0</v>
      </c>
      <c r="BN1793" s="1">
        <v>0</v>
      </c>
      <c r="BO1793" s="1">
        <v>0</v>
      </c>
      <c r="BP1793" s="1">
        <v>0</v>
      </c>
      <c r="BQ1793" s="1">
        <v>0</v>
      </c>
      <c r="BR1793" s="1">
        <v>0</v>
      </c>
      <c r="BS1793" s="1" t="s">
        <v>109</v>
      </c>
      <c r="BT1793" s="1">
        <v>1866</v>
      </c>
      <c r="BU1793" s="1" t="s">
        <v>109</v>
      </c>
      <c r="BV1793" s="1"/>
      <c r="BW1793" s="1"/>
      <c r="BX1793" s="1"/>
      <c r="BY1793" s="1"/>
      <c r="BZ1793" s="1">
        <v>0</v>
      </c>
      <c r="CA1793" s="1" t="s">
        <v>109</v>
      </c>
      <c r="CB1793" s="1" t="s">
        <v>109</v>
      </c>
      <c r="CC1793" s="1">
        <v>1</v>
      </c>
      <c r="CD1793" s="1" t="s">
        <v>109</v>
      </c>
      <c r="CE1793" s="1" t="s">
        <v>109</v>
      </c>
      <c r="CF1793" s="1" t="s">
        <v>109</v>
      </c>
      <c r="CG1793" s="1" t="s">
        <v>109</v>
      </c>
      <c r="CH1793" s="1" t="s">
        <v>109</v>
      </c>
      <c r="CI1793" s="1" t="s">
        <v>109</v>
      </c>
      <c r="CJ1793" s="1" t="s">
        <v>109</v>
      </c>
      <c r="CK1793" s="1"/>
      <c r="CL1793" s="1">
        <v>0</v>
      </c>
      <c r="CM1793" s="1">
        <v>0</v>
      </c>
      <c r="CN1793" s="1">
        <v>0</v>
      </c>
    </row>
    <row r="1794" spans="1:92" ht="14.25" customHeight="1" x14ac:dyDescent="0.15">
      <c r="A1794" s="1" t="s">
        <v>13316</v>
      </c>
      <c r="B1794" s="1" t="s">
        <v>674</v>
      </c>
      <c r="C1794" s="1" t="s">
        <v>675</v>
      </c>
      <c r="D1794" s="1"/>
      <c r="E1794" s="1" t="s">
        <v>13317</v>
      </c>
      <c r="F1794" s="1" t="s">
        <v>98</v>
      </c>
      <c r="G1794" s="1" t="s">
        <v>141</v>
      </c>
      <c r="H1794" s="1">
        <v>0</v>
      </c>
      <c r="I1794" s="1" t="s">
        <v>235</v>
      </c>
      <c r="J1794" s="1"/>
      <c r="K1794" s="1"/>
      <c r="L1794" s="1" t="s">
        <v>236</v>
      </c>
      <c r="M1794" s="1" t="s">
        <v>6625</v>
      </c>
      <c r="N1794" s="1">
        <v>1</v>
      </c>
      <c r="O1794" s="1">
        <v>0</v>
      </c>
      <c r="P1794" s="1"/>
      <c r="Q1794" s="1"/>
      <c r="R1794" s="1" t="s">
        <v>13318</v>
      </c>
      <c r="S1794" s="1" t="s">
        <v>13319</v>
      </c>
      <c r="T1794" s="1" t="s">
        <v>13306</v>
      </c>
      <c r="U1794" s="1" t="s">
        <v>13320</v>
      </c>
      <c r="V1794" s="1">
        <v>1</v>
      </c>
      <c r="W1794" s="1">
        <v>1</v>
      </c>
      <c r="X1794" s="1">
        <v>0</v>
      </c>
      <c r="Y1794" s="1">
        <v>0</v>
      </c>
      <c r="Z1794" s="1">
        <v>0</v>
      </c>
      <c r="AA1794" s="1">
        <v>3</v>
      </c>
      <c r="AB1794" s="1">
        <v>3</v>
      </c>
      <c r="AC1794" s="1" t="s">
        <v>109</v>
      </c>
      <c r="AD1794" s="1" t="s">
        <v>109</v>
      </c>
      <c r="AE1794" s="1" t="s">
        <v>109</v>
      </c>
      <c r="AF1794" s="1">
        <v>3</v>
      </c>
      <c r="AG1794" s="1" t="s">
        <v>109</v>
      </c>
      <c r="AH1794" s="1">
        <v>3</v>
      </c>
      <c r="AI1794" s="1" t="s">
        <v>109</v>
      </c>
      <c r="AJ1794" s="1">
        <v>3</v>
      </c>
      <c r="AK1794" s="1">
        <v>3</v>
      </c>
      <c r="AL1794" s="1" t="s">
        <v>109</v>
      </c>
      <c r="AM1794" s="1">
        <v>3</v>
      </c>
      <c r="AN1794" s="1" t="s">
        <v>109</v>
      </c>
      <c r="AO1794" s="1" t="s">
        <v>109</v>
      </c>
      <c r="AP1794" s="1"/>
      <c r="AQ1794" s="1">
        <v>3</v>
      </c>
      <c r="AR1794" s="1"/>
      <c r="AS1794" s="1" t="s">
        <v>13321</v>
      </c>
      <c r="AT1794" s="1">
        <v>0</v>
      </c>
      <c r="AU1794" s="1">
        <v>0</v>
      </c>
      <c r="AV1794" s="1">
        <v>0</v>
      </c>
      <c r="AW1794" s="1">
        <v>0</v>
      </c>
      <c r="AX1794" s="1">
        <v>0</v>
      </c>
      <c r="AY1794" s="1">
        <v>0</v>
      </c>
      <c r="AZ1794" s="1">
        <v>0</v>
      </c>
      <c r="BA1794" s="1">
        <v>0</v>
      </c>
      <c r="BB1794" s="1">
        <v>0</v>
      </c>
      <c r="BC1794" s="1">
        <v>0</v>
      </c>
      <c r="BD1794" s="1">
        <v>0</v>
      </c>
      <c r="BE1794" s="1">
        <v>0</v>
      </c>
      <c r="BF1794" s="1">
        <v>0</v>
      </c>
      <c r="BG1794" s="1">
        <v>0</v>
      </c>
      <c r="BH1794" s="1">
        <v>0</v>
      </c>
      <c r="BI1794" s="1">
        <v>0</v>
      </c>
      <c r="BJ1794" s="1">
        <v>0</v>
      </c>
      <c r="BK1794" s="1">
        <v>0</v>
      </c>
      <c r="BL1794" s="1">
        <v>0</v>
      </c>
      <c r="BM1794" s="1">
        <v>0</v>
      </c>
      <c r="BN1794" s="1">
        <v>0</v>
      </c>
      <c r="BO1794" s="1">
        <v>0</v>
      </c>
      <c r="BP1794" s="1">
        <v>0</v>
      </c>
      <c r="BQ1794" s="1">
        <v>0</v>
      </c>
      <c r="BR1794" s="1">
        <v>0</v>
      </c>
      <c r="BS1794" s="1" t="s">
        <v>109</v>
      </c>
      <c r="BT1794" s="1">
        <v>1867</v>
      </c>
      <c r="BU1794" s="1" t="s">
        <v>109</v>
      </c>
      <c r="BV1794" s="1"/>
      <c r="BW1794" s="1"/>
      <c r="BX1794" s="1"/>
      <c r="BY1794" s="1"/>
      <c r="BZ1794" s="1">
        <v>0</v>
      </c>
      <c r="CA1794" s="1" t="s">
        <v>109</v>
      </c>
      <c r="CB1794" s="1" t="s">
        <v>109</v>
      </c>
      <c r="CC1794" s="1">
        <v>3</v>
      </c>
      <c r="CD1794" s="1" t="s">
        <v>109</v>
      </c>
      <c r="CE1794" s="1">
        <v>3</v>
      </c>
      <c r="CF1794" s="1">
        <v>3</v>
      </c>
      <c r="CG1794" s="1" t="s">
        <v>109</v>
      </c>
      <c r="CH1794" s="1" t="s">
        <v>109</v>
      </c>
      <c r="CI1794" s="1" t="s">
        <v>109</v>
      </c>
      <c r="CJ1794" s="1" t="s">
        <v>109</v>
      </c>
      <c r="CK1794" s="1"/>
      <c r="CL1794" s="1">
        <v>0</v>
      </c>
      <c r="CM1794" s="1">
        <v>0</v>
      </c>
      <c r="CN1794" s="1">
        <v>0</v>
      </c>
    </row>
    <row r="1795" spans="1:92" ht="14.25" customHeight="1" x14ac:dyDescent="0.15">
      <c r="A1795" s="1" t="s">
        <v>13322</v>
      </c>
      <c r="B1795" s="1" t="s">
        <v>189</v>
      </c>
      <c r="C1795" s="1" t="s">
        <v>231</v>
      </c>
      <c r="D1795" s="1"/>
      <c r="E1795" s="1" t="s">
        <v>13323</v>
      </c>
      <c r="F1795" s="1" t="s">
        <v>98</v>
      </c>
      <c r="G1795" s="1" t="s">
        <v>13324</v>
      </c>
      <c r="H1795" s="1">
        <v>0</v>
      </c>
      <c r="I1795" s="1" t="s">
        <v>235</v>
      </c>
      <c r="J1795" s="1"/>
      <c r="K1795" s="1"/>
      <c r="L1795" s="1" t="s">
        <v>236</v>
      </c>
      <c r="M1795" s="1" t="s">
        <v>6144</v>
      </c>
      <c r="N1795" s="1">
        <v>1</v>
      </c>
      <c r="O1795" s="1">
        <v>0</v>
      </c>
      <c r="P1795" s="1"/>
      <c r="Q1795" s="1"/>
      <c r="R1795" s="1" t="s">
        <v>13325</v>
      </c>
      <c r="S1795" s="1" t="s">
        <v>13326</v>
      </c>
      <c r="T1795" s="1" t="s">
        <v>13306</v>
      </c>
      <c r="U1795" s="1" t="s">
        <v>13327</v>
      </c>
      <c r="V1795" s="1">
        <v>1</v>
      </c>
      <c r="W1795" s="1">
        <v>1</v>
      </c>
      <c r="X1795" s="1">
        <v>1</v>
      </c>
      <c r="Y1795" s="1">
        <v>0</v>
      </c>
      <c r="Z1795" s="1">
        <v>0</v>
      </c>
      <c r="AA1795" s="1">
        <v>4</v>
      </c>
      <c r="AB1795" s="1">
        <v>4</v>
      </c>
      <c r="AC1795" s="1" t="s">
        <v>109</v>
      </c>
      <c r="AD1795" s="1" t="s">
        <v>109</v>
      </c>
      <c r="AE1795" s="1" t="s">
        <v>109</v>
      </c>
      <c r="AF1795" s="1">
        <v>4</v>
      </c>
      <c r="AG1795" s="1" t="s">
        <v>109</v>
      </c>
      <c r="AH1795" s="1">
        <v>4</v>
      </c>
      <c r="AI1795" s="1">
        <v>4</v>
      </c>
      <c r="AJ1795" s="1">
        <v>4</v>
      </c>
      <c r="AK1795" s="1" t="s">
        <v>109</v>
      </c>
      <c r="AL1795" s="1" t="s">
        <v>109</v>
      </c>
      <c r="AM1795" s="1" t="s">
        <v>109</v>
      </c>
      <c r="AN1795" s="1">
        <v>4</v>
      </c>
      <c r="AO1795" s="1" t="s">
        <v>109</v>
      </c>
      <c r="AP1795" s="1"/>
      <c r="AQ1795" s="1">
        <v>4</v>
      </c>
      <c r="AR1795" s="1"/>
      <c r="AS1795" s="1" t="s">
        <v>13328</v>
      </c>
      <c r="AT1795" s="1">
        <v>0</v>
      </c>
      <c r="AU1795" s="1">
        <v>0</v>
      </c>
      <c r="AV1795" s="1">
        <v>0</v>
      </c>
      <c r="AW1795" s="1">
        <v>0</v>
      </c>
      <c r="AX1795" s="1">
        <v>0</v>
      </c>
      <c r="AY1795" s="1">
        <v>0</v>
      </c>
      <c r="AZ1795" s="1">
        <v>0</v>
      </c>
      <c r="BA1795" s="1">
        <v>0</v>
      </c>
      <c r="BB1795" s="1">
        <v>0</v>
      </c>
      <c r="BC1795" s="1">
        <v>0</v>
      </c>
      <c r="BD1795" s="1">
        <v>0</v>
      </c>
      <c r="BE1795" s="1">
        <v>0</v>
      </c>
      <c r="BF1795" s="1">
        <v>0</v>
      </c>
      <c r="BG1795" s="1">
        <v>0</v>
      </c>
      <c r="BH1795" s="1">
        <v>0</v>
      </c>
      <c r="BI1795" s="1">
        <v>0</v>
      </c>
      <c r="BJ1795" s="1">
        <v>0</v>
      </c>
      <c r="BK1795" s="1">
        <v>0</v>
      </c>
      <c r="BL1795" s="1">
        <v>0</v>
      </c>
      <c r="BM1795" s="1">
        <v>0</v>
      </c>
      <c r="BN1795" s="1">
        <v>0</v>
      </c>
      <c r="BO1795" s="1">
        <v>0</v>
      </c>
      <c r="BP1795" s="1">
        <v>0</v>
      </c>
      <c r="BQ1795" s="1">
        <v>0</v>
      </c>
      <c r="BR1795" s="1">
        <v>0</v>
      </c>
      <c r="BS1795" s="1" t="s">
        <v>109</v>
      </c>
      <c r="BT1795" s="1">
        <v>1868</v>
      </c>
      <c r="BU1795" s="1" t="s">
        <v>109</v>
      </c>
      <c r="BV1795" s="1"/>
      <c r="BW1795" s="1"/>
      <c r="BX1795" s="1"/>
      <c r="BY1795" s="1"/>
      <c r="BZ1795" s="1">
        <v>0</v>
      </c>
      <c r="CA1795" s="1" t="s">
        <v>109</v>
      </c>
      <c r="CB1795" s="1">
        <v>4</v>
      </c>
      <c r="CC1795" s="1">
        <v>4</v>
      </c>
      <c r="CD1795" s="1" t="s">
        <v>109</v>
      </c>
      <c r="CE1795" s="1" t="s">
        <v>109</v>
      </c>
      <c r="CF1795" s="1" t="s">
        <v>109</v>
      </c>
      <c r="CG1795" s="1" t="s">
        <v>109</v>
      </c>
      <c r="CH1795" s="1" t="s">
        <v>109</v>
      </c>
      <c r="CI1795" s="1" t="s">
        <v>109</v>
      </c>
      <c r="CJ1795" s="1" t="s">
        <v>109</v>
      </c>
      <c r="CK1795" s="1"/>
      <c r="CL1795" s="1">
        <v>0</v>
      </c>
      <c r="CM1795" s="1">
        <v>0</v>
      </c>
      <c r="CN1795" s="1">
        <v>0</v>
      </c>
    </row>
    <row r="1796" spans="1:92" ht="14.25" customHeight="1" x14ac:dyDescent="0.15">
      <c r="A1796" s="1" t="s">
        <v>13329</v>
      </c>
      <c r="B1796" s="1" t="s">
        <v>584</v>
      </c>
      <c r="C1796" s="1"/>
      <c r="D1796" s="1" t="s">
        <v>55</v>
      </c>
      <c r="E1796" s="1" t="s">
        <v>11825</v>
      </c>
      <c r="F1796" s="1" t="s">
        <v>98</v>
      </c>
      <c r="G1796" s="1" t="s">
        <v>13330</v>
      </c>
      <c r="H1796" s="1">
        <v>0</v>
      </c>
      <c r="I1796" s="1" t="s">
        <v>122</v>
      </c>
      <c r="J1796" s="1"/>
      <c r="K1796" s="1" t="s">
        <v>2091</v>
      </c>
      <c r="L1796" s="1"/>
      <c r="M1796" s="1" t="s">
        <v>125</v>
      </c>
      <c r="N1796" s="1">
        <v>0</v>
      </c>
      <c r="O1796" s="1">
        <v>0</v>
      </c>
      <c r="P1796" s="1" t="s">
        <v>2092</v>
      </c>
      <c r="Q1796" s="1" t="s">
        <v>268</v>
      </c>
      <c r="R1796" s="1" t="s">
        <v>13331</v>
      </c>
      <c r="S1796" s="1" t="s">
        <v>13332</v>
      </c>
      <c r="T1796" s="1" t="s">
        <v>13306</v>
      </c>
      <c r="U1796" s="1" t="s">
        <v>13333</v>
      </c>
      <c r="V1796" s="1">
        <v>1</v>
      </c>
      <c r="W1796" s="1">
        <v>1</v>
      </c>
      <c r="X1796" s="1">
        <v>1</v>
      </c>
      <c r="Y1796" s="1">
        <v>0</v>
      </c>
      <c r="Z1796" s="1">
        <v>1</v>
      </c>
      <c r="AA1796" s="1">
        <v>2</v>
      </c>
      <c r="AB1796" s="1">
        <v>2</v>
      </c>
      <c r="AC1796" s="1" t="s">
        <v>109</v>
      </c>
      <c r="AD1796" s="1">
        <v>2</v>
      </c>
      <c r="AE1796" s="1" t="s">
        <v>109</v>
      </c>
      <c r="AF1796" s="1" t="s">
        <v>109</v>
      </c>
      <c r="AG1796" s="1" t="s">
        <v>109</v>
      </c>
      <c r="AH1796" s="1" t="s">
        <v>109</v>
      </c>
      <c r="AI1796" s="1" t="s">
        <v>109</v>
      </c>
      <c r="AJ1796" s="1">
        <v>2</v>
      </c>
      <c r="AK1796" s="1" t="s">
        <v>109</v>
      </c>
      <c r="AL1796" s="1" t="s">
        <v>109</v>
      </c>
      <c r="AM1796" s="1" t="s">
        <v>109</v>
      </c>
      <c r="AN1796" s="1">
        <v>2</v>
      </c>
      <c r="AO1796" s="1" t="s">
        <v>109</v>
      </c>
      <c r="AP1796" s="1"/>
      <c r="AQ1796" s="1">
        <v>2</v>
      </c>
      <c r="AR1796" s="1"/>
      <c r="AS1796" s="1" t="s">
        <v>13334</v>
      </c>
      <c r="AT1796" s="1">
        <v>0</v>
      </c>
      <c r="AU1796" s="1">
        <v>0</v>
      </c>
      <c r="AV1796" s="1">
        <v>0</v>
      </c>
      <c r="AW1796" s="1">
        <v>0</v>
      </c>
      <c r="AX1796" s="1">
        <v>0</v>
      </c>
      <c r="AY1796" s="1">
        <v>0</v>
      </c>
      <c r="AZ1796" s="1">
        <v>0</v>
      </c>
      <c r="BA1796" s="1">
        <v>0</v>
      </c>
      <c r="BB1796" s="1">
        <v>0</v>
      </c>
      <c r="BC1796" s="1">
        <v>1</v>
      </c>
      <c r="BD1796" s="1">
        <v>0</v>
      </c>
      <c r="BE1796" s="1">
        <v>0</v>
      </c>
      <c r="BF1796" s="1">
        <v>0</v>
      </c>
      <c r="BG1796" s="1">
        <v>0</v>
      </c>
      <c r="BH1796" s="1">
        <v>0</v>
      </c>
      <c r="BI1796" s="1">
        <v>0</v>
      </c>
      <c r="BJ1796" s="1">
        <v>0</v>
      </c>
      <c r="BK1796" s="1">
        <v>0</v>
      </c>
      <c r="BL1796" s="1">
        <v>0</v>
      </c>
      <c r="BM1796" s="1">
        <v>0</v>
      </c>
      <c r="BN1796" s="1">
        <v>0</v>
      </c>
      <c r="BO1796" s="1">
        <v>0</v>
      </c>
      <c r="BP1796" s="1">
        <v>0</v>
      </c>
      <c r="BQ1796" s="1">
        <v>0</v>
      </c>
      <c r="BR1796" s="1">
        <v>0</v>
      </c>
      <c r="BS1796" s="1" t="s">
        <v>109</v>
      </c>
      <c r="BT1796" s="1">
        <v>1870</v>
      </c>
      <c r="BU1796" s="1" t="s">
        <v>109</v>
      </c>
      <c r="BV1796" s="1"/>
      <c r="BW1796" s="1"/>
      <c r="BX1796" s="1"/>
      <c r="BY1796" s="1"/>
      <c r="BZ1796" s="1">
        <v>0</v>
      </c>
      <c r="CA1796" s="1" t="s">
        <v>109</v>
      </c>
      <c r="CB1796" s="1" t="s">
        <v>109</v>
      </c>
      <c r="CC1796" s="1" t="s">
        <v>109</v>
      </c>
      <c r="CD1796" s="1" t="s">
        <v>109</v>
      </c>
      <c r="CE1796" s="1" t="s">
        <v>109</v>
      </c>
      <c r="CF1796" s="1" t="s">
        <v>109</v>
      </c>
      <c r="CG1796" s="1" t="s">
        <v>109</v>
      </c>
      <c r="CH1796" s="1" t="s">
        <v>109</v>
      </c>
      <c r="CI1796" s="1" t="s">
        <v>109</v>
      </c>
      <c r="CJ1796" s="1">
        <v>2</v>
      </c>
      <c r="CK1796" s="1"/>
      <c r="CL1796" s="1">
        <v>0</v>
      </c>
      <c r="CM1796" s="1">
        <v>0</v>
      </c>
      <c r="CN1796" s="1">
        <v>0</v>
      </c>
    </row>
    <row r="1797" spans="1:92" ht="14.25" customHeight="1" x14ac:dyDescent="0.15">
      <c r="A1797" s="1" t="s">
        <v>13335</v>
      </c>
      <c r="B1797" s="1" t="s">
        <v>584</v>
      </c>
      <c r="C1797" s="1"/>
      <c r="D1797" s="1" t="s">
        <v>13336</v>
      </c>
      <c r="E1797" s="1" t="s">
        <v>13337</v>
      </c>
      <c r="F1797" s="1" t="s">
        <v>98</v>
      </c>
      <c r="G1797" s="1" t="s">
        <v>13330</v>
      </c>
      <c r="H1797" s="1">
        <v>0</v>
      </c>
      <c r="I1797" s="1" t="s">
        <v>122</v>
      </c>
      <c r="J1797" s="1"/>
      <c r="K1797" s="1" t="s">
        <v>2091</v>
      </c>
      <c r="L1797" s="1"/>
      <c r="M1797" s="1" t="s">
        <v>125</v>
      </c>
      <c r="N1797" s="1">
        <v>0</v>
      </c>
      <c r="O1797" s="1">
        <v>0</v>
      </c>
      <c r="P1797" s="1" t="s">
        <v>13338</v>
      </c>
      <c r="Q1797" s="1" t="s">
        <v>268</v>
      </c>
      <c r="R1797" s="1" t="s">
        <v>13339</v>
      </c>
      <c r="S1797" s="1" t="s">
        <v>13340</v>
      </c>
      <c r="T1797" s="1" t="s">
        <v>13306</v>
      </c>
      <c r="U1797" s="1" t="s">
        <v>13341</v>
      </c>
      <c r="V1797" s="1">
        <v>1</v>
      </c>
      <c r="W1797" s="1">
        <v>1</v>
      </c>
      <c r="X1797" s="1">
        <v>1</v>
      </c>
      <c r="Y1797" s="1">
        <v>0</v>
      </c>
      <c r="Z1797" s="1">
        <v>1</v>
      </c>
      <c r="AA1797" s="1">
        <v>4</v>
      </c>
      <c r="AB1797" s="1">
        <v>4</v>
      </c>
      <c r="AC1797" s="1" t="s">
        <v>109</v>
      </c>
      <c r="AD1797" s="1">
        <v>4</v>
      </c>
      <c r="AE1797" s="1" t="s">
        <v>109</v>
      </c>
      <c r="AF1797" s="1" t="s">
        <v>109</v>
      </c>
      <c r="AG1797" s="1" t="s">
        <v>109</v>
      </c>
      <c r="AH1797" s="1" t="s">
        <v>109</v>
      </c>
      <c r="AI1797" s="1" t="s">
        <v>109</v>
      </c>
      <c r="AJ1797" s="1">
        <v>4</v>
      </c>
      <c r="AK1797" s="1" t="s">
        <v>109</v>
      </c>
      <c r="AL1797" s="1" t="s">
        <v>109</v>
      </c>
      <c r="AM1797" s="1" t="s">
        <v>109</v>
      </c>
      <c r="AN1797" s="1">
        <v>4</v>
      </c>
      <c r="AO1797" s="1" t="s">
        <v>109</v>
      </c>
      <c r="AP1797" s="1"/>
      <c r="AQ1797" s="1">
        <v>4</v>
      </c>
      <c r="AR1797" s="1"/>
      <c r="AS1797" s="1" t="s">
        <v>13342</v>
      </c>
      <c r="AT1797" s="1">
        <v>0</v>
      </c>
      <c r="AU1797" s="1">
        <v>0</v>
      </c>
      <c r="AV1797" s="1">
        <v>0</v>
      </c>
      <c r="AW1797" s="1">
        <v>0</v>
      </c>
      <c r="AX1797" s="1">
        <v>0</v>
      </c>
      <c r="AY1797" s="1">
        <v>0</v>
      </c>
      <c r="AZ1797" s="1">
        <v>0</v>
      </c>
      <c r="BA1797" s="1">
        <v>0</v>
      </c>
      <c r="BB1797" s="1">
        <v>0</v>
      </c>
      <c r="BC1797" s="1">
        <v>1</v>
      </c>
      <c r="BD1797" s="1">
        <v>0</v>
      </c>
      <c r="BE1797" s="1">
        <v>0</v>
      </c>
      <c r="BF1797" s="1">
        <v>0</v>
      </c>
      <c r="BG1797" s="1">
        <v>0</v>
      </c>
      <c r="BH1797" s="1">
        <v>0</v>
      </c>
      <c r="BI1797" s="1">
        <v>0</v>
      </c>
      <c r="BJ1797" s="1">
        <v>0</v>
      </c>
      <c r="BK1797" s="1">
        <v>0</v>
      </c>
      <c r="BL1797" s="1">
        <v>0</v>
      </c>
      <c r="BM1797" s="1">
        <v>0</v>
      </c>
      <c r="BN1797" s="1">
        <v>0</v>
      </c>
      <c r="BO1797" s="1">
        <v>0</v>
      </c>
      <c r="BP1797" s="1">
        <v>0</v>
      </c>
      <c r="BQ1797" s="1">
        <v>1</v>
      </c>
      <c r="BR1797" s="1">
        <v>0</v>
      </c>
      <c r="BS1797" s="1" t="s">
        <v>109</v>
      </c>
      <c r="BT1797" s="1">
        <v>1871</v>
      </c>
      <c r="BU1797" s="1" t="s">
        <v>109</v>
      </c>
      <c r="BV1797" s="1"/>
      <c r="BW1797" s="1"/>
      <c r="BX1797" s="1"/>
      <c r="BY1797" s="1"/>
      <c r="BZ1797" s="1">
        <v>0</v>
      </c>
      <c r="CA1797" s="1" t="s">
        <v>109</v>
      </c>
      <c r="CB1797" s="1" t="s">
        <v>109</v>
      </c>
      <c r="CC1797" s="1" t="s">
        <v>109</v>
      </c>
      <c r="CD1797" s="1" t="s">
        <v>109</v>
      </c>
      <c r="CE1797" s="1" t="s">
        <v>109</v>
      </c>
      <c r="CF1797" s="1" t="s">
        <v>109</v>
      </c>
      <c r="CG1797" s="1" t="s">
        <v>109</v>
      </c>
      <c r="CH1797" s="1" t="s">
        <v>109</v>
      </c>
      <c r="CI1797" s="1" t="s">
        <v>109</v>
      </c>
      <c r="CJ1797" s="1">
        <v>4</v>
      </c>
      <c r="CK1797" s="1"/>
      <c r="CL1797" s="1">
        <v>0</v>
      </c>
      <c r="CM1797" s="1">
        <v>0</v>
      </c>
      <c r="CN1797" s="1">
        <v>0</v>
      </c>
    </row>
    <row r="1798" spans="1:92" ht="14.25" customHeight="1" x14ac:dyDescent="0.15">
      <c r="A1798" s="1" t="s">
        <v>13343</v>
      </c>
      <c r="B1798" s="1" t="s">
        <v>584</v>
      </c>
      <c r="C1798" s="1"/>
      <c r="D1798" s="1" t="s">
        <v>47</v>
      </c>
      <c r="E1798" s="1" t="s">
        <v>13344</v>
      </c>
      <c r="F1798" s="1" t="s">
        <v>98</v>
      </c>
      <c r="G1798" s="1" t="s">
        <v>141</v>
      </c>
      <c r="H1798" s="1">
        <v>0</v>
      </c>
      <c r="I1798" s="1" t="s">
        <v>142</v>
      </c>
      <c r="J1798" s="1"/>
      <c r="K1798" s="1"/>
      <c r="L1798" s="1" t="s">
        <v>13345</v>
      </c>
      <c r="M1798" s="1" t="s">
        <v>144</v>
      </c>
      <c r="N1798" s="1">
        <v>0</v>
      </c>
      <c r="O1798" s="1">
        <v>0</v>
      </c>
      <c r="P1798" s="1" t="s">
        <v>7818</v>
      </c>
      <c r="Q1798" s="1" t="s">
        <v>268</v>
      </c>
      <c r="R1798" s="1" t="s">
        <v>13346</v>
      </c>
      <c r="S1798" s="1" t="s">
        <v>13347</v>
      </c>
      <c r="T1798" s="1" t="s">
        <v>13306</v>
      </c>
      <c r="U1798" s="1" t="s">
        <v>13348</v>
      </c>
      <c r="V1798" s="1">
        <v>1</v>
      </c>
      <c r="W1798" s="1">
        <v>1</v>
      </c>
      <c r="X1798" s="1">
        <v>0</v>
      </c>
      <c r="Y1798" s="1">
        <v>0</v>
      </c>
      <c r="Z1798" s="1">
        <v>0</v>
      </c>
      <c r="AA1798" s="1">
        <v>3</v>
      </c>
      <c r="AB1798" s="1">
        <v>3</v>
      </c>
      <c r="AC1798" s="1" t="s">
        <v>109</v>
      </c>
      <c r="AD1798" s="1">
        <v>3</v>
      </c>
      <c r="AE1798" s="1" t="s">
        <v>109</v>
      </c>
      <c r="AF1798" s="1" t="s">
        <v>109</v>
      </c>
      <c r="AG1798" s="1" t="s">
        <v>109</v>
      </c>
      <c r="AH1798" s="1" t="s">
        <v>109</v>
      </c>
      <c r="AI1798" s="1" t="s">
        <v>109</v>
      </c>
      <c r="AJ1798" s="1">
        <v>3</v>
      </c>
      <c r="AK1798" s="1" t="s">
        <v>109</v>
      </c>
      <c r="AL1798" s="1" t="s">
        <v>109</v>
      </c>
      <c r="AM1798" s="1" t="s">
        <v>109</v>
      </c>
      <c r="AN1798" s="1">
        <v>3</v>
      </c>
      <c r="AO1798" s="1" t="s">
        <v>109</v>
      </c>
      <c r="AP1798" s="1"/>
      <c r="AQ1798" s="1">
        <v>3</v>
      </c>
      <c r="AR1798" s="1"/>
      <c r="AS1798" s="1" t="s">
        <v>13349</v>
      </c>
      <c r="AT1798" s="1">
        <v>0</v>
      </c>
      <c r="AU1798" s="1">
        <v>1</v>
      </c>
      <c r="AV1798" s="1">
        <v>0</v>
      </c>
      <c r="AW1798" s="1">
        <v>0</v>
      </c>
      <c r="AX1798" s="1">
        <v>0</v>
      </c>
      <c r="AY1798" s="1">
        <v>0</v>
      </c>
      <c r="AZ1798" s="1">
        <v>0</v>
      </c>
      <c r="BA1798" s="1">
        <v>0</v>
      </c>
      <c r="BB1798" s="1">
        <v>0</v>
      </c>
      <c r="BC1798" s="1">
        <v>0</v>
      </c>
      <c r="BD1798" s="1">
        <v>0</v>
      </c>
      <c r="BE1798" s="1">
        <v>0</v>
      </c>
      <c r="BF1798" s="1">
        <v>0</v>
      </c>
      <c r="BG1798" s="1">
        <v>0</v>
      </c>
      <c r="BH1798" s="1">
        <v>0</v>
      </c>
      <c r="BI1798" s="1">
        <v>0</v>
      </c>
      <c r="BJ1798" s="1">
        <v>0</v>
      </c>
      <c r="BK1798" s="1">
        <v>0</v>
      </c>
      <c r="BL1798" s="1">
        <v>0</v>
      </c>
      <c r="BM1798" s="1">
        <v>0</v>
      </c>
      <c r="BN1798" s="1">
        <v>0</v>
      </c>
      <c r="BO1798" s="1">
        <v>0</v>
      </c>
      <c r="BP1798" s="1">
        <v>0</v>
      </c>
      <c r="BQ1798" s="1">
        <v>0</v>
      </c>
      <c r="BR1798" s="1">
        <v>0</v>
      </c>
      <c r="BS1798" s="1" t="s">
        <v>109</v>
      </c>
      <c r="BT1798" s="1">
        <v>1872</v>
      </c>
      <c r="BU1798" s="1" t="s">
        <v>109</v>
      </c>
      <c r="BV1798" s="1"/>
      <c r="BW1798" s="1"/>
      <c r="BX1798" s="1"/>
      <c r="BY1798" s="1"/>
      <c r="BZ1798" s="1">
        <v>0</v>
      </c>
      <c r="CA1798" s="1">
        <v>3</v>
      </c>
      <c r="CB1798" s="1">
        <v>4</v>
      </c>
      <c r="CC1798" s="1" t="s">
        <v>109</v>
      </c>
      <c r="CD1798" s="1" t="s">
        <v>109</v>
      </c>
      <c r="CE1798" s="1" t="s">
        <v>109</v>
      </c>
      <c r="CF1798" s="1" t="s">
        <v>109</v>
      </c>
      <c r="CG1798" s="1" t="s">
        <v>109</v>
      </c>
      <c r="CH1798" s="1" t="s">
        <v>109</v>
      </c>
      <c r="CI1798" s="1" t="s">
        <v>109</v>
      </c>
      <c r="CJ1798" s="1">
        <v>3</v>
      </c>
      <c r="CK1798" s="1"/>
      <c r="CL1798" s="1">
        <v>0</v>
      </c>
      <c r="CM1798" s="1">
        <v>0</v>
      </c>
      <c r="CN1798" s="1">
        <v>0</v>
      </c>
    </row>
    <row r="1799" spans="1:92" ht="14.25" customHeight="1" x14ac:dyDescent="0.15">
      <c r="A1799" s="1" t="s">
        <v>13350</v>
      </c>
      <c r="B1799" s="1" t="s">
        <v>189</v>
      </c>
      <c r="C1799" s="1"/>
      <c r="D1799" s="1" t="s">
        <v>47</v>
      </c>
      <c r="E1799" s="1" t="s">
        <v>13351</v>
      </c>
      <c r="F1799" s="1" t="s">
        <v>98</v>
      </c>
      <c r="G1799" s="1" t="s">
        <v>13352</v>
      </c>
      <c r="H1799" s="1">
        <v>0</v>
      </c>
      <c r="I1799" s="1" t="s">
        <v>235</v>
      </c>
      <c r="J1799" s="1"/>
      <c r="K1799" s="1"/>
      <c r="L1799" s="1" t="s">
        <v>236</v>
      </c>
      <c r="M1799" s="1" t="s">
        <v>3042</v>
      </c>
      <c r="N1799" s="1">
        <v>0</v>
      </c>
      <c r="O1799" s="1">
        <v>0</v>
      </c>
      <c r="P1799" s="1"/>
      <c r="Q1799" s="1"/>
      <c r="R1799" s="1" t="s">
        <v>13353</v>
      </c>
      <c r="S1799" s="1" t="s">
        <v>13354</v>
      </c>
      <c r="T1799" s="1" t="s">
        <v>13306</v>
      </c>
      <c r="U1799" s="1" t="s">
        <v>13355</v>
      </c>
      <c r="V1799" s="1">
        <v>1</v>
      </c>
      <c r="W1799" s="1">
        <v>1</v>
      </c>
      <c r="X1799" s="1">
        <v>1</v>
      </c>
      <c r="Y1799" s="1">
        <v>0</v>
      </c>
      <c r="Z1799" s="1">
        <v>0</v>
      </c>
      <c r="AA1799" s="1">
        <v>2</v>
      </c>
      <c r="AB1799" s="1">
        <v>2</v>
      </c>
      <c r="AC1799" s="1">
        <v>2</v>
      </c>
      <c r="AD1799" s="1">
        <v>2</v>
      </c>
      <c r="AE1799" s="1">
        <v>2</v>
      </c>
      <c r="AF1799" s="1">
        <v>2</v>
      </c>
      <c r="AG1799" s="1" t="s">
        <v>109</v>
      </c>
      <c r="AH1799" s="1">
        <v>2</v>
      </c>
      <c r="AI1799" s="1" t="s">
        <v>109</v>
      </c>
      <c r="AJ1799" s="1">
        <v>2</v>
      </c>
      <c r="AK1799" s="1" t="s">
        <v>109</v>
      </c>
      <c r="AL1799" s="1">
        <v>2</v>
      </c>
      <c r="AM1799" s="1" t="s">
        <v>109</v>
      </c>
      <c r="AN1799" s="1" t="s">
        <v>109</v>
      </c>
      <c r="AO1799" s="1" t="s">
        <v>109</v>
      </c>
      <c r="AP1799" s="1"/>
      <c r="AQ1799" s="1">
        <v>2</v>
      </c>
      <c r="AR1799" s="1"/>
      <c r="AS1799" s="1" t="s">
        <v>13356</v>
      </c>
      <c r="AT1799" s="1">
        <v>0</v>
      </c>
      <c r="AU1799" s="1">
        <v>1</v>
      </c>
      <c r="AV1799" s="1">
        <v>0</v>
      </c>
      <c r="AW1799" s="1">
        <v>0</v>
      </c>
      <c r="AX1799" s="1">
        <v>0</v>
      </c>
      <c r="AY1799" s="1">
        <v>0</v>
      </c>
      <c r="AZ1799" s="1">
        <v>0</v>
      </c>
      <c r="BA1799" s="1">
        <v>0</v>
      </c>
      <c r="BB1799" s="1">
        <v>0</v>
      </c>
      <c r="BC1799" s="1">
        <v>0</v>
      </c>
      <c r="BD1799" s="1">
        <v>0</v>
      </c>
      <c r="BE1799" s="1">
        <v>0</v>
      </c>
      <c r="BF1799" s="1">
        <v>0</v>
      </c>
      <c r="BG1799" s="1">
        <v>0</v>
      </c>
      <c r="BH1799" s="1">
        <v>0</v>
      </c>
      <c r="BI1799" s="1">
        <v>0</v>
      </c>
      <c r="BJ1799" s="1">
        <v>0</v>
      </c>
      <c r="BK1799" s="1">
        <v>0</v>
      </c>
      <c r="BL1799" s="1">
        <v>0</v>
      </c>
      <c r="BM1799" s="1">
        <v>0</v>
      </c>
      <c r="BN1799" s="1">
        <v>0</v>
      </c>
      <c r="BO1799" s="1">
        <v>0</v>
      </c>
      <c r="BP1799" s="1">
        <v>0</v>
      </c>
      <c r="BQ1799" s="1">
        <v>0</v>
      </c>
      <c r="BR1799" s="1">
        <v>0</v>
      </c>
      <c r="BS1799" s="1" t="s">
        <v>109</v>
      </c>
      <c r="BT1799" s="1">
        <v>1873</v>
      </c>
      <c r="BU1799" s="1" t="s">
        <v>109</v>
      </c>
      <c r="BV1799" s="1"/>
      <c r="BW1799" s="1"/>
      <c r="BX1799" s="1"/>
      <c r="BY1799" s="1"/>
      <c r="BZ1799" s="1">
        <v>0</v>
      </c>
      <c r="CA1799" s="1" t="s">
        <v>109</v>
      </c>
      <c r="CB1799" s="1" t="s">
        <v>109</v>
      </c>
      <c r="CC1799" s="1" t="s">
        <v>109</v>
      </c>
      <c r="CD1799" s="1" t="s">
        <v>109</v>
      </c>
      <c r="CE1799" s="1" t="s">
        <v>109</v>
      </c>
      <c r="CF1799" s="1">
        <v>2</v>
      </c>
      <c r="CG1799" s="1" t="s">
        <v>109</v>
      </c>
      <c r="CH1799" s="1" t="s">
        <v>109</v>
      </c>
      <c r="CI1799" s="1" t="s">
        <v>109</v>
      </c>
      <c r="CJ1799" s="1">
        <v>2</v>
      </c>
      <c r="CK1799" s="1"/>
      <c r="CL1799" s="1">
        <v>0</v>
      </c>
      <c r="CM1799" s="1">
        <v>0</v>
      </c>
      <c r="CN1799" s="1">
        <v>0</v>
      </c>
    </row>
    <row r="1800" spans="1:92" ht="14.25" customHeight="1" x14ac:dyDescent="0.15">
      <c r="A1800" s="1" t="s">
        <v>13357</v>
      </c>
      <c r="B1800" s="1" t="s">
        <v>189</v>
      </c>
      <c r="C1800" s="1"/>
      <c r="D1800" s="1" t="s">
        <v>211</v>
      </c>
      <c r="E1800" s="1" t="s">
        <v>4221</v>
      </c>
      <c r="F1800" s="1" t="s">
        <v>98</v>
      </c>
      <c r="G1800" s="1" t="s">
        <v>160</v>
      </c>
      <c r="H1800" s="1">
        <v>0</v>
      </c>
      <c r="I1800" s="1" t="s">
        <v>161</v>
      </c>
      <c r="J1800" s="1"/>
      <c r="K1800" s="1"/>
      <c r="L1800" s="1" t="s">
        <v>13358</v>
      </c>
      <c r="M1800" s="1" t="s">
        <v>3042</v>
      </c>
      <c r="N1800" s="1">
        <v>0</v>
      </c>
      <c r="O1800" s="1">
        <v>0</v>
      </c>
      <c r="P1800" s="1" t="s">
        <v>215</v>
      </c>
      <c r="Q1800" s="1" t="s">
        <v>216</v>
      </c>
      <c r="R1800" s="1" t="s">
        <v>13359</v>
      </c>
      <c r="S1800" s="1" t="s">
        <v>13360</v>
      </c>
      <c r="T1800" s="1" t="s">
        <v>13306</v>
      </c>
      <c r="U1800" s="1" t="s">
        <v>13361</v>
      </c>
      <c r="V1800" s="1">
        <v>1</v>
      </c>
      <c r="W1800" s="1">
        <v>1</v>
      </c>
      <c r="X1800" s="1">
        <v>0</v>
      </c>
      <c r="Y1800" s="1">
        <v>0</v>
      </c>
      <c r="Z1800" s="1">
        <v>1</v>
      </c>
      <c r="AA1800" s="1" t="s">
        <v>109</v>
      </c>
      <c r="AB1800" s="1" t="s">
        <v>109</v>
      </c>
      <c r="AC1800" s="1">
        <v>3</v>
      </c>
      <c r="AD1800" s="1" t="s">
        <v>109</v>
      </c>
      <c r="AE1800" s="1" t="s">
        <v>109</v>
      </c>
      <c r="AF1800" s="1" t="s">
        <v>109</v>
      </c>
      <c r="AG1800" s="1" t="s">
        <v>109</v>
      </c>
      <c r="AH1800" s="1" t="s">
        <v>109</v>
      </c>
      <c r="AI1800" s="1" t="s">
        <v>109</v>
      </c>
      <c r="AJ1800" s="1" t="s">
        <v>109</v>
      </c>
      <c r="AK1800" s="1">
        <v>3</v>
      </c>
      <c r="AL1800" s="1">
        <v>3</v>
      </c>
      <c r="AM1800" s="1" t="s">
        <v>109</v>
      </c>
      <c r="AN1800" s="1" t="s">
        <v>109</v>
      </c>
      <c r="AO1800" s="1" t="s">
        <v>109</v>
      </c>
      <c r="AP1800" s="1"/>
      <c r="AQ1800" s="1">
        <v>3</v>
      </c>
      <c r="AR1800" s="1"/>
      <c r="AS1800" s="1" t="s">
        <v>13362</v>
      </c>
      <c r="AT1800" s="1">
        <v>0</v>
      </c>
      <c r="AU1800" s="1">
        <v>0</v>
      </c>
      <c r="AV1800" s="1">
        <v>0</v>
      </c>
      <c r="AW1800" s="1">
        <v>0</v>
      </c>
      <c r="AX1800" s="1">
        <v>0</v>
      </c>
      <c r="AY1800" s="1">
        <v>0</v>
      </c>
      <c r="AZ1800" s="1">
        <v>0</v>
      </c>
      <c r="BA1800" s="1">
        <v>0</v>
      </c>
      <c r="BB1800" s="1">
        <v>0</v>
      </c>
      <c r="BC1800" s="1">
        <v>0</v>
      </c>
      <c r="BD1800" s="1">
        <v>0</v>
      </c>
      <c r="BE1800" s="1">
        <v>0</v>
      </c>
      <c r="BF1800" s="1">
        <v>0</v>
      </c>
      <c r="BG1800" s="1">
        <v>0</v>
      </c>
      <c r="BH1800" s="1">
        <v>0</v>
      </c>
      <c r="BI1800" s="1">
        <v>0</v>
      </c>
      <c r="BJ1800" s="1">
        <v>0</v>
      </c>
      <c r="BK1800" s="1">
        <v>0</v>
      </c>
      <c r="BL1800" s="1">
        <v>0</v>
      </c>
      <c r="BM1800" s="1">
        <v>0</v>
      </c>
      <c r="BN1800" s="1">
        <v>0</v>
      </c>
      <c r="BO1800" s="1">
        <v>0</v>
      </c>
      <c r="BP1800" s="1">
        <v>0</v>
      </c>
      <c r="BQ1800" s="1">
        <v>0</v>
      </c>
      <c r="BR1800" s="1">
        <v>0</v>
      </c>
      <c r="BS1800" s="1" t="s">
        <v>109</v>
      </c>
      <c r="BT1800" s="1">
        <v>1874</v>
      </c>
      <c r="BU1800" s="1" t="s">
        <v>109</v>
      </c>
      <c r="BV1800" s="1"/>
      <c r="BW1800" s="1"/>
      <c r="BX1800" s="1"/>
      <c r="BY1800" s="1"/>
      <c r="BZ1800" s="1">
        <v>0</v>
      </c>
      <c r="CA1800" s="1" t="s">
        <v>109</v>
      </c>
      <c r="CB1800" s="1" t="s">
        <v>109</v>
      </c>
      <c r="CC1800" s="1" t="s">
        <v>109</v>
      </c>
      <c r="CD1800" s="1" t="s">
        <v>109</v>
      </c>
      <c r="CE1800" s="1" t="s">
        <v>109</v>
      </c>
      <c r="CF1800" s="1" t="s">
        <v>109</v>
      </c>
      <c r="CG1800" s="1" t="s">
        <v>109</v>
      </c>
      <c r="CH1800" s="1" t="s">
        <v>109</v>
      </c>
      <c r="CI1800" s="1" t="s">
        <v>109</v>
      </c>
      <c r="CJ1800" s="1" t="s">
        <v>109</v>
      </c>
      <c r="CK1800" s="1"/>
      <c r="CL1800" s="1">
        <v>0</v>
      </c>
      <c r="CM1800" s="1">
        <v>0</v>
      </c>
      <c r="CN1800" s="1">
        <v>0</v>
      </c>
    </row>
    <row r="1801" spans="1:92" ht="14.25" customHeight="1" x14ac:dyDescent="0.15">
      <c r="A1801" s="1" t="s">
        <v>13363</v>
      </c>
      <c r="B1801" s="1" t="s">
        <v>674</v>
      </c>
      <c r="C1801" s="1" t="s">
        <v>2300</v>
      </c>
      <c r="D1801" s="1"/>
      <c r="E1801" s="1" t="s">
        <v>13364</v>
      </c>
      <c r="F1801" s="1" t="s">
        <v>98</v>
      </c>
      <c r="G1801" s="1" t="s">
        <v>13365</v>
      </c>
      <c r="H1801" s="1">
        <v>0</v>
      </c>
      <c r="I1801" s="1" t="s">
        <v>142</v>
      </c>
      <c r="J1801" s="1"/>
      <c r="K1801" s="1"/>
      <c r="L1801" s="1" t="s">
        <v>13366</v>
      </c>
      <c r="M1801" s="1" t="s">
        <v>815</v>
      </c>
      <c r="N1801" s="1">
        <v>1</v>
      </c>
      <c r="O1801" s="1">
        <v>0</v>
      </c>
      <c r="P1801" s="1" t="s">
        <v>5812</v>
      </c>
      <c r="Q1801" s="1" t="s">
        <v>630</v>
      </c>
      <c r="R1801" s="1" t="s">
        <v>13367</v>
      </c>
      <c r="S1801" s="1" t="s">
        <v>13368</v>
      </c>
      <c r="T1801" s="1" t="s">
        <v>13306</v>
      </c>
      <c r="U1801" s="1" t="s">
        <v>13369</v>
      </c>
      <c r="V1801" s="1">
        <v>1</v>
      </c>
      <c r="W1801" s="1">
        <v>1</v>
      </c>
      <c r="X1801" s="1">
        <v>0</v>
      </c>
      <c r="Y1801" s="1">
        <v>0</v>
      </c>
      <c r="Z1801" s="1">
        <v>0</v>
      </c>
      <c r="AA1801" s="1">
        <v>1</v>
      </c>
      <c r="AB1801" s="1">
        <v>1</v>
      </c>
      <c r="AC1801" s="1" t="s">
        <v>109</v>
      </c>
      <c r="AD1801" s="1" t="s">
        <v>109</v>
      </c>
      <c r="AE1801" s="1" t="s">
        <v>109</v>
      </c>
      <c r="AF1801" s="1">
        <v>1</v>
      </c>
      <c r="AG1801" s="1" t="s">
        <v>109</v>
      </c>
      <c r="AH1801" s="1" t="s">
        <v>109</v>
      </c>
      <c r="AI1801" s="1" t="s">
        <v>109</v>
      </c>
      <c r="AJ1801" s="1">
        <v>1</v>
      </c>
      <c r="AK1801" s="1" t="s">
        <v>109</v>
      </c>
      <c r="AL1801" s="1" t="s">
        <v>109</v>
      </c>
      <c r="AM1801" s="1" t="s">
        <v>109</v>
      </c>
      <c r="AN1801" s="1" t="s">
        <v>109</v>
      </c>
      <c r="AO1801" s="1" t="s">
        <v>109</v>
      </c>
      <c r="AP1801" s="1"/>
      <c r="AQ1801" s="1">
        <v>1</v>
      </c>
      <c r="AR1801" s="1"/>
      <c r="AS1801" s="1" t="s">
        <v>13370</v>
      </c>
      <c r="AT1801" s="1">
        <v>0</v>
      </c>
      <c r="AU1801" s="1">
        <v>0</v>
      </c>
      <c r="AV1801" s="1">
        <v>0</v>
      </c>
      <c r="AW1801" s="1">
        <v>0</v>
      </c>
      <c r="AX1801" s="1">
        <v>0</v>
      </c>
      <c r="AY1801" s="1">
        <v>0</v>
      </c>
      <c r="AZ1801" s="1">
        <v>0</v>
      </c>
      <c r="BA1801" s="1">
        <v>0</v>
      </c>
      <c r="BB1801" s="1">
        <v>0</v>
      </c>
      <c r="BC1801" s="1">
        <v>0</v>
      </c>
      <c r="BD1801" s="1">
        <v>0</v>
      </c>
      <c r="BE1801" s="1">
        <v>0</v>
      </c>
      <c r="BF1801" s="1">
        <v>0</v>
      </c>
      <c r="BG1801" s="1">
        <v>0</v>
      </c>
      <c r="BH1801" s="1">
        <v>0</v>
      </c>
      <c r="BI1801" s="1">
        <v>0</v>
      </c>
      <c r="BJ1801" s="1">
        <v>0</v>
      </c>
      <c r="BK1801" s="1">
        <v>0</v>
      </c>
      <c r="BL1801" s="1">
        <v>0</v>
      </c>
      <c r="BM1801" s="1">
        <v>0</v>
      </c>
      <c r="BN1801" s="1">
        <v>0</v>
      </c>
      <c r="BO1801" s="1">
        <v>0</v>
      </c>
      <c r="BP1801" s="1">
        <v>0</v>
      </c>
      <c r="BQ1801" s="1">
        <v>0</v>
      </c>
      <c r="BR1801" s="1">
        <v>0</v>
      </c>
      <c r="BS1801" s="1" t="s">
        <v>109</v>
      </c>
      <c r="BT1801" s="1">
        <v>1875</v>
      </c>
      <c r="BU1801" s="1" t="s">
        <v>109</v>
      </c>
      <c r="BV1801" s="1"/>
      <c r="BW1801" s="1"/>
      <c r="BX1801" s="1"/>
      <c r="BY1801" s="1"/>
      <c r="BZ1801" s="1">
        <v>0</v>
      </c>
      <c r="CA1801" s="1" t="s">
        <v>109</v>
      </c>
      <c r="CB1801" s="1" t="s">
        <v>109</v>
      </c>
      <c r="CC1801" s="1" t="s">
        <v>109</v>
      </c>
      <c r="CD1801" s="1" t="s">
        <v>109</v>
      </c>
      <c r="CE1801" s="1" t="s">
        <v>109</v>
      </c>
      <c r="CF1801" s="1">
        <v>1</v>
      </c>
      <c r="CG1801" s="1" t="s">
        <v>109</v>
      </c>
      <c r="CH1801" s="1" t="s">
        <v>109</v>
      </c>
      <c r="CI1801" s="1" t="s">
        <v>109</v>
      </c>
      <c r="CJ1801" s="1" t="s">
        <v>109</v>
      </c>
      <c r="CK1801" s="1"/>
      <c r="CL1801" s="1">
        <v>0</v>
      </c>
      <c r="CM1801" s="1">
        <v>0</v>
      </c>
      <c r="CN1801" s="1">
        <v>0</v>
      </c>
    </row>
    <row r="1802" spans="1:92" ht="14.25" customHeight="1" x14ac:dyDescent="0.15">
      <c r="A1802" s="1" t="s">
        <v>13371</v>
      </c>
      <c r="B1802" s="1" t="s">
        <v>189</v>
      </c>
      <c r="C1802" s="1"/>
      <c r="D1802" s="1"/>
      <c r="E1802" s="1" t="s">
        <v>13372</v>
      </c>
      <c r="F1802" s="1" t="s">
        <v>98</v>
      </c>
      <c r="G1802" s="1" t="s">
        <v>13373</v>
      </c>
      <c r="H1802" s="1">
        <v>0</v>
      </c>
      <c r="I1802" s="1" t="s">
        <v>235</v>
      </c>
      <c r="J1802" s="1"/>
      <c r="K1802" s="1"/>
      <c r="L1802" s="1" t="s">
        <v>236</v>
      </c>
      <c r="M1802" s="1" t="s">
        <v>6625</v>
      </c>
      <c r="N1802" s="1">
        <v>1</v>
      </c>
      <c r="O1802" s="1">
        <v>0</v>
      </c>
      <c r="P1802" s="1"/>
      <c r="Q1802" s="1"/>
      <c r="R1802" s="1" t="s">
        <v>13374</v>
      </c>
      <c r="S1802" s="1" t="s">
        <v>13375</v>
      </c>
      <c r="T1802" s="1" t="s">
        <v>13306</v>
      </c>
      <c r="U1802" s="1" t="s">
        <v>13376</v>
      </c>
      <c r="V1802" s="1">
        <v>1</v>
      </c>
      <c r="W1802" s="1">
        <v>1</v>
      </c>
      <c r="X1802" s="1">
        <v>1</v>
      </c>
      <c r="Y1802" s="1">
        <v>0</v>
      </c>
      <c r="Z1802" s="1">
        <v>0</v>
      </c>
      <c r="AA1802" s="1">
        <v>3</v>
      </c>
      <c r="AB1802" s="1">
        <v>3</v>
      </c>
      <c r="AC1802" s="1" t="s">
        <v>109</v>
      </c>
      <c r="AD1802" s="1">
        <v>3</v>
      </c>
      <c r="AE1802" s="1" t="s">
        <v>109</v>
      </c>
      <c r="AF1802" s="1" t="s">
        <v>109</v>
      </c>
      <c r="AG1802" s="1" t="s">
        <v>109</v>
      </c>
      <c r="AH1802" s="1">
        <v>3</v>
      </c>
      <c r="AI1802" s="1" t="s">
        <v>109</v>
      </c>
      <c r="AJ1802" s="1">
        <v>3</v>
      </c>
      <c r="AK1802" s="1" t="s">
        <v>109</v>
      </c>
      <c r="AL1802" s="1" t="s">
        <v>109</v>
      </c>
      <c r="AM1802" s="1" t="s">
        <v>109</v>
      </c>
      <c r="AN1802" s="1" t="s">
        <v>109</v>
      </c>
      <c r="AO1802" s="1" t="s">
        <v>109</v>
      </c>
      <c r="AP1802" s="1"/>
      <c r="AQ1802" s="1">
        <v>3</v>
      </c>
      <c r="AR1802" s="1"/>
      <c r="AS1802" s="1" t="s">
        <v>13377</v>
      </c>
      <c r="AT1802" s="1">
        <v>0</v>
      </c>
      <c r="AU1802" s="1">
        <v>0</v>
      </c>
      <c r="AV1802" s="1">
        <v>0</v>
      </c>
      <c r="AW1802" s="1">
        <v>0</v>
      </c>
      <c r="AX1802" s="1">
        <v>0</v>
      </c>
      <c r="AY1802" s="1">
        <v>0</v>
      </c>
      <c r="AZ1802" s="1">
        <v>0</v>
      </c>
      <c r="BA1802" s="1">
        <v>0</v>
      </c>
      <c r="BB1802" s="1">
        <v>0</v>
      </c>
      <c r="BC1802" s="1">
        <v>0</v>
      </c>
      <c r="BD1802" s="1">
        <v>0</v>
      </c>
      <c r="BE1802" s="1">
        <v>0</v>
      </c>
      <c r="BF1802" s="1">
        <v>0</v>
      </c>
      <c r="BG1802" s="1">
        <v>0</v>
      </c>
      <c r="BH1802" s="1">
        <v>0</v>
      </c>
      <c r="BI1802" s="1">
        <v>0</v>
      </c>
      <c r="BJ1802" s="1">
        <v>0</v>
      </c>
      <c r="BK1802" s="1">
        <v>0</v>
      </c>
      <c r="BL1802" s="1">
        <v>0</v>
      </c>
      <c r="BM1802" s="1">
        <v>0</v>
      </c>
      <c r="BN1802" s="1">
        <v>0</v>
      </c>
      <c r="BO1802" s="1">
        <v>0</v>
      </c>
      <c r="BP1802" s="1">
        <v>0</v>
      </c>
      <c r="BQ1802" s="1">
        <v>0</v>
      </c>
      <c r="BR1802" s="1">
        <v>0</v>
      </c>
      <c r="BS1802" s="1" t="s">
        <v>109</v>
      </c>
      <c r="BT1802" s="1">
        <v>1876</v>
      </c>
      <c r="BU1802" s="1" t="s">
        <v>109</v>
      </c>
      <c r="BV1802" s="1"/>
      <c r="BW1802" s="1"/>
      <c r="BX1802" s="1"/>
      <c r="BY1802" s="1"/>
      <c r="BZ1802" s="1">
        <v>0</v>
      </c>
      <c r="CA1802" s="1" t="s">
        <v>109</v>
      </c>
      <c r="CB1802" s="1">
        <v>3</v>
      </c>
      <c r="CC1802" s="1">
        <v>3</v>
      </c>
      <c r="CD1802" s="1" t="s">
        <v>109</v>
      </c>
      <c r="CE1802" s="1" t="s">
        <v>109</v>
      </c>
      <c r="CF1802" s="1" t="s">
        <v>109</v>
      </c>
      <c r="CG1802" s="1" t="s">
        <v>109</v>
      </c>
      <c r="CH1802" s="1" t="s">
        <v>109</v>
      </c>
      <c r="CI1802" s="1" t="s">
        <v>109</v>
      </c>
      <c r="CJ1802" s="1">
        <v>3</v>
      </c>
      <c r="CK1802" s="1"/>
      <c r="CL1802" s="1">
        <v>0</v>
      </c>
      <c r="CM1802" s="1">
        <v>0</v>
      </c>
      <c r="CN1802" s="1">
        <v>0</v>
      </c>
    </row>
    <row r="1803" spans="1:92" ht="14.25" customHeight="1" x14ac:dyDescent="0.15">
      <c r="A1803" s="1" t="s">
        <v>13378</v>
      </c>
      <c r="B1803" s="1" t="s">
        <v>156</v>
      </c>
      <c r="C1803" s="1" t="s">
        <v>157</v>
      </c>
      <c r="D1803" s="1" t="s">
        <v>158</v>
      </c>
      <c r="E1803" s="1" t="s">
        <v>13379</v>
      </c>
      <c r="F1803" s="1" t="s">
        <v>277</v>
      </c>
      <c r="G1803" s="1" t="s">
        <v>9359</v>
      </c>
      <c r="H1803" s="1">
        <v>0</v>
      </c>
      <c r="I1803" s="1" t="s">
        <v>142</v>
      </c>
      <c r="J1803" s="1"/>
      <c r="K1803" s="1"/>
      <c r="L1803" s="1" t="s">
        <v>9360</v>
      </c>
      <c r="M1803" s="1" t="s">
        <v>289</v>
      </c>
      <c r="N1803" s="1">
        <v>0</v>
      </c>
      <c r="O1803" s="1">
        <v>0</v>
      </c>
      <c r="P1803" s="1" t="s">
        <v>103</v>
      </c>
      <c r="Q1803" s="1" t="s">
        <v>268</v>
      </c>
      <c r="R1803" s="1" t="s">
        <v>13380</v>
      </c>
      <c r="S1803" s="1" t="s">
        <v>13381</v>
      </c>
      <c r="T1803" s="1" t="s">
        <v>13306</v>
      </c>
      <c r="U1803" s="1" t="s">
        <v>13382</v>
      </c>
      <c r="V1803" s="1">
        <v>1</v>
      </c>
      <c r="W1803" s="1">
        <v>1</v>
      </c>
      <c r="X1803" s="1">
        <v>1</v>
      </c>
      <c r="Y1803" s="1">
        <v>0</v>
      </c>
      <c r="Z1803" s="1">
        <v>0</v>
      </c>
      <c r="AA1803" s="1" t="s">
        <v>109</v>
      </c>
      <c r="AB1803" s="1" t="s">
        <v>109</v>
      </c>
      <c r="AC1803" s="1" t="s">
        <v>109</v>
      </c>
      <c r="AD1803" s="1">
        <v>2</v>
      </c>
      <c r="AE1803" s="1">
        <v>1</v>
      </c>
      <c r="AF1803" s="1">
        <v>2</v>
      </c>
      <c r="AG1803" s="1">
        <v>1</v>
      </c>
      <c r="AH1803" s="1" t="s">
        <v>109</v>
      </c>
      <c r="AI1803" s="1" t="s">
        <v>109</v>
      </c>
      <c r="AJ1803" s="1">
        <v>1</v>
      </c>
      <c r="AK1803" s="1">
        <v>1</v>
      </c>
      <c r="AL1803" s="1" t="s">
        <v>109</v>
      </c>
      <c r="AM1803" s="1">
        <v>1</v>
      </c>
      <c r="AN1803" s="1" t="s">
        <v>109</v>
      </c>
      <c r="AO1803" s="1" t="s">
        <v>109</v>
      </c>
      <c r="AP1803" s="1"/>
      <c r="AQ1803" s="1">
        <v>2</v>
      </c>
      <c r="AR1803" s="1"/>
      <c r="AS1803" s="1" t="s">
        <v>13383</v>
      </c>
      <c r="AT1803" s="1">
        <v>0</v>
      </c>
      <c r="AU1803" s="1">
        <v>0</v>
      </c>
      <c r="AV1803" s="1">
        <v>0</v>
      </c>
      <c r="AW1803" s="1">
        <v>0</v>
      </c>
      <c r="AX1803" s="1">
        <v>0</v>
      </c>
      <c r="AY1803" s="1">
        <v>0</v>
      </c>
      <c r="AZ1803" s="1">
        <v>0</v>
      </c>
      <c r="BA1803" s="1">
        <v>0</v>
      </c>
      <c r="BB1803" s="1">
        <v>0</v>
      </c>
      <c r="BC1803" s="1">
        <v>0</v>
      </c>
      <c r="BD1803" s="1">
        <v>0</v>
      </c>
      <c r="BE1803" s="1">
        <v>0</v>
      </c>
      <c r="BF1803" s="1">
        <v>0</v>
      </c>
      <c r="BG1803" s="1">
        <v>0</v>
      </c>
      <c r="BH1803" s="1">
        <v>0</v>
      </c>
      <c r="BI1803" s="1">
        <v>0</v>
      </c>
      <c r="BJ1803" s="1">
        <v>0</v>
      </c>
      <c r="BK1803" s="1">
        <v>0</v>
      </c>
      <c r="BL1803" s="1">
        <v>0</v>
      </c>
      <c r="BM1803" s="1">
        <v>1</v>
      </c>
      <c r="BN1803" s="1">
        <v>0</v>
      </c>
      <c r="BO1803" s="1">
        <v>0</v>
      </c>
      <c r="BP1803" s="1">
        <v>0</v>
      </c>
      <c r="BQ1803" s="1">
        <v>0</v>
      </c>
      <c r="BR1803" s="1">
        <v>0</v>
      </c>
      <c r="BS1803" s="1" t="s">
        <v>109</v>
      </c>
      <c r="BT1803" s="1">
        <v>1877</v>
      </c>
      <c r="BU1803" s="1" t="s">
        <v>109</v>
      </c>
      <c r="BV1803" s="1"/>
      <c r="BW1803" s="1"/>
      <c r="BX1803" s="1"/>
      <c r="BY1803" s="1"/>
      <c r="BZ1803" s="1">
        <v>0</v>
      </c>
      <c r="CA1803" s="1" t="s">
        <v>109</v>
      </c>
      <c r="CB1803" s="1">
        <v>2</v>
      </c>
      <c r="CC1803" s="1">
        <v>1</v>
      </c>
      <c r="CD1803" s="1" t="s">
        <v>109</v>
      </c>
      <c r="CE1803" s="1" t="s">
        <v>109</v>
      </c>
      <c r="CF1803" s="1" t="s">
        <v>109</v>
      </c>
      <c r="CG1803" s="1" t="s">
        <v>109</v>
      </c>
      <c r="CH1803" s="1" t="s">
        <v>109</v>
      </c>
      <c r="CI1803" s="1" t="s">
        <v>109</v>
      </c>
      <c r="CJ1803" s="1">
        <v>1</v>
      </c>
      <c r="CK1803" s="1"/>
      <c r="CL1803" s="1">
        <v>0</v>
      </c>
      <c r="CM1803" s="1">
        <v>0</v>
      </c>
      <c r="CN1803" s="1">
        <v>0</v>
      </c>
    </row>
    <row r="1804" spans="1:92" ht="14.25" customHeight="1" x14ac:dyDescent="0.15">
      <c r="A1804" s="1" t="s">
        <v>13384</v>
      </c>
      <c r="B1804" s="1" t="s">
        <v>156</v>
      </c>
      <c r="C1804" s="1" t="s">
        <v>157</v>
      </c>
      <c r="D1804" s="1" t="s">
        <v>158</v>
      </c>
      <c r="E1804" s="1" t="s">
        <v>13385</v>
      </c>
      <c r="F1804" s="1" t="s">
        <v>98</v>
      </c>
      <c r="G1804" s="1" t="s">
        <v>141</v>
      </c>
      <c r="H1804" s="1">
        <v>0</v>
      </c>
      <c r="I1804" s="1" t="s">
        <v>142</v>
      </c>
      <c r="J1804" s="1"/>
      <c r="K1804" s="1"/>
      <c r="L1804" s="1" t="s">
        <v>13386</v>
      </c>
      <c r="M1804" s="1" t="s">
        <v>11909</v>
      </c>
      <c r="N1804" s="1">
        <v>0</v>
      </c>
      <c r="O1804" s="1">
        <v>0</v>
      </c>
      <c r="P1804" s="1" t="s">
        <v>301</v>
      </c>
      <c r="Q1804" s="1" t="s">
        <v>268</v>
      </c>
      <c r="R1804" s="1" t="s">
        <v>13387</v>
      </c>
      <c r="S1804" s="1" t="s">
        <v>13388</v>
      </c>
      <c r="T1804" s="1" t="s">
        <v>13306</v>
      </c>
      <c r="U1804" s="1" t="s">
        <v>13389</v>
      </c>
      <c r="V1804" s="1">
        <v>1</v>
      </c>
      <c r="W1804" s="1">
        <v>1</v>
      </c>
      <c r="X1804" s="1">
        <v>0</v>
      </c>
      <c r="Y1804" s="1">
        <v>0</v>
      </c>
      <c r="Z1804" s="1">
        <v>0</v>
      </c>
      <c r="AA1804" s="1" t="s">
        <v>109</v>
      </c>
      <c r="AB1804" s="1" t="s">
        <v>109</v>
      </c>
      <c r="AC1804" s="1" t="s">
        <v>109</v>
      </c>
      <c r="AD1804" s="1" t="s">
        <v>109</v>
      </c>
      <c r="AE1804" s="1" t="s">
        <v>109</v>
      </c>
      <c r="AF1804" s="1">
        <v>2</v>
      </c>
      <c r="AG1804" s="1" t="s">
        <v>109</v>
      </c>
      <c r="AH1804" s="1" t="s">
        <v>109</v>
      </c>
      <c r="AI1804" s="1" t="s">
        <v>109</v>
      </c>
      <c r="AJ1804" s="1">
        <v>2</v>
      </c>
      <c r="AK1804" s="1" t="s">
        <v>109</v>
      </c>
      <c r="AL1804" s="1" t="s">
        <v>109</v>
      </c>
      <c r="AM1804" s="1" t="s">
        <v>109</v>
      </c>
      <c r="AN1804" s="1" t="s">
        <v>109</v>
      </c>
      <c r="AO1804" s="1" t="s">
        <v>109</v>
      </c>
      <c r="AP1804" s="1"/>
      <c r="AQ1804" s="1">
        <v>2</v>
      </c>
      <c r="AR1804" s="1" t="s">
        <v>13390</v>
      </c>
      <c r="AS1804" s="1" t="s">
        <v>13391</v>
      </c>
      <c r="AT1804" s="1">
        <v>0</v>
      </c>
      <c r="AU1804" s="1">
        <v>0</v>
      </c>
      <c r="AV1804" s="1">
        <v>0</v>
      </c>
      <c r="AW1804" s="1">
        <v>0</v>
      </c>
      <c r="AX1804" s="1">
        <v>0</v>
      </c>
      <c r="AY1804" s="1">
        <v>0</v>
      </c>
      <c r="AZ1804" s="1">
        <v>0</v>
      </c>
      <c r="BA1804" s="1">
        <v>0</v>
      </c>
      <c r="BB1804" s="1">
        <v>0</v>
      </c>
      <c r="BC1804" s="1">
        <v>0</v>
      </c>
      <c r="BD1804" s="1">
        <v>0</v>
      </c>
      <c r="BE1804" s="1">
        <v>0</v>
      </c>
      <c r="BF1804" s="1">
        <v>0</v>
      </c>
      <c r="BG1804" s="1">
        <v>0</v>
      </c>
      <c r="BH1804" s="1">
        <v>0</v>
      </c>
      <c r="BI1804" s="1">
        <v>0</v>
      </c>
      <c r="BJ1804" s="1">
        <v>0</v>
      </c>
      <c r="BK1804" s="1">
        <v>0</v>
      </c>
      <c r="BL1804" s="1">
        <v>0</v>
      </c>
      <c r="BM1804" s="1">
        <v>1</v>
      </c>
      <c r="BN1804" s="1">
        <v>0</v>
      </c>
      <c r="BO1804" s="1">
        <v>0</v>
      </c>
      <c r="BP1804" s="1">
        <v>0</v>
      </c>
      <c r="BQ1804" s="1">
        <v>0</v>
      </c>
      <c r="BR1804" s="1">
        <v>0</v>
      </c>
      <c r="BS1804" s="1" t="s">
        <v>109</v>
      </c>
      <c r="BT1804" s="1">
        <v>1878</v>
      </c>
      <c r="BU1804" s="1" t="s">
        <v>109</v>
      </c>
      <c r="BV1804" s="1"/>
      <c r="BW1804" s="1"/>
      <c r="BX1804" s="1"/>
      <c r="BY1804" s="1"/>
      <c r="BZ1804" s="1">
        <v>0</v>
      </c>
      <c r="CA1804" s="1" t="s">
        <v>109</v>
      </c>
      <c r="CB1804" s="1" t="s">
        <v>109</v>
      </c>
      <c r="CC1804" s="1">
        <v>2</v>
      </c>
      <c r="CD1804" s="1" t="s">
        <v>109</v>
      </c>
      <c r="CE1804" s="1">
        <v>2</v>
      </c>
      <c r="CF1804" s="1" t="s">
        <v>109</v>
      </c>
      <c r="CG1804" s="1" t="s">
        <v>109</v>
      </c>
      <c r="CH1804" s="1" t="s">
        <v>109</v>
      </c>
      <c r="CI1804" s="1" t="s">
        <v>109</v>
      </c>
      <c r="CJ1804" s="1" t="s">
        <v>109</v>
      </c>
      <c r="CK1804" s="1"/>
      <c r="CL1804" s="1">
        <v>0</v>
      </c>
      <c r="CM1804" s="1">
        <v>0</v>
      </c>
      <c r="CN1804" s="1">
        <v>0</v>
      </c>
    </row>
    <row r="1805" spans="1:92" ht="14.25" customHeight="1" x14ac:dyDescent="0.15">
      <c r="A1805" s="1" t="s">
        <v>13392</v>
      </c>
      <c r="B1805" s="1" t="s">
        <v>242</v>
      </c>
      <c r="C1805" s="1"/>
      <c r="D1805" s="1"/>
      <c r="E1805" s="1" t="s">
        <v>13393</v>
      </c>
      <c r="F1805" s="1" t="s">
        <v>355</v>
      </c>
      <c r="G1805" s="1" t="s">
        <v>160</v>
      </c>
      <c r="H1805" s="1">
        <v>0</v>
      </c>
      <c r="I1805" s="1" t="s">
        <v>356</v>
      </c>
      <c r="J1805" s="1" t="s">
        <v>4038</v>
      </c>
      <c r="K1805" s="1"/>
      <c r="L1805" s="1"/>
      <c r="M1805" s="1" t="s">
        <v>6144</v>
      </c>
      <c r="N1805" s="1">
        <v>1</v>
      </c>
      <c r="O1805" s="1">
        <v>0</v>
      </c>
      <c r="P1805" s="1" t="s">
        <v>103</v>
      </c>
      <c r="Q1805" s="1" t="s">
        <v>268</v>
      </c>
      <c r="R1805" s="1" t="s">
        <v>13394</v>
      </c>
      <c r="S1805" s="1" t="s">
        <v>13395</v>
      </c>
      <c r="T1805" s="1" t="s">
        <v>13306</v>
      </c>
      <c r="U1805" s="1" t="s">
        <v>13396</v>
      </c>
      <c r="V1805" s="1">
        <v>1</v>
      </c>
      <c r="W1805" s="1">
        <v>1</v>
      </c>
      <c r="X1805" s="1">
        <v>0</v>
      </c>
      <c r="Y1805" s="1">
        <v>0</v>
      </c>
      <c r="Z1805" s="1">
        <v>1</v>
      </c>
      <c r="AA1805" s="1" t="s">
        <v>109</v>
      </c>
      <c r="AB1805" s="1" t="s">
        <v>109</v>
      </c>
      <c r="AC1805" s="1">
        <v>4</v>
      </c>
      <c r="AD1805" s="1" t="s">
        <v>109</v>
      </c>
      <c r="AE1805" s="1" t="s">
        <v>109</v>
      </c>
      <c r="AF1805" s="1" t="s">
        <v>109</v>
      </c>
      <c r="AG1805" s="1" t="s">
        <v>109</v>
      </c>
      <c r="AH1805" s="1" t="s">
        <v>109</v>
      </c>
      <c r="AI1805" s="1" t="s">
        <v>109</v>
      </c>
      <c r="AJ1805" s="1">
        <v>4</v>
      </c>
      <c r="AK1805" s="1" t="s">
        <v>109</v>
      </c>
      <c r="AL1805" s="1">
        <v>4</v>
      </c>
      <c r="AM1805" s="1" t="s">
        <v>109</v>
      </c>
      <c r="AN1805" s="1" t="s">
        <v>109</v>
      </c>
      <c r="AO1805" s="1" t="s">
        <v>109</v>
      </c>
      <c r="AP1805" s="1"/>
      <c r="AQ1805" s="1">
        <v>4</v>
      </c>
      <c r="AR1805" s="1"/>
      <c r="AS1805" s="1" t="s">
        <v>13397</v>
      </c>
      <c r="AT1805" s="1">
        <v>0</v>
      </c>
      <c r="AU1805" s="1">
        <v>0</v>
      </c>
      <c r="AV1805" s="1">
        <v>0</v>
      </c>
      <c r="AW1805" s="1">
        <v>0</v>
      </c>
      <c r="AX1805" s="1">
        <v>0</v>
      </c>
      <c r="AY1805" s="1">
        <v>0</v>
      </c>
      <c r="AZ1805" s="1">
        <v>0</v>
      </c>
      <c r="BA1805" s="1">
        <v>0</v>
      </c>
      <c r="BB1805" s="1">
        <v>0</v>
      </c>
      <c r="BC1805" s="1">
        <v>0</v>
      </c>
      <c r="BD1805" s="1">
        <v>0</v>
      </c>
      <c r="BE1805" s="1">
        <v>0</v>
      </c>
      <c r="BF1805" s="1">
        <v>0</v>
      </c>
      <c r="BG1805" s="1">
        <v>0</v>
      </c>
      <c r="BH1805" s="1">
        <v>0</v>
      </c>
      <c r="BI1805" s="1">
        <v>0</v>
      </c>
      <c r="BJ1805" s="1">
        <v>0</v>
      </c>
      <c r="BK1805" s="1">
        <v>0</v>
      </c>
      <c r="BL1805" s="1">
        <v>0</v>
      </c>
      <c r="BM1805" s="1">
        <v>0</v>
      </c>
      <c r="BN1805" s="1">
        <v>0</v>
      </c>
      <c r="BO1805" s="1">
        <v>0</v>
      </c>
      <c r="BP1805" s="1">
        <v>0</v>
      </c>
      <c r="BQ1805" s="1">
        <v>0</v>
      </c>
      <c r="BR1805" s="1">
        <v>0</v>
      </c>
      <c r="BS1805" s="1" t="s">
        <v>109</v>
      </c>
      <c r="BT1805" s="1">
        <v>1879</v>
      </c>
      <c r="BU1805" s="1" t="s">
        <v>109</v>
      </c>
      <c r="BV1805" s="1"/>
      <c r="BW1805" s="1"/>
      <c r="BX1805" s="1"/>
      <c r="BY1805" s="1"/>
      <c r="BZ1805" s="1">
        <v>0</v>
      </c>
      <c r="CA1805" s="1" t="s">
        <v>109</v>
      </c>
      <c r="CB1805" s="1">
        <v>4</v>
      </c>
      <c r="CC1805" s="1">
        <v>4</v>
      </c>
      <c r="CD1805" s="1" t="s">
        <v>109</v>
      </c>
      <c r="CE1805" s="1" t="s">
        <v>109</v>
      </c>
      <c r="CF1805" s="1" t="s">
        <v>109</v>
      </c>
      <c r="CG1805" s="1">
        <v>4</v>
      </c>
      <c r="CH1805" s="1" t="s">
        <v>109</v>
      </c>
      <c r="CI1805" s="1" t="s">
        <v>109</v>
      </c>
      <c r="CJ1805" s="1" t="s">
        <v>109</v>
      </c>
      <c r="CK1805" s="1"/>
      <c r="CL1805" s="1">
        <v>0</v>
      </c>
      <c r="CM1805" s="1">
        <v>0</v>
      </c>
      <c r="CN1805" s="1">
        <v>0</v>
      </c>
    </row>
    <row r="1806" spans="1:92" ht="14.25" customHeight="1" x14ac:dyDescent="0.15">
      <c r="A1806" s="1" t="s">
        <v>13398</v>
      </c>
      <c r="B1806" s="1" t="s">
        <v>254</v>
      </c>
      <c r="C1806" s="1"/>
      <c r="D1806" s="1"/>
      <c r="E1806" s="1" t="s">
        <v>13399</v>
      </c>
      <c r="F1806" s="1" t="s">
        <v>98</v>
      </c>
      <c r="G1806" s="1" t="s">
        <v>141</v>
      </c>
      <c r="H1806" s="1">
        <v>0</v>
      </c>
      <c r="I1806" s="1" t="s">
        <v>235</v>
      </c>
      <c r="J1806" s="1"/>
      <c r="K1806" s="1"/>
      <c r="L1806" s="1" t="s">
        <v>236</v>
      </c>
      <c r="M1806" s="1" t="s">
        <v>6144</v>
      </c>
      <c r="N1806" s="1">
        <v>1</v>
      </c>
      <c r="O1806" s="1">
        <v>0</v>
      </c>
      <c r="P1806" s="1"/>
      <c r="Q1806" s="1"/>
      <c r="R1806" s="1" t="s">
        <v>13400</v>
      </c>
      <c r="S1806" s="1" t="s">
        <v>13401</v>
      </c>
      <c r="T1806" s="1" t="s">
        <v>13306</v>
      </c>
      <c r="U1806" s="1" t="s">
        <v>13402</v>
      </c>
      <c r="V1806" s="1">
        <v>1</v>
      </c>
      <c r="W1806" s="1">
        <v>1</v>
      </c>
      <c r="X1806" s="1">
        <v>0</v>
      </c>
      <c r="Y1806" s="1">
        <v>0</v>
      </c>
      <c r="Z1806" s="1">
        <v>0</v>
      </c>
      <c r="AA1806" s="1">
        <v>3</v>
      </c>
      <c r="AB1806" s="1">
        <v>3</v>
      </c>
      <c r="AC1806" s="1">
        <v>3</v>
      </c>
      <c r="AD1806" s="1" t="s">
        <v>109</v>
      </c>
      <c r="AE1806" s="1" t="s">
        <v>109</v>
      </c>
      <c r="AF1806" s="1" t="s">
        <v>109</v>
      </c>
      <c r="AG1806" s="1" t="s">
        <v>109</v>
      </c>
      <c r="AH1806" s="1">
        <v>3</v>
      </c>
      <c r="AI1806" s="1" t="s">
        <v>109</v>
      </c>
      <c r="AJ1806" s="1">
        <v>3</v>
      </c>
      <c r="AK1806" s="1">
        <v>4</v>
      </c>
      <c r="AL1806" s="1">
        <v>3</v>
      </c>
      <c r="AM1806" s="1" t="s">
        <v>109</v>
      </c>
      <c r="AN1806" s="1" t="s">
        <v>109</v>
      </c>
      <c r="AO1806" s="1" t="s">
        <v>109</v>
      </c>
      <c r="AP1806" s="1"/>
      <c r="AQ1806" s="1">
        <v>3</v>
      </c>
      <c r="AR1806" s="1"/>
      <c r="AS1806" s="1" t="s">
        <v>13403</v>
      </c>
      <c r="AT1806" s="1">
        <v>0</v>
      </c>
      <c r="AU1806" s="1">
        <v>0</v>
      </c>
      <c r="AV1806" s="1">
        <v>0</v>
      </c>
      <c r="AW1806" s="1">
        <v>0</v>
      </c>
      <c r="AX1806" s="1">
        <v>0</v>
      </c>
      <c r="AY1806" s="1">
        <v>0</v>
      </c>
      <c r="AZ1806" s="1">
        <v>0</v>
      </c>
      <c r="BA1806" s="1">
        <v>0</v>
      </c>
      <c r="BB1806" s="1">
        <v>0</v>
      </c>
      <c r="BC1806" s="1">
        <v>0</v>
      </c>
      <c r="BD1806" s="1">
        <v>0</v>
      </c>
      <c r="BE1806" s="1">
        <v>0</v>
      </c>
      <c r="BF1806" s="1">
        <v>0</v>
      </c>
      <c r="BG1806" s="1">
        <v>0</v>
      </c>
      <c r="BH1806" s="1">
        <v>0</v>
      </c>
      <c r="BI1806" s="1">
        <v>0</v>
      </c>
      <c r="BJ1806" s="1">
        <v>0</v>
      </c>
      <c r="BK1806" s="1">
        <v>0</v>
      </c>
      <c r="BL1806" s="1">
        <v>0</v>
      </c>
      <c r="BM1806" s="1">
        <v>0</v>
      </c>
      <c r="BN1806" s="1">
        <v>0</v>
      </c>
      <c r="BO1806" s="1">
        <v>0</v>
      </c>
      <c r="BP1806" s="1">
        <v>0</v>
      </c>
      <c r="BQ1806" s="1">
        <v>0</v>
      </c>
      <c r="BR1806" s="1">
        <v>0</v>
      </c>
      <c r="BS1806" s="1" t="s">
        <v>109</v>
      </c>
      <c r="BT1806" s="1">
        <v>1880</v>
      </c>
      <c r="BU1806" s="1" t="s">
        <v>109</v>
      </c>
      <c r="BV1806" s="1"/>
      <c r="BW1806" s="1"/>
      <c r="BX1806" s="1"/>
      <c r="BY1806" s="1"/>
      <c r="BZ1806" s="1">
        <v>0</v>
      </c>
      <c r="CA1806" s="1" t="s">
        <v>109</v>
      </c>
      <c r="CB1806" s="1">
        <v>3</v>
      </c>
      <c r="CC1806" s="1">
        <v>3</v>
      </c>
      <c r="CD1806" s="1" t="s">
        <v>109</v>
      </c>
      <c r="CE1806" s="1">
        <v>3</v>
      </c>
      <c r="CF1806" s="1" t="s">
        <v>109</v>
      </c>
      <c r="CG1806" s="1">
        <v>3</v>
      </c>
      <c r="CH1806" s="1" t="s">
        <v>109</v>
      </c>
      <c r="CI1806" s="1" t="s">
        <v>109</v>
      </c>
      <c r="CJ1806" s="1" t="s">
        <v>109</v>
      </c>
      <c r="CK1806" s="1"/>
      <c r="CL1806" s="1">
        <v>0</v>
      </c>
      <c r="CM1806" s="1">
        <v>0</v>
      </c>
      <c r="CN1806" s="1">
        <v>0</v>
      </c>
    </row>
    <row r="1807" spans="1:92" ht="14.25" customHeight="1" x14ac:dyDescent="0.15">
      <c r="A1807" s="1" t="s">
        <v>13404</v>
      </c>
      <c r="B1807" s="1" t="s">
        <v>308</v>
      </c>
      <c r="C1807" s="1"/>
      <c r="D1807" s="1" t="s">
        <v>13405</v>
      </c>
      <c r="E1807" s="1" t="s">
        <v>13406</v>
      </c>
      <c r="F1807" s="1" t="s">
        <v>98</v>
      </c>
      <c r="G1807" s="1" t="s">
        <v>141</v>
      </c>
      <c r="H1807" s="1">
        <v>0</v>
      </c>
      <c r="I1807" s="1" t="s">
        <v>1192</v>
      </c>
      <c r="J1807" s="1" t="s">
        <v>726</v>
      </c>
      <c r="K1807" s="1"/>
      <c r="L1807" s="1"/>
      <c r="M1807" s="1" t="s">
        <v>13262</v>
      </c>
      <c r="N1807" s="1">
        <v>0</v>
      </c>
      <c r="O1807" s="1">
        <v>0</v>
      </c>
      <c r="P1807" s="1" t="s">
        <v>13407</v>
      </c>
      <c r="Q1807" s="1" t="s">
        <v>268</v>
      </c>
      <c r="R1807" s="1" t="s">
        <v>13408</v>
      </c>
      <c r="S1807" s="1" t="s">
        <v>13409</v>
      </c>
      <c r="T1807" s="1" t="s">
        <v>13306</v>
      </c>
      <c r="U1807" s="1" t="s">
        <v>13410</v>
      </c>
      <c r="V1807" s="1">
        <v>1</v>
      </c>
      <c r="W1807" s="1">
        <v>1</v>
      </c>
      <c r="X1807" s="1">
        <v>0</v>
      </c>
      <c r="Y1807" s="1">
        <v>0</v>
      </c>
      <c r="Z1807" s="1">
        <v>0</v>
      </c>
      <c r="AA1807" s="1">
        <v>6</v>
      </c>
      <c r="AB1807" s="1">
        <v>6</v>
      </c>
      <c r="AC1807" s="1" t="s">
        <v>109</v>
      </c>
      <c r="AD1807" s="1" t="s">
        <v>109</v>
      </c>
      <c r="AE1807" s="1" t="s">
        <v>109</v>
      </c>
      <c r="AF1807" s="1" t="s">
        <v>109</v>
      </c>
      <c r="AG1807" s="1" t="s">
        <v>109</v>
      </c>
      <c r="AH1807" s="1" t="s">
        <v>109</v>
      </c>
      <c r="AI1807" s="1" t="s">
        <v>109</v>
      </c>
      <c r="AJ1807" s="1">
        <v>6</v>
      </c>
      <c r="AK1807" s="1" t="s">
        <v>109</v>
      </c>
      <c r="AL1807" s="1" t="s">
        <v>109</v>
      </c>
      <c r="AM1807" s="1" t="s">
        <v>109</v>
      </c>
      <c r="AN1807" s="1" t="s">
        <v>109</v>
      </c>
      <c r="AO1807" s="1" t="s">
        <v>109</v>
      </c>
      <c r="AP1807" s="1"/>
      <c r="AQ1807" s="1">
        <v>6</v>
      </c>
      <c r="AR1807" s="1"/>
      <c r="AS1807" s="1" t="s">
        <v>13411</v>
      </c>
      <c r="AT1807" s="1">
        <v>0</v>
      </c>
      <c r="AU1807" s="1">
        <v>0</v>
      </c>
      <c r="AV1807" s="1">
        <v>0</v>
      </c>
      <c r="AW1807" s="1">
        <v>0</v>
      </c>
      <c r="AX1807" s="1">
        <v>0</v>
      </c>
      <c r="AY1807" s="1">
        <v>0</v>
      </c>
      <c r="AZ1807" s="1">
        <v>1</v>
      </c>
      <c r="BA1807" s="1">
        <v>0</v>
      </c>
      <c r="BB1807" s="1">
        <v>0</v>
      </c>
      <c r="BC1807" s="1">
        <v>0</v>
      </c>
      <c r="BD1807" s="1">
        <v>0</v>
      </c>
      <c r="BE1807" s="1">
        <v>0</v>
      </c>
      <c r="BF1807" s="1">
        <v>1</v>
      </c>
      <c r="BG1807" s="1">
        <v>0</v>
      </c>
      <c r="BH1807" s="1">
        <v>0</v>
      </c>
      <c r="BI1807" s="1">
        <v>0</v>
      </c>
      <c r="BJ1807" s="1">
        <v>0</v>
      </c>
      <c r="BK1807" s="1">
        <v>0</v>
      </c>
      <c r="BL1807" s="1">
        <v>0</v>
      </c>
      <c r="BM1807" s="1">
        <v>1</v>
      </c>
      <c r="BN1807" s="1">
        <v>0</v>
      </c>
      <c r="BO1807" s="1">
        <v>0</v>
      </c>
      <c r="BP1807" s="1">
        <v>0</v>
      </c>
      <c r="BQ1807" s="1">
        <v>1</v>
      </c>
      <c r="BR1807" s="1">
        <v>0</v>
      </c>
      <c r="BS1807" s="1" t="s">
        <v>109</v>
      </c>
      <c r="BT1807" s="1">
        <v>1881</v>
      </c>
      <c r="BU1807" s="1" t="s">
        <v>109</v>
      </c>
      <c r="BV1807" s="1"/>
      <c r="BW1807" s="1"/>
      <c r="BX1807" s="1"/>
      <c r="BY1807" s="1"/>
      <c r="BZ1807" s="1">
        <v>0</v>
      </c>
      <c r="CA1807" s="1" t="s">
        <v>109</v>
      </c>
      <c r="CB1807" s="1" t="s">
        <v>109</v>
      </c>
      <c r="CC1807" s="1" t="s">
        <v>109</v>
      </c>
      <c r="CD1807" s="1" t="s">
        <v>109</v>
      </c>
      <c r="CE1807" s="1" t="s">
        <v>109</v>
      </c>
      <c r="CF1807" s="1" t="s">
        <v>109</v>
      </c>
      <c r="CG1807" s="1">
        <v>6</v>
      </c>
      <c r="CH1807" s="1" t="s">
        <v>109</v>
      </c>
      <c r="CI1807" s="1" t="s">
        <v>109</v>
      </c>
      <c r="CJ1807" s="1" t="s">
        <v>109</v>
      </c>
      <c r="CK1807" s="1"/>
      <c r="CL1807" s="1">
        <v>0</v>
      </c>
      <c r="CM1807" s="1">
        <v>0</v>
      </c>
      <c r="CN1807" s="1">
        <v>0</v>
      </c>
    </row>
    <row r="1808" spans="1:92" ht="14.25" customHeight="1" x14ac:dyDescent="0.15">
      <c r="A1808" s="1" t="s">
        <v>13412</v>
      </c>
      <c r="B1808" s="1" t="s">
        <v>308</v>
      </c>
      <c r="C1808" s="1"/>
      <c r="D1808" s="1"/>
      <c r="E1808" s="1" t="s">
        <v>10163</v>
      </c>
      <c r="F1808" s="1" t="s">
        <v>98</v>
      </c>
      <c r="G1808" s="1" t="s">
        <v>141</v>
      </c>
      <c r="H1808" s="1">
        <v>0</v>
      </c>
      <c r="I1808" s="1" t="s">
        <v>122</v>
      </c>
      <c r="J1808" s="1"/>
      <c r="K1808" s="1" t="s">
        <v>123</v>
      </c>
      <c r="L1808" s="1"/>
      <c r="M1808" s="1" t="s">
        <v>3042</v>
      </c>
      <c r="N1808" s="1">
        <v>0</v>
      </c>
      <c r="O1808" s="1">
        <v>0</v>
      </c>
      <c r="P1808" s="1" t="s">
        <v>103</v>
      </c>
      <c r="Q1808" s="1" t="s">
        <v>104</v>
      </c>
      <c r="R1808" s="1" t="s">
        <v>13413</v>
      </c>
      <c r="S1808" s="1" t="s">
        <v>13414</v>
      </c>
      <c r="T1808" s="1" t="s">
        <v>13306</v>
      </c>
      <c r="U1808" s="1" t="s">
        <v>13415</v>
      </c>
      <c r="V1808" s="1">
        <v>1</v>
      </c>
      <c r="W1808" s="1">
        <v>1</v>
      </c>
      <c r="X1808" s="1">
        <v>0</v>
      </c>
      <c r="Y1808" s="1">
        <v>0</v>
      </c>
      <c r="Z1808" s="1">
        <v>0</v>
      </c>
      <c r="AA1808" s="1">
        <v>3</v>
      </c>
      <c r="AB1808" s="1">
        <v>3</v>
      </c>
      <c r="AC1808" s="1" t="s">
        <v>109</v>
      </c>
      <c r="AD1808" s="1" t="s">
        <v>109</v>
      </c>
      <c r="AE1808" s="1" t="s">
        <v>109</v>
      </c>
      <c r="AF1808" s="1" t="s">
        <v>109</v>
      </c>
      <c r="AG1808" s="1" t="s">
        <v>109</v>
      </c>
      <c r="AH1808" s="1" t="s">
        <v>109</v>
      </c>
      <c r="AI1808" s="1" t="s">
        <v>109</v>
      </c>
      <c r="AJ1808" s="1">
        <v>3</v>
      </c>
      <c r="AK1808" s="1" t="s">
        <v>109</v>
      </c>
      <c r="AL1808" s="1" t="s">
        <v>109</v>
      </c>
      <c r="AM1808" s="1" t="s">
        <v>109</v>
      </c>
      <c r="AN1808" s="1" t="s">
        <v>109</v>
      </c>
      <c r="AO1808" s="1" t="s">
        <v>109</v>
      </c>
      <c r="AP1808" s="1"/>
      <c r="AQ1808" s="1">
        <v>3</v>
      </c>
      <c r="AR1808" s="1"/>
      <c r="AS1808" s="1" t="s">
        <v>13416</v>
      </c>
      <c r="AT1808" s="1">
        <v>0</v>
      </c>
      <c r="AU1808" s="1">
        <v>0</v>
      </c>
      <c r="AV1808" s="1">
        <v>0</v>
      </c>
      <c r="AW1808" s="1">
        <v>0</v>
      </c>
      <c r="AX1808" s="1">
        <v>0</v>
      </c>
      <c r="AY1808" s="1">
        <v>0</v>
      </c>
      <c r="AZ1808" s="1">
        <v>0</v>
      </c>
      <c r="BA1808" s="1">
        <v>0</v>
      </c>
      <c r="BB1808" s="1">
        <v>0</v>
      </c>
      <c r="BC1808" s="1">
        <v>0</v>
      </c>
      <c r="BD1808" s="1">
        <v>0</v>
      </c>
      <c r="BE1808" s="1">
        <v>0</v>
      </c>
      <c r="BF1808" s="1">
        <v>0</v>
      </c>
      <c r="BG1808" s="1">
        <v>0</v>
      </c>
      <c r="BH1808" s="1">
        <v>0</v>
      </c>
      <c r="BI1808" s="1">
        <v>0</v>
      </c>
      <c r="BJ1808" s="1">
        <v>0</v>
      </c>
      <c r="BK1808" s="1">
        <v>0</v>
      </c>
      <c r="BL1808" s="1">
        <v>0</v>
      </c>
      <c r="BM1808" s="1">
        <v>0</v>
      </c>
      <c r="BN1808" s="1">
        <v>0</v>
      </c>
      <c r="BO1808" s="1">
        <v>0</v>
      </c>
      <c r="BP1808" s="1">
        <v>0</v>
      </c>
      <c r="BQ1808" s="1">
        <v>0</v>
      </c>
      <c r="BR1808" s="1">
        <v>0</v>
      </c>
      <c r="BS1808" s="1" t="s">
        <v>109</v>
      </c>
      <c r="BT1808" s="1">
        <v>1882</v>
      </c>
      <c r="BU1808" s="1" t="s">
        <v>109</v>
      </c>
      <c r="BV1808" s="1"/>
      <c r="BW1808" s="1"/>
      <c r="BX1808" s="1"/>
      <c r="BY1808" s="1"/>
      <c r="BZ1808" s="1">
        <v>0</v>
      </c>
      <c r="CA1808" s="1" t="s">
        <v>109</v>
      </c>
      <c r="CB1808" s="1" t="s">
        <v>109</v>
      </c>
      <c r="CC1808" s="1" t="s">
        <v>109</v>
      </c>
      <c r="CD1808" s="1" t="s">
        <v>109</v>
      </c>
      <c r="CE1808" s="1" t="s">
        <v>109</v>
      </c>
      <c r="CF1808" s="1" t="s">
        <v>109</v>
      </c>
      <c r="CG1808" s="1" t="s">
        <v>109</v>
      </c>
      <c r="CH1808" s="1" t="s">
        <v>109</v>
      </c>
      <c r="CI1808" s="1" t="s">
        <v>109</v>
      </c>
      <c r="CJ1808" s="1" t="s">
        <v>109</v>
      </c>
      <c r="CK1808" s="1"/>
      <c r="CL1808" s="1">
        <v>0</v>
      </c>
      <c r="CM1808" s="1">
        <v>0</v>
      </c>
      <c r="CN1808" s="1">
        <v>0</v>
      </c>
    </row>
    <row r="1809" spans="1:92" ht="14.25" customHeight="1" x14ac:dyDescent="0.15">
      <c r="A1809" s="1" t="s">
        <v>13417</v>
      </c>
      <c r="B1809" s="1" t="s">
        <v>254</v>
      </c>
      <c r="C1809" s="1"/>
      <c r="D1809" s="1"/>
      <c r="E1809" s="1" t="s">
        <v>13418</v>
      </c>
      <c r="F1809" s="1" t="s">
        <v>98</v>
      </c>
      <c r="G1809" s="1" t="s">
        <v>2570</v>
      </c>
      <c r="H1809" s="1">
        <v>0</v>
      </c>
      <c r="I1809" s="1" t="s">
        <v>235</v>
      </c>
      <c r="J1809" s="1"/>
      <c r="K1809" s="1"/>
      <c r="L1809" s="1" t="s">
        <v>236</v>
      </c>
      <c r="M1809" s="1" t="s">
        <v>5642</v>
      </c>
      <c r="N1809" s="1">
        <v>0</v>
      </c>
      <c r="O1809" s="1">
        <v>0</v>
      </c>
      <c r="P1809" s="1"/>
      <c r="Q1809" s="1"/>
      <c r="R1809" s="1" t="s">
        <v>13419</v>
      </c>
      <c r="S1809" s="1" t="s">
        <v>13420</v>
      </c>
      <c r="T1809" s="1" t="s">
        <v>13306</v>
      </c>
      <c r="U1809" s="1" t="s">
        <v>13421</v>
      </c>
      <c r="V1809" s="1">
        <v>0</v>
      </c>
      <c r="W1809" s="1">
        <v>1</v>
      </c>
      <c r="X1809" s="1">
        <v>0</v>
      </c>
      <c r="Y1809" s="1">
        <v>0</v>
      </c>
      <c r="Z1809" s="1">
        <v>1</v>
      </c>
      <c r="AA1809" s="1" t="s">
        <v>109</v>
      </c>
      <c r="AB1809" s="1" t="s">
        <v>109</v>
      </c>
      <c r="AC1809" s="1" t="s">
        <v>109</v>
      </c>
      <c r="AD1809" s="1">
        <v>2</v>
      </c>
      <c r="AE1809" s="1" t="s">
        <v>109</v>
      </c>
      <c r="AF1809" s="1" t="s">
        <v>109</v>
      </c>
      <c r="AG1809" s="1" t="s">
        <v>109</v>
      </c>
      <c r="AH1809" s="1" t="s">
        <v>109</v>
      </c>
      <c r="AI1809" s="1" t="s">
        <v>109</v>
      </c>
      <c r="AJ1809" s="1">
        <v>2</v>
      </c>
      <c r="AK1809" s="1" t="s">
        <v>109</v>
      </c>
      <c r="AL1809" s="1" t="s">
        <v>109</v>
      </c>
      <c r="AM1809" s="1" t="s">
        <v>109</v>
      </c>
      <c r="AN1809" s="1" t="s">
        <v>109</v>
      </c>
      <c r="AO1809" s="1" t="s">
        <v>109</v>
      </c>
      <c r="AP1809" s="1"/>
      <c r="AQ1809" s="1">
        <v>2</v>
      </c>
      <c r="AR1809" s="1"/>
      <c r="AS1809" s="1" t="s">
        <v>13422</v>
      </c>
      <c r="AT1809" s="1">
        <v>0</v>
      </c>
      <c r="AU1809" s="1">
        <v>0</v>
      </c>
      <c r="AV1809" s="1">
        <v>0</v>
      </c>
      <c r="AW1809" s="1">
        <v>0</v>
      </c>
      <c r="AX1809" s="1">
        <v>0</v>
      </c>
      <c r="AY1809" s="1">
        <v>0</v>
      </c>
      <c r="AZ1809" s="1">
        <v>0</v>
      </c>
      <c r="BA1809" s="1">
        <v>0</v>
      </c>
      <c r="BB1809" s="1">
        <v>0</v>
      </c>
      <c r="BC1809" s="1">
        <v>0</v>
      </c>
      <c r="BD1809" s="1">
        <v>0</v>
      </c>
      <c r="BE1809" s="1">
        <v>0</v>
      </c>
      <c r="BF1809" s="1">
        <v>0</v>
      </c>
      <c r="BG1809" s="1">
        <v>0</v>
      </c>
      <c r="BH1809" s="1">
        <v>0</v>
      </c>
      <c r="BI1809" s="1">
        <v>0</v>
      </c>
      <c r="BJ1809" s="1">
        <v>0</v>
      </c>
      <c r="BK1809" s="1">
        <v>0</v>
      </c>
      <c r="BL1809" s="1">
        <v>0</v>
      </c>
      <c r="BM1809" s="1">
        <v>0</v>
      </c>
      <c r="BN1809" s="1">
        <v>0</v>
      </c>
      <c r="BO1809" s="1">
        <v>0</v>
      </c>
      <c r="BP1809" s="1">
        <v>0</v>
      </c>
      <c r="BQ1809" s="1">
        <v>0</v>
      </c>
      <c r="BR1809" s="1">
        <v>0</v>
      </c>
      <c r="BS1809" s="1" t="s">
        <v>109</v>
      </c>
      <c r="BT1809" s="1">
        <v>1883</v>
      </c>
      <c r="BU1809" s="1" t="s">
        <v>109</v>
      </c>
      <c r="BV1809" s="1"/>
      <c r="BW1809" s="1"/>
      <c r="BX1809" s="1"/>
      <c r="BY1809" s="1"/>
      <c r="BZ1809" s="1">
        <v>0</v>
      </c>
      <c r="CA1809" s="1" t="s">
        <v>109</v>
      </c>
      <c r="CB1809" s="1">
        <v>2</v>
      </c>
      <c r="CC1809" s="1" t="s">
        <v>109</v>
      </c>
      <c r="CD1809" s="1" t="s">
        <v>109</v>
      </c>
      <c r="CE1809" s="1" t="s">
        <v>109</v>
      </c>
      <c r="CF1809" s="1" t="s">
        <v>109</v>
      </c>
      <c r="CG1809" s="1" t="s">
        <v>109</v>
      </c>
      <c r="CH1809" s="1" t="s">
        <v>109</v>
      </c>
      <c r="CI1809" s="1" t="s">
        <v>109</v>
      </c>
      <c r="CJ1809" s="1">
        <v>2</v>
      </c>
      <c r="CK1809" s="1"/>
      <c r="CL1809" s="1">
        <v>0</v>
      </c>
      <c r="CM1809" s="1">
        <v>0</v>
      </c>
      <c r="CN1809" s="1">
        <v>0</v>
      </c>
    </row>
    <row r="1810" spans="1:92" ht="14.25" customHeight="1" x14ac:dyDescent="0.15">
      <c r="A1810" s="1" t="s">
        <v>13423</v>
      </c>
      <c r="B1810" s="1" t="s">
        <v>242</v>
      </c>
      <c r="C1810" s="1"/>
      <c r="D1810" s="1"/>
      <c r="E1810" s="1" t="s">
        <v>13424</v>
      </c>
      <c r="F1810" s="1" t="s">
        <v>98</v>
      </c>
      <c r="G1810" s="1" t="s">
        <v>141</v>
      </c>
      <c r="H1810" s="1">
        <v>0</v>
      </c>
      <c r="I1810" s="1" t="s">
        <v>142</v>
      </c>
      <c r="J1810" s="1"/>
      <c r="K1810" s="1"/>
      <c r="L1810" s="1" t="s">
        <v>1391</v>
      </c>
      <c r="M1810" s="1" t="s">
        <v>6144</v>
      </c>
      <c r="N1810" s="1">
        <v>1</v>
      </c>
      <c r="O1810" s="1">
        <v>0</v>
      </c>
      <c r="P1810" s="1" t="s">
        <v>507</v>
      </c>
      <c r="Q1810" s="1" t="s">
        <v>268</v>
      </c>
      <c r="R1810" s="1" t="s">
        <v>13425</v>
      </c>
      <c r="S1810" s="1" t="s">
        <v>13426</v>
      </c>
      <c r="T1810" s="1" t="s">
        <v>13306</v>
      </c>
      <c r="U1810" s="1" t="s">
        <v>13427</v>
      </c>
      <c r="V1810" s="1">
        <v>1</v>
      </c>
      <c r="W1810" s="1">
        <v>1</v>
      </c>
      <c r="X1810" s="1">
        <v>0</v>
      </c>
      <c r="Y1810" s="1">
        <v>0</v>
      </c>
      <c r="Z1810" s="1">
        <v>0</v>
      </c>
      <c r="AA1810" s="1" t="s">
        <v>109</v>
      </c>
      <c r="AB1810" s="1" t="s">
        <v>109</v>
      </c>
      <c r="AC1810" s="1" t="s">
        <v>109</v>
      </c>
      <c r="AD1810" s="1" t="s">
        <v>109</v>
      </c>
      <c r="AE1810" s="1" t="s">
        <v>109</v>
      </c>
      <c r="AF1810" s="1" t="s">
        <v>109</v>
      </c>
      <c r="AG1810" s="1">
        <v>3</v>
      </c>
      <c r="AH1810" s="1" t="s">
        <v>109</v>
      </c>
      <c r="AI1810" s="1" t="s">
        <v>109</v>
      </c>
      <c r="AJ1810" s="1" t="s">
        <v>109</v>
      </c>
      <c r="AK1810" s="1" t="s">
        <v>109</v>
      </c>
      <c r="AL1810" s="1" t="s">
        <v>109</v>
      </c>
      <c r="AM1810" s="1">
        <v>3</v>
      </c>
      <c r="AN1810" s="1" t="s">
        <v>109</v>
      </c>
      <c r="AO1810" s="1" t="s">
        <v>109</v>
      </c>
      <c r="AP1810" s="1"/>
      <c r="AQ1810" s="1">
        <v>3</v>
      </c>
      <c r="AR1810" s="1"/>
      <c r="AS1810" s="1" t="s">
        <v>13428</v>
      </c>
      <c r="AT1810" s="1">
        <v>0</v>
      </c>
      <c r="AU1810" s="1">
        <v>0</v>
      </c>
      <c r="AV1810" s="1">
        <v>0</v>
      </c>
      <c r="AW1810" s="1">
        <v>0</v>
      </c>
      <c r="AX1810" s="1">
        <v>0</v>
      </c>
      <c r="AY1810" s="1">
        <v>0</v>
      </c>
      <c r="AZ1810" s="1">
        <v>0</v>
      </c>
      <c r="BA1810" s="1">
        <v>0</v>
      </c>
      <c r="BB1810" s="1">
        <v>0</v>
      </c>
      <c r="BC1810" s="1">
        <v>0</v>
      </c>
      <c r="BD1810" s="1">
        <v>0</v>
      </c>
      <c r="BE1810" s="1">
        <v>0</v>
      </c>
      <c r="BF1810" s="1">
        <v>0</v>
      </c>
      <c r="BG1810" s="1">
        <v>0</v>
      </c>
      <c r="BH1810" s="1">
        <v>0</v>
      </c>
      <c r="BI1810" s="1">
        <v>0</v>
      </c>
      <c r="BJ1810" s="1">
        <v>0</v>
      </c>
      <c r="BK1810" s="1">
        <v>0</v>
      </c>
      <c r="BL1810" s="1">
        <v>0</v>
      </c>
      <c r="BM1810" s="1">
        <v>0</v>
      </c>
      <c r="BN1810" s="1">
        <v>0</v>
      </c>
      <c r="BO1810" s="1">
        <v>0</v>
      </c>
      <c r="BP1810" s="1">
        <v>0</v>
      </c>
      <c r="BQ1810" s="1">
        <v>0</v>
      </c>
      <c r="BR1810" s="1">
        <v>0</v>
      </c>
      <c r="BS1810" s="1" t="s">
        <v>109</v>
      </c>
      <c r="BT1810" s="1">
        <v>1884</v>
      </c>
      <c r="BU1810" s="1" t="s">
        <v>109</v>
      </c>
      <c r="BV1810" s="1"/>
      <c r="BW1810" s="1"/>
      <c r="BX1810" s="1"/>
      <c r="BY1810" s="1"/>
      <c r="BZ1810" s="1">
        <v>0</v>
      </c>
      <c r="CA1810" s="1" t="s">
        <v>109</v>
      </c>
      <c r="CB1810" s="1" t="s">
        <v>109</v>
      </c>
      <c r="CC1810" s="1" t="s">
        <v>109</v>
      </c>
      <c r="CD1810" s="1" t="s">
        <v>109</v>
      </c>
      <c r="CE1810" s="1" t="s">
        <v>109</v>
      </c>
      <c r="CF1810" s="1" t="s">
        <v>109</v>
      </c>
      <c r="CG1810" s="1" t="s">
        <v>109</v>
      </c>
      <c r="CH1810" s="1" t="s">
        <v>109</v>
      </c>
      <c r="CI1810" s="1" t="s">
        <v>109</v>
      </c>
      <c r="CJ1810" s="1" t="s">
        <v>109</v>
      </c>
      <c r="CK1810" s="1"/>
      <c r="CL1810" s="1">
        <v>0</v>
      </c>
      <c r="CM1810" s="1">
        <v>0</v>
      </c>
      <c r="CN1810" s="1">
        <v>0</v>
      </c>
    </row>
    <row r="1811" spans="1:92" ht="14.25" customHeight="1" x14ac:dyDescent="0.15">
      <c r="A1811" s="1" t="s">
        <v>13429</v>
      </c>
      <c r="B1811" s="1" t="s">
        <v>189</v>
      </c>
      <c r="C1811" s="1"/>
      <c r="D1811" s="1"/>
      <c r="E1811" s="1" t="s">
        <v>13430</v>
      </c>
      <c r="F1811" s="1" t="s">
        <v>98</v>
      </c>
      <c r="G1811" s="1" t="s">
        <v>141</v>
      </c>
      <c r="H1811" s="1">
        <v>0</v>
      </c>
      <c r="I1811" s="1" t="s">
        <v>161</v>
      </c>
      <c r="J1811" s="1"/>
      <c r="K1811" s="1"/>
      <c r="L1811" s="1" t="s">
        <v>13431</v>
      </c>
      <c r="M1811" s="1" t="s">
        <v>144</v>
      </c>
      <c r="N1811" s="1">
        <v>0</v>
      </c>
      <c r="O1811" s="1">
        <v>0</v>
      </c>
      <c r="P1811" s="1" t="s">
        <v>103</v>
      </c>
      <c r="Q1811" s="1" t="s">
        <v>104</v>
      </c>
      <c r="R1811" s="1" t="s">
        <v>13432</v>
      </c>
      <c r="S1811" s="1" t="s">
        <v>13433</v>
      </c>
      <c r="T1811" s="1" t="s">
        <v>13306</v>
      </c>
      <c r="U1811" s="1" t="s">
        <v>13434</v>
      </c>
      <c r="V1811" s="1">
        <v>1</v>
      </c>
      <c r="W1811" s="1">
        <v>1</v>
      </c>
      <c r="X1811" s="1">
        <v>0</v>
      </c>
      <c r="Y1811" s="1">
        <v>0</v>
      </c>
      <c r="Z1811" s="1">
        <v>0</v>
      </c>
      <c r="AA1811" s="1" t="s">
        <v>109</v>
      </c>
      <c r="AB1811" s="1" t="s">
        <v>109</v>
      </c>
      <c r="AC1811" s="1" t="s">
        <v>109</v>
      </c>
      <c r="AD1811" s="1" t="s">
        <v>109</v>
      </c>
      <c r="AE1811" s="1" t="s">
        <v>109</v>
      </c>
      <c r="AF1811" s="1" t="s">
        <v>109</v>
      </c>
      <c r="AG1811" s="1" t="s">
        <v>109</v>
      </c>
      <c r="AH1811" s="1" t="s">
        <v>109</v>
      </c>
      <c r="AI1811" s="1" t="s">
        <v>109</v>
      </c>
      <c r="AJ1811" s="1" t="s">
        <v>109</v>
      </c>
      <c r="AK1811" s="1" t="s">
        <v>109</v>
      </c>
      <c r="AL1811" s="1" t="s">
        <v>109</v>
      </c>
      <c r="AM1811" s="1" t="s">
        <v>109</v>
      </c>
      <c r="AN1811" s="1">
        <v>1</v>
      </c>
      <c r="AO1811" s="1" t="s">
        <v>109</v>
      </c>
      <c r="AP1811" s="1"/>
      <c r="AQ1811" s="1">
        <v>1</v>
      </c>
      <c r="AR1811" s="1"/>
      <c r="AS1811" s="1" t="s">
        <v>13435</v>
      </c>
      <c r="AT1811" s="1">
        <v>0</v>
      </c>
      <c r="AU1811" s="1">
        <v>0</v>
      </c>
      <c r="AV1811" s="1">
        <v>0</v>
      </c>
      <c r="AW1811" s="1">
        <v>0</v>
      </c>
      <c r="AX1811" s="1">
        <v>0</v>
      </c>
      <c r="AY1811" s="1">
        <v>0</v>
      </c>
      <c r="AZ1811" s="1">
        <v>0</v>
      </c>
      <c r="BA1811" s="1">
        <v>0</v>
      </c>
      <c r="BB1811" s="1">
        <v>0</v>
      </c>
      <c r="BC1811" s="1">
        <v>0</v>
      </c>
      <c r="BD1811" s="1">
        <v>0</v>
      </c>
      <c r="BE1811" s="1">
        <v>0</v>
      </c>
      <c r="BF1811" s="1">
        <v>0</v>
      </c>
      <c r="BG1811" s="1">
        <v>0</v>
      </c>
      <c r="BH1811" s="1">
        <v>0</v>
      </c>
      <c r="BI1811" s="1">
        <v>0</v>
      </c>
      <c r="BJ1811" s="1">
        <v>0</v>
      </c>
      <c r="BK1811" s="1">
        <v>0</v>
      </c>
      <c r="BL1811" s="1">
        <v>0</v>
      </c>
      <c r="BM1811" s="1">
        <v>0</v>
      </c>
      <c r="BN1811" s="1">
        <v>0</v>
      </c>
      <c r="BO1811" s="1">
        <v>0</v>
      </c>
      <c r="BP1811" s="1">
        <v>0</v>
      </c>
      <c r="BQ1811" s="1">
        <v>0</v>
      </c>
      <c r="BR1811" s="1">
        <v>0</v>
      </c>
      <c r="BS1811" s="1" t="s">
        <v>109</v>
      </c>
      <c r="BT1811" s="1">
        <v>1885</v>
      </c>
      <c r="BU1811" s="1" t="s">
        <v>109</v>
      </c>
      <c r="BV1811" s="1"/>
      <c r="BW1811" s="1"/>
      <c r="BX1811" s="1"/>
      <c r="BY1811" s="1"/>
      <c r="BZ1811" s="1">
        <v>0</v>
      </c>
      <c r="CA1811" s="1">
        <v>1</v>
      </c>
      <c r="CB1811" s="1" t="s">
        <v>109</v>
      </c>
      <c r="CC1811" s="1" t="s">
        <v>109</v>
      </c>
      <c r="CD1811" s="1" t="s">
        <v>109</v>
      </c>
      <c r="CE1811" s="1" t="s">
        <v>109</v>
      </c>
      <c r="CF1811" s="1" t="s">
        <v>109</v>
      </c>
      <c r="CG1811" s="1" t="s">
        <v>109</v>
      </c>
      <c r="CH1811" s="1" t="s">
        <v>109</v>
      </c>
      <c r="CI1811" s="1" t="s">
        <v>109</v>
      </c>
      <c r="CJ1811" s="1" t="s">
        <v>109</v>
      </c>
      <c r="CK1811" s="1"/>
      <c r="CL1811" s="1">
        <v>0</v>
      </c>
      <c r="CM1811" s="1">
        <v>0</v>
      </c>
      <c r="CN1811" s="1">
        <v>0</v>
      </c>
    </row>
    <row r="1812" spans="1:92" ht="14.25" customHeight="1" x14ac:dyDescent="0.15">
      <c r="A1812" s="1" t="s">
        <v>13436</v>
      </c>
      <c r="B1812" s="1" t="s">
        <v>584</v>
      </c>
      <c r="C1812" s="1"/>
      <c r="D1812" s="1" t="s">
        <v>64</v>
      </c>
      <c r="E1812" s="1" t="s">
        <v>4045</v>
      </c>
      <c r="F1812" s="1" t="s">
        <v>355</v>
      </c>
      <c r="G1812" s="1" t="s">
        <v>13437</v>
      </c>
      <c r="H1812" s="1">
        <v>0</v>
      </c>
      <c r="I1812" s="1" t="s">
        <v>13438</v>
      </c>
      <c r="J1812" s="1"/>
      <c r="K1812" s="1" t="s">
        <v>13439</v>
      </c>
      <c r="L1812" s="1"/>
      <c r="M1812" s="1" t="s">
        <v>5711</v>
      </c>
      <c r="N1812" s="1">
        <v>0</v>
      </c>
      <c r="O1812" s="1">
        <v>0</v>
      </c>
      <c r="P1812" s="1" t="s">
        <v>103</v>
      </c>
      <c r="Q1812" s="1" t="s">
        <v>104</v>
      </c>
      <c r="R1812" s="1" t="s">
        <v>13440</v>
      </c>
      <c r="S1812" s="1" t="s">
        <v>13441</v>
      </c>
      <c r="T1812" s="1" t="s">
        <v>13306</v>
      </c>
      <c r="U1812" s="1" t="s">
        <v>13442</v>
      </c>
      <c r="V1812" s="1">
        <v>1</v>
      </c>
      <c r="W1812" s="1">
        <v>1</v>
      </c>
      <c r="X1812" s="1">
        <v>1</v>
      </c>
      <c r="Y1812" s="1">
        <v>0</v>
      </c>
      <c r="Z1812" s="1">
        <v>0</v>
      </c>
      <c r="AA1812" s="1" t="s">
        <v>109</v>
      </c>
      <c r="AB1812" s="1" t="s">
        <v>109</v>
      </c>
      <c r="AC1812" s="1" t="s">
        <v>109</v>
      </c>
      <c r="AD1812" s="1">
        <v>6</v>
      </c>
      <c r="AE1812" s="1" t="s">
        <v>109</v>
      </c>
      <c r="AF1812" s="1" t="s">
        <v>109</v>
      </c>
      <c r="AG1812" s="1" t="s">
        <v>109</v>
      </c>
      <c r="AH1812" s="1" t="s">
        <v>109</v>
      </c>
      <c r="AI1812" s="1" t="s">
        <v>109</v>
      </c>
      <c r="AJ1812" s="1" t="s">
        <v>109</v>
      </c>
      <c r="AK1812" s="1" t="s">
        <v>109</v>
      </c>
      <c r="AL1812" s="1" t="s">
        <v>109</v>
      </c>
      <c r="AM1812" s="1" t="s">
        <v>109</v>
      </c>
      <c r="AN1812" s="1" t="s">
        <v>109</v>
      </c>
      <c r="AO1812" s="1" t="s">
        <v>109</v>
      </c>
      <c r="AP1812" s="1"/>
      <c r="AQ1812" s="1">
        <v>6</v>
      </c>
      <c r="AR1812" s="1"/>
      <c r="AS1812" s="1" t="s">
        <v>13443</v>
      </c>
      <c r="AT1812" s="1">
        <v>0</v>
      </c>
      <c r="AU1812" s="1">
        <v>0</v>
      </c>
      <c r="AV1812" s="1">
        <v>0</v>
      </c>
      <c r="AW1812" s="1">
        <v>0</v>
      </c>
      <c r="AX1812" s="1">
        <v>0</v>
      </c>
      <c r="AY1812" s="1">
        <v>0</v>
      </c>
      <c r="AZ1812" s="1">
        <v>0</v>
      </c>
      <c r="BA1812" s="1">
        <v>0</v>
      </c>
      <c r="BB1812" s="1">
        <v>0</v>
      </c>
      <c r="BC1812" s="1">
        <v>0</v>
      </c>
      <c r="BD1812" s="1">
        <v>0</v>
      </c>
      <c r="BE1812" s="1">
        <v>0</v>
      </c>
      <c r="BF1812" s="1">
        <v>0</v>
      </c>
      <c r="BG1812" s="1">
        <v>0</v>
      </c>
      <c r="BH1812" s="1">
        <v>0</v>
      </c>
      <c r="BI1812" s="1">
        <v>0</v>
      </c>
      <c r="BJ1812" s="1">
        <v>0</v>
      </c>
      <c r="BK1812" s="1">
        <v>0</v>
      </c>
      <c r="BL1812" s="1">
        <v>1</v>
      </c>
      <c r="BM1812" s="1">
        <v>0</v>
      </c>
      <c r="BN1812" s="1">
        <v>0</v>
      </c>
      <c r="BO1812" s="1">
        <v>0</v>
      </c>
      <c r="BP1812" s="1">
        <v>0</v>
      </c>
      <c r="BQ1812" s="1">
        <v>0</v>
      </c>
      <c r="BR1812" s="1">
        <v>0</v>
      </c>
      <c r="BS1812" s="1" t="s">
        <v>109</v>
      </c>
      <c r="BT1812" s="1">
        <v>1886</v>
      </c>
      <c r="BU1812" s="1" t="s">
        <v>109</v>
      </c>
      <c r="BV1812" s="1"/>
      <c r="BW1812" s="1"/>
      <c r="BX1812" s="1"/>
      <c r="BY1812" s="1"/>
      <c r="BZ1812" s="1">
        <v>0</v>
      </c>
      <c r="CA1812" s="1" t="s">
        <v>109</v>
      </c>
      <c r="CB1812" s="1" t="s">
        <v>109</v>
      </c>
      <c r="CC1812" s="1" t="s">
        <v>109</v>
      </c>
      <c r="CD1812" s="1" t="s">
        <v>109</v>
      </c>
      <c r="CE1812" s="1" t="s">
        <v>109</v>
      </c>
      <c r="CF1812" s="1" t="s">
        <v>109</v>
      </c>
      <c r="CG1812" s="1" t="s">
        <v>109</v>
      </c>
      <c r="CH1812" s="1" t="s">
        <v>109</v>
      </c>
      <c r="CI1812" s="1" t="s">
        <v>109</v>
      </c>
      <c r="CJ1812" s="1">
        <v>6</v>
      </c>
      <c r="CK1812" s="1"/>
      <c r="CL1812" s="1">
        <v>0</v>
      </c>
      <c r="CM1812" s="1">
        <v>0</v>
      </c>
      <c r="CN1812" s="1">
        <v>0</v>
      </c>
    </row>
    <row r="1813" spans="1:92" ht="14.25" customHeight="1" x14ac:dyDescent="0.15">
      <c r="A1813" s="1" t="s">
        <v>13444</v>
      </c>
      <c r="B1813" s="1" t="s">
        <v>189</v>
      </c>
      <c r="C1813" s="1"/>
      <c r="D1813" s="1" t="s">
        <v>61</v>
      </c>
      <c r="E1813" s="1" t="s">
        <v>13445</v>
      </c>
      <c r="F1813" s="1" t="s">
        <v>98</v>
      </c>
      <c r="G1813" s="1" t="s">
        <v>141</v>
      </c>
      <c r="H1813" s="1">
        <v>0</v>
      </c>
      <c r="I1813" s="1" t="s">
        <v>161</v>
      </c>
      <c r="J1813" s="1"/>
      <c r="K1813" s="1"/>
      <c r="L1813" s="1" t="s">
        <v>506</v>
      </c>
      <c r="M1813" s="1" t="s">
        <v>3042</v>
      </c>
      <c r="N1813" s="1">
        <v>0</v>
      </c>
      <c r="O1813" s="1">
        <v>0</v>
      </c>
      <c r="P1813" s="1" t="s">
        <v>103</v>
      </c>
      <c r="Q1813" s="1" t="s">
        <v>268</v>
      </c>
      <c r="R1813" s="1" t="s">
        <v>13446</v>
      </c>
      <c r="S1813" s="1" t="s">
        <v>13447</v>
      </c>
      <c r="T1813" s="1" t="s">
        <v>13306</v>
      </c>
      <c r="U1813" s="1" t="s">
        <v>13448</v>
      </c>
      <c r="V1813" s="1">
        <v>1</v>
      </c>
      <c r="W1813" s="1">
        <v>1</v>
      </c>
      <c r="X1813" s="1">
        <v>0</v>
      </c>
      <c r="Y1813" s="1">
        <v>0</v>
      </c>
      <c r="Z1813" s="1">
        <v>0</v>
      </c>
      <c r="AA1813" s="1" t="s">
        <v>109</v>
      </c>
      <c r="AB1813" s="1" t="s">
        <v>109</v>
      </c>
      <c r="AC1813" s="1">
        <v>1</v>
      </c>
      <c r="AD1813" s="1" t="s">
        <v>109</v>
      </c>
      <c r="AE1813" s="1" t="s">
        <v>109</v>
      </c>
      <c r="AF1813" s="1" t="s">
        <v>109</v>
      </c>
      <c r="AG1813" s="1">
        <v>1</v>
      </c>
      <c r="AH1813" s="1" t="s">
        <v>109</v>
      </c>
      <c r="AI1813" s="1" t="s">
        <v>109</v>
      </c>
      <c r="AJ1813" s="1" t="s">
        <v>109</v>
      </c>
      <c r="AK1813" s="1" t="s">
        <v>109</v>
      </c>
      <c r="AL1813" s="1">
        <v>1</v>
      </c>
      <c r="AM1813" s="1" t="s">
        <v>109</v>
      </c>
      <c r="AN1813" s="1" t="s">
        <v>109</v>
      </c>
      <c r="AO1813" s="1" t="s">
        <v>109</v>
      </c>
      <c r="AP1813" s="1"/>
      <c r="AQ1813" s="1">
        <v>1</v>
      </c>
      <c r="AR1813" s="1"/>
      <c r="AS1813" s="1" t="s">
        <v>13449</v>
      </c>
      <c r="AT1813" s="1">
        <v>0</v>
      </c>
      <c r="AU1813" s="1">
        <v>0</v>
      </c>
      <c r="AV1813" s="1">
        <v>0</v>
      </c>
      <c r="AW1813" s="1">
        <v>0</v>
      </c>
      <c r="AX1813" s="1">
        <v>0</v>
      </c>
      <c r="AY1813" s="1">
        <v>0</v>
      </c>
      <c r="AZ1813" s="1">
        <v>0</v>
      </c>
      <c r="BA1813" s="1">
        <v>0</v>
      </c>
      <c r="BB1813" s="1">
        <v>0</v>
      </c>
      <c r="BC1813" s="1">
        <v>0</v>
      </c>
      <c r="BD1813" s="1">
        <v>0</v>
      </c>
      <c r="BE1813" s="1">
        <v>0</v>
      </c>
      <c r="BF1813" s="1">
        <v>0</v>
      </c>
      <c r="BG1813" s="1">
        <v>0</v>
      </c>
      <c r="BH1813" s="1">
        <v>0</v>
      </c>
      <c r="BI1813" s="1">
        <v>1</v>
      </c>
      <c r="BJ1813" s="1">
        <v>0</v>
      </c>
      <c r="BK1813" s="1">
        <v>0</v>
      </c>
      <c r="BL1813" s="1">
        <v>0</v>
      </c>
      <c r="BM1813" s="1">
        <v>0</v>
      </c>
      <c r="BN1813" s="1">
        <v>0</v>
      </c>
      <c r="BO1813" s="1">
        <v>0</v>
      </c>
      <c r="BP1813" s="1">
        <v>0</v>
      </c>
      <c r="BQ1813" s="1">
        <v>0</v>
      </c>
      <c r="BR1813" s="1">
        <v>0</v>
      </c>
      <c r="BS1813" s="1" t="s">
        <v>109</v>
      </c>
      <c r="BT1813" s="1">
        <v>1887</v>
      </c>
      <c r="BU1813" s="1" t="s">
        <v>109</v>
      </c>
      <c r="BV1813" s="1"/>
      <c r="BW1813" s="1"/>
      <c r="BX1813" s="1"/>
      <c r="BY1813" s="1"/>
      <c r="BZ1813" s="1">
        <v>0</v>
      </c>
      <c r="CA1813" s="1" t="s">
        <v>109</v>
      </c>
      <c r="CB1813" s="1" t="s">
        <v>109</v>
      </c>
      <c r="CC1813" s="1" t="s">
        <v>109</v>
      </c>
      <c r="CD1813" s="1" t="s">
        <v>109</v>
      </c>
      <c r="CE1813" s="1" t="s">
        <v>109</v>
      </c>
      <c r="CF1813" s="1" t="s">
        <v>109</v>
      </c>
      <c r="CG1813" s="1" t="s">
        <v>109</v>
      </c>
      <c r="CH1813" s="1" t="s">
        <v>109</v>
      </c>
      <c r="CI1813" s="1" t="s">
        <v>109</v>
      </c>
      <c r="CJ1813" s="1" t="s">
        <v>109</v>
      </c>
      <c r="CK1813" s="1"/>
      <c r="CL1813" s="1">
        <v>0</v>
      </c>
      <c r="CM1813" s="1">
        <v>0</v>
      </c>
      <c r="CN1813" s="1">
        <v>0</v>
      </c>
    </row>
    <row r="1814" spans="1:92" ht="14.25" customHeight="1" x14ac:dyDescent="0.15">
      <c r="A1814" s="1" t="s">
        <v>13450</v>
      </c>
      <c r="B1814" s="1" t="s">
        <v>308</v>
      </c>
      <c r="C1814" s="1"/>
      <c r="D1814" s="1" t="s">
        <v>13451</v>
      </c>
      <c r="E1814" s="1" t="s">
        <v>13452</v>
      </c>
      <c r="F1814" s="1" t="s">
        <v>98</v>
      </c>
      <c r="G1814" s="1" t="s">
        <v>141</v>
      </c>
      <c r="H1814" s="1">
        <v>0</v>
      </c>
      <c r="I1814" s="1" t="s">
        <v>161</v>
      </c>
      <c r="J1814" s="1"/>
      <c r="K1814" s="1"/>
      <c r="L1814" s="1" t="s">
        <v>162</v>
      </c>
      <c r="M1814" s="1" t="s">
        <v>13114</v>
      </c>
      <c r="N1814" s="1">
        <v>0</v>
      </c>
      <c r="O1814" s="1">
        <v>0</v>
      </c>
      <c r="P1814" s="1" t="s">
        <v>13453</v>
      </c>
      <c r="Q1814" s="1" t="s">
        <v>268</v>
      </c>
      <c r="R1814" s="1" t="s">
        <v>13454</v>
      </c>
      <c r="S1814" s="1" t="s">
        <v>13455</v>
      </c>
      <c r="T1814" s="1" t="s">
        <v>13306</v>
      </c>
      <c r="U1814" s="1" t="s">
        <v>13456</v>
      </c>
      <c r="V1814" s="1">
        <v>1</v>
      </c>
      <c r="W1814" s="1">
        <v>1</v>
      </c>
      <c r="X1814" s="1">
        <v>0</v>
      </c>
      <c r="Y1814" s="1">
        <v>0</v>
      </c>
      <c r="Z1814" s="1">
        <v>0</v>
      </c>
      <c r="AA1814" s="1">
        <v>4</v>
      </c>
      <c r="AB1814" s="1">
        <v>4</v>
      </c>
      <c r="AC1814" s="1">
        <v>4</v>
      </c>
      <c r="AD1814" s="1" t="s">
        <v>109</v>
      </c>
      <c r="AE1814" s="1" t="s">
        <v>109</v>
      </c>
      <c r="AF1814" s="1" t="s">
        <v>109</v>
      </c>
      <c r="AG1814" s="1" t="s">
        <v>109</v>
      </c>
      <c r="AH1814" s="1" t="s">
        <v>109</v>
      </c>
      <c r="AI1814" s="1" t="s">
        <v>109</v>
      </c>
      <c r="AJ1814" s="1" t="s">
        <v>109</v>
      </c>
      <c r="AK1814" s="1" t="s">
        <v>109</v>
      </c>
      <c r="AL1814" s="1">
        <v>4</v>
      </c>
      <c r="AM1814" s="1">
        <v>4</v>
      </c>
      <c r="AN1814" s="1" t="s">
        <v>109</v>
      </c>
      <c r="AO1814" s="1" t="s">
        <v>109</v>
      </c>
      <c r="AP1814" s="1"/>
      <c r="AQ1814" s="1">
        <v>4</v>
      </c>
      <c r="AR1814" s="1"/>
      <c r="AS1814" s="1" t="s">
        <v>13457</v>
      </c>
      <c r="AT1814" s="1">
        <v>1</v>
      </c>
      <c r="AU1814" s="1">
        <v>0</v>
      </c>
      <c r="AV1814" s="1">
        <v>0</v>
      </c>
      <c r="AW1814" s="1">
        <v>0</v>
      </c>
      <c r="AX1814" s="1">
        <v>0</v>
      </c>
      <c r="AY1814" s="1">
        <v>0</v>
      </c>
      <c r="AZ1814" s="1">
        <v>1</v>
      </c>
      <c r="BA1814" s="1">
        <v>0</v>
      </c>
      <c r="BB1814" s="1">
        <v>0</v>
      </c>
      <c r="BC1814" s="1">
        <v>0</v>
      </c>
      <c r="BD1814" s="1">
        <v>0</v>
      </c>
      <c r="BE1814" s="1">
        <v>0</v>
      </c>
      <c r="BF1814" s="1">
        <v>0</v>
      </c>
      <c r="BG1814" s="1">
        <v>0</v>
      </c>
      <c r="BH1814" s="1">
        <v>0</v>
      </c>
      <c r="BI1814" s="1">
        <v>0</v>
      </c>
      <c r="BJ1814" s="1">
        <v>0</v>
      </c>
      <c r="BK1814" s="1">
        <v>0</v>
      </c>
      <c r="BL1814" s="1">
        <v>0</v>
      </c>
      <c r="BM1814" s="1">
        <v>0</v>
      </c>
      <c r="BN1814" s="1">
        <v>0</v>
      </c>
      <c r="BO1814" s="1">
        <v>0</v>
      </c>
      <c r="BP1814" s="1">
        <v>0</v>
      </c>
      <c r="BQ1814" s="1">
        <v>0</v>
      </c>
      <c r="BR1814" s="1">
        <v>0</v>
      </c>
      <c r="BS1814" s="1" t="s">
        <v>109</v>
      </c>
      <c r="BT1814" s="1">
        <v>1888</v>
      </c>
      <c r="BU1814" s="1" t="s">
        <v>109</v>
      </c>
      <c r="BV1814" s="1"/>
      <c r="BW1814" s="1"/>
      <c r="BX1814" s="1"/>
      <c r="BY1814" s="1"/>
      <c r="BZ1814" s="1">
        <v>0</v>
      </c>
      <c r="CA1814" s="1" t="s">
        <v>109</v>
      </c>
      <c r="CB1814" s="1" t="s">
        <v>109</v>
      </c>
      <c r="CC1814" s="1" t="s">
        <v>109</v>
      </c>
      <c r="CD1814" s="1" t="s">
        <v>109</v>
      </c>
      <c r="CE1814" s="1" t="s">
        <v>109</v>
      </c>
      <c r="CF1814" s="1" t="s">
        <v>109</v>
      </c>
      <c r="CG1814" s="1" t="s">
        <v>109</v>
      </c>
      <c r="CH1814" s="1" t="s">
        <v>109</v>
      </c>
      <c r="CI1814" s="1" t="s">
        <v>109</v>
      </c>
      <c r="CJ1814" s="1" t="s">
        <v>109</v>
      </c>
      <c r="CK1814" s="1"/>
      <c r="CL1814" s="1">
        <v>0</v>
      </c>
      <c r="CM1814" s="1">
        <v>0</v>
      </c>
      <c r="CN1814" s="1">
        <v>0</v>
      </c>
    </row>
    <row r="1815" spans="1:92" ht="14.25" customHeight="1" x14ac:dyDescent="0.15">
      <c r="A1815" s="1" t="s">
        <v>13458</v>
      </c>
      <c r="B1815" s="1" t="s">
        <v>189</v>
      </c>
      <c r="C1815" s="1"/>
      <c r="D1815" s="1"/>
      <c r="E1815" s="1" t="s">
        <v>13459</v>
      </c>
      <c r="F1815" s="1" t="s">
        <v>98</v>
      </c>
      <c r="G1815" s="1" t="s">
        <v>141</v>
      </c>
      <c r="H1815" s="1">
        <v>0</v>
      </c>
      <c r="I1815" s="1" t="s">
        <v>235</v>
      </c>
      <c r="J1815" s="1"/>
      <c r="K1815" s="1"/>
      <c r="L1815" s="1" t="s">
        <v>236</v>
      </c>
      <c r="M1815" s="1" t="s">
        <v>3042</v>
      </c>
      <c r="N1815" s="1">
        <v>0</v>
      </c>
      <c r="O1815" s="1">
        <v>0</v>
      </c>
      <c r="P1815" s="1"/>
      <c r="Q1815" s="1"/>
      <c r="R1815" s="1" t="s">
        <v>13460</v>
      </c>
      <c r="S1815" s="1" t="s">
        <v>13461</v>
      </c>
      <c r="T1815" s="1" t="s">
        <v>13306</v>
      </c>
      <c r="U1815" s="1" t="s">
        <v>13462</v>
      </c>
      <c r="V1815" s="1">
        <v>1</v>
      </c>
      <c r="W1815" s="1">
        <v>1</v>
      </c>
      <c r="X1815" s="1">
        <v>0</v>
      </c>
      <c r="Y1815" s="1">
        <v>0</v>
      </c>
      <c r="Z1815" s="1">
        <v>0</v>
      </c>
      <c r="AA1815" s="1">
        <v>2</v>
      </c>
      <c r="AB1815" s="1">
        <v>2</v>
      </c>
      <c r="AC1815" s="1" t="s">
        <v>109</v>
      </c>
      <c r="AD1815" s="1" t="s">
        <v>109</v>
      </c>
      <c r="AE1815" s="1" t="s">
        <v>109</v>
      </c>
      <c r="AF1815" s="1" t="s">
        <v>109</v>
      </c>
      <c r="AG1815" s="1" t="s">
        <v>109</v>
      </c>
      <c r="AH1815" s="1">
        <v>2</v>
      </c>
      <c r="AI1815" s="1">
        <v>2</v>
      </c>
      <c r="AJ1815" s="1">
        <v>2</v>
      </c>
      <c r="AK1815" s="1" t="s">
        <v>109</v>
      </c>
      <c r="AL1815" s="1" t="s">
        <v>109</v>
      </c>
      <c r="AM1815" s="1" t="s">
        <v>109</v>
      </c>
      <c r="AN1815" s="1" t="s">
        <v>109</v>
      </c>
      <c r="AO1815" s="1" t="s">
        <v>109</v>
      </c>
      <c r="AP1815" s="1"/>
      <c r="AQ1815" s="1">
        <v>2</v>
      </c>
      <c r="AR1815" s="1"/>
      <c r="AS1815" s="1" t="s">
        <v>13463</v>
      </c>
      <c r="AT1815" s="1">
        <v>0</v>
      </c>
      <c r="AU1815" s="1">
        <v>0</v>
      </c>
      <c r="AV1815" s="1">
        <v>0</v>
      </c>
      <c r="AW1815" s="1">
        <v>0</v>
      </c>
      <c r="AX1815" s="1">
        <v>0</v>
      </c>
      <c r="AY1815" s="1">
        <v>0</v>
      </c>
      <c r="AZ1815" s="1">
        <v>0</v>
      </c>
      <c r="BA1815" s="1">
        <v>0</v>
      </c>
      <c r="BB1815" s="1">
        <v>0</v>
      </c>
      <c r="BC1815" s="1">
        <v>0</v>
      </c>
      <c r="BD1815" s="1">
        <v>0</v>
      </c>
      <c r="BE1815" s="1">
        <v>0</v>
      </c>
      <c r="BF1815" s="1">
        <v>0</v>
      </c>
      <c r="BG1815" s="1">
        <v>0</v>
      </c>
      <c r="BH1815" s="1">
        <v>0</v>
      </c>
      <c r="BI1815" s="1">
        <v>0</v>
      </c>
      <c r="BJ1815" s="1">
        <v>0</v>
      </c>
      <c r="BK1815" s="1">
        <v>0</v>
      </c>
      <c r="BL1815" s="1">
        <v>0</v>
      </c>
      <c r="BM1815" s="1">
        <v>0</v>
      </c>
      <c r="BN1815" s="1">
        <v>0</v>
      </c>
      <c r="BO1815" s="1">
        <v>0</v>
      </c>
      <c r="BP1815" s="1">
        <v>0</v>
      </c>
      <c r="BQ1815" s="1">
        <v>0</v>
      </c>
      <c r="BR1815" s="1">
        <v>0</v>
      </c>
      <c r="BS1815" s="1" t="s">
        <v>109</v>
      </c>
      <c r="BT1815" s="1">
        <v>1889</v>
      </c>
      <c r="BU1815" s="1" t="s">
        <v>109</v>
      </c>
      <c r="BV1815" s="1"/>
      <c r="BW1815" s="1"/>
      <c r="BX1815" s="1"/>
      <c r="BY1815" s="1"/>
      <c r="BZ1815" s="1">
        <v>0</v>
      </c>
      <c r="CA1815" s="1">
        <v>2</v>
      </c>
      <c r="CB1815" s="1" t="s">
        <v>109</v>
      </c>
      <c r="CC1815" s="1">
        <v>2</v>
      </c>
      <c r="CD1815" s="1" t="s">
        <v>109</v>
      </c>
      <c r="CE1815" s="1" t="s">
        <v>109</v>
      </c>
      <c r="CF1815" s="1" t="s">
        <v>109</v>
      </c>
      <c r="CG1815" s="1" t="s">
        <v>109</v>
      </c>
      <c r="CH1815" s="1" t="s">
        <v>109</v>
      </c>
      <c r="CI1815" s="1" t="s">
        <v>109</v>
      </c>
      <c r="CJ1815" s="1" t="s">
        <v>109</v>
      </c>
      <c r="CK1815" s="1"/>
      <c r="CL1815" s="1">
        <v>0</v>
      </c>
      <c r="CM1815" s="1">
        <v>0</v>
      </c>
      <c r="CN1815" s="1">
        <v>0</v>
      </c>
    </row>
    <row r="1816" spans="1:92" ht="14.25" customHeight="1" x14ac:dyDescent="0.15">
      <c r="A1816" s="1" t="s">
        <v>13464</v>
      </c>
      <c r="B1816" s="1" t="s">
        <v>189</v>
      </c>
      <c r="C1816" s="1"/>
      <c r="D1816" s="1"/>
      <c r="E1816" s="1" t="s">
        <v>13465</v>
      </c>
      <c r="F1816" s="1" t="s">
        <v>98</v>
      </c>
      <c r="G1816" s="1" t="s">
        <v>13466</v>
      </c>
      <c r="H1816" s="1">
        <v>1</v>
      </c>
      <c r="I1816" s="1" t="s">
        <v>161</v>
      </c>
      <c r="J1816" s="1"/>
      <c r="K1816" s="1"/>
      <c r="L1816" s="1" t="s">
        <v>13467</v>
      </c>
      <c r="M1816" s="1" t="s">
        <v>5642</v>
      </c>
      <c r="N1816" s="1">
        <v>0</v>
      </c>
      <c r="O1816" s="1">
        <v>0</v>
      </c>
      <c r="P1816" s="1" t="s">
        <v>103</v>
      </c>
      <c r="Q1816" s="1" t="s">
        <v>12919</v>
      </c>
      <c r="R1816" s="1" t="s">
        <v>13468</v>
      </c>
      <c r="S1816" s="1" t="s">
        <v>13469</v>
      </c>
      <c r="T1816" s="1" t="s">
        <v>13306</v>
      </c>
      <c r="U1816" s="1" t="s">
        <v>13470</v>
      </c>
      <c r="V1816" s="1">
        <v>1</v>
      </c>
      <c r="W1816" s="1">
        <v>1</v>
      </c>
      <c r="X1816" s="1">
        <v>1</v>
      </c>
      <c r="Y1816" s="1">
        <v>0</v>
      </c>
      <c r="Z1816" s="1">
        <v>0</v>
      </c>
      <c r="AA1816" s="1">
        <v>3</v>
      </c>
      <c r="AB1816" s="1">
        <v>3</v>
      </c>
      <c r="AC1816" s="1" t="s">
        <v>109</v>
      </c>
      <c r="AD1816" s="1" t="s">
        <v>109</v>
      </c>
      <c r="AE1816" s="1" t="s">
        <v>109</v>
      </c>
      <c r="AF1816" s="1" t="s">
        <v>109</v>
      </c>
      <c r="AG1816" s="1" t="s">
        <v>109</v>
      </c>
      <c r="AH1816" s="1">
        <v>3</v>
      </c>
      <c r="AI1816" s="1" t="s">
        <v>109</v>
      </c>
      <c r="AJ1816" s="1" t="s">
        <v>109</v>
      </c>
      <c r="AK1816" s="1" t="s">
        <v>109</v>
      </c>
      <c r="AL1816" s="1" t="s">
        <v>109</v>
      </c>
      <c r="AM1816" s="1" t="s">
        <v>109</v>
      </c>
      <c r="AN1816" s="1" t="s">
        <v>109</v>
      </c>
      <c r="AO1816" s="1" t="s">
        <v>109</v>
      </c>
      <c r="AP1816" s="1"/>
      <c r="AQ1816" s="1">
        <v>3</v>
      </c>
      <c r="AR1816" s="1"/>
      <c r="AS1816" s="1" t="s">
        <v>13471</v>
      </c>
      <c r="AT1816" s="1">
        <v>0</v>
      </c>
      <c r="AU1816" s="1">
        <v>0</v>
      </c>
      <c r="AV1816" s="1">
        <v>0</v>
      </c>
      <c r="AW1816" s="1">
        <v>0</v>
      </c>
      <c r="AX1816" s="1">
        <v>0</v>
      </c>
      <c r="AY1816" s="1">
        <v>0</v>
      </c>
      <c r="AZ1816" s="1">
        <v>0</v>
      </c>
      <c r="BA1816" s="1">
        <v>0</v>
      </c>
      <c r="BB1816" s="1">
        <v>0</v>
      </c>
      <c r="BC1816" s="1">
        <v>0</v>
      </c>
      <c r="BD1816" s="1">
        <v>0</v>
      </c>
      <c r="BE1816" s="1">
        <v>0</v>
      </c>
      <c r="BF1816" s="1">
        <v>0</v>
      </c>
      <c r="BG1816" s="1">
        <v>0</v>
      </c>
      <c r="BH1816" s="1">
        <v>0</v>
      </c>
      <c r="BI1816" s="1">
        <v>0</v>
      </c>
      <c r="BJ1816" s="1">
        <v>0</v>
      </c>
      <c r="BK1816" s="1">
        <v>0</v>
      </c>
      <c r="BL1816" s="1">
        <v>0</v>
      </c>
      <c r="BM1816" s="1">
        <v>0</v>
      </c>
      <c r="BN1816" s="1">
        <v>0</v>
      </c>
      <c r="BO1816" s="1">
        <v>0</v>
      </c>
      <c r="BP1816" s="1">
        <v>0</v>
      </c>
      <c r="BQ1816" s="1">
        <v>0</v>
      </c>
      <c r="BR1816" s="1">
        <v>0</v>
      </c>
      <c r="BS1816" s="1" t="s">
        <v>109</v>
      </c>
      <c r="BT1816" s="1">
        <v>1890</v>
      </c>
      <c r="BU1816" s="1">
        <v>25</v>
      </c>
      <c r="BV1816" s="1"/>
      <c r="BW1816" s="1"/>
      <c r="BX1816" s="1"/>
      <c r="BY1816" s="1"/>
      <c r="BZ1816" s="1">
        <v>0</v>
      </c>
      <c r="CA1816" s="1" t="s">
        <v>109</v>
      </c>
      <c r="CB1816" s="1" t="s">
        <v>109</v>
      </c>
      <c r="CC1816" s="1" t="s">
        <v>109</v>
      </c>
      <c r="CD1816" s="1" t="s">
        <v>109</v>
      </c>
      <c r="CE1816" s="1" t="s">
        <v>109</v>
      </c>
      <c r="CF1816" s="1" t="s">
        <v>109</v>
      </c>
      <c r="CG1816" s="1" t="s">
        <v>109</v>
      </c>
      <c r="CH1816" s="1" t="s">
        <v>109</v>
      </c>
      <c r="CI1816" s="1" t="s">
        <v>109</v>
      </c>
      <c r="CJ1816" s="1" t="s">
        <v>109</v>
      </c>
      <c r="CK1816" s="1"/>
      <c r="CL1816" s="1">
        <v>0</v>
      </c>
      <c r="CM1816" s="1">
        <v>0</v>
      </c>
      <c r="CN1816" s="1">
        <v>0</v>
      </c>
    </row>
    <row r="1817" spans="1:92" ht="14.25" customHeight="1" x14ac:dyDescent="0.15">
      <c r="A1817" s="1" t="s">
        <v>13472</v>
      </c>
      <c r="B1817" s="1" t="s">
        <v>674</v>
      </c>
      <c r="C1817" s="1" t="s">
        <v>675</v>
      </c>
      <c r="D1817" s="1"/>
      <c r="E1817" s="1" t="s">
        <v>13473</v>
      </c>
      <c r="F1817" s="1" t="s">
        <v>98</v>
      </c>
      <c r="G1817" s="1" t="s">
        <v>141</v>
      </c>
      <c r="H1817" s="1">
        <v>0</v>
      </c>
      <c r="I1817" s="1" t="s">
        <v>235</v>
      </c>
      <c r="J1817" s="1"/>
      <c r="K1817" s="1"/>
      <c r="L1817" s="1" t="s">
        <v>236</v>
      </c>
      <c r="M1817" s="1" t="s">
        <v>6144</v>
      </c>
      <c r="N1817" s="1">
        <v>1</v>
      </c>
      <c r="O1817" s="1">
        <v>0</v>
      </c>
      <c r="P1817" s="1"/>
      <c r="Q1817" s="1"/>
      <c r="R1817" s="1" t="s">
        <v>13474</v>
      </c>
      <c r="S1817" s="1" t="s">
        <v>13475</v>
      </c>
      <c r="T1817" s="1" t="s">
        <v>13306</v>
      </c>
      <c r="U1817" s="1" t="s">
        <v>13476</v>
      </c>
      <c r="V1817" s="1">
        <v>1</v>
      </c>
      <c r="W1817" s="1">
        <v>1</v>
      </c>
      <c r="X1817" s="1">
        <v>0</v>
      </c>
      <c r="Y1817" s="1">
        <v>0</v>
      </c>
      <c r="Z1817" s="1">
        <v>0</v>
      </c>
      <c r="AA1817" s="1">
        <v>1</v>
      </c>
      <c r="AB1817" s="1">
        <v>1</v>
      </c>
      <c r="AC1817" s="1" t="s">
        <v>109</v>
      </c>
      <c r="AD1817" s="1" t="s">
        <v>109</v>
      </c>
      <c r="AE1817" s="1" t="s">
        <v>109</v>
      </c>
      <c r="AF1817" s="1">
        <v>1</v>
      </c>
      <c r="AG1817" s="1" t="s">
        <v>109</v>
      </c>
      <c r="AH1817" s="1">
        <v>1</v>
      </c>
      <c r="AI1817" s="1">
        <v>1</v>
      </c>
      <c r="AJ1817" s="1" t="s">
        <v>109</v>
      </c>
      <c r="AK1817" s="1" t="s">
        <v>109</v>
      </c>
      <c r="AL1817" s="1" t="s">
        <v>109</v>
      </c>
      <c r="AM1817" s="1" t="s">
        <v>109</v>
      </c>
      <c r="AN1817" s="1">
        <v>1</v>
      </c>
      <c r="AO1817" s="1" t="s">
        <v>109</v>
      </c>
      <c r="AP1817" s="1"/>
      <c r="AQ1817" s="1">
        <v>1</v>
      </c>
      <c r="AR1817" s="1"/>
      <c r="AS1817" s="1" t="s">
        <v>13477</v>
      </c>
      <c r="AT1817" s="1">
        <v>0</v>
      </c>
      <c r="AU1817" s="1">
        <v>0</v>
      </c>
      <c r="AV1817" s="1">
        <v>0</v>
      </c>
      <c r="AW1817" s="1">
        <v>0</v>
      </c>
      <c r="AX1817" s="1">
        <v>0</v>
      </c>
      <c r="AY1817" s="1">
        <v>0</v>
      </c>
      <c r="AZ1817" s="1">
        <v>0</v>
      </c>
      <c r="BA1817" s="1">
        <v>0</v>
      </c>
      <c r="BB1817" s="1">
        <v>0</v>
      </c>
      <c r="BC1817" s="1">
        <v>0</v>
      </c>
      <c r="BD1817" s="1">
        <v>0</v>
      </c>
      <c r="BE1817" s="1">
        <v>0</v>
      </c>
      <c r="BF1817" s="1">
        <v>0</v>
      </c>
      <c r="BG1817" s="1">
        <v>0</v>
      </c>
      <c r="BH1817" s="1">
        <v>0</v>
      </c>
      <c r="BI1817" s="1">
        <v>0</v>
      </c>
      <c r="BJ1817" s="1">
        <v>0</v>
      </c>
      <c r="BK1817" s="1">
        <v>0</v>
      </c>
      <c r="BL1817" s="1">
        <v>0</v>
      </c>
      <c r="BM1817" s="1">
        <v>0</v>
      </c>
      <c r="BN1817" s="1">
        <v>0</v>
      </c>
      <c r="BO1817" s="1">
        <v>0</v>
      </c>
      <c r="BP1817" s="1">
        <v>0</v>
      </c>
      <c r="BQ1817" s="1">
        <v>0</v>
      </c>
      <c r="BR1817" s="1">
        <v>0</v>
      </c>
      <c r="BS1817" s="1" t="s">
        <v>109</v>
      </c>
      <c r="BT1817" s="1">
        <v>1891</v>
      </c>
      <c r="BU1817" s="1" t="s">
        <v>109</v>
      </c>
      <c r="BV1817" s="1"/>
      <c r="BW1817" s="1"/>
      <c r="BX1817" s="1"/>
      <c r="BY1817" s="1"/>
      <c r="BZ1817" s="1">
        <v>0</v>
      </c>
      <c r="CA1817" s="1">
        <v>1</v>
      </c>
      <c r="CB1817" s="1" t="s">
        <v>109</v>
      </c>
      <c r="CC1817" s="1">
        <v>1</v>
      </c>
      <c r="CD1817" s="1" t="s">
        <v>109</v>
      </c>
      <c r="CE1817" s="1">
        <v>1</v>
      </c>
      <c r="CF1817" s="1">
        <v>1</v>
      </c>
      <c r="CG1817" s="1" t="s">
        <v>109</v>
      </c>
      <c r="CH1817" s="1" t="s">
        <v>109</v>
      </c>
      <c r="CI1817" s="1" t="s">
        <v>109</v>
      </c>
      <c r="CJ1817" s="1" t="s">
        <v>109</v>
      </c>
      <c r="CK1817" s="1"/>
      <c r="CL1817" s="1">
        <v>0</v>
      </c>
      <c r="CM1817" s="1">
        <v>0</v>
      </c>
      <c r="CN1817" s="1">
        <v>0</v>
      </c>
    </row>
    <row r="1818" spans="1:92" ht="14.25" customHeight="1" x14ac:dyDescent="0.15">
      <c r="A1818" s="1" t="s">
        <v>13478</v>
      </c>
      <c r="B1818" s="1" t="s">
        <v>189</v>
      </c>
      <c r="C1818" s="1"/>
      <c r="D1818" s="1" t="s">
        <v>55</v>
      </c>
      <c r="E1818" s="1" t="s">
        <v>13479</v>
      </c>
      <c r="F1818" s="1" t="s">
        <v>98</v>
      </c>
      <c r="G1818" s="1" t="s">
        <v>13480</v>
      </c>
      <c r="H1818" s="1">
        <v>0</v>
      </c>
      <c r="I1818" s="1" t="s">
        <v>235</v>
      </c>
      <c r="J1818" s="1"/>
      <c r="K1818" s="1"/>
      <c r="L1818" s="1" t="s">
        <v>236</v>
      </c>
      <c r="M1818" s="1" t="s">
        <v>5711</v>
      </c>
      <c r="N1818" s="1">
        <v>0</v>
      </c>
      <c r="O1818" s="1">
        <v>0</v>
      </c>
      <c r="P1818" s="1"/>
      <c r="Q1818" s="1"/>
      <c r="R1818" s="1" t="s">
        <v>13481</v>
      </c>
      <c r="S1818" s="1" t="s">
        <v>13482</v>
      </c>
      <c r="T1818" s="1" t="s">
        <v>13306</v>
      </c>
      <c r="U1818" s="1" t="s">
        <v>13483</v>
      </c>
      <c r="V1818" s="1">
        <v>1</v>
      </c>
      <c r="W1818" s="1">
        <v>1</v>
      </c>
      <c r="X1818" s="1">
        <v>1</v>
      </c>
      <c r="Y1818" s="1">
        <v>0</v>
      </c>
      <c r="Z1818" s="1">
        <v>0</v>
      </c>
      <c r="AA1818" s="1">
        <v>1</v>
      </c>
      <c r="AB1818" s="1">
        <v>1</v>
      </c>
      <c r="AC1818" s="1" t="s">
        <v>109</v>
      </c>
      <c r="AD1818" s="1" t="s">
        <v>109</v>
      </c>
      <c r="AE1818" s="1" t="s">
        <v>109</v>
      </c>
      <c r="AF1818" s="1" t="s">
        <v>109</v>
      </c>
      <c r="AG1818" s="1" t="s">
        <v>109</v>
      </c>
      <c r="AH1818" s="1">
        <v>1</v>
      </c>
      <c r="AI1818" s="1" t="s">
        <v>109</v>
      </c>
      <c r="AJ1818" s="1" t="s">
        <v>109</v>
      </c>
      <c r="AK1818" s="1" t="s">
        <v>109</v>
      </c>
      <c r="AL1818" s="1" t="s">
        <v>109</v>
      </c>
      <c r="AM1818" s="1" t="s">
        <v>109</v>
      </c>
      <c r="AN1818" s="1" t="s">
        <v>109</v>
      </c>
      <c r="AO1818" s="1" t="s">
        <v>109</v>
      </c>
      <c r="AP1818" s="1"/>
      <c r="AQ1818" s="1">
        <v>1</v>
      </c>
      <c r="AR1818" s="1"/>
      <c r="AS1818" s="1" t="s">
        <v>13484</v>
      </c>
      <c r="AT1818" s="1">
        <v>0</v>
      </c>
      <c r="AU1818" s="1">
        <v>0</v>
      </c>
      <c r="AV1818" s="1">
        <v>0</v>
      </c>
      <c r="AW1818" s="1">
        <v>0</v>
      </c>
      <c r="AX1818" s="1">
        <v>0</v>
      </c>
      <c r="AY1818" s="1">
        <v>0</v>
      </c>
      <c r="AZ1818" s="1">
        <v>0</v>
      </c>
      <c r="BA1818" s="1">
        <v>0</v>
      </c>
      <c r="BB1818" s="1">
        <v>0</v>
      </c>
      <c r="BC1818" s="1">
        <v>1</v>
      </c>
      <c r="BD1818" s="1">
        <v>0</v>
      </c>
      <c r="BE1818" s="1">
        <v>0</v>
      </c>
      <c r="BF1818" s="1">
        <v>0</v>
      </c>
      <c r="BG1818" s="1">
        <v>0</v>
      </c>
      <c r="BH1818" s="1">
        <v>0</v>
      </c>
      <c r="BI1818" s="1">
        <v>0</v>
      </c>
      <c r="BJ1818" s="1">
        <v>0</v>
      </c>
      <c r="BK1818" s="1">
        <v>0</v>
      </c>
      <c r="BL1818" s="1">
        <v>0</v>
      </c>
      <c r="BM1818" s="1">
        <v>0</v>
      </c>
      <c r="BN1818" s="1">
        <v>0</v>
      </c>
      <c r="BO1818" s="1">
        <v>0</v>
      </c>
      <c r="BP1818" s="1">
        <v>0</v>
      </c>
      <c r="BQ1818" s="1">
        <v>0</v>
      </c>
      <c r="BR1818" s="1">
        <v>0</v>
      </c>
      <c r="BS1818" s="1" t="s">
        <v>109</v>
      </c>
      <c r="BT1818" s="1">
        <v>1892</v>
      </c>
      <c r="BU1818" s="1" t="s">
        <v>109</v>
      </c>
      <c r="BV1818" s="1"/>
      <c r="BW1818" s="1"/>
      <c r="BX1818" s="1"/>
      <c r="BY1818" s="1"/>
      <c r="BZ1818" s="1">
        <v>0</v>
      </c>
      <c r="CA1818" s="1" t="s">
        <v>109</v>
      </c>
      <c r="CB1818" s="1" t="s">
        <v>109</v>
      </c>
      <c r="CC1818" s="1" t="s">
        <v>109</v>
      </c>
      <c r="CD1818" s="1" t="s">
        <v>109</v>
      </c>
      <c r="CE1818" s="1" t="s">
        <v>109</v>
      </c>
      <c r="CF1818" s="1" t="s">
        <v>109</v>
      </c>
      <c r="CG1818" s="1" t="s">
        <v>109</v>
      </c>
      <c r="CH1818" s="1" t="s">
        <v>109</v>
      </c>
      <c r="CI1818" s="1" t="s">
        <v>109</v>
      </c>
      <c r="CJ1818" s="1" t="s">
        <v>109</v>
      </c>
      <c r="CK1818" s="1"/>
      <c r="CL1818" s="1">
        <v>0</v>
      </c>
      <c r="CM1818" s="1">
        <v>0</v>
      </c>
      <c r="CN1818" s="1">
        <v>0</v>
      </c>
    </row>
    <row r="1819" spans="1:92" ht="14.25" customHeight="1" x14ac:dyDescent="0.15">
      <c r="A1819" s="1" t="s">
        <v>13485</v>
      </c>
      <c r="B1819" s="1" t="s">
        <v>242</v>
      </c>
      <c r="C1819" s="1"/>
      <c r="D1819" s="1"/>
      <c r="E1819" s="1" t="s">
        <v>13486</v>
      </c>
      <c r="F1819" s="1" t="s">
        <v>98</v>
      </c>
      <c r="G1819" s="1" t="s">
        <v>13487</v>
      </c>
      <c r="H1819" s="1">
        <v>1</v>
      </c>
      <c r="I1819" s="1" t="s">
        <v>235</v>
      </c>
      <c r="J1819" s="1"/>
      <c r="K1819" s="1"/>
      <c r="L1819" s="1" t="s">
        <v>236</v>
      </c>
      <c r="M1819" s="1" t="s">
        <v>9547</v>
      </c>
      <c r="N1819" s="1">
        <v>0</v>
      </c>
      <c r="O1819" s="1">
        <v>0</v>
      </c>
      <c r="P1819" s="1"/>
      <c r="Q1819" s="1"/>
      <c r="R1819" s="1" t="s">
        <v>13488</v>
      </c>
      <c r="S1819" s="1" t="s">
        <v>13489</v>
      </c>
      <c r="T1819" s="1" t="s">
        <v>13306</v>
      </c>
      <c r="U1819" s="1" t="s">
        <v>13490</v>
      </c>
      <c r="V1819" s="1">
        <v>1</v>
      </c>
      <c r="W1819" s="1">
        <v>1</v>
      </c>
      <c r="X1819" s="1">
        <v>0</v>
      </c>
      <c r="Y1819" s="1">
        <v>0</v>
      </c>
      <c r="Z1819" s="1">
        <v>0</v>
      </c>
      <c r="AA1819" s="1">
        <v>2</v>
      </c>
      <c r="AB1819" s="1">
        <v>2</v>
      </c>
      <c r="AC1819" s="1" t="s">
        <v>109</v>
      </c>
      <c r="AD1819" s="1" t="s">
        <v>109</v>
      </c>
      <c r="AE1819" s="1">
        <v>2</v>
      </c>
      <c r="AF1819" s="1">
        <v>2</v>
      </c>
      <c r="AG1819" s="1">
        <v>2</v>
      </c>
      <c r="AH1819" s="1" t="s">
        <v>109</v>
      </c>
      <c r="AI1819" s="1" t="s">
        <v>109</v>
      </c>
      <c r="AJ1819" s="1">
        <v>2</v>
      </c>
      <c r="AK1819" s="1">
        <v>2</v>
      </c>
      <c r="AL1819" s="1" t="s">
        <v>109</v>
      </c>
      <c r="AM1819" s="1">
        <v>2</v>
      </c>
      <c r="AN1819" s="1" t="s">
        <v>109</v>
      </c>
      <c r="AO1819" s="1" t="s">
        <v>109</v>
      </c>
      <c r="AP1819" s="1"/>
      <c r="AQ1819" s="1">
        <v>2</v>
      </c>
      <c r="AR1819" s="1"/>
      <c r="AS1819" s="1" t="s">
        <v>13491</v>
      </c>
      <c r="AT1819" s="1">
        <v>0</v>
      </c>
      <c r="AU1819" s="1">
        <v>0</v>
      </c>
      <c r="AV1819" s="1">
        <v>0</v>
      </c>
      <c r="AW1819" s="1">
        <v>0</v>
      </c>
      <c r="AX1819" s="1">
        <v>0</v>
      </c>
      <c r="AY1819" s="1">
        <v>0</v>
      </c>
      <c r="AZ1819" s="1">
        <v>0</v>
      </c>
      <c r="BA1819" s="1">
        <v>0</v>
      </c>
      <c r="BB1819" s="1">
        <v>0</v>
      </c>
      <c r="BC1819" s="1">
        <v>0</v>
      </c>
      <c r="BD1819" s="1">
        <v>0</v>
      </c>
      <c r="BE1819" s="1">
        <v>0</v>
      </c>
      <c r="BF1819" s="1">
        <v>0</v>
      </c>
      <c r="BG1819" s="1">
        <v>0</v>
      </c>
      <c r="BH1819" s="1">
        <v>0</v>
      </c>
      <c r="BI1819" s="1">
        <v>0</v>
      </c>
      <c r="BJ1819" s="1">
        <v>0</v>
      </c>
      <c r="BK1819" s="1">
        <v>0</v>
      </c>
      <c r="BL1819" s="1">
        <v>0</v>
      </c>
      <c r="BM1819" s="1">
        <v>0</v>
      </c>
      <c r="BN1819" s="1">
        <v>0</v>
      </c>
      <c r="BO1819" s="1">
        <v>0</v>
      </c>
      <c r="BP1819" s="1">
        <v>0</v>
      </c>
      <c r="BQ1819" s="1">
        <v>0</v>
      </c>
      <c r="BR1819" s="1">
        <v>0</v>
      </c>
      <c r="BS1819" s="1" t="s">
        <v>109</v>
      </c>
      <c r="BT1819" s="1">
        <v>1893</v>
      </c>
      <c r="BU1819" s="1">
        <v>61</v>
      </c>
      <c r="BV1819" s="1"/>
      <c r="BW1819" s="1"/>
      <c r="BX1819" s="1"/>
      <c r="BY1819" s="1"/>
      <c r="BZ1819" s="1">
        <v>0</v>
      </c>
      <c r="CA1819" s="1" t="s">
        <v>109</v>
      </c>
      <c r="CB1819" s="1" t="s">
        <v>109</v>
      </c>
      <c r="CC1819" s="1">
        <v>2</v>
      </c>
      <c r="CD1819" s="1" t="s">
        <v>109</v>
      </c>
      <c r="CE1819" s="1" t="s">
        <v>109</v>
      </c>
      <c r="CF1819" s="1" t="s">
        <v>109</v>
      </c>
      <c r="CG1819" s="1" t="s">
        <v>109</v>
      </c>
      <c r="CH1819" s="1" t="s">
        <v>109</v>
      </c>
      <c r="CI1819" s="1" t="s">
        <v>109</v>
      </c>
      <c r="CJ1819" s="1">
        <v>2</v>
      </c>
      <c r="CK1819" s="1"/>
      <c r="CL1819" s="1">
        <v>0</v>
      </c>
      <c r="CM1819" s="1">
        <v>0</v>
      </c>
      <c r="CN1819" s="1">
        <v>0</v>
      </c>
    </row>
    <row r="1820" spans="1:92" ht="14.25" customHeight="1" x14ac:dyDescent="0.15">
      <c r="A1820" s="1" t="s">
        <v>13492</v>
      </c>
      <c r="B1820" s="1" t="s">
        <v>189</v>
      </c>
      <c r="C1820" s="1"/>
      <c r="D1820" s="1"/>
      <c r="E1820" s="1" t="s">
        <v>13493</v>
      </c>
      <c r="F1820" s="1" t="s">
        <v>1963</v>
      </c>
      <c r="G1820" s="1" t="s">
        <v>333</v>
      </c>
      <c r="H1820" s="1">
        <v>0</v>
      </c>
      <c r="I1820" s="1" t="s">
        <v>142</v>
      </c>
      <c r="J1820" s="1"/>
      <c r="K1820" s="1"/>
      <c r="L1820" s="1" t="s">
        <v>13494</v>
      </c>
      <c r="M1820" s="1" t="s">
        <v>13495</v>
      </c>
      <c r="N1820" s="1">
        <v>0</v>
      </c>
      <c r="O1820" s="1">
        <v>0</v>
      </c>
      <c r="P1820" s="1" t="s">
        <v>1966</v>
      </c>
      <c r="Q1820" s="1" t="s">
        <v>630</v>
      </c>
      <c r="R1820" s="1" t="s">
        <v>13496</v>
      </c>
      <c r="S1820" s="1" t="s">
        <v>13497</v>
      </c>
      <c r="T1820" s="1" t="s">
        <v>13306</v>
      </c>
      <c r="U1820" s="1" t="s">
        <v>13498</v>
      </c>
      <c r="V1820" s="1">
        <v>1</v>
      </c>
      <c r="W1820" s="1">
        <v>0</v>
      </c>
      <c r="X1820" s="1">
        <v>0</v>
      </c>
      <c r="Y1820" s="1">
        <v>0</v>
      </c>
      <c r="Z1820" s="1">
        <v>0</v>
      </c>
      <c r="AA1820" s="1">
        <v>2</v>
      </c>
      <c r="AB1820" s="1">
        <v>2</v>
      </c>
      <c r="AC1820" s="1" t="s">
        <v>109</v>
      </c>
      <c r="AD1820" s="1" t="s">
        <v>109</v>
      </c>
      <c r="AE1820" s="1" t="s">
        <v>109</v>
      </c>
      <c r="AF1820" s="1">
        <v>2</v>
      </c>
      <c r="AG1820" s="1" t="s">
        <v>109</v>
      </c>
      <c r="AH1820" s="1" t="s">
        <v>109</v>
      </c>
      <c r="AI1820" s="1" t="s">
        <v>109</v>
      </c>
      <c r="AJ1820" s="1">
        <v>2</v>
      </c>
      <c r="AK1820" s="1" t="s">
        <v>109</v>
      </c>
      <c r="AL1820" s="1" t="s">
        <v>109</v>
      </c>
      <c r="AM1820" s="1" t="s">
        <v>109</v>
      </c>
      <c r="AN1820" s="1" t="s">
        <v>109</v>
      </c>
      <c r="AO1820" s="1" t="s">
        <v>109</v>
      </c>
      <c r="AP1820" s="1"/>
      <c r="AQ1820" s="1">
        <v>2</v>
      </c>
      <c r="AR1820" s="1"/>
      <c r="AS1820" s="1" t="s">
        <v>13499</v>
      </c>
      <c r="AT1820" s="1">
        <v>0</v>
      </c>
      <c r="AU1820" s="1">
        <v>0</v>
      </c>
      <c r="AV1820" s="1">
        <v>0</v>
      </c>
      <c r="AW1820" s="1">
        <v>0</v>
      </c>
      <c r="AX1820" s="1">
        <v>0</v>
      </c>
      <c r="AY1820" s="1">
        <v>0</v>
      </c>
      <c r="AZ1820" s="1">
        <v>0</v>
      </c>
      <c r="BA1820" s="1">
        <v>0</v>
      </c>
      <c r="BB1820" s="1">
        <v>0</v>
      </c>
      <c r="BC1820" s="1">
        <v>0</v>
      </c>
      <c r="BD1820" s="1">
        <v>0</v>
      </c>
      <c r="BE1820" s="1">
        <v>0</v>
      </c>
      <c r="BF1820" s="1">
        <v>0</v>
      </c>
      <c r="BG1820" s="1">
        <v>0</v>
      </c>
      <c r="BH1820" s="1">
        <v>0</v>
      </c>
      <c r="BI1820" s="1">
        <v>0</v>
      </c>
      <c r="BJ1820" s="1">
        <v>0</v>
      </c>
      <c r="BK1820" s="1">
        <v>0</v>
      </c>
      <c r="BL1820" s="1">
        <v>0</v>
      </c>
      <c r="BM1820" s="1">
        <v>0</v>
      </c>
      <c r="BN1820" s="1">
        <v>0</v>
      </c>
      <c r="BO1820" s="1">
        <v>0</v>
      </c>
      <c r="BP1820" s="1">
        <v>0</v>
      </c>
      <c r="BQ1820" s="1">
        <v>0</v>
      </c>
      <c r="BR1820" s="1">
        <v>0</v>
      </c>
      <c r="BS1820" s="1" t="s">
        <v>109</v>
      </c>
      <c r="BT1820" s="1">
        <v>1894</v>
      </c>
      <c r="BU1820" s="1" t="s">
        <v>109</v>
      </c>
      <c r="BV1820" s="1"/>
      <c r="BW1820" s="1"/>
      <c r="BX1820" s="1"/>
      <c r="BY1820" s="1"/>
      <c r="BZ1820" s="1">
        <v>0</v>
      </c>
      <c r="CA1820" s="1" t="s">
        <v>109</v>
      </c>
      <c r="CB1820" s="1">
        <v>2</v>
      </c>
      <c r="CC1820" s="1">
        <v>2</v>
      </c>
      <c r="CD1820" s="1" t="s">
        <v>109</v>
      </c>
      <c r="CE1820" s="1" t="s">
        <v>109</v>
      </c>
      <c r="CF1820" s="1" t="s">
        <v>109</v>
      </c>
      <c r="CG1820" s="1" t="s">
        <v>109</v>
      </c>
      <c r="CH1820" s="1" t="s">
        <v>109</v>
      </c>
      <c r="CI1820" s="1" t="s">
        <v>109</v>
      </c>
      <c r="CJ1820" s="1" t="s">
        <v>109</v>
      </c>
      <c r="CK1820" s="1"/>
      <c r="CL1820" s="1">
        <v>0</v>
      </c>
      <c r="CM1820" s="1">
        <v>0</v>
      </c>
      <c r="CN1820" s="1">
        <v>0</v>
      </c>
    </row>
    <row r="1821" spans="1:92" ht="14.25" customHeight="1" x14ac:dyDescent="0.15">
      <c r="A1821" s="1" t="s">
        <v>13500</v>
      </c>
      <c r="B1821" s="1" t="s">
        <v>674</v>
      </c>
      <c r="C1821" s="1" t="s">
        <v>675</v>
      </c>
      <c r="D1821" s="1"/>
      <c r="E1821" s="1" t="s">
        <v>6819</v>
      </c>
      <c r="F1821" s="1" t="s">
        <v>98</v>
      </c>
      <c r="G1821" s="1" t="s">
        <v>160</v>
      </c>
      <c r="H1821" s="1">
        <v>0</v>
      </c>
      <c r="I1821" s="1" t="s">
        <v>5544</v>
      </c>
      <c r="J1821" s="1" t="s">
        <v>13501</v>
      </c>
      <c r="K1821" s="1"/>
      <c r="L1821" s="1"/>
      <c r="M1821" s="1" t="s">
        <v>13502</v>
      </c>
      <c r="N1821" s="1">
        <v>0</v>
      </c>
      <c r="O1821" s="1">
        <v>0</v>
      </c>
      <c r="P1821" s="1"/>
      <c r="Q1821" s="1"/>
      <c r="R1821" s="1" t="s">
        <v>13503</v>
      </c>
      <c r="S1821" s="1" t="s">
        <v>13504</v>
      </c>
      <c r="T1821" s="1" t="s">
        <v>13306</v>
      </c>
      <c r="U1821" s="1" t="s">
        <v>13505</v>
      </c>
      <c r="V1821" s="1">
        <v>1</v>
      </c>
      <c r="W1821" s="1">
        <v>1</v>
      </c>
      <c r="X1821" s="1">
        <v>0</v>
      </c>
      <c r="Y1821" s="1">
        <v>0</v>
      </c>
      <c r="Z1821" s="1">
        <v>1</v>
      </c>
      <c r="AA1821" s="1" t="s">
        <v>109</v>
      </c>
      <c r="AB1821" s="1" t="s">
        <v>109</v>
      </c>
      <c r="AC1821" s="1" t="s">
        <v>109</v>
      </c>
      <c r="AD1821" s="1" t="s">
        <v>109</v>
      </c>
      <c r="AE1821" s="1">
        <v>3</v>
      </c>
      <c r="AF1821" s="1" t="s">
        <v>109</v>
      </c>
      <c r="AG1821" s="1" t="s">
        <v>109</v>
      </c>
      <c r="AH1821" s="1" t="s">
        <v>109</v>
      </c>
      <c r="AI1821" s="1" t="s">
        <v>109</v>
      </c>
      <c r="AJ1821" s="1" t="s">
        <v>109</v>
      </c>
      <c r="AK1821" s="1" t="s">
        <v>109</v>
      </c>
      <c r="AL1821" s="1" t="s">
        <v>109</v>
      </c>
      <c r="AM1821" s="1" t="s">
        <v>109</v>
      </c>
      <c r="AN1821" s="1" t="s">
        <v>109</v>
      </c>
      <c r="AO1821" s="1" t="s">
        <v>109</v>
      </c>
      <c r="AP1821" s="1"/>
      <c r="AQ1821" s="1">
        <v>3</v>
      </c>
      <c r="AR1821" s="1"/>
      <c r="AS1821" s="1" t="s">
        <v>13506</v>
      </c>
      <c r="AT1821" s="1">
        <v>0</v>
      </c>
      <c r="AU1821" s="1">
        <v>0</v>
      </c>
      <c r="AV1821" s="1">
        <v>0</v>
      </c>
      <c r="AW1821" s="1">
        <v>0</v>
      </c>
      <c r="AX1821" s="1">
        <v>0</v>
      </c>
      <c r="AY1821" s="1">
        <v>0</v>
      </c>
      <c r="AZ1821" s="1">
        <v>0</v>
      </c>
      <c r="BA1821" s="1">
        <v>0</v>
      </c>
      <c r="BB1821" s="1">
        <v>0</v>
      </c>
      <c r="BC1821" s="1">
        <v>0</v>
      </c>
      <c r="BD1821" s="1">
        <v>0</v>
      </c>
      <c r="BE1821" s="1">
        <v>0</v>
      </c>
      <c r="BF1821" s="1">
        <v>0</v>
      </c>
      <c r="BG1821" s="1">
        <v>0</v>
      </c>
      <c r="BH1821" s="1">
        <v>0</v>
      </c>
      <c r="BI1821" s="1">
        <v>0</v>
      </c>
      <c r="BJ1821" s="1">
        <v>0</v>
      </c>
      <c r="BK1821" s="1">
        <v>0</v>
      </c>
      <c r="BL1821" s="1">
        <v>0</v>
      </c>
      <c r="BM1821" s="1">
        <v>0</v>
      </c>
      <c r="BN1821" s="1">
        <v>0</v>
      </c>
      <c r="BO1821" s="1">
        <v>0</v>
      </c>
      <c r="BP1821" s="1">
        <v>0</v>
      </c>
      <c r="BQ1821" s="1">
        <v>0</v>
      </c>
      <c r="BR1821" s="1">
        <v>0</v>
      </c>
      <c r="BS1821" s="1" t="s">
        <v>109</v>
      </c>
      <c r="BT1821" s="1">
        <v>1895</v>
      </c>
      <c r="BU1821" s="1" t="s">
        <v>109</v>
      </c>
      <c r="BV1821" s="1"/>
      <c r="BW1821" s="1"/>
      <c r="BX1821" s="1"/>
      <c r="BY1821" s="1"/>
      <c r="BZ1821" s="1">
        <v>0</v>
      </c>
      <c r="CA1821" s="1" t="s">
        <v>109</v>
      </c>
      <c r="CB1821" s="1" t="s">
        <v>109</v>
      </c>
      <c r="CC1821" s="1" t="s">
        <v>109</v>
      </c>
      <c r="CD1821" s="1" t="s">
        <v>109</v>
      </c>
      <c r="CE1821" s="1" t="s">
        <v>109</v>
      </c>
      <c r="CF1821" s="1" t="s">
        <v>109</v>
      </c>
      <c r="CG1821" s="1" t="s">
        <v>109</v>
      </c>
      <c r="CH1821" s="1" t="s">
        <v>109</v>
      </c>
      <c r="CI1821" s="1" t="s">
        <v>109</v>
      </c>
      <c r="CJ1821" s="1">
        <v>3</v>
      </c>
      <c r="CK1821" s="1"/>
      <c r="CL1821" s="1">
        <v>0</v>
      </c>
      <c r="CM1821" s="1">
        <v>0</v>
      </c>
      <c r="CN1821" s="1">
        <v>0</v>
      </c>
    </row>
    <row r="1822" spans="1:92" ht="14.25" customHeight="1" x14ac:dyDescent="0.15">
      <c r="A1822" s="1" t="s">
        <v>13507</v>
      </c>
      <c r="B1822" s="1" t="s">
        <v>95</v>
      </c>
      <c r="C1822" s="1" t="s">
        <v>96</v>
      </c>
      <c r="D1822" s="1"/>
      <c r="E1822" s="1" t="s">
        <v>7031</v>
      </c>
      <c r="F1822" s="1" t="s">
        <v>98</v>
      </c>
      <c r="G1822" s="1" t="s">
        <v>160</v>
      </c>
      <c r="H1822" s="1">
        <v>0</v>
      </c>
      <c r="I1822" s="1" t="s">
        <v>142</v>
      </c>
      <c r="J1822" s="1"/>
      <c r="K1822" s="1" t="s">
        <v>13508</v>
      </c>
      <c r="L1822" s="1"/>
      <c r="M1822" s="1" t="s">
        <v>144</v>
      </c>
      <c r="N1822" s="1">
        <v>0</v>
      </c>
      <c r="O1822" s="1">
        <v>0</v>
      </c>
      <c r="P1822" s="1"/>
      <c r="Q1822" s="1"/>
      <c r="R1822" s="1" t="s">
        <v>13509</v>
      </c>
      <c r="S1822" s="1" t="s">
        <v>13510</v>
      </c>
      <c r="T1822" s="1" t="s">
        <v>13306</v>
      </c>
      <c r="U1822" s="1" t="s">
        <v>13511</v>
      </c>
      <c r="V1822" s="1">
        <v>1</v>
      </c>
      <c r="W1822" s="1">
        <v>1</v>
      </c>
      <c r="X1822" s="1">
        <v>0</v>
      </c>
      <c r="Y1822" s="1">
        <v>0</v>
      </c>
      <c r="Z1822" s="1">
        <v>1</v>
      </c>
      <c r="AA1822" s="1" t="s">
        <v>109</v>
      </c>
      <c r="AB1822" s="1" t="s">
        <v>109</v>
      </c>
      <c r="AC1822" s="1" t="s">
        <v>109</v>
      </c>
      <c r="AD1822" s="1">
        <v>2</v>
      </c>
      <c r="AE1822" s="1" t="s">
        <v>109</v>
      </c>
      <c r="AF1822" s="1" t="s">
        <v>109</v>
      </c>
      <c r="AG1822" s="1" t="s">
        <v>109</v>
      </c>
      <c r="AH1822" s="1" t="s">
        <v>109</v>
      </c>
      <c r="AI1822" s="1" t="s">
        <v>109</v>
      </c>
      <c r="AJ1822" s="1">
        <v>2</v>
      </c>
      <c r="AK1822" s="1" t="s">
        <v>109</v>
      </c>
      <c r="AL1822" s="1" t="s">
        <v>109</v>
      </c>
      <c r="AM1822" s="1" t="s">
        <v>109</v>
      </c>
      <c r="AN1822" s="1" t="s">
        <v>109</v>
      </c>
      <c r="AO1822" s="1" t="s">
        <v>109</v>
      </c>
      <c r="AP1822" s="1"/>
      <c r="AQ1822" s="1">
        <v>2</v>
      </c>
      <c r="AR1822" s="1"/>
      <c r="AS1822" s="1" t="s">
        <v>13512</v>
      </c>
      <c r="AT1822" s="1">
        <v>0</v>
      </c>
      <c r="AU1822" s="1">
        <v>0</v>
      </c>
      <c r="AV1822" s="1">
        <v>0</v>
      </c>
      <c r="AW1822" s="1">
        <v>0</v>
      </c>
      <c r="AX1822" s="1">
        <v>0</v>
      </c>
      <c r="AY1822" s="1">
        <v>0</v>
      </c>
      <c r="AZ1822" s="1">
        <v>0</v>
      </c>
      <c r="BA1822" s="1">
        <v>0</v>
      </c>
      <c r="BB1822" s="1">
        <v>0</v>
      </c>
      <c r="BC1822" s="1">
        <v>0</v>
      </c>
      <c r="BD1822" s="1">
        <v>0</v>
      </c>
      <c r="BE1822" s="1">
        <v>0</v>
      </c>
      <c r="BF1822" s="1">
        <v>0</v>
      </c>
      <c r="BG1822" s="1">
        <v>0</v>
      </c>
      <c r="BH1822" s="1">
        <v>0</v>
      </c>
      <c r="BI1822" s="1">
        <v>0</v>
      </c>
      <c r="BJ1822" s="1">
        <v>0</v>
      </c>
      <c r="BK1822" s="1">
        <v>0</v>
      </c>
      <c r="BL1822" s="1">
        <v>0</v>
      </c>
      <c r="BM1822" s="1">
        <v>0</v>
      </c>
      <c r="BN1822" s="1">
        <v>0</v>
      </c>
      <c r="BO1822" s="1">
        <v>0</v>
      </c>
      <c r="BP1822" s="1">
        <v>0</v>
      </c>
      <c r="BQ1822" s="1">
        <v>0</v>
      </c>
      <c r="BR1822" s="1">
        <v>0</v>
      </c>
      <c r="BS1822" s="1" t="s">
        <v>109</v>
      </c>
      <c r="BT1822" s="1">
        <v>1896</v>
      </c>
      <c r="BU1822" s="1" t="s">
        <v>109</v>
      </c>
      <c r="BV1822" s="1"/>
      <c r="BW1822" s="1"/>
      <c r="BX1822" s="1"/>
      <c r="BY1822" s="1"/>
      <c r="BZ1822" s="1">
        <v>0</v>
      </c>
      <c r="CA1822" s="1" t="s">
        <v>109</v>
      </c>
      <c r="CB1822" s="1" t="s">
        <v>109</v>
      </c>
      <c r="CC1822" s="1" t="s">
        <v>109</v>
      </c>
      <c r="CD1822" s="1" t="s">
        <v>109</v>
      </c>
      <c r="CE1822" s="1" t="s">
        <v>109</v>
      </c>
      <c r="CF1822" s="1" t="s">
        <v>109</v>
      </c>
      <c r="CG1822" s="1" t="s">
        <v>109</v>
      </c>
      <c r="CH1822" s="1" t="s">
        <v>109</v>
      </c>
      <c r="CI1822" s="1" t="s">
        <v>109</v>
      </c>
      <c r="CJ1822" s="1">
        <v>2</v>
      </c>
      <c r="CK1822" s="1"/>
      <c r="CL1822" s="1">
        <v>0</v>
      </c>
      <c r="CM1822" s="1">
        <v>0</v>
      </c>
      <c r="CN1822" s="1">
        <v>0</v>
      </c>
    </row>
    <row r="1823" spans="1:92" ht="14.25" customHeight="1" x14ac:dyDescent="0.15">
      <c r="A1823" s="1" t="s">
        <v>13513</v>
      </c>
      <c r="B1823" s="1" t="s">
        <v>308</v>
      </c>
      <c r="C1823" s="1"/>
      <c r="D1823" s="1"/>
      <c r="E1823" s="1" t="s">
        <v>13514</v>
      </c>
      <c r="F1823" s="1" t="s">
        <v>98</v>
      </c>
      <c r="G1823" s="1" t="s">
        <v>13515</v>
      </c>
      <c r="H1823" s="1">
        <v>0</v>
      </c>
      <c r="I1823" s="1" t="s">
        <v>161</v>
      </c>
      <c r="J1823" s="1"/>
      <c r="K1823" s="1"/>
      <c r="L1823" s="1" t="s">
        <v>13516</v>
      </c>
      <c r="M1823" s="1" t="s">
        <v>7709</v>
      </c>
      <c r="N1823" s="1">
        <v>0</v>
      </c>
      <c r="O1823" s="1">
        <v>0</v>
      </c>
      <c r="P1823" s="1" t="s">
        <v>1382</v>
      </c>
      <c r="Q1823" s="1" t="s">
        <v>167</v>
      </c>
      <c r="R1823" s="1" t="s">
        <v>13517</v>
      </c>
      <c r="S1823" s="1" t="s">
        <v>13518</v>
      </c>
      <c r="T1823" s="1" t="s">
        <v>13306</v>
      </c>
      <c r="U1823" s="1" t="s">
        <v>13519</v>
      </c>
      <c r="V1823" s="1">
        <v>1</v>
      </c>
      <c r="W1823" s="1">
        <v>1</v>
      </c>
      <c r="X1823" s="1">
        <v>1</v>
      </c>
      <c r="Y1823" s="1">
        <v>0</v>
      </c>
      <c r="Z1823" s="1">
        <v>1</v>
      </c>
      <c r="AA1823" s="1">
        <v>2</v>
      </c>
      <c r="AB1823" s="1">
        <v>2</v>
      </c>
      <c r="AC1823" s="1" t="s">
        <v>109</v>
      </c>
      <c r="AD1823" s="1">
        <v>2</v>
      </c>
      <c r="AE1823" s="1">
        <v>2</v>
      </c>
      <c r="AF1823" s="1" t="s">
        <v>109</v>
      </c>
      <c r="AG1823" s="1" t="s">
        <v>109</v>
      </c>
      <c r="AH1823" s="1" t="s">
        <v>109</v>
      </c>
      <c r="AI1823" s="1" t="s">
        <v>109</v>
      </c>
      <c r="AJ1823" s="1">
        <v>2</v>
      </c>
      <c r="AK1823" s="1" t="s">
        <v>109</v>
      </c>
      <c r="AL1823" s="1" t="s">
        <v>109</v>
      </c>
      <c r="AM1823" s="1" t="s">
        <v>109</v>
      </c>
      <c r="AN1823" s="1" t="s">
        <v>109</v>
      </c>
      <c r="AO1823" s="1" t="s">
        <v>109</v>
      </c>
      <c r="AP1823" s="1"/>
      <c r="AQ1823" s="1">
        <v>2</v>
      </c>
      <c r="AR1823" s="1"/>
      <c r="AS1823" s="1" t="s">
        <v>13520</v>
      </c>
      <c r="AT1823" s="1">
        <v>0</v>
      </c>
      <c r="AU1823" s="1">
        <v>0</v>
      </c>
      <c r="AV1823" s="1">
        <v>0</v>
      </c>
      <c r="AW1823" s="1">
        <v>0</v>
      </c>
      <c r="AX1823" s="1">
        <v>0</v>
      </c>
      <c r="AY1823" s="1">
        <v>0</v>
      </c>
      <c r="AZ1823" s="1">
        <v>0</v>
      </c>
      <c r="BA1823" s="1">
        <v>0</v>
      </c>
      <c r="BB1823" s="1">
        <v>0</v>
      </c>
      <c r="BC1823" s="1">
        <v>0</v>
      </c>
      <c r="BD1823" s="1">
        <v>0</v>
      </c>
      <c r="BE1823" s="1">
        <v>0</v>
      </c>
      <c r="BF1823" s="1">
        <v>0</v>
      </c>
      <c r="BG1823" s="1">
        <v>0</v>
      </c>
      <c r="BH1823" s="1">
        <v>0</v>
      </c>
      <c r="BI1823" s="1">
        <v>0</v>
      </c>
      <c r="BJ1823" s="1">
        <v>0</v>
      </c>
      <c r="BK1823" s="1">
        <v>0</v>
      </c>
      <c r="BL1823" s="1">
        <v>0</v>
      </c>
      <c r="BM1823" s="1">
        <v>0</v>
      </c>
      <c r="BN1823" s="1">
        <v>0</v>
      </c>
      <c r="BO1823" s="1">
        <v>0</v>
      </c>
      <c r="BP1823" s="1">
        <v>0</v>
      </c>
      <c r="BQ1823" s="1">
        <v>0</v>
      </c>
      <c r="BR1823" s="1">
        <v>0</v>
      </c>
      <c r="BS1823" s="1" t="s">
        <v>109</v>
      </c>
      <c r="BT1823" s="1">
        <v>1897</v>
      </c>
      <c r="BU1823" s="1" t="s">
        <v>109</v>
      </c>
      <c r="BV1823" s="1"/>
      <c r="BW1823" s="1"/>
      <c r="BX1823" s="1"/>
      <c r="BY1823" s="1"/>
      <c r="BZ1823" s="1">
        <v>0</v>
      </c>
      <c r="CA1823" s="1" t="s">
        <v>109</v>
      </c>
      <c r="CB1823" s="1" t="s">
        <v>109</v>
      </c>
      <c r="CC1823" s="1" t="s">
        <v>109</v>
      </c>
      <c r="CD1823" s="1" t="s">
        <v>109</v>
      </c>
      <c r="CE1823" s="1" t="s">
        <v>109</v>
      </c>
      <c r="CF1823" s="1" t="s">
        <v>109</v>
      </c>
      <c r="CG1823" s="1" t="s">
        <v>109</v>
      </c>
      <c r="CH1823" s="1" t="s">
        <v>109</v>
      </c>
      <c r="CI1823" s="1" t="s">
        <v>109</v>
      </c>
      <c r="CJ1823" s="1">
        <v>2</v>
      </c>
      <c r="CK1823" s="1"/>
      <c r="CL1823" s="1">
        <v>0</v>
      </c>
      <c r="CM1823" s="1">
        <v>0</v>
      </c>
      <c r="CN1823" s="1">
        <v>0</v>
      </c>
    </row>
    <row r="1824" spans="1:92" ht="14.25" customHeight="1" x14ac:dyDescent="0.15">
      <c r="A1824" s="1" t="s">
        <v>13521</v>
      </c>
      <c r="B1824" s="1" t="s">
        <v>584</v>
      </c>
      <c r="C1824" s="1"/>
      <c r="D1824" s="1"/>
      <c r="E1824" s="1" t="s">
        <v>13522</v>
      </c>
      <c r="F1824" s="1" t="s">
        <v>277</v>
      </c>
      <c r="G1824" s="1" t="s">
        <v>141</v>
      </c>
      <c r="H1824" s="1">
        <v>0</v>
      </c>
      <c r="I1824" s="1" t="s">
        <v>142</v>
      </c>
      <c r="J1824" s="1"/>
      <c r="K1824" s="1"/>
      <c r="L1824" s="1" t="s">
        <v>8687</v>
      </c>
      <c r="M1824" s="1" t="s">
        <v>13523</v>
      </c>
      <c r="N1824" s="1">
        <v>1</v>
      </c>
      <c r="O1824" s="1">
        <v>0</v>
      </c>
      <c r="P1824" s="1" t="s">
        <v>507</v>
      </c>
      <c r="Q1824" s="1" t="s">
        <v>167</v>
      </c>
      <c r="R1824" s="1" t="s">
        <v>13524</v>
      </c>
      <c r="S1824" s="1" t="s">
        <v>13525</v>
      </c>
      <c r="T1824" s="1" t="s">
        <v>13306</v>
      </c>
      <c r="U1824" s="1" t="s">
        <v>13526</v>
      </c>
      <c r="V1824" s="1">
        <v>1</v>
      </c>
      <c r="W1824" s="1">
        <v>1</v>
      </c>
      <c r="X1824" s="1">
        <v>0</v>
      </c>
      <c r="Y1824" s="1">
        <v>0</v>
      </c>
      <c r="Z1824" s="1">
        <v>0</v>
      </c>
      <c r="AA1824" s="1">
        <v>3</v>
      </c>
      <c r="AB1824" s="1">
        <v>3</v>
      </c>
      <c r="AC1824" s="1" t="s">
        <v>109</v>
      </c>
      <c r="AD1824" s="1" t="s">
        <v>109</v>
      </c>
      <c r="AE1824" s="1" t="s">
        <v>109</v>
      </c>
      <c r="AF1824" s="1">
        <v>3</v>
      </c>
      <c r="AG1824" s="1" t="s">
        <v>109</v>
      </c>
      <c r="AH1824" s="1" t="s">
        <v>109</v>
      </c>
      <c r="AI1824" s="1" t="s">
        <v>109</v>
      </c>
      <c r="AJ1824" s="1" t="s">
        <v>109</v>
      </c>
      <c r="AK1824" s="1" t="s">
        <v>109</v>
      </c>
      <c r="AL1824" s="1" t="s">
        <v>109</v>
      </c>
      <c r="AM1824" s="1" t="s">
        <v>109</v>
      </c>
      <c r="AN1824" s="1" t="s">
        <v>109</v>
      </c>
      <c r="AO1824" s="1" t="s">
        <v>109</v>
      </c>
      <c r="AP1824" s="1"/>
      <c r="AQ1824" s="1">
        <v>3</v>
      </c>
      <c r="AR1824" s="1"/>
      <c r="AS1824" s="1" t="s">
        <v>13527</v>
      </c>
      <c r="AT1824" s="1">
        <v>0</v>
      </c>
      <c r="AU1824" s="1">
        <v>0</v>
      </c>
      <c r="AV1824" s="1">
        <v>0</v>
      </c>
      <c r="AW1824" s="1">
        <v>0</v>
      </c>
      <c r="AX1824" s="1">
        <v>0</v>
      </c>
      <c r="AY1824" s="1">
        <v>0</v>
      </c>
      <c r="AZ1824" s="1">
        <v>0</v>
      </c>
      <c r="BA1824" s="1">
        <v>0</v>
      </c>
      <c r="BB1824" s="1">
        <v>0</v>
      </c>
      <c r="BC1824" s="1">
        <v>0</v>
      </c>
      <c r="BD1824" s="1">
        <v>0</v>
      </c>
      <c r="BE1824" s="1">
        <v>0</v>
      </c>
      <c r="BF1824" s="1">
        <v>0</v>
      </c>
      <c r="BG1824" s="1">
        <v>0</v>
      </c>
      <c r="BH1824" s="1">
        <v>0</v>
      </c>
      <c r="BI1824" s="1">
        <v>0</v>
      </c>
      <c r="BJ1824" s="1">
        <v>0</v>
      </c>
      <c r="BK1824" s="1">
        <v>0</v>
      </c>
      <c r="BL1824" s="1">
        <v>0</v>
      </c>
      <c r="BM1824" s="1">
        <v>0</v>
      </c>
      <c r="BN1824" s="1">
        <v>0</v>
      </c>
      <c r="BO1824" s="1">
        <v>0</v>
      </c>
      <c r="BP1824" s="1">
        <v>0</v>
      </c>
      <c r="BQ1824" s="1">
        <v>0</v>
      </c>
      <c r="BR1824" s="1">
        <v>0</v>
      </c>
      <c r="BS1824" s="1" t="s">
        <v>109</v>
      </c>
      <c r="BT1824" s="1">
        <v>1898</v>
      </c>
      <c r="BU1824" s="1" t="s">
        <v>109</v>
      </c>
      <c r="BV1824" s="1"/>
      <c r="BW1824" s="1"/>
      <c r="BX1824" s="1"/>
      <c r="BY1824" s="1"/>
      <c r="BZ1824" s="1">
        <v>0</v>
      </c>
      <c r="CA1824" s="1" t="s">
        <v>109</v>
      </c>
      <c r="CB1824" s="1" t="s">
        <v>109</v>
      </c>
      <c r="CC1824" s="1">
        <v>3</v>
      </c>
      <c r="CD1824" s="1" t="s">
        <v>109</v>
      </c>
      <c r="CE1824" s="1" t="s">
        <v>109</v>
      </c>
      <c r="CF1824" s="1" t="s">
        <v>109</v>
      </c>
      <c r="CG1824" s="1" t="s">
        <v>109</v>
      </c>
      <c r="CH1824" s="1" t="s">
        <v>109</v>
      </c>
      <c r="CI1824" s="1" t="s">
        <v>109</v>
      </c>
      <c r="CJ1824" s="1" t="s">
        <v>109</v>
      </c>
      <c r="CK1824" s="1"/>
      <c r="CL1824" s="1">
        <v>0</v>
      </c>
      <c r="CM1824" s="1">
        <v>0</v>
      </c>
      <c r="CN1824" s="1">
        <v>0</v>
      </c>
    </row>
    <row r="1825" spans="1:92" ht="14.25" customHeight="1" x14ac:dyDescent="0.15">
      <c r="A1825" s="1" t="s">
        <v>13528</v>
      </c>
      <c r="B1825" s="1" t="s">
        <v>584</v>
      </c>
      <c r="C1825" s="1"/>
      <c r="D1825" s="1"/>
      <c r="E1825" s="1" t="s">
        <v>13529</v>
      </c>
      <c r="F1825" s="1" t="s">
        <v>377</v>
      </c>
      <c r="G1825" s="1" t="s">
        <v>13530</v>
      </c>
      <c r="H1825" s="1">
        <v>1</v>
      </c>
      <c r="I1825" s="1" t="s">
        <v>161</v>
      </c>
      <c r="J1825" s="1"/>
      <c r="K1825" s="1"/>
      <c r="L1825" s="1" t="s">
        <v>5616</v>
      </c>
      <c r="M1825" s="1" t="s">
        <v>7341</v>
      </c>
      <c r="N1825" s="1">
        <v>1</v>
      </c>
      <c r="O1825" s="1">
        <v>0</v>
      </c>
      <c r="P1825" s="1" t="s">
        <v>507</v>
      </c>
      <c r="Q1825" s="1" t="s">
        <v>167</v>
      </c>
      <c r="R1825" s="1" t="s">
        <v>13531</v>
      </c>
      <c r="S1825" s="1" t="s">
        <v>13532</v>
      </c>
      <c r="T1825" s="1" t="s">
        <v>13306</v>
      </c>
      <c r="U1825" s="1" t="s">
        <v>13533</v>
      </c>
      <c r="V1825" s="1">
        <v>1</v>
      </c>
      <c r="W1825" s="1">
        <v>1</v>
      </c>
      <c r="X1825" s="1">
        <v>1</v>
      </c>
      <c r="Y1825" s="1">
        <v>0</v>
      </c>
      <c r="Z1825" s="1">
        <v>0</v>
      </c>
      <c r="AA1825" s="1">
        <v>4</v>
      </c>
      <c r="AB1825" s="1">
        <v>4</v>
      </c>
      <c r="AC1825" s="1" t="s">
        <v>109</v>
      </c>
      <c r="AD1825" s="1" t="s">
        <v>109</v>
      </c>
      <c r="AE1825" s="1" t="s">
        <v>109</v>
      </c>
      <c r="AF1825" s="1">
        <v>4</v>
      </c>
      <c r="AG1825" s="1" t="s">
        <v>109</v>
      </c>
      <c r="AH1825" s="1" t="s">
        <v>109</v>
      </c>
      <c r="AI1825" s="1" t="s">
        <v>109</v>
      </c>
      <c r="AJ1825" s="1" t="s">
        <v>109</v>
      </c>
      <c r="AK1825" s="1" t="s">
        <v>109</v>
      </c>
      <c r="AL1825" s="1" t="s">
        <v>109</v>
      </c>
      <c r="AM1825" s="1" t="s">
        <v>109</v>
      </c>
      <c r="AN1825" s="1" t="s">
        <v>109</v>
      </c>
      <c r="AO1825" s="1" t="s">
        <v>109</v>
      </c>
      <c r="AP1825" s="1"/>
      <c r="AQ1825" s="1">
        <v>4</v>
      </c>
      <c r="AR1825" s="1"/>
      <c r="AS1825" s="1" t="s">
        <v>13534</v>
      </c>
      <c r="AT1825" s="1">
        <v>0</v>
      </c>
      <c r="AU1825" s="1">
        <v>0</v>
      </c>
      <c r="AV1825" s="1">
        <v>0</v>
      </c>
      <c r="AW1825" s="1">
        <v>0</v>
      </c>
      <c r="AX1825" s="1">
        <v>0</v>
      </c>
      <c r="AY1825" s="1">
        <v>0</v>
      </c>
      <c r="AZ1825" s="1">
        <v>0</v>
      </c>
      <c r="BA1825" s="1">
        <v>0</v>
      </c>
      <c r="BB1825" s="1">
        <v>0</v>
      </c>
      <c r="BC1825" s="1">
        <v>0</v>
      </c>
      <c r="BD1825" s="1">
        <v>0</v>
      </c>
      <c r="BE1825" s="1">
        <v>0</v>
      </c>
      <c r="BF1825" s="1">
        <v>0</v>
      </c>
      <c r="BG1825" s="1">
        <v>0</v>
      </c>
      <c r="BH1825" s="1">
        <v>0</v>
      </c>
      <c r="BI1825" s="1">
        <v>0</v>
      </c>
      <c r="BJ1825" s="1">
        <v>0</v>
      </c>
      <c r="BK1825" s="1">
        <v>0</v>
      </c>
      <c r="BL1825" s="1">
        <v>0</v>
      </c>
      <c r="BM1825" s="1">
        <v>0</v>
      </c>
      <c r="BN1825" s="1">
        <v>0</v>
      </c>
      <c r="BO1825" s="1">
        <v>0</v>
      </c>
      <c r="BP1825" s="1">
        <v>0</v>
      </c>
      <c r="BQ1825" s="1">
        <v>0</v>
      </c>
      <c r="BR1825" s="1">
        <v>0</v>
      </c>
      <c r="BS1825" s="1" t="s">
        <v>109</v>
      </c>
      <c r="BT1825" s="1">
        <v>1899</v>
      </c>
      <c r="BU1825" s="1">
        <v>100</v>
      </c>
      <c r="BV1825" s="1"/>
      <c r="BW1825" s="1"/>
      <c r="BX1825" s="1"/>
      <c r="BY1825" s="1"/>
      <c r="BZ1825" s="1">
        <v>0</v>
      </c>
      <c r="CA1825" s="1" t="s">
        <v>109</v>
      </c>
      <c r="CB1825" s="1" t="s">
        <v>109</v>
      </c>
      <c r="CC1825" s="1">
        <v>4</v>
      </c>
      <c r="CD1825" s="1" t="s">
        <v>109</v>
      </c>
      <c r="CE1825" s="1" t="s">
        <v>109</v>
      </c>
      <c r="CF1825" s="1">
        <v>4</v>
      </c>
      <c r="CG1825" s="1" t="s">
        <v>109</v>
      </c>
      <c r="CH1825" s="1" t="s">
        <v>109</v>
      </c>
      <c r="CI1825" s="1" t="s">
        <v>109</v>
      </c>
      <c r="CJ1825" s="1" t="s">
        <v>109</v>
      </c>
      <c r="CK1825" s="1"/>
      <c r="CL1825" s="1">
        <v>0</v>
      </c>
      <c r="CM1825" s="1">
        <v>0</v>
      </c>
      <c r="CN1825" s="1">
        <v>0</v>
      </c>
    </row>
    <row r="1826" spans="1:92" ht="14.25" customHeight="1" x14ac:dyDescent="0.15">
      <c r="A1826" s="1" t="s">
        <v>13535</v>
      </c>
      <c r="B1826" s="1" t="s">
        <v>584</v>
      </c>
      <c r="C1826" s="1"/>
      <c r="D1826" s="1" t="s">
        <v>49</v>
      </c>
      <c r="E1826" s="1" t="s">
        <v>10487</v>
      </c>
      <c r="F1826" s="1" t="s">
        <v>98</v>
      </c>
      <c r="G1826" s="1" t="s">
        <v>141</v>
      </c>
      <c r="H1826" s="1">
        <v>0</v>
      </c>
      <c r="I1826" s="1" t="s">
        <v>122</v>
      </c>
      <c r="J1826" s="1"/>
      <c r="K1826" s="1" t="s">
        <v>13536</v>
      </c>
      <c r="L1826" s="1"/>
      <c r="M1826" s="1" t="s">
        <v>5642</v>
      </c>
      <c r="N1826" s="1">
        <v>0</v>
      </c>
      <c r="O1826" s="1">
        <v>0</v>
      </c>
      <c r="P1826" s="1" t="s">
        <v>11863</v>
      </c>
      <c r="Q1826" s="1" t="s">
        <v>268</v>
      </c>
      <c r="R1826" s="1" t="s">
        <v>13537</v>
      </c>
      <c r="S1826" s="1" t="s">
        <v>13538</v>
      </c>
      <c r="T1826" s="1" t="s">
        <v>13306</v>
      </c>
      <c r="U1826" s="1" t="s">
        <v>13539</v>
      </c>
      <c r="V1826" s="1">
        <v>1</v>
      </c>
      <c r="W1826" s="1">
        <v>1</v>
      </c>
      <c r="X1826" s="1">
        <v>0</v>
      </c>
      <c r="Y1826" s="1">
        <v>0</v>
      </c>
      <c r="Z1826" s="1">
        <v>0</v>
      </c>
      <c r="AA1826" s="1">
        <v>4</v>
      </c>
      <c r="AB1826" s="1">
        <v>4</v>
      </c>
      <c r="AC1826" s="1" t="s">
        <v>109</v>
      </c>
      <c r="AD1826" s="1">
        <v>4</v>
      </c>
      <c r="AE1826" s="1" t="s">
        <v>109</v>
      </c>
      <c r="AF1826" s="1" t="s">
        <v>109</v>
      </c>
      <c r="AG1826" s="1" t="s">
        <v>109</v>
      </c>
      <c r="AH1826" s="1" t="s">
        <v>109</v>
      </c>
      <c r="AI1826" s="1">
        <v>3</v>
      </c>
      <c r="AJ1826" s="1" t="s">
        <v>109</v>
      </c>
      <c r="AK1826" s="1" t="s">
        <v>109</v>
      </c>
      <c r="AL1826" s="1" t="s">
        <v>109</v>
      </c>
      <c r="AM1826" s="1" t="s">
        <v>109</v>
      </c>
      <c r="AN1826" s="1" t="s">
        <v>109</v>
      </c>
      <c r="AO1826" s="1" t="s">
        <v>109</v>
      </c>
      <c r="AP1826" s="1"/>
      <c r="AQ1826" s="1">
        <v>4</v>
      </c>
      <c r="AR1826" s="1"/>
      <c r="AS1826" s="1" t="s">
        <v>13540</v>
      </c>
      <c r="AT1826" s="1">
        <v>0</v>
      </c>
      <c r="AU1826" s="1">
        <v>0</v>
      </c>
      <c r="AV1826" s="1">
        <v>0</v>
      </c>
      <c r="AW1826" s="1">
        <v>1</v>
      </c>
      <c r="AX1826" s="1">
        <v>0</v>
      </c>
      <c r="AY1826" s="1">
        <v>0</v>
      </c>
      <c r="AZ1826" s="1">
        <v>0</v>
      </c>
      <c r="BA1826" s="1">
        <v>0</v>
      </c>
      <c r="BB1826" s="1">
        <v>0</v>
      </c>
      <c r="BC1826" s="1">
        <v>0</v>
      </c>
      <c r="BD1826" s="1">
        <v>0</v>
      </c>
      <c r="BE1826" s="1">
        <v>0</v>
      </c>
      <c r="BF1826" s="1">
        <v>0</v>
      </c>
      <c r="BG1826" s="1">
        <v>0</v>
      </c>
      <c r="BH1826" s="1">
        <v>0</v>
      </c>
      <c r="BI1826" s="1">
        <v>0</v>
      </c>
      <c r="BJ1826" s="1">
        <v>0</v>
      </c>
      <c r="BK1826" s="1">
        <v>0</v>
      </c>
      <c r="BL1826" s="1">
        <v>0</v>
      </c>
      <c r="BM1826" s="1">
        <v>0</v>
      </c>
      <c r="BN1826" s="1">
        <v>0</v>
      </c>
      <c r="BO1826" s="1">
        <v>0</v>
      </c>
      <c r="BP1826" s="1">
        <v>0</v>
      </c>
      <c r="BQ1826" s="1">
        <v>0</v>
      </c>
      <c r="BR1826" s="1">
        <v>0</v>
      </c>
      <c r="BS1826" s="1" t="s">
        <v>109</v>
      </c>
      <c r="BT1826" s="1">
        <v>1900</v>
      </c>
      <c r="BU1826" s="1" t="s">
        <v>109</v>
      </c>
      <c r="BV1826" s="1"/>
      <c r="BW1826" s="1"/>
      <c r="BX1826" s="1"/>
      <c r="BY1826" s="1"/>
      <c r="BZ1826" s="1">
        <v>0</v>
      </c>
      <c r="CA1826" s="1" t="s">
        <v>109</v>
      </c>
      <c r="CB1826" s="1" t="s">
        <v>109</v>
      </c>
      <c r="CC1826" s="1" t="s">
        <v>109</v>
      </c>
      <c r="CD1826" s="1" t="s">
        <v>109</v>
      </c>
      <c r="CE1826" s="1" t="s">
        <v>109</v>
      </c>
      <c r="CF1826" s="1" t="s">
        <v>109</v>
      </c>
      <c r="CG1826" s="1" t="s">
        <v>109</v>
      </c>
      <c r="CH1826" s="1" t="s">
        <v>109</v>
      </c>
      <c r="CI1826" s="1" t="s">
        <v>109</v>
      </c>
      <c r="CJ1826" s="1">
        <v>4</v>
      </c>
      <c r="CK1826" s="1"/>
      <c r="CL1826" s="1">
        <v>0</v>
      </c>
      <c r="CM1826" s="1">
        <v>0</v>
      </c>
      <c r="CN1826" s="1">
        <v>0</v>
      </c>
    </row>
    <row r="1827" spans="1:92" ht="14.25" customHeight="1" x14ac:dyDescent="0.15">
      <c r="A1827" s="1" t="s">
        <v>13541</v>
      </c>
      <c r="B1827" s="1" t="s">
        <v>242</v>
      </c>
      <c r="C1827" s="1"/>
      <c r="D1827" s="1"/>
      <c r="E1827" s="1" t="s">
        <v>13542</v>
      </c>
      <c r="F1827" s="1" t="s">
        <v>395</v>
      </c>
      <c r="G1827" s="1" t="s">
        <v>141</v>
      </c>
      <c r="H1827" s="1">
        <v>0</v>
      </c>
      <c r="I1827" s="1" t="s">
        <v>161</v>
      </c>
      <c r="J1827" s="1" t="s">
        <v>13543</v>
      </c>
      <c r="K1827" s="1"/>
      <c r="L1827" s="1" t="s">
        <v>13543</v>
      </c>
      <c r="M1827" s="1" t="s">
        <v>13544</v>
      </c>
      <c r="N1827" s="1">
        <v>0</v>
      </c>
      <c r="O1827" s="1">
        <v>0</v>
      </c>
      <c r="P1827" s="1" t="s">
        <v>267</v>
      </c>
      <c r="Q1827" s="1" t="s">
        <v>268</v>
      </c>
      <c r="R1827" s="1" t="s">
        <v>13545</v>
      </c>
      <c r="S1827" s="1" t="s">
        <v>13546</v>
      </c>
      <c r="T1827" s="1" t="s">
        <v>13306</v>
      </c>
      <c r="U1827" s="1" t="s">
        <v>13547</v>
      </c>
      <c r="V1827" s="1">
        <v>1</v>
      </c>
      <c r="W1827" s="1">
        <v>1</v>
      </c>
      <c r="X1827" s="1">
        <v>0</v>
      </c>
      <c r="Y1827" s="1">
        <v>0</v>
      </c>
      <c r="Z1827" s="1">
        <v>0</v>
      </c>
      <c r="AA1827" s="1">
        <v>2</v>
      </c>
      <c r="AB1827" s="1">
        <v>2</v>
      </c>
      <c r="AC1827" s="1" t="s">
        <v>109</v>
      </c>
      <c r="AD1827" s="1" t="s">
        <v>109</v>
      </c>
      <c r="AE1827" s="1" t="s">
        <v>109</v>
      </c>
      <c r="AF1827" s="1" t="s">
        <v>109</v>
      </c>
      <c r="AG1827" s="1" t="s">
        <v>109</v>
      </c>
      <c r="AH1827" s="1" t="s">
        <v>109</v>
      </c>
      <c r="AI1827" s="1" t="s">
        <v>109</v>
      </c>
      <c r="AJ1827" s="1">
        <v>2</v>
      </c>
      <c r="AK1827" s="1" t="s">
        <v>109</v>
      </c>
      <c r="AL1827" s="1" t="s">
        <v>109</v>
      </c>
      <c r="AM1827" s="1" t="s">
        <v>109</v>
      </c>
      <c r="AN1827" s="1" t="s">
        <v>109</v>
      </c>
      <c r="AO1827" s="1" t="s">
        <v>109</v>
      </c>
      <c r="AP1827" s="1"/>
      <c r="AQ1827" s="1">
        <v>2</v>
      </c>
      <c r="AR1827" s="1"/>
      <c r="AS1827" s="1" t="s">
        <v>13548</v>
      </c>
      <c r="AT1827" s="1">
        <v>0</v>
      </c>
      <c r="AU1827" s="1">
        <v>0</v>
      </c>
      <c r="AV1827" s="1">
        <v>0</v>
      </c>
      <c r="AW1827" s="1">
        <v>0</v>
      </c>
      <c r="AX1827" s="1">
        <v>0</v>
      </c>
      <c r="AY1827" s="1">
        <v>0</v>
      </c>
      <c r="AZ1827" s="1">
        <v>0</v>
      </c>
      <c r="BA1827" s="1">
        <v>0</v>
      </c>
      <c r="BB1827" s="1">
        <v>0</v>
      </c>
      <c r="BC1827" s="1">
        <v>0</v>
      </c>
      <c r="BD1827" s="1">
        <v>0</v>
      </c>
      <c r="BE1827" s="1">
        <v>0</v>
      </c>
      <c r="BF1827" s="1">
        <v>0</v>
      </c>
      <c r="BG1827" s="1">
        <v>0</v>
      </c>
      <c r="BH1827" s="1">
        <v>0</v>
      </c>
      <c r="BI1827" s="1">
        <v>0</v>
      </c>
      <c r="BJ1827" s="1">
        <v>0</v>
      </c>
      <c r="BK1827" s="1">
        <v>0</v>
      </c>
      <c r="BL1827" s="1">
        <v>0</v>
      </c>
      <c r="BM1827" s="1">
        <v>0</v>
      </c>
      <c r="BN1827" s="1">
        <v>0</v>
      </c>
      <c r="BO1827" s="1">
        <v>0</v>
      </c>
      <c r="BP1827" s="1">
        <v>0</v>
      </c>
      <c r="BQ1827" s="1">
        <v>0</v>
      </c>
      <c r="BR1827" s="1">
        <v>0</v>
      </c>
      <c r="BS1827" s="1" t="s">
        <v>109</v>
      </c>
      <c r="BT1827" s="1">
        <v>1901</v>
      </c>
      <c r="BU1827" s="1" t="s">
        <v>109</v>
      </c>
      <c r="BV1827" s="1"/>
      <c r="BW1827" s="1"/>
      <c r="BX1827" s="1"/>
      <c r="BY1827" s="1"/>
      <c r="BZ1827" s="1">
        <v>0</v>
      </c>
      <c r="CA1827" s="1" t="s">
        <v>109</v>
      </c>
      <c r="CB1827" s="1" t="s">
        <v>109</v>
      </c>
      <c r="CC1827" s="1">
        <v>2</v>
      </c>
      <c r="CD1827" s="1" t="s">
        <v>109</v>
      </c>
      <c r="CE1827" s="1" t="s">
        <v>109</v>
      </c>
      <c r="CF1827" s="1">
        <v>2</v>
      </c>
      <c r="CG1827" s="1" t="s">
        <v>109</v>
      </c>
      <c r="CH1827" s="1" t="s">
        <v>109</v>
      </c>
      <c r="CI1827" s="1" t="s">
        <v>109</v>
      </c>
      <c r="CJ1827" s="1" t="s">
        <v>109</v>
      </c>
      <c r="CK1827" s="1"/>
      <c r="CL1827" s="1">
        <v>0</v>
      </c>
      <c r="CM1827" s="1">
        <v>0</v>
      </c>
      <c r="CN1827" s="1">
        <v>0</v>
      </c>
    </row>
    <row r="1828" spans="1:92" ht="14.25" customHeight="1" x14ac:dyDescent="0.15">
      <c r="A1828" s="1" t="s">
        <v>13549</v>
      </c>
      <c r="B1828" s="1" t="s">
        <v>189</v>
      </c>
      <c r="C1828" s="1"/>
      <c r="D1828" s="1" t="s">
        <v>11366</v>
      </c>
      <c r="E1828" s="1" t="s">
        <v>13550</v>
      </c>
      <c r="F1828" s="1" t="s">
        <v>98</v>
      </c>
      <c r="G1828" s="1" t="s">
        <v>13551</v>
      </c>
      <c r="H1828" s="1">
        <v>0</v>
      </c>
      <c r="I1828" s="1" t="s">
        <v>142</v>
      </c>
      <c r="J1828" s="1"/>
      <c r="K1828" s="1"/>
      <c r="L1828" s="1" t="s">
        <v>1391</v>
      </c>
      <c r="M1828" s="1" t="s">
        <v>13552</v>
      </c>
      <c r="N1828" s="1">
        <v>0</v>
      </c>
      <c r="O1828" s="1">
        <v>0</v>
      </c>
      <c r="P1828" s="1" t="s">
        <v>2475</v>
      </c>
      <c r="Q1828" s="1" t="s">
        <v>268</v>
      </c>
      <c r="R1828" s="1" t="s">
        <v>13553</v>
      </c>
      <c r="S1828" s="1" t="s">
        <v>13554</v>
      </c>
      <c r="T1828" s="1" t="s">
        <v>13306</v>
      </c>
      <c r="U1828" s="1" t="s">
        <v>13555</v>
      </c>
      <c r="V1828" s="1">
        <v>1</v>
      </c>
      <c r="W1828" s="1">
        <v>1</v>
      </c>
      <c r="X1828" s="1">
        <v>1</v>
      </c>
      <c r="Y1828" s="1">
        <v>0</v>
      </c>
      <c r="Z1828" s="1">
        <v>0</v>
      </c>
      <c r="AA1828" s="1">
        <v>4</v>
      </c>
      <c r="AB1828" s="1">
        <v>4</v>
      </c>
      <c r="AC1828" s="1" t="s">
        <v>109</v>
      </c>
      <c r="AD1828" s="1" t="s">
        <v>109</v>
      </c>
      <c r="AE1828" s="1" t="s">
        <v>109</v>
      </c>
      <c r="AF1828" s="1" t="s">
        <v>109</v>
      </c>
      <c r="AG1828" s="1" t="s">
        <v>109</v>
      </c>
      <c r="AH1828" s="1" t="s">
        <v>109</v>
      </c>
      <c r="AI1828" s="1" t="s">
        <v>109</v>
      </c>
      <c r="AJ1828" s="1">
        <v>4</v>
      </c>
      <c r="AK1828" s="1" t="s">
        <v>109</v>
      </c>
      <c r="AL1828" s="1" t="s">
        <v>109</v>
      </c>
      <c r="AM1828" s="1" t="s">
        <v>109</v>
      </c>
      <c r="AN1828" s="1" t="s">
        <v>109</v>
      </c>
      <c r="AO1828" s="1" t="s">
        <v>109</v>
      </c>
      <c r="AP1828" s="1"/>
      <c r="AQ1828" s="1">
        <v>4</v>
      </c>
      <c r="AR1828" s="1"/>
      <c r="AS1828" s="1" t="s">
        <v>13556</v>
      </c>
      <c r="AT1828" s="1">
        <v>0</v>
      </c>
      <c r="AU1828" s="1">
        <v>0</v>
      </c>
      <c r="AV1828" s="1">
        <v>0</v>
      </c>
      <c r="AW1828" s="1">
        <v>0</v>
      </c>
      <c r="AX1828" s="1">
        <v>1</v>
      </c>
      <c r="AY1828" s="1">
        <v>0</v>
      </c>
      <c r="AZ1828" s="1">
        <v>0</v>
      </c>
      <c r="BA1828" s="1">
        <v>0</v>
      </c>
      <c r="BB1828" s="1">
        <v>0</v>
      </c>
      <c r="BC1828" s="1">
        <v>0</v>
      </c>
      <c r="BD1828" s="1">
        <v>0</v>
      </c>
      <c r="BE1828" s="1">
        <v>0</v>
      </c>
      <c r="BF1828" s="1">
        <v>0</v>
      </c>
      <c r="BG1828" s="1">
        <v>1</v>
      </c>
      <c r="BH1828" s="1">
        <v>0</v>
      </c>
      <c r="BI1828" s="1">
        <v>0</v>
      </c>
      <c r="BJ1828" s="1">
        <v>0</v>
      </c>
      <c r="BK1828" s="1">
        <v>0</v>
      </c>
      <c r="BL1828" s="1">
        <v>0</v>
      </c>
      <c r="BM1828" s="1">
        <v>0</v>
      </c>
      <c r="BN1828" s="1">
        <v>0</v>
      </c>
      <c r="BO1828" s="1">
        <v>0</v>
      </c>
      <c r="BP1828" s="1">
        <v>0</v>
      </c>
      <c r="BQ1828" s="1">
        <v>0</v>
      </c>
      <c r="BR1828" s="1">
        <v>0</v>
      </c>
      <c r="BS1828" s="1" t="s">
        <v>109</v>
      </c>
      <c r="BT1828" s="1">
        <v>1902</v>
      </c>
      <c r="BU1828" s="1" t="s">
        <v>109</v>
      </c>
      <c r="BV1828" s="1"/>
      <c r="BW1828" s="1"/>
      <c r="BX1828" s="1"/>
      <c r="BY1828" s="1"/>
      <c r="BZ1828" s="1">
        <v>0</v>
      </c>
      <c r="CA1828" s="1" t="s">
        <v>109</v>
      </c>
      <c r="CB1828" s="1">
        <v>4</v>
      </c>
      <c r="CC1828" s="1">
        <v>4</v>
      </c>
      <c r="CD1828" s="1" t="s">
        <v>109</v>
      </c>
      <c r="CE1828" s="1" t="s">
        <v>109</v>
      </c>
      <c r="CF1828" s="1" t="s">
        <v>109</v>
      </c>
      <c r="CG1828" s="1" t="s">
        <v>109</v>
      </c>
      <c r="CH1828" s="1" t="s">
        <v>109</v>
      </c>
      <c r="CI1828" s="1" t="s">
        <v>109</v>
      </c>
      <c r="CJ1828" s="1" t="s">
        <v>109</v>
      </c>
      <c r="CK1828" s="1"/>
      <c r="CL1828" s="1">
        <v>0</v>
      </c>
      <c r="CM1828" s="1">
        <v>0</v>
      </c>
      <c r="CN1828" s="1">
        <v>0</v>
      </c>
    </row>
    <row r="1829" spans="1:92" ht="14.25" customHeight="1" x14ac:dyDescent="0.15">
      <c r="A1829" s="1" t="s">
        <v>13557</v>
      </c>
      <c r="B1829" s="1" t="s">
        <v>95</v>
      </c>
      <c r="C1829" s="1" t="s">
        <v>1522</v>
      </c>
      <c r="D1829" s="1"/>
      <c r="E1829" s="1" t="s">
        <v>13558</v>
      </c>
      <c r="F1829" s="1" t="s">
        <v>98</v>
      </c>
      <c r="G1829" s="1" t="s">
        <v>141</v>
      </c>
      <c r="H1829" s="1">
        <v>0</v>
      </c>
      <c r="I1829" s="1" t="s">
        <v>142</v>
      </c>
      <c r="J1829" s="1"/>
      <c r="K1829" s="1"/>
      <c r="L1829" s="1" t="s">
        <v>1524</v>
      </c>
      <c r="M1829" s="1" t="s">
        <v>6798</v>
      </c>
      <c r="N1829" s="1">
        <v>0</v>
      </c>
      <c r="O1829" s="1">
        <v>0</v>
      </c>
      <c r="P1829" s="1" t="s">
        <v>1525</v>
      </c>
      <c r="Q1829" s="1" t="s">
        <v>1526</v>
      </c>
      <c r="R1829" s="1" t="s">
        <v>13559</v>
      </c>
      <c r="S1829" s="1" t="s">
        <v>13560</v>
      </c>
      <c r="T1829" s="1" t="s">
        <v>13306</v>
      </c>
      <c r="U1829" s="1" t="s">
        <v>13561</v>
      </c>
      <c r="V1829" s="1">
        <v>1</v>
      </c>
      <c r="W1829" s="1">
        <v>1</v>
      </c>
      <c r="X1829" s="1">
        <v>0</v>
      </c>
      <c r="Y1829" s="1">
        <v>0</v>
      </c>
      <c r="Z1829" s="1">
        <v>0</v>
      </c>
      <c r="AA1829" s="1">
        <v>7</v>
      </c>
      <c r="AB1829" s="1">
        <v>7</v>
      </c>
      <c r="AC1829" s="1" t="s">
        <v>109</v>
      </c>
      <c r="AD1829" s="1" t="s">
        <v>109</v>
      </c>
      <c r="AE1829" s="1" t="s">
        <v>109</v>
      </c>
      <c r="AF1829" s="1" t="s">
        <v>109</v>
      </c>
      <c r="AG1829" s="1" t="s">
        <v>109</v>
      </c>
      <c r="AH1829" s="1" t="s">
        <v>109</v>
      </c>
      <c r="AI1829" s="1">
        <v>6</v>
      </c>
      <c r="AJ1829" s="1">
        <v>7</v>
      </c>
      <c r="AK1829" s="1" t="s">
        <v>109</v>
      </c>
      <c r="AL1829" s="1" t="s">
        <v>109</v>
      </c>
      <c r="AM1829" s="1" t="s">
        <v>109</v>
      </c>
      <c r="AN1829" s="1" t="s">
        <v>109</v>
      </c>
      <c r="AO1829" s="1" t="s">
        <v>109</v>
      </c>
      <c r="AP1829" s="1"/>
      <c r="AQ1829" s="1">
        <v>7</v>
      </c>
      <c r="AR1829" s="1"/>
      <c r="AS1829" s="1" t="s">
        <v>13562</v>
      </c>
      <c r="AT1829" s="1">
        <v>0</v>
      </c>
      <c r="AU1829" s="1">
        <v>0</v>
      </c>
      <c r="AV1829" s="1">
        <v>0</v>
      </c>
      <c r="AW1829" s="1">
        <v>0</v>
      </c>
      <c r="AX1829" s="1">
        <v>0</v>
      </c>
      <c r="AY1829" s="1">
        <v>0</v>
      </c>
      <c r="AZ1829" s="1">
        <v>0</v>
      </c>
      <c r="BA1829" s="1">
        <v>0</v>
      </c>
      <c r="BB1829" s="1">
        <v>0</v>
      </c>
      <c r="BC1829" s="1">
        <v>0</v>
      </c>
      <c r="BD1829" s="1">
        <v>0</v>
      </c>
      <c r="BE1829" s="1">
        <v>0</v>
      </c>
      <c r="BF1829" s="1">
        <v>0</v>
      </c>
      <c r="BG1829" s="1">
        <v>0</v>
      </c>
      <c r="BH1829" s="1">
        <v>0</v>
      </c>
      <c r="BI1829" s="1">
        <v>0</v>
      </c>
      <c r="BJ1829" s="1">
        <v>0</v>
      </c>
      <c r="BK1829" s="1">
        <v>0</v>
      </c>
      <c r="BL1829" s="1">
        <v>0</v>
      </c>
      <c r="BM1829" s="1">
        <v>0</v>
      </c>
      <c r="BN1829" s="1">
        <v>0</v>
      </c>
      <c r="BO1829" s="1">
        <v>0</v>
      </c>
      <c r="BP1829" s="1">
        <v>0</v>
      </c>
      <c r="BQ1829" s="1">
        <v>0</v>
      </c>
      <c r="BR1829" s="1">
        <v>0</v>
      </c>
      <c r="BS1829" s="1" t="s">
        <v>109</v>
      </c>
      <c r="BT1829" s="1">
        <v>1903</v>
      </c>
      <c r="BU1829" s="1" t="s">
        <v>109</v>
      </c>
      <c r="BV1829" s="1"/>
      <c r="BW1829" s="1"/>
      <c r="BX1829" s="1"/>
      <c r="BY1829" s="1"/>
      <c r="BZ1829" s="1">
        <v>0</v>
      </c>
      <c r="CA1829" s="1" t="s">
        <v>109</v>
      </c>
      <c r="CB1829" s="1" t="s">
        <v>109</v>
      </c>
      <c r="CC1829" s="1">
        <v>7</v>
      </c>
      <c r="CD1829" s="1" t="s">
        <v>109</v>
      </c>
      <c r="CE1829" s="1" t="s">
        <v>109</v>
      </c>
      <c r="CF1829" s="1" t="s">
        <v>109</v>
      </c>
      <c r="CG1829" s="1" t="s">
        <v>109</v>
      </c>
      <c r="CH1829" s="1" t="s">
        <v>109</v>
      </c>
      <c r="CI1829" s="1" t="s">
        <v>109</v>
      </c>
      <c r="CJ1829" s="1" t="s">
        <v>109</v>
      </c>
      <c r="CK1829" s="1"/>
      <c r="CL1829" s="1">
        <v>0</v>
      </c>
      <c r="CM1829" s="1">
        <v>0</v>
      </c>
      <c r="CN1829" s="1">
        <v>0</v>
      </c>
    </row>
    <row r="1830" spans="1:92" ht="14.25" customHeight="1" x14ac:dyDescent="0.15">
      <c r="A1830" s="1" t="s">
        <v>13563</v>
      </c>
      <c r="B1830" s="1" t="s">
        <v>189</v>
      </c>
      <c r="C1830" s="1"/>
      <c r="D1830" s="1"/>
      <c r="E1830" s="1" t="s">
        <v>13564</v>
      </c>
      <c r="F1830" s="1" t="s">
        <v>98</v>
      </c>
      <c r="G1830" s="1" t="s">
        <v>141</v>
      </c>
      <c r="H1830" s="1">
        <v>0</v>
      </c>
      <c r="I1830" s="1" t="s">
        <v>161</v>
      </c>
      <c r="J1830" s="1"/>
      <c r="K1830" s="1"/>
      <c r="L1830" s="1" t="s">
        <v>8044</v>
      </c>
      <c r="M1830" s="1" t="s">
        <v>574</v>
      </c>
      <c r="N1830" s="1">
        <v>1</v>
      </c>
      <c r="O1830" s="1">
        <v>0</v>
      </c>
      <c r="P1830" s="1" t="s">
        <v>301</v>
      </c>
      <c r="Q1830" s="1" t="s">
        <v>104</v>
      </c>
      <c r="R1830" s="1" t="s">
        <v>13565</v>
      </c>
      <c r="S1830" s="1" t="s">
        <v>13566</v>
      </c>
      <c r="T1830" s="1" t="s">
        <v>13306</v>
      </c>
      <c r="U1830" s="1" t="s">
        <v>13567</v>
      </c>
      <c r="V1830" s="1">
        <v>1</v>
      </c>
      <c r="W1830" s="1">
        <v>1</v>
      </c>
      <c r="X1830" s="1">
        <v>0</v>
      </c>
      <c r="Y1830" s="1">
        <v>0</v>
      </c>
      <c r="Z1830" s="1">
        <v>0</v>
      </c>
      <c r="AA1830" s="1">
        <v>3</v>
      </c>
      <c r="AB1830" s="1">
        <v>3</v>
      </c>
      <c r="AC1830" s="1" t="s">
        <v>109</v>
      </c>
      <c r="AD1830" s="1" t="s">
        <v>109</v>
      </c>
      <c r="AE1830" s="1" t="s">
        <v>109</v>
      </c>
      <c r="AF1830" s="1" t="s">
        <v>109</v>
      </c>
      <c r="AG1830" s="1" t="s">
        <v>109</v>
      </c>
      <c r="AH1830" s="1">
        <v>3</v>
      </c>
      <c r="AI1830" s="1" t="s">
        <v>109</v>
      </c>
      <c r="AJ1830" s="1">
        <v>3</v>
      </c>
      <c r="AK1830" s="1" t="s">
        <v>109</v>
      </c>
      <c r="AL1830" s="1" t="s">
        <v>109</v>
      </c>
      <c r="AM1830" s="1" t="s">
        <v>109</v>
      </c>
      <c r="AN1830" s="1" t="s">
        <v>109</v>
      </c>
      <c r="AO1830" s="1" t="s">
        <v>109</v>
      </c>
      <c r="AP1830" s="1"/>
      <c r="AQ1830" s="1">
        <v>3</v>
      </c>
      <c r="AR1830" s="1"/>
      <c r="AS1830" s="1" t="s">
        <v>13568</v>
      </c>
      <c r="AT1830" s="1">
        <v>0</v>
      </c>
      <c r="AU1830" s="1">
        <v>0</v>
      </c>
      <c r="AV1830" s="1">
        <v>0</v>
      </c>
      <c r="AW1830" s="1">
        <v>0</v>
      </c>
      <c r="AX1830" s="1">
        <v>0</v>
      </c>
      <c r="AY1830" s="1">
        <v>0</v>
      </c>
      <c r="AZ1830" s="1">
        <v>0</v>
      </c>
      <c r="BA1830" s="1">
        <v>0</v>
      </c>
      <c r="BB1830" s="1">
        <v>0</v>
      </c>
      <c r="BC1830" s="1">
        <v>0</v>
      </c>
      <c r="BD1830" s="1">
        <v>0</v>
      </c>
      <c r="BE1830" s="1">
        <v>0</v>
      </c>
      <c r="BF1830" s="1">
        <v>0</v>
      </c>
      <c r="BG1830" s="1">
        <v>0</v>
      </c>
      <c r="BH1830" s="1">
        <v>0</v>
      </c>
      <c r="BI1830" s="1">
        <v>0</v>
      </c>
      <c r="BJ1830" s="1">
        <v>0</v>
      </c>
      <c r="BK1830" s="1">
        <v>0</v>
      </c>
      <c r="BL1830" s="1">
        <v>0</v>
      </c>
      <c r="BM1830" s="1">
        <v>0</v>
      </c>
      <c r="BN1830" s="1">
        <v>0</v>
      </c>
      <c r="BO1830" s="1">
        <v>0</v>
      </c>
      <c r="BP1830" s="1">
        <v>0</v>
      </c>
      <c r="BQ1830" s="1">
        <v>0</v>
      </c>
      <c r="BR1830" s="1">
        <v>0</v>
      </c>
      <c r="BS1830" s="1" t="s">
        <v>109</v>
      </c>
      <c r="BT1830" s="1">
        <v>1904</v>
      </c>
      <c r="BU1830" s="1" t="s">
        <v>109</v>
      </c>
      <c r="BV1830" s="1"/>
      <c r="BW1830" s="1"/>
      <c r="BX1830" s="1"/>
      <c r="BY1830" s="1"/>
      <c r="BZ1830" s="1">
        <v>0</v>
      </c>
      <c r="CA1830" s="1" t="s">
        <v>109</v>
      </c>
      <c r="CB1830" s="1" t="s">
        <v>109</v>
      </c>
      <c r="CC1830" s="1" t="s">
        <v>109</v>
      </c>
      <c r="CD1830" s="1" t="s">
        <v>109</v>
      </c>
      <c r="CE1830" s="1" t="s">
        <v>109</v>
      </c>
      <c r="CF1830" s="1" t="s">
        <v>109</v>
      </c>
      <c r="CG1830" s="1" t="s">
        <v>109</v>
      </c>
      <c r="CH1830" s="1" t="s">
        <v>109</v>
      </c>
      <c r="CI1830" s="1" t="s">
        <v>109</v>
      </c>
      <c r="CJ1830" s="1" t="s">
        <v>109</v>
      </c>
      <c r="CK1830" s="1"/>
      <c r="CL1830" s="1">
        <v>0</v>
      </c>
      <c r="CM1830" s="1">
        <v>0</v>
      </c>
      <c r="CN1830" s="1">
        <v>0</v>
      </c>
    </row>
    <row r="1831" spans="1:92" ht="14.25" customHeight="1" x14ac:dyDescent="0.15">
      <c r="A1831" s="1" t="s">
        <v>13569</v>
      </c>
      <c r="B1831" s="1" t="s">
        <v>254</v>
      </c>
      <c r="C1831" s="1"/>
      <c r="D1831" s="1" t="s">
        <v>158</v>
      </c>
      <c r="E1831" s="1" t="s">
        <v>13570</v>
      </c>
      <c r="F1831" s="1" t="s">
        <v>98</v>
      </c>
      <c r="G1831" s="1" t="s">
        <v>13571</v>
      </c>
      <c r="H1831" s="1">
        <v>0</v>
      </c>
      <c r="I1831" s="1" t="s">
        <v>1016</v>
      </c>
      <c r="J1831" s="1"/>
      <c r="K1831" s="1"/>
      <c r="L1831" s="1" t="s">
        <v>1391</v>
      </c>
      <c r="M1831" s="1" t="s">
        <v>11884</v>
      </c>
      <c r="N1831" s="1">
        <v>1</v>
      </c>
      <c r="O1831" s="1">
        <v>0</v>
      </c>
      <c r="P1831" s="1" t="s">
        <v>2475</v>
      </c>
      <c r="Q1831" s="1" t="s">
        <v>268</v>
      </c>
      <c r="R1831" s="1" t="s">
        <v>13572</v>
      </c>
      <c r="S1831" s="1" t="s">
        <v>13573</v>
      </c>
      <c r="T1831" s="1" t="s">
        <v>13306</v>
      </c>
      <c r="U1831" s="1" t="s">
        <v>13574</v>
      </c>
      <c r="V1831" s="1">
        <v>1</v>
      </c>
      <c r="W1831" s="1">
        <v>1</v>
      </c>
      <c r="X1831" s="1">
        <v>0</v>
      </c>
      <c r="Y1831" s="1">
        <v>0</v>
      </c>
      <c r="Z1831" s="1">
        <v>0</v>
      </c>
      <c r="AA1831" s="1">
        <v>1</v>
      </c>
      <c r="AB1831" s="1">
        <v>1</v>
      </c>
      <c r="AC1831" s="1" t="s">
        <v>109</v>
      </c>
      <c r="AD1831" s="1" t="s">
        <v>109</v>
      </c>
      <c r="AE1831" s="1" t="s">
        <v>109</v>
      </c>
      <c r="AF1831" s="1">
        <v>1</v>
      </c>
      <c r="AG1831" s="1" t="s">
        <v>109</v>
      </c>
      <c r="AH1831" s="1" t="s">
        <v>109</v>
      </c>
      <c r="AI1831" s="1" t="s">
        <v>109</v>
      </c>
      <c r="AJ1831" s="1">
        <v>1</v>
      </c>
      <c r="AK1831" s="1" t="s">
        <v>109</v>
      </c>
      <c r="AL1831" s="1" t="s">
        <v>109</v>
      </c>
      <c r="AM1831" s="1" t="s">
        <v>109</v>
      </c>
      <c r="AN1831" s="1" t="s">
        <v>109</v>
      </c>
      <c r="AO1831" s="1" t="s">
        <v>109</v>
      </c>
      <c r="AP1831" s="1"/>
      <c r="AQ1831" s="1">
        <v>1</v>
      </c>
      <c r="AR1831" s="1"/>
      <c r="AS1831" s="1" t="s">
        <v>13575</v>
      </c>
      <c r="AT1831" s="1">
        <v>0</v>
      </c>
      <c r="AU1831" s="1">
        <v>0</v>
      </c>
      <c r="AV1831" s="1">
        <v>0</v>
      </c>
      <c r="AW1831" s="1">
        <v>0</v>
      </c>
      <c r="AX1831" s="1">
        <v>0</v>
      </c>
      <c r="AY1831" s="1">
        <v>0</v>
      </c>
      <c r="AZ1831" s="1">
        <v>0</v>
      </c>
      <c r="BA1831" s="1">
        <v>0</v>
      </c>
      <c r="BB1831" s="1">
        <v>0</v>
      </c>
      <c r="BC1831" s="1">
        <v>0</v>
      </c>
      <c r="BD1831" s="1">
        <v>0</v>
      </c>
      <c r="BE1831" s="1">
        <v>0</v>
      </c>
      <c r="BF1831" s="1">
        <v>0</v>
      </c>
      <c r="BG1831" s="1">
        <v>0</v>
      </c>
      <c r="BH1831" s="1">
        <v>0</v>
      </c>
      <c r="BI1831" s="1">
        <v>0</v>
      </c>
      <c r="BJ1831" s="1">
        <v>0</v>
      </c>
      <c r="BK1831" s="1">
        <v>0</v>
      </c>
      <c r="BL1831" s="1">
        <v>0</v>
      </c>
      <c r="BM1831" s="1">
        <v>1</v>
      </c>
      <c r="BN1831" s="1">
        <v>0</v>
      </c>
      <c r="BO1831" s="1">
        <v>0</v>
      </c>
      <c r="BP1831" s="1">
        <v>0</v>
      </c>
      <c r="BQ1831" s="1">
        <v>0</v>
      </c>
      <c r="BR1831" s="1">
        <v>0</v>
      </c>
      <c r="BS1831" s="1" t="s">
        <v>109</v>
      </c>
      <c r="BT1831" s="1">
        <v>1905</v>
      </c>
      <c r="BU1831" s="1" t="s">
        <v>109</v>
      </c>
      <c r="BV1831" s="1"/>
      <c r="BW1831" s="1"/>
      <c r="BX1831" s="1"/>
      <c r="BY1831" s="1"/>
      <c r="BZ1831" s="1">
        <v>0</v>
      </c>
      <c r="CA1831" s="1" t="s">
        <v>109</v>
      </c>
      <c r="CB1831" s="1">
        <v>1</v>
      </c>
      <c r="CC1831" s="1">
        <v>1</v>
      </c>
      <c r="CD1831" s="1" t="s">
        <v>109</v>
      </c>
      <c r="CE1831" s="1">
        <v>1</v>
      </c>
      <c r="CF1831" s="1">
        <v>1</v>
      </c>
      <c r="CG1831" s="1">
        <v>1</v>
      </c>
      <c r="CH1831" s="1" t="s">
        <v>109</v>
      </c>
      <c r="CI1831" s="1" t="s">
        <v>109</v>
      </c>
      <c r="CJ1831" s="1" t="s">
        <v>109</v>
      </c>
      <c r="CK1831" s="1"/>
      <c r="CL1831" s="1">
        <v>0</v>
      </c>
      <c r="CM1831" s="1">
        <v>0</v>
      </c>
      <c r="CN1831" s="1">
        <v>0</v>
      </c>
    </row>
    <row r="1832" spans="1:92" ht="14.25" customHeight="1" x14ac:dyDescent="0.15">
      <c r="A1832" s="1" t="s">
        <v>13576</v>
      </c>
      <c r="B1832" s="1" t="s">
        <v>674</v>
      </c>
      <c r="C1832" s="1" t="s">
        <v>675</v>
      </c>
      <c r="D1832" s="1"/>
      <c r="E1832" s="1" t="s">
        <v>13577</v>
      </c>
      <c r="F1832" s="1" t="s">
        <v>355</v>
      </c>
      <c r="G1832" s="1" t="s">
        <v>141</v>
      </c>
      <c r="H1832" s="1">
        <v>0</v>
      </c>
      <c r="I1832" s="1" t="s">
        <v>161</v>
      </c>
      <c r="J1832" s="1"/>
      <c r="K1832" s="1"/>
      <c r="L1832" s="1" t="s">
        <v>13578</v>
      </c>
      <c r="M1832" s="1" t="s">
        <v>815</v>
      </c>
      <c r="N1832" s="1">
        <v>1</v>
      </c>
      <c r="O1832" s="1">
        <v>0</v>
      </c>
      <c r="P1832" s="1" t="s">
        <v>103</v>
      </c>
      <c r="Q1832" s="1" t="s">
        <v>104</v>
      </c>
      <c r="R1832" s="1" t="s">
        <v>13579</v>
      </c>
      <c r="S1832" s="1" t="s">
        <v>13580</v>
      </c>
      <c r="T1832" s="1" t="s">
        <v>13306</v>
      </c>
      <c r="U1832" s="1" t="s">
        <v>13581</v>
      </c>
      <c r="V1832" s="1">
        <v>1</v>
      </c>
      <c r="W1832" s="1">
        <v>1</v>
      </c>
      <c r="X1832" s="1">
        <v>0</v>
      </c>
      <c r="Y1832" s="1">
        <v>0</v>
      </c>
      <c r="Z1832" s="1">
        <v>0</v>
      </c>
      <c r="AA1832" s="1">
        <v>1</v>
      </c>
      <c r="AB1832" s="1">
        <v>1</v>
      </c>
      <c r="AC1832" s="1" t="s">
        <v>109</v>
      </c>
      <c r="AD1832" s="1" t="s">
        <v>109</v>
      </c>
      <c r="AE1832" s="1" t="s">
        <v>109</v>
      </c>
      <c r="AF1832" s="1">
        <v>1</v>
      </c>
      <c r="AG1832" s="1" t="s">
        <v>109</v>
      </c>
      <c r="AH1832" s="1" t="s">
        <v>109</v>
      </c>
      <c r="AI1832" s="1" t="s">
        <v>109</v>
      </c>
      <c r="AJ1832" s="1">
        <v>1</v>
      </c>
      <c r="AK1832" s="1" t="s">
        <v>109</v>
      </c>
      <c r="AL1832" s="1" t="s">
        <v>109</v>
      </c>
      <c r="AM1832" s="1" t="s">
        <v>109</v>
      </c>
      <c r="AN1832" s="1">
        <v>1</v>
      </c>
      <c r="AO1832" s="1" t="s">
        <v>109</v>
      </c>
      <c r="AP1832" s="1"/>
      <c r="AQ1832" s="1">
        <v>1</v>
      </c>
      <c r="AR1832" s="1"/>
      <c r="AS1832" s="1" t="s">
        <v>13582</v>
      </c>
      <c r="AT1832" s="1">
        <v>0</v>
      </c>
      <c r="AU1832" s="1">
        <v>0</v>
      </c>
      <c r="AV1832" s="1">
        <v>0</v>
      </c>
      <c r="AW1832" s="1">
        <v>0</v>
      </c>
      <c r="AX1832" s="1">
        <v>0</v>
      </c>
      <c r="AY1832" s="1">
        <v>0</v>
      </c>
      <c r="AZ1832" s="1">
        <v>0</v>
      </c>
      <c r="BA1832" s="1">
        <v>0</v>
      </c>
      <c r="BB1832" s="1">
        <v>0</v>
      </c>
      <c r="BC1832" s="1">
        <v>0</v>
      </c>
      <c r="BD1832" s="1">
        <v>0</v>
      </c>
      <c r="BE1832" s="1">
        <v>0</v>
      </c>
      <c r="BF1832" s="1">
        <v>0</v>
      </c>
      <c r="BG1832" s="1">
        <v>0</v>
      </c>
      <c r="BH1832" s="1">
        <v>0</v>
      </c>
      <c r="BI1832" s="1">
        <v>0</v>
      </c>
      <c r="BJ1832" s="1">
        <v>0</v>
      </c>
      <c r="BK1832" s="1">
        <v>0</v>
      </c>
      <c r="BL1832" s="1">
        <v>0</v>
      </c>
      <c r="BM1832" s="1">
        <v>0</v>
      </c>
      <c r="BN1832" s="1">
        <v>0</v>
      </c>
      <c r="BO1832" s="1">
        <v>0</v>
      </c>
      <c r="BP1832" s="1">
        <v>0</v>
      </c>
      <c r="BQ1832" s="1">
        <v>0</v>
      </c>
      <c r="BR1832" s="1">
        <v>0</v>
      </c>
      <c r="BS1832" s="1" t="s">
        <v>109</v>
      </c>
      <c r="BT1832" s="1">
        <v>1906</v>
      </c>
      <c r="BU1832" s="1" t="s">
        <v>109</v>
      </c>
      <c r="BV1832" s="1"/>
      <c r="BW1832" s="1"/>
      <c r="BX1832" s="1"/>
      <c r="BY1832" s="1"/>
      <c r="BZ1832" s="1">
        <v>0</v>
      </c>
      <c r="CA1832" s="1" t="s">
        <v>109</v>
      </c>
      <c r="CB1832" s="1" t="s">
        <v>109</v>
      </c>
      <c r="CC1832" s="1">
        <v>1</v>
      </c>
      <c r="CD1832" s="1" t="s">
        <v>109</v>
      </c>
      <c r="CE1832" s="1">
        <v>1</v>
      </c>
      <c r="CF1832" s="1" t="s">
        <v>109</v>
      </c>
      <c r="CG1832" s="1" t="s">
        <v>109</v>
      </c>
      <c r="CH1832" s="1" t="s">
        <v>109</v>
      </c>
      <c r="CI1832" s="1" t="s">
        <v>109</v>
      </c>
      <c r="CJ1832" s="1" t="s">
        <v>109</v>
      </c>
      <c r="CK1832" s="1"/>
      <c r="CL1832" s="1">
        <v>0</v>
      </c>
      <c r="CM1832" s="1">
        <v>0</v>
      </c>
      <c r="CN1832" s="1">
        <v>0</v>
      </c>
    </row>
    <row r="1833" spans="1:92" ht="14.25" customHeight="1" x14ac:dyDescent="0.15">
      <c r="A1833" s="1" t="s">
        <v>13583</v>
      </c>
      <c r="B1833" s="1" t="s">
        <v>242</v>
      </c>
      <c r="C1833" s="1"/>
      <c r="D1833" s="1"/>
      <c r="E1833" s="1" t="s">
        <v>13584</v>
      </c>
      <c r="F1833" s="1" t="s">
        <v>98</v>
      </c>
      <c r="G1833" s="1" t="s">
        <v>141</v>
      </c>
      <c r="H1833" s="1">
        <v>0</v>
      </c>
      <c r="I1833" s="1" t="s">
        <v>235</v>
      </c>
      <c r="J1833" s="1"/>
      <c r="K1833" s="1"/>
      <c r="L1833" s="1" t="s">
        <v>236</v>
      </c>
      <c r="M1833" s="1" t="s">
        <v>13585</v>
      </c>
      <c r="N1833" s="1">
        <v>0</v>
      </c>
      <c r="O1833" s="1">
        <v>0</v>
      </c>
      <c r="P1833" s="1"/>
      <c r="Q1833" s="1"/>
      <c r="R1833" s="1" t="s">
        <v>13586</v>
      </c>
      <c r="S1833" s="1" t="s">
        <v>13587</v>
      </c>
      <c r="T1833" s="1" t="s">
        <v>13306</v>
      </c>
      <c r="U1833" s="1" t="s">
        <v>13588</v>
      </c>
      <c r="V1833" s="1">
        <v>1</v>
      </c>
      <c r="W1833" s="1">
        <v>1</v>
      </c>
      <c r="X1833" s="1">
        <v>0</v>
      </c>
      <c r="Y1833" s="1">
        <v>0</v>
      </c>
      <c r="Z1833" s="1">
        <v>0</v>
      </c>
      <c r="AA1833" s="1">
        <v>4</v>
      </c>
      <c r="AB1833" s="1">
        <v>4</v>
      </c>
      <c r="AC1833" s="1">
        <v>4</v>
      </c>
      <c r="AD1833" s="1" t="s">
        <v>109</v>
      </c>
      <c r="AE1833" s="1" t="s">
        <v>109</v>
      </c>
      <c r="AF1833" s="1" t="s">
        <v>109</v>
      </c>
      <c r="AG1833" s="1" t="s">
        <v>109</v>
      </c>
      <c r="AH1833" s="1">
        <v>4</v>
      </c>
      <c r="AI1833" s="1" t="s">
        <v>109</v>
      </c>
      <c r="AJ1833" s="1">
        <v>4</v>
      </c>
      <c r="AK1833" s="1">
        <v>4</v>
      </c>
      <c r="AL1833" s="1">
        <v>4</v>
      </c>
      <c r="AM1833" s="1" t="s">
        <v>109</v>
      </c>
      <c r="AN1833" s="1" t="s">
        <v>109</v>
      </c>
      <c r="AO1833" s="1" t="s">
        <v>109</v>
      </c>
      <c r="AP1833" s="1"/>
      <c r="AQ1833" s="1">
        <v>4</v>
      </c>
      <c r="AR1833" s="1"/>
      <c r="AS1833" s="1" t="s">
        <v>13589</v>
      </c>
      <c r="AT1833" s="1">
        <v>0</v>
      </c>
      <c r="AU1833" s="1">
        <v>0</v>
      </c>
      <c r="AV1833" s="1">
        <v>0</v>
      </c>
      <c r="AW1833" s="1">
        <v>0</v>
      </c>
      <c r="AX1833" s="1">
        <v>0</v>
      </c>
      <c r="AY1833" s="1">
        <v>0</v>
      </c>
      <c r="AZ1833" s="1">
        <v>0</v>
      </c>
      <c r="BA1833" s="1">
        <v>0</v>
      </c>
      <c r="BB1833" s="1">
        <v>0</v>
      </c>
      <c r="BC1833" s="1">
        <v>0</v>
      </c>
      <c r="BD1833" s="1">
        <v>0</v>
      </c>
      <c r="BE1833" s="1">
        <v>0</v>
      </c>
      <c r="BF1833" s="1">
        <v>0</v>
      </c>
      <c r="BG1833" s="1">
        <v>0</v>
      </c>
      <c r="BH1833" s="1">
        <v>0</v>
      </c>
      <c r="BI1833" s="1">
        <v>0</v>
      </c>
      <c r="BJ1833" s="1">
        <v>0</v>
      </c>
      <c r="BK1833" s="1">
        <v>0</v>
      </c>
      <c r="BL1833" s="1">
        <v>0</v>
      </c>
      <c r="BM1833" s="1">
        <v>0</v>
      </c>
      <c r="BN1833" s="1">
        <v>0</v>
      </c>
      <c r="BO1833" s="1">
        <v>0</v>
      </c>
      <c r="BP1833" s="1">
        <v>0</v>
      </c>
      <c r="BQ1833" s="1">
        <v>0</v>
      </c>
      <c r="BR1833" s="1">
        <v>0</v>
      </c>
      <c r="BS1833" s="1" t="s">
        <v>109</v>
      </c>
      <c r="BT1833" s="1">
        <v>1907</v>
      </c>
      <c r="BU1833" s="1" t="s">
        <v>109</v>
      </c>
      <c r="BV1833" s="1"/>
      <c r="BW1833" s="1"/>
      <c r="BX1833" s="1"/>
      <c r="BY1833" s="1"/>
      <c r="BZ1833" s="1">
        <v>0</v>
      </c>
      <c r="CA1833" s="1" t="s">
        <v>109</v>
      </c>
      <c r="CB1833" s="1" t="s">
        <v>109</v>
      </c>
      <c r="CC1833" s="1">
        <v>4</v>
      </c>
      <c r="CD1833" s="1" t="s">
        <v>109</v>
      </c>
      <c r="CE1833" s="1">
        <v>3</v>
      </c>
      <c r="CF1833" s="1">
        <v>4</v>
      </c>
      <c r="CG1833" s="1" t="s">
        <v>109</v>
      </c>
      <c r="CH1833" s="1" t="s">
        <v>109</v>
      </c>
      <c r="CI1833" s="1" t="s">
        <v>109</v>
      </c>
      <c r="CJ1833" s="1" t="s">
        <v>109</v>
      </c>
      <c r="CK1833" s="1"/>
      <c r="CL1833" s="1">
        <v>0</v>
      </c>
      <c r="CM1833" s="1">
        <v>0</v>
      </c>
      <c r="CN1833" s="1">
        <v>0</v>
      </c>
    </row>
    <row r="1834" spans="1:92" ht="14.25" customHeight="1" x14ac:dyDescent="0.15">
      <c r="A1834" s="1" t="s">
        <v>13590</v>
      </c>
      <c r="B1834" s="1" t="s">
        <v>254</v>
      </c>
      <c r="C1834" s="1"/>
      <c r="D1834" s="1"/>
      <c r="E1834" s="1" t="s">
        <v>5841</v>
      </c>
      <c r="F1834" s="1" t="s">
        <v>98</v>
      </c>
      <c r="G1834" s="1" t="s">
        <v>160</v>
      </c>
      <c r="H1834" s="1">
        <v>0</v>
      </c>
      <c r="I1834" s="1" t="s">
        <v>142</v>
      </c>
      <c r="J1834" s="1"/>
      <c r="K1834" s="1"/>
      <c r="L1834" s="1" t="s">
        <v>13591</v>
      </c>
      <c r="M1834" s="1" t="s">
        <v>3042</v>
      </c>
      <c r="N1834" s="1">
        <v>0</v>
      </c>
      <c r="O1834" s="1">
        <v>0</v>
      </c>
      <c r="P1834" s="1" t="s">
        <v>103</v>
      </c>
      <c r="Q1834" s="1" t="s">
        <v>104</v>
      </c>
      <c r="R1834" s="1" t="s">
        <v>13592</v>
      </c>
      <c r="S1834" s="1" t="s">
        <v>13593</v>
      </c>
      <c r="T1834" s="1" t="s">
        <v>13306</v>
      </c>
      <c r="U1834" s="1" t="s">
        <v>13594</v>
      </c>
      <c r="V1834" s="1">
        <v>1</v>
      </c>
      <c r="W1834" s="1">
        <v>1</v>
      </c>
      <c r="X1834" s="1">
        <v>0</v>
      </c>
      <c r="Y1834" s="1">
        <v>0</v>
      </c>
      <c r="Z1834" s="1">
        <v>1</v>
      </c>
      <c r="AA1834" s="1" t="s">
        <v>109</v>
      </c>
      <c r="AB1834" s="1" t="s">
        <v>109</v>
      </c>
      <c r="AC1834" s="1" t="s">
        <v>109</v>
      </c>
      <c r="AD1834" s="1" t="s">
        <v>109</v>
      </c>
      <c r="AE1834" s="1">
        <v>2</v>
      </c>
      <c r="AF1834" s="1" t="s">
        <v>109</v>
      </c>
      <c r="AG1834" s="1" t="s">
        <v>109</v>
      </c>
      <c r="AH1834" s="1" t="s">
        <v>109</v>
      </c>
      <c r="AI1834" s="1" t="s">
        <v>109</v>
      </c>
      <c r="AJ1834" s="1" t="s">
        <v>109</v>
      </c>
      <c r="AK1834" s="1" t="s">
        <v>109</v>
      </c>
      <c r="AL1834" s="1" t="s">
        <v>109</v>
      </c>
      <c r="AM1834" s="1" t="s">
        <v>109</v>
      </c>
      <c r="AN1834" s="1" t="s">
        <v>109</v>
      </c>
      <c r="AO1834" s="1" t="s">
        <v>109</v>
      </c>
      <c r="AP1834" s="1"/>
      <c r="AQ1834" s="1">
        <v>2</v>
      </c>
      <c r="AR1834" s="1"/>
      <c r="AS1834" s="1" t="s">
        <v>13595</v>
      </c>
      <c r="AT1834" s="1">
        <v>0</v>
      </c>
      <c r="AU1834" s="1">
        <v>0</v>
      </c>
      <c r="AV1834" s="1">
        <v>0</v>
      </c>
      <c r="AW1834" s="1">
        <v>0</v>
      </c>
      <c r="AX1834" s="1">
        <v>0</v>
      </c>
      <c r="AY1834" s="1">
        <v>0</v>
      </c>
      <c r="AZ1834" s="1">
        <v>0</v>
      </c>
      <c r="BA1834" s="1">
        <v>0</v>
      </c>
      <c r="BB1834" s="1">
        <v>0</v>
      </c>
      <c r="BC1834" s="1">
        <v>0</v>
      </c>
      <c r="BD1834" s="1">
        <v>0</v>
      </c>
      <c r="BE1834" s="1">
        <v>0</v>
      </c>
      <c r="BF1834" s="1">
        <v>0</v>
      </c>
      <c r="BG1834" s="1">
        <v>0</v>
      </c>
      <c r="BH1834" s="1">
        <v>0</v>
      </c>
      <c r="BI1834" s="1">
        <v>0</v>
      </c>
      <c r="BJ1834" s="1">
        <v>0</v>
      </c>
      <c r="BK1834" s="1">
        <v>0</v>
      </c>
      <c r="BL1834" s="1">
        <v>0</v>
      </c>
      <c r="BM1834" s="1">
        <v>0</v>
      </c>
      <c r="BN1834" s="1">
        <v>0</v>
      </c>
      <c r="BO1834" s="1">
        <v>0</v>
      </c>
      <c r="BP1834" s="1">
        <v>0</v>
      </c>
      <c r="BQ1834" s="1">
        <v>0</v>
      </c>
      <c r="BR1834" s="1">
        <v>0</v>
      </c>
      <c r="BS1834" s="1" t="s">
        <v>109</v>
      </c>
      <c r="BT1834" s="1">
        <v>1908</v>
      </c>
      <c r="BU1834" s="1" t="s">
        <v>109</v>
      </c>
      <c r="BV1834" s="1"/>
      <c r="BW1834" s="1"/>
      <c r="BX1834" s="1"/>
      <c r="BY1834" s="1"/>
      <c r="BZ1834" s="1">
        <v>0</v>
      </c>
      <c r="CA1834" s="1" t="s">
        <v>109</v>
      </c>
      <c r="CB1834" s="1" t="s">
        <v>109</v>
      </c>
      <c r="CC1834" s="1" t="s">
        <v>109</v>
      </c>
      <c r="CD1834" s="1" t="s">
        <v>109</v>
      </c>
      <c r="CE1834" s="1" t="s">
        <v>109</v>
      </c>
      <c r="CF1834" s="1" t="s">
        <v>109</v>
      </c>
      <c r="CG1834" s="1" t="s">
        <v>109</v>
      </c>
      <c r="CH1834" s="1" t="s">
        <v>109</v>
      </c>
      <c r="CI1834" s="1" t="s">
        <v>109</v>
      </c>
      <c r="CJ1834" s="1">
        <v>2</v>
      </c>
      <c r="CK1834" s="1"/>
      <c r="CL1834" s="1">
        <v>0</v>
      </c>
      <c r="CM1834" s="1">
        <v>0</v>
      </c>
      <c r="CN1834" s="1">
        <v>0</v>
      </c>
    </row>
    <row r="1835" spans="1:92" ht="14.25" customHeight="1" x14ac:dyDescent="0.15">
      <c r="A1835" s="1" t="s">
        <v>13596</v>
      </c>
      <c r="B1835" s="1" t="s">
        <v>95</v>
      </c>
      <c r="C1835" s="1" t="s">
        <v>96</v>
      </c>
      <c r="D1835" s="1" t="s">
        <v>67</v>
      </c>
      <c r="E1835" s="1" t="s">
        <v>13597</v>
      </c>
      <c r="F1835" s="1" t="s">
        <v>98</v>
      </c>
      <c r="G1835" s="1" t="s">
        <v>13598</v>
      </c>
      <c r="H1835" s="1">
        <v>1</v>
      </c>
      <c r="I1835" s="1" t="s">
        <v>122</v>
      </c>
      <c r="J1835" s="1"/>
      <c r="K1835" s="1" t="s">
        <v>123</v>
      </c>
      <c r="L1835" s="1"/>
      <c r="M1835" s="1" t="s">
        <v>125</v>
      </c>
      <c r="N1835" s="1">
        <v>0</v>
      </c>
      <c r="O1835" s="1">
        <v>0</v>
      </c>
      <c r="P1835" s="1" t="s">
        <v>6066</v>
      </c>
      <c r="Q1835" s="1" t="s">
        <v>104</v>
      </c>
      <c r="R1835" s="1" t="s">
        <v>13599</v>
      </c>
      <c r="S1835" s="1" t="s">
        <v>13600</v>
      </c>
      <c r="T1835" s="1" t="s">
        <v>13306</v>
      </c>
      <c r="U1835" s="1" t="s">
        <v>13601</v>
      </c>
      <c r="V1835" s="1">
        <v>1</v>
      </c>
      <c r="W1835" s="1">
        <v>1</v>
      </c>
      <c r="X1835" s="1">
        <v>1</v>
      </c>
      <c r="Y1835" s="1">
        <v>0</v>
      </c>
      <c r="Z1835" s="1">
        <v>0</v>
      </c>
      <c r="AA1835" s="1">
        <v>2</v>
      </c>
      <c r="AB1835" s="1">
        <v>2</v>
      </c>
      <c r="AC1835" s="1" t="s">
        <v>109</v>
      </c>
      <c r="AD1835" s="1">
        <v>2</v>
      </c>
      <c r="AE1835" s="1" t="s">
        <v>109</v>
      </c>
      <c r="AF1835" s="1" t="s">
        <v>109</v>
      </c>
      <c r="AG1835" s="1" t="s">
        <v>109</v>
      </c>
      <c r="AH1835" s="1" t="s">
        <v>109</v>
      </c>
      <c r="AI1835" s="1" t="s">
        <v>109</v>
      </c>
      <c r="AJ1835" s="1">
        <v>2</v>
      </c>
      <c r="AK1835" s="1" t="s">
        <v>109</v>
      </c>
      <c r="AL1835" s="1" t="s">
        <v>109</v>
      </c>
      <c r="AM1835" s="1" t="s">
        <v>109</v>
      </c>
      <c r="AN1835" s="1">
        <v>2</v>
      </c>
      <c r="AO1835" s="1" t="s">
        <v>109</v>
      </c>
      <c r="AP1835" s="1"/>
      <c r="AQ1835" s="1">
        <v>2</v>
      </c>
      <c r="AR1835" s="1"/>
      <c r="AS1835" s="1" t="s">
        <v>13602</v>
      </c>
      <c r="AT1835" s="1">
        <v>0</v>
      </c>
      <c r="AU1835" s="1">
        <v>0</v>
      </c>
      <c r="AV1835" s="1">
        <v>0</v>
      </c>
      <c r="AW1835" s="1">
        <v>0</v>
      </c>
      <c r="AX1835" s="1">
        <v>0</v>
      </c>
      <c r="AY1835" s="1">
        <v>0</v>
      </c>
      <c r="AZ1835" s="1">
        <v>0</v>
      </c>
      <c r="BA1835" s="1">
        <v>0</v>
      </c>
      <c r="BB1835" s="1">
        <v>0</v>
      </c>
      <c r="BC1835" s="1">
        <v>0</v>
      </c>
      <c r="BD1835" s="1">
        <v>0</v>
      </c>
      <c r="BE1835" s="1">
        <v>0</v>
      </c>
      <c r="BF1835" s="1">
        <v>0</v>
      </c>
      <c r="BG1835" s="1">
        <v>0</v>
      </c>
      <c r="BH1835" s="1">
        <v>0</v>
      </c>
      <c r="BI1835" s="1">
        <v>0</v>
      </c>
      <c r="BJ1835" s="1">
        <v>0</v>
      </c>
      <c r="BK1835" s="1">
        <v>0</v>
      </c>
      <c r="BL1835" s="1">
        <v>0</v>
      </c>
      <c r="BM1835" s="1">
        <v>0</v>
      </c>
      <c r="BN1835" s="1">
        <v>0</v>
      </c>
      <c r="BO1835" s="1">
        <v>1</v>
      </c>
      <c r="BP1835" s="1">
        <v>0</v>
      </c>
      <c r="BQ1835" s="1">
        <v>0</v>
      </c>
      <c r="BR1835" s="1">
        <v>0</v>
      </c>
      <c r="BS1835" s="1" t="s">
        <v>109</v>
      </c>
      <c r="BT1835" s="1">
        <v>1909</v>
      </c>
      <c r="BU1835" s="1">
        <v>5</v>
      </c>
      <c r="BV1835" s="1"/>
      <c r="BW1835" s="1"/>
      <c r="BX1835" s="1"/>
      <c r="BY1835" s="1"/>
      <c r="BZ1835" s="1">
        <v>0</v>
      </c>
      <c r="CA1835" s="1" t="s">
        <v>109</v>
      </c>
      <c r="CB1835" s="1" t="s">
        <v>109</v>
      </c>
      <c r="CC1835" s="1">
        <v>2</v>
      </c>
      <c r="CD1835" s="1" t="s">
        <v>109</v>
      </c>
      <c r="CE1835" s="1">
        <v>2</v>
      </c>
      <c r="CF1835" s="1" t="s">
        <v>109</v>
      </c>
      <c r="CG1835" s="1" t="s">
        <v>109</v>
      </c>
      <c r="CH1835" s="1" t="s">
        <v>109</v>
      </c>
      <c r="CI1835" s="1" t="s">
        <v>109</v>
      </c>
      <c r="CJ1835" s="1">
        <v>2</v>
      </c>
      <c r="CK1835" s="1"/>
      <c r="CL1835" s="1">
        <v>0</v>
      </c>
      <c r="CM1835" s="1">
        <v>0</v>
      </c>
      <c r="CN1835" s="1">
        <v>0</v>
      </c>
    </row>
    <row r="1836" spans="1:92" ht="14.25" customHeight="1" x14ac:dyDescent="0.15">
      <c r="A1836" s="1" t="s">
        <v>13603</v>
      </c>
      <c r="B1836" s="1" t="s">
        <v>189</v>
      </c>
      <c r="C1836" s="1"/>
      <c r="D1836" s="1"/>
      <c r="E1836" s="1" t="s">
        <v>13604</v>
      </c>
      <c r="F1836" s="1" t="s">
        <v>98</v>
      </c>
      <c r="G1836" s="1" t="s">
        <v>141</v>
      </c>
      <c r="H1836" s="1">
        <v>0</v>
      </c>
      <c r="I1836" s="1" t="s">
        <v>235</v>
      </c>
      <c r="J1836" s="1"/>
      <c r="K1836" s="1"/>
      <c r="L1836" s="1" t="s">
        <v>236</v>
      </c>
      <c r="M1836" s="1" t="s">
        <v>3042</v>
      </c>
      <c r="N1836" s="1">
        <v>0</v>
      </c>
      <c r="O1836" s="1">
        <v>0</v>
      </c>
      <c r="P1836" s="1"/>
      <c r="Q1836" s="1"/>
      <c r="R1836" s="1" t="s">
        <v>13605</v>
      </c>
      <c r="S1836" s="1" t="s">
        <v>13606</v>
      </c>
      <c r="T1836" s="1" t="s">
        <v>13306</v>
      </c>
      <c r="U1836" s="1" t="s">
        <v>13607</v>
      </c>
      <c r="V1836" s="1">
        <v>1</v>
      </c>
      <c r="W1836" s="1">
        <v>1</v>
      </c>
      <c r="X1836" s="1">
        <v>0</v>
      </c>
      <c r="Y1836" s="1">
        <v>0</v>
      </c>
      <c r="Z1836" s="1">
        <v>0</v>
      </c>
      <c r="AA1836" s="1">
        <v>2</v>
      </c>
      <c r="AB1836" s="1">
        <v>2</v>
      </c>
      <c r="AC1836" s="1" t="s">
        <v>109</v>
      </c>
      <c r="AD1836" s="1" t="s">
        <v>109</v>
      </c>
      <c r="AE1836" s="1" t="s">
        <v>109</v>
      </c>
      <c r="AF1836" s="1" t="s">
        <v>109</v>
      </c>
      <c r="AG1836" s="1" t="s">
        <v>109</v>
      </c>
      <c r="AH1836" s="1">
        <v>2</v>
      </c>
      <c r="AI1836" s="1" t="s">
        <v>109</v>
      </c>
      <c r="AJ1836" s="1">
        <v>2</v>
      </c>
      <c r="AK1836" s="1" t="s">
        <v>109</v>
      </c>
      <c r="AL1836" s="1" t="s">
        <v>109</v>
      </c>
      <c r="AM1836" s="1" t="s">
        <v>109</v>
      </c>
      <c r="AN1836" s="1">
        <v>2</v>
      </c>
      <c r="AO1836" s="1" t="s">
        <v>109</v>
      </c>
      <c r="AP1836" s="1"/>
      <c r="AQ1836" s="1">
        <v>2</v>
      </c>
      <c r="AR1836" s="1"/>
      <c r="AS1836" s="1" t="s">
        <v>13608</v>
      </c>
      <c r="AT1836" s="1">
        <v>0</v>
      </c>
      <c r="AU1836" s="1">
        <v>0</v>
      </c>
      <c r="AV1836" s="1">
        <v>0</v>
      </c>
      <c r="AW1836" s="1">
        <v>0</v>
      </c>
      <c r="AX1836" s="1">
        <v>0</v>
      </c>
      <c r="AY1836" s="1">
        <v>0</v>
      </c>
      <c r="AZ1836" s="1">
        <v>0</v>
      </c>
      <c r="BA1836" s="1">
        <v>0</v>
      </c>
      <c r="BB1836" s="1">
        <v>0</v>
      </c>
      <c r="BC1836" s="1">
        <v>0</v>
      </c>
      <c r="BD1836" s="1">
        <v>0</v>
      </c>
      <c r="BE1836" s="1">
        <v>0</v>
      </c>
      <c r="BF1836" s="1">
        <v>0</v>
      </c>
      <c r="BG1836" s="1">
        <v>0</v>
      </c>
      <c r="BH1836" s="1">
        <v>0</v>
      </c>
      <c r="BI1836" s="1">
        <v>0</v>
      </c>
      <c r="BJ1836" s="1">
        <v>0</v>
      </c>
      <c r="BK1836" s="1">
        <v>0</v>
      </c>
      <c r="BL1836" s="1">
        <v>0</v>
      </c>
      <c r="BM1836" s="1">
        <v>0</v>
      </c>
      <c r="BN1836" s="1">
        <v>0</v>
      </c>
      <c r="BO1836" s="1">
        <v>0</v>
      </c>
      <c r="BP1836" s="1">
        <v>0</v>
      </c>
      <c r="BQ1836" s="1">
        <v>0</v>
      </c>
      <c r="BR1836" s="1">
        <v>0</v>
      </c>
      <c r="BS1836" s="1" t="s">
        <v>109</v>
      </c>
      <c r="BT1836" s="1">
        <v>1910</v>
      </c>
      <c r="BU1836" s="1" t="s">
        <v>109</v>
      </c>
      <c r="BV1836" s="1"/>
      <c r="BW1836" s="1"/>
      <c r="BX1836" s="1"/>
      <c r="BY1836" s="1"/>
      <c r="BZ1836" s="1">
        <v>0</v>
      </c>
      <c r="CA1836" s="1">
        <v>2</v>
      </c>
      <c r="CB1836" s="1" t="s">
        <v>109</v>
      </c>
      <c r="CC1836" s="1">
        <v>2</v>
      </c>
      <c r="CD1836" s="1" t="s">
        <v>109</v>
      </c>
      <c r="CE1836" s="1" t="s">
        <v>109</v>
      </c>
      <c r="CF1836" s="1" t="s">
        <v>109</v>
      </c>
      <c r="CG1836" s="1" t="s">
        <v>109</v>
      </c>
      <c r="CH1836" s="1" t="s">
        <v>109</v>
      </c>
      <c r="CI1836" s="1" t="s">
        <v>109</v>
      </c>
      <c r="CJ1836" s="1" t="s">
        <v>109</v>
      </c>
      <c r="CK1836" s="1"/>
      <c r="CL1836" s="1">
        <v>0</v>
      </c>
      <c r="CM1836" s="1">
        <v>0</v>
      </c>
      <c r="CN1836" s="1">
        <v>0</v>
      </c>
    </row>
    <row r="1837" spans="1:92" ht="14.25" customHeight="1" x14ac:dyDescent="0.15">
      <c r="A1837" s="1" t="s">
        <v>13609</v>
      </c>
      <c r="B1837" s="1" t="s">
        <v>189</v>
      </c>
      <c r="C1837" s="1"/>
      <c r="D1837" s="1"/>
      <c r="E1837" s="1" t="s">
        <v>13610</v>
      </c>
      <c r="F1837" s="1" t="s">
        <v>98</v>
      </c>
      <c r="G1837" s="1" t="s">
        <v>13611</v>
      </c>
      <c r="H1837" s="1">
        <v>0</v>
      </c>
      <c r="I1837" s="1" t="s">
        <v>235</v>
      </c>
      <c r="J1837" s="1"/>
      <c r="K1837" s="1"/>
      <c r="L1837" s="1" t="s">
        <v>236</v>
      </c>
      <c r="M1837" s="1" t="s">
        <v>5642</v>
      </c>
      <c r="N1837" s="1">
        <v>0</v>
      </c>
      <c r="O1837" s="1">
        <v>0</v>
      </c>
      <c r="P1837" s="1"/>
      <c r="Q1837" s="1"/>
      <c r="R1837" s="1" t="s">
        <v>13612</v>
      </c>
      <c r="S1837" s="1" t="s">
        <v>13613</v>
      </c>
      <c r="T1837" s="1" t="s">
        <v>13306</v>
      </c>
      <c r="U1837" s="1" t="s">
        <v>13614</v>
      </c>
      <c r="V1837" s="1">
        <v>1</v>
      </c>
      <c r="W1837" s="1">
        <v>1</v>
      </c>
      <c r="X1837" s="1">
        <v>1</v>
      </c>
      <c r="Y1837" s="1">
        <v>0</v>
      </c>
      <c r="Z1837" s="1">
        <v>0</v>
      </c>
      <c r="AA1837" s="1">
        <v>4</v>
      </c>
      <c r="AB1837" s="1">
        <v>4</v>
      </c>
      <c r="AC1837" s="1" t="s">
        <v>109</v>
      </c>
      <c r="AD1837" s="1" t="s">
        <v>109</v>
      </c>
      <c r="AE1837" s="1" t="s">
        <v>109</v>
      </c>
      <c r="AF1837" s="1" t="s">
        <v>109</v>
      </c>
      <c r="AG1837" s="1" t="s">
        <v>109</v>
      </c>
      <c r="AH1837" s="1">
        <v>4</v>
      </c>
      <c r="AI1837" s="1" t="s">
        <v>109</v>
      </c>
      <c r="AJ1837" s="1" t="s">
        <v>109</v>
      </c>
      <c r="AK1837" s="1" t="s">
        <v>109</v>
      </c>
      <c r="AL1837" s="1" t="s">
        <v>109</v>
      </c>
      <c r="AM1837" s="1">
        <v>4</v>
      </c>
      <c r="AN1837" s="1" t="s">
        <v>109</v>
      </c>
      <c r="AO1837" s="1" t="s">
        <v>109</v>
      </c>
      <c r="AP1837" s="1"/>
      <c r="AQ1837" s="1">
        <v>4</v>
      </c>
      <c r="AR1837" s="1"/>
      <c r="AS1837" s="1" t="s">
        <v>13615</v>
      </c>
      <c r="AT1837" s="1">
        <v>0</v>
      </c>
      <c r="AU1837" s="1">
        <v>0</v>
      </c>
      <c r="AV1837" s="1">
        <v>0</v>
      </c>
      <c r="AW1837" s="1">
        <v>0</v>
      </c>
      <c r="AX1837" s="1">
        <v>0</v>
      </c>
      <c r="AY1837" s="1">
        <v>0</v>
      </c>
      <c r="AZ1837" s="1">
        <v>0</v>
      </c>
      <c r="BA1837" s="1">
        <v>0</v>
      </c>
      <c r="BB1837" s="1">
        <v>0</v>
      </c>
      <c r="BC1837" s="1">
        <v>0</v>
      </c>
      <c r="BD1837" s="1">
        <v>0</v>
      </c>
      <c r="BE1837" s="1">
        <v>0</v>
      </c>
      <c r="BF1837" s="1">
        <v>0</v>
      </c>
      <c r="BG1837" s="1">
        <v>0</v>
      </c>
      <c r="BH1837" s="1">
        <v>0</v>
      </c>
      <c r="BI1837" s="1">
        <v>0</v>
      </c>
      <c r="BJ1837" s="1">
        <v>0</v>
      </c>
      <c r="BK1837" s="1">
        <v>0</v>
      </c>
      <c r="BL1837" s="1">
        <v>0</v>
      </c>
      <c r="BM1837" s="1">
        <v>0</v>
      </c>
      <c r="BN1837" s="1">
        <v>0</v>
      </c>
      <c r="BO1837" s="1">
        <v>0</v>
      </c>
      <c r="BP1837" s="1">
        <v>0</v>
      </c>
      <c r="BQ1837" s="1">
        <v>0</v>
      </c>
      <c r="BR1837" s="1">
        <v>0</v>
      </c>
      <c r="BS1837" s="1" t="s">
        <v>109</v>
      </c>
      <c r="BT1837" s="1">
        <v>1911</v>
      </c>
      <c r="BU1837" s="1" t="s">
        <v>109</v>
      </c>
      <c r="BV1837" s="1"/>
      <c r="BW1837" s="1"/>
      <c r="BX1837" s="1"/>
      <c r="BY1837" s="1"/>
      <c r="BZ1837" s="1">
        <v>0</v>
      </c>
      <c r="CA1837" s="1" t="s">
        <v>109</v>
      </c>
      <c r="CB1837" s="1" t="s">
        <v>109</v>
      </c>
      <c r="CC1837" s="1">
        <v>4</v>
      </c>
      <c r="CD1837" s="1" t="s">
        <v>109</v>
      </c>
      <c r="CE1837" s="1" t="s">
        <v>109</v>
      </c>
      <c r="CF1837" s="1" t="s">
        <v>109</v>
      </c>
      <c r="CG1837" s="1" t="s">
        <v>109</v>
      </c>
      <c r="CH1837" s="1" t="s">
        <v>109</v>
      </c>
      <c r="CI1837" s="1" t="s">
        <v>109</v>
      </c>
      <c r="CJ1837" s="1" t="s">
        <v>109</v>
      </c>
      <c r="CK1837" s="1"/>
      <c r="CL1837" s="1">
        <v>0</v>
      </c>
      <c r="CM1837" s="1">
        <v>0</v>
      </c>
      <c r="CN1837" s="1">
        <v>0</v>
      </c>
    </row>
    <row r="1838" spans="1:92" ht="14.25" customHeight="1" x14ac:dyDescent="0.15">
      <c r="A1838" s="1" t="s">
        <v>13616</v>
      </c>
      <c r="B1838" s="1" t="s">
        <v>95</v>
      </c>
      <c r="C1838" s="1" t="s">
        <v>96</v>
      </c>
      <c r="D1838" s="1"/>
      <c r="E1838" s="1" t="s">
        <v>13617</v>
      </c>
      <c r="F1838" s="1" t="s">
        <v>98</v>
      </c>
      <c r="G1838" s="1" t="s">
        <v>160</v>
      </c>
      <c r="H1838" s="1">
        <v>0</v>
      </c>
      <c r="I1838" s="1" t="s">
        <v>142</v>
      </c>
      <c r="J1838" s="1"/>
      <c r="K1838" s="1" t="s">
        <v>13618</v>
      </c>
      <c r="L1838" s="1"/>
      <c r="M1838" s="1" t="s">
        <v>6719</v>
      </c>
      <c r="N1838" s="1">
        <v>1</v>
      </c>
      <c r="O1838" s="1">
        <v>0</v>
      </c>
      <c r="P1838" s="1" t="s">
        <v>103</v>
      </c>
      <c r="Q1838" s="1" t="s">
        <v>104</v>
      </c>
      <c r="R1838" s="1" t="s">
        <v>13619</v>
      </c>
      <c r="S1838" s="1" t="s">
        <v>13620</v>
      </c>
      <c r="T1838" s="1" t="s">
        <v>13306</v>
      </c>
      <c r="U1838" s="1" t="s">
        <v>13621</v>
      </c>
      <c r="V1838" s="1">
        <v>1</v>
      </c>
      <c r="W1838" s="1">
        <v>1</v>
      </c>
      <c r="X1838" s="1">
        <v>0</v>
      </c>
      <c r="Y1838" s="1">
        <v>0</v>
      </c>
      <c r="Z1838" s="1">
        <v>1</v>
      </c>
      <c r="AA1838" s="1" t="s">
        <v>109</v>
      </c>
      <c r="AB1838" s="1" t="s">
        <v>109</v>
      </c>
      <c r="AC1838" s="1" t="s">
        <v>109</v>
      </c>
      <c r="AD1838" s="1">
        <v>7</v>
      </c>
      <c r="AE1838" s="1" t="s">
        <v>109</v>
      </c>
      <c r="AF1838" s="1" t="s">
        <v>109</v>
      </c>
      <c r="AG1838" s="1" t="s">
        <v>109</v>
      </c>
      <c r="AH1838" s="1" t="s">
        <v>109</v>
      </c>
      <c r="AI1838" s="1" t="s">
        <v>109</v>
      </c>
      <c r="AJ1838" s="1">
        <v>7</v>
      </c>
      <c r="AK1838" s="1" t="s">
        <v>109</v>
      </c>
      <c r="AL1838" s="1" t="s">
        <v>109</v>
      </c>
      <c r="AM1838" s="1" t="s">
        <v>109</v>
      </c>
      <c r="AN1838" s="1" t="s">
        <v>109</v>
      </c>
      <c r="AO1838" s="1" t="s">
        <v>109</v>
      </c>
      <c r="AP1838" s="1"/>
      <c r="AQ1838" s="1">
        <v>7</v>
      </c>
      <c r="AR1838" s="1"/>
      <c r="AS1838" s="1" t="s">
        <v>13622</v>
      </c>
      <c r="AT1838" s="1">
        <v>0</v>
      </c>
      <c r="AU1838" s="1">
        <v>0</v>
      </c>
      <c r="AV1838" s="1">
        <v>0</v>
      </c>
      <c r="AW1838" s="1">
        <v>0</v>
      </c>
      <c r="AX1838" s="1">
        <v>0</v>
      </c>
      <c r="AY1838" s="1">
        <v>0</v>
      </c>
      <c r="AZ1838" s="1">
        <v>0</v>
      </c>
      <c r="BA1838" s="1">
        <v>0</v>
      </c>
      <c r="BB1838" s="1">
        <v>0</v>
      </c>
      <c r="BC1838" s="1">
        <v>0</v>
      </c>
      <c r="BD1838" s="1">
        <v>0</v>
      </c>
      <c r="BE1838" s="1">
        <v>0</v>
      </c>
      <c r="BF1838" s="1">
        <v>0</v>
      </c>
      <c r="BG1838" s="1">
        <v>0</v>
      </c>
      <c r="BH1838" s="1">
        <v>0</v>
      </c>
      <c r="BI1838" s="1">
        <v>0</v>
      </c>
      <c r="BJ1838" s="1">
        <v>0</v>
      </c>
      <c r="BK1838" s="1">
        <v>0</v>
      </c>
      <c r="BL1838" s="1">
        <v>0</v>
      </c>
      <c r="BM1838" s="1">
        <v>0</v>
      </c>
      <c r="BN1838" s="1">
        <v>0</v>
      </c>
      <c r="BO1838" s="1">
        <v>0</v>
      </c>
      <c r="BP1838" s="1">
        <v>0</v>
      </c>
      <c r="BQ1838" s="1">
        <v>0</v>
      </c>
      <c r="BR1838" s="1">
        <v>0</v>
      </c>
      <c r="BS1838" s="1" t="s">
        <v>109</v>
      </c>
      <c r="BT1838" s="1">
        <v>1912</v>
      </c>
      <c r="BU1838" s="1" t="s">
        <v>109</v>
      </c>
      <c r="BV1838" s="1"/>
      <c r="BW1838" s="1"/>
      <c r="BX1838" s="1"/>
      <c r="BY1838" s="1"/>
      <c r="BZ1838" s="1">
        <v>0</v>
      </c>
      <c r="CA1838" s="1" t="s">
        <v>109</v>
      </c>
      <c r="CB1838" s="1">
        <v>7</v>
      </c>
      <c r="CC1838" s="1" t="s">
        <v>109</v>
      </c>
      <c r="CD1838" s="1" t="s">
        <v>109</v>
      </c>
      <c r="CE1838" s="1" t="s">
        <v>109</v>
      </c>
      <c r="CF1838" s="1" t="s">
        <v>109</v>
      </c>
      <c r="CG1838" s="1" t="s">
        <v>109</v>
      </c>
      <c r="CH1838" s="1" t="s">
        <v>109</v>
      </c>
      <c r="CI1838" s="1" t="s">
        <v>109</v>
      </c>
      <c r="CJ1838" s="1" t="s">
        <v>109</v>
      </c>
      <c r="CK1838" s="1"/>
      <c r="CL1838" s="1">
        <v>0</v>
      </c>
      <c r="CM1838" s="1">
        <v>0</v>
      </c>
      <c r="CN1838" s="1">
        <v>0</v>
      </c>
    </row>
    <row r="1839" spans="1:92" ht="14.25" customHeight="1" x14ac:dyDescent="0.15">
      <c r="A1839" s="1" t="s">
        <v>13623</v>
      </c>
      <c r="B1839" s="1" t="s">
        <v>674</v>
      </c>
      <c r="C1839" s="1" t="s">
        <v>68</v>
      </c>
      <c r="D1839" s="1"/>
      <c r="E1839" s="1" t="s">
        <v>13624</v>
      </c>
      <c r="F1839" s="1" t="s">
        <v>98</v>
      </c>
      <c r="G1839" s="1" t="s">
        <v>3803</v>
      </c>
      <c r="H1839" s="1">
        <v>1</v>
      </c>
      <c r="I1839" s="1" t="s">
        <v>122</v>
      </c>
      <c r="J1839" s="1"/>
      <c r="K1839" s="1" t="s">
        <v>3804</v>
      </c>
      <c r="L1839" s="1"/>
      <c r="M1839" s="1" t="s">
        <v>574</v>
      </c>
      <c r="N1839" s="1">
        <v>1</v>
      </c>
      <c r="O1839" s="1">
        <v>0</v>
      </c>
      <c r="P1839" s="1" t="s">
        <v>2465</v>
      </c>
      <c r="Q1839" s="1" t="s">
        <v>104</v>
      </c>
      <c r="R1839" s="1" t="s">
        <v>13625</v>
      </c>
      <c r="S1839" s="1" t="s">
        <v>13626</v>
      </c>
      <c r="T1839" s="1" t="s">
        <v>13306</v>
      </c>
      <c r="U1839" s="1" t="s">
        <v>13627</v>
      </c>
      <c r="V1839" s="1">
        <v>1</v>
      </c>
      <c r="W1839" s="1">
        <v>1</v>
      </c>
      <c r="X1839" s="1">
        <v>1</v>
      </c>
      <c r="Y1839" s="1">
        <v>0</v>
      </c>
      <c r="Z1839" s="1">
        <v>0</v>
      </c>
      <c r="AA1839" s="1" t="s">
        <v>109</v>
      </c>
      <c r="AB1839" s="1" t="s">
        <v>109</v>
      </c>
      <c r="AC1839" s="1" t="s">
        <v>109</v>
      </c>
      <c r="AD1839" s="1" t="s">
        <v>109</v>
      </c>
      <c r="AE1839" s="1" t="s">
        <v>109</v>
      </c>
      <c r="AF1839" s="1" t="s">
        <v>109</v>
      </c>
      <c r="AG1839" s="1" t="s">
        <v>109</v>
      </c>
      <c r="AH1839" s="1" t="s">
        <v>109</v>
      </c>
      <c r="AI1839" s="1" t="s">
        <v>109</v>
      </c>
      <c r="AJ1839" s="1">
        <v>7</v>
      </c>
      <c r="AK1839" s="1" t="s">
        <v>109</v>
      </c>
      <c r="AL1839" s="1" t="s">
        <v>109</v>
      </c>
      <c r="AM1839" s="1" t="s">
        <v>109</v>
      </c>
      <c r="AN1839" s="1" t="s">
        <v>109</v>
      </c>
      <c r="AO1839" s="1" t="s">
        <v>109</v>
      </c>
      <c r="AP1839" s="1"/>
      <c r="AQ1839" s="1">
        <v>7</v>
      </c>
      <c r="AR1839" s="1"/>
      <c r="AS1839" s="1" t="s">
        <v>13628</v>
      </c>
      <c r="AT1839" s="1">
        <v>0</v>
      </c>
      <c r="AU1839" s="1">
        <v>0</v>
      </c>
      <c r="AV1839" s="1">
        <v>0</v>
      </c>
      <c r="AW1839" s="1">
        <v>0</v>
      </c>
      <c r="AX1839" s="1">
        <v>0</v>
      </c>
      <c r="AY1839" s="1">
        <v>0</v>
      </c>
      <c r="AZ1839" s="1">
        <v>0</v>
      </c>
      <c r="BA1839" s="1">
        <v>0</v>
      </c>
      <c r="BB1839" s="1">
        <v>0</v>
      </c>
      <c r="BC1839" s="1">
        <v>0</v>
      </c>
      <c r="BD1839" s="1">
        <v>0</v>
      </c>
      <c r="BE1839" s="1">
        <v>0</v>
      </c>
      <c r="BF1839" s="1">
        <v>0</v>
      </c>
      <c r="BG1839" s="1">
        <v>0</v>
      </c>
      <c r="BH1839" s="1">
        <v>0</v>
      </c>
      <c r="BI1839" s="1">
        <v>0</v>
      </c>
      <c r="BJ1839" s="1">
        <v>0</v>
      </c>
      <c r="BK1839" s="1">
        <v>0</v>
      </c>
      <c r="BL1839" s="1">
        <v>0</v>
      </c>
      <c r="BM1839" s="1">
        <v>0</v>
      </c>
      <c r="BN1839" s="1">
        <v>0</v>
      </c>
      <c r="BO1839" s="1">
        <v>0</v>
      </c>
      <c r="BP1839" s="1">
        <v>0</v>
      </c>
      <c r="BQ1839" s="1">
        <v>0</v>
      </c>
      <c r="BR1839" s="1">
        <v>0</v>
      </c>
      <c r="BS1839" s="1" t="s">
        <v>109</v>
      </c>
      <c r="BT1839" s="1">
        <v>1913</v>
      </c>
      <c r="BU1839" s="1">
        <v>5</v>
      </c>
      <c r="BV1839" s="1"/>
      <c r="BW1839" s="1"/>
      <c r="BX1839" s="1"/>
      <c r="BY1839" s="1"/>
      <c r="BZ1839" s="1">
        <v>0</v>
      </c>
      <c r="CA1839" s="1" t="s">
        <v>109</v>
      </c>
      <c r="CB1839" s="1" t="s">
        <v>109</v>
      </c>
      <c r="CC1839" s="1" t="s">
        <v>109</v>
      </c>
      <c r="CD1839" s="1" t="s">
        <v>109</v>
      </c>
      <c r="CE1839" s="1" t="s">
        <v>109</v>
      </c>
      <c r="CF1839" s="1" t="s">
        <v>109</v>
      </c>
      <c r="CG1839" s="1" t="s">
        <v>109</v>
      </c>
      <c r="CH1839" s="1" t="s">
        <v>109</v>
      </c>
      <c r="CI1839" s="1" t="s">
        <v>109</v>
      </c>
      <c r="CJ1839" s="1" t="s">
        <v>109</v>
      </c>
      <c r="CK1839" s="1"/>
      <c r="CL1839" s="1">
        <v>0</v>
      </c>
      <c r="CM1839" s="1">
        <v>0</v>
      </c>
      <c r="CN1839" s="1">
        <v>0</v>
      </c>
    </row>
    <row r="1840" spans="1:92" ht="14.25" customHeight="1" x14ac:dyDescent="0.15">
      <c r="A1840" s="1" t="s">
        <v>13629</v>
      </c>
      <c r="B1840" s="1" t="s">
        <v>308</v>
      </c>
      <c r="C1840" s="1"/>
      <c r="D1840" s="1" t="s">
        <v>790</v>
      </c>
      <c r="E1840" s="1" t="s">
        <v>13630</v>
      </c>
      <c r="F1840" s="1" t="s">
        <v>98</v>
      </c>
      <c r="G1840" s="1" t="s">
        <v>141</v>
      </c>
      <c r="H1840" s="1">
        <v>0</v>
      </c>
      <c r="I1840" s="1" t="s">
        <v>142</v>
      </c>
      <c r="J1840" s="1"/>
      <c r="K1840" s="1"/>
      <c r="L1840" s="1" t="s">
        <v>13631</v>
      </c>
      <c r="M1840" s="1" t="s">
        <v>125</v>
      </c>
      <c r="N1840" s="1">
        <v>0</v>
      </c>
      <c r="O1840" s="1">
        <v>0</v>
      </c>
      <c r="P1840" s="1" t="s">
        <v>267</v>
      </c>
      <c r="Q1840" s="1" t="s">
        <v>268</v>
      </c>
      <c r="R1840" s="1" t="s">
        <v>13632</v>
      </c>
      <c r="S1840" s="1" t="s">
        <v>13633</v>
      </c>
      <c r="T1840" s="1" t="s">
        <v>13306</v>
      </c>
      <c r="U1840" s="1" t="s">
        <v>13634</v>
      </c>
      <c r="V1840" s="1">
        <v>1</v>
      </c>
      <c r="W1840" s="1">
        <v>1</v>
      </c>
      <c r="X1840" s="1">
        <v>0</v>
      </c>
      <c r="Y1840" s="1">
        <v>0</v>
      </c>
      <c r="Z1840" s="1">
        <v>0</v>
      </c>
      <c r="AA1840" s="1">
        <v>5</v>
      </c>
      <c r="AB1840" s="1">
        <v>5</v>
      </c>
      <c r="AC1840" s="1" t="s">
        <v>109</v>
      </c>
      <c r="AD1840" s="1" t="s">
        <v>109</v>
      </c>
      <c r="AE1840" s="1" t="s">
        <v>109</v>
      </c>
      <c r="AF1840" s="1">
        <v>4</v>
      </c>
      <c r="AG1840" s="1" t="s">
        <v>109</v>
      </c>
      <c r="AH1840" s="1" t="s">
        <v>109</v>
      </c>
      <c r="AI1840" s="1" t="s">
        <v>109</v>
      </c>
      <c r="AJ1840" s="1">
        <v>5</v>
      </c>
      <c r="AK1840" s="1" t="s">
        <v>109</v>
      </c>
      <c r="AL1840" s="1" t="s">
        <v>109</v>
      </c>
      <c r="AM1840" s="1" t="s">
        <v>109</v>
      </c>
      <c r="AN1840" s="1" t="s">
        <v>109</v>
      </c>
      <c r="AO1840" s="1" t="s">
        <v>109</v>
      </c>
      <c r="AP1840" s="1"/>
      <c r="AQ1840" s="1">
        <v>5</v>
      </c>
      <c r="AR1840" s="1"/>
      <c r="AS1840" s="1" t="s">
        <v>13635</v>
      </c>
      <c r="AT1840" s="1">
        <v>0</v>
      </c>
      <c r="AU1840" s="1">
        <v>0</v>
      </c>
      <c r="AV1840" s="1">
        <v>0</v>
      </c>
      <c r="AW1840" s="1">
        <v>0</v>
      </c>
      <c r="AX1840" s="1">
        <v>0</v>
      </c>
      <c r="AY1840" s="1">
        <v>0</v>
      </c>
      <c r="AZ1840" s="1">
        <v>0</v>
      </c>
      <c r="BA1840" s="1">
        <v>0</v>
      </c>
      <c r="BB1840" s="1">
        <v>0</v>
      </c>
      <c r="BC1840" s="1">
        <v>0</v>
      </c>
      <c r="BD1840" s="1">
        <v>1</v>
      </c>
      <c r="BE1840" s="1">
        <v>0</v>
      </c>
      <c r="BF1840" s="1">
        <v>1</v>
      </c>
      <c r="BG1840" s="1">
        <v>0</v>
      </c>
      <c r="BH1840" s="1">
        <v>0</v>
      </c>
      <c r="BI1840" s="1">
        <v>0</v>
      </c>
      <c r="BJ1840" s="1">
        <v>0</v>
      </c>
      <c r="BK1840" s="1">
        <v>0</v>
      </c>
      <c r="BL1840" s="1">
        <v>0</v>
      </c>
      <c r="BM1840" s="1">
        <v>1</v>
      </c>
      <c r="BN1840" s="1">
        <v>0</v>
      </c>
      <c r="BO1840" s="1">
        <v>0</v>
      </c>
      <c r="BP1840" s="1">
        <v>0</v>
      </c>
      <c r="BQ1840" s="1">
        <v>0</v>
      </c>
      <c r="BR1840" s="1">
        <v>0</v>
      </c>
      <c r="BS1840" s="1" t="s">
        <v>109</v>
      </c>
      <c r="BT1840" s="1">
        <v>1914</v>
      </c>
      <c r="BU1840" s="1" t="s">
        <v>109</v>
      </c>
      <c r="BV1840" s="1"/>
      <c r="BW1840" s="1"/>
      <c r="BX1840" s="1"/>
      <c r="BY1840" s="1"/>
      <c r="BZ1840" s="1">
        <v>0</v>
      </c>
      <c r="CA1840" s="1" t="s">
        <v>109</v>
      </c>
      <c r="CB1840" s="1">
        <v>5</v>
      </c>
      <c r="CC1840" s="1">
        <v>5</v>
      </c>
      <c r="CD1840" s="1" t="s">
        <v>109</v>
      </c>
      <c r="CE1840" s="1">
        <v>4</v>
      </c>
      <c r="CF1840" s="1" t="s">
        <v>109</v>
      </c>
      <c r="CG1840" s="1">
        <v>5</v>
      </c>
      <c r="CH1840" s="1" t="s">
        <v>109</v>
      </c>
      <c r="CI1840" s="1" t="s">
        <v>109</v>
      </c>
      <c r="CJ1840" s="1" t="s">
        <v>109</v>
      </c>
      <c r="CK1840" s="1"/>
      <c r="CL1840" s="1">
        <v>0</v>
      </c>
      <c r="CM1840" s="1">
        <v>0</v>
      </c>
      <c r="CN1840" s="1">
        <v>0</v>
      </c>
    </row>
    <row r="1841" spans="1:92" ht="14.25" customHeight="1" x14ac:dyDescent="0.15">
      <c r="A1841" s="1" t="s">
        <v>13636</v>
      </c>
      <c r="B1841" s="1" t="s">
        <v>584</v>
      </c>
      <c r="C1841" s="1"/>
      <c r="D1841" s="1" t="s">
        <v>59</v>
      </c>
      <c r="E1841" s="1" t="s">
        <v>13637</v>
      </c>
      <c r="F1841" s="1" t="s">
        <v>98</v>
      </c>
      <c r="G1841" s="1" t="s">
        <v>2090</v>
      </c>
      <c r="H1841" s="1">
        <v>0</v>
      </c>
      <c r="I1841" s="1" t="s">
        <v>122</v>
      </c>
      <c r="J1841" s="1"/>
      <c r="K1841" s="1" t="s">
        <v>2091</v>
      </c>
      <c r="L1841" s="1"/>
      <c r="M1841" s="1" t="s">
        <v>125</v>
      </c>
      <c r="N1841" s="1">
        <v>0</v>
      </c>
      <c r="O1841" s="1">
        <v>0</v>
      </c>
      <c r="P1841" s="1" t="s">
        <v>11863</v>
      </c>
      <c r="Q1841" s="1" t="s">
        <v>268</v>
      </c>
      <c r="R1841" s="1" t="s">
        <v>13638</v>
      </c>
      <c r="S1841" s="1" t="s">
        <v>13639</v>
      </c>
      <c r="T1841" s="1" t="s">
        <v>13306</v>
      </c>
      <c r="U1841" s="1" t="s">
        <v>13640</v>
      </c>
      <c r="V1841" s="1">
        <v>1</v>
      </c>
      <c r="W1841" s="1">
        <v>1</v>
      </c>
      <c r="X1841" s="1">
        <v>1</v>
      </c>
      <c r="Y1841" s="1">
        <v>0</v>
      </c>
      <c r="Z1841" s="1">
        <v>1</v>
      </c>
      <c r="AA1841" s="1">
        <v>4</v>
      </c>
      <c r="AB1841" s="1">
        <v>4</v>
      </c>
      <c r="AC1841" s="1" t="s">
        <v>109</v>
      </c>
      <c r="AD1841" s="1">
        <v>4</v>
      </c>
      <c r="AE1841" s="1" t="s">
        <v>109</v>
      </c>
      <c r="AF1841" s="1" t="s">
        <v>109</v>
      </c>
      <c r="AG1841" s="1" t="s">
        <v>109</v>
      </c>
      <c r="AH1841" s="1" t="s">
        <v>109</v>
      </c>
      <c r="AI1841" s="1" t="s">
        <v>109</v>
      </c>
      <c r="AJ1841" s="1" t="s">
        <v>109</v>
      </c>
      <c r="AK1841" s="1" t="s">
        <v>109</v>
      </c>
      <c r="AL1841" s="1" t="s">
        <v>109</v>
      </c>
      <c r="AM1841" s="1" t="s">
        <v>109</v>
      </c>
      <c r="AN1841" s="1">
        <v>4</v>
      </c>
      <c r="AO1841" s="1" t="s">
        <v>109</v>
      </c>
      <c r="AP1841" s="1"/>
      <c r="AQ1841" s="1">
        <v>4</v>
      </c>
      <c r="AR1841" s="1"/>
      <c r="AS1841" s="1" t="s">
        <v>13641</v>
      </c>
      <c r="AT1841" s="1">
        <v>0</v>
      </c>
      <c r="AU1841" s="1">
        <v>0</v>
      </c>
      <c r="AV1841" s="1">
        <v>0</v>
      </c>
      <c r="AW1841" s="1">
        <v>0</v>
      </c>
      <c r="AX1841" s="1">
        <v>0</v>
      </c>
      <c r="AY1841" s="1">
        <v>0</v>
      </c>
      <c r="AZ1841" s="1">
        <v>0</v>
      </c>
      <c r="BA1841" s="1">
        <v>0</v>
      </c>
      <c r="BB1841" s="1">
        <v>0</v>
      </c>
      <c r="BC1841" s="1">
        <v>0</v>
      </c>
      <c r="BD1841" s="1">
        <v>0</v>
      </c>
      <c r="BE1841" s="1">
        <v>0</v>
      </c>
      <c r="BF1841" s="1">
        <v>0</v>
      </c>
      <c r="BG1841" s="1">
        <v>1</v>
      </c>
      <c r="BH1841" s="1">
        <v>0</v>
      </c>
      <c r="BI1841" s="1">
        <v>0</v>
      </c>
      <c r="BJ1841" s="1">
        <v>0</v>
      </c>
      <c r="BK1841" s="1">
        <v>0</v>
      </c>
      <c r="BL1841" s="1">
        <v>0</v>
      </c>
      <c r="BM1841" s="1">
        <v>0</v>
      </c>
      <c r="BN1841" s="1">
        <v>0</v>
      </c>
      <c r="BO1841" s="1">
        <v>0</v>
      </c>
      <c r="BP1841" s="1">
        <v>0</v>
      </c>
      <c r="BQ1841" s="1">
        <v>0</v>
      </c>
      <c r="BR1841" s="1">
        <v>0</v>
      </c>
      <c r="BS1841" s="1" t="s">
        <v>109</v>
      </c>
      <c r="BT1841" s="1">
        <v>1915</v>
      </c>
      <c r="BU1841" s="1" t="s">
        <v>109</v>
      </c>
      <c r="BV1841" s="1"/>
      <c r="BW1841" s="1" t="s">
        <v>13642</v>
      </c>
      <c r="BX1841" s="1"/>
      <c r="BY1841" s="1"/>
      <c r="BZ1841" s="1">
        <v>0</v>
      </c>
      <c r="CA1841" s="1">
        <v>4</v>
      </c>
      <c r="CB1841" s="1" t="s">
        <v>109</v>
      </c>
      <c r="CC1841" s="1" t="s">
        <v>109</v>
      </c>
      <c r="CD1841" s="1" t="s">
        <v>109</v>
      </c>
      <c r="CE1841" s="1" t="s">
        <v>109</v>
      </c>
      <c r="CF1841" s="1">
        <v>4</v>
      </c>
      <c r="CG1841" s="1" t="s">
        <v>109</v>
      </c>
      <c r="CH1841" s="1" t="s">
        <v>109</v>
      </c>
      <c r="CI1841" s="1" t="s">
        <v>109</v>
      </c>
      <c r="CJ1841" s="1">
        <v>4</v>
      </c>
      <c r="CK1841" s="1"/>
      <c r="CL1841" s="1">
        <v>0</v>
      </c>
      <c r="CM1841" s="1">
        <v>0</v>
      </c>
      <c r="CN1841" s="1">
        <v>0</v>
      </c>
    </row>
    <row r="1842" spans="1:92" ht="14.25" customHeight="1" x14ac:dyDescent="0.15">
      <c r="A1842" s="1" t="s">
        <v>13643</v>
      </c>
      <c r="B1842" s="1" t="s">
        <v>189</v>
      </c>
      <c r="C1842" s="1"/>
      <c r="D1842" s="1"/>
      <c r="E1842" s="1" t="s">
        <v>2403</v>
      </c>
      <c r="F1842" s="1" t="s">
        <v>98</v>
      </c>
      <c r="G1842" s="1" t="s">
        <v>141</v>
      </c>
      <c r="H1842" s="1">
        <v>0</v>
      </c>
      <c r="I1842" s="1" t="s">
        <v>235</v>
      </c>
      <c r="J1842" s="1"/>
      <c r="K1842" s="1"/>
      <c r="L1842" s="1" t="s">
        <v>236</v>
      </c>
      <c r="M1842" s="1" t="s">
        <v>125</v>
      </c>
      <c r="N1842" s="1">
        <v>0</v>
      </c>
      <c r="O1842" s="1">
        <v>0</v>
      </c>
      <c r="P1842" s="1"/>
      <c r="Q1842" s="1"/>
      <c r="R1842" s="1" t="s">
        <v>13644</v>
      </c>
      <c r="S1842" s="1" t="s">
        <v>13645</v>
      </c>
      <c r="T1842" s="1" t="s">
        <v>13306</v>
      </c>
      <c r="U1842" s="1" t="s">
        <v>13646</v>
      </c>
      <c r="V1842" s="1">
        <v>1</v>
      </c>
      <c r="W1842" s="1">
        <v>1</v>
      </c>
      <c r="X1842" s="1">
        <v>0</v>
      </c>
      <c r="Y1842" s="1">
        <v>0</v>
      </c>
      <c r="Z1842" s="1">
        <v>0</v>
      </c>
      <c r="AA1842" s="1" t="s">
        <v>109</v>
      </c>
      <c r="AB1842" s="1" t="s">
        <v>109</v>
      </c>
      <c r="AC1842" s="1" t="s">
        <v>109</v>
      </c>
      <c r="AD1842" s="1" t="s">
        <v>109</v>
      </c>
      <c r="AE1842" s="1" t="s">
        <v>109</v>
      </c>
      <c r="AF1842" s="1">
        <v>3</v>
      </c>
      <c r="AG1842" s="1" t="s">
        <v>109</v>
      </c>
      <c r="AH1842" s="1" t="s">
        <v>109</v>
      </c>
      <c r="AI1842" s="1" t="s">
        <v>109</v>
      </c>
      <c r="AJ1842" s="1" t="s">
        <v>109</v>
      </c>
      <c r="AK1842" s="1" t="s">
        <v>109</v>
      </c>
      <c r="AL1842" s="1" t="s">
        <v>109</v>
      </c>
      <c r="AM1842" s="1" t="s">
        <v>109</v>
      </c>
      <c r="AN1842" s="1" t="s">
        <v>109</v>
      </c>
      <c r="AO1842" s="1" t="s">
        <v>109</v>
      </c>
      <c r="AP1842" s="1"/>
      <c r="AQ1842" s="1">
        <v>3</v>
      </c>
      <c r="AR1842" s="1"/>
      <c r="AS1842" s="1" t="s">
        <v>13647</v>
      </c>
      <c r="AT1842" s="1">
        <v>0</v>
      </c>
      <c r="AU1842" s="1">
        <v>0</v>
      </c>
      <c r="AV1842" s="1">
        <v>0</v>
      </c>
      <c r="AW1842" s="1">
        <v>0</v>
      </c>
      <c r="AX1842" s="1">
        <v>0</v>
      </c>
      <c r="AY1842" s="1">
        <v>0</v>
      </c>
      <c r="AZ1842" s="1">
        <v>0</v>
      </c>
      <c r="BA1842" s="1">
        <v>0</v>
      </c>
      <c r="BB1842" s="1">
        <v>0</v>
      </c>
      <c r="BC1842" s="1">
        <v>0</v>
      </c>
      <c r="BD1842" s="1">
        <v>0</v>
      </c>
      <c r="BE1842" s="1">
        <v>0</v>
      </c>
      <c r="BF1842" s="1">
        <v>0</v>
      </c>
      <c r="BG1842" s="1">
        <v>0</v>
      </c>
      <c r="BH1842" s="1">
        <v>0</v>
      </c>
      <c r="BI1842" s="1">
        <v>0</v>
      </c>
      <c r="BJ1842" s="1">
        <v>0</v>
      </c>
      <c r="BK1842" s="1">
        <v>0</v>
      </c>
      <c r="BL1842" s="1">
        <v>0</v>
      </c>
      <c r="BM1842" s="1">
        <v>0</v>
      </c>
      <c r="BN1842" s="1">
        <v>0</v>
      </c>
      <c r="BO1842" s="1">
        <v>0</v>
      </c>
      <c r="BP1842" s="1">
        <v>0</v>
      </c>
      <c r="BQ1842" s="1">
        <v>0</v>
      </c>
      <c r="BR1842" s="1">
        <v>0</v>
      </c>
      <c r="BS1842" s="1" t="s">
        <v>109</v>
      </c>
      <c r="BT1842" s="1">
        <v>1916</v>
      </c>
      <c r="BU1842" s="1" t="s">
        <v>109</v>
      </c>
      <c r="BV1842" s="1"/>
      <c r="BW1842" s="1"/>
      <c r="BX1842" s="1"/>
      <c r="BY1842" s="1"/>
      <c r="BZ1842" s="1">
        <v>0</v>
      </c>
      <c r="CA1842" s="1" t="s">
        <v>109</v>
      </c>
      <c r="CB1842" s="1" t="s">
        <v>109</v>
      </c>
      <c r="CC1842" s="1" t="s">
        <v>109</v>
      </c>
      <c r="CD1842" s="1" t="s">
        <v>109</v>
      </c>
      <c r="CE1842" s="1" t="s">
        <v>109</v>
      </c>
      <c r="CF1842" s="1" t="s">
        <v>109</v>
      </c>
      <c r="CG1842" s="1" t="s">
        <v>109</v>
      </c>
      <c r="CH1842" s="1" t="s">
        <v>109</v>
      </c>
      <c r="CI1842" s="1" t="s">
        <v>109</v>
      </c>
      <c r="CJ1842" s="1" t="s">
        <v>109</v>
      </c>
      <c r="CK1842" s="1"/>
      <c r="CL1842" s="1">
        <v>0</v>
      </c>
      <c r="CM1842" s="1">
        <v>0</v>
      </c>
      <c r="CN1842" s="1">
        <v>0</v>
      </c>
    </row>
    <row r="1843" spans="1:92" ht="14.25" customHeight="1" x14ac:dyDescent="0.15">
      <c r="A1843" s="1" t="s">
        <v>13648</v>
      </c>
      <c r="B1843" s="1" t="s">
        <v>254</v>
      </c>
      <c r="C1843" s="1"/>
      <c r="D1843" s="1"/>
      <c r="E1843" s="1" t="s">
        <v>13649</v>
      </c>
      <c r="F1843" s="1" t="s">
        <v>98</v>
      </c>
      <c r="G1843" s="1" t="s">
        <v>141</v>
      </c>
      <c r="H1843" s="1">
        <v>0</v>
      </c>
      <c r="I1843" s="1" t="s">
        <v>235</v>
      </c>
      <c r="J1843" s="1"/>
      <c r="K1843" s="1"/>
      <c r="L1843" s="1" t="s">
        <v>236</v>
      </c>
      <c r="M1843" s="1" t="s">
        <v>6625</v>
      </c>
      <c r="N1843" s="1">
        <v>1</v>
      </c>
      <c r="O1843" s="1">
        <v>0</v>
      </c>
      <c r="P1843" s="1"/>
      <c r="Q1843" s="1"/>
      <c r="R1843" s="1" t="s">
        <v>13650</v>
      </c>
      <c r="S1843" s="1" t="s">
        <v>13651</v>
      </c>
      <c r="T1843" s="1" t="s">
        <v>13306</v>
      </c>
      <c r="U1843" s="1" t="s">
        <v>13652</v>
      </c>
      <c r="V1843" s="1">
        <v>1</v>
      </c>
      <c r="W1843" s="1">
        <v>1</v>
      </c>
      <c r="X1843" s="1">
        <v>0</v>
      </c>
      <c r="Y1843" s="1">
        <v>0</v>
      </c>
      <c r="Z1843" s="1">
        <v>0</v>
      </c>
      <c r="AA1843" s="1" t="s">
        <v>109</v>
      </c>
      <c r="AB1843" s="1" t="s">
        <v>109</v>
      </c>
      <c r="AC1843" s="1" t="s">
        <v>109</v>
      </c>
      <c r="AD1843" s="1" t="s">
        <v>109</v>
      </c>
      <c r="AE1843" s="1" t="s">
        <v>109</v>
      </c>
      <c r="AF1843" s="1">
        <v>2</v>
      </c>
      <c r="AG1843" s="1" t="s">
        <v>109</v>
      </c>
      <c r="AH1843" s="1">
        <v>2</v>
      </c>
      <c r="AI1843" s="1" t="s">
        <v>109</v>
      </c>
      <c r="AJ1843" s="1" t="s">
        <v>109</v>
      </c>
      <c r="AK1843" s="1">
        <v>2</v>
      </c>
      <c r="AL1843" s="1" t="s">
        <v>109</v>
      </c>
      <c r="AM1843" s="1" t="s">
        <v>109</v>
      </c>
      <c r="AN1843" s="1" t="s">
        <v>109</v>
      </c>
      <c r="AO1843" s="1" t="s">
        <v>109</v>
      </c>
      <c r="AP1843" s="1"/>
      <c r="AQ1843" s="1">
        <v>2</v>
      </c>
      <c r="AR1843" s="1"/>
      <c r="AS1843" s="1" t="s">
        <v>13653</v>
      </c>
      <c r="AT1843" s="1">
        <v>0</v>
      </c>
      <c r="AU1843" s="1">
        <v>0</v>
      </c>
      <c r="AV1843" s="1">
        <v>0</v>
      </c>
      <c r="AW1843" s="1">
        <v>0</v>
      </c>
      <c r="AX1843" s="1">
        <v>0</v>
      </c>
      <c r="AY1843" s="1">
        <v>0</v>
      </c>
      <c r="AZ1843" s="1">
        <v>0</v>
      </c>
      <c r="BA1843" s="1">
        <v>0</v>
      </c>
      <c r="BB1843" s="1">
        <v>0</v>
      </c>
      <c r="BC1843" s="1">
        <v>0</v>
      </c>
      <c r="BD1843" s="1">
        <v>0</v>
      </c>
      <c r="BE1843" s="1">
        <v>0</v>
      </c>
      <c r="BF1843" s="1">
        <v>0</v>
      </c>
      <c r="BG1843" s="1">
        <v>0</v>
      </c>
      <c r="BH1843" s="1">
        <v>0</v>
      </c>
      <c r="BI1843" s="1">
        <v>0</v>
      </c>
      <c r="BJ1843" s="1">
        <v>0</v>
      </c>
      <c r="BK1843" s="1">
        <v>0</v>
      </c>
      <c r="BL1843" s="1">
        <v>0</v>
      </c>
      <c r="BM1843" s="1">
        <v>0</v>
      </c>
      <c r="BN1843" s="1">
        <v>0</v>
      </c>
      <c r="BO1843" s="1">
        <v>0</v>
      </c>
      <c r="BP1843" s="1">
        <v>0</v>
      </c>
      <c r="BQ1843" s="1">
        <v>0</v>
      </c>
      <c r="BR1843" s="1">
        <v>0</v>
      </c>
      <c r="BS1843" s="1" t="s">
        <v>109</v>
      </c>
      <c r="BT1843" s="1">
        <v>1917</v>
      </c>
      <c r="BU1843" s="1" t="s">
        <v>109</v>
      </c>
      <c r="BV1843" s="1"/>
      <c r="BW1843" s="1"/>
      <c r="BX1843" s="1"/>
      <c r="BY1843" s="1"/>
      <c r="BZ1843" s="1">
        <v>0</v>
      </c>
      <c r="CA1843" s="1" t="s">
        <v>109</v>
      </c>
      <c r="CB1843" s="1">
        <v>2</v>
      </c>
      <c r="CC1843" s="1">
        <v>2</v>
      </c>
      <c r="CD1843" s="1" t="s">
        <v>109</v>
      </c>
      <c r="CE1843" s="1">
        <v>2</v>
      </c>
      <c r="CF1843" s="1" t="s">
        <v>109</v>
      </c>
      <c r="CG1843" s="1" t="s">
        <v>109</v>
      </c>
      <c r="CH1843" s="1" t="s">
        <v>109</v>
      </c>
      <c r="CI1843" s="1" t="s">
        <v>109</v>
      </c>
      <c r="CJ1843" s="1" t="s">
        <v>109</v>
      </c>
      <c r="CK1843" s="1"/>
      <c r="CL1843" s="1">
        <v>0</v>
      </c>
      <c r="CM1843" s="1">
        <v>0</v>
      </c>
      <c r="CN1843" s="1">
        <v>0</v>
      </c>
    </row>
    <row r="1844" spans="1:92" ht="14.25" customHeight="1" x14ac:dyDescent="0.15">
      <c r="A1844" s="1" t="s">
        <v>13654</v>
      </c>
      <c r="B1844" s="1" t="s">
        <v>95</v>
      </c>
      <c r="C1844" s="1" t="s">
        <v>96</v>
      </c>
      <c r="D1844" s="1"/>
      <c r="E1844" s="1" t="s">
        <v>13655</v>
      </c>
      <c r="F1844" s="1" t="s">
        <v>98</v>
      </c>
      <c r="G1844" s="1" t="s">
        <v>13656</v>
      </c>
      <c r="H1844" s="1">
        <v>1</v>
      </c>
      <c r="I1844" s="1" t="s">
        <v>1192</v>
      </c>
      <c r="J1844" s="1" t="s">
        <v>6646</v>
      </c>
      <c r="K1844" s="1"/>
      <c r="L1844" s="1"/>
      <c r="M1844" s="1" t="s">
        <v>3019</v>
      </c>
      <c r="N1844" s="1">
        <v>0</v>
      </c>
      <c r="O1844" s="1">
        <v>0</v>
      </c>
      <c r="P1844" s="1" t="s">
        <v>507</v>
      </c>
      <c r="Q1844" s="1" t="s">
        <v>104</v>
      </c>
      <c r="R1844" s="1" t="s">
        <v>13657</v>
      </c>
      <c r="S1844" s="1" t="s">
        <v>13658</v>
      </c>
      <c r="T1844" s="1" t="s">
        <v>13306</v>
      </c>
      <c r="U1844" s="1" t="s">
        <v>13659</v>
      </c>
      <c r="V1844" s="1">
        <v>1</v>
      </c>
      <c r="W1844" s="1">
        <v>1</v>
      </c>
      <c r="X1844" s="1">
        <v>1</v>
      </c>
      <c r="Y1844" s="1">
        <v>0</v>
      </c>
      <c r="Z1844" s="1">
        <v>0</v>
      </c>
      <c r="AA1844" s="1" t="s">
        <v>109</v>
      </c>
      <c r="AB1844" s="1" t="s">
        <v>109</v>
      </c>
      <c r="AC1844" s="1" t="s">
        <v>109</v>
      </c>
      <c r="AD1844" s="1" t="s">
        <v>109</v>
      </c>
      <c r="AE1844" s="1" t="s">
        <v>109</v>
      </c>
      <c r="AF1844" s="1" t="s">
        <v>109</v>
      </c>
      <c r="AG1844" s="1" t="s">
        <v>109</v>
      </c>
      <c r="AH1844" s="1" t="s">
        <v>109</v>
      </c>
      <c r="AI1844" s="1" t="s">
        <v>109</v>
      </c>
      <c r="AJ1844" s="1" t="s">
        <v>109</v>
      </c>
      <c r="AK1844" s="1" t="s">
        <v>109</v>
      </c>
      <c r="AL1844" s="1" t="s">
        <v>109</v>
      </c>
      <c r="AM1844" s="1" t="s">
        <v>109</v>
      </c>
      <c r="AN1844" s="1" t="s">
        <v>109</v>
      </c>
      <c r="AO1844" s="1" t="s">
        <v>109</v>
      </c>
      <c r="AP1844" s="1"/>
      <c r="AQ1844" s="1">
        <v>3</v>
      </c>
      <c r="AR1844" s="1"/>
      <c r="AS1844" s="1" t="s">
        <v>13660</v>
      </c>
      <c r="AT1844" s="1">
        <v>0</v>
      </c>
      <c r="AU1844" s="1">
        <v>0</v>
      </c>
      <c r="AV1844" s="1">
        <v>0</v>
      </c>
      <c r="AW1844" s="1">
        <v>0</v>
      </c>
      <c r="AX1844" s="1">
        <v>0</v>
      </c>
      <c r="AY1844" s="1">
        <v>0</v>
      </c>
      <c r="AZ1844" s="1">
        <v>0</v>
      </c>
      <c r="BA1844" s="1">
        <v>0</v>
      </c>
      <c r="BB1844" s="1">
        <v>0</v>
      </c>
      <c r="BC1844" s="1">
        <v>0</v>
      </c>
      <c r="BD1844" s="1">
        <v>0</v>
      </c>
      <c r="BE1844" s="1">
        <v>0</v>
      </c>
      <c r="BF1844" s="1">
        <v>0</v>
      </c>
      <c r="BG1844" s="1">
        <v>0</v>
      </c>
      <c r="BH1844" s="1">
        <v>0</v>
      </c>
      <c r="BI1844" s="1">
        <v>0</v>
      </c>
      <c r="BJ1844" s="1">
        <v>0</v>
      </c>
      <c r="BK1844" s="1">
        <v>0</v>
      </c>
      <c r="BL1844" s="1">
        <v>0</v>
      </c>
      <c r="BM1844" s="1">
        <v>0</v>
      </c>
      <c r="BN1844" s="1">
        <v>0</v>
      </c>
      <c r="BO1844" s="1">
        <v>0</v>
      </c>
      <c r="BP1844" s="1">
        <v>0</v>
      </c>
      <c r="BQ1844" s="1">
        <v>0</v>
      </c>
      <c r="BR1844" s="1">
        <v>0</v>
      </c>
      <c r="BS1844" s="1" t="s">
        <v>109</v>
      </c>
      <c r="BT1844" s="1">
        <v>1918</v>
      </c>
      <c r="BU1844" s="1">
        <v>50</v>
      </c>
      <c r="BV1844" s="1"/>
      <c r="BW1844" s="1"/>
      <c r="BX1844" s="1"/>
      <c r="BY1844" s="1"/>
      <c r="BZ1844" s="1">
        <v>0</v>
      </c>
      <c r="CA1844" s="1" t="s">
        <v>109</v>
      </c>
      <c r="CB1844" s="1">
        <v>3</v>
      </c>
      <c r="CC1844" s="1" t="s">
        <v>109</v>
      </c>
      <c r="CD1844" s="1" t="s">
        <v>109</v>
      </c>
      <c r="CE1844" s="1" t="s">
        <v>109</v>
      </c>
      <c r="CF1844" s="1" t="s">
        <v>109</v>
      </c>
      <c r="CG1844" s="1" t="s">
        <v>109</v>
      </c>
      <c r="CH1844" s="1" t="s">
        <v>109</v>
      </c>
      <c r="CI1844" s="1" t="s">
        <v>109</v>
      </c>
      <c r="CJ1844" s="1" t="s">
        <v>109</v>
      </c>
      <c r="CK1844" s="1"/>
      <c r="CL1844" s="1">
        <v>0</v>
      </c>
      <c r="CM1844" s="1">
        <v>0</v>
      </c>
      <c r="CN1844" s="1">
        <v>0</v>
      </c>
    </row>
    <row r="1845" spans="1:92" ht="14.25" customHeight="1" x14ac:dyDescent="0.15">
      <c r="A1845" s="1" t="s">
        <v>13661</v>
      </c>
      <c r="B1845" s="1" t="s">
        <v>584</v>
      </c>
      <c r="C1845" s="1"/>
      <c r="D1845" s="1" t="s">
        <v>47</v>
      </c>
      <c r="E1845" s="1" t="s">
        <v>13662</v>
      </c>
      <c r="F1845" s="1" t="s">
        <v>98</v>
      </c>
      <c r="G1845" s="1" t="s">
        <v>141</v>
      </c>
      <c r="H1845" s="1">
        <v>0</v>
      </c>
      <c r="I1845" s="1" t="s">
        <v>142</v>
      </c>
      <c r="J1845" s="1"/>
      <c r="K1845" s="1"/>
      <c r="L1845" s="1" t="s">
        <v>1548</v>
      </c>
      <c r="M1845" s="1" t="s">
        <v>9428</v>
      </c>
      <c r="N1845" s="1">
        <v>1</v>
      </c>
      <c r="O1845" s="1">
        <v>0</v>
      </c>
      <c r="P1845" s="1" t="s">
        <v>507</v>
      </c>
      <c r="Q1845" s="1" t="s">
        <v>167</v>
      </c>
      <c r="R1845" s="1" t="s">
        <v>13663</v>
      </c>
      <c r="S1845" s="1" t="s">
        <v>13664</v>
      </c>
      <c r="T1845" s="1" t="s">
        <v>13306</v>
      </c>
      <c r="U1845" s="1" t="s">
        <v>13665</v>
      </c>
      <c r="V1845" s="1">
        <v>1</v>
      </c>
      <c r="W1845" s="1">
        <v>1</v>
      </c>
      <c r="X1845" s="1">
        <v>0</v>
      </c>
      <c r="Y1845" s="1">
        <v>0</v>
      </c>
      <c r="Z1845" s="1">
        <v>0</v>
      </c>
      <c r="AA1845" s="1">
        <v>1</v>
      </c>
      <c r="AB1845" s="1">
        <v>1</v>
      </c>
      <c r="AC1845" s="1" t="s">
        <v>109</v>
      </c>
      <c r="AD1845" s="1">
        <v>1</v>
      </c>
      <c r="AE1845" s="1" t="s">
        <v>109</v>
      </c>
      <c r="AF1845" s="1" t="s">
        <v>109</v>
      </c>
      <c r="AG1845" s="1" t="s">
        <v>109</v>
      </c>
      <c r="AH1845" s="1" t="s">
        <v>109</v>
      </c>
      <c r="AI1845" s="1" t="s">
        <v>109</v>
      </c>
      <c r="AJ1845" s="1">
        <v>1</v>
      </c>
      <c r="AK1845" s="1" t="s">
        <v>109</v>
      </c>
      <c r="AL1845" s="1" t="s">
        <v>109</v>
      </c>
      <c r="AM1845" s="1" t="s">
        <v>109</v>
      </c>
      <c r="AN1845" s="1" t="s">
        <v>109</v>
      </c>
      <c r="AO1845" s="1" t="s">
        <v>109</v>
      </c>
      <c r="AP1845" s="1"/>
      <c r="AQ1845" s="1">
        <v>1</v>
      </c>
      <c r="AR1845" s="1"/>
      <c r="AS1845" s="1" t="s">
        <v>13666</v>
      </c>
      <c r="AT1845" s="1">
        <v>0</v>
      </c>
      <c r="AU1845" s="1">
        <v>1</v>
      </c>
      <c r="AV1845" s="1">
        <v>0</v>
      </c>
      <c r="AW1845" s="1">
        <v>0</v>
      </c>
      <c r="AX1845" s="1">
        <v>0</v>
      </c>
      <c r="AY1845" s="1">
        <v>0</v>
      </c>
      <c r="AZ1845" s="1">
        <v>0</v>
      </c>
      <c r="BA1845" s="1">
        <v>0</v>
      </c>
      <c r="BB1845" s="1">
        <v>0</v>
      </c>
      <c r="BC1845" s="1">
        <v>0</v>
      </c>
      <c r="BD1845" s="1">
        <v>0</v>
      </c>
      <c r="BE1845" s="1">
        <v>0</v>
      </c>
      <c r="BF1845" s="1">
        <v>0</v>
      </c>
      <c r="BG1845" s="1">
        <v>0</v>
      </c>
      <c r="BH1845" s="1">
        <v>0</v>
      </c>
      <c r="BI1845" s="1">
        <v>0</v>
      </c>
      <c r="BJ1845" s="1">
        <v>0</v>
      </c>
      <c r="BK1845" s="1">
        <v>0</v>
      </c>
      <c r="BL1845" s="1">
        <v>0</v>
      </c>
      <c r="BM1845" s="1">
        <v>0</v>
      </c>
      <c r="BN1845" s="1">
        <v>0</v>
      </c>
      <c r="BO1845" s="1">
        <v>0</v>
      </c>
      <c r="BP1845" s="1">
        <v>0</v>
      </c>
      <c r="BQ1845" s="1">
        <v>0</v>
      </c>
      <c r="BR1845" s="1">
        <v>0</v>
      </c>
      <c r="BS1845" s="1" t="s">
        <v>109</v>
      </c>
      <c r="BT1845" s="1">
        <v>1919</v>
      </c>
      <c r="BU1845" s="1" t="s">
        <v>109</v>
      </c>
      <c r="BV1845" s="1"/>
      <c r="BW1845" s="1"/>
      <c r="BX1845" s="1"/>
      <c r="BY1845" s="1"/>
      <c r="BZ1845" s="1">
        <v>0</v>
      </c>
      <c r="CA1845" s="1" t="s">
        <v>109</v>
      </c>
      <c r="CB1845" s="1">
        <v>1</v>
      </c>
      <c r="CC1845" s="1" t="s">
        <v>109</v>
      </c>
      <c r="CD1845" s="1" t="s">
        <v>109</v>
      </c>
      <c r="CE1845" s="1" t="s">
        <v>109</v>
      </c>
      <c r="CF1845" s="1" t="s">
        <v>109</v>
      </c>
      <c r="CG1845" s="1" t="s">
        <v>109</v>
      </c>
      <c r="CH1845" s="1" t="s">
        <v>109</v>
      </c>
      <c r="CI1845" s="1" t="s">
        <v>109</v>
      </c>
      <c r="CJ1845" s="1">
        <v>1</v>
      </c>
      <c r="CK1845" s="1"/>
      <c r="CL1845" s="1">
        <v>0</v>
      </c>
      <c r="CM1845" s="1">
        <v>0</v>
      </c>
      <c r="CN1845" s="1">
        <v>0</v>
      </c>
    </row>
    <row r="1846" spans="1:92" ht="14.25" customHeight="1" x14ac:dyDescent="0.15">
      <c r="A1846" s="1" t="s">
        <v>13667</v>
      </c>
      <c r="B1846" s="1" t="s">
        <v>95</v>
      </c>
      <c r="C1846" s="1" t="s">
        <v>96</v>
      </c>
      <c r="D1846" s="1"/>
      <c r="E1846" s="1" t="s">
        <v>13668</v>
      </c>
      <c r="F1846" s="1" t="s">
        <v>98</v>
      </c>
      <c r="G1846" s="1" t="s">
        <v>141</v>
      </c>
      <c r="H1846" s="1">
        <v>0</v>
      </c>
      <c r="I1846" s="1" t="s">
        <v>142</v>
      </c>
      <c r="J1846" s="1"/>
      <c r="K1846" s="1"/>
      <c r="L1846" s="1" t="s">
        <v>13669</v>
      </c>
      <c r="M1846" s="1" t="s">
        <v>6144</v>
      </c>
      <c r="N1846" s="1">
        <v>1</v>
      </c>
      <c r="O1846" s="1">
        <v>0</v>
      </c>
      <c r="P1846" s="1" t="s">
        <v>211</v>
      </c>
      <c r="Q1846" s="1" t="s">
        <v>104</v>
      </c>
      <c r="R1846" s="1" t="s">
        <v>13670</v>
      </c>
      <c r="S1846" s="1" t="s">
        <v>13671</v>
      </c>
      <c r="T1846" s="1" t="s">
        <v>13306</v>
      </c>
      <c r="U1846" s="1" t="s">
        <v>13672</v>
      </c>
      <c r="V1846" s="1">
        <v>1</v>
      </c>
      <c r="W1846" s="1">
        <v>1</v>
      </c>
      <c r="X1846" s="1">
        <v>0</v>
      </c>
      <c r="Y1846" s="1">
        <v>0</v>
      </c>
      <c r="Z1846" s="1">
        <v>0</v>
      </c>
      <c r="AA1846" s="1">
        <v>1</v>
      </c>
      <c r="AB1846" s="1">
        <v>1</v>
      </c>
      <c r="AC1846" s="1" t="s">
        <v>109</v>
      </c>
      <c r="AD1846" s="1" t="s">
        <v>109</v>
      </c>
      <c r="AE1846" s="1" t="s">
        <v>109</v>
      </c>
      <c r="AF1846" s="1">
        <v>1</v>
      </c>
      <c r="AG1846" s="1" t="s">
        <v>109</v>
      </c>
      <c r="AH1846" s="1" t="s">
        <v>109</v>
      </c>
      <c r="AI1846" s="1">
        <v>1</v>
      </c>
      <c r="AJ1846" s="1" t="s">
        <v>109</v>
      </c>
      <c r="AK1846" s="1" t="s">
        <v>109</v>
      </c>
      <c r="AL1846" s="1" t="s">
        <v>109</v>
      </c>
      <c r="AM1846" s="1" t="s">
        <v>109</v>
      </c>
      <c r="AN1846" s="1">
        <v>1</v>
      </c>
      <c r="AO1846" s="1" t="s">
        <v>109</v>
      </c>
      <c r="AP1846" s="1"/>
      <c r="AQ1846" s="1">
        <v>1</v>
      </c>
      <c r="AR1846" s="1"/>
      <c r="AS1846" s="1" t="s">
        <v>13673</v>
      </c>
      <c r="AT1846" s="1">
        <v>0</v>
      </c>
      <c r="AU1846" s="1">
        <v>0</v>
      </c>
      <c r="AV1846" s="1">
        <v>0</v>
      </c>
      <c r="AW1846" s="1">
        <v>0</v>
      </c>
      <c r="AX1846" s="1">
        <v>0</v>
      </c>
      <c r="AY1846" s="1">
        <v>0</v>
      </c>
      <c r="AZ1846" s="1">
        <v>0</v>
      </c>
      <c r="BA1846" s="1">
        <v>0</v>
      </c>
      <c r="BB1846" s="1">
        <v>0</v>
      </c>
      <c r="BC1846" s="1">
        <v>0</v>
      </c>
      <c r="BD1846" s="1">
        <v>0</v>
      </c>
      <c r="BE1846" s="1">
        <v>0</v>
      </c>
      <c r="BF1846" s="1">
        <v>0</v>
      </c>
      <c r="BG1846" s="1">
        <v>0</v>
      </c>
      <c r="BH1846" s="1">
        <v>0</v>
      </c>
      <c r="BI1846" s="1">
        <v>0</v>
      </c>
      <c r="BJ1846" s="1">
        <v>0</v>
      </c>
      <c r="BK1846" s="1">
        <v>0</v>
      </c>
      <c r="BL1846" s="1">
        <v>0</v>
      </c>
      <c r="BM1846" s="1">
        <v>0</v>
      </c>
      <c r="BN1846" s="1">
        <v>0</v>
      </c>
      <c r="BO1846" s="1">
        <v>0</v>
      </c>
      <c r="BP1846" s="1">
        <v>0</v>
      </c>
      <c r="BQ1846" s="1">
        <v>0</v>
      </c>
      <c r="BR1846" s="1">
        <v>0</v>
      </c>
      <c r="BS1846" s="1" t="s">
        <v>109</v>
      </c>
      <c r="BT1846" s="1">
        <v>1920</v>
      </c>
      <c r="BU1846" s="1" t="s">
        <v>109</v>
      </c>
      <c r="BV1846" s="1"/>
      <c r="BW1846" s="1"/>
      <c r="BX1846" s="1"/>
      <c r="BY1846" s="1"/>
      <c r="BZ1846" s="1">
        <v>0</v>
      </c>
      <c r="CA1846" s="1" t="s">
        <v>109</v>
      </c>
      <c r="CB1846" s="1" t="s">
        <v>109</v>
      </c>
      <c r="CC1846" s="1">
        <v>1</v>
      </c>
      <c r="CD1846" s="1" t="s">
        <v>109</v>
      </c>
      <c r="CE1846" s="1" t="s">
        <v>109</v>
      </c>
      <c r="CF1846" s="1" t="s">
        <v>109</v>
      </c>
      <c r="CG1846" s="1" t="s">
        <v>109</v>
      </c>
      <c r="CH1846" s="1" t="s">
        <v>109</v>
      </c>
      <c r="CI1846" s="1" t="s">
        <v>109</v>
      </c>
      <c r="CJ1846" s="1" t="s">
        <v>109</v>
      </c>
      <c r="CK1846" s="1"/>
      <c r="CL1846" s="1">
        <v>0</v>
      </c>
      <c r="CM1846" s="1">
        <v>0</v>
      </c>
      <c r="CN1846" s="1">
        <v>0</v>
      </c>
    </row>
    <row r="1847" spans="1:92" ht="14.25" customHeight="1" x14ac:dyDescent="0.15">
      <c r="A1847" s="1" t="s">
        <v>13674</v>
      </c>
      <c r="B1847" s="1" t="s">
        <v>242</v>
      </c>
      <c r="C1847" s="1"/>
      <c r="D1847" s="1" t="s">
        <v>211</v>
      </c>
      <c r="E1847" s="1" t="s">
        <v>12289</v>
      </c>
      <c r="F1847" s="1" t="s">
        <v>98</v>
      </c>
      <c r="G1847" s="1" t="s">
        <v>4386</v>
      </c>
      <c r="H1847" s="1">
        <v>0</v>
      </c>
      <c r="I1847" s="1" t="s">
        <v>142</v>
      </c>
      <c r="J1847" s="1"/>
      <c r="K1847" s="1"/>
      <c r="L1847" s="1" t="s">
        <v>8618</v>
      </c>
      <c r="M1847" s="1" t="s">
        <v>3042</v>
      </c>
      <c r="N1847" s="1">
        <v>0</v>
      </c>
      <c r="O1847" s="1">
        <v>0</v>
      </c>
      <c r="P1847" s="1" t="s">
        <v>507</v>
      </c>
      <c r="Q1847" s="1" t="s">
        <v>104</v>
      </c>
      <c r="R1847" s="1" t="s">
        <v>13675</v>
      </c>
      <c r="S1847" s="1" t="s">
        <v>13676</v>
      </c>
      <c r="T1847" s="1" t="s">
        <v>13306</v>
      </c>
      <c r="U1847" s="1" t="s">
        <v>13677</v>
      </c>
      <c r="V1847" s="1">
        <v>1</v>
      </c>
      <c r="W1847" s="1">
        <v>1</v>
      </c>
      <c r="X1847" s="1">
        <v>1</v>
      </c>
      <c r="Y1847" s="1">
        <v>0</v>
      </c>
      <c r="Z1847" s="1">
        <v>0</v>
      </c>
      <c r="AA1847" s="1" t="s">
        <v>109</v>
      </c>
      <c r="AB1847" s="1" t="s">
        <v>109</v>
      </c>
      <c r="AC1847" s="1">
        <v>4</v>
      </c>
      <c r="AD1847" s="1" t="s">
        <v>109</v>
      </c>
      <c r="AE1847" s="1" t="s">
        <v>109</v>
      </c>
      <c r="AF1847" s="1" t="s">
        <v>109</v>
      </c>
      <c r="AG1847" s="1">
        <v>4</v>
      </c>
      <c r="AH1847" s="1" t="s">
        <v>109</v>
      </c>
      <c r="AI1847" s="1" t="s">
        <v>109</v>
      </c>
      <c r="AJ1847" s="1" t="s">
        <v>109</v>
      </c>
      <c r="AK1847" s="1" t="s">
        <v>109</v>
      </c>
      <c r="AL1847" s="1">
        <v>4</v>
      </c>
      <c r="AM1847" s="1" t="s">
        <v>109</v>
      </c>
      <c r="AN1847" s="1" t="s">
        <v>109</v>
      </c>
      <c r="AO1847" s="1" t="s">
        <v>109</v>
      </c>
      <c r="AP1847" s="1"/>
      <c r="AQ1847" s="1">
        <v>4</v>
      </c>
      <c r="AR1847" s="1"/>
      <c r="AS1847" s="1" t="s">
        <v>13678</v>
      </c>
      <c r="AT1847" s="1">
        <v>0</v>
      </c>
      <c r="AU1847" s="1">
        <v>0</v>
      </c>
      <c r="AV1847" s="1">
        <v>0</v>
      </c>
      <c r="AW1847" s="1">
        <v>0</v>
      </c>
      <c r="AX1847" s="1">
        <v>0</v>
      </c>
      <c r="AY1847" s="1">
        <v>0</v>
      </c>
      <c r="AZ1847" s="1">
        <v>0</v>
      </c>
      <c r="BA1847" s="1">
        <v>0</v>
      </c>
      <c r="BB1847" s="1">
        <v>0</v>
      </c>
      <c r="BC1847" s="1">
        <v>0</v>
      </c>
      <c r="BD1847" s="1">
        <v>0</v>
      </c>
      <c r="BE1847" s="1">
        <v>0</v>
      </c>
      <c r="BF1847" s="1">
        <v>0</v>
      </c>
      <c r="BG1847" s="1">
        <v>0</v>
      </c>
      <c r="BH1847" s="1">
        <v>0</v>
      </c>
      <c r="BI1847" s="1">
        <v>0</v>
      </c>
      <c r="BJ1847" s="1">
        <v>0</v>
      </c>
      <c r="BK1847" s="1">
        <v>0</v>
      </c>
      <c r="BL1847" s="1">
        <v>0</v>
      </c>
      <c r="BM1847" s="1">
        <v>0</v>
      </c>
      <c r="BN1847" s="1">
        <v>0</v>
      </c>
      <c r="BO1847" s="1">
        <v>0</v>
      </c>
      <c r="BP1847" s="1">
        <v>0</v>
      </c>
      <c r="BQ1847" s="1">
        <v>0</v>
      </c>
      <c r="BR1847" s="1">
        <v>0</v>
      </c>
      <c r="BS1847" s="1" t="s">
        <v>109</v>
      </c>
      <c r="BT1847" s="1">
        <v>1921</v>
      </c>
      <c r="BU1847" s="1" t="s">
        <v>109</v>
      </c>
      <c r="BV1847" s="1"/>
      <c r="BW1847" s="1"/>
      <c r="BX1847" s="1"/>
      <c r="BY1847" s="1"/>
      <c r="BZ1847" s="1">
        <v>0</v>
      </c>
      <c r="CA1847" s="1" t="s">
        <v>109</v>
      </c>
      <c r="CB1847" s="1" t="s">
        <v>109</v>
      </c>
      <c r="CC1847" s="1" t="s">
        <v>109</v>
      </c>
      <c r="CD1847" s="1" t="s">
        <v>109</v>
      </c>
      <c r="CE1847" s="1" t="s">
        <v>109</v>
      </c>
      <c r="CF1847" s="1" t="s">
        <v>109</v>
      </c>
      <c r="CG1847" s="1" t="s">
        <v>109</v>
      </c>
      <c r="CH1847" s="1" t="s">
        <v>109</v>
      </c>
      <c r="CI1847" s="1" t="s">
        <v>109</v>
      </c>
      <c r="CJ1847" s="1" t="s">
        <v>109</v>
      </c>
      <c r="CK1847" s="1"/>
      <c r="CL1847" s="1">
        <v>0</v>
      </c>
      <c r="CM1847" s="1">
        <v>0</v>
      </c>
      <c r="CN1847" s="1">
        <v>0</v>
      </c>
    </row>
    <row r="1848" spans="1:92" ht="14.25" customHeight="1" x14ac:dyDescent="0.15">
      <c r="A1848" s="1" t="s">
        <v>13679</v>
      </c>
      <c r="B1848" s="1" t="s">
        <v>189</v>
      </c>
      <c r="C1848" s="1"/>
      <c r="D1848" s="1" t="s">
        <v>54</v>
      </c>
      <c r="E1848" s="1" t="s">
        <v>13103</v>
      </c>
      <c r="F1848" s="1" t="s">
        <v>98</v>
      </c>
      <c r="G1848" s="1" t="s">
        <v>13680</v>
      </c>
      <c r="H1848" s="1">
        <v>1</v>
      </c>
      <c r="I1848" s="1" t="s">
        <v>142</v>
      </c>
      <c r="J1848" s="1"/>
      <c r="K1848" s="1"/>
      <c r="L1848" s="1" t="s">
        <v>13681</v>
      </c>
      <c r="M1848" s="1" t="s">
        <v>13502</v>
      </c>
      <c r="N1848" s="1">
        <v>0</v>
      </c>
      <c r="O1848" s="1">
        <v>0</v>
      </c>
      <c r="P1848" s="1" t="s">
        <v>103</v>
      </c>
      <c r="Q1848" s="1" t="s">
        <v>104</v>
      </c>
      <c r="R1848" s="1" t="s">
        <v>13682</v>
      </c>
      <c r="S1848" s="1" t="s">
        <v>13683</v>
      </c>
      <c r="T1848" s="1" t="s">
        <v>13306</v>
      </c>
      <c r="U1848" s="1" t="s">
        <v>13684</v>
      </c>
      <c r="V1848" s="1">
        <v>1</v>
      </c>
      <c r="W1848" s="1">
        <v>1</v>
      </c>
      <c r="X1848" s="1">
        <v>1</v>
      </c>
      <c r="Y1848" s="1">
        <v>0</v>
      </c>
      <c r="Z1848" s="1">
        <v>0</v>
      </c>
      <c r="AA1848" s="1">
        <v>3</v>
      </c>
      <c r="AB1848" s="1">
        <v>3</v>
      </c>
      <c r="AC1848" s="1" t="s">
        <v>109</v>
      </c>
      <c r="AD1848" s="1" t="s">
        <v>109</v>
      </c>
      <c r="AE1848" s="1" t="s">
        <v>109</v>
      </c>
      <c r="AF1848" s="1" t="s">
        <v>109</v>
      </c>
      <c r="AG1848" s="1" t="s">
        <v>109</v>
      </c>
      <c r="AH1848" s="1" t="s">
        <v>109</v>
      </c>
      <c r="AI1848" s="1" t="s">
        <v>109</v>
      </c>
      <c r="AJ1848" s="1">
        <v>3</v>
      </c>
      <c r="AK1848" s="1" t="s">
        <v>109</v>
      </c>
      <c r="AL1848" s="1" t="s">
        <v>109</v>
      </c>
      <c r="AM1848" s="1" t="s">
        <v>109</v>
      </c>
      <c r="AN1848" s="1">
        <v>3</v>
      </c>
      <c r="AO1848" s="1" t="s">
        <v>109</v>
      </c>
      <c r="AP1848" s="1"/>
      <c r="AQ1848" s="1">
        <v>3</v>
      </c>
      <c r="AR1848" s="1"/>
      <c r="AS1848" s="1" t="s">
        <v>13685</v>
      </c>
      <c r="AT1848" s="1">
        <v>0</v>
      </c>
      <c r="AU1848" s="1">
        <v>0</v>
      </c>
      <c r="AV1848" s="1">
        <v>0</v>
      </c>
      <c r="AW1848" s="1">
        <v>0</v>
      </c>
      <c r="AX1848" s="1">
        <v>0</v>
      </c>
      <c r="AY1848" s="1">
        <v>0</v>
      </c>
      <c r="AZ1848" s="1">
        <v>0</v>
      </c>
      <c r="BA1848" s="1">
        <v>0</v>
      </c>
      <c r="BB1848" s="1">
        <v>1</v>
      </c>
      <c r="BC1848" s="1">
        <v>0</v>
      </c>
      <c r="BD1848" s="1">
        <v>0</v>
      </c>
      <c r="BE1848" s="1">
        <v>0</v>
      </c>
      <c r="BF1848" s="1">
        <v>0</v>
      </c>
      <c r="BG1848" s="1">
        <v>0</v>
      </c>
      <c r="BH1848" s="1">
        <v>0</v>
      </c>
      <c r="BI1848" s="1">
        <v>0</v>
      </c>
      <c r="BJ1848" s="1">
        <v>0</v>
      </c>
      <c r="BK1848" s="1">
        <v>0</v>
      </c>
      <c r="BL1848" s="1">
        <v>0</v>
      </c>
      <c r="BM1848" s="1">
        <v>0</v>
      </c>
      <c r="BN1848" s="1">
        <v>0</v>
      </c>
      <c r="BO1848" s="1">
        <v>0</v>
      </c>
      <c r="BP1848" s="1">
        <v>0</v>
      </c>
      <c r="BQ1848" s="1">
        <v>0</v>
      </c>
      <c r="BR1848" s="1">
        <v>0</v>
      </c>
      <c r="BS1848" s="1" t="s">
        <v>109</v>
      </c>
      <c r="BT1848" s="1">
        <v>1922</v>
      </c>
      <c r="BU1848" s="1">
        <v>100</v>
      </c>
      <c r="BV1848" s="1"/>
      <c r="BW1848" s="1"/>
      <c r="BX1848" s="1"/>
      <c r="BY1848" s="1"/>
      <c r="BZ1848" s="1">
        <v>0</v>
      </c>
      <c r="CA1848" s="1" t="s">
        <v>109</v>
      </c>
      <c r="CB1848" s="1" t="s">
        <v>109</v>
      </c>
      <c r="CC1848" s="1" t="s">
        <v>109</v>
      </c>
      <c r="CD1848" s="1" t="s">
        <v>109</v>
      </c>
      <c r="CE1848" s="1" t="s">
        <v>109</v>
      </c>
      <c r="CF1848" s="1" t="s">
        <v>109</v>
      </c>
      <c r="CG1848" s="1" t="s">
        <v>109</v>
      </c>
      <c r="CH1848" s="1" t="s">
        <v>109</v>
      </c>
      <c r="CI1848" s="1" t="s">
        <v>109</v>
      </c>
      <c r="CJ1848" s="1" t="s">
        <v>109</v>
      </c>
      <c r="CK1848" s="1"/>
      <c r="CL1848" s="1">
        <v>0</v>
      </c>
      <c r="CM1848" s="1">
        <v>0</v>
      </c>
      <c r="CN1848" s="1">
        <v>0</v>
      </c>
    </row>
    <row r="1849" spans="1:92" ht="14.25" customHeight="1" x14ac:dyDescent="0.15">
      <c r="A1849" s="1" t="s">
        <v>13686</v>
      </c>
      <c r="B1849" s="1" t="s">
        <v>254</v>
      </c>
      <c r="C1849" s="1"/>
      <c r="D1849" s="1"/>
      <c r="E1849" s="1" t="s">
        <v>13687</v>
      </c>
      <c r="F1849" s="1" t="s">
        <v>98</v>
      </c>
      <c r="G1849" s="1" t="s">
        <v>13688</v>
      </c>
      <c r="H1849" s="1">
        <v>0</v>
      </c>
      <c r="I1849" s="1" t="s">
        <v>235</v>
      </c>
      <c r="J1849" s="1"/>
      <c r="K1849" s="1"/>
      <c r="L1849" s="1" t="s">
        <v>236</v>
      </c>
      <c r="M1849" s="1" t="s">
        <v>6625</v>
      </c>
      <c r="N1849" s="1">
        <v>1</v>
      </c>
      <c r="O1849" s="1">
        <v>0</v>
      </c>
      <c r="P1849" s="1"/>
      <c r="Q1849" s="1"/>
      <c r="R1849" s="1" t="s">
        <v>13689</v>
      </c>
      <c r="S1849" s="1" t="s">
        <v>13690</v>
      </c>
      <c r="T1849" s="1" t="s">
        <v>13306</v>
      </c>
      <c r="U1849" s="1" t="s">
        <v>13691</v>
      </c>
      <c r="V1849" s="1">
        <v>1</v>
      </c>
      <c r="W1849" s="1">
        <v>0</v>
      </c>
      <c r="X1849" s="1">
        <v>1</v>
      </c>
      <c r="Y1849" s="1">
        <v>0</v>
      </c>
      <c r="Z1849" s="1">
        <v>1</v>
      </c>
      <c r="AA1849" s="1">
        <v>1</v>
      </c>
      <c r="AB1849" s="1">
        <v>1</v>
      </c>
      <c r="AC1849" s="1" t="s">
        <v>109</v>
      </c>
      <c r="AD1849" s="1">
        <v>1</v>
      </c>
      <c r="AE1849" s="1">
        <v>1</v>
      </c>
      <c r="AF1849" s="1">
        <v>1</v>
      </c>
      <c r="AG1849" s="1" t="s">
        <v>109</v>
      </c>
      <c r="AH1849" s="1">
        <v>1</v>
      </c>
      <c r="AI1849" s="1" t="s">
        <v>109</v>
      </c>
      <c r="AJ1849" s="1" t="s">
        <v>109</v>
      </c>
      <c r="AK1849" s="1">
        <v>1</v>
      </c>
      <c r="AL1849" s="1" t="s">
        <v>109</v>
      </c>
      <c r="AM1849" s="1" t="s">
        <v>109</v>
      </c>
      <c r="AN1849" s="1" t="s">
        <v>109</v>
      </c>
      <c r="AO1849" s="1" t="s">
        <v>109</v>
      </c>
      <c r="AP1849" s="1"/>
      <c r="AQ1849" s="1">
        <v>1</v>
      </c>
      <c r="AR1849" s="1"/>
      <c r="AS1849" s="1" t="s">
        <v>13692</v>
      </c>
      <c r="AT1849" s="1">
        <v>0</v>
      </c>
      <c r="AU1849" s="1">
        <v>0</v>
      </c>
      <c r="AV1849" s="1">
        <v>0</v>
      </c>
      <c r="AW1849" s="1">
        <v>0</v>
      </c>
      <c r="AX1849" s="1">
        <v>0</v>
      </c>
      <c r="AY1849" s="1">
        <v>0</v>
      </c>
      <c r="AZ1849" s="1">
        <v>0</v>
      </c>
      <c r="BA1849" s="1">
        <v>0</v>
      </c>
      <c r="BB1849" s="1">
        <v>0</v>
      </c>
      <c r="BC1849" s="1">
        <v>0</v>
      </c>
      <c r="BD1849" s="1">
        <v>0</v>
      </c>
      <c r="BE1849" s="1">
        <v>0</v>
      </c>
      <c r="BF1849" s="1">
        <v>0</v>
      </c>
      <c r="BG1849" s="1">
        <v>0</v>
      </c>
      <c r="BH1849" s="1">
        <v>0</v>
      </c>
      <c r="BI1849" s="1">
        <v>0</v>
      </c>
      <c r="BJ1849" s="1">
        <v>0</v>
      </c>
      <c r="BK1849" s="1">
        <v>0</v>
      </c>
      <c r="BL1849" s="1">
        <v>0</v>
      </c>
      <c r="BM1849" s="1">
        <v>0</v>
      </c>
      <c r="BN1849" s="1">
        <v>0</v>
      </c>
      <c r="BO1849" s="1">
        <v>0</v>
      </c>
      <c r="BP1849" s="1">
        <v>0</v>
      </c>
      <c r="BQ1849" s="1">
        <v>0</v>
      </c>
      <c r="BR1849" s="1">
        <v>0</v>
      </c>
      <c r="BS1849" s="1" t="s">
        <v>109</v>
      </c>
      <c r="BT1849" s="1">
        <v>1923</v>
      </c>
      <c r="BU1849" s="1" t="s">
        <v>109</v>
      </c>
      <c r="BV1849" s="1"/>
      <c r="BW1849" s="1"/>
      <c r="BX1849" s="1"/>
      <c r="BY1849" s="1"/>
      <c r="BZ1849" s="1">
        <v>0</v>
      </c>
      <c r="CA1849" s="1" t="s">
        <v>109</v>
      </c>
      <c r="CB1849" s="1">
        <v>1</v>
      </c>
      <c r="CC1849" s="1">
        <v>1</v>
      </c>
      <c r="CD1849" s="1" t="s">
        <v>109</v>
      </c>
      <c r="CE1849" s="1">
        <v>1</v>
      </c>
      <c r="CF1849" s="1">
        <v>1</v>
      </c>
      <c r="CG1849" s="1" t="s">
        <v>109</v>
      </c>
      <c r="CH1849" s="1" t="s">
        <v>109</v>
      </c>
      <c r="CI1849" s="1" t="s">
        <v>109</v>
      </c>
      <c r="CJ1849" s="1">
        <v>1</v>
      </c>
      <c r="CK1849" s="1"/>
      <c r="CL1849" s="1">
        <v>0</v>
      </c>
      <c r="CM1849" s="1">
        <v>0</v>
      </c>
      <c r="CN1849" s="1">
        <v>0</v>
      </c>
    </row>
    <row r="1850" spans="1:92" ht="14.25" customHeight="1" x14ac:dyDescent="0.15">
      <c r="A1850" s="1" t="s">
        <v>13693</v>
      </c>
      <c r="B1850" s="1" t="s">
        <v>189</v>
      </c>
      <c r="C1850" s="1"/>
      <c r="D1850" s="1"/>
      <c r="E1850" s="1" t="s">
        <v>6083</v>
      </c>
      <c r="F1850" s="1" t="s">
        <v>98</v>
      </c>
      <c r="G1850" s="1" t="s">
        <v>141</v>
      </c>
      <c r="H1850" s="1">
        <v>0</v>
      </c>
      <c r="I1850" s="1" t="s">
        <v>1192</v>
      </c>
      <c r="J1850" s="1" t="s">
        <v>13694</v>
      </c>
      <c r="K1850" s="1"/>
      <c r="L1850" s="1"/>
      <c r="M1850" s="1" t="s">
        <v>8243</v>
      </c>
      <c r="N1850" s="1">
        <v>0</v>
      </c>
      <c r="O1850" s="1">
        <v>0</v>
      </c>
      <c r="P1850" s="1" t="s">
        <v>507</v>
      </c>
      <c r="Q1850" s="1" t="s">
        <v>167</v>
      </c>
      <c r="R1850" s="1" t="s">
        <v>13695</v>
      </c>
      <c r="S1850" s="1" t="s">
        <v>13696</v>
      </c>
      <c r="T1850" s="1" t="s">
        <v>13306</v>
      </c>
      <c r="U1850" s="1" t="s">
        <v>13697</v>
      </c>
      <c r="V1850" s="1">
        <v>1</v>
      </c>
      <c r="W1850" s="1">
        <v>1</v>
      </c>
      <c r="X1850" s="1">
        <v>0</v>
      </c>
      <c r="Y1850" s="1">
        <v>0</v>
      </c>
      <c r="Z1850" s="1">
        <v>0</v>
      </c>
      <c r="AA1850" s="1" t="s">
        <v>109</v>
      </c>
      <c r="AB1850" s="1" t="s">
        <v>109</v>
      </c>
      <c r="AC1850" s="1" t="s">
        <v>109</v>
      </c>
      <c r="AD1850" s="1" t="s">
        <v>109</v>
      </c>
      <c r="AE1850" s="1" t="s">
        <v>109</v>
      </c>
      <c r="AF1850" s="1">
        <v>2</v>
      </c>
      <c r="AG1850" s="1" t="s">
        <v>109</v>
      </c>
      <c r="AH1850" s="1" t="s">
        <v>109</v>
      </c>
      <c r="AI1850" s="1" t="s">
        <v>109</v>
      </c>
      <c r="AJ1850" s="1" t="s">
        <v>109</v>
      </c>
      <c r="AK1850" s="1" t="s">
        <v>109</v>
      </c>
      <c r="AL1850" s="1" t="s">
        <v>109</v>
      </c>
      <c r="AM1850" s="1" t="s">
        <v>109</v>
      </c>
      <c r="AN1850" s="1" t="s">
        <v>109</v>
      </c>
      <c r="AO1850" s="1" t="s">
        <v>109</v>
      </c>
      <c r="AP1850" s="1"/>
      <c r="AQ1850" s="1">
        <v>2</v>
      </c>
      <c r="AR1850" s="1"/>
      <c r="AS1850" s="1" t="s">
        <v>13698</v>
      </c>
      <c r="AT1850" s="1">
        <v>0</v>
      </c>
      <c r="AU1850" s="1">
        <v>0</v>
      </c>
      <c r="AV1850" s="1">
        <v>0</v>
      </c>
      <c r="AW1850" s="1">
        <v>0</v>
      </c>
      <c r="AX1850" s="1">
        <v>0</v>
      </c>
      <c r="AY1850" s="1">
        <v>0</v>
      </c>
      <c r="AZ1850" s="1">
        <v>0</v>
      </c>
      <c r="BA1850" s="1">
        <v>0</v>
      </c>
      <c r="BB1850" s="1">
        <v>0</v>
      </c>
      <c r="BC1850" s="1">
        <v>0</v>
      </c>
      <c r="BD1850" s="1">
        <v>0</v>
      </c>
      <c r="BE1850" s="1">
        <v>0</v>
      </c>
      <c r="BF1850" s="1">
        <v>0</v>
      </c>
      <c r="BG1850" s="1">
        <v>0</v>
      </c>
      <c r="BH1850" s="1">
        <v>0</v>
      </c>
      <c r="BI1850" s="1">
        <v>0</v>
      </c>
      <c r="BJ1850" s="1">
        <v>0</v>
      </c>
      <c r="BK1850" s="1">
        <v>0</v>
      </c>
      <c r="BL1850" s="1">
        <v>0</v>
      </c>
      <c r="BM1850" s="1">
        <v>0</v>
      </c>
      <c r="BN1850" s="1">
        <v>0</v>
      </c>
      <c r="BO1850" s="1">
        <v>0</v>
      </c>
      <c r="BP1850" s="1">
        <v>0</v>
      </c>
      <c r="BQ1850" s="1">
        <v>0</v>
      </c>
      <c r="BR1850" s="1">
        <v>0</v>
      </c>
      <c r="BS1850" s="1" t="s">
        <v>109</v>
      </c>
      <c r="BT1850" s="1">
        <v>1924</v>
      </c>
      <c r="BU1850" s="1" t="s">
        <v>109</v>
      </c>
      <c r="BV1850" s="1"/>
      <c r="BW1850" s="1"/>
      <c r="BX1850" s="1"/>
      <c r="BY1850" s="1"/>
      <c r="BZ1850" s="1">
        <v>0</v>
      </c>
      <c r="CA1850" s="1" t="s">
        <v>109</v>
      </c>
      <c r="CB1850" s="1" t="s">
        <v>109</v>
      </c>
      <c r="CC1850" s="1" t="s">
        <v>109</v>
      </c>
      <c r="CD1850" s="1" t="s">
        <v>109</v>
      </c>
      <c r="CE1850" s="1" t="s">
        <v>109</v>
      </c>
      <c r="CF1850" s="1" t="s">
        <v>109</v>
      </c>
      <c r="CG1850" s="1" t="s">
        <v>109</v>
      </c>
      <c r="CH1850" s="1" t="s">
        <v>109</v>
      </c>
      <c r="CI1850" s="1" t="s">
        <v>109</v>
      </c>
      <c r="CJ1850" s="1" t="s">
        <v>109</v>
      </c>
      <c r="CK1850" s="1"/>
      <c r="CL1850" s="1">
        <v>0</v>
      </c>
      <c r="CM1850" s="1">
        <v>0</v>
      </c>
      <c r="CN1850" s="1">
        <v>0</v>
      </c>
    </row>
    <row r="1851" spans="1:92" ht="14.25" customHeight="1" x14ac:dyDescent="0.15">
      <c r="A1851" s="1" t="s">
        <v>13699</v>
      </c>
      <c r="B1851" s="1" t="s">
        <v>242</v>
      </c>
      <c r="C1851" s="1"/>
      <c r="D1851" s="1"/>
      <c r="E1851" s="1" t="s">
        <v>13700</v>
      </c>
      <c r="F1851" s="1" t="s">
        <v>395</v>
      </c>
      <c r="G1851" s="1" t="s">
        <v>2377</v>
      </c>
      <c r="H1851" s="1">
        <v>1</v>
      </c>
      <c r="I1851" s="1" t="s">
        <v>161</v>
      </c>
      <c r="J1851" s="1" t="s">
        <v>2378</v>
      </c>
      <c r="K1851" s="1"/>
      <c r="L1851" s="1" t="s">
        <v>2378</v>
      </c>
      <c r="M1851" s="1" t="s">
        <v>2044</v>
      </c>
      <c r="N1851" s="1">
        <v>1</v>
      </c>
      <c r="O1851" s="1">
        <v>0</v>
      </c>
      <c r="P1851" s="1" t="s">
        <v>211</v>
      </c>
      <c r="Q1851" s="1" t="s">
        <v>5665</v>
      </c>
      <c r="R1851" s="1" t="s">
        <v>13701</v>
      </c>
      <c r="S1851" s="1" t="s">
        <v>13702</v>
      </c>
      <c r="T1851" s="1" t="s">
        <v>13306</v>
      </c>
      <c r="U1851" s="1" t="s">
        <v>13703</v>
      </c>
      <c r="V1851" s="1">
        <v>1</v>
      </c>
      <c r="W1851" s="1">
        <v>1</v>
      </c>
      <c r="X1851" s="1">
        <v>1</v>
      </c>
      <c r="Y1851" s="1">
        <v>0</v>
      </c>
      <c r="Z1851" s="1">
        <v>0</v>
      </c>
      <c r="AA1851" s="1" t="s">
        <v>109</v>
      </c>
      <c r="AB1851" s="1" t="s">
        <v>109</v>
      </c>
      <c r="AC1851" s="1" t="s">
        <v>109</v>
      </c>
      <c r="AD1851" s="1" t="s">
        <v>109</v>
      </c>
      <c r="AE1851" s="1" t="s">
        <v>109</v>
      </c>
      <c r="AF1851" s="1" t="s">
        <v>109</v>
      </c>
      <c r="AG1851" s="1" t="s">
        <v>109</v>
      </c>
      <c r="AH1851" s="1" t="s">
        <v>109</v>
      </c>
      <c r="AI1851" s="1" t="s">
        <v>109</v>
      </c>
      <c r="AJ1851" s="1">
        <v>3</v>
      </c>
      <c r="AK1851" s="1" t="s">
        <v>109</v>
      </c>
      <c r="AL1851" s="1" t="s">
        <v>109</v>
      </c>
      <c r="AM1851" s="1" t="s">
        <v>109</v>
      </c>
      <c r="AN1851" s="1" t="s">
        <v>109</v>
      </c>
      <c r="AO1851" s="1" t="s">
        <v>109</v>
      </c>
      <c r="AP1851" s="1"/>
      <c r="AQ1851" s="1">
        <v>3</v>
      </c>
      <c r="AR1851" s="1"/>
      <c r="AS1851" s="1" t="s">
        <v>13704</v>
      </c>
      <c r="AT1851" s="1">
        <v>0</v>
      </c>
      <c r="AU1851" s="1">
        <v>0</v>
      </c>
      <c r="AV1851" s="1">
        <v>0</v>
      </c>
      <c r="AW1851" s="1">
        <v>0</v>
      </c>
      <c r="AX1851" s="1">
        <v>0</v>
      </c>
      <c r="AY1851" s="1">
        <v>0</v>
      </c>
      <c r="AZ1851" s="1">
        <v>0</v>
      </c>
      <c r="BA1851" s="1">
        <v>0</v>
      </c>
      <c r="BB1851" s="1">
        <v>0</v>
      </c>
      <c r="BC1851" s="1">
        <v>0</v>
      </c>
      <c r="BD1851" s="1">
        <v>0</v>
      </c>
      <c r="BE1851" s="1">
        <v>0</v>
      </c>
      <c r="BF1851" s="1">
        <v>0</v>
      </c>
      <c r="BG1851" s="1">
        <v>0</v>
      </c>
      <c r="BH1851" s="1">
        <v>0</v>
      </c>
      <c r="BI1851" s="1">
        <v>0</v>
      </c>
      <c r="BJ1851" s="1">
        <v>0</v>
      </c>
      <c r="BK1851" s="1">
        <v>0</v>
      </c>
      <c r="BL1851" s="1">
        <v>0</v>
      </c>
      <c r="BM1851" s="1">
        <v>0</v>
      </c>
      <c r="BN1851" s="1">
        <v>0</v>
      </c>
      <c r="BO1851" s="1">
        <v>0</v>
      </c>
      <c r="BP1851" s="1">
        <v>0</v>
      </c>
      <c r="BQ1851" s="1">
        <v>0</v>
      </c>
      <c r="BR1851" s="1">
        <v>0</v>
      </c>
      <c r="BS1851" s="1" t="s">
        <v>109</v>
      </c>
      <c r="BT1851" s="1">
        <v>1925</v>
      </c>
      <c r="BU1851" s="1">
        <v>200</v>
      </c>
      <c r="BV1851" s="1"/>
      <c r="BW1851" s="1"/>
      <c r="BX1851" s="1"/>
      <c r="BY1851" s="1"/>
      <c r="BZ1851" s="1">
        <v>0</v>
      </c>
      <c r="CA1851" s="1" t="s">
        <v>109</v>
      </c>
      <c r="CB1851" s="1">
        <v>3</v>
      </c>
      <c r="CC1851" s="1" t="s">
        <v>109</v>
      </c>
      <c r="CD1851" s="1" t="s">
        <v>109</v>
      </c>
      <c r="CE1851" s="1" t="s">
        <v>109</v>
      </c>
      <c r="CF1851" s="1" t="s">
        <v>109</v>
      </c>
      <c r="CG1851" s="1" t="s">
        <v>109</v>
      </c>
      <c r="CH1851" s="1" t="s">
        <v>109</v>
      </c>
      <c r="CI1851" s="1" t="s">
        <v>109</v>
      </c>
      <c r="CJ1851" s="1" t="s">
        <v>109</v>
      </c>
      <c r="CK1851" s="1"/>
      <c r="CL1851" s="1">
        <v>0</v>
      </c>
      <c r="CM1851" s="1">
        <v>0</v>
      </c>
      <c r="CN1851" s="1">
        <v>0</v>
      </c>
    </row>
    <row r="1852" spans="1:92" ht="14.25" customHeight="1" x14ac:dyDescent="0.15">
      <c r="A1852" s="1" t="s">
        <v>13705</v>
      </c>
      <c r="B1852" s="1" t="s">
        <v>242</v>
      </c>
      <c r="C1852" s="1"/>
      <c r="D1852" s="1"/>
      <c r="E1852" s="1" t="s">
        <v>13706</v>
      </c>
      <c r="F1852" s="1" t="s">
        <v>395</v>
      </c>
      <c r="G1852" s="1" t="s">
        <v>13707</v>
      </c>
      <c r="H1852" s="1">
        <v>1</v>
      </c>
      <c r="I1852" s="1" t="s">
        <v>161</v>
      </c>
      <c r="J1852" s="1" t="s">
        <v>2378</v>
      </c>
      <c r="K1852" s="1"/>
      <c r="L1852" s="1" t="s">
        <v>2378</v>
      </c>
      <c r="M1852" s="1" t="s">
        <v>2044</v>
      </c>
      <c r="N1852" s="1">
        <v>1</v>
      </c>
      <c r="O1852" s="1">
        <v>0</v>
      </c>
      <c r="P1852" s="1" t="s">
        <v>211</v>
      </c>
      <c r="Q1852" s="1" t="s">
        <v>5665</v>
      </c>
      <c r="R1852" s="1" t="s">
        <v>13708</v>
      </c>
      <c r="S1852" s="1" t="s">
        <v>13709</v>
      </c>
      <c r="T1852" s="1" t="s">
        <v>13306</v>
      </c>
      <c r="U1852" s="1" t="s">
        <v>13710</v>
      </c>
      <c r="V1852" s="1">
        <v>1</v>
      </c>
      <c r="W1852" s="1">
        <v>1</v>
      </c>
      <c r="X1852" s="1">
        <v>1</v>
      </c>
      <c r="Y1852" s="1">
        <v>0</v>
      </c>
      <c r="Z1852" s="1">
        <v>0</v>
      </c>
      <c r="AA1852" s="1" t="s">
        <v>109</v>
      </c>
      <c r="AB1852" s="1" t="s">
        <v>109</v>
      </c>
      <c r="AC1852" s="1" t="s">
        <v>109</v>
      </c>
      <c r="AD1852" s="1" t="s">
        <v>109</v>
      </c>
      <c r="AE1852" s="1" t="s">
        <v>109</v>
      </c>
      <c r="AF1852" s="1" t="s">
        <v>109</v>
      </c>
      <c r="AG1852" s="1" t="s">
        <v>109</v>
      </c>
      <c r="AH1852" s="1" t="s">
        <v>109</v>
      </c>
      <c r="AI1852" s="1" t="s">
        <v>109</v>
      </c>
      <c r="AJ1852" s="1">
        <v>5</v>
      </c>
      <c r="AK1852" s="1" t="s">
        <v>109</v>
      </c>
      <c r="AL1852" s="1" t="s">
        <v>109</v>
      </c>
      <c r="AM1852" s="1" t="s">
        <v>109</v>
      </c>
      <c r="AN1852" s="1" t="s">
        <v>109</v>
      </c>
      <c r="AO1852" s="1" t="s">
        <v>109</v>
      </c>
      <c r="AP1852" s="1"/>
      <c r="AQ1852" s="1">
        <v>5</v>
      </c>
      <c r="AR1852" s="1"/>
      <c r="AS1852" s="1" t="s">
        <v>13711</v>
      </c>
      <c r="AT1852" s="1">
        <v>0</v>
      </c>
      <c r="AU1852" s="1">
        <v>0</v>
      </c>
      <c r="AV1852" s="1">
        <v>0</v>
      </c>
      <c r="AW1852" s="1">
        <v>0</v>
      </c>
      <c r="AX1852" s="1">
        <v>0</v>
      </c>
      <c r="AY1852" s="1">
        <v>0</v>
      </c>
      <c r="AZ1852" s="1">
        <v>0</v>
      </c>
      <c r="BA1852" s="1">
        <v>0</v>
      </c>
      <c r="BB1852" s="1">
        <v>0</v>
      </c>
      <c r="BC1852" s="1">
        <v>0</v>
      </c>
      <c r="BD1852" s="1">
        <v>0</v>
      </c>
      <c r="BE1852" s="1">
        <v>0</v>
      </c>
      <c r="BF1852" s="1">
        <v>0</v>
      </c>
      <c r="BG1852" s="1">
        <v>0</v>
      </c>
      <c r="BH1852" s="1">
        <v>0</v>
      </c>
      <c r="BI1852" s="1">
        <v>0</v>
      </c>
      <c r="BJ1852" s="1">
        <v>0</v>
      </c>
      <c r="BK1852" s="1">
        <v>0</v>
      </c>
      <c r="BL1852" s="1">
        <v>0</v>
      </c>
      <c r="BM1852" s="1">
        <v>0</v>
      </c>
      <c r="BN1852" s="1">
        <v>0</v>
      </c>
      <c r="BO1852" s="1">
        <v>0</v>
      </c>
      <c r="BP1852" s="1">
        <v>0</v>
      </c>
      <c r="BQ1852" s="1">
        <v>0</v>
      </c>
      <c r="BR1852" s="1">
        <v>0</v>
      </c>
      <c r="BS1852" s="1" t="s">
        <v>109</v>
      </c>
      <c r="BT1852" s="1">
        <v>1926</v>
      </c>
      <c r="BU1852" s="1">
        <v>400</v>
      </c>
      <c r="BV1852" s="1"/>
      <c r="BW1852" s="1"/>
      <c r="BX1852" s="1"/>
      <c r="BY1852" s="1"/>
      <c r="BZ1852" s="1">
        <v>0</v>
      </c>
      <c r="CA1852" s="1" t="s">
        <v>109</v>
      </c>
      <c r="CB1852" s="1">
        <v>5</v>
      </c>
      <c r="CC1852" s="1" t="s">
        <v>109</v>
      </c>
      <c r="CD1852" s="1" t="s">
        <v>109</v>
      </c>
      <c r="CE1852" s="1" t="s">
        <v>109</v>
      </c>
      <c r="CF1852" s="1" t="s">
        <v>109</v>
      </c>
      <c r="CG1852" s="1" t="s">
        <v>109</v>
      </c>
      <c r="CH1852" s="1" t="s">
        <v>109</v>
      </c>
      <c r="CI1852" s="1" t="s">
        <v>109</v>
      </c>
      <c r="CJ1852" s="1" t="s">
        <v>109</v>
      </c>
      <c r="CK1852" s="1"/>
      <c r="CL1852" s="1">
        <v>0</v>
      </c>
      <c r="CM1852" s="1">
        <v>0</v>
      </c>
      <c r="CN1852" s="1">
        <v>0</v>
      </c>
    </row>
    <row r="1853" spans="1:92" ht="14.25" customHeight="1" x14ac:dyDescent="0.15">
      <c r="A1853" s="1" t="s">
        <v>13712</v>
      </c>
      <c r="B1853" s="1" t="s">
        <v>308</v>
      </c>
      <c r="C1853" s="1"/>
      <c r="D1853" s="1" t="s">
        <v>50</v>
      </c>
      <c r="E1853" s="1" t="s">
        <v>13713</v>
      </c>
      <c r="F1853" s="1" t="s">
        <v>98</v>
      </c>
      <c r="G1853" s="1" t="s">
        <v>7085</v>
      </c>
      <c r="H1853" s="1">
        <v>0</v>
      </c>
      <c r="I1853" s="1" t="s">
        <v>142</v>
      </c>
      <c r="J1853" s="1"/>
      <c r="K1853" s="1"/>
      <c r="L1853" s="1" t="s">
        <v>1391</v>
      </c>
      <c r="M1853" s="1" t="s">
        <v>125</v>
      </c>
      <c r="N1853" s="1">
        <v>0</v>
      </c>
      <c r="O1853" s="1">
        <v>0</v>
      </c>
      <c r="P1853" s="1" t="s">
        <v>301</v>
      </c>
      <c r="Q1853" s="1" t="s">
        <v>268</v>
      </c>
      <c r="R1853" s="1" t="s">
        <v>13714</v>
      </c>
      <c r="S1853" s="1" t="s">
        <v>13715</v>
      </c>
      <c r="T1853" s="1" t="s">
        <v>13306</v>
      </c>
      <c r="U1853" s="1" t="s">
        <v>13716</v>
      </c>
      <c r="V1853" s="1">
        <v>1</v>
      </c>
      <c r="W1853" s="1">
        <v>1</v>
      </c>
      <c r="X1853" s="1">
        <v>1</v>
      </c>
      <c r="Y1853" s="1">
        <v>0</v>
      </c>
      <c r="Z1853" s="1">
        <v>0</v>
      </c>
      <c r="AA1853" s="1" t="s">
        <v>109</v>
      </c>
      <c r="AB1853" s="1" t="s">
        <v>109</v>
      </c>
      <c r="AC1853" s="1" t="s">
        <v>109</v>
      </c>
      <c r="AD1853" s="1" t="s">
        <v>109</v>
      </c>
      <c r="AE1853" s="1" t="s">
        <v>109</v>
      </c>
      <c r="AF1853" s="1" t="s">
        <v>109</v>
      </c>
      <c r="AG1853" s="1" t="s">
        <v>109</v>
      </c>
      <c r="AH1853" s="1" t="s">
        <v>109</v>
      </c>
      <c r="AI1853" s="1" t="s">
        <v>109</v>
      </c>
      <c r="AJ1853" s="1">
        <v>1</v>
      </c>
      <c r="AK1853" s="1" t="s">
        <v>109</v>
      </c>
      <c r="AL1853" s="1" t="s">
        <v>109</v>
      </c>
      <c r="AM1853" s="1" t="s">
        <v>109</v>
      </c>
      <c r="AN1853" s="1" t="s">
        <v>109</v>
      </c>
      <c r="AO1853" s="1" t="s">
        <v>109</v>
      </c>
      <c r="AP1853" s="1"/>
      <c r="AQ1853" s="1">
        <v>1</v>
      </c>
      <c r="AR1853" s="1"/>
      <c r="AS1853" s="1" t="s">
        <v>13717</v>
      </c>
      <c r="AT1853" s="1">
        <v>0</v>
      </c>
      <c r="AU1853" s="1">
        <v>0</v>
      </c>
      <c r="AV1853" s="1">
        <v>0</v>
      </c>
      <c r="AW1853" s="1">
        <v>0</v>
      </c>
      <c r="AX1853" s="1">
        <v>1</v>
      </c>
      <c r="AY1853" s="1">
        <v>0</v>
      </c>
      <c r="AZ1853" s="1">
        <v>0</v>
      </c>
      <c r="BA1853" s="1">
        <v>0</v>
      </c>
      <c r="BB1853" s="1">
        <v>0</v>
      </c>
      <c r="BC1853" s="1">
        <v>0</v>
      </c>
      <c r="BD1853" s="1">
        <v>0</v>
      </c>
      <c r="BE1853" s="1">
        <v>0</v>
      </c>
      <c r="BF1853" s="1">
        <v>0</v>
      </c>
      <c r="BG1853" s="1">
        <v>0</v>
      </c>
      <c r="BH1853" s="1">
        <v>0</v>
      </c>
      <c r="BI1853" s="1">
        <v>0</v>
      </c>
      <c r="BJ1853" s="1">
        <v>0</v>
      </c>
      <c r="BK1853" s="1">
        <v>0</v>
      </c>
      <c r="BL1853" s="1">
        <v>0</v>
      </c>
      <c r="BM1853" s="1">
        <v>0</v>
      </c>
      <c r="BN1853" s="1">
        <v>0</v>
      </c>
      <c r="BO1853" s="1">
        <v>0</v>
      </c>
      <c r="BP1853" s="1">
        <v>0</v>
      </c>
      <c r="BQ1853" s="1">
        <v>0</v>
      </c>
      <c r="BR1853" s="1">
        <v>0</v>
      </c>
      <c r="BS1853" s="1" t="s">
        <v>109</v>
      </c>
      <c r="BT1853" s="1">
        <v>1927</v>
      </c>
      <c r="BU1853" s="1" t="s">
        <v>109</v>
      </c>
      <c r="BV1853" s="1"/>
      <c r="BW1853" s="1"/>
      <c r="BX1853" s="1"/>
      <c r="BY1853" s="1"/>
      <c r="BZ1853" s="1">
        <v>0</v>
      </c>
      <c r="CA1853" s="1" t="s">
        <v>109</v>
      </c>
      <c r="CB1853" s="1">
        <v>1</v>
      </c>
      <c r="CC1853" s="1" t="s">
        <v>109</v>
      </c>
      <c r="CD1853" s="1" t="s">
        <v>109</v>
      </c>
      <c r="CE1853" s="1" t="s">
        <v>109</v>
      </c>
      <c r="CF1853" s="1" t="s">
        <v>109</v>
      </c>
      <c r="CG1853" s="1" t="s">
        <v>109</v>
      </c>
      <c r="CH1853" s="1" t="s">
        <v>109</v>
      </c>
      <c r="CI1853" s="1" t="s">
        <v>109</v>
      </c>
      <c r="CJ1853" s="1" t="s">
        <v>109</v>
      </c>
      <c r="CK1853" s="1"/>
      <c r="CL1853" s="1">
        <v>0</v>
      </c>
      <c r="CM1853" s="1">
        <v>0</v>
      </c>
      <c r="CN1853" s="1">
        <v>0</v>
      </c>
    </row>
    <row r="1854" spans="1:92" ht="14.25" customHeight="1" x14ac:dyDescent="0.15">
      <c r="A1854" s="1" t="s">
        <v>13718</v>
      </c>
      <c r="B1854" s="1" t="s">
        <v>189</v>
      </c>
      <c r="C1854" s="1"/>
      <c r="D1854" s="1" t="s">
        <v>8487</v>
      </c>
      <c r="E1854" s="1" t="s">
        <v>213</v>
      </c>
      <c r="F1854" s="1" t="s">
        <v>98</v>
      </c>
      <c r="G1854" s="1" t="s">
        <v>13719</v>
      </c>
      <c r="H1854" s="1">
        <v>1</v>
      </c>
      <c r="I1854" s="1" t="s">
        <v>925</v>
      </c>
      <c r="J1854" s="1"/>
      <c r="K1854" s="1" t="s">
        <v>13720</v>
      </c>
      <c r="L1854" s="1"/>
      <c r="M1854" s="1" t="s">
        <v>6144</v>
      </c>
      <c r="N1854" s="1">
        <v>1</v>
      </c>
      <c r="O1854" s="1">
        <v>0</v>
      </c>
      <c r="P1854" s="1" t="s">
        <v>103</v>
      </c>
      <c r="Q1854" s="1" t="s">
        <v>104</v>
      </c>
      <c r="R1854" s="1" t="s">
        <v>13721</v>
      </c>
      <c r="S1854" s="1" t="s">
        <v>13722</v>
      </c>
      <c r="T1854" s="1" t="s">
        <v>13306</v>
      </c>
      <c r="U1854" s="1" t="s">
        <v>13723</v>
      </c>
      <c r="V1854" s="1">
        <v>1</v>
      </c>
      <c r="W1854" s="1">
        <v>1</v>
      </c>
      <c r="X1854" s="1">
        <v>1</v>
      </c>
      <c r="Y1854" s="1">
        <v>0</v>
      </c>
      <c r="Z1854" s="1">
        <v>0</v>
      </c>
      <c r="AA1854" s="1" t="s">
        <v>109</v>
      </c>
      <c r="AB1854" s="1" t="s">
        <v>109</v>
      </c>
      <c r="AC1854" s="1">
        <v>2</v>
      </c>
      <c r="AD1854" s="1" t="s">
        <v>109</v>
      </c>
      <c r="AE1854" s="1" t="s">
        <v>109</v>
      </c>
      <c r="AF1854" s="1" t="s">
        <v>109</v>
      </c>
      <c r="AG1854" s="1" t="s">
        <v>109</v>
      </c>
      <c r="AH1854" s="1" t="s">
        <v>109</v>
      </c>
      <c r="AI1854" s="1" t="s">
        <v>109</v>
      </c>
      <c r="AJ1854" s="1" t="s">
        <v>109</v>
      </c>
      <c r="AK1854" s="1">
        <v>2</v>
      </c>
      <c r="AL1854" s="1">
        <v>2</v>
      </c>
      <c r="AM1854" s="1" t="s">
        <v>109</v>
      </c>
      <c r="AN1854" s="1" t="s">
        <v>109</v>
      </c>
      <c r="AO1854" s="1" t="s">
        <v>109</v>
      </c>
      <c r="AP1854" s="1"/>
      <c r="AQ1854" s="1">
        <v>2</v>
      </c>
      <c r="AR1854" s="1"/>
      <c r="AS1854" s="1" t="s">
        <v>13724</v>
      </c>
      <c r="AT1854" s="1">
        <v>0</v>
      </c>
      <c r="AU1854" s="1">
        <v>0</v>
      </c>
      <c r="AV1854" s="1">
        <v>0</v>
      </c>
      <c r="AW1854" s="1">
        <v>1</v>
      </c>
      <c r="AX1854" s="1">
        <v>0</v>
      </c>
      <c r="AY1854" s="1">
        <v>0</v>
      </c>
      <c r="AZ1854" s="1">
        <v>0</v>
      </c>
      <c r="BA1854" s="1">
        <v>0</v>
      </c>
      <c r="BB1854" s="1">
        <v>0</v>
      </c>
      <c r="BC1854" s="1">
        <v>0</v>
      </c>
      <c r="BD1854" s="1">
        <v>0</v>
      </c>
      <c r="BE1854" s="1">
        <v>0</v>
      </c>
      <c r="BF1854" s="1">
        <v>0</v>
      </c>
      <c r="BG1854" s="1">
        <v>0</v>
      </c>
      <c r="BH1854" s="1">
        <v>0</v>
      </c>
      <c r="BI1854" s="1">
        <v>1</v>
      </c>
      <c r="BJ1854" s="1">
        <v>0</v>
      </c>
      <c r="BK1854" s="1">
        <v>0</v>
      </c>
      <c r="BL1854" s="1">
        <v>0</v>
      </c>
      <c r="BM1854" s="1">
        <v>0</v>
      </c>
      <c r="BN1854" s="1">
        <v>0</v>
      </c>
      <c r="BO1854" s="1">
        <v>0</v>
      </c>
      <c r="BP1854" s="1">
        <v>0</v>
      </c>
      <c r="BQ1854" s="1">
        <v>0</v>
      </c>
      <c r="BR1854" s="1">
        <v>1</v>
      </c>
      <c r="BS1854" s="1" t="s">
        <v>109</v>
      </c>
      <c r="BT1854" s="1">
        <v>1928</v>
      </c>
      <c r="BU1854" s="1">
        <v>25</v>
      </c>
      <c r="BV1854" s="1"/>
      <c r="BW1854" s="1"/>
      <c r="BX1854" s="1"/>
      <c r="BY1854" s="1"/>
      <c r="BZ1854" s="1">
        <v>0</v>
      </c>
      <c r="CA1854" s="1" t="s">
        <v>109</v>
      </c>
      <c r="CB1854" s="1" t="s">
        <v>109</v>
      </c>
      <c r="CC1854" s="1" t="s">
        <v>109</v>
      </c>
      <c r="CD1854" s="1" t="s">
        <v>109</v>
      </c>
      <c r="CE1854" s="1" t="s">
        <v>109</v>
      </c>
      <c r="CF1854" s="1" t="s">
        <v>109</v>
      </c>
      <c r="CG1854" s="1" t="s">
        <v>109</v>
      </c>
      <c r="CH1854" s="1" t="s">
        <v>109</v>
      </c>
      <c r="CI1854" s="1" t="s">
        <v>109</v>
      </c>
      <c r="CJ1854" s="1" t="s">
        <v>109</v>
      </c>
      <c r="CK1854" s="1"/>
      <c r="CL1854" s="1">
        <v>0</v>
      </c>
      <c r="CM1854" s="1">
        <v>0</v>
      </c>
      <c r="CN1854" s="1">
        <v>0</v>
      </c>
    </row>
    <row r="1855" spans="1:92" ht="14.25" customHeight="1" x14ac:dyDescent="0.15">
      <c r="A1855" s="1" t="s">
        <v>13725</v>
      </c>
      <c r="B1855" s="1" t="s">
        <v>156</v>
      </c>
      <c r="C1855" s="1" t="s">
        <v>157</v>
      </c>
      <c r="D1855" s="1" t="s">
        <v>158</v>
      </c>
      <c r="E1855" s="1" t="s">
        <v>13726</v>
      </c>
      <c r="F1855" s="1" t="s">
        <v>98</v>
      </c>
      <c r="G1855" s="1" t="s">
        <v>141</v>
      </c>
      <c r="H1855" s="1">
        <v>0</v>
      </c>
      <c r="I1855" s="1" t="s">
        <v>235</v>
      </c>
      <c r="J1855" s="1"/>
      <c r="K1855" s="1"/>
      <c r="L1855" s="1" t="s">
        <v>236</v>
      </c>
      <c r="M1855" s="1" t="s">
        <v>9547</v>
      </c>
      <c r="N1855" s="1">
        <v>0</v>
      </c>
      <c r="O1855" s="1">
        <v>0</v>
      </c>
      <c r="P1855" s="1"/>
      <c r="Q1855" s="1"/>
      <c r="R1855" s="1" t="s">
        <v>13727</v>
      </c>
      <c r="S1855" s="1" t="s">
        <v>13728</v>
      </c>
      <c r="T1855" s="1" t="s">
        <v>13306</v>
      </c>
      <c r="U1855" s="1" t="s">
        <v>13729</v>
      </c>
      <c r="V1855" s="1">
        <v>1</v>
      </c>
      <c r="W1855" s="1">
        <v>1</v>
      </c>
      <c r="X1855" s="1">
        <v>0</v>
      </c>
      <c r="Y1855" s="1">
        <v>0</v>
      </c>
      <c r="Z1855" s="1">
        <v>0</v>
      </c>
      <c r="AA1855" s="1">
        <v>2</v>
      </c>
      <c r="AB1855" s="1">
        <v>2</v>
      </c>
      <c r="AC1855" s="1" t="s">
        <v>109</v>
      </c>
      <c r="AD1855" s="1" t="s">
        <v>109</v>
      </c>
      <c r="AE1855" s="1" t="s">
        <v>109</v>
      </c>
      <c r="AF1855" s="1">
        <v>2</v>
      </c>
      <c r="AG1855" s="1" t="s">
        <v>109</v>
      </c>
      <c r="AH1855" s="1">
        <v>2</v>
      </c>
      <c r="AI1855" s="1" t="s">
        <v>109</v>
      </c>
      <c r="AJ1855" s="1">
        <v>2</v>
      </c>
      <c r="AK1855" s="1" t="s">
        <v>109</v>
      </c>
      <c r="AL1855" s="1" t="s">
        <v>109</v>
      </c>
      <c r="AM1855" s="1" t="s">
        <v>109</v>
      </c>
      <c r="AN1855" s="1" t="s">
        <v>109</v>
      </c>
      <c r="AO1855" s="1" t="s">
        <v>109</v>
      </c>
      <c r="AP1855" s="1"/>
      <c r="AQ1855" s="1">
        <v>2</v>
      </c>
      <c r="AR1855" s="1"/>
      <c r="AS1855" s="1" t="s">
        <v>13730</v>
      </c>
      <c r="AT1855" s="1">
        <v>0</v>
      </c>
      <c r="AU1855" s="1">
        <v>0</v>
      </c>
      <c r="AV1855" s="1">
        <v>0</v>
      </c>
      <c r="AW1855" s="1">
        <v>0</v>
      </c>
      <c r="AX1855" s="1">
        <v>0</v>
      </c>
      <c r="AY1855" s="1">
        <v>0</v>
      </c>
      <c r="AZ1855" s="1">
        <v>0</v>
      </c>
      <c r="BA1855" s="1">
        <v>0</v>
      </c>
      <c r="BB1855" s="1">
        <v>0</v>
      </c>
      <c r="BC1855" s="1">
        <v>0</v>
      </c>
      <c r="BD1855" s="1">
        <v>0</v>
      </c>
      <c r="BE1855" s="1">
        <v>0</v>
      </c>
      <c r="BF1855" s="1">
        <v>0</v>
      </c>
      <c r="BG1855" s="1">
        <v>0</v>
      </c>
      <c r="BH1855" s="1">
        <v>0</v>
      </c>
      <c r="BI1855" s="1">
        <v>0</v>
      </c>
      <c r="BJ1855" s="1">
        <v>0</v>
      </c>
      <c r="BK1855" s="1">
        <v>0</v>
      </c>
      <c r="BL1855" s="1">
        <v>0</v>
      </c>
      <c r="BM1855" s="1">
        <v>1</v>
      </c>
      <c r="BN1855" s="1">
        <v>0</v>
      </c>
      <c r="BO1855" s="1">
        <v>0</v>
      </c>
      <c r="BP1855" s="1">
        <v>0</v>
      </c>
      <c r="BQ1855" s="1">
        <v>0</v>
      </c>
      <c r="BR1855" s="1">
        <v>0</v>
      </c>
      <c r="BS1855" s="1" t="s">
        <v>109</v>
      </c>
      <c r="BT1855" s="1">
        <v>1929</v>
      </c>
      <c r="BU1855" s="1" t="s">
        <v>109</v>
      </c>
      <c r="BV1855" s="1"/>
      <c r="BW1855" s="1"/>
      <c r="BX1855" s="1"/>
      <c r="BY1855" s="1"/>
      <c r="BZ1855" s="1">
        <v>0</v>
      </c>
      <c r="CA1855" s="1" t="s">
        <v>109</v>
      </c>
      <c r="CB1855" s="1" t="s">
        <v>109</v>
      </c>
      <c r="CC1855" s="1">
        <v>2</v>
      </c>
      <c r="CD1855" s="1" t="s">
        <v>109</v>
      </c>
      <c r="CE1855" s="1">
        <v>2</v>
      </c>
      <c r="CF1855" s="1">
        <v>2</v>
      </c>
      <c r="CG1855" s="1" t="s">
        <v>109</v>
      </c>
      <c r="CH1855" s="1" t="s">
        <v>109</v>
      </c>
      <c r="CI1855" s="1" t="s">
        <v>109</v>
      </c>
      <c r="CJ1855" s="1" t="s">
        <v>109</v>
      </c>
      <c r="CK1855" s="1"/>
      <c r="CL1855" s="1">
        <v>0</v>
      </c>
      <c r="CM1855" s="1">
        <v>0</v>
      </c>
      <c r="CN1855" s="1">
        <v>0</v>
      </c>
    </row>
    <row r="1856" spans="1:92" ht="14.25" customHeight="1" x14ac:dyDescent="0.15">
      <c r="A1856" s="1" t="s">
        <v>13731</v>
      </c>
      <c r="B1856" s="1" t="s">
        <v>242</v>
      </c>
      <c r="C1856" s="1"/>
      <c r="D1856" s="1"/>
      <c r="E1856" s="1" t="s">
        <v>13732</v>
      </c>
      <c r="F1856" s="1" t="s">
        <v>98</v>
      </c>
      <c r="G1856" s="1" t="s">
        <v>244</v>
      </c>
      <c r="H1856" s="1">
        <v>0</v>
      </c>
      <c r="I1856" s="1" t="s">
        <v>142</v>
      </c>
      <c r="J1856" s="1" t="s">
        <v>245</v>
      </c>
      <c r="K1856" s="1"/>
      <c r="L1856" s="1"/>
      <c r="M1856" s="1" t="s">
        <v>5642</v>
      </c>
      <c r="N1856" s="1">
        <v>0</v>
      </c>
      <c r="O1856" s="1">
        <v>0</v>
      </c>
      <c r="P1856" s="1" t="s">
        <v>103</v>
      </c>
      <c r="Q1856" s="1" t="s">
        <v>104</v>
      </c>
      <c r="R1856" s="1" t="s">
        <v>13733</v>
      </c>
      <c r="S1856" s="1" t="s">
        <v>13734</v>
      </c>
      <c r="T1856" s="1" t="s">
        <v>13306</v>
      </c>
      <c r="U1856" s="1" t="s">
        <v>13735</v>
      </c>
      <c r="V1856" s="1">
        <v>1</v>
      </c>
      <c r="W1856" s="1">
        <v>1</v>
      </c>
      <c r="X1856" s="1">
        <v>0</v>
      </c>
      <c r="Y1856" s="1">
        <v>0</v>
      </c>
      <c r="Z1856" s="1">
        <v>1</v>
      </c>
      <c r="AA1856" s="1">
        <v>1</v>
      </c>
      <c r="AB1856" s="1">
        <v>1</v>
      </c>
      <c r="AC1856" s="1" t="s">
        <v>109</v>
      </c>
      <c r="AD1856" s="1" t="s">
        <v>109</v>
      </c>
      <c r="AE1856" s="1">
        <v>1</v>
      </c>
      <c r="AF1856" s="1">
        <v>1</v>
      </c>
      <c r="AG1856" s="1" t="s">
        <v>109</v>
      </c>
      <c r="AH1856" s="1">
        <v>1</v>
      </c>
      <c r="AI1856" s="1" t="s">
        <v>109</v>
      </c>
      <c r="AJ1856" s="1" t="s">
        <v>109</v>
      </c>
      <c r="AK1856" s="1">
        <v>1</v>
      </c>
      <c r="AL1856" s="1" t="s">
        <v>109</v>
      </c>
      <c r="AM1856" s="1" t="s">
        <v>109</v>
      </c>
      <c r="AN1856" s="1" t="s">
        <v>109</v>
      </c>
      <c r="AO1856" s="1" t="s">
        <v>109</v>
      </c>
      <c r="AP1856" s="1"/>
      <c r="AQ1856" s="1">
        <v>1</v>
      </c>
      <c r="AR1856" s="1"/>
      <c r="AS1856" s="1" t="s">
        <v>13736</v>
      </c>
      <c r="AT1856" s="1">
        <v>0</v>
      </c>
      <c r="AU1856" s="1">
        <v>0</v>
      </c>
      <c r="AV1856" s="1">
        <v>0</v>
      </c>
      <c r="AW1856" s="1">
        <v>0</v>
      </c>
      <c r="AX1856" s="1">
        <v>0</v>
      </c>
      <c r="AY1856" s="1">
        <v>0</v>
      </c>
      <c r="AZ1856" s="1">
        <v>0</v>
      </c>
      <c r="BA1856" s="1">
        <v>0</v>
      </c>
      <c r="BB1856" s="1">
        <v>0</v>
      </c>
      <c r="BC1856" s="1">
        <v>0</v>
      </c>
      <c r="BD1856" s="1">
        <v>0</v>
      </c>
      <c r="BE1856" s="1">
        <v>0</v>
      </c>
      <c r="BF1856" s="1">
        <v>0</v>
      </c>
      <c r="BG1856" s="1">
        <v>0</v>
      </c>
      <c r="BH1856" s="1">
        <v>0</v>
      </c>
      <c r="BI1856" s="1">
        <v>0</v>
      </c>
      <c r="BJ1856" s="1">
        <v>0</v>
      </c>
      <c r="BK1856" s="1">
        <v>0</v>
      </c>
      <c r="BL1856" s="1">
        <v>0</v>
      </c>
      <c r="BM1856" s="1">
        <v>0</v>
      </c>
      <c r="BN1856" s="1">
        <v>0</v>
      </c>
      <c r="BO1856" s="1">
        <v>0</v>
      </c>
      <c r="BP1856" s="1">
        <v>0</v>
      </c>
      <c r="BQ1856" s="1">
        <v>0</v>
      </c>
      <c r="BR1856" s="1">
        <v>0</v>
      </c>
      <c r="BS1856" s="1" t="s">
        <v>109</v>
      </c>
      <c r="BT1856" s="1">
        <v>1930</v>
      </c>
      <c r="BU1856" s="1" t="s">
        <v>109</v>
      </c>
      <c r="BV1856" s="1"/>
      <c r="BW1856" s="1"/>
      <c r="BX1856" s="1"/>
      <c r="BY1856" s="1"/>
      <c r="BZ1856" s="1">
        <v>0</v>
      </c>
      <c r="CA1856" s="1" t="s">
        <v>109</v>
      </c>
      <c r="CB1856" s="1" t="s">
        <v>109</v>
      </c>
      <c r="CC1856" s="1">
        <v>1</v>
      </c>
      <c r="CD1856" s="1" t="s">
        <v>109</v>
      </c>
      <c r="CE1856" s="1" t="s">
        <v>109</v>
      </c>
      <c r="CF1856" s="1" t="s">
        <v>109</v>
      </c>
      <c r="CG1856" s="1" t="s">
        <v>109</v>
      </c>
      <c r="CH1856" s="1" t="s">
        <v>109</v>
      </c>
      <c r="CI1856" s="1" t="s">
        <v>109</v>
      </c>
      <c r="CJ1856" s="1">
        <v>1</v>
      </c>
      <c r="CK1856" s="1"/>
      <c r="CL1856" s="1">
        <v>0</v>
      </c>
      <c r="CM1856" s="1">
        <v>0</v>
      </c>
      <c r="CN1856" s="1">
        <v>0</v>
      </c>
    </row>
    <row r="1857" spans="1:92" ht="14.25" customHeight="1" x14ac:dyDescent="0.15">
      <c r="A1857" s="1" t="s">
        <v>13737</v>
      </c>
      <c r="B1857" s="1" t="s">
        <v>308</v>
      </c>
      <c r="C1857" s="1"/>
      <c r="D1857" s="1"/>
      <c r="E1857" s="1" t="s">
        <v>13738</v>
      </c>
      <c r="F1857" s="1" t="s">
        <v>98</v>
      </c>
      <c r="G1857" s="1" t="s">
        <v>13739</v>
      </c>
      <c r="H1857" s="1">
        <v>0</v>
      </c>
      <c r="I1857" s="1" t="s">
        <v>142</v>
      </c>
      <c r="J1857" s="1"/>
      <c r="K1857" s="1"/>
      <c r="L1857" s="1" t="s">
        <v>13740</v>
      </c>
      <c r="M1857" s="1" t="s">
        <v>3042</v>
      </c>
      <c r="N1857" s="1">
        <v>0</v>
      </c>
      <c r="O1857" s="1">
        <v>0</v>
      </c>
      <c r="P1857" s="1" t="s">
        <v>507</v>
      </c>
      <c r="Q1857" s="1" t="s">
        <v>268</v>
      </c>
      <c r="R1857" s="1" t="s">
        <v>13741</v>
      </c>
      <c r="S1857" s="1" t="s">
        <v>13742</v>
      </c>
      <c r="T1857" s="1" t="s">
        <v>13306</v>
      </c>
      <c r="U1857" s="1" t="s">
        <v>13743</v>
      </c>
      <c r="V1857" s="1">
        <v>1</v>
      </c>
      <c r="W1857" s="1">
        <v>1</v>
      </c>
      <c r="X1857" s="1">
        <v>1</v>
      </c>
      <c r="Y1857" s="1">
        <v>0</v>
      </c>
      <c r="Z1857" s="1">
        <v>1</v>
      </c>
      <c r="AA1857" s="1">
        <v>2</v>
      </c>
      <c r="AB1857" s="1">
        <v>2</v>
      </c>
      <c r="AC1857" s="1">
        <v>2</v>
      </c>
      <c r="AD1857" s="1" t="s">
        <v>109</v>
      </c>
      <c r="AE1857" s="1" t="s">
        <v>109</v>
      </c>
      <c r="AF1857" s="1" t="s">
        <v>109</v>
      </c>
      <c r="AG1857" s="1" t="s">
        <v>109</v>
      </c>
      <c r="AH1857" s="1" t="s">
        <v>109</v>
      </c>
      <c r="AI1857" s="1" t="s">
        <v>109</v>
      </c>
      <c r="AJ1857" s="1">
        <v>2</v>
      </c>
      <c r="AK1857" s="1" t="s">
        <v>109</v>
      </c>
      <c r="AL1857" s="1">
        <v>2</v>
      </c>
      <c r="AM1857" s="1" t="s">
        <v>109</v>
      </c>
      <c r="AN1857" s="1" t="s">
        <v>109</v>
      </c>
      <c r="AO1857" s="1" t="s">
        <v>109</v>
      </c>
      <c r="AP1857" s="1"/>
      <c r="AQ1857" s="1">
        <v>2</v>
      </c>
      <c r="AR1857" s="1"/>
      <c r="AS1857" s="1" t="s">
        <v>13744</v>
      </c>
      <c r="AT1857" s="1">
        <v>0</v>
      </c>
      <c r="AU1857" s="1">
        <v>0</v>
      </c>
      <c r="AV1857" s="1">
        <v>0</v>
      </c>
      <c r="AW1857" s="1">
        <v>0</v>
      </c>
      <c r="AX1857" s="1">
        <v>0</v>
      </c>
      <c r="AY1857" s="1">
        <v>0</v>
      </c>
      <c r="AZ1857" s="1">
        <v>0</v>
      </c>
      <c r="BA1857" s="1">
        <v>0</v>
      </c>
      <c r="BB1857" s="1">
        <v>0</v>
      </c>
      <c r="BC1857" s="1">
        <v>0</v>
      </c>
      <c r="BD1857" s="1">
        <v>0</v>
      </c>
      <c r="BE1857" s="1">
        <v>0</v>
      </c>
      <c r="BF1857" s="1">
        <v>0</v>
      </c>
      <c r="BG1857" s="1">
        <v>0</v>
      </c>
      <c r="BH1857" s="1">
        <v>0</v>
      </c>
      <c r="BI1857" s="1">
        <v>0</v>
      </c>
      <c r="BJ1857" s="1">
        <v>0</v>
      </c>
      <c r="BK1857" s="1">
        <v>0</v>
      </c>
      <c r="BL1857" s="1">
        <v>0</v>
      </c>
      <c r="BM1857" s="1">
        <v>0</v>
      </c>
      <c r="BN1857" s="1">
        <v>0</v>
      </c>
      <c r="BO1857" s="1">
        <v>0</v>
      </c>
      <c r="BP1857" s="1">
        <v>0</v>
      </c>
      <c r="BQ1857" s="1">
        <v>0</v>
      </c>
      <c r="BR1857" s="1">
        <v>0</v>
      </c>
      <c r="BS1857" s="1" t="s">
        <v>109</v>
      </c>
      <c r="BT1857" s="1">
        <v>1931</v>
      </c>
      <c r="BU1857" s="1" t="s">
        <v>109</v>
      </c>
      <c r="BV1857" s="1"/>
      <c r="BW1857" s="1"/>
      <c r="BX1857" s="1"/>
      <c r="BY1857" s="1"/>
      <c r="BZ1857" s="1">
        <v>0</v>
      </c>
      <c r="CA1857" s="1" t="s">
        <v>109</v>
      </c>
      <c r="CB1857" s="1">
        <v>2</v>
      </c>
      <c r="CC1857" s="1">
        <v>2</v>
      </c>
      <c r="CD1857" s="1" t="s">
        <v>109</v>
      </c>
      <c r="CE1857" s="1" t="s">
        <v>109</v>
      </c>
      <c r="CF1857" s="1" t="s">
        <v>109</v>
      </c>
      <c r="CG1857" s="1">
        <v>2</v>
      </c>
      <c r="CH1857" s="1" t="s">
        <v>109</v>
      </c>
      <c r="CI1857" s="1" t="s">
        <v>109</v>
      </c>
      <c r="CJ1857" s="1" t="s">
        <v>109</v>
      </c>
      <c r="CK1857" s="1"/>
      <c r="CL1857" s="1">
        <v>0</v>
      </c>
      <c r="CM1857" s="1">
        <v>0</v>
      </c>
      <c r="CN1857" s="1">
        <v>0</v>
      </c>
    </row>
    <row r="1858" spans="1:92" ht="14.25" customHeight="1" x14ac:dyDescent="0.15">
      <c r="A1858" s="1" t="s">
        <v>13745</v>
      </c>
      <c r="B1858" s="1" t="s">
        <v>242</v>
      </c>
      <c r="C1858" s="1"/>
      <c r="D1858" s="1"/>
      <c r="E1858" s="1" t="s">
        <v>13746</v>
      </c>
      <c r="F1858" s="1" t="s">
        <v>98</v>
      </c>
      <c r="G1858" s="1" t="s">
        <v>141</v>
      </c>
      <c r="H1858" s="1">
        <v>0</v>
      </c>
      <c r="I1858" s="1" t="s">
        <v>5544</v>
      </c>
      <c r="J1858" s="1" t="s">
        <v>13747</v>
      </c>
      <c r="K1858" s="1"/>
      <c r="L1858" s="1"/>
      <c r="M1858" s="1" t="s">
        <v>125</v>
      </c>
      <c r="N1858" s="1">
        <v>0</v>
      </c>
      <c r="O1858" s="1">
        <v>0</v>
      </c>
      <c r="P1858" s="1" t="s">
        <v>103</v>
      </c>
      <c r="Q1858" s="1" t="s">
        <v>104</v>
      </c>
      <c r="R1858" s="1" t="s">
        <v>13748</v>
      </c>
      <c r="S1858" s="1" t="s">
        <v>13749</v>
      </c>
      <c r="T1858" s="1" t="s">
        <v>13306</v>
      </c>
      <c r="U1858" s="1" t="s">
        <v>13750</v>
      </c>
      <c r="V1858" s="1">
        <v>1</v>
      </c>
      <c r="W1858" s="1">
        <v>1</v>
      </c>
      <c r="X1858" s="1">
        <v>0</v>
      </c>
      <c r="Y1858" s="1">
        <v>0</v>
      </c>
      <c r="Z1858" s="1">
        <v>0</v>
      </c>
      <c r="AA1858" s="1">
        <v>1</v>
      </c>
      <c r="AB1858" s="1">
        <v>1</v>
      </c>
      <c r="AC1858" s="1" t="s">
        <v>109</v>
      </c>
      <c r="AD1858" s="1" t="s">
        <v>109</v>
      </c>
      <c r="AE1858" s="1" t="s">
        <v>109</v>
      </c>
      <c r="AF1858" s="1" t="s">
        <v>109</v>
      </c>
      <c r="AG1858" s="1" t="s">
        <v>109</v>
      </c>
      <c r="AH1858" s="1" t="s">
        <v>109</v>
      </c>
      <c r="AI1858" s="1" t="s">
        <v>109</v>
      </c>
      <c r="AJ1858" s="1" t="s">
        <v>109</v>
      </c>
      <c r="AK1858" s="1" t="s">
        <v>109</v>
      </c>
      <c r="AL1858" s="1" t="s">
        <v>109</v>
      </c>
      <c r="AM1858" s="1" t="s">
        <v>109</v>
      </c>
      <c r="AN1858" s="1">
        <v>1</v>
      </c>
      <c r="AO1858" s="1" t="s">
        <v>109</v>
      </c>
      <c r="AP1858" s="1"/>
      <c r="AQ1858" s="1">
        <v>1</v>
      </c>
      <c r="AR1858" s="1"/>
      <c r="AS1858" s="1" t="s">
        <v>13751</v>
      </c>
      <c r="AT1858" s="1">
        <v>0</v>
      </c>
      <c r="AU1858" s="1">
        <v>0</v>
      </c>
      <c r="AV1858" s="1">
        <v>0</v>
      </c>
      <c r="AW1858" s="1">
        <v>0</v>
      </c>
      <c r="AX1858" s="1">
        <v>0</v>
      </c>
      <c r="AY1858" s="1">
        <v>0</v>
      </c>
      <c r="AZ1858" s="1">
        <v>0</v>
      </c>
      <c r="BA1858" s="1">
        <v>0</v>
      </c>
      <c r="BB1858" s="1">
        <v>0</v>
      </c>
      <c r="BC1858" s="1">
        <v>0</v>
      </c>
      <c r="BD1858" s="1">
        <v>0</v>
      </c>
      <c r="BE1858" s="1">
        <v>0</v>
      </c>
      <c r="BF1858" s="1">
        <v>0</v>
      </c>
      <c r="BG1858" s="1">
        <v>0</v>
      </c>
      <c r="BH1858" s="1">
        <v>0</v>
      </c>
      <c r="BI1858" s="1">
        <v>0</v>
      </c>
      <c r="BJ1858" s="1">
        <v>0</v>
      </c>
      <c r="BK1858" s="1">
        <v>0</v>
      </c>
      <c r="BL1858" s="1">
        <v>0</v>
      </c>
      <c r="BM1858" s="1">
        <v>0</v>
      </c>
      <c r="BN1858" s="1">
        <v>0</v>
      </c>
      <c r="BO1858" s="1">
        <v>0</v>
      </c>
      <c r="BP1858" s="1">
        <v>0</v>
      </c>
      <c r="BQ1858" s="1">
        <v>0</v>
      </c>
      <c r="BR1858" s="1">
        <v>0</v>
      </c>
      <c r="BS1858" s="1" t="s">
        <v>109</v>
      </c>
      <c r="BT1858" s="1">
        <v>1932</v>
      </c>
      <c r="BU1858" s="1" t="s">
        <v>109</v>
      </c>
      <c r="BV1858" s="1"/>
      <c r="BW1858" s="1"/>
      <c r="BX1858" s="1"/>
      <c r="BY1858" s="1"/>
      <c r="BZ1858" s="1">
        <v>0</v>
      </c>
      <c r="CA1858" s="1">
        <v>1</v>
      </c>
      <c r="CB1858" s="1" t="s">
        <v>109</v>
      </c>
      <c r="CC1858" s="1" t="s">
        <v>109</v>
      </c>
      <c r="CD1858" s="1" t="s">
        <v>109</v>
      </c>
      <c r="CE1858" s="1" t="s">
        <v>109</v>
      </c>
      <c r="CF1858" s="1" t="s">
        <v>109</v>
      </c>
      <c r="CG1858" s="1" t="s">
        <v>109</v>
      </c>
      <c r="CH1858" s="1" t="s">
        <v>109</v>
      </c>
      <c r="CI1858" s="1" t="s">
        <v>109</v>
      </c>
      <c r="CJ1858" s="1" t="s">
        <v>109</v>
      </c>
      <c r="CK1858" s="1"/>
      <c r="CL1858" s="1">
        <v>0</v>
      </c>
      <c r="CM1858" s="1">
        <v>0</v>
      </c>
      <c r="CN1858" s="1">
        <v>0</v>
      </c>
    </row>
    <row r="1859" spans="1:92" ht="14.25" customHeight="1" x14ac:dyDescent="0.15">
      <c r="A1859" s="1" t="s">
        <v>13752</v>
      </c>
      <c r="B1859" s="1" t="s">
        <v>189</v>
      </c>
      <c r="C1859" s="1"/>
      <c r="D1859" s="1"/>
      <c r="E1859" s="1" t="s">
        <v>13753</v>
      </c>
      <c r="F1859" s="1" t="s">
        <v>98</v>
      </c>
      <c r="G1859" s="1" t="s">
        <v>141</v>
      </c>
      <c r="H1859" s="1">
        <v>0</v>
      </c>
      <c r="I1859" s="1" t="s">
        <v>235</v>
      </c>
      <c r="J1859" s="1"/>
      <c r="K1859" s="1"/>
      <c r="L1859" s="1" t="s">
        <v>236</v>
      </c>
      <c r="M1859" s="1" t="s">
        <v>6144</v>
      </c>
      <c r="N1859" s="1">
        <v>1</v>
      </c>
      <c r="O1859" s="1">
        <v>0</v>
      </c>
      <c r="P1859" s="1"/>
      <c r="Q1859" s="1"/>
      <c r="R1859" s="1" t="s">
        <v>13754</v>
      </c>
      <c r="S1859" s="1" t="s">
        <v>13755</v>
      </c>
      <c r="T1859" s="1" t="s">
        <v>13306</v>
      </c>
      <c r="U1859" s="1" t="s">
        <v>13756</v>
      </c>
      <c r="V1859" s="1">
        <v>1</v>
      </c>
      <c r="W1859" s="1">
        <v>1</v>
      </c>
      <c r="X1859" s="1">
        <v>0</v>
      </c>
      <c r="Y1859" s="1">
        <v>0</v>
      </c>
      <c r="Z1859" s="1">
        <v>0</v>
      </c>
      <c r="AA1859" s="1">
        <v>1</v>
      </c>
      <c r="AB1859" s="1">
        <v>1</v>
      </c>
      <c r="AC1859" s="1" t="s">
        <v>109</v>
      </c>
      <c r="AD1859" s="1" t="s">
        <v>109</v>
      </c>
      <c r="AE1859" s="1" t="s">
        <v>109</v>
      </c>
      <c r="AF1859" s="1" t="s">
        <v>109</v>
      </c>
      <c r="AG1859" s="1" t="s">
        <v>109</v>
      </c>
      <c r="AH1859" s="1">
        <v>1</v>
      </c>
      <c r="AI1859" s="1">
        <v>1</v>
      </c>
      <c r="AJ1859" s="1">
        <v>1</v>
      </c>
      <c r="AK1859" s="1" t="s">
        <v>109</v>
      </c>
      <c r="AL1859" s="1" t="s">
        <v>109</v>
      </c>
      <c r="AM1859" s="1" t="s">
        <v>109</v>
      </c>
      <c r="AN1859" s="1">
        <v>1</v>
      </c>
      <c r="AO1859" s="1" t="s">
        <v>109</v>
      </c>
      <c r="AP1859" s="1"/>
      <c r="AQ1859" s="1">
        <v>1</v>
      </c>
      <c r="AR1859" s="1"/>
      <c r="AS1859" s="1" t="s">
        <v>13757</v>
      </c>
      <c r="AT1859" s="1">
        <v>0</v>
      </c>
      <c r="AU1859" s="1">
        <v>0</v>
      </c>
      <c r="AV1859" s="1">
        <v>0</v>
      </c>
      <c r="AW1859" s="1">
        <v>0</v>
      </c>
      <c r="AX1859" s="1">
        <v>0</v>
      </c>
      <c r="AY1859" s="1">
        <v>0</v>
      </c>
      <c r="AZ1859" s="1">
        <v>0</v>
      </c>
      <c r="BA1859" s="1">
        <v>0</v>
      </c>
      <c r="BB1859" s="1">
        <v>0</v>
      </c>
      <c r="BC1859" s="1">
        <v>0</v>
      </c>
      <c r="BD1859" s="1">
        <v>0</v>
      </c>
      <c r="BE1859" s="1">
        <v>0</v>
      </c>
      <c r="BF1859" s="1">
        <v>0</v>
      </c>
      <c r="BG1859" s="1">
        <v>0</v>
      </c>
      <c r="BH1859" s="1">
        <v>0</v>
      </c>
      <c r="BI1859" s="1">
        <v>0</v>
      </c>
      <c r="BJ1859" s="1">
        <v>0</v>
      </c>
      <c r="BK1859" s="1">
        <v>0</v>
      </c>
      <c r="BL1859" s="1">
        <v>0</v>
      </c>
      <c r="BM1859" s="1">
        <v>0</v>
      </c>
      <c r="BN1859" s="1">
        <v>0</v>
      </c>
      <c r="BO1859" s="1">
        <v>0</v>
      </c>
      <c r="BP1859" s="1">
        <v>0</v>
      </c>
      <c r="BQ1859" s="1">
        <v>0</v>
      </c>
      <c r="BR1859" s="1">
        <v>0</v>
      </c>
      <c r="BS1859" s="1" t="s">
        <v>109</v>
      </c>
      <c r="BT1859" s="1">
        <v>1933</v>
      </c>
      <c r="BU1859" s="1" t="s">
        <v>109</v>
      </c>
      <c r="BV1859" s="1"/>
      <c r="BW1859" s="1"/>
      <c r="BX1859" s="1"/>
      <c r="BY1859" s="1"/>
      <c r="BZ1859" s="1">
        <v>0</v>
      </c>
      <c r="CA1859" s="1">
        <v>1</v>
      </c>
      <c r="CB1859" s="1" t="s">
        <v>109</v>
      </c>
      <c r="CC1859" s="1">
        <v>1</v>
      </c>
      <c r="CD1859" s="1" t="s">
        <v>109</v>
      </c>
      <c r="CE1859" s="1" t="s">
        <v>109</v>
      </c>
      <c r="CF1859" s="1" t="s">
        <v>109</v>
      </c>
      <c r="CG1859" s="1" t="s">
        <v>109</v>
      </c>
      <c r="CH1859" s="1" t="s">
        <v>109</v>
      </c>
      <c r="CI1859" s="1" t="s">
        <v>109</v>
      </c>
      <c r="CJ1859" s="1" t="s">
        <v>109</v>
      </c>
      <c r="CK1859" s="1"/>
      <c r="CL1859" s="1">
        <v>0</v>
      </c>
      <c r="CM1859" s="1">
        <v>0</v>
      </c>
      <c r="CN1859" s="1">
        <v>0</v>
      </c>
    </row>
    <row r="1860" spans="1:92" ht="14.25" customHeight="1" x14ac:dyDescent="0.15">
      <c r="A1860" s="1" t="s">
        <v>13758</v>
      </c>
      <c r="B1860" s="1" t="s">
        <v>189</v>
      </c>
      <c r="C1860" s="1"/>
      <c r="D1860" s="1"/>
      <c r="E1860" s="1" t="s">
        <v>1534</v>
      </c>
      <c r="F1860" s="1" t="s">
        <v>98</v>
      </c>
      <c r="G1860" s="1" t="s">
        <v>3010</v>
      </c>
      <c r="H1860" s="1">
        <v>0</v>
      </c>
      <c r="I1860" s="1" t="s">
        <v>235</v>
      </c>
      <c r="J1860" s="1"/>
      <c r="K1860" s="1"/>
      <c r="L1860" s="1" t="s">
        <v>236</v>
      </c>
      <c r="M1860" s="1" t="s">
        <v>815</v>
      </c>
      <c r="N1860" s="1">
        <v>1</v>
      </c>
      <c r="O1860" s="1">
        <v>0</v>
      </c>
      <c r="P1860" s="1"/>
      <c r="Q1860" s="1"/>
      <c r="R1860" s="1" t="s">
        <v>13759</v>
      </c>
      <c r="S1860" s="1" t="s">
        <v>13760</v>
      </c>
      <c r="T1860" s="1" t="s">
        <v>13306</v>
      </c>
      <c r="U1860" s="1" t="s">
        <v>13761</v>
      </c>
      <c r="V1860" s="1">
        <v>1</v>
      </c>
      <c r="W1860" s="1">
        <v>1</v>
      </c>
      <c r="X1860" s="1">
        <v>1</v>
      </c>
      <c r="Y1860" s="1">
        <v>0</v>
      </c>
      <c r="Z1860" s="1">
        <v>0</v>
      </c>
      <c r="AA1860" s="1" t="s">
        <v>109</v>
      </c>
      <c r="AB1860" s="1" t="s">
        <v>109</v>
      </c>
      <c r="AC1860" s="1" t="s">
        <v>109</v>
      </c>
      <c r="AD1860" s="1">
        <v>3</v>
      </c>
      <c r="AE1860" s="1">
        <v>3</v>
      </c>
      <c r="AF1860" s="1" t="s">
        <v>109</v>
      </c>
      <c r="AG1860" s="1" t="s">
        <v>109</v>
      </c>
      <c r="AH1860" s="1" t="s">
        <v>109</v>
      </c>
      <c r="AI1860" s="1" t="s">
        <v>109</v>
      </c>
      <c r="AJ1860" s="1" t="s">
        <v>109</v>
      </c>
      <c r="AK1860" s="1" t="s">
        <v>109</v>
      </c>
      <c r="AL1860" s="1" t="s">
        <v>109</v>
      </c>
      <c r="AM1860" s="1" t="s">
        <v>109</v>
      </c>
      <c r="AN1860" s="1" t="s">
        <v>109</v>
      </c>
      <c r="AO1860" s="1" t="s">
        <v>109</v>
      </c>
      <c r="AP1860" s="1"/>
      <c r="AQ1860" s="1">
        <v>3</v>
      </c>
      <c r="AR1860" s="1"/>
      <c r="AS1860" s="1" t="s">
        <v>13762</v>
      </c>
      <c r="AT1860" s="1">
        <v>0</v>
      </c>
      <c r="AU1860" s="1">
        <v>0</v>
      </c>
      <c r="AV1860" s="1">
        <v>0</v>
      </c>
      <c r="AW1860" s="1">
        <v>0</v>
      </c>
      <c r="AX1860" s="1">
        <v>0</v>
      </c>
      <c r="AY1860" s="1">
        <v>0</v>
      </c>
      <c r="AZ1860" s="1">
        <v>0</v>
      </c>
      <c r="BA1860" s="1">
        <v>0</v>
      </c>
      <c r="BB1860" s="1">
        <v>0</v>
      </c>
      <c r="BC1860" s="1">
        <v>0</v>
      </c>
      <c r="BD1860" s="1">
        <v>0</v>
      </c>
      <c r="BE1860" s="1">
        <v>0</v>
      </c>
      <c r="BF1860" s="1">
        <v>0</v>
      </c>
      <c r="BG1860" s="1">
        <v>0</v>
      </c>
      <c r="BH1860" s="1">
        <v>0</v>
      </c>
      <c r="BI1860" s="1">
        <v>0</v>
      </c>
      <c r="BJ1860" s="1">
        <v>0</v>
      </c>
      <c r="BK1860" s="1">
        <v>0</v>
      </c>
      <c r="BL1860" s="1">
        <v>0</v>
      </c>
      <c r="BM1860" s="1">
        <v>0</v>
      </c>
      <c r="BN1860" s="1">
        <v>0</v>
      </c>
      <c r="BO1860" s="1">
        <v>0</v>
      </c>
      <c r="BP1860" s="1">
        <v>0</v>
      </c>
      <c r="BQ1860" s="1">
        <v>0</v>
      </c>
      <c r="BR1860" s="1">
        <v>0</v>
      </c>
      <c r="BS1860" s="1" t="s">
        <v>109</v>
      </c>
      <c r="BT1860" s="1">
        <v>1934</v>
      </c>
      <c r="BU1860" s="1" t="s">
        <v>109</v>
      </c>
      <c r="BV1860" s="1"/>
      <c r="BW1860" s="1"/>
      <c r="BX1860" s="1"/>
      <c r="BY1860" s="1"/>
      <c r="BZ1860" s="1">
        <v>0</v>
      </c>
      <c r="CA1860" s="1" t="s">
        <v>109</v>
      </c>
      <c r="CB1860" s="1" t="s">
        <v>109</v>
      </c>
      <c r="CC1860" s="1" t="s">
        <v>109</v>
      </c>
      <c r="CD1860" s="1" t="s">
        <v>109</v>
      </c>
      <c r="CE1860" s="1" t="s">
        <v>109</v>
      </c>
      <c r="CF1860" s="1" t="s">
        <v>109</v>
      </c>
      <c r="CG1860" s="1" t="s">
        <v>109</v>
      </c>
      <c r="CH1860" s="1" t="s">
        <v>109</v>
      </c>
      <c r="CI1860" s="1" t="s">
        <v>109</v>
      </c>
      <c r="CJ1860" s="1">
        <v>3</v>
      </c>
      <c r="CK1860" s="1"/>
      <c r="CL1860" s="1">
        <v>0</v>
      </c>
      <c r="CM1860" s="1">
        <v>0</v>
      </c>
      <c r="CN1860" s="1">
        <v>0</v>
      </c>
    </row>
    <row r="1861" spans="1:92" ht="14.25" customHeight="1" x14ac:dyDescent="0.15">
      <c r="A1861" s="1" t="s">
        <v>13763</v>
      </c>
      <c r="B1861" s="1" t="s">
        <v>189</v>
      </c>
      <c r="C1861" s="1"/>
      <c r="D1861" s="1" t="s">
        <v>69</v>
      </c>
      <c r="E1861" s="1" t="s">
        <v>4972</v>
      </c>
      <c r="F1861" s="1" t="s">
        <v>395</v>
      </c>
      <c r="G1861" s="1" t="s">
        <v>141</v>
      </c>
      <c r="H1861" s="1">
        <v>0</v>
      </c>
      <c r="I1861" s="1" t="s">
        <v>161</v>
      </c>
      <c r="J1861" s="1"/>
      <c r="K1861" s="1"/>
      <c r="L1861" s="1" t="s">
        <v>13764</v>
      </c>
      <c r="M1861" s="1" t="s">
        <v>125</v>
      </c>
      <c r="N1861" s="1">
        <v>0</v>
      </c>
      <c r="O1861" s="1">
        <v>0</v>
      </c>
      <c r="P1861" s="1" t="s">
        <v>9752</v>
      </c>
      <c r="Q1861" s="1" t="s">
        <v>268</v>
      </c>
      <c r="R1861" s="1" t="s">
        <v>13765</v>
      </c>
      <c r="S1861" s="1" t="s">
        <v>13766</v>
      </c>
      <c r="T1861" s="1" t="s">
        <v>13306</v>
      </c>
      <c r="U1861" s="1" t="s">
        <v>13767</v>
      </c>
      <c r="V1861" s="1">
        <v>1</v>
      </c>
      <c r="W1861" s="1">
        <v>1</v>
      </c>
      <c r="X1861" s="1">
        <v>0</v>
      </c>
      <c r="Y1861" s="1">
        <v>0</v>
      </c>
      <c r="Z1861" s="1">
        <v>0</v>
      </c>
      <c r="AA1861" s="1" t="s">
        <v>109</v>
      </c>
      <c r="AB1861" s="1" t="s">
        <v>109</v>
      </c>
      <c r="AC1861" s="1" t="s">
        <v>109</v>
      </c>
      <c r="AD1861" s="1" t="s">
        <v>109</v>
      </c>
      <c r="AE1861" s="1" t="s">
        <v>109</v>
      </c>
      <c r="AF1861" s="1">
        <v>6</v>
      </c>
      <c r="AG1861" s="1" t="s">
        <v>109</v>
      </c>
      <c r="AH1861" s="1" t="s">
        <v>109</v>
      </c>
      <c r="AI1861" s="1" t="s">
        <v>109</v>
      </c>
      <c r="AJ1861" s="1" t="s">
        <v>109</v>
      </c>
      <c r="AK1861" s="1" t="s">
        <v>109</v>
      </c>
      <c r="AL1861" s="1" t="s">
        <v>109</v>
      </c>
      <c r="AM1861" s="1" t="s">
        <v>109</v>
      </c>
      <c r="AN1861" s="1" t="s">
        <v>109</v>
      </c>
      <c r="AO1861" s="1" t="s">
        <v>109</v>
      </c>
      <c r="AP1861" s="1"/>
      <c r="AQ1861" s="1">
        <v>6</v>
      </c>
      <c r="AR1861" s="1"/>
      <c r="AS1861" s="1" t="s">
        <v>13768</v>
      </c>
      <c r="AT1861" s="1">
        <v>0</v>
      </c>
      <c r="AU1861" s="1">
        <v>0</v>
      </c>
      <c r="AV1861" s="1">
        <v>0</v>
      </c>
      <c r="AW1861" s="1">
        <v>0</v>
      </c>
      <c r="AX1861" s="1">
        <v>0</v>
      </c>
      <c r="AY1861" s="1">
        <v>0</v>
      </c>
      <c r="AZ1861" s="1">
        <v>0</v>
      </c>
      <c r="BA1861" s="1">
        <v>0</v>
      </c>
      <c r="BB1861" s="1">
        <v>0</v>
      </c>
      <c r="BC1861" s="1">
        <v>0</v>
      </c>
      <c r="BD1861" s="1">
        <v>0</v>
      </c>
      <c r="BE1861" s="1">
        <v>0</v>
      </c>
      <c r="BF1861" s="1">
        <v>0</v>
      </c>
      <c r="BG1861" s="1">
        <v>0</v>
      </c>
      <c r="BH1861" s="1">
        <v>0</v>
      </c>
      <c r="BI1861" s="1">
        <v>0</v>
      </c>
      <c r="BJ1861" s="1">
        <v>0</v>
      </c>
      <c r="BK1861" s="1">
        <v>0</v>
      </c>
      <c r="BL1861" s="1">
        <v>0</v>
      </c>
      <c r="BM1861" s="1">
        <v>0</v>
      </c>
      <c r="BN1861" s="1">
        <v>0</v>
      </c>
      <c r="BO1861" s="1">
        <v>0</v>
      </c>
      <c r="BP1861" s="1">
        <v>0</v>
      </c>
      <c r="BQ1861" s="1">
        <v>1</v>
      </c>
      <c r="BR1861" s="1">
        <v>0</v>
      </c>
      <c r="BS1861" s="1" t="s">
        <v>109</v>
      </c>
      <c r="BT1861" s="1">
        <v>1935</v>
      </c>
      <c r="BU1861" s="1" t="s">
        <v>109</v>
      </c>
      <c r="BV1861" s="1"/>
      <c r="BW1861" s="1"/>
      <c r="BX1861" s="1"/>
      <c r="BY1861" s="1"/>
      <c r="BZ1861" s="1">
        <v>0</v>
      </c>
      <c r="CA1861" s="1" t="s">
        <v>109</v>
      </c>
      <c r="CB1861" s="1" t="s">
        <v>109</v>
      </c>
      <c r="CC1861" s="1" t="s">
        <v>109</v>
      </c>
      <c r="CD1861" s="1" t="s">
        <v>109</v>
      </c>
      <c r="CE1861" s="1" t="s">
        <v>109</v>
      </c>
      <c r="CF1861" s="1" t="s">
        <v>109</v>
      </c>
      <c r="CG1861" s="1" t="s">
        <v>109</v>
      </c>
      <c r="CH1861" s="1" t="s">
        <v>109</v>
      </c>
      <c r="CI1861" s="1" t="s">
        <v>109</v>
      </c>
      <c r="CJ1861" s="1" t="s">
        <v>109</v>
      </c>
      <c r="CK1861" s="1"/>
      <c r="CL1861" s="1">
        <v>0</v>
      </c>
      <c r="CM1861" s="1">
        <v>0</v>
      </c>
      <c r="CN1861" s="1">
        <v>0</v>
      </c>
    </row>
    <row r="1862" spans="1:92" ht="14.25" customHeight="1" x14ac:dyDescent="0.15">
      <c r="A1862" s="1" t="s">
        <v>13769</v>
      </c>
      <c r="B1862" s="1" t="s">
        <v>156</v>
      </c>
      <c r="C1862" s="1" t="s">
        <v>157</v>
      </c>
      <c r="D1862" s="1" t="s">
        <v>8086</v>
      </c>
      <c r="E1862" s="1" t="s">
        <v>13770</v>
      </c>
      <c r="F1862" s="1" t="s">
        <v>98</v>
      </c>
      <c r="G1862" s="1" t="s">
        <v>160</v>
      </c>
      <c r="H1862" s="1">
        <v>0</v>
      </c>
      <c r="I1862" s="1" t="s">
        <v>235</v>
      </c>
      <c r="J1862" s="1"/>
      <c r="K1862" s="1"/>
      <c r="L1862" s="1" t="s">
        <v>236</v>
      </c>
      <c r="M1862" s="1" t="s">
        <v>574</v>
      </c>
      <c r="N1862" s="1">
        <v>1</v>
      </c>
      <c r="O1862" s="1">
        <v>0</v>
      </c>
      <c r="P1862" s="1" t="s">
        <v>13771</v>
      </c>
      <c r="Q1862" s="1" t="s">
        <v>13772</v>
      </c>
      <c r="R1862" s="1" t="s">
        <v>13773</v>
      </c>
      <c r="S1862" s="1" t="s">
        <v>13774</v>
      </c>
      <c r="T1862" s="1" t="s">
        <v>13306</v>
      </c>
      <c r="U1862" s="1" t="s">
        <v>13775</v>
      </c>
      <c r="V1862" s="1">
        <v>1</v>
      </c>
      <c r="W1862" s="1">
        <v>1</v>
      </c>
      <c r="X1862" s="1">
        <v>0</v>
      </c>
      <c r="Y1862" s="1">
        <v>0</v>
      </c>
      <c r="Z1862" s="1">
        <v>1</v>
      </c>
      <c r="AA1862" s="1" t="s">
        <v>109</v>
      </c>
      <c r="AB1862" s="1" t="s">
        <v>109</v>
      </c>
      <c r="AC1862" s="1">
        <v>3</v>
      </c>
      <c r="AD1862" s="1" t="s">
        <v>109</v>
      </c>
      <c r="AE1862" s="1" t="s">
        <v>109</v>
      </c>
      <c r="AF1862" s="1" t="s">
        <v>109</v>
      </c>
      <c r="AG1862" s="1">
        <v>3</v>
      </c>
      <c r="AH1862" s="1" t="s">
        <v>109</v>
      </c>
      <c r="AI1862" s="1" t="s">
        <v>109</v>
      </c>
      <c r="AJ1862" s="1" t="s">
        <v>109</v>
      </c>
      <c r="AK1862" s="1">
        <v>3</v>
      </c>
      <c r="AL1862" s="1">
        <v>3</v>
      </c>
      <c r="AM1862" s="1" t="s">
        <v>109</v>
      </c>
      <c r="AN1862" s="1" t="s">
        <v>109</v>
      </c>
      <c r="AO1862" s="1" t="s">
        <v>109</v>
      </c>
      <c r="AP1862" s="1"/>
      <c r="AQ1862" s="1">
        <v>3</v>
      </c>
      <c r="AR1862" s="1"/>
      <c r="AS1862" s="1" t="s">
        <v>13776</v>
      </c>
      <c r="AT1862" s="1">
        <v>0</v>
      </c>
      <c r="AU1862" s="1">
        <v>0</v>
      </c>
      <c r="AV1862" s="1">
        <v>0</v>
      </c>
      <c r="AW1862" s="1">
        <v>0</v>
      </c>
      <c r="AX1862" s="1">
        <v>0</v>
      </c>
      <c r="AY1862" s="1">
        <v>0</v>
      </c>
      <c r="AZ1862" s="1">
        <v>0</v>
      </c>
      <c r="BA1862" s="1">
        <v>0</v>
      </c>
      <c r="BB1862" s="1">
        <v>0</v>
      </c>
      <c r="BC1862" s="1">
        <v>0</v>
      </c>
      <c r="BD1862" s="1">
        <v>1</v>
      </c>
      <c r="BE1862" s="1">
        <v>0</v>
      </c>
      <c r="BF1862" s="1">
        <v>0</v>
      </c>
      <c r="BG1862" s="1">
        <v>0</v>
      </c>
      <c r="BH1862" s="1">
        <v>0</v>
      </c>
      <c r="BI1862" s="1">
        <v>0</v>
      </c>
      <c r="BJ1862" s="1">
        <v>0</v>
      </c>
      <c r="BK1862" s="1">
        <v>0</v>
      </c>
      <c r="BL1862" s="1">
        <v>0</v>
      </c>
      <c r="BM1862" s="1">
        <v>1</v>
      </c>
      <c r="BN1862" s="1">
        <v>0</v>
      </c>
      <c r="BO1862" s="1">
        <v>0</v>
      </c>
      <c r="BP1862" s="1">
        <v>0</v>
      </c>
      <c r="BQ1862" s="1">
        <v>0</v>
      </c>
      <c r="BR1862" s="1">
        <v>0</v>
      </c>
      <c r="BS1862" s="1" t="s">
        <v>109</v>
      </c>
      <c r="BT1862" s="1">
        <v>1936</v>
      </c>
      <c r="BU1862" s="1" t="s">
        <v>109</v>
      </c>
      <c r="BV1862" s="1"/>
      <c r="BW1862" s="1"/>
      <c r="BX1862" s="1"/>
      <c r="BY1862" s="1"/>
      <c r="BZ1862" s="1">
        <v>0</v>
      </c>
      <c r="CA1862" s="1" t="s">
        <v>109</v>
      </c>
      <c r="CB1862" s="1">
        <v>3</v>
      </c>
      <c r="CC1862" s="1">
        <v>3</v>
      </c>
      <c r="CD1862" s="1" t="s">
        <v>109</v>
      </c>
      <c r="CE1862" s="1">
        <v>2</v>
      </c>
      <c r="CF1862" s="1" t="s">
        <v>109</v>
      </c>
      <c r="CG1862" s="1" t="s">
        <v>109</v>
      </c>
      <c r="CH1862" s="1" t="s">
        <v>109</v>
      </c>
      <c r="CI1862" s="1" t="s">
        <v>109</v>
      </c>
      <c r="CJ1862" s="1" t="s">
        <v>109</v>
      </c>
      <c r="CK1862" s="1"/>
      <c r="CL1862" s="1">
        <v>0</v>
      </c>
      <c r="CM1862" s="1">
        <v>0</v>
      </c>
      <c r="CN1862" s="1">
        <v>0</v>
      </c>
    </row>
    <row r="1863" spans="1:92" ht="14.25" customHeight="1" x14ac:dyDescent="0.15">
      <c r="A1863" s="1" t="s">
        <v>13777</v>
      </c>
      <c r="B1863" s="1" t="s">
        <v>189</v>
      </c>
      <c r="C1863" s="1"/>
      <c r="D1863" s="1"/>
      <c r="E1863" s="1" t="s">
        <v>5633</v>
      </c>
      <c r="F1863" s="1" t="s">
        <v>277</v>
      </c>
      <c r="G1863" s="1" t="s">
        <v>141</v>
      </c>
      <c r="H1863" s="1">
        <v>0</v>
      </c>
      <c r="I1863" s="1" t="s">
        <v>142</v>
      </c>
      <c r="J1863" s="1"/>
      <c r="K1863" s="1"/>
      <c r="L1863" s="1" t="s">
        <v>3277</v>
      </c>
      <c r="M1863" s="1" t="s">
        <v>300</v>
      </c>
      <c r="N1863" s="1">
        <v>0</v>
      </c>
      <c r="O1863" s="1">
        <v>0</v>
      </c>
      <c r="P1863" s="1" t="s">
        <v>507</v>
      </c>
      <c r="Q1863" s="1" t="s">
        <v>167</v>
      </c>
      <c r="R1863" s="1" t="s">
        <v>13778</v>
      </c>
      <c r="S1863" s="1" t="s">
        <v>13779</v>
      </c>
      <c r="T1863" s="1" t="s">
        <v>13306</v>
      </c>
      <c r="U1863" s="1" t="s">
        <v>13780</v>
      </c>
      <c r="V1863" s="1">
        <v>1</v>
      </c>
      <c r="W1863" s="1">
        <v>1</v>
      </c>
      <c r="X1863" s="1">
        <v>0</v>
      </c>
      <c r="Y1863" s="1">
        <v>0</v>
      </c>
      <c r="Z1863" s="1">
        <v>0</v>
      </c>
      <c r="AA1863" s="1" t="s">
        <v>109</v>
      </c>
      <c r="AB1863" s="1" t="s">
        <v>109</v>
      </c>
      <c r="AC1863" s="1">
        <v>2</v>
      </c>
      <c r="AD1863" s="1" t="s">
        <v>109</v>
      </c>
      <c r="AE1863" s="1" t="s">
        <v>109</v>
      </c>
      <c r="AF1863" s="1">
        <v>2</v>
      </c>
      <c r="AG1863" s="1" t="s">
        <v>109</v>
      </c>
      <c r="AH1863" s="1" t="s">
        <v>109</v>
      </c>
      <c r="AI1863" s="1" t="s">
        <v>109</v>
      </c>
      <c r="AJ1863" s="1" t="s">
        <v>109</v>
      </c>
      <c r="AK1863" s="1" t="s">
        <v>109</v>
      </c>
      <c r="AL1863" s="1">
        <v>2</v>
      </c>
      <c r="AM1863" s="1" t="s">
        <v>109</v>
      </c>
      <c r="AN1863" s="1" t="s">
        <v>109</v>
      </c>
      <c r="AO1863" s="1" t="s">
        <v>109</v>
      </c>
      <c r="AP1863" s="1"/>
      <c r="AQ1863" s="1">
        <v>2</v>
      </c>
      <c r="AR1863" s="1"/>
      <c r="AS1863" s="1" t="s">
        <v>13781</v>
      </c>
      <c r="AT1863" s="1">
        <v>0</v>
      </c>
      <c r="AU1863" s="1">
        <v>0</v>
      </c>
      <c r="AV1863" s="1">
        <v>0</v>
      </c>
      <c r="AW1863" s="1">
        <v>0</v>
      </c>
      <c r="AX1863" s="1">
        <v>0</v>
      </c>
      <c r="AY1863" s="1">
        <v>0</v>
      </c>
      <c r="AZ1863" s="1">
        <v>0</v>
      </c>
      <c r="BA1863" s="1">
        <v>0</v>
      </c>
      <c r="BB1863" s="1">
        <v>0</v>
      </c>
      <c r="BC1863" s="1">
        <v>0</v>
      </c>
      <c r="BD1863" s="1">
        <v>0</v>
      </c>
      <c r="BE1863" s="1">
        <v>0</v>
      </c>
      <c r="BF1863" s="1">
        <v>0</v>
      </c>
      <c r="BG1863" s="1">
        <v>0</v>
      </c>
      <c r="BH1863" s="1">
        <v>0</v>
      </c>
      <c r="BI1863" s="1">
        <v>0</v>
      </c>
      <c r="BJ1863" s="1">
        <v>0</v>
      </c>
      <c r="BK1863" s="1">
        <v>0</v>
      </c>
      <c r="BL1863" s="1">
        <v>0</v>
      </c>
      <c r="BM1863" s="1">
        <v>0</v>
      </c>
      <c r="BN1863" s="1">
        <v>0</v>
      </c>
      <c r="BO1863" s="1">
        <v>0</v>
      </c>
      <c r="BP1863" s="1">
        <v>0</v>
      </c>
      <c r="BQ1863" s="1">
        <v>0</v>
      </c>
      <c r="BR1863" s="1">
        <v>0</v>
      </c>
      <c r="BS1863" s="1" t="s">
        <v>109</v>
      </c>
      <c r="BT1863" s="1">
        <v>1937</v>
      </c>
      <c r="BU1863" s="1" t="s">
        <v>109</v>
      </c>
      <c r="BV1863" s="1"/>
      <c r="BW1863" s="1"/>
      <c r="BX1863" s="1"/>
      <c r="BY1863" s="1"/>
      <c r="BZ1863" s="1">
        <v>0</v>
      </c>
      <c r="CA1863" s="1" t="s">
        <v>109</v>
      </c>
      <c r="CB1863" s="1" t="s">
        <v>109</v>
      </c>
      <c r="CC1863" s="1" t="s">
        <v>109</v>
      </c>
      <c r="CD1863" s="1" t="s">
        <v>109</v>
      </c>
      <c r="CE1863" s="1" t="s">
        <v>109</v>
      </c>
      <c r="CF1863" s="1" t="s">
        <v>109</v>
      </c>
      <c r="CG1863" s="1" t="s">
        <v>109</v>
      </c>
      <c r="CH1863" s="1" t="s">
        <v>109</v>
      </c>
      <c r="CI1863" s="1" t="s">
        <v>109</v>
      </c>
      <c r="CJ1863" s="1" t="s">
        <v>109</v>
      </c>
      <c r="CK1863" s="1"/>
      <c r="CL1863" s="1">
        <v>0</v>
      </c>
      <c r="CM1863" s="1">
        <v>0</v>
      </c>
      <c r="CN1863" s="1">
        <v>0</v>
      </c>
    </row>
    <row r="1864" spans="1:92" ht="14.25" customHeight="1" x14ac:dyDescent="0.15">
      <c r="A1864" s="1" t="s">
        <v>13782</v>
      </c>
      <c r="B1864" s="1" t="s">
        <v>254</v>
      </c>
      <c r="C1864" s="1"/>
      <c r="D1864" s="1" t="s">
        <v>50</v>
      </c>
      <c r="E1864" s="1" t="s">
        <v>2376</v>
      </c>
      <c r="F1864" s="1" t="s">
        <v>98</v>
      </c>
      <c r="G1864" s="1" t="s">
        <v>141</v>
      </c>
      <c r="H1864" s="1">
        <v>0</v>
      </c>
      <c r="I1864" s="1" t="s">
        <v>161</v>
      </c>
      <c r="J1864" s="1"/>
      <c r="K1864" s="1"/>
      <c r="L1864" s="1" t="s">
        <v>506</v>
      </c>
      <c r="M1864" s="1" t="s">
        <v>280</v>
      </c>
      <c r="N1864" s="1">
        <v>0</v>
      </c>
      <c r="O1864" s="1">
        <v>0</v>
      </c>
      <c r="P1864" s="1" t="s">
        <v>301</v>
      </c>
      <c r="Q1864" s="1" t="s">
        <v>268</v>
      </c>
      <c r="R1864" s="1" t="s">
        <v>13783</v>
      </c>
      <c r="S1864" s="1" t="s">
        <v>13784</v>
      </c>
      <c r="T1864" s="1" t="s">
        <v>13306</v>
      </c>
      <c r="U1864" s="1" t="s">
        <v>13785</v>
      </c>
      <c r="V1864" s="1">
        <v>1</v>
      </c>
      <c r="W1864" s="1">
        <v>1</v>
      </c>
      <c r="X1864" s="1">
        <v>0</v>
      </c>
      <c r="Y1864" s="1">
        <v>0</v>
      </c>
      <c r="Z1864" s="1">
        <v>0</v>
      </c>
      <c r="AA1864" s="1" t="s">
        <v>109</v>
      </c>
      <c r="AB1864" s="1" t="s">
        <v>109</v>
      </c>
      <c r="AC1864" s="1">
        <v>3</v>
      </c>
      <c r="AD1864" s="1" t="s">
        <v>109</v>
      </c>
      <c r="AE1864" s="1" t="s">
        <v>109</v>
      </c>
      <c r="AF1864" s="1" t="s">
        <v>109</v>
      </c>
      <c r="AG1864" s="1" t="s">
        <v>109</v>
      </c>
      <c r="AH1864" s="1" t="s">
        <v>109</v>
      </c>
      <c r="AI1864" s="1" t="s">
        <v>109</v>
      </c>
      <c r="AJ1864" s="1" t="s">
        <v>109</v>
      </c>
      <c r="AK1864" s="1" t="s">
        <v>109</v>
      </c>
      <c r="AL1864" s="1">
        <v>3</v>
      </c>
      <c r="AM1864" s="1" t="s">
        <v>109</v>
      </c>
      <c r="AN1864" s="1" t="s">
        <v>109</v>
      </c>
      <c r="AO1864" s="1" t="s">
        <v>109</v>
      </c>
      <c r="AP1864" s="1"/>
      <c r="AQ1864" s="1">
        <v>3</v>
      </c>
      <c r="AR1864" s="1"/>
      <c r="AS1864" s="1" t="s">
        <v>13786</v>
      </c>
      <c r="AT1864" s="1">
        <v>0</v>
      </c>
      <c r="AU1864" s="1">
        <v>0</v>
      </c>
      <c r="AV1864" s="1">
        <v>0</v>
      </c>
      <c r="AW1864" s="1">
        <v>0</v>
      </c>
      <c r="AX1864" s="1">
        <v>1</v>
      </c>
      <c r="AY1864" s="1">
        <v>0</v>
      </c>
      <c r="AZ1864" s="1">
        <v>0</v>
      </c>
      <c r="BA1864" s="1">
        <v>0</v>
      </c>
      <c r="BB1864" s="1">
        <v>0</v>
      </c>
      <c r="BC1864" s="1">
        <v>0</v>
      </c>
      <c r="BD1864" s="1">
        <v>0</v>
      </c>
      <c r="BE1864" s="1">
        <v>0</v>
      </c>
      <c r="BF1864" s="1">
        <v>0</v>
      </c>
      <c r="BG1864" s="1">
        <v>0</v>
      </c>
      <c r="BH1864" s="1">
        <v>0</v>
      </c>
      <c r="BI1864" s="1">
        <v>0</v>
      </c>
      <c r="BJ1864" s="1">
        <v>0</v>
      </c>
      <c r="BK1864" s="1">
        <v>0</v>
      </c>
      <c r="BL1864" s="1">
        <v>0</v>
      </c>
      <c r="BM1864" s="1">
        <v>0</v>
      </c>
      <c r="BN1864" s="1">
        <v>0</v>
      </c>
      <c r="BO1864" s="1">
        <v>0</v>
      </c>
      <c r="BP1864" s="1">
        <v>0</v>
      </c>
      <c r="BQ1864" s="1">
        <v>0</v>
      </c>
      <c r="BR1864" s="1">
        <v>0</v>
      </c>
      <c r="BS1864" s="1" t="s">
        <v>109</v>
      </c>
      <c r="BT1864" s="1">
        <v>1938</v>
      </c>
      <c r="BU1864" s="1" t="s">
        <v>109</v>
      </c>
      <c r="BV1864" s="1"/>
      <c r="BW1864" s="1"/>
      <c r="BX1864" s="1"/>
      <c r="BY1864" s="1"/>
      <c r="BZ1864" s="1">
        <v>0</v>
      </c>
      <c r="CA1864" s="1" t="s">
        <v>109</v>
      </c>
      <c r="CB1864" s="1" t="s">
        <v>109</v>
      </c>
      <c r="CC1864" s="1" t="s">
        <v>109</v>
      </c>
      <c r="CD1864" s="1" t="s">
        <v>109</v>
      </c>
      <c r="CE1864" s="1" t="s">
        <v>109</v>
      </c>
      <c r="CF1864" s="1" t="s">
        <v>109</v>
      </c>
      <c r="CG1864" s="1" t="s">
        <v>109</v>
      </c>
      <c r="CH1864" s="1" t="s">
        <v>109</v>
      </c>
      <c r="CI1864" s="1" t="s">
        <v>109</v>
      </c>
      <c r="CJ1864" s="1" t="s">
        <v>109</v>
      </c>
      <c r="CK1864" s="1"/>
      <c r="CL1864" s="1">
        <v>0</v>
      </c>
      <c r="CM1864" s="1">
        <v>0</v>
      </c>
      <c r="CN1864" s="1">
        <v>0</v>
      </c>
    </row>
    <row r="1865" spans="1:92" ht="14.25" customHeight="1" x14ac:dyDescent="0.15">
      <c r="A1865" s="1" t="s">
        <v>13787</v>
      </c>
      <c r="B1865" s="1" t="s">
        <v>156</v>
      </c>
      <c r="C1865" s="1"/>
      <c r="D1865" s="1" t="s">
        <v>158</v>
      </c>
      <c r="E1865" s="1" t="s">
        <v>2690</v>
      </c>
      <c r="F1865" s="1" t="s">
        <v>395</v>
      </c>
      <c r="G1865" s="1" t="s">
        <v>13788</v>
      </c>
      <c r="H1865" s="1">
        <v>0</v>
      </c>
      <c r="I1865" s="1" t="s">
        <v>161</v>
      </c>
      <c r="J1865" s="1"/>
      <c r="K1865" s="1"/>
      <c r="L1865" s="1" t="s">
        <v>563</v>
      </c>
      <c r="M1865" s="1" t="s">
        <v>144</v>
      </c>
      <c r="N1865" s="1">
        <v>0</v>
      </c>
      <c r="O1865" s="1">
        <v>0</v>
      </c>
      <c r="P1865" s="1" t="s">
        <v>507</v>
      </c>
      <c r="Q1865" s="1" t="s">
        <v>167</v>
      </c>
      <c r="R1865" s="1" t="s">
        <v>13789</v>
      </c>
      <c r="S1865" s="1" t="s">
        <v>13790</v>
      </c>
      <c r="T1865" s="1" t="s">
        <v>13306</v>
      </c>
      <c r="U1865" s="1" t="s">
        <v>13791</v>
      </c>
      <c r="V1865" s="1">
        <v>1</v>
      </c>
      <c r="W1865" s="1">
        <v>1</v>
      </c>
      <c r="X1865" s="1">
        <v>0</v>
      </c>
      <c r="Y1865" s="1">
        <v>0</v>
      </c>
      <c r="Z1865" s="1">
        <v>0</v>
      </c>
      <c r="AA1865" s="1">
        <v>1</v>
      </c>
      <c r="AB1865" s="1">
        <v>1</v>
      </c>
      <c r="AC1865" s="1" t="s">
        <v>109</v>
      </c>
      <c r="AD1865" s="1" t="s">
        <v>109</v>
      </c>
      <c r="AE1865" s="1" t="s">
        <v>109</v>
      </c>
      <c r="AF1865" s="1">
        <v>1</v>
      </c>
      <c r="AG1865" s="1" t="s">
        <v>109</v>
      </c>
      <c r="AH1865" s="1" t="s">
        <v>109</v>
      </c>
      <c r="AI1865" s="1" t="s">
        <v>109</v>
      </c>
      <c r="AJ1865" s="1">
        <v>1</v>
      </c>
      <c r="AK1865" s="1" t="s">
        <v>109</v>
      </c>
      <c r="AL1865" s="1" t="s">
        <v>109</v>
      </c>
      <c r="AM1865" s="1" t="s">
        <v>109</v>
      </c>
      <c r="AN1865" s="1" t="s">
        <v>109</v>
      </c>
      <c r="AO1865" s="1" t="s">
        <v>109</v>
      </c>
      <c r="AP1865" s="1"/>
      <c r="AQ1865" s="1">
        <v>1</v>
      </c>
      <c r="AR1865" s="1"/>
      <c r="AS1865" s="1" t="s">
        <v>13792</v>
      </c>
      <c r="AT1865" s="1">
        <v>0</v>
      </c>
      <c r="AU1865" s="1">
        <v>0</v>
      </c>
      <c r="AV1865" s="1">
        <v>0</v>
      </c>
      <c r="AW1865" s="1">
        <v>0</v>
      </c>
      <c r="AX1865" s="1">
        <v>0</v>
      </c>
      <c r="AY1865" s="1">
        <v>0</v>
      </c>
      <c r="AZ1865" s="1">
        <v>0</v>
      </c>
      <c r="BA1865" s="1">
        <v>0</v>
      </c>
      <c r="BB1865" s="1">
        <v>0</v>
      </c>
      <c r="BC1865" s="1">
        <v>0</v>
      </c>
      <c r="BD1865" s="1">
        <v>0</v>
      </c>
      <c r="BE1865" s="1">
        <v>0</v>
      </c>
      <c r="BF1865" s="1">
        <v>0</v>
      </c>
      <c r="BG1865" s="1">
        <v>0</v>
      </c>
      <c r="BH1865" s="1">
        <v>0</v>
      </c>
      <c r="BI1865" s="1">
        <v>0</v>
      </c>
      <c r="BJ1865" s="1">
        <v>0</v>
      </c>
      <c r="BK1865" s="1">
        <v>0</v>
      </c>
      <c r="BL1865" s="1">
        <v>0</v>
      </c>
      <c r="BM1865" s="1">
        <v>1</v>
      </c>
      <c r="BN1865" s="1">
        <v>0</v>
      </c>
      <c r="BO1865" s="1">
        <v>0</v>
      </c>
      <c r="BP1865" s="1">
        <v>0</v>
      </c>
      <c r="BQ1865" s="1">
        <v>0</v>
      </c>
      <c r="BR1865" s="1">
        <v>0</v>
      </c>
      <c r="BS1865" s="1" t="s">
        <v>109</v>
      </c>
      <c r="BT1865" s="1">
        <v>1939</v>
      </c>
      <c r="BU1865" s="1" t="s">
        <v>109</v>
      </c>
      <c r="BV1865" s="1"/>
      <c r="BW1865" s="1"/>
      <c r="BX1865" s="1"/>
      <c r="BY1865" s="1"/>
      <c r="BZ1865" s="1">
        <v>0</v>
      </c>
      <c r="CA1865" s="1" t="s">
        <v>109</v>
      </c>
      <c r="CB1865" s="1" t="s">
        <v>109</v>
      </c>
      <c r="CC1865" s="1">
        <v>1</v>
      </c>
      <c r="CD1865" s="1" t="s">
        <v>109</v>
      </c>
      <c r="CE1865" s="1">
        <v>1</v>
      </c>
      <c r="CF1865" s="1">
        <v>1</v>
      </c>
      <c r="CG1865" s="1" t="s">
        <v>109</v>
      </c>
      <c r="CH1865" s="1" t="s">
        <v>109</v>
      </c>
      <c r="CI1865" s="1" t="s">
        <v>109</v>
      </c>
      <c r="CJ1865" s="1" t="s">
        <v>109</v>
      </c>
      <c r="CK1865" s="1"/>
      <c r="CL1865" s="1">
        <v>0</v>
      </c>
      <c r="CM1865" s="1">
        <v>0</v>
      </c>
      <c r="CN1865" s="1">
        <v>0</v>
      </c>
    </row>
    <row r="1866" spans="1:92" ht="14.25" customHeight="1" x14ac:dyDescent="0.15">
      <c r="A1866" s="1" t="s">
        <v>13793</v>
      </c>
      <c r="B1866" s="1" t="s">
        <v>156</v>
      </c>
      <c r="C1866" s="1" t="s">
        <v>157</v>
      </c>
      <c r="D1866" s="1" t="s">
        <v>954</v>
      </c>
      <c r="E1866" s="1" t="s">
        <v>13794</v>
      </c>
      <c r="F1866" s="1" t="s">
        <v>395</v>
      </c>
      <c r="G1866" s="1" t="s">
        <v>141</v>
      </c>
      <c r="H1866" s="1">
        <v>0</v>
      </c>
      <c r="I1866" s="1" t="s">
        <v>142</v>
      </c>
      <c r="J1866" s="1"/>
      <c r="K1866" s="1"/>
      <c r="L1866" s="1" t="s">
        <v>13795</v>
      </c>
      <c r="M1866" s="1" t="s">
        <v>9590</v>
      </c>
      <c r="N1866" s="1">
        <v>0</v>
      </c>
      <c r="O1866" s="1">
        <v>0</v>
      </c>
      <c r="P1866" s="1" t="s">
        <v>507</v>
      </c>
      <c r="Q1866" s="1" t="s">
        <v>167</v>
      </c>
      <c r="R1866" s="1" t="s">
        <v>13796</v>
      </c>
      <c r="S1866" s="1" t="s">
        <v>13797</v>
      </c>
      <c r="T1866" s="1" t="s">
        <v>13306</v>
      </c>
      <c r="U1866" s="1" t="s">
        <v>13798</v>
      </c>
      <c r="V1866" s="1">
        <v>1</v>
      </c>
      <c r="W1866" s="1">
        <v>1</v>
      </c>
      <c r="X1866" s="1">
        <v>0</v>
      </c>
      <c r="Y1866" s="1">
        <v>0</v>
      </c>
      <c r="Z1866" s="1">
        <v>0</v>
      </c>
      <c r="AA1866" s="1">
        <v>3</v>
      </c>
      <c r="AB1866" s="1">
        <v>3</v>
      </c>
      <c r="AC1866" s="1" t="s">
        <v>109</v>
      </c>
      <c r="AD1866" s="1" t="s">
        <v>109</v>
      </c>
      <c r="AE1866" s="1" t="s">
        <v>109</v>
      </c>
      <c r="AF1866" s="1">
        <v>2</v>
      </c>
      <c r="AG1866" s="1" t="s">
        <v>109</v>
      </c>
      <c r="AH1866" s="1" t="s">
        <v>109</v>
      </c>
      <c r="AI1866" s="1" t="s">
        <v>109</v>
      </c>
      <c r="AJ1866" s="1">
        <v>3</v>
      </c>
      <c r="AK1866" s="1" t="s">
        <v>109</v>
      </c>
      <c r="AL1866" s="1" t="s">
        <v>109</v>
      </c>
      <c r="AM1866" s="1" t="s">
        <v>109</v>
      </c>
      <c r="AN1866" s="1" t="s">
        <v>109</v>
      </c>
      <c r="AO1866" s="1" t="s">
        <v>109</v>
      </c>
      <c r="AP1866" s="1"/>
      <c r="AQ1866" s="1">
        <v>3</v>
      </c>
      <c r="AR1866" s="1"/>
      <c r="AS1866" s="1" t="s">
        <v>13799</v>
      </c>
      <c r="AT1866" s="1">
        <v>0</v>
      </c>
      <c r="AU1866" s="1">
        <v>0</v>
      </c>
      <c r="AV1866" s="1">
        <v>0</v>
      </c>
      <c r="AW1866" s="1">
        <v>0</v>
      </c>
      <c r="AX1866" s="1">
        <v>0</v>
      </c>
      <c r="AY1866" s="1">
        <v>0</v>
      </c>
      <c r="AZ1866" s="1">
        <v>0</v>
      </c>
      <c r="BA1866" s="1">
        <v>0</v>
      </c>
      <c r="BB1866" s="1">
        <v>0</v>
      </c>
      <c r="BC1866" s="1">
        <v>0</v>
      </c>
      <c r="BD1866" s="1">
        <v>0</v>
      </c>
      <c r="BE1866" s="1">
        <v>0</v>
      </c>
      <c r="BF1866" s="1">
        <v>0</v>
      </c>
      <c r="BG1866" s="1">
        <v>0</v>
      </c>
      <c r="BH1866" s="1">
        <v>0</v>
      </c>
      <c r="BI1866" s="1">
        <v>0</v>
      </c>
      <c r="BJ1866" s="1">
        <v>1</v>
      </c>
      <c r="BK1866" s="1">
        <v>0</v>
      </c>
      <c r="BL1866" s="1">
        <v>0</v>
      </c>
      <c r="BM1866" s="1">
        <v>1</v>
      </c>
      <c r="BN1866" s="1">
        <v>0</v>
      </c>
      <c r="BO1866" s="1">
        <v>0</v>
      </c>
      <c r="BP1866" s="1">
        <v>0</v>
      </c>
      <c r="BQ1866" s="1">
        <v>0</v>
      </c>
      <c r="BR1866" s="1">
        <v>0</v>
      </c>
      <c r="BS1866" s="1" t="s">
        <v>109</v>
      </c>
      <c r="BT1866" s="1">
        <v>1940</v>
      </c>
      <c r="BU1866" s="1" t="s">
        <v>109</v>
      </c>
      <c r="BV1866" s="1"/>
      <c r="BW1866" s="1"/>
      <c r="BX1866" s="1"/>
      <c r="BY1866" s="1"/>
      <c r="BZ1866" s="1">
        <v>0</v>
      </c>
      <c r="CA1866" s="1" t="s">
        <v>109</v>
      </c>
      <c r="CB1866" s="1">
        <v>3</v>
      </c>
      <c r="CC1866" s="1">
        <v>3</v>
      </c>
      <c r="CD1866" s="1" t="s">
        <v>109</v>
      </c>
      <c r="CE1866" s="1">
        <v>2</v>
      </c>
      <c r="CF1866" s="1" t="s">
        <v>109</v>
      </c>
      <c r="CG1866" s="1">
        <v>3</v>
      </c>
      <c r="CH1866" s="1" t="s">
        <v>109</v>
      </c>
      <c r="CI1866" s="1" t="s">
        <v>109</v>
      </c>
      <c r="CJ1866" s="1" t="s">
        <v>109</v>
      </c>
      <c r="CK1866" s="1"/>
      <c r="CL1866" s="1">
        <v>0</v>
      </c>
      <c r="CM1866" s="1">
        <v>0</v>
      </c>
      <c r="CN1866" s="1">
        <v>0</v>
      </c>
    </row>
    <row r="1867" spans="1:92" ht="14.25" customHeight="1" x14ac:dyDescent="0.15">
      <c r="A1867" s="1" t="s">
        <v>13800</v>
      </c>
      <c r="B1867" s="1" t="s">
        <v>189</v>
      </c>
      <c r="C1867" s="1"/>
      <c r="D1867" s="1"/>
      <c r="E1867" s="1" t="s">
        <v>13542</v>
      </c>
      <c r="F1867" s="1" t="s">
        <v>98</v>
      </c>
      <c r="G1867" s="1" t="s">
        <v>13801</v>
      </c>
      <c r="H1867" s="1">
        <v>0</v>
      </c>
      <c r="I1867" s="1" t="s">
        <v>161</v>
      </c>
      <c r="J1867" s="1"/>
      <c r="K1867" s="1"/>
      <c r="L1867" s="1" t="s">
        <v>13802</v>
      </c>
      <c r="M1867" s="1" t="s">
        <v>815</v>
      </c>
      <c r="N1867" s="1">
        <v>1</v>
      </c>
      <c r="O1867" s="1">
        <v>0</v>
      </c>
      <c r="P1867" s="1" t="s">
        <v>103</v>
      </c>
      <c r="Q1867" s="1" t="s">
        <v>104</v>
      </c>
      <c r="R1867" s="1" t="s">
        <v>13803</v>
      </c>
      <c r="S1867" s="1" t="s">
        <v>13804</v>
      </c>
      <c r="T1867" s="1" t="s">
        <v>13306</v>
      </c>
      <c r="U1867" s="1" t="s">
        <v>13805</v>
      </c>
      <c r="V1867" s="1">
        <v>1</v>
      </c>
      <c r="W1867" s="1">
        <v>1</v>
      </c>
      <c r="X1867" s="1">
        <v>1</v>
      </c>
      <c r="Y1867" s="1">
        <v>0</v>
      </c>
      <c r="Z1867" s="1">
        <v>0</v>
      </c>
      <c r="AA1867" s="1">
        <v>2</v>
      </c>
      <c r="AB1867" s="1">
        <v>2</v>
      </c>
      <c r="AC1867" s="1" t="s">
        <v>109</v>
      </c>
      <c r="AD1867" s="1" t="s">
        <v>109</v>
      </c>
      <c r="AE1867" s="1" t="s">
        <v>109</v>
      </c>
      <c r="AF1867" s="1" t="s">
        <v>109</v>
      </c>
      <c r="AG1867" s="1" t="s">
        <v>109</v>
      </c>
      <c r="AH1867" s="1" t="s">
        <v>109</v>
      </c>
      <c r="AI1867" s="1" t="s">
        <v>109</v>
      </c>
      <c r="AJ1867" s="1">
        <v>2</v>
      </c>
      <c r="AK1867" s="1" t="s">
        <v>109</v>
      </c>
      <c r="AL1867" s="1" t="s">
        <v>109</v>
      </c>
      <c r="AM1867" s="1" t="s">
        <v>109</v>
      </c>
      <c r="AN1867" s="1" t="s">
        <v>109</v>
      </c>
      <c r="AO1867" s="1" t="s">
        <v>109</v>
      </c>
      <c r="AP1867" s="1"/>
      <c r="AQ1867" s="1">
        <v>2</v>
      </c>
      <c r="AR1867" s="1"/>
      <c r="AS1867" s="1" t="s">
        <v>13806</v>
      </c>
      <c r="AT1867" s="1">
        <v>0</v>
      </c>
      <c r="AU1867" s="1">
        <v>0</v>
      </c>
      <c r="AV1867" s="1">
        <v>0</v>
      </c>
      <c r="AW1867" s="1">
        <v>0</v>
      </c>
      <c r="AX1867" s="1">
        <v>0</v>
      </c>
      <c r="AY1867" s="1">
        <v>0</v>
      </c>
      <c r="AZ1867" s="1">
        <v>0</v>
      </c>
      <c r="BA1867" s="1">
        <v>0</v>
      </c>
      <c r="BB1867" s="1">
        <v>0</v>
      </c>
      <c r="BC1867" s="1">
        <v>0</v>
      </c>
      <c r="BD1867" s="1">
        <v>0</v>
      </c>
      <c r="BE1867" s="1">
        <v>0</v>
      </c>
      <c r="BF1867" s="1">
        <v>0</v>
      </c>
      <c r="BG1867" s="1">
        <v>0</v>
      </c>
      <c r="BH1867" s="1">
        <v>0</v>
      </c>
      <c r="BI1867" s="1">
        <v>0</v>
      </c>
      <c r="BJ1867" s="1">
        <v>0</v>
      </c>
      <c r="BK1867" s="1">
        <v>0</v>
      </c>
      <c r="BL1867" s="1">
        <v>0</v>
      </c>
      <c r="BM1867" s="1">
        <v>0</v>
      </c>
      <c r="BN1867" s="1">
        <v>0</v>
      </c>
      <c r="BO1867" s="1">
        <v>0</v>
      </c>
      <c r="BP1867" s="1">
        <v>0</v>
      </c>
      <c r="BQ1867" s="1">
        <v>0</v>
      </c>
      <c r="BR1867" s="1">
        <v>0</v>
      </c>
      <c r="BS1867" s="1" t="s">
        <v>109</v>
      </c>
      <c r="BT1867" s="1">
        <v>1941</v>
      </c>
      <c r="BU1867" s="1" t="s">
        <v>109</v>
      </c>
      <c r="BV1867" s="1"/>
      <c r="BW1867" s="1"/>
      <c r="BX1867" s="1"/>
      <c r="BY1867" s="1"/>
      <c r="BZ1867" s="1">
        <v>0</v>
      </c>
      <c r="CA1867" s="1" t="s">
        <v>109</v>
      </c>
      <c r="CB1867" s="1" t="s">
        <v>109</v>
      </c>
      <c r="CC1867" s="1">
        <v>2</v>
      </c>
      <c r="CD1867" s="1" t="s">
        <v>109</v>
      </c>
      <c r="CE1867" s="1" t="s">
        <v>109</v>
      </c>
      <c r="CF1867" s="1">
        <v>2</v>
      </c>
      <c r="CG1867" s="1" t="s">
        <v>109</v>
      </c>
      <c r="CH1867" s="1" t="s">
        <v>109</v>
      </c>
      <c r="CI1867" s="1" t="s">
        <v>109</v>
      </c>
      <c r="CJ1867" s="1" t="s">
        <v>109</v>
      </c>
      <c r="CK1867" s="1"/>
      <c r="CL1867" s="1">
        <v>0</v>
      </c>
      <c r="CM1867" s="1">
        <v>0</v>
      </c>
      <c r="CN1867" s="1">
        <v>0</v>
      </c>
    </row>
    <row r="1868" spans="1:92" ht="14.25" customHeight="1" x14ac:dyDescent="0.15">
      <c r="A1868" s="1" t="s">
        <v>13807</v>
      </c>
      <c r="B1868" s="1" t="s">
        <v>189</v>
      </c>
      <c r="C1868" s="1"/>
      <c r="D1868" s="1"/>
      <c r="E1868" s="1" t="s">
        <v>13808</v>
      </c>
      <c r="F1868" s="1" t="s">
        <v>98</v>
      </c>
      <c r="G1868" s="1" t="s">
        <v>13809</v>
      </c>
      <c r="H1868" s="1">
        <v>0</v>
      </c>
      <c r="I1868" s="1" t="s">
        <v>161</v>
      </c>
      <c r="J1868" s="1"/>
      <c r="K1868" s="1"/>
      <c r="L1868" s="1" t="s">
        <v>13810</v>
      </c>
      <c r="M1868" s="1" t="s">
        <v>144</v>
      </c>
      <c r="N1868" s="1">
        <v>0</v>
      </c>
      <c r="O1868" s="1">
        <v>0</v>
      </c>
      <c r="P1868" s="1" t="s">
        <v>630</v>
      </c>
      <c r="Q1868" s="1" t="s">
        <v>630</v>
      </c>
      <c r="R1868" s="1" t="s">
        <v>13811</v>
      </c>
      <c r="S1868" s="1" t="s">
        <v>13812</v>
      </c>
      <c r="T1868" s="1" t="s">
        <v>13306</v>
      </c>
      <c r="U1868" s="1" t="s">
        <v>13813</v>
      </c>
      <c r="V1868" s="1">
        <v>1</v>
      </c>
      <c r="W1868" s="1">
        <v>1</v>
      </c>
      <c r="X1868" s="1">
        <v>1</v>
      </c>
      <c r="Y1868" s="1">
        <v>0</v>
      </c>
      <c r="Z1868" s="1">
        <v>0</v>
      </c>
      <c r="AA1868" s="1">
        <v>1</v>
      </c>
      <c r="AB1868" s="1">
        <v>1</v>
      </c>
      <c r="AC1868" s="1" t="s">
        <v>109</v>
      </c>
      <c r="AD1868" s="1" t="s">
        <v>109</v>
      </c>
      <c r="AE1868" s="1" t="s">
        <v>109</v>
      </c>
      <c r="AF1868" s="1" t="s">
        <v>109</v>
      </c>
      <c r="AG1868" s="1" t="s">
        <v>109</v>
      </c>
      <c r="AH1868" s="1" t="s">
        <v>109</v>
      </c>
      <c r="AI1868" s="1" t="s">
        <v>109</v>
      </c>
      <c r="AJ1868" s="1">
        <v>1</v>
      </c>
      <c r="AK1868" s="1" t="s">
        <v>109</v>
      </c>
      <c r="AL1868" s="1" t="s">
        <v>109</v>
      </c>
      <c r="AM1868" s="1" t="s">
        <v>109</v>
      </c>
      <c r="AN1868" s="1" t="s">
        <v>109</v>
      </c>
      <c r="AO1868" s="1" t="s">
        <v>109</v>
      </c>
      <c r="AP1868" s="1"/>
      <c r="AQ1868" s="1">
        <v>1</v>
      </c>
      <c r="AR1868" s="1"/>
      <c r="AS1868" s="1" t="s">
        <v>13814</v>
      </c>
      <c r="AT1868" s="1">
        <v>0</v>
      </c>
      <c r="AU1868" s="1">
        <v>0</v>
      </c>
      <c r="AV1868" s="1">
        <v>0</v>
      </c>
      <c r="AW1868" s="1">
        <v>0</v>
      </c>
      <c r="AX1868" s="1">
        <v>0</v>
      </c>
      <c r="AY1868" s="1">
        <v>0</v>
      </c>
      <c r="AZ1868" s="1">
        <v>0</v>
      </c>
      <c r="BA1868" s="1">
        <v>0</v>
      </c>
      <c r="BB1868" s="1">
        <v>0</v>
      </c>
      <c r="BC1868" s="1">
        <v>0</v>
      </c>
      <c r="BD1868" s="1">
        <v>0</v>
      </c>
      <c r="BE1868" s="1">
        <v>0</v>
      </c>
      <c r="BF1868" s="1">
        <v>0</v>
      </c>
      <c r="BG1868" s="1">
        <v>0</v>
      </c>
      <c r="BH1868" s="1">
        <v>0</v>
      </c>
      <c r="BI1868" s="1">
        <v>0</v>
      </c>
      <c r="BJ1868" s="1">
        <v>0</v>
      </c>
      <c r="BK1868" s="1">
        <v>0</v>
      </c>
      <c r="BL1868" s="1">
        <v>0</v>
      </c>
      <c r="BM1868" s="1">
        <v>0</v>
      </c>
      <c r="BN1868" s="1">
        <v>0</v>
      </c>
      <c r="BO1868" s="1">
        <v>0</v>
      </c>
      <c r="BP1868" s="1">
        <v>0</v>
      </c>
      <c r="BQ1868" s="1">
        <v>0</v>
      </c>
      <c r="BR1868" s="1">
        <v>0</v>
      </c>
      <c r="BS1868" s="1" t="s">
        <v>109</v>
      </c>
      <c r="BT1868" s="1">
        <v>1942</v>
      </c>
      <c r="BU1868" s="1" t="s">
        <v>109</v>
      </c>
      <c r="BV1868" s="1"/>
      <c r="BW1868" s="1"/>
      <c r="BX1868" s="1"/>
      <c r="BY1868" s="1"/>
      <c r="BZ1868" s="1">
        <v>0</v>
      </c>
      <c r="CA1868" s="1" t="s">
        <v>109</v>
      </c>
      <c r="CB1868" s="1" t="s">
        <v>109</v>
      </c>
      <c r="CC1868" s="1" t="s">
        <v>109</v>
      </c>
      <c r="CD1868" s="1" t="s">
        <v>109</v>
      </c>
      <c r="CE1868" s="1" t="s">
        <v>109</v>
      </c>
      <c r="CF1868" s="1">
        <v>1</v>
      </c>
      <c r="CG1868" s="1" t="s">
        <v>109</v>
      </c>
      <c r="CH1868" s="1" t="s">
        <v>109</v>
      </c>
      <c r="CI1868" s="1" t="s">
        <v>109</v>
      </c>
      <c r="CJ1868" s="1" t="s">
        <v>109</v>
      </c>
      <c r="CK1868" s="1"/>
      <c r="CL1868" s="1">
        <v>0</v>
      </c>
      <c r="CM1868" s="1">
        <v>0</v>
      </c>
      <c r="CN1868" s="1">
        <v>0</v>
      </c>
    </row>
    <row r="1869" spans="1:92" ht="14.25" customHeight="1" x14ac:dyDescent="0.15">
      <c r="A1869" s="1" t="s">
        <v>13815</v>
      </c>
      <c r="B1869" s="1" t="s">
        <v>189</v>
      </c>
      <c r="C1869" s="1"/>
      <c r="D1869" s="1"/>
      <c r="E1869" s="1" t="s">
        <v>13816</v>
      </c>
      <c r="F1869" s="1" t="s">
        <v>98</v>
      </c>
      <c r="G1869" s="1" t="s">
        <v>13801</v>
      </c>
      <c r="H1869" s="1">
        <v>0</v>
      </c>
      <c r="I1869" s="1" t="s">
        <v>161</v>
      </c>
      <c r="J1869" s="1"/>
      <c r="K1869" s="1"/>
      <c r="L1869" s="1" t="s">
        <v>13802</v>
      </c>
      <c r="M1869" s="1" t="s">
        <v>815</v>
      </c>
      <c r="N1869" s="1">
        <v>1</v>
      </c>
      <c r="O1869" s="1">
        <v>0</v>
      </c>
      <c r="P1869" s="1" t="s">
        <v>630</v>
      </c>
      <c r="Q1869" s="1" t="s">
        <v>630</v>
      </c>
      <c r="R1869" s="1" t="s">
        <v>13817</v>
      </c>
      <c r="S1869" s="1" t="s">
        <v>13818</v>
      </c>
      <c r="T1869" s="1" t="s">
        <v>13306</v>
      </c>
      <c r="U1869" s="1" t="s">
        <v>13819</v>
      </c>
      <c r="V1869" s="1">
        <v>1</v>
      </c>
      <c r="W1869" s="1">
        <v>1</v>
      </c>
      <c r="X1869" s="1">
        <v>1</v>
      </c>
      <c r="Y1869" s="1">
        <v>0</v>
      </c>
      <c r="Z1869" s="1">
        <v>0</v>
      </c>
      <c r="AA1869" s="1">
        <v>4</v>
      </c>
      <c r="AB1869" s="1">
        <v>4</v>
      </c>
      <c r="AC1869" s="1" t="s">
        <v>109</v>
      </c>
      <c r="AD1869" s="1" t="s">
        <v>109</v>
      </c>
      <c r="AE1869" s="1" t="s">
        <v>109</v>
      </c>
      <c r="AF1869" s="1" t="s">
        <v>109</v>
      </c>
      <c r="AG1869" s="1" t="s">
        <v>109</v>
      </c>
      <c r="AH1869" s="1" t="s">
        <v>109</v>
      </c>
      <c r="AI1869" s="1" t="s">
        <v>109</v>
      </c>
      <c r="AJ1869" s="1">
        <v>4</v>
      </c>
      <c r="AK1869" s="1" t="s">
        <v>109</v>
      </c>
      <c r="AL1869" s="1" t="s">
        <v>109</v>
      </c>
      <c r="AM1869" s="1" t="s">
        <v>109</v>
      </c>
      <c r="AN1869" s="1" t="s">
        <v>109</v>
      </c>
      <c r="AO1869" s="1" t="s">
        <v>109</v>
      </c>
      <c r="AP1869" s="1"/>
      <c r="AQ1869" s="1">
        <v>4</v>
      </c>
      <c r="AR1869" s="1"/>
      <c r="AS1869" s="1" t="s">
        <v>13820</v>
      </c>
      <c r="AT1869" s="1">
        <v>0</v>
      </c>
      <c r="AU1869" s="1">
        <v>0</v>
      </c>
      <c r="AV1869" s="1">
        <v>0</v>
      </c>
      <c r="AW1869" s="1">
        <v>0</v>
      </c>
      <c r="AX1869" s="1">
        <v>0</v>
      </c>
      <c r="AY1869" s="1">
        <v>0</v>
      </c>
      <c r="AZ1869" s="1">
        <v>0</v>
      </c>
      <c r="BA1869" s="1">
        <v>0</v>
      </c>
      <c r="BB1869" s="1">
        <v>0</v>
      </c>
      <c r="BC1869" s="1">
        <v>0</v>
      </c>
      <c r="BD1869" s="1">
        <v>0</v>
      </c>
      <c r="BE1869" s="1">
        <v>0</v>
      </c>
      <c r="BF1869" s="1">
        <v>0</v>
      </c>
      <c r="BG1869" s="1">
        <v>0</v>
      </c>
      <c r="BH1869" s="1">
        <v>0</v>
      </c>
      <c r="BI1869" s="1">
        <v>0</v>
      </c>
      <c r="BJ1869" s="1">
        <v>0</v>
      </c>
      <c r="BK1869" s="1">
        <v>0</v>
      </c>
      <c r="BL1869" s="1">
        <v>0</v>
      </c>
      <c r="BM1869" s="1">
        <v>0</v>
      </c>
      <c r="BN1869" s="1">
        <v>0</v>
      </c>
      <c r="BO1869" s="1">
        <v>0</v>
      </c>
      <c r="BP1869" s="1">
        <v>0</v>
      </c>
      <c r="BQ1869" s="1">
        <v>0</v>
      </c>
      <c r="BR1869" s="1">
        <v>0</v>
      </c>
      <c r="BS1869" s="1" t="s">
        <v>109</v>
      </c>
      <c r="BT1869" s="1">
        <v>1943</v>
      </c>
      <c r="BU1869" s="1" t="s">
        <v>109</v>
      </c>
      <c r="BV1869" s="1"/>
      <c r="BW1869" s="1"/>
      <c r="BX1869" s="1"/>
      <c r="BY1869" s="1"/>
      <c r="BZ1869" s="1">
        <v>0</v>
      </c>
      <c r="CA1869" s="1" t="s">
        <v>109</v>
      </c>
      <c r="CB1869" s="1" t="s">
        <v>109</v>
      </c>
      <c r="CC1869" s="1">
        <v>4</v>
      </c>
      <c r="CD1869" s="1" t="s">
        <v>109</v>
      </c>
      <c r="CE1869" s="1" t="s">
        <v>109</v>
      </c>
      <c r="CF1869" s="1">
        <v>4</v>
      </c>
      <c r="CG1869" s="1">
        <v>4</v>
      </c>
      <c r="CH1869" s="1" t="s">
        <v>109</v>
      </c>
      <c r="CI1869" s="1" t="s">
        <v>109</v>
      </c>
      <c r="CJ1869" s="1" t="s">
        <v>109</v>
      </c>
      <c r="CK1869" s="1"/>
      <c r="CL1869" s="1">
        <v>0</v>
      </c>
      <c r="CM1869" s="1">
        <v>0</v>
      </c>
      <c r="CN1869" s="1">
        <v>0</v>
      </c>
    </row>
    <row r="1870" spans="1:92" ht="14.25" customHeight="1" x14ac:dyDescent="0.15">
      <c r="A1870" s="1" t="s">
        <v>13821</v>
      </c>
      <c r="B1870" s="1" t="s">
        <v>584</v>
      </c>
      <c r="C1870" s="1"/>
      <c r="D1870" s="1" t="s">
        <v>7610</v>
      </c>
      <c r="E1870" s="1" t="s">
        <v>13822</v>
      </c>
      <c r="F1870" s="1" t="s">
        <v>98</v>
      </c>
      <c r="G1870" s="1" t="s">
        <v>141</v>
      </c>
      <c r="H1870" s="1">
        <v>0</v>
      </c>
      <c r="I1870" s="1" t="s">
        <v>142</v>
      </c>
      <c r="J1870" s="1"/>
      <c r="K1870" s="1" t="s">
        <v>9171</v>
      </c>
      <c r="L1870" s="1"/>
      <c r="M1870" s="1" t="s">
        <v>144</v>
      </c>
      <c r="N1870" s="1">
        <v>0</v>
      </c>
      <c r="O1870" s="1">
        <v>0</v>
      </c>
      <c r="P1870" s="1" t="s">
        <v>103</v>
      </c>
      <c r="Q1870" s="1" t="s">
        <v>268</v>
      </c>
      <c r="R1870" s="1" t="s">
        <v>13823</v>
      </c>
      <c r="S1870" s="1" t="s">
        <v>13824</v>
      </c>
      <c r="T1870" s="1" t="s">
        <v>13306</v>
      </c>
      <c r="U1870" s="1" t="s">
        <v>13825</v>
      </c>
      <c r="V1870" s="1">
        <v>1</v>
      </c>
      <c r="W1870" s="1">
        <v>1</v>
      </c>
      <c r="X1870" s="1">
        <v>0</v>
      </c>
      <c r="Y1870" s="1">
        <v>0</v>
      </c>
      <c r="Z1870" s="1">
        <v>0</v>
      </c>
      <c r="AA1870" s="1">
        <v>2</v>
      </c>
      <c r="AB1870" s="1">
        <v>2</v>
      </c>
      <c r="AC1870" s="1" t="s">
        <v>109</v>
      </c>
      <c r="AD1870" s="1" t="s">
        <v>109</v>
      </c>
      <c r="AE1870" s="1" t="s">
        <v>109</v>
      </c>
      <c r="AF1870" s="1" t="s">
        <v>109</v>
      </c>
      <c r="AG1870" s="1" t="s">
        <v>109</v>
      </c>
      <c r="AH1870" s="1" t="s">
        <v>109</v>
      </c>
      <c r="AI1870" s="1" t="s">
        <v>109</v>
      </c>
      <c r="AJ1870" s="1">
        <v>2</v>
      </c>
      <c r="AK1870" s="1" t="s">
        <v>109</v>
      </c>
      <c r="AL1870" s="1" t="s">
        <v>109</v>
      </c>
      <c r="AM1870" s="1" t="s">
        <v>109</v>
      </c>
      <c r="AN1870" s="1">
        <v>2</v>
      </c>
      <c r="AO1870" s="1" t="s">
        <v>109</v>
      </c>
      <c r="AP1870" s="1"/>
      <c r="AQ1870" s="1">
        <v>2</v>
      </c>
      <c r="AR1870" s="1"/>
      <c r="AS1870" s="1" t="s">
        <v>13826</v>
      </c>
      <c r="AT1870" s="1">
        <v>0</v>
      </c>
      <c r="AU1870" s="1">
        <v>0</v>
      </c>
      <c r="AV1870" s="1">
        <v>0</v>
      </c>
      <c r="AW1870" s="1">
        <v>0</v>
      </c>
      <c r="AX1870" s="1">
        <v>0</v>
      </c>
      <c r="AY1870" s="1">
        <v>0</v>
      </c>
      <c r="AZ1870" s="1">
        <v>0</v>
      </c>
      <c r="BA1870" s="1">
        <v>0</v>
      </c>
      <c r="BB1870" s="1">
        <v>1</v>
      </c>
      <c r="BC1870" s="1">
        <v>0</v>
      </c>
      <c r="BD1870" s="1">
        <v>0</v>
      </c>
      <c r="BE1870" s="1">
        <v>0</v>
      </c>
      <c r="BF1870" s="1">
        <v>0</v>
      </c>
      <c r="BG1870" s="1">
        <v>1</v>
      </c>
      <c r="BH1870" s="1">
        <v>0</v>
      </c>
      <c r="BI1870" s="1">
        <v>0</v>
      </c>
      <c r="BJ1870" s="1">
        <v>0</v>
      </c>
      <c r="BK1870" s="1">
        <v>0</v>
      </c>
      <c r="BL1870" s="1">
        <v>0</v>
      </c>
      <c r="BM1870" s="1">
        <v>0</v>
      </c>
      <c r="BN1870" s="1">
        <v>0</v>
      </c>
      <c r="BO1870" s="1">
        <v>0</v>
      </c>
      <c r="BP1870" s="1">
        <v>0</v>
      </c>
      <c r="BQ1870" s="1">
        <v>0</v>
      </c>
      <c r="BR1870" s="1">
        <v>0</v>
      </c>
      <c r="BS1870" s="1" t="s">
        <v>109</v>
      </c>
      <c r="BT1870" s="1">
        <v>1944</v>
      </c>
      <c r="BU1870" s="1" t="s">
        <v>109</v>
      </c>
      <c r="BV1870" s="1"/>
      <c r="BW1870" s="1"/>
      <c r="BX1870" s="1"/>
      <c r="BY1870" s="1"/>
      <c r="BZ1870" s="1">
        <v>0</v>
      </c>
      <c r="CA1870" s="1">
        <v>2</v>
      </c>
      <c r="CB1870" s="1" t="s">
        <v>109</v>
      </c>
      <c r="CC1870" s="1" t="s">
        <v>109</v>
      </c>
      <c r="CD1870" s="1" t="s">
        <v>109</v>
      </c>
      <c r="CE1870" s="1" t="s">
        <v>109</v>
      </c>
      <c r="CF1870" s="1" t="s">
        <v>109</v>
      </c>
      <c r="CG1870" s="1" t="s">
        <v>109</v>
      </c>
      <c r="CH1870" s="1" t="s">
        <v>109</v>
      </c>
      <c r="CI1870" s="1" t="s">
        <v>109</v>
      </c>
      <c r="CJ1870" s="1" t="s">
        <v>109</v>
      </c>
      <c r="CK1870" s="1"/>
      <c r="CL1870" s="1">
        <v>0</v>
      </c>
      <c r="CM1870" s="1">
        <v>0</v>
      </c>
      <c r="CN1870" s="1">
        <v>0</v>
      </c>
    </row>
    <row r="1871" spans="1:92" ht="14.25" customHeight="1" x14ac:dyDescent="0.15">
      <c r="A1871" s="1" t="s">
        <v>13827</v>
      </c>
      <c r="B1871" s="1" t="s">
        <v>189</v>
      </c>
      <c r="C1871" s="1"/>
      <c r="D1871" s="1"/>
      <c r="E1871" s="1" t="s">
        <v>13828</v>
      </c>
      <c r="F1871" s="1" t="s">
        <v>98</v>
      </c>
      <c r="G1871" s="1" t="s">
        <v>141</v>
      </c>
      <c r="H1871" s="1">
        <v>0</v>
      </c>
      <c r="I1871" s="1" t="s">
        <v>235</v>
      </c>
      <c r="J1871" s="1"/>
      <c r="K1871" s="1"/>
      <c r="L1871" s="1" t="s">
        <v>236</v>
      </c>
      <c r="M1871" s="1" t="s">
        <v>6144</v>
      </c>
      <c r="N1871" s="1">
        <v>1</v>
      </c>
      <c r="O1871" s="1">
        <v>0</v>
      </c>
      <c r="P1871" s="1"/>
      <c r="Q1871" s="1"/>
      <c r="R1871" s="1" t="s">
        <v>13829</v>
      </c>
      <c r="S1871" s="1" t="s">
        <v>13830</v>
      </c>
      <c r="T1871" s="1" t="s">
        <v>13306</v>
      </c>
      <c r="U1871" s="1" t="s">
        <v>13831</v>
      </c>
      <c r="V1871" s="1">
        <v>1</v>
      </c>
      <c r="W1871" s="1">
        <v>1</v>
      </c>
      <c r="X1871" s="1">
        <v>0</v>
      </c>
      <c r="Y1871" s="1">
        <v>0</v>
      </c>
      <c r="Z1871" s="1">
        <v>0</v>
      </c>
      <c r="AA1871" s="1">
        <v>1</v>
      </c>
      <c r="AB1871" s="1">
        <v>1</v>
      </c>
      <c r="AC1871" s="1" t="s">
        <v>109</v>
      </c>
      <c r="AD1871" s="1">
        <v>1</v>
      </c>
      <c r="AE1871" s="1" t="s">
        <v>109</v>
      </c>
      <c r="AF1871" s="1" t="s">
        <v>109</v>
      </c>
      <c r="AG1871" s="1" t="s">
        <v>109</v>
      </c>
      <c r="AH1871" s="1">
        <v>1</v>
      </c>
      <c r="AI1871" s="1" t="s">
        <v>109</v>
      </c>
      <c r="AJ1871" s="1" t="s">
        <v>109</v>
      </c>
      <c r="AK1871" s="1" t="s">
        <v>109</v>
      </c>
      <c r="AL1871" s="1" t="s">
        <v>109</v>
      </c>
      <c r="AM1871" s="1" t="s">
        <v>109</v>
      </c>
      <c r="AN1871" s="1">
        <v>1</v>
      </c>
      <c r="AO1871" s="1" t="s">
        <v>109</v>
      </c>
      <c r="AP1871" s="1"/>
      <c r="AQ1871" s="1">
        <v>1</v>
      </c>
      <c r="AR1871" s="1"/>
      <c r="AS1871" s="1" t="s">
        <v>13832</v>
      </c>
      <c r="AT1871" s="1">
        <v>0</v>
      </c>
      <c r="AU1871" s="1">
        <v>0</v>
      </c>
      <c r="AV1871" s="1">
        <v>0</v>
      </c>
      <c r="AW1871" s="1">
        <v>0</v>
      </c>
      <c r="AX1871" s="1">
        <v>0</v>
      </c>
      <c r="AY1871" s="1">
        <v>0</v>
      </c>
      <c r="AZ1871" s="1">
        <v>0</v>
      </c>
      <c r="BA1871" s="1">
        <v>0</v>
      </c>
      <c r="BB1871" s="1">
        <v>0</v>
      </c>
      <c r="BC1871" s="1">
        <v>0</v>
      </c>
      <c r="BD1871" s="1">
        <v>0</v>
      </c>
      <c r="BE1871" s="1">
        <v>0</v>
      </c>
      <c r="BF1871" s="1">
        <v>0</v>
      </c>
      <c r="BG1871" s="1">
        <v>0</v>
      </c>
      <c r="BH1871" s="1">
        <v>0</v>
      </c>
      <c r="BI1871" s="1">
        <v>0</v>
      </c>
      <c r="BJ1871" s="1">
        <v>0</v>
      </c>
      <c r="BK1871" s="1">
        <v>0</v>
      </c>
      <c r="BL1871" s="1">
        <v>0</v>
      </c>
      <c r="BM1871" s="1">
        <v>0</v>
      </c>
      <c r="BN1871" s="1">
        <v>0</v>
      </c>
      <c r="BO1871" s="1">
        <v>0</v>
      </c>
      <c r="BP1871" s="1">
        <v>0</v>
      </c>
      <c r="BQ1871" s="1">
        <v>0</v>
      </c>
      <c r="BR1871" s="1">
        <v>0</v>
      </c>
      <c r="BS1871" s="1" t="s">
        <v>109</v>
      </c>
      <c r="BT1871" s="1">
        <v>1945</v>
      </c>
      <c r="BU1871" s="1" t="s">
        <v>109</v>
      </c>
      <c r="BV1871" s="1"/>
      <c r="BW1871" s="1"/>
      <c r="BX1871" s="1"/>
      <c r="BY1871" s="1"/>
      <c r="BZ1871" s="1">
        <v>0</v>
      </c>
      <c r="CA1871" s="1" t="s">
        <v>109</v>
      </c>
      <c r="CB1871" s="1">
        <v>1</v>
      </c>
      <c r="CC1871" s="1">
        <v>1</v>
      </c>
      <c r="CD1871" s="1" t="s">
        <v>109</v>
      </c>
      <c r="CE1871" s="1" t="s">
        <v>109</v>
      </c>
      <c r="CF1871" s="1" t="s">
        <v>109</v>
      </c>
      <c r="CG1871" s="1" t="s">
        <v>109</v>
      </c>
      <c r="CH1871" s="1" t="s">
        <v>109</v>
      </c>
      <c r="CI1871" s="1" t="s">
        <v>109</v>
      </c>
      <c r="CJ1871" s="1">
        <v>1</v>
      </c>
      <c r="CK1871" s="1"/>
      <c r="CL1871" s="1">
        <v>0</v>
      </c>
      <c r="CM1871" s="1">
        <v>0</v>
      </c>
      <c r="CN1871" s="1">
        <v>0</v>
      </c>
    </row>
    <row r="1872" spans="1:92" ht="14.25" customHeight="1" x14ac:dyDescent="0.15">
      <c r="A1872" s="1" t="s">
        <v>13833</v>
      </c>
      <c r="B1872" s="1" t="s">
        <v>674</v>
      </c>
      <c r="C1872" s="1" t="s">
        <v>675</v>
      </c>
      <c r="D1872" s="1"/>
      <c r="E1872" s="1" t="s">
        <v>13834</v>
      </c>
      <c r="F1872" s="1" t="s">
        <v>355</v>
      </c>
      <c r="G1872" s="1" t="s">
        <v>141</v>
      </c>
      <c r="H1872" s="1">
        <v>0</v>
      </c>
      <c r="I1872" s="1" t="s">
        <v>142</v>
      </c>
      <c r="J1872" s="1"/>
      <c r="K1872" s="1"/>
      <c r="L1872" s="1" t="s">
        <v>13835</v>
      </c>
      <c r="M1872" s="1" t="s">
        <v>6144</v>
      </c>
      <c r="N1872" s="1">
        <v>1</v>
      </c>
      <c r="O1872" s="1">
        <v>0</v>
      </c>
      <c r="P1872" s="1" t="s">
        <v>301</v>
      </c>
      <c r="Q1872" s="1" t="s">
        <v>268</v>
      </c>
      <c r="R1872" s="1" t="s">
        <v>13836</v>
      </c>
      <c r="S1872" s="1" t="s">
        <v>13837</v>
      </c>
      <c r="T1872" s="1" t="s">
        <v>13306</v>
      </c>
      <c r="U1872" s="1" t="s">
        <v>13838</v>
      </c>
      <c r="V1872" s="1">
        <v>1</v>
      </c>
      <c r="W1872" s="1">
        <v>1</v>
      </c>
      <c r="X1872" s="1">
        <v>0</v>
      </c>
      <c r="Y1872" s="1">
        <v>0</v>
      </c>
      <c r="Z1872" s="1">
        <v>0</v>
      </c>
      <c r="AA1872" s="1" t="s">
        <v>109</v>
      </c>
      <c r="AB1872" s="1" t="s">
        <v>109</v>
      </c>
      <c r="AC1872" s="1">
        <v>2</v>
      </c>
      <c r="AD1872" s="1" t="s">
        <v>109</v>
      </c>
      <c r="AE1872" s="1" t="s">
        <v>109</v>
      </c>
      <c r="AF1872" s="1">
        <v>2</v>
      </c>
      <c r="AG1872" s="1" t="s">
        <v>109</v>
      </c>
      <c r="AH1872" s="1" t="s">
        <v>109</v>
      </c>
      <c r="AI1872" s="1" t="s">
        <v>109</v>
      </c>
      <c r="AJ1872" s="1" t="s">
        <v>109</v>
      </c>
      <c r="AK1872" s="1">
        <v>2</v>
      </c>
      <c r="AL1872" s="1">
        <v>2</v>
      </c>
      <c r="AM1872" s="1" t="s">
        <v>109</v>
      </c>
      <c r="AN1872" s="1" t="s">
        <v>109</v>
      </c>
      <c r="AO1872" s="1" t="s">
        <v>109</v>
      </c>
      <c r="AP1872" s="1"/>
      <c r="AQ1872" s="1">
        <v>2</v>
      </c>
      <c r="AR1872" s="1"/>
      <c r="AS1872" s="1" t="s">
        <v>13839</v>
      </c>
      <c r="AT1872" s="1">
        <v>0</v>
      </c>
      <c r="AU1872" s="1">
        <v>0</v>
      </c>
      <c r="AV1872" s="1">
        <v>0</v>
      </c>
      <c r="AW1872" s="1">
        <v>0</v>
      </c>
      <c r="AX1872" s="1">
        <v>0</v>
      </c>
      <c r="AY1872" s="1">
        <v>0</v>
      </c>
      <c r="AZ1872" s="1">
        <v>0</v>
      </c>
      <c r="BA1872" s="1">
        <v>0</v>
      </c>
      <c r="BB1872" s="1">
        <v>0</v>
      </c>
      <c r="BC1872" s="1">
        <v>0</v>
      </c>
      <c r="BD1872" s="1">
        <v>0</v>
      </c>
      <c r="BE1872" s="1">
        <v>0</v>
      </c>
      <c r="BF1872" s="1">
        <v>0</v>
      </c>
      <c r="BG1872" s="1">
        <v>0</v>
      </c>
      <c r="BH1872" s="1">
        <v>0</v>
      </c>
      <c r="BI1872" s="1">
        <v>0</v>
      </c>
      <c r="BJ1872" s="1">
        <v>0</v>
      </c>
      <c r="BK1872" s="1">
        <v>0</v>
      </c>
      <c r="BL1872" s="1">
        <v>0</v>
      </c>
      <c r="BM1872" s="1">
        <v>0</v>
      </c>
      <c r="BN1872" s="1">
        <v>0</v>
      </c>
      <c r="BO1872" s="1">
        <v>0</v>
      </c>
      <c r="BP1872" s="1">
        <v>0</v>
      </c>
      <c r="BQ1872" s="1">
        <v>0</v>
      </c>
      <c r="BR1872" s="1">
        <v>0</v>
      </c>
      <c r="BS1872" s="1" t="s">
        <v>109</v>
      </c>
      <c r="BT1872" s="1">
        <v>1946</v>
      </c>
      <c r="BU1872" s="1" t="s">
        <v>109</v>
      </c>
      <c r="BV1872" s="1"/>
      <c r="BW1872" s="1"/>
      <c r="BX1872" s="1"/>
      <c r="BY1872" s="1"/>
      <c r="BZ1872" s="1">
        <v>0</v>
      </c>
      <c r="CA1872" s="1" t="s">
        <v>109</v>
      </c>
      <c r="CB1872" s="1" t="s">
        <v>109</v>
      </c>
      <c r="CC1872" s="1">
        <v>2</v>
      </c>
      <c r="CD1872" s="1" t="s">
        <v>109</v>
      </c>
      <c r="CE1872" s="1">
        <v>2</v>
      </c>
      <c r="CF1872" s="1" t="s">
        <v>109</v>
      </c>
      <c r="CG1872" s="1" t="s">
        <v>109</v>
      </c>
      <c r="CH1872" s="1" t="s">
        <v>109</v>
      </c>
      <c r="CI1872" s="1" t="s">
        <v>109</v>
      </c>
      <c r="CJ1872" s="1" t="s">
        <v>109</v>
      </c>
      <c r="CK1872" s="1"/>
      <c r="CL1872" s="1">
        <v>0</v>
      </c>
      <c r="CM1872" s="1">
        <v>0</v>
      </c>
      <c r="CN1872" s="1">
        <v>0</v>
      </c>
    </row>
    <row r="1873" spans="1:92" ht="14.25" customHeight="1" x14ac:dyDescent="0.15">
      <c r="A1873" s="1" t="s">
        <v>13840</v>
      </c>
      <c r="B1873" s="1" t="s">
        <v>95</v>
      </c>
      <c r="C1873" s="1" t="s">
        <v>96</v>
      </c>
      <c r="D1873" s="1" t="s">
        <v>67</v>
      </c>
      <c r="E1873" s="1" t="s">
        <v>11542</v>
      </c>
      <c r="F1873" s="1" t="s">
        <v>98</v>
      </c>
      <c r="G1873" s="1" t="s">
        <v>2570</v>
      </c>
      <c r="H1873" s="1">
        <v>0</v>
      </c>
      <c r="I1873" s="1" t="s">
        <v>142</v>
      </c>
      <c r="J1873" s="1"/>
      <c r="K1873" s="1" t="s">
        <v>13841</v>
      </c>
      <c r="L1873" s="1"/>
      <c r="M1873" s="1" t="s">
        <v>144</v>
      </c>
      <c r="N1873" s="1">
        <v>0</v>
      </c>
      <c r="O1873" s="1">
        <v>0</v>
      </c>
      <c r="P1873" s="1" t="s">
        <v>8321</v>
      </c>
      <c r="Q1873" s="1" t="s">
        <v>104</v>
      </c>
      <c r="R1873" s="1" t="s">
        <v>13842</v>
      </c>
      <c r="S1873" s="1" t="s">
        <v>13843</v>
      </c>
      <c r="T1873" s="1" t="s">
        <v>13306</v>
      </c>
      <c r="U1873" s="1" t="s">
        <v>13844</v>
      </c>
      <c r="V1873" s="1">
        <v>0</v>
      </c>
      <c r="W1873" s="1">
        <v>1</v>
      </c>
      <c r="X1873" s="1">
        <v>0</v>
      </c>
      <c r="Y1873" s="1">
        <v>0</v>
      </c>
      <c r="Z1873" s="1">
        <v>1</v>
      </c>
      <c r="AA1873" s="1" t="s">
        <v>109</v>
      </c>
      <c r="AB1873" s="1" t="s">
        <v>109</v>
      </c>
      <c r="AC1873" s="1" t="s">
        <v>109</v>
      </c>
      <c r="AD1873" s="1">
        <v>1</v>
      </c>
      <c r="AE1873" s="1" t="s">
        <v>109</v>
      </c>
      <c r="AF1873" s="1" t="s">
        <v>109</v>
      </c>
      <c r="AG1873" s="1" t="s">
        <v>109</v>
      </c>
      <c r="AH1873" s="1" t="s">
        <v>109</v>
      </c>
      <c r="AI1873" s="1" t="s">
        <v>109</v>
      </c>
      <c r="AJ1873" s="1">
        <v>1</v>
      </c>
      <c r="AK1873" s="1" t="s">
        <v>109</v>
      </c>
      <c r="AL1873" s="1" t="s">
        <v>109</v>
      </c>
      <c r="AM1873" s="1" t="s">
        <v>109</v>
      </c>
      <c r="AN1873" s="1" t="s">
        <v>109</v>
      </c>
      <c r="AO1873" s="1" t="s">
        <v>109</v>
      </c>
      <c r="AP1873" s="1"/>
      <c r="AQ1873" s="1">
        <v>1</v>
      </c>
      <c r="AR1873" s="1"/>
      <c r="AS1873" s="1" t="s">
        <v>13845</v>
      </c>
      <c r="AT1873" s="1">
        <v>0</v>
      </c>
      <c r="AU1873" s="1">
        <v>0</v>
      </c>
      <c r="AV1873" s="1">
        <v>0</v>
      </c>
      <c r="AW1873" s="1">
        <v>0</v>
      </c>
      <c r="AX1873" s="1">
        <v>0</v>
      </c>
      <c r="AY1873" s="1">
        <v>0</v>
      </c>
      <c r="AZ1873" s="1">
        <v>0</v>
      </c>
      <c r="BA1873" s="1">
        <v>0</v>
      </c>
      <c r="BB1873" s="1">
        <v>0</v>
      </c>
      <c r="BC1873" s="1">
        <v>0</v>
      </c>
      <c r="BD1873" s="1">
        <v>0</v>
      </c>
      <c r="BE1873" s="1">
        <v>0</v>
      </c>
      <c r="BF1873" s="1">
        <v>0</v>
      </c>
      <c r="BG1873" s="1">
        <v>0</v>
      </c>
      <c r="BH1873" s="1">
        <v>0</v>
      </c>
      <c r="BI1873" s="1">
        <v>0</v>
      </c>
      <c r="BJ1873" s="1">
        <v>0</v>
      </c>
      <c r="BK1873" s="1">
        <v>0</v>
      </c>
      <c r="BL1873" s="1">
        <v>0</v>
      </c>
      <c r="BM1873" s="1">
        <v>0</v>
      </c>
      <c r="BN1873" s="1">
        <v>0</v>
      </c>
      <c r="BO1873" s="1">
        <v>1</v>
      </c>
      <c r="BP1873" s="1">
        <v>0</v>
      </c>
      <c r="BQ1873" s="1">
        <v>0</v>
      </c>
      <c r="BR1873" s="1">
        <v>0</v>
      </c>
      <c r="BS1873" s="1" t="s">
        <v>109</v>
      </c>
      <c r="BT1873" s="1">
        <v>1947</v>
      </c>
      <c r="BU1873" s="1" t="s">
        <v>109</v>
      </c>
      <c r="BV1873" s="1"/>
      <c r="BW1873" s="1"/>
      <c r="BX1873" s="1"/>
      <c r="BY1873" s="1"/>
      <c r="BZ1873" s="1">
        <v>0</v>
      </c>
      <c r="CA1873" s="1" t="s">
        <v>109</v>
      </c>
      <c r="CB1873" s="1" t="s">
        <v>109</v>
      </c>
      <c r="CC1873" s="1" t="s">
        <v>109</v>
      </c>
      <c r="CD1873" s="1" t="s">
        <v>109</v>
      </c>
      <c r="CE1873" s="1" t="s">
        <v>109</v>
      </c>
      <c r="CF1873" s="1" t="s">
        <v>109</v>
      </c>
      <c r="CG1873" s="1" t="s">
        <v>109</v>
      </c>
      <c r="CH1873" s="1" t="s">
        <v>109</v>
      </c>
      <c r="CI1873" s="1" t="s">
        <v>109</v>
      </c>
      <c r="CJ1873" s="1">
        <v>1</v>
      </c>
      <c r="CK1873" s="1"/>
      <c r="CL1873" s="1">
        <v>0</v>
      </c>
      <c r="CM1873" s="1">
        <v>0</v>
      </c>
      <c r="CN1873" s="1">
        <v>0</v>
      </c>
    </row>
    <row r="1874" spans="1:92" ht="14.25" customHeight="1" x14ac:dyDescent="0.15">
      <c r="A1874" s="1" t="s">
        <v>13846</v>
      </c>
      <c r="B1874" s="1" t="s">
        <v>95</v>
      </c>
      <c r="C1874" s="1" t="s">
        <v>96</v>
      </c>
      <c r="D1874" s="1" t="s">
        <v>67</v>
      </c>
      <c r="E1874" s="1" t="s">
        <v>13847</v>
      </c>
      <c r="F1874" s="1" t="s">
        <v>98</v>
      </c>
      <c r="G1874" s="1" t="s">
        <v>4694</v>
      </c>
      <c r="H1874" s="1">
        <v>0</v>
      </c>
      <c r="I1874" s="1" t="s">
        <v>122</v>
      </c>
      <c r="J1874" s="1"/>
      <c r="K1874" s="1"/>
      <c r="L1874" s="1" t="s">
        <v>8687</v>
      </c>
      <c r="M1874" s="1" t="s">
        <v>125</v>
      </c>
      <c r="N1874" s="1">
        <v>0</v>
      </c>
      <c r="O1874" s="1">
        <v>0</v>
      </c>
      <c r="P1874" s="1" t="s">
        <v>13848</v>
      </c>
      <c r="Q1874" s="1" t="s">
        <v>104</v>
      </c>
      <c r="R1874" s="1" t="s">
        <v>13849</v>
      </c>
      <c r="S1874" s="1" t="s">
        <v>13850</v>
      </c>
      <c r="T1874" s="1" t="s">
        <v>13306</v>
      </c>
      <c r="U1874" s="1" t="s">
        <v>13851</v>
      </c>
      <c r="V1874" s="1">
        <v>1</v>
      </c>
      <c r="W1874" s="1">
        <v>1</v>
      </c>
      <c r="X1874" s="1">
        <v>1</v>
      </c>
      <c r="Y1874" s="1">
        <v>0</v>
      </c>
      <c r="Z1874" s="1">
        <v>0</v>
      </c>
      <c r="AA1874" s="1">
        <v>3</v>
      </c>
      <c r="AB1874" s="1">
        <v>3</v>
      </c>
      <c r="AC1874" s="1" t="s">
        <v>109</v>
      </c>
      <c r="AD1874" s="1">
        <v>3</v>
      </c>
      <c r="AE1874" s="1" t="s">
        <v>109</v>
      </c>
      <c r="AF1874" s="1" t="s">
        <v>109</v>
      </c>
      <c r="AG1874" s="1" t="s">
        <v>109</v>
      </c>
      <c r="AH1874" s="1">
        <v>3</v>
      </c>
      <c r="AI1874" s="1" t="s">
        <v>109</v>
      </c>
      <c r="AJ1874" s="1">
        <v>3</v>
      </c>
      <c r="AK1874" s="1" t="s">
        <v>109</v>
      </c>
      <c r="AL1874" s="1" t="s">
        <v>109</v>
      </c>
      <c r="AM1874" s="1" t="s">
        <v>109</v>
      </c>
      <c r="AN1874" s="1">
        <v>3</v>
      </c>
      <c r="AO1874" s="1" t="s">
        <v>109</v>
      </c>
      <c r="AP1874" s="1"/>
      <c r="AQ1874" s="1">
        <v>3</v>
      </c>
      <c r="AR1874" s="1"/>
      <c r="AS1874" s="1" t="s">
        <v>13852</v>
      </c>
      <c r="AT1874" s="1">
        <v>0</v>
      </c>
      <c r="AU1874" s="1">
        <v>0</v>
      </c>
      <c r="AV1874" s="1">
        <v>0</v>
      </c>
      <c r="AW1874" s="1">
        <v>0</v>
      </c>
      <c r="AX1874" s="1">
        <v>0</v>
      </c>
      <c r="AY1874" s="1">
        <v>0</v>
      </c>
      <c r="AZ1874" s="1">
        <v>0</v>
      </c>
      <c r="BA1874" s="1">
        <v>0</v>
      </c>
      <c r="BB1874" s="1">
        <v>0</v>
      </c>
      <c r="BC1874" s="1">
        <v>0</v>
      </c>
      <c r="BD1874" s="1">
        <v>0</v>
      </c>
      <c r="BE1874" s="1">
        <v>0</v>
      </c>
      <c r="BF1874" s="1">
        <v>0</v>
      </c>
      <c r="BG1874" s="1">
        <v>0</v>
      </c>
      <c r="BH1874" s="1">
        <v>0</v>
      </c>
      <c r="BI1874" s="1">
        <v>0</v>
      </c>
      <c r="BJ1874" s="1">
        <v>0</v>
      </c>
      <c r="BK1874" s="1">
        <v>0</v>
      </c>
      <c r="BL1874" s="1">
        <v>0</v>
      </c>
      <c r="BM1874" s="1">
        <v>0</v>
      </c>
      <c r="BN1874" s="1">
        <v>0</v>
      </c>
      <c r="BO1874" s="1">
        <v>1</v>
      </c>
      <c r="BP1874" s="1">
        <v>0</v>
      </c>
      <c r="BQ1874" s="1">
        <v>0</v>
      </c>
      <c r="BR1874" s="1">
        <v>0</v>
      </c>
      <c r="BS1874" s="1" t="s">
        <v>109</v>
      </c>
      <c r="BT1874" s="1">
        <v>1948</v>
      </c>
      <c r="BU1874" s="1" t="s">
        <v>109</v>
      </c>
      <c r="BV1874" s="1"/>
      <c r="BW1874" s="1"/>
      <c r="BX1874" s="1"/>
      <c r="BY1874" s="1"/>
      <c r="BZ1874" s="1">
        <v>0</v>
      </c>
      <c r="CA1874" s="1" t="s">
        <v>109</v>
      </c>
      <c r="CB1874" s="1">
        <v>3</v>
      </c>
      <c r="CC1874" s="1" t="s">
        <v>109</v>
      </c>
      <c r="CD1874" s="1" t="s">
        <v>109</v>
      </c>
      <c r="CE1874" s="1" t="s">
        <v>109</v>
      </c>
      <c r="CF1874" s="1" t="s">
        <v>109</v>
      </c>
      <c r="CG1874" s="1" t="s">
        <v>109</v>
      </c>
      <c r="CH1874" s="1" t="s">
        <v>109</v>
      </c>
      <c r="CI1874" s="1" t="s">
        <v>109</v>
      </c>
      <c r="CJ1874" s="1">
        <v>3</v>
      </c>
      <c r="CK1874" s="1"/>
      <c r="CL1874" s="1">
        <v>0</v>
      </c>
      <c r="CM1874" s="1">
        <v>0</v>
      </c>
      <c r="CN1874" s="1">
        <v>0</v>
      </c>
    </row>
    <row r="1875" spans="1:92" ht="14.25" customHeight="1" x14ac:dyDescent="0.15">
      <c r="A1875" s="1" t="s">
        <v>13853</v>
      </c>
      <c r="B1875" s="1" t="s">
        <v>95</v>
      </c>
      <c r="C1875" s="1" t="s">
        <v>694</v>
      </c>
      <c r="D1875" s="1"/>
      <c r="E1875" s="1" t="s">
        <v>5633</v>
      </c>
      <c r="F1875" s="1" t="s">
        <v>98</v>
      </c>
      <c r="G1875" s="1" t="s">
        <v>141</v>
      </c>
      <c r="H1875" s="1">
        <v>0</v>
      </c>
      <c r="I1875" s="1" t="s">
        <v>13854</v>
      </c>
      <c r="J1875" s="1" t="s">
        <v>13855</v>
      </c>
      <c r="K1875" s="1"/>
      <c r="L1875" s="1"/>
      <c r="M1875" s="1" t="s">
        <v>125</v>
      </c>
      <c r="N1875" s="1">
        <v>0</v>
      </c>
      <c r="O1875" s="1">
        <v>0</v>
      </c>
      <c r="P1875" s="1" t="s">
        <v>103</v>
      </c>
      <c r="Q1875" s="1" t="s">
        <v>104</v>
      </c>
      <c r="R1875" s="1" t="s">
        <v>13856</v>
      </c>
      <c r="S1875" s="1" t="s">
        <v>13857</v>
      </c>
      <c r="T1875" s="1" t="s">
        <v>13306</v>
      </c>
      <c r="U1875" s="1" t="s">
        <v>13858</v>
      </c>
      <c r="V1875" s="1">
        <v>1</v>
      </c>
      <c r="W1875" s="1">
        <v>1</v>
      </c>
      <c r="X1875" s="1">
        <v>0</v>
      </c>
      <c r="Y1875" s="1">
        <v>0</v>
      </c>
      <c r="Z1875" s="1">
        <v>0</v>
      </c>
      <c r="AA1875" s="1" t="s">
        <v>109</v>
      </c>
      <c r="AB1875" s="1" t="s">
        <v>109</v>
      </c>
      <c r="AC1875" s="1">
        <v>2</v>
      </c>
      <c r="AD1875" s="1" t="s">
        <v>109</v>
      </c>
      <c r="AE1875" s="1" t="s">
        <v>109</v>
      </c>
      <c r="AF1875" s="1">
        <v>2</v>
      </c>
      <c r="AG1875" s="1" t="s">
        <v>109</v>
      </c>
      <c r="AH1875" s="1" t="s">
        <v>109</v>
      </c>
      <c r="AI1875" s="1" t="s">
        <v>109</v>
      </c>
      <c r="AJ1875" s="1" t="s">
        <v>109</v>
      </c>
      <c r="AK1875" s="1" t="s">
        <v>109</v>
      </c>
      <c r="AL1875" s="1">
        <v>2</v>
      </c>
      <c r="AM1875" s="1" t="s">
        <v>109</v>
      </c>
      <c r="AN1875" s="1" t="s">
        <v>109</v>
      </c>
      <c r="AO1875" s="1" t="s">
        <v>109</v>
      </c>
      <c r="AP1875" s="1"/>
      <c r="AQ1875" s="1">
        <v>2</v>
      </c>
      <c r="AR1875" s="1"/>
      <c r="AS1875" s="1" t="s">
        <v>13859</v>
      </c>
      <c r="AT1875" s="1">
        <v>0</v>
      </c>
      <c r="AU1875" s="1">
        <v>0</v>
      </c>
      <c r="AV1875" s="1">
        <v>0</v>
      </c>
      <c r="AW1875" s="1">
        <v>0</v>
      </c>
      <c r="AX1875" s="1">
        <v>0</v>
      </c>
      <c r="AY1875" s="1">
        <v>0</v>
      </c>
      <c r="AZ1875" s="1">
        <v>0</v>
      </c>
      <c r="BA1875" s="1">
        <v>0</v>
      </c>
      <c r="BB1875" s="1">
        <v>0</v>
      </c>
      <c r="BC1875" s="1">
        <v>0</v>
      </c>
      <c r="BD1875" s="1">
        <v>0</v>
      </c>
      <c r="BE1875" s="1">
        <v>0</v>
      </c>
      <c r="BF1875" s="1">
        <v>0</v>
      </c>
      <c r="BG1875" s="1">
        <v>0</v>
      </c>
      <c r="BH1875" s="1">
        <v>0</v>
      </c>
      <c r="BI1875" s="1">
        <v>0</v>
      </c>
      <c r="BJ1875" s="1">
        <v>0</v>
      </c>
      <c r="BK1875" s="1">
        <v>0</v>
      </c>
      <c r="BL1875" s="1">
        <v>0</v>
      </c>
      <c r="BM1875" s="1">
        <v>0</v>
      </c>
      <c r="BN1875" s="1">
        <v>0</v>
      </c>
      <c r="BO1875" s="1">
        <v>0</v>
      </c>
      <c r="BP1875" s="1">
        <v>0</v>
      </c>
      <c r="BQ1875" s="1">
        <v>0</v>
      </c>
      <c r="BR1875" s="1">
        <v>0</v>
      </c>
      <c r="BS1875" s="1" t="s">
        <v>109</v>
      </c>
      <c r="BT1875" s="1">
        <v>1949</v>
      </c>
      <c r="BU1875" s="1" t="s">
        <v>109</v>
      </c>
      <c r="BV1875" s="1"/>
      <c r="BW1875" s="1"/>
      <c r="BX1875" s="1"/>
      <c r="BY1875" s="1"/>
      <c r="BZ1875" s="1">
        <v>0</v>
      </c>
      <c r="CA1875" s="1" t="s">
        <v>109</v>
      </c>
      <c r="CB1875" s="1" t="s">
        <v>109</v>
      </c>
      <c r="CC1875" s="1" t="s">
        <v>109</v>
      </c>
      <c r="CD1875" s="1" t="s">
        <v>109</v>
      </c>
      <c r="CE1875" s="1" t="s">
        <v>109</v>
      </c>
      <c r="CF1875" s="1" t="s">
        <v>109</v>
      </c>
      <c r="CG1875" s="1" t="s">
        <v>109</v>
      </c>
      <c r="CH1875" s="1" t="s">
        <v>109</v>
      </c>
      <c r="CI1875" s="1" t="s">
        <v>109</v>
      </c>
      <c r="CJ1875" s="1" t="s">
        <v>109</v>
      </c>
      <c r="CK1875" s="1"/>
      <c r="CL1875" s="1">
        <v>0</v>
      </c>
      <c r="CM1875" s="1">
        <v>0</v>
      </c>
      <c r="CN1875" s="1">
        <v>0</v>
      </c>
    </row>
    <row r="1876" spans="1:92" ht="14.25" customHeight="1" x14ac:dyDescent="0.15">
      <c r="A1876" s="1" t="s">
        <v>13860</v>
      </c>
      <c r="B1876" s="1" t="s">
        <v>95</v>
      </c>
      <c r="C1876" s="1" t="s">
        <v>694</v>
      </c>
      <c r="D1876" s="1"/>
      <c r="E1876" s="1" t="s">
        <v>5640</v>
      </c>
      <c r="F1876" s="1" t="s">
        <v>98</v>
      </c>
      <c r="G1876" s="1" t="s">
        <v>141</v>
      </c>
      <c r="H1876" s="1">
        <v>0</v>
      </c>
      <c r="I1876" s="1" t="s">
        <v>13854</v>
      </c>
      <c r="J1876" s="1" t="s">
        <v>13855</v>
      </c>
      <c r="K1876" s="1"/>
      <c r="L1876" s="1"/>
      <c r="M1876" s="1" t="s">
        <v>125</v>
      </c>
      <c r="N1876" s="1">
        <v>0</v>
      </c>
      <c r="O1876" s="1">
        <v>0</v>
      </c>
      <c r="P1876" s="1" t="s">
        <v>103</v>
      </c>
      <c r="Q1876" s="1" t="s">
        <v>104</v>
      </c>
      <c r="R1876" s="1" t="s">
        <v>13861</v>
      </c>
      <c r="S1876" s="1" t="s">
        <v>13862</v>
      </c>
      <c r="T1876" s="1" t="s">
        <v>13306</v>
      </c>
      <c r="U1876" s="1" t="s">
        <v>13863</v>
      </c>
      <c r="V1876" s="1">
        <v>1</v>
      </c>
      <c r="W1876" s="1">
        <v>1</v>
      </c>
      <c r="X1876" s="1">
        <v>0</v>
      </c>
      <c r="Y1876" s="1">
        <v>0</v>
      </c>
      <c r="Z1876" s="1">
        <v>0</v>
      </c>
      <c r="AA1876" s="1" t="s">
        <v>109</v>
      </c>
      <c r="AB1876" s="1" t="s">
        <v>109</v>
      </c>
      <c r="AC1876" s="1">
        <v>4</v>
      </c>
      <c r="AD1876" s="1" t="s">
        <v>109</v>
      </c>
      <c r="AE1876" s="1" t="s">
        <v>109</v>
      </c>
      <c r="AF1876" s="1">
        <v>4</v>
      </c>
      <c r="AG1876" s="1" t="s">
        <v>109</v>
      </c>
      <c r="AH1876" s="1" t="s">
        <v>109</v>
      </c>
      <c r="AI1876" s="1" t="s">
        <v>109</v>
      </c>
      <c r="AJ1876" s="1" t="s">
        <v>109</v>
      </c>
      <c r="AK1876" s="1" t="s">
        <v>109</v>
      </c>
      <c r="AL1876" s="1">
        <v>4</v>
      </c>
      <c r="AM1876" s="1" t="s">
        <v>109</v>
      </c>
      <c r="AN1876" s="1" t="s">
        <v>109</v>
      </c>
      <c r="AO1876" s="1" t="s">
        <v>109</v>
      </c>
      <c r="AP1876" s="1"/>
      <c r="AQ1876" s="1">
        <v>4</v>
      </c>
      <c r="AR1876" s="1"/>
      <c r="AS1876" s="1" t="s">
        <v>13864</v>
      </c>
      <c r="AT1876" s="1">
        <v>0</v>
      </c>
      <c r="AU1876" s="1">
        <v>0</v>
      </c>
      <c r="AV1876" s="1">
        <v>0</v>
      </c>
      <c r="AW1876" s="1">
        <v>0</v>
      </c>
      <c r="AX1876" s="1">
        <v>0</v>
      </c>
      <c r="AY1876" s="1">
        <v>0</v>
      </c>
      <c r="AZ1876" s="1">
        <v>0</v>
      </c>
      <c r="BA1876" s="1">
        <v>0</v>
      </c>
      <c r="BB1876" s="1">
        <v>0</v>
      </c>
      <c r="BC1876" s="1">
        <v>0</v>
      </c>
      <c r="BD1876" s="1">
        <v>0</v>
      </c>
      <c r="BE1876" s="1">
        <v>0</v>
      </c>
      <c r="BF1876" s="1">
        <v>0</v>
      </c>
      <c r="BG1876" s="1">
        <v>0</v>
      </c>
      <c r="BH1876" s="1">
        <v>0</v>
      </c>
      <c r="BI1876" s="1">
        <v>0</v>
      </c>
      <c r="BJ1876" s="1">
        <v>0</v>
      </c>
      <c r="BK1876" s="1">
        <v>0</v>
      </c>
      <c r="BL1876" s="1">
        <v>0</v>
      </c>
      <c r="BM1876" s="1">
        <v>0</v>
      </c>
      <c r="BN1876" s="1">
        <v>0</v>
      </c>
      <c r="BO1876" s="1">
        <v>0</v>
      </c>
      <c r="BP1876" s="1">
        <v>0</v>
      </c>
      <c r="BQ1876" s="1">
        <v>0</v>
      </c>
      <c r="BR1876" s="1">
        <v>0</v>
      </c>
      <c r="BS1876" s="1" t="s">
        <v>109</v>
      </c>
      <c r="BT1876" s="1">
        <v>1950</v>
      </c>
      <c r="BU1876" s="1" t="s">
        <v>109</v>
      </c>
      <c r="BV1876" s="1"/>
      <c r="BW1876" s="1"/>
      <c r="BX1876" s="1"/>
      <c r="BY1876" s="1"/>
      <c r="BZ1876" s="1">
        <v>0</v>
      </c>
      <c r="CA1876" s="1" t="s">
        <v>109</v>
      </c>
      <c r="CB1876" s="1" t="s">
        <v>109</v>
      </c>
      <c r="CC1876" s="1" t="s">
        <v>109</v>
      </c>
      <c r="CD1876" s="1" t="s">
        <v>109</v>
      </c>
      <c r="CE1876" s="1" t="s">
        <v>109</v>
      </c>
      <c r="CF1876" s="1" t="s">
        <v>109</v>
      </c>
      <c r="CG1876" s="1" t="s">
        <v>109</v>
      </c>
      <c r="CH1876" s="1" t="s">
        <v>109</v>
      </c>
      <c r="CI1876" s="1" t="s">
        <v>109</v>
      </c>
      <c r="CJ1876" s="1" t="s">
        <v>109</v>
      </c>
      <c r="CK1876" s="1"/>
      <c r="CL1876" s="1">
        <v>0</v>
      </c>
      <c r="CM1876" s="1">
        <v>0</v>
      </c>
      <c r="CN1876" s="1">
        <v>0</v>
      </c>
    </row>
    <row r="1877" spans="1:92" ht="14.25" customHeight="1" x14ac:dyDescent="0.15">
      <c r="A1877" s="1" t="s">
        <v>13865</v>
      </c>
      <c r="B1877" s="1" t="s">
        <v>189</v>
      </c>
      <c r="C1877" s="1"/>
      <c r="D1877" s="1"/>
      <c r="E1877" s="1" t="s">
        <v>13866</v>
      </c>
      <c r="F1877" s="1" t="s">
        <v>98</v>
      </c>
      <c r="G1877" s="1" t="s">
        <v>13867</v>
      </c>
      <c r="H1877" s="1">
        <v>0</v>
      </c>
      <c r="I1877" s="1" t="s">
        <v>235</v>
      </c>
      <c r="J1877" s="1"/>
      <c r="K1877" s="1"/>
      <c r="L1877" s="1" t="s">
        <v>236</v>
      </c>
      <c r="M1877" s="1" t="s">
        <v>574</v>
      </c>
      <c r="N1877" s="1">
        <v>1</v>
      </c>
      <c r="O1877" s="1">
        <v>0</v>
      </c>
      <c r="P1877" s="1"/>
      <c r="Q1877" s="1"/>
      <c r="R1877" s="1" t="s">
        <v>13868</v>
      </c>
      <c r="S1877" s="1" t="s">
        <v>13869</v>
      </c>
      <c r="T1877" s="1" t="s">
        <v>13306</v>
      </c>
      <c r="U1877" s="1" t="s">
        <v>13870</v>
      </c>
      <c r="V1877" s="1">
        <v>1</v>
      </c>
      <c r="W1877" s="1">
        <v>1</v>
      </c>
      <c r="X1877" s="1">
        <v>1</v>
      </c>
      <c r="Y1877" s="1">
        <v>0</v>
      </c>
      <c r="Z1877" s="1">
        <v>1</v>
      </c>
      <c r="AA1877" s="1" t="s">
        <v>109</v>
      </c>
      <c r="AB1877" s="1" t="s">
        <v>109</v>
      </c>
      <c r="AC1877" s="1">
        <v>4</v>
      </c>
      <c r="AD1877" s="1" t="s">
        <v>109</v>
      </c>
      <c r="AE1877" s="1" t="s">
        <v>109</v>
      </c>
      <c r="AF1877" s="1" t="s">
        <v>109</v>
      </c>
      <c r="AG1877" s="1" t="s">
        <v>109</v>
      </c>
      <c r="AH1877" s="1">
        <v>4</v>
      </c>
      <c r="AI1877" s="1" t="s">
        <v>109</v>
      </c>
      <c r="AJ1877" s="1">
        <v>4</v>
      </c>
      <c r="AK1877" s="1">
        <v>4</v>
      </c>
      <c r="AL1877" s="1">
        <v>4</v>
      </c>
      <c r="AM1877" s="1" t="s">
        <v>109</v>
      </c>
      <c r="AN1877" s="1" t="s">
        <v>109</v>
      </c>
      <c r="AO1877" s="1" t="s">
        <v>109</v>
      </c>
      <c r="AP1877" s="1"/>
      <c r="AQ1877" s="1">
        <v>4</v>
      </c>
      <c r="AR1877" s="1"/>
      <c r="AS1877" s="1" t="s">
        <v>13871</v>
      </c>
      <c r="AT1877" s="1">
        <v>0</v>
      </c>
      <c r="AU1877" s="1">
        <v>0</v>
      </c>
      <c r="AV1877" s="1">
        <v>0</v>
      </c>
      <c r="AW1877" s="1">
        <v>0</v>
      </c>
      <c r="AX1877" s="1">
        <v>0</v>
      </c>
      <c r="AY1877" s="1">
        <v>0</v>
      </c>
      <c r="AZ1877" s="1">
        <v>0</v>
      </c>
      <c r="BA1877" s="1">
        <v>0</v>
      </c>
      <c r="BB1877" s="1">
        <v>0</v>
      </c>
      <c r="BC1877" s="1">
        <v>0</v>
      </c>
      <c r="BD1877" s="1">
        <v>0</v>
      </c>
      <c r="BE1877" s="1">
        <v>0</v>
      </c>
      <c r="BF1877" s="1">
        <v>0</v>
      </c>
      <c r="BG1877" s="1">
        <v>0</v>
      </c>
      <c r="BH1877" s="1">
        <v>0</v>
      </c>
      <c r="BI1877" s="1">
        <v>0</v>
      </c>
      <c r="BJ1877" s="1">
        <v>0</v>
      </c>
      <c r="BK1877" s="1">
        <v>0</v>
      </c>
      <c r="BL1877" s="1">
        <v>0</v>
      </c>
      <c r="BM1877" s="1">
        <v>0</v>
      </c>
      <c r="BN1877" s="1">
        <v>0</v>
      </c>
      <c r="BO1877" s="1">
        <v>0</v>
      </c>
      <c r="BP1877" s="1">
        <v>0</v>
      </c>
      <c r="BQ1877" s="1">
        <v>0</v>
      </c>
      <c r="BR1877" s="1">
        <v>0</v>
      </c>
      <c r="BS1877" s="1" t="s">
        <v>109</v>
      </c>
      <c r="BT1877" s="1">
        <v>1951</v>
      </c>
      <c r="BU1877" s="1" t="s">
        <v>109</v>
      </c>
      <c r="BV1877" s="1"/>
      <c r="BW1877" s="1"/>
      <c r="BX1877" s="1"/>
      <c r="BY1877" s="1"/>
      <c r="BZ1877" s="1">
        <v>0</v>
      </c>
      <c r="CA1877" s="1" t="s">
        <v>109</v>
      </c>
      <c r="CB1877" s="1">
        <v>4</v>
      </c>
      <c r="CC1877" s="1">
        <v>4</v>
      </c>
      <c r="CD1877" s="1" t="s">
        <v>109</v>
      </c>
      <c r="CE1877" s="1" t="s">
        <v>109</v>
      </c>
      <c r="CF1877" s="1" t="s">
        <v>109</v>
      </c>
      <c r="CG1877" s="1" t="s">
        <v>109</v>
      </c>
      <c r="CH1877" s="1" t="s">
        <v>109</v>
      </c>
      <c r="CI1877" s="1" t="s">
        <v>109</v>
      </c>
      <c r="CJ1877" s="1" t="s">
        <v>109</v>
      </c>
      <c r="CK1877" s="1"/>
      <c r="CL1877" s="1">
        <v>0</v>
      </c>
      <c r="CM1877" s="1">
        <v>0</v>
      </c>
      <c r="CN1877" s="1">
        <v>0</v>
      </c>
    </row>
    <row r="1878" spans="1:92" ht="14.25" customHeight="1" x14ac:dyDescent="0.15">
      <c r="A1878" s="1" t="s">
        <v>13872</v>
      </c>
      <c r="B1878" s="1" t="s">
        <v>308</v>
      </c>
      <c r="C1878" s="1"/>
      <c r="D1878" s="1"/>
      <c r="E1878" s="1" t="s">
        <v>13873</v>
      </c>
      <c r="F1878" s="1" t="s">
        <v>98</v>
      </c>
      <c r="G1878" s="1" t="s">
        <v>141</v>
      </c>
      <c r="H1878" s="1">
        <v>0</v>
      </c>
      <c r="I1878" s="1" t="s">
        <v>235</v>
      </c>
      <c r="J1878" s="1"/>
      <c r="K1878" s="1"/>
      <c r="L1878" s="1" t="s">
        <v>236</v>
      </c>
      <c r="M1878" s="1" t="s">
        <v>5642</v>
      </c>
      <c r="N1878" s="1">
        <v>0</v>
      </c>
      <c r="O1878" s="1">
        <v>0</v>
      </c>
      <c r="P1878" s="1"/>
      <c r="Q1878" s="1"/>
      <c r="R1878" s="1" t="s">
        <v>13874</v>
      </c>
      <c r="S1878" s="1" t="s">
        <v>13875</v>
      </c>
      <c r="T1878" s="1" t="s">
        <v>13306</v>
      </c>
      <c r="U1878" s="1" t="s">
        <v>13876</v>
      </c>
      <c r="V1878" s="1">
        <v>1</v>
      </c>
      <c r="W1878" s="1">
        <v>1</v>
      </c>
      <c r="X1878" s="1">
        <v>0</v>
      </c>
      <c r="Y1878" s="1">
        <v>0</v>
      </c>
      <c r="Z1878" s="1">
        <v>0</v>
      </c>
      <c r="AA1878" s="1">
        <v>1</v>
      </c>
      <c r="AB1878" s="1">
        <v>1</v>
      </c>
      <c r="AC1878" s="1" t="s">
        <v>109</v>
      </c>
      <c r="AD1878" s="1" t="s">
        <v>109</v>
      </c>
      <c r="AE1878" s="1" t="s">
        <v>109</v>
      </c>
      <c r="AF1878" s="1" t="s">
        <v>109</v>
      </c>
      <c r="AG1878" s="1" t="s">
        <v>109</v>
      </c>
      <c r="AH1878" s="1">
        <v>1</v>
      </c>
      <c r="AI1878" s="1" t="s">
        <v>109</v>
      </c>
      <c r="AJ1878" s="1" t="s">
        <v>109</v>
      </c>
      <c r="AK1878" s="1" t="s">
        <v>109</v>
      </c>
      <c r="AL1878" s="1" t="s">
        <v>109</v>
      </c>
      <c r="AM1878" s="1" t="s">
        <v>109</v>
      </c>
      <c r="AN1878" s="1">
        <v>1</v>
      </c>
      <c r="AO1878" s="1" t="s">
        <v>109</v>
      </c>
      <c r="AP1878" s="1"/>
      <c r="AQ1878" s="1">
        <v>1</v>
      </c>
      <c r="AR1878" s="1"/>
      <c r="AS1878" s="1" t="s">
        <v>13877</v>
      </c>
      <c r="AT1878" s="1">
        <v>0</v>
      </c>
      <c r="AU1878" s="1">
        <v>0</v>
      </c>
      <c r="AV1878" s="1">
        <v>0</v>
      </c>
      <c r="AW1878" s="1">
        <v>0</v>
      </c>
      <c r="AX1878" s="1">
        <v>0</v>
      </c>
      <c r="AY1878" s="1">
        <v>0</v>
      </c>
      <c r="AZ1878" s="1">
        <v>0</v>
      </c>
      <c r="BA1878" s="1">
        <v>0</v>
      </c>
      <c r="BB1878" s="1">
        <v>0</v>
      </c>
      <c r="BC1878" s="1">
        <v>0</v>
      </c>
      <c r="BD1878" s="1">
        <v>0</v>
      </c>
      <c r="BE1878" s="1">
        <v>0</v>
      </c>
      <c r="BF1878" s="1">
        <v>0</v>
      </c>
      <c r="BG1878" s="1">
        <v>0</v>
      </c>
      <c r="BH1878" s="1">
        <v>0</v>
      </c>
      <c r="BI1878" s="1">
        <v>0</v>
      </c>
      <c r="BJ1878" s="1">
        <v>0</v>
      </c>
      <c r="BK1878" s="1">
        <v>0</v>
      </c>
      <c r="BL1878" s="1">
        <v>0</v>
      </c>
      <c r="BM1878" s="1">
        <v>0</v>
      </c>
      <c r="BN1878" s="1">
        <v>0</v>
      </c>
      <c r="BO1878" s="1">
        <v>0</v>
      </c>
      <c r="BP1878" s="1">
        <v>0</v>
      </c>
      <c r="BQ1878" s="1">
        <v>0</v>
      </c>
      <c r="BR1878" s="1">
        <v>0</v>
      </c>
      <c r="BS1878" s="1" t="s">
        <v>109</v>
      </c>
      <c r="BT1878" s="1">
        <v>1952</v>
      </c>
      <c r="BU1878" s="1" t="s">
        <v>109</v>
      </c>
      <c r="BV1878" s="1"/>
      <c r="BW1878" s="1"/>
      <c r="BX1878" s="1"/>
      <c r="BY1878" s="1"/>
      <c r="BZ1878" s="1">
        <v>0</v>
      </c>
      <c r="CA1878" s="1">
        <v>1</v>
      </c>
      <c r="CB1878" s="1" t="s">
        <v>109</v>
      </c>
      <c r="CC1878" s="1" t="s">
        <v>109</v>
      </c>
      <c r="CD1878" s="1" t="s">
        <v>109</v>
      </c>
      <c r="CE1878" s="1" t="s">
        <v>109</v>
      </c>
      <c r="CF1878" s="1" t="s">
        <v>109</v>
      </c>
      <c r="CG1878" s="1">
        <v>1</v>
      </c>
      <c r="CH1878" s="1" t="s">
        <v>109</v>
      </c>
      <c r="CI1878" s="1" t="s">
        <v>109</v>
      </c>
      <c r="CJ1878" s="1" t="s">
        <v>109</v>
      </c>
      <c r="CK1878" s="1"/>
      <c r="CL1878" s="1">
        <v>0</v>
      </c>
      <c r="CM1878" s="1">
        <v>0</v>
      </c>
      <c r="CN1878" s="1">
        <v>0</v>
      </c>
    </row>
    <row r="1879" spans="1:92" ht="14.25" customHeight="1" x14ac:dyDescent="0.15">
      <c r="A1879" s="1" t="s">
        <v>13878</v>
      </c>
      <c r="B1879" s="1" t="s">
        <v>254</v>
      </c>
      <c r="C1879" s="1"/>
      <c r="D1879" s="1"/>
      <c r="E1879" s="1" t="s">
        <v>13879</v>
      </c>
      <c r="F1879" s="1" t="s">
        <v>98</v>
      </c>
      <c r="G1879" s="1" t="s">
        <v>141</v>
      </c>
      <c r="H1879" s="1">
        <v>0</v>
      </c>
      <c r="I1879" s="1" t="s">
        <v>235</v>
      </c>
      <c r="J1879" s="1"/>
      <c r="K1879" s="1"/>
      <c r="L1879" s="1" t="s">
        <v>236</v>
      </c>
      <c r="M1879" s="1" t="s">
        <v>3042</v>
      </c>
      <c r="N1879" s="1">
        <v>0</v>
      </c>
      <c r="O1879" s="1">
        <v>0</v>
      </c>
      <c r="P1879" s="1"/>
      <c r="Q1879" s="1"/>
      <c r="R1879" s="1" t="s">
        <v>13880</v>
      </c>
      <c r="S1879" s="1" t="s">
        <v>13881</v>
      </c>
      <c r="T1879" s="1" t="s">
        <v>13306</v>
      </c>
      <c r="U1879" s="1" t="s">
        <v>13882</v>
      </c>
      <c r="V1879" s="1">
        <v>1</v>
      </c>
      <c r="W1879" s="1">
        <v>1</v>
      </c>
      <c r="X1879" s="1">
        <v>0</v>
      </c>
      <c r="Y1879" s="1">
        <v>0</v>
      </c>
      <c r="Z1879" s="1">
        <v>0</v>
      </c>
      <c r="AA1879" s="1">
        <v>3</v>
      </c>
      <c r="AB1879" s="1">
        <v>3</v>
      </c>
      <c r="AC1879" s="1" t="s">
        <v>109</v>
      </c>
      <c r="AD1879" s="1" t="s">
        <v>109</v>
      </c>
      <c r="AE1879" s="1" t="s">
        <v>109</v>
      </c>
      <c r="AF1879" s="1">
        <v>3</v>
      </c>
      <c r="AG1879" s="1" t="s">
        <v>109</v>
      </c>
      <c r="AH1879" s="1" t="s">
        <v>109</v>
      </c>
      <c r="AI1879" s="1" t="s">
        <v>109</v>
      </c>
      <c r="AJ1879" s="1">
        <v>3</v>
      </c>
      <c r="AK1879" s="1" t="s">
        <v>109</v>
      </c>
      <c r="AL1879" s="1" t="s">
        <v>109</v>
      </c>
      <c r="AM1879" s="1" t="s">
        <v>109</v>
      </c>
      <c r="AN1879" s="1" t="s">
        <v>109</v>
      </c>
      <c r="AO1879" s="1" t="s">
        <v>109</v>
      </c>
      <c r="AP1879" s="1"/>
      <c r="AQ1879" s="1">
        <v>3</v>
      </c>
      <c r="AR1879" s="1"/>
      <c r="AS1879" s="1" t="s">
        <v>13883</v>
      </c>
      <c r="AT1879" s="1">
        <v>0</v>
      </c>
      <c r="AU1879" s="1">
        <v>0</v>
      </c>
      <c r="AV1879" s="1">
        <v>0</v>
      </c>
      <c r="AW1879" s="1">
        <v>0</v>
      </c>
      <c r="AX1879" s="1">
        <v>0</v>
      </c>
      <c r="AY1879" s="1">
        <v>0</v>
      </c>
      <c r="AZ1879" s="1">
        <v>0</v>
      </c>
      <c r="BA1879" s="1">
        <v>0</v>
      </c>
      <c r="BB1879" s="1">
        <v>0</v>
      </c>
      <c r="BC1879" s="1">
        <v>0</v>
      </c>
      <c r="BD1879" s="1">
        <v>0</v>
      </c>
      <c r="BE1879" s="1">
        <v>0</v>
      </c>
      <c r="BF1879" s="1">
        <v>0</v>
      </c>
      <c r="BG1879" s="1">
        <v>0</v>
      </c>
      <c r="BH1879" s="1">
        <v>0</v>
      </c>
      <c r="BI1879" s="1">
        <v>0</v>
      </c>
      <c r="BJ1879" s="1">
        <v>0</v>
      </c>
      <c r="BK1879" s="1">
        <v>0</v>
      </c>
      <c r="BL1879" s="1">
        <v>0</v>
      </c>
      <c r="BM1879" s="1">
        <v>0</v>
      </c>
      <c r="BN1879" s="1">
        <v>0</v>
      </c>
      <c r="BO1879" s="1">
        <v>0</v>
      </c>
      <c r="BP1879" s="1">
        <v>0</v>
      </c>
      <c r="BQ1879" s="1">
        <v>0</v>
      </c>
      <c r="BR1879" s="1">
        <v>0</v>
      </c>
      <c r="BS1879" s="1" t="s">
        <v>109</v>
      </c>
      <c r="BT1879" s="1">
        <v>1953</v>
      </c>
      <c r="BU1879" s="1" t="s">
        <v>109</v>
      </c>
      <c r="BV1879" s="1"/>
      <c r="BW1879" s="1"/>
      <c r="BX1879" s="1"/>
      <c r="BY1879" s="1"/>
      <c r="BZ1879" s="1">
        <v>0</v>
      </c>
      <c r="CA1879" s="1" t="s">
        <v>109</v>
      </c>
      <c r="CB1879" s="1">
        <v>3</v>
      </c>
      <c r="CC1879" s="1">
        <v>3</v>
      </c>
      <c r="CD1879" s="1" t="s">
        <v>109</v>
      </c>
      <c r="CE1879" s="1" t="s">
        <v>109</v>
      </c>
      <c r="CF1879" s="1">
        <v>3</v>
      </c>
      <c r="CG1879" s="1" t="s">
        <v>109</v>
      </c>
      <c r="CH1879" s="1" t="s">
        <v>109</v>
      </c>
      <c r="CI1879" s="1" t="s">
        <v>109</v>
      </c>
      <c r="CJ1879" s="1" t="s">
        <v>109</v>
      </c>
      <c r="CK1879" s="1"/>
      <c r="CL1879" s="1">
        <v>0</v>
      </c>
      <c r="CM1879" s="1">
        <v>0</v>
      </c>
      <c r="CN1879" s="1">
        <v>0</v>
      </c>
    </row>
    <row r="1880" spans="1:92" ht="14.25" customHeight="1" x14ac:dyDescent="0.15">
      <c r="A1880" s="1" t="s">
        <v>13884</v>
      </c>
      <c r="B1880" s="1" t="s">
        <v>156</v>
      </c>
      <c r="C1880" s="1" t="s">
        <v>157</v>
      </c>
      <c r="D1880" s="1" t="s">
        <v>13885</v>
      </c>
      <c r="E1880" s="1" t="s">
        <v>12694</v>
      </c>
      <c r="F1880" s="1" t="s">
        <v>98</v>
      </c>
      <c r="G1880" s="1" t="s">
        <v>160</v>
      </c>
      <c r="H1880" s="1">
        <v>0</v>
      </c>
      <c r="I1880" s="1" t="s">
        <v>915</v>
      </c>
      <c r="J1880" s="1"/>
      <c r="K1880" s="1"/>
      <c r="L1880" s="1" t="s">
        <v>13886</v>
      </c>
      <c r="M1880" s="1" t="s">
        <v>125</v>
      </c>
      <c r="N1880" s="1">
        <v>0</v>
      </c>
      <c r="O1880" s="1">
        <v>0</v>
      </c>
      <c r="P1880" s="1" t="s">
        <v>103</v>
      </c>
      <c r="Q1880" s="1" t="s">
        <v>268</v>
      </c>
      <c r="R1880" s="1" t="s">
        <v>13887</v>
      </c>
      <c r="S1880" s="1" t="s">
        <v>13888</v>
      </c>
      <c r="T1880" s="1" t="s">
        <v>13306</v>
      </c>
      <c r="U1880" s="1" t="s">
        <v>13889</v>
      </c>
      <c r="V1880" s="1">
        <v>1</v>
      </c>
      <c r="W1880" s="1">
        <v>1</v>
      </c>
      <c r="X1880" s="1">
        <v>0</v>
      </c>
      <c r="Y1880" s="1">
        <v>0</v>
      </c>
      <c r="Z1880" s="1">
        <v>1</v>
      </c>
      <c r="AA1880" s="1" t="s">
        <v>109</v>
      </c>
      <c r="AB1880" s="1" t="s">
        <v>109</v>
      </c>
      <c r="AC1880" s="1">
        <v>5</v>
      </c>
      <c r="AD1880" s="1" t="s">
        <v>109</v>
      </c>
      <c r="AE1880" s="1" t="s">
        <v>109</v>
      </c>
      <c r="AF1880" s="1" t="s">
        <v>109</v>
      </c>
      <c r="AG1880" s="1">
        <v>4</v>
      </c>
      <c r="AH1880" s="1" t="s">
        <v>109</v>
      </c>
      <c r="AI1880" s="1" t="s">
        <v>109</v>
      </c>
      <c r="AJ1880" s="1" t="s">
        <v>109</v>
      </c>
      <c r="AK1880" s="1">
        <v>4</v>
      </c>
      <c r="AL1880" s="1">
        <v>5</v>
      </c>
      <c r="AM1880" s="1" t="s">
        <v>109</v>
      </c>
      <c r="AN1880" s="1" t="s">
        <v>109</v>
      </c>
      <c r="AO1880" s="1" t="s">
        <v>109</v>
      </c>
      <c r="AP1880" s="1"/>
      <c r="AQ1880" s="1">
        <v>5</v>
      </c>
      <c r="AR1880" s="1"/>
      <c r="AS1880" s="1" t="s">
        <v>13890</v>
      </c>
      <c r="AT1880" s="1">
        <v>0</v>
      </c>
      <c r="AU1880" s="1">
        <v>0</v>
      </c>
      <c r="AV1880" s="1">
        <v>0</v>
      </c>
      <c r="AW1880" s="1">
        <v>0</v>
      </c>
      <c r="AX1880" s="1">
        <v>0</v>
      </c>
      <c r="AY1880" s="1">
        <v>0</v>
      </c>
      <c r="AZ1880" s="1">
        <v>0</v>
      </c>
      <c r="BA1880" s="1">
        <v>0</v>
      </c>
      <c r="BB1880" s="1">
        <v>0</v>
      </c>
      <c r="BC1880" s="1">
        <v>0</v>
      </c>
      <c r="BD1880" s="1">
        <v>0</v>
      </c>
      <c r="BE1880" s="1">
        <v>0</v>
      </c>
      <c r="BF1880" s="1">
        <v>0</v>
      </c>
      <c r="BG1880" s="1">
        <v>0</v>
      </c>
      <c r="BH1880" s="1">
        <v>0</v>
      </c>
      <c r="BI1880" s="1">
        <v>0</v>
      </c>
      <c r="BJ1880" s="1">
        <v>0</v>
      </c>
      <c r="BK1880" s="1">
        <v>0</v>
      </c>
      <c r="BL1880" s="1">
        <v>0</v>
      </c>
      <c r="BM1880" s="1">
        <v>1</v>
      </c>
      <c r="BN1880" s="1">
        <v>0</v>
      </c>
      <c r="BO1880" s="1">
        <v>0</v>
      </c>
      <c r="BP1880" s="1">
        <v>0</v>
      </c>
      <c r="BQ1880" s="1">
        <v>0</v>
      </c>
      <c r="BR1880" s="1">
        <v>0</v>
      </c>
      <c r="BS1880" s="1" t="s">
        <v>109</v>
      </c>
      <c r="BT1880" s="1">
        <v>1954</v>
      </c>
      <c r="BU1880" s="1" t="s">
        <v>109</v>
      </c>
      <c r="BV1880" s="1"/>
      <c r="BW1880" s="1"/>
      <c r="BX1880" s="1"/>
      <c r="BY1880" s="1"/>
      <c r="BZ1880" s="1">
        <v>0</v>
      </c>
      <c r="CA1880" s="1" t="s">
        <v>109</v>
      </c>
      <c r="CB1880" s="1" t="s">
        <v>109</v>
      </c>
      <c r="CC1880" s="1" t="s">
        <v>109</v>
      </c>
      <c r="CD1880" s="1" t="s">
        <v>109</v>
      </c>
      <c r="CE1880" s="1" t="s">
        <v>109</v>
      </c>
      <c r="CF1880" s="1" t="s">
        <v>109</v>
      </c>
      <c r="CG1880" s="1" t="s">
        <v>109</v>
      </c>
      <c r="CH1880" s="1" t="s">
        <v>109</v>
      </c>
      <c r="CI1880" s="1" t="s">
        <v>109</v>
      </c>
      <c r="CJ1880" s="1" t="s">
        <v>109</v>
      </c>
      <c r="CK1880" s="1"/>
      <c r="CL1880" s="1">
        <v>0</v>
      </c>
      <c r="CM1880" s="1">
        <v>0</v>
      </c>
      <c r="CN1880" s="1">
        <v>0</v>
      </c>
    </row>
    <row r="1881" spans="1:92" ht="14.25" customHeight="1" x14ac:dyDescent="0.15">
      <c r="A1881" s="1" t="s">
        <v>13891</v>
      </c>
      <c r="B1881" s="1" t="s">
        <v>189</v>
      </c>
      <c r="C1881" s="1" t="s">
        <v>231</v>
      </c>
      <c r="D1881" s="1"/>
      <c r="E1881" s="1" t="s">
        <v>13892</v>
      </c>
      <c r="F1881" s="1" t="s">
        <v>98</v>
      </c>
      <c r="G1881" s="1" t="s">
        <v>141</v>
      </c>
      <c r="H1881" s="1">
        <v>0</v>
      </c>
      <c r="I1881" s="1" t="s">
        <v>8402</v>
      </c>
      <c r="J1881" s="1"/>
      <c r="K1881" s="1"/>
      <c r="L1881" s="1" t="s">
        <v>7245</v>
      </c>
      <c r="M1881" s="1" t="s">
        <v>6144</v>
      </c>
      <c r="N1881" s="1">
        <v>1</v>
      </c>
      <c r="O1881" s="1">
        <v>0</v>
      </c>
      <c r="P1881" s="1" t="s">
        <v>103</v>
      </c>
      <c r="Q1881" s="1" t="s">
        <v>167</v>
      </c>
      <c r="R1881" s="1" t="s">
        <v>13893</v>
      </c>
      <c r="S1881" s="1" t="s">
        <v>13894</v>
      </c>
      <c r="T1881" s="1" t="s">
        <v>13306</v>
      </c>
      <c r="U1881" s="1" t="s">
        <v>13895</v>
      </c>
      <c r="V1881" s="1">
        <v>1</v>
      </c>
      <c r="W1881" s="1">
        <v>1</v>
      </c>
      <c r="X1881" s="1">
        <v>0</v>
      </c>
      <c r="Y1881" s="1">
        <v>0</v>
      </c>
      <c r="Z1881" s="1">
        <v>0</v>
      </c>
      <c r="AA1881" s="1">
        <v>3</v>
      </c>
      <c r="AB1881" s="1">
        <v>3</v>
      </c>
      <c r="AC1881" s="1" t="s">
        <v>109</v>
      </c>
      <c r="AD1881" s="1" t="s">
        <v>109</v>
      </c>
      <c r="AE1881" s="1" t="s">
        <v>109</v>
      </c>
      <c r="AF1881" s="1" t="s">
        <v>109</v>
      </c>
      <c r="AG1881" s="1" t="s">
        <v>109</v>
      </c>
      <c r="AH1881" s="1" t="s">
        <v>109</v>
      </c>
      <c r="AI1881" s="1" t="s">
        <v>109</v>
      </c>
      <c r="AJ1881" s="1">
        <v>3</v>
      </c>
      <c r="AK1881" s="1" t="s">
        <v>109</v>
      </c>
      <c r="AL1881" s="1" t="s">
        <v>109</v>
      </c>
      <c r="AM1881" s="1" t="s">
        <v>109</v>
      </c>
      <c r="AN1881" s="1" t="s">
        <v>109</v>
      </c>
      <c r="AO1881" s="1" t="s">
        <v>109</v>
      </c>
      <c r="AP1881" s="1"/>
      <c r="AQ1881" s="1">
        <v>3</v>
      </c>
      <c r="AR1881" s="1"/>
      <c r="AS1881" s="1" t="s">
        <v>13896</v>
      </c>
      <c r="AT1881" s="1">
        <v>0</v>
      </c>
      <c r="AU1881" s="1">
        <v>0</v>
      </c>
      <c r="AV1881" s="1">
        <v>0</v>
      </c>
      <c r="AW1881" s="1">
        <v>0</v>
      </c>
      <c r="AX1881" s="1">
        <v>0</v>
      </c>
      <c r="AY1881" s="1">
        <v>0</v>
      </c>
      <c r="AZ1881" s="1">
        <v>0</v>
      </c>
      <c r="BA1881" s="1">
        <v>0</v>
      </c>
      <c r="BB1881" s="1">
        <v>0</v>
      </c>
      <c r="BC1881" s="1">
        <v>0</v>
      </c>
      <c r="BD1881" s="1">
        <v>0</v>
      </c>
      <c r="BE1881" s="1">
        <v>0</v>
      </c>
      <c r="BF1881" s="1">
        <v>0</v>
      </c>
      <c r="BG1881" s="1">
        <v>0</v>
      </c>
      <c r="BH1881" s="1">
        <v>0</v>
      </c>
      <c r="BI1881" s="1">
        <v>0</v>
      </c>
      <c r="BJ1881" s="1">
        <v>0</v>
      </c>
      <c r="BK1881" s="1">
        <v>0</v>
      </c>
      <c r="BL1881" s="1">
        <v>0</v>
      </c>
      <c r="BM1881" s="1">
        <v>0</v>
      </c>
      <c r="BN1881" s="1">
        <v>0</v>
      </c>
      <c r="BO1881" s="1">
        <v>0</v>
      </c>
      <c r="BP1881" s="1">
        <v>0</v>
      </c>
      <c r="BQ1881" s="1">
        <v>0</v>
      </c>
      <c r="BR1881" s="1">
        <v>0</v>
      </c>
      <c r="BS1881" s="1" t="s">
        <v>109</v>
      </c>
      <c r="BT1881" s="1">
        <v>1955</v>
      </c>
      <c r="BU1881" s="1" t="s">
        <v>109</v>
      </c>
      <c r="BV1881" s="1"/>
      <c r="BW1881" s="1"/>
      <c r="BX1881" s="1"/>
      <c r="BY1881" s="1"/>
      <c r="BZ1881" s="1">
        <v>0</v>
      </c>
      <c r="CA1881" s="1" t="s">
        <v>109</v>
      </c>
      <c r="CB1881" s="1">
        <v>3</v>
      </c>
      <c r="CC1881" s="1" t="s">
        <v>109</v>
      </c>
      <c r="CD1881" s="1" t="s">
        <v>109</v>
      </c>
      <c r="CE1881" s="1" t="s">
        <v>109</v>
      </c>
      <c r="CF1881" s="1" t="s">
        <v>109</v>
      </c>
      <c r="CG1881" s="1" t="s">
        <v>109</v>
      </c>
      <c r="CH1881" s="1" t="s">
        <v>109</v>
      </c>
      <c r="CI1881" s="1" t="s">
        <v>109</v>
      </c>
      <c r="CJ1881" s="1" t="s">
        <v>109</v>
      </c>
      <c r="CK1881" s="1"/>
      <c r="CL1881" s="1">
        <v>0</v>
      </c>
      <c r="CM1881" s="1">
        <v>0</v>
      </c>
      <c r="CN1881" s="1">
        <v>0</v>
      </c>
    </row>
    <row r="1882" spans="1:92" ht="14.25" customHeight="1" x14ac:dyDescent="0.15">
      <c r="A1882" s="1" t="s">
        <v>13897</v>
      </c>
      <c r="B1882" s="1" t="s">
        <v>189</v>
      </c>
      <c r="C1882" s="1"/>
      <c r="D1882" s="1"/>
      <c r="E1882" s="1" t="s">
        <v>13898</v>
      </c>
      <c r="F1882" s="1" t="s">
        <v>98</v>
      </c>
      <c r="G1882" s="1" t="s">
        <v>160</v>
      </c>
      <c r="H1882" s="1">
        <v>0</v>
      </c>
      <c r="I1882" s="1" t="s">
        <v>161</v>
      </c>
      <c r="J1882" s="1"/>
      <c r="K1882" s="1"/>
      <c r="L1882" s="1" t="s">
        <v>13899</v>
      </c>
      <c r="M1882" s="1" t="s">
        <v>815</v>
      </c>
      <c r="N1882" s="1">
        <v>1</v>
      </c>
      <c r="O1882" s="1">
        <v>0</v>
      </c>
      <c r="P1882" s="1" t="s">
        <v>215</v>
      </c>
      <c r="Q1882" s="1" t="s">
        <v>216</v>
      </c>
      <c r="R1882" s="1" t="s">
        <v>13900</v>
      </c>
      <c r="S1882" s="1" t="s">
        <v>13901</v>
      </c>
      <c r="T1882" s="1" t="s">
        <v>13306</v>
      </c>
      <c r="U1882" s="1" t="s">
        <v>13902</v>
      </c>
      <c r="V1882" s="1">
        <v>1</v>
      </c>
      <c r="W1882" s="1">
        <v>1</v>
      </c>
      <c r="X1882" s="1">
        <v>0</v>
      </c>
      <c r="Y1882" s="1">
        <v>0</v>
      </c>
      <c r="Z1882" s="1">
        <v>1</v>
      </c>
      <c r="AA1882" s="1">
        <v>1</v>
      </c>
      <c r="AB1882" s="1">
        <v>1</v>
      </c>
      <c r="AC1882" s="1">
        <v>1</v>
      </c>
      <c r="AD1882" s="1" t="s">
        <v>109</v>
      </c>
      <c r="AE1882" s="1">
        <v>1</v>
      </c>
      <c r="AF1882" s="1" t="s">
        <v>109</v>
      </c>
      <c r="AG1882" s="1" t="s">
        <v>109</v>
      </c>
      <c r="AH1882" s="1" t="s">
        <v>109</v>
      </c>
      <c r="AI1882" s="1" t="s">
        <v>109</v>
      </c>
      <c r="AJ1882" s="1" t="s">
        <v>109</v>
      </c>
      <c r="AK1882" s="1">
        <v>1</v>
      </c>
      <c r="AL1882" s="1">
        <v>1</v>
      </c>
      <c r="AM1882" s="1" t="s">
        <v>109</v>
      </c>
      <c r="AN1882" s="1" t="s">
        <v>109</v>
      </c>
      <c r="AO1882" s="1" t="s">
        <v>109</v>
      </c>
      <c r="AP1882" s="1"/>
      <c r="AQ1882" s="1">
        <v>1</v>
      </c>
      <c r="AR1882" s="1"/>
      <c r="AS1882" s="1" t="s">
        <v>13903</v>
      </c>
      <c r="AT1882" s="1">
        <v>0</v>
      </c>
      <c r="AU1882" s="1">
        <v>0</v>
      </c>
      <c r="AV1882" s="1">
        <v>0</v>
      </c>
      <c r="AW1882" s="1">
        <v>0</v>
      </c>
      <c r="AX1882" s="1">
        <v>0</v>
      </c>
      <c r="AY1882" s="1">
        <v>0</v>
      </c>
      <c r="AZ1882" s="1">
        <v>0</v>
      </c>
      <c r="BA1882" s="1">
        <v>0</v>
      </c>
      <c r="BB1882" s="1">
        <v>0</v>
      </c>
      <c r="BC1882" s="1">
        <v>0</v>
      </c>
      <c r="BD1882" s="1">
        <v>0</v>
      </c>
      <c r="BE1882" s="1">
        <v>0</v>
      </c>
      <c r="BF1882" s="1">
        <v>0</v>
      </c>
      <c r="BG1882" s="1">
        <v>0</v>
      </c>
      <c r="BH1882" s="1">
        <v>0</v>
      </c>
      <c r="BI1882" s="1">
        <v>0</v>
      </c>
      <c r="BJ1882" s="1">
        <v>0</v>
      </c>
      <c r="BK1882" s="1">
        <v>0</v>
      </c>
      <c r="BL1882" s="1">
        <v>0</v>
      </c>
      <c r="BM1882" s="1">
        <v>0</v>
      </c>
      <c r="BN1882" s="1">
        <v>0</v>
      </c>
      <c r="BO1882" s="1">
        <v>0</v>
      </c>
      <c r="BP1882" s="1">
        <v>0</v>
      </c>
      <c r="BQ1882" s="1">
        <v>0</v>
      </c>
      <c r="BR1882" s="1">
        <v>0</v>
      </c>
      <c r="BS1882" s="1" t="s">
        <v>109</v>
      </c>
      <c r="BT1882" s="1">
        <v>1956</v>
      </c>
      <c r="BU1882" s="1" t="s">
        <v>109</v>
      </c>
      <c r="BV1882" s="1"/>
      <c r="BW1882" s="1"/>
      <c r="BX1882" s="1"/>
      <c r="BY1882" s="1"/>
      <c r="BZ1882" s="1">
        <v>0</v>
      </c>
      <c r="CA1882" s="1" t="s">
        <v>109</v>
      </c>
      <c r="CB1882" s="1" t="s">
        <v>109</v>
      </c>
      <c r="CC1882" s="1" t="s">
        <v>109</v>
      </c>
      <c r="CD1882" s="1" t="s">
        <v>109</v>
      </c>
      <c r="CE1882" s="1" t="s">
        <v>109</v>
      </c>
      <c r="CF1882" s="1">
        <v>1</v>
      </c>
      <c r="CG1882" s="1" t="s">
        <v>109</v>
      </c>
      <c r="CH1882" s="1" t="s">
        <v>109</v>
      </c>
      <c r="CI1882" s="1" t="s">
        <v>109</v>
      </c>
      <c r="CJ1882" s="1">
        <v>1</v>
      </c>
      <c r="CK1882" s="1"/>
      <c r="CL1882" s="1">
        <v>0</v>
      </c>
      <c r="CM1882" s="1">
        <v>0</v>
      </c>
      <c r="CN1882" s="1">
        <v>0</v>
      </c>
    </row>
    <row r="1883" spans="1:92" ht="14.25" customHeight="1" x14ac:dyDescent="0.15">
      <c r="A1883" s="1" t="s">
        <v>13904</v>
      </c>
      <c r="B1883" s="1" t="s">
        <v>308</v>
      </c>
      <c r="C1883" s="1"/>
      <c r="D1883" s="1"/>
      <c r="E1883" s="1" t="s">
        <v>7382</v>
      </c>
      <c r="F1883" s="1" t="s">
        <v>98</v>
      </c>
      <c r="G1883" s="1" t="s">
        <v>141</v>
      </c>
      <c r="H1883" s="1">
        <v>0</v>
      </c>
      <c r="I1883" s="1" t="s">
        <v>161</v>
      </c>
      <c r="J1883" s="1"/>
      <c r="K1883" s="1"/>
      <c r="L1883" s="1" t="s">
        <v>13905</v>
      </c>
      <c r="M1883" s="1" t="s">
        <v>144</v>
      </c>
      <c r="N1883" s="1">
        <v>0</v>
      </c>
      <c r="O1883" s="1">
        <v>0</v>
      </c>
      <c r="P1883" s="1" t="s">
        <v>7140</v>
      </c>
      <c r="Q1883" s="1" t="s">
        <v>167</v>
      </c>
      <c r="R1883" s="1" t="s">
        <v>13906</v>
      </c>
      <c r="S1883" s="1" t="s">
        <v>13907</v>
      </c>
      <c r="T1883" s="1" t="s">
        <v>13306</v>
      </c>
      <c r="U1883" s="1" t="s">
        <v>13908</v>
      </c>
      <c r="V1883" s="1">
        <v>1</v>
      </c>
      <c r="W1883" s="1">
        <v>1</v>
      </c>
      <c r="X1883" s="1">
        <v>0</v>
      </c>
      <c r="Y1883" s="1">
        <v>0</v>
      </c>
      <c r="Z1883" s="1">
        <v>0</v>
      </c>
      <c r="AA1883" s="1">
        <v>1</v>
      </c>
      <c r="AB1883" s="1">
        <v>1</v>
      </c>
      <c r="AC1883" s="1" t="s">
        <v>109</v>
      </c>
      <c r="AD1883" s="1" t="s">
        <v>109</v>
      </c>
      <c r="AE1883" s="1" t="s">
        <v>109</v>
      </c>
      <c r="AF1883" s="1" t="s">
        <v>109</v>
      </c>
      <c r="AG1883" s="1" t="s">
        <v>109</v>
      </c>
      <c r="AH1883" s="1" t="s">
        <v>109</v>
      </c>
      <c r="AI1883" s="1" t="s">
        <v>109</v>
      </c>
      <c r="AJ1883" s="1" t="s">
        <v>109</v>
      </c>
      <c r="AK1883" s="1" t="s">
        <v>109</v>
      </c>
      <c r="AL1883" s="1" t="s">
        <v>109</v>
      </c>
      <c r="AM1883" s="1" t="s">
        <v>109</v>
      </c>
      <c r="AN1883" s="1" t="s">
        <v>109</v>
      </c>
      <c r="AO1883" s="1" t="s">
        <v>109</v>
      </c>
      <c r="AP1883" s="1"/>
      <c r="AQ1883" s="1">
        <v>1</v>
      </c>
      <c r="AR1883" s="1"/>
      <c r="AS1883" s="1" t="s">
        <v>13909</v>
      </c>
      <c r="AT1883" s="1">
        <v>0</v>
      </c>
      <c r="AU1883" s="1">
        <v>0</v>
      </c>
      <c r="AV1883" s="1">
        <v>0</v>
      </c>
      <c r="AW1883" s="1">
        <v>0</v>
      </c>
      <c r="AX1883" s="1">
        <v>0</v>
      </c>
      <c r="AY1883" s="1">
        <v>0</v>
      </c>
      <c r="AZ1883" s="1">
        <v>0</v>
      </c>
      <c r="BA1883" s="1">
        <v>0</v>
      </c>
      <c r="BB1883" s="1">
        <v>0</v>
      </c>
      <c r="BC1883" s="1">
        <v>0</v>
      </c>
      <c r="BD1883" s="1">
        <v>0</v>
      </c>
      <c r="BE1883" s="1">
        <v>0</v>
      </c>
      <c r="BF1883" s="1">
        <v>0</v>
      </c>
      <c r="BG1883" s="1">
        <v>0</v>
      </c>
      <c r="BH1883" s="1">
        <v>0</v>
      </c>
      <c r="BI1883" s="1">
        <v>0</v>
      </c>
      <c r="BJ1883" s="1">
        <v>0</v>
      </c>
      <c r="BK1883" s="1">
        <v>0</v>
      </c>
      <c r="BL1883" s="1">
        <v>0</v>
      </c>
      <c r="BM1883" s="1">
        <v>0</v>
      </c>
      <c r="BN1883" s="1">
        <v>0</v>
      </c>
      <c r="BO1883" s="1">
        <v>0</v>
      </c>
      <c r="BP1883" s="1">
        <v>0</v>
      </c>
      <c r="BQ1883" s="1">
        <v>0</v>
      </c>
      <c r="BR1883" s="1">
        <v>0</v>
      </c>
      <c r="BS1883" s="1" t="s">
        <v>109</v>
      </c>
      <c r="BT1883" s="1">
        <v>1957</v>
      </c>
      <c r="BU1883" s="1" t="s">
        <v>109</v>
      </c>
      <c r="BV1883" s="1"/>
      <c r="BW1883" s="1"/>
      <c r="BX1883" s="1"/>
      <c r="BY1883" s="1"/>
      <c r="BZ1883" s="1">
        <v>0</v>
      </c>
      <c r="CA1883" s="1" t="s">
        <v>109</v>
      </c>
      <c r="CB1883" s="1" t="s">
        <v>109</v>
      </c>
      <c r="CC1883" s="1" t="s">
        <v>109</v>
      </c>
      <c r="CD1883" s="1" t="s">
        <v>109</v>
      </c>
      <c r="CE1883" s="1" t="s">
        <v>109</v>
      </c>
      <c r="CF1883" s="1" t="s">
        <v>109</v>
      </c>
      <c r="CG1883" s="1" t="s">
        <v>109</v>
      </c>
      <c r="CH1883" s="1" t="s">
        <v>109</v>
      </c>
      <c r="CI1883" s="1" t="s">
        <v>109</v>
      </c>
      <c r="CJ1883" s="1" t="s">
        <v>109</v>
      </c>
      <c r="CK1883" s="1"/>
      <c r="CL1883" s="1">
        <v>0</v>
      </c>
      <c r="CM1883" s="1">
        <v>0</v>
      </c>
      <c r="CN1883" s="1">
        <v>0</v>
      </c>
    </row>
    <row r="1884" spans="1:92" ht="14.25" customHeight="1" x14ac:dyDescent="0.15">
      <c r="A1884" s="1" t="s">
        <v>13910</v>
      </c>
      <c r="B1884" s="1" t="s">
        <v>308</v>
      </c>
      <c r="C1884" s="1"/>
      <c r="D1884" s="1"/>
      <c r="E1884" s="1" t="s">
        <v>13911</v>
      </c>
      <c r="F1884" s="1" t="s">
        <v>98</v>
      </c>
      <c r="G1884" s="1" t="s">
        <v>141</v>
      </c>
      <c r="H1884" s="1">
        <v>0</v>
      </c>
      <c r="I1884" s="1" t="s">
        <v>142</v>
      </c>
      <c r="J1884" s="1"/>
      <c r="K1884" s="1"/>
      <c r="L1884" s="1" t="s">
        <v>13912</v>
      </c>
      <c r="M1884" s="1" t="s">
        <v>144</v>
      </c>
      <c r="N1884" s="1">
        <v>0</v>
      </c>
      <c r="O1884" s="1">
        <v>0</v>
      </c>
      <c r="P1884" s="1" t="s">
        <v>7140</v>
      </c>
      <c r="Q1884" s="1" t="s">
        <v>167</v>
      </c>
      <c r="R1884" s="1" t="s">
        <v>13913</v>
      </c>
      <c r="S1884" s="1" t="s">
        <v>13914</v>
      </c>
      <c r="T1884" s="1" t="s">
        <v>13306</v>
      </c>
      <c r="U1884" s="1" t="s">
        <v>13915</v>
      </c>
      <c r="V1884" s="1">
        <v>1</v>
      </c>
      <c r="W1884" s="1">
        <v>1</v>
      </c>
      <c r="X1884" s="1">
        <v>0</v>
      </c>
      <c r="Y1884" s="1">
        <v>0</v>
      </c>
      <c r="Z1884" s="1">
        <v>0</v>
      </c>
      <c r="AA1884" s="1">
        <v>5</v>
      </c>
      <c r="AB1884" s="1">
        <v>5</v>
      </c>
      <c r="AC1884" s="1" t="s">
        <v>109</v>
      </c>
      <c r="AD1884" s="1" t="s">
        <v>109</v>
      </c>
      <c r="AE1884" s="1" t="s">
        <v>109</v>
      </c>
      <c r="AF1884" s="1" t="s">
        <v>109</v>
      </c>
      <c r="AG1884" s="1" t="s">
        <v>109</v>
      </c>
      <c r="AH1884" s="1" t="s">
        <v>109</v>
      </c>
      <c r="AI1884" s="1" t="s">
        <v>109</v>
      </c>
      <c r="AJ1884" s="1" t="s">
        <v>109</v>
      </c>
      <c r="AK1884" s="1" t="s">
        <v>109</v>
      </c>
      <c r="AL1884" s="1" t="s">
        <v>109</v>
      </c>
      <c r="AM1884" s="1" t="s">
        <v>109</v>
      </c>
      <c r="AN1884" s="1" t="s">
        <v>109</v>
      </c>
      <c r="AO1884" s="1" t="s">
        <v>109</v>
      </c>
      <c r="AP1884" s="1"/>
      <c r="AQ1884" s="1">
        <v>5</v>
      </c>
      <c r="AR1884" s="1"/>
      <c r="AS1884" s="1" t="s">
        <v>13916</v>
      </c>
      <c r="AT1884" s="1">
        <v>0</v>
      </c>
      <c r="AU1884" s="1">
        <v>0</v>
      </c>
      <c r="AV1884" s="1">
        <v>0</v>
      </c>
      <c r="AW1884" s="1">
        <v>0</v>
      </c>
      <c r="AX1884" s="1">
        <v>0</v>
      </c>
      <c r="AY1884" s="1">
        <v>0</v>
      </c>
      <c r="AZ1884" s="1">
        <v>0</v>
      </c>
      <c r="BA1884" s="1">
        <v>0</v>
      </c>
      <c r="BB1884" s="1">
        <v>0</v>
      </c>
      <c r="BC1884" s="1">
        <v>0</v>
      </c>
      <c r="BD1884" s="1">
        <v>0</v>
      </c>
      <c r="BE1884" s="1">
        <v>0</v>
      </c>
      <c r="BF1884" s="1">
        <v>0</v>
      </c>
      <c r="BG1884" s="1">
        <v>0</v>
      </c>
      <c r="BH1884" s="1">
        <v>0</v>
      </c>
      <c r="BI1884" s="1">
        <v>0</v>
      </c>
      <c r="BJ1884" s="1">
        <v>0</v>
      </c>
      <c r="BK1884" s="1">
        <v>0</v>
      </c>
      <c r="BL1884" s="1">
        <v>0</v>
      </c>
      <c r="BM1884" s="1">
        <v>0</v>
      </c>
      <c r="BN1884" s="1">
        <v>0</v>
      </c>
      <c r="BO1884" s="1">
        <v>0</v>
      </c>
      <c r="BP1884" s="1">
        <v>0</v>
      </c>
      <c r="BQ1884" s="1">
        <v>0</v>
      </c>
      <c r="BR1884" s="1">
        <v>0</v>
      </c>
      <c r="BS1884" s="1" t="s">
        <v>109</v>
      </c>
      <c r="BT1884" s="1">
        <v>1958</v>
      </c>
      <c r="BU1884" s="1" t="s">
        <v>109</v>
      </c>
      <c r="BV1884" s="1"/>
      <c r="BW1884" s="1"/>
      <c r="BX1884" s="1"/>
      <c r="BY1884" s="1"/>
      <c r="BZ1884" s="1">
        <v>0</v>
      </c>
      <c r="CA1884" s="1" t="s">
        <v>109</v>
      </c>
      <c r="CB1884" s="1" t="s">
        <v>109</v>
      </c>
      <c r="CC1884" s="1" t="s">
        <v>109</v>
      </c>
      <c r="CD1884" s="1" t="s">
        <v>109</v>
      </c>
      <c r="CE1884" s="1" t="s">
        <v>109</v>
      </c>
      <c r="CF1884" s="1" t="s">
        <v>109</v>
      </c>
      <c r="CG1884" s="1">
        <v>5</v>
      </c>
      <c r="CH1884" s="1" t="s">
        <v>109</v>
      </c>
      <c r="CI1884" s="1" t="s">
        <v>109</v>
      </c>
      <c r="CJ1884" s="1" t="s">
        <v>109</v>
      </c>
      <c r="CK1884" s="1"/>
      <c r="CL1884" s="1">
        <v>0</v>
      </c>
      <c r="CM1884" s="1">
        <v>0</v>
      </c>
      <c r="CN1884" s="1">
        <v>0</v>
      </c>
    </row>
    <row r="1885" spans="1:92" ht="14.25" customHeight="1" x14ac:dyDescent="0.15">
      <c r="A1885" s="1" t="s">
        <v>13917</v>
      </c>
      <c r="B1885" s="1" t="s">
        <v>95</v>
      </c>
      <c r="C1885" s="1" t="s">
        <v>96</v>
      </c>
      <c r="D1885" s="1" t="s">
        <v>70</v>
      </c>
      <c r="E1885" s="1" t="s">
        <v>13918</v>
      </c>
      <c r="F1885" s="1" t="s">
        <v>98</v>
      </c>
      <c r="G1885" s="1" t="s">
        <v>141</v>
      </c>
      <c r="H1885" s="1">
        <v>0</v>
      </c>
      <c r="I1885" s="1" t="s">
        <v>925</v>
      </c>
      <c r="J1885" s="1"/>
      <c r="K1885" s="1" t="s">
        <v>13919</v>
      </c>
      <c r="L1885" s="1"/>
      <c r="M1885" s="1" t="s">
        <v>13920</v>
      </c>
      <c r="N1885" s="1">
        <v>1</v>
      </c>
      <c r="O1885" s="1">
        <v>0</v>
      </c>
      <c r="P1885" s="1" t="s">
        <v>103</v>
      </c>
      <c r="Q1885" s="1" t="s">
        <v>104</v>
      </c>
      <c r="R1885" s="1" t="s">
        <v>13921</v>
      </c>
      <c r="S1885" s="1" t="s">
        <v>13922</v>
      </c>
      <c r="T1885" s="1" t="s">
        <v>13306</v>
      </c>
      <c r="U1885" s="1" t="s">
        <v>13923</v>
      </c>
      <c r="V1885" s="1">
        <v>1</v>
      </c>
      <c r="W1885" s="1">
        <v>1</v>
      </c>
      <c r="X1885" s="1">
        <v>0</v>
      </c>
      <c r="Y1885" s="1">
        <v>0</v>
      </c>
      <c r="Z1885" s="1">
        <v>0</v>
      </c>
      <c r="AA1885" s="1">
        <v>2</v>
      </c>
      <c r="AB1885" s="1">
        <v>2</v>
      </c>
      <c r="AC1885" s="1" t="s">
        <v>109</v>
      </c>
      <c r="AD1885" s="1" t="s">
        <v>109</v>
      </c>
      <c r="AE1885" s="1" t="s">
        <v>109</v>
      </c>
      <c r="AF1885" s="1" t="s">
        <v>109</v>
      </c>
      <c r="AG1885" s="1" t="s">
        <v>109</v>
      </c>
      <c r="AH1885" s="1" t="s">
        <v>109</v>
      </c>
      <c r="AI1885" s="1" t="s">
        <v>109</v>
      </c>
      <c r="AJ1885" s="1">
        <v>2</v>
      </c>
      <c r="AK1885" s="1" t="s">
        <v>109</v>
      </c>
      <c r="AL1885" s="1" t="s">
        <v>109</v>
      </c>
      <c r="AM1885" s="1" t="s">
        <v>109</v>
      </c>
      <c r="AN1885" s="1">
        <v>2</v>
      </c>
      <c r="AO1885" s="1" t="s">
        <v>109</v>
      </c>
      <c r="AP1885" s="1"/>
      <c r="AQ1885" s="1">
        <v>2</v>
      </c>
      <c r="AR1885" s="1"/>
      <c r="AS1885" s="1" t="s">
        <v>13924</v>
      </c>
      <c r="AT1885" s="1">
        <v>0</v>
      </c>
      <c r="AU1885" s="1">
        <v>0</v>
      </c>
      <c r="AV1885" s="1">
        <v>0</v>
      </c>
      <c r="AW1885" s="1">
        <v>0</v>
      </c>
      <c r="AX1885" s="1">
        <v>0</v>
      </c>
      <c r="AY1885" s="1">
        <v>0</v>
      </c>
      <c r="AZ1885" s="1">
        <v>0</v>
      </c>
      <c r="BA1885" s="1">
        <v>0</v>
      </c>
      <c r="BB1885" s="1">
        <v>0</v>
      </c>
      <c r="BC1885" s="1">
        <v>0</v>
      </c>
      <c r="BD1885" s="1">
        <v>0</v>
      </c>
      <c r="BE1885" s="1">
        <v>0</v>
      </c>
      <c r="BF1885" s="1">
        <v>0</v>
      </c>
      <c r="BG1885" s="1">
        <v>0</v>
      </c>
      <c r="BH1885" s="1">
        <v>0</v>
      </c>
      <c r="BI1885" s="1">
        <v>0</v>
      </c>
      <c r="BJ1885" s="1">
        <v>0</v>
      </c>
      <c r="BK1885" s="1">
        <v>0</v>
      </c>
      <c r="BL1885" s="1">
        <v>0</v>
      </c>
      <c r="BM1885" s="1">
        <v>0</v>
      </c>
      <c r="BN1885" s="1">
        <v>0</v>
      </c>
      <c r="BO1885" s="1">
        <v>0</v>
      </c>
      <c r="BP1885" s="1">
        <v>0</v>
      </c>
      <c r="BQ1885" s="1">
        <v>0</v>
      </c>
      <c r="BR1885" s="1">
        <v>1</v>
      </c>
      <c r="BS1885" s="1" t="s">
        <v>109</v>
      </c>
      <c r="BT1885" s="1">
        <v>1959</v>
      </c>
      <c r="BU1885" s="1" t="s">
        <v>109</v>
      </c>
      <c r="BV1885" s="1"/>
      <c r="BW1885" s="1"/>
      <c r="BX1885" s="1"/>
      <c r="BY1885" s="1"/>
      <c r="BZ1885" s="1">
        <v>0</v>
      </c>
      <c r="CA1885" s="1" t="s">
        <v>109</v>
      </c>
      <c r="CB1885" s="1" t="s">
        <v>109</v>
      </c>
      <c r="CC1885" s="1" t="s">
        <v>109</v>
      </c>
      <c r="CD1885" s="1" t="s">
        <v>109</v>
      </c>
      <c r="CE1885" s="1" t="s">
        <v>109</v>
      </c>
      <c r="CF1885" s="1" t="s">
        <v>109</v>
      </c>
      <c r="CG1885" s="1" t="s">
        <v>109</v>
      </c>
      <c r="CH1885" s="1" t="s">
        <v>109</v>
      </c>
      <c r="CI1885" s="1" t="s">
        <v>109</v>
      </c>
      <c r="CJ1885" s="1" t="s">
        <v>109</v>
      </c>
      <c r="CK1885" s="1"/>
      <c r="CL1885" s="1">
        <v>0</v>
      </c>
      <c r="CM1885" s="1">
        <v>0</v>
      </c>
      <c r="CN1885" s="1">
        <v>0</v>
      </c>
    </row>
    <row r="1886" spans="1:92" ht="14.25" customHeight="1" x14ac:dyDescent="0.15">
      <c r="A1886" s="1" t="s">
        <v>13925</v>
      </c>
      <c r="B1886" s="1" t="s">
        <v>254</v>
      </c>
      <c r="C1886" s="1"/>
      <c r="D1886" s="1"/>
      <c r="E1886" s="1" t="s">
        <v>13926</v>
      </c>
      <c r="F1886" s="1" t="s">
        <v>98</v>
      </c>
      <c r="G1886" s="1" t="s">
        <v>141</v>
      </c>
      <c r="H1886" s="1">
        <v>0</v>
      </c>
      <c r="I1886" s="1" t="s">
        <v>235</v>
      </c>
      <c r="J1886" s="1"/>
      <c r="K1886" s="1"/>
      <c r="L1886" s="1" t="s">
        <v>236</v>
      </c>
      <c r="M1886" s="1" t="s">
        <v>465</v>
      </c>
      <c r="N1886" s="1">
        <v>0</v>
      </c>
      <c r="O1886" s="1">
        <v>0</v>
      </c>
      <c r="P1886" s="1" t="s">
        <v>103</v>
      </c>
      <c r="Q1886" s="1" t="s">
        <v>104</v>
      </c>
      <c r="R1886" s="1" t="s">
        <v>13927</v>
      </c>
      <c r="S1886" s="1" t="s">
        <v>13928</v>
      </c>
      <c r="T1886" s="1" t="s">
        <v>13306</v>
      </c>
      <c r="U1886" s="1" t="s">
        <v>13929</v>
      </c>
      <c r="V1886" s="1">
        <v>1</v>
      </c>
      <c r="W1886" s="1">
        <v>1</v>
      </c>
      <c r="X1886" s="1">
        <v>0</v>
      </c>
      <c r="Y1886" s="1">
        <v>0</v>
      </c>
      <c r="Z1886" s="1">
        <v>0</v>
      </c>
      <c r="AA1886" s="1" t="s">
        <v>109</v>
      </c>
      <c r="AB1886" s="1" t="s">
        <v>109</v>
      </c>
      <c r="AC1886" s="1" t="s">
        <v>109</v>
      </c>
      <c r="AD1886" s="1" t="s">
        <v>109</v>
      </c>
      <c r="AE1886" s="1" t="s">
        <v>109</v>
      </c>
      <c r="AF1886" s="1" t="s">
        <v>109</v>
      </c>
      <c r="AG1886" s="1" t="s">
        <v>109</v>
      </c>
      <c r="AH1886" s="1" t="s">
        <v>109</v>
      </c>
      <c r="AI1886" s="1" t="s">
        <v>109</v>
      </c>
      <c r="AJ1886" s="1" t="s">
        <v>109</v>
      </c>
      <c r="AK1886" s="1" t="s">
        <v>109</v>
      </c>
      <c r="AL1886" s="1" t="s">
        <v>109</v>
      </c>
      <c r="AM1886" s="1" t="s">
        <v>109</v>
      </c>
      <c r="AN1886" s="1" t="s">
        <v>109</v>
      </c>
      <c r="AO1886" s="1" t="s">
        <v>109</v>
      </c>
      <c r="AP1886" s="1"/>
      <c r="AQ1886" s="1">
        <v>1</v>
      </c>
      <c r="AR1886" s="1"/>
      <c r="AS1886" s="1" t="s">
        <v>13930</v>
      </c>
      <c r="AT1886" s="1">
        <v>0</v>
      </c>
      <c r="AU1886" s="1">
        <v>0</v>
      </c>
      <c r="AV1886" s="1">
        <v>0</v>
      </c>
      <c r="AW1886" s="1">
        <v>0</v>
      </c>
      <c r="AX1886" s="1">
        <v>0</v>
      </c>
      <c r="AY1886" s="1">
        <v>0</v>
      </c>
      <c r="AZ1886" s="1">
        <v>0</v>
      </c>
      <c r="BA1886" s="1">
        <v>0</v>
      </c>
      <c r="BB1886" s="1">
        <v>0</v>
      </c>
      <c r="BC1886" s="1">
        <v>0</v>
      </c>
      <c r="BD1886" s="1">
        <v>0</v>
      </c>
      <c r="BE1886" s="1">
        <v>0</v>
      </c>
      <c r="BF1886" s="1">
        <v>0</v>
      </c>
      <c r="BG1886" s="1">
        <v>0</v>
      </c>
      <c r="BH1886" s="1">
        <v>0</v>
      </c>
      <c r="BI1886" s="1">
        <v>0</v>
      </c>
      <c r="BJ1886" s="1">
        <v>0</v>
      </c>
      <c r="BK1886" s="1">
        <v>0</v>
      </c>
      <c r="BL1886" s="1">
        <v>0</v>
      </c>
      <c r="BM1886" s="1">
        <v>0</v>
      </c>
      <c r="BN1886" s="1">
        <v>0</v>
      </c>
      <c r="BO1886" s="1">
        <v>0</v>
      </c>
      <c r="BP1886" s="1">
        <v>0</v>
      </c>
      <c r="BQ1886" s="1">
        <v>0</v>
      </c>
      <c r="BR1886" s="1">
        <v>0</v>
      </c>
      <c r="BS1886" s="1" t="s">
        <v>109</v>
      </c>
      <c r="BT1886" s="1">
        <v>1960</v>
      </c>
      <c r="BU1886" s="1" t="s">
        <v>109</v>
      </c>
      <c r="BV1886" s="1"/>
      <c r="BW1886" s="1"/>
      <c r="BX1886" s="1"/>
      <c r="BY1886" s="1"/>
      <c r="BZ1886" s="1">
        <v>0</v>
      </c>
      <c r="CA1886" s="1" t="s">
        <v>109</v>
      </c>
      <c r="CB1886" s="1">
        <v>1</v>
      </c>
      <c r="CC1886" s="1" t="s">
        <v>109</v>
      </c>
      <c r="CD1886" s="1" t="s">
        <v>109</v>
      </c>
      <c r="CE1886" s="1" t="s">
        <v>109</v>
      </c>
      <c r="CF1886" s="1" t="s">
        <v>109</v>
      </c>
      <c r="CG1886" s="1" t="s">
        <v>109</v>
      </c>
      <c r="CH1886" s="1" t="s">
        <v>109</v>
      </c>
      <c r="CI1886" s="1" t="s">
        <v>109</v>
      </c>
      <c r="CJ1886" s="1" t="s">
        <v>109</v>
      </c>
      <c r="CK1886" s="1"/>
      <c r="CL1886" s="1">
        <v>0</v>
      </c>
      <c r="CM1886" s="1">
        <v>0</v>
      </c>
      <c r="CN1886" s="1">
        <v>0</v>
      </c>
    </row>
    <row r="1887" spans="1:92" ht="14.25" customHeight="1" x14ac:dyDescent="0.15">
      <c r="A1887" s="1" t="s">
        <v>13931</v>
      </c>
      <c r="B1887" s="1" t="s">
        <v>242</v>
      </c>
      <c r="C1887" s="1"/>
      <c r="D1887" s="1"/>
      <c r="E1887" s="1" t="s">
        <v>13932</v>
      </c>
      <c r="F1887" s="1" t="s">
        <v>98</v>
      </c>
      <c r="G1887" s="1" t="s">
        <v>141</v>
      </c>
      <c r="H1887" s="1">
        <v>0</v>
      </c>
      <c r="I1887" s="1" t="s">
        <v>142</v>
      </c>
      <c r="J1887" s="1"/>
      <c r="K1887" s="1"/>
      <c r="L1887" s="1" t="s">
        <v>13933</v>
      </c>
      <c r="M1887" s="1" t="s">
        <v>815</v>
      </c>
      <c r="N1887" s="1">
        <v>1</v>
      </c>
      <c r="O1887" s="1">
        <v>0</v>
      </c>
      <c r="P1887" s="1" t="s">
        <v>507</v>
      </c>
      <c r="Q1887" s="1" t="s">
        <v>167</v>
      </c>
      <c r="R1887" s="1" t="s">
        <v>13934</v>
      </c>
      <c r="S1887" s="1" t="s">
        <v>13935</v>
      </c>
      <c r="T1887" s="1" t="s">
        <v>13306</v>
      </c>
      <c r="U1887" s="1" t="s">
        <v>13936</v>
      </c>
      <c r="V1887" s="1">
        <v>1</v>
      </c>
      <c r="W1887" s="1">
        <v>1</v>
      </c>
      <c r="X1887" s="1">
        <v>0</v>
      </c>
      <c r="Y1887" s="1">
        <v>0</v>
      </c>
      <c r="Z1887" s="1">
        <v>0</v>
      </c>
      <c r="AA1887" s="1">
        <v>3</v>
      </c>
      <c r="AB1887" s="1">
        <v>3</v>
      </c>
      <c r="AC1887" s="1" t="s">
        <v>109</v>
      </c>
      <c r="AD1887" s="1" t="s">
        <v>109</v>
      </c>
      <c r="AE1887" s="1">
        <v>2</v>
      </c>
      <c r="AF1887" s="1" t="s">
        <v>109</v>
      </c>
      <c r="AG1887" s="1">
        <v>2</v>
      </c>
      <c r="AH1887" s="1" t="s">
        <v>109</v>
      </c>
      <c r="AI1887" s="1">
        <v>3</v>
      </c>
      <c r="AJ1887" s="1" t="s">
        <v>109</v>
      </c>
      <c r="AK1887" s="1" t="s">
        <v>109</v>
      </c>
      <c r="AL1887" s="1" t="s">
        <v>109</v>
      </c>
      <c r="AM1887" s="1" t="s">
        <v>109</v>
      </c>
      <c r="AN1887" s="1" t="s">
        <v>109</v>
      </c>
      <c r="AO1887" s="1" t="s">
        <v>109</v>
      </c>
      <c r="AP1887" s="1"/>
      <c r="AQ1887" s="1">
        <v>3</v>
      </c>
      <c r="AR1887" s="1"/>
      <c r="AS1887" s="1" t="s">
        <v>13937</v>
      </c>
      <c r="AT1887" s="1">
        <v>0</v>
      </c>
      <c r="AU1887" s="1">
        <v>0</v>
      </c>
      <c r="AV1887" s="1">
        <v>0</v>
      </c>
      <c r="AW1887" s="1">
        <v>0</v>
      </c>
      <c r="AX1887" s="1">
        <v>0</v>
      </c>
      <c r="AY1887" s="1">
        <v>0</v>
      </c>
      <c r="AZ1887" s="1">
        <v>0</v>
      </c>
      <c r="BA1887" s="1">
        <v>0</v>
      </c>
      <c r="BB1887" s="1">
        <v>0</v>
      </c>
      <c r="BC1887" s="1">
        <v>0</v>
      </c>
      <c r="BD1887" s="1">
        <v>0</v>
      </c>
      <c r="BE1887" s="1">
        <v>0</v>
      </c>
      <c r="BF1887" s="1">
        <v>0</v>
      </c>
      <c r="BG1887" s="1">
        <v>0</v>
      </c>
      <c r="BH1887" s="1">
        <v>0</v>
      </c>
      <c r="BI1887" s="1">
        <v>0</v>
      </c>
      <c r="BJ1887" s="1">
        <v>0</v>
      </c>
      <c r="BK1887" s="1">
        <v>0</v>
      </c>
      <c r="BL1887" s="1">
        <v>0</v>
      </c>
      <c r="BM1887" s="1">
        <v>0</v>
      </c>
      <c r="BN1887" s="1">
        <v>0</v>
      </c>
      <c r="BO1887" s="1">
        <v>0</v>
      </c>
      <c r="BP1887" s="1">
        <v>0</v>
      </c>
      <c r="BQ1887" s="1">
        <v>0</v>
      </c>
      <c r="BR1887" s="1">
        <v>0</v>
      </c>
      <c r="BS1887" s="1" t="s">
        <v>109</v>
      </c>
      <c r="BT1887" s="1">
        <v>1961</v>
      </c>
      <c r="BU1887" s="1" t="s">
        <v>109</v>
      </c>
      <c r="BV1887" s="1"/>
      <c r="BW1887" s="1"/>
      <c r="BX1887" s="1"/>
      <c r="BY1887" s="1"/>
      <c r="BZ1887" s="1">
        <v>0</v>
      </c>
      <c r="CA1887" s="1" t="s">
        <v>109</v>
      </c>
      <c r="CB1887" s="1">
        <v>2</v>
      </c>
      <c r="CC1887" s="1" t="s">
        <v>109</v>
      </c>
      <c r="CD1887" s="1" t="s">
        <v>109</v>
      </c>
      <c r="CE1887" s="1" t="s">
        <v>109</v>
      </c>
      <c r="CF1887" s="1" t="s">
        <v>109</v>
      </c>
      <c r="CG1887" s="1" t="s">
        <v>109</v>
      </c>
      <c r="CH1887" s="1" t="s">
        <v>109</v>
      </c>
      <c r="CI1887" s="1" t="s">
        <v>109</v>
      </c>
      <c r="CJ1887" s="1">
        <v>2</v>
      </c>
      <c r="CK1887" s="1"/>
      <c r="CL1887" s="1">
        <v>0</v>
      </c>
      <c r="CM1887" s="1">
        <v>0</v>
      </c>
      <c r="CN1887" s="1">
        <v>0</v>
      </c>
    </row>
    <row r="1888" spans="1:92" ht="14.25" customHeight="1" x14ac:dyDescent="0.15">
      <c r="A1888" s="1" t="s">
        <v>13938</v>
      </c>
      <c r="B1888" s="1" t="s">
        <v>242</v>
      </c>
      <c r="C1888" s="1"/>
      <c r="D1888" s="1"/>
      <c r="E1888" s="1" t="s">
        <v>13939</v>
      </c>
      <c r="F1888" s="1" t="s">
        <v>98</v>
      </c>
      <c r="G1888" s="1" t="s">
        <v>160</v>
      </c>
      <c r="H1888" s="1">
        <v>0</v>
      </c>
      <c r="I1888" s="1" t="s">
        <v>161</v>
      </c>
      <c r="J1888" s="1"/>
      <c r="K1888" s="1"/>
      <c r="L1888" s="1" t="s">
        <v>506</v>
      </c>
      <c r="M1888" s="1" t="s">
        <v>3042</v>
      </c>
      <c r="N1888" s="1">
        <v>0</v>
      </c>
      <c r="O1888" s="1">
        <v>0</v>
      </c>
      <c r="P1888" s="1" t="s">
        <v>1382</v>
      </c>
      <c r="Q1888" s="1" t="s">
        <v>167</v>
      </c>
      <c r="R1888" s="1" t="s">
        <v>13940</v>
      </c>
      <c r="S1888" s="1" t="s">
        <v>13941</v>
      </c>
      <c r="T1888" s="1" t="s">
        <v>13306</v>
      </c>
      <c r="U1888" s="1" t="s">
        <v>13942</v>
      </c>
      <c r="V1888" s="1">
        <v>1</v>
      </c>
      <c r="W1888" s="1">
        <v>1</v>
      </c>
      <c r="X1888" s="1">
        <v>0</v>
      </c>
      <c r="Y1888" s="1">
        <v>0</v>
      </c>
      <c r="Z1888" s="1">
        <v>1</v>
      </c>
      <c r="AA1888" s="1" t="s">
        <v>109</v>
      </c>
      <c r="AB1888" s="1" t="s">
        <v>109</v>
      </c>
      <c r="AC1888" s="1">
        <v>2</v>
      </c>
      <c r="AD1888" s="1" t="s">
        <v>109</v>
      </c>
      <c r="AE1888" s="1" t="s">
        <v>109</v>
      </c>
      <c r="AF1888" s="1" t="s">
        <v>109</v>
      </c>
      <c r="AG1888" s="1">
        <v>1</v>
      </c>
      <c r="AH1888" s="1" t="s">
        <v>109</v>
      </c>
      <c r="AI1888" s="1" t="s">
        <v>109</v>
      </c>
      <c r="AJ1888" s="1" t="s">
        <v>109</v>
      </c>
      <c r="AK1888" s="1">
        <v>1</v>
      </c>
      <c r="AL1888" s="1">
        <v>2</v>
      </c>
      <c r="AM1888" s="1" t="s">
        <v>109</v>
      </c>
      <c r="AN1888" s="1" t="s">
        <v>109</v>
      </c>
      <c r="AO1888" s="1" t="s">
        <v>109</v>
      </c>
      <c r="AP1888" s="1"/>
      <c r="AQ1888" s="1">
        <v>2</v>
      </c>
      <c r="AR1888" s="1"/>
      <c r="AS1888" s="1" t="s">
        <v>13943</v>
      </c>
      <c r="AT1888" s="1">
        <v>0</v>
      </c>
      <c r="AU1888" s="1">
        <v>0</v>
      </c>
      <c r="AV1888" s="1">
        <v>0</v>
      </c>
      <c r="AW1888" s="1">
        <v>0</v>
      </c>
      <c r="AX1888" s="1">
        <v>0</v>
      </c>
      <c r="AY1888" s="1">
        <v>0</v>
      </c>
      <c r="AZ1888" s="1">
        <v>0</v>
      </c>
      <c r="BA1888" s="1">
        <v>0</v>
      </c>
      <c r="BB1888" s="1">
        <v>0</v>
      </c>
      <c r="BC1888" s="1">
        <v>0</v>
      </c>
      <c r="BD1888" s="1">
        <v>0</v>
      </c>
      <c r="BE1888" s="1">
        <v>0</v>
      </c>
      <c r="BF1888" s="1">
        <v>0</v>
      </c>
      <c r="BG1888" s="1">
        <v>0</v>
      </c>
      <c r="BH1888" s="1">
        <v>0</v>
      </c>
      <c r="BI1888" s="1">
        <v>0</v>
      </c>
      <c r="BJ1888" s="1">
        <v>0</v>
      </c>
      <c r="BK1888" s="1">
        <v>0</v>
      </c>
      <c r="BL1888" s="1">
        <v>0</v>
      </c>
      <c r="BM1888" s="1">
        <v>0</v>
      </c>
      <c r="BN1888" s="1">
        <v>0</v>
      </c>
      <c r="BO1888" s="1">
        <v>0</v>
      </c>
      <c r="BP1888" s="1">
        <v>0</v>
      </c>
      <c r="BQ1888" s="1">
        <v>0</v>
      </c>
      <c r="BR1888" s="1">
        <v>0</v>
      </c>
      <c r="BS1888" s="1" t="s">
        <v>109</v>
      </c>
      <c r="BT1888" s="1">
        <v>1962</v>
      </c>
      <c r="BU1888" s="1" t="s">
        <v>109</v>
      </c>
      <c r="BV1888" s="1"/>
      <c r="BW1888" s="1"/>
      <c r="BX1888" s="1"/>
      <c r="BY1888" s="1"/>
      <c r="BZ1888" s="1">
        <v>0</v>
      </c>
      <c r="CA1888" s="1" t="s">
        <v>109</v>
      </c>
      <c r="CB1888" s="1" t="s">
        <v>109</v>
      </c>
      <c r="CC1888" s="1">
        <v>2</v>
      </c>
      <c r="CD1888" s="1" t="s">
        <v>109</v>
      </c>
      <c r="CE1888" s="1" t="s">
        <v>109</v>
      </c>
      <c r="CF1888" s="1" t="s">
        <v>109</v>
      </c>
      <c r="CG1888" s="1" t="s">
        <v>109</v>
      </c>
      <c r="CH1888" s="1" t="s">
        <v>109</v>
      </c>
      <c r="CI1888" s="1" t="s">
        <v>109</v>
      </c>
      <c r="CJ1888" s="1" t="s">
        <v>109</v>
      </c>
      <c r="CK1888" s="1"/>
      <c r="CL1888" s="1">
        <v>0</v>
      </c>
      <c r="CM1888" s="1">
        <v>0</v>
      </c>
      <c r="CN1888" s="1">
        <v>0</v>
      </c>
    </row>
    <row r="1889" spans="1:92" ht="14.25" customHeight="1" x14ac:dyDescent="0.15">
      <c r="A1889" s="1" t="s">
        <v>13944</v>
      </c>
      <c r="B1889" s="1" t="s">
        <v>242</v>
      </c>
      <c r="C1889" s="1"/>
      <c r="D1889" s="1"/>
      <c r="E1889" s="1" t="s">
        <v>13945</v>
      </c>
      <c r="F1889" s="1" t="s">
        <v>98</v>
      </c>
      <c r="G1889" s="1" t="s">
        <v>160</v>
      </c>
      <c r="H1889" s="1">
        <v>0</v>
      </c>
      <c r="I1889" s="1" t="s">
        <v>161</v>
      </c>
      <c r="J1889" s="1"/>
      <c r="K1889" s="1"/>
      <c r="L1889" s="1" t="s">
        <v>506</v>
      </c>
      <c r="M1889" s="1" t="s">
        <v>3042</v>
      </c>
      <c r="N1889" s="1">
        <v>0</v>
      </c>
      <c r="O1889" s="1">
        <v>0</v>
      </c>
      <c r="P1889" s="1" t="s">
        <v>1382</v>
      </c>
      <c r="Q1889" s="1" t="s">
        <v>167</v>
      </c>
      <c r="R1889" s="1" t="s">
        <v>13946</v>
      </c>
      <c r="S1889" s="1" t="s">
        <v>13947</v>
      </c>
      <c r="T1889" s="1" t="s">
        <v>13306</v>
      </c>
      <c r="U1889" s="1" t="s">
        <v>13948</v>
      </c>
      <c r="V1889" s="1">
        <v>1</v>
      </c>
      <c r="W1889" s="1">
        <v>1</v>
      </c>
      <c r="X1889" s="1">
        <v>0</v>
      </c>
      <c r="Y1889" s="1">
        <v>0</v>
      </c>
      <c r="Z1889" s="1">
        <v>1</v>
      </c>
      <c r="AA1889" s="1" t="s">
        <v>109</v>
      </c>
      <c r="AB1889" s="1" t="s">
        <v>109</v>
      </c>
      <c r="AC1889" s="1">
        <v>4</v>
      </c>
      <c r="AD1889" s="1" t="s">
        <v>109</v>
      </c>
      <c r="AE1889" s="1" t="s">
        <v>109</v>
      </c>
      <c r="AF1889" s="1" t="s">
        <v>109</v>
      </c>
      <c r="AG1889" s="1">
        <v>3</v>
      </c>
      <c r="AH1889" s="1" t="s">
        <v>109</v>
      </c>
      <c r="AI1889" s="1" t="s">
        <v>109</v>
      </c>
      <c r="AJ1889" s="1" t="s">
        <v>109</v>
      </c>
      <c r="AK1889" s="1">
        <v>3</v>
      </c>
      <c r="AL1889" s="1">
        <v>4</v>
      </c>
      <c r="AM1889" s="1" t="s">
        <v>109</v>
      </c>
      <c r="AN1889" s="1" t="s">
        <v>109</v>
      </c>
      <c r="AO1889" s="1" t="s">
        <v>109</v>
      </c>
      <c r="AP1889" s="1"/>
      <c r="AQ1889" s="1">
        <v>4</v>
      </c>
      <c r="AR1889" s="1"/>
      <c r="AS1889" s="1" t="s">
        <v>13949</v>
      </c>
      <c r="AT1889" s="1">
        <v>0</v>
      </c>
      <c r="AU1889" s="1">
        <v>0</v>
      </c>
      <c r="AV1889" s="1">
        <v>0</v>
      </c>
      <c r="AW1889" s="1">
        <v>0</v>
      </c>
      <c r="AX1889" s="1">
        <v>0</v>
      </c>
      <c r="AY1889" s="1">
        <v>0</v>
      </c>
      <c r="AZ1889" s="1">
        <v>0</v>
      </c>
      <c r="BA1889" s="1">
        <v>0</v>
      </c>
      <c r="BB1889" s="1">
        <v>0</v>
      </c>
      <c r="BC1889" s="1">
        <v>0</v>
      </c>
      <c r="BD1889" s="1">
        <v>0</v>
      </c>
      <c r="BE1889" s="1">
        <v>0</v>
      </c>
      <c r="BF1889" s="1">
        <v>0</v>
      </c>
      <c r="BG1889" s="1">
        <v>0</v>
      </c>
      <c r="BH1889" s="1">
        <v>0</v>
      </c>
      <c r="BI1889" s="1">
        <v>0</v>
      </c>
      <c r="BJ1889" s="1">
        <v>0</v>
      </c>
      <c r="BK1889" s="1">
        <v>0</v>
      </c>
      <c r="BL1889" s="1">
        <v>0</v>
      </c>
      <c r="BM1889" s="1">
        <v>0</v>
      </c>
      <c r="BN1889" s="1">
        <v>0</v>
      </c>
      <c r="BO1889" s="1">
        <v>0</v>
      </c>
      <c r="BP1889" s="1">
        <v>0</v>
      </c>
      <c r="BQ1889" s="1">
        <v>0</v>
      </c>
      <c r="BR1889" s="1">
        <v>0</v>
      </c>
      <c r="BS1889" s="1" t="s">
        <v>109</v>
      </c>
      <c r="BT1889" s="1">
        <v>1963</v>
      </c>
      <c r="BU1889" s="1" t="s">
        <v>109</v>
      </c>
      <c r="BV1889" s="1"/>
      <c r="BW1889" s="1"/>
      <c r="BX1889" s="1"/>
      <c r="BY1889" s="1"/>
      <c r="BZ1889" s="1">
        <v>0</v>
      </c>
      <c r="CA1889" s="1" t="s">
        <v>109</v>
      </c>
      <c r="CB1889" s="1" t="s">
        <v>109</v>
      </c>
      <c r="CC1889" s="1">
        <v>4</v>
      </c>
      <c r="CD1889" s="1" t="s">
        <v>109</v>
      </c>
      <c r="CE1889" s="1" t="s">
        <v>109</v>
      </c>
      <c r="CF1889" s="1" t="s">
        <v>109</v>
      </c>
      <c r="CG1889" s="1" t="s">
        <v>109</v>
      </c>
      <c r="CH1889" s="1" t="s">
        <v>109</v>
      </c>
      <c r="CI1889" s="1" t="s">
        <v>109</v>
      </c>
      <c r="CJ1889" s="1" t="s">
        <v>109</v>
      </c>
      <c r="CK1889" s="1"/>
      <c r="CL1889" s="1">
        <v>0</v>
      </c>
      <c r="CM1889" s="1">
        <v>0</v>
      </c>
      <c r="CN1889" s="1">
        <v>0</v>
      </c>
    </row>
    <row r="1890" spans="1:92" ht="14.25" customHeight="1" x14ac:dyDescent="0.15">
      <c r="A1890" s="1" t="s">
        <v>13950</v>
      </c>
      <c r="B1890" s="1" t="s">
        <v>189</v>
      </c>
      <c r="C1890" s="1"/>
      <c r="D1890" s="1" t="s">
        <v>67</v>
      </c>
      <c r="E1890" s="1" t="s">
        <v>13951</v>
      </c>
      <c r="F1890" s="1" t="s">
        <v>98</v>
      </c>
      <c r="G1890" s="1" t="s">
        <v>160</v>
      </c>
      <c r="H1890" s="1">
        <v>0</v>
      </c>
      <c r="I1890" s="1" t="s">
        <v>100</v>
      </c>
      <c r="J1890" s="1" t="s">
        <v>1840</v>
      </c>
      <c r="K1890" s="1"/>
      <c r="L1890" s="1"/>
      <c r="M1890" s="1" t="s">
        <v>587</v>
      </c>
      <c r="N1890" s="1">
        <v>1</v>
      </c>
      <c r="O1890" s="1">
        <v>0</v>
      </c>
      <c r="P1890" s="1" t="s">
        <v>13952</v>
      </c>
      <c r="Q1890" s="1" t="s">
        <v>104</v>
      </c>
      <c r="R1890" s="1" t="s">
        <v>13953</v>
      </c>
      <c r="S1890" s="1" t="s">
        <v>13954</v>
      </c>
      <c r="T1890" s="1" t="s">
        <v>13306</v>
      </c>
      <c r="U1890" s="1" t="s">
        <v>13955</v>
      </c>
      <c r="V1890" s="1">
        <v>1</v>
      </c>
      <c r="W1890" s="1">
        <v>1</v>
      </c>
      <c r="X1890" s="1">
        <v>0</v>
      </c>
      <c r="Y1890" s="1">
        <v>0</v>
      </c>
      <c r="Z1890" s="1">
        <v>1</v>
      </c>
      <c r="AA1890" s="1" t="s">
        <v>109</v>
      </c>
      <c r="AB1890" s="1" t="s">
        <v>109</v>
      </c>
      <c r="AC1890" s="1" t="s">
        <v>109</v>
      </c>
      <c r="AD1890" s="1">
        <v>2</v>
      </c>
      <c r="AE1890" s="1">
        <v>2</v>
      </c>
      <c r="AF1890" s="1" t="s">
        <v>109</v>
      </c>
      <c r="AG1890" s="1" t="s">
        <v>109</v>
      </c>
      <c r="AH1890" s="1" t="s">
        <v>109</v>
      </c>
      <c r="AI1890" s="1" t="s">
        <v>109</v>
      </c>
      <c r="AJ1890" s="1" t="s">
        <v>109</v>
      </c>
      <c r="AK1890" s="1" t="s">
        <v>109</v>
      </c>
      <c r="AL1890" s="1" t="s">
        <v>109</v>
      </c>
      <c r="AM1890" s="1" t="s">
        <v>109</v>
      </c>
      <c r="AN1890" s="1" t="s">
        <v>109</v>
      </c>
      <c r="AO1890" s="1" t="s">
        <v>109</v>
      </c>
      <c r="AP1890" s="1"/>
      <c r="AQ1890" s="1">
        <v>2</v>
      </c>
      <c r="AR1890" s="1"/>
      <c r="AS1890" s="1" t="s">
        <v>13956</v>
      </c>
      <c r="AT1890" s="1">
        <v>0</v>
      </c>
      <c r="AU1890" s="1">
        <v>0</v>
      </c>
      <c r="AV1890" s="1">
        <v>0</v>
      </c>
      <c r="AW1890" s="1">
        <v>0</v>
      </c>
      <c r="AX1890" s="1">
        <v>0</v>
      </c>
      <c r="AY1890" s="1">
        <v>0</v>
      </c>
      <c r="AZ1890" s="1">
        <v>0</v>
      </c>
      <c r="BA1890" s="1">
        <v>0</v>
      </c>
      <c r="BB1890" s="1">
        <v>0</v>
      </c>
      <c r="BC1890" s="1">
        <v>0</v>
      </c>
      <c r="BD1890" s="1">
        <v>0</v>
      </c>
      <c r="BE1890" s="1">
        <v>0</v>
      </c>
      <c r="BF1890" s="1">
        <v>0</v>
      </c>
      <c r="BG1890" s="1">
        <v>0</v>
      </c>
      <c r="BH1890" s="1">
        <v>0</v>
      </c>
      <c r="BI1890" s="1">
        <v>0</v>
      </c>
      <c r="BJ1890" s="1">
        <v>0</v>
      </c>
      <c r="BK1890" s="1">
        <v>0</v>
      </c>
      <c r="BL1890" s="1">
        <v>0</v>
      </c>
      <c r="BM1890" s="1">
        <v>0</v>
      </c>
      <c r="BN1890" s="1">
        <v>0</v>
      </c>
      <c r="BO1890" s="1">
        <v>1</v>
      </c>
      <c r="BP1890" s="1">
        <v>0</v>
      </c>
      <c r="BQ1890" s="1">
        <v>0</v>
      </c>
      <c r="BR1890" s="1">
        <v>0</v>
      </c>
      <c r="BS1890" s="1" t="s">
        <v>109</v>
      </c>
      <c r="BT1890" s="1">
        <v>1964</v>
      </c>
      <c r="BU1890" s="1" t="s">
        <v>109</v>
      </c>
      <c r="BV1890" s="1"/>
      <c r="BW1890" s="1"/>
      <c r="BX1890" s="1"/>
      <c r="BY1890" s="1"/>
      <c r="BZ1890" s="1">
        <v>0</v>
      </c>
      <c r="CA1890" s="1" t="s">
        <v>109</v>
      </c>
      <c r="CB1890" s="1">
        <v>2</v>
      </c>
      <c r="CC1890" s="1" t="s">
        <v>109</v>
      </c>
      <c r="CD1890" s="1" t="s">
        <v>109</v>
      </c>
      <c r="CE1890" s="1" t="s">
        <v>109</v>
      </c>
      <c r="CF1890" s="1" t="s">
        <v>109</v>
      </c>
      <c r="CG1890" s="1" t="s">
        <v>109</v>
      </c>
      <c r="CH1890" s="1" t="s">
        <v>109</v>
      </c>
      <c r="CI1890" s="1" t="s">
        <v>109</v>
      </c>
      <c r="CJ1890" s="1">
        <v>2</v>
      </c>
      <c r="CK1890" s="1"/>
      <c r="CL1890" s="1">
        <v>0</v>
      </c>
      <c r="CM1890" s="1">
        <v>0</v>
      </c>
      <c r="CN1890" s="1">
        <v>0</v>
      </c>
    </row>
    <row r="1891" spans="1:92" ht="14.25" customHeight="1" x14ac:dyDescent="0.15">
      <c r="A1891" s="1" t="s">
        <v>13957</v>
      </c>
      <c r="B1891" s="1" t="s">
        <v>674</v>
      </c>
      <c r="C1891" s="1" t="s">
        <v>675</v>
      </c>
      <c r="D1891" s="1"/>
      <c r="E1891" s="1" t="s">
        <v>13958</v>
      </c>
      <c r="F1891" s="1" t="s">
        <v>355</v>
      </c>
      <c r="G1891" s="1" t="s">
        <v>333</v>
      </c>
      <c r="H1891" s="1">
        <v>0</v>
      </c>
      <c r="I1891" s="1" t="s">
        <v>142</v>
      </c>
      <c r="J1891" s="1" t="s">
        <v>13959</v>
      </c>
      <c r="K1891" s="1"/>
      <c r="L1891" s="1"/>
      <c r="M1891" s="1" t="s">
        <v>6144</v>
      </c>
      <c r="N1891" s="1">
        <v>1</v>
      </c>
      <c r="O1891" s="1">
        <v>0</v>
      </c>
      <c r="P1891" s="1" t="s">
        <v>11630</v>
      </c>
      <c r="Q1891" s="1" t="s">
        <v>11631</v>
      </c>
      <c r="R1891" s="1" t="s">
        <v>13960</v>
      </c>
      <c r="S1891" s="1" t="s">
        <v>13961</v>
      </c>
      <c r="T1891" s="1" t="s">
        <v>13306</v>
      </c>
      <c r="U1891" s="1" t="s">
        <v>13962</v>
      </c>
      <c r="V1891" s="1">
        <v>1</v>
      </c>
      <c r="W1891" s="1">
        <v>0</v>
      </c>
      <c r="X1891" s="1">
        <v>0</v>
      </c>
      <c r="Y1891" s="1">
        <v>0</v>
      </c>
      <c r="Z1891" s="1">
        <v>0</v>
      </c>
      <c r="AA1891" s="1">
        <v>2</v>
      </c>
      <c r="AB1891" s="1">
        <v>2</v>
      </c>
      <c r="AC1891" s="1">
        <v>2</v>
      </c>
      <c r="AD1891" s="1" t="s">
        <v>109</v>
      </c>
      <c r="AE1891" s="1" t="s">
        <v>109</v>
      </c>
      <c r="AF1891" s="1">
        <v>2</v>
      </c>
      <c r="AG1891" s="1" t="s">
        <v>109</v>
      </c>
      <c r="AH1891" s="1" t="s">
        <v>109</v>
      </c>
      <c r="AI1891" s="1" t="s">
        <v>109</v>
      </c>
      <c r="AJ1891" s="1">
        <v>2</v>
      </c>
      <c r="AK1891" s="1" t="s">
        <v>109</v>
      </c>
      <c r="AL1891" s="1">
        <v>2</v>
      </c>
      <c r="AM1891" s="1" t="s">
        <v>109</v>
      </c>
      <c r="AN1891" s="1" t="s">
        <v>109</v>
      </c>
      <c r="AO1891" s="1" t="s">
        <v>109</v>
      </c>
      <c r="AP1891" s="1"/>
      <c r="AQ1891" s="1">
        <v>2</v>
      </c>
      <c r="AR1891" s="1"/>
      <c r="AS1891" s="1" t="s">
        <v>13963</v>
      </c>
      <c r="AT1891" s="1">
        <v>0</v>
      </c>
      <c r="AU1891" s="1">
        <v>0</v>
      </c>
      <c r="AV1891" s="1">
        <v>0</v>
      </c>
      <c r="AW1891" s="1">
        <v>0</v>
      </c>
      <c r="AX1891" s="1">
        <v>0</v>
      </c>
      <c r="AY1891" s="1">
        <v>0</v>
      </c>
      <c r="AZ1891" s="1">
        <v>0</v>
      </c>
      <c r="BA1891" s="1">
        <v>0</v>
      </c>
      <c r="BB1891" s="1">
        <v>0</v>
      </c>
      <c r="BC1891" s="1">
        <v>0</v>
      </c>
      <c r="BD1891" s="1">
        <v>0</v>
      </c>
      <c r="BE1891" s="1">
        <v>0</v>
      </c>
      <c r="BF1891" s="1">
        <v>0</v>
      </c>
      <c r="BG1891" s="1">
        <v>0</v>
      </c>
      <c r="BH1891" s="1">
        <v>0</v>
      </c>
      <c r="BI1891" s="1">
        <v>0</v>
      </c>
      <c r="BJ1891" s="1">
        <v>0</v>
      </c>
      <c r="BK1891" s="1">
        <v>0</v>
      </c>
      <c r="BL1891" s="1">
        <v>0</v>
      </c>
      <c r="BM1891" s="1">
        <v>0</v>
      </c>
      <c r="BN1891" s="1">
        <v>0</v>
      </c>
      <c r="BO1891" s="1">
        <v>0</v>
      </c>
      <c r="BP1891" s="1">
        <v>0</v>
      </c>
      <c r="BQ1891" s="1">
        <v>0</v>
      </c>
      <c r="BR1891" s="1">
        <v>0</v>
      </c>
      <c r="BS1891" s="1" t="s">
        <v>109</v>
      </c>
      <c r="BT1891" s="1">
        <v>1965</v>
      </c>
      <c r="BU1891" s="1" t="s">
        <v>109</v>
      </c>
      <c r="BV1891" s="1"/>
      <c r="BW1891" s="1"/>
      <c r="BX1891" s="1"/>
      <c r="BY1891" s="1"/>
      <c r="BZ1891" s="1">
        <v>0</v>
      </c>
      <c r="CA1891" s="1" t="s">
        <v>109</v>
      </c>
      <c r="CB1891" s="1" t="s">
        <v>109</v>
      </c>
      <c r="CC1891" s="1">
        <v>2</v>
      </c>
      <c r="CD1891" s="1" t="s">
        <v>109</v>
      </c>
      <c r="CE1891" s="1">
        <v>2</v>
      </c>
      <c r="CF1891" s="1" t="s">
        <v>109</v>
      </c>
      <c r="CG1891" s="1" t="s">
        <v>109</v>
      </c>
      <c r="CH1891" s="1" t="s">
        <v>109</v>
      </c>
      <c r="CI1891" s="1" t="s">
        <v>109</v>
      </c>
      <c r="CJ1891" s="1" t="s">
        <v>109</v>
      </c>
      <c r="CK1891" s="1"/>
      <c r="CL1891" s="1">
        <v>0</v>
      </c>
      <c r="CM1891" s="1">
        <v>0</v>
      </c>
      <c r="CN1891" s="1">
        <v>0</v>
      </c>
    </row>
    <row r="1892" spans="1:92" ht="14.25" customHeight="1" x14ac:dyDescent="0.15">
      <c r="A1892" s="1" t="s">
        <v>13964</v>
      </c>
      <c r="B1892" s="1" t="s">
        <v>95</v>
      </c>
      <c r="C1892" s="1" t="s">
        <v>96</v>
      </c>
      <c r="D1892" s="1"/>
      <c r="E1892" s="1" t="s">
        <v>13965</v>
      </c>
      <c r="F1892" s="1" t="s">
        <v>98</v>
      </c>
      <c r="G1892" s="1" t="s">
        <v>13966</v>
      </c>
      <c r="H1892" s="1">
        <v>0</v>
      </c>
      <c r="I1892" s="1" t="s">
        <v>725</v>
      </c>
      <c r="J1892" s="1" t="s">
        <v>726</v>
      </c>
      <c r="K1892" s="1"/>
      <c r="L1892" s="1"/>
      <c r="M1892" s="1" t="s">
        <v>144</v>
      </c>
      <c r="N1892" s="1">
        <v>0</v>
      </c>
      <c r="O1892" s="1">
        <v>0</v>
      </c>
      <c r="P1892" s="1" t="s">
        <v>727</v>
      </c>
      <c r="Q1892" s="1" t="s">
        <v>268</v>
      </c>
      <c r="R1892" s="1" t="s">
        <v>13967</v>
      </c>
      <c r="S1892" s="1" t="s">
        <v>13968</v>
      </c>
      <c r="T1892" s="1" t="s">
        <v>13306</v>
      </c>
      <c r="U1892" s="1" t="s">
        <v>13969</v>
      </c>
      <c r="V1892" s="1">
        <v>1</v>
      </c>
      <c r="W1892" s="1">
        <v>1</v>
      </c>
      <c r="X1892" s="1">
        <v>1</v>
      </c>
      <c r="Y1892" s="1">
        <v>0</v>
      </c>
      <c r="Z1892" s="1">
        <v>0</v>
      </c>
      <c r="AA1892" s="1">
        <v>3</v>
      </c>
      <c r="AB1892" s="1">
        <v>3</v>
      </c>
      <c r="AC1892" s="1" t="s">
        <v>109</v>
      </c>
      <c r="AD1892" s="1" t="s">
        <v>109</v>
      </c>
      <c r="AE1892" s="1" t="s">
        <v>109</v>
      </c>
      <c r="AF1892" s="1" t="s">
        <v>109</v>
      </c>
      <c r="AG1892" s="1" t="s">
        <v>109</v>
      </c>
      <c r="AH1892" s="1" t="s">
        <v>109</v>
      </c>
      <c r="AI1892" s="1" t="s">
        <v>109</v>
      </c>
      <c r="AJ1892" s="1">
        <v>3</v>
      </c>
      <c r="AK1892" s="1" t="s">
        <v>109</v>
      </c>
      <c r="AL1892" s="1" t="s">
        <v>109</v>
      </c>
      <c r="AM1892" s="1" t="s">
        <v>109</v>
      </c>
      <c r="AN1892" s="1">
        <v>3</v>
      </c>
      <c r="AO1892" s="1" t="s">
        <v>109</v>
      </c>
      <c r="AP1892" s="1"/>
      <c r="AQ1892" s="1">
        <v>3</v>
      </c>
      <c r="AR1892" s="1"/>
      <c r="AS1892" s="1" t="s">
        <v>13970</v>
      </c>
      <c r="AT1892" s="1">
        <v>0</v>
      </c>
      <c r="AU1892" s="1">
        <v>0</v>
      </c>
      <c r="AV1892" s="1">
        <v>0</v>
      </c>
      <c r="AW1892" s="1">
        <v>0</v>
      </c>
      <c r="AX1892" s="1">
        <v>0</v>
      </c>
      <c r="AY1892" s="1">
        <v>0</v>
      </c>
      <c r="AZ1892" s="1">
        <v>0</v>
      </c>
      <c r="BA1892" s="1">
        <v>0</v>
      </c>
      <c r="BB1892" s="1">
        <v>0</v>
      </c>
      <c r="BC1892" s="1">
        <v>0</v>
      </c>
      <c r="BD1892" s="1">
        <v>0</v>
      </c>
      <c r="BE1892" s="1">
        <v>0</v>
      </c>
      <c r="BF1892" s="1">
        <v>0</v>
      </c>
      <c r="BG1892" s="1">
        <v>0</v>
      </c>
      <c r="BH1892" s="1">
        <v>0</v>
      </c>
      <c r="BI1892" s="1">
        <v>0</v>
      </c>
      <c r="BJ1892" s="1">
        <v>0</v>
      </c>
      <c r="BK1892" s="1">
        <v>0</v>
      </c>
      <c r="BL1892" s="1">
        <v>0</v>
      </c>
      <c r="BM1892" s="1">
        <v>0</v>
      </c>
      <c r="BN1892" s="1">
        <v>0</v>
      </c>
      <c r="BO1892" s="1">
        <v>0</v>
      </c>
      <c r="BP1892" s="1">
        <v>0</v>
      </c>
      <c r="BQ1892" s="1">
        <v>0</v>
      </c>
      <c r="BR1892" s="1">
        <v>0</v>
      </c>
      <c r="BS1892" s="1" t="s">
        <v>109</v>
      </c>
      <c r="BT1892" s="1">
        <v>1966</v>
      </c>
      <c r="BU1892" s="1" t="s">
        <v>109</v>
      </c>
      <c r="BV1892" s="1"/>
      <c r="BW1892" s="1"/>
      <c r="BX1892" s="1"/>
      <c r="BY1892" s="1"/>
      <c r="BZ1892" s="1">
        <v>0</v>
      </c>
      <c r="CA1892" s="1">
        <v>3</v>
      </c>
      <c r="CB1892" s="1" t="s">
        <v>109</v>
      </c>
      <c r="CC1892" s="1" t="s">
        <v>109</v>
      </c>
      <c r="CD1892" s="1" t="s">
        <v>109</v>
      </c>
      <c r="CE1892" s="1" t="s">
        <v>109</v>
      </c>
      <c r="CF1892" s="1" t="s">
        <v>109</v>
      </c>
      <c r="CG1892" s="1" t="s">
        <v>109</v>
      </c>
      <c r="CH1892" s="1" t="s">
        <v>109</v>
      </c>
      <c r="CI1892" s="1" t="s">
        <v>109</v>
      </c>
      <c r="CJ1892" s="1" t="s">
        <v>109</v>
      </c>
      <c r="CK1892" s="1"/>
      <c r="CL1892" s="1">
        <v>0</v>
      </c>
      <c r="CM1892" s="1">
        <v>0</v>
      </c>
      <c r="CN1892" s="1">
        <v>0</v>
      </c>
    </row>
    <row r="1893" spans="1:92" ht="14.25" customHeight="1" x14ac:dyDescent="0.15">
      <c r="A1893" s="1" t="s">
        <v>13971</v>
      </c>
      <c r="B1893" s="1" t="s">
        <v>95</v>
      </c>
      <c r="C1893" s="1" t="s">
        <v>96</v>
      </c>
      <c r="D1893" s="1"/>
      <c r="E1893" s="1" t="s">
        <v>4653</v>
      </c>
      <c r="F1893" s="1" t="s">
        <v>98</v>
      </c>
      <c r="G1893" s="1" t="s">
        <v>13972</v>
      </c>
      <c r="H1893" s="1">
        <v>0</v>
      </c>
      <c r="I1893" s="1" t="s">
        <v>142</v>
      </c>
      <c r="J1893" s="1"/>
      <c r="K1893" s="1"/>
      <c r="L1893" s="1" t="s">
        <v>716</v>
      </c>
      <c r="M1893" s="1" t="s">
        <v>7718</v>
      </c>
      <c r="N1893" s="1">
        <v>0</v>
      </c>
      <c r="O1893" s="1">
        <v>0</v>
      </c>
      <c r="P1893" s="1" t="s">
        <v>267</v>
      </c>
      <c r="Q1893" s="1" t="s">
        <v>268</v>
      </c>
      <c r="R1893" s="1" t="s">
        <v>13973</v>
      </c>
      <c r="S1893" s="1" t="s">
        <v>13974</v>
      </c>
      <c r="T1893" s="1" t="s">
        <v>13306</v>
      </c>
      <c r="U1893" s="1" t="s">
        <v>13975</v>
      </c>
      <c r="V1893" s="1">
        <v>1</v>
      </c>
      <c r="W1893" s="1">
        <v>1</v>
      </c>
      <c r="X1893" s="1">
        <v>1</v>
      </c>
      <c r="Y1893" s="1">
        <v>0</v>
      </c>
      <c r="Z1893" s="1">
        <v>0</v>
      </c>
      <c r="AA1893" s="1" t="s">
        <v>109</v>
      </c>
      <c r="AB1893" s="1" t="s">
        <v>109</v>
      </c>
      <c r="AC1893" s="1" t="s">
        <v>109</v>
      </c>
      <c r="AD1893" s="1">
        <v>4</v>
      </c>
      <c r="AE1893" s="1" t="s">
        <v>109</v>
      </c>
      <c r="AF1893" s="1" t="s">
        <v>109</v>
      </c>
      <c r="AG1893" s="1" t="s">
        <v>109</v>
      </c>
      <c r="AH1893" s="1" t="s">
        <v>109</v>
      </c>
      <c r="AI1893" s="1" t="s">
        <v>109</v>
      </c>
      <c r="AJ1893" s="1" t="s">
        <v>109</v>
      </c>
      <c r="AK1893" s="1" t="s">
        <v>109</v>
      </c>
      <c r="AL1893" s="1" t="s">
        <v>109</v>
      </c>
      <c r="AM1893" s="1" t="s">
        <v>109</v>
      </c>
      <c r="AN1893" s="1" t="s">
        <v>109</v>
      </c>
      <c r="AO1893" s="1" t="s">
        <v>109</v>
      </c>
      <c r="AP1893" s="1"/>
      <c r="AQ1893" s="1">
        <v>4</v>
      </c>
      <c r="AR1893" s="1"/>
      <c r="AS1893" s="1" t="s">
        <v>13976</v>
      </c>
      <c r="AT1893" s="1">
        <v>0</v>
      </c>
      <c r="AU1893" s="1">
        <v>0</v>
      </c>
      <c r="AV1893" s="1">
        <v>0</v>
      </c>
      <c r="AW1893" s="1">
        <v>0</v>
      </c>
      <c r="AX1893" s="1">
        <v>0</v>
      </c>
      <c r="AY1893" s="1">
        <v>0</v>
      </c>
      <c r="AZ1893" s="1">
        <v>0</v>
      </c>
      <c r="BA1893" s="1">
        <v>0</v>
      </c>
      <c r="BB1893" s="1">
        <v>0</v>
      </c>
      <c r="BC1893" s="1">
        <v>0</v>
      </c>
      <c r="BD1893" s="1">
        <v>0</v>
      </c>
      <c r="BE1893" s="1">
        <v>0</v>
      </c>
      <c r="BF1893" s="1">
        <v>0</v>
      </c>
      <c r="BG1893" s="1">
        <v>0</v>
      </c>
      <c r="BH1893" s="1">
        <v>0</v>
      </c>
      <c r="BI1893" s="1">
        <v>0</v>
      </c>
      <c r="BJ1893" s="1">
        <v>0</v>
      </c>
      <c r="BK1893" s="1">
        <v>0</v>
      </c>
      <c r="BL1893" s="1">
        <v>0</v>
      </c>
      <c r="BM1893" s="1">
        <v>0</v>
      </c>
      <c r="BN1893" s="1">
        <v>0</v>
      </c>
      <c r="BO1893" s="1">
        <v>0</v>
      </c>
      <c r="BP1893" s="1">
        <v>0</v>
      </c>
      <c r="BQ1893" s="1">
        <v>0</v>
      </c>
      <c r="BR1893" s="1">
        <v>0</v>
      </c>
      <c r="BS1893" s="1" t="s">
        <v>109</v>
      </c>
      <c r="BT1893" s="1">
        <v>1967</v>
      </c>
      <c r="BU1893" s="1" t="s">
        <v>109</v>
      </c>
      <c r="BV1893" s="1"/>
      <c r="BW1893" s="1"/>
      <c r="BX1893" s="1"/>
      <c r="BY1893" s="1"/>
      <c r="BZ1893" s="1">
        <v>0</v>
      </c>
      <c r="CA1893" s="1" t="s">
        <v>109</v>
      </c>
      <c r="CB1893" s="1">
        <v>4</v>
      </c>
      <c r="CC1893" s="1" t="s">
        <v>109</v>
      </c>
      <c r="CD1893" s="1" t="s">
        <v>109</v>
      </c>
      <c r="CE1893" s="1" t="s">
        <v>109</v>
      </c>
      <c r="CF1893" s="1" t="s">
        <v>109</v>
      </c>
      <c r="CG1893" s="1" t="s">
        <v>109</v>
      </c>
      <c r="CH1893" s="1" t="s">
        <v>109</v>
      </c>
      <c r="CI1893" s="1" t="s">
        <v>109</v>
      </c>
      <c r="CJ1893" s="1">
        <v>4</v>
      </c>
      <c r="CK1893" s="1"/>
      <c r="CL1893" s="1">
        <v>0</v>
      </c>
      <c r="CM1893" s="1">
        <v>0</v>
      </c>
      <c r="CN1893" s="1">
        <v>0</v>
      </c>
    </row>
    <row r="1894" spans="1:92" ht="14.25" customHeight="1" x14ac:dyDescent="0.15">
      <c r="A1894" s="1" t="s">
        <v>13977</v>
      </c>
      <c r="B1894" s="1" t="s">
        <v>189</v>
      </c>
      <c r="C1894" s="1" t="s">
        <v>231</v>
      </c>
      <c r="D1894" s="1" t="s">
        <v>69</v>
      </c>
      <c r="E1894" s="1" t="s">
        <v>13978</v>
      </c>
      <c r="F1894" s="1" t="s">
        <v>98</v>
      </c>
      <c r="G1894" s="1" t="s">
        <v>13979</v>
      </c>
      <c r="H1894" s="1">
        <v>0</v>
      </c>
      <c r="I1894" s="1" t="s">
        <v>13980</v>
      </c>
      <c r="J1894" s="1"/>
      <c r="K1894" s="1"/>
      <c r="L1894" s="1" t="s">
        <v>13981</v>
      </c>
      <c r="M1894" s="1" t="s">
        <v>125</v>
      </c>
      <c r="N1894" s="1">
        <v>0</v>
      </c>
      <c r="O1894" s="1">
        <v>0</v>
      </c>
      <c r="P1894" s="1"/>
      <c r="Q1894" s="1"/>
      <c r="R1894" s="1" t="s">
        <v>13982</v>
      </c>
      <c r="S1894" s="1" t="s">
        <v>13983</v>
      </c>
      <c r="T1894" s="1" t="s">
        <v>13306</v>
      </c>
      <c r="U1894" s="1" t="s">
        <v>13984</v>
      </c>
      <c r="V1894" s="1">
        <v>1</v>
      </c>
      <c r="W1894" s="1">
        <v>1</v>
      </c>
      <c r="X1894" s="1">
        <v>1</v>
      </c>
      <c r="Y1894" s="1">
        <v>0</v>
      </c>
      <c r="Z1894" s="1">
        <v>0</v>
      </c>
      <c r="AA1894" s="1">
        <v>6</v>
      </c>
      <c r="AB1894" s="1">
        <v>6</v>
      </c>
      <c r="AC1894" s="1" t="s">
        <v>109</v>
      </c>
      <c r="AD1894" s="1" t="s">
        <v>109</v>
      </c>
      <c r="AE1894" s="1" t="s">
        <v>109</v>
      </c>
      <c r="AF1894" s="1">
        <v>6</v>
      </c>
      <c r="AG1894" s="1" t="s">
        <v>109</v>
      </c>
      <c r="AH1894" s="1">
        <v>6</v>
      </c>
      <c r="AI1894" s="1" t="s">
        <v>109</v>
      </c>
      <c r="AJ1894" s="1" t="s">
        <v>109</v>
      </c>
      <c r="AK1894" s="1" t="s">
        <v>109</v>
      </c>
      <c r="AL1894" s="1" t="s">
        <v>109</v>
      </c>
      <c r="AM1894" s="1" t="s">
        <v>109</v>
      </c>
      <c r="AN1894" s="1" t="s">
        <v>109</v>
      </c>
      <c r="AO1894" s="1" t="s">
        <v>109</v>
      </c>
      <c r="AP1894" s="1"/>
      <c r="AQ1894" s="1">
        <v>6</v>
      </c>
      <c r="AR1894" s="1"/>
      <c r="AS1894" s="1" t="s">
        <v>13985</v>
      </c>
      <c r="AT1894" s="1">
        <v>0</v>
      </c>
      <c r="AU1894" s="1">
        <v>0</v>
      </c>
      <c r="AV1894" s="1">
        <v>0</v>
      </c>
      <c r="AW1894" s="1">
        <v>0</v>
      </c>
      <c r="AX1894" s="1">
        <v>0</v>
      </c>
      <c r="AY1894" s="1">
        <v>0</v>
      </c>
      <c r="AZ1894" s="1">
        <v>0</v>
      </c>
      <c r="BA1894" s="1">
        <v>0</v>
      </c>
      <c r="BB1894" s="1">
        <v>0</v>
      </c>
      <c r="BC1894" s="1">
        <v>0</v>
      </c>
      <c r="BD1894" s="1">
        <v>0</v>
      </c>
      <c r="BE1894" s="1">
        <v>0</v>
      </c>
      <c r="BF1894" s="1">
        <v>0</v>
      </c>
      <c r="BG1894" s="1">
        <v>0</v>
      </c>
      <c r="BH1894" s="1">
        <v>0</v>
      </c>
      <c r="BI1894" s="1">
        <v>0</v>
      </c>
      <c r="BJ1894" s="1">
        <v>0</v>
      </c>
      <c r="BK1894" s="1">
        <v>0</v>
      </c>
      <c r="BL1894" s="1">
        <v>0</v>
      </c>
      <c r="BM1894" s="1">
        <v>0</v>
      </c>
      <c r="BN1894" s="1">
        <v>0</v>
      </c>
      <c r="BO1894" s="1">
        <v>0</v>
      </c>
      <c r="BP1894" s="1">
        <v>0</v>
      </c>
      <c r="BQ1894" s="1">
        <v>1</v>
      </c>
      <c r="BR1894" s="1">
        <v>0</v>
      </c>
      <c r="BS1894" s="1" t="s">
        <v>109</v>
      </c>
      <c r="BT1894" s="1">
        <v>1968</v>
      </c>
      <c r="BU1894" s="1" t="s">
        <v>109</v>
      </c>
      <c r="BV1894" s="1"/>
      <c r="BW1894" s="1"/>
      <c r="BX1894" s="1"/>
      <c r="BY1894" s="1"/>
      <c r="BZ1894" s="1">
        <v>0</v>
      </c>
      <c r="CA1894" s="1" t="s">
        <v>109</v>
      </c>
      <c r="CB1894" s="1" t="s">
        <v>109</v>
      </c>
      <c r="CC1894" s="1">
        <v>6</v>
      </c>
      <c r="CD1894" s="1" t="s">
        <v>109</v>
      </c>
      <c r="CE1894" s="1" t="s">
        <v>109</v>
      </c>
      <c r="CF1894" s="1" t="s">
        <v>109</v>
      </c>
      <c r="CG1894" s="1" t="s">
        <v>109</v>
      </c>
      <c r="CH1894" s="1" t="s">
        <v>109</v>
      </c>
      <c r="CI1894" s="1" t="s">
        <v>109</v>
      </c>
      <c r="CJ1894" s="1" t="s">
        <v>109</v>
      </c>
      <c r="CK1894" s="1"/>
      <c r="CL1894" s="1">
        <v>0</v>
      </c>
      <c r="CM1894" s="1">
        <v>0</v>
      </c>
      <c r="CN1894" s="1">
        <v>0</v>
      </c>
    </row>
    <row r="1895" spans="1:92" ht="14.25" customHeight="1" x14ac:dyDescent="0.15">
      <c r="A1895" s="1" t="s">
        <v>13986</v>
      </c>
      <c r="B1895" s="1" t="s">
        <v>584</v>
      </c>
      <c r="C1895" s="1"/>
      <c r="D1895" s="1" t="s">
        <v>69</v>
      </c>
      <c r="E1895" s="1" t="s">
        <v>13987</v>
      </c>
      <c r="F1895" s="1" t="s">
        <v>98</v>
      </c>
      <c r="G1895" s="1" t="s">
        <v>141</v>
      </c>
      <c r="H1895" s="1">
        <v>0</v>
      </c>
      <c r="I1895" s="1" t="s">
        <v>725</v>
      </c>
      <c r="J1895" s="1" t="s">
        <v>726</v>
      </c>
      <c r="K1895" s="1"/>
      <c r="L1895" s="1"/>
      <c r="M1895" s="1" t="s">
        <v>13311</v>
      </c>
      <c r="N1895" s="1">
        <v>0</v>
      </c>
      <c r="O1895" s="1">
        <v>0</v>
      </c>
      <c r="P1895" s="1" t="s">
        <v>8058</v>
      </c>
      <c r="Q1895" s="1" t="s">
        <v>268</v>
      </c>
      <c r="R1895" s="1" t="s">
        <v>13988</v>
      </c>
      <c r="S1895" s="1" t="s">
        <v>13989</v>
      </c>
      <c r="T1895" s="1" t="s">
        <v>13306</v>
      </c>
      <c r="U1895" s="1" t="s">
        <v>13990</v>
      </c>
      <c r="V1895" s="1">
        <v>1</v>
      </c>
      <c r="W1895" s="1">
        <v>1</v>
      </c>
      <c r="X1895" s="1">
        <v>0</v>
      </c>
      <c r="Y1895" s="1">
        <v>0</v>
      </c>
      <c r="Z1895" s="1">
        <v>0</v>
      </c>
      <c r="AA1895" s="1">
        <v>2</v>
      </c>
      <c r="AB1895" s="1">
        <v>2</v>
      </c>
      <c r="AC1895" s="1" t="s">
        <v>109</v>
      </c>
      <c r="AD1895" s="1" t="s">
        <v>109</v>
      </c>
      <c r="AE1895" s="1" t="s">
        <v>109</v>
      </c>
      <c r="AF1895" s="1">
        <v>2</v>
      </c>
      <c r="AG1895" s="1" t="s">
        <v>109</v>
      </c>
      <c r="AH1895" s="1" t="s">
        <v>109</v>
      </c>
      <c r="AI1895" s="1" t="s">
        <v>109</v>
      </c>
      <c r="AJ1895" s="1" t="s">
        <v>109</v>
      </c>
      <c r="AK1895" s="1" t="s">
        <v>109</v>
      </c>
      <c r="AL1895" s="1" t="s">
        <v>109</v>
      </c>
      <c r="AM1895" s="1" t="s">
        <v>109</v>
      </c>
      <c r="AN1895" s="1">
        <v>2</v>
      </c>
      <c r="AO1895" s="1" t="s">
        <v>109</v>
      </c>
      <c r="AP1895" s="1"/>
      <c r="AQ1895" s="1">
        <v>2</v>
      </c>
      <c r="AR1895" s="1"/>
      <c r="AS1895" s="1" t="s">
        <v>13991</v>
      </c>
      <c r="AT1895" s="1">
        <v>0</v>
      </c>
      <c r="AU1895" s="1">
        <v>0</v>
      </c>
      <c r="AV1895" s="1">
        <v>0</v>
      </c>
      <c r="AW1895" s="1">
        <v>0</v>
      </c>
      <c r="AX1895" s="1">
        <v>0</v>
      </c>
      <c r="AY1895" s="1">
        <v>0</v>
      </c>
      <c r="AZ1895" s="1">
        <v>0</v>
      </c>
      <c r="BA1895" s="1">
        <v>0</v>
      </c>
      <c r="BB1895" s="1">
        <v>0</v>
      </c>
      <c r="BC1895" s="1">
        <v>0</v>
      </c>
      <c r="BD1895" s="1">
        <v>0</v>
      </c>
      <c r="BE1895" s="1">
        <v>0</v>
      </c>
      <c r="BF1895" s="1">
        <v>0</v>
      </c>
      <c r="BG1895" s="1">
        <v>0</v>
      </c>
      <c r="BH1895" s="1">
        <v>0</v>
      </c>
      <c r="BI1895" s="1">
        <v>0</v>
      </c>
      <c r="BJ1895" s="1">
        <v>0</v>
      </c>
      <c r="BK1895" s="1">
        <v>0</v>
      </c>
      <c r="BL1895" s="1">
        <v>0</v>
      </c>
      <c r="BM1895" s="1">
        <v>0</v>
      </c>
      <c r="BN1895" s="1">
        <v>0</v>
      </c>
      <c r="BO1895" s="1">
        <v>0</v>
      </c>
      <c r="BP1895" s="1">
        <v>0</v>
      </c>
      <c r="BQ1895" s="1">
        <v>1</v>
      </c>
      <c r="BR1895" s="1">
        <v>0</v>
      </c>
      <c r="BS1895" s="1" t="s">
        <v>109</v>
      </c>
      <c r="BT1895" s="1">
        <v>1969</v>
      </c>
      <c r="BU1895" s="1" t="s">
        <v>109</v>
      </c>
      <c r="BV1895" s="1"/>
      <c r="BW1895" s="1"/>
      <c r="BX1895" s="1"/>
      <c r="BY1895" s="1"/>
      <c r="BZ1895" s="1">
        <v>0</v>
      </c>
      <c r="CA1895" s="1">
        <v>2</v>
      </c>
      <c r="CB1895" s="1" t="s">
        <v>109</v>
      </c>
      <c r="CC1895" s="1">
        <v>2</v>
      </c>
      <c r="CD1895" s="1" t="s">
        <v>109</v>
      </c>
      <c r="CE1895" s="1" t="s">
        <v>109</v>
      </c>
      <c r="CF1895" s="1" t="s">
        <v>109</v>
      </c>
      <c r="CG1895" s="1" t="s">
        <v>109</v>
      </c>
      <c r="CH1895" s="1" t="s">
        <v>109</v>
      </c>
      <c r="CI1895" s="1" t="s">
        <v>109</v>
      </c>
      <c r="CJ1895" s="1" t="s">
        <v>109</v>
      </c>
      <c r="CK1895" s="1"/>
      <c r="CL1895" s="1">
        <v>0</v>
      </c>
      <c r="CM1895" s="1">
        <v>0</v>
      </c>
      <c r="CN1895" s="1">
        <v>0</v>
      </c>
    </row>
    <row r="1896" spans="1:92" ht="14.25" customHeight="1" x14ac:dyDescent="0.15">
      <c r="A1896" s="1" t="s">
        <v>13992</v>
      </c>
      <c r="B1896" s="1" t="s">
        <v>308</v>
      </c>
      <c r="C1896" s="1"/>
      <c r="D1896" s="1" t="s">
        <v>3274</v>
      </c>
      <c r="E1896" s="1" t="s">
        <v>13993</v>
      </c>
      <c r="F1896" s="1" t="s">
        <v>395</v>
      </c>
      <c r="G1896" s="1" t="s">
        <v>160</v>
      </c>
      <c r="H1896" s="1">
        <v>0</v>
      </c>
      <c r="I1896" s="1" t="s">
        <v>13994</v>
      </c>
      <c r="J1896" s="1"/>
      <c r="K1896" s="1"/>
      <c r="L1896" s="1" t="s">
        <v>13995</v>
      </c>
      <c r="M1896" s="1" t="s">
        <v>3042</v>
      </c>
      <c r="N1896" s="1">
        <v>0</v>
      </c>
      <c r="O1896" s="1">
        <v>0</v>
      </c>
      <c r="P1896" s="1" t="s">
        <v>2475</v>
      </c>
      <c r="Q1896" s="1" t="s">
        <v>104</v>
      </c>
      <c r="R1896" s="1" t="s">
        <v>13996</v>
      </c>
      <c r="S1896" s="1" t="s">
        <v>13997</v>
      </c>
      <c r="T1896" s="1" t="s">
        <v>13306</v>
      </c>
      <c r="U1896" s="1" t="s">
        <v>13998</v>
      </c>
      <c r="V1896" s="1">
        <v>1</v>
      </c>
      <c r="W1896" s="1">
        <v>1</v>
      </c>
      <c r="X1896" s="1">
        <v>0</v>
      </c>
      <c r="Y1896" s="1">
        <v>0</v>
      </c>
      <c r="Z1896" s="1">
        <v>1</v>
      </c>
      <c r="AA1896" s="1" t="s">
        <v>109</v>
      </c>
      <c r="AB1896" s="1" t="s">
        <v>109</v>
      </c>
      <c r="AC1896" s="1">
        <v>4</v>
      </c>
      <c r="AD1896" s="1" t="s">
        <v>109</v>
      </c>
      <c r="AE1896" s="1" t="s">
        <v>109</v>
      </c>
      <c r="AF1896" s="1" t="s">
        <v>109</v>
      </c>
      <c r="AG1896" s="1" t="s">
        <v>109</v>
      </c>
      <c r="AH1896" s="1" t="s">
        <v>109</v>
      </c>
      <c r="AI1896" s="1" t="s">
        <v>109</v>
      </c>
      <c r="AJ1896" s="1">
        <v>4</v>
      </c>
      <c r="AK1896" s="1" t="s">
        <v>109</v>
      </c>
      <c r="AL1896" s="1">
        <v>4</v>
      </c>
      <c r="AM1896" s="1" t="s">
        <v>109</v>
      </c>
      <c r="AN1896" s="1" t="s">
        <v>109</v>
      </c>
      <c r="AO1896" s="1" t="s">
        <v>109</v>
      </c>
      <c r="AP1896" s="1"/>
      <c r="AQ1896" s="1">
        <v>4</v>
      </c>
      <c r="AR1896" s="1"/>
      <c r="AS1896" s="1" t="s">
        <v>13999</v>
      </c>
      <c r="AT1896" s="1">
        <v>0</v>
      </c>
      <c r="AU1896" s="1">
        <v>0</v>
      </c>
      <c r="AV1896" s="1">
        <v>0</v>
      </c>
      <c r="AW1896" s="1">
        <v>0</v>
      </c>
      <c r="AX1896" s="1">
        <v>0</v>
      </c>
      <c r="AY1896" s="1">
        <v>0</v>
      </c>
      <c r="AZ1896" s="1">
        <v>0</v>
      </c>
      <c r="BA1896" s="1">
        <v>0</v>
      </c>
      <c r="BB1896" s="1">
        <v>0</v>
      </c>
      <c r="BC1896" s="1">
        <v>0</v>
      </c>
      <c r="BD1896" s="1">
        <v>0</v>
      </c>
      <c r="BE1896" s="1">
        <v>0</v>
      </c>
      <c r="BF1896" s="1">
        <v>0</v>
      </c>
      <c r="BG1896" s="1">
        <v>0</v>
      </c>
      <c r="BH1896" s="1">
        <v>0</v>
      </c>
      <c r="BI1896" s="1">
        <v>0</v>
      </c>
      <c r="BJ1896" s="1">
        <v>1</v>
      </c>
      <c r="BK1896" s="1">
        <v>0</v>
      </c>
      <c r="BL1896" s="1">
        <v>0</v>
      </c>
      <c r="BM1896" s="1">
        <v>0</v>
      </c>
      <c r="BN1896" s="1">
        <v>0</v>
      </c>
      <c r="BO1896" s="1">
        <v>0</v>
      </c>
      <c r="BP1896" s="1">
        <v>0</v>
      </c>
      <c r="BQ1896" s="1">
        <v>0</v>
      </c>
      <c r="BR1896" s="1">
        <v>0</v>
      </c>
      <c r="BS1896" s="1" t="s">
        <v>109</v>
      </c>
      <c r="BT1896" s="1">
        <v>1970</v>
      </c>
      <c r="BU1896" s="1" t="s">
        <v>109</v>
      </c>
      <c r="BV1896" s="1"/>
      <c r="BW1896" s="1"/>
      <c r="BX1896" s="1"/>
      <c r="BY1896" s="1"/>
      <c r="BZ1896" s="1">
        <v>0</v>
      </c>
      <c r="CA1896" s="1" t="s">
        <v>109</v>
      </c>
      <c r="CB1896" s="1">
        <v>3</v>
      </c>
      <c r="CC1896" s="1">
        <v>4</v>
      </c>
      <c r="CD1896" s="1" t="s">
        <v>109</v>
      </c>
      <c r="CE1896" s="1" t="s">
        <v>109</v>
      </c>
      <c r="CF1896" s="1" t="s">
        <v>109</v>
      </c>
      <c r="CG1896" s="1">
        <v>4</v>
      </c>
      <c r="CH1896" s="1" t="s">
        <v>109</v>
      </c>
      <c r="CI1896" s="1" t="s">
        <v>109</v>
      </c>
      <c r="CJ1896" s="1" t="s">
        <v>109</v>
      </c>
      <c r="CK1896" s="1"/>
      <c r="CL1896" s="1">
        <v>0</v>
      </c>
      <c r="CM1896" s="1">
        <v>0</v>
      </c>
      <c r="CN1896" s="1">
        <v>0</v>
      </c>
    </row>
    <row r="1897" spans="1:92" ht="14.25" customHeight="1" x14ac:dyDescent="0.15">
      <c r="A1897" s="1" t="s">
        <v>14000</v>
      </c>
      <c r="B1897" s="1" t="s">
        <v>242</v>
      </c>
      <c r="C1897" s="1"/>
      <c r="D1897" s="1"/>
      <c r="E1897" s="1" t="s">
        <v>14001</v>
      </c>
      <c r="F1897" s="1" t="s">
        <v>98</v>
      </c>
      <c r="G1897" s="1" t="s">
        <v>141</v>
      </c>
      <c r="H1897" s="1">
        <v>0</v>
      </c>
      <c r="I1897" s="1" t="s">
        <v>122</v>
      </c>
      <c r="J1897" s="1"/>
      <c r="K1897" s="1"/>
      <c r="L1897" s="1" t="s">
        <v>1391</v>
      </c>
      <c r="M1897" s="1" t="s">
        <v>125</v>
      </c>
      <c r="N1897" s="1">
        <v>0</v>
      </c>
      <c r="O1897" s="1">
        <v>0</v>
      </c>
      <c r="P1897" s="1" t="s">
        <v>564</v>
      </c>
      <c r="Q1897" s="1" t="s">
        <v>268</v>
      </c>
      <c r="R1897" s="1" t="s">
        <v>14002</v>
      </c>
      <c r="S1897" s="1" t="s">
        <v>14003</v>
      </c>
      <c r="T1897" s="1" t="s">
        <v>13306</v>
      </c>
      <c r="U1897" s="1" t="s">
        <v>14004</v>
      </c>
      <c r="V1897" s="1">
        <v>1</v>
      </c>
      <c r="W1897" s="1">
        <v>1</v>
      </c>
      <c r="X1897" s="1">
        <v>0</v>
      </c>
      <c r="Y1897" s="1">
        <v>0</v>
      </c>
      <c r="Z1897" s="1">
        <v>0</v>
      </c>
      <c r="AA1897" s="1">
        <v>4</v>
      </c>
      <c r="AB1897" s="1">
        <v>4</v>
      </c>
      <c r="AC1897" s="1">
        <v>4</v>
      </c>
      <c r="AD1897" s="1" t="s">
        <v>109</v>
      </c>
      <c r="AE1897" s="1" t="s">
        <v>109</v>
      </c>
      <c r="AF1897" s="1" t="s">
        <v>109</v>
      </c>
      <c r="AG1897" s="1" t="s">
        <v>109</v>
      </c>
      <c r="AH1897" s="1" t="s">
        <v>109</v>
      </c>
      <c r="AI1897" s="1" t="s">
        <v>109</v>
      </c>
      <c r="AJ1897" s="1">
        <v>4</v>
      </c>
      <c r="AK1897" s="1" t="s">
        <v>109</v>
      </c>
      <c r="AL1897" s="1">
        <v>4</v>
      </c>
      <c r="AM1897" s="1" t="s">
        <v>109</v>
      </c>
      <c r="AN1897" s="1" t="s">
        <v>109</v>
      </c>
      <c r="AO1897" s="1" t="s">
        <v>109</v>
      </c>
      <c r="AP1897" s="1"/>
      <c r="AQ1897" s="1">
        <v>4</v>
      </c>
      <c r="AR1897" s="1"/>
      <c r="AS1897" s="1" t="s">
        <v>14005</v>
      </c>
      <c r="AT1897" s="1">
        <v>0</v>
      </c>
      <c r="AU1897" s="1">
        <v>0</v>
      </c>
      <c r="AV1897" s="1">
        <v>0</v>
      </c>
      <c r="AW1897" s="1">
        <v>0</v>
      </c>
      <c r="AX1897" s="1">
        <v>0</v>
      </c>
      <c r="AY1897" s="1">
        <v>0</v>
      </c>
      <c r="AZ1897" s="1">
        <v>0</v>
      </c>
      <c r="BA1897" s="1">
        <v>0</v>
      </c>
      <c r="BB1897" s="1">
        <v>0</v>
      </c>
      <c r="BC1897" s="1">
        <v>0</v>
      </c>
      <c r="BD1897" s="1">
        <v>0</v>
      </c>
      <c r="BE1897" s="1">
        <v>0</v>
      </c>
      <c r="BF1897" s="1">
        <v>0</v>
      </c>
      <c r="BG1897" s="1">
        <v>0</v>
      </c>
      <c r="BH1897" s="1">
        <v>0</v>
      </c>
      <c r="BI1897" s="1">
        <v>0</v>
      </c>
      <c r="BJ1897" s="1">
        <v>0</v>
      </c>
      <c r="BK1897" s="1">
        <v>0</v>
      </c>
      <c r="BL1897" s="1">
        <v>0</v>
      </c>
      <c r="BM1897" s="1">
        <v>0</v>
      </c>
      <c r="BN1897" s="1">
        <v>0</v>
      </c>
      <c r="BO1897" s="1">
        <v>0</v>
      </c>
      <c r="BP1897" s="1">
        <v>0</v>
      </c>
      <c r="BQ1897" s="1">
        <v>0</v>
      </c>
      <c r="BR1897" s="1">
        <v>0</v>
      </c>
      <c r="BS1897" s="1" t="s">
        <v>109</v>
      </c>
      <c r="BT1897" s="1">
        <v>1971</v>
      </c>
      <c r="BU1897" s="1" t="s">
        <v>109</v>
      </c>
      <c r="BV1897" s="1"/>
      <c r="BW1897" s="1"/>
      <c r="BX1897" s="1"/>
      <c r="BY1897" s="1"/>
      <c r="BZ1897" s="1">
        <v>0</v>
      </c>
      <c r="CA1897" s="1" t="s">
        <v>109</v>
      </c>
      <c r="CB1897" s="1" t="s">
        <v>109</v>
      </c>
      <c r="CC1897" s="1">
        <v>4</v>
      </c>
      <c r="CD1897" s="1" t="s">
        <v>109</v>
      </c>
      <c r="CE1897" s="1" t="s">
        <v>109</v>
      </c>
      <c r="CF1897" s="1" t="s">
        <v>109</v>
      </c>
      <c r="CG1897" s="1" t="s">
        <v>109</v>
      </c>
      <c r="CH1897" s="1" t="s">
        <v>109</v>
      </c>
      <c r="CI1897" s="1" t="s">
        <v>109</v>
      </c>
      <c r="CJ1897" s="1" t="s">
        <v>109</v>
      </c>
      <c r="CK1897" s="1"/>
      <c r="CL1897" s="1">
        <v>0</v>
      </c>
      <c r="CM1897" s="1">
        <v>0</v>
      </c>
      <c r="CN1897" s="1">
        <v>0</v>
      </c>
    </row>
    <row r="1898" spans="1:92" ht="14.25" customHeight="1" x14ac:dyDescent="0.15">
      <c r="A1898" s="1" t="s">
        <v>14006</v>
      </c>
      <c r="B1898" s="1" t="s">
        <v>242</v>
      </c>
      <c r="C1898" s="1"/>
      <c r="D1898" s="1"/>
      <c r="E1898" s="1" t="s">
        <v>12447</v>
      </c>
      <c r="F1898" s="1" t="s">
        <v>98</v>
      </c>
      <c r="G1898" s="1" t="s">
        <v>141</v>
      </c>
      <c r="H1898" s="1">
        <v>0</v>
      </c>
      <c r="I1898" s="1" t="s">
        <v>122</v>
      </c>
      <c r="J1898" s="1"/>
      <c r="K1898" s="1"/>
      <c r="L1898" s="1" t="s">
        <v>1391</v>
      </c>
      <c r="M1898" s="1" t="s">
        <v>125</v>
      </c>
      <c r="N1898" s="1">
        <v>0</v>
      </c>
      <c r="O1898" s="1">
        <v>0</v>
      </c>
      <c r="P1898" s="1" t="s">
        <v>564</v>
      </c>
      <c r="Q1898" s="1" t="s">
        <v>268</v>
      </c>
      <c r="R1898" s="1" t="s">
        <v>14007</v>
      </c>
      <c r="S1898" s="1" t="s">
        <v>14008</v>
      </c>
      <c r="T1898" s="1" t="s">
        <v>13306</v>
      </c>
      <c r="U1898" s="1" t="s">
        <v>14009</v>
      </c>
      <c r="V1898" s="1">
        <v>1</v>
      </c>
      <c r="W1898" s="1">
        <v>1</v>
      </c>
      <c r="X1898" s="1">
        <v>0</v>
      </c>
      <c r="Y1898" s="1">
        <v>0</v>
      </c>
      <c r="Z1898" s="1">
        <v>0</v>
      </c>
      <c r="AA1898" s="1">
        <v>8</v>
      </c>
      <c r="AB1898" s="1">
        <v>8</v>
      </c>
      <c r="AC1898" s="1">
        <v>8</v>
      </c>
      <c r="AD1898" s="1" t="s">
        <v>109</v>
      </c>
      <c r="AE1898" s="1" t="s">
        <v>109</v>
      </c>
      <c r="AF1898" s="1" t="s">
        <v>109</v>
      </c>
      <c r="AG1898" s="1" t="s">
        <v>109</v>
      </c>
      <c r="AH1898" s="1" t="s">
        <v>109</v>
      </c>
      <c r="AI1898" s="1" t="s">
        <v>109</v>
      </c>
      <c r="AJ1898" s="1">
        <v>8</v>
      </c>
      <c r="AK1898" s="1" t="s">
        <v>109</v>
      </c>
      <c r="AL1898" s="1">
        <v>8</v>
      </c>
      <c r="AM1898" s="1" t="s">
        <v>109</v>
      </c>
      <c r="AN1898" s="1" t="s">
        <v>109</v>
      </c>
      <c r="AO1898" s="1" t="s">
        <v>109</v>
      </c>
      <c r="AP1898" s="1"/>
      <c r="AQ1898" s="1">
        <v>8</v>
      </c>
      <c r="AR1898" s="1"/>
      <c r="AS1898" s="1" t="s">
        <v>14010</v>
      </c>
      <c r="AT1898" s="1">
        <v>0</v>
      </c>
      <c r="AU1898" s="1">
        <v>0</v>
      </c>
      <c r="AV1898" s="1">
        <v>0</v>
      </c>
      <c r="AW1898" s="1">
        <v>0</v>
      </c>
      <c r="AX1898" s="1">
        <v>0</v>
      </c>
      <c r="AY1898" s="1">
        <v>0</v>
      </c>
      <c r="AZ1898" s="1">
        <v>0</v>
      </c>
      <c r="BA1898" s="1">
        <v>0</v>
      </c>
      <c r="BB1898" s="1">
        <v>0</v>
      </c>
      <c r="BC1898" s="1">
        <v>0</v>
      </c>
      <c r="BD1898" s="1">
        <v>0</v>
      </c>
      <c r="BE1898" s="1">
        <v>0</v>
      </c>
      <c r="BF1898" s="1">
        <v>0</v>
      </c>
      <c r="BG1898" s="1">
        <v>0</v>
      </c>
      <c r="BH1898" s="1">
        <v>0</v>
      </c>
      <c r="BI1898" s="1">
        <v>0</v>
      </c>
      <c r="BJ1898" s="1">
        <v>0</v>
      </c>
      <c r="BK1898" s="1">
        <v>0</v>
      </c>
      <c r="BL1898" s="1">
        <v>0</v>
      </c>
      <c r="BM1898" s="1">
        <v>0</v>
      </c>
      <c r="BN1898" s="1">
        <v>0</v>
      </c>
      <c r="BO1898" s="1">
        <v>0</v>
      </c>
      <c r="BP1898" s="1">
        <v>0</v>
      </c>
      <c r="BQ1898" s="1">
        <v>0</v>
      </c>
      <c r="BR1898" s="1">
        <v>0</v>
      </c>
      <c r="BS1898" s="1" t="s">
        <v>109</v>
      </c>
      <c r="BT1898" s="1">
        <v>1972</v>
      </c>
      <c r="BU1898" s="1" t="s">
        <v>109</v>
      </c>
      <c r="BV1898" s="1"/>
      <c r="BW1898" s="1"/>
      <c r="BX1898" s="1"/>
      <c r="BY1898" s="1"/>
      <c r="BZ1898" s="1">
        <v>0</v>
      </c>
      <c r="CA1898" s="1" t="s">
        <v>109</v>
      </c>
      <c r="CB1898" s="1" t="s">
        <v>109</v>
      </c>
      <c r="CC1898" s="1" t="s">
        <v>109</v>
      </c>
      <c r="CD1898" s="1" t="s">
        <v>109</v>
      </c>
      <c r="CE1898" s="1" t="s">
        <v>109</v>
      </c>
      <c r="CF1898" s="1" t="s">
        <v>109</v>
      </c>
      <c r="CG1898" s="1" t="s">
        <v>109</v>
      </c>
      <c r="CH1898" s="1" t="s">
        <v>109</v>
      </c>
      <c r="CI1898" s="1" t="s">
        <v>109</v>
      </c>
      <c r="CJ1898" s="1" t="s">
        <v>109</v>
      </c>
      <c r="CK1898" s="1"/>
      <c r="CL1898" s="1">
        <v>0</v>
      </c>
      <c r="CM1898" s="1">
        <v>0</v>
      </c>
      <c r="CN1898" s="1">
        <v>0</v>
      </c>
    </row>
    <row r="1899" spans="1:92" ht="14.25" customHeight="1" x14ac:dyDescent="0.15">
      <c r="A1899" s="1" t="s">
        <v>14011</v>
      </c>
      <c r="B1899" s="1" t="s">
        <v>242</v>
      </c>
      <c r="C1899" s="1"/>
      <c r="D1899" s="1"/>
      <c r="E1899" s="1" t="s">
        <v>14012</v>
      </c>
      <c r="F1899" s="1" t="s">
        <v>98</v>
      </c>
      <c r="G1899" s="1" t="s">
        <v>141</v>
      </c>
      <c r="H1899" s="1">
        <v>0</v>
      </c>
      <c r="I1899" s="1" t="s">
        <v>122</v>
      </c>
      <c r="J1899" s="1"/>
      <c r="K1899" s="1"/>
      <c r="L1899" s="1" t="s">
        <v>1391</v>
      </c>
      <c r="M1899" s="1" t="s">
        <v>125</v>
      </c>
      <c r="N1899" s="1">
        <v>0</v>
      </c>
      <c r="O1899" s="1">
        <v>0</v>
      </c>
      <c r="P1899" s="1" t="s">
        <v>564</v>
      </c>
      <c r="Q1899" s="1" t="s">
        <v>268</v>
      </c>
      <c r="R1899" s="1" t="s">
        <v>14013</v>
      </c>
      <c r="S1899" s="1" t="s">
        <v>14014</v>
      </c>
      <c r="T1899" s="1" t="s">
        <v>13306</v>
      </c>
      <c r="U1899" s="1" t="s">
        <v>14015</v>
      </c>
      <c r="V1899" s="1">
        <v>1</v>
      </c>
      <c r="W1899" s="1">
        <v>1</v>
      </c>
      <c r="X1899" s="1">
        <v>0</v>
      </c>
      <c r="Y1899" s="1">
        <v>0</v>
      </c>
      <c r="Z1899" s="1">
        <v>0</v>
      </c>
      <c r="AA1899" s="1">
        <v>6</v>
      </c>
      <c r="AB1899" s="1">
        <v>6</v>
      </c>
      <c r="AC1899" s="1">
        <v>6</v>
      </c>
      <c r="AD1899" s="1" t="s">
        <v>109</v>
      </c>
      <c r="AE1899" s="1" t="s">
        <v>109</v>
      </c>
      <c r="AF1899" s="1" t="s">
        <v>109</v>
      </c>
      <c r="AG1899" s="1" t="s">
        <v>109</v>
      </c>
      <c r="AH1899" s="1" t="s">
        <v>109</v>
      </c>
      <c r="AI1899" s="1" t="s">
        <v>109</v>
      </c>
      <c r="AJ1899" s="1">
        <v>6</v>
      </c>
      <c r="AK1899" s="1" t="s">
        <v>109</v>
      </c>
      <c r="AL1899" s="1">
        <v>6</v>
      </c>
      <c r="AM1899" s="1" t="s">
        <v>109</v>
      </c>
      <c r="AN1899" s="1" t="s">
        <v>109</v>
      </c>
      <c r="AO1899" s="1" t="s">
        <v>109</v>
      </c>
      <c r="AP1899" s="1"/>
      <c r="AQ1899" s="1">
        <v>6</v>
      </c>
      <c r="AR1899" s="1"/>
      <c r="AS1899" s="1" t="s">
        <v>14016</v>
      </c>
      <c r="AT1899" s="1">
        <v>0</v>
      </c>
      <c r="AU1899" s="1">
        <v>0</v>
      </c>
      <c r="AV1899" s="1">
        <v>0</v>
      </c>
      <c r="AW1899" s="1">
        <v>0</v>
      </c>
      <c r="AX1899" s="1">
        <v>0</v>
      </c>
      <c r="AY1899" s="1">
        <v>0</v>
      </c>
      <c r="AZ1899" s="1">
        <v>0</v>
      </c>
      <c r="BA1899" s="1">
        <v>0</v>
      </c>
      <c r="BB1899" s="1">
        <v>0</v>
      </c>
      <c r="BC1899" s="1">
        <v>0</v>
      </c>
      <c r="BD1899" s="1">
        <v>0</v>
      </c>
      <c r="BE1899" s="1">
        <v>0</v>
      </c>
      <c r="BF1899" s="1">
        <v>0</v>
      </c>
      <c r="BG1899" s="1">
        <v>0</v>
      </c>
      <c r="BH1899" s="1">
        <v>0</v>
      </c>
      <c r="BI1899" s="1">
        <v>0</v>
      </c>
      <c r="BJ1899" s="1">
        <v>0</v>
      </c>
      <c r="BK1899" s="1">
        <v>0</v>
      </c>
      <c r="BL1899" s="1">
        <v>0</v>
      </c>
      <c r="BM1899" s="1">
        <v>0</v>
      </c>
      <c r="BN1899" s="1">
        <v>0</v>
      </c>
      <c r="BO1899" s="1">
        <v>0</v>
      </c>
      <c r="BP1899" s="1">
        <v>0</v>
      </c>
      <c r="BQ1899" s="1">
        <v>0</v>
      </c>
      <c r="BR1899" s="1">
        <v>0</v>
      </c>
      <c r="BS1899" s="1" t="s">
        <v>109</v>
      </c>
      <c r="BT1899" s="1">
        <v>1973</v>
      </c>
      <c r="BU1899" s="1" t="s">
        <v>109</v>
      </c>
      <c r="BV1899" s="1"/>
      <c r="BW1899" s="1"/>
      <c r="BX1899" s="1"/>
      <c r="BY1899" s="1"/>
      <c r="BZ1899" s="1">
        <v>0</v>
      </c>
      <c r="CA1899" s="1" t="s">
        <v>109</v>
      </c>
      <c r="CB1899" s="1" t="s">
        <v>109</v>
      </c>
      <c r="CC1899" s="1">
        <v>6</v>
      </c>
      <c r="CD1899" s="1" t="s">
        <v>109</v>
      </c>
      <c r="CE1899" s="1" t="s">
        <v>109</v>
      </c>
      <c r="CF1899" s="1" t="s">
        <v>109</v>
      </c>
      <c r="CG1899" s="1" t="s">
        <v>109</v>
      </c>
      <c r="CH1899" s="1" t="s">
        <v>109</v>
      </c>
      <c r="CI1899" s="1" t="s">
        <v>109</v>
      </c>
      <c r="CJ1899" s="1" t="s">
        <v>109</v>
      </c>
      <c r="CK1899" s="1"/>
      <c r="CL1899" s="1">
        <v>0</v>
      </c>
      <c r="CM1899" s="1">
        <v>0</v>
      </c>
      <c r="CN1899" s="1">
        <v>0</v>
      </c>
    </row>
    <row r="1900" spans="1:92" ht="14.25" customHeight="1" x14ac:dyDescent="0.15">
      <c r="A1900" s="1" t="s">
        <v>14017</v>
      </c>
      <c r="B1900" s="1" t="s">
        <v>189</v>
      </c>
      <c r="C1900" s="1"/>
      <c r="D1900" s="1"/>
      <c r="E1900" s="1" t="s">
        <v>14018</v>
      </c>
      <c r="F1900" s="1" t="s">
        <v>98</v>
      </c>
      <c r="G1900" s="1" t="s">
        <v>160</v>
      </c>
      <c r="H1900" s="1">
        <v>0</v>
      </c>
      <c r="I1900" s="1" t="s">
        <v>122</v>
      </c>
      <c r="J1900" s="1"/>
      <c r="K1900" s="1"/>
      <c r="L1900" s="1" t="s">
        <v>12310</v>
      </c>
      <c r="M1900" s="1" t="s">
        <v>3042</v>
      </c>
      <c r="N1900" s="1">
        <v>0</v>
      </c>
      <c r="O1900" s="1">
        <v>0</v>
      </c>
      <c r="P1900" s="1" t="s">
        <v>6066</v>
      </c>
      <c r="Q1900" s="1" t="s">
        <v>268</v>
      </c>
      <c r="R1900" s="1" t="s">
        <v>14019</v>
      </c>
      <c r="S1900" s="1" t="s">
        <v>14020</v>
      </c>
      <c r="T1900" s="1" t="s">
        <v>13306</v>
      </c>
      <c r="U1900" s="1" t="s">
        <v>14021</v>
      </c>
      <c r="V1900" s="1">
        <v>1</v>
      </c>
      <c r="W1900" s="1">
        <v>1</v>
      </c>
      <c r="X1900" s="1">
        <v>0</v>
      </c>
      <c r="Y1900" s="1">
        <v>0</v>
      </c>
      <c r="Z1900" s="1">
        <v>1</v>
      </c>
      <c r="AA1900" s="1" t="s">
        <v>109</v>
      </c>
      <c r="AB1900" s="1" t="s">
        <v>109</v>
      </c>
      <c r="AC1900" s="1" t="s">
        <v>109</v>
      </c>
      <c r="AD1900" s="1">
        <v>3</v>
      </c>
      <c r="AE1900" s="1">
        <v>3</v>
      </c>
      <c r="AF1900" s="1" t="s">
        <v>109</v>
      </c>
      <c r="AG1900" s="1" t="s">
        <v>109</v>
      </c>
      <c r="AH1900" s="1" t="s">
        <v>109</v>
      </c>
      <c r="AI1900" s="1" t="s">
        <v>109</v>
      </c>
      <c r="AJ1900" s="1" t="s">
        <v>109</v>
      </c>
      <c r="AK1900" s="1" t="s">
        <v>109</v>
      </c>
      <c r="AL1900" s="1" t="s">
        <v>109</v>
      </c>
      <c r="AM1900" s="1" t="s">
        <v>109</v>
      </c>
      <c r="AN1900" s="1" t="s">
        <v>109</v>
      </c>
      <c r="AO1900" s="1" t="s">
        <v>109</v>
      </c>
      <c r="AP1900" s="1"/>
      <c r="AQ1900" s="1">
        <v>3</v>
      </c>
      <c r="AR1900" s="1"/>
      <c r="AS1900" s="1" t="s">
        <v>14022</v>
      </c>
      <c r="AT1900" s="1">
        <v>0</v>
      </c>
      <c r="AU1900" s="1">
        <v>0</v>
      </c>
      <c r="AV1900" s="1">
        <v>0</v>
      </c>
      <c r="AW1900" s="1">
        <v>0</v>
      </c>
      <c r="AX1900" s="1">
        <v>0</v>
      </c>
      <c r="AY1900" s="1">
        <v>0</v>
      </c>
      <c r="AZ1900" s="1">
        <v>0</v>
      </c>
      <c r="BA1900" s="1">
        <v>0</v>
      </c>
      <c r="BB1900" s="1">
        <v>0</v>
      </c>
      <c r="BC1900" s="1">
        <v>0</v>
      </c>
      <c r="BD1900" s="1">
        <v>0</v>
      </c>
      <c r="BE1900" s="1">
        <v>0</v>
      </c>
      <c r="BF1900" s="1">
        <v>0</v>
      </c>
      <c r="BG1900" s="1">
        <v>0</v>
      </c>
      <c r="BH1900" s="1">
        <v>0</v>
      </c>
      <c r="BI1900" s="1">
        <v>0</v>
      </c>
      <c r="BJ1900" s="1">
        <v>0</v>
      </c>
      <c r="BK1900" s="1">
        <v>0</v>
      </c>
      <c r="BL1900" s="1">
        <v>0</v>
      </c>
      <c r="BM1900" s="1">
        <v>0</v>
      </c>
      <c r="BN1900" s="1">
        <v>0</v>
      </c>
      <c r="BO1900" s="1">
        <v>0</v>
      </c>
      <c r="BP1900" s="1">
        <v>0</v>
      </c>
      <c r="BQ1900" s="1">
        <v>0</v>
      </c>
      <c r="BR1900" s="1">
        <v>0</v>
      </c>
      <c r="BS1900" s="1" t="s">
        <v>109</v>
      </c>
      <c r="BT1900" s="1">
        <v>1974</v>
      </c>
      <c r="BU1900" s="1" t="s">
        <v>109</v>
      </c>
      <c r="BV1900" s="1"/>
      <c r="BW1900" s="1"/>
      <c r="BX1900" s="1"/>
      <c r="BY1900" s="1"/>
      <c r="BZ1900" s="1">
        <v>0</v>
      </c>
      <c r="CA1900" s="1" t="s">
        <v>109</v>
      </c>
      <c r="CB1900" s="1">
        <v>3</v>
      </c>
      <c r="CC1900" s="1" t="s">
        <v>109</v>
      </c>
      <c r="CD1900" s="1" t="s">
        <v>109</v>
      </c>
      <c r="CE1900" s="1" t="s">
        <v>109</v>
      </c>
      <c r="CF1900" s="1" t="s">
        <v>109</v>
      </c>
      <c r="CG1900" s="1" t="s">
        <v>109</v>
      </c>
      <c r="CH1900" s="1" t="s">
        <v>109</v>
      </c>
      <c r="CI1900" s="1" t="s">
        <v>109</v>
      </c>
      <c r="CJ1900" s="1">
        <v>3</v>
      </c>
      <c r="CK1900" s="1"/>
      <c r="CL1900" s="1">
        <v>0</v>
      </c>
      <c r="CM1900" s="1">
        <v>0</v>
      </c>
      <c r="CN1900" s="1">
        <v>0</v>
      </c>
    </row>
    <row r="1901" spans="1:92" ht="14.25" customHeight="1" x14ac:dyDescent="0.15">
      <c r="A1901" s="1" t="s">
        <v>14023</v>
      </c>
      <c r="B1901" s="1" t="s">
        <v>95</v>
      </c>
      <c r="C1901" s="1" t="s">
        <v>96</v>
      </c>
      <c r="D1901" s="1" t="s">
        <v>54</v>
      </c>
      <c r="E1901" s="1" t="s">
        <v>14024</v>
      </c>
      <c r="F1901" s="1" t="s">
        <v>98</v>
      </c>
      <c r="G1901" s="1" t="s">
        <v>14025</v>
      </c>
      <c r="H1901" s="1">
        <v>0</v>
      </c>
      <c r="I1901" s="1" t="s">
        <v>142</v>
      </c>
      <c r="J1901" s="1"/>
      <c r="K1901" s="1" t="s">
        <v>14026</v>
      </c>
      <c r="L1901" s="1"/>
      <c r="M1901" s="1" t="s">
        <v>5528</v>
      </c>
      <c r="N1901" s="1">
        <v>0</v>
      </c>
      <c r="O1901" s="1">
        <v>0</v>
      </c>
      <c r="P1901" s="1" t="s">
        <v>103</v>
      </c>
      <c r="Q1901" s="1" t="s">
        <v>104</v>
      </c>
      <c r="R1901" s="1" t="s">
        <v>14027</v>
      </c>
      <c r="S1901" s="1" t="s">
        <v>14028</v>
      </c>
      <c r="T1901" s="1" t="s">
        <v>13306</v>
      </c>
      <c r="U1901" s="1" t="s">
        <v>14029</v>
      </c>
      <c r="V1901" s="1">
        <v>1</v>
      </c>
      <c r="W1901" s="1">
        <v>1</v>
      </c>
      <c r="X1901" s="1">
        <v>1</v>
      </c>
      <c r="Y1901" s="1">
        <v>0</v>
      </c>
      <c r="Z1901" s="1">
        <v>0</v>
      </c>
      <c r="AA1901" s="1">
        <v>2</v>
      </c>
      <c r="AB1901" s="1">
        <v>2</v>
      </c>
      <c r="AC1901" s="1" t="s">
        <v>109</v>
      </c>
      <c r="AD1901" s="1">
        <v>2</v>
      </c>
      <c r="AE1901" s="1" t="s">
        <v>109</v>
      </c>
      <c r="AF1901" s="1" t="s">
        <v>109</v>
      </c>
      <c r="AG1901" s="1" t="s">
        <v>109</v>
      </c>
      <c r="AH1901" s="1" t="s">
        <v>109</v>
      </c>
      <c r="AI1901" s="1" t="s">
        <v>109</v>
      </c>
      <c r="AJ1901" s="1">
        <v>2</v>
      </c>
      <c r="AK1901" s="1" t="s">
        <v>109</v>
      </c>
      <c r="AL1901" s="1" t="s">
        <v>109</v>
      </c>
      <c r="AM1901" s="1" t="s">
        <v>109</v>
      </c>
      <c r="AN1901" s="1">
        <v>2</v>
      </c>
      <c r="AO1901" s="1" t="s">
        <v>109</v>
      </c>
      <c r="AP1901" s="1"/>
      <c r="AQ1901" s="1">
        <v>2</v>
      </c>
      <c r="AR1901" s="1"/>
      <c r="AS1901" s="1" t="s">
        <v>14030</v>
      </c>
      <c r="AT1901" s="1">
        <v>0</v>
      </c>
      <c r="AU1901" s="1">
        <v>0</v>
      </c>
      <c r="AV1901" s="1">
        <v>0</v>
      </c>
      <c r="AW1901" s="1">
        <v>0</v>
      </c>
      <c r="AX1901" s="1">
        <v>0</v>
      </c>
      <c r="AY1901" s="1">
        <v>0</v>
      </c>
      <c r="AZ1901" s="1">
        <v>0</v>
      </c>
      <c r="BA1901" s="1">
        <v>0</v>
      </c>
      <c r="BB1901" s="1">
        <v>1</v>
      </c>
      <c r="BC1901" s="1">
        <v>0</v>
      </c>
      <c r="BD1901" s="1">
        <v>0</v>
      </c>
      <c r="BE1901" s="1">
        <v>0</v>
      </c>
      <c r="BF1901" s="1">
        <v>0</v>
      </c>
      <c r="BG1901" s="1">
        <v>0</v>
      </c>
      <c r="BH1901" s="1">
        <v>0</v>
      </c>
      <c r="BI1901" s="1">
        <v>0</v>
      </c>
      <c r="BJ1901" s="1">
        <v>0</v>
      </c>
      <c r="BK1901" s="1">
        <v>0</v>
      </c>
      <c r="BL1901" s="1">
        <v>0</v>
      </c>
      <c r="BM1901" s="1">
        <v>0</v>
      </c>
      <c r="BN1901" s="1">
        <v>0</v>
      </c>
      <c r="BO1901" s="1">
        <v>0</v>
      </c>
      <c r="BP1901" s="1">
        <v>0</v>
      </c>
      <c r="BQ1901" s="1">
        <v>0</v>
      </c>
      <c r="BR1901" s="1">
        <v>0</v>
      </c>
      <c r="BS1901" s="1" t="s">
        <v>109</v>
      </c>
      <c r="BT1901" s="1">
        <v>1975</v>
      </c>
      <c r="BU1901" s="1" t="s">
        <v>109</v>
      </c>
      <c r="BV1901" s="1"/>
      <c r="BW1901" s="1"/>
      <c r="BX1901" s="1"/>
      <c r="BY1901" s="1"/>
      <c r="BZ1901" s="1">
        <v>0</v>
      </c>
      <c r="CA1901" s="1">
        <v>2</v>
      </c>
      <c r="CB1901" s="1" t="s">
        <v>109</v>
      </c>
      <c r="CC1901" s="1" t="s">
        <v>109</v>
      </c>
      <c r="CD1901" s="1" t="s">
        <v>109</v>
      </c>
      <c r="CE1901" s="1" t="s">
        <v>109</v>
      </c>
      <c r="CF1901" s="1" t="s">
        <v>109</v>
      </c>
      <c r="CG1901" s="1" t="s">
        <v>109</v>
      </c>
      <c r="CH1901" s="1" t="s">
        <v>109</v>
      </c>
      <c r="CI1901" s="1" t="s">
        <v>109</v>
      </c>
      <c r="CJ1901" s="1">
        <v>2</v>
      </c>
      <c r="CK1901" s="1"/>
      <c r="CL1901" s="1">
        <v>0</v>
      </c>
      <c r="CM1901" s="1">
        <v>0</v>
      </c>
      <c r="CN1901" s="1">
        <v>0</v>
      </c>
    </row>
    <row r="1902" spans="1:92" ht="14.25" customHeight="1" x14ac:dyDescent="0.15">
      <c r="A1902" s="1" t="s">
        <v>14031</v>
      </c>
      <c r="B1902" s="1" t="s">
        <v>308</v>
      </c>
      <c r="C1902" s="1"/>
      <c r="D1902" s="1" t="s">
        <v>52</v>
      </c>
      <c r="E1902" s="1" t="s">
        <v>14032</v>
      </c>
      <c r="F1902" s="1" t="s">
        <v>98</v>
      </c>
      <c r="G1902" s="1" t="s">
        <v>141</v>
      </c>
      <c r="H1902" s="1">
        <v>0</v>
      </c>
      <c r="I1902" s="1" t="s">
        <v>161</v>
      </c>
      <c r="J1902" s="1"/>
      <c r="K1902" s="1"/>
      <c r="L1902" s="1" t="s">
        <v>506</v>
      </c>
      <c r="M1902" s="1" t="s">
        <v>144</v>
      </c>
      <c r="N1902" s="1">
        <v>0</v>
      </c>
      <c r="O1902" s="1">
        <v>0</v>
      </c>
      <c r="P1902" s="1" t="s">
        <v>103</v>
      </c>
      <c r="Q1902" s="1" t="s">
        <v>268</v>
      </c>
      <c r="R1902" s="1" t="s">
        <v>14033</v>
      </c>
      <c r="S1902" s="1" t="s">
        <v>14034</v>
      </c>
      <c r="T1902" s="1" t="s">
        <v>13306</v>
      </c>
      <c r="U1902" s="1" t="s">
        <v>14035</v>
      </c>
      <c r="V1902" s="1">
        <v>1</v>
      </c>
      <c r="W1902" s="1">
        <v>1</v>
      </c>
      <c r="X1902" s="1">
        <v>0</v>
      </c>
      <c r="Y1902" s="1">
        <v>0</v>
      </c>
      <c r="Z1902" s="1">
        <v>0</v>
      </c>
      <c r="AA1902" s="1">
        <v>2</v>
      </c>
      <c r="AB1902" s="1">
        <v>2</v>
      </c>
      <c r="AC1902" s="1" t="s">
        <v>109</v>
      </c>
      <c r="AD1902" s="1" t="s">
        <v>109</v>
      </c>
      <c r="AE1902" s="1" t="s">
        <v>109</v>
      </c>
      <c r="AF1902" s="1" t="s">
        <v>109</v>
      </c>
      <c r="AG1902" s="1" t="s">
        <v>109</v>
      </c>
      <c r="AH1902" s="1" t="s">
        <v>109</v>
      </c>
      <c r="AI1902" s="1" t="s">
        <v>109</v>
      </c>
      <c r="AJ1902" s="1">
        <v>2</v>
      </c>
      <c r="AK1902" s="1">
        <v>2</v>
      </c>
      <c r="AL1902" s="1" t="s">
        <v>109</v>
      </c>
      <c r="AM1902" s="1" t="s">
        <v>109</v>
      </c>
      <c r="AN1902" s="1" t="s">
        <v>109</v>
      </c>
      <c r="AO1902" s="1" t="s">
        <v>109</v>
      </c>
      <c r="AP1902" s="1"/>
      <c r="AQ1902" s="1">
        <v>2</v>
      </c>
      <c r="AR1902" s="1"/>
      <c r="AS1902" s="1" t="s">
        <v>14036</v>
      </c>
      <c r="AT1902" s="1">
        <v>0</v>
      </c>
      <c r="AU1902" s="1">
        <v>0</v>
      </c>
      <c r="AV1902" s="1">
        <v>0</v>
      </c>
      <c r="AW1902" s="1">
        <v>0</v>
      </c>
      <c r="AX1902" s="1">
        <v>0</v>
      </c>
      <c r="AY1902" s="1">
        <v>0</v>
      </c>
      <c r="AZ1902" s="1">
        <v>1</v>
      </c>
      <c r="BA1902" s="1">
        <v>0</v>
      </c>
      <c r="BB1902" s="1">
        <v>0</v>
      </c>
      <c r="BC1902" s="1">
        <v>0</v>
      </c>
      <c r="BD1902" s="1">
        <v>0</v>
      </c>
      <c r="BE1902" s="1">
        <v>0</v>
      </c>
      <c r="BF1902" s="1">
        <v>0</v>
      </c>
      <c r="BG1902" s="1">
        <v>0</v>
      </c>
      <c r="BH1902" s="1">
        <v>0</v>
      </c>
      <c r="BI1902" s="1">
        <v>0</v>
      </c>
      <c r="BJ1902" s="1">
        <v>0</v>
      </c>
      <c r="BK1902" s="1">
        <v>0</v>
      </c>
      <c r="BL1902" s="1">
        <v>0</v>
      </c>
      <c r="BM1902" s="1">
        <v>0</v>
      </c>
      <c r="BN1902" s="1">
        <v>0</v>
      </c>
      <c r="BO1902" s="1">
        <v>0</v>
      </c>
      <c r="BP1902" s="1">
        <v>0</v>
      </c>
      <c r="BQ1902" s="1">
        <v>0</v>
      </c>
      <c r="BR1902" s="1">
        <v>0</v>
      </c>
      <c r="BS1902" s="1" t="s">
        <v>109</v>
      </c>
      <c r="BT1902" s="1">
        <v>1976</v>
      </c>
      <c r="BU1902" s="1" t="s">
        <v>109</v>
      </c>
      <c r="BV1902" s="1"/>
      <c r="BW1902" s="1"/>
      <c r="BX1902" s="1"/>
      <c r="BY1902" s="1"/>
      <c r="BZ1902" s="1">
        <v>0</v>
      </c>
      <c r="CA1902" s="1" t="s">
        <v>109</v>
      </c>
      <c r="CB1902" s="1">
        <v>3</v>
      </c>
      <c r="CC1902" s="1">
        <v>2</v>
      </c>
      <c r="CD1902" s="1" t="s">
        <v>109</v>
      </c>
      <c r="CE1902" s="1">
        <v>2</v>
      </c>
      <c r="CF1902" s="1" t="s">
        <v>109</v>
      </c>
      <c r="CG1902" s="1">
        <v>2</v>
      </c>
      <c r="CH1902" s="1" t="s">
        <v>109</v>
      </c>
      <c r="CI1902" s="1" t="s">
        <v>109</v>
      </c>
      <c r="CJ1902" s="1" t="s">
        <v>109</v>
      </c>
      <c r="CK1902" s="1"/>
      <c r="CL1902" s="1">
        <v>0</v>
      </c>
      <c r="CM1902" s="1">
        <v>0</v>
      </c>
      <c r="CN1902" s="1">
        <v>0</v>
      </c>
    </row>
    <row r="1903" spans="1:92" ht="14.25" customHeight="1" x14ac:dyDescent="0.15">
      <c r="A1903" s="1" t="s">
        <v>14037</v>
      </c>
      <c r="B1903" s="1" t="s">
        <v>242</v>
      </c>
      <c r="C1903" s="1"/>
      <c r="D1903" s="1"/>
      <c r="E1903" s="1" t="s">
        <v>14038</v>
      </c>
      <c r="F1903" s="1" t="s">
        <v>98</v>
      </c>
      <c r="G1903" s="1" t="s">
        <v>141</v>
      </c>
      <c r="H1903" s="1">
        <v>0</v>
      </c>
      <c r="I1903" s="1" t="s">
        <v>235</v>
      </c>
      <c r="J1903" s="1"/>
      <c r="K1903" s="1"/>
      <c r="L1903" s="1" t="s">
        <v>236</v>
      </c>
      <c r="M1903" s="1" t="s">
        <v>6798</v>
      </c>
      <c r="N1903" s="1">
        <v>0</v>
      </c>
      <c r="O1903" s="1">
        <v>0</v>
      </c>
      <c r="P1903" s="1" t="s">
        <v>13771</v>
      </c>
      <c r="Q1903" s="1" t="s">
        <v>13772</v>
      </c>
      <c r="R1903" s="1" t="s">
        <v>14039</v>
      </c>
      <c r="S1903" s="1" t="s">
        <v>14040</v>
      </c>
      <c r="T1903" s="1" t="s">
        <v>13306</v>
      </c>
      <c r="U1903" s="1" t="s">
        <v>14041</v>
      </c>
      <c r="V1903" s="1">
        <v>1</v>
      </c>
      <c r="W1903" s="1">
        <v>1</v>
      </c>
      <c r="X1903" s="1">
        <v>0</v>
      </c>
      <c r="Y1903" s="1">
        <v>0</v>
      </c>
      <c r="Z1903" s="1">
        <v>0</v>
      </c>
      <c r="AA1903" s="1">
        <v>1</v>
      </c>
      <c r="AB1903" s="1">
        <v>1</v>
      </c>
      <c r="AC1903" s="1">
        <v>1</v>
      </c>
      <c r="AD1903" s="1" t="s">
        <v>109</v>
      </c>
      <c r="AE1903" s="1" t="s">
        <v>109</v>
      </c>
      <c r="AF1903" s="1" t="s">
        <v>109</v>
      </c>
      <c r="AG1903" s="1">
        <v>1</v>
      </c>
      <c r="AH1903" s="1" t="s">
        <v>109</v>
      </c>
      <c r="AI1903" s="1" t="s">
        <v>109</v>
      </c>
      <c r="AJ1903" s="1" t="s">
        <v>109</v>
      </c>
      <c r="AK1903" s="1">
        <v>1</v>
      </c>
      <c r="AL1903" s="1">
        <v>1</v>
      </c>
      <c r="AM1903" s="1" t="s">
        <v>109</v>
      </c>
      <c r="AN1903" s="1" t="s">
        <v>109</v>
      </c>
      <c r="AO1903" s="1" t="s">
        <v>109</v>
      </c>
      <c r="AP1903" s="1"/>
      <c r="AQ1903" s="1">
        <v>1</v>
      </c>
      <c r="AR1903" s="1"/>
      <c r="AS1903" s="1" t="s">
        <v>14042</v>
      </c>
      <c r="AT1903" s="1">
        <v>0</v>
      </c>
      <c r="AU1903" s="1">
        <v>0</v>
      </c>
      <c r="AV1903" s="1">
        <v>0</v>
      </c>
      <c r="AW1903" s="1">
        <v>0</v>
      </c>
      <c r="AX1903" s="1">
        <v>0</v>
      </c>
      <c r="AY1903" s="1">
        <v>0</v>
      </c>
      <c r="AZ1903" s="1">
        <v>0</v>
      </c>
      <c r="BA1903" s="1">
        <v>0</v>
      </c>
      <c r="BB1903" s="1">
        <v>0</v>
      </c>
      <c r="BC1903" s="1">
        <v>0</v>
      </c>
      <c r="BD1903" s="1">
        <v>0</v>
      </c>
      <c r="BE1903" s="1">
        <v>0</v>
      </c>
      <c r="BF1903" s="1">
        <v>0</v>
      </c>
      <c r="BG1903" s="1">
        <v>0</v>
      </c>
      <c r="BH1903" s="1">
        <v>0</v>
      </c>
      <c r="BI1903" s="1">
        <v>0</v>
      </c>
      <c r="BJ1903" s="1">
        <v>0</v>
      </c>
      <c r="BK1903" s="1">
        <v>0</v>
      </c>
      <c r="BL1903" s="1">
        <v>0</v>
      </c>
      <c r="BM1903" s="1">
        <v>0</v>
      </c>
      <c r="BN1903" s="1">
        <v>0</v>
      </c>
      <c r="BO1903" s="1">
        <v>0</v>
      </c>
      <c r="BP1903" s="1">
        <v>0</v>
      </c>
      <c r="BQ1903" s="1">
        <v>0</v>
      </c>
      <c r="BR1903" s="1">
        <v>0</v>
      </c>
      <c r="BS1903" s="1" t="s">
        <v>109</v>
      </c>
      <c r="BT1903" s="1">
        <v>1977</v>
      </c>
      <c r="BU1903" s="1" t="s">
        <v>109</v>
      </c>
      <c r="BV1903" s="1"/>
      <c r="BW1903" s="1"/>
      <c r="BX1903" s="1"/>
      <c r="BY1903" s="1"/>
      <c r="BZ1903" s="1">
        <v>0</v>
      </c>
      <c r="CA1903" s="1" t="s">
        <v>109</v>
      </c>
      <c r="CB1903" s="1" t="s">
        <v>109</v>
      </c>
      <c r="CC1903" s="1">
        <v>1</v>
      </c>
      <c r="CD1903" s="1" t="s">
        <v>109</v>
      </c>
      <c r="CE1903" s="1" t="s">
        <v>109</v>
      </c>
      <c r="CF1903" s="1" t="s">
        <v>109</v>
      </c>
      <c r="CG1903" s="1" t="s">
        <v>109</v>
      </c>
      <c r="CH1903" s="1" t="s">
        <v>109</v>
      </c>
      <c r="CI1903" s="1" t="s">
        <v>109</v>
      </c>
      <c r="CJ1903" s="1" t="s">
        <v>109</v>
      </c>
      <c r="CK1903" s="1"/>
      <c r="CL1903" s="1">
        <v>0</v>
      </c>
      <c r="CM1903" s="1">
        <v>0</v>
      </c>
      <c r="CN1903" s="1">
        <v>0</v>
      </c>
    </row>
    <row r="1904" spans="1:92" ht="14.25" customHeight="1" x14ac:dyDescent="0.15">
      <c r="A1904" s="1" t="s">
        <v>14043</v>
      </c>
      <c r="B1904" s="1" t="s">
        <v>242</v>
      </c>
      <c r="C1904" s="1"/>
      <c r="D1904" s="1"/>
      <c r="E1904" s="1" t="s">
        <v>14044</v>
      </c>
      <c r="F1904" s="1" t="s">
        <v>98</v>
      </c>
      <c r="G1904" s="1" t="s">
        <v>141</v>
      </c>
      <c r="H1904" s="1">
        <v>0</v>
      </c>
      <c r="I1904" s="1" t="s">
        <v>235</v>
      </c>
      <c r="J1904" s="1"/>
      <c r="K1904" s="1"/>
      <c r="L1904" s="1" t="s">
        <v>236</v>
      </c>
      <c r="M1904" s="1" t="s">
        <v>6798</v>
      </c>
      <c r="N1904" s="1">
        <v>0</v>
      </c>
      <c r="O1904" s="1">
        <v>0</v>
      </c>
      <c r="P1904" s="1" t="s">
        <v>13771</v>
      </c>
      <c r="Q1904" s="1" t="s">
        <v>13772</v>
      </c>
      <c r="R1904" s="1" t="s">
        <v>14045</v>
      </c>
      <c r="S1904" s="1" t="s">
        <v>14046</v>
      </c>
      <c r="T1904" s="1" t="s">
        <v>13306</v>
      </c>
      <c r="U1904" s="1" t="s">
        <v>14047</v>
      </c>
      <c r="V1904" s="1">
        <v>1</v>
      </c>
      <c r="W1904" s="1">
        <v>1</v>
      </c>
      <c r="X1904" s="1">
        <v>0</v>
      </c>
      <c r="Y1904" s="1">
        <v>0</v>
      </c>
      <c r="Z1904" s="1">
        <v>0</v>
      </c>
      <c r="AA1904" s="1">
        <v>3</v>
      </c>
      <c r="AB1904" s="1">
        <v>3</v>
      </c>
      <c r="AC1904" s="1">
        <v>3</v>
      </c>
      <c r="AD1904" s="1" t="s">
        <v>109</v>
      </c>
      <c r="AE1904" s="1" t="s">
        <v>109</v>
      </c>
      <c r="AF1904" s="1" t="s">
        <v>109</v>
      </c>
      <c r="AG1904" s="1">
        <v>3</v>
      </c>
      <c r="AH1904" s="1" t="s">
        <v>109</v>
      </c>
      <c r="AI1904" s="1" t="s">
        <v>109</v>
      </c>
      <c r="AJ1904" s="1" t="s">
        <v>109</v>
      </c>
      <c r="AK1904" s="1">
        <v>3</v>
      </c>
      <c r="AL1904" s="1">
        <v>3</v>
      </c>
      <c r="AM1904" s="1" t="s">
        <v>109</v>
      </c>
      <c r="AN1904" s="1" t="s">
        <v>109</v>
      </c>
      <c r="AO1904" s="1" t="s">
        <v>109</v>
      </c>
      <c r="AP1904" s="1"/>
      <c r="AQ1904" s="1">
        <v>3</v>
      </c>
      <c r="AR1904" s="1"/>
      <c r="AS1904" s="1" t="s">
        <v>14048</v>
      </c>
      <c r="AT1904" s="1">
        <v>0</v>
      </c>
      <c r="AU1904" s="1">
        <v>0</v>
      </c>
      <c r="AV1904" s="1">
        <v>0</v>
      </c>
      <c r="AW1904" s="1">
        <v>0</v>
      </c>
      <c r="AX1904" s="1">
        <v>0</v>
      </c>
      <c r="AY1904" s="1">
        <v>0</v>
      </c>
      <c r="AZ1904" s="1">
        <v>0</v>
      </c>
      <c r="BA1904" s="1">
        <v>0</v>
      </c>
      <c r="BB1904" s="1">
        <v>0</v>
      </c>
      <c r="BC1904" s="1">
        <v>0</v>
      </c>
      <c r="BD1904" s="1">
        <v>0</v>
      </c>
      <c r="BE1904" s="1">
        <v>0</v>
      </c>
      <c r="BF1904" s="1">
        <v>0</v>
      </c>
      <c r="BG1904" s="1">
        <v>0</v>
      </c>
      <c r="BH1904" s="1">
        <v>0</v>
      </c>
      <c r="BI1904" s="1">
        <v>0</v>
      </c>
      <c r="BJ1904" s="1">
        <v>0</v>
      </c>
      <c r="BK1904" s="1">
        <v>0</v>
      </c>
      <c r="BL1904" s="1">
        <v>0</v>
      </c>
      <c r="BM1904" s="1">
        <v>0</v>
      </c>
      <c r="BN1904" s="1">
        <v>0</v>
      </c>
      <c r="BO1904" s="1">
        <v>0</v>
      </c>
      <c r="BP1904" s="1">
        <v>0</v>
      </c>
      <c r="BQ1904" s="1">
        <v>0</v>
      </c>
      <c r="BR1904" s="1">
        <v>0</v>
      </c>
      <c r="BS1904" s="1" t="s">
        <v>109</v>
      </c>
      <c r="BT1904" s="1">
        <v>1978</v>
      </c>
      <c r="BU1904" s="1" t="s">
        <v>109</v>
      </c>
      <c r="BV1904" s="1"/>
      <c r="BW1904" s="1"/>
      <c r="BX1904" s="1"/>
      <c r="BY1904" s="1"/>
      <c r="BZ1904" s="1">
        <v>0</v>
      </c>
      <c r="CA1904" s="1" t="s">
        <v>109</v>
      </c>
      <c r="CB1904" s="1" t="s">
        <v>109</v>
      </c>
      <c r="CC1904" s="1">
        <v>3</v>
      </c>
      <c r="CD1904" s="1" t="s">
        <v>109</v>
      </c>
      <c r="CE1904" s="1" t="s">
        <v>109</v>
      </c>
      <c r="CF1904" s="1" t="s">
        <v>109</v>
      </c>
      <c r="CG1904" s="1" t="s">
        <v>109</v>
      </c>
      <c r="CH1904" s="1" t="s">
        <v>109</v>
      </c>
      <c r="CI1904" s="1" t="s">
        <v>109</v>
      </c>
      <c r="CJ1904" s="1" t="s">
        <v>109</v>
      </c>
      <c r="CK1904" s="1"/>
      <c r="CL1904" s="1">
        <v>0</v>
      </c>
      <c r="CM1904" s="1">
        <v>0</v>
      </c>
      <c r="CN1904" s="1">
        <v>0</v>
      </c>
    </row>
    <row r="1905" spans="1:92" ht="14.25" customHeight="1" x14ac:dyDescent="0.15">
      <c r="A1905" s="1" t="s">
        <v>14049</v>
      </c>
      <c r="B1905" s="1" t="s">
        <v>242</v>
      </c>
      <c r="C1905" s="1"/>
      <c r="D1905" s="1" t="s">
        <v>60</v>
      </c>
      <c r="E1905" s="1" t="s">
        <v>14050</v>
      </c>
      <c r="F1905" s="1" t="s">
        <v>98</v>
      </c>
      <c r="G1905" s="1" t="s">
        <v>141</v>
      </c>
      <c r="H1905" s="1">
        <v>0</v>
      </c>
      <c r="I1905" s="1" t="s">
        <v>161</v>
      </c>
      <c r="J1905" s="1"/>
      <c r="K1905" s="1"/>
      <c r="L1905" s="1" t="s">
        <v>506</v>
      </c>
      <c r="M1905" s="1" t="s">
        <v>13523</v>
      </c>
      <c r="N1905" s="1">
        <v>1</v>
      </c>
      <c r="O1905" s="1">
        <v>0</v>
      </c>
      <c r="P1905" s="1" t="s">
        <v>14051</v>
      </c>
      <c r="Q1905" s="1" t="s">
        <v>14052</v>
      </c>
      <c r="R1905" s="1" t="s">
        <v>14053</v>
      </c>
      <c r="S1905" s="1" t="s">
        <v>14054</v>
      </c>
      <c r="T1905" s="1" t="s">
        <v>13306</v>
      </c>
      <c r="U1905" s="1" t="s">
        <v>14055</v>
      </c>
      <c r="V1905" s="1">
        <v>1</v>
      </c>
      <c r="W1905" s="1">
        <v>1</v>
      </c>
      <c r="X1905" s="1">
        <v>0</v>
      </c>
      <c r="Y1905" s="1">
        <v>0</v>
      </c>
      <c r="Z1905" s="1">
        <v>0</v>
      </c>
      <c r="AA1905" s="1">
        <v>1</v>
      </c>
      <c r="AB1905" s="1">
        <v>1</v>
      </c>
      <c r="AC1905" s="1" t="s">
        <v>109</v>
      </c>
      <c r="AD1905" s="1" t="s">
        <v>109</v>
      </c>
      <c r="AE1905" s="1" t="s">
        <v>109</v>
      </c>
      <c r="AF1905" s="1" t="s">
        <v>109</v>
      </c>
      <c r="AG1905" s="1" t="s">
        <v>109</v>
      </c>
      <c r="AH1905" s="1" t="s">
        <v>109</v>
      </c>
      <c r="AI1905" s="1" t="s">
        <v>109</v>
      </c>
      <c r="AJ1905" s="1" t="s">
        <v>109</v>
      </c>
      <c r="AK1905" s="1" t="s">
        <v>109</v>
      </c>
      <c r="AL1905" s="1" t="s">
        <v>109</v>
      </c>
      <c r="AM1905" s="1" t="s">
        <v>109</v>
      </c>
      <c r="AN1905" s="1">
        <v>1</v>
      </c>
      <c r="AO1905" s="1" t="s">
        <v>109</v>
      </c>
      <c r="AP1905" s="1"/>
      <c r="AQ1905" s="1">
        <v>1</v>
      </c>
      <c r="AR1905" s="1"/>
      <c r="AS1905" s="1" t="s">
        <v>14056</v>
      </c>
      <c r="AT1905" s="1">
        <v>0</v>
      </c>
      <c r="AU1905" s="1">
        <v>0</v>
      </c>
      <c r="AV1905" s="1">
        <v>0</v>
      </c>
      <c r="AW1905" s="1">
        <v>0</v>
      </c>
      <c r="AX1905" s="1">
        <v>0</v>
      </c>
      <c r="AY1905" s="1">
        <v>0</v>
      </c>
      <c r="AZ1905" s="1">
        <v>0</v>
      </c>
      <c r="BA1905" s="1">
        <v>0</v>
      </c>
      <c r="BB1905" s="1">
        <v>0</v>
      </c>
      <c r="BC1905" s="1">
        <v>0</v>
      </c>
      <c r="BD1905" s="1">
        <v>0</v>
      </c>
      <c r="BE1905" s="1">
        <v>0</v>
      </c>
      <c r="BF1905" s="1">
        <v>0</v>
      </c>
      <c r="BG1905" s="1">
        <v>0</v>
      </c>
      <c r="BH1905" s="1">
        <v>1</v>
      </c>
      <c r="BI1905" s="1">
        <v>0</v>
      </c>
      <c r="BJ1905" s="1">
        <v>0</v>
      </c>
      <c r="BK1905" s="1">
        <v>0</v>
      </c>
      <c r="BL1905" s="1">
        <v>0</v>
      </c>
      <c r="BM1905" s="1">
        <v>0</v>
      </c>
      <c r="BN1905" s="1">
        <v>0</v>
      </c>
      <c r="BO1905" s="1">
        <v>0</v>
      </c>
      <c r="BP1905" s="1">
        <v>0</v>
      </c>
      <c r="BQ1905" s="1">
        <v>0</v>
      </c>
      <c r="BR1905" s="1">
        <v>0</v>
      </c>
      <c r="BS1905" s="1" t="s">
        <v>109</v>
      </c>
      <c r="BT1905" s="1">
        <v>1979</v>
      </c>
      <c r="BU1905" s="1" t="s">
        <v>109</v>
      </c>
      <c r="BV1905" s="1"/>
      <c r="BW1905" s="1"/>
      <c r="BX1905" s="1"/>
      <c r="BY1905" s="1"/>
      <c r="BZ1905" s="1">
        <v>0</v>
      </c>
      <c r="CA1905" s="1" t="s">
        <v>109</v>
      </c>
      <c r="CB1905" s="1" t="s">
        <v>109</v>
      </c>
      <c r="CC1905" s="1">
        <v>1</v>
      </c>
      <c r="CD1905" s="1" t="s">
        <v>109</v>
      </c>
      <c r="CE1905" s="1" t="s">
        <v>109</v>
      </c>
      <c r="CF1905" s="1" t="s">
        <v>109</v>
      </c>
      <c r="CG1905" s="1" t="s">
        <v>109</v>
      </c>
      <c r="CH1905" s="1" t="s">
        <v>109</v>
      </c>
      <c r="CI1905" s="1" t="s">
        <v>109</v>
      </c>
      <c r="CJ1905" s="1" t="s">
        <v>109</v>
      </c>
      <c r="CK1905" s="1"/>
      <c r="CL1905" s="1">
        <v>0</v>
      </c>
      <c r="CM1905" s="1">
        <v>0</v>
      </c>
      <c r="CN1905" s="1">
        <v>0</v>
      </c>
    </row>
    <row r="1906" spans="1:92" ht="14.25" customHeight="1" x14ac:dyDescent="0.15">
      <c r="A1906" s="1" t="s">
        <v>14057</v>
      </c>
      <c r="B1906" s="1" t="s">
        <v>189</v>
      </c>
      <c r="C1906" s="1"/>
      <c r="D1906" s="1"/>
      <c r="E1906" s="1" t="s">
        <v>14058</v>
      </c>
      <c r="F1906" s="1" t="s">
        <v>98</v>
      </c>
      <c r="G1906" s="1" t="s">
        <v>333</v>
      </c>
      <c r="H1906" s="1">
        <v>0</v>
      </c>
      <c r="I1906" s="1" t="s">
        <v>161</v>
      </c>
      <c r="J1906" s="1"/>
      <c r="K1906" s="1"/>
      <c r="L1906" s="1" t="s">
        <v>2653</v>
      </c>
      <c r="M1906" s="1" t="s">
        <v>3385</v>
      </c>
      <c r="N1906" s="1">
        <v>0</v>
      </c>
      <c r="O1906" s="1">
        <v>0</v>
      </c>
      <c r="P1906" s="1" t="s">
        <v>11863</v>
      </c>
      <c r="Q1906" s="1" t="s">
        <v>268</v>
      </c>
      <c r="R1906" s="1" t="s">
        <v>14059</v>
      </c>
      <c r="S1906" s="1" t="s">
        <v>14060</v>
      </c>
      <c r="T1906" s="1" t="s">
        <v>13306</v>
      </c>
      <c r="U1906" s="1" t="s">
        <v>14061</v>
      </c>
      <c r="V1906" s="1">
        <v>1</v>
      </c>
      <c r="W1906" s="1">
        <v>0</v>
      </c>
      <c r="X1906" s="1">
        <v>0</v>
      </c>
      <c r="Y1906" s="1">
        <v>0</v>
      </c>
      <c r="Z1906" s="1">
        <v>0</v>
      </c>
      <c r="AA1906" s="1">
        <v>1</v>
      </c>
      <c r="AB1906" s="1">
        <v>1</v>
      </c>
      <c r="AC1906" s="1" t="s">
        <v>109</v>
      </c>
      <c r="AD1906" s="1" t="s">
        <v>109</v>
      </c>
      <c r="AE1906" s="1" t="s">
        <v>109</v>
      </c>
      <c r="AF1906" s="1" t="s">
        <v>109</v>
      </c>
      <c r="AG1906" s="1" t="s">
        <v>109</v>
      </c>
      <c r="AH1906" s="1" t="s">
        <v>109</v>
      </c>
      <c r="AI1906" s="1" t="s">
        <v>109</v>
      </c>
      <c r="AJ1906" s="1">
        <v>1</v>
      </c>
      <c r="AK1906" s="1" t="s">
        <v>109</v>
      </c>
      <c r="AL1906" s="1" t="s">
        <v>109</v>
      </c>
      <c r="AM1906" s="1" t="s">
        <v>109</v>
      </c>
      <c r="AN1906" s="1">
        <v>1</v>
      </c>
      <c r="AO1906" s="1" t="s">
        <v>109</v>
      </c>
      <c r="AP1906" s="1"/>
      <c r="AQ1906" s="1">
        <v>1</v>
      </c>
      <c r="AR1906" s="1"/>
      <c r="AS1906" s="1" t="s">
        <v>14062</v>
      </c>
      <c r="AT1906" s="1">
        <v>0</v>
      </c>
      <c r="AU1906" s="1">
        <v>0</v>
      </c>
      <c r="AV1906" s="1">
        <v>0</v>
      </c>
      <c r="AW1906" s="1">
        <v>0</v>
      </c>
      <c r="AX1906" s="1">
        <v>0</v>
      </c>
      <c r="AY1906" s="1">
        <v>0</v>
      </c>
      <c r="AZ1906" s="1">
        <v>0</v>
      </c>
      <c r="BA1906" s="1">
        <v>0</v>
      </c>
      <c r="BB1906" s="1">
        <v>0</v>
      </c>
      <c r="BC1906" s="1">
        <v>0</v>
      </c>
      <c r="BD1906" s="1">
        <v>0</v>
      </c>
      <c r="BE1906" s="1">
        <v>0</v>
      </c>
      <c r="BF1906" s="1">
        <v>0</v>
      </c>
      <c r="BG1906" s="1">
        <v>0</v>
      </c>
      <c r="BH1906" s="1">
        <v>0</v>
      </c>
      <c r="BI1906" s="1">
        <v>0</v>
      </c>
      <c r="BJ1906" s="1">
        <v>0</v>
      </c>
      <c r="BK1906" s="1">
        <v>0</v>
      </c>
      <c r="BL1906" s="1">
        <v>0</v>
      </c>
      <c r="BM1906" s="1">
        <v>0</v>
      </c>
      <c r="BN1906" s="1">
        <v>0</v>
      </c>
      <c r="BO1906" s="1">
        <v>0</v>
      </c>
      <c r="BP1906" s="1">
        <v>0</v>
      </c>
      <c r="BQ1906" s="1">
        <v>0</v>
      </c>
      <c r="BR1906" s="1">
        <v>0</v>
      </c>
      <c r="BS1906" s="1" t="s">
        <v>109</v>
      </c>
      <c r="BT1906" s="1">
        <v>1980</v>
      </c>
      <c r="BU1906" s="1" t="s">
        <v>109</v>
      </c>
      <c r="BV1906" s="1"/>
      <c r="BW1906" s="1"/>
      <c r="BX1906" s="1"/>
      <c r="BY1906" s="1"/>
      <c r="BZ1906" s="1">
        <v>0</v>
      </c>
      <c r="CA1906" s="1">
        <v>1</v>
      </c>
      <c r="CB1906" s="1" t="s">
        <v>109</v>
      </c>
      <c r="CC1906" s="1">
        <v>1</v>
      </c>
      <c r="CD1906" s="1" t="s">
        <v>109</v>
      </c>
      <c r="CE1906" s="1" t="s">
        <v>109</v>
      </c>
      <c r="CF1906" s="1">
        <v>1</v>
      </c>
      <c r="CG1906" s="1" t="s">
        <v>109</v>
      </c>
      <c r="CH1906" s="1" t="s">
        <v>109</v>
      </c>
      <c r="CI1906" s="1" t="s">
        <v>109</v>
      </c>
      <c r="CJ1906" s="1" t="s">
        <v>109</v>
      </c>
      <c r="CK1906" s="1"/>
      <c r="CL1906" s="1">
        <v>0</v>
      </c>
      <c r="CM1906" s="1">
        <v>0</v>
      </c>
      <c r="CN1906" s="1">
        <v>0</v>
      </c>
    </row>
    <row r="1907" spans="1:92" ht="14.25" customHeight="1" x14ac:dyDescent="0.15">
      <c r="A1907" s="1" t="s">
        <v>14063</v>
      </c>
      <c r="B1907" s="1" t="s">
        <v>156</v>
      </c>
      <c r="C1907" s="1" t="s">
        <v>834</v>
      </c>
      <c r="D1907" s="1" t="s">
        <v>158</v>
      </c>
      <c r="E1907" s="1" t="s">
        <v>14064</v>
      </c>
      <c r="F1907" s="1" t="s">
        <v>395</v>
      </c>
      <c r="G1907" s="1" t="s">
        <v>4927</v>
      </c>
      <c r="H1907" s="1">
        <v>1</v>
      </c>
      <c r="I1907" s="1" t="s">
        <v>4917</v>
      </c>
      <c r="J1907" s="1"/>
      <c r="K1907" s="1" t="s">
        <v>4918</v>
      </c>
      <c r="L1907" s="1"/>
      <c r="M1907" s="1" t="s">
        <v>211</v>
      </c>
      <c r="N1907" s="1">
        <v>0</v>
      </c>
      <c r="O1907" s="1">
        <v>0</v>
      </c>
      <c r="P1907" s="1" t="s">
        <v>301</v>
      </c>
      <c r="Q1907" s="1" t="s">
        <v>268</v>
      </c>
      <c r="R1907" s="1" t="s">
        <v>14065</v>
      </c>
      <c r="S1907" s="1" t="s">
        <v>14066</v>
      </c>
      <c r="T1907" s="1" t="s">
        <v>13306</v>
      </c>
      <c r="U1907" s="1" t="s">
        <v>14067</v>
      </c>
      <c r="V1907" s="1">
        <v>1</v>
      </c>
      <c r="W1907" s="1">
        <v>1</v>
      </c>
      <c r="X1907" s="1">
        <v>1</v>
      </c>
      <c r="Y1907" s="1">
        <v>0</v>
      </c>
      <c r="Z1907" s="1">
        <v>0</v>
      </c>
      <c r="AA1907" s="1">
        <v>4</v>
      </c>
      <c r="AB1907" s="1">
        <v>4</v>
      </c>
      <c r="AC1907" s="1" t="s">
        <v>109</v>
      </c>
      <c r="AD1907" s="1" t="s">
        <v>109</v>
      </c>
      <c r="AE1907" s="1" t="s">
        <v>109</v>
      </c>
      <c r="AF1907" s="1" t="s">
        <v>109</v>
      </c>
      <c r="AG1907" s="1" t="s">
        <v>109</v>
      </c>
      <c r="AH1907" s="1" t="s">
        <v>109</v>
      </c>
      <c r="AI1907" s="1" t="s">
        <v>109</v>
      </c>
      <c r="AJ1907" s="1">
        <v>4</v>
      </c>
      <c r="AK1907" s="1" t="s">
        <v>109</v>
      </c>
      <c r="AL1907" s="1" t="s">
        <v>109</v>
      </c>
      <c r="AM1907" s="1" t="s">
        <v>109</v>
      </c>
      <c r="AN1907" s="1" t="s">
        <v>109</v>
      </c>
      <c r="AO1907" s="1" t="s">
        <v>109</v>
      </c>
      <c r="AP1907" s="1"/>
      <c r="AQ1907" s="1">
        <v>4</v>
      </c>
      <c r="AR1907" s="1"/>
      <c r="AS1907" s="1" t="s">
        <v>14068</v>
      </c>
      <c r="AT1907" s="1">
        <v>0</v>
      </c>
      <c r="AU1907" s="1">
        <v>0</v>
      </c>
      <c r="AV1907" s="1">
        <v>0</v>
      </c>
      <c r="AW1907" s="1">
        <v>0</v>
      </c>
      <c r="AX1907" s="1">
        <v>0</v>
      </c>
      <c r="AY1907" s="1">
        <v>0</v>
      </c>
      <c r="AZ1907" s="1">
        <v>0</v>
      </c>
      <c r="BA1907" s="1">
        <v>0</v>
      </c>
      <c r="BB1907" s="1">
        <v>0</v>
      </c>
      <c r="BC1907" s="1">
        <v>0</v>
      </c>
      <c r="BD1907" s="1">
        <v>0</v>
      </c>
      <c r="BE1907" s="1">
        <v>0</v>
      </c>
      <c r="BF1907" s="1">
        <v>0</v>
      </c>
      <c r="BG1907" s="1">
        <v>0</v>
      </c>
      <c r="BH1907" s="1">
        <v>0</v>
      </c>
      <c r="BI1907" s="1">
        <v>0</v>
      </c>
      <c r="BJ1907" s="1">
        <v>0</v>
      </c>
      <c r="BK1907" s="1">
        <v>0</v>
      </c>
      <c r="BL1907" s="1">
        <v>0</v>
      </c>
      <c r="BM1907" s="1">
        <v>1</v>
      </c>
      <c r="BN1907" s="1">
        <v>0</v>
      </c>
      <c r="BO1907" s="1">
        <v>0</v>
      </c>
      <c r="BP1907" s="1">
        <v>0</v>
      </c>
      <c r="BQ1907" s="1">
        <v>0</v>
      </c>
      <c r="BR1907" s="1">
        <v>0</v>
      </c>
      <c r="BS1907" s="1" t="s">
        <v>109</v>
      </c>
      <c r="BT1907" s="1">
        <v>1981</v>
      </c>
      <c r="BU1907" s="1">
        <v>1000</v>
      </c>
      <c r="BV1907" s="1"/>
      <c r="BW1907" s="1"/>
      <c r="BX1907" s="1"/>
      <c r="BY1907" s="1"/>
      <c r="BZ1907" s="1">
        <v>0</v>
      </c>
      <c r="CA1907" s="1" t="s">
        <v>109</v>
      </c>
      <c r="CB1907" s="1" t="s">
        <v>109</v>
      </c>
      <c r="CC1907" s="1" t="s">
        <v>109</v>
      </c>
      <c r="CD1907" s="1" t="s">
        <v>109</v>
      </c>
      <c r="CE1907" s="1">
        <v>3</v>
      </c>
      <c r="CF1907" s="1">
        <v>3</v>
      </c>
      <c r="CG1907" s="1" t="s">
        <v>109</v>
      </c>
      <c r="CH1907" s="1" t="s">
        <v>109</v>
      </c>
      <c r="CI1907" s="1" t="s">
        <v>109</v>
      </c>
      <c r="CJ1907" s="1" t="s">
        <v>109</v>
      </c>
      <c r="CK1907" s="1"/>
      <c r="CL1907" s="1">
        <v>0</v>
      </c>
      <c r="CM1907" s="1">
        <v>0</v>
      </c>
      <c r="CN1907" s="1">
        <v>0</v>
      </c>
    </row>
    <row r="1908" spans="1:92" ht="14.25" customHeight="1" x14ac:dyDescent="0.15">
      <c r="A1908" s="1" t="s">
        <v>14069</v>
      </c>
      <c r="B1908" s="1" t="s">
        <v>95</v>
      </c>
      <c r="C1908" s="1" t="s">
        <v>96</v>
      </c>
      <c r="D1908" s="1" t="s">
        <v>67</v>
      </c>
      <c r="E1908" s="1" t="s">
        <v>1839</v>
      </c>
      <c r="F1908" s="1" t="s">
        <v>98</v>
      </c>
      <c r="G1908" s="1" t="s">
        <v>141</v>
      </c>
      <c r="H1908" s="1">
        <v>0</v>
      </c>
      <c r="I1908" s="1" t="s">
        <v>925</v>
      </c>
      <c r="J1908" s="1"/>
      <c r="K1908" s="1" t="s">
        <v>14070</v>
      </c>
      <c r="L1908" s="1"/>
      <c r="M1908" s="1" t="s">
        <v>6144</v>
      </c>
      <c r="N1908" s="1">
        <v>1</v>
      </c>
      <c r="O1908" s="1">
        <v>0</v>
      </c>
      <c r="P1908" s="1" t="s">
        <v>103</v>
      </c>
      <c r="Q1908" s="1" t="s">
        <v>104</v>
      </c>
      <c r="R1908" s="1" t="s">
        <v>14071</v>
      </c>
      <c r="S1908" s="1" t="s">
        <v>14072</v>
      </c>
      <c r="T1908" s="1" t="s">
        <v>13306</v>
      </c>
      <c r="U1908" s="1" t="s">
        <v>14073</v>
      </c>
      <c r="V1908" s="1">
        <v>1</v>
      </c>
      <c r="W1908" s="1">
        <v>1</v>
      </c>
      <c r="X1908" s="1">
        <v>0</v>
      </c>
      <c r="Y1908" s="1">
        <v>0</v>
      </c>
      <c r="Z1908" s="1">
        <v>0</v>
      </c>
      <c r="AA1908" s="1" t="s">
        <v>109</v>
      </c>
      <c r="AB1908" s="1" t="s">
        <v>109</v>
      </c>
      <c r="AC1908" s="1" t="s">
        <v>109</v>
      </c>
      <c r="AD1908" s="1">
        <v>1</v>
      </c>
      <c r="AE1908" s="1">
        <v>1</v>
      </c>
      <c r="AF1908" s="1" t="s">
        <v>109</v>
      </c>
      <c r="AG1908" s="1" t="s">
        <v>109</v>
      </c>
      <c r="AH1908" s="1" t="s">
        <v>109</v>
      </c>
      <c r="AI1908" s="1" t="s">
        <v>109</v>
      </c>
      <c r="AJ1908" s="1" t="s">
        <v>109</v>
      </c>
      <c r="AK1908" s="1" t="s">
        <v>109</v>
      </c>
      <c r="AL1908" s="1" t="s">
        <v>109</v>
      </c>
      <c r="AM1908" s="1" t="s">
        <v>109</v>
      </c>
      <c r="AN1908" s="1" t="s">
        <v>109</v>
      </c>
      <c r="AO1908" s="1" t="s">
        <v>109</v>
      </c>
      <c r="AP1908" s="1"/>
      <c r="AQ1908" s="1">
        <v>1</v>
      </c>
      <c r="AR1908" s="1"/>
      <c r="AS1908" s="1" t="s">
        <v>14074</v>
      </c>
      <c r="AT1908" s="1">
        <v>0</v>
      </c>
      <c r="AU1908" s="1">
        <v>0</v>
      </c>
      <c r="AV1908" s="1">
        <v>0</v>
      </c>
      <c r="AW1908" s="1">
        <v>0</v>
      </c>
      <c r="AX1908" s="1">
        <v>0</v>
      </c>
      <c r="AY1908" s="1">
        <v>0</v>
      </c>
      <c r="AZ1908" s="1">
        <v>0</v>
      </c>
      <c r="BA1908" s="1">
        <v>0</v>
      </c>
      <c r="BB1908" s="1">
        <v>0</v>
      </c>
      <c r="BC1908" s="1">
        <v>0</v>
      </c>
      <c r="BD1908" s="1">
        <v>0</v>
      </c>
      <c r="BE1908" s="1">
        <v>0</v>
      </c>
      <c r="BF1908" s="1">
        <v>0</v>
      </c>
      <c r="BG1908" s="1">
        <v>0</v>
      </c>
      <c r="BH1908" s="1">
        <v>0</v>
      </c>
      <c r="BI1908" s="1">
        <v>0</v>
      </c>
      <c r="BJ1908" s="1">
        <v>0</v>
      </c>
      <c r="BK1908" s="1">
        <v>0</v>
      </c>
      <c r="BL1908" s="1">
        <v>0</v>
      </c>
      <c r="BM1908" s="1">
        <v>0</v>
      </c>
      <c r="BN1908" s="1">
        <v>0</v>
      </c>
      <c r="BO1908" s="1">
        <v>1</v>
      </c>
      <c r="BP1908" s="1">
        <v>0</v>
      </c>
      <c r="BQ1908" s="1">
        <v>0</v>
      </c>
      <c r="BR1908" s="1">
        <v>0</v>
      </c>
      <c r="BS1908" s="1" t="s">
        <v>109</v>
      </c>
      <c r="BT1908" s="1">
        <v>1982</v>
      </c>
      <c r="BU1908" s="1" t="s">
        <v>109</v>
      </c>
      <c r="BV1908" s="1"/>
      <c r="BW1908" s="1" t="s">
        <v>14075</v>
      </c>
      <c r="BX1908" s="1"/>
      <c r="BY1908" s="1"/>
      <c r="BZ1908" s="1">
        <v>0</v>
      </c>
      <c r="CA1908" s="1" t="s">
        <v>109</v>
      </c>
      <c r="CB1908" s="1">
        <v>1</v>
      </c>
      <c r="CC1908" s="1" t="s">
        <v>109</v>
      </c>
      <c r="CD1908" s="1" t="s">
        <v>109</v>
      </c>
      <c r="CE1908" s="1" t="s">
        <v>109</v>
      </c>
      <c r="CF1908" s="1" t="s">
        <v>109</v>
      </c>
      <c r="CG1908" s="1" t="s">
        <v>109</v>
      </c>
      <c r="CH1908" s="1" t="s">
        <v>109</v>
      </c>
      <c r="CI1908" s="1" t="s">
        <v>109</v>
      </c>
      <c r="CJ1908" s="1">
        <v>1</v>
      </c>
      <c r="CK1908" s="1"/>
      <c r="CL1908" s="1">
        <v>0</v>
      </c>
      <c r="CM1908" s="1">
        <v>0</v>
      </c>
      <c r="CN1908" s="1">
        <v>0</v>
      </c>
    </row>
    <row r="1909" spans="1:92" ht="14.25" customHeight="1" x14ac:dyDescent="0.15">
      <c r="A1909" s="1" t="s">
        <v>14076</v>
      </c>
      <c r="B1909" s="1" t="s">
        <v>189</v>
      </c>
      <c r="C1909" s="1"/>
      <c r="D1909" s="1"/>
      <c r="E1909" s="1" t="s">
        <v>14077</v>
      </c>
      <c r="F1909" s="1" t="s">
        <v>98</v>
      </c>
      <c r="G1909" s="1" t="s">
        <v>160</v>
      </c>
      <c r="H1909" s="1">
        <v>0</v>
      </c>
      <c r="I1909" s="1" t="s">
        <v>100</v>
      </c>
      <c r="J1909" s="1" t="s">
        <v>1840</v>
      </c>
      <c r="K1909" s="1"/>
      <c r="L1909" s="1"/>
      <c r="M1909" s="1" t="s">
        <v>587</v>
      </c>
      <c r="N1909" s="1">
        <v>1</v>
      </c>
      <c r="O1909" s="1">
        <v>0</v>
      </c>
      <c r="P1909" s="1" t="s">
        <v>7818</v>
      </c>
      <c r="Q1909" s="1" t="s">
        <v>104</v>
      </c>
      <c r="R1909" s="1" t="s">
        <v>14078</v>
      </c>
      <c r="S1909" s="1" t="s">
        <v>14079</v>
      </c>
      <c r="T1909" s="1" t="s">
        <v>13306</v>
      </c>
      <c r="U1909" s="1" t="s">
        <v>14080</v>
      </c>
      <c r="V1909" s="1">
        <v>1</v>
      </c>
      <c r="W1909" s="1">
        <v>1</v>
      </c>
      <c r="X1909" s="1">
        <v>0</v>
      </c>
      <c r="Y1909" s="1">
        <v>0</v>
      </c>
      <c r="Z1909" s="1">
        <v>1</v>
      </c>
      <c r="AA1909" s="1" t="s">
        <v>109</v>
      </c>
      <c r="AB1909" s="1" t="s">
        <v>109</v>
      </c>
      <c r="AC1909" s="1" t="s">
        <v>109</v>
      </c>
      <c r="AD1909" s="1">
        <v>3</v>
      </c>
      <c r="AE1909" s="1">
        <v>3</v>
      </c>
      <c r="AF1909" s="1" t="s">
        <v>109</v>
      </c>
      <c r="AG1909" s="1" t="s">
        <v>109</v>
      </c>
      <c r="AH1909" s="1" t="s">
        <v>109</v>
      </c>
      <c r="AI1909" s="1" t="s">
        <v>109</v>
      </c>
      <c r="AJ1909" s="1">
        <v>3</v>
      </c>
      <c r="AK1909" s="1" t="s">
        <v>109</v>
      </c>
      <c r="AL1909" s="1" t="s">
        <v>109</v>
      </c>
      <c r="AM1909" s="1" t="s">
        <v>109</v>
      </c>
      <c r="AN1909" s="1" t="s">
        <v>109</v>
      </c>
      <c r="AO1909" s="1" t="s">
        <v>109</v>
      </c>
      <c r="AP1909" s="1"/>
      <c r="AQ1909" s="1">
        <v>3</v>
      </c>
      <c r="AR1909" s="1"/>
      <c r="AS1909" s="1" t="s">
        <v>14081</v>
      </c>
      <c r="AT1909" s="1">
        <v>0</v>
      </c>
      <c r="AU1909" s="1">
        <v>0</v>
      </c>
      <c r="AV1909" s="1">
        <v>0</v>
      </c>
      <c r="AW1909" s="1">
        <v>0</v>
      </c>
      <c r="AX1909" s="1">
        <v>0</v>
      </c>
      <c r="AY1909" s="1">
        <v>0</v>
      </c>
      <c r="AZ1909" s="1">
        <v>0</v>
      </c>
      <c r="BA1909" s="1">
        <v>0</v>
      </c>
      <c r="BB1909" s="1">
        <v>0</v>
      </c>
      <c r="BC1909" s="1">
        <v>0</v>
      </c>
      <c r="BD1909" s="1">
        <v>0</v>
      </c>
      <c r="BE1909" s="1">
        <v>0</v>
      </c>
      <c r="BF1909" s="1">
        <v>0</v>
      </c>
      <c r="BG1909" s="1">
        <v>0</v>
      </c>
      <c r="BH1909" s="1">
        <v>0</v>
      </c>
      <c r="BI1909" s="1">
        <v>0</v>
      </c>
      <c r="BJ1909" s="1">
        <v>0</v>
      </c>
      <c r="BK1909" s="1">
        <v>0</v>
      </c>
      <c r="BL1909" s="1">
        <v>0</v>
      </c>
      <c r="BM1909" s="1">
        <v>0</v>
      </c>
      <c r="BN1909" s="1">
        <v>0</v>
      </c>
      <c r="BO1909" s="1">
        <v>0</v>
      </c>
      <c r="BP1909" s="1">
        <v>0</v>
      </c>
      <c r="BQ1909" s="1">
        <v>0</v>
      </c>
      <c r="BR1909" s="1">
        <v>0</v>
      </c>
      <c r="BS1909" s="1" t="s">
        <v>109</v>
      </c>
      <c r="BT1909" s="1">
        <v>1983</v>
      </c>
      <c r="BU1909" s="1" t="s">
        <v>109</v>
      </c>
      <c r="BV1909" s="1"/>
      <c r="BW1909" s="1" t="s">
        <v>14082</v>
      </c>
      <c r="BX1909" s="1"/>
      <c r="BY1909" s="1"/>
      <c r="BZ1909" s="1">
        <v>0</v>
      </c>
      <c r="CA1909" s="1" t="s">
        <v>109</v>
      </c>
      <c r="CB1909" s="1">
        <v>3</v>
      </c>
      <c r="CC1909" s="1" t="s">
        <v>109</v>
      </c>
      <c r="CD1909" s="1" t="s">
        <v>109</v>
      </c>
      <c r="CE1909" s="1" t="s">
        <v>109</v>
      </c>
      <c r="CF1909" s="1" t="s">
        <v>109</v>
      </c>
      <c r="CG1909" s="1" t="s">
        <v>109</v>
      </c>
      <c r="CH1909" s="1" t="s">
        <v>109</v>
      </c>
      <c r="CI1909" s="1" t="s">
        <v>109</v>
      </c>
      <c r="CJ1909" s="1">
        <v>3</v>
      </c>
      <c r="CK1909" s="1"/>
      <c r="CL1909" s="1">
        <v>0</v>
      </c>
      <c r="CM1909" s="1">
        <v>0</v>
      </c>
      <c r="CN1909" s="1">
        <v>0</v>
      </c>
    </row>
    <row r="1910" spans="1:92" ht="14.25" customHeight="1" x14ac:dyDescent="0.15">
      <c r="A1910" s="1" t="s">
        <v>14083</v>
      </c>
      <c r="B1910" s="1" t="s">
        <v>584</v>
      </c>
      <c r="C1910" s="1"/>
      <c r="D1910" s="1" t="s">
        <v>54</v>
      </c>
      <c r="E1910" s="1" t="s">
        <v>14084</v>
      </c>
      <c r="F1910" s="1" t="s">
        <v>98</v>
      </c>
      <c r="G1910" s="1" t="s">
        <v>141</v>
      </c>
      <c r="H1910" s="1">
        <v>0</v>
      </c>
      <c r="I1910" s="1" t="s">
        <v>142</v>
      </c>
      <c r="J1910" s="1"/>
      <c r="K1910" s="1"/>
      <c r="L1910" s="1" t="s">
        <v>1391</v>
      </c>
      <c r="M1910" s="1" t="s">
        <v>144</v>
      </c>
      <c r="N1910" s="1">
        <v>0</v>
      </c>
      <c r="O1910" s="1">
        <v>0</v>
      </c>
      <c r="P1910" s="1" t="s">
        <v>103</v>
      </c>
      <c r="Q1910" s="1" t="s">
        <v>268</v>
      </c>
      <c r="R1910" s="1" t="s">
        <v>14085</v>
      </c>
      <c r="S1910" s="1" t="s">
        <v>14086</v>
      </c>
      <c r="T1910" s="1" t="s">
        <v>13306</v>
      </c>
      <c r="U1910" s="1" t="s">
        <v>14087</v>
      </c>
      <c r="V1910" s="1">
        <v>1</v>
      </c>
      <c r="W1910" s="1">
        <v>1</v>
      </c>
      <c r="X1910" s="1">
        <v>0</v>
      </c>
      <c r="Y1910" s="1">
        <v>0</v>
      </c>
      <c r="Z1910" s="1">
        <v>0</v>
      </c>
      <c r="AA1910" s="1">
        <v>1</v>
      </c>
      <c r="AB1910" s="1">
        <v>1</v>
      </c>
      <c r="AC1910" s="1" t="s">
        <v>109</v>
      </c>
      <c r="AD1910" s="1">
        <v>1</v>
      </c>
      <c r="AE1910" s="1">
        <v>1</v>
      </c>
      <c r="AF1910" s="1" t="s">
        <v>109</v>
      </c>
      <c r="AG1910" s="1" t="s">
        <v>109</v>
      </c>
      <c r="AH1910" s="1" t="s">
        <v>109</v>
      </c>
      <c r="AI1910" s="1" t="s">
        <v>109</v>
      </c>
      <c r="AJ1910" s="1" t="s">
        <v>109</v>
      </c>
      <c r="AK1910" s="1" t="s">
        <v>109</v>
      </c>
      <c r="AL1910" s="1" t="s">
        <v>109</v>
      </c>
      <c r="AM1910" s="1" t="s">
        <v>109</v>
      </c>
      <c r="AN1910" s="1">
        <v>1</v>
      </c>
      <c r="AO1910" s="1" t="s">
        <v>109</v>
      </c>
      <c r="AP1910" s="1"/>
      <c r="AQ1910" s="1">
        <v>1</v>
      </c>
      <c r="AR1910" s="1"/>
      <c r="AS1910" s="1" t="s">
        <v>14088</v>
      </c>
      <c r="AT1910" s="1">
        <v>0</v>
      </c>
      <c r="AU1910" s="1">
        <v>0</v>
      </c>
      <c r="AV1910" s="1">
        <v>0</v>
      </c>
      <c r="AW1910" s="1">
        <v>0</v>
      </c>
      <c r="AX1910" s="1">
        <v>0</v>
      </c>
      <c r="AY1910" s="1">
        <v>0</v>
      </c>
      <c r="AZ1910" s="1">
        <v>0</v>
      </c>
      <c r="BA1910" s="1">
        <v>0</v>
      </c>
      <c r="BB1910" s="1">
        <v>1</v>
      </c>
      <c r="BC1910" s="1">
        <v>0</v>
      </c>
      <c r="BD1910" s="1">
        <v>0</v>
      </c>
      <c r="BE1910" s="1">
        <v>0</v>
      </c>
      <c r="BF1910" s="1">
        <v>0</v>
      </c>
      <c r="BG1910" s="1">
        <v>0</v>
      </c>
      <c r="BH1910" s="1">
        <v>0</v>
      </c>
      <c r="BI1910" s="1">
        <v>0</v>
      </c>
      <c r="BJ1910" s="1">
        <v>0</v>
      </c>
      <c r="BK1910" s="1">
        <v>0</v>
      </c>
      <c r="BL1910" s="1">
        <v>0</v>
      </c>
      <c r="BM1910" s="1">
        <v>0</v>
      </c>
      <c r="BN1910" s="1">
        <v>0</v>
      </c>
      <c r="BO1910" s="1">
        <v>0</v>
      </c>
      <c r="BP1910" s="1">
        <v>0</v>
      </c>
      <c r="BQ1910" s="1">
        <v>0</v>
      </c>
      <c r="BR1910" s="1">
        <v>0</v>
      </c>
      <c r="BS1910" s="1" t="s">
        <v>109</v>
      </c>
      <c r="BT1910" s="1">
        <v>1984</v>
      </c>
      <c r="BU1910" s="1" t="s">
        <v>109</v>
      </c>
      <c r="BV1910" s="1"/>
      <c r="BW1910" s="1"/>
      <c r="BX1910" s="1"/>
      <c r="BY1910" s="1"/>
      <c r="BZ1910" s="1">
        <v>0</v>
      </c>
      <c r="CA1910" s="1">
        <v>1</v>
      </c>
      <c r="CB1910" s="1" t="s">
        <v>109</v>
      </c>
      <c r="CC1910" s="1" t="s">
        <v>109</v>
      </c>
      <c r="CD1910" s="1" t="s">
        <v>109</v>
      </c>
      <c r="CE1910" s="1" t="s">
        <v>109</v>
      </c>
      <c r="CF1910" s="1" t="s">
        <v>109</v>
      </c>
      <c r="CG1910" s="1" t="s">
        <v>109</v>
      </c>
      <c r="CH1910" s="1" t="s">
        <v>109</v>
      </c>
      <c r="CI1910" s="1" t="s">
        <v>109</v>
      </c>
      <c r="CJ1910" s="1">
        <v>1</v>
      </c>
      <c r="CK1910" s="1"/>
      <c r="CL1910" s="1">
        <v>0</v>
      </c>
      <c r="CM1910" s="1">
        <v>0</v>
      </c>
      <c r="CN1910" s="1">
        <v>0</v>
      </c>
    </row>
    <row r="1911" spans="1:92" ht="14.25" customHeight="1" x14ac:dyDescent="0.15">
      <c r="A1911" s="1" t="s">
        <v>14089</v>
      </c>
      <c r="B1911" s="1" t="s">
        <v>584</v>
      </c>
      <c r="C1911" s="1"/>
      <c r="D1911" s="1" t="s">
        <v>54</v>
      </c>
      <c r="E1911" s="1" t="s">
        <v>14090</v>
      </c>
      <c r="F1911" s="1" t="s">
        <v>98</v>
      </c>
      <c r="G1911" s="1" t="s">
        <v>141</v>
      </c>
      <c r="H1911" s="1">
        <v>0</v>
      </c>
      <c r="I1911" s="1" t="s">
        <v>1016</v>
      </c>
      <c r="J1911" s="1" t="s">
        <v>6788</v>
      </c>
      <c r="K1911" s="1"/>
      <c r="L1911" s="1"/>
      <c r="M1911" s="1" t="s">
        <v>144</v>
      </c>
      <c r="N1911" s="1">
        <v>0</v>
      </c>
      <c r="O1911" s="1">
        <v>0</v>
      </c>
      <c r="P1911" s="1" t="s">
        <v>103</v>
      </c>
      <c r="Q1911" s="1" t="s">
        <v>268</v>
      </c>
      <c r="R1911" s="1" t="s">
        <v>14091</v>
      </c>
      <c r="S1911" s="1" t="s">
        <v>14092</v>
      </c>
      <c r="T1911" s="1" t="s">
        <v>13306</v>
      </c>
      <c r="U1911" s="1" t="s">
        <v>14093</v>
      </c>
      <c r="V1911" s="1">
        <v>1</v>
      </c>
      <c r="W1911" s="1">
        <v>1</v>
      </c>
      <c r="X1911" s="1">
        <v>0</v>
      </c>
      <c r="Y1911" s="1">
        <v>0</v>
      </c>
      <c r="Z1911" s="1">
        <v>0</v>
      </c>
      <c r="AA1911" s="1">
        <v>3</v>
      </c>
      <c r="AB1911" s="1">
        <v>3</v>
      </c>
      <c r="AC1911" s="1" t="s">
        <v>109</v>
      </c>
      <c r="AD1911" s="1">
        <v>3</v>
      </c>
      <c r="AE1911" s="1">
        <v>3</v>
      </c>
      <c r="AF1911" s="1" t="s">
        <v>109</v>
      </c>
      <c r="AG1911" s="1" t="s">
        <v>109</v>
      </c>
      <c r="AH1911" s="1" t="s">
        <v>109</v>
      </c>
      <c r="AI1911" s="1" t="s">
        <v>109</v>
      </c>
      <c r="AJ1911" s="1" t="s">
        <v>109</v>
      </c>
      <c r="AK1911" s="1" t="s">
        <v>109</v>
      </c>
      <c r="AL1911" s="1" t="s">
        <v>109</v>
      </c>
      <c r="AM1911" s="1" t="s">
        <v>109</v>
      </c>
      <c r="AN1911" s="1">
        <v>3</v>
      </c>
      <c r="AO1911" s="1" t="s">
        <v>109</v>
      </c>
      <c r="AP1911" s="1"/>
      <c r="AQ1911" s="1">
        <v>3</v>
      </c>
      <c r="AR1911" s="1"/>
      <c r="AS1911" s="1" t="s">
        <v>14094</v>
      </c>
      <c r="AT1911" s="1">
        <v>0</v>
      </c>
      <c r="AU1911" s="1">
        <v>0</v>
      </c>
      <c r="AV1911" s="1">
        <v>0</v>
      </c>
      <c r="AW1911" s="1">
        <v>0</v>
      </c>
      <c r="AX1911" s="1">
        <v>0</v>
      </c>
      <c r="AY1911" s="1">
        <v>0</v>
      </c>
      <c r="AZ1911" s="1">
        <v>0</v>
      </c>
      <c r="BA1911" s="1">
        <v>0</v>
      </c>
      <c r="BB1911" s="1">
        <v>1</v>
      </c>
      <c r="BC1911" s="1">
        <v>0</v>
      </c>
      <c r="BD1911" s="1">
        <v>0</v>
      </c>
      <c r="BE1911" s="1">
        <v>0</v>
      </c>
      <c r="BF1911" s="1">
        <v>0</v>
      </c>
      <c r="BG1911" s="1">
        <v>0</v>
      </c>
      <c r="BH1911" s="1">
        <v>0</v>
      </c>
      <c r="BI1911" s="1">
        <v>0</v>
      </c>
      <c r="BJ1911" s="1">
        <v>0</v>
      </c>
      <c r="BK1911" s="1">
        <v>0</v>
      </c>
      <c r="BL1911" s="1">
        <v>0</v>
      </c>
      <c r="BM1911" s="1">
        <v>0</v>
      </c>
      <c r="BN1911" s="1">
        <v>0</v>
      </c>
      <c r="BO1911" s="1">
        <v>0</v>
      </c>
      <c r="BP1911" s="1">
        <v>0</v>
      </c>
      <c r="BQ1911" s="1">
        <v>0</v>
      </c>
      <c r="BR1911" s="1">
        <v>0</v>
      </c>
      <c r="BS1911" s="1" t="s">
        <v>109</v>
      </c>
      <c r="BT1911" s="1">
        <v>1985</v>
      </c>
      <c r="BU1911" s="1" t="s">
        <v>109</v>
      </c>
      <c r="BV1911" s="1"/>
      <c r="BW1911" s="1"/>
      <c r="BX1911" s="1"/>
      <c r="BY1911" s="1"/>
      <c r="BZ1911" s="1">
        <v>0</v>
      </c>
      <c r="CA1911" s="1">
        <v>3</v>
      </c>
      <c r="CB1911" s="1" t="s">
        <v>109</v>
      </c>
      <c r="CC1911" s="1" t="s">
        <v>109</v>
      </c>
      <c r="CD1911" s="1" t="s">
        <v>109</v>
      </c>
      <c r="CE1911" s="1" t="s">
        <v>109</v>
      </c>
      <c r="CF1911" s="1" t="s">
        <v>109</v>
      </c>
      <c r="CG1911" s="1" t="s">
        <v>109</v>
      </c>
      <c r="CH1911" s="1" t="s">
        <v>109</v>
      </c>
      <c r="CI1911" s="1" t="s">
        <v>109</v>
      </c>
      <c r="CJ1911" s="1">
        <v>3</v>
      </c>
      <c r="CK1911" s="1"/>
      <c r="CL1911" s="1">
        <v>0</v>
      </c>
      <c r="CM1911" s="1">
        <v>0</v>
      </c>
      <c r="CN1911" s="1">
        <v>0</v>
      </c>
    </row>
    <row r="1912" spans="1:92" ht="14.25" customHeight="1" x14ac:dyDescent="0.15">
      <c r="A1912" s="1" t="s">
        <v>14095</v>
      </c>
      <c r="B1912" s="1" t="s">
        <v>189</v>
      </c>
      <c r="C1912" s="1"/>
      <c r="D1912" s="1"/>
      <c r="E1912" s="1" t="s">
        <v>10815</v>
      </c>
      <c r="F1912" s="1" t="s">
        <v>98</v>
      </c>
      <c r="G1912" s="1" t="s">
        <v>14096</v>
      </c>
      <c r="H1912" s="1">
        <v>0</v>
      </c>
      <c r="I1912" s="1" t="s">
        <v>1192</v>
      </c>
      <c r="J1912" s="1" t="s">
        <v>6646</v>
      </c>
      <c r="K1912" s="1"/>
      <c r="L1912" s="1"/>
      <c r="M1912" s="1" t="s">
        <v>355</v>
      </c>
      <c r="N1912" s="1">
        <v>0</v>
      </c>
      <c r="O1912" s="1">
        <v>0</v>
      </c>
      <c r="P1912" s="1" t="s">
        <v>103</v>
      </c>
      <c r="Q1912" s="1" t="s">
        <v>268</v>
      </c>
      <c r="R1912" s="1" t="s">
        <v>14097</v>
      </c>
      <c r="S1912" s="1" t="s">
        <v>14098</v>
      </c>
      <c r="T1912" s="1" t="s">
        <v>13306</v>
      </c>
      <c r="U1912" s="1" t="s">
        <v>14099</v>
      </c>
      <c r="V1912" s="1">
        <v>1</v>
      </c>
      <c r="W1912" s="1">
        <v>1</v>
      </c>
      <c r="X1912" s="1">
        <v>1</v>
      </c>
      <c r="Y1912" s="1">
        <v>0</v>
      </c>
      <c r="Z1912" s="1">
        <v>0</v>
      </c>
      <c r="AA1912" s="1">
        <v>2</v>
      </c>
      <c r="AB1912" s="1">
        <v>2</v>
      </c>
      <c r="AC1912" s="1" t="s">
        <v>109</v>
      </c>
      <c r="AD1912" s="1" t="s">
        <v>109</v>
      </c>
      <c r="AE1912" s="1" t="s">
        <v>109</v>
      </c>
      <c r="AF1912" s="1" t="s">
        <v>109</v>
      </c>
      <c r="AG1912" s="1" t="s">
        <v>109</v>
      </c>
      <c r="AH1912" s="1" t="s">
        <v>109</v>
      </c>
      <c r="AI1912" s="1">
        <v>2</v>
      </c>
      <c r="AJ1912" s="1" t="s">
        <v>109</v>
      </c>
      <c r="AK1912" s="1" t="s">
        <v>109</v>
      </c>
      <c r="AL1912" s="1" t="s">
        <v>109</v>
      </c>
      <c r="AM1912" s="1" t="s">
        <v>109</v>
      </c>
      <c r="AN1912" s="1">
        <v>2</v>
      </c>
      <c r="AO1912" s="1" t="s">
        <v>109</v>
      </c>
      <c r="AP1912" s="1"/>
      <c r="AQ1912" s="1">
        <v>2</v>
      </c>
      <c r="AR1912" s="1"/>
      <c r="AS1912" s="1" t="s">
        <v>14100</v>
      </c>
      <c r="AT1912" s="1">
        <v>0</v>
      </c>
      <c r="AU1912" s="1">
        <v>0</v>
      </c>
      <c r="AV1912" s="1">
        <v>0</v>
      </c>
      <c r="AW1912" s="1">
        <v>0</v>
      </c>
      <c r="AX1912" s="1">
        <v>0</v>
      </c>
      <c r="AY1912" s="1">
        <v>0</v>
      </c>
      <c r="AZ1912" s="1">
        <v>0</v>
      </c>
      <c r="BA1912" s="1">
        <v>0</v>
      </c>
      <c r="BB1912" s="1">
        <v>0</v>
      </c>
      <c r="BC1912" s="1">
        <v>0</v>
      </c>
      <c r="BD1912" s="1">
        <v>0</v>
      </c>
      <c r="BE1912" s="1">
        <v>0</v>
      </c>
      <c r="BF1912" s="1">
        <v>0</v>
      </c>
      <c r="BG1912" s="1">
        <v>0</v>
      </c>
      <c r="BH1912" s="1">
        <v>0</v>
      </c>
      <c r="BI1912" s="1">
        <v>0</v>
      </c>
      <c r="BJ1912" s="1">
        <v>0</v>
      </c>
      <c r="BK1912" s="1">
        <v>0</v>
      </c>
      <c r="BL1912" s="1">
        <v>0</v>
      </c>
      <c r="BM1912" s="1">
        <v>0</v>
      </c>
      <c r="BN1912" s="1">
        <v>0</v>
      </c>
      <c r="BO1912" s="1">
        <v>0</v>
      </c>
      <c r="BP1912" s="1">
        <v>0</v>
      </c>
      <c r="BQ1912" s="1">
        <v>0</v>
      </c>
      <c r="BR1912" s="1">
        <v>0</v>
      </c>
      <c r="BS1912" s="1" t="s">
        <v>109</v>
      </c>
      <c r="BT1912" s="1">
        <v>1986</v>
      </c>
      <c r="BU1912" s="1" t="s">
        <v>109</v>
      </c>
      <c r="BV1912" s="1"/>
      <c r="BW1912" s="1"/>
      <c r="BX1912" s="1"/>
      <c r="BY1912" s="1"/>
      <c r="BZ1912" s="1">
        <v>0</v>
      </c>
      <c r="CA1912" s="1" t="s">
        <v>109</v>
      </c>
      <c r="CB1912" s="1" t="s">
        <v>109</v>
      </c>
      <c r="CC1912" s="1">
        <v>2</v>
      </c>
      <c r="CD1912" s="1" t="s">
        <v>109</v>
      </c>
      <c r="CE1912" s="1" t="s">
        <v>109</v>
      </c>
      <c r="CF1912" s="1" t="s">
        <v>109</v>
      </c>
      <c r="CG1912" s="1" t="s">
        <v>109</v>
      </c>
      <c r="CH1912" s="1" t="s">
        <v>109</v>
      </c>
      <c r="CI1912" s="1" t="s">
        <v>109</v>
      </c>
      <c r="CJ1912" s="1" t="s">
        <v>109</v>
      </c>
      <c r="CK1912" s="1"/>
      <c r="CL1912" s="1">
        <v>0</v>
      </c>
      <c r="CM1912" s="1">
        <v>0</v>
      </c>
      <c r="CN1912" s="1">
        <v>0</v>
      </c>
    </row>
    <row r="1913" spans="1:92" ht="14.25" customHeight="1" x14ac:dyDescent="0.15">
      <c r="A1913" s="1" t="s">
        <v>14101</v>
      </c>
      <c r="B1913" s="1" t="s">
        <v>156</v>
      </c>
      <c r="C1913" s="1" t="s">
        <v>157</v>
      </c>
      <c r="D1913" s="1" t="s">
        <v>954</v>
      </c>
      <c r="E1913" s="1" t="s">
        <v>14102</v>
      </c>
      <c r="F1913" s="1" t="s">
        <v>98</v>
      </c>
      <c r="G1913" s="1" t="s">
        <v>4754</v>
      </c>
      <c r="H1913" s="1">
        <v>0</v>
      </c>
      <c r="I1913" s="1" t="s">
        <v>142</v>
      </c>
      <c r="J1913" s="1"/>
      <c r="K1913" s="1"/>
      <c r="L1913" s="1" t="s">
        <v>563</v>
      </c>
      <c r="M1913" s="1" t="s">
        <v>14103</v>
      </c>
      <c r="N1913" s="1">
        <v>0</v>
      </c>
      <c r="O1913" s="1">
        <v>0</v>
      </c>
      <c r="P1913" s="1" t="s">
        <v>301</v>
      </c>
      <c r="Q1913" s="1" t="s">
        <v>268</v>
      </c>
      <c r="R1913" s="1" t="s">
        <v>14104</v>
      </c>
      <c r="S1913" s="1" t="s">
        <v>14105</v>
      </c>
      <c r="T1913" s="1" t="s">
        <v>13306</v>
      </c>
      <c r="U1913" s="1" t="s">
        <v>14106</v>
      </c>
      <c r="V1913" s="1">
        <v>1</v>
      </c>
      <c r="W1913" s="1">
        <v>0</v>
      </c>
      <c r="X1913" s="1">
        <v>1</v>
      </c>
      <c r="Y1913" s="1">
        <v>0</v>
      </c>
      <c r="Z1913" s="1">
        <v>0</v>
      </c>
      <c r="AA1913" s="1">
        <v>4</v>
      </c>
      <c r="AB1913" s="1">
        <v>4</v>
      </c>
      <c r="AC1913" s="1" t="s">
        <v>109</v>
      </c>
      <c r="AD1913" s="1" t="s">
        <v>109</v>
      </c>
      <c r="AE1913" s="1" t="s">
        <v>109</v>
      </c>
      <c r="AF1913" s="1">
        <v>3</v>
      </c>
      <c r="AG1913" s="1" t="s">
        <v>109</v>
      </c>
      <c r="AH1913" s="1" t="s">
        <v>109</v>
      </c>
      <c r="AI1913" s="1" t="s">
        <v>109</v>
      </c>
      <c r="AJ1913" s="1">
        <v>4</v>
      </c>
      <c r="AK1913" s="1" t="s">
        <v>109</v>
      </c>
      <c r="AL1913" s="1" t="s">
        <v>109</v>
      </c>
      <c r="AM1913" s="1" t="s">
        <v>109</v>
      </c>
      <c r="AN1913" s="1" t="s">
        <v>109</v>
      </c>
      <c r="AO1913" s="1" t="s">
        <v>109</v>
      </c>
      <c r="AP1913" s="1"/>
      <c r="AQ1913" s="1">
        <v>4</v>
      </c>
      <c r="AR1913" s="1"/>
      <c r="AS1913" s="1" t="s">
        <v>14107</v>
      </c>
      <c r="AT1913" s="1">
        <v>0</v>
      </c>
      <c r="AU1913" s="1">
        <v>0</v>
      </c>
      <c r="AV1913" s="1">
        <v>0</v>
      </c>
      <c r="AW1913" s="1">
        <v>0</v>
      </c>
      <c r="AX1913" s="1">
        <v>0</v>
      </c>
      <c r="AY1913" s="1">
        <v>0</v>
      </c>
      <c r="AZ1913" s="1">
        <v>0</v>
      </c>
      <c r="BA1913" s="1">
        <v>0</v>
      </c>
      <c r="BB1913" s="1">
        <v>0</v>
      </c>
      <c r="BC1913" s="1">
        <v>0</v>
      </c>
      <c r="BD1913" s="1">
        <v>0</v>
      </c>
      <c r="BE1913" s="1">
        <v>0</v>
      </c>
      <c r="BF1913" s="1">
        <v>0</v>
      </c>
      <c r="BG1913" s="1">
        <v>0</v>
      </c>
      <c r="BH1913" s="1">
        <v>0</v>
      </c>
      <c r="BI1913" s="1">
        <v>0</v>
      </c>
      <c r="BJ1913" s="1">
        <v>1</v>
      </c>
      <c r="BK1913" s="1">
        <v>0</v>
      </c>
      <c r="BL1913" s="1">
        <v>0</v>
      </c>
      <c r="BM1913" s="1">
        <v>1</v>
      </c>
      <c r="BN1913" s="1">
        <v>0</v>
      </c>
      <c r="BO1913" s="1">
        <v>0</v>
      </c>
      <c r="BP1913" s="1">
        <v>0</v>
      </c>
      <c r="BQ1913" s="1">
        <v>0</v>
      </c>
      <c r="BR1913" s="1">
        <v>0</v>
      </c>
      <c r="BS1913" s="1" t="s">
        <v>109</v>
      </c>
      <c r="BT1913" s="1">
        <v>1987</v>
      </c>
      <c r="BU1913" s="1" t="s">
        <v>109</v>
      </c>
      <c r="BV1913" s="1"/>
      <c r="BW1913" s="1"/>
      <c r="BX1913" s="1"/>
      <c r="BY1913" s="1"/>
      <c r="BZ1913" s="1">
        <v>0</v>
      </c>
      <c r="CA1913" s="1" t="s">
        <v>109</v>
      </c>
      <c r="CB1913" s="1" t="s">
        <v>109</v>
      </c>
      <c r="CC1913" s="1">
        <v>4</v>
      </c>
      <c r="CD1913" s="1" t="s">
        <v>109</v>
      </c>
      <c r="CE1913" s="1">
        <v>3</v>
      </c>
      <c r="CF1913" s="1" t="s">
        <v>109</v>
      </c>
      <c r="CG1913" s="1" t="s">
        <v>109</v>
      </c>
      <c r="CH1913" s="1" t="s">
        <v>109</v>
      </c>
      <c r="CI1913" s="1" t="s">
        <v>109</v>
      </c>
      <c r="CJ1913" s="1" t="s">
        <v>109</v>
      </c>
      <c r="CK1913" s="1"/>
      <c r="CL1913" s="1">
        <v>0</v>
      </c>
      <c r="CM1913" s="1">
        <v>0</v>
      </c>
      <c r="CN1913" s="1">
        <v>0</v>
      </c>
    </row>
    <row r="1914" spans="1:92" ht="14.25" customHeight="1" x14ac:dyDescent="0.15">
      <c r="A1914" s="1" t="s">
        <v>14108</v>
      </c>
      <c r="B1914" s="1" t="s">
        <v>674</v>
      </c>
      <c r="C1914" s="1" t="s">
        <v>68</v>
      </c>
      <c r="D1914" s="1" t="s">
        <v>8647</v>
      </c>
      <c r="E1914" s="1" t="s">
        <v>14109</v>
      </c>
      <c r="F1914" s="1" t="s">
        <v>98</v>
      </c>
      <c r="G1914" s="1" t="s">
        <v>141</v>
      </c>
      <c r="H1914" s="1">
        <v>0</v>
      </c>
      <c r="I1914" s="1" t="s">
        <v>142</v>
      </c>
      <c r="J1914" s="1"/>
      <c r="K1914" s="1" t="s">
        <v>2137</v>
      </c>
      <c r="L1914" s="1"/>
      <c r="M1914" s="1" t="s">
        <v>125</v>
      </c>
      <c r="N1914" s="1">
        <v>0</v>
      </c>
      <c r="O1914" s="1">
        <v>0</v>
      </c>
      <c r="P1914" s="1" t="s">
        <v>103</v>
      </c>
      <c r="Q1914" s="1" t="s">
        <v>104</v>
      </c>
      <c r="R1914" s="1" t="s">
        <v>14110</v>
      </c>
      <c r="S1914" s="1" t="s">
        <v>14111</v>
      </c>
      <c r="T1914" s="1" t="s">
        <v>13306</v>
      </c>
      <c r="U1914" s="1" t="s">
        <v>14112</v>
      </c>
      <c r="V1914" s="1">
        <v>1</v>
      </c>
      <c r="W1914" s="1">
        <v>1</v>
      </c>
      <c r="X1914" s="1">
        <v>0</v>
      </c>
      <c r="Y1914" s="1">
        <v>0</v>
      </c>
      <c r="Z1914" s="1">
        <v>0</v>
      </c>
      <c r="AA1914" s="1">
        <v>2</v>
      </c>
      <c r="AB1914" s="1">
        <v>2</v>
      </c>
      <c r="AC1914" s="1" t="s">
        <v>109</v>
      </c>
      <c r="AD1914" s="1" t="s">
        <v>109</v>
      </c>
      <c r="AE1914" s="1" t="s">
        <v>109</v>
      </c>
      <c r="AF1914" s="1" t="s">
        <v>109</v>
      </c>
      <c r="AG1914" s="1" t="s">
        <v>109</v>
      </c>
      <c r="AH1914" s="1" t="s">
        <v>109</v>
      </c>
      <c r="AI1914" s="1" t="s">
        <v>109</v>
      </c>
      <c r="AJ1914" s="1">
        <v>2</v>
      </c>
      <c r="AK1914" s="1" t="s">
        <v>109</v>
      </c>
      <c r="AL1914" s="1" t="s">
        <v>109</v>
      </c>
      <c r="AM1914" s="1" t="s">
        <v>109</v>
      </c>
      <c r="AN1914" s="1" t="s">
        <v>109</v>
      </c>
      <c r="AO1914" s="1" t="s">
        <v>109</v>
      </c>
      <c r="AP1914" s="1"/>
      <c r="AQ1914" s="1">
        <v>2</v>
      </c>
      <c r="AR1914" s="1"/>
      <c r="AS1914" s="1" t="s">
        <v>14113</v>
      </c>
      <c r="AT1914" s="1">
        <v>0</v>
      </c>
      <c r="AU1914" s="1">
        <v>0</v>
      </c>
      <c r="AV1914" s="1">
        <v>0</v>
      </c>
      <c r="AW1914" s="1">
        <v>0</v>
      </c>
      <c r="AX1914" s="1">
        <v>0</v>
      </c>
      <c r="AY1914" s="1">
        <v>1</v>
      </c>
      <c r="AZ1914" s="1">
        <v>0</v>
      </c>
      <c r="BA1914" s="1">
        <v>0</v>
      </c>
      <c r="BB1914" s="1">
        <v>0</v>
      </c>
      <c r="BC1914" s="1">
        <v>0</v>
      </c>
      <c r="BD1914" s="1">
        <v>0</v>
      </c>
      <c r="BE1914" s="1">
        <v>0</v>
      </c>
      <c r="BF1914" s="1">
        <v>0</v>
      </c>
      <c r="BG1914" s="1">
        <v>0</v>
      </c>
      <c r="BH1914" s="1">
        <v>0</v>
      </c>
      <c r="BI1914" s="1">
        <v>0</v>
      </c>
      <c r="BJ1914" s="1">
        <v>0</v>
      </c>
      <c r="BK1914" s="1">
        <v>0</v>
      </c>
      <c r="BL1914" s="1">
        <v>0</v>
      </c>
      <c r="BM1914" s="1">
        <v>0</v>
      </c>
      <c r="BN1914" s="1">
        <v>0</v>
      </c>
      <c r="BO1914" s="1">
        <v>0</v>
      </c>
      <c r="BP1914" s="1">
        <v>1</v>
      </c>
      <c r="BQ1914" s="1">
        <v>0</v>
      </c>
      <c r="BR1914" s="1">
        <v>0</v>
      </c>
      <c r="BS1914" s="1" t="s">
        <v>109</v>
      </c>
      <c r="BT1914" s="1">
        <v>1988</v>
      </c>
      <c r="BU1914" s="1" t="s">
        <v>109</v>
      </c>
      <c r="BV1914" s="1"/>
      <c r="BW1914" s="1"/>
      <c r="BX1914" s="1"/>
      <c r="BY1914" s="1"/>
      <c r="BZ1914" s="1">
        <v>0</v>
      </c>
      <c r="CA1914" s="1" t="s">
        <v>109</v>
      </c>
      <c r="CB1914" s="1" t="s">
        <v>109</v>
      </c>
      <c r="CC1914" s="1">
        <v>2</v>
      </c>
      <c r="CD1914" s="1" t="s">
        <v>109</v>
      </c>
      <c r="CE1914" s="1">
        <v>2</v>
      </c>
      <c r="CF1914" s="1" t="s">
        <v>109</v>
      </c>
      <c r="CG1914" s="1">
        <v>2</v>
      </c>
      <c r="CH1914" s="1" t="s">
        <v>109</v>
      </c>
      <c r="CI1914" s="1" t="s">
        <v>109</v>
      </c>
      <c r="CJ1914" s="1" t="s">
        <v>109</v>
      </c>
      <c r="CK1914" s="1"/>
      <c r="CL1914" s="1">
        <v>0</v>
      </c>
      <c r="CM1914" s="1">
        <v>0</v>
      </c>
      <c r="CN1914" s="1">
        <v>0</v>
      </c>
    </row>
    <row r="1915" spans="1:92" ht="14.25" customHeight="1" x14ac:dyDescent="0.15">
      <c r="A1915" s="1" t="s">
        <v>14114</v>
      </c>
      <c r="B1915" s="1" t="s">
        <v>584</v>
      </c>
      <c r="C1915" s="1"/>
      <c r="D1915" s="1" t="s">
        <v>64</v>
      </c>
      <c r="E1915" s="1" t="s">
        <v>14115</v>
      </c>
      <c r="F1915" s="1" t="s">
        <v>98</v>
      </c>
      <c r="G1915" s="1" t="s">
        <v>141</v>
      </c>
      <c r="H1915" s="1">
        <v>0</v>
      </c>
      <c r="I1915" s="1" t="s">
        <v>14116</v>
      </c>
      <c r="J1915" s="1" t="s">
        <v>6646</v>
      </c>
      <c r="K1915" s="1"/>
      <c r="L1915" s="1"/>
      <c r="M1915" s="1" t="s">
        <v>125</v>
      </c>
      <c r="N1915" s="1">
        <v>0</v>
      </c>
      <c r="O1915" s="1">
        <v>0</v>
      </c>
      <c r="P1915" s="1" t="s">
        <v>14117</v>
      </c>
      <c r="Q1915" s="1" t="s">
        <v>13772</v>
      </c>
      <c r="R1915" s="1" t="s">
        <v>14118</v>
      </c>
      <c r="S1915" s="1" t="s">
        <v>14119</v>
      </c>
      <c r="T1915" s="1" t="s">
        <v>13306</v>
      </c>
      <c r="U1915" s="1" t="s">
        <v>14120</v>
      </c>
      <c r="V1915" s="1">
        <v>1</v>
      </c>
      <c r="W1915" s="1">
        <v>1</v>
      </c>
      <c r="X1915" s="1">
        <v>0</v>
      </c>
      <c r="Y1915" s="1">
        <v>0</v>
      </c>
      <c r="Z1915" s="1">
        <v>0</v>
      </c>
      <c r="AA1915" s="1">
        <v>4</v>
      </c>
      <c r="AB1915" s="1">
        <v>4</v>
      </c>
      <c r="AC1915" s="1" t="s">
        <v>109</v>
      </c>
      <c r="AD1915" s="1" t="s">
        <v>109</v>
      </c>
      <c r="AE1915" s="1" t="s">
        <v>109</v>
      </c>
      <c r="AF1915" s="1" t="s">
        <v>109</v>
      </c>
      <c r="AG1915" s="1" t="s">
        <v>109</v>
      </c>
      <c r="AH1915" s="1">
        <v>4</v>
      </c>
      <c r="AI1915" s="1" t="s">
        <v>109</v>
      </c>
      <c r="AJ1915" s="1">
        <v>4</v>
      </c>
      <c r="AK1915" s="1" t="s">
        <v>109</v>
      </c>
      <c r="AL1915" s="1" t="s">
        <v>109</v>
      </c>
      <c r="AM1915" s="1" t="s">
        <v>109</v>
      </c>
      <c r="AN1915" s="1" t="s">
        <v>109</v>
      </c>
      <c r="AO1915" s="1" t="s">
        <v>109</v>
      </c>
      <c r="AP1915" s="1"/>
      <c r="AQ1915" s="1">
        <v>4</v>
      </c>
      <c r="AR1915" s="1"/>
      <c r="AS1915" s="1" t="s">
        <v>14121</v>
      </c>
      <c r="AT1915" s="1">
        <v>0</v>
      </c>
      <c r="AU1915" s="1">
        <v>0</v>
      </c>
      <c r="AV1915" s="1">
        <v>0</v>
      </c>
      <c r="AW1915" s="1">
        <v>0</v>
      </c>
      <c r="AX1915" s="1">
        <v>0</v>
      </c>
      <c r="AY1915" s="1">
        <v>0</v>
      </c>
      <c r="AZ1915" s="1">
        <v>0</v>
      </c>
      <c r="BA1915" s="1">
        <v>0</v>
      </c>
      <c r="BB1915" s="1">
        <v>0</v>
      </c>
      <c r="BC1915" s="1">
        <v>0</v>
      </c>
      <c r="BD1915" s="1">
        <v>0</v>
      </c>
      <c r="BE1915" s="1">
        <v>0</v>
      </c>
      <c r="BF1915" s="1">
        <v>0</v>
      </c>
      <c r="BG1915" s="1">
        <v>0</v>
      </c>
      <c r="BH1915" s="1">
        <v>0</v>
      </c>
      <c r="BI1915" s="1">
        <v>0</v>
      </c>
      <c r="BJ1915" s="1">
        <v>0</v>
      </c>
      <c r="BK1915" s="1">
        <v>0</v>
      </c>
      <c r="BL1915" s="1">
        <v>1</v>
      </c>
      <c r="BM1915" s="1">
        <v>0</v>
      </c>
      <c r="BN1915" s="1">
        <v>0</v>
      </c>
      <c r="BO1915" s="1">
        <v>0</v>
      </c>
      <c r="BP1915" s="1">
        <v>0</v>
      </c>
      <c r="BQ1915" s="1">
        <v>0</v>
      </c>
      <c r="BR1915" s="1">
        <v>0</v>
      </c>
      <c r="BS1915" s="1" t="s">
        <v>109</v>
      </c>
      <c r="BT1915" s="1">
        <v>1989</v>
      </c>
      <c r="BU1915" s="1" t="s">
        <v>109</v>
      </c>
      <c r="BV1915" s="1"/>
      <c r="BW1915" s="1"/>
      <c r="BX1915" s="1"/>
      <c r="BY1915" s="1"/>
      <c r="BZ1915" s="1">
        <v>0</v>
      </c>
      <c r="CA1915" s="1" t="s">
        <v>109</v>
      </c>
      <c r="CB1915" s="1" t="s">
        <v>109</v>
      </c>
      <c r="CC1915" s="1">
        <v>4</v>
      </c>
      <c r="CD1915" s="1" t="s">
        <v>109</v>
      </c>
      <c r="CE1915" s="1" t="s">
        <v>109</v>
      </c>
      <c r="CF1915" s="1">
        <v>4</v>
      </c>
      <c r="CG1915" s="1" t="s">
        <v>109</v>
      </c>
      <c r="CH1915" s="1" t="s">
        <v>109</v>
      </c>
      <c r="CI1915" s="1" t="s">
        <v>109</v>
      </c>
      <c r="CJ1915" s="1" t="s">
        <v>109</v>
      </c>
      <c r="CK1915" s="1"/>
      <c r="CL1915" s="1">
        <v>0</v>
      </c>
      <c r="CM1915" s="1">
        <v>0</v>
      </c>
      <c r="CN1915" s="1">
        <v>0</v>
      </c>
    </row>
    <row r="1916" spans="1:92" ht="14.25" customHeight="1" x14ac:dyDescent="0.15">
      <c r="A1916" s="1" t="s">
        <v>14122</v>
      </c>
      <c r="B1916" s="1" t="s">
        <v>189</v>
      </c>
      <c r="C1916" s="1"/>
      <c r="D1916" s="1" t="s">
        <v>9250</v>
      </c>
      <c r="E1916" s="1" t="s">
        <v>213</v>
      </c>
      <c r="F1916" s="1" t="s">
        <v>98</v>
      </c>
      <c r="G1916" s="1" t="s">
        <v>9251</v>
      </c>
      <c r="H1916" s="1">
        <v>1</v>
      </c>
      <c r="I1916" s="1" t="s">
        <v>925</v>
      </c>
      <c r="J1916" s="1"/>
      <c r="K1916" s="1" t="s">
        <v>13720</v>
      </c>
      <c r="L1916" s="1"/>
      <c r="M1916" s="1" t="s">
        <v>6144</v>
      </c>
      <c r="N1916" s="1">
        <v>1</v>
      </c>
      <c r="O1916" s="1">
        <v>0</v>
      </c>
      <c r="P1916" s="1" t="s">
        <v>103</v>
      </c>
      <c r="Q1916" s="1" t="s">
        <v>104</v>
      </c>
      <c r="R1916" s="1" t="s">
        <v>14123</v>
      </c>
      <c r="S1916" s="1" t="s">
        <v>14124</v>
      </c>
      <c r="T1916" s="1" t="s">
        <v>13306</v>
      </c>
      <c r="U1916" s="1" t="s">
        <v>14125</v>
      </c>
      <c r="V1916" s="1">
        <v>1</v>
      </c>
      <c r="W1916" s="1">
        <v>1</v>
      </c>
      <c r="X1916" s="1">
        <v>1</v>
      </c>
      <c r="Y1916" s="1">
        <v>0</v>
      </c>
      <c r="Z1916" s="1">
        <v>0</v>
      </c>
      <c r="AA1916" s="1" t="s">
        <v>109</v>
      </c>
      <c r="AB1916" s="1" t="s">
        <v>109</v>
      </c>
      <c r="AC1916" s="1">
        <v>2</v>
      </c>
      <c r="AD1916" s="1" t="s">
        <v>109</v>
      </c>
      <c r="AE1916" s="1" t="s">
        <v>109</v>
      </c>
      <c r="AF1916" s="1" t="s">
        <v>109</v>
      </c>
      <c r="AG1916" s="1" t="s">
        <v>109</v>
      </c>
      <c r="AH1916" s="1" t="s">
        <v>109</v>
      </c>
      <c r="AI1916" s="1" t="s">
        <v>109</v>
      </c>
      <c r="AJ1916" s="1" t="s">
        <v>109</v>
      </c>
      <c r="AK1916" s="1">
        <v>2</v>
      </c>
      <c r="AL1916" s="1">
        <v>2</v>
      </c>
      <c r="AM1916" s="1" t="s">
        <v>109</v>
      </c>
      <c r="AN1916" s="1" t="s">
        <v>109</v>
      </c>
      <c r="AO1916" s="1" t="s">
        <v>109</v>
      </c>
      <c r="AP1916" s="1"/>
      <c r="AQ1916" s="1">
        <v>2</v>
      </c>
      <c r="AR1916" s="1"/>
      <c r="AS1916" s="1" t="s">
        <v>14126</v>
      </c>
      <c r="AT1916" s="1">
        <v>0</v>
      </c>
      <c r="AU1916" s="1">
        <v>0</v>
      </c>
      <c r="AV1916" s="1">
        <v>0</v>
      </c>
      <c r="AW1916" s="1">
        <v>1</v>
      </c>
      <c r="AX1916" s="1">
        <v>0</v>
      </c>
      <c r="AY1916" s="1">
        <v>0</v>
      </c>
      <c r="AZ1916" s="1">
        <v>0</v>
      </c>
      <c r="BA1916" s="1">
        <v>0</v>
      </c>
      <c r="BB1916" s="1">
        <v>0</v>
      </c>
      <c r="BC1916" s="1">
        <v>0</v>
      </c>
      <c r="BD1916" s="1">
        <v>0</v>
      </c>
      <c r="BE1916" s="1">
        <v>1</v>
      </c>
      <c r="BF1916" s="1">
        <v>0</v>
      </c>
      <c r="BG1916" s="1">
        <v>0</v>
      </c>
      <c r="BH1916" s="1">
        <v>0</v>
      </c>
      <c r="BI1916" s="1">
        <v>0</v>
      </c>
      <c r="BJ1916" s="1">
        <v>0</v>
      </c>
      <c r="BK1916" s="1">
        <v>0</v>
      </c>
      <c r="BL1916" s="1">
        <v>0</v>
      </c>
      <c r="BM1916" s="1">
        <v>0</v>
      </c>
      <c r="BN1916" s="1">
        <v>0</v>
      </c>
      <c r="BO1916" s="1">
        <v>0</v>
      </c>
      <c r="BP1916" s="1">
        <v>0</v>
      </c>
      <c r="BQ1916" s="1">
        <v>0</v>
      </c>
      <c r="BR1916" s="1">
        <v>1</v>
      </c>
      <c r="BS1916" s="1" t="s">
        <v>109</v>
      </c>
      <c r="BT1916" s="1">
        <v>1990</v>
      </c>
      <c r="BU1916" s="1">
        <v>25</v>
      </c>
      <c r="BV1916" s="1"/>
      <c r="BW1916" s="1"/>
      <c r="BX1916" s="1"/>
      <c r="BY1916" s="1"/>
      <c r="BZ1916" s="1">
        <v>0</v>
      </c>
      <c r="CA1916" s="1" t="s">
        <v>109</v>
      </c>
      <c r="CB1916" s="1" t="s">
        <v>109</v>
      </c>
      <c r="CC1916" s="1" t="s">
        <v>109</v>
      </c>
      <c r="CD1916" s="1" t="s">
        <v>109</v>
      </c>
      <c r="CE1916" s="1" t="s">
        <v>109</v>
      </c>
      <c r="CF1916" s="1" t="s">
        <v>109</v>
      </c>
      <c r="CG1916" s="1" t="s">
        <v>109</v>
      </c>
      <c r="CH1916" s="1" t="s">
        <v>109</v>
      </c>
      <c r="CI1916" s="1" t="s">
        <v>109</v>
      </c>
      <c r="CJ1916" s="1" t="s">
        <v>109</v>
      </c>
      <c r="CK1916" s="1"/>
      <c r="CL1916" s="1">
        <v>0</v>
      </c>
      <c r="CM1916" s="1">
        <v>0</v>
      </c>
      <c r="CN1916" s="1">
        <v>0</v>
      </c>
    </row>
    <row r="1917" spans="1:92" ht="14.25" customHeight="1" x14ac:dyDescent="0.15">
      <c r="A1917" s="1" t="s">
        <v>14127</v>
      </c>
      <c r="B1917" s="1" t="s">
        <v>308</v>
      </c>
      <c r="C1917" s="1"/>
      <c r="D1917" s="1"/>
      <c r="E1917" s="1" t="s">
        <v>14128</v>
      </c>
      <c r="F1917" s="1" t="s">
        <v>98</v>
      </c>
      <c r="G1917" s="1" t="s">
        <v>141</v>
      </c>
      <c r="H1917" s="1">
        <v>0</v>
      </c>
      <c r="I1917" s="1" t="s">
        <v>122</v>
      </c>
      <c r="J1917" s="1"/>
      <c r="K1917" s="1"/>
      <c r="L1917" s="1" t="s">
        <v>14129</v>
      </c>
      <c r="M1917" s="1" t="s">
        <v>8008</v>
      </c>
      <c r="N1917" s="1">
        <v>1</v>
      </c>
      <c r="O1917" s="1">
        <v>0</v>
      </c>
      <c r="P1917" s="1" t="s">
        <v>103</v>
      </c>
      <c r="Q1917" s="1" t="s">
        <v>268</v>
      </c>
      <c r="R1917" s="1" t="s">
        <v>14130</v>
      </c>
      <c r="S1917" s="1" t="s">
        <v>14131</v>
      </c>
      <c r="T1917" s="1" t="s">
        <v>13306</v>
      </c>
      <c r="U1917" s="1" t="s">
        <v>14132</v>
      </c>
      <c r="V1917" s="1">
        <v>1</v>
      </c>
      <c r="W1917" s="1">
        <v>1</v>
      </c>
      <c r="X1917" s="1">
        <v>0</v>
      </c>
      <c r="Y1917" s="1">
        <v>0</v>
      </c>
      <c r="Z1917" s="1">
        <v>0</v>
      </c>
      <c r="AA1917" s="1">
        <v>3</v>
      </c>
      <c r="AB1917" s="1">
        <v>3</v>
      </c>
      <c r="AC1917" s="1">
        <v>2</v>
      </c>
      <c r="AD1917" s="1" t="s">
        <v>109</v>
      </c>
      <c r="AE1917" s="1" t="s">
        <v>109</v>
      </c>
      <c r="AF1917" s="1" t="s">
        <v>109</v>
      </c>
      <c r="AG1917" s="1" t="s">
        <v>109</v>
      </c>
      <c r="AH1917" s="1" t="s">
        <v>109</v>
      </c>
      <c r="AI1917" s="1" t="s">
        <v>109</v>
      </c>
      <c r="AJ1917" s="1">
        <v>3</v>
      </c>
      <c r="AK1917" s="1" t="s">
        <v>109</v>
      </c>
      <c r="AL1917" s="1">
        <v>2</v>
      </c>
      <c r="AM1917" s="1" t="s">
        <v>109</v>
      </c>
      <c r="AN1917" s="1" t="s">
        <v>109</v>
      </c>
      <c r="AO1917" s="1" t="s">
        <v>109</v>
      </c>
      <c r="AP1917" s="1"/>
      <c r="AQ1917" s="1">
        <v>3</v>
      </c>
      <c r="AR1917" s="1"/>
      <c r="AS1917" s="1" t="s">
        <v>14133</v>
      </c>
      <c r="AT1917" s="1">
        <v>0</v>
      </c>
      <c r="AU1917" s="1">
        <v>0</v>
      </c>
      <c r="AV1917" s="1">
        <v>0</v>
      </c>
      <c r="AW1917" s="1">
        <v>0</v>
      </c>
      <c r="AX1917" s="1">
        <v>0</v>
      </c>
      <c r="AY1917" s="1">
        <v>0</v>
      </c>
      <c r="AZ1917" s="1">
        <v>0</v>
      </c>
      <c r="BA1917" s="1">
        <v>0</v>
      </c>
      <c r="BB1917" s="1">
        <v>0</v>
      </c>
      <c r="BC1917" s="1">
        <v>0</v>
      </c>
      <c r="BD1917" s="1">
        <v>0</v>
      </c>
      <c r="BE1917" s="1">
        <v>0</v>
      </c>
      <c r="BF1917" s="1">
        <v>0</v>
      </c>
      <c r="BG1917" s="1">
        <v>0</v>
      </c>
      <c r="BH1917" s="1">
        <v>0</v>
      </c>
      <c r="BI1917" s="1">
        <v>0</v>
      </c>
      <c r="BJ1917" s="1">
        <v>0</v>
      </c>
      <c r="BK1917" s="1">
        <v>0</v>
      </c>
      <c r="BL1917" s="1">
        <v>0</v>
      </c>
      <c r="BM1917" s="1">
        <v>0</v>
      </c>
      <c r="BN1917" s="1">
        <v>0</v>
      </c>
      <c r="BO1917" s="1">
        <v>0</v>
      </c>
      <c r="BP1917" s="1">
        <v>0</v>
      </c>
      <c r="BQ1917" s="1">
        <v>0</v>
      </c>
      <c r="BR1917" s="1">
        <v>0</v>
      </c>
      <c r="BS1917" s="1" t="s">
        <v>109</v>
      </c>
      <c r="BT1917" s="1">
        <v>1991</v>
      </c>
      <c r="BU1917" s="1" t="s">
        <v>109</v>
      </c>
      <c r="BV1917" s="1"/>
      <c r="BW1917" s="1"/>
      <c r="BX1917" s="1"/>
      <c r="BY1917" s="1"/>
      <c r="BZ1917" s="1">
        <v>0</v>
      </c>
      <c r="CA1917" s="1" t="s">
        <v>109</v>
      </c>
      <c r="CB1917" s="1" t="s">
        <v>109</v>
      </c>
      <c r="CC1917" s="1" t="s">
        <v>109</v>
      </c>
      <c r="CD1917" s="1" t="s">
        <v>109</v>
      </c>
      <c r="CE1917" s="1">
        <v>2</v>
      </c>
      <c r="CF1917" s="1" t="s">
        <v>109</v>
      </c>
      <c r="CG1917" s="1">
        <v>3</v>
      </c>
      <c r="CH1917" s="1" t="s">
        <v>109</v>
      </c>
      <c r="CI1917" s="1" t="s">
        <v>109</v>
      </c>
      <c r="CJ1917" s="1" t="s">
        <v>109</v>
      </c>
      <c r="CK1917" s="1"/>
      <c r="CL1917" s="1">
        <v>0</v>
      </c>
      <c r="CM1917" s="1">
        <v>0</v>
      </c>
      <c r="CN1917" s="1">
        <v>0</v>
      </c>
    </row>
    <row r="1918" spans="1:92" ht="14.25" customHeight="1" x14ac:dyDescent="0.15">
      <c r="A1918" s="1" t="s">
        <v>14134</v>
      </c>
      <c r="B1918" s="1" t="s">
        <v>308</v>
      </c>
      <c r="C1918" s="1"/>
      <c r="D1918" s="1"/>
      <c r="E1918" s="1" t="s">
        <v>14135</v>
      </c>
      <c r="F1918" s="1" t="s">
        <v>98</v>
      </c>
      <c r="G1918" s="1" t="s">
        <v>141</v>
      </c>
      <c r="H1918" s="1">
        <v>0</v>
      </c>
      <c r="I1918" s="1" t="s">
        <v>235</v>
      </c>
      <c r="J1918" s="1"/>
      <c r="K1918" s="1"/>
      <c r="L1918" s="1" t="s">
        <v>236</v>
      </c>
      <c r="M1918" s="1" t="s">
        <v>574</v>
      </c>
      <c r="N1918" s="1">
        <v>1</v>
      </c>
      <c r="O1918" s="1">
        <v>0</v>
      </c>
      <c r="P1918" s="1"/>
      <c r="Q1918" s="1"/>
      <c r="R1918" s="1" t="s">
        <v>14136</v>
      </c>
      <c r="S1918" s="1" t="s">
        <v>14137</v>
      </c>
      <c r="T1918" s="1" t="s">
        <v>13306</v>
      </c>
      <c r="U1918" s="1" t="s">
        <v>14138</v>
      </c>
      <c r="V1918" s="1">
        <v>1</v>
      </c>
      <c r="W1918" s="1">
        <v>1</v>
      </c>
      <c r="X1918" s="1">
        <v>0</v>
      </c>
      <c r="Y1918" s="1">
        <v>0</v>
      </c>
      <c r="Z1918" s="1">
        <v>0</v>
      </c>
      <c r="AA1918" s="1">
        <v>5</v>
      </c>
      <c r="AB1918" s="1">
        <v>5</v>
      </c>
      <c r="AC1918" s="1" t="s">
        <v>109</v>
      </c>
      <c r="AD1918" s="1" t="s">
        <v>109</v>
      </c>
      <c r="AE1918" s="1" t="s">
        <v>109</v>
      </c>
      <c r="AF1918" s="1" t="s">
        <v>109</v>
      </c>
      <c r="AG1918" s="1" t="s">
        <v>109</v>
      </c>
      <c r="AH1918" s="1" t="s">
        <v>109</v>
      </c>
      <c r="AI1918" s="1" t="s">
        <v>109</v>
      </c>
      <c r="AJ1918" s="1" t="s">
        <v>109</v>
      </c>
      <c r="AK1918" s="1" t="s">
        <v>109</v>
      </c>
      <c r="AL1918" s="1" t="s">
        <v>109</v>
      </c>
      <c r="AM1918" s="1" t="s">
        <v>109</v>
      </c>
      <c r="AN1918" s="1">
        <v>5</v>
      </c>
      <c r="AO1918" s="1" t="s">
        <v>109</v>
      </c>
      <c r="AP1918" s="1"/>
      <c r="AQ1918" s="1">
        <v>5</v>
      </c>
      <c r="AR1918" s="1"/>
      <c r="AS1918" s="1" t="s">
        <v>14139</v>
      </c>
      <c r="AT1918" s="1">
        <v>0</v>
      </c>
      <c r="AU1918" s="1">
        <v>0</v>
      </c>
      <c r="AV1918" s="1">
        <v>0</v>
      </c>
      <c r="AW1918" s="1">
        <v>0</v>
      </c>
      <c r="AX1918" s="1">
        <v>0</v>
      </c>
      <c r="AY1918" s="1">
        <v>0</v>
      </c>
      <c r="AZ1918" s="1">
        <v>0</v>
      </c>
      <c r="BA1918" s="1">
        <v>0</v>
      </c>
      <c r="BB1918" s="1">
        <v>0</v>
      </c>
      <c r="BC1918" s="1">
        <v>0</v>
      </c>
      <c r="BD1918" s="1">
        <v>0</v>
      </c>
      <c r="BE1918" s="1">
        <v>0</v>
      </c>
      <c r="BF1918" s="1">
        <v>0</v>
      </c>
      <c r="BG1918" s="1">
        <v>0</v>
      </c>
      <c r="BH1918" s="1">
        <v>0</v>
      </c>
      <c r="BI1918" s="1">
        <v>0</v>
      </c>
      <c r="BJ1918" s="1">
        <v>0</v>
      </c>
      <c r="BK1918" s="1">
        <v>0</v>
      </c>
      <c r="BL1918" s="1">
        <v>0</v>
      </c>
      <c r="BM1918" s="1">
        <v>0</v>
      </c>
      <c r="BN1918" s="1">
        <v>0</v>
      </c>
      <c r="BO1918" s="1">
        <v>0</v>
      </c>
      <c r="BP1918" s="1">
        <v>0</v>
      </c>
      <c r="BQ1918" s="1">
        <v>0</v>
      </c>
      <c r="BR1918" s="1">
        <v>0</v>
      </c>
      <c r="BS1918" s="1" t="s">
        <v>109</v>
      </c>
      <c r="BT1918" s="1">
        <v>1992</v>
      </c>
      <c r="BU1918" s="1" t="s">
        <v>109</v>
      </c>
      <c r="BV1918" s="1"/>
      <c r="BW1918" s="1"/>
      <c r="BX1918" s="1"/>
      <c r="BY1918" s="1"/>
      <c r="BZ1918" s="1">
        <v>0</v>
      </c>
      <c r="CA1918" s="1" t="s">
        <v>109</v>
      </c>
      <c r="CB1918" s="1" t="s">
        <v>109</v>
      </c>
      <c r="CC1918" s="1" t="s">
        <v>109</v>
      </c>
      <c r="CD1918" s="1" t="s">
        <v>109</v>
      </c>
      <c r="CE1918" s="1" t="s">
        <v>109</v>
      </c>
      <c r="CF1918" s="1" t="s">
        <v>109</v>
      </c>
      <c r="CG1918" s="1">
        <v>5</v>
      </c>
      <c r="CH1918" s="1" t="s">
        <v>109</v>
      </c>
      <c r="CI1918" s="1" t="s">
        <v>109</v>
      </c>
      <c r="CJ1918" s="1" t="s">
        <v>109</v>
      </c>
      <c r="CK1918" s="1"/>
      <c r="CL1918" s="1">
        <v>0</v>
      </c>
      <c r="CM1918" s="1">
        <v>0</v>
      </c>
      <c r="CN1918" s="1">
        <v>0</v>
      </c>
    </row>
    <row r="1919" spans="1:92" ht="14.25" customHeight="1" x14ac:dyDescent="0.15">
      <c r="A1919" s="1" t="s">
        <v>14140</v>
      </c>
      <c r="B1919" s="1" t="s">
        <v>308</v>
      </c>
      <c r="C1919" s="1"/>
      <c r="D1919" s="1"/>
      <c r="E1919" s="1" t="s">
        <v>14141</v>
      </c>
      <c r="F1919" s="1" t="s">
        <v>98</v>
      </c>
      <c r="G1919" s="1" t="s">
        <v>141</v>
      </c>
      <c r="H1919" s="1">
        <v>0</v>
      </c>
      <c r="I1919" s="1" t="s">
        <v>122</v>
      </c>
      <c r="J1919" s="1"/>
      <c r="K1919" s="1" t="s">
        <v>14142</v>
      </c>
      <c r="L1919" s="1"/>
      <c r="M1919" s="1" t="s">
        <v>3019</v>
      </c>
      <c r="N1919" s="1">
        <v>0</v>
      </c>
      <c r="O1919" s="1">
        <v>0</v>
      </c>
      <c r="P1919" s="1" t="s">
        <v>267</v>
      </c>
      <c r="Q1919" s="1" t="s">
        <v>268</v>
      </c>
      <c r="R1919" s="1" t="s">
        <v>14143</v>
      </c>
      <c r="S1919" s="1" t="s">
        <v>14144</v>
      </c>
      <c r="T1919" s="1" t="s">
        <v>13306</v>
      </c>
      <c r="U1919" s="1" t="s">
        <v>14145</v>
      </c>
      <c r="V1919" s="1">
        <v>1</v>
      </c>
      <c r="W1919" s="1">
        <v>1</v>
      </c>
      <c r="X1919" s="1">
        <v>0</v>
      </c>
      <c r="Y1919" s="1">
        <v>0</v>
      </c>
      <c r="Z1919" s="1">
        <v>0</v>
      </c>
      <c r="AA1919" s="1">
        <v>4</v>
      </c>
      <c r="AB1919" s="1">
        <v>4</v>
      </c>
      <c r="AC1919" s="1">
        <v>5</v>
      </c>
      <c r="AD1919" s="1" t="s">
        <v>109</v>
      </c>
      <c r="AE1919" s="1" t="s">
        <v>109</v>
      </c>
      <c r="AF1919" s="1">
        <v>4</v>
      </c>
      <c r="AG1919" s="1" t="s">
        <v>109</v>
      </c>
      <c r="AH1919" s="1" t="s">
        <v>109</v>
      </c>
      <c r="AI1919" s="1" t="s">
        <v>109</v>
      </c>
      <c r="AJ1919" s="1">
        <v>4</v>
      </c>
      <c r="AK1919" s="1" t="s">
        <v>109</v>
      </c>
      <c r="AL1919" s="1">
        <v>5</v>
      </c>
      <c r="AM1919" s="1" t="s">
        <v>109</v>
      </c>
      <c r="AN1919" s="1" t="s">
        <v>109</v>
      </c>
      <c r="AO1919" s="1" t="s">
        <v>109</v>
      </c>
      <c r="AP1919" s="1"/>
      <c r="AQ1919" s="1">
        <v>4</v>
      </c>
      <c r="AR1919" s="1"/>
      <c r="AS1919" s="1" t="s">
        <v>14146</v>
      </c>
      <c r="AT1919" s="1">
        <v>0</v>
      </c>
      <c r="AU1919" s="1">
        <v>0</v>
      </c>
      <c r="AV1919" s="1">
        <v>0</v>
      </c>
      <c r="AW1919" s="1">
        <v>0</v>
      </c>
      <c r="AX1919" s="1">
        <v>0</v>
      </c>
      <c r="AY1919" s="1">
        <v>0</v>
      </c>
      <c r="AZ1919" s="1">
        <v>0</v>
      </c>
      <c r="BA1919" s="1">
        <v>0</v>
      </c>
      <c r="BB1919" s="1">
        <v>0</v>
      </c>
      <c r="BC1919" s="1">
        <v>0</v>
      </c>
      <c r="BD1919" s="1">
        <v>0</v>
      </c>
      <c r="BE1919" s="1">
        <v>0</v>
      </c>
      <c r="BF1919" s="1">
        <v>0</v>
      </c>
      <c r="BG1919" s="1">
        <v>0</v>
      </c>
      <c r="BH1919" s="1">
        <v>0</v>
      </c>
      <c r="BI1919" s="1">
        <v>0</v>
      </c>
      <c r="BJ1919" s="1">
        <v>0</v>
      </c>
      <c r="BK1919" s="1">
        <v>0</v>
      </c>
      <c r="BL1919" s="1">
        <v>0</v>
      </c>
      <c r="BM1919" s="1">
        <v>0</v>
      </c>
      <c r="BN1919" s="1">
        <v>0</v>
      </c>
      <c r="BO1919" s="1">
        <v>0</v>
      </c>
      <c r="BP1919" s="1">
        <v>0</v>
      </c>
      <c r="BQ1919" s="1">
        <v>0</v>
      </c>
      <c r="BR1919" s="1">
        <v>0</v>
      </c>
      <c r="BS1919" s="1" t="s">
        <v>109</v>
      </c>
      <c r="BT1919" s="1">
        <v>1993</v>
      </c>
      <c r="BU1919" s="1" t="s">
        <v>109</v>
      </c>
      <c r="BV1919" s="1"/>
      <c r="BW1919" s="1"/>
      <c r="BX1919" s="1"/>
      <c r="BY1919" s="1"/>
      <c r="BZ1919" s="1">
        <v>0</v>
      </c>
      <c r="CA1919" s="1" t="s">
        <v>109</v>
      </c>
      <c r="CB1919" s="1" t="s">
        <v>109</v>
      </c>
      <c r="CC1919" s="1">
        <v>4</v>
      </c>
      <c r="CD1919" s="1" t="s">
        <v>109</v>
      </c>
      <c r="CE1919" s="1" t="s">
        <v>109</v>
      </c>
      <c r="CF1919" s="1" t="s">
        <v>109</v>
      </c>
      <c r="CG1919" s="1" t="s">
        <v>109</v>
      </c>
      <c r="CH1919" s="1" t="s">
        <v>109</v>
      </c>
      <c r="CI1919" s="1" t="s">
        <v>109</v>
      </c>
      <c r="CJ1919" s="1" t="s">
        <v>109</v>
      </c>
      <c r="CK1919" s="1"/>
      <c r="CL1919" s="1">
        <v>0</v>
      </c>
      <c r="CM1919" s="1">
        <v>0</v>
      </c>
      <c r="CN1919" s="1">
        <v>0</v>
      </c>
    </row>
    <row r="1920" spans="1:92" ht="14.25" customHeight="1" x14ac:dyDescent="0.15">
      <c r="A1920" s="1" t="s">
        <v>14147</v>
      </c>
      <c r="B1920" s="1" t="s">
        <v>674</v>
      </c>
      <c r="C1920" s="1" t="s">
        <v>944</v>
      </c>
      <c r="D1920" s="1" t="s">
        <v>158</v>
      </c>
      <c r="E1920" s="1" t="s">
        <v>13522</v>
      </c>
      <c r="F1920" s="1" t="s">
        <v>98</v>
      </c>
      <c r="G1920" s="1" t="s">
        <v>141</v>
      </c>
      <c r="H1920" s="1">
        <v>0</v>
      </c>
      <c r="I1920" s="1" t="s">
        <v>142</v>
      </c>
      <c r="J1920" s="1"/>
      <c r="K1920" s="1" t="s">
        <v>14148</v>
      </c>
      <c r="L1920" s="1"/>
      <c r="M1920" s="1" t="s">
        <v>125</v>
      </c>
      <c r="N1920" s="1">
        <v>0</v>
      </c>
      <c r="O1920" s="1">
        <v>0</v>
      </c>
      <c r="P1920" s="1" t="s">
        <v>211</v>
      </c>
      <c r="Q1920" s="1" t="s">
        <v>104</v>
      </c>
      <c r="R1920" s="1" t="s">
        <v>14149</v>
      </c>
      <c r="S1920" s="1" t="s">
        <v>14150</v>
      </c>
      <c r="T1920" s="1" t="s">
        <v>13306</v>
      </c>
      <c r="U1920" s="1" t="s">
        <v>14151</v>
      </c>
      <c r="V1920" s="1">
        <v>1</v>
      </c>
      <c r="W1920" s="1">
        <v>1</v>
      </c>
      <c r="X1920" s="1">
        <v>0</v>
      </c>
      <c r="Y1920" s="1">
        <v>0</v>
      </c>
      <c r="Z1920" s="1">
        <v>0</v>
      </c>
      <c r="AA1920" s="1">
        <v>3</v>
      </c>
      <c r="AB1920" s="1">
        <v>3</v>
      </c>
      <c r="AC1920" s="1" t="s">
        <v>109</v>
      </c>
      <c r="AD1920" s="1" t="s">
        <v>109</v>
      </c>
      <c r="AE1920" s="1" t="s">
        <v>109</v>
      </c>
      <c r="AF1920" s="1">
        <v>3</v>
      </c>
      <c r="AG1920" s="1" t="s">
        <v>109</v>
      </c>
      <c r="AH1920" s="1" t="s">
        <v>109</v>
      </c>
      <c r="AI1920" s="1" t="s">
        <v>109</v>
      </c>
      <c r="AJ1920" s="1" t="s">
        <v>109</v>
      </c>
      <c r="AK1920" s="1" t="s">
        <v>109</v>
      </c>
      <c r="AL1920" s="1" t="s">
        <v>109</v>
      </c>
      <c r="AM1920" s="1" t="s">
        <v>109</v>
      </c>
      <c r="AN1920" s="1" t="s">
        <v>109</v>
      </c>
      <c r="AO1920" s="1" t="s">
        <v>109</v>
      </c>
      <c r="AP1920" s="1"/>
      <c r="AQ1920" s="1">
        <v>3</v>
      </c>
      <c r="AR1920" s="1"/>
      <c r="AS1920" s="1" t="s">
        <v>14152</v>
      </c>
      <c r="AT1920" s="1">
        <v>0</v>
      </c>
      <c r="AU1920" s="1">
        <v>0</v>
      </c>
      <c r="AV1920" s="1">
        <v>0</v>
      </c>
      <c r="AW1920" s="1">
        <v>0</v>
      </c>
      <c r="AX1920" s="1">
        <v>0</v>
      </c>
      <c r="AY1920" s="1">
        <v>0</v>
      </c>
      <c r="AZ1920" s="1">
        <v>0</v>
      </c>
      <c r="BA1920" s="1">
        <v>0</v>
      </c>
      <c r="BB1920" s="1">
        <v>0</v>
      </c>
      <c r="BC1920" s="1">
        <v>0</v>
      </c>
      <c r="BD1920" s="1">
        <v>0</v>
      </c>
      <c r="BE1920" s="1">
        <v>0</v>
      </c>
      <c r="BF1920" s="1">
        <v>0</v>
      </c>
      <c r="BG1920" s="1">
        <v>0</v>
      </c>
      <c r="BH1920" s="1">
        <v>0</v>
      </c>
      <c r="BI1920" s="1">
        <v>0</v>
      </c>
      <c r="BJ1920" s="1">
        <v>0</v>
      </c>
      <c r="BK1920" s="1">
        <v>0</v>
      </c>
      <c r="BL1920" s="1">
        <v>0</v>
      </c>
      <c r="BM1920" s="1">
        <v>1</v>
      </c>
      <c r="BN1920" s="1">
        <v>0</v>
      </c>
      <c r="BO1920" s="1">
        <v>0</v>
      </c>
      <c r="BP1920" s="1">
        <v>0</v>
      </c>
      <c r="BQ1920" s="1">
        <v>0</v>
      </c>
      <c r="BR1920" s="1">
        <v>0</v>
      </c>
      <c r="BS1920" s="1" t="s">
        <v>109</v>
      </c>
      <c r="BT1920" s="1">
        <v>1994</v>
      </c>
      <c r="BU1920" s="1" t="s">
        <v>109</v>
      </c>
      <c r="BV1920" s="1"/>
      <c r="BW1920" s="1"/>
      <c r="BX1920" s="1"/>
      <c r="BY1920" s="1"/>
      <c r="BZ1920" s="1">
        <v>0</v>
      </c>
      <c r="CA1920" s="1" t="s">
        <v>109</v>
      </c>
      <c r="CB1920" s="1" t="s">
        <v>109</v>
      </c>
      <c r="CC1920" s="1">
        <v>3</v>
      </c>
      <c r="CD1920" s="1" t="s">
        <v>109</v>
      </c>
      <c r="CE1920" s="1" t="s">
        <v>109</v>
      </c>
      <c r="CF1920" s="1" t="s">
        <v>109</v>
      </c>
      <c r="CG1920" s="1" t="s">
        <v>109</v>
      </c>
      <c r="CH1920" s="1" t="s">
        <v>109</v>
      </c>
      <c r="CI1920" s="1" t="s">
        <v>109</v>
      </c>
      <c r="CJ1920" s="1" t="s">
        <v>109</v>
      </c>
      <c r="CK1920" s="1"/>
      <c r="CL1920" s="1">
        <v>0</v>
      </c>
      <c r="CM1920" s="1">
        <v>0</v>
      </c>
      <c r="CN1920" s="1">
        <v>0</v>
      </c>
    </row>
    <row r="1921" spans="1:92" ht="14.25" customHeight="1" x14ac:dyDescent="0.15">
      <c r="A1921" s="1" t="s">
        <v>14153</v>
      </c>
      <c r="B1921" s="1" t="s">
        <v>242</v>
      </c>
      <c r="C1921" s="1"/>
      <c r="D1921" s="1" t="s">
        <v>70</v>
      </c>
      <c r="E1921" s="1" t="s">
        <v>14154</v>
      </c>
      <c r="F1921" s="1" t="s">
        <v>1963</v>
      </c>
      <c r="G1921" s="1" t="s">
        <v>333</v>
      </c>
      <c r="H1921" s="1">
        <v>0</v>
      </c>
      <c r="I1921" s="1" t="s">
        <v>235</v>
      </c>
      <c r="J1921" s="1"/>
      <c r="K1921" s="1"/>
      <c r="L1921" s="1" t="s">
        <v>236</v>
      </c>
      <c r="M1921" s="1" t="s">
        <v>14155</v>
      </c>
      <c r="N1921" s="1">
        <v>0</v>
      </c>
      <c r="O1921" s="1">
        <v>0</v>
      </c>
      <c r="P1921" s="1"/>
      <c r="Q1921" s="1"/>
      <c r="R1921" s="1" t="s">
        <v>14156</v>
      </c>
      <c r="S1921" s="1" t="s">
        <v>14157</v>
      </c>
      <c r="T1921" s="1" t="s">
        <v>13306</v>
      </c>
      <c r="U1921" s="1" t="s">
        <v>14158</v>
      </c>
      <c r="V1921" s="1">
        <v>1</v>
      </c>
      <c r="W1921" s="1">
        <v>0</v>
      </c>
      <c r="X1921" s="1">
        <v>0</v>
      </c>
      <c r="Y1921" s="1">
        <v>0</v>
      </c>
      <c r="Z1921" s="1">
        <v>0</v>
      </c>
      <c r="AA1921" s="1">
        <v>1</v>
      </c>
      <c r="AB1921" s="1">
        <v>1</v>
      </c>
      <c r="AC1921" s="1" t="s">
        <v>109</v>
      </c>
      <c r="AD1921" s="1">
        <v>1</v>
      </c>
      <c r="AE1921" s="1" t="s">
        <v>109</v>
      </c>
      <c r="AF1921" s="1" t="s">
        <v>109</v>
      </c>
      <c r="AG1921" s="1" t="s">
        <v>109</v>
      </c>
      <c r="AH1921" s="1" t="s">
        <v>109</v>
      </c>
      <c r="AI1921" s="1" t="s">
        <v>109</v>
      </c>
      <c r="AJ1921" s="1">
        <v>1</v>
      </c>
      <c r="AK1921" s="1" t="s">
        <v>109</v>
      </c>
      <c r="AL1921" s="1" t="s">
        <v>109</v>
      </c>
      <c r="AM1921" s="1" t="s">
        <v>109</v>
      </c>
      <c r="AN1921" s="1">
        <v>1</v>
      </c>
      <c r="AO1921" s="1" t="s">
        <v>109</v>
      </c>
      <c r="AP1921" s="1"/>
      <c r="AQ1921" s="1">
        <v>1</v>
      </c>
      <c r="AR1921" s="1"/>
      <c r="AS1921" s="1" t="s">
        <v>14159</v>
      </c>
      <c r="AT1921" s="1">
        <v>0</v>
      </c>
      <c r="AU1921" s="1">
        <v>0</v>
      </c>
      <c r="AV1921" s="1">
        <v>0</v>
      </c>
      <c r="AW1921" s="1">
        <v>0</v>
      </c>
      <c r="AX1921" s="1">
        <v>0</v>
      </c>
      <c r="AY1921" s="1">
        <v>0</v>
      </c>
      <c r="AZ1921" s="1">
        <v>0</v>
      </c>
      <c r="BA1921" s="1">
        <v>0</v>
      </c>
      <c r="BB1921" s="1">
        <v>0</v>
      </c>
      <c r="BC1921" s="1">
        <v>0</v>
      </c>
      <c r="BD1921" s="1">
        <v>0</v>
      </c>
      <c r="BE1921" s="1">
        <v>0</v>
      </c>
      <c r="BF1921" s="1">
        <v>0</v>
      </c>
      <c r="BG1921" s="1">
        <v>0</v>
      </c>
      <c r="BH1921" s="1">
        <v>0</v>
      </c>
      <c r="BI1921" s="1">
        <v>0</v>
      </c>
      <c r="BJ1921" s="1">
        <v>0</v>
      </c>
      <c r="BK1921" s="1">
        <v>0</v>
      </c>
      <c r="BL1921" s="1">
        <v>0</v>
      </c>
      <c r="BM1921" s="1">
        <v>0</v>
      </c>
      <c r="BN1921" s="1">
        <v>0</v>
      </c>
      <c r="BO1921" s="1">
        <v>0</v>
      </c>
      <c r="BP1921" s="1">
        <v>0</v>
      </c>
      <c r="BQ1921" s="1">
        <v>0</v>
      </c>
      <c r="BR1921" s="1">
        <v>1</v>
      </c>
      <c r="BS1921" s="1" t="s">
        <v>109</v>
      </c>
      <c r="BT1921" s="1">
        <v>1995</v>
      </c>
      <c r="BU1921" s="1" t="s">
        <v>109</v>
      </c>
      <c r="BV1921" s="1"/>
      <c r="BW1921" s="1"/>
      <c r="BX1921" s="1"/>
      <c r="BY1921" s="1"/>
      <c r="BZ1921" s="1">
        <v>0</v>
      </c>
      <c r="CA1921" s="1">
        <v>1</v>
      </c>
      <c r="CB1921" s="1">
        <v>1</v>
      </c>
      <c r="CC1921" s="1" t="s">
        <v>109</v>
      </c>
      <c r="CD1921" s="1" t="s">
        <v>109</v>
      </c>
      <c r="CE1921" s="1" t="s">
        <v>109</v>
      </c>
      <c r="CF1921" s="1" t="s">
        <v>109</v>
      </c>
      <c r="CG1921" s="1" t="s">
        <v>109</v>
      </c>
      <c r="CH1921" s="1" t="s">
        <v>109</v>
      </c>
      <c r="CI1921" s="1" t="s">
        <v>109</v>
      </c>
      <c r="CJ1921" s="1">
        <v>1</v>
      </c>
      <c r="CK1921" s="1"/>
      <c r="CL1921" s="1">
        <v>0</v>
      </c>
      <c r="CM1921" s="1">
        <v>0</v>
      </c>
      <c r="CN1921" s="1">
        <v>0</v>
      </c>
    </row>
    <row r="1922" spans="1:92" ht="14.25" customHeight="1" x14ac:dyDescent="0.15">
      <c r="A1922" s="1" t="s">
        <v>14160</v>
      </c>
      <c r="B1922" s="1" t="s">
        <v>95</v>
      </c>
      <c r="C1922" s="1" t="s">
        <v>1179</v>
      </c>
      <c r="D1922" s="1"/>
      <c r="E1922" s="1" t="s">
        <v>14161</v>
      </c>
      <c r="F1922" s="1" t="s">
        <v>98</v>
      </c>
      <c r="G1922" s="1" t="s">
        <v>4883</v>
      </c>
      <c r="H1922" s="1">
        <v>0</v>
      </c>
      <c r="I1922" s="1" t="s">
        <v>925</v>
      </c>
      <c r="J1922" s="1"/>
      <c r="K1922" s="1" t="s">
        <v>14162</v>
      </c>
      <c r="L1922" s="1"/>
      <c r="M1922" s="1" t="s">
        <v>14163</v>
      </c>
      <c r="N1922" s="1">
        <v>0</v>
      </c>
      <c r="O1922" s="1">
        <v>0</v>
      </c>
      <c r="P1922" s="1" t="s">
        <v>103</v>
      </c>
      <c r="Q1922" s="1" t="s">
        <v>268</v>
      </c>
      <c r="R1922" s="1" t="s">
        <v>14164</v>
      </c>
      <c r="S1922" s="1" t="s">
        <v>14165</v>
      </c>
      <c r="T1922" s="1" t="s">
        <v>13306</v>
      </c>
      <c r="U1922" s="1" t="s">
        <v>14166</v>
      </c>
      <c r="V1922" s="1">
        <v>1</v>
      </c>
      <c r="W1922" s="1">
        <v>1</v>
      </c>
      <c r="X1922" s="1">
        <v>1</v>
      </c>
      <c r="Y1922" s="1">
        <v>0</v>
      </c>
      <c r="Z1922" s="1">
        <v>1</v>
      </c>
      <c r="AA1922" s="1">
        <v>2</v>
      </c>
      <c r="AB1922" s="1">
        <v>2</v>
      </c>
      <c r="AC1922" s="1" t="s">
        <v>109</v>
      </c>
      <c r="AD1922" s="1">
        <v>2</v>
      </c>
      <c r="AE1922" s="1" t="s">
        <v>109</v>
      </c>
      <c r="AF1922" s="1">
        <v>2</v>
      </c>
      <c r="AG1922" s="1" t="s">
        <v>109</v>
      </c>
      <c r="AH1922" s="1" t="s">
        <v>109</v>
      </c>
      <c r="AI1922" s="1">
        <v>2</v>
      </c>
      <c r="AJ1922" s="1">
        <v>2</v>
      </c>
      <c r="AK1922" s="1" t="s">
        <v>109</v>
      </c>
      <c r="AL1922" s="1" t="s">
        <v>109</v>
      </c>
      <c r="AM1922" s="1" t="s">
        <v>109</v>
      </c>
      <c r="AN1922" s="1" t="s">
        <v>109</v>
      </c>
      <c r="AO1922" s="1" t="s">
        <v>109</v>
      </c>
      <c r="AP1922" s="1"/>
      <c r="AQ1922" s="1">
        <v>2</v>
      </c>
      <c r="AR1922" s="1"/>
      <c r="AS1922" s="1" t="s">
        <v>14167</v>
      </c>
      <c r="AT1922" s="1">
        <v>0</v>
      </c>
      <c r="AU1922" s="1">
        <v>0</v>
      </c>
      <c r="AV1922" s="1">
        <v>0</v>
      </c>
      <c r="AW1922" s="1">
        <v>0</v>
      </c>
      <c r="AX1922" s="1">
        <v>0</v>
      </c>
      <c r="AY1922" s="1">
        <v>0</v>
      </c>
      <c r="AZ1922" s="1">
        <v>0</v>
      </c>
      <c r="BA1922" s="1">
        <v>0</v>
      </c>
      <c r="BB1922" s="1">
        <v>0</v>
      </c>
      <c r="BC1922" s="1">
        <v>0</v>
      </c>
      <c r="BD1922" s="1">
        <v>0</v>
      </c>
      <c r="BE1922" s="1">
        <v>0</v>
      </c>
      <c r="BF1922" s="1">
        <v>0</v>
      </c>
      <c r="BG1922" s="1">
        <v>0</v>
      </c>
      <c r="BH1922" s="1">
        <v>0</v>
      </c>
      <c r="BI1922" s="1">
        <v>0</v>
      </c>
      <c r="BJ1922" s="1">
        <v>0</v>
      </c>
      <c r="BK1922" s="1">
        <v>0</v>
      </c>
      <c r="BL1922" s="1">
        <v>0</v>
      </c>
      <c r="BM1922" s="1">
        <v>0</v>
      </c>
      <c r="BN1922" s="1">
        <v>0</v>
      </c>
      <c r="BO1922" s="1">
        <v>0</v>
      </c>
      <c r="BP1922" s="1">
        <v>0</v>
      </c>
      <c r="BQ1922" s="1">
        <v>0</v>
      </c>
      <c r="BR1922" s="1">
        <v>0</v>
      </c>
      <c r="BS1922" s="1" t="s">
        <v>109</v>
      </c>
      <c r="BT1922" s="1">
        <v>1996</v>
      </c>
      <c r="BU1922" s="1" t="s">
        <v>109</v>
      </c>
      <c r="BV1922" s="1"/>
      <c r="BW1922" s="1"/>
      <c r="BX1922" s="1"/>
      <c r="BY1922" s="1"/>
      <c r="BZ1922" s="1">
        <v>0</v>
      </c>
      <c r="CA1922" s="1" t="s">
        <v>109</v>
      </c>
      <c r="CB1922" s="1" t="s">
        <v>109</v>
      </c>
      <c r="CC1922" s="1" t="s">
        <v>109</v>
      </c>
      <c r="CD1922" s="1" t="s">
        <v>109</v>
      </c>
      <c r="CE1922" s="1" t="s">
        <v>109</v>
      </c>
      <c r="CF1922" s="1" t="s">
        <v>109</v>
      </c>
      <c r="CG1922" s="1" t="s">
        <v>109</v>
      </c>
      <c r="CH1922" s="1" t="s">
        <v>109</v>
      </c>
      <c r="CI1922" s="1" t="s">
        <v>109</v>
      </c>
      <c r="CJ1922" s="1">
        <v>2</v>
      </c>
      <c r="CK1922" s="1"/>
      <c r="CL1922" s="1">
        <v>0</v>
      </c>
      <c r="CM1922" s="1">
        <v>0</v>
      </c>
      <c r="CN1922" s="1">
        <v>0</v>
      </c>
    </row>
    <row r="1923" spans="1:92" ht="14.25" customHeight="1" x14ac:dyDescent="0.15">
      <c r="A1923" s="1" t="s">
        <v>14168</v>
      </c>
      <c r="B1923" s="1" t="s">
        <v>95</v>
      </c>
      <c r="C1923" s="1" t="s">
        <v>1179</v>
      </c>
      <c r="D1923" s="1"/>
      <c r="E1923" s="1" t="s">
        <v>14169</v>
      </c>
      <c r="F1923" s="1" t="s">
        <v>98</v>
      </c>
      <c r="G1923" s="1" t="s">
        <v>4883</v>
      </c>
      <c r="H1923" s="1">
        <v>0</v>
      </c>
      <c r="I1923" s="1" t="s">
        <v>925</v>
      </c>
      <c r="J1923" s="1"/>
      <c r="K1923" s="1" t="s">
        <v>14162</v>
      </c>
      <c r="L1923" s="1"/>
      <c r="M1923" s="1" t="s">
        <v>14163</v>
      </c>
      <c r="N1923" s="1">
        <v>0</v>
      </c>
      <c r="O1923" s="1">
        <v>0</v>
      </c>
      <c r="P1923" s="1" t="s">
        <v>103</v>
      </c>
      <c r="Q1923" s="1" t="s">
        <v>268</v>
      </c>
      <c r="R1923" s="1" t="s">
        <v>14170</v>
      </c>
      <c r="S1923" s="1" t="s">
        <v>14171</v>
      </c>
      <c r="T1923" s="1" t="s">
        <v>13306</v>
      </c>
      <c r="U1923" s="1" t="s">
        <v>14172</v>
      </c>
      <c r="V1923" s="1">
        <v>1</v>
      </c>
      <c r="W1923" s="1">
        <v>1</v>
      </c>
      <c r="X1923" s="1">
        <v>1</v>
      </c>
      <c r="Y1923" s="1">
        <v>0</v>
      </c>
      <c r="Z1923" s="1">
        <v>1</v>
      </c>
      <c r="AA1923" s="1">
        <v>6</v>
      </c>
      <c r="AB1923" s="1">
        <v>6</v>
      </c>
      <c r="AC1923" s="1" t="s">
        <v>109</v>
      </c>
      <c r="AD1923" s="1">
        <v>6</v>
      </c>
      <c r="AE1923" s="1" t="s">
        <v>109</v>
      </c>
      <c r="AF1923" s="1">
        <v>6</v>
      </c>
      <c r="AG1923" s="1" t="s">
        <v>109</v>
      </c>
      <c r="AH1923" s="1" t="s">
        <v>109</v>
      </c>
      <c r="AI1923" s="1">
        <v>6</v>
      </c>
      <c r="AJ1923" s="1">
        <v>6</v>
      </c>
      <c r="AK1923" s="1" t="s">
        <v>109</v>
      </c>
      <c r="AL1923" s="1" t="s">
        <v>109</v>
      </c>
      <c r="AM1923" s="1" t="s">
        <v>109</v>
      </c>
      <c r="AN1923" s="1" t="s">
        <v>109</v>
      </c>
      <c r="AO1923" s="1" t="s">
        <v>109</v>
      </c>
      <c r="AP1923" s="1"/>
      <c r="AQ1923" s="1">
        <v>6</v>
      </c>
      <c r="AR1923" s="1" t="s">
        <v>14173</v>
      </c>
      <c r="AS1923" s="1" t="s">
        <v>14174</v>
      </c>
      <c r="AT1923" s="1">
        <v>0</v>
      </c>
      <c r="AU1923" s="1">
        <v>0</v>
      </c>
      <c r="AV1923" s="1">
        <v>0</v>
      </c>
      <c r="AW1923" s="1">
        <v>0</v>
      </c>
      <c r="AX1923" s="1">
        <v>0</v>
      </c>
      <c r="AY1923" s="1">
        <v>0</v>
      </c>
      <c r="AZ1923" s="1">
        <v>0</v>
      </c>
      <c r="BA1923" s="1">
        <v>0</v>
      </c>
      <c r="BB1923" s="1">
        <v>0</v>
      </c>
      <c r="BC1923" s="1">
        <v>0</v>
      </c>
      <c r="BD1923" s="1">
        <v>0</v>
      </c>
      <c r="BE1923" s="1">
        <v>0</v>
      </c>
      <c r="BF1923" s="1">
        <v>0</v>
      </c>
      <c r="BG1923" s="1">
        <v>0</v>
      </c>
      <c r="BH1923" s="1">
        <v>0</v>
      </c>
      <c r="BI1923" s="1">
        <v>0</v>
      </c>
      <c r="BJ1923" s="1">
        <v>0</v>
      </c>
      <c r="BK1923" s="1">
        <v>0</v>
      </c>
      <c r="BL1923" s="1">
        <v>0</v>
      </c>
      <c r="BM1923" s="1">
        <v>0</v>
      </c>
      <c r="BN1923" s="1">
        <v>0</v>
      </c>
      <c r="BO1923" s="1">
        <v>0</v>
      </c>
      <c r="BP1923" s="1">
        <v>0</v>
      </c>
      <c r="BQ1923" s="1">
        <v>0</v>
      </c>
      <c r="BR1923" s="1">
        <v>0</v>
      </c>
      <c r="BS1923" s="1" t="s">
        <v>109</v>
      </c>
      <c r="BT1923" s="1">
        <v>1997</v>
      </c>
      <c r="BU1923" s="1" t="s">
        <v>109</v>
      </c>
      <c r="BV1923" s="1"/>
      <c r="BW1923" s="1"/>
      <c r="BX1923" s="1"/>
      <c r="BY1923" s="1"/>
      <c r="BZ1923" s="1">
        <v>0</v>
      </c>
      <c r="CA1923" s="1" t="s">
        <v>109</v>
      </c>
      <c r="CB1923" s="1" t="s">
        <v>109</v>
      </c>
      <c r="CC1923" s="1" t="s">
        <v>109</v>
      </c>
      <c r="CD1923" s="1" t="s">
        <v>109</v>
      </c>
      <c r="CE1923" s="1" t="s">
        <v>109</v>
      </c>
      <c r="CF1923" s="1" t="s">
        <v>109</v>
      </c>
      <c r="CG1923" s="1" t="s">
        <v>109</v>
      </c>
      <c r="CH1923" s="1" t="s">
        <v>109</v>
      </c>
      <c r="CI1923" s="1" t="s">
        <v>109</v>
      </c>
      <c r="CJ1923" s="1">
        <v>6</v>
      </c>
      <c r="CK1923" s="1"/>
      <c r="CL1923" s="1">
        <v>0</v>
      </c>
      <c r="CM1923" s="1">
        <v>0</v>
      </c>
      <c r="CN1923" s="1">
        <v>0</v>
      </c>
    </row>
    <row r="1924" spans="1:92" ht="14.25" customHeight="1" x14ac:dyDescent="0.15">
      <c r="A1924" s="1" t="s">
        <v>14175</v>
      </c>
      <c r="B1924" s="1" t="s">
        <v>95</v>
      </c>
      <c r="C1924" s="1" t="s">
        <v>1179</v>
      </c>
      <c r="D1924" s="1"/>
      <c r="E1924" s="1" t="s">
        <v>14176</v>
      </c>
      <c r="F1924" s="1" t="s">
        <v>98</v>
      </c>
      <c r="G1924" s="1" t="s">
        <v>4883</v>
      </c>
      <c r="H1924" s="1">
        <v>0</v>
      </c>
      <c r="I1924" s="1" t="s">
        <v>925</v>
      </c>
      <c r="J1924" s="1"/>
      <c r="K1924" s="1" t="s">
        <v>14162</v>
      </c>
      <c r="L1924" s="1"/>
      <c r="M1924" s="1" t="s">
        <v>14163</v>
      </c>
      <c r="N1924" s="1">
        <v>0</v>
      </c>
      <c r="O1924" s="1">
        <v>0</v>
      </c>
      <c r="P1924" s="1" t="s">
        <v>103</v>
      </c>
      <c r="Q1924" s="1" t="s">
        <v>268</v>
      </c>
      <c r="R1924" s="1" t="s">
        <v>14177</v>
      </c>
      <c r="S1924" s="1" t="s">
        <v>14178</v>
      </c>
      <c r="T1924" s="1" t="s">
        <v>13306</v>
      </c>
      <c r="U1924" s="1" t="s">
        <v>14179</v>
      </c>
      <c r="V1924" s="1">
        <v>1</v>
      </c>
      <c r="W1924" s="1">
        <v>1</v>
      </c>
      <c r="X1924" s="1">
        <v>1</v>
      </c>
      <c r="Y1924" s="1">
        <v>0</v>
      </c>
      <c r="Z1924" s="1">
        <v>1</v>
      </c>
      <c r="AA1924" s="1">
        <v>5</v>
      </c>
      <c r="AB1924" s="1">
        <v>5</v>
      </c>
      <c r="AC1924" s="1" t="s">
        <v>109</v>
      </c>
      <c r="AD1924" s="1">
        <v>5</v>
      </c>
      <c r="AE1924" s="1" t="s">
        <v>109</v>
      </c>
      <c r="AF1924" s="1">
        <v>5</v>
      </c>
      <c r="AG1924" s="1" t="s">
        <v>109</v>
      </c>
      <c r="AH1924" s="1" t="s">
        <v>109</v>
      </c>
      <c r="AI1924" s="1">
        <v>5</v>
      </c>
      <c r="AJ1924" s="1">
        <v>5</v>
      </c>
      <c r="AK1924" s="1" t="s">
        <v>109</v>
      </c>
      <c r="AL1924" s="1" t="s">
        <v>109</v>
      </c>
      <c r="AM1924" s="1" t="s">
        <v>109</v>
      </c>
      <c r="AN1924" s="1" t="s">
        <v>109</v>
      </c>
      <c r="AO1924" s="1" t="s">
        <v>109</v>
      </c>
      <c r="AP1924" s="1"/>
      <c r="AQ1924" s="1">
        <v>5</v>
      </c>
      <c r="AR1924" s="1"/>
      <c r="AS1924" s="1" t="s">
        <v>14180</v>
      </c>
      <c r="AT1924" s="1">
        <v>0</v>
      </c>
      <c r="AU1924" s="1">
        <v>0</v>
      </c>
      <c r="AV1924" s="1">
        <v>0</v>
      </c>
      <c r="AW1924" s="1">
        <v>0</v>
      </c>
      <c r="AX1924" s="1">
        <v>0</v>
      </c>
      <c r="AY1924" s="1">
        <v>0</v>
      </c>
      <c r="AZ1924" s="1">
        <v>0</v>
      </c>
      <c r="BA1924" s="1">
        <v>0</v>
      </c>
      <c r="BB1924" s="1">
        <v>0</v>
      </c>
      <c r="BC1924" s="1">
        <v>0</v>
      </c>
      <c r="BD1924" s="1">
        <v>0</v>
      </c>
      <c r="BE1924" s="1">
        <v>0</v>
      </c>
      <c r="BF1924" s="1">
        <v>0</v>
      </c>
      <c r="BG1924" s="1">
        <v>0</v>
      </c>
      <c r="BH1924" s="1">
        <v>0</v>
      </c>
      <c r="BI1924" s="1">
        <v>0</v>
      </c>
      <c r="BJ1924" s="1">
        <v>0</v>
      </c>
      <c r="BK1924" s="1">
        <v>0</v>
      </c>
      <c r="BL1924" s="1">
        <v>0</v>
      </c>
      <c r="BM1924" s="1">
        <v>0</v>
      </c>
      <c r="BN1924" s="1">
        <v>0</v>
      </c>
      <c r="BO1924" s="1">
        <v>0</v>
      </c>
      <c r="BP1924" s="1">
        <v>0</v>
      </c>
      <c r="BQ1924" s="1">
        <v>0</v>
      </c>
      <c r="BR1924" s="1">
        <v>0</v>
      </c>
      <c r="BS1924" s="1" t="s">
        <v>109</v>
      </c>
      <c r="BT1924" s="1">
        <v>1998</v>
      </c>
      <c r="BU1924" s="1" t="s">
        <v>109</v>
      </c>
      <c r="BV1924" s="1"/>
      <c r="BW1924" s="1"/>
      <c r="BX1924" s="1"/>
      <c r="BY1924" s="1"/>
      <c r="BZ1924" s="1">
        <v>0</v>
      </c>
      <c r="CA1924" s="1" t="s">
        <v>109</v>
      </c>
      <c r="CB1924" s="1" t="s">
        <v>109</v>
      </c>
      <c r="CC1924" s="1" t="s">
        <v>109</v>
      </c>
      <c r="CD1924" s="1" t="s">
        <v>109</v>
      </c>
      <c r="CE1924" s="1" t="s">
        <v>109</v>
      </c>
      <c r="CF1924" s="1" t="s">
        <v>109</v>
      </c>
      <c r="CG1924" s="1" t="s">
        <v>109</v>
      </c>
      <c r="CH1924" s="1" t="s">
        <v>109</v>
      </c>
      <c r="CI1924" s="1" t="s">
        <v>109</v>
      </c>
      <c r="CJ1924" s="1">
        <v>5</v>
      </c>
      <c r="CK1924" s="1"/>
      <c r="CL1924" s="1">
        <v>0</v>
      </c>
      <c r="CM1924" s="1">
        <v>0</v>
      </c>
      <c r="CN1924" s="1">
        <v>0</v>
      </c>
    </row>
    <row r="1925" spans="1:92" ht="14.25" customHeight="1" x14ac:dyDescent="0.15">
      <c r="A1925" s="1" t="s">
        <v>14181</v>
      </c>
      <c r="B1925" s="1" t="s">
        <v>189</v>
      </c>
      <c r="C1925" s="1"/>
      <c r="D1925" s="1"/>
      <c r="E1925" s="1" t="s">
        <v>9310</v>
      </c>
      <c r="F1925" s="1" t="s">
        <v>98</v>
      </c>
      <c r="G1925" s="1" t="s">
        <v>333</v>
      </c>
      <c r="H1925" s="1">
        <v>0</v>
      </c>
      <c r="I1925" s="1" t="s">
        <v>235</v>
      </c>
      <c r="J1925" s="1"/>
      <c r="K1925" s="1"/>
      <c r="L1925" s="1" t="s">
        <v>236</v>
      </c>
      <c r="M1925" s="1" t="s">
        <v>6144</v>
      </c>
      <c r="N1925" s="1">
        <v>1</v>
      </c>
      <c r="O1925" s="1">
        <v>0</v>
      </c>
      <c r="P1925" s="1"/>
      <c r="Q1925" s="1"/>
      <c r="R1925" s="1" t="s">
        <v>14182</v>
      </c>
      <c r="S1925" s="1" t="s">
        <v>14183</v>
      </c>
      <c r="T1925" s="1" t="s">
        <v>13306</v>
      </c>
      <c r="U1925" s="1" t="s">
        <v>14184</v>
      </c>
      <c r="V1925" s="1">
        <v>1</v>
      </c>
      <c r="W1925" s="1">
        <v>0</v>
      </c>
      <c r="X1925" s="1">
        <v>0</v>
      </c>
      <c r="Y1925" s="1">
        <v>0</v>
      </c>
      <c r="Z1925" s="1">
        <v>0</v>
      </c>
      <c r="AA1925" s="1" t="s">
        <v>109</v>
      </c>
      <c r="AB1925" s="1" t="s">
        <v>109</v>
      </c>
      <c r="AC1925" s="1" t="s">
        <v>109</v>
      </c>
      <c r="AD1925" s="1" t="s">
        <v>109</v>
      </c>
      <c r="AE1925" s="1" t="s">
        <v>109</v>
      </c>
      <c r="AF1925" s="1" t="s">
        <v>109</v>
      </c>
      <c r="AG1925" s="1">
        <v>2</v>
      </c>
      <c r="AH1925" s="1" t="s">
        <v>109</v>
      </c>
      <c r="AI1925" s="1" t="s">
        <v>109</v>
      </c>
      <c r="AJ1925" s="1" t="s">
        <v>109</v>
      </c>
      <c r="AK1925" s="1" t="s">
        <v>109</v>
      </c>
      <c r="AL1925" s="1" t="s">
        <v>109</v>
      </c>
      <c r="AM1925" s="1">
        <v>2</v>
      </c>
      <c r="AN1925" s="1" t="s">
        <v>109</v>
      </c>
      <c r="AO1925" s="1" t="s">
        <v>109</v>
      </c>
      <c r="AP1925" s="1"/>
      <c r="AQ1925" s="1">
        <v>2</v>
      </c>
      <c r="AR1925" s="1"/>
      <c r="AS1925" s="1" t="s">
        <v>14185</v>
      </c>
      <c r="AT1925" s="1">
        <v>0</v>
      </c>
      <c r="AU1925" s="1">
        <v>0</v>
      </c>
      <c r="AV1925" s="1">
        <v>0</v>
      </c>
      <c r="AW1925" s="1">
        <v>0</v>
      </c>
      <c r="AX1925" s="1">
        <v>0</v>
      </c>
      <c r="AY1925" s="1">
        <v>0</v>
      </c>
      <c r="AZ1925" s="1">
        <v>0</v>
      </c>
      <c r="BA1925" s="1">
        <v>0</v>
      </c>
      <c r="BB1925" s="1">
        <v>0</v>
      </c>
      <c r="BC1925" s="1">
        <v>0</v>
      </c>
      <c r="BD1925" s="1">
        <v>0</v>
      </c>
      <c r="BE1925" s="1">
        <v>0</v>
      </c>
      <c r="BF1925" s="1">
        <v>0</v>
      </c>
      <c r="BG1925" s="1">
        <v>0</v>
      </c>
      <c r="BH1925" s="1">
        <v>0</v>
      </c>
      <c r="BI1925" s="1">
        <v>0</v>
      </c>
      <c r="BJ1925" s="1">
        <v>0</v>
      </c>
      <c r="BK1925" s="1">
        <v>0</v>
      </c>
      <c r="BL1925" s="1">
        <v>0</v>
      </c>
      <c r="BM1925" s="1">
        <v>0</v>
      </c>
      <c r="BN1925" s="1">
        <v>0</v>
      </c>
      <c r="BO1925" s="1">
        <v>0</v>
      </c>
      <c r="BP1925" s="1">
        <v>0</v>
      </c>
      <c r="BQ1925" s="1">
        <v>0</v>
      </c>
      <c r="BR1925" s="1">
        <v>0</v>
      </c>
      <c r="BS1925" s="1" t="s">
        <v>109</v>
      </c>
      <c r="BT1925" s="1">
        <v>1999</v>
      </c>
      <c r="BU1925" s="1" t="s">
        <v>109</v>
      </c>
      <c r="BV1925" s="1"/>
      <c r="BW1925" s="1"/>
      <c r="BX1925" s="1"/>
      <c r="BY1925" s="1"/>
      <c r="BZ1925" s="1">
        <v>0</v>
      </c>
      <c r="CA1925" s="1" t="s">
        <v>109</v>
      </c>
      <c r="CB1925" s="1" t="s">
        <v>109</v>
      </c>
      <c r="CC1925" s="1" t="s">
        <v>109</v>
      </c>
      <c r="CD1925" s="1" t="s">
        <v>109</v>
      </c>
      <c r="CE1925" s="1" t="s">
        <v>109</v>
      </c>
      <c r="CF1925" s="1" t="s">
        <v>109</v>
      </c>
      <c r="CG1925" s="1" t="s">
        <v>109</v>
      </c>
      <c r="CH1925" s="1" t="s">
        <v>109</v>
      </c>
      <c r="CI1925" s="1" t="s">
        <v>109</v>
      </c>
      <c r="CJ1925" s="1" t="s">
        <v>109</v>
      </c>
      <c r="CK1925" s="1"/>
      <c r="CL1925" s="1">
        <v>0</v>
      </c>
      <c r="CM1925" s="1">
        <v>0</v>
      </c>
      <c r="CN1925" s="1">
        <v>0</v>
      </c>
    </row>
    <row r="1926" spans="1:92" ht="14.25" customHeight="1" x14ac:dyDescent="0.15">
      <c r="A1926" s="1" t="s">
        <v>14186</v>
      </c>
      <c r="B1926" s="1" t="s">
        <v>674</v>
      </c>
      <c r="C1926" s="1" t="s">
        <v>675</v>
      </c>
      <c r="D1926" s="1"/>
      <c r="E1926" s="1" t="s">
        <v>12037</v>
      </c>
      <c r="F1926" s="1" t="s">
        <v>98</v>
      </c>
      <c r="G1926" s="1" t="s">
        <v>141</v>
      </c>
      <c r="H1926" s="1">
        <v>0</v>
      </c>
      <c r="I1926" s="1" t="s">
        <v>161</v>
      </c>
      <c r="J1926" s="1"/>
      <c r="K1926" s="1"/>
      <c r="L1926" s="1" t="s">
        <v>8044</v>
      </c>
      <c r="M1926" s="1" t="s">
        <v>8278</v>
      </c>
      <c r="N1926" s="1">
        <v>1</v>
      </c>
      <c r="O1926" s="1">
        <v>0</v>
      </c>
      <c r="P1926" s="1"/>
      <c r="Q1926" s="1"/>
      <c r="R1926" s="1" t="s">
        <v>14187</v>
      </c>
      <c r="S1926" s="1" t="s">
        <v>14188</v>
      </c>
      <c r="T1926" s="1" t="s">
        <v>14189</v>
      </c>
      <c r="U1926" s="1" t="s">
        <v>14190</v>
      </c>
      <c r="V1926" s="1">
        <v>1</v>
      </c>
      <c r="W1926" s="1">
        <v>1</v>
      </c>
      <c r="X1926" s="1">
        <v>0</v>
      </c>
      <c r="Y1926" s="1">
        <v>0</v>
      </c>
      <c r="Z1926" s="1">
        <v>0</v>
      </c>
      <c r="AA1926" s="1">
        <v>2</v>
      </c>
      <c r="AB1926" s="1">
        <v>2</v>
      </c>
      <c r="AC1926" s="1">
        <v>2</v>
      </c>
      <c r="AD1926" s="1" t="s">
        <v>109</v>
      </c>
      <c r="AE1926" s="1" t="s">
        <v>109</v>
      </c>
      <c r="AF1926" s="1" t="s">
        <v>109</v>
      </c>
      <c r="AG1926" s="1" t="s">
        <v>109</v>
      </c>
      <c r="AH1926" s="1" t="s">
        <v>109</v>
      </c>
      <c r="AI1926" s="1" t="s">
        <v>109</v>
      </c>
      <c r="AJ1926" s="1" t="s">
        <v>109</v>
      </c>
      <c r="AK1926" s="1" t="s">
        <v>109</v>
      </c>
      <c r="AL1926" s="1">
        <v>2</v>
      </c>
      <c r="AM1926" s="1" t="s">
        <v>109</v>
      </c>
      <c r="AN1926" s="1" t="s">
        <v>109</v>
      </c>
      <c r="AO1926" s="1" t="s">
        <v>109</v>
      </c>
      <c r="AP1926" s="1" t="s">
        <v>14191</v>
      </c>
      <c r="AQ1926" s="1">
        <v>2</v>
      </c>
      <c r="AR1926" s="1"/>
      <c r="AS1926" s="1"/>
      <c r="AT1926" s="1">
        <v>0</v>
      </c>
      <c r="AU1926" s="1">
        <v>0</v>
      </c>
      <c r="AV1926" s="1">
        <v>0</v>
      </c>
      <c r="AW1926" s="1">
        <v>0</v>
      </c>
      <c r="AX1926" s="1">
        <v>0</v>
      </c>
      <c r="AY1926" s="1">
        <v>0</v>
      </c>
      <c r="AZ1926" s="1">
        <v>0</v>
      </c>
      <c r="BA1926" s="1">
        <v>0</v>
      </c>
      <c r="BB1926" s="1">
        <v>0</v>
      </c>
      <c r="BC1926" s="1">
        <v>0</v>
      </c>
      <c r="BD1926" s="1">
        <v>0</v>
      </c>
      <c r="BE1926" s="1">
        <v>0</v>
      </c>
      <c r="BF1926" s="1">
        <v>0</v>
      </c>
      <c r="BG1926" s="1">
        <v>0</v>
      </c>
      <c r="BH1926" s="1">
        <v>0</v>
      </c>
      <c r="BI1926" s="1">
        <v>0</v>
      </c>
      <c r="BJ1926" s="1">
        <v>0</v>
      </c>
      <c r="BK1926" s="1">
        <v>0</v>
      </c>
      <c r="BL1926" s="1">
        <v>0</v>
      </c>
      <c r="BM1926" s="1">
        <v>0</v>
      </c>
      <c r="BN1926" s="1">
        <v>0</v>
      </c>
      <c r="BO1926" s="1">
        <v>0</v>
      </c>
      <c r="BP1926" s="1">
        <v>0</v>
      </c>
      <c r="BQ1926" s="1">
        <v>0</v>
      </c>
      <c r="BR1926" s="1">
        <v>0</v>
      </c>
      <c r="BS1926" s="1" t="s">
        <v>109</v>
      </c>
      <c r="BT1926" s="1">
        <v>2000</v>
      </c>
      <c r="BU1926" s="1" t="s">
        <v>109</v>
      </c>
      <c r="BV1926" s="1"/>
      <c r="BW1926" s="1"/>
      <c r="BX1926" s="1"/>
      <c r="BY1926" s="1"/>
      <c r="BZ1926" s="1">
        <v>0</v>
      </c>
      <c r="CA1926" s="1" t="s">
        <v>109</v>
      </c>
      <c r="CB1926" s="1" t="s">
        <v>109</v>
      </c>
      <c r="CC1926" s="1" t="s">
        <v>109</v>
      </c>
      <c r="CD1926" s="1" t="s">
        <v>109</v>
      </c>
      <c r="CE1926" s="1" t="s">
        <v>109</v>
      </c>
      <c r="CF1926" s="1" t="s">
        <v>109</v>
      </c>
      <c r="CG1926" s="1" t="s">
        <v>109</v>
      </c>
      <c r="CH1926" s="1" t="s">
        <v>109</v>
      </c>
      <c r="CI1926" s="1" t="s">
        <v>109</v>
      </c>
      <c r="CJ1926" s="1" t="s">
        <v>109</v>
      </c>
      <c r="CK1926" s="1"/>
      <c r="CL1926" s="1">
        <v>0</v>
      </c>
      <c r="CM1926" s="1">
        <v>0</v>
      </c>
      <c r="CN1926" s="1">
        <v>0</v>
      </c>
    </row>
    <row r="1927" spans="1:92" ht="14.25" customHeight="1" x14ac:dyDescent="0.15">
      <c r="A1927" s="1" t="s">
        <v>14192</v>
      </c>
      <c r="B1927" s="1" t="s">
        <v>308</v>
      </c>
      <c r="C1927" s="1"/>
      <c r="D1927" s="1" t="s">
        <v>57</v>
      </c>
      <c r="E1927" s="1" t="s">
        <v>14193</v>
      </c>
      <c r="F1927" s="1" t="s">
        <v>98</v>
      </c>
      <c r="G1927" s="1" t="s">
        <v>14194</v>
      </c>
      <c r="H1927" s="1">
        <v>1</v>
      </c>
      <c r="I1927" s="1" t="s">
        <v>100</v>
      </c>
      <c r="J1927" s="1"/>
      <c r="K1927" s="1"/>
      <c r="L1927" s="1" t="s">
        <v>563</v>
      </c>
      <c r="M1927" s="1" t="s">
        <v>144</v>
      </c>
      <c r="N1927" s="1">
        <v>0</v>
      </c>
      <c r="O1927" s="1">
        <v>0</v>
      </c>
      <c r="P1927" s="1" t="s">
        <v>103</v>
      </c>
      <c r="Q1927" s="1" t="s">
        <v>268</v>
      </c>
      <c r="R1927" s="1" t="s">
        <v>14195</v>
      </c>
      <c r="S1927" s="1" t="s">
        <v>14196</v>
      </c>
      <c r="T1927" s="1" t="s">
        <v>14197</v>
      </c>
      <c r="U1927" s="1" t="s">
        <v>14198</v>
      </c>
      <c r="V1927" s="1">
        <v>1</v>
      </c>
      <c r="W1927" s="1">
        <v>0</v>
      </c>
      <c r="X1927" s="1">
        <v>0</v>
      </c>
      <c r="Y1927" s="1">
        <v>0</v>
      </c>
      <c r="Z1927" s="1">
        <v>0</v>
      </c>
      <c r="AA1927" s="1">
        <v>2</v>
      </c>
      <c r="AB1927" s="1">
        <v>2</v>
      </c>
      <c r="AC1927" s="1" t="s">
        <v>109</v>
      </c>
      <c r="AD1927" s="1" t="s">
        <v>109</v>
      </c>
      <c r="AE1927" s="1" t="s">
        <v>109</v>
      </c>
      <c r="AF1927" s="1" t="s">
        <v>109</v>
      </c>
      <c r="AG1927" s="1" t="s">
        <v>109</v>
      </c>
      <c r="AH1927" s="1" t="s">
        <v>109</v>
      </c>
      <c r="AI1927" s="1" t="s">
        <v>109</v>
      </c>
      <c r="AJ1927" s="1">
        <v>2</v>
      </c>
      <c r="AK1927" s="1">
        <v>2</v>
      </c>
      <c r="AL1927" s="1" t="s">
        <v>109</v>
      </c>
      <c r="AM1927" s="1">
        <v>2</v>
      </c>
      <c r="AN1927" s="1" t="s">
        <v>109</v>
      </c>
      <c r="AO1927" s="1" t="s">
        <v>109</v>
      </c>
      <c r="AP1927" s="1"/>
      <c r="AQ1927" s="1">
        <v>2</v>
      </c>
      <c r="AR1927" s="1"/>
      <c r="AS1927" s="1"/>
      <c r="AT1927" s="1">
        <v>0</v>
      </c>
      <c r="AU1927" s="1">
        <v>0</v>
      </c>
      <c r="AV1927" s="1">
        <v>0</v>
      </c>
      <c r="AW1927" s="1">
        <v>0</v>
      </c>
      <c r="AX1927" s="1">
        <v>0</v>
      </c>
      <c r="AY1927" s="1">
        <v>0</v>
      </c>
      <c r="AZ1927" s="1">
        <v>0</v>
      </c>
      <c r="BA1927" s="1">
        <v>0</v>
      </c>
      <c r="BB1927" s="1">
        <v>0</v>
      </c>
      <c r="BC1927" s="1">
        <v>0</v>
      </c>
      <c r="BD1927" s="1">
        <v>0</v>
      </c>
      <c r="BE1927" s="1">
        <v>1</v>
      </c>
      <c r="BF1927" s="1">
        <v>0</v>
      </c>
      <c r="BG1927" s="1">
        <v>0</v>
      </c>
      <c r="BH1927" s="1">
        <v>0</v>
      </c>
      <c r="BI1927" s="1">
        <v>0</v>
      </c>
      <c r="BJ1927" s="1">
        <v>0</v>
      </c>
      <c r="BK1927" s="1">
        <v>0</v>
      </c>
      <c r="BL1927" s="1">
        <v>0</v>
      </c>
      <c r="BM1927" s="1">
        <v>0</v>
      </c>
      <c r="BN1927" s="1">
        <v>0</v>
      </c>
      <c r="BO1927" s="1">
        <v>0</v>
      </c>
      <c r="BP1927" s="1">
        <v>0</v>
      </c>
      <c r="BQ1927" s="1">
        <v>0</v>
      </c>
      <c r="BR1927" s="1">
        <v>0</v>
      </c>
      <c r="BS1927" s="1" t="s">
        <v>109</v>
      </c>
      <c r="BT1927" s="1">
        <v>2001</v>
      </c>
      <c r="BU1927" s="1">
        <v>100</v>
      </c>
      <c r="BV1927" s="1"/>
      <c r="BW1927" s="1"/>
      <c r="BX1927" s="1"/>
      <c r="BY1927" s="1"/>
      <c r="BZ1927" s="1">
        <v>0</v>
      </c>
      <c r="CA1927" s="1" t="s">
        <v>109</v>
      </c>
      <c r="CB1927" s="1" t="s">
        <v>109</v>
      </c>
      <c r="CC1927" s="1" t="s">
        <v>109</v>
      </c>
      <c r="CD1927" s="1" t="s">
        <v>109</v>
      </c>
      <c r="CE1927" s="1" t="s">
        <v>109</v>
      </c>
      <c r="CF1927" s="1" t="s">
        <v>109</v>
      </c>
      <c r="CG1927" s="1" t="s">
        <v>109</v>
      </c>
      <c r="CH1927" s="1" t="s">
        <v>109</v>
      </c>
      <c r="CI1927" s="1" t="s">
        <v>109</v>
      </c>
      <c r="CJ1927" s="1" t="s">
        <v>109</v>
      </c>
      <c r="CK1927" s="1"/>
      <c r="CL1927" s="1">
        <v>0</v>
      </c>
      <c r="CM1927" s="1">
        <v>0</v>
      </c>
      <c r="CN1927" s="1">
        <v>0</v>
      </c>
    </row>
    <row r="1928" spans="1:92" ht="14.25" customHeight="1" x14ac:dyDescent="0.15">
      <c r="A1928" s="1" t="s">
        <v>14199</v>
      </c>
      <c r="B1928" s="1" t="s">
        <v>308</v>
      </c>
      <c r="C1928" s="1"/>
      <c r="D1928" s="1" t="s">
        <v>4940</v>
      </c>
      <c r="E1928" s="1" t="s">
        <v>8836</v>
      </c>
      <c r="F1928" s="1" t="s">
        <v>98</v>
      </c>
      <c r="G1928" s="1" t="s">
        <v>14200</v>
      </c>
      <c r="H1928" s="1">
        <v>0</v>
      </c>
      <c r="I1928" s="1" t="s">
        <v>122</v>
      </c>
      <c r="J1928" s="1"/>
      <c r="K1928" s="1" t="s">
        <v>1506</v>
      </c>
      <c r="L1928" s="1"/>
      <c r="M1928" s="1" t="s">
        <v>144</v>
      </c>
      <c r="N1928" s="1">
        <v>0</v>
      </c>
      <c r="O1928" s="1">
        <v>0</v>
      </c>
      <c r="P1928" s="1" t="s">
        <v>2672</v>
      </c>
      <c r="Q1928" s="1" t="s">
        <v>268</v>
      </c>
      <c r="R1928" s="1" t="s">
        <v>14201</v>
      </c>
      <c r="S1928" s="1" t="s">
        <v>14202</v>
      </c>
      <c r="T1928" s="1" t="s">
        <v>14197</v>
      </c>
      <c r="U1928" s="1" t="s">
        <v>14203</v>
      </c>
      <c r="V1928" s="1">
        <v>1</v>
      </c>
      <c r="W1928" s="1">
        <v>0</v>
      </c>
      <c r="X1928" s="1">
        <v>1</v>
      </c>
      <c r="Y1928" s="1">
        <v>0</v>
      </c>
      <c r="Z1928" s="1">
        <v>0</v>
      </c>
      <c r="AA1928" s="1">
        <v>5</v>
      </c>
      <c r="AB1928" s="1">
        <v>5</v>
      </c>
      <c r="AC1928" s="1" t="s">
        <v>109</v>
      </c>
      <c r="AD1928" s="1" t="s">
        <v>109</v>
      </c>
      <c r="AE1928" s="1" t="s">
        <v>109</v>
      </c>
      <c r="AF1928" s="1" t="s">
        <v>109</v>
      </c>
      <c r="AG1928" s="1" t="s">
        <v>109</v>
      </c>
      <c r="AH1928" s="1" t="s">
        <v>109</v>
      </c>
      <c r="AI1928" s="1" t="s">
        <v>109</v>
      </c>
      <c r="AJ1928" s="1">
        <v>5</v>
      </c>
      <c r="AK1928" s="1" t="s">
        <v>109</v>
      </c>
      <c r="AL1928" s="1" t="s">
        <v>109</v>
      </c>
      <c r="AM1928" s="1" t="s">
        <v>109</v>
      </c>
      <c r="AN1928" s="1" t="s">
        <v>109</v>
      </c>
      <c r="AO1928" s="1" t="s">
        <v>109</v>
      </c>
      <c r="AP1928" s="1"/>
      <c r="AQ1928" s="1">
        <v>5</v>
      </c>
      <c r="AR1928" s="1"/>
      <c r="AS1928" s="1"/>
      <c r="AT1928" s="1">
        <v>0</v>
      </c>
      <c r="AU1928" s="1">
        <v>0</v>
      </c>
      <c r="AV1928" s="1">
        <v>0</v>
      </c>
      <c r="AW1928" s="1">
        <v>0</v>
      </c>
      <c r="AX1928" s="1">
        <v>0</v>
      </c>
      <c r="AY1928" s="1">
        <v>0</v>
      </c>
      <c r="AZ1928" s="1">
        <v>0</v>
      </c>
      <c r="BA1928" s="1">
        <v>0</v>
      </c>
      <c r="BB1928" s="1">
        <v>0</v>
      </c>
      <c r="BC1928" s="1">
        <v>0</v>
      </c>
      <c r="BD1928" s="1">
        <v>0</v>
      </c>
      <c r="BE1928" s="1">
        <v>1</v>
      </c>
      <c r="BF1928" s="1">
        <v>0</v>
      </c>
      <c r="BG1928" s="1">
        <v>0</v>
      </c>
      <c r="BH1928" s="1">
        <v>0</v>
      </c>
      <c r="BI1928" s="1">
        <v>0</v>
      </c>
      <c r="BJ1928" s="1">
        <v>0</v>
      </c>
      <c r="BK1928" s="1">
        <v>0</v>
      </c>
      <c r="BL1928" s="1">
        <v>0</v>
      </c>
      <c r="BM1928" s="1">
        <v>0</v>
      </c>
      <c r="BN1928" s="1">
        <v>1</v>
      </c>
      <c r="BO1928" s="1">
        <v>0</v>
      </c>
      <c r="BP1928" s="1">
        <v>0</v>
      </c>
      <c r="BQ1928" s="1">
        <v>0</v>
      </c>
      <c r="BR1928" s="1">
        <v>0</v>
      </c>
      <c r="BS1928" s="1" t="s">
        <v>109</v>
      </c>
      <c r="BT1928" s="1">
        <v>2002</v>
      </c>
      <c r="BU1928" s="1" t="s">
        <v>109</v>
      </c>
      <c r="BV1928" s="1"/>
      <c r="BW1928" s="1"/>
      <c r="BX1928" s="1"/>
      <c r="BY1928" s="1"/>
      <c r="BZ1928" s="1">
        <v>0</v>
      </c>
      <c r="CA1928" s="1" t="s">
        <v>109</v>
      </c>
      <c r="CB1928" s="1" t="s">
        <v>109</v>
      </c>
      <c r="CC1928" s="1" t="s">
        <v>109</v>
      </c>
      <c r="CD1928" s="1" t="s">
        <v>109</v>
      </c>
      <c r="CE1928" s="1" t="s">
        <v>109</v>
      </c>
      <c r="CF1928" s="1" t="s">
        <v>109</v>
      </c>
      <c r="CG1928" s="1" t="s">
        <v>109</v>
      </c>
      <c r="CH1928" s="1" t="s">
        <v>109</v>
      </c>
      <c r="CI1928" s="1" t="s">
        <v>109</v>
      </c>
      <c r="CJ1928" s="1" t="s">
        <v>109</v>
      </c>
      <c r="CK1928" s="1"/>
      <c r="CL1928" s="1">
        <v>0</v>
      </c>
      <c r="CM1928" s="1">
        <v>0</v>
      </c>
      <c r="CN1928" s="1">
        <v>0</v>
      </c>
    </row>
    <row r="1929" spans="1:92" ht="14.25" customHeight="1" x14ac:dyDescent="0.15">
      <c r="A1929" s="1" t="s">
        <v>14204</v>
      </c>
      <c r="B1929" s="1" t="s">
        <v>189</v>
      </c>
      <c r="C1929" s="1"/>
      <c r="D1929" s="1" t="s">
        <v>46</v>
      </c>
      <c r="E1929" s="1" t="s">
        <v>3009</v>
      </c>
      <c r="F1929" s="1" t="s">
        <v>98</v>
      </c>
      <c r="G1929" s="1" t="s">
        <v>160</v>
      </c>
      <c r="H1929" s="1">
        <v>0</v>
      </c>
      <c r="I1929" s="1" t="s">
        <v>14205</v>
      </c>
      <c r="J1929" s="1"/>
      <c r="K1929" s="1"/>
      <c r="L1929" s="1" t="s">
        <v>10029</v>
      </c>
      <c r="M1929" s="1" t="s">
        <v>3042</v>
      </c>
      <c r="N1929" s="1">
        <v>0</v>
      </c>
      <c r="O1929" s="1">
        <v>0</v>
      </c>
      <c r="P1929" s="1" t="s">
        <v>507</v>
      </c>
      <c r="Q1929" s="1" t="s">
        <v>268</v>
      </c>
      <c r="R1929" s="1" t="s">
        <v>14206</v>
      </c>
      <c r="S1929" s="1" t="s">
        <v>14207</v>
      </c>
      <c r="T1929" s="1" t="s">
        <v>14208</v>
      </c>
      <c r="U1929" s="1" t="s">
        <v>14209</v>
      </c>
      <c r="V1929" s="1">
        <v>1</v>
      </c>
      <c r="W1929" s="1">
        <v>1</v>
      </c>
      <c r="X1929" s="1">
        <v>0</v>
      </c>
      <c r="Y1929" s="1">
        <v>0</v>
      </c>
      <c r="Z1929" s="1">
        <v>1</v>
      </c>
      <c r="AA1929" s="1" t="s">
        <v>109</v>
      </c>
      <c r="AB1929" s="1" t="s">
        <v>109</v>
      </c>
      <c r="AC1929" s="1" t="s">
        <v>109</v>
      </c>
      <c r="AD1929" s="1">
        <v>1</v>
      </c>
      <c r="AE1929" s="1">
        <v>1</v>
      </c>
      <c r="AF1929" s="1" t="s">
        <v>109</v>
      </c>
      <c r="AG1929" s="1" t="s">
        <v>109</v>
      </c>
      <c r="AH1929" s="1" t="s">
        <v>109</v>
      </c>
      <c r="AI1929" s="1" t="s">
        <v>109</v>
      </c>
      <c r="AJ1929" s="1" t="s">
        <v>109</v>
      </c>
      <c r="AK1929" s="1" t="s">
        <v>109</v>
      </c>
      <c r="AL1929" s="1" t="s">
        <v>109</v>
      </c>
      <c r="AM1929" s="1" t="s">
        <v>109</v>
      </c>
      <c r="AN1929" s="1" t="s">
        <v>109</v>
      </c>
      <c r="AO1929" s="1" t="s">
        <v>109</v>
      </c>
      <c r="AP1929" s="1"/>
      <c r="AQ1929" s="1">
        <v>1</v>
      </c>
      <c r="AR1929" s="1"/>
      <c r="AS1929" s="1"/>
      <c r="AT1929" s="1">
        <v>1</v>
      </c>
      <c r="AU1929" s="1">
        <v>0</v>
      </c>
      <c r="AV1929" s="1">
        <v>0</v>
      </c>
      <c r="AW1929" s="1">
        <v>0</v>
      </c>
      <c r="AX1929" s="1">
        <v>0</v>
      </c>
      <c r="AY1929" s="1">
        <v>0</v>
      </c>
      <c r="AZ1929" s="1">
        <v>0</v>
      </c>
      <c r="BA1929" s="1">
        <v>0</v>
      </c>
      <c r="BB1929" s="1">
        <v>0</v>
      </c>
      <c r="BC1929" s="1">
        <v>0</v>
      </c>
      <c r="BD1929" s="1">
        <v>0</v>
      </c>
      <c r="BE1929" s="1">
        <v>0</v>
      </c>
      <c r="BF1929" s="1">
        <v>0</v>
      </c>
      <c r="BG1929" s="1">
        <v>0</v>
      </c>
      <c r="BH1929" s="1">
        <v>0</v>
      </c>
      <c r="BI1929" s="1">
        <v>0</v>
      </c>
      <c r="BJ1929" s="1">
        <v>0</v>
      </c>
      <c r="BK1929" s="1">
        <v>0</v>
      </c>
      <c r="BL1929" s="1">
        <v>0</v>
      </c>
      <c r="BM1929" s="1">
        <v>0</v>
      </c>
      <c r="BN1929" s="1">
        <v>0</v>
      </c>
      <c r="BO1929" s="1">
        <v>0</v>
      </c>
      <c r="BP1929" s="1">
        <v>0</v>
      </c>
      <c r="BQ1929" s="1">
        <v>0</v>
      </c>
      <c r="BR1929" s="1">
        <v>0</v>
      </c>
      <c r="BS1929" s="1" t="s">
        <v>109</v>
      </c>
      <c r="BT1929" s="1">
        <v>2003</v>
      </c>
      <c r="BU1929" s="1" t="s">
        <v>109</v>
      </c>
      <c r="BV1929" s="1"/>
      <c r="BW1929" s="1"/>
      <c r="BX1929" s="1"/>
      <c r="BY1929" s="1"/>
      <c r="BZ1929" s="1">
        <v>0</v>
      </c>
      <c r="CA1929" s="1" t="s">
        <v>109</v>
      </c>
      <c r="CB1929" s="1" t="s">
        <v>109</v>
      </c>
      <c r="CC1929" s="1" t="s">
        <v>109</v>
      </c>
      <c r="CD1929" s="1" t="s">
        <v>109</v>
      </c>
      <c r="CE1929" s="1" t="s">
        <v>109</v>
      </c>
      <c r="CF1929" s="1" t="s">
        <v>109</v>
      </c>
      <c r="CG1929" s="1" t="s">
        <v>109</v>
      </c>
      <c r="CH1929" s="1" t="s">
        <v>109</v>
      </c>
      <c r="CI1929" s="1" t="s">
        <v>109</v>
      </c>
      <c r="CJ1929" s="1">
        <v>1</v>
      </c>
      <c r="CK1929" s="1"/>
      <c r="CL1929" s="1">
        <v>0</v>
      </c>
      <c r="CM1929" s="1">
        <v>0</v>
      </c>
      <c r="CN1929" s="1">
        <v>0</v>
      </c>
    </row>
    <row r="1930" spans="1:92" ht="14.25" customHeight="1" x14ac:dyDescent="0.15">
      <c r="A1930" s="1" t="s">
        <v>14210</v>
      </c>
      <c r="B1930" s="1" t="s">
        <v>156</v>
      </c>
      <c r="C1930" s="1" t="s">
        <v>157</v>
      </c>
      <c r="D1930" s="1" t="s">
        <v>14211</v>
      </c>
      <c r="E1930" s="1" t="s">
        <v>14212</v>
      </c>
      <c r="F1930" s="1" t="s">
        <v>98</v>
      </c>
      <c r="G1930" s="1" t="s">
        <v>14213</v>
      </c>
      <c r="H1930" s="1">
        <v>0</v>
      </c>
      <c r="I1930" s="1" t="s">
        <v>142</v>
      </c>
      <c r="J1930" s="1"/>
      <c r="K1930" s="1"/>
      <c r="L1930" s="1" t="s">
        <v>1391</v>
      </c>
      <c r="M1930" s="1" t="s">
        <v>125</v>
      </c>
      <c r="N1930" s="1">
        <v>0</v>
      </c>
      <c r="O1930" s="1">
        <v>0</v>
      </c>
      <c r="P1930" s="1" t="s">
        <v>301</v>
      </c>
      <c r="Q1930" s="1" t="s">
        <v>268</v>
      </c>
      <c r="R1930" s="1" t="s">
        <v>14214</v>
      </c>
      <c r="S1930" s="1" t="s">
        <v>14215</v>
      </c>
      <c r="T1930" s="1" t="s">
        <v>14208</v>
      </c>
      <c r="U1930" s="1" t="s">
        <v>14216</v>
      </c>
      <c r="V1930" s="1">
        <v>1</v>
      </c>
      <c r="W1930" s="1">
        <v>1</v>
      </c>
      <c r="X1930" s="1">
        <v>1</v>
      </c>
      <c r="Y1930" s="1">
        <v>0</v>
      </c>
      <c r="Z1930" s="1">
        <v>0</v>
      </c>
      <c r="AA1930" s="1">
        <v>2</v>
      </c>
      <c r="AB1930" s="1">
        <v>2</v>
      </c>
      <c r="AC1930" s="1" t="s">
        <v>109</v>
      </c>
      <c r="AD1930" s="1" t="s">
        <v>109</v>
      </c>
      <c r="AE1930" s="1" t="s">
        <v>109</v>
      </c>
      <c r="AF1930" s="1">
        <v>2</v>
      </c>
      <c r="AG1930" s="1" t="s">
        <v>109</v>
      </c>
      <c r="AH1930" s="1" t="s">
        <v>109</v>
      </c>
      <c r="AI1930" s="1" t="s">
        <v>109</v>
      </c>
      <c r="AJ1930" s="1">
        <v>2</v>
      </c>
      <c r="AK1930" s="1" t="s">
        <v>109</v>
      </c>
      <c r="AL1930" s="1" t="s">
        <v>109</v>
      </c>
      <c r="AM1930" s="1" t="s">
        <v>109</v>
      </c>
      <c r="AN1930" s="1">
        <v>2</v>
      </c>
      <c r="AO1930" s="1" t="s">
        <v>109</v>
      </c>
      <c r="AP1930" s="1"/>
      <c r="AQ1930" s="1">
        <v>2</v>
      </c>
      <c r="AR1930" s="1"/>
      <c r="AS1930" s="1"/>
      <c r="AT1930" s="1">
        <v>0</v>
      </c>
      <c r="AU1930" s="1">
        <v>0</v>
      </c>
      <c r="AV1930" s="1">
        <v>0</v>
      </c>
      <c r="AW1930" s="1">
        <v>0</v>
      </c>
      <c r="AX1930" s="1">
        <v>1</v>
      </c>
      <c r="AY1930" s="1">
        <v>0</v>
      </c>
      <c r="AZ1930" s="1">
        <v>0</v>
      </c>
      <c r="BA1930" s="1">
        <v>0</v>
      </c>
      <c r="BB1930" s="1">
        <v>0</v>
      </c>
      <c r="BC1930" s="1">
        <v>0</v>
      </c>
      <c r="BD1930" s="1">
        <v>0</v>
      </c>
      <c r="BE1930" s="1">
        <v>0</v>
      </c>
      <c r="BF1930" s="1">
        <v>0</v>
      </c>
      <c r="BG1930" s="1">
        <v>0</v>
      </c>
      <c r="BH1930" s="1">
        <v>0</v>
      </c>
      <c r="BI1930" s="1">
        <v>0</v>
      </c>
      <c r="BJ1930" s="1">
        <v>0</v>
      </c>
      <c r="BK1930" s="1">
        <v>0</v>
      </c>
      <c r="BL1930" s="1">
        <v>0</v>
      </c>
      <c r="BM1930" s="1">
        <v>1</v>
      </c>
      <c r="BN1930" s="1">
        <v>0</v>
      </c>
      <c r="BO1930" s="1">
        <v>0</v>
      </c>
      <c r="BP1930" s="1">
        <v>0</v>
      </c>
      <c r="BQ1930" s="1">
        <v>0</v>
      </c>
      <c r="BR1930" s="1">
        <v>0</v>
      </c>
      <c r="BS1930" s="1" t="s">
        <v>109</v>
      </c>
      <c r="BT1930" s="1">
        <v>2004</v>
      </c>
      <c r="BU1930" s="1" t="s">
        <v>109</v>
      </c>
      <c r="BV1930" s="1"/>
      <c r="BW1930" s="1"/>
      <c r="BX1930" s="1"/>
      <c r="BY1930" s="1"/>
      <c r="BZ1930" s="1">
        <v>1</v>
      </c>
      <c r="CA1930" s="1">
        <v>2</v>
      </c>
      <c r="CB1930" s="1" t="s">
        <v>109</v>
      </c>
      <c r="CC1930" s="1" t="s">
        <v>109</v>
      </c>
      <c r="CD1930" s="1" t="s">
        <v>109</v>
      </c>
      <c r="CE1930" s="1" t="s">
        <v>109</v>
      </c>
      <c r="CF1930" s="1" t="s">
        <v>109</v>
      </c>
      <c r="CG1930" s="1" t="s">
        <v>109</v>
      </c>
      <c r="CH1930" s="1" t="s">
        <v>109</v>
      </c>
      <c r="CI1930" s="1" t="s">
        <v>109</v>
      </c>
      <c r="CJ1930" s="1" t="s">
        <v>109</v>
      </c>
      <c r="CK1930" s="1"/>
      <c r="CL1930" s="1">
        <v>0</v>
      </c>
      <c r="CM1930" s="1">
        <v>0</v>
      </c>
      <c r="CN1930" s="1">
        <v>0</v>
      </c>
    </row>
    <row r="1931" spans="1:92" ht="14.25" customHeight="1" x14ac:dyDescent="0.15">
      <c r="A1931" s="1" t="s">
        <v>14217</v>
      </c>
      <c r="B1931" s="1" t="s">
        <v>242</v>
      </c>
      <c r="C1931" s="1"/>
      <c r="D1931" s="1"/>
      <c r="E1931" s="1" t="s">
        <v>14218</v>
      </c>
      <c r="F1931" s="1" t="s">
        <v>98</v>
      </c>
      <c r="G1931" s="1" t="s">
        <v>141</v>
      </c>
      <c r="H1931" s="1">
        <v>0</v>
      </c>
      <c r="I1931" s="1" t="s">
        <v>235</v>
      </c>
      <c r="J1931" s="1"/>
      <c r="K1931" s="1"/>
      <c r="L1931" s="1" t="s">
        <v>236</v>
      </c>
      <c r="M1931" s="1" t="s">
        <v>14219</v>
      </c>
      <c r="N1931" s="1">
        <v>0</v>
      </c>
      <c r="O1931" s="1">
        <v>0</v>
      </c>
      <c r="P1931" s="1"/>
      <c r="Q1931" s="1"/>
      <c r="R1931" s="1" t="s">
        <v>14220</v>
      </c>
      <c r="S1931" s="1" t="s">
        <v>14221</v>
      </c>
      <c r="T1931" s="1" t="s">
        <v>14208</v>
      </c>
      <c r="U1931" s="1" t="s">
        <v>14222</v>
      </c>
      <c r="V1931" s="1">
        <v>1</v>
      </c>
      <c r="W1931" s="1">
        <v>1</v>
      </c>
      <c r="X1931" s="1">
        <v>0</v>
      </c>
      <c r="Y1931" s="1">
        <v>0</v>
      </c>
      <c r="Z1931" s="1">
        <v>0</v>
      </c>
      <c r="AA1931" s="1" t="s">
        <v>109</v>
      </c>
      <c r="AB1931" s="1" t="s">
        <v>109</v>
      </c>
      <c r="AC1931" s="1" t="s">
        <v>109</v>
      </c>
      <c r="AD1931" s="1" t="s">
        <v>109</v>
      </c>
      <c r="AE1931" s="1" t="s">
        <v>109</v>
      </c>
      <c r="AF1931" s="1" t="s">
        <v>109</v>
      </c>
      <c r="AG1931" s="1" t="s">
        <v>109</v>
      </c>
      <c r="AH1931" s="1" t="s">
        <v>109</v>
      </c>
      <c r="AI1931" s="1" t="s">
        <v>109</v>
      </c>
      <c r="AJ1931" s="1" t="s">
        <v>109</v>
      </c>
      <c r="AK1931" s="1" t="s">
        <v>109</v>
      </c>
      <c r="AL1931" s="1" t="s">
        <v>109</v>
      </c>
      <c r="AM1931" s="1" t="s">
        <v>109</v>
      </c>
      <c r="AN1931" s="1" t="s">
        <v>109</v>
      </c>
      <c r="AO1931" s="1" t="s">
        <v>109</v>
      </c>
      <c r="AP1931" s="1"/>
      <c r="AQ1931" s="1">
        <v>3</v>
      </c>
      <c r="AR1931" s="1"/>
      <c r="AS1931" s="1"/>
      <c r="AT1931" s="1">
        <v>0</v>
      </c>
      <c r="AU1931" s="1">
        <v>0</v>
      </c>
      <c r="AV1931" s="1">
        <v>0</v>
      </c>
      <c r="AW1931" s="1">
        <v>0</v>
      </c>
      <c r="AX1931" s="1">
        <v>0</v>
      </c>
      <c r="AY1931" s="1">
        <v>0</v>
      </c>
      <c r="AZ1931" s="1">
        <v>0</v>
      </c>
      <c r="BA1931" s="1">
        <v>0</v>
      </c>
      <c r="BB1931" s="1">
        <v>0</v>
      </c>
      <c r="BC1931" s="1">
        <v>0</v>
      </c>
      <c r="BD1931" s="1">
        <v>0</v>
      </c>
      <c r="BE1931" s="1">
        <v>0</v>
      </c>
      <c r="BF1931" s="1">
        <v>0</v>
      </c>
      <c r="BG1931" s="1">
        <v>0</v>
      </c>
      <c r="BH1931" s="1">
        <v>0</v>
      </c>
      <c r="BI1931" s="1">
        <v>0</v>
      </c>
      <c r="BJ1931" s="1">
        <v>0</v>
      </c>
      <c r="BK1931" s="1">
        <v>0</v>
      </c>
      <c r="BL1931" s="1">
        <v>0</v>
      </c>
      <c r="BM1931" s="1">
        <v>0</v>
      </c>
      <c r="BN1931" s="1">
        <v>0</v>
      </c>
      <c r="BO1931" s="1">
        <v>0</v>
      </c>
      <c r="BP1931" s="1">
        <v>0</v>
      </c>
      <c r="BQ1931" s="1">
        <v>0</v>
      </c>
      <c r="BR1931" s="1">
        <v>0</v>
      </c>
      <c r="BS1931" s="1" t="s">
        <v>109</v>
      </c>
      <c r="BT1931" s="1">
        <v>2005</v>
      </c>
      <c r="BU1931" s="1" t="s">
        <v>109</v>
      </c>
      <c r="BV1931" s="1"/>
      <c r="BW1931" s="1"/>
      <c r="BX1931" s="1"/>
      <c r="BY1931" s="1"/>
      <c r="BZ1931" s="1">
        <v>0</v>
      </c>
      <c r="CA1931" s="1">
        <v>3</v>
      </c>
      <c r="CB1931" s="1" t="s">
        <v>109</v>
      </c>
      <c r="CC1931" s="1" t="s">
        <v>109</v>
      </c>
      <c r="CD1931" s="1" t="s">
        <v>109</v>
      </c>
      <c r="CE1931" s="1" t="s">
        <v>109</v>
      </c>
      <c r="CF1931" s="1" t="s">
        <v>109</v>
      </c>
      <c r="CG1931" s="1" t="s">
        <v>109</v>
      </c>
      <c r="CH1931" s="1" t="s">
        <v>109</v>
      </c>
      <c r="CI1931" s="1" t="s">
        <v>109</v>
      </c>
      <c r="CJ1931" s="1" t="s">
        <v>109</v>
      </c>
      <c r="CK1931" s="1"/>
      <c r="CL1931" s="1">
        <v>0</v>
      </c>
      <c r="CM1931" s="1">
        <v>0</v>
      </c>
      <c r="CN1931" s="1">
        <v>0</v>
      </c>
    </row>
    <row r="1932" spans="1:92" ht="14.25" customHeight="1" x14ac:dyDescent="0.15">
      <c r="A1932" s="1" t="s">
        <v>14223</v>
      </c>
      <c r="B1932" s="1" t="s">
        <v>189</v>
      </c>
      <c r="C1932" s="1"/>
      <c r="D1932" s="1" t="s">
        <v>14224</v>
      </c>
      <c r="E1932" s="1" t="s">
        <v>5543</v>
      </c>
      <c r="F1932" s="1" t="s">
        <v>1963</v>
      </c>
      <c r="G1932" s="1" t="s">
        <v>333</v>
      </c>
      <c r="H1932" s="1">
        <v>0</v>
      </c>
      <c r="I1932" s="1" t="s">
        <v>235</v>
      </c>
      <c r="J1932" s="1"/>
      <c r="K1932" s="1"/>
      <c r="L1932" s="1" t="s">
        <v>236</v>
      </c>
      <c r="M1932" s="1" t="s">
        <v>9409</v>
      </c>
      <c r="N1932" s="1">
        <v>0</v>
      </c>
      <c r="O1932" s="1">
        <v>0</v>
      </c>
      <c r="P1932" s="1"/>
      <c r="Q1932" s="1"/>
      <c r="R1932" s="1" t="s">
        <v>14225</v>
      </c>
      <c r="S1932" s="1" t="s">
        <v>14226</v>
      </c>
      <c r="T1932" s="1" t="s">
        <v>14208</v>
      </c>
      <c r="U1932" s="1" t="s">
        <v>14227</v>
      </c>
      <c r="V1932" s="1">
        <v>1</v>
      </c>
      <c r="W1932" s="1">
        <v>0</v>
      </c>
      <c r="X1932" s="1">
        <v>0</v>
      </c>
      <c r="Y1932" s="1">
        <v>0</v>
      </c>
      <c r="Z1932" s="1">
        <v>0</v>
      </c>
      <c r="AA1932" s="1">
        <v>4</v>
      </c>
      <c r="AB1932" s="1">
        <v>4</v>
      </c>
      <c r="AC1932" s="1" t="s">
        <v>109</v>
      </c>
      <c r="AD1932" s="1" t="s">
        <v>109</v>
      </c>
      <c r="AE1932" s="1" t="s">
        <v>109</v>
      </c>
      <c r="AF1932" s="1" t="s">
        <v>109</v>
      </c>
      <c r="AG1932" s="1" t="s">
        <v>109</v>
      </c>
      <c r="AH1932" s="1" t="s">
        <v>109</v>
      </c>
      <c r="AI1932" s="1" t="s">
        <v>109</v>
      </c>
      <c r="AJ1932" s="1" t="s">
        <v>109</v>
      </c>
      <c r="AK1932" s="1" t="s">
        <v>109</v>
      </c>
      <c r="AL1932" s="1" t="s">
        <v>109</v>
      </c>
      <c r="AM1932" s="1" t="s">
        <v>109</v>
      </c>
      <c r="AN1932" s="1" t="s">
        <v>109</v>
      </c>
      <c r="AO1932" s="1" t="s">
        <v>109</v>
      </c>
      <c r="AP1932" s="1"/>
      <c r="AQ1932" s="1">
        <v>4</v>
      </c>
      <c r="AR1932" s="1"/>
      <c r="AS1932" s="1"/>
      <c r="AT1932" s="1">
        <v>1</v>
      </c>
      <c r="AU1932" s="1">
        <v>0</v>
      </c>
      <c r="AV1932" s="1">
        <v>0</v>
      </c>
      <c r="AW1932" s="1">
        <v>1</v>
      </c>
      <c r="AX1932" s="1">
        <v>0</v>
      </c>
      <c r="AY1932" s="1">
        <v>0</v>
      </c>
      <c r="AZ1932" s="1">
        <v>0</v>
      </c>
      <c r="BA1932" s="1">
        <v>0</v>
      </c>
      <c r="BB1932" s="1">
        <v>0</v>
      </c>
      <c r="BC1932" s="1">
        <v>1</v>
      </c>
      <c r="BD1932" s="1">
        <v>0</v>
      </c>
      <c r="BE1932" s="1">
        <v>0</v>
      </c>
      <c r="BF1932" s="1">
        <v>0</v>
      </c>
      <c r="BG1932" s="1">
        <v>1</v>
      </c>
      <c r="BH1932" s="1">
        <v>0</v>
      </c>
      <c r="BI1932" s="1">
        <v>0</v>
      </c>
      <c r="BJ1932" s="1">
        <v>0</v>
      </c>
      <c r="BK1932" s="1">
        <v>0</v>
      </c>
      <c r="BL1932" s="1">
        <v>0</v>
      </c>
      <c r="BM1932" s="1">
        <v>0</v>
      </c>
      <c r="BN1932" s="1">
        <v>0</v>
      </c>
      <c r="BO1932" s="1">
        <v>0</v>
      </c>
      <c r="BP1932" s="1">
        <v>0</v>
      </c>
      <c r="BQ1932" s="1">
        <v>0</v>
      </c>
      <c r="BR1932" s="1">
        <v>0</v>
      </c>
      <c r="BS1932" s="1" t="s">
        <v>109</v>
      </c>
      <c r="BT1932" s="1">
        <v>2006</v>
      </c>
      <c r="BU1932" s="1" t="s">
        <v>109</v>
      </c>
      <c r="BV1932" s="1"/>
      <c r="BW1932" s="1"/>
      <c r="BX1932" s="1"/>
      <c r="BY1932" s="1"/>
      <c r="BZ1932" s="1">
        <v>0</v>
      </c>
      <c r="CA1932" s="1" t="s">
        <v>109</v>
      </c>
      <c r="CB1932" s="1" t="s">
        <v>109</v>
      </c>
      <c r="CC1932" s="1" t="s">
        <v>109</v>
      </c>
      <c r="CD1932" s="1" t="s">
        <v>109</v>
      </c>
      <c r="CE1932" s="1" t="s">
        <v>109</v>
      </c>
      <c r="CF1932" s="1" t="s">
        <v>109</v>
      </c>
      <c r="CG1932" s="1" t="s">
        <v>109</v>
      </c>
      <c r="CH1932" s="1" t="s">
        <v>109</v>
      </c>
      <c r="CI1932" s="1" t="s">
        <v>109</v>
      </c>
      <c r="CJ1932" s="1" t="s">
        <v>109</v>
      </c>
      <c r="CK1932" s="1"/>
      <c r="CL1932" s="1">
        <v>0</v>
      </c>
      <c r="CM1932" s="1">
        <v>0</v>
      </c>
      <c r="CN1932" s="1">
        <v>0</v>
      </c>
    </row>
    <row r="1933" spans="1:92" ht="14.25" customHeight="1" x14ac:dyDescent="0.15">
      <c r="A1933" s="1" t="s">
        <v>14228</v>
      </c>
      <c r="B1933" s="1" t="s">
        <v>584</v>
      </c>
      <c r="C1933" s="1"/>
      <c r="D1933" s="1"/>
      <c r="E1933" s="1" t="s">
        <v>13706</v>
      </c>
      <c r="F1933" s="1" t="s">
        <v>395</v>
      </c>
      <c r="G1933" s="1" t="s">
        <v>14229</v>
      </c>
      <c r="H1933" s="1">
        <v>0</v>
      </c>
      <c r="I1933" s="1" t="s">
        <v>161</v>
      </c>
      <c r="J1933" s="1"/>
      <c r="K1933" s="1"/>
      <c r="L1933" s="1" t="s">
        <v>2739</v>
      </c>
      <c r="M1933" s="1" t="s">
        <v>14230</v>
      </c>
      <c r="N1933" s="1">
        <v>0</v>
      </c>
      <c r="O1933" s="1">
        <v>0</v>
      </c>
      <c r="P1933" s="1" t="s">
        <v>507</v>
      </c>
      <c r="Q1933" s="1" t="s">
        <v>268</v>
      </c>
      <c r="R1933" s="1" t="s">
        <v>14231</v>
      </c>
      <c r="S1933" s="1" t="s">
        <v>14232</v>
      </c>
      <c r="T1933" s="1" t="s">
        <v>14208</v>
      </c>
      <c r="U1933" s="1" t="s">
        <v>14233</v>
      </c>
      <c r="V1933" s="1">
        <v>1</v>
      </c>
      <c r="W1933" s="1">
        <v>1</v>
      </c>
      <c r="X1933" s="1">
        <v>1</v>
      </c>
      <c r="Y1933" s="1">
        <v>0</v>
      </c>
      <c r="Z1933" s="1">
        <v>1</v>
      </c>
      <c r="AA1933" s="1" t="s">
        <v>109</v>
      </c>
      <c r="AB1933" s="1" t="s">
        <v>109</v>
      </c>
      <c r="AC1933" s="1" t="s">
        <v>109</v>
      </c>
      <c r="AD1933" s="1" t="s">
        <v>109</v>
      </c>
      <c r="AE1933" s="1" t="s">
        <v>109</v>
      </c>
      <c r="AF1933" s="1" t="s">
        <v>109</v>
      </c>
      <c r="AG1933" s="1" t="s">
        <v>109</v>
      </c>
      <c r="AH1933" s="1" t="s">
        <v>109</v>
      </c>
      <c r="AI1933" s="1" t="s">
        <v>109</v>
      </c>
      <c r="AJ1933" s="1">
        <v>5</v>
      </c>
      <c r="AK1933" s="1" t="s">
        <v>109</v>
      </c>
      <c r="AL1933" s="1" t="s">
        <v>109</v>
      </c>
      <c r="AM1933" s="1" t="s">
        <v>109</v>
      </c>
      <c r="AN1933" s="1" t="s">
        <v>109</v>
      </c>
      <c r="AO1933" s="1" t="s">
        <v>109</v>
      </c>
      <c r="AP1933" s="1"/>
      <c r="AQ1933" s="1">
        <v>5</v>
      </c>
      <c r="AR1933" s="1"/>
      <c r="AS1933" s="1"/>
      <c r="AT1933" s="1">
        <v>0</v>
      </c>
      <c r="AU1933" s="1">
        <v>0</v>
      </c>
      <c r="AV1933" s="1">
        <v>0</v>
      </c>
      <c r="AW1933" s="1">
        <v>0</v>
      </c>
      <c r="AX1933" s="1">
        <v>0</v>
      </c>
      <c r="AY1933" s="1">
        <v>0</v>
      </c>
      <c r="AZ1933" s="1">
        <v>0</v>
      </c>
      <c r="BA1933" s="1">
        <v>0</v>
      </c>
      <c r="BB1933" s="1">
        <v>0</v>
      </c>
      <c r="BC1933" s="1">
        <v>0</v>
      </c>
      <c r="BD1933" s="1">
        <v>0</v>
      </c>
      <c r="BE1933" s="1">
        <v>0</v>
      </c>
      <c r="BF1933" s="1">
        <v>0</v>
      </c>
      <c r="BG1933" s="1">
        <v>0</v>
      </c>
      <c r="BH1933" s="1">
        <v>0</v>
      </c>
      <c r="BI1933" s="1">
        <v>0</v>
      </c>
      <c r="BJ1933" s="1">
        <v>0</v>
      </c>
      <c r="BK1933" s="1">
        <v>0</v>
      </c>
      <c r="BL1933" s="1">
        <v>0</v>
      </c>
      <c r="BM1933" s="1">
        <v>0</v>
      </c>
      <c r="BN1933" s="1">
        <v>0</v>
      </c>
      <c r="BO1933" s="1">
        <v>0</v>
      </c>
      <c r="BP1933" s="1">
        <v>0</v>
      </c>
      <c r="BQ1933" s="1">
        <v>0</v>
      </c>
      <c r="BR1933" s="1">
        <v>0</v>
      </c>
      <c r="BS1933" s="1" t="s">
        <v>109</v>
      </c>
      <c r="BT1933" s="1">
        <v>2007</v>
      </c>
      <c r="BU1933" s="1" t="s">
        <v>109</v>
      </c>
      <c r="BV1933" s="1"/>
      <c r="BW1933" s="1"/>
      <c r="BX1933" s="1"/>
      <c r="BY1933" s="1"/>
      <c r="BZ1933" s="1">
        <v>0</v>
      </c>
      <c r="CA1933" s="1" t="s">
        <v>109</v>
      </c>
      <c r="CB1933" s="1">
        <v>5</v>
      </c>
      <c r="CC1933" s="1" t="s">
        <v>109</v>
      </c>
      <c r="CD1933" s="1" t="s">
        <v>109</v>
      </c>
      <c r="CE1933" s="1" t="s">
        <v>109</v>
      </c>
      <c r="CF1933" s="1" t="s">
        <v>109</v>
      </c>
      <c r="CG1933" s="1" t="s">
        <v>109</v>
      </c>
      <c r="CH1933" s="1" t="s">
        <v>109</v>
      </c>
      <c r="CI1933" s="1" t="s">
        <v>109</v>
      </c>
      <c r="CJ1933" s="1" t="s">
        <v>109</v>
      </c>
      <c r="CK1933" s="1"/>
      <c r="CL1933" s="1">
        <v>0</v>
      </c>
      <c r="CM1933" s="1">
        <v>0</v>
      </c>
      <c r="CN1933" s="1">
        <v>0</v>
      </c>
    </row>
    <row r="1934" spans="1:92" ht="14.25" customHeight="1" x14ac:dyDescent="0.15">
      <c r="A1934" s="1" t="s">
        <v>14234</v>
      </c>
      <c r="B1934" s="1" t="s">
        <v>189</v>
      </c>
      <c r="C1934" s="1"/>
      <c r="D1934" s="1"/>
      <c r="E1934" s="1" t="s">
        <v>4849</v>
      </c>
      <c r="F1934" s="1" t="s">
        <v>98</v>
      </c>
      <c r="G1934" s="1" t="s">
        <v>160</v>
      </c>
      <c r="H1934" s="1">
        <v>0</v>
      </c>
      <c r="I1934" s="1" t="s">
        <v>11844</v>
      </c>
      <c r="J1934" s="1"/>
      <c r="K1934" s="1"/>
      <c r="L1934" s="1" t="s">
        <v>14235</v>
      </c>
      <c r="M1934" s="1" t="s">
        <v>815</v>
      </c>
      <c r="N1934" s="1">
        <v>1</v>
      </c>
      <c r="O1934" s="1">
        <v>0</v>
      </c>
      <c r="P1934" s="1"/>
      <c r="Q1934" s="1"/>
      <c r="R1934" s="1" t="s">
        <v>14236</v>
      </c>
      <c r="S1934" s="1" t="s">
        <v>14237</v>
      </c>
      <c r="T1934" s="1" t="s">
        <v>14208</v>
      </c>
      <c r="U1934" s="1" t="s">
        <v>14238</v>
      </c>
      <c r="V1934" s="1">
        <v>1</v>
      </c>
      <c r="W1934" s="1">
        <v>1</v>
      </c>
      <c r="X1934" s="1">
        <v>0</v>
      </c>
      <c r="Y1934" s="1">
        <v>0</v>
      </c>
      <c r="Z1934" s="1">
        <v>1</v>
      </c>
      <c r="AA1934" s="1" t="s">
        <v>109</v>
      </c>
      <c r="AB1934" s="1" t="s">
        <v>109</v>
      </c>
      <c r="AC1934" s="1" t="s">
        <v>109</v>
      </c>
      <c r="AD1934" s="1">
        <v>4</v>
      </c>
      <c r="AE1934" s="1">
        <v>4</v>
      </c>
      <c r="AF1934" s="1" t="s">
        <v>109</v>
      </c>
      <c r="AG1934" s="1" t="s">
        <v>109</v>
      </c>
      <c r="AH1934" s="1" t="s">
        <v>109</v>
      </c>
      <c r="AI1934" s="1" t="s">
        <v>109</v>
      </c>
      <c r="AJ1934" s="1" t="s">
        <v>109</v>
      </c>
      <c r="AK1934" s="1" t="s">
        <v>109</v>
      </c>
      <c r="AL1934" s="1" t="s">
        <v>109</v>
      </c>
      <c r="AM1934" s="1" t="s">
        <v>109</v>
      </c>
      <c r="AN1934" s="1" t="s">
        <v>109</v>
      </c>
      <c r="AO1934" s="1" t="s">
        <v>109</v>
      </c>
      <c r="AP1934" s="1"/>
      <c r="AQ1934" s="1">
        <v>4</v>
      </c>
      <c r="AR1934" s="1"/>
      <c r="AS1934" s="1"/>
      <c r="AT1934" s="1">
        <v>0</v>
      </c>
      <c r="AU1934" s="1">
        <v>0</v>
      </c>
      <c r="AV1934" s="1">
        <v>0</v>
      </c>
      <c r="AW1934" s="1">
        <v>0</v>
      </c>
      <c r="AX1934" s="1">
        <v>0</v>
      </c>
      <c r="AY1934" s="1">
        <v>0</v>
      </c>
      <c r="AZ1934" s="1">
        <v>0</v>
      </c>
      <c r="BA1934" s="1">
        <v>0</v>
      </c>
      <c r="BB1934" s="1">
        <v>0</v>
      </c>
      <c r="BC1934" s="1">
        <v>0</v>
      </c>
      <c r="BD1934" s="1">
        <v>0</v>
      </c>
      <c r="BE1934" s="1">
        <v>0</v>
      </c>
      <c r="BF1934" s="1">
        <v>0</v>
      </c>
      <c r="BG1934" s="1">
        <v>0</v>
      </c>
      <c r="BH1934" s="1">
        <v>0</v>
      </c>
      <c r="BI1934" s="1">
        <v>0</v>
      </c>
      <c r="BJ1934" s="1">
        <v>0</v>
      </c>
      <c r="BK1934" s="1">
        <v>0</v>
      </c>
      <c r="BL1934" s="1">
        <v>0</v>
      </c>
      <c r="BM1934" s="1">
        <v>0</v>
      </c>
      <c r="BN1934" s="1">
        <v>0</v>
      </c>
      <c r="BO1934" s="1">
        <v>0</v>
      </c>
      <c r="BP1934" s="1">
        <v>0</v>
      </c>
      <c r="BQ1934" s="1">
        <v>0</v>
      </c>
      <c r="BR1934" s="1">
        <v>0</v>
      </c>
      <c r="BS1934" s="1" t="s">
        <v>109</v>
      </c>
      <c r="BT1934" s="1">
        <v>2008</v>
      </c>
      <c r="BU1934" s="1" t="s">
        <v>109</v>
      </c>
      <c r="BV1934" s="1"/>
      <c r="BW1934" s="1"/>
      <c r="BX1934" s="1"/>
      <c r="BY1934" s="1"/>
      <c r="BZ1934" s="1">
        <v>0</v>
      </c>
      <c r="CA1934" s="1" t="s">
        <v>109</v>
      </c>
      <c r="CB1934" s="1" t="s">
        <v>109</v>
      </c>
      <c r="CC1934" s="1" t="s">
        <v>109</v>
      </c>
      <c r="CD1934" s="1" t="s">
        <v>109</v>
      </c>
      <c r="CE1934" s="1" t="s">
        <v>109</v>
      </c>
      <c r="CF1934" s="1" t="s">
        <v>109</v>
      </c>
      <c r="CG1934" s="1" t="s">
        <v>109</v>
      </c>
      <c r="CH1934" s="1" t="s">
        <v>109</v>
      </c>
      <c r="CI1934" s="1" t="s">
        <v>109</v>
      </c>
      <c r="CJ1934" s="1">
        <v>4</v>
      </c>
      <c r="CK1934" s="1"/>
      <c r="CL1934" s="1">
        <v>0</v>
      </c>
      <c r="CM1934" s="1">
        <v>0</v>
      </c>
      <c r="CN1934" s="1">
        <v>0</v>
      </c>
    </row>
    <row r="1935" spans="1:92" ht="14.25" customHeight="1" x14ac:dyDescent="0.15">
      <c r="A1935" s="1" t="s">
        <v>14239</v>
      </c>
      <c r="B1935" s="1" t="s">
        <v>156</v>
      </c>
      <c r="C1935" s="1"/>
      <c r="D1935" s="1"/>
      <c r="E1935" s="1" t="s">
        <v>2394</v>
      </c>
      <c r="F1935" s="1" t="s">
        <v>5503</v>
      </c>
      <c r="G1935" s="1" t="s">
        <v>160</v>
      </c>
      <c r="H1935" s="1">
        <v>0</v>
      </c>
      <c r="I1935" s="1" t="s">
        <v>11491</v>
      </c>
      <c r="J1935" s="1"/>
      <c r="K1935" s="1" t="s">
        <v>14240</v>
      </c>
      <c r="L1935" s="1"/>
      <c r="M1935" s="1" t="s">
        <v>3042</v>
      </c>
      <c r="N1935" s="1">
        <v>0</v>
      </c>
      <c r="O1935" s="1">
        <v>0</v>
      </c>
      <c r="P1935" s="1"/>
      <c r="Q1935" s="1"/>
      <c r="R1935" s="1" t="s">
        <v>14241</v>
      </c>
      <c r="S1935" s="1" t="s">
        <v>14242</v>
      </c>
      <c r="T1935" s="1" t="s">
        <v>14208</v>
      </c>
      <c r="U1935" s="1" t="s">
        <v>14243</v>
      </c>
      <c r="V1935" s="1">
        <v>1</v>
      </c>
      <c r="W1935" s="1">
        <v>1</v>
      </c>
      <c r="X1935" s="1">
        <v>0</v>
      </c>
      <c r="Y1935" s="1">
        <v>0</v>
      </c>
      <c r="Z1935" s="1">
        <v>1</v>
      </c>
      <c r="AA1935" s="1" t="s">
        <v>109</v>
      </c>
      <c r="AB1935" s="1" t="s">
        <v>109</v>
      </c>
      <c r="AC1935" s="1" t="s">
        <v>109</v>
      </c>
      <c r="AD1935" s="1">
        <v>1</v>
      </c>
      <c r="AE1935" s="1" t="s">
        <v>109</v>
      </c>
      <c r="AF1935" s="1" t="s">
        <v>109</v>
      </c>
      <c r="AG1935" s="1" t="s">
        <v>109</v>
      </c>
      <c r="AH1935" s="1" t="s">
        <v>109</v>
      </c>
      <c r="AI1935" s="1" t="s">
        <v>109</v>
      </c>
      <c r="AJ1935" s="1" t="s">
        <v>109</v>
      </c>
      <c r="AK1935" s="1" t="s">
        <v>109</v>
      </c>
      <c r="AL1935" s="1" t="s">
        <v>109</v>
      </c>
      <c r="AM1935" s="1" t="s">
        <v>109</v>
      </c>
      <c r="AN1935" s="1" t="s">
        <v>109</v>
      </c>
      <c r="AO1935" s="1" t="s">
        <v>109</v>
      </c>
      <c r="AP1935" s="1"/>
      <c r="AQ1935" s="1">
        <v>1</v>
      </c>
      <c r="AR1935" s="1"/>
      <c r="AS1935" s="1"/>
      <c r="AT1935" s="1">
        <v>0</v>
      </c>
      <c r="AU1935" s="1">
        <v>0</v>
      </c>
      <c r="AV1935" s="1">
        <v>0</v>
      </c>
      <c r="AW1935" s="1">
        <v>0</v>
      </c>
      <c r="AX1935" s="1">
        <v>0</v>
      </c>
      <c r="AY1935" s="1">
        <v>0</v>
      </c>
      <c r="AZ1935" s="1">
        <v>0</v>
      </c>
      <c r="BA1935" s="1">
        <v>0</v>
      </c>
      <c r="BB1935" s="1">
        <v>0</v>
      </c>
      <c r="BC1935" s="1">
        <v>0</v>
      </c>
      <c r="BD1935" s="1">
        <v>0</v>
      </c>
      <c r="BE1935" s="1">
        <v>0</v>
      </c>
      <c r="BF1935" s="1">
        <v>0</v>
      </c>
      <c r="BG1935" s="1">
        <v>0</v>
      </c>
      <c r="BH1935" s="1">
        <v>0</v>
      </c>
      <c r="BI1935" s="1">
        <v>0</v>
      </c>
      <c r="BJ1935" s="1">
        <v>0</v>
      </c>
      <c r="BK1935" s="1">
        <v>0</v>
      </c>
      <c r="BL1935" s="1">
        <v>0</v>
      </c>
      <c r="BM1935" s="1">
        <v>0</v>
      </c>
      <c r="BN1935" s="1">
        <v>0</v>
      </c>
      <c r="BO1935" s="1">
        <v>0</v>
      </c>
      <c r="BP1935" s="1">
        <v>0</v>
      </c>
      <c r="BQ1935" s="1">
        <v>0</v>
      </c>
      <c r="BR1935" s="1">
        <v>0</v>
      </c>
      <c r="BS1935" s="1" t="s">
        <v>109</v>
      </c>
      <c r="BT1935" s="1">
        <v>2009</v>
      </c>
      <c r="BU1935" s="1" t="s">
        <v>109</v>
      </c>
      <c r="BV1935" s="1"/>
      <c r="BW1935" s="1"/>
      <c r="BX1935" s="1"/>
      <c r="BY1935" s="1"/>
      <c r="BZ1935" s="1">
        <v>0</v>
      </c>
      <c r="CA1935" s="1" t="s">
        <v>109</v>
      </c>
      <c r="CB1935" s="1">
        <v>1</v>
      </c>
      <c r="CC1935" s="1" t="s">
        <v>109</v>
      </c>
      <c r="CD1935" s="1" t="s">
        <v>109</v>
      </c>
      <c r="CE1935" s="1" t="s">
        <v>109</v>
      </c>
      <c r="CF1935" s="1" t="s">
        <v>109</v>
      </c>
      <c r="CG1935" s="1" t="s">
        <v>109</v>
      </c>
      <c r="CH1935" s="1" t="s">
        <v>109</v>
      </c>
      <c r="CI1935" s="1" t="s">
        <v>109</v>
      </c>
      <c r="CJ1935" s="1">
        <v>1</v>
      </c>
      <c r="CK1935" s="1"/>
      <c r="CL1935" s="1">
        <v>0</v>
      </c>
      <c r="CM1935" s="1">
        <v>0</v>
      </c>
      <c r="CN1935" s="1">
        <v>0</v>
      </c>
    </row>
    <row r="1936" spans="1:92" ht="14.25" customHeight="1" x14ac:dyDescent="0.15">
      <c r="A1936" s="1" t="s">
        <v>14244</v>
      </c>
      <c r="B1936" s="1" t="s">
        <v>189</v>
      </c>
      <c r="C1936" s="1"/>
      <c r="D1936" s="1" t="s">
        <v>211</v>
      </c>
      <c r="E1936" s="1" t="s">
        <v>5967</v>
      </c>
      <c r="F1936" s="1" t="s">
        <v>98</v>
      </c>
      <c r="G1936" s="1" t="s">
        <v>160</v>
      </c>
      <c r="H1936" s="1">
        <v>0</v>
      </c>
      <c r="I1936" s="1" t="s">
        <v>161</v>
      </c>
      <c r="J1936" s="1"/>
      <c r="K1936" s="1"/>
      <c r="L1936" s="1" t="s">
        <v>14245</v>
      </c>
      <c r="M1936" s="1" t="s">
        <v>3042</v>
      </c>
      <c r="N1936" s="1">
        <v>0</v>
      </c>
      <c r="O1936" s="1">
        <v>0</v>
      </c>
      <c r="P1936" s="1" t="s">
        <v>14246</v>
      </c>
      <c r="Q1936" s="1" t="s">
        <v>630</v>
      </c>
      <c r="R1936" s="1" t="s">
        <v>14247</v>
      </c>
      <c r="S1936" s="1" t="s">
        <v>14248</v>
      </c>
      <c r="T1936" s="1" t="s">
        <v>14208</v>
      </c>
      <c r="U1936" s="1" t="s">
        <v>14249</v>
      </c>
      <c r="V1936" s="1">
        <v>1</v>
      </c>
      <c r="W1936" s="1">
        <v>1</v>
      </c>
      <c r="X1936" s="1">
        <v>0</v>
      </c>
      <c r="Y1936" s="1">
        <v>0</v>
      </c>
      <c r="Z1936" s="1">
        <v>1</v>
      </c>
      <c r="AA1936" s="1" t="s">
        <v>109</v>
      </c>
      <c r="AB1936" s="1" t="s">
        <v>109</v>
      </c>
      <c r="AC1936" s="1">
        <v>4</v>
      </c>
      <c r="AD1936" s="1" t="s">
        <v>109</v>
      </c>
      <c r="AE1936" s="1" t="s">
        <v>109</v>
      </c>
      <c r="AF1936" s="1" t="s">
        <v>109</v>
      </c>
      <c r="AG1936" s="1" t="s">
        <v>109</v>
      </c>
      <c r="AH1936" s="1" t="s">
        <v>109</v>
      </c>
      <c r="AI1936" s="1" t="s">
        <v>109</v>
      </c>
      <c r="AJ1936" s="1" t="s">
        <v>109</v>
      </c>
      <c r="AK1936" s="1" t="s">
        <v>109</v>
      </c>
      <c r="AL1936" s="1">
        <v>4</v>
      </c>
      <c r="AM1936" s="1" t="s">
        <v>109</v>
      </c>
      <c r="AN1936" s="1" t="s">
        <v>109</v>
      </c>
      <c r="AO1936" s="1" t="s">
        <v>109</v>
      </c>
      <c r="AP1936" s="1"/>
      <c r="AQ1936" s="1">
        <v>4</v>
      </c>
      <c r="AR1936" s="1"/>
      <c r="AS1936" s="1"/>
      <c r="AT1936" s="1">
        <v>0</v>
      </c>
      <c r="AU1936" s="1">
        <v>0</v>
      </c>
      <c r="AV1936" s="1">
        <v>0</v>
      </c>
      <c r="AW1936" s="1">
        <v>0</v>
      </c>
      <c r="AX1936" s="1">
        <v>0</v>
      </c>
      <c r="AY1936" s="1">
        <v>0</v>
      </c>
      <c r="AZ1936" s="1">
        <v>0</v>
      </c>
      <c r="BA1936" s="1">
        <v>0</v>
      </c>
      <c r="BB1936" s="1">
        <v>0</v>
      </c>
      <c r="BC1936" s="1">
        <v>0</v>
      </c>
      <c r="BD1936" s="1">
        <v>0</v>
      </c>
      <c r="BE1936" s="1">
        <v>0</v>
      </c>
      <c r="BF1936" s="1">
        <v>0</v>
      </c>
      <c r="BG1936" s="1">
        <v>0</v>
      </c>
      <c r="BH1936" s="1">
        <v>0</v>
      </c>
      <c r="BI1936" s="1">
        <v>0</v>
      </c>
      <c r="BJ1936" s="1">
        <v>0</v>
      </c>
      <c r="BK1936" s="1">
        <v>0</v>
      </c>
      <c r="BL1936" s="1">
        <v>0</v>
      </c>
      <c r="BM1936" s="1">
        <v>0</v>
      </c>
      <c r="BN1936" s="1">
        <v>0</v>
      </c>
      <c r="BO1936" s="1">
        <v>0</v>
      </c>
      <c r="BP1936" s="1">
        <v>0</v>
      </c>
      <c r="BQ1936" s="1">
        <v>0</v>
      </c>
      <c r="BR1936" s="1">
        <v>0</v>
      </c>
      <c r="BS1936" s="1" t="s">
        <v>109</v>
      </c>
      <c r="BT1936" s="1">
        <v>2010</v>
      </c>
      <c r="BU1936" s="1" t="s">
        <v>109</v>
      </c>
      <c r="BV1936" s="1"/>
      <c r="BW1936" s="1"/>
      <c r="BX1936" s="1"/>
      <c r="BY1936" s="1"/>
      <c r="BZ1936" s="1">
        <v>0</v>
      </c>
      <c r="CA1936" s="1" t="s">
        <v>109</v>
      </c>
      <c r="CB1936" s="1" t="s">
        <v>109</v>
      </c>
      <c r="CC1936" s="1" t="s">
        <v>109</v>
      </c>
      <c r="CD1936" s="1" t="s">
        <v>109</v>
      </c>
      <c r="CE1936" s="1" t="s">
        <v>109</v>
      </c>
      <c r="CF1936" s="1" t="s">
        <v>109</v>
      </c>
      <c r="CG1936" s="1" t="s">
        <v>109</v>
      </c>
      <c r="CH1936" s="1" t="s">
        <v>109</v>
      </c>
      <c r="CI1936" s="1" t="s">
        <v>109</v>
      </c>
      <c r="CJ1936" s="1" t="s">
        <v>109</v>
      </c>
      <c r="CK1936" s="1"/>
      <c r="CL1936" s="1">
        <v>0</v>
      </c>
      <c r="CM1936" s="1">
        <v>0</v>
      </c>
      <c r="CN1936" s="1">
        <v>0</v>
      </c>
    </row>
    <row r="1937" spans="1:92" ht="14.25" customHeight="1" x14ac:dyDescent="0.15">
      <c r="A1937" s="1" t="s">
        <v>14250</v>
      </c>
      <c r="B1937" s="1" t="s">
        <v>308</v>
      </c>
      <c r="C1937" s="1"/>
      <c r="D1937" s="1" t="s">
        <v>57</v>
      </c>
      <c r="E1937" s="1" t="s">
        <v>10904</v>
      </c>
      <c r="F1937" s="1" t="s">
        <v>98</v>
      </c>
      <c r="G1937" s="1" t="s">
        <v>14251</v>
      </c>
      <c r="H1937" s="1">
        <v>0</v>
      </c>
      <c r="I1937" s="1" t="s">
        <v>235</v>
      </c>
      <c r="J1937" s="1" t="s">
        <v>7933</v>
      </c>
      <c r="K1937" s="1"/>
      <c r="L1937" s="1"/>
      <c r="M1937" s="1" t="s">
        <v>6144</v>
      </c>
      <c r="N1937" s="1">
        <v>1</v>
      </c>
      <c r="O1937" s="1">
        <v>0</v>
      </c>
      <c r="P1937" s="1" t="s">
        <v>267</v>
      </c>
      <c r="Q1937" s="1" t="s">
        <v>268</v>
      </c>
      <c r="R1937" s="1" t="s">
        <v>14252</v>
      </c>
      <c r="S1937" s="1" t="s">
        <v>14253</v>
      </c>
      <c r="T1937" s="1" t="s">
        <v>14254</v>
      </c>
      <c r="U1937" s="1" t="s">
        <v>14255</v>
      </c>
      <c r="V1937" s="1">
        <v>1</v>
      </c>
      <c r="W1937" s="1">
        <v>1</v>
      </c>
      <c r="X1937" s="1">
        <v>1</v>
      </c>
      <c r="Y1937" s="1">
        <v>0</v>
      </c>
      <c r="Z1937" s="1">
        <v>0</v>
      </c>
      <c r="AA1937" s="1">
        <v>3</v>
      </c>
      <c r="AB1937" s="1">
        <v>3</v>
      </c>
      <c r="AC1937" s="1">
        <v>3</v>
      </c>
      <c r="AD1937" s="1" t="s">
        <v>109</v>
      </c>
      <c r="AE1937" s="1" t="s">
        <v>109</v>
      </c>
      <c r="AF1937" s="1" t="s">
        <v>109</v>
      </c>
      <c r="AG1937" s="1" t="s">
        <v>109</v>
      </c>
      <c r="AH1937" s="1" t="s">
        <v>109</v>
      </c>
      <c r="AI1937" s="1" t="s">
        <v>109</v>
      </c>
      <c r="AJ1937" s="1">
        <v>3</v>
      </c>
      <c r="AK1937" s="1" t="s">
        <v>109</v>
      </c>
      <c r="AL1937" s="1">
        <v>3</v>
      </c>
      <c r="AM1937" s="1" t="s">
        <v>109</v>
      </c>
      <c r="AN1937" s="1" t="s">
        <v>109</v>
      </c>
      <c r="AO1937" s="1" t="s">
        <v>109</v>
      </c>
      <c r="AP1937" s="1"/>
      <c r="AQ1937" s="1">
        <v>3</v>
      </c>
      <c r="AR1937" s="1"/>
      <c r="AS1937" s="1"/>
      <c r="AT1937" s="1">
        <v>0</v>
      </c>
      <c r="AU1937" s="1">
        <v>0</v>
      </c>
      <c r="AV1937" s="1">
        <v>0</v>
      </c>
      <c r="AW1937" s="1">
        <v>0</v>
      </c>
      <c r="AX1937" s="1">
        <v>0</v>
      </c>
      <c r="AY1937" s="1">
        <v>0</v>
      </c>
      <c r="AZ1937" s="1">
        <v>0</v>
      </c>
      <c r="BA1937" s="1">
        <v>0</v>
      </c>
      <c r="BB1937" s="1">
        <v>0</v>
      </c>
      <c r="BC1937" s="1">
        <v>0</v>
      </c>
      <c r="BD1937" s="1">
        <v>0</v>
      </c>
      <c r="BE1937" s="1">
        <v>1</v>
      </c>
      <c r="BF1937" s="1">
        <v>0</v>
      </c>
      <c r="BG1937" s="1">
        <v>0</v>
      </c>
      <c r="BH1937" s="1">
        <v>0</v>
      </c>
      <c r="BI1937" s="1">
        <v>0</v>
      </c>
      <c r="BJ1937" s="1">
        <v>0</v>
      </c>
      <c r="BK1937" s="1">
        <v>0</v>
      </c>
      <c r="BL1937" s="1">
        <v>0</v>
      </c>
      <c r="BM1937" s="1">
        <v>0</v>
      </c>
      <c r="BN1937" s="1">
        <v>0</v>
      </c>
      <c r="BO1937" s="1">
        <v>0</v>
      </c>
      <c r="BP1937" s="1">
        <v>0</v>
      </c>
      <c r="BQ1937" s="1">
        <v>0</v>
      </c>
      <c r="BR1937" s="1">
        <v>0</v>
      </c>
      <c r="BS1937" s="1" t="s">
        <v>109</v>
      </c>
      <c r="BT1937" s="1">
        <v>2011</v>
      </c>
      <c r="BU1937" s="1" t="s">
        <v>109</v>
      </c>
      <c r="BV1937" s="1"/>
      <c r="BW1937" s="1"/>
      <c r="BX1937" s="1"/>
      <c r="BY1937" s="1"/>
      <c r="BZ1937" s="1">
        <v>0</v>
      </c>
      <c r="CA1937" s="1" t="s">
        <v>109</v>
      </c>
      <c r="CB1937" s="1" t="s">
        <v>109</v>
      </c>
      <c r="CC1937" s="1" t="s">
        <v>109</v>
      </c>
      <c r="CD1937" s="1" t="s">
        <v>109</v>
      </c>
      <c r="CE1937" s="1" t="s">
        <v>109</v>
      </c>
      <c r="CF1937" s="1" t="s">
        <v>109</v>
      </c>
      <c r="CG1937" s="1" t="s">
        <v>109</v>
      </c>
      <c r="CH1937" s="1" t="s">
        <v>109</v>
      </c>
      <c r="CI1937" s="1" t="s">
        <v>109</v>
      </c>
      <c r="CJ1937" s="1" t="s">
        <v>109</v>
      </c>
      <c r="CK1937" s="1"/>
      <c r="CL1937" s="1">
        <v>0</v>
      </c>
      <c r="CM1937" s="1">
        <v>0</v>
      </c>
      <c r="CN1937" s="1">
        <v>0</v>
      </c>
    </row>
    <row r="1938" spans="1:92" ht="14.25" customHeight="1" x14ac:dyDescent="0.15">
      <c r="A1938" s="1" t="s">
        <v>14256</v>
      </c>
      <c r="B1938" s="1" t="s">
        <v>674</v>
      </c>
      <c r="C1938" s="1" t="s">
        <v>675</v>
      </c>
      <c r="D1938" s="1"/>
      <c r="E1938" s="1" t="s">
        <v>14257</v>
      </c>
      <c r="F1938" s="1" t="s">
        <v>98</v>
      </c>
      <c r="G1938" s="1" t="s">
        <v>141</v>
      </c>
      <c r="H1938" s="1">
        <v>0</v>
      </c>
      <c r="I1938" s="1" t="s">
        <v>161</v>
      </c>
      <c r="J1938" s="1"/>
      <c r="K1938" s="1"/>
      <c r="L1938" s="1" t="s">
        <v>506</v>
      </c>
      <c r="M1938" s="1" t="s">
        <v>574</v>
      </c>
      <c r="N1938" s="1">
        <v>1</v>
      </c>
      <c r="O1938" s="1">
        <v>0</v>
      </c>
      <c r="P1938" s="1" t="s">
        <v>380</v>
      </c>
      <c r="Q1938" s="1" t="s">
        <v>268</v>
      </c>
      <c r="R1938" s="1" t="s">
        <v>14258</v>
      </c>
      <c r="S1938" s="1" t="s">
        <v>14259</v>
      </c>
      <c r="T1938" s="1" t="s">
        <v>14254</v>
      </c>
      <c r="U1938" s="1" t="s">
        <v>14260</v>
      </c>
      <c r="V1938" s="1">
        <v>1</v>
      </c>
      <c r="W1938" s="1">
        <v>1</v>
      </c>
      <c r="X1938" s="1">
        <v>0</v>
      </c>
      <c r="Y1938" s="1">
        <v>0</v>
      </c>
      <c r="Z1938" s="1">
        <v>0</v>
      </c>
      <c r="AA1938" s="1">
        <v>3</v>
      </c>
      <c r="AB1938" s="1">
        <v>3</v>
      </c>
      <c r="AC1938" s="1" t="s">
        <v>109</v>
      </c>
      <c r="AD1938" s="1" t="s">
        <v>109</v>
      </c>
      <c r="AE1938" s="1" t="s">
        <v>109</v>
      </c>
      <c r="AF1938" s="1">
        <v>3</v>
      </c>
      <c r="AG1938" s="1" t="s">
        <v>109</v>
      </c>
      <c r="AH1938" s="1" t="s">
        <v>109</v>
      </c>
      <c r="AI1938" s="1" t="s">
        <v>109</v>
      </c>
      <c r="AJ1938" s="1">
        <v>3</v>
      </c>
      <c r="AK1938" s="1">
        <v>3</v>
      </c>
      <c r="AL1938" s="1" t="s">
        <v>109</v>
      </c>
      <c r="AM1938" s="1">
        <v>3</v>
      </c>
      <c r="AN1938" s="1" t="s">
        <v>109</v>
      </c>
      <c r="AO1938" s="1" t="s">
        <v>109</v>
      </c>
      <c r="AP1938" s="1"/>
      <c r="AQ1938" s="1">
        <v>3</v>
      </c>
      <c r="AR1938" s="1"/>
      <c r="AS1938" s="1"/>
      <c r="AT1938" s="1">
        <v>0</v>
      </c>
      <c r="AU1938" s="1">
        <v>0</v>
      </c>
      <c r="AV1938" s="1">
        <v>0</v>
      </c>
      <c r="AW1938" s="1">
        <v>0</v>
      </c>
      <c r="AX1938" s="1">
        <v>0</v>
      </c>
      <c r="AY1938" s="1">
        <v>0</v>
      </c>
      <c r="AZ1938" s="1">
        <v>0</v>
      </c>
      <c r="BA1938" s="1">
        <v>0</v>
      </c>
      <c r="BB1938" s="1">
        <v>0</v>
      </c>
      <c r="BC1938" s="1">
        <v>0</v>
      </c>
      <c r="BD1938" s="1">
        <v>0</v>
      </c>
      <c r="BE1938" s="1">
        <v>0</v>
      </c>
      <c r="BF1938" s="1">
        <v>0</v>
      </c>
      <c r="BG1938" s="1">
        <v>0</v>
      </c>
      <c r="BH1938" s="1">
        <v>0</v>
      </c>
      <c r="BI1938" s="1">
        <v>0</v>
      </c>
      <c r="BJ1938" s="1">
        <v>0</v>
      </c>
      <c r="BK1938" s="1">
        <v>0</v>
      </c>
      <c r="BL1938" s="1">
        <v>0</v>
      </c>
      <c r="BM1938" s="1">
        <v>0</v>
      </c>
      <c r="BN1938" s="1">
        <v>0</v>
      </c>
      <c r="BO1938" s="1">
        <v>0</v>
      </c>
      <c r="BP1938" s="1">
        <v>0</v>
      </c>
      <c r="BQ1938" s="1">
        <v>0</v>
      </c>
      <c r="BR1938" s="1">
        <v>0</v>
      </c>
      <c r="BS1938" s="1" t="s">
        <v>109</v>
      </c>
      <c r="BT1938" s="1">
        <v>2012</v>
      </c>
      <c r="BU1938" s="1" t="s">
        <v>109</v>
      </c>
      <c r="BV1938" s="1"/>
      <c r="BW1938" s="1"/>
      <c r="BX1938" s="1"/>
      <c r="BY1938" s="1"/>
      <c r="BZ1938" s="1">
        <v>0</v>
      </c>
      <c r="CA1938" s="1" t="s">
        <v>109</v>
      </c>
      <c r="CB1938" s="1" t="s">
        <v>109</v>
      </c>
      <c r="CC1938" s="1">
        <v>3</v>
      </c>
      <c r="CD1938" s="1" t="s">
        <v>109</v>
      </c>
      <c r="CE1938" s="1">
        <v>3</v>
      </c>
      <c r="CF1938" s="1" t="s">
        <v>109</v>
      </c>
      <c r="CG1938" s="1" t="s">
        <v>109</v>
      </c>
      <c r="CH1938" s="1" t="s">
        <v>109</v>
      </c>
      <c r="CI1938" s="1" t="s">
        <v>109</v>
      </c>
      <c r="CJ1938" s="1" t="s">
        <v>109</v>
      </c>
      <c r="CK1938" s="1"/>
      <c r="CL1938" s="1">
        <v>0</v>
      </c>
      <c r="CM1938" s="1">
        <v>0</v>
      </c>
      <c r="CN1938" s="1">
        <v>0</v>
      </c>
    </row>
    <row r="1939" spans="1:92" ht="14.25" customHeight="1" x14ac:dyDescent="0.15">
      <c r="A1939" s="1" t="s">
        <v>14261</v>
      </c>
      <c r="B1939" s="1" t="s">
        <v>189</v>
      </c>
      <c r="C1939" s="1"/>
      <c r="D1939" s="1"/>
      <c r="E1939" s="1" t="s">
        <v>14262</v>
      </c>
      <c r="F1939" s="1" t="s">
        <v>98</v>
      </c>
      <c r="G1939" s="1" t="s">
        <v>14263</v>
      </c>
      <c r="H1939" s="1">
        <v>0</v>
      </c>
      <c r="I1939" s="1" t="s">
        <v>142</v>
      </c>
      <c r="J1939" s="1"/>
      <c r="K1939" s="1"/>
      <c r="L1939" s="1" t="s">
        <v>14264</v>
      </c>
      <c r="M1939" s="1" t="s">
        <v>289</v>
      </c>
      <c r="N1939" s="1">
        <v>0</v>
      </c>
      <c r="O1939" s="1">
        <v>0</v>
      </c>
      <c r="P1939" s="1" t="s">
        <v>301</v>
      </c>
      <c r="Q1939" s="1" t="s">
        <v>104</v>
      </c>
      <c r="R1939" s="1" t="s">
        <v>14265</v>
      </c>
      <c r="S1939" s="1" t="s">
        <v>14266</v>
      </c>
      <c r="T1939" s="1" t="s">
        <v>14254</v>
      </c>
      <c r="U1939" s="1" t="s">
        <v>14267</v>
      </c>
      <c r="V1939" s="1">
        <v>1</v>
      </c>
      <c r="W1939" s="1">
        <v>1</v>
      </c>
      <c r="X1939" s="1">
        <v>1</v>
      </c>
      <c r="Y1939" s="1">
        <v>0</v>
      </c>
      <c r="Z1939" s="1">
        <v>1</v>
      </c>
      <c r="AA1939" s="1">
        <v>3</v>
      </c>
      <c r="AB1939" s="1">
        <v>3</v>
      </c>
      <c r="AC1939" s="1">
        <v>3</v>
      </c>
      <c r="AD1939" s="1">
        <v>2</v>
      </c>
      <c r="AE1939" s="1">
        <v>4</v>
      </c>
      <c r="AF1939" s="1" t="s">
        <v>109</v>
      </c>
      <c r="AG1939" s="1" t="s">
        <v>109</v>
      </c>
      <c r="AH1939" s="1" t="s">
        <v>109</v>
      </c>
      <c r="AI1939" s="1" t="s">
        <v>109</v>
      </c>
      <c r="AJ1939" s="1">
        <v>2</v>
      </c>
      <c r="AK1939" s="1" t="s">
        <v>109</v>
      </c>
      <c r="AL1939" s="1">
        <v>3</v>
      </c>
      <c r="AM1939" s="1" t="s">
        <v>109</v>
      </c>
      <c r="AN1939" s="1" t="s">
        <v>109</v>
      </c>
      <c r="AO1939" s="1" t="s">
        <v>109</v>
      </c>
      <c r="AP1939" s="1"/>
      <c r="AQ1939" s="1">
        <v>3</v>
      </c>
      <c r="AR1939" s="1"/>
      <c r="AS1939" s="1"/>
      <c r="AT1939" s="1">
        <v>0</v>
      </c>
      <c r="AU1939" s="1">
        <v>0</v>
      </c>
      <c r="AV1939" s="1">
        <v>0</v>
      </c>
      <c r="AW1939" s="1">
        <v>0</v>
      </c>
      <c r="AX1939" s="1">
        <v>0</v>
      </c>
      <c r="AY1939" s="1">
        <v>0</v>
      </c>
      <c r="AZ1939" s="1">
        <v>0</v>
      </c>
      <c r="BA1939" s="1">
        <v>0</v>
      </c>
      <c r="BB1939" s="1">
        <v>0</v>
      </c>
      <c r="BC1939" s="1">
        <v>0</v>
      </c>
      <c r="BD1939" s="1">
        <v>0</v>
      </c>
      <c r="BE1939" s="1">
        <v>0</v>
      </c>
      <c r="BF1939" s="1">
        <v>0</v>
      </c>
      <c r="BG1939" s="1">
        <v>0</v>
      </c>
      <c r="BH1939" s="1">
        <v>0</v>
      </c>
      <c r="BI1939" s="1">
        <v>0</v>
      </c>
      <c r="BJ1939" s="1">
        <v>0</v>
      </c>
      <c r="BK1939" s="1">
        <v>0</v>
      </c>
      <c r="BL1939" s="1">
        <v>0</v>
      </c>
      <c r="BM1939" s="1">
        <v>0</v>
      </c>
      <c r="BN1939" s="1">
        <v>0</v>
      </c>
      <c r="BO1939" s="1">
        <v>0</v>
      </c>
      <c r="BP1939" s="1">
        <v>0</v>
      </c>
      <c r="BQ1939" s="1">
        <v>0</v>
      </c>
      <c r="BR1939" s="1">
        <v>0</v>
      </c>
      <c r="BS1939" s="1" t="s">
        <v>109</v>
      </c>
      <c r="BT1939" s="1">
        <v>2013</v>
      </c>
      <c r="BU1939" s="1" t="s">
        <v>109</v>
      </c>
      <c r="BV1939" s="1"/>
      <c r="BW1939" s="1"/>
      <c r="BX1939" s="1"/>
      <c r="BY1939" s="1"/>
      <c r="BZ1939" s="1">
        <v>0</v>
      </c>
      <c r="CA1939" s="1" t="s">
        <v>109</v>
      </c>
      <c r="CB1939" s="1" t="s">
        <v>109</v>
      </c>
      <c r="CC1939" s="1" t="s">
        <v>109</v>
      </c>
      <c r="CD1939" s="1" t="s">
        <v>109</v>
      </c>
      <c r="CE1939" s="1" t="s">
        <v>109</v>
      </c>
      <c r="CF1939" s="1" t="s">
        <v>109</v>
      </c>
      <c r="CG1939" s="1" t="s">
        <v>109</v>
      </c>
      <c r="CH1939" s="1" t="s">
        <v>109</v>
      </c>
      <c r="CI1939" s="1" t="s">
        <v>109</v>
      </c>
      <c r="CJ1939" s="1">
        <v>2</v>
      </c>
      <c r="CK1939" s="1"/>
      <c r="CL1939" s="1">
        <v>0</v>
      </c>
      <c r="CM1939" s="1">
        <v>0</v>
      </c>
      <c r="CN1939" s="1">
        <v>0</v>
      </c>
    </row>
    <row r="1940" spans="1:92" ht="14.25" customHeight="1" x14ac:dyDescent="0.15">
      <c r="A1940" s="1" t="s">
        <v>14268</v>
      </c>
      <c r="B1940" s="1" t="s">
        <v>242</v>
      </c>
      <c r="C1940" s="1"/>
      <c r="D1940" s="1"/>
      <c r="E1940" s="1" t="s">
        <v>12315</v>
      </c>
      <c r="F1940" s="1" t="s">
        <v>395</v>
      </c>
      <c r="G1940" s="1" t="s">
        <v>14269</v>
      </c>
      <c r="H1940" s="1">
        <v>0</v>
      </c>
      <c r="I1940" s="1" t="s">
        <v>161</v>
      </c>
      <c r="J1940" s="1"/>
      <c r="K1940" s="1"/>
      <c r="L1940" s="1" t="s">
        <v>14270</v>
      </c>
      <c r="M1940" s="1" t="s">
        <v>408</v>
      </c>
      <c r="N1940" s="1">
        <v>0</v>
      </c>
      <c r="O1940" s="1">
        <v>0</v>
      </c>
      <c r="P1940" s="1" t="s">
        <v>103</v>
      </c>
      <c r="Q1940" s="1" t="s">
        <v>104</v>
      </c>
      <c r="R1940" s="1" t="s">
        <v>14271</v>
      </c>
      <c r="S1940" s="1" t="s">
        <v>14272</v>
      </c>
      <c r="T1940" s="1" t="s">
        <v>14254</v>
      </c>
      <c r="U1940" s="1" t="s">
        <v>14273</v>
      </c>
      <c r="V1940" s="1">
        <v>1</v>
      </c>
      <c r="W1940" s="1">
        <v>1</v>
      </c>
      <c r="X1940" s="1">
        <v>1</v>
      </c>
      <c r="Y1940" s="1">
        <v>0</v>
      </c>
      <c r="Z1940" s="1">
        <v>0</v>
      </c>
      <c r="AA1940" s="1">
        <v>6</v>
      </c>
      <c r="AB1940" s="1">
        <v>6</v>
      </c>
      <c r="AC1940" s="1">
        <v>6</v>
      </c>
      <c r="AD1940" s="1" t="s">
        <v>109</v>
      </c>
      <c r="AE1940" s="1" t="s">
        <v>109</v>
      </c>
      <c r="AF1940" s="1" t="s">
        <v>109</v>
      </c>
      <c r="AG1940" s="1" t="s">
        <v>109</v>
      </c>
      <c r="AH1940" s="1" t="s">
        <v>109</v>
      </c>
      <c r="AI1940" s="1" t="s">
        <v>109</v>
      </c>
      <c r="AJ1940" s="1">
        <v>6</v>
      </c>
      <c r="AK1940" s="1" t="s">
        <v>109</v>
      </c>
      <c r="AL1940" s="1">
        <v>6</v>
      </c>
      <c r="AM1940" s="1" t="s">
        <v>109</v>
      </c>
      <c r="AN1940" s="1" t="s">
        <v>109</v>
      </c>
      <c r="AO1940" s="1" t="s">
        <v>109</v>
      </c>
      <c r="AP1940" s="1"/>
      <c r="AQ1940" s="1">
        <v>6</v>
      </c>
      <c r="AR1940" s="1"/>
      <c r="AS1940" s="1"/>
      <c r="AT1940" s="1">
        <v>0</v>
      </c>
      <c r="AU1940" s="1">
        <v>0</v>
      </c>
      <c r="AV1940" s="1">
        <v>0</v>
      </c>
      <c r="AW1940" s="1">
        <v>0</v>
      </c>
      <c r="AX1940" s="1">
        <v>0</v>
      </c>
      <c r="AY1940" s="1">
        <v>0</v>
      </c>
      <c r="AZ1940" s="1">
        <v>0</v>
      </c>
      <c r="BA1940" s="1">
        <v>0</v>
      </c>
      <c r="BB1940" s="1">
        <v>0</v>
      </c>
      <c r="BC1940" s="1">
        <v>0</v>
      </c>
      <c r="BD1940" s="1">
        <v>0</v>
      </c>
      <c r="BE1940" s="1">
        <v>0</v>
      </c>
      <c r="BF1940" s="1">
        <v>0</v>
      </c>
      <c r="BG1940" s="1">
        <v>0</v>
      </c>
      <c r="BH1940" s="1">
        <v>0</v>
      </c>
      <c r="BI1940" s="1">
        <v>0</v>
      </c>
      <c r="BJ1940" s="1">
        <v>0</v>
      </c>
      <c r="BK1940" s="1">
        <v>0</v>
      </c>
      <c r="BL1940" s="1">
        <v>0</v>
      </c>
      <c r="BM1940" s="1">
        <v>0</v>
      </c>
      <c r="BN1940" s="1">
        <v>0</v>
      </c>
      <c r="BO1940" s="1">
        <v>0</v>
      </c>
      <c r="BP1940" s="1">
        <v>0</v>
      </c>
      <c r="BQ1940" s="1">
        <v>0</v>
      </c>
      <c r="BR1940" s="1">
        <v>0</v>
      </c>
      <c r="BS1940" s="1" t="s">
        <v>109</v>
      </c>
      <c r="BT1940" s="1">
        <v>2014</v>
      </c>
      <c r="BU1940" s="1" t="s">
        <v>109</v>
      </c>
      <c r="BV1940" s="1"/>
      <c r="BW1940" s="1"/>
      <c r="BX1940" s="1"/>
      <c r="BY1940" s="1"/>
      <c r="BZ1940" s="1">
        <v>0</v>
      </c>
      <c r="CA1940" s="1" t="s">
        <v>109</v>
      </c>
      <c r="CB1940" s="1" t="s">
        <v>109</v>
      </c>
      <c r="CC1940" s="1" t="s">
        <v>109</v>
      </c>
      <c r="CD1940" s="1" t="s">
        <v>109</v>
      </c>
      <c r="CE1940" s="1" t="s">
        <v>109</v>
      </c>
      <c r="CF1940" s="1" t="s">
        <v>109</v>
      </c>
      <c r="CG1940" s="1" t="s">
        <v>109</v>
      </c>
      <c r="CH1940" s="1" t="s">
        <v>109</v>
      </c>
      <c r="CI1940" s="1" t="s">
        <v>109</v>
      </c>
      <c r="CJ1940" s="1" t="s">
        <v>109</v>
      </c>
      <c r="CK1940" s="1"/>
      <c r="CL1940" s="1">
        <v>0</v>
      </c>
      <c r="CM1940" s="1">
        <v>0</v>
      </c>
      <c r="CN1940" s="1">
        <v>0</v>
      </c>
    </row>
    <row r="1941" spans="1:92" ht="14.25" customHeight="1" x14ac:dyDescent="0.15">
      <c r="A1941" s="1" t="s">
        <v>14274</v>
      </c>
      <c r="B1941" s="1" t="s">
        <v>189</v>
      </c>
      <c r="C1941" s="1"/>
      <c r="D1941" s="1" t="s">
        <v>54</v>
      </c>
      <c r="E1941" s="1" t="s">
        <v>14275</v>
      </c>
      <c r="F1941" s="1" t="s">
        <v>98</v>
      </c>
      <c r="G1941" s="1" t="s">
        <v>14276</v>
      </c>
      <c r="H1941" s="1">
        <v>0</v>
      </c>
      <c r="I1941" s="1" t="s">
        <v>235</v>
      </c>
      <c r="J1941" s="1"/>
      <c r="K1941" s="1"/>
      <c r="L1941" s="1" t="s">
        <v>236</v>
      </c>
      <c r="M1941" s="1" t="s">
        <v>14277</v>
      </c>
      <c r="N1941" s="1">
        <v>0</v>
      </c>
      <c r="O1941" s="1">
        <v>0</v>
      </c>
      <c r="P1941" s="1"/>
      <c r="Q1941" s="1"/>
      <c r="R1941" s="1" t="s">
        <v>14278</v>
      </c>
      <c r="S1941" s="1" t="s">
        <v>14279</v>
      </c>
      <c r="T1941" s="1" t="s">
        <v>14254</v>
      </c>
      <c r="U1941" s="1" t="s">
        <v>14280</v>
      </c>
      <c r="V1941" s="1">
        <v>1</v>
      </c>
      <c r="W1941" s="1">
        <v>1</v>
      </c>
      <c r="X1941" s="1">
        <v>1</v>
      </c>
      <c r="Y1941" s="1">
        <v>0</v>
      </c>
      <c r="Z1941" s="1">
        <v>1</v>
      </c>
      <c r="AA1941" s="1" t="s">
        <v>109</v>
      </c>
      <c r="AB1941" s="1" t="s">
        <v>109</v>
      </c>
      <c r="AC1941" s="1">
        <v>2</v>
      </c>
      <c r="AD1941" s="1">
        <v>2</v>
      </c>
      <c r="AE1941" s="1">
        <v>2</v>
      </c>
      <c r="AF1941" s="1" t="s">
        <v>109</v>
      </c>
      <c r="AG1941" s="1">
        <v>2</v>
      </c>
      <c r="AH1941" s="1">
        <v>2</v>
      </c>
      <c r="AI1941" s="1" t="s">
        <v>109</v>
      </c>
      <c r="AJ1941" s="1">
        <v>2</v>
      </c>
      <c r="AK1941" s="1" t="s">
        <v>109</v>
      </c>
      <c r="AL1941" s="1">
        <v>2</v>
      </c>
      <c r="AM1941" s="1">
        <v>2</v>
      </c>
      <c r="AN1941" s="1" t="s">
        <v>109</v>
      </c>
      <c r="AO1941" s="1" t="s">
        <v>109</v>
      </c>
      <c r="AP1941" s="1"/>
      <c r="AQ1941" s="1">
        <v>2</v>
      </c>
      <c r="AR1941" s="1"/>
      <c r="AS1941" s="1"/>
      <c r="AT1941" s="1">
        <v>0</v>
      </c>
      <c r="AU1941" s="1">
        <v>0</v>
      </c>
      <c r="AV1941" s="1">
        <v>0</v>
      </c>
      <c r="AW1941" s="1">
        <v>0</v>
      </c>
      <c r="AX1941" s="1">
        <v>0</v>
      </c>
      <c r="AY1941" s="1">
        <v>0</v>
      </c>
      <c r="AZ1941" s="1">
        <v>0</v>
      </c>
      <c r="BA1941" s="1">
        <v>0</v>
      </c>
      <c r="BB1941" s="1">
        <v>1</v>
      </c>
      <c r="BC1941" s="1">
        <v>0</v>
      </c>
      <c r="BD1941" s="1">
        <v>0</v>
      </c>
      <c r="BE1941" s="1">
        <v>0</v>
      </c>
      <c r="BF1941" s="1">
        <v>0</v>
      </c>
      <c r="BG1941" s="1">
        <v>0</v>
      </c>
      <c r="BH1941" s="1">
        <v>0</v>
      </c>
      <c r="BI1941" s="1">
        <v>0</v>
      </c>
      <c r="BJ1941" s="1">
        <v>0</v>
      </c>
      <c r="BK1941" s="1">
        <v>0</v>
      </c>
      <c r="BL1941" s="1">
        <v>0</v>
      </c>
      <c r="BM1941" s="1">
        <v>0</v>
      </c>
      <c r="BN1941" s="1">
        <v>0</v>
      </c>
      <c r="BO1941" s="1">
        <v>0</v>
      </c>
      <c r="BP1941" s="1">
        <v>0</v>
      </c>
      <c r="BQ1941" s="1">
        <v>0</v>
      </c>
      <c r="BR1941" s="1">
        <v>0</v>
      </c>
      <c r="BS1941" s="1" t="s">
        <v>109</v>
      </c>
      <c r="BT1941" s="1">
        <v>2015</v>
      </c>
      <c r="BU1941" s="1" t="s">
        <v>109</v>
      </c>
      <c r="BV1941" s="1"/>
      <c r="BW1941" s="1"/>
      <c r="BX1941" s="1"/>
      <c r="BY1941" s="1"/>
      <c r="BZ1941" s="1">
        <v>0</v>
      </c>
      <c r="CA1941" s="1">
        <v>2</v>
      </c>
      <c r="CB1941" s="1" t="s">
        <v>109</v>
      </c>
      <c r="CC1941" s="1">
        <v>2</v>
      </c>
      <c r="CD1941" s="1" t="s">
        <v>109</v>
      </c>
      <c r="CE1941" s="1" t="s">
        <v>109</v>
      </c>
      <c r="CF1941" s="1" t="s">
        <v>109</v>
      </c>
      <c r="CG1941" s="1" t="s">
        <v>109</v>
      </c>
      <c r="CH1941" s="1" t="s">
        <v>109</v>
      </c>
      <c r="CI1941" s="1" t="s">
        <v>109</v>
      </c>
      <c r="CJ1941" s="1">
        <v>2</v>
      </c>
      <c r="CK1941" s="1"/>
      <c r="CL1941" s="1">
        <v>0</v>
      </c>
      <c r="CM1941" s="1">
        <v>0</v>
      </c>
      <c r="CN1941" s="1">
        <v>0</v>
      </c>
    </row>
    <row r="1942" spans="1:92" ht="14.25" customHeight="1" x14ac:dyDescent="0.15">
      <c r="A1942" s="1" t="s">
        <v>14281</v>
      </c>
      <c r="B1942" s="1" t="s">
        <v>584</v>
      </c>
      <c r="C1942" s="1"/>
      <c r="D1942" s="1" t="s">
        <v>49</v>
      </c>
      <c r="E1942" s="1" t="s">
        <v>14282</v>
      </c>
      <c r="F1942" s="1" t="s">
        <v>98</v>
      </c>
      <c r="G1942" s="1" t="s">
        <v>141</v>
      </c>
      <c r="H1942" s="1">
        <v>0</v>
      </c>
      <c r="I1942" s="1" t="s">
        <v>142</v>
      </c>
      <c r="J1942" s="1" t="s">
        <v>14283</v>
      </c>
      <c r="K1942" s="1"/>
      <c r="L1942" s="1"/>
      <c r="M1942" s="1" t="s">
        <v>5684</v>
      </c>
      <c r="N1942" s="1">
        <v>0</v>
      </c>
      <c r="O1942" s="1">
        <v>0</v>
      </c>
      <c r="P1942" s="1" t="s">
        <v>7818</v>
      </c>
      <c r="Q1942" s="1" t="s">
        <v>211</v>
      </c>
      <c r="R1942" s="1" t="s">
        <v>14284</v>
      </c>
      <c r="S1942" s="1" t="s">
        <v>14285</v>
      </c>
      <c r="T1942" s="1" t="s">
        <v>14254</v>
      </c>
      <c r="U1942" s="1" t="s">
        <v>14286</v>
      </c>
      <c r="V1942" s="1">
        <v>1</v>
      </c>
      <c r="W1942" s="1">
        <v>1</v>
      </c>
      <c r="X1942" s="1">
        <v>0</v>
      </c>
      <c r="Y1942" s="1">
        <v>0</v>
      </c>
      <c r="Z1942" s="1">
        <v>0</v>
      </c>
      <c r="AA1942" s="1">
        <v>2</v>
      </c>
      <c r="AB1942" s="1">
        <v>2</v>
      </c>
      <c r="AC1942" s="1" t="s">
        <v>109</v>
      </c>
      <c r="AD1942" s="1">
        <v>2</v>
      </c>
      <c r="AE1942" s="1">
        <v>2</v>
      </c>
      <c r="AF1942" s="1" t="s">
        <v>109</v>
      </c>
      <c r="AG1942" s="1" t="s">
        <v>109</v>
      </c>
      <c r="AH1942" s="1" t="s">
        <v>109</v>
      </c>
      <c r="AI1942" s="1" t="s">
        <v>109</v>
      </c>
      <c r="AJ1942" s="1">
        <v>2</v>
      </c>
      <c r="AK1942" s="1" t="s">
        <v>109</v>
      </c>
      <c r="AL1942" s="1" t="s">
        <v>109</v>
      </c>
      <c r="AM1942" s="1" t="s">
        <v>109</v>
      </c>
      <c r="AN1942" s="1">
        <v>2</v>
      </c>
      <c r="AO1942" s="1" t="s">
        <v>109</v>
      </c>
      <c r="AP1942" s="1"/>
      <c r="AQ1942" s="1">
        <v>2</v>
      </c>
      <c r="AR1942" s="1"/>
      <c r="AS1942" s="1"/>
      <c r="AT1942" s="1">
        <v>0</v>
      </c>
      <c r="AU1942" s="1">
        <v>0</v>
      </c>
      <c r="AV1942" s="1">
        <v>0</v>
      </c>
      <c r="AW1942" s="1">
        <v>1</v>
      </c>
      <c r="AX1942" s="1">
        <v>0</v>
      </c>
      <c r="AY1942" s="1">
        <v>0</v>
      </c>
      <c r="AZ1942" s="1">
        <v>0</v>
      </c>
      <c r="BA1942" s="1">
        <v>0</v>
      </c>
      <c r="BB1942" s="1">
        <v>0</v>
      </c>
      <c r="BC1942" s="1">
        <v>0</v>
      </c>
      <c r="BD1942" s="1">
        <v>0</v>
      </c>
      <c r="BE1942" s="1">
        <v>0</v>
      </c>
      <c r="BF1942" s="1">
        <v>0</v>
      </c>
      <c r="BG1942" s="1">
        <v>0</v>
      </c>
      <c r="BH1942" s="1">
        <v>0</v>
      </c>
      <c r="BI1942" s="1">
        <v>0</v>
      </c>
      <c r="BJ1942" s="1">
        <v>0</v>
      </c>
      <c r="BK1942" s="1">
        <v>0</v>
      </c>
      <c r="BL1942" s="1">
        <v>0</v>
      </c>
      <c r="BM1942" s="1">
        <v>0</v>
      </c>
      <c r="BN1942" s="1">
        <v>0</v>
      </c>
      <c r="BO1942" s="1">
        <v>0</v>
      </c>
      <c r="BP1942" s="1">
        <v>0</v>
      </c>
      <c r="BQ1942" s="1">
        <v>0</v>
      </c>
      <c r="BR1942" s="1">
        <v>0</v>
      </c>
      <c r="BS1942" s="1" t="s">
        <v>109</v>
      </c>
      <c r="BT1942" s="1">
        <v>2016</v>
      </c>
      <c r="BU1942" s="1" t="s">
        <v>109</v>
      </c>
      <c r="BV1942" s="1"/>
      <c r="BW1942" s="1"/>
      <c r="BX1942" s="1"/>
      <c r="BY1942" s="1"/>
      <c r="BZ1942" s="1">
        <v>0</v>
      </c>
      <c r="CA1942" s="1" t="s">
        <v>109</v>
      </c>
      <c r="CB1942" s="1" t="s">
        <v>109</v>
      </c>
      <c r="CC1942" s="1" t="s">
        <v>109</v>
      </c>
      <c r="CD1942" s="1" t="s">
        <v>109</v>
      </c>
      <c r="CE1942" s="1" t="s">
        <v>109</v>
      </c>
      <c r="CF1942" s="1" t="s">
        <v>109</v>
      </c>
      <c r="CG1942" s="1" t="s">
        <v>109</v>
      </c>
      <c r="CH1942" s="1" t="s">
        <v>109</v>
      </c>
      <c r="CI1942" s="1" t="s">
        <v>109</v>
      </c>
      <c r="CJ1942" s="1">
        <v>2</v>
      </c>
      <c r="CK1942" s="1"/>
      <c r="CL1942" s="1">
        <v>0</v>
      </c>
      <c r="CM1942" s="1">
        <v>0</v>
      </c>
      <c r="CN1942" s="1">
        <v>0</v>
      </c>
    </row>
    <row r="1943" spans="1:92" ht="14.25" customHeight="1" x14ac:dyDescent="0.15">
      <c r="A1943" s="1" t="s">
        <v>14287</v>
      </c>
      <c r="B1943" s="1" t="s">
        <v>189</v>
      </c>
      <c r="C1943" s="1"/>
      <c r="D1943" s="1" t="s">
        <v>54</v>
      </c>
      <c r="E1943" s="1" t="s">
        <v>12578</v>
      </c>
      <c r="F1943" s="1" t="s">
        <v>98</v>
      </c>
      <c r="G1943" s="1" t="s">
        <v>160</v>
      </c>
      <c r="H1943" s="1">
        <v>0</v>
      </c>
      <c r="I1943" s="1" t="s">
        <v>161</v>
      </c>
      <c r="J1943" s="1"/>
      <c r="K1943" s="1"/>
      <c r="L1943" s="1" t="s">
        <v>14288</v>
      </c>
      <c r="M1943" s="1" t="s">
        <v>3169</v>
      </c>
      <c r="N1943" s="1">
        <v>0</v>
      </c>
      <c r="O1943" s="1">
        <v>0</v>
      </c>
      <c r="P1943" s="1" t="s">
        <v>215</v>
      </c>
      <c r="Q1943" s="1" t="s">
        <v>216</v>
      </c>
      <c r="R1943" s="1" t="s">
        <v>14289</v>
      </c>
      <c r="S1943" s="1" t="s">
        <v>14290</v>
      </c>
      <c r="T1943" s="1" t="s">
        <v>14254</v>
      </c>
      <c r="U1943" s="1" t="s">
        <v>14291</v>
      </c>
      <c r="V1943" s="1">
        <v>1</v>
      </c>
      <c r="W1943" s="1">
        <v>1</v>
      </c>
      <c r="X1943" s="1">
        <v>0</v>
      </c>
      <c r="Y1943" s="1">
        <v>0</v>
      </c>
      <c r="Z1943" s="1">
        <v>1</v>
      </c>
      <c r="AA1943" s="1" t="s">
        <v>109</v>
      </c>
      <c r="AB1943" s="1" t="s">
        <v>109</v>
      </c>
      <c r="AC1943" s="1">
        <v>2</v>
      </c>
      <c r="AD1943" s="1">
        <v>2</v>
      </c>
      <c r="AE1943" s="1" t="s">
        <v>109</v>
      </c>
      <c r="AF1943" s="1" t="s">
        <v>109</v>
      </c>
      <c r="AG1943" s="1" t="s">
        <v>109</v>
      </c>
      <c r="AH1943" s="1" t="s">
        <v>109</v>
      </c>
      <c r="AI1943" s="1" t="s">
        <v>109</v>
      </c>
      <c r="AJ1943" s="1" t="s">
        <v>109</v>
      </c>
      <c r="AK1943" s="1" t="s">
        <v>109</v>
      </c>
      <c r="AL1943" s="1">
        <v>2</v>
      </c>
      <c r="AM1943" s="1" t="s">
        <v>109</v>
      </c>
      <c r="AN1943" s="1" t="s">
        <v>109</v>
      </c>
      <c r="AO1943" s="1" t="s">
        <v>109</v>
      </c>
      <c r="AP1943" s="1"/>
      <c r="AQ1943" s="1">
        <v>2</v>
      </c>
      <c r="AR1943" s="1"/>
      <c r="AS1943" s="1"/>
      <c r="AT1943" s="1">
        <v>0</v>
      </c>
      <c r="AU1943" s="1">
        <v>0</v>
      </c>
      <c r="AV1943" s="1">
        <v>0</v>
      </c>
      <c r="AW1943" s="1">
        <v>0</v>
      </c>
      <c r="AX1943" s="1">
        <v>0</v>
      </c>
      <c r="AY1943" s="1">
        <v>0</v>
      </c>
      <c r="AZ1943" s="1">
        <v>0</v>
      </c>
      <c r="BA1943" s="1">
        <v>0</v>
      </c>
      <c r="BB1943" s="1">
        <v>1</v>
      </c>
      <c r="BC1943" s="1">
        <v>0</v>
      </c>
      <c r="BD1943" s="1">
        <v>0</v>
      </c>
      <c r="BE1943" s="1">
        <v>0</v>
      </c>
      <c r="BF1943" s="1">
        <v>0</v>
      </c>
      <c r="BG1943" s="1">
        <v>0</v>
      </c>
      <c r="BH1943" s="1">
        <v>0</v>
      </c>
      <c r="BI1943" s="1">
        <v>0</v>
      </c>
      <c r="BJ1943" s="1">
        <v>0</v>
      </c>
      <c r="BK1943" s="1">
        <v>0</v>
      </c>
      <c r="BL1943" s="1">
        <v>0</v>
      </c>
      <c r="BM1943" s="1">
        <v>0</v>
      </c>
      <c r="BN1943" s="1">
        <v>0</v>
      </c>
      <c r="BO1943" s="1">
        <v>0</v>
      </c>
      <c r="BP1943" s="1">
        <v>0</v>
      </c>
      <c r="BQ1943" s="1">
        <v>0</v>
      </c>
      <c r="BR1943" s="1">
        <v>0</v>
      </c>
      <c r="BS1943" s="1" t="s">
        <v>109</v>
      </c>
      <c r="BT1943" s="1">
        <v>2017</v>
      </c>
      <c r="BU1943" s="1" t="s">
        <v>109</v>
      </c>
      <c r="BV1943" s="1"/>
      <c r="BW1943" s="1"/>
      <c r="BX1943" s="1"/>
      <c r="BY1943" s="1"/>
      <c r="BZ1943" s="1">
        <v>0</v>
      </c>
      <c r="CA1943" s="1" t="s">
        <v>109</v>
      </c>
      <c r="CB1943" s="1" t="s">
        <v>109</v>
      </c>
      <c r="CC1943" s="1" t="s">
        <v>109</v>
      </c>
      <c r="CD1943" s="1" t="s">
        <v>109</v>
      </c>
      <c r="CE1943" s="1" t="s">
        <v>109</v>
      </c>
      <c r="CF1943" s="1" t="s">
        <v>109</v>
      </c>
      <c r="CG1943" s="1" t="s">
        <v>109</v>
      </c>
      <c r="CH1943" s="1" t="s">
        <v>109</v>
      </c>
      <c r="CI1943" s="1" t="s">
        <v>109</v>
      </c>
      <c r="CJ1943" s="1">
        <v>2</v>
      </c>
      <c r="CK1943" s="1"/>
      <c r="CL1943" s="1">
        <v>0</v>
      </c>
      <c r="CM1943" s="1">
        <v>0</v>
      </c>
      <c r="CN1943" s="1">
        <v>0</v>
      </c>
    </row>
    <row r="1944" spans="1:92" ht="14.25" customHeight="1" x14ac:dyDescent="0.15">
      <c r="A1944" s="1" t="s">
        <v>14292</v>
      </c>
      <c r="B1944" s="1" t="s">
        <v>189</v>
      </c>
      <c r="C1944" s="1" t="s">
        <v>231</v>
      </c>
      <c r="D1944" s="1"/>
      <c r="E1944" s="1" t="s">
        <v>14293</v>
      </c>
      <c r="F1944" s="1" t="s">
        <v>98</v>
      </c>
      <c r="G1944" s="1" t="s">
        <v>141</v>
      </c>
      <c r="H1944" s="1">
        <v>0</v>
      </c>
      <c r="I1944" s="1" t="s">
        <v>161</v>
      </c>
      <c r="J1944" s="1"/>
      <c r="K1944" s="1"/>
      <c r="L1944" s="1" t="s">
        <v>14294</v>
      </c>
      <c r="M1944" s="1" t="s">
        <v>6625</v>
      </c>
      <c r="N1944" s="1">
        <v>1</v>
      </c>
      <c r="O1944" s="1">
        <v>0</v>
      </c>
      <c r="P1944" s="1" t="s">
        <v>167</v>
      </c>
      <c r="Q1944" s="1" t="s">
        <v>167</v>
      </c>
      <c r="R1944" s="1" t="s">
        <v>14295</v>
      </c>
      <c r="S1944" s="1" t="s">
        <v>14296</v>
      </c>
      <c r="T1944" s="1" t="s">
        <v>14254</v>
      </c>
      <c r="U1944" s="1" t="s">
        <v>14297</v>
      </c>
      <c r="V1944" s="1">
        <v>1</v>
      </c>
      <c r="W1944" s="1">
        <v>1</v>
      </c>
      <c r="X1944" s="1">
        <v>0</v>
      </c>
      <c r="Y1944" s="1">
        <v>0</v>
      </c>
      <c r="Z1944" s="1">
        <v>0</v>
      </c>
      <c r="AA1944" s="1">
        <v>2</v>
      </c>
      <c r="AB1944" s="1">
        <v>2</v>
      </c>
      <c r="AC1944" s="1" t="s">
        <v>109</v>
      </c>
      <c r="AD1944" s="1" t="s">
        <v>109</v>
      </c>
      <c r="AE1944" s="1" t="s">
        <v>109</v>
      </c>
      <c r="AF1944" s="1">
        <v>2</v>
      </c>
      <c r="AG1944" s="1" t="s">
        <v>109</v>
      </c>
      <c r="AH1944" s="1">
        <v>2</v>
      </c>
      <c r="AI1944" s="1" t="s">
        <v>109</v>
      </c>
      <c r="AJ1944" s="1">
        <v>2</v>
      </c>
      <c r="AK1944" s="1">
        <v>2</v>
      </c>
      <c r="AL1944" s="1" t="s">
        <v>109</v>
      </c>
      <c r="AM1944" s="1" t="s">
        <v>109</v>
      </c>
      <c r="AN1944" s="1" t="s">
        <v>109</v>
      </c>
      <c r="AO1944" s="1" t="s">
        <v>109</v>
      </c>
      <c r="AP1944" s="1"/>
      <c r="AQ1944" s="1">
        <v>2</v>
      </c>
      <c r="AR1944" s="1"/>
      <c r="AS1944" s="1"/>
      <c r="AT1944" s="1">
        <v>0</v>
      </c>
      <c r="AU1944" s="1">
        <v>0</v>
      </c>
      <c r="AV1944" s="1">
        <v>0</v>
      </c>
      <c r="AW1944" s="1">
        <v>0</v>
      </c>
      <c r="AX1944" s="1">
        <v>0</v>
      </c>
      <c r="AY1944" s="1">
        <v>0</v>
      </c>
      <c r="AZ1944" s="1">
        <v>0</v>
      </c>
      <c r="BA1944" s="1">
        <v>0</v>
      </c>
      <c r="BB1944" s="1">
        <v>0</v>
      </c>
      <c r="BC1944" s="1">
        <v>0</v>
      </c>
      <c r="BD1944" s="1">
        <v>0</v>
      </c>
      <c r="BE1944" s="1">
        <v>0</v>
      </c>
      <c r="BF1944" s="1">
        <v>0</v>
      </c>
      <c r="BG1944" s="1">
        <v>0</v>
      </c>
      <c r="BH1944" s="1">
        <v>0</v>
      </c>
      <c r="BI1944" s="1">
        <v>0</v>
      </c>
      <c r="BJ1944" s="1">
        <v>0</v>
      </c>
      <c r="BK1944" s="1">
        <v>0</v>
      </c>
      <c r="BL1944" s="1">
        <v>0</v>
      </c>
      <c r="BM1944" s="1">
        <v>0</v>
      </c>
      <c r="BN1944" s="1">
        <v>0</v>
      </c>
      <c r="BO1944" s="1">
        <v>0</v>
      </c>
      <c r="BP1944" s="1">
        <v>0</v>
      </c>
      <c r="BQ1944" s="1">
        <v>0</v>
      </c>
      <c r="BR1944" s="1">
        <v>0</v>
      </c>
      <c r="BS1944" s="1" t="s">
        <v>109</v>
      </c>
      <c r="BT1944" s="1">
        <v>2018</v>
      </c>
      <c r="BU1944" s="1" t="s">
        <v>109</v>
      </c>
      <c r="BV1944" s="1"/>
      <c r="BW1944" s="1"/>
      <c r="BX1944" s="1"/>
      <c r="BY1944" s="1"/>
      <c r="BZ1944" s="1">
        <v>0</v>
      </c>
      <c r="CA1944" s="1" t="s">
        <v>109</v>
      </c>
      <c r="CB1944" s="1" t="s">
        <v>109</v>
      </c>
      <c r="CC1944" s="1">
        <v>2</v>
      </c>
      <c r="CD1944" s="1" t="s">
        <v>109</v>
      </c>
      <c r="CE1944" s="1" t="s">
        <v>109</v>
      </c>
      <c r="CF1944" s="1" t="s">
        <v>109</v>
      </c>
      <c r="CG1944" s="1" t="s">
        <v>109</v>
      </c>
      <c r="CH1944" s="1" t="s">
        <v>109</v>
      </c>
      <c r="CI1944" s="1" t="s">
        <v>109</v>
      </c>
      <c r="CJ1944" s="1" t="s">
        <v>109</v>
      </c>
      <c r="CK1944" s="1"/>
      <c r="CL1944" s="1">
        <v>0</v>
      </c>
      <c r="CM1944" s="1">
        <v>0</v>
      </c>
      <c r="CN1944" s="1">
        <v>0</v>
      </c>
    </row>
    <row r="1945" spans="1:92" ht="14.25" customHeight="1" x14ac:dyDescent="0.15">
      <c r="A1945" s="1" t="s">
        <v>14298</v>
      </c>
      <c r="B1945" s="1" t="s">
        <v>189</v>
      </c>
      <c r="C1945" s="1"/>
      <c r="D1945" s="1"/>
      <c r="E1945" s="1" t="s">
        <v>14299</v>
      </c>
      <c r="F1945" s="1" t="s">
        <v>98</v>
      </c>
      <c r="G1945" s="1" t="s">
        <v>141</v>
      </c>
      <c r="H1945" s="1">
        <v>0</v>
      </c>
      <c r="I1945" s="1" t="s">
        <v>122</v>
      </c>
      <c r="J1945" s="1" t="s">
        <v>12391</v>
      </c>
      <c r="K1945" s="1"/>
      <c r="L1945" s="1"/>
      <c r="M1945" s="1" t="s">
        <v>125</v>
      </c>
      <c r="N1945" s="1">
        <v>0</v>
      </c>
      <c r="O1945" s="1">
        <v>0</v>
      </c>
      <c r="P1945" s="1" t="s">
        <v>103</v>
      </c>
      <c r="Q1945" s="1" t="s">
        <v>104</v>
      </c>
      <c r="R1945" s="1" t="s">
        <v>14300</v>
      </c>
      <c r="S1945" s="1" t="s">
        <v>14301</v>
      </c>
      <c r="T1945" s="1" t="s">
        <v>14254</v>
      </c>
      <c r="U1945" s="1" t="s">
        <v>14302</v>
      </c>
      <c r="V1945" s="1">
        <v>1</v>
      </c>
      <c r="W1945" s="1">
        <v>1</v>
      </c>
      <c r="X1945" s="1">
        <v>0</v>
      </c>
      <c r="Y1945" s="1">
        <v>0</v>
      </c>
      <c r="Z1945" s="1">
        <v>0</v>
      </c>
      <c r="AA1945" s="1">
        <v>5</v>
      </c>
      <c r="AB1945" s="1">
        <v>5</v>
      </c>
      <c r="AC1945" s="1" t="s">
        <v>109</v>
      </c>
      <c r="AD1945" s="1">
        <v>5</v>
      </c>
      <c r="AE1945" s="1" t="s">
        <v>109</v>
      </c>
      <c r="AF1945" s="1" t="s">
        <v>109</v>
      </c>
      <c r="AG1945" s="1" t="s">
        <v>109</v>
      </c>
      <c r="AH1945" s="1" t="s">
        <v>109</v>
      </c>
      <c r="AI1945" s="1" t="s">
        <v>109</v>
      </c>
      <c r="AJ1945" s="1">
        <v>5</v>
      </c>
      <c r="AK1945" s="1" t="s">
        <v>109</v>
      </c>
      <c r="AL1945" s="1" t="s">
        <v>109</v>
      </c>
      <c r="AM1945" s="1" t="s">
        <v>109</v>
      </c>
      <c r="AN1945" s="1" t="s">
        <v>109</v>
      </c>
      <c r="AO1945" s="1" t="s">
        <v>109</v>
      </c>
      <c r="AP1945" s="1"/>
      <c r="AQ1945" s="1">
        <v>5</v>
      </c>
      <c r="AR1945" s="1"/>
      <c r="AS1945" s="1"/>
      <c r="AT1945" s="1">
        <v>0</v>
      </c>
      <c r="AU1945" s="1">
        <v>0</v>
      </c>
      <c r="AV1945" s="1">
        <v>0</v>
      </c>
      <c r="AW1945" s="1">
        <v>0</v>
      </c>
      <c r="AX1945" s="1">
        <v>0</v>
      </c>
      <c r="AY1945" s="1">
        <v>0</v>
      </c>
      <c r="AZ1945" s="1">
        <v>0</v>
      </c>
      <c r="BA1945" s="1">
        <v>0</v>
      </c>
      <c r="BB1945" s="1">
        <v>0</v>
      </c>
      <c r="BC1945" s="1">
        <v>0</v>
      </c>
      <c r="BD1945" s="1">
        <v>0</v>
      </c>
      <c r="BE1945" s="1">
        <v>0</v>
      </c>
      <c r="BF1945" s="1">
        <v>0</v>
      </c>
      <c r="BG1945" s="1">
        <v>0</v>
      </c>
      <c r="BH1945" s="1">
        <v>0</v>
      </c>
      <c r="BI1945" s="1">
        <v>0</v>
      </c>
      <c r="BJ1945" s="1">
        <v>0</v>
      </c>
      <c r="BK1945" s="1">
        <v>0</v>
      </c>
      <c r="BL1945" s="1">
        <v>0</v>
      </c>
      <c r="BM1945" s="1">
        <v>0</v>
      </c>
      <c r="BN1945" s="1">
        <v>0</v>
      </c>
      <c r="BO1945" s="1">
        <v>0</v>
      </c>
      <c r="BP1945" s="1">
        <v>0</v>
      </c>
      <c r="BQ1945" s="1">
        <v>0</v>
      </c>
      <c r="BR1945" s="1">
        <v>0</v>
      </c>
      <c r="BS1945" s="1" t="s">
        <v>109</v>
      </c>
      <c r="BT1945" s="1">
        <v>2019</v>
      </c>
      <c r="BU1945" s="1" t="s">
        <v>109</v>
      </c>
      <c r="BV1945" s="1" t="s">
        <v>14303</v>
      </c>
      <c r="BW1945" s="1"/>
      <c r="BX1945" s="1"/>
      <c r="BY1945" s="1"/>
      <c r="BZ1945" s="1">
        <v>0</v>
      </c>
      <c r="CA1945" s="1" t="s">
        <v>109</v>
      </c>
      <c r="CB1945" s="1" t="s">
        <v>109</v>
      </c>
      <c r="CC1945" s="1" t="s">
        <v>109</v>
      </c>
      <c r="CD1945" s="1" t="s">
        <v>109</v>
      </c>
      <c r="CE1945" s="1" t="s">
        <v>109</v>
      </c>
      <c r="CF1945" s="1" t="s">
        <v>109</v>
      </c>
      <c r="CG1945" s="1" t="s">
        <v>109</v>
      </c>
      <c r="CH1945" s="1" t="s">
        <v>109</v>
      </c>
      <c r="CI1945" s="1" t="s">
        <v>109</v>
      </c>
      <c r="CJ1945" s="1">
        <v>5</v>
      </c>
      <c r="CK1945" s="1"/>
      <c r="CL1945" s="1">
        <v>0</v>
      </c>
      <c r="CM1945" s="1">
        <v>0</v>
      </c>
      <c r="CN1945" s="1">
        <v>0</v>
      </c>
    </row>
    <row r="1946" spans="1:92" ht="14.25" customHeight="1" x14ac:dyDescent="0.15">
      <c r="A1946" s="1" t="s">
        <v>14304</v>
      </c>
      <c r="B1946" s="1" t="s">
        <v>584</v>
      </c>
      <c r="C1946" s="1"/>
      <c r="D1946" s="1" t="s">
        <v>211</v>
      </c>
      <c r="E1946" s="1" t="s">
        <v>7816</v>
      </c>
      <c r="F1946" s="1" t="s">
        <v>98</v>
      </c>
      <c r="G1946" s="1" t="s">
        <v>141</v>
      </c>
      <c r="H1946" s="1">
        <v>0</v>
      </c>
      <c r="I1946" s="1" t="s">
        <v>122</v>
      </c>
      <c r="J1946" s="1"/>
      <c r="K1946" s="1" t="s">
        <v>14305</v>
      </c>
      <c r="L1946" s="1"/>
      <c r="M1946" s="1" t="s">
        <v>14306</v>
      </c>
      <c r="N1946" s="1">
        <v>0</v>
      </c>
      <c r="O1946" s="1">
        <v>0</v>
      </c>
      <c r="P1946" s="1" t="s">
        <v>11630</v>
      </c>
      <c r="Q1946" s="1" t="s">
        <v>11631</v>
      </c>
      <c r="R1946" s="1" t="s">
        <v>14307</v>
      </c>
      <c r="S1946" s="1" t="s">
        <v>14308</v>
      </c>
      <c r="T1946" s="1" t="s">
        <v>14309</v>
      </c>
      <c r="U1946" s="1" t="s">
        <v>14310</v>
      </c>
      <c r="V1946" s="1">
        <v>1</v>
      </c>
      <c r="W1946" s="1">
        <v>1</v>
      </c>
      <c r="X1946" s="1">
        <v>0</v>
      </c>
      <c r="Y1946" s="1">
        <v>0</v>
      </c>
      <c r="Z1946" s="1">
        <v>0</v>
      </c>
      <c r="AA1946" s="1">
        <v>5</v>
      </c>
      <c r="AB1946" s="1">
        <v>5</v>
      </c>
      <c r="AC1946" s="1" t="s">
        <v>109</v>
      </c>
      <c r="AD1946" s="1" t="s">
        <v>109</v>
      </c>
      <c r="AE1946" s="1" t="s">
        <v>109</v>
      </c>
      <c r="AF1946" s="1" t="s">
        <v>109</v>
      </c>
      <c r="AG1946" s="1" t="s">
        <v>109</v>
      </c>
      <c r="AH1946" s="1" t="s">
        <v>109</v>
      </c>
      <c r="AI1946" s="1" t="s">
        <v>109</v>
      </c>
      <c r="AJ1946" s="1" t="s">
        <v>109</v>
      </c>
      <c r="AK1946" s="1" t="s">
        <v>109</v>
      </c>
      <c r="AL1946" s="1" t="s">
        <v>109</v>
      </c>
      <c r="AM1946" s="1" t="s">
        <v>109</v>
      </c>
      <c r="AN1946" s="1">
        <v>5</v>
      </c>
      <c r="AO1946" s="1" t="s">
        <v>109</v>
      </c>
      <c r="AP1946" s="1"/>
      <c r="AQ1946" s="1">
        <v>5</v>
      </c>
      <c r="AR1946" s="1"/>
      <c r="AS1946" s="1"/>
      <c r="AT1946" s="1">
        <v>0</v>
      </c>
      <c r="AU1946" s="1">
        <v>0</v>
      </c>
      <c r="AV1946" s="1">
        <v>0</v>
      </c>
      <c r="AW1946" s="1">
        <v>0</v>
      </c>
      <c r="AX1946" s="1">
        <v>0</v>
      </c>
      <c r="AY1946" s="1">
        <v>0</v>
      </c>
      <c r="AZ1946" s="1">
        <v>0</v>
      </c>
      <c r="BA1946" s="1">
        <v>0</v>
      </c>
      <c r="BB1946" s="1">
        <v>0</v>
      </c>
      <c r="BC1946" s="1">
        <v>0</v>
      </c>
      <c r="BD1946" s="1">
        <v>0</v>
      </c>
      <c r="BE1946" s="1">
        <v>0</v>
      </c>
      <c r="BF1946" s="1">
        <v>0</v>
      </c>
      <c r="BG1946" s="1">
        <v>0</v>
      </c>
      <c r="BH1946" s="1">
        <v>0</v>
      </c>
      <c r="BI1946" s="1">
        <v>0</v>
      </c>
      <c r="BJ1946" s="1">
        <v>0</v>
      </c>
      <c r="BK1946" s="1">
        <v>0</v>
      </c>
      <c r="BL1946" s="1">
        <v>0</v>
      </c>
      <c r="BM1946" s="1">
        <v>0</v>
      </c>
      <c r="BN1946" s="1">
        <v>0</v>
      </c>
      <c r="BO1946" s="1">
        <v>0</v>
      </c>
      <c r="BP1946" s="1">
        <v>0</v>
      </c>
      <c r="BQ1946" s="1">
        <v>0</v>
      </c>
      <c r="BR1946" s="1">
        <v>0</v>
      </c>
      <c r="BS1946" s="1" t="s">
        <v>109</v>
      </c>
      <c r="BT1946" s="1">
        <v>2020</v>
      </c>
      <c r="BU1946" s="1" t="s">
        <v>109</v>
      </c>
      <c r="BV1946" s="1"/>
      <c r="BW1946" s="1"/>
      <c r="BX1946" s="1"/>
      <c r="BY1946" s="1"/>
      <c r="BZ1946" s="1">
        <v>0</v>
      </c>
      <c r="CA1946" s="1" t="s">
        <v>109</v>
      </c>
      <c r="CB1946" s="1" t="s">
        <v>109</v>
      </c>
      <c r="CC1946" s="1" t="s">
        <v>109</v>
      </c>
      <c r="CD1946" s="1" t="s">
        <v>109</v>
      </c>
      <c r="CE1946" s="1" t="s">
        <v>109</v>
      </c>
      <c r="CF1946" s="1" t="s">
        <v>109</v>
      </c>
      <c r="CG1946" s="1" t="s">
        <v>109</v>
      </c>
      <c r="CH1946" s="1" t="s">
        <v>109</v>
      </c>
      <c r="CI1946" s="1" t="s">
        <v>109</v>
      </c>
      <c r="CJ1946" s="1" t="s">
        <v>109</v>
      </c>
      <c r="CK1946" s="1"/>
      <c r="CL1946" s="1">
        <v>0</v>
      </c>
      <c r="CM1946" s="1">
        <v>0</v>
      </c>
      <c r="CN1946" s="1">
        <v>0</v>
      </c>
    </row>
    <row r="1947" spans="1:92" ht="14.25" customHeight="1" x14ac:dyDescent="0.15">
      <c r="A1947" s="1" t="s">
        <v>14311</v>
      </c>
      <c r="B1947" s="1" t="s">
        <v>308</v>
      </c>
      <c r="C1947" s="1"/>
      <c r="D1947" s="1"/>
      <c r="E1947" s="1" t="s">
        <v>14312</v>
      </c>
      <c r="F1947" s="1" t="s">
        <v>98</v>
      </c>
      <c r="G1947" s="1" t="s">
        <v>141</v>
      </c>
      <c r="H1947" s="1">
        <v>0</v>
      </c>
      <c r="I1947" s="1" t="s">
        <v>142</v>
      </c>
      <c r="J1947" s="1"/>
      <c r="K1947" s="1"/>
      <c r="L1947" s="1" t="s">
        <v>8687</v>
      </c>
      <c r="M1947" s="1" t="s">
        <v>125</v>
      </c>
      <c r="N1947" s="1">
        <v>0</v>
      </c>
      <c r="O1947" s="1">
        <v>0</v>
      </c>
      <c r="P1947" s="1" t="s">
        <v>7979</v>
      </c>
      <c r="Q1947" s="1" t="s">
        <v>12919</v>
      </c>
      <c r="R1947" s="1" t="s">
        <v>14313</v>
      </c>
      <c r="S1947" s="1" t="s">
        <v>14314</v>
      </c>
      <c r="T1947" s="1" t="s">
        <v>14309</v>
      </c>
      <c r="U1947" s="1" t="s">
        <v>14315</v>
      </c>
      <c r="V1947" s="1">
        <v>1</v>
      </c>
      <c r="W1947" s="1">
        <v>1</v>
      </c>
      <c r="X1947" s="1">
        <v>0</v>
      </c>
      <c r="Y1947" s="1">
        <v>0</v>
      </c>
      <c r="Z1947" s="1">
        <v>0</v>
      </c>
      <c r="AA1947" s="1">
        <v>4</v>
      </c>
      <c r="AB1947" s="1">
        <v>4</v>
      </c>
      <c r="AC1947" s="1" t="s">
        <v>109</v>
      </c>
      <c r="AD1947" s="1" t="s">
        <v>109</v>
      </c>
      <c r="AE1947" s="1">
        <v>3</v>
      </c>
      <c r="AF1947" s="1" t="s">
        <v>109</v>
      </c>
      <c r="AG1947" s="1" t="s">
        <v>109</v>
      </c>
      <c r="AH1947" s="1" t="s">
        <v>109</v>
      </c>
      <c r="AI1947" s="1" t="s">
        <v>109</v>
      </c>
      <c r="AJ1947" s="1">
        <v>4</v>
      </c>
      <c r="AK1947" s="1">
        <v>3</v>
      </c>
      <c r="AL1947" s="1" t="s">
        <v>109</v>
      </c>
      <c r="AM1947" s="1">
        <v>3</v>
      </c>
      <c r="AN1947" s="1">
        <v>3</v>
      </c>
      <c r="AO1947" s="1" t="s">
        <v>109</v>
      </c>
      <c r="AP1947" s="1"/>
      <c r="AQ1947" s="1">
        <v>4</v>
      </c>
      <c r="AR1947" s="1"/>
      <c r="AS1947" s="1"/>
      <c r="AT1947" s="1">
        <v>0</v>
      </c>
      <c r="AU1947" s="1">
        <v>0</v>
      </c>
      <c r="AV1947" s="1">
        <v>0</v>
      </c>
      <c r="AW1947" s="1">
        <v>0</v>
      </c>
      <c r="AX1947" s="1">
        <v>0</v>
      </c>
      <c r="AY1947" s="1">
        <v>0</v>
      </c>
      <c r="AZ1947" s="1">
        <v>0</v>
      </c>
      <c r="BA1947" s="1">
        <v>0</v>
      </c>
      <c r="BB1947" s="1">
        <v>0</v>
      </c>
      <c r="BC1947" s="1">
        <v>0</v>
      </c>
      <c r="BD1947" s="1">
        <v>0</v>
      </c>
      <c r="BE1947" s="1">
        <v>0</v>
      </c>
      <c r="BF1947" s="1">
        <v>0</v>
      </c>
      <c r="BG1947" s="1">
        <v>0</v>
      </c>
      <c r="BH1947" s="1">
        <v>0</v>
      </c>
      <c r="BI1947" s="1">
        <v>0</v>
      </c>
      <c r="BJ1947" s="1">
        <v>0</v>
      </c>
      <c r="BK1947" s="1">
        <v>0</v>
      </c>
      <c r="BL1947" s="1">
        <v>0</v>
      </c>
      <c r="BM1947" s="1">
        <v>0</v>
      </c>
      <c r="BN1947" s="1">
        <v>0</v>
      </c>
      <c r="BO1947" s="1">
        <v>0</v>
      </c>
      <c r="BP1947" s="1">
        <v>0</v>
      </c>
      <c r="BQ1947" s="1">
        <v>0</v>
      </c>
      <c r="BR1947" s="1">
        <v>0</v>
      </c>
      <c r="BS1947" s="1" t="s">
        <v>109</v>
      </c>
      <c r="BT1947" s="1">
        <v>2021</v>
      </c>
      <c r="BU1947" s="1" t="s">
        <v>109</v>
      </c>
      <c r="BV1947" s="1"/>
      <c r="BW1947" s="1"/>
      <c r="BX1947" s="1"/>
      <c r="BY1947" s="1"/>
      <c r="BZ1947" s="1">
        <v>0</v>
      </c>
      <c r="CA1947" s="1" t="s">
        <v>109</v>
      </c>
      <c r="CB1947" s="1">
        <v>4</v>
      </c>
      <c r="CC1947" s="1" t="s">
        <v>109</v>
      </c>
      <c r="CD1947" s="1" t="s">
        <v>109</v>
      </c>
      <c r="CE1947" s="1" t="s">
        <v>109</v>
      </c>
      <c r="CF1947" s="1" t="s">
        <v>109</v>
      </c>
      <c r="CG1947" s="1" t="s">
        <v>109</v>
      </c>
      <c r="CH1947" s="1" t="s">
        <v>109</v>
      </c>
      <c r="CI1947" s="1" t="s">
        <v>109</v>
      </c>
      <c r="CJ1947" s="1">
        <v>3</v>
      </c>
      <c r="CK1947" s="1"/>
      <c r="CL1947" s="1">
        <v>0</v>
      </c>
      <c r="CM1947" s="1">
        <v>0</v>
      </c>
      <c r="CN1947" s="1">
        <v>0</v>
      </c>
    </row>
    <row r="1948" spans="1:92" ht="14.25" customHeight="1" x14ac:dyDescent="0.15">
      <c r="A1948" s="1" t="s">
        <v>14316</v>
      </c>
      <c r="B1948" s="1" t="s">
        <v>242</v>
      </c>
      <c r="C1948" s="1"/>
      <c r="D1948" s="1" t="s">
        <v>47</v>
      </c>
      <c r="E1948" s="1" t="s">
        <v>14317</v>
      </c>
      <c r="F1948" s="1" t="s">
        <v>98</v>
      </c>
      <c r="G1948" s="1" t="s">
        <v>141</v>
      </c>
      <c r="H1948" s="1">
        <v>0</v>
      </c>
      <c r="I1948" s="1" t="s">
        <v>100</v>
      </c>
      <c r="J1948" s="1" t="s">
        <v>14318</v>
      </c>
      <c r="K1948" s="1"/>
      <c r="L1948" s="1"/>
      <c r="M1948" s="1" t="s">
        <v>8278</v>
      </c>
      <c r="N1948" s="1">
        <v>1</v>
      </c>
      <c r="O1948" s="1">
        <v>0</v>
      </c>
      <c r="P1948" s="1" t="s">
        <v>11630</v>
      </c>
      <c r="Q1948" s="1" t="s">
        <v>11631</v>
      </c>
      <c r="R1948" s="1" t="s">
        <v>14319</v>
      </c>
      <c r="S1948" s="1" t="s">
        <v>14320</v>
      </c>
      <c r="T1948" s="1" t="s">
        <v>14309</v>
      </c>
      <c r="U1948" s="1" t="s">
        <v>14321</v>
      </c>
      <c r="V1948" s="1">
        <v>1</v>
      </c>
      <c r="W1948" s="1">
        <v>1</v>
      </c>
      <c r="X1948" s="1">
        <v>0</v>
      </c>
      <c r="Y1948" s="1">
        <v>0</v>
      </c>
      <c r="Z1948" s="1">
        <v>0</v>
      </c>
      <c r="AA1948" s="1">
        <v>5</v>
      </c>
      <c r="AB1948" s="1">
        <v>5</v>
      </c>
      <c r="AC1948" s="1" t="s">
        <v>109</v>
      </c>
      <c r="AD1948" s="1">
        <v>4</v>
      </c>
      <c r="AE1948" s="1" t="s">
        <v>109</v>
      </c>
      <c r="AF1948" s="1" t="s">
        <v>109</v>
      </c>
      <c r="AG1948" s="1" t="s">
        <v>109</v>
      </c>
      <c r="AH1948" s="1" t="s">
        <v>109</v>
      </c>
      <c r="AI1948" s="1">
        <v>4</v>
      </c>
      <c r="AJ1948" s="1" t="s">
        <v>109</v>
      </c>
      <c r="AK1948" s="1" t="s">
        <v>109</v>
      </c>
      <c r="AL1948" s="1" t="s">
        <v>109</v>
      </c>
      <c r="AM1948" s="1" t="s">
        <v>109</v>
      </c>
      <c r="AN1948" s="1" t="s">
        <v>109</v>
      </c>
      <c r="AO1948" s="1" t="s">
        <v>109</v>
      </c>
      <c r="AP1948" s="1"/>
      <c r="AQ1948" s="1">
        <v>5</v>
      </c>
      <c r="AR1948" s="1"/>
      <c r="AS1948" s="1"/>
      <c r="AT1948" s="1">
        <v>0</v>
      </c>
      <c r="AU1948" s="1">
        <v>1</v>
      </c>
      <c r="AV1948" s="1">
        <v>0</v>
      </c>
      <c r="AW1948" s="1">
        <v>0</v>
      </c>
      <c r="AX1948" s="1">
        <v>0</v>
      </c>
      <c r="AY1948" s="1">
        <v>0</v>
      </c>
      <c r="AZ1948" s="1">
        <v>0</v>
      </c>
      <c r="BA1948" s="1">
        <v>0</v>
      </c>
      <c r="BB1948" s="1">
        <v>0</v>
      </c>
      <c r="BC1948" s="1">
        <v>0</v>
      </c>
      <c r="BD1948" s="1">
        <v>0</v>
      </c>
      <c r="BE1948" s="1">
        <v>0</v>
      </c>
      <c r="BF1948" s="1">
        <v>0</v>
      </c>
      <c r="BG1948" s="1">
        <v>0</v>
      </c>
      <c r="BH1948" s="1">
        <v>0</v>
      </c>
      <c r="BI1948" s="1">
        <v>0</v>
      </c>
      <c r="BJ1948" s="1">
        <v>0</v>
      </c>
      <c r="BK1948" s="1">
        <v>0</v>
      </c>
      <c r="BL1948" s="1">
        <v>0</v>
      </c>
      <c r="BM1948" s="1">
        <v>0</v>
      </c>
      <c r="BN1948" s="1">
        <v>0</v>
      </c>
      <c r="BO1948" s="1">
        <v>0</v>
      </c>
      <c r="BP1948" s="1">
        <v>0</v>
      </c>
      <c r="BQ1948" s="1">
        <v>0</v>
      </c>
      <c r="BR1948" s="1">
        <v>0</v>
      </c>
      <c r="BS1948" s="1" t="s">
        <v>109</v>
      </c>
      <c r="BT1948" s="1">
        <v>2022</v>
      </c>
      <c r="BU1948" s="1" t="s">
        <v>109</v>
      </c>
      <c r="BV1948" s="1"/>
      <c r="BW1948" s="1"/>
      <c r="BX1948" s="1"/>
      <c r="BY1948" s="1"/>
      <c r="BZ1948" s="1">
        <v>0</v>
      </c>
      <c r="CA1948" s="1" t="s">
        <v>109</v>
      </c>
      <c r="CB1948" s="1" t="s">
        <v>109</v>
      </c>
      <c r="CC1948" s="1" t="s">
        <v>109</v>
      </c>
      <c r="CD1948" s="1" t="s">
        <v>109</v>
      </c>
      <c r="CE1948" s="1" t="s">
        <v>109</v>
      </c>
      <c r="CF1948" s="1" t="s">
        <v>109</v>
      </c>
      <c r="CG1948" s="1" t="s">
        <v>109</v>
      </c>
      <c r="CH1948" s="1" t="s">
        <v>109</v>
      </c>
      <c r="CI1948" s="1" t="s">
        <v>109</v>
      </c>
      <c r="CJ1948" s="1">
        <v>4</v>
      </c>
      <c r="CK1948" s="1"/>
      <c r="CL1948" s="1">
        <v>0</v>
      </c>
      <c r="CM1948" s="1">
        <v>0</v>
      </c>
      <c r="CN1948" s="1">
        <v>0</v>
      </c>
    </row>
    <row r="1949" spans="1:92" ht="14.25" customHeight="1" x14ac:dyDescent="0.15">
      <c r="A1949" s="1" t="s">
        <v>14322</v>
      </c>
      <c r="B1949" s="1" t="s">
        <v>189</v>
      </c>
      <c r="C1949" s="1"/>
      <c r="D1949" s="1" t="s">
        <v>47</v>
      </c>
      <c r="E1949" s="1" t="s">
        <v>12075</v>
      </c>
      <c r="F1949" s="1" t="s">
        <v>98</v>
      </c>
      <c r="G1949" s="1" t="s">
        <v>141</v>
      </c>
      <c r="H1949" s="1">
        <v>0</v>
      </c>
      <c r="I1949" s="1" t="s">
        <v>5410</v>
      </c>
      <c r="J1949" s="1" t="s">
        <v>4562</v>
      </c>
      <c r="K1949" s="1"/>
      <c r="L1949" s="1"/>
      <c r="M1949" s="1" t="s">
        <v>815</v>
      </c>
      <c r="N1949" s="1">
        <v>1</v>
      </c>
      <c r="O1949" s="1">
        <v>0</v>
      </c>
      <c r="P1949" s="1" t="s">
        <v>103</v>
      </c>
      <c r="Q1949" s="1" t="s">
        <v>104</v>
      </c>
      <c r="R1949" s="1" t="s">
        <v>14323</v>
      </c>
      <c r="S1949" s="1" t="s">
        <v>14324</v>
      </c>
      <c r="T1949" s="1" t="s">
        <v>14309</v>
      </c>
      <c r="U1949" s="1" t="s">
        <v>14325</v>
      </c>
      <c r="V1949" s="1">
        <v>1</v>
      </c>
      <c r="W1949" s="1">
        <v>1</v>
      </c>
      <c r="X1949" s="1">
        <v>0</v>
      </c>
      <c r="Y1949" s="1">
        <v>0</v>
      </c>
      <c r="Z1949" s="1">
        <v>0</v>
      </c>
      <c r="AA1949" s="1">
        <v>4</v>
      </c>
      <c r="AB1949" s="1">
        <v>4</v>
      </c>
      <c r="AC1949" s="1" t="s">
        <v>109</v>
      </c>
      <c r="AD1949" s="1" t="s">
        <v>109</v>
      </c>
      <c r="AE1949" s="1" t="s">
        <v>109</v>
      </c>
      <c r="AF1949" s="1">
        <v>4</v>
      </c>
      <c r="AG1949" s="1" t="s">
        <v>109</v>
      </c>
      <c r="AH1949" s="1" t="s">
        <v>109</v>
      </c>
      <c r="AI1949" s="1" t="s">
        <v>109</v>
      </c>
      <c r="AJ1949" s="1" t="s">
        <v>109</v>
      </c>
      <c r="AK1949" s="1" t="s">
        <v>109</v>
      </c>
      <c r="AL1949" s="1" t="s">
        <v>109</v>
      </c>
      <c r="AM1949" s="1" t="s">
        <v>109</v>
      </c>
      <c r="AN1949" s="1" t="s">
        <v>109</v>
      </c>
      <c r="AO1949" s="1" t="s">
        <v>109</v>
      </c>
      <c r="AP1949" s="1"/>
      <c r="AQ1949" s="1">
        <v>4</v>
      </c>
      <c r="AR1949" s="1"/>
      <c r="AS1949" s="1"/>
      <c r="AT1949" s="1">
        <v>0</v>
      </c>
      <c r="AU1949" s="1">
        <v>1</v>
      </c>
      <c r="AV1949" s="1">
        <v>0</v>
      </c>
      <c r="AW1949" s="1">
        <v>0</v>
      </c>
      <c r="AX1949" s="1">
        <v>0</v>
      </c>
      <c r="AY1949" s="1">
        <v>0</v>
      </c>
      <c r="AZ1949" s="1">
        <v>0</v>
      </c>
      <c r="BA1949" s="1">
        <v>0</v>
      </c>
      <c r="BB1949" s="1">
        <v>0</v>
      </c>
      <c r="BC1949" s="1">
        <v>0</v>
      </c>
      <c r="BD1949" s="1">
        <v>0</v>
      </c>
      <c r="BE1949" s="1">
        <v>0</v>
      </c>
      <c r="BF1949" s="1">
        <v>0</v>
      </c>
      <c r="BG1949" s="1">
        <v>0</v>
      </c>
      <c r="BH1949" s="1">
        <v>0</v>
      </c>
      <c r="BI1949" s="1">
        <v>0</v>
      </c>
      <c r="BJ1949" s="1">
        <v>0</v>
      </c>
      <c r="BK1949" s="1">
        <v>0</v>
      </c>
      <c r="BL1949" s="1">
        <v>0</v>
      </c>
      <c r="BM1949" s="1">
        <v>0</v>
      </c>
      <c r="BN1949" s="1">
        <v>0</v>
      </c>
      <c r="BO1949" s="1">
        <v>0</v>
      </c>
      <c r="BP1949" s="1">
        <v>0</v>
      </c>
      <c r="BQ1949" s="1">
        <v>0</v>
      </c>
      <c r="BR1949" s="1">
        <v>0</v>
      </c>
      <c r="BS1949" s="1" t="s">
        <v>109</v>
      </c>
      <c r="BT1949" s="1">
        <v>2023</v>
      </c>
      <c r="BU1949" s="1" t="s">
        <v>109</v>
      </c>
      <c r="BV1949" s="1"/>
      <c r="BW1949" s="1"/>
      <c r="BX1949" s="1"/>
      <c r="BY1949" s="1"/>
      <c r="BZ1949" s="1">
        <v>0</v>
      </c>
      <c r="CA1949" s="1" t="s">
        <v>109</v>
      </c>
      <c r="CB1949" s="1" t="s">
        <v>109</v>
      </c>
      <c r="CC1949" s="1" t="s">
        <v>109</v>
      </c>
      <c r="CD1949" s="1" t="s">
        <v>109</v>
      </c>
      <c r="CE1949" s="1" t="s">
        <v>109</v>
      </c>
      <c r="CF1949" s="1" t="s">
        <v>109</v>
      </c>
      <c r="CG1949" s="1" t="s">
        <v>109</v>
      </c>
      <c r="CH1949" s="1" t="s">
        <v>109</v>
      </c>
      <c r="CI1949" s="1" t="s">
        <v>109</v>
      </c>
      <c r="CJ1949" s="1" t="s">
        <v>109</v>
      </c>
      <c r="CK1949" s="1"/>
      <c r="CL1949" s="1">
        <v>0</v>
      </c>
      <c r="CM1949" s="1">
        <v>0</v>
      </c>
      <c r="CN1949" s="1">
        <v>0</v>
      </c>
    </row>
    <row r="1950" spans="1:92" ht="14.25" customHeight="1" x14ac:dyDescent="0.15">
      <c r="A1950" s="1" t="s">
        <v>14326</v>
      </c>
      <c r="B1950" s="1" t="s">
        <v>95</v>
      </c>
      <c r="C1950" s="1" t="s">
        <v>96</v>
      </c>
      <c r="D1950" s="1"/>
      <c r="E1950" s="1" t="s">
        <v>2199</v>
      </c>
      <c r="F1950" s="1" t="s">
        <v>98</v>
      </c>
      <c r="G1950" s="1" t="s">
        <v>14327</v>
      </c>
      <c r="H1950" s="1">
        <v>1</v>
      </c>
      <c r="I1950" s="1" t="s">
        <v>100</v>
      </c>
      <c r="J1950" s="1"/>
      <c r="K1950" s="1" t="s">
        <v>14328</v>
      </c>
      <c r="L1950" s="1"/>
      <c r="M1950" s="1" t="s">
        <v>144</v>
      </c>
      <c r="N1950" s="1">
        <v>0</v>
      </c>
      <c r="O1950" s="1">
        <v>0</v>
      </c>
      <c r="P1950" s="1" t="s">
        <v>13104</v>
      </c>
      <c r="Q1950" s="1" t="s">
        <v>104</v>
      </c>
      <c r="R1950" s="1" t="s">
        <v>14329</v>
      </c>
      <c r="S1950" s="1" t="s">
        <v>14330</v>
      </c>
      <c r="T1950" s="1" t="s">
        <v>14309</v>
      </c>
      <c r="U1950" s="1" t="s">
        <v>14331</v>
      </c>
      <c r="V1950" s="1">
        <v>1</v>
      </c>
      <c r="W1950" s="1">
        <v>1</v>
      </c>
      <c r="X1950" s="1">
        <v>1</v>
      </c>
      <c r="Y1950" s="1">
        <v>0</v>
      </c>
      <c r="Z1950" s="1">
        <v>0</v>
      </c>
      <c r="AA1950" s="1">
        <v>8</v>
      </c>
      <c r="AB1950" s="1">
        <v>8</v>
      </c>
      <c r="AC1950" s="1" t="s">
        <v>109</v>
      </c>
      <c r="AD1950" s="1" t="s">
        <v>109</v>
      </c>
      <c r="AE1950" s="1" t="s">
        <v>109</v>
      </c>
      <c r="AF1950" s="1" t="s">
        <v>109</v>
      </c>
      <c r="AG1950" s="1" t="s">
        <v>109</v>
      </c>
      <c r="AH1950" s="1" t="s">
        <v>109</v>
      </c>
      <c r="AI1950" s="1" t="s">
        <v>109</v>
      </c>
      <c r="AJ1950" s="1" t="s">
        <v>109</v>
      </c>
      <c r="AK1950" s="1" t="s">
        <v>109</v>
      </c>
      <c r="AL1950" s="1" t="s">
        <v>109</v>
      </c>
      <c r="AM1950" s="1" t="s">
        <v>109</v>
      </c>
      <c r="AN1950" s="1" t="s">
        <v>109</v>
      </c>
      <c r="AO1950" s="1" t="s">
        <v>109</v>
      </c>
      <c r="AP1950" s="1"/>
      <c r="AQ1950" s="1">
        <v>8</v>
      </c>
      <c r="AR1950" s="1"/>
      <c r="AS1950" s="1"/>
      <c r="AT1950" s="1">
        <v>0</v>
      </c>
      <c r="AU1950" s="1">
        <v>0</v>
      </c>
      <c r="AV1950" s="1">
        <v>0</v>
      </c>
      <c r="AW1950" s="1">
        <v>0</v>
      </c>
      <c r="AX1950" s="1">
        <v>0</v>
      </c>
      <c r="AY1950" s="1">
        <v>0</v>
      </c>
      <c r="AZ1950" s="1">
        <v>0</v>
      </c>
      <c r="BA1950" s="1">
        <v>0</v>
      </c>
      <c r="BB1950" s="1">
        <v>0</v>
      </c>
      <c r="BC1950" s="1">
        <v>0</v>
      </c>
      <c r="BD1950" s="1">
        <v>0</v>
      </c>
      <c r="BE1950" s="1">
        <v>0</v>
      </c>
      <c r="BF1950" s="1">
        <v>0</v>
      </c>
      <c r="BG1950" s="1">
        <v>0</v>
      </c>
      <c r="BH1950" s="1">
        <v>0</v>
      </c>
      <c r="BI1950" s="1">
        <v>0</v>
      </c>
      <c r="BJ1950" s="1">
        <v>0</v>
      </c>
      <c r="BK1950" s="1">
        <v>0</v>
      </c>
      <c r="BL1950" s="1">
        <v>0</v>
      </c>
      <c r="BM1950" s="1">
        <v>0</v>
      </c>
      <c r="BN1950" s="1">
        <v>0</v>
      </c>
      <c r="BO1950" s="1">
        <v>0</v>
      </c>
      <c r="BP1950" s="1">
        <v>0</v>
      </c>
      <c r="BQ1950" s="1">
        <v>0</v>
      </c>
      <c r="BR1950" s="1">
        <v>0</v>
      </c>
      <c r="BS1950" s="1" t="s">
        <v>109</v>
      </c>
      <c r="BT1950" s="1">
        <v>2024</v>
      </c>
      <c r="BU1950" s="1">
        <v>1</v>
      </c>
      <c r="BV1950" s="1"/>
      <c r="BW1950" s="1"/>
      <c r="BX1950" s="1"/>
      <c r="BY1950" s="1"/>
      <c r="BZ1950" s="1">
        <v>0</v>
      </c>
      <c r="CA1950" s="1" t="s">
        <v>109</v>
      </c>
      <c r="CB1950" s="1" t="s">
        <v>109</v>
      </c>
      <c r="CC1950" s="1" t="s">
        <v>109</v>
      </c>
      <c r="CD1950" s="1" t="s">
        <v>109</v>
      </c>
      <c r="CE1950" s="1" t="s">
        <v>109</v>
      </c>
      <c r="CF1950" s="1" t="s">
        <v>109</v>
      </c>
      <c r="CG1950" s="1" t="s">
        <v>109</v>
      </c>
      <c r="CH1950" s="1" t="s">
        <v>109</v>
      </c>
      <c r="CI1950" s="1" t="s">
        <v>109</v>
      </c>
      <c r="CJ1950" s="1" t="s">
        <v>109</v>
      </c>
      <c r="CK1950" s="1"/>
      <c r="CL1950" s="1">
        <v>0</v>
      </c>
      <c r="CM1950" s="1">
        <v>0</v>
      </c>
      <c r="CN1950" s="1">
        <v>0</v>
      </c>
    </row>
    <row r="1951" spans="1:92" ht="14.25" customHeight="1" x14ac:dyDescent="0.15">
      <c r="A1951" s="1" t="s">
        <v>14332</v>
      </c>
      <c r="B1951" s="1" t="s">
        <v>189</v>
      </c>
      <c r="C1951" s="1"/>
      <c r="D1951" s="1"/>
      <c r="E1951" s="1" t="s">
        <v>14333</v>
      </c>
      <c r="F1951" s="1" t="s">
        <v>98</v>
      </c>
      <c r="G1951" s="1" t="s">
        <v>141</v>
      </c>
      <c r="H1951" s="1">
        <v>0</v>
      </c>
      <c r="I1951" s="1" t="s">
        <v>161</v>
      </c>
      <c r="J1951" s="1"/>
      <c r="K1951" s="1"/>
      <c r="L1951" s="1" t="s">
        <v>14334</v>
      </c>
      <c r="M1951" s="1" t="s">
        <v>7529</v>
      </c>
      <c r="N1951" s="1">
        <v>1</v>
      </c>
      <c r="O1951" s="1">
        <v>0</v>
      </c>
      <c r="P1951" s="1" t="s">
        <v>11630</v>
      </c>
      <c r="Q1951" s="1" t="s">
        <v>11631</v>
      </c>
      <c r="R1951" s="1" t="s">
        <v>14335</v>
      </c>
      <c r="S1951" s="1" t="s">
        <v>14336</v>
      </c>
      <c r="T1951" s="1" t="s">
        <v>14309</v>
      </c>
      <c r="U1951" s="1" t="s">
        <v>14337</v>
      </c>
      <c r="V1951" s="1">
        <v>1</v>
      </c>
      <c r="W1951" s="1">
        <v>1</v>
      </c>
      <c r="X1951" s="1">
        <v>0</v>
      </c>
      <c r="Y1951" s="1">
        <v>0</v>
      </c>
      <c r="Z1951" s="1">
        <v>0</v>
      </c>
      <c r="AA1951" s="1">
        <v>2</v>
      </c>
      <c r="AB1951" s="1">
        <v>2</v>
      </c>
      <c r="AC1951" s="1" t="s">
        <v>109</v>
      </c>
      <c r="AD1951" s="1" t="s">
        <v>109</v>
      </c>
      <c r="AE1951" s="1" t="s">
        <v>109</v>
      </c>
      <c r="AF1951" s="1" t="s">
        <v>109</v>
      </c>
      <c r="AG1951" s="1" t="s">
        <v>109</v>
      </c>
      <c r="AH1951" s="1" t="s">
        <v>109</v>
      </c>
      <c r="AI1951" s="1" t="s">
        <v>109</v>
      </c>
      <c r="AJ1951" s="1" t="s">
        <v>109</v>
      </c>
      <c r="AK1951" s="1" t="s">
        <v>109</v>
      </c>
      <c r="AL1951" s="1" t="s">
        <v>109</v>
      </c>
      <c r="AM1951" s="1" t="s">
        <v>109</v>
      </c>
      <c r="AN1951" s="1">
        <v>2</v>
      </c>
      <c r="AO1951" s="1" t="s">
        <v>109</v>
      </c>
      <c r="AP1951" s="1"/>
      <c r="AQ1951" s="1">
        <v>2</v>
      </c>
      <c r="AR1951" s="1"/>
      <c r="AS1951" s="1"/>
      <c r="AT1951" s="1">
        <v>0</v>
      </c>
      <c r="AU1951" s="1">
        <v>0</v>
      </c>
      <c r="AV1951" s="1">
        <v>0</v>
      </c>
      <c r="AW1951" s="1">
        <v>0</v>
      </c>
      <c r="AX1951" s="1">
        <v>0</v>
      </c>
      <c r="AY1951" s="1">
        <v>0</v>
      </c>
      <c r="AZ1951" s="1">
        <v>0</v>
      </c>
      <c r="BA1951" s="1">
        <v>0</v>
      </c>
      <c r="BB1951" s="1">
        <v>0</v>
      </c>
      <c r="BC1951" s="1">
        <v>0</v>
      </c>
      <c r="BD1951" s="1">
        <v>0</v>
      </c>
      <c r="BE1951" s="1">
        <v>0</v>
      </c>
      <c r="BF1951" s="1">
        <v>0</v>
      </c>
      <c r="BG1951" s="1">
        <v>0</v>
      </c>
      <c r="BH1951" s="1">
        <v>0</v>
      </c>
      <c r="BI1951" s="1">
        <v>0</v>
      </c>
      <c r="BJ1951" s="1">
        <v>0</v>
      </c>
      <c r="BK1951" s="1">
        <v>0</v>
      </c>
      <c r="BL1951" s="1">
        <v>0</v>
      </c>
      <c r="BM1951" s="1">
        <v>0</v>
      </c>
      <c r="BN1951" s="1">
        <v>0</v>
      </c>
      <c r="BO1951" s="1">
        <v>0</v>
      </c>
      <c r="BP1951" s="1">
        <v>0</v>
      </c>
      <c r="BQ1951" s="1">
        <v>0</v>
      </c>
      <c r="BR1951" s="1">
        <v>0</v>
      </c>
      <c r="BS1951" s="1" t="s">
        <v>109</v>
      </c>
      <c r="BT1951" s="1">
        <v>2025</v>
      </c>
      <c r="BU1951" s="1" t="s">
        <v>109</v>
      </c>
      <c r="BV1951" s="1"/>
      <c r="BW1951" s="1"/>
      <c r="BX1951" s="1"/>
      <c r="BY1951" s="1"/>
      <c r="BZ1951" s="1">
        <v>0</v>
      </c>
      <c r="CA1951" s="1" t="s">
        <v>109</v>
      </c>
      <c r="CB1951" s="1" t="s">
        <v>109</v>
      </c>
      <c r="CC1951" s="1" t="s">
        <v>109</v>
      </c>
      <c r="CD1951" s="1" t="s">
        <v>109</v>
      </c>
      <c r="CE1951" s="1" t="s">
        <v>109</v>
      </c>
      <c r="CF1951" s="1" t="s">
        <v>109</v>
      </c>
      <c r="CG1951" s="1" t="s">
        <v>109</v>
      </c>
      <c r="CH1951" s="1" t="s">
        <v>109</v>
      </c>
      <c r="CI1951" s="1" t="s">
        <v>109</v>
      </c>
      <c r="CJ1951" s="1" t="s">
        <v>109</v>
      </c>
      <c r="CK1951" s="1"/>
      <c r="CL1951" s="1">
        <v>0</v>
      </c>
      <c r="CM1951" s="1">
        <v>0</v>
      </c>
      <c r="CN1951" s="1">
        <v>0</v>
      </c>
    </row>
    <row r="1952" spans="1:92" ht="14.25" customHeight="1" x14ac:dyDescent="0.15">
      <c r="A1952" s="1" t="s">
        <v>14338</v>
      </c>
      <c r="B1952" s="1" t="s">
        <v>189</v>
      </c>
      <c r="C1952" s="1"/>
      <c r="D1952" s="1"/>
      <c r="E1952" s="1" t="s">
        <v>14339</v>
      </c>
      <c r="F1952" s="1" t="s">
        <v>98</v>
      </c>
      <c r="G1952" s="1" t="s">
        <v>141</v>
      </c>
      <c r="H1952" s="1">
        <v>0</v>
      </c>
      <c r="I1952" s="1" t="s">
        <v>161</v>
      </c>
      <c r="J1952" s="1"/>
      <c r="K1952" s="1"/>
      <c r="L1952" s="1" t="s">
        <v>506</v>
      </c>
      <c r="M1952" s="1" t="s">
        <v>5642</v>
      </c>
      <c r="N1952" s="1">
        <v>0</v>
      </c>
      <c r="O1952" s="1">
        <v>0</v>
      </c>
      <c r="P1952" s="1"/>
      <c r="Q1952" s="1"/>
      <c r="R1952" s="1" t="s">
        <v>14340</v>
      </c>
      <c r="S1952" s="1" t="s">
        <v>14341</v>
      </c>
      <c r="T1952" s="1" t="s">
        <v>14254</v>
      </c>
      <c r="U1952" s="1" t="s">
        <v>14342</v>
      </c>
      <c r="V1952" s="1">
        <v>1</v>
      </c>
      <c r="W1952" s="1">
        <v>1</v>
      </c>
      <c r="X1952" s="1">
        <v>0</v>
      </c>
      <c r="Y1952" s="1">
        <v>0</v>
      </c>
      <c r="Z1952" s="1">
        <v>0</v>
      </c>
      <c r="AA1952" s="1">
        <v>1</v>
      </c>
      <c r="AB1952" s="1">
        <v>1</v>
      </c>
      <c r="AC1952" s="1" t="s">
        <v>109</v>
      </c>
      <c r="AD1952" s="1" t="s">
        <v>109</v>
      </c>
      <c r="AE1952" s="1" t="s">
        <v>109</v>
      </c>
      <c r="AF1952" s="1" t="s">
        <v>109</v>
      </c>
      <c r="AG1952" s="1" t="s">
        <v>109</v>
      </c>
      <c r="AH1952" s="1">
        <v>1</v>
      </c>
      <c r="AI1952" s="1" t="s">
        <v>109</v>
      </c>
      <c r="AJ1952" s="1">
        <v>1</v>
      </c>
      <c r="AK1952" s="1" t="s">
        <v>109</v>
      </c>
      <c r="AL1952" s="1" t="s">
        <v>109</v>
      </c>
      <c r="AM1952" s="1" t="s">
        <v>109</v>
      </c>
      <c r="AN1952" s="1" t="s">
        <v>109</v>
      </c>
      <c r="AO1952" s="1" t="s">
        <v>109</v>
      </c>
      <c r="AP1952" s="1"/>
      <c r="AQ1952" s="1">
        <v>1</v>
      </c>
      <c r="AR1952" s="1"/>
      <c r="AS1952" s="1"/>
      <c r="AT1952" s="1">
        <v>0</v>
      </c>
      <c r="AU1952" s="1">
        <v>0</v>
      </c>
      <c r="AV1952" s="1">
        <v>0</v>
      </c>
      <c r="AW1952" s="1">
        <v>0</v>
      </c>
      <c r="AX1952" s="1">
        <v>0</v>
      </c>
      <c r="AY1952" s="1">
        <v>0</v>
      </c>
      <c r="AZ1952" s="1">
        <v>0</v>
      </c>
      <c r="BA1952" s="1">
        <v>0</v>
      </c>
      <c r="BB1952" s="1">
        <v>0</v>
      </c>
      <c r="BC1952" s="1">
        <v>0</v>
      </c>
      <c r="BD1952" s="1">
        <v>0</v>
      </c>
      <c r="BE1952" s="1">
        <v>0</v>
      </c>
      <c r="BF1952" s="1">
        <v>0</v>
      </c>
      <c r="BG1952" s="1">
        <v>0</v>
      </c>
      <c r="BH1952" s="1">
        <v>0</v>
      </c>
      <c r="BI1952" s="1">
        <v>0</v>
      </c>
      <c r="BJ1952" s="1">
        <v>0</v>
      </c>
      <c r="BK1952" s="1">
        <v>0</v>
      </c>
      <c r="BL1952" s="1">
        <v>0</v>
      </c>
      <c r="BM1952" s="1">
        <v>0</v>
      </c>
      <c r="BN1952" s="1">
        <v>0</v>
      </c>
      <c r="BO1952" s="1">
        <v>0</v>
      </c>
      <c r="BP1952" s="1">
        <v>0</v>
      </c>
      <c r="BQ1952" s="1">
        <v>0</v>
      </c>
      <c r="BR1952" s="1">
        <v>0</v>
      </c>
      <c r="BS1952" s="1" t="s">
        <v>109</v>
      </c>
      <c r="BT1952" s="1">
        <v>2026</v>
      </c>
      <c r="BU1952" s="1" t="s">
        <v>109</v>
      </c>
      <c r="BV1952" s="1"/>
      <c r="BW1952" s="1"/>
      <c r="BX1952" s="1"/>
      <c r="BY1952" s="1"/>
      <c r="BZ1952" s="1">
        <v>0</v>
      </c>
      <c r="CA1952" s="1">
        <v>1</v>
      </c>
      <c r="CB1952" s="1" t="s">
        <v>109</v>
      </c>
      <c r="CC1952" s="1" t="s">
        <v>109</v>
      </c>
      <c r="CD1952" s="1" t="s">
        <v>109</v>
      </c>
      <c r="CE1952" s="1" t="s">
        <v>109</v>
      </c>
      <c r="CF1952" s="1" t="s">
        <v>109</v>
      </c>
      <c r="CG1952" s="1" t="s">
        <v>109</v>
      </c>
      <c r="CH1952" s="1" t="s">
        <v>109</v>
      </c>
      <c r="CI1952" s="1" t="s">
        <v>109</v>
      </c>
      <c r="CJ1952" s="1" t="s">
        <v>109</v>
      </c>
      <c r="CK1952" s="1"/>
      <c r="CL1952" s="1">
        <v>0</v>
      </c>
      <c r="CM1952" s="1">
        <v>0</v>
      </c>
      <c r="CN1952" s="1">
        <v>0</v>
      </c>
    </row>
    <row r="1953" spans="1:92" ht="14.25" customHeight="1" x14ac:dyDescent="0.15">
      <c r="A1953" s="1" t="s">
        <v>14343</v>
      </c>
      <c r="B1953" s="1" t="s">
        <v>95</v>
      </c>
      <c r="C1953" s="1" t="s">
        <v>96</v>
      </c>
      <c r="D1953" s="1"/>
      <c r="E1953" s="1" t="s">
        <v>14344</v>
      </c>
      <c r="F1953" s="1" t="s">
        <v>98</v>
      </c>
      <c r="G1953" s="1" t="s">
        <v>14345</v>
      </c>
      <c r="H1953" s="1">
        <v>0</v>
      </c>
      <c r="I1953" s="1" t="s">
        <v>142</v>
      </c>
      <c r="J1953" s="1"/>
      <c r="K1953" s="1"/>
      <c r="L1953" s="1" t="s">
        <v>14346</v>
      </c>
      <c r="M1953" s="1" t="s">
        <v>14347</v>
      </c>
      <c r="N1953" s="1">
        <v>1</v>
      </c>
      <c r="O1953" s="1">
        <v>0</v>
      </c>
      <c r="P1953" s="1"/>
      <c r="Q1953" s="1"/>
      <c r="R1953" s="1" t="s">
        <v>14348</v>
      </c>
      <c r="S1953" s="1" t="s">
        <v>14349</v>
      </c>
      <c r="T1953" s="1" t="s">
        <v>14254</v>
      </c>
      <c r="U1953" s="1" t="s">
        <v>14350</v>
      </c>
      <c r="V1953" s="1">
        <v>1</v>
      </c>
      <c r="W1953" s="1">
        <v>1</v>
      </c>
      <c r="X1953" s="1">
        <v>1</v>
      </c>
      <c r="Y1953" s="1">
        <v>0</v>
      </c>
      <c r="Z1953" s="1">
        <v>0</v>
      </c>
      <c r="AA1953" s="1">
        <v>2</v>
      </c>
      <c r="AB1953" s="1">
        <v>2</v>
      </c>
      <c r="AC1953" s="1" t="s">
        <v>109</v>
      </c>
      <c r="AD1953" s="1">
        <v>2</v>
      </c>
      <c r="AE1953" s="1" t="s">
        <v>109</v>
      </c>
      <c r="AF1953" s="1" t="s">
        <v>109</v>
      </c>
      <c r="AG1953" s="1" t="s">
        <v>109</v>
      </c>
      <c r="AH1953" s="1" t="s">
        <v>109</v>
      </c>
      <c r="AI1953" s="1" t="s">
        <v>109</v>
      </c>
      <c r="AJ1953" s="1">
        <v>2</v>
      </c>
      <c r="AK1953" s="1" t="s">
        <v>109</v>
      </c>
      <c r="AL1953" s="1" t="s">
        <v>109</v>
      </c>
      <c r="AM1953" s="1" t="s">
        <v>109</v>
      </c>
      <c r="AN1953" s="1" t="s">
        <v>109</v>
      </c>
      <c r="AO1953" s="1" t="s">
        <v>109</v>
      </c>
      <c r="AP1953" s="1"/>
      <c r="AQ1953" s="1">
        <v>2</v>
      </c>
      <c r="AR1953" s="1"/>
      <c r="AS1953" s="1"/>
      <c r="AT1953" s="1">
        <v>0</v>
      </c>
      <c r="AU1953" s="1">
        <v>0</v>
      </c>
      <c r="AV1953" s="1">
        <v>0</v>
      </c>
      <c r="AW1953" s="1">
        <v>0</v>
      </c>
      <c r="AX1953" s="1">
        <v>0</v>
      </c>
      <c r="AY1953" s="1">
        <v>0</v>
      </c>
      <c r="AZ1953" s="1">
        <v>0</v>
      </c>
      <c r="BA1953" s="1">
        <v>0</v>
      </c>
      <c r="BB1953" s="1">
        <v>0</v>
      </c>
      <c r="BC1953" s="1">
        <v>0</v>
      </c>
      <c r="BD1953" s="1">
        <v>0</v>
      </c>
      <c r="BE1953" s="1">
        <v>0</v>
      </c>
      <c r="BF1953" s="1">
        <v>0</v>
      </c>
      <c r="BG1953" s="1">
        <v>0</v>
      </c>
      <c r="BH1953" s="1">
        <v>0</v>
      </c>
      <c r="BI1953" s="1">
        <v>0</v>
      </c>
      <c r="BJ1953" s="1">
        <v>0</v>
      </c>
      <c r="BK1953" s="1">
        <v>0</v>
      </c>
      <c r="BL1953" s="1">
        <v>0</v>
      </c>
      <c r="BM1953" s="1">
        <v>0</v>
      </c>
      <c r="BN1953" s="1">
        <v>0</v>
      </c>
      <c r="BO1953" s="1">
        <v>0</v>
      </c>
      <c r="BP1953" s="1">
        <v>0</v>
      </c>
      <c r="BQ1953" s="1">
        <v>0</v>
      </c>
      <c r="BR1953" s="1">
        <v>0</v>
      </c>
      <c r="BS1953" s="1" t="s">
        <v>109</v>
      </c>
      <c r="BT1953" s="1">
        <v>2027</v>
      </c>
      <c r="BU1953" s="1" t="s">
        <v>109</v>
      </c>
      <c r="BV1953" s="1"/>
      <c r="BW1953" s="1"/>
      <c r="BX1953" s="1"/>
      <c r="BY1953" s="1"/>
      <c r="BZ1953" s="1">
        <v>0</v>
      </c>
      <c r="CA1953" s="1" t="s">
        <v>109</v>
      </c>
      <c r="CB1953" s="1" t="s">
        <v>109</v>
      </c>
      <c r="CC1953" s="1" t="s">
        <v>109</v>
      </c>
      <c r="CD1953" s="1" t="s">
        <v>109</v>
      </c>
      <c r="CE1953" s="1" t="s">
        <v>109</v>
      </c>
      <c r="CF1953" s="1" t="s">
        <v>109</v>
      </c>
      <c r="CG1953" s="1" t="s">
        <v>109</v>
      </c>
      <c r="CH1953" s="1" t="s">
        <v>109</v>
      </c>
      <c r="CI1953" s="1" t="s">
        <v>109</v>
      </c>
      <c r="CJ1953" s="1">
        <v>2</v>
      </c>
      <c r="CK1953" s="1"/>
      <c r="CL1953" s="1">
        <v>0</v>
      </c>
      <c r="CM1953" s="1">
        <v>0</v>
      </c>
      <c r="CN1953" s="1">
        <v>0</v>
      </c>
    </row>
    <row r="1954" spans="1:92" ht="14.25" customHeight="1" x14ac:dyDescent="0.15">
      <c r="A1954" s="1" t="s">
        <v>14351</v>
      </c>
      <c r="B1954" s="1" t="s">
        <v>189</v>
      </c>
      <c r="C1954" s="1"/>
      <c r="D1954" s="1"/>
      <c r="E1954" s="1" t="s">
        <v>13662</v>
      </c>
      <c r="F1954" s="1" t="s">
        <v>98</v>
      </c>
      <c r="G1954" s="1" t="s">
        <v>14352</v>
      </c>
      <c r="H1954" s="1">
        <v>0</v>
      </c>
      <c r="I1954" s="1" t="s">
        <v>161</v>
      </c>
      <c r="J1954" s="1"/>
      <c r="K1954" s="1"/>
      <c r="L1954" s="1" t="s">
        <v>14353</v>
      </c>
      <c r="M1954" s="1" t="s">
        <v>125</v>
      </c>
      <c r="N1954" s="1">
        <v>0</v>
      </c>
      <c r="O1954" s="1">
        <v>0</v>
      </c>
      <c r="P1954" s="1" t="s">
        <v>14354</v>
      </c>
      <c r="Q1954" s="1" t="s">
        <v>268</v>
      </c>
      <c r="R1954" s="1" t="s">
        <v>14355</v>
      </c>
      <c r="S1954" s="1" t="s">
        <v>14356</v>
      </c>
      <c r="T1954" s="1" t="s">
        <v>14254</v>
      </c>
      <c r="U1954" s="1" t="s">
        <v>14357</v>
      </c>
      <c r="V1954" s="1">
        <v>1</v>
      </c>
      <c r="W1954" s="1">
        <v>1</v>
      </c>
      <c r="X1954" s="1">
        <v>1</v>
      </c>
      <c r="Y1954" s="1">
        <v>0</v>
      </c>
      <c r="Z1954" s="1">
        <v>1</v>
      </c>
      <c r="AA1954" s="1">
        <v>1</v>
      </c>
      <c r="AB1954" s="1">
        <v>1</v>
      </c>
      <c r="AC1954" s="1" t="s">
        <v>109</v>
      </c>
      <c r="AD1954" s="1">
        <v>1</v>
      </c>
      <c r="AE1954" s="1" t="s">
        <v>109</v>
      </c>
      <c r="AF1954" s="1" t="s">
        <v>109</v>
      </c>
      <c r="AG1954" s="1" t="s">
        <v>109</v>
      </c>
      <c r="AH1954" s="1" t="s">
        <v>109</v>
      </c>
      <c r="AI1954" s="1" t="s">
        <v>109</v>
      </c>
      <c r="AJ1954" s="1">
        <v>1</v>
      </c>
      <c r="AK1954" s="1" t="s">
        <v>109</v>
      </c>
      <c r="AL1954" s="1" t="s">
        <v>109</v>
      </c>
      <c r="AM1954" s="1" t="s">
        <v>109</v>
      </c>
      <c r="AN1954" s="1" t="s">
        <v>109</v>
      </c>
      <c r="AO1954" s="1" t="s">
        <v>109</v>
      </c>
      <c r="AP1954" s="1"/>
      <c r="AQ1954" s="1">
        <v>1</v>
      </c>
      <c r="AR1954" s="1"/>
      <c r="AS1954" s="1"/>
      <c r="AT1954" s="1">
        <v>0</v>
      </c>
      <c r="AU1954" s="1">
        <v>0</v>
      </c>
      <c r="AV1954" s="1">
        <v>0</v>
      </c>
      <c r="AW1954" s="1">
        <v>0</v>
      </c>
      <c r="AX1954" s="1">
        <v>0</v>
      </c>
      <c r="AY1954" s="1">
        <v>0</v>
      </c>
      <c r="AZ1954" s="1">
        <v>0</v>
      </c>
      <c r="BA1954" s="1">
        <v>0</v>
      </c>
      <c r="BB1954" s="1">
        <v>0</v>
      </c>
      <c r="BC1954" s="1">
        <v>0</v>
      </c>
      <c r="BD1954" s="1">
        <v>0</v>
      </c>
      <c r="BE1954" s="1">
        <v>0</v>
      </c>
      <c r="BF1954" s="1">
        <v>0</v>
      </c>
      <c r="BG1954" s="1">
        <v>0</v>
      </c>
      <c r="BH1954" s="1">
        <v>0</v>
      </c>
      <c r="BI1954" s="1">
        <v>0</v>
      </c>
      <c r="BJ1954" s="1">
        <v>0</v>
      </c>
      <c r="BK1954" s="1">
        <v>0</v>
      </c>
      <c r="BL1954" s="1">
        <v>0</v>
      </c>
      <c r="BM1954" s="1">
        <v>0</v>
      </c>
      <c r="BN1954" s="1">
        <v>0</v>
      </c>
      <c r="BO1954" s="1">
        <v>0</v>
      </c>
      <c r="BP1954" s="1">
        <v>0</v>
      </c>
      <c r="BQ1954" s="1">
        <v>0</v>
      </c>
      <c r="BR1954" s="1">
        <v>0</v>
      </c>
      <c r="BS1954" s="1" t="s">
        <v>109</v>
      </c>
      <c r="BT1954" s="1">
        <v>2028</v>
      </c>
      <c r="BU1954" s="1" t="s">
        <v>109</v>
      </c>
      <c r="BV1954" s="1"/>
      <c r="BW1954" s="1"/>
      <c r="BX1954" s="1"/>
      <c r="BY1954" s="1"/>
      <c r="BZ1954" s="1">
        <v>0</v>
      </c>
      <c r="CA1954" s="1" t="s">
        <v>109</v>
      </c>
      <c r="CB1954" s="1">
        <v>1</v>
      </c>
      <c r="CC1954" s="1" t="s">
        <v>109</v>
      </c>
      <c r="CD1954" s="1" t="s">
        <v>109</v>
      </c>
      <c r="CE1954" s="1" t="s">
        <v>109</v>
      </c>
      <c r="CF1954" s="1" t="s">
        <v>109</v>
      </c>
      <c r="CG1954" s="1" t="s">
        <v>109</v>
      </c>
      <c r="CH1954" s="1" t="s">
        <v>109</v>
      </c>
      <c r="CI1954" s="1" t="s">
        <v>109</v>
      </c>
      <c r="CJ1954" s="1">
        <v>1</v>
      </c>
      <c r="CK1954" s="1"/>
      <c r="CL1954" s="1">
        <v>0</v>
      </c>
      <c r="CM1954" s="1">
        <v>0</v>
      </c>
      <c r="CN1954" s="1">
        <v>0</v>
      </c>
    </row>
    <row r="1955" spans="1:92" ht="14.25" customHeight="1" x14ac:dyDescent="0.15">
      <c r="A1955" s="1" t="s">
        <v>14358</v>
      </c>
      <c r="B1955" s="1" t="s">
        <v>189</v>
      </c>
      <c r="C1955" s="1"/>
      <c r="D1955" s="1"/>
      <c r="E1955" s="1" t="s">
        <v>14359</v>
      </c>
      <c r="F1955" s="1" t="s">
        <v>98</v>
      </c>
      <c r="G1955" s="1" t="s">
        <v>14360</v>
      </c>
      <c r="H1955" s="1">
        <v>0</v>
      </c>
      <c r="I1955" s="1" t="s">
        <v>142</v>
      </c>
      <c r="J1955" s="1"/>
      <c r="K1955" s="1"/>
      <c r="L1955" s="1" t="s">
        <v>14361</v>
      </c>
      <c r="M1955" s="1" t="s">
        <v>3042</v>
      </c>
      <c r="N1955" s="1">
        <v>0</v>
      </c>
      <c r="O1955" s="1">
        <v>0</v>
      </c>
      <c r="P1955" s="1" t="s">
        <v>14362</v>
      </c>
      <c r="Q1955" s="1" t="s">
        <v>167</v>
      </c>
      <c r="R1955" s="1" t="s">
        <v>14363</v>
      </c>
      <c r="S1955" s="1" t="s">
        <v>14364</v>
      </c>
      <c r="T1955" s="1" t="s">
        <v>14254</v>
      </c>
      <c r="U1955" s="1" t="s">
        <v>14365</v>
      </c>
      <c r="V1955" s="1">
        <v>1</v>
      </c>
      <c r="W1955" s="1">
        <v>1</v>
      </c>
      <c r="X1955" s="1">
        <v>1</v>
      </c>
      <c r="Y1955" s="1">
        <v>0</v>
      </c>
      <c r="Z1955" s="1">
        <v>1</v>
      </c>
      <c r="AA1955" s="1">
        <v>2</v>
      </c>
      <c r="AB1955" s="1">
        <v>2</v>
      </c>
      <c r="AC1955" s="1" t="s">
        <v>109</v>
      </c>
      <c r="AD1955" s="1">
        <v>2</v>
      </c>
      <c r="AE1955" s="1">
        <v>2</v>
      </c>
      <c r="AF1955" s="1" t="s">
        <v>109</v>
      </c>
      <c r="AG1955" s="1" t="s">
        <v>109</v>
      </c>
      <c r="AH1955" s="1">
        <v>2</v>
      </c>
      <c r="AI1955" s="1" t="s">
        <v>109</v>
      </c>
      <c r="AJ1955" s="1">
        <v>2</v>
      </c>
      <c r="AK1955" s="1" t="s">
        <v>109</v>
      </c>
      <c r="AL1955" s="1" t="s">
        <v>109</v>
      </c>
      <c r="AM1955" s="1" t="s">
        <v>109</v>
      </c>
      <c r="AN1955" s="1" t="s">
        <v>109</v>
      </c>
      <c r="AO1955" s="1" t="s">
        <v>109</v>
      </c>
      <c r="AP1955" s="1"/>
      <c r="AQ1955" s="1">
        <v>2</v>
      </c>
      <c r="AR1955" s="1"/>
      <c r="AS1955" s="1"/>
      <c r="AT1955" s="1">
        <v>0</v>
      </c>
      <c r="AU1955" s="1">
        <v>0</v>
      </c>
      <c r="AV1955" s="1">
        <v>0</v>
      </c>
      <c r="AW1955" s="1">
        <v>0</v>
      </c>
      <c r="AX1955" s="1">
        <v>0</v>
      </c>
      <c r="AY1955" s="1">
        <v>0</v>
      </c>
      <c r="AZ1955" s="1">
        <v>0</v>
      </c>
      <c r="BA1955" s="1">
        <v>0</v>
      </c>
      <c r="BB1955" s="1">
        <v>0</v>
      </c>
      <c r="BC1955" s="1">
        <v>0</v>
      </c>
      <c r="BD1955" s="1">
        <v>0</v>
      </c>
      <c r="BE1955" s="1">
        <v>0</v>
      </c>
      <c r="BF1955" s="1">
        <v>0</v>
      </c>
      <c r="BG1955" s="1">
        <v>0</v>
      </c>
      <c r="BH1955" s="1">
        <v>0</v>
      </c>
      <c r="BI1955" s="1">
        <v>0</v>
      </c>
      <c r="BJ1955" s="1">
        <v>0</v>
      </c>
      <c r="BK1955" s="1">
        <v>0</v>
      </c>
      <c r="BL1955" s="1">
        <v>0</v>
      </c>
      <c r="BM1955" s="1">
        <v>0</v>
      </c>
      <c r="BN1955" s="1">
        <v>0</v>
      </c>
      <c r="BO1955" s="1">
        <v>0</v>
      </c>
      <c r="BP1955" s="1">
        <v>0</v>
      </c>
      <c r="BQ1955" s="1">
        <v>0</v>
      </c>
      <c r="BR1955" s="1">
        <v>0</v>
      </c>
      <c r="BS1955" s="1" t="s">
        <v>109</v>
      </c>
      <c r="BT1955" s="1">
        <v>2029</v>
      </c>
      <c r="BU1955" s="1" t="s">
        <v>109</v>
      </c>
      <c r="BV1955" s="1"/>
      <c r="BW1955" s="1"/>
      <c r="BX1955" s="1"/>
      <c r="BY1955" s="1"/>
      <c r="BZ1955" s="1">
        <v>0</v>
      </c>
      <c r="CA1955" s="1">
        <v>2</v>
      </c>
      <c r="CB1955" s="1">
        <v>2</v>
      </c>
      <c r="CC1955" s="1" t="s">
        <v>109</v>
      </c>
      <c r="CD1955" s="1" t="s">
        <v>109</v>
      </c>
      <c r="CE1955" s="1" t="s">
        <v>109</v>
      </c>
      <c r="CF1955" s="1" t="s">
        <v>109</v>
      </c>
      <c r="CG1955" s="1" t="s">
        <v>109</v>
      </c>
      <c r="CH1955" s="1" t="s">
        <v>109</v>
      </c>
      <c r="CI1955" s="1" t="s">
        <v>109</v>
      </c>
      <c r="CJ1955" s="1">
        <v>2</v>
      </c>
      <c r="CK1955" s="1"/>
      <c r="CL1955" s="1">
        <v>0</v>
      </c>
      <c r="CM1955" s="1">
        <v>0</v>
      </c>
      <c r="CN1955" s="1">
        <v>0</v>
      </c>
    </row>
    <row r="1956" spans="1:92" ht="14.25" customHeight="1" x14ac:dyDescent="0.15">
      <c r="A1956" s="1" t="s">
        <v>14366</v>
      </c>
      <c r="B1956" s="1" t="s">
        <v>189</v>
      </c>
      <c r="C1956" s="1"/>
      <c r="D1956" s="1"/>
      <c r="E1956" s="1" t="s">
        <v>14367</v>
      </c>
      <c r="F1956" s="1" t="s">
        <v>98</v>
      </c>
      <c r="G1956" s="1" t="s">
        <v>14368</v>
      </c>
      <c r="H1956" s="1">
        <v>0</v>
      </c>
      <c r="I1956" s="1" t="s">
        <v>142</v>
      </c>
      <c r="J1956" s="1"/>
      <c r="K1956" s="1"/>
      <c r="L1956" s="1" t="s">
        <v>14369</v>
      </c>
      <c r="M1956" s="1" t="s">
        <v>289</v>
      </c>
      <c r="N1956" s="1">
        <v>0</v>
      </c>
      <c r="O1956" s="1">
        <v>0</v>
      </c>
      <c r="P1956" s="1" t="s">
        <v>14362</v>
      </c>
      <c r="Q1956" s="1" t="s">
        <v>167</v>
      </c>
      <c r="R1956" s="1" t="s">
        <v>14370</v>
      </c>
      <c r="S1956" s="1" t="s">
        <v>14371</v>
      </c>
      <c r="T1956" s="1" t="s">
        <v>14254</v>
      </c>
      <c r="U1956" s="1" t="s">
        <v>14372</v>
      </c>
      <c r="V1956" s="1">
        <v>1</v>
      </c>
      <c r="W1956" s="1">
        <v>1</v>
      </c>
      <c r="X1956" s="1">
        <v>1</v>
      </c>
      <c r="Y1956" s="1">
        <v>0</v>
      </c>
      <c r="Z1956" s="1">
        <v>1</v>
      </c>
      <c r="AA1956" s="1">
        <v>3</v>
      </c>
      <c r="AB1956" s="1">
        <v>3</v>
      </c>
      <c r="AC1956" s="1" t="s">
        <v>109</v>
      </c>
      <c r="AD1956" s="1">
        <v>3</v>
      </c>
      <c r="AE1956" s="1">
        <v>3</v>
      </c>
      <c r="AF1956" s="1" t="s">
        <v>109</v>
      </c>
      <c r="AG1956" s="1" t="s">
        <v>109</v>
      </c>
      <c r="AH1956" s="1">
        <v>4</v>
      </c>
      <c r="AI1956" s="1" t="s">
        <v>109</v>
      </c>
      <c r="AJ1956" s="1">
        <v>3</v>
      </c>
      <c r="AK1956" s="1" t="s">
        <v>109</v>
      </c>
      <c r="AL1956" s="1" t="s">
        <v>109</v>
      </c>
      <c r="AM1956" s="1" t="s">
        <v>109</v>
      </c>
      <c r="AN1956" s="1" t="s">
        <v>109</v>
      </c>
      <c r="AO1956" s="1" t="s">
        <v>109</v>
      </c>
      <c r="AP1956" s="1"/>
      <c r="AQ1956" s="1">
        <v>3</v>
      </c>
      <c r="AR1956" s="1"/>
      <c r="AS1956" s="1"/>
      <c r="AT1956" s="1">
        <v>0</v>
      </c>
      <c r="AU1956" s="1">
        <v>0</v>
      </c>
      <c r="AV1956" s="1">
        <v>0</v>
      </c>
      <c r="AW1956" s="1">
        <v>0</v>
      </c>
      <c r="AX1956" s="1">
        <v>0</v>
      </c>
      <c r="AY1956" s="1">
        <v>0</v>
      </c>
      <c r="AZ1956" s="1">
        <v>0</v>
      </c>
      <c r="BA1956" s="1">
        <v>0</v>
      </c>
      <c r="BB1956" s="1">
        <v>0</v>
      </c>
      <c r="BC1956" s="1">
        <v>0</v>
      </c>
      <c r="BD1956" s="1">
        <v>0</v>
      </c>
      <c r="BE1956" s="1">
        <v>0</v>
      </c>
      <c r="BF1956" s="1">
        <v>0</v>
      </c>
      <c r="BG1956" s="1">
        <v>0</v>
      </c>
      <c r="BH1956" s="1">
        <v>0</v>
      </c>
      <c r="BI1956" s="1">
        <v>0</v>
      </c>
      <c r="BJ1956" s="1">
        <v>0</v>
      </c>
      <c r="BK1956" s="1">
        <v>0</v>
      </c>
      <c r="BL1956" s="1">
        <v>0</v>
      </c>
      <c r="BM1956" s="1">
        <v>0</v>
      </c>
      <c r="BN1956" s="1">
        <v>0</v>
      </c>
      <c r="BO1956" s="1">
        <v>0</v>
      </c>
      <c r="BP1956" s="1">
        <v>0</v>
      </c>
      <c r="BQ1956" s="1">
        <v>0</v>
      </c>
      <c r="BR1956" s="1">
        <v>0</v>
      </c>
      <c r="BS1956" s="1" t="s">
        <v>109</v>
      </c>
      <c r="BT1956" s="1">
        <v>2030</v>
      </c>
      <c r="BU1956" s="1" t="s">
        <v>109</v>
      </c>
      <c r="BV1956" s="1"/>
      <c r="BW1956" s="1"/>
      <c r="BX1956" s="1"/>
      <c r="BY1956" s="1"/>
      <c r="BZ1956" s="1">
        <v>0</v>
      </c>
      <c r="CA1956" s="1">
        <v>4</v>
      </c>
      <c r="CB1956" s="1">
        <v>3</v>
      </c>
      <c r="CC1956" s="1" t="s">
        <v>109</v>
      </c>
      <c r="CD1956" s="1" t="s">
        <v>109</v>
      </c>
      <c r="CE1956" s="1" t="s">
        <v>109</v>
      </c>
      <c r="CF1956" s="1" t="s">
        <v>109</v>
      </c>
      <c r="CG1956" s="1" t="s">
        <v>109</v>
      </c>
      <c r="CH1956" s="1" t="s">
        <v>109</v>
      </c>
      <c r="CI1956" s="1" t="s">
        <v>109</v>
      </c>
      <c r="CJ1956" s="1">
        <v>3</v>
      </c>
      <c r="CK1956" s="1"/>
      <c r="CL1956" s="1">
        <v>0</v>
      </c>
      <c r="CM1956" s="1">
        <v>0</v>
      </c>
      <c r="CN1956" s="1">
        <v>0</v>
      </c>
    </row>
    <row r="1957" spans="1:92" ht="14.25" customHeight="1" x14ac:dyDescent="0.15">
      <c r="A1957" s="1" t="s">
        <v>14373</v>
      </c>
      <c r="B1957" s="1" t="s">
        <v>189</v>
      </c>
      <c r="C1957" s="1"/>
      <c r="D1957" s="1"/>
      <c r="E1957" s="1" t="s">
        <v>14374</v>
      </c>
      <c r="F1957" s="1" t="s">
        <v>98</v>
      </c>
      <c r="G1957" s="1" t="s">
        <v>14375</v>
      </c>
      <c r="H1957" s="1">
        <v>0</v>
      </c>
      <c r="I1957" s="1" t="s">
        <v>161</v>
      </c>
      <c r="J1957" s="1"/>
      <c r="K1957" s="1"/>
      <c r="L1957" s="1" t="s">
        <v>14376</v>
      </c>
      <c r="M1957" s="1" t="s">
        <v>5352</v>
      </c>
      <c r="N1957" s="1">
        <v>0</v>
      </c>
      <c r="O1957" s="1">
        <v>0</v>
      </c>
      <c r="P1957" s="1" t="s">
        <v>507</v>
      </c>
      <c r="Q1957" s="1" t="s">
        <v>167</v>
      </c>
      <c r="R1957" s="1" t="s">
        <v>14377</v>
      </c>
      <c r="S1957" s="1" t="s">
        <v>14378</v>
      </c>
      <c r="T1957" s="1" t="s">
        <v>14254</v>
      </c>
      <c r="U1957" s="1" t="s">
        <v>14379</v>
      </c>
      <c r="V1957" s="1">
        <v>1</v>
      </c>
      <c r="W1957" s="1">
        <v>1</v>
      </c>
      <c r="X1957" s="1">
        <v>1</v>
      </c>
      <c r="Y1957" s="1">
        <v>0</v>
      </c>
      <c r="Z1957" s="1">
        <v>1</v>
      </c>
      <c r="AA1957" s="1">
        <v>3</v>
      </c>
      <c r="AB1957" s="1">
        <v>3</v>
      </c>
      <c r="AC1957" s="1">
        <v>3</v>
      </c>
      <c r="AD1957" s="1">
        <v>3</v>
      </c>
      <c r="AE1957" s="1" t="s">
        <v>109</v>
      </c>
      <c r="AF1957" s="1" t="s">
        <v>109</v>
      </c>
      <c r="AG1957" s="1" t="s">
        <v>109</v>
      </c>
      <c r="AH1957" s="1">
        <v>3</v>
      </c>
      <c r="AI1957" s="1">
        <v>3</v>
      </c>
      <c r="AJ1957" s="1" t="s">
        <v>109</v>
      </c>
      <c r="AK1957" s="1" t="s">
        <v>109</v>
      </c>
      <c r="AL1957" s="1">
        <v>3</v>
      </c>
      <c r="AM1957" s="1" t="s">
        <v>109</v>
      </c>
      <c r="AN1957" s="1">
        <v>3</v>
      </c>
      <c r="AO1957" s="1" t="s">
        <v>109</v>
      </c>
      <c r="AP1957" s="1"/>
      <c r="AQ1957" s="1">
        <v>3</v>
      </c>
      <c r="AR1957" s="1"/>
      <c r="AS1957" s="1"/>
      <c r="AT1957" s="1">
        <v>0</v>
      </c>
      <c r="AU1957" s="1">
        <v>0</v>
      </c>
      <c r="AV1957" s="1">
        <v>0</v>
      </c>
      <c r="AW1957" s="1">
        <v>0</v>
      </c>
      <c r="AX1957" s="1">
        <v>0</v>
      </c>
      <c r="AY1957" s="1">
        <v>0</v>
      </c>
      <c r="AZ1957" s="1">
        <v>0</v>
      </c>
      <c r="BA1957" s="1">
        <v>0</v>
      </c>
      <c r="BB1957" s="1">
        <v>0</v>
      </c>
      <c r="BC1957" s="1">
        <v>0</v>
      </c>
      <c r="BD1957" s="1">
        <v>0</v>
      </c>
      <c r="BE1957" s="1">
        <v>0</v>
      </c>
      <c r="BF1957" s="1">
        <v>0</v>
      </c>
      <c r="BG1957" s="1">
        <v>0</v>
      </c>
      <c r="BH1957" s="1">
        <v>0</v>
      </c>
      <c r="BI1957" s="1">
        <v>0</v>
      </c>
      <c r="BJ1957" s="1">
        <v>0</v>
      </c>
      <c r="BK1957" s="1">
        <v>0</v>
      </c>
      <c r="BL1957" s="1">
        <v>0</v>
      </c>
      <c r="BM1957" s="1">
        <v>0</v>
      </c>
      <c r="BN1957" s="1">
        <v>0</v>
      </c>
      <c r="BO1957" s="1">
        <v>0</v>
      </c>
      <c r="BP1957" s="1">
        <v>0</v>
      </c>
      <c r="BQ1957" s="1">
        <v>0</v>
      </c>
      <c r="BR1957" s="1">
        <v>0</v>
      </c>
      <c r="BS1957" s="1" t="s">
        <v>109</v>
      </c>
      <c r="BT1957" s="1">
        <v>2031</v>
      </c>
      <c r="BU1957" s="1" t="s">
        <v>109</v>
      </c>
      <c r="BV1957" s="1"/>
      <c r="BW1957" s="1"/>
      <c r="BX1957" s="1"/>
      <c r="BY1957" s="1"/>
      <c r="BZ1957" s="1">
        <v>0</v>
      </c>
      <c r="CA1957" s="1">
        <v>3</v>
      </c>
      <c r="CB1957" s="1">
        <v>3</v>
      </c>
      <c r="CC1957" s="1">
        <v>3</v>
      </c>
      <c r="CD1957" s="1" t="s">
        <v>109</v>
      </c>
      <c r="CE1957" s="1" t="s">
        <v>109</v>
      </c>
      <c r="CF1957" s="1" t="s">
        <v>109</v>
      </c>
      <c r="CG1957" s="1" t="s">
        <v>109</v>
      </c>
      <c r="CH1957" s="1" t="s">
        <v>109</v>
      </c>
      <c r="CI1957" s="1" t="s">
        <v>109</v>
      </c>
      <c r="CJ1957" s="1">
        <v>3</v>
      </c>
      <c r="CK1957" s="1"/>
      <c r="CL1957" s="1">
        <v>0</v>
      </c>
      <c r="CM1957" s="1">
        <v>0</v>
      </c>
      <c r="CN1957" s="1">
        <v>0</v>
      </c>
    </row>
    <row r="1958" spans="1:92" ht="14.25" customHeight="1" x14ac:dyDescent="0.15">
      <c r="A1958" s="1" t="s">
        <v>14380</v>
      </c>
      <c r="B1958" s="1" t="s">
        <v>308</v>
      </c>
      <c r="C1958" s="1"/>
      <c r="D1958" s="1" t="s">
        <v>56</v>
      </c>
      <c r="E1958" s="1" t="s">
        <v>14381</v>
      </c>
      <c r="F1958" s="1" t="s">
        <v>98</v>
      </c>
      <c r="G1958" s="1" t="s">
        <v>160</v>
      </c>
      <c r="H1958" s="1">
        <v>0</v>
      </c>
      <c r="I1958" s="1" t="s">
        <v>915</v>
      </c>
      <c r="J1958" s="1" t="s">
        <v>7933</v>
      </c>
      <c r="K1958" s="1"/>
      <c r="L1958" s="1"/>
      <c r="M1958" s="1" t="s">
        <v>125</v>
      </c>
      <c r="N1958" s="1">
        <v>0</v>
      </c>
      <c r="O1958" s="1">
        <v>0</v>
      </c>
      <c r="P1958" s="1" t="s">
        <v>507</v>
      </c>
      <c r="Q1958" s="1" t="s">
        <v>167</v>
      </c>
      <c r="R1958" s="1" t="s">
        <v>14382</v>
      </c>
      <c r="S1958" s="1" t="s">
        <v>14383</v>
      </c>
      <c r="T1958" s="1" t="s">
        <v>14254</v>
      </c>
      <c r="U1958" s="1" t="s">
        <v>14384</v>
      </c>
      <c r="V1958" s="1">
        <v>1</v>
      </c>
      <c r="W1958" s="1">
        <v>1</v>
      </c>
      <c r="X1958" s="1">
        <v>0</v>
      </c>
      <c r="Y1958" s="1">
        <v>0</v>
      </c>
      <c r="Z1958" s="1">
        <v>1</v>
      </c>
      <c r="AA1958" s="1">
        <v>2</v>
      </c>
      <c r="AB1958" s="1">
        <v>2</v>
      </c>
      <c r="AC1958" s="1">
        <v>2</v>
      </c>
      <c r="AD1958" s="1" t="s">
        <v>109</v>
      </c>
      <c r="AE1958" s="1" t="s">
        <v>109</v>
      </c>
      <c r="AF1958" s="1" t="s">
        <v>109</v>
      </c>
      <c r="AG1958" s="1" t="s">
        <v>109</v>
      </c>
      <c r="AH1958" s="1" t="s">
        <v>109</v>
      </c>
      <c r="AI1958" s="1" t="s">
        <v>109</v>
      </c>
      <c r="AJ1958" s="1" t="s">
        <v>109</v>
      </c>
      <c r="AK1958" s="1" t="s">
        <v>109</v>
      </c>
      <c r="AL1958" s="1">
        <v>2</v>
      </c>
      <c r="AM1958" s="1" t="s">
        <v>109</v>
      </c>
      <c r="AN1958" s="1" t="s">
        <v>109</v>
      </c>
      <c r="AO1958" s="1" t="s">
        <v>109</v>
      </c>
      <c r="AP1958" s="1"/>
      <c r="AQ1958" s="1">
        <v>2</v>
      </c>
      <c r="AR1958" s="1"/>
      <c r="AS1958" s="1"/>
      <c r="AT1958" s="1">
        <v>0</v>
      </c>
      <c r="AU1958" s="1">
        <v>0</v>
      </c>
      <c r="AV1958" s="1">
        <v>0</v>
      </c>
      <c r="AW1958" s="1">
        <v>0</v>
      </c>
      <c r="AX1958" s="1">
        <v>0</v>
      </c>
      <c r="AY1958" s="1">
        <v>0</v>
      </c>
      <c r="AZ1958" s="1">
        <v>0</v>
      </c>
      <c r="BA1958" s="1">
        <v>0</v>
      </c>
      <c r="BB1958" s="1">
        <v>0</v>
      </c>
      <c r="BC1958" s="1">
        <v>0</v>
      </c>
      <c r="BD1958" s="1">
        <v>1</v>
      </c>
      <c r="BE1958" s="1">
        <v>0</v>
      </c>
      <c r="BF1958" s="1">
        <v>0</v>
      </c>
      <c r="BG1958" s="1">
        <v>0</v>
      </c>
      <c r="BH1958" s="1">
        <v>0</v>
      </c>
      <c r="BI1958" s="1">
        <v>0</v>
      </c>
      <c r="BJ1958" s="1">
        <v>0</v>
      </c>
      <c r="BK1958" s="1">
        <v>0</v>
      </c>
      <c r="BL1958" s="1">
        <v>0</v>
      </c>
      <c r="BM1958" s="1">
        <v>0</v>
      </c>
      <c r="BN1958" s="1">
        <v>0</v>
      </c>
      <c r="BO1958" s="1">
        <v>0</v>
      </c>
      <c r="BP1958" s="1">
        <v>0</v>
      </c>
      <c r="BQ1958" s="1">
        <v>0</v>
      </c>
      <c r="BR1958" s="1">
        <v>0</v>
      </c>
      <c r="BS1958" s="1" t="s">
        <v>109</v>
      </c>
      <c r="BT1958" s="1">
        <v>2032</v>
      </c>
      <c r="BU1958" s="1" t="s">
        <v>109</v>
      </c>
      <c r="BV1958" s="1"/>
      <c r="BW1958" s="1"/>
      <c r="BX1958" s="1"/>
      <c r="BY1958" s="1"/>
      <c r="BZ1958" s="1">
        <v>0</v>
      </c>
      <c r="CA1958" s="1" t="s">
        <v>109</v>
      </c>
      <c r="CB1958" s="1" t="s">
        <v>109</v>
      </c>
      <c r="CC1958" s="1">
        <v>2</v>
      </c>
      <c r="CD1958" s="1" t="s">
        <v>109</v>
      </c>
      <c r="CE1958" s="1">
        <v>2</v>
      </c>
      <c r="CF1958" s="1" t="s">
        <v>109</v>
      </c>
      <c r="CG1958" s="1" t="s">
        <v>109</v>
      </c>
      <c r="CH1958" s="1" t="s">
        <v>109</v>
      </c>
      <c r="CI1958" s="1" t="s">
        <v>109</v>
      </c>
      <c r="CJ1958" s="1" t="s">
        <v>109</v>
      </c>
      <c r="CK1958" s="1"/>
      <c r="CL1958" s="1">
        <v>0</v>
      </c>
      <c r="CM1958" s="1">
        <v>0</v>
      </c>
      <c r="CN1958" s="1">
        <v>0</v>
      </c>
    </row>
    <row r="1959" spans="1:92" ht="14.25" customHeight="1" x14ac:dyDescent="0.15">
      <c r="A1959" s="1" t="s">
        <v>14385</v>
      </c>
      <c r="B1959" s="1" t="s">
        <v>189</v>
      </c>
      <c r="C1959" s="1" t="s">
        <v>231</v>
      </c>
      <c r="D1959" s="1"/>
      <c r="E1959" s="1" t="s">
        <v>14386</v>
      </c>
      <c r="F1959" s="1" t="s">
        <v>98</v>
      </c>
      <c r="G1959" s="1" t="s">
        <v>160</v>
      </c>
      <c r="H1959" s="1">
        <v>0</v>
      </c>
      <c r="I1959" s="1" t="s">
        <v>142</v>
      </c>
      <c r="J1959" s="1"/>
      <c r="K1959" s="1"/>
      <c r="L1959" s="1" t="s">
        <v>14387</v>
      </c>
      <c r="M1959" s="1" t="s">
        <v>6144</v>
      </c>
      <c r="N1959" s="1">
        <v>1</v>
      </c>
      <c r="O1959" s="1">
        <v>0</v>
      </c>
      <c r="P1959" s="1" t="s">
        <v>14388</v>
      </c>
      <c r="Q1959" s="1" t="s">
        <v>167</v>
      </c>
      <c r="R1959" s="1" t="s">
        <v>14389</v>
      </c>
      <c r="S1959" s="1" t="s">
        <v>14390</v>
      </c>
      <c r="T1959" s="1" t="s">
        <v>14254</v>
      </c>
      <c r="U1959" s="1" t="s">
        <v>14391</v>
      </c>
      <c r="V1959" s="1">
        <v>1</v>
      </c>
      <c r="W1959" s="1">
        <v>1</v>
      </c>
      <c r="X1959" s="1">
        <v>0</v>
      </c>
      <c r="Y1959" s="1">
        <v>0</v>
      </c>
      <c r="Z1959" s="1">
        <v>1</v>
      </c>
      <c r="AA1959" s="1">
        <v>5</v>
      </c>
      <c r="AB1959" s="1">
        <v>5</v>
      </c>
      <c r="AC1959" s="1">
        <v>4</v>
      </c>
      <c r="AD1959" s="1" t="s">
        <v>109</v>
      </c>
      <c r="AE1959" s="1" t="s">
        <v>109</v>
      </c>
      <c r="AF1959" s="1" t="s">
        <v>109</v>
      </c>
      <c r="AG1959" s="1" t="s">
        <v>109</v>
      </c>
      <c r="AH1959" s="1" t="s">
        <v>109</v>
      </c>
      <c r="AI1959" s="1" t="s">
        <v>109</v>
      </c>
      <c r="AJ1959" s="1" t="s">
        <v>109</v>
      </c>
      <c r="AK1959" s="1" t="s">
        <v>109</v>
      </c>
      <c r="AL1959" s="1">
        <v>4</v>
      </c>
      <c r="AM1959" s="1" t="s">
        <v>109</v>
      </c>
      <c r="AN1959" s="1" t="s">
        <v>109</v>
      </c>
      <c r="AO1959" s="1" t="s">
        <v>109</v>
      </c>
      <c r="AP1959" s="1"/>
      <c r="AQ1959" s="1">
        <v>5</v>
      </c>
      <c r="AR1959" s="1"/>
      <c r="AS1959" s="1"/>
      <c r="AT1959" s="1">
        <v>0</v>
      </c>
      <c r="AU1959" s="1">
        <v>0</v>
      </c>
      <c r="AV1959" s="1">
        <v>0</v>
      </c>
      <c r="AW1959" s="1">
        <v>0</v>
      </c>
      <c r="AX1959" s="1">
        <v>0</v>
      </c>
      <c r="AY1959" s="1">
        <v>0</v>
      </c>
      <c r="AZ1959" s="1">
        <v>0</v>
      </c>
      <c r="BA1959" s="1">
        <v>0</v>
      </c>
      <c r="BB1959" s="1">
        <v>0</v>
      </c>
      <c r="BC1959" s="1">
        <v>0</v>
      </c>
      <c r="BD1959" s="1">
        <v>0</v>
      </c>
      <c r="BE1959" s="1">
        <v>0</v>
      </c>
      <c r="BF1959" s="1">
        <v>0</v>
      </c>
      <c r="BG1959" s="1">
        <v>0</v>
      </c>
      <c r="BH1959" s="1">
        <v>0</v>
      </c>
      <c r="BI1959" s="1">
        <v>0</v>
      </c>
      <c r="BJ1959" s="1">
        <v>0</v>
      </c>
      <c r="BK1959" s="1">
        <v>0</v>
      </c>
      <c r="BL1959" s="1">
        <v>0</v>
      </c>
      <c r="BM1959" s="1">
        <v>0</v>
      </c>
      <c r="BN1959" s="1">
        <v>0</v>
      </c>
      <c r="BO1959" s="1">
        <v>0</v>
      </c>
      <c r="BP1959" s="1">
        <v>0</v>
      </c>
      <c r="BQ1959" s="1">
        <v>0</v>
      </c>
      <c r="BR1959" s="1">
        <v>0</v>
      </c>
      <c r="BS1959" s="1" t="s">
        <v>109</v>
      </c>
      <c r="BT1959" s="1">
        <v>2033</v>
      </c>
      <c r="BU1959" s="1" t="s">
        <v>109</v>
      </c>
      <c r="BV1959" s="1"/>
      <c r="BW1959" s="1"/>
      <c r="BX1959" s="1"/>
      <c r="BY1959" s="1"/>
      <c r="BZ1959" s="1">
        <v>0</v>
      </c>
      <c r="CA1959" s="1" t="s">
        <v>109</v>
      </c>
      <c r="CB1959" s="1" t="s">
        <v>109</v>
      </c>
      <c r="CC1959" s="1" t="s">
        <v>109</v>
      </c>
      <c r="CD1959" s="1" t="s">
        <v>109</v>
      </c>
      <c r="CE1959" s="1" t="s">
        <v>109</v>
      </c>
      <c r="CF1959" s="1" t="s">
        <v>109</v>
      </c>
      <c r="CG1959" s="1" t="s">
        <v>109</v>
      </c>
      <c r="CH1959" s="1" t="s">
        <v>109</v>
      </c>
      <c r="CI1959" s="1" t="s">
        <v>109</v>
      </c>
      <c r="CJ1959" s="1" t="s">
        <v>109</v>
      </c>
      <c r="CK1959" s="1"/>
      <c r="CL1959" s="1">
        <v>0</v>
      </c>
      <c r="CM1959" s="1">
        <v>0</v>
      </c>
      <c r="CN1959" s="1">
        <v>0</v>
      </c>
    </row>
    <row r="1960" spans="1:92" ht="14.25" customHeight="1" x14ac:dyDescent="0.15">
      <c r="A1960" s="1" t="s">
        <v>14392</v>
      </c>
      <c r="B1960" s="1" t="s">
        <v>242</v>
      </c>
      <c r="C1960" s="1"/>
      <c r="D1960" s="1"/>
      <c r="E1960" s="1" t="s">
        <v>14393</v>
      </c>
      <c r="F1960" s="1" t="s">
        <v>98</v>
      </c>
      <c r="G1960" s="1" t="s">
        <v>141</v>
      </c>
      <c r="H1960" s="1">
        <v>0</v>
      </c>
      <c r="I1960" s="1" t="s">
        <v>122</v>
      </c>
      <c r="J1960" s="1"/>
      <c r="K1960" s="1"/>
      <c r="L1960" s="1" t="s">
        <v>1391</v>
      </c>
      <c r="M1960" s="1" t="s">
        <v>5727</v>
      </c>
      <c r="N1960" s="1">
        <v>0</v>
      </c>
      <c r="O1960" s="1">
        <v>0</v>
      </c>
      <c r="P1960" s="1" t="s">
        <v>301</v>
      </c>
      <c r="Q1960" s="1" t="s">
        <v>268</v>
      </c>
      <c r="R1960" s="1" t="s">
        <v>14394</v>
      </c>
      <c r="S1960" s="1" t="s">
        <v>14395</v>
      </c>
      <c r="T1960" s="1" t="s">
        <v>14254</v>
      </c>
      <c r="U1960" s="1" t="s">
        <v>14396</v>
      </c>
      <c r="V1960" s="1">
        <v>1</v>
      </c>
      <c r="W1960" s="1">
        <v>1</v>
      </c>
      <c r="X1960" s="1">
        <v>0</v>
      </c>
      <c r="Y1960" s="1">
        <v>0</v>
      </c>
      <c r="Z1960" s="1">
        <v>0</v>
      </c>
      <c r="AA1960" s="1">
        <v>5</v>
      </c>
      <c r="AB1960" s="1">
        <v>5</v>
      </c>
      <c r="AC1960" s="1">
        <v>5</v>
      </c>
      <c r="AD1960" s="1" t="s">
        <v>109</v>
      </c>
      <c r="AE1960" s="1" t="s">
        <v>109</v>
      </c>
      <c r="AF1960" s="1" t="s">
        <v>109</v>
      </c>
      <c r="AG1960" s="1" t="s">
        <v>109</v>
      </c>
      <c r="AH1960" s="1" t="s">
        <v>109</v>
      </c>
      <c r="AI1960" s="1" t="s">
        <v>109</v>
      </c>
      <c r="AJ1960" s="1">
        <v>5</v>
      </c>
      <c r="AK1960" s="1" t="s">
        <v>109</v>
      </c>
      <c r="AL1960" s="1">
        <v>5</v>
      </c>
      <c r="AM1960" s="1" t="s">
        <v>109</v>
      </c>
      <c r="AN1960" s="1" t="s">
        <v>109</v>
      </c>
      <c r="AO1960" s="1" t="s">
        <v>109</v>
      </c>
      <c r="AP1960" s="1"/>
      <c r="AQ1960" s="1">
        <v>5</v>
      </c>
      <c r="AR1960" s="1"/>
      <c r="AS1960" s="1"/>
      <c r="AT1960" s="1">
        <v>0</v>
      </c>
      <c r="AU1960" s="1">
        <v>0</v>
      </c>
      <c r="AV1960" s="1">
        <v>0</v>
      </c>
      <c r="AW1960" s="1">
        <v>0</v>
      </c>
      <c r="AX1960" s="1">
        <v>0</v>
      </c>
      <c r="AY1960" s="1">
        <v>0</v>
      </c>
      <c r="AZ1960" s="1">
        <v>0</v>
      </c>
      <c r="BA1960" s="1">
        <v>0</v>
      </c>
      <c r="BB1960" s="1">
        <v>0</v>
      </c>
      <c r="BC1960" s="1">
        <v>0</v>
      </c>
      <c r="BD1960" s="1">
        <v>0</v>
      </c>
      <c r="BE1960" s="1">
        <v>0</v>
      </c>
      <c r="BF1960" s="1">
        <v>0</v>
      </c>
      <c r="BG1960" s="1">
        <v>0</v>
      </c>
      <c r="BH1960" s="1">
        <v>0</v>
      </c>
      <c r="BI1960" s="1">
        <v>0</v>
      </c>
      <c r="BJ1960" s="1">
        <v>0</v>
      </c>
      <c r="BK1960" s="1">
        <v>0</v>
      </c>
      <c r="BL1960" s="1">
        <v>0</v>
      </c>
      <c r="BM1960" s="1">
        <v>0</v>
      </c>
      <c r="BN1960" s="1">
        <v>0</v>
      </c>
      <c r="BO1960" s="1">
        <v>0</v>
      </c>
      <c r="BP1960" s="1">
        <v>0</v>
      </c>
      <c r="BQ1960" s="1">
        <v>0</v>
      </c>
      <c r="BR1960" s="1">
        <v>0</v>
      </c>
      <c r="BS1960" s="1" t="s">
        <v>109</v>
      </c>
      <c r="BT1960" s="1">
        <v>2034</v>
      </c>
      <c r="BU1960" s="1" t="s">
        <v>109</v>
      </c>
      <c r="BV1960" s="1"/>
      <c r="BW1960" s="1"/>
      <c r="BX1960" s="1"/>
      <c r="BY1960" s="1"/>
      <c r="BZ1960" s="1">
        <v>0</v>
      </c>
      <c r="CA1960" s="1" t="s">
        <v>109</v>
      </c>
      <c r="CB1960" s="1" t="s">
        <v>109</v>
      </c>
      <c r="CC1960" s="1">
        <v>5</v>
      </c>
      <c r="CD1960" s="1" t="s">
        <v>109</v>
      </c>
      <c r="CE1960" s="1" t="s">
        <v>109</v>
      </c>
      <c r="CF1960" s="1" t="s">
        <v>109</v>
      </c>
      <c r="CG1960" s="1" t="s">
        <v>109</v>
      </c>
      <c r="CH1960" s="1" t="s">
        <v>109</v>
      </c>
      <c r="CI1960" s="1" t="s">
        <v>109</v>
      </c>
      <c r="CJ1960" s="1" t="s">
        <v>109</v>
      </c>
      <c r="CK1960" s="1"/>
      <c r="CL1960" s="1">
        <v>0</v>
      </c>
      <c r="CM1960" s="1">
        <v>0</v>
      </c>
      <c r="CN1960" s="1">
        <v>0</v>
      </c>
    </row>
    <row r="1961" spans="1:92" ht="14.25" customHeight="1" x14ac:dyDescent="0.15">
      <c r="A1961" s="1" t="s">
        <v>14397</v>
      </c>
      <c r="B1961" s="1" t="s">
        <v>95</v>
      </c>
      <c r="C1961" s="1" t="s">
        <v>96</v>
      </c>
      <c r="D1961" s="1"/>
      <c r="E1961" s="1" t="s">
        <v>14398</v>
      </c>
      <c r="F1961" s="1" t="s">
        <v>98</v>
      </c>
      <c r="G1961" s="1" t="s">
        <v>6563</v>
      </c>
      <c r="H1961" s="1">
        <v>0</v>
      </c>
      <c r="I1961" s="1" t="s">
        <v>122</v>
      </c>
      <c r="J1961" s="1" t="s">
        <v>14399</v>
      </c>
      <c r="K1961" s="1"/>
      <c r="L1961" s="1"/>
      <c r="M1961" s="1" t="s">
        <v>574</v>
      </c>
      <c r="N1961" s="1">
        <v>1</v>
      </c>
      <c r="O1961" s="1">
        <v>0</v>
      </c>
      <c r="P1961" s="1" t="s">
        <v>103</v>
      </c>
      <c r="Q1961" s="1" t="s">
        <v>104</v>
      </c>
      <c r="R1961" s="1" t="s">
        <v>14400</v>
      </c>
      <c r="S1961" s="1" t="s">
        <v>14401</v>
      </c>
      <c r="T1961" s="1" t="s">
        <v>14254</v>
      </c>
      <c r="U1961" s="1" t="s">
        <v>14402</v>
      </c>
      <c r="V1961" s="1">
        <v>1</v>
      </c>
      <c r="W1961" s="1">
        <v>1</v>
      </c>
      <c r="X1961" s="1">
        <v>1</v>
      </c>
      <c r="Y1961" s="1">
        <v>0</v>
      </c>
      <c r="Z1961" s="1">
        <v>0</v>
      </c>
      <c r="AA1961" s="1">
        <v>3</v>
      </c>
      <c r="AB1961" s="1">
        <v>3</v>
      </c>
      <c r="AC1961" s="1" t="s">
        <v>109</v>
      </c>
      <c r="AD1961" s="1" t="s">
        <v>109</v>
      </c>
      <c r="AE1961" s="1" t="s">
        <v>109</v>
      </c>
      <c r="AF1961" s="1" t="s">
        <v>109</v>
      </c>
      <c r="AG1961" s="1" t="s">
        <v>109</v>
      </c>
      <c r="AH1961" s="1" t="s">
        <v>109</v>
      </c>
      <c r="AI1961" s="1">
        <v>3</v>
      </c>
      <c r="AJ1961" s="1">
        <v>3</v>
      </c>
      <c r="AK1961" s="1" t="s">
        <v>109</v>
      </c>
      <c r="AL1961" s="1" t="s">
        <v>109</v>
      </c>
      <c r="AM1961" s="1" t="s">
        <v>109</v>
      </c>
      <c r="AN1961" s="1">
        <v>3</v>
      </c>
      <c r="AO1961" s="1" t="s">
        <v>109</v>
      </c>
      <c r="AP1961" s="1"/>
      <c r="AQ1961" s="1">
        <v>3</v>
      </c>
      <c r="AR1961" s="1"/>
      <c r="AS1961" s="1"/>
      <c r="AT1961" s="1">
        <v>0</v>
      </c>
      <c r="AU1961" s="1">
        <v>0</v>
      </c>
      <c r="AV1961" s="1">
        <v>0</v>
      </c>
      <c r="AW1961" s="1">
        <v>0</v>
      </c>
      <c r="AX1961" s="1">
        <v>0</v>
      </c>
      <c r="AY1961" s="1">
        <v>0</v>
      </c>
      <c r="AZ1961" s="1">
        <v>0</v>
      </c>
      <c r="BA1961" s="1">
        <v>0</v>
      </c>
      <c r="BB1961" s="1">
        <v>0</v>
      </c>
      <c r="BC1961" s="1">
        <v>0</v>
      </c>
      <c r="BD1961" s="1">
        <v>0</v>
      </c>
      <c r="BE1961" s="1">
        <v>0</v>
      </c>
      <c r="BF1961" s="1">
        <v>0</v>
      </c>
      <c r="BG1961" s="1">
        <v>0</v>
      </c>
      <c r="BH1961" s="1">
        <v>0</v>
      </c>
      <c r="BI1961" s="1">
        <v>0</v>
      </c>
      <c r="BJ1961" s="1">
        <v>0</v>
      </c>
      <c r="BK1961" s="1">
        <v>0</v>
      </c>
      <c r="BL1961" s="1">
        <v>0</v>
      </c>
      <c r="BM1961" s="1">
        <v>0</v>
      </c>
      <c r="BN1961" s="1">
        <v>0</v>
      </c>
      <c r="BO1961" s="1">
        <v>0</v>
      </c>
      <c r="BP1961" s="1">
        <v>0</v>
      </c>
      <c r="BQ1961" s="1">
        <v>0</v>
      </c>
      <c r="BR1961" s="1">
        <v>0</v>
      </c>
      <c r="BS1961" s="1" t="s">
        <v>109</v>
      </c>
      <c r="BT1961" s="1">
        <v>2035</v>
      </c>
      <c r="BU1961" s="1" t="s">
        <v>109</v>
      </c>
      <c r="BV1961" s="1"/>
      <c r="BW1961" s="1"/>
      <c r="BX1961" s="1"/>
      <c r="BY1961" s="1"/>
      <c r="BZ1961" s="1">
        <v>0</v>
      </c>
      <c r="CA1961" s="1" t="s">
        <v>109</v>
      </c>
      <c r="CB1961" s="1" t="s">
        <v>109</v>
      </c>
      <c r="CC1961" s="1" t="s">
        <v>109</v>
      </c>
      <c r="CD1961" s="1" t="s">
        <v>109</v>
      </c>
      <c r="CE1961" s="1" t="s">
        <v>109</v>
      </c>
      <c r="CF1961" s="1" t="s">
        <v>109</v>
      </c>
      <c r="CG1961" s="1" t="s">
        <v>109</v>
      </c>
      <c r="CH1961" s="1" t="s">
        <v>109</v>
      </c>
      <c r="CI1961" s="1" t="s">
        <v>109</v>
      </c>
      <c r="CJ1961" s="1" t="s">
        <v>109</v>
      </c>
      <c r="CK1961" s="1"/>
      <c r="CL1961" s="1">
        <v>0</v>
      </c>
      <c r="CM1961" s="1">
        <v>0</v>
      </c>
      <c r="CN1961" s="1">
        <v>0</v>
      </c>
    </row>
    <row r="1962" spans="1:92" ht="14.25" customHeight="1" x14ac:dyDescent="0.15">
      <c r="A1962" s="1" t="s">
        <v>14403</v>
      </c>
      <c r="B1962" s="1" t="s">
        <v>308</v>
      </c>
      <c r="C1962" s="1"/>
      <c r="D1962" s="1" t="s">
        <v>14404</v>
      </c>
      <c r="E1962" s="1" t="s">
        <v>14405</v>
      </c>
      <c r="F1962" s="1" t="s">
        <v>98</v>
      </c>
      <c r="G1962" s="1" t="s">
        <v>141</v>
      </c>
      <c r="H1962" s="1">
        <v>0</v>
      </c>
      <c r="I1962" s="1" t="s">
        <v>161</v>
      </c>
      <c r="J1962" s="1"/>
      <c r="K1962" s="1"/>
      <c r="L1962" s="1" t="s">
        <v>162</v>
      </c>
      <c r="M1962" s="1" t="s">
        <v>13502</v>
      </c>
      <c r="N1962" s="1">
        <v>0</v>
      </c>
      <c r="O1962" s="1">
        <v>0</v>
      </c>
      <c r="P1962" s="1" t="s">
        <v>8321</v>
      </c>
      <c r="Q1962" s="1" t="s">
        <v>268</v>
      </c>
      <c r="R1962" s="1" t="s">
        <v>14406</v>
      </c>
      <c r="S1962" s="1" t="s">
        <v>14407</v>
      </c>
      <c r="T1962" s="1" t="s">
        <v>14408</v>
      </c>
      <c r="U1962" s="1" t="s">
        <v>14409</v>
      </c>
      <c r="V1962" s="1">
        <v>1</v>
      </c>
      <c r="W1962" s="1">
        <v>1</v>
      </c>
      <c r="X1962" s="1">
        <v>0</v>
      </c>
      <c r="Y1962" s="1">
        <v>0</v>
      </c>
      <c r="Z1962" s="1">
        <v>0</v>
      </c>
      <c r="AA1962" s="1" t="s">
        <v>109</v>
      </c>
      <c r="AB1962" s="1" t="s">
        <v>109</v>
      </c>
      <c r="AC1962" s="1">
        <v>4</v>
      </c>
      <c r="AD1962" s="1" t="s">
        <v>109</v>
      </c>
      <c r="AE1962" s="1" t="s">
        <v>109</v>
      </c>
      <c r="AF1962" s="1" t="s">
        <v>109</v>
      </c>
      <c r="AG1962" s="1" t="s">
        <v>109</v>
      </c>
      <c r="AH1962" s="1" t="s">
        <v>109</v>
      </c>
      <c r="AI1962" s="1" t="s">
        <v>109</v>
      </c>
      <c r="AJ1962" s="1">
        <v>5</v>
      </c>
      <c r="AK1962" s="1" t="s">
        <v>109</v>
      </c>
      <c r="AL1962" s="1">
        <v>4</v>
      </c>
      <c r="AM1962" s="1" t="s">
        <v>109</v>
      </c>
      <c r="AN1962" s="1" t="s">
        <v>109</v>
      </c>
      <c r="AO1962" s="1" t="s">
        <v>109</v>
      </c>
      <c r="AP1962" s="1"/>
      <c r="AQ1962" s="1">
        <v>4</v>
      </c>
      <c r="AR1962" s="1"/>
      <c r="AS1962" s="1"/>
      <c r="AT1962" s="1">
        <v>0</v>
      </c>
      <c r="AU1962" s="1">
        <v>0</v>
      </c>
      <c r="AV1962" s="1">
        <v>0</v>
      </c>
      <c r="AW1962" s="1">
        <v>0</v>
      </c>
      <c r="AX1962" s="1">
        <v>1</v>
      </c>
      <c r="AY1962" s="1">
        <v>0</v>
      </c>
      <c r="AZ1962" s="1">
        <v>1</v>
      </c>
      <c r="BA1962" s="1">
        <v>0</v>
      </c>
      <c r="BB1962" s="1">
        <v>0</v>
      </c>
      <c r="BC1962" s="1">
        <v>0</v>
      </c>
      <c r="BD1962" s="1">
        <v>0</v>
      </c>
      <c r="BE1962" s="1">
        <v>0</v>
      </c>
      <c r="BF1962" s="1">
        <v>0</v>
      </c>
      <c r="BG1962" s="1">
        <v>0</v>
      </c>
      <c r="BH1962" s="1">
        <v>0</v>
      </c>
      <c r="BI1962" s="1">
        <v>0</v>
      </c>
      <c r="BJ1962" s="1">
        <v>0</v>
      </c>
      <c r="BK1962" s="1">
        <v>0</v>
      </c>
      <c r="BL1962" s="1">
        <v>0</v>
      </c>
      <c r="BM1962" s="1">
        <v>0</v>
      </c>
      <c r="BN1962" s="1">
        <v>0</v>
      </c>
      <c r="BO1962" s="1">
        <v>0</v>
      </c>
      <c r="BP1962" s="1">
        <v>0</v>
      </c>
      <c r="BQ1962" s="1">
        <v>0</v>
      </c>
      <c r="BR1962" s="1">
        <v>0</v>
      </c>
      <c r="BS1962" s="1" t="s">
        <v>109</v>
      </c>
      <c r="BT1962" s="1">
        <v>2036</v>
      </c>
      <c r="BU1962" s="1" t="s">
        <v>109</v>
      </c>
      <c r="BV1962" s="1"/>
      <c r="BW1962" s="1"/>
      <c r="BX1962" s="1"/>
      <c r="BY1962" s="1"/>
      <c r="BZ1962" s="1">
        <v>0</v>
      </c>
      <c r="CA1962" s="1" t="s">
        <v>109</v>
      </c>
      <c r="CB1962" s="1">
        <v>5</v>
      </c>
      <c r="CC1962" s="1" t="s">
        <v>109</v>
      </c>
      <c r="CD1962" s="1" t="s">
        <v>109</v>
      </c>
      <c r="CE1962" s="1" t="s">
        <v>109</v>
      </c>
      <c r="CF1962" s="1" t="s">
        <v>109</v>
      </c>
      <c r="CG1962" s="1" t="s">
        <v>109</v>
      </c>
      <c r="CH1962" s="1" t="s">
        <v>109</v>
      </c>
      <c r="CI1962" s="1" t="s">
        <v>109</v>
      </c>
      <c r="CJ1962" s="1" t="s">
        <v>109</v>
      </c>
      <c r="CK1962" s="1"/>
      <c r="CL1962" s="1">
        <v>0</v>
      </c>
      <c r="CM1962" s="1">
        <v>0</v>
      </c>
      <c r="CN1962" s="1">
        <v>0</v>
      </c>
    </row>
    <row r="1963" spans="1:92" ht="14.25" customHeight="1" x14ac:dyDescent="0.15">
      <c r="A1963" s="1" t="s">
        <v>14410</v>
      </c>
      <c r="B1963" s="1" t="s">
        <v>156</v>
      </c>
      <c r="C1963" s="1" t="s">
        <v>157</v>
      </c>
      <c r="D1963" s="1" t="s">
        <v>158</v>
      </c>
      <c r="E1963" s="1" t="s">
        <v>14411</v>
      </c>
      <c r="F1963" s="1" t="s">
        <v>98</v>
      </c>
      <c r="G1963" s="1" t="s">
        <v>14412</v>
      </c>
      <c r="H1963" s="1">
        <v>0</v>
      </c>
      <c r="I1963" s="1" t="s">
        <v>122</v>
      </c>
      <c r="J1963" s="1"/>
      <c r="K1963" s="1"/>
      <c r="L1963" s="1" t="s">
        <v>1391</v>
      </c>
      <c r="M1963" s="1" t="s">
        <v>125</v>
      </c>
      <c r="N1963" s="1">
        <v>0</v>
      </c>
      <c r="O1963" s="1">
        <v>0</v>
      </c>
      <c r="P1963" s="1" t="s">
        <v>301</v>
      </c>
      <c r="Q1963" s="1" t="s">
        <v>268</v>
      </c>
      <c r="R1963" s="1" t="s">
        <v>14413</v>
      </c>
      <c r="S1963" s="1" t="s">
        <v>14414</v>
      </c>
      <c r="T1963" s="1" t="s">
        <v>14415</v>
      </c>
      <c r="U1963" s="1" t="s">
        <v>14416</v>
      </c>
      <c r="V1963" s="1">
        <v>1</v>
      </c>
      <c r="W1963" s="1">
        <v>1</v>
      </c>
      <c r="X1963" s="1">
        <v>1</v>
      </c>
      <c r="Y1963" s="1">
        <v>0</v>
      </c>
      <c r="Z1963" s="1">
        <v>0</v>
      </c>
      <c r="AA1963" s="1">
        <v>3</v>
      </c>
      <c r="AB1963" s="1">
        <v>3</v>
      </c>
      <c r="AC1963" s="1" t="s">
        <v>109</v>
      </c>
      <c r="AD1963" s="1">
        <v>2</v>
      </c>
      <c r="AE1963" s="1" t="s">
        <v>109</v>
      </c>
      <c r="AF1963" s="1" t="s">
        <v>109</v>
      </c>
      <c r="AG1963" s="1" t="s">
        <v>109</v>
      </c>
      <c r="AH1963" s="1" t="s">
        <v>109</v>
      </c>
      <c r="AI1963" s="1" t="s">
        <v>109</v>
      </c>
      <c r="AJ1963" s="1">
        <v>2</v>
      </c>
      <c r="AK1963" s="1" t="s">
        <v>109</v>
      </c>
      <c r="AL1963" s="1" t="s">
        <v>109</v>
      </c>
      <c r="AM1963" s="1" t="s">
        <v>109</v>
      </c>
      <c r="AN1963" s="1" t="s">
        <v>109</v>
      </c>
      <c r="AO1963" s="1" t="s">
        <v>109</v>
      </c>
      <c r="AP1963" s="1"/>
      <c r="AQ1963" s="1">
        <v>3</v>
      </c>
      <c r="AR1963" s="1"/>
      <c r="AS1963" s="1"/>
      <c r="AT1963" s="1">
        <v>0</v>
      </c>
      <c r="AU1963" s="1">
        <v>0</v>
      </c>
      <c r="AV1963" s="1">
        <v>0</v>
      </c>
      <c r="AW1963" s="1">
        <v>0</v>
      </c>
      <c r="AX1963" s="1">
        <v>0</v>
      </c>
      <c r="AY1963" s="1">
        <v>0</v>
      </c>
      <c r="AZ1963" s="1">
        <v>0</v>
      </c>
      <c r="BA1963" s="1">
        <v>0</v>
      </c>
      <c r="BB1963" s="1">
        <v>0</v>
      </c>
      <c r="BC1963" s="1">
        <v>0</v>
      </c>
      <c r="BD1963" s="1">
        <v>0</v>
      </c>
      <c r="BE1963" s="1">
        <v>0</v>
      </c>
      <c r="BF1963" s="1">
        <v>0</v>
      </c>
      <c r="BG1963" s="1">
        <v>0</v>
      </c>
      <c r="BH1963" s="1">
        <v>0</v>
      </c>
      <c r="BI1963" s="1">
        <v>0</v>
      </c>
      <c r="BJ1963" s="1">
        <v>0</v>
      </c>
      <c r="BK1963" s="1">
        <v>0</v>
      </c>
      <c r="BL1963" s="1">
        <v>0</v>
      </c>
      <c r="BM1963" s="1">
        <v>1</v>
      </c>
      <c r="BN1963" s="1">
        <v>0</v>
      </c>
      <c r="BO1963" s="1">
        <v>0</v>
      </c>
      <c r="BP1963" s="1">
        <v>0</v>
      </c>
      <c r="BQ1963" s="1">
        <v>0</v>
      </c>
      <c r="BR1963" s="1">
        <v>0</v>
      </c>
      <c r="BS1963" s="1" t="s">
        <v>109</v>
      </c>
      <c r="BT1963" s="1">
        <v>2037</v>
      </c>
      <c r="BU1963" s="1" t="s">
        <v>109</v>
      </c>
      <c r="BV1963" s="1"/>
      <c r="BW1963" s="1"/>
      <c r="BX1963" s="1"/>
      <c r="BY1963" s="1"/>
      <c r="BZ1963" s="1">
        <v>0</v>
      </c>
      <c r="CA1963" s="1" t="s">
        <v>109</v>
      </c>
      <c r="CB1963" s="1">
        <v>2</v>
      </c>
      <c r="CC1963" s="1" t="s">
        <v>109</v>
      </c>
      <c r="CD1963" s="1" t="s">
        <v>109</v>
      </c>
      <c r="CE1963" s="1" t="s">
        <v>109</v>
      </c>
      <c r="CF1963" s="1" t="s">
        <v>109</v>
      </c>
      <c r="CG1963" s="1" t="s">
        <v>109</v>
      </c>
      <c r="CH1963" s="1" t="s">
        <v>109</v>
      </c>
      <c r="CI1963" s="1" t="s">
        <v>109</v>
      </c>
      <c r="CJ1963" s="1">
        <v>2</v>
      </c>
      <c r="CK1963" s="1"/>
      <c r="CL1963" s="1">
        <v>0</v>
      </c>
      <c r="CM1963" s="1">
        <v>0</v>
      </c>
      <c r="CN1963" s="1">
        <v>0</v>
      </c>
    </row>
    <row r="1964" spans="1:92" ht="14.25" customHeight="1" x14ac:dyDescent="0.15">
      <c r="A1964" s="1" t="s">
        <v>14417</v>
      </c>
      <c r="B1964" s="1" t="s">
        <v>189</v>
      </c>
      <c r="C1964" s="1"/>
      <c r="D1964" s="1"/>
      <c r="E1964" s="1" t="s">
        <v>14418</v>
      </c>
      <c r="F1964" s="1" t="s">
        <v>355</v>
      </c>
      <c r="G1964" s="1" t="s">
        <v>141</v>
      </c>
      <c r="H1964" s="1">
        <v>0</v>
      </c>
      <c r="I1964" s="1" t="s">
        <v>122</v>
      </c>
      <c r="J1964" s="1"/>
      <c r="K1964" s="1"/>
      <c r="L1964" s="1" t="s">
        <v>1391</v>
      </c>
      <c r="M1964" s="1" t="s">
        <v>125</v>
      </c>
      <c r="N1964" s="1">
        <v>0</v>
      </c>
      <c r="O1964" s="1">
        <v>0</v>
      </c>
      <c r="P1964" s="1" t="s">
        <v>267</v>
      </c>
      <c r="Q1964" s="1" t="s">
        <v>268</v>
      </c>
      <c r="R1964" s="1" t="s">
        <v>14419</v>
      </c>
      <c r="S1964" s="1" t="s">
        <v>14420</v>
      </c>
      <c r="T1964" s="1" t="s">
        <v>14415</v>
      </c>
      <c r="U1964" s="1" t="s">
        <v>14421</v>
      </c>
      <c r="V1964" s="1">
        <v>1</v>
      </c>
      <c r="W1964" s="1">
        <v>1</v>
      </c>
      <c r="X1964" s="1">
        <v>0</v>
      </c>
      <c r="Y1964" s="1">
        <v>0</v>
      </c>
      <c r="Z1964" s="1">
        <v>0</v>
      </c>
      <c r="AA1964" s="1">
        <v>3</v>
      </c>
      <c r="AB1964" s="1">
        <v>3</v>
      </c>
      <c r="AC1964" s="1" t="s">
        <v>109</v>
      </c>
      <c r="AD1964" s="1" t="s">
        <v>109</v>
      </c>
      <c r="AE1964" s="1">
        <v>1</v>
      </c>
      <c r="AF1964" s="1" t="s">
        <v>109</v>
      </c>
      <c r="AG1964" s="1" t="s">
        <v>109</v>
      </c>
      <c r="AH1964" s="1" t="s">
        <v>109</v>
      </c>
      <c r="AI1964" s="1" t="s">
        <v>109</v>
      </c>
      <c r="AJ1964" s="1">
        <v>3</v>
      </c>
      <c r="AK1964" s="1" t="s">
        <v>109</v>
      </c>
      <c r="AL1964" s="1" t="s">
        <v>109</v>
      </c>
      <c r="AM1964" s="1" t="s">
        <v>109</v>
      </c>
      <c r="AN1964" s="1">
        <v>2</v>
      </c>
      <c r="AO1964" s="1" t="s">
        <v>109</v>
      </c>
      <c r="AP1964" s="1"/>
      <c r="AQ1964" s="1">
        <v>3</v>
      </c>
      <c r="AR1964" s="1"/>
      <c r="AS1964" s="1"/>
      <c r="AT1964" s="1">
        <v>0</v>
      </c>
      <c r="AU1964" s="1">
        <v>0</v>
      </c>
      <c r="AV1964" s="1">
        <v>0</v>
      </c>
      <c r="AW1964" s="1">
        <v>0</v>
      </c>
      <c r="AX1964" s="1">
        <v>0</v>
      </c>
      <c r="AY1964" s="1">
        <v>0</v>
      </c>
      <c r="AZ1964" s="1">
        <v>0</v>
      </c>
      <c r="BA1964" s="1">
        <v>0</v>
      </c>
      <c r="BB1964" s="1">
        <v>0</v>
      </c>
      <c r="BC1964" s="1">
        <v>0</v>
      </c>
      <c r="BD1964" s="1">
        <v>0</v>
      </c>
      <c r="BE1964" s="1">
        <v>0</v>
      </c>
      <c r="BF1964" s="1">
        <v>0</v>
      </c>
      <c r="BG1964" s="1">
        <v>0</v>
      </c>
      <c r="BH1964" s="1">
        <v>0</v>
      </c>
      <c r="BI1964" s="1">
        <v>0</v>
      </c>
      <c r="BJ1964" s="1">
        <v>0</v>
      </c>
      <c r="BK1964" s="1">
        <v>0</v>
      </c>
      <c r="BL1964" s="1">
        <v>0</v>
      </c>
      <c r="BM1964" s="1">
        <v>0</v>
      </c>
      <c r="BN1964" s="1">
        <v>0</v>
      </c>
      <c r="BO1964" s="1">
        <v>0</v>
      </c>
      <c r="BP1964" s="1">
        <v>0</v>
      </c>
      <c r="BQ1964" s="1">
        <v>0</v>
      </c>
      <c r="BR1964" s="1">
        <v>0</v>
      </c>
      <c r="BS1964" s="1" t="s">
        <v>109</v>
      </c>
      <c r="BT1964" s="1">
        <v>2038</v>
      </c>
      <c r="BU1964" s="1" t="s">
        <v>109</v>
      </c>
      <c r="BV1964" s="1"/>
      <c r="BW1964" s="1"/>
      <c r="BX1964" s="1"/>
      <c r="BY1964" s="1"/>
      <c r="BZ1964" s="1">
        <v>0</v>
      </c>
      <c r="CA1964" s="1" t="s">
        <v>109</v>
      </c>
      <c r="CB1964" s="1">
        <v>3</v>
      </c>
      <c r="CC1964" s="1" t="s">
        <v>109</v>
      </c>
      <c r="CD1964" s="1" t="s">
        <v>109</v>
      </c>
      <c r="CE1964" s="1" t="s">
        <v>109</v>
      </c>
      <c r="CF1964" s="1" t="s">
        <v>109</v>
      </c>
      <c r="CG1964" s="1" t="s">
        <v>109</v>
      </c>
      <c r="CH1964" s="1" t="s">
        <v>109</v>
      </c>
      <c r="CI1964" s="1" t="s">
        <v>109</v>
      </c>
      <c r="CJ1964" s="1">
        <v>1</v>
      </c>
      <c r="CK1964" s="1"/>
      <c r="CL1964" s="1">
        <v>0</v>
      </c>
      <c r="CM1964" s="1">
        <v>0</v>
      </c>
      <c r="CN1964" s="1">
        <v>0</v>
      </c>
    </row>
    <row r="1965" spans="1:92" ht="14.25" customHeight="1" x14ac:dyDescent="0.15">
      <c r="A1965" s="1" t="s">
        <v>14422</v>
      </c>
      <c r="B1965" s="1" t="s">
        <v>584</v>
      </c>
      <c r="C1965" s="1"/>
      <c r="D1965" s="1" t="s">
        <v>69</v>
      </c>
      <c r="E1965" s="1" t="s">
        <v>14423</v>
      </c>
      <c r="F1965" s="1" t="s">
        <v>98</v>
      </c>
      <c r="G1965" s="1" t="s">
        <v>14424</v>
      </c>
      <c r="H1965" s="1">
        <v>0</v>
      </c>
      <c r="I1965" s="1" t="s">
        <v>142</v>
      </c>
      <c r="J1965" s="1"/>
      <c r="K1965" s="1"/>
      <c r="L1965" s="1" t="s">
        <v>1548</v>
      </c>
      <c r="M1965" s="1" t="s">
        <v>144</v>
      </c>
      <c r="N1965" s="1">
        <v>0</v>
      </c>
      <c r="O1965" s="1">
        <v>0</v>
      </c>
      <c r="P1965" s="1" t="s">
        <v>211</v>
      </c>
      <c r="Q1965" s="1" t="s">
        <v>211</v>
      </c>
      <c r="R1965" s="1" t="s">
        <v>14425</v>
      </c>
      <c r="S1965" s="1" t="s">
        <v>14426</v>
      </c>
      <c r="T1965" s="1" t="s">
        <v>14415</v>
      </c>
      <c r="U1965" s="1" t="s">
        <v>14427</v>
      </c>
      <c r="V1965" s="1">
        <v>1</v>
      </c>
      <c r="W1965" s="1">
        <v>1</v>
      </c>
      <c r="X1965" s="1">
        <v>1</v>
      </c>
      <c r="Y1965" s="1">
        <v>0</v>
      </c>
      <c r="Z1965" s="1">
        <v>0</v>
      </c>
      <c r="AA1965" s="1">
        <v>5</v>
      </c>
      <c r="AB1965" s="1">
        <v>5</v>
      </c>
      <c r="AC1965" s="1" t="s">
        <v>109</v>
      </c>
      <c r="AD1965" s="1" t="s">
        <v>109</v>
      </c>
      <c r="AE1965" s="1" t="s">
        <v>109</v>
      </c>
      <c r="AF1965" s="1" t="s">
        <v>109</v>
      </c>
      <c r="AG1965" s="1" t="s">
        <v>109</v>
      </c>
      <c r="AH1965" s="1" t="s">
        <v>109</v>
      </c>
      <c r="AI1965" s="1" t="s">
        <v>109</v>
      </c>
      <c r="AJ1965" s="1">
        <v>6</v>
      </c>
      <c r="AK1965" s="1" t="s">
        <v>109</v>
      </c>
      <c r="AL1965" s="1" t="s">
        <v>109</v>
      </c>
      <c r="AM1965" s="1" t="s">
        <v>109</v>
      </c>
      <c r="AN1965" s="1">
        <v>4</v>
      </c>
      <c r="AO1965" s="1" t="s">
        <v>109</v>
      </c>
      <c r="AP1965" s="1"/>
      <c r="AQ1965" s="1">
        <v>5</v>
      </c>
      <c r="AR1965" s="1"/>
      <c r="AS1965" s="1"/>
      <c r="AT1965" s="1">
        <v>0</v>
      </c>
      <c r="AU1965" s="1">
        <v>0</v>
      </c>
      <c r="AV1965" s="1">
        <v>0</v>
      </c>
      <c r="AW1965" s="1">
        <v>0</v>
      </c>
      <c r="AX1965" s="1">
        <v>0</v>
      </c>
      <c r="AY1965" s="1">
        <v>0</v>
      </c>
      <c r="AZ1965" s="1">
        <v>0</v>
      </c>
      <c r="BA1965" s="1">
        <v>0</v>
      </c>
      <c r="BB1965" s="1">
        <v>0</v>
      </c>
      <c r="BC1965" s="1">
        <v>0</v>
      </c>
      <c r="BD1965" s="1">
        <v>0</v>
      </c>
      <c r="BE1965" s="1">
        <v>0</v>
      </c>
      <c r="BF1965" s="1">
        <v>0</v>
      </c>
      <c r="BG1965" s="1">
        <v>0</v>
      </c>
      <c r="BH1965" s="1">
        <v>0</v>
      </c>
      <c r="BI1965" s="1">
        <v>0</v>
      </c>
      <c r="BJ1965" s="1">
        <v>0</v>
      </c>
      <c r="BK1965" s="1">
        <v>0</v>
      </c>
      <c r="BL1965" s="1">
        <v>0</v>
      </c>
      <c r="BM1965" s="1">
        <v>0</v>
      </c>
      <c r="BN1965" s="1">
        <v>0</v>
      </c>
      <c r="BO1965" s="1">
        <v>0</v>
      </c>
      <c r="BP1965" s="1">
        <v>0</v>
      </c>
      <c r="BQ1965" s="1">
        <v>1</v>
      </c>
      <c r="BR1965" s="1">
        <v>0</v>
      </c>
      <c r="BS1965" s="1" t="s">
        <v>109</v>
      </c>
      <c r="BT1965" s="1">
        <v>2039</v>
      </c>
      <c r="BU1965" s="1" t="s">
        <v>109</v>
      </c>
      <c r="BV1965" s="1"/>
      <c r="BW1965" s="1"/>
      <c r="BX1965" s="1"/>
      <c r="BY1965" s="1"/>
      <c r="BZ1965" s="1">
        <v>0</v>
      </c>
      <c r="CA1965" s="1">
        <v>3</v>
      </c>
      <c r="CB1965" s="1" t="s">
        <v>109</v>
      </c>
      <c r="CC1965" s="1" t="s">
        <v>109</v>
      </c>
      <c r="CD1965" s="1" t="s">
        <v>109</v>
      </c>
      <c r="CE1965" s="1" t="s">
        <v>109</v>
      </c>
      <c r="CF1965" s="1" t="s">
        <v>109</v>
      </c>
      <c r="CG1965" s="1" t="s">
        <v>109</v>
      </c>
      <c r="CH1965" s="1" t="s">
        <v>109</v>
      </c>
      <c r="CI1965" s="1" t="s">
        <v>109</v>
      </c>
      <c r="CJ1965" s="1" t="s">
        <v>109</v>
      </c>
      <c r="CK1965" s="1"/>
      <c r="CL1965" s="1">
        <v>0</v>
      </c>
      <c r="CM1965" s="1">
        <v>0</v>
      </c>
      <c r="CN1965" s="1">
        <v>0</v>
      </c>
    </row>
    <row r="1966" spans="1:92" ht="14.25" customHeight="1" x14ac:dyDescent="0.15">
      <c r="A1966" s="1" t="s">
        <v>14428</v>
      </c>
      <c r="B1966" s="1" t="s">
        <v>308</v>
      </c>
      <c r="C1966" s="1"/>
      <c r="D1966" s="1"/>
      <c r="E1966" s="1" t="s">
        <v>14429</v>
      </c>
      <c r="F1966" s="1" t="s">
        <v>355</v>
      </c>
      <c r="G1966" s="1" t="s">
        <v>141</v>
      </c>
      <c r="H1966" s="1">
        <v>0</v>
      </c>
      <c r="I1966" s="1" t="s">
        <v>142</v>
      </c>
      <c r="J1966" s="1"/>
      <c r="K1966" s="1"/>
      <c r="L1966" s="1" t="s">
        <v>1391</v>
      </c>
      <c r="M1966" s="1" t="s">
        <v>125</v>
      </c>
      <c r="N1966" s="1">
        <v>0</v>
      </c>
      <c r="O1966" s="1">
        <v>0</v>
      </c>
      <c r="P1966" s="1" t="s">
        <v>2672</v>
      </c>
      <c r="Q1966" s="1" t="s">
        <v>268</v>
      </c>
      <c r="R1966" s="1" t="s">
        <v>14430</v>
      </c>
      <c r="S1966" s="1" t="s">
        <v>14431</v>
      </c>
      <c r="T1966" s="1" t="s">
        <v>14415</v>
      </c>
      <c r="U1966" s="1" t="s">
        <v>14432</v>
      </c>
      <c r="V1966" s="1">
        <v>1</v>
      </c>
      <c r="W1966" s="1">
        <v>1</v>
      </c>
      <c r="X1966" s="1">
        <v>0</v>
      </c>
      <c r="Y1966" s="1">
        <v>0</v>
      </c>
      <c r="Z1966" s="1">
        <v>0</v>
      </c>
      <c r="AA1966" s="1">
        <v>3</v>
      </c>
      <c r="AB1966" s="1">
        <v>3</v>
      </c>
      <c r="AC1966" s="1" t="s">
        <v>109</v>
      </c>
      <c r="AD1966" s="1">
        <v>3</v>
      </c>
      <c r="AE1966" s="1" t="s">
        <v>109</v>
      </c>
      <c r="AF1966" s="1" t="s">
        <v>109</v>
      </c>
      <c r="AG1966" s="1" t="s">
        <v>109</v>
      </c>
      <c r="AH1966" s="1" t="s">
        <v>109</v>
      </c>
      <c r="AI1966" s="1">
        <v>3</v>
      </c>
      <c r="AJ1966" s="1">
        <v>3</v>
      </c>
      <c r="AK1966" s="1" t="s">
        <v>109</v>
      </c>
      <c r="AL1966" s="1" t="s">
        <v>109</v>
      </c>
      <c r="AM1966" s="1" t="s">
        <v>109</v>
      </c>
      <c r="AN1966" s="1">
        <v>3</v>
      </c>
      <c r="AO1966" s="1" t="s">
        <v>109</v>
      </c>
      <c r="AP1966" s="1"/>
      <c r="AQ1966" s="1">
        <v>3</v>
      </c>
      <c r="AR1966" s="1"/>
      <c r="AS1966" s="1"/>
      <c r="AT1966" s="1">
        <v>0</v>
      </c>
      <c r="AU1966" s="1">
        <v>0</v>
      </c>
      <c r="AV1966" s="1">
        <v>0</v>
      </c>
      <c r="AW1966" s="1">
        <v>0</v>
      </c>
      <c r="AX1966" s="1">
        <v>0</v>
      </c>
      <c r="AY1966" s="1">
        <v>0</v>
      </c>
      <c r="AZ1966" s="1">
        <v>0</v>
      </c>
      <c r="BA1966" s="1">
        <v>0</v>
      </c>
      <c r="BB1966" s="1">
        <v>0</v>
      </c>
      <c r="BC1966" s="1">
        <v>0</v>
      </c>
      <c r="BD1966" s="1">
        <v>0</v>
      </c>
      <c r="BE1966" s="1">
        <v>0</v>
      </c>
      <c r="BF1966" s="1">
        <v>0</v>
      </c>
      <c r="BG1966" s="1">
        <v>0</v>
      </c>
      <c r="BH1966" s="1">
        <v>0</v>
      </c>
      <c r="BI1966" s="1">
        <v>0</v>
      </c>
      <c r="BJ1966" s="1">
        <v>0</v>
      </c>
      <c r="BK1966" s="1">
        <v>0</v>
      </c>
      <c r="BL1966" s="1">
        <v>0</v>
      </c>
      <c r="BM1966" s="1">
        <v>0</v>
      </c>
      <c r="BN1966" s="1">
        <v>0</v>
      </c>
      <c r="BO1966" s="1">
        <v>0</v>
      </c>
      <c r="BP1966" s="1">
        <v>0</v>
      </c>
      <c r="BQ1966" s="1">
        <v>0</v>
      </c>
      <c r="BR1966" s="1">
        <v>0</v>
      </c>
      <c r="BS1966" s="1" t="s">
        <v>109</v>
      </c>
      <c r="BT1966" s="1">
        <v>2040</v>
      </c>
      <c r="BU1966" s="1" t="s">
        <v>109</v>
      </c>
      <c r="BV1966" s="1"/>
      <c r="BW1966" s="1"/>
      <c r="BX1966" s="1"/>
      <c r="BY1966" s="1"/>
      <c r="BZ1966" s="1">
        <v>0</v>
      </c>
      <c r="CA1966" s="1" t="s">
        <v>109</v>
      </c>
      <c r="CB1966" s="1" t="s">
        <v>109</v>
      </c>
      <c r="CC1966" s="1" t="s">
        <v>109</v>
      </c>
      <c r="CD1966" s="1" t="s">
        <v>109</v>
      </c>
      <c r="CE1966" s="1" t="s">
        <v>109</v>
      </c>
      <c r="CF1966" s="1" t="s">
        <v>109</v>
      </c>
      <c r="CG1966" s="1" t="s">
        <v>109</v>
      </c>
      <c r="CH1966" s="1" t="s">
        <v>109</v>
      </c>
      <c r="CI1966" s="1" t="s">
        <v>109</v>
      </c>
      <c r="CJ1966" s="1">
        <v>3</v>
      </c>
      <c r="CK1966" s="1"/>
      <c r="CL1966" s="1">
        <v>0</v>
      </c>
      <c r="CM1966" s="1">
        <v>0</v>
      </c>
      <c r="CN1966" s="1">
        <v>0</v>
      </c>
    </row>
    <row r="1967" spans="1:92" ht="14.25" customHeight="1" x14ac:dyDescent="0.15">
      <c r="A1967" s="1" t="s">
        <v>14433</v>
      </c>
      <c r="B1967" s="1" t="s">
        <v>189</v>
      </c>
      <c r="C1967" s="1"/>
      <c r="D1967" s="1"/>
      <c r="E1967" s="1" t="s">
        <v>14434</v>
      </c>
      <c r="F1967" s="1" t="s">
        <v>98</v>
      </c>
      <c r="G1967" s="1" t="s">
        <v>14435</v>
      </c>
      <c r="H1967" s="1">
        <v>0</v>
      </c>
      <c r="I1967" s="1"/>
      <c r="J1967" s="1"/>
      <c r="K1967" s="1"/>
      <c r="L1967" s="1" t="s">
        <v>506</v>
      </c>
      <c r="M1967" s="1" t="s">
        <v>3042</v>
      </c>
      <c r="N1967" s="1">
        <v>0</v>
      </c>
      <c r="O1967" s="1">
        <v>0</v>
      </c>
      <c r="P1967" s="1" t="s">
        <v>1382</v>
      </c>
      <c r="Q1967" s="1" t="s">
        <v>167</v>
      </c>
      <c r="R1967" s="1" t="s">
        <v>14436</v>
      </c>
      <c r="S1967" s="1" t="s">
        <v>14437</v>
      </c>
      <c r="T1967" s="1" t="s">
        <v>14415</v>
      </c>
      <c r="U1967" s="1" t="s">
        <v>14438</v>
      </c>
      <c r="V1967" s="1">
        <v>1</v>
      </c>
      <c r="W1967" s="1">
        <v>1</v>
      </c>
      <c r="X1967" s="1">
        <v>1</v>
      </c>
      <c r="Y1967" s="1">
        <v>0</v>
      </c>
      <c r="Z1967" s="1">
        <v>0</v>
      </c>
      <c r="AA1967" s="1">
        <v>2</v>
      </c>
      <c r="AB1967" s="1">
        <v>2</v>
      </c>
      <c r="AC1967" s="1">
        <v>2</v>
      </c>
      <c r="AD1967" s="1">
        <v>2</v>
      </c>
      <c r="AE1967" s="1">
        <v>1</v>
      </c>
      <c r="AF1967" s="1" t="s">
        <v>109</v>
      </c>
      <c r="AG1967" s="1" t="s">
        <v>109</v>
      </c>
      <c r="AH1967" s="1" t="s">
        <v>109</v>
      </c>
      <c r="AI1967" s="1" t="s">
        <v>109</v>
      </c>
      <c r="AJ1967" s="1" t="s">
        <v>109</v>
      </c>
      <c r="AK1967" s="1" t="s">
        <v>109</v>
      </c>
      <c r="AL1967" s="1">
        <v>2</v>
      </c>
      <c r="AM1967" s="1" t="s">
        <v>109</v>
      </c>
      <c r="AN1967" s="1">
        <v>2</v>
      </c>
      <c r="AO1967" s="1" t="s">
        <v>109</v>
      </c>
      <c r="AP1967" s="1"/>
      <c r="AQ1967" s="1">
        <v>2</v>
      </c>
      <c r="AR1967" s="1"/>
      <c r="AS1967" s="1"/>
      <c r="AT1967" s="1">
        <v>0</v>
      </c>
      <c r="AU1967" s="1">
        <v>0</v>
      </c>
      <c r="AV1967" s="1">
        <v>0</v>
      </c>
      <c r="AW1967" s="1">
        <v>0</v>
      </c>
      <c r="AX1967" s="1">
        <v>0</v>
      </c>
      <c r="AY1967" s="1">
        <v>0</v>
      </c>
      <c r="AZ1967" s="1">
        <v>0</v>
      </c>
      <c r="BA1967" s="1">
        <v>0</v>
      </c>
      <c r="BB1967" s="1">
        <v>0</v>
      </c>
      <c r="BC1967" s="1">
        <v>0</v>
      </c>
      <c r="BD1967" s="1">
        <v>0</v>
      </c>
      <c r="BE1967" s="1">
        <v>0</v>
      </c>
      <c r="BF1967" s="1">
        <v>0</v>
      </c>
      <c r="BG1967" s="1">
        <v>0</v>
      </c>
      <c r="BH1967" s="1">
        <v>0</v>
      </c>
      <c r="BI1967" s="1">
        <v>0</v>
      </c>
      <c r="BJ1967" s="1">
        <v>0</v>
      </c>
      <c r="BK1967" s="1">
        <v>0</v>
      </c>
      <c r="BL1967" s="1">
        <v>0</v>
      </c>
      <c r="BM1967" s="1">
        <v>0</v>
      </c>
      <c r="BN1967" s="1">
        <v>0</v>
      </c>
      <c r="BO1967" s="1">
        <v>0</v>
      </c>
      <c r="BP1967" s="1">
        <v>0</v>
      </c>
      <c r="BQ1967" s="1">
        <v>0</v>
      </c>
      <c r="BR1967" s="1">
        <v>0</v>
      </c>
      <c r="BS1967" s="1" t="s">
        <v>109</v>
      </c>
      <c r="BT1967" s="1">
        <v>2041</v>
      </c>
      <c r="BU1967" s="1" t="s">
        <v>109</v>
      </c>
      <c r="BV1967" s="1"/>
      <c r="BW1967" s="1"/>
      <c r="BX1967" s="1"/>
      <c r="BY1967" s="1"/>
      <c r="BZ1967" s="1">
        <v>0</v>
      </c>
      <c r="CA1967" s="1">
        <v>1</v>
      </c>
      <c r="CB1967" s="1" t="s">
        <v>109</v>
      </c>
      <c r="CC1967" s="1" t="s">
        <v>109</v>
      </c>
      <c r="CD1967" s="1" t="s">
        <v>109</v>
      </c>
      <c r="CE1967" s="1" t="s">
        <v>109</v>
      </c>
      <c r="CF1967" s="1" t="s">
        <v>109</v>
      </c>
      <c r="CG1967" s="1" t="s">
        <v>109</v>
      </c>
      <c r="CH1967" s="1" t="s">
        <v>109</v>
      </c>
      <c r="CI1967" s="1" t="s">
        <v>109</v>
      </c>
      <c r="CJ1967" s="1">
        <v>1</v>
      </c>
      <c r="CK1967" s="1"/>
      <c r="CL1967" s="1">
        <v>0</v>
      </c>
      <c r="CM1967" s="1">
        <v>0</v>
      </c>
      <c r="CN1967" s="1">
        <v>0</v>
      </c>
    </row>
    <row r="1968" spans="1:92" ht="14.25" customHeight="1" x14ac:dyDescent="0.15">
      <c r="A1968" s="1" t="s">
        <v>14439</v>
      </c>
      <c r="B1968" s="1" t="s">
        <v>189</v>
      </c>
      <c r="C1968" s="1"/>
      <c r="D1968" s="1"/>
      <c r="E1968" s="1" t="s">
        <v>14440</v>
      </c>
      <c r="F1968" s="1" t="s">
        <v>98</v>
      </c>
      <c r="G1968" s="1" t="s">
        <v>14441</v>
      </c>
      <c r="H1968" s="1">
        <v>0</v>
      </c>
      <c r="I1968" s="1" t="s">
        <v>142</v>
      </c>
      <c r="J1968" s="1"/>
      <c r="K1968" s="1"/>
      <c r="L1968" s="1" t="s">
        <v>14442</v>
      </c>
      <c r="M1968" s="1" t="s">
        <v>6144</v>
      </c>
      <c r="N1968" s="1">
        <v>1</v>
      </c>
      <c r="O1968" s="1">
        <v>0</v>
      </c>
      <c r="P1968" s="1" t="s">
        <v>267</v>
      </c>
      <c r="Q1968" s="1" t="s">
        <v>268</v>
      </c>
      <c r="R1968" s="1" t="s">
        <v>14443</v>
      </c>
      <c r="S1968" s="1" t="s">
        <v>14444</v>
      </c>
      <c r="T1968" s="1" t="s">
        <v>14415</v>
      </c>
      <c r="U1968" s="1" t="s">
        <v>14445</v>
      </c>
      <c r="V1968" s="1">
        <v>1</v>
      </c>
      <c r="W1968" s="1">
        <v>1</v>
      </c>
      <c r="X1968" s="1">
        <v>1</v>
      </c>
      <c r="Y1968" s="1">
        <v>0</v>
      </c>
      <c r="Z1968" s="1">
        <v>0</v>
      </c>
      <c r="AA1968" s="1">
        <v>2</v>
      </c>
      <c r="AB1968" s="1">
        <v>2</v>
      </c>
      <c r="AC1968" s="1" t="s">
        <v>109</v>
      </c>
      <c r="AD1968" s="1">
        <v>3</v>
      </c>
      <c r="AE1968" s="1" t="s">
        <v>109</v>
      </c>
      <c r="AF1968" s="1" t="s">
        <v>109</v>
      </c>
      <c r="AG1968" s="1" t="s">
        <v>109</v>
      </c>
      <c r="AH1968" s="1" t="s">
        <v>109</v>
      </c>
      <c r="AI1968" s="1" t="s">
        <v>109</v>
      </c>
      <c r="AJ1968" s="1">
        <v>2</v>
      </c>
      <c r="AK1968" s="1" t="s">
        <v>109</v>
      </c>
      <c r="AL1968" s="1" t="s">
        <v>109</v>
      </c>
      <c r="AM1968" s="1" t="s">
        <v>109</v>
      </c>
      <c r="AN1968" s="1">
        <v>3</v>
      </c>
      <c r="AO1968" s="1" t="s">
        <v>109</v>
      </c>
      <c r="AP1968" s="1"/>
      <c r="AQ1968" s="1">
        <v>2</v>
      </c>
      <c r="AR1968" s="1"/>
      <c r="AS1968" s="1"/>
      <c r="AT1968" s="1">
        <v>0</v>
      </c>
      <c r="AU1968" s="1">
        <v>0</v>
      </c>
      <c r="AV1968" s="1">
        <v>0</v>
      </c>
      <c r="AW1968" s="1">
        <v>0</v>
      </c>
      <c r="AX1968" s="1">
        <v>0</v>
      </c>
      <c r="AY1968" s="1">
        <v>0</v>
      </c>
      <c r="AZ1968" s="1">
        <v>0</v>
      </c>
      <c r="BA1968" s="1">
        <v>0</v>
      </c>
      <c r="BB1968" s="1">
        <v>0</v>
      </c>
      <c r="BC1968" s="1">
        <v>0</v>
      </c>
      <c r="BD1968" s="1">
        <v>0</v>
      </c>
      <c r="BE1968" s="1">
        <v>0</v>
      </c>
      <c r="BF1968" s="1">
        <v>0</v>
      </c>
      <c r="BG1968" s="1">
        <v>0</v>
      </c>
      <c r="BH1968" s="1">
        <v>0</v>
      </c>
      <c r="BI1968" s="1">
        <v>0</v>
      </c>
      <c r="BJ1968" s="1">
        <v>0</v>
      </c>
      <c r="BK1968" s="1">
        <v>0</v>
      </c>
      <c r="BL1968" s="1">
        <v>0</v>
      </c>
      <c r="BM1968" s="1">
        <v>0</v>
      </c>
      <c r="BN1968" s="1">
        <v>0</v>
      </c>
      <c r="BO1968" s="1">
        <v>0</v>
      </c>
      <c r="BP1968" s="1">
        <v>0</v>
      </c>
      <c r="BQ1968" s="1">
        <v>0</v>
      </c>
      <c r="BR1968" s="1">
        <v>0</v>
      </c>
      <c r="BS1968" s="1" t="s">
        <v>109</v>
      </c>
      <c r="BT1968" s="1">
        <v>2042</v>
      </c>
      <c r="BU1968" s="1" t="s">
        <v>109</v>
      </c>
      <c r="BV1968" s="1"/>
      <c r="BW1968" s="1"/>
      <c r="BX1968" s="1"/>
      <c r="BY1968" s="1"/>
      <c r="BZ1968" s="1">
        <v>0</v>
      </c>
      <c r="CA1968" s="1">
        <v>2</v>
      </c>
      <c r="CB1968" s="1" t="s">
        <v>109</v>
      </c>
      <c r="CC1968" s="1" t="s">
        <v>109</v>
      </c>
      <c r="CD1968" s="1" t="s">
        <v>109</v>
      </c>
      <c r="CE1968" s="1" t="s">
        <v>109</v>
      </c>
      <c r="CF1968" s="1" t="s">
        <v>109</v>
      </c>
      <c r="CG1968" s="1" t="s">
        <v>109</v>
      </c>
      <c r="CH1968" s="1" t="s">
        <v>109</v>
      </c>
      <c r="CI1968" s="1" t="s">
        <v>109</v>
      </c>
      <c r="CJ1968" s="1">
        <v>3</v>
      </c>
      <c r="CK1968" s="1"/>
      <c r="CL1968" s="1">
        <v>0</v>
      </c>
      <c r="CM1968" s="1">
        <v>0</v>
      </c>
      <c r="CN1968" s="1">
        <v>0</v>
      </c>
    </row>
    <row r="1969" spans="1:92" ht="14.25" customHeight="1" x14ac:dyDescent="0.15">
      <c r="A1969" s="1" t="s">
        <v>14446</v>
      </c>
      <c r="B1969" s="1" t="s">
        <v>254</v>
      </c>
      <c r="C1969" s="1"/>
      <c r="D1969" s="1"/>
      <c r="E1969" s="1" t="s">
        <v>14447</v>
      </c>
      <c r="F1969" s="1" t="s">
        <v>98</v>
      </c>
      <c r="G1969" s="1" t="s">
        <v>14448</v>
      </c>
      <c r="H1969" s="1">
        <v>0</v>
      </c>
      <c r="I1969" s="1" t="s">
        <v>9661</v>
      </c>
      <c r="J1969" s="1"/>
      <c r="K1969" s="1"/>
      <c r="L1969" s="1" t="s">
        <v>716</v>
      </c>
      <c r="M1969" s="1" t="s">
        <v>125</v>
      </c>
      <c r="N1969" s="1">
        <v>0</v>
      </c>
      <c r="O1969" s="1">
        <v>0</v>
      </c>
      <c r="P1969" s="1" t="s">
        <v>301</v>
      </c>
      <c r="Q1969" s="1" t="s">
        <v>268</v>
      </c>
      <c r="R1969" s="1" t="s">
        <v>14449</v>
      </c>
      <c r="S1969" s="1" t="s">
        <v>14450</v>
      </c>
      <c r="T1969" s="1" t="s">
        <v>14415</v>
      </c>
      <c r="U1969" s="1" t="s">
        <v>14451</v>
      </c>
      <c r="V1969" s="1">
        <v>1</v>
      </c>
      <c r="W1969" s="1">
        <v>1</v>
      </c>
      <c r="X1969" s="1">
        <v>1</v>
      </c>
      <c r="Y1969" s="1">
        <v>0</v>
      </c>
      <c r="Z1969" s="1">
        <v>0</v>
      </c>
      <c r="AA1969" s="1">
        <v>2</v>
      </c>
      <c r="AB1969" s="1">
        <v>2</v>
      </c>
      <c r="AC1969" s="1">
        <v>2</v>
      </c>
      <c r="AD1969" s="1">
        <v>1</v>
      </c>
      <c r="AE1969" s="1" t="s">
        <v>109</v>
      </c>
      <c r="AF1969" s="1">
        <v>1</v>
      </c>
      <c r="AG1969" s="1" t="s">
        <v>109</v>
      </c>
      <c r="AH1969" s="1" t="s">
        <v>109</v>
      </c>
      <c r="AI1969" s="1" t="s">
        <v>109</v>
      </c>
      <c r="AJ1969" s="1">
        <v>1</v>
      </c>
      <c r="AK1969" s="1" t="s">
        <v>109</v>
      </c>
      <c r="AL1969" s="1">
        <v>2</v>
      </c>
      <c r="AM1969" s="1" t="s">
        <v>109</v>
      </c>
      <c r="AN1969" s="1" t="s">
        <v>109</v>
      </c>
      <c r="AO1969" s="1" t="s">
        <v>109</v>
      </c>
      <c r="AP1969" s="1"/>
      <c r="AQ1969" s="1">
        <v>2</v>
      </c>
      <c r="AR1969" s="1"/>
      <c r="AS1969" s="1"/>
      <c r="AT1969" s="1">
        <v>0</v>
      </c>
      <c r="AU1969" s="1">
        <v>0</v>
      </c>
      <c r="AV1969" s="1">
        <v>0</v>
      </c>
      <c r="AW1969" s="1">
        <v>0</v>
      </c>
      <c r="AX1969" s="1">
        <v>0</v>
      </c>
      <c r="AY1969" s="1">
        <v>0</v>
      </c>
      <c r="AZ1969" s="1">
        <v>0</v>
      </c>
      <c r="BA1969" s="1">
        <v>0</v>
      </c>
      <c r="BB1969" s="1">
        <v>0</v>
      </c>
      <c r="BC1969" s="1">
        <v>0</v>
      </c>
      <c r="BD1969" s="1">
        <v>0</v>
      </c>
      <c r="BE1969" s="1">
        <v>0</v>
      </c>
      <c r="BF1969" s="1">
        <v>0</v>
      </c>
      <c r="BG1969" s="1">
        <v>0</v>
      </c>
      <c r="BH1969" s="1">
        <v>0</v>
      </c>
      <c r="BI1969" s="1">
        <v>0</v>
      </c>
      <c r="BJ1969" s="1">
        <v>0</v>
      </c>
      <c r="BK1969" s="1">
        <v>0</v>
      </c>
      <c r="BL1969" s="1">
        <v>0</v>
      </c>
      <c r="BM1969" s="1">
        <v>0</v>
      </c>
      <c r="BN1969" s="1">
        <v>0</v>
      </c>
      <c r="BO1969" s="1">
        <v>0</v>
      </c>
      <c r="BP1969" s="1">
        <v>0</v>
      </c>
      <c r="BQ1969" s="1">
        <v>0</v>
      </c>
      <c r="BR1969" s="1">
        <v>0</v>
      </c>
      <c r="BS1969" s="1" t="s">
        <v>109</v>
      </c>
      <c r="BT1969" s="1">
        <v>2043</v>
      </c>
      <c r="BU1969" s="1" t="s">
        <v>109</v>
      </c>
      <c r="BV1969" s="1"/>
      <c r="BW1969" s="1"/>
      <c r="BX1969" s="1"/>
      <c r="BY1969" s="1"/>
      <c r="BZ1969" s="1">
        <v>0</v>
      </c>
      <c r="CA1969" s="1" t="s">
        <v>109</v>
      </c>
      <c r="CB1969" s="1">
        <v>1</v>
      </c>
      <c r="CC1969" s="1" t="s">
        <v>109</v>
      </c>
      <c r="CD1969" s="1" t="s">
        <v>109</v>
      </c>
      <c r="CE1969" s="1" t="s">
        <v>109</v>
      </c>
      <c r="CF1969" s="1" t="s">
        <v>109</v>
      </c>
      <c r="CG1969" s="1" t="s">
        <v>109</v>
      </c>
      <c r="CH1969" s="1" t="s">
        <v>109</v>
      </c>
      <c r="CI1969" s="1" t="s">
        <v>109</v>
      </c>
      <c r="CJ1969" s="1">
        <v>1</v>
      </c>
      <c r="CK1969" s="1"/>
      <c r="CL1969" s="1">
        <v>0</v>
      </c>
      <c r="CM1969" s="1">
        <v>0</v>
      </c>
      <c r="CN1969" s="1">
        <v>0</v>
      </c>
    </row>
    <row r="1970" spans="1:92" ht="14.25" customHeight="1" x14ac:dyDescent="0.15">
      <c r="A1970" s="1" t="s">
        <v>14452</v>
      </c>
      <c r="B1970" s="1" t="s">
        <v>189</v>
      </c>
      <c r="C1970" s="1"/>
      <c r="D1970" s="1"/>
      <c r="E1970" s="1" t="s">
        <v>14453</v>
      </c>
      <c r="F1970" s="1" t="s">
        <v>98</v>
      </c>
      <c r="G1970" s="1" t="s">
        <v>141</v>
      </c>
      <c r="H1970" s="1">
        <v>0</v>
      </c>
      <c r="I1970" s="1" t="s">
        <v>235</v>
      </c>
      <c r="J1970" s="1"/>
      <c r="K1970" s="1"/>
      <c r="L1970" s="1" t="s">
        <v>236</v>
      </c>
      <c r="M1970" s="1" t="s">
        <v>5642</v>
      </c>
      <c r="N1970" s="1">
        <v>0</v>
      </c>
      <c r="O1970" s="1">
        <v>0</v>
      </c>
      <c r="P1970" s="1"/>
      <c r="Q1970" s="1"/>
      <c r="R1970" s="1" t="s">
        <v>14454</v>
      </c>
      <c r="S1970" s="1" t="s">
        <v>14455</v>
      </c>
      <c r="T1970" s="1" t="s">
        <v>14254</v>
      </c>
      <c r="U1970" s="1" t="s">
        <v>14456</v>
      </c>
      <c r="V1970" s="1">
        <v>1</v>
      </c>
      <c r="W1970" s="1">
        <v>1</v>
      </c>
      <c r="X1970" s="1">
        <v>0</v>
      </c>
      <c r="Y1970" s="1">
        <v>0</v>
      </c>
      <c r="Z1970" s="1">
        <v>0</v>
      </c>
      <c r="AA1970" s="1">
        <v>2</v>
      </c>
      <c r="AB1970" s="1">
        <v>2</v>
      </c>
      <c r="AC1970" s="1">
        <v>2</v>
      </c>
      <c r="AD1970" s="1">
        <v>2</v>
      </c>
      <c r="AE1970" s="1" t="s">
        <v>109</v>
      </c>
      <c r="AF1970" s="1" t="s">
        <v>109</v>
      </c>
      <c r="AG1970" s="1" t="s">
        <v>109</v>
      </c>
      <c r="AH1970" s="1" t="s">
        <v>109</v>
      </c>
      <c r="AI1970" s="1" t="s">
        <v>109</v>
      </c>
      <c r="AJ1970" s="1" t="s">
        <v>109</v>
      </c>
      <c r="AK1970" s="1" t="s">
        <v>109</v>
      </c>
      <c r="AL1970" s="1">
        <v>2</v>
      </c>
      <c r="AM1970" s="1" t="s">
        <v>109</v>
      </c>
      <c r="AN1970" s="1" t="s">
        <v>109</v>
      </c>
      <c r="AO1970" s="1" t="s">
        <v>109</v>
      </c>
      <c r="AP1970" s="1"/>
      <c r="AQ1970" s="1">
        <v>2</v>
      </c>
      <c r="AR1970" s="1"/>
      <c r="AS1970" s="1"/>
      <c r="AT1970" s="1">
        <v>0</v>
      </c>
      <c r="AU1970" s="1">
        <v>0</v>
      </c>
      <c r="AV1970" s="1">
        <v>0</v>
      </c>
      <c r="AW1970" s="1">
        <v>0</v>
      </c>
      <c r="AX1970" s="1">
        <v>0</v>
      </c>
      <c r="AY1970" s="1">
        <v>0</v>
      </c>
      <c r="AZ1970" s="1">
        <v>0</v>
      </c>
      <c r="BA1970" s="1">
        <v>0</v>
      </c>
      <c r="BB1970" s="1">
        <v>0</v>
      </c>
      <c r="BC1970" s="1">
        <v>0</v>
      </c>
      <c r="BD1970" s="1">
        <v>0</v>
      </c>
      <c r="BE1970" s="1">
        <v>0</v>
      </c>
      <c r="BF1970" s="1">
        <v>0</v>
      </c>
      <c r="BG1970" s="1">
        <v>0</v>
      </c>
      <c r="BH1970" s="1">
        <v>0</v>
      </c>
      <c r="BI1970" s="1">
        <v>0</v>
      </c>
      <c r="BJ1970" s="1">
        <v>0</v>
      </c>
      <c r="BK1970" s="1">
        <v>0</v>
      </c>
      <c r="BL1970" s="1">
        <v>0</v>
      </c>
      <c r="BM1970" s="1">
        <v>0</v>
      </c>
      <c r="BN1970" s="1">
        <v>0</v>
      </c>
      <c r="BO1970" s="1">
        <v>0</v>
      </c>
      <c r="BP1970" s="1">
        <v>0</v>
      </c>
      <c r="BQ1970" s="1">
        <v>0</v>
      </c>
      <c r="BR1970" s="1">
        <v>0</v>
      </c>
      <c r="BS1970" s="1" t="s">
        <v>109</v>
      </c>
      <c r="BT1970" s="1">
        <v>2044</v>
      </c>
      <c r="BU1970" s="1" t="s">
        <v>109</v>
      </c>
      <c r="BV1970" s="1"/>
      <c r="BW1970" s="1"/>
      <c r="BX1970" s="1"/>
      <c r="BY1970" s="1"/>
      <c r="BZ1970" s="1">
        <v>0</v>
      </c>
      <c r="CA1970" s="1" t="s">
        <v>109</v>
      </c>
      <c r="CB1970" s="1">
        <v>2</v>
      </c>
      <c r="CC1970" s="1">
        <v>2</v>
      </c>
      <c r="CD1970" s="1" t="s">
        <v>109</v>
      </c>
      <c r="CE1970" s="1" t="s">
        <v>109</v>
      </c>
      <c r="CF1970" s="1" t="s">
        <v>109</v>
      </c>
      <c r="CG1970" s="1" t="s">
        <v>109</v>
      </c>
      <c r="CH1970" s="1" t="s">
        <v>109</v>
      </c>
      <c r="CI1970" s="1" t="s">
        <v>109</v>
      </c>
      <c r="CJ1970" s="1">
        <v>2</v>
      </c>
      <c r="CK1970" s="1"/>
      <c r="CL1970" s="1">
        <v>0</v>
      </c>
      <c r="CM1970" s="1">
        <v>0</v>
      </c>
      <c r="CN1970" s="1">
        <v>0</v>
      </c>
    </row>
    <row r="1971" spans="1:92" ht="14.25" customHeight="1" x14ac:dyDescent="0.15">
      <c r="A1971" s="1" t="s">
        <v>14457</v>
      </c>
      <c r="B1971" s="1" t="s">
        <v>189</v>
      </c>
      <c r="C1971" s="1"/>
      <c r="D1971" s="1" t="s">
        <v>50</v>
      </c>
      <c r="E1971" s="1" t="s">
        <v>14458</v>
      </c>
      <c r="F1971" s="1" t="s">
        <v>98</v>
      </c>
      <c r="G1971" s="1" t="s">
        <v>160</v>
      </c>
      <c r="H1971" s="1">
        <v>0</v>
      </c>
      <c r="I1971" s="1" t="s">
        <v>142</v>
      </c>
      <c r="J1971" s="1"/>
      <c r="K1971" s="1"/>
      <c r="L1971" s="1" t="s">
        <v>1391</v>
      </c>
      <c r="M1971" s="1" t="s">
        <v>408</v>
      </c>
      <c r="N1971" s="1">
        <v>0</v>
      </c>
      <c r="O1971" s="1">
        <v>0</v>
      </c>
      <c r="P1971" s="1" t="s">
        <v>267</v>
      </c>
      <c r="Q1971" s="1" t="s">
        <v>268</v>
      </c>
      <c r="R1971" s="1" t="s">
        <v>14459</v>
      </c>
      <c r="S1971" s="1" t="s">
        <v>14460</v>
      </c>
      <c r="T1971" s="1" t="s">
        <v>14254</v>
      </c>
      <c r="U1971" s="1" t="s">
        <v>14461</v>
      </c>
      <c r="V1971" s="1">
        <v>1</v>
      </c>
      <c r="W1971" s="1">
        <v>1</v>
      </c>
      <c r="X1971" s="1">
        <v>0</v>
      </c>
      <c r="Y1971" s="1">
        <v>0</v>
      </c>
      <c r="Z1971" s="1">
        <v>1</v>
      </c>
      <c r="AA1971" s="1" t="s">
        <v>109</v>
      </c>
      <c r="AB1971" s="1" t="s">
        <v>109</v>
      </c>
      <c r="AC1971" s="1">
        <v>4</v>
      </c>
      <c r="AD1971" s="1" t="s">
        <v>109</v>
      </c>
      <c r="AE1971" s="1" t="s">
        <v>109</v>
      </c>
      <c r="AF1971" s="1" t="s">
        <v>109</v>
      </c>
      <c r="AG1971" s="1" t="s">
        <v>109</v>
      </c>
      <c r="AH1971" s="1" t="s">
        <v>109</v>
      </c>
      <c r="AI1971" s="1" t="s">
        <v>109</v>
      </c>
      <c r="AJ1971" s="1" t="s">
        <v>109</v>
      </c>
      <c r="AK1971" s="1">
        <v>4</v>
      </c>
      <c r="AL1971" s="1">
        <v>4</v>
      </c>
      <c r="AM1971" s="1">
        <v>4</v>
      </c>
      <c r="AN1971" s="1" t="s">
        <v>109</v>
      </c>
      <c r="AO1971" s="1" t="s">
        <v>109</v>
      </c>
      <c r="AP1971" s="1"/>
      <c r="AQ1971" s="1">
        <v>4</v>
      </c>
      <c r="AR1971" s="1"/>
      <c r="AS1971" s="1"/>
      <c r="AT1971" s="1">
        <v>0</v>
      </c>
      <c r="AU1971" s="1">
        <v>0</v>
      </c>
      <c r="AV1971" s="1">
        <v>0</v>
      </c>
      <c r="AW1971" s="1">
        <v>0</v>
      </c>
      <c r="AX1971" s="1">
        <v>1</v>
      </c>
      <c r="AY1971" s="1">
        <v>0</v>
      </c>
      <c r="AZ1971" s="1">
        <v>0</v>
      </c>
      <c r="BA1971" s="1">
        <v>0</v>
      </c>
      <c r="BB1971" s="1">
        <v>0</v>
      </c>
      <c r="BC1971" s="1">
        <v>0</v>
      </c>
      <c r="BD1971" s="1">
        <v>0</v>
      </c>
      <c r="BE1971" s="1">
        <v>0</v>
      </c>
      <c r="BF1971" s="1">
        <v>0</v>
      </c>
      <c r="BG1971" s="1">
        <v>0</v>
      </c>
      <c r="BH1971" s="1">
        <v>0</v>
      </c>
      <c r="BI1971" s="1">
        <v>0</v>
      </c>
      <c r="BJ1971" s="1">
        <v>0</v>
      </c>
      <c r="BK1971" s="1">
        <v>0</v>
      </c>
      <c r="BL1971" s="1">
        <v>0</v>
      </c>
      <c r="BM1971" s="1">
        <v>0</v>
      </c>
      <c r="BN1971" s="1">
        <v>0</v>
      </c>
      <c r="BO1971" s="1">
        <v>0</v>
      </c>
      <c r="BP1971" s="1">
        <v>0</v>
      </c>
      <c r="BQ1971" s="1">
        <v>0</v>
      </c>
      <c r="BR1971" s="1">
        <v>0</v>
      </c>
      <c r="BS1971" s="1" t="s">
        <v>109</v>
      </c>
      <c r="BT1971" s="1">
        <v>2045</v>
      </c>
      <c r="BU1971" s="1" t="s">
        <v>109</v>
      </c>
      <c r="BV1971" s="1"/>
      <c r="BW1971" s="1"/>
      <c r="BX1971" s="1"/>
      <c r="BY1971" s="1"/>
      <c r="BZ1971" s="1">
        <v>0</v>
      </c>
      <c r="CA1971" s="1" t="s">
        <v>109</v>
      </c>
      <c r="CB1971" s="1" t="s">
        <v>109</v>
      </c>
      <c r="CC1971" s="1" t="s">
        <v>109</v>
      </c>
      <c r="CD1971" s="1" t="s">
        <v>109</v>
      </c>
      <c r="CE1971" s="1" t="s">
        <v>109</v>
      </c>
      <c r="CF1971" s="1" t="s">
        <v>109</v>
      </c>
      <c r="CG1971" s="1" t="s">
        <v>109</v>
      </c>
      <c r="CH1971" s="1" t="s">
        <v>109</v>
      </c>
      <c r="CI1971" s="1" t="s">
        <v>109</v>
      </c>
      <c r="CJ1971" s="1" t="s">
        <v>109</v>
      </c>
      <c r="CK1971" s="1"/>
      <c r="CL1971" s="1">
        <v>0</v>
      </c>
      <c r="CM1971" s="1">
        <v>0</v>
      </c>
      <c r="CN1971" s="1">
        <v>0</v>
      </c>
    </row>
    <row r="1972" spans="1:92" ht="14.25" customHeight="1" x14ac:dyDescent="0.15">
      <c r="A1972" s="1" t="s">
        <v>14462</v>
      </c>
      <c r="B1972" s="1" t="s">
        <v>95</v>
      </c>
      <c r="C1972" s="1" t="s">
        <v>1179</v>
      </c>
      <c r="D1972" s="1"/>
      <c r="E1972" s="1" t="s">
        <v>14463</v>
      </c>
      <c r="F1972" s="1" t="s">
        <v>355</v>
      </c>
      <c r="G1972" s="1" t="s">
        <v>14464</v>
      </c>
      <c r="H1972" s="1">
        <v>0</v>
      </c>
      <c r="I1972" s="1" t="s">
        <v>142</v>
      </c>
      <c r="J1972" s="1"/>
      <c r="K1972" s="1" t="s">
        <v>14465</v>
      </c>
      <c r="L1972" s="1"/>
      <c r="M1972" s="1" t="s">
        <v>125</v>
      </c>
      <c r="N1972" s="1">
        <v>0</v>
      </c>
      <c r="O1972" s="1">
        <v>0</v>
      </c>
      <c r="P1972" s="1" t="s">
        <v>103</v>
      </c>
      <c r="Q1972" s="1" t="s">
        <v>104</v>
      </c>
      <c r="R1972" s="1" t="s">
        <v>14466</v>
      </c>
      <c r="S1972" s="1" t="s">
        <v>14467</v>
      </c>
      <c r="T1972" s="1" t="s">
        <v>14254</v>
      </c>
      <c r="U1972" s="1" t="s">
        <v>14468</v>
      </c>
      <c r="V1972" s="1">
        <v>1</v>
      </c>
      <c r="W1972" s="1">
        <v>1</v>
      </c>
      <c r="X1972" s="1">
        <v>1</v>
      </c>
      <c r="Y1972" s="1">
        <v>0</v>
      </c>
      <c r="Z1972" s="1">
        <v>0</v>
      </c>
      <c r="AA1972" s="1">
        <v>3</v>
      </c>
      <c r="AB1972" s="1">
        <v>3</v>
      </c>
      <c r="AC1972" s="1" t="s">
        <v>109</v>
      </c>
      <c r="AD1972" s="1">
        <v>3</v>
      </c>
      <c r="AE1972" s="1" t="s">
        <v>109</v>
      </c>
      <c r="AF1972" s="1" t="s">
        <v>109</v>
      </c>
      <c r="AG1972" s="1" t="s">
        <v>109</v>
      </c>
      <c r="AH1972" s="1" t="s">
        <v>109</v>
      </c>
      <c r="AI1972" s="1">
        <v>3</v>
      </c>
      <c r="AJ1972" s="1">
        <v>3</v>
      </c>
      <c r="AK1972" s="1" t="s">
        <v>109</v>
      </c>
      <c r="AL1972" s="1" t="s">
        <v>109</v>
      </c>
      <c r="AM1972" s="1" t="s">
        <v>109</v>
      </c>
      <c r="AN1972" s="1" t="s">
        <v>109</v>
      </c>
      <c r="AO1972" s="1" t="s">
        <v>109</v>
      </c>
      <c r="AP1972" s="1"/>
      <c r="AQ1972" s="1">
        <v>3</v>
      </c>
      <c r="AR1972" s="1"/>
      <c r="AS1972" s="1"/>
      <c r="AT1972" s="1">
        <v>0</v>
      </c>
      <c r="AU1972" s="1">
        <v>0</v>
      </c>
      <c r="AV1972" s="1">
        <v>0</v>
      </c>
      <c r="AW1972" s="1">
        <v>0</v>
      </c>
      <c r="AX1972" s="1">
        <v>0</v>
      </c>
      <c r="AY1972" s="1">
        <v>0</v>
      </c>
      <c r="AZ1972" s="1">
        <v>0</v>
      </c>
      <c r="BA1972" s="1">
        <v>0</v>
      </c>
      <c r="BB1972" s="1">
        <v>0</v>
      </c>
      <c r="BC1972" s="1">
        <v>0</v>
      </c>
      <c r="BD1972" s="1">
        <v>0</v>
      </c>
      <c r="BE1972" s="1">
        <v>0</v>
      </c>
      <c r="BF1972" s="1">
        <v>0</v>
      </c>
      <c r="BG1972" s="1">
        <v>0</v>
      </c>
      <c r="BH1972" s="1">
        <v>0</v>
      </c>
      <c r="BI1972" s="1">
        <v>0</v>
      </c>
      <c r="BJ1972" s="1">
        <v>0</v>
      </c>
      <c r="BK1972" s="1">
        <v>0</v>
      </c>
      <c r="BL1972" s="1">
        <v>0</v>
      </c>
      <c r="BM1972" s="1">
        <v>0</v>
      </c>
      <c r="BN1972" s="1">
        <v>0</v>
      </c>
      <c r="BO1972" s="1">
        <v>0</v>
      </c>
      <c r="BP1972" s="1">
        <v>0</v>
      </c>
      <c r="BQ1972" s="1">
        <v>0</v>
      </c>
      <c r="BR1972" s="1">
        <v>0</v>
      </c>
      <c r="BS1972" s="1" t="s">
        <v>109</v>
      </c>
      <c r="BT1972" s="1">
        <v>2046</v>
      </c>
      <c r="BU1972" s="1" t="s">
        <v>109</v>
      </c>
      <c r="BV1972" s="1"/>
      <c r="BW1972" s="1"/>
      <c r="BX1972" s="1"/>
      <c r="BY1972" s="1"/>
      <c r="BZ1972" s="1">
        <v>0</v>
      </c>
      <c r="CA1972" s="1" t="s">
        <v>109</v>
      </c>
      <c r="CB1972" s="1" t="s">
        <v>109</v>
      </c>
      <c r="CC1972" s="1">
        <v>3</v>
      </c>
      <c r="CD1972" s="1" t="s">
        <v>109</v>
      </c>
      <c r="CE1972" s="1" t="s">
        <v>109</v>
      </c>
      <c r="CF1972" s="1" t="s">
        <v>109</v>
      </c>
      <c r="CG1972" s="1" t="s">
        <v>109</v>
      </c>
      <c r="CH1972" s="1" t="s">
        <v>109</v>
      </c>
      <c r="CI1972" s="1" t="s">
        <v>109</v>
      </c>
      <c r="CJ1972" s="1">
        <v>3</v>
      </c>
      <c r="CK1972" s="1"/>
      <c r="CL1972" s="1">
        <v>0</v>
      </c>
      <c r="CM1972" s="1">
        <v>0</v>
      </c>
      <c r="CN1972" s="1">
        <v>0</v>
      </c>
    </row>
    <row r="1973" spans="1:92" ht="14.25" customHeight="1" x14ac:dyDescent="0.15">
      <c r="A1973" s="1" t="s">
        <v>14469</v>
      </c>
      <c r="B1973" s="1" t="s">
        <v>189</v>
      </c>
      <c r="C1973" s="1"/>
      <c r="D1973" s="1"/>
      <c r="E1973" s="1" t="s">
        <v>14470</v>
      </c>
      <c r="F1973" s="1" t="s">
        <v>98</v>
      </c>
      <c r="G1973" s="1" t="s">
        <v>141</v>
      </c>
      <c r="H1973" s="1">
        <v>0</v>
      </c>
      <c r="I1973" s="1" t="s">
        <v>142</v>
      </c>
      <c r="J1973" s="1"/>
      <c r="K1973" s="1"/>
      <c r="L1973" s="1" t="s">
        <v>14471</v>
      </c>
      <c r="M1973" s="1" t="s">
        <v>277</v>
      </c>
      <c r="N1973" s="1">
        <v>0</v>
      </c>
      <c r="O1973" s="1">
        <v>0</v>
      </c>
      <c r="P1973" s="1" t="s">
        <v>103</v>
      </c>
      <c r="Q1973" s="1" t="s">
        <v>104</v>
      </c>
      <c r="R1973" s="1" t="s">
        <v>14472</v>
      </c>
      <c r="S1973" s="1" t="s">
        <v>14473</v>
      </c>
      <c r="T1973" s="1" t="s">
        <v>14254</v>
      </c>
      <c r="U1973" s="1" t="s">
        <v>14474</v>
      </c>
      <c r="V1973" s="1">
        <v>1</v>
      </c>
      <c r="W1973" s="1">
        <v>1</v>
      </c>
      <c r="X1973" s="1">
        <v>0</v>
      </c>
      <c r="Y1973" s="1">
        <v>0</v>
      </c>
      <c r="Z1973" s="1">
        <v>0</v>
      </c>
      <c r="AA1973" s="1" t="s">
        <v>109</v>
      </c>
      <c r="AB1973" s="1" t="s">
        <v>109</v>
      </c>
      <c r="AC1973" s="1">
        <v>3</v>
      </c>
      <c r="AD1973" s="1">
        <v>3</v>
      </c>
      <c r="AE1973" s="1" t="s">
        <v>109</v>
      </c>
      <c r="AF1973" s="1" t="s">
        <v>109</v>
      </c>
      <c r="AG1973" s="1" t="s">
        <v>109</v>
      </c>
      <c r="AH1973" s="1" t="s">
        <v>109</v>
      </c>
      <c r="AI1973" s="1" t="s">
        <v>109</v>
      </c>
      <c r="AJ1973" s="1">
        <v>3</v>
      </c>
      <c r="AK1973" s="1" t="s">
        <v>109</v>
      </c>
      <c r="AL1973" s="1">
        <v>3</v>
      </c>
      <c r="AM1973" s="1" t="s">
        <v>109</v>
      </c>
      <c r="AN1973" s="1" t="s">
        <v>109</v>
      </c>
      <c r="AO1973" s="1" t="s">
        <v>109</v>
      </c>
      <c r="AP1973" s="1"/>
      <c r="AQ1973" s="1">
        <v>3</v>
      </c>
      <c r="AR1973" s="1"/>
      <c r="AS1973" s="1"/>
      <c r="AT1973" s="1">
        <v>0</v>
      </c>
      <c r="AU1973" s="1">
        <v>0</v>
      </c>
      <c r="AV1973" s="1">
        <v>0</v>
      </c>
      <c r="AW1973" s="1">
        <v>0</v>
      </c>
      <c r="AX1973" s="1">
        <v>0</v>
      </c>
      <c r="AY1973" s="1">
        <v>0</v>
      </c>
      <c r="AZ1973" s="1">
        <v>0</v>
      </c>
      <c r="BA1973" s="1">
        <v>0</v>
      </c>
      <c r="BB1973" s="1">
        <v>0</v>
      </c>
      <c r="BC1973" s="1">
        <v>0</v>
      </c>
      <c r="BD1973" s="1">
        <v>0</v>
      </c>
      <c r="BE1973" s="1">
        <v>0</v>
      </c>
      <c r="BF1973" s="1">
        <v>0</v>
      </c>
      <c r="BG1973" s="1">
        <v>0</v>
      </c>
      <c r="BH1973" s="1">
        <v>0</v>
      </c>
      <c r="BI1973" s="1">
        <v>0</v>
      </c>
      <c r="BJ1973" s="1">
        <v>0</v>
      </c>
      <c r="BK1973" s="1">
        <v>0</v>
      </c>
      <c r="BL1973" s="1">
        <v>0</v>
      </c>
      <c r="BM1973" s="1">
        <v>0</v>
      </c>
      <c r="BN1973" s="1">
        <v>0</v>
      </c>
      <c r="BO1973" s="1">
        <v>0</v>
      </c>
      <c r="BP1973" s="1">
        <v>0</v>
      </c>
      <c r="BQ1973" s="1">
        <v>0</v>
      </c>
      <c r="BR1973" s="1">
        <v>0</v>
      </c>
      <c r="BS1973" s="1" t="s">
        <v>109</v>
      </c>
      <c r="BT1973" s="1">
        <v>2047</v>
      </c>
      <c r="BU1973" s="1" t="s">
        <v>109</v>
      </c>
      <c r="BV1973" s="1"/>
      <c r="BW1973" s="1"/>
      <c r="BX1973" s="1"/>
      <c r="BY1973" s="1"/>
      <c r="BZ1973" s="1">
        <v>0</v>
      </c>
      <c r="CA1973" s="1" t="s">
        <v>109</v>
      </c>
      <c r="CB1973" s="1">
        <v>3</v>
      </c>
      <c r="CC1973" s="1">
        <v>3</v>
      </c>
      <c r="CD1973" s="1" t="s">
        <v>109</v>
      </c>
      <c r="CE1973" s="1" t="s">
        <v>109</v>
      </c>
      <c r="CF1973" s="1" t="s">
        <v>109</v>
      </c>
      <c r="CG1973" s="1" t="s">
        <v>109</v>
      </c>
      <c r="CH1973" s="1" t="s">
        <v>109</v>
      </c>
      <c r="CI1973" s="1" t="s">
        <v>109</v>
      </c>
      <c r="CJ1973" s="1">
        <v>3</v>
      </c>
      <c r="CK1973" s="1"/>
      <c r="CL1973" s="1">
        <v>0</v>
      </c>
      <c r="CM1973" s="1">
        <v>0</v>
      </c>
      <c r="CN1973" s="1">
        <v>0</v>
      </c>
    </row>
    <row r="1974" spans="1:92" ht="14.25" customHeight="1" x14ac:dyDescent="0.15">
      <c r="A1974" s="1" t="s">
        <v>14475</v>
      </c>
      <c r="B1974" s="1" t="s">
        <v>584</v>
      </c>
      <c r="C1974" s="1"/>
      <c r="D1974" s="1" t="s">
        <v>14476</v>
      </c>
      <c r="E1974" s="1" t="s">
        <v>14477</v>
      </c>
      <c r="F1974" s="1" t="s">
        <v>98</v>
      </c>
      <c r="G1974" s="1" t="s">
        <v>141</v>
      </c>
      <c r="H1974" s="1">
        <v>0</v>
      </c>
      <c r="I1974" s="1" t="s">
        <v>161</v>
      </c>
      <c r="J1974" s="1"/>
      <c r="K1974" s="1"/>
      <c r="L1974" s="1" t="s">
        <v>506</v>
      </c>
      <c r="M1974" s="1" t="s">
        <v>125</v>
      </c>
      <c r="N1974" s="1">
        <v>0</v>
      </c>
      <c r="O1974" s="1">
        <v>0</v>
      </c>
      <c r="P1974" s="1" t="s">
        <v>9752</v>
      </c>
      <c r="Q1974" s="1" t="s">
        <v>104</v>
      </c>
      <c r="R1974" s="1" t="s">
        <v>14478</v>
      </c>
      <c r="S1974" s="1" t="s">
        <v>14479</v>
      </c>
      <c r="T1974" s="1" t="s">
        <v>14254</v>
      </c>
      <c r="U1974" s="1" t="s">
        <v>14480</v>
      </c>
      <c r="V1974" s="1">
        <v>1</v>
      </c>
      <c r="W1974" s="1">
        <v>1</v>
      </c>
      <c r="X1974" s="1">
        <v>0</v>
      </c>
      <c r="Y1974" s="1">
        <v>0</v>
      </c>
      <c r="Z1974" s="1">
        <v>0</v>
      </c>
      <c r="AA1974" s="1">
        <v>3</v>
      </c>
      <c r="AB1974" s="1">
        <v>3</v>
      </c>
      <c r="AC1974" s="1">
        <v>3</v>
      </c>
      <c r="AD1974" s="1" t="s">
        <v>109</v>
      </c>
      <c r="AE1974" s="1" t="s">
        <v>109</v>
      </c>
      <c r="AF1974" s="1" t="s">
        <v>109</v>
      </c>
      <c r="AG1974" s="1" t="s">
        <v>109</v>
      </c>
      <c r="AH1974" s="1" t="s">
        <v>109</v>
      </c>
      <c r="AI1974" s="1" t="s">
        <v>109</v>
      </c>
      <c r="AJ1974" s="1">
        <v>3</v>
      </c>
      <c r="AK1974" s="1" t="s">
        <v>109</v>
      </c>
      <c r="AL1974" s="1">
        <v>3</v>
      </c>
      <c r="AM1974" s="1" t="s">
        <v>109</v>
      </c>
      <c r="AN1974" s="1">
        <v>3</v>
      </c>
      <c r="AO1974" s="1" t="s">
        <v>109</v>
      </c>
      <c r="AP1974" s="1"/>
      <c r="AQ1974" s="1">
        <v>3</v>
      </c>
      <c r="AR1974" s="1"/>
      <c r="AS1974" s="1"/>
      <c r="AT1974" s="1">
        <v>1</v>
      </c>
      <c r="AU1974" s="1">
        <v>0</v>
      </c>
      <c r="AV1974" s="1">
        <v>0</v>
      </c>
      <c r="AW1974" s="1">
        <v>0</v>
      </c>
      <c r="AX1974" s="1">
        <v>0</v>
      </c>
      <c r="AY1974" s="1">
        <v>0</v>
      </c>
      <c r="AZ1974" s="1">
        <v>0</v>
      </c>
      <c r="BA1974" s="1">
        <v>0</v>
      </c>
      <c r="BB1974" s="1">
        <v>0</v>
      </c>
      <c r="BC1974" s="1">
        <v>0</v>
      </c>
      <c r="BD1974" s="1">
        <v>0</v>
      </c>
      <c r="BE1974" s="1">
        <v>0</v>
      </c>
      <c r="BF1974" s="1">
        <v>0</v>
      </c>
      <c r="BG1974" s="1">
        <v>1</v>
      </c>
      <c r="BH1974" s="1">
        <v>0</v>
      </c>
      <c r="BI1974" s="1">
        <v>0</v>
      </c>
      <c r="BJ1974" s="1">
        <v>0</v>
      </c>
      <c r="BK1974" s="1">
        <v>0</v>
      </c>
      <c r="BL1974" s="1">
        <v>0</v>
      </c>
      <c r="BM1974" s="1">
        <v>0</v>
      </c>
      <c r="BN1974" s="1">
        <v>0</v>
      </c>
      <c r="BO1974" s="1">
        <v>0</v>
      </c>
      <c r="BP1974" s="1">
        <v>0</v>
      </c>
      <c r="BQ1974" s="1">
        <v>0</v>
      </c>
      <c r="BR1974" s="1">
        <v>0</v>
      </c>
      <c r="BS1974" s="1" t="s">
        <v>109</v>
      </c>
      <c r="BT1974" s="1">
        <v>2048</v>
      </c>
      <c r="BU1974" s="1" t="s">
        <v>109</v>
      </c>
      <c r="BV1974" s="1"/>
      <c r="BW1974" s="1"/>
      <c r="BX1974" s="1"/>
      <c r="BY1974" s="1"/>
      <c r="BZ1974" s="1">
        <v>0</v>
      </c>
      <c r="CA1974" s="1">
        <v>3</v>
      </c>
      <c r="CB1974" s="1">
        <v>3</v>
      </c>
      <c r="CC1974" s="1" t="s">
        <v>109</v>
      </c>
      <c r="CD1974" s="1" t="s">
        <v>109</v>
      </c>
      <c r="CE1974" s="1" t="s">
        <v>109</v>
      </c>
      <c r="CF1974" s="1" t="s">
        <v>109</v>
      </c>
      <c r="CG1974" s="1" t="s">
        <v>109</v>
      </c>
      <c r="CH1974" s="1" t="s">
        <v>109</v>
      </c>
      <c r="CI1974" s="1" t="s">
        <v>109</v>
      </c>
      <c r="CJ1974" s="1" t="s">
        <v>109</v>
      </c>
      <c r="CK1974" s="1"/>
      <c r="CL1974" s="1">
        <v>0</v>
      </c>
      <c r="CM1974" s="1">
        <v>0</v>
      </c>
      <c r="CN1974" s="1">
        <v>0</v>
      </c>
    </row>
    <row r="1975" spans="1:92" ht="14.25" customHeight="1" x14ac:dyDescent="0.15">
      <c r="A1975" s="1" t="s">
        <v>14481</v>
      </c>
      <c r="B1975" s="1" t="s">
        <v>95</v>
      </c>
      <c r="C1975" s="1" t="s">
        <v>1522</v>
      </c>
      <c r="D1975" s="1"/>
      <c r="E1975" s="1" t="s">
        <v>14482</v>
      </c>
      <c r="F1975" s="1" t="s">
        <v>98</v>
      </c>
      <c r="G1975" s="1" t="s">
        <v>14483</v>
      </c>
      <c r="H1975" s="1">
        <v>0</v>
      </c>
      <c r="I1975" s="1" t="s">
        <v>100</v>
      </c>
      <c r="J1975" s="1"/>
      <c r="K1975" s="1"/>
      <c r="L1975" s="1" t="s">
        <v>7245</v>
      </c>
      <c r="M1975" s="1" t="s">
        <v>14484</v>
      </c>
      <c r="N1975" s="1">
        <v>0</v>
      </c>
      <c r="O1975" s="1">
        <v>0</v>
      </c>
      <c r="P1975" s="1" t="s">
        <v>1382</v>
      </c>
      <c r="Q1975" s="1" t="s">
        <v>167</v>
      </c>
      <c r="R1975" s="1" t="s">
        <v>14485</v>
      </c>
      <c r="S1975" s="1" t="s">
        <v>14486</v>
      </c>
      <c r="T1975" s="1" t="s">
        <v>14487</v>
      </c>
      <c r="U1975" s="1" t="s">
        <v>14488</v>
      </c>
      <c r="V1975" s="1">
        <v>1</v>
      </c>
      <c r="W1975" s="1">
        <v>1</v>
      </c>
      <c r="X1975" s="1">
        <v>1</v>
      </c>
      <c r="Y1975" s="1">
        <v>0</v>
      </c>
      <c r="Z1975" s="1">
        <v>0</v>
      </c>
      <c r="AA1975" s="1">
        <v>2</v>
      </c>
      <c r="AB1975" s="1">
        <v>2</v>
      </c>
      <c r="AC1975" s="1" t="s">
        <v>109</v>
      </c>
      <c r="AD1975" s="1">
        <v>2</v>
      </c>
      <c r="AE1975" s="1" t="s">
        <v>109</v>
      </c>
      <c r="AF1975" s="1">
        <v>2</v>
      </c>
      <c r="AG1975" s="1" t="s">
        <v>109</v>
      </c>
      <c r="AH1975" s="1" t="s">
        <v>109</v>
      </c>
      <c r="AI1975" s="1" t="s">
        <v>109</v>
      </c>
      <c r="AJ1975" s="1">
        <v>2</v>
      </c>
      <c r="AK1975" s="1" t="s">
        <v>109</v>
      </c>
      <c r="AL1975" s="1" t="s">
        <v>109</v>
      </c>
      <c r="AM1975" s="1" t="s">
        <v>109</v>
      </c>
      <c r="AN1975" s="1" t="s">
        <v>109</v>
      </c>
      <c r="AO1975" s="1" t="s">
        <v>109</v>
      </c>
      <c r="AP1975" s="1"/>
      <c r="AQ1975" s="1">
        <v>2</v>
      </c>
      <c r="AR1975" s="1"/>
      <c r="AS1975" s="1"/>
      <c r="AT1975" s="1">
        <v>0</v>
      </c>
      <c r="AU1975" s="1">
        <v>0</v>
      </c>
      <c r="AV1975" s="1">
        <v>0</v>
      </c>
      <c r="AW1975" s="1">
        <v>0</v>
      </c>
      <c r="AX1975" s="1">
        <v>0</v>
      </c>
      <c r="AY1975" s="1">
        <v>0</v>
      </c>
      <c r="AZ1975" s="1">
        <v>0</v>
      </c>
      <c r="BA1975" s="1">
        <v>0</v>
      </c>
      <c r="BB1975" s="1">
        <v>0</v>
      </c>
      <c r="BC1975" s="1">
        <v>0</v>
      </c>
      <c r="BD1975" s="1">
        <v>0</v>
      </c>
      <c r="BE1975" s="1">
        <v>0</v>
      </c>
      <c r="BF1975" s="1">
        <v>0</v>
      </c>
      <c r="BG1975" s="1">
        <v>0</v>
      </c>
      <c r="BH1975" s="1">
        <v>0</v>
      </c>
      <c r="BI1975" s="1">
        <v>0</v>
      </c>
      <c r="BJ1975" s="1">
        <v>0</v>
      </c>
      <c r="BK1975" s="1">
        <v>0</v>
      </c>
      <c r="BL1975" s="1">
        <v>0</v>
      </c>
      <c r="BM1975" s="1">
        <v>0</v>
      </c>
      <c r="BN1975" s="1">
        <v>0</v>
      </c>
      <c r="BO1975" s="1">
        <v>0</v>
      </c>
      <c r="BP1975" s="1">
        <v>0</v>
      </c>
      <c r="BQ1975" s="1">
        <v>0</v>
      </c>
      <c r="BR1975" s="1">
        <v>0</v>
      </c>
      <c r="BS1975" s="1" t="s">
        <v>109</v>
      </c>
      <c r="BT1975" s="1">
        <v>2049</v>
      </c>
      <c r="BU1975" s="1" t="s">
        <v>109</v>
      </c>
      <c r="BV1975" s="1"/>
      <c r="BW1975" s="1"/>
      <c r="BX1975" s="1"/>
      <c r="BY1975" s="1"/>
      <c r="BZ1975" s="1">
        <v>0</v>
      </c>
      <c r="CA1975" s="1" t="s">
        <v>109</v>
      </c>
      <c r="CB1975" s="1" t="s">
        <v>109</v>
      </c>
      <c r="CC1975" s="1" t="s">
        <v>109</v>
      </c>
      <c r="CD1975" s="1" t="s">
        <v>109</v>
      </c>
      <c r="CE1975" s="1" t="s">
        <v>109</v>
      </c>
      <c r="CF1975" s="1" t="s">
        <v>109</v>
      </c>
      <c r="CG1975" s="1" t="s">
        <v>109</v>
      </c>
      <c r="CH1975" s="1" t="s">
        <v>109</v>
      </c>
      <c r="CI1975" s="1" t="s">
        <v>109</v>
      </c>
      <c r="CJ1975" s="1">
        <v>2</v>
      </c>
      <c r="CK1975" s="1"/>
      <c r="CL1975" s="1">
        <v>0</v>
      </c>
      <c r="CM1975" s="1">
        <v>0</v>
      </c>
      <c r="CN1975" s="1">
        <v>0</v>
      </c>
    </row>
    <row r="1976" spans="1:92" ht="14.25" customHeight="1" x14ac:dyDescent="0.15">
      <c r="A1976" s="1" t="s">
        <v>14489</v>
      </c>
      <c r="B1976" s="1" t="s">
        <v>95</v>
      </c>
      <c r="C1976" s="1" t="s">
        <v>1522</v>
      </c>
      <c r="D1976" s="1"/>
      <c r="E1976" s="1" t="s">
        <v>14490</v>
      </c>
      <c r="F1976" s="1" t="s">
        <v>98</v>
      </c>
      <c r="G1976" s="1" t="s">
        <v>14483</v>
      </c>
      <c r="H1976" s="1">
        <v>0</v>
      </c>
      <c r="I1976" s="1" t="s">
        <v>5410</v>
      </c>
      <c r="J1976" s="1"/>
      <c r="K1976" s="1"/>
      <c r="L1976" s="1" t="s">
        <v>7245</v>
      </c>
      <c r="M1976" s="1" t="s">
        <v>14491</v>
      </c>
      <c r="N1976" s="1">
        <v>0</v>
      </c>
      <c r="O1976" s="1">
        <v>0</v>
      </c>
      <c r="P1976" s="1" t="s">
        <v>1382</v>
      </c>
      <c r="Q1976" s="1" t="s">
        <v>167</v>
      </c>
      <c r="R1976" s="1" t="s">
        <v>14492</v>
      </c>
      <c r="S1976" s="1" t="s">
        <v>14493</v>
      </c>
      <c r="T1976" s="1" t="s">
        <v>14487</v>
      </c>
      <c r="U1976" s="1" t="s">
        <v>14494</v>
      </c>
      <c r="V1976" s="1">
        <v>1</v>
      </c>
      <c r="W1976" s="1">
        <v>1</v>
      </c>
      <c r="X1976" s="1">
        <v>1</v>
      </c>
      <c r="Y1976" s="1">
        <v>0</v>
      </c>
      <c r="Z1976" s="1">
        <v>0</v>
      </c>
      <c r="AA1976" s="1">
        <v>5</v>
      </c>
      <c r="AB1976" s="1">
        <v>5</v>
      </c>
      <c r="AC1976" s="1" t="s">
        <v>109</v>
      </c>
      <c r="AD1976" s="1">
        <v>5</v>
      </c>
      <c r="AE1976" s="1" t="s">
        <v>109</v>
      </c>
      <c r="AF1976" s="1">
        <v>5</v>
      </c>
      <c r="AG1976" s="1" t="s">
        <v>109</v>
      </c>
      <c r="AH1976" s="1" t="s">
        <v>109</v>
      </c>
      <c r="AI1976" s="1" t="s">
        <v>109</v>
      </c>
      <c r="AJ1976" s="1">
        <v>5</v>
      </c>
      <c r="AK1976" s="1" t="s">
        <v>109</v>
      </c>
      <c r="AL1976" s="1" t="s">
        <v>109</v>
      </c>
      <c r="AM1976" s="1" t="s">
        <v>109</v>
      </c>
      <c r="AN1976" s="1" t="s">
        <v>109</v>
      </c>
      <c r="AO1976" s="1" t="s">
        <v>109</v>
      </c>
      <c r="AP1976" s="1"/>
      <c r="AQ1976" s="1">
        <v>5</v>
      </c>
      <c r="AR1976" s="1"/>
      <c r="AS1976" s="1"/>
      <c r="AT1976" s="1">
        <v>0</v>
      </c>
      <c r="AU1976" s="1">
        <v>0</v>
      </c>
      <c r="AV1976" s="1">
        <v>0</v>
      </c>
      <c r="AW1976" s="1">
        <v>0</v>
      </c>
      <c r="AX1976" s="1">
        <v>0</v>
      </c>
      <c r="AY1976" s="1">
        <v>0</v>
      </c>
      <c r="AZ1976" s="1">
        <v>0</v>
      </c>
      <c r="BA1976" s="1">
        <v>0</v>
      </c>
      <c r="BB1976" s="1">
        <v>0</v>
      </c>
      <c r="BC1976" s="1">
        <v>0</v>
      </c>
      <c r="BD1976" s="1">
        <v>0</v>
      </c>
      <c r="BE1976" s="1">
        <v>0</v>
      </c>
      <c r="BF1976" s="1">
        <v>0</v>
      </c>
      <c r="BG1976" s="1">
        <v>0</v>
      </c>
      <c r="BH1976" s="1">
        <v>0</v>
      </c>
      <c r="BI1976" s="1">
        <v>0</v>
      </c>
      <c r="BJ1976" s="1">
        <v>0</v>
      </c>
      <c r="BK1976" s="1">
        <v>0</v>
      </c>
      <c r="BL1976" s="1">
        <v>0</v>
      </c>
      <c r="BM1976" s="1">
        <v>0</v>
      </c>
      <c r="BN1976" s="1">
        <v>0</v>
      </c>
      <c r="BO1976" s="1">
        <v>0</v>
      </c>
      <c r="BP1976" s="1">
        <v>0</v>
      </c>
      <c r="BQ1976" s="1">
        <v>0</v>
      </c>
      <c r="BR1976" s="1">
        <v>0</v>
      </c>
      <c r="BS1976" s="1" t="s">
        <v>109</v>
      </c>
      <c r="BT1976" s="1">
        <v>2050</v>
      </c>
      <c r="BU1976" s="1" t="s">
        <v>109</v>
      </c>
      <c r="BV1976" s="1"/>
      <c r="BW1976" s="1"/>
      <c r="BX1976" s="1"/>
      <c r="BY1976" s="1"/>
      <c r="BZ1976" s="1">
        <v>0</v>
      </c>
      <c r="CA1976" s="1" t="s">
        <v>109</v>
      </c>
      <c r="CB1976" s="1" t="s">
        <v>109</v>
      </c>
      <c r="CC1976" s="1" t="s">
        <v>109</v>
      </c>
      <c r="CD1976" s="1" t="s">
        <v>109</v>
      </c>
      <c r="CE1976" s="1" t="s">
        <v>109</v>
      </c>
      <c r="CF1976" s="1" t="s">
        <v>109</v>
      </c>
      <c r="CG1976" s="1" t="s">
        <v>109</v>
      </c>
      <c r="CH1976" s="1" t="s">
        <v>109</v>
      </c>
      <c r="CI1976" s="1" t="s">
        <v>109</v>
      </c>
      <c r="CJ1976" s="1">
        <v>5</v>
      </c>
      <c r="CK1976" s="1"/>
      <c r="CL1976" s="1">
        <v>0</v>
      </c>
      <c r="CM1976" s="1">
        <v>0</v>
      </c>
      <c r="CN1976" s="1">
        <v>0</v>
      </c>
    </row>
    <row r="1977" spans="1:92" ht="14.25" customHeight="1" x14ac:dyDescent="0.15">
      <c r="A1977" s="1" t="s">
        <v>14495</v>
      </c>
      <c r="B1977" s="1" t="s">
        <v>242</v>
      </c>
      <c r="C1977" s="1"/>
      <c r="D1977" s="1"/>
      <c r="E1977" s="1" t="s">
        <v>14496</v>
      </c>
      <c r="F1977" s="1" t="s">
        <v>98</v>
      </c>
      <c r="G1977" s="1" t="s">
        <v>141</v>
      </c>
      <c r="H1977" s="1">
        <v>0</v>
      </c>
      <c r="I1977" s="1" t="s">
        <v>122</v>
      </c>
      <c r="J1977" s="1"/>
      <c r="K1977" s="1"/>
      <c r="L1977" s="1" t="s">
        <v>14497</v>
      </c>
      <c r="M1977" s="1" t="s">
        <v>125</v>
      </c>
      <c r="N1977" s="1">
        <v>0</v>
      </c>
      <c r="O1977" s="1">
        <v>0</v>
      </c>
      <c r="P1977" s="1" t="s">
        <v>301</v>
      </c>
      <c r="Q1977" s="1" t="s">
        <v>268</v>
      </c>
      <c r="R1977" s="1" t="s">
        <v>14498</v>
      </c>
      <c r="S1977" s="1" t="s">
        <v>14499</v>
      </c>
      <c r="T1977" s="1" t="s">
        <v>14487</v>
      </c>
      <c r="U1977" s="1" t="s">
        <v>14500</v>
      </c>
      <c r="V1977" s="1">
        <v>1</v>
      </c>
      <c r="W1977" s="1">
        <v>1</v>
      </c>
      <c r="X1977" s="1">
        <v>0</v>
      </c>
      <c r="Y1977" s="1">
        <v>0</v>
      </c>
      <c r="Z1977" s="1">
        <v>0</v>
      </c>
      <c r="AA1977" s="1">
        <v>2</v>
      </c>
      <c r="AB1977" s="1">
        <v>2</v>
      </c>
      <c r="AC1977" s="1" t="s">
        <v>109</v>
      </c>
      <c r="AD1977" s="1" t="s">
        <v>109</v>
      </c>
      <c r="AE1977" s="1" t="s">
        <v>109</v>
      </c>
      <c r="AF1977" s="1">
        <v>3</v>
      </c>
      <c r="AG1977" s="1" t="s">
        <v>109</v>
      </c>
      <c r="AH1977" s="1" t="s">
        <v>109</v>
      </c>
      <c r="AI1977" s="1" t="s">
        <v>109</v>
      </c>
      <c r="AJ1977" s="1">
        <v>2</v>
      </c>
      <c r="AK1977" s="1">
        <v>3</v>
      </c>
      <c r="AL1977" s="1" t="s">
        <v>109</v>
      </c>
      <c r="AM1977" s="1">
        <v>2</v>
      </c>
      <c r="AN1977" s="1" t="s">
        <v>109</v>
      </c>
      <c r="AO1977" s="1" t="s">
        <v>109</v>
      </c>
      <c r="AP1977" s="1"/>
      <c r="AQ1977" s="1">
        <v>2</v>
      </c>
      <c r="AR1977" s="1"/>
      <c r="AS1977" s="1"/>
      <c r="AT1977" s="1">
        <v>0</v>
      </c>
      <c r="AU1977" s="1">
        <v>0</v>
      </c>
      <c r="AV1977" s="1">
        <v>0</v>
      </c>
      <c r="AW1977" s="1">
        <v>0</v>
      </c>
      <c r="AX1977" s="1">
        <v>0</v>
      </c>
      <c r="AY1977" s="1">
        <v>0</v>
      </c>
      <c r="AZ1977" s="1">
        <v>0</v>
      </c>
      <c r="BA1977" s="1">
        <v>0</v>
      </c>
      <c r="BB1977" s="1">
        <v>0</v>
      </c>
      <c r="BC1977" s="1">
        <v>0</v>
      </c>
      <c r="BD1977" s="1">
        <v>0</v>
      </c>
      <c r="BE1977" s="1">
        <v>0</v>
      </c>
      <c r="BF1977" s="1">
        <v>0</v>
      </c>
      <c r="BG1977" s="1">
        <v>0</v>
      </c>
      <c r="BH1977" s="1">
        <v>0</v>
      </c>
      <c r="BI1977" s="1">
        <v>0</v>
      </c>
      <c r="BJ1977" s="1">
        <v>0</v>
      </c>
      <c r="BK1977" s="1">
        <v>0</v>
      </c>
      <c r="BL1977" s="1">
        <v>0</v>
      </c>
      <c r="BM1977" s="1">
        <v>0</v>
      </c>
      <c r="BN1977" s="1">
        <v>0</v>
      </c>
      <c r="BO1977" s="1">
        <v>0</v>
      </c>
      <c r="BP1977" s="1">
        <v>0</v>
      </c>
      <c r="BQ1977" s="1">
        <v>0</v>
      </c>
      <c r="BR1977" s="1">
        <v>0</v>
      </c>
      <c r="BS1977" s="1" t="s">
        <v>109</v>
      </c>
      <c r="BT1977" s="1">
        <v>2051</v>
      </c>
      <c r="BU1977" s="1" t="s">
        <v>109</v>
      </c>
      <c r="BV1977" s="1"/>
      <c r="BW1977" s="1"/>
      <c r="BX1977" s="1"/>
      <c r="BY1977" s="1"/>
      <c r="BZ1977" s="1">
        <v>0</v>
      </c>
      <c r="CA1977" s="1" t="s">
        <v>109</v>
      </c>
      <c r="CB1977" s="1" t="s">
        <v>109</v>
      </c>
      <c r="CC1977" s="1" t="s">
        <v>109</v>
      </c>
      <c r="CD1977" s="1" t="s">
        <v>109</v>
      </c>
      <c r="CE1977" s="1" t="s">
        <v>109</v>
      </c>
      <c r="CF1977" s="1" t="s">
        <v>109</v>
      </c>
      <c r="CG1977" s="1" t="s">
        <v>109</v>
      </c>
      <c r="CH1977" s="1" t="s">
        <v>109</v>
      </c>
      <c r="CI1977" s="1" t="s">
        <v>109</v>
      </c>
      <c r="CJ1977" s="1" t="s">
        <v>109</v>
      </c>
      <c r="CK1977" s="1"/>
      <c r="CL1977" s="1">
        <v>0</v>
      </c>
      <c r="CM1977" s="1">
        <v>0</v>
      </c>
      <c r="CN1977" s="1">
        <v>0</v>
      </c>
    </row>
    <row r="1978" spans="1:92" ht="14.25" customHeight="1" x14ac:dyDescent="0.15">
      <c r="A1978" s="1" t="s">
        <v>14501</v>
      </c>
      <c r="B1978" s="1" t="s">
        <v>95</v>
      </c>
      <c r="C1978" s="1" t="s">
        <v>96</v>
      </c>
      <c r="D1978" s="1"/>
      <c r="E1978" s="1" t="s">
        <v>14502</v>
      </c>
      <c r="F1978" s="1" t="s">
        <v>98</v>
      </c>
      <c r="G1978" s="1" t="s">
        <v>14503</v>
      </c>
      <c r="H1978" s="1">
        <v>0</v>
      </c>
      <c r="I1978" s="1" t="s">
        <v>161</v>
      </c>
      <c r="J1978" s="1"/>
      <c r="K1978" s="1" t="s">
        <v>14504</v>
      </c>
      <c r="L1978" s="1"/>
      <c r="M1978" s="1" t="s">
        <v>5642</v>
      </c>
      <c r="N1978" s="1">
        <v>0</v>
      </c>
      <c r="O1978" s="1">
        <v>0</v>
      </c>
      <c r="P1978" s="1" t="s">
        <v>267</v>
      </c>
      <c r="Q1978" s="1" t="s">
        <v>104</v>
      </c>
      <c r="R1978" s="1" t="s">
        <v>14505</v>
      </c>
      <c r="S1978" s="1" t="s">
        <v>14506</v>
      </c>
      <c r="T1978" s="1" t="s">
        <v>14487</v>
      </c>
      <c r="U1978" s="1" t="s">
        <v>14507</v>
      </c>
      <c r="V1978" s="1">
        <v>1</v>
      </c>
      <c r="W1978" s="1">
        <v>1</v>
      </c>
      <c r="X1978" s="1">
        <v>1</v>
      </c>
      <c r="Y1978" s="1">
        <v>0</v>
      </c>
      <c r="Z1978" s="1">
        <v>0</v>
      </c>
      <c r="AA1978" s="1">
        <v>5</v>
      </c>
      <c r="AB1978" s="1">
        <v>5</v>
      </c>
      <c r="AC1978" s="1" t="s">
        <v>109</v>
      </c>
      <c r="AD1978" s="1" t="s">
        <v>109</v>
      </c>
      <c r="AE1978" s="1" t="s">
        <v>109</v>
      </c>
      <c r="AF1978" s="1" t="s">
        <v>109</v>
      </c>
      <c r="AG1978" s="1" t="s">
        <v>109</v>
      </c>
      <c r="AH1978" s="1">
        <v>4</v>
      </c>
      <c r="AI1978" s="1" t="s">
        <v>109</v>
      </c>
      <c r="AJ1978" s="1">
        <v>5</v>
      </c>
      <c r="AK1978" s="1" t="s">
        <v>109</v>
      </c>
      <c r="AL1978" s="1" t="s">
        <v>109</v>
      </c>
      <c r="AM1978" s="1" t="s">
        <v>109</v>
      </c>
      <c r="AN1978" s="1" t="s">
        <v>109</v>
      </c>
      <c r="AO1978" s="1" t="s">
        <v>109</v>
      </c>
      <c r="AP1978" s="1"/>
      <c r="AQ1978" s="1">
        <v>5</v>
      </c>
      <c r="AR1978" s="1"/>
      <c r="AS1978" s="1"/>
      <c r="AT1978" s="1">
        <v>0</v>
      </c>
      <c r="AU1978" s="1">
        <v>0</v>
      </c>
      <c r="AV1978" s="1">
        <v>0</v>
      </c>
      <c r="AW1978" s="1">
        <v>0</v>
      </c>
      <c r="AX1978" s="1">
        <v>0</v>
      </c>
      <c r="AY1978" s="1">
        <v>0</v>
      </c>
      <c r="AZ1978" s="1">
        <v>0</v>
      </c>
      <c r="BA1978" s="1">
        <v>0</v>
      </c>
      <c r="BB1978" s="1">
        <v>0</v>
      </c>
      <c r="BC1978" s="1">
        <v>0</v>
      </c>
      <c r="BD1978" s="1">
        <v>0</v>
      </c>
      <c r="BE1978" s="1">
        <v>0</v>
      </c>
      <c r="BF1978" s="1">
        <v>0</v>
      </c>
      <c r="BG1978" s="1">
        <v>0</v>
      </c>
      <c r="BH1978" s="1">
        <v>0</v>
      </c>
      <c r="BI1978" s="1">
        <v>0</v>
      </c>
      <c r="BJ1978" s="1">
        <v>0</v>
      </c>
      <c r="BK1978" s="1">
        <v>0</v>
      </c>
      <c r="BL1978" s="1">
        <v>0</v>
      </c>
      <c r="BM1978" s="1">
        <v>0</v>
      </c>
      <c r="BN1978" s="1">
        <v>0</v>
      </c>
      <c r="BO1978" s="1">
        <v>0</v>
      </c>
      <c r="BP1978" s="1">
        <v>0</v>
      </c>
      <c r="BQ1978" s="1">
        <v>0</v>
      </c>
      <c r="BR1978" s="1">
        <v>0</v>
      </c>
      <c r="BS1978" s="1" t="s">
        <v>109</v>
      </c>
      <c r="BT1978" s="1">
        <v>2052</v>
      </c>
      <c r="BU1978" s="1" t="s">
        <v>109</v>
      </c>
      <c r="BV1978" s="1"/>
      <c r="BW1978" s="1"/>
      <c r="BX1978" s="1"/>
      <c r="BY1978" s="1"/>
      <c r="BZ1978" s="1">
        <v>0</v>
      </c>
      <c r="CA1978" s="1" t="s">
        <v>109</v>
      </c>
      <c r="CB1978" s="1" t="s">
        <v>109</v>
      </c>
      <c r="CC1978" s="1" t="s">
        <v>109</v>
      </c>
      <c r="CD1978" s="1" t="s">
        <v>109</v>
      </c>
      <c r="CE1978" s="1" t="s">
        <v>109</v>
      </c>
      <c r="CF1978" s="1" t="s">
        <v>109</v>
      </c>
      <c r="CG1978" s="1" t="s">
        <v>109</v>
      </c>
      <c r="CH1978" s="1" t="s">
        <v>109</v>
      </c>
      <c r="CI1978" s="1" t="s">
        <v>109</v>
      </c>
      <c r="CJ1978" s="1" t="s">
        <v>109</v>
      </c>
      <c r="CK1978" s="1"/>
      <c r="CL1978" s="1">
        <v>0</v>
      </c>
      <c r="CM1978" s="1">
        <v>0</v>
      </c>
      <c r="CN1978" s="1">
        <v>0</v>
      </c>
    </row>
    <row r="1979" spans="1:92" ht="14.25" customHeight="1" x14ac:dyDescent="0.15">
      <c r="A1979" s="1" t="s">
        <v>14508</v>
      </c>
      <c r="B1979" s="1" t="s">
        <v>308</v>
      </c>
      <c r="C1979" s="1"/>
      <c r="D1979" s="1"/>
      <c r="E1979" s="1" t="s">
        <v>14509</v>
      </c>
      <c r="F1979" s="1" t="s">
        <v>98</v>
      </c>
      <c r="G1979" s="1" t="s">
        <v>14510</v>
      </c>
      <c r="H1979" s="1">
        <v>0</v>
      </c>
      <c r="I1979" s="1" t="s">
        <v>122</v>
      </c>
      <c r="J1979" s="1"/>
      <c r="K1979" s="1"/>
      <c r="L1979" s="1" t="s">
        <v>14511</v>
      </c>
      <c r="M1979" s="1" t="s">
        <v>125</v>
      </c>
      <c r="N1979" s="1">
        <v>0</v>
      </c>
      <c r="O1979" s="1">
        <v>0</v>
      </c>
      <c r="P1979" s="1" t="s">
        <v>301</v>
      </c>
      <c r="Q1979" s="1" t="s">
        <v>268</v>
      </c>
      <c r="R1979" s="1" t="s">
        <v>14512</v>
      </c>
      <c r="S1979" s="1" t="s">
        <v>14513</v>
      </c>
      <c r="T1979" s="1" t="s">
        <v>14487</v>
      </c>
      <c r="U1979" s="1" t="s">
        <v>14514</v>
      </c>
      <c r="V1979" s="1">
        <v>1</v>
      </c>
      <c r="W1979" s="1">
        <v>1</v>
      </c>
      <c r="X1979" s="1">
        <v>0</v>
      </c>
      <c r="Y1979" s="1">
        <v>0</v>
      </c>
      <c r="Z1979" s="1">
        <v>0</v>
      </c>
      <c r="AA1979" s="1">
        <v>5</v>
      </c>
      <c r="AB1979" s="1">
        <v>5</v>
      </c>
      <c r="AC1979" s="1" t="s">
        <v>109</v>
      </c>
      <c r="AD1979" s="1" t="s">
        <v>109</v>
      </c>
      <c r="AE1979" s="1" t="s">
        <v>109</v>
      </c>
      <c r="AF1979" s="1" t="s">
        <v>109</v>
      </c>
      <c r="AG1979" s="1" t="s">
        <v>109</v>
      </c>
      <c r="AH1979" s="1" t="s">
        <v>109</v>
      </c>
      <c r="AI1979" s="1" t="s">
        <v>109</v>
      </c>
      <c r="AJ1979" s="1">
        <v>5</v>
      </c>
      <c r="AK1979" s="1" t="s">
        <v>109</v>
      </c>
      <c r="AL1979" s="1" t="s">
        <v>109</v>
      </c>
      <c r="AM1979" s="1" t="s">
        <v>109</v>
      </c>
      <c r="AN1979" s="1" t="s">
        <v>109</v>
      </c>
      <c r="AO1979" s="1" t="s">
        <v>109</v>
      </c>
      <c r="AP1979" s="1"/>
      <c r="AQ1979" s="1">
        <v>5</v>
      </c>
      <c r="AR1979" s="1"/>
      <c r="AS1979" s="1"/>
      <c r="AT1979" s="1">
        <v>0</v>
      </c>
      <c r="AU1979" s="1">
        <v>0</v>
      </c>
      <c r="AV1979" s="1">
        <v>0</v>
      </c>
      <c r="AW1979" s="1">
        <v>0</v>
      </c>
      <c r="AX1979" s="1">
        <v>0</v>
      </c>
      <c r="AY1979" s="1">
        <v>0</v>
      </c>
      <c r="AZ1979" s="1">
        <v>0</v>
      </c>
      <c r="BA1979" s="1">
        <v>0</v>
      </c>
      <c r="BB1979" s="1">
        <v>0</v>
      </c>
      <c r="BC1979" s="1">
        <v>0</v>
      </c>
      <c r="BD1979" s="1">
        <v>0</v>
      </c>
      <c r="BE1979" s="1">
        <v>0</v>
      </c>
      <c r="BF1979" s="1">
        <v>0</v>
      </c>
      <c r="BG1979" s="1">
        <v>0</v>
      </c>
      <c r="BH1979" s="1">
        <v>0</v>
      </c>
      <c r="BI1979" s="1">
        <v>0</v>
      </c>
      <c r="BJ1979" s="1">
        <v>0</v>
      </c>
      <c r="BK1979" s="1">
        <v>0</v>
      </c>
      <c r="BL1979" s="1">
        <v>0</v>
      </c>
      <c r="BM1979" s="1">
        <v>0</v>
      </c>
      <c r="BN1979" s="1">
        <v>0</v>
      </c>
      <c r="BO1979" s="1">
        <v>0</v>
      </c>
      <c r="BP1979" s="1">
        <v>0</v>
      </c>
      <c r="BQ1979" s="1">
        <v>0</v>
      </c>
      <c r="BR1979" s="1">
        <v>0</v>
      </c>
      <c r="BS1979" s="1" t="s">
        <v>109</v>
      </c>
      <c r="BT1979" s="1">
        <v>2053</v>
      </c>
      <c r="BU1979" s="1" t="s">
        <v>109</v>
      </c>
      <c r="BV1979" s="1"/>
      <c r="BW1979" s="1"/>
      <c r="BX1979" s="1"/>
      <c r="BY1979" s="1"/>
      <c r="BZ1979" s="1">
        <v>0</v>
      </c>
      <c r="CA1979" s="1" t="s">
        <v>109</v>
      </c>
      <c r="CB1979" s="1">
        <v>5</v>
      </c>
      <c r="CC1979" s="1" t="s">
        <v>109</v>
      </c>
      <c r="CD1979" s="1" t="s">
        <v>109</v>
      </c>
      <c r="CE1979" s="1" t="s">
        <v>109</v>
      </c>
      <c r="CF1979" s="1" t="s">
        <v>109</v>
      </c>
      <c r="CG1979" s="1" t="s">
        <v>109</v>
      </c>
      <c r="CH1979" s="1" t="s">
        <v>109</v>
      </c>
      <c r="CI1979" s="1" t="s">
        <v>109</v>
      </c>
      <c r="CJ1979" s="1" t="s">
        <v>109</v>
      </c>
      <c r="CK1979" s="1"/>
      <c r="CL1979" s="1">
        <v>0</v>
      </c>
      <c r="CM1979" s="1">
        <v>0</v>
      </c>
      <c r="CN1979" s="1">
        <v>0</v>
      </c>
    </row>
    <row r="1980" spans="1:92" ht="14.25" customHeight="1" x14ac:dyDescent="0.15">
      <c r="A1980" s="1" t="s">
        <v>14515</v>
      </c>
      <c r="B1980" s="1" t="s">
        <v>189</v>
      </c>
      <c r="C1980" s="1"/>
      <c r="D1980" s="1"/>
      <c r="E1980" s="1" t="s">
        <v>11602</v>
      </c>
      <c r="F1980" s="1" t="s">
        <v>98</v>
      </c>
      <c r="G1980" s="1" t="s">
        <v>141</v>
      </c>
      <c r="H1980" s="1">
        <v>0</v>
      </c>
      <c r="I1980" s="1" t="s">
        <v>161</v>
      </c>
      <c r="J1980" s="1"/>
      <c r="K1980" s="1"/>
      <c r="L1980" s="1" t="s">
        <v>7245</v>
      </c>
      <c r="M1980" s="1" t="s">
        <v>815</v>
      </c>
      <c r="N1980" s="1">
        <v>1</v>
      </c>
      <c r="O1980" s="1">
        <v>0</v>
      </c>
      <c r="P1980" s="1" t="s">
        <v>1382</v>
      </c>
      <c r="Q1980" s="1" t="s">
        <v>167</v>
      </c>
      <c r="R1980" s="1" t="s">
        <v>14516</v>
      </c>
      <c r="S1980" s="1" t="s">
        <v>14517</v>
      </c>
      <c r="T1980" s="1" t="s">
        <v>14487</v>
      </c>
      <c r="U1980" s="1" t="s">
        <v>14518</v>
      </c>
      <c r="V1980" s="1">
        <v>1</v>
      </c>
      <c r="W1980" s="1">
        <v>1</v>
      </c>
      <c r="X1980" s="1">
        <v>0</v>
      </c>
      <c r="Y1980" s="1">
        <v>0</v>
      </c>
      <c r="Z1980" s="1">
        <v>0</v>
      </c>
      <c r="AA1980" s="1">
        <v>2</v>
      </c>
      <c r="AB1980" s="1">
        <v>2</v>
      </c>
      <c r="AC1980" s="1" t="s">
        <v>109</v>
      </c>
      <c r="AD1980" s="1" t="s">
        <v>109</v>
      </c>
      <c r="AE1980" s="1" t="s">
        <v>109</v>
      </c>
      <c r="AF1980" s="1" t="s">
        <v>109</v>
      </c>
      <c r="AG1980" s="1" t="s">
        <v>109</v>
      </c>
      <c r="AH1980" s="1">
        <v>2</v>
      </c>
      <c r="AI1980" s="1" t="s">
        <v>109</v>
      </c>
      <c r="AJ1980" s="1">
        <v>2</v>
      </c>
      <c r="AK1980" s="1" t="s">
        <v>109</v>
      </c>
      <c r="AL1980" s="1" t="s">
        <v>109</v>
      </c>
      <c r="AM1980" s="1" t="s">
        <v>109</v>
      </c>
      <c r="AN1980" s="1" t="s">
        <v>109</v>
      </c>
      <c r="AO1980" s="1" t="s">
        <v>109</v>
      </c>
      <c r="AP1980" s="1"/>
      <c r="AQ1980" s="1">
        <v>2</v>
      </c>
      <c r="AR1980" s="1"/>
      <c r="AS1980" s="1"/>
      <c r="AT1980" s="1">
        <v>0</v>
      </c>
      <c r="AU1980" s="1">
        <v>0</v>
      </c>
      <c r="AV1980" s="1">
        <v>0</v>
      </c>
      <c r="AW1980" s="1">
        <v>0</v>
      </c>
      <c r="AX1980" s="1">
        <v>0</v>
      </c>
      <c r="AY1980" s="1">
        <v>0</v>
      </c>
      <c r="AZ1980" s="1">
        <v>0</v>
      </c>
      <c r="BA1980" s="1">
        <v>0</v>
      </c>
      <c r="BB1980" s="1">
        <v>0</v>
      </c>
      <c r="BC1980" s="1">
        <v>0</v>
      </c>
      <c r="BD1980" s="1">
        <v>0</v>
      </c>
      <c r="BE1980" s="1">
        <v>0</v>
      </c>
      <c r="BF1980" s="1">
        <v>0</v>
      </c>
      <c r="BG1980" s="1">
        <v>0</v>
      </c>
      <c r="BH1980" s="1">
        <v>0</v>
      </c>
      <c r="BI1980" s="1">
        <v>0</v>
      </c>
      <c r="BJ1980" s="1">
        <v>0</v>
      </c>
      <c r="BK1980" s="1">
        <v>0</v>
      </c>
      <c r="BL1980" s="1">
        <v>0</v>
      </c>
      <c r="BM1980" s="1">
        <v>0</v>
      </c>
      <c r="BN1980" s="1">
        <v>0</v>
      </c>
      <c r="BO1980" s="1">
        <v>0</v>
      </c>
      <c r="BP1980" s="1">
        <v>0</v>
      </c>
      <c r="BQ1980" s="1">
        <v>0</v>
      </c>
      <c r="BR1980" s="1">
        <v>0</v>
      </c>
      <c r="BS1980" s="1" t="s">
        <v>109</v>
      </c>
      <c r="BT1980" s="1">
        <v>2054</v>
      </c>
      <c r="BU1980" s="1" t="s">
        <v>109</v>
      </c>
      <c r="BV1980" s="1"/>
      <c r="BW1980" s="1"/>
      <c r="BX1980" s="1"/>
      <c r="BY1980" s="1"/>
      <c r="BZ1980" s="1">
        <v>0</v>
      </c>
      <c r="CA1980" s="1" t="s">
        <v>109</v>
      </c>
      <c r="CB1980" s="1" t="s">
        <v>109</v>
      </c>
      <c r="CC1980" s="1" t="s">
        <v>109</v>
      </c>
      <c r="CD1980" s="1" t="s">
        <v>109</v>
      </c>
      <c r="CE1980" s="1" t="s">
        <v>109</v>
      </c>
      <c r="CF1980" s="1" t="s">
        <v>109</v>
      </c>
      <c r="CG1980" s="1" t="s">
        <v>109</v>
      </c>
      <c r="CH1980" s="1" t="s">
        <v>109</v>
      </c>
      <c r="CI1980" s="1" t="s">
        <v>109</v>
      </c>
      <c r="CJ1980" s="1" t="s">
        <v>109</v>
      </c>
      <c r="CK1980" s="1"/>
      <c r="CL1980" s="1">
        <v>0</v>
      </c>
      <c r="CM1980" s="1">
        <v>0</v>
      </c>
      <c r="CN1980" s="1">
        <v>0</v>
      </c>
    </row>
    <row r="1981" spans="1:92" ht="14.25" customHeight="1" x14ac:dyDescent="0.15">
      <c r="A1981" s="1" t="s">
        <v>14519</v>
      </c>
      <c r="B1981" s="1" t="s">
        <v>308</v>
      </c>
      <c r="C1981" s="1"/>
      <c r="D1981" s="1"/>
      <c r="E1981" s="1" t="s">
        <v>14520</v>
      </c>
      <c r="F1981" s="1" t="s">
        <v>98</v>
      </c>
      <c r="G1981" s="1" t="s">
        <v>14521</v>
      </c>
      <c r="H1981" s="1">
        <v>1</v>
      </c>
      <c r="I1981" s="1" t="s">
        <v>161</v>
      </c>
      <c r="J1981" s="1"/>
      <c r="K1981" s="1"/>
      <c r="L1981" s="1" t="s">
        <v>14522</v>
      </c>
      <c r="M1981" s="1" t="s">
        <v>5642</v>
      </c>
      <c r="N1981" s="1">
        <v>0</v>
      </c>
      <c r="O1981" s="1">
        <v>0</v>
      </c>
      <c r="P1981" s="1" t="s">
        <v>507</v>
      </c>
      <c r="Q1981" s="1" t="s">
        <v>167</v>
      </c>
      <c r="R1981" s="1" t="s">
        <v>14523</v>
      </c>
      <c r="S1981" s="1" t="s">
        <v>14524</v>
      </c>
      <c r="T1981" s="1" t="s">
        <v>14487</v>
      </c>
      <c r="U1981" s="1" t="s">
        <v>14525</v>
      </c>
      <c r="V1981" s="1">
        <v>1</v>
      </c>
      <c r="W1981" s="1">
        <v>1</v>
      </c>
      <c r="X1981" s="1">
        <v>0</v>
      </c>
      <c r="Y1981" s="1">
        <v>0</v>
      </c>
      <c r="Z1981" s="1">
        <v>0</v>
      </c>
      <c r="AA1981" s="1">
        <v>5</v>
      </c>
      <c r="AB1981" s="1">
        <v>5</v>
      </c>
      <c r="AC1981" s="1">
        <v>5</v>
      </c>
      <c r="AD1981" s="1">
        <v>5</v>
      </c>
      <c r="AE1981" s="1" t="s">
        <v>109</v>
      </c>
      <c r="AF1981" s="1">
        <v>5</v>
      </c>
      <c r="AG1981" s="1" t="s">
        <v>109</v>
      </c>
      <c r="AH1981" s="1" t="s">
        <v>109</v>
      </c>
      <c r="AI1981" s="1" t="s">
        <v>109</v>
      </c>
      <c r="AJ1981" s="1">
        <v>5</v>
      </c>
      <c r="AK1981" s="1">
        <v>5</v>
      </c>
      <c r="AL1981" s="1">
        <v>5</v>
      </c>
      <c r="AM1981" s="1" t="s">
        <v>109</v>
      </c>
      <c r="AN1981" s="1">
        <v>5</v>
      </c>
      <c r="AO1981" s="1" t="s">
        <v>109</v>
      </c>
      <c r="AP1981" s="1"/>
      <c r="AQ1981" s="1">
        <v>5</v>
      </c>
      <c r="AR1981" s="1"/>
      <c r="AS1981" s="1"/>
      <c r="AT1981" s="1">
        <v>0</v>
      </c>
      <c r="AU1981" s="1">
        <v>0</v>
      </c>
      <c r="AV1981" s="1">
        <v>0</v>
      </c>
      <c r="AW1981" s="1">
        <v>0</v>
      </c>
      <c r="AX1981" s="1">
        <v>0</v>
      </c>
      <c r="AY1981" s="1">
        <v>0</v>
      </c>
      <c r="AZ1981" s="1">
        <v>0</v>
      </c>
      <c r="BA1981" s="1">
        <v>0</v>
      </c>
      <c r="BB1981" s="1">
        <v>0</v>
      </c>
      <c r="BC1981" s="1">
        <v>0</v>
      </c>
      <c r="BD1981" s="1">
        <v>0</v>
      </c>
      <c r="BE1981" s="1">
        <v>0</v>
      </c>
      <c r="BF1981" s="1">
        <v>0</v>
      </c>
      <c r="BG1981" s="1">
        <v>0</v>
      </c>
      <c r="BH1981" s="1">
        <v>0</v>
      </c>
      <c r="BI1981" s="1">
        <v>0</v>
      </c>
      <c r="BJ1981" s="1">
        <v>0</v>
      </c>
      <c r="BK1981" s="1">
        <v>0</v>
      </c>
      <c r="BL1981" s="1">
        <v>0</v>
      </c>
      <c r="BM1981" s="1">
        <v>0</v>
      </c>
      <c r="BN1981" s="1">
        <v>0</v>
      </c>
      <c r="BO1981" s="1">
        <v>0</v>
      </c>
      <c r="BP1981" s="1">
        <v>0</v>
      </c>
      <c r="BQ1981" s="1">
        <v>0</v>
      </c>
      <c r="BR1981" s="1">
        <v>0</v>
      </c>
      <c r="BS1981" s="1" t="s">
        <v>109</v>
      </c>
      <c r="BT1981" s="1">
        <v>2055</v>
      </c>
      <c r="BU1981" s="1">
        <v>50</v>
      </c>
      <c r="BV1981" s="1"/>
      <c r="BW1981" s="1"/>
      <c r="BX1981" s="1"/>
      <c r="BY1981" s="1"/>
      <c r="BZ1981" s="1">
        <v>0</v>
      </c>
      <c r="CA1981" s="1" t="s">
        <v>109</v>
      </c>
      <c r="CB1981" s="1">
        <v>5</v>
      </c>
      <c r="CC1981" s="1" t="s">
        <v>109</v>
      </c>
      <c r="CD1981" s="1" t="s">
        <v>109</v>
      </c>
      <c r="CE1981" s="1" t="s">
        <v>109</v>
      </c>
      <c r="CF1981" s="1" t="s">
        <v>109</v>
      </c>
      <c r="CG1981" s="1" t="s">
        <v>109</v>
      </c>
      <c r="CH1981" s="1" t="s">
        <v>109</v>
      </c>
      <c r="CI1981" s="1" t="s">
        <v>109</v>
      </c>
      <c r="CJ1981" s="1">
        <v>5</v>
      </c>
      <c r="CK1981" s="1"/>
      <c r="CL1981" s="1">
        <v>0</v>
      </c>
      <c r="CM1981" s="1">
        <v>0</v>
      </c>
      <c r="CN1981" s="1">
        <v>0</v>
      </c>
    </row>
    <row r="1982" spans="1:92" ht="14.25" customHeight="1" x14ac:dyDescent="0.15">
      <c r="A1982" s="1" t="s">
        <v>14526</v>
      </c>
      <c r="B1982" s="1" t="s">
        <v>584</v>
      </c>
      <c r="C1982" s="1"/>
      <c r="D1982" s="1"/>
      <c r="E1982" s="1" t="s">
        <v>2427</v>
      </c>
      <c r="F1982" s="1" t="s">
        <v>98</v>
      </c>
      <c r="G1982" s="1" t="s">
        <v>141</v>
      </c>
      <c r="H1982" s="1">
        <v>0</v>
      </c>
      <c r="I1982" s="1" t="s">
        <v>161</v>
      </c>
      <c r="J1982" s="1"/>
      <c r="K1982" s="1"/>
      <c r="L1982" s="1" t="s">
        <v>14527</v>
      </c>
      <c r="M1982" s="1" t="s">
        <v>5811</v>
      </c>
      <c r="N1982" s="1">
        <v>1</v>
      </c>
      <c r="O1982" s="1">
        <v>0</v>
      </c>
      <c r="P1982" s="1" t="s">
        <v>103</v>
      </c>
      <c r="Q1982" s="1" t="s">
        <v>104</v>
      </c>
      <c r="R1982" s="1" t="s">
        <v>14528</v>
      </c>
      <c r="S1982" s="1" t="s">
        <v>14529</v>
      </c>
      <c r="T1982" s="1" t="s">
        <v>14487</v>
      </c>
      <c r="U1982" s="1" t="s">
        <v>14530</v>
      </c>
      <c r="V1982" s="1">
        <v>1</v>
      </c>
      <c r="W1982" s="1">
        <v>1</v>
      </c>
      <c r="X1982" s="1">
        <v>0</v>
      </c>
      <c r="Y1982" s="1">
        <v>0</v>
      </c>
      <c r="Z1982" s="1">
        <v>0</v>
      </c>
      <c r="AA1982" s="1">
        <v>6</v>
      </c>
      <c r="AB1982" s="1">
        <v>6</v>
      </c>
      <c r="AC1982" s="1" t="s">
        <v>109</v>
      </c>
      <c r="AD1982" s="1" t="s">
        <v>109</v>
      </c>
      <c r="AE1982" s="1" t="s">
        <v>109</v>
      </c>
      <c r="AF1982" s="1" t="s">
        <v>109</v>
      </c>
      <c r="AG1982" s="1" t="s">
        <v>109</v>
      </c>
      <c r="AH1982" s="1" t="s">
        <v>109</v>
      </c>
      <c r="AI1982" s="1" t="s">
        <v>109</v>
      </c>
      <c r="AJ1982" s="1">
        <v>6</v>
      </c>
      <c r="AK1982" s="1" t="s">
        <v>109</v>
      </c>
      <c r="AL1982" s="1" t="s">
        <v>109</v>
      </c>
      <c r="AM1982" s="1" t="s">
        <v>109</v>
      </c>
      <c r="AN1982" s="1" t="s">
        <v>109</v>
      </c>
      <c r="AO1982" s="1" t="s">
        <v>109</v>
      </c>
      <c r="AP1982" s="1"/>
      <c r="AQ1982" s="1">
        <v>6</v>
      </c>
      <c r="AR1982" s="1"/>
      <c r="AS1982" s="1"/>
      <c r="AT1982" s="1">
        <v>0</v>
      </c>
      <c r="AU1982" s="1">
        <v>0</v>
      </c>
      <c r="AV1982" s="1">
        <v>0</v>
      </c>
      <c r="AW1982" s="1">
        <v>0</v>
      </c>
      <c r="AX1982" s="1">
        <v>0</v>
      </c>
      <c r="AY1982" s="1">
        <v>0</v>
      </c>
      <c r="AZ1982" s="1">
        <v>0</v>
      </c>
      <c r="BA1982" s="1">
        <v>0</v>
      </c>
      <c r="BB1982" s="1">
        <v>0</v>
      </c>
      <c r="BC1982" s="1">
        <v>0</v>
      </c>
      <c r="BD1982" s="1">
        <v>0</v>
      </c>
      <c r="BE1982" s="1">
        <v>0</v>
      </c>
      <c r="BF1982" s="1">
        <v>0</v>
      </c>
      <c r="BG1982" s="1">
        <v>0</v>
      </c>
      <c r="BH1982" s="1">
        <v>0</v>
      </c>
      <c r="BI1982" s="1">
        <v>0</v>
      </c>
      <c r="BJ1982" s="1">
        <v>0</v>
      </c>
      <c r="BK1982" s="1">
        <v>0</v>
      </c>
      <c r="BL1982" s="1">
        <v>0</v>
      </c>
      <c r="BM1982" s="1">
        <v>0</v>
      </c>
      <c r="BN1982" s="1">
        <v>0</v>
      </c>
      <c r="BO1982" s="1">
        <v>0</v>
      </c>
      <c r="BP1982" s="1">
        <v>0</v>
      </c>
      <c r="BQ1982" s="1">
        <v>0</v>
      </c>
      <c r="BR1982" s="1">
        <v>0</v>
      </c>
      <c r="BS1982" s="1" t="s">
        <v>109</v>
      </c>
      <c r="BT1982" s="1">
        <v>2056</v>
      </c>
      <c r="BU1982" s="1" t="s">
        <v>109</v>
      </c>
      <c r="BV1982" s="1"/>
      <c r="BW1982" s="1"/>
      <c r="BX1982" s="1"/>
      <c r="BY1982" s="1"/>
      <c r="BZ1982" s="1">
        <v>0</v>
      </c>
      <c r="CA1982" s="1" t="s">
        <v>109</v>
      </c>
      <c r="CB1982" s="1" t="s">
        <v>109</v>
      </c>
      <c r="CC1982" s="1" t="s">
        <v>109</v>
      </c>
      <c r="CD1982" s="1" t="s">
        <v>109</v>
      </c>
      <c r="CE1982" s="1" t="s">
        <v>109</v>
      </c>
      <c r="CF1982" s="1" t="s">
        <v>109</v>
      </c>
      <c r="CG1982" s="1" t="s">
        <v>109</v>
      </c>
      <c r="CH1982" s="1" t="s">
        <v>109</v>
      </c>
      <c r="CI1982" s="1" t="s">
        <v>109</v>
      </c>
      <c r="CJ1982" s="1" t="s">
        <v>109</v>
      </c>
      <c r="CK1982" s="1"/>
      <c r="CL1982" s="1">
        <v>0</v>
      </c>
      <c r="CM1982" s="1">
        <v>0</v>
      </c>
      <c r="CN1982" s="1">
        <v>0</v>
      </c>
    </row>
    <row r="1983" spans="1:92" ht="14.25" customHeight="1" x14ac:dyDescent="0.15">
      <c r="A1983" s="1" t="s">
        <v>14531</v>
      </c>
      <c r="B1983" s="1" t="s">
        <v>95</v>
      </c>
      <c r="C1983" s="1" t="s">
        <v>96</v>
      </c>
      <c r="D1983" s="1"/>
      <c r="E1983" s="1" t="s">
        <v>14532</v>
      </c>
      <c r="F1983" s="1" t="s">
        <v>277</v>
      </c>
      <c r="G1983" s="1" t="s">
        <v>14533</v>
      </c>
      <c r="H1983" s="1">
        <v>0</v>
      </c>
      <c r="I1983" s="1" t="s">
        <v>14534</v>
      </c>
      <c r="J1983" s="1"/>
      <c r="K1983" s="1" t="s">
        <v>14535</v>
      </c>
      <c r="L1983" s="1"/>
      <c r="M1983" s="1" t="s">
        <v>465</v>
      </c>
      <c r="N1983" s="1">
        <v>0</v>
      </c>
      <c r="O1983" s="1">
        <v>0</v>
      </c>
      <c r="P1983" s="1" t="s">
        <v>103</v>
      </c>
      <c r="Q1983" s="1" t="s">
        <v>104</v>
      </c>
      <c r="R1983" s="1" t="s">
        <v>14536</v>
      </c>
      <c r="S1983" s="1" t="s">
        <v>14537</v>
      </c>
      <c r="T1983" s="1" t="s">
        <v>14538</v>
      </c>
      <c r="U1983" s="1" t="s">
        <v>14539</v>
      </c>
      <c r="V1983" s="1">
        <v>1</v>
      </c>
      <c r="W1983" s="1">
        <v>1</v>
      </c>
      <c r="X1983" s="1">
        <v>1</v>
      </c>
      <c r="Y1983" s="1">
        <v>0</v>
      </c>
      <c r="Z1983" s="1">
        <v>0</v>
      </c>
      <c r="AA1983" s="1">
        <v>4</v>
      </c>
      <c r="AB1983" s="1">
        <v>4</v>
      </c>
      <c r="AC1983" s="1" t="s">
        <v>109</v>
      </c>
      <c r="AD1983" s="1" t="s">
        <v>109</v>
      </c>
      <c r="AE1983" s="1" t="s">
        <v>109</v>
      </c>
      <c r="AF1983" s="1" t="s">
        <v>109</v>
      </c>
      <c r="AG1983" s="1" t="s">
        <v>109</v>
      </c>
      <c r="AH1983" s="1" t="s">
        <v>109</v>
      </c>
      <c r="AI1983" s="1">
        <v>4</v>
      </c>
      <c r="AJ1983" s="1">
        <v>4</v>
      </c>
      <c r="AK1983" s="1" t="s">
        <v>109</v>
      </c>
      <c r="AL1983" s="1" t="s">
        <v>109</v>
      </c>
      <c r="AM1983" s="1" t="s">
        <v>109</v>
      </c>
      <c r="AN1983" s="1" t="s">
        <v>109</v>
      </c>
      <c r="AO1983" s="1" t="s">
        <v>109</v>
      </c>
      <c r="AP1983" s="1"/>
      <c r="AQ1983" s="1">
        <v>4</v>
      </c>
      <c r="AR1983" s="1"/>
      <c r="AS1983" s="1"/>
      <c r="AT1983" s="1">
        <v>0</v>
      </c>
      <c r="AU1983" s="1">
        <v>0</v>
      </c>
      <c r="AV1983" s="1">
        <v>0</v>
      </c>
      <c r="AW1983" s="1">
        <v>0</v>
      </c>
      <c r="AX1983" s="1">
        <v>0</v>
      </c>
      <c r="AY1983" s="1">
        <v>0</v>
      </c>
      <c r="AZ1983" s="1">
        <v>0</v>
      </c>
      <c r="BA1983" s="1">
        <v>0</v>
      </c>
      <c r="BB1983" s="1">
        <v>0</v>
      </c>
      <c r="BC1983" s="1">
        <v>0</v>
      </c>
      <c r="BD1983" s="1">
        <v>0</v>
      </c>
      <c r="BE1983" s="1">
        <v>0</v>
      </c>
      <c r="BF1983" s="1">
        <v>0</v>
      </c>
      <c r="BG1983" s="1">
        <v>0</v>
      </c>
      <c r="BH1983" s="1">
        <v>0</v>
      </c>
      <c r="BI1983" s="1">
        <v>0</v>
      </c>
      <c r="BJ1983" s="1">
        <v>0</v>
      </c>
      <c r="BK1983" s="1">
        <v>0</v>
      </c>
      <c r="BL1983" s="1">
        <v>0</v>
      </c>
      <c r="BM1983" s="1">
        <v>0</v>
      </c>
      <c r="BN1983" s="1">
        <v>0</v>
      </c>
      <c r="BO1983" s="1">
        <v>0</v>
      </c>
      <c r="BP1983" s="1">
        <v>0</v>
      </c>
      <c r="BQ1983" s="1">
        <v>0</v>
      </c>
      <c r="BR1983" s="1">
        <v>0</v>
      </c>
      <c r="BS1983" s="1" t="s">
        <v>109</v>
      </c>
      <c r="BT1983" s="1">
        <v>2057</v>
      </c>
      <c r="BU1983" s="1" t="s">
        <v>109</v>
      </c>
      <c r="BV1983" s="1"/>
      <c r="BW1983" s="1"/>
      <c r="BX1983" s="1"/>
      <c r="BY1983" s="1"/>
      <c r="BZ1983" s="1">
        <v>0</v>
      </c>
      <c r="CA1983" s="1" t="s">
        <v>109</v>
      </c>
      <c r="CB1983" s="1" t="s">
        <v>109</v>
      </c>
      <c r="CC1983" s="1" t="s">
        <v>109</v>
      </c>
      <c r="CD1983" s="1" t="s">
        <v>109</v>
      </c>
      <c r="CE1983" s="1" t="s">
        <v>109</v>
      </c>
      <c r="CF1983" s="1" t="s">
        <v>109</v>
      </c>
      <c r="CG1983" s="1" t="s">
        <v>109</v>
      </c>
      <c r="CH1983" s="1" t="s">
        <v>109</v>
      </c>
      <c r="CI1983" s="1" t="s">
        <v>109</v>
      </c>
      <c r="CJ1983" s="1" t="s">
        <v>109</v>
      </c>
      <c r="CK1983" s="1"/>
      <c r="CL1983" s="1">
        <v>0</v>
      </c>
      <c r="CM1983" s="1">
        <v>0</v>
      </c>
      <c r="CN1983" s="1">
        <v>0</v>
      </c>
    </row>
    <row r="1984" spans="1:92" ht="14.25" customHeight="1" x14ac:dyDescent="0.15">
      <c r="A1984" s="1" t="s">
        <v>14540</v>
      </c>
      <c r="B1984" s="1" t="s">
        <v>189</v>
      </c>
      <c r="C1984" s="1"/>
      <c r="D1984" s="1" t="s">
        <v>59</v>
      </c>
      <c r="E1984" s="1" t="s">
        <v>14541</v>
      </c>
      <c r="F1984" s="1" t="s">
        <v>98</v>
      </c>
      <c r="G1984" s="1" t="s">
        <v>14542</v>
      </c>
      <c r="H1984" s="1">
        <v>0</v>
      </c>
      <c r="I1984" s="1" t="s">
        <v>235</v>
      </c>
      <c r="J1984" s="1"/>
      <c r="K1984" s="1"/>
      <c r="L1984" s="1" t="s">
        <v>14543</v>
      </c>
      <c r="M1984" s="1" t="s">
        <v>3042</v>
      </c>
      <c r="N1984" s="1">
        <v>0</v>
      </c>
      <c r="O1984" s="1">
        <v>0</v>
      </c>
      <c r="P1984" s="1" t="s">
        <v>14544</v>
      </c>
      <c r="Q1984" s="1" t="s">
        <v>14545</v>
      </c>
      <c r="R1984" s="1" t="s">
        <v>14546</v>
      </c>
      <c r="S1984" s="1" t="s">
        <v>14547</v>
      </c>
      <c r="T1984" s="1" t="s">
        <v>14538</v>
      </c>
      <c r="U1984" s="1" t="s">
        <v>14548</v>
      </c>
      <c r="V1984" s="1">
        <v>1</v>
      </c>
      <c r="W1984" s="1">
        <v>1</v>
      </c>
      <c r="X1984" s="1">
        <v>1</v>
      </c>
      <c r="Y1984" s="1">
        <v>0</v>
      </c>
      <c r="Z1984" s="1">
        <v>1</v>
      </c>
      <c r="AA1984" s="1">
        <v>4</v>
      </c>
      <c r="AB1984" s="1">
        <v>4</v>
      </c>
      <c r="AC1984" s="1">
        <v>4</v>
      </c>
      <c r="AD1984" s="1" t="s">
        <v>109</v>
      </c>
      <c r="AE1984" s="1" t="s">
        <v>109</v>
      </c>
      <c r="AF1984" s="1" t="s">
        <v>109</v>
      </c>
      <c r="AG1984" s="1" t="s">
        <v>109</v>
      </c>
      <c r="AH1984" s="1" t="s">
        <v>109</v>
      </c>
      <c r="AI1984" s="1">
        <v>4</v>
      </c>
      <c r="AJ1984" s="1">
        <v>4</v>
      </c>
      <c r="AK1984" s="1" t="s">
        <v>109</v>
      </c>
      <c r="AL1984" s="1">
        <v>4</v>
      </c>
      <c r="AM1984" s="1" t="s">
        <v>109</v>
      </c>
      <c r="AN1984" s="1">
        <v>4</v>
      </c>
      <c r="AO1984" s="1" t="s">
        <v>109</v>
      </c>
      <c r="AP1984" s="1"/>
      <c r="AQ1984" s="1">
        <v>4</v>
      </c>
      <c r="AR1984" s="1"/>
      <c r="AS1984" s="1"/>
      <c r="AT1984" s="1">
        <v>0</v>
      </c>
      <c r="AU1984" s="1">
        <v>0</v>
      </c>
      <c r="AV1984" s="1">
        <v>0</v>
      </c>
      <c r="AW1984" s="1">
        <v>0</v>
      </c>
      <c r="AX1984" s="1">
        <v>0</v>
      </c>
      <c r="AY1984" s="1">
        <v>0</v>
      </c>
      <c r="AZ1984" s="1">
        <v>0</v>
      </c>
      <c r="BA1984" s="1">
        <v>0</v>
      </c>
      <c r="BB1984" s="1">
        <v>0</v>
      </c>
      <c r="BC1984" s="1">
        <v>0</v>
      </c>
      <c r="BD1984" s="1">
        <v>0</v>
      </c>
      <c r="BE1984" s="1">
        <v>0</v>
      </c>
      <c r="BF1984" s="1">
        <v>0</v>
      </c>
      <c r="BG1984" s="1">
        <v>1</v>
      </c>
      <c r="BH1984" s="1">
        <v>0</v>
      </c>
      <c r="BI1984" s="1">
        <v>0</v>
      </c>
      <c r="BJ1984" s="1">
        <v>0</v>
      </c>
      <c r="BK1984" s="1">
        <v>0</v>
      </c>
      <c r="BL1984" s="1">
        <v>0</v>
      </c>
      <c r="BM1984" s="1">
        <v>0</v>
      </c>
      <c r="BN1984" s="1">
        <v>0</v>
      </c>
      <c r="BO1984" s="1">
        <v>0</v>
      </c>
      <c r="BP1984" s="1">
        <v>0</v>
      </c>
      <c r="BQ1984" s="1">
        <v>0</v>
      </c>
      <c r="BR1984" s="1">
        <v>0</v>
      </c>
      <c r="BS1984" s="1" t="s">
        <v>109</v>
      </c>
      <c r="BT1984" s="1">
        <v>2058</v>
      </c>
      <c r="BU1984" s="1" t="s">
        <v>109</v>
      </c>
      <c r="BV1984" s="1"/>
      <c r="BW1984" s="1"/>
      <c r="BX1984" s="1"/>
      <c r="BY1984" s="1"/>
      <c r="BZ1984" s="1">
        <v>0</v>
      </c>
      <c r="CA1984" s="1">
        <v>4</v>
      </c>
      <c r="CB1984" s="1">
        <v>4</v>
      </c>
      <c r="CC1984" s="1" t="s">
        <v>109</v>
      </c>
      <c r="CD1984" s="1" t="s">
        <v>109</v>
      </c>
      <c r="CE1984" s="1" t="s">
        <v>109</v>
      </c>
      <c r="CF1984" s="1" t="s">
        <v>109</v>
      </c>
      <c r="CG1984" s="1" t="s">
        <v>109</v>
      </c>
      <c r="CH1984" s="1" t="s">
        <v>109</v>
      </c>
      <c r="CI1984" s="1" t="s">
        <v>109</v>
      </c>
      <c r="CJ1984" s="1" t="s">
        <v>109</v>
      </c>
      <c r="CK1984" s="1"/>
      <c r="CL1984" s="1">
        <v>0</v>
      </c>
      <c r="CM1984" s="1">
        <v>0</v>
      </c>
      <c r="CN1984" s="1">
        <v>0</v>
      </c>
    </row>
    <row r="1985" spans="1:92" ht="14.25" customHeight="1" x14ac:dyDescent="0.15">
      <c r="A1985" s="1" t="s">
        <v>14549</v>
      </c>
      <c r="B1985" s="1" t="s">
        <v>189</v>
      </c>
      <c r="C1985" s="1"/>
      <c r="D1985" s="1" t="s">
        <v>49</v>
      </c>
      <c r="E1985" s="1" t="s">
        <v>14541</v>
      </c>
      <c r="F1985" s="1" t="s">
        <v>98</v>
      </c>
      <c r="G1985" s="1" t="s">
        <v>14550</v>
      </c>
      <c r="H1985" s="1">
        <v>0</v>
      </c>
      <c r="I1985" s="1" t="s">
        <v>235</v>
      </c>
      <c r="J1985" s="1"/>
      <c r="K1985" s="1"/>
      <c r="L1985" s="1" t="s">
        <v>14543</v>
      </c>
      <c r="M1985" s="1" t="s">
        <v>3042</v>
      </c>
      <c r="N1985" s="1">
        <v>0</v>
      </c>
      <c r="O1985" s="1">
        <v>0</v>
      </c>
      <c r="P1985" s="1" t="s">
        <v>14544</v>
      </c>
      <c r="Q1985" s="1" t="s">
        <v>14545</v>
      </c>
      <c r="R1985" s="1" t="s">
        <v>14551</v>
      </c>
      <c r="S1985" s="1" t="s">
        <v>14552</v>
      </c>
      <c r="T1985" s="1" t="s">
        <v>14538</v>
      </c>
      <c r="U1985" s="1" t="s">
        <v>14553</v>
      </c>
      <c r="V1985" s="1">
        <v>1</v>
      </c>
      <c r="W1985" s="1">
        <v>1</v>
      </c>
      <c r="X1985" s="1">
        <v>1</v>
      </c>
      <c r="Y1985" s="1">
        <v>0</v>
      </c>
      <c r="Z1985" s="1">
        <v>1</v>
      </c>
      <c r="AA1985" s="1">
        <v>4</v>
      </c>
      <c r="AB1985" s="1">
        <v>4</v>
      </c>
      <c r="AC1985" s="1">
        <v>4</v>
      </c>
      <c r="AD1985" s="1" t="s">
        <v>109</v>
      </c>
      <c r="AE1985" s="1" t="s">
        <v>109</v>
      </c>
      <c r="AF1985" s="1" t="s">
        <v>109</v>
      </c>
      <c r="AG1985" s="1" t="s">
        <v>109</v>
      </c>
      <c r="AH1985" s="1" t="s">
        <v>109</v>
      </c>
      <c r="AI1985" s="1">
        <v>4</v>
      </c>
      <c r="AJ1985" s="1">
        <v>4</v>
      </c>
      <c r="AK1985" s="1" t="s">
        <v>109</v>
      </c>
      <c r="AL1985" s="1">
        <v>4</v>
      </c>
      <c r="AM1985" s="1" t="s">
        <v>109</v>
      </c>
      <c r="AN1985" s="1">
        <v>4</v>
      </c>
      <c r="AO1985" s="1" t="s">
        <v>109</v>
      </c>
      <c r="AP1985" s="1"/>
      <c r="AQ1985" s="1">
        <v>4</v>
      </c>
      <c r="AR1985" s="1"/>
      <c r="AS1985" s="1"/>
      <c r="AT1985" s="1">
        <v>0</v>
      </c>
      <c r="AU1985" s="1">
        <v>0</v>
      </c>
      <c r="AV1985" s="1">
        <v>0</v>
      </c>
      <c r="AW1985" s="1">
        <v>1</v>
      </c>
      <c r="AX1985" s="1">
        <v>0</v>
      </c>
      <c r="AY1985" s="1">
        <v>0</v>
      </c>
      <c r="AZ1985" s="1">
        <v>0</v>
      </c>
      <c r="BA1985" s="1">
        <v>0</v>
      </c>
      <c r="BB1985" s="1">
        <v>0</v>
      </c>
      <c r="BC1985" s="1">
        <v>0</v>
      </c>
      <c r="BD1985" s="1">
        <v>0</v>
      </c>
      <c r="BE1985" s="1">
        <v>0</v>
      </c>
      <c r="BF1985" s="1">
        <v>0</v>
      </c>
      <c r="BG1985" s="1">
        <v>0</v>
      </c>
      <c r="BH1985" s="1">
        <v>0</v>
      </c>
      <c r="BI1985" s="1">
        <v>0</v>
      </c>
      <c r="BJ1985" s="1">
        <v>0</v>
      </c>
      <c r="BK1985" s="1">
        <v>0</v>
      </c>
      <c r="BL1985" s="1">
        <v>0</v>
      </c>
      <c r="BM1985" s="1">
        <v>0</v>
      </c>
      <c r="BN1985" s="1">
        <v>0</v>
      </c>
      <c r="BO1985" s="1">
        <v>0</v>
      </c>
      <c r="BP1985" s="1">
        <v>0</v>
      </c>
      <c r="BQ1985" s="1">
        <v>0</v>
      </c>
      <c r="BR1985" s="1">
        <v>0</v>
      </c>
      <c r="BS1985" s="1" t="s">
        <v>109</v>
      </c>
      <c r="BT1985" s="1">
        <v>2059</v>
      </c>
      <c r="BU1985" s="1" t="s">
        <v>109</v>
      </c>
      <c r="BV1985" s="1"/>
      <c r="BW1985" s="1"/>
      <c r="BX1985" s="1"/>
      <c r="BY1985" s="1"/>
      <c r="BZ1985" s="1">
        <v>0</v>
      </c>
      <c r="CA1985" s="1">
        <v>4</v>
      </c>
      <c r="CB1985" s="1">
        <v>4</v>
      </c>
      <c r="CC1985" s="1" t="s">
        <v>109</v>
      </c>
      <c r="CD1985" s="1" t="s">
        <v>109</v>
      </c>
      <c r="CE1985" s="1" t="s">
        <v>109</v>
      </c>
      <c r="CF1985" s="1" t="s">
        <v>109</v>
      </c>
      <c r="CG1985" s="1" t="s">
        <v>109</v>
      </c>
      <c r="CH1985" s="1" t="s">
        <v>109</v>
      </c>
      <c r="CI1985" s="1" t="s">
        <v>109</v>
      </c>
      <c r="CJ1985" s="1" t="s">
        <v>109</v>
      </c>
      <c r="CK1985" s="1"/>
      <c r="CL1985" s="1">
        <v>0</v>
      </c>
      <c r="CM1985" s="1">
        <v>0</v>
      </c>
      <c r="CN1985" s="1">
        <v>0</v>
      </c>
    </row>
    <row r="1986" spans="1:92" ht="14.25" customHeight="1" x14ac:dyDescent="0.15">
      <c r="A1986" s="1" t="s">
        <v>14554</v>
      </c>
      <c r="B1986" s="1" t="s">
        <v>189</v>
      </c>
      <c r="C1986" s="1"/>
      <c r="D1986" s="1"/>
      <c r="E1986" s="1" t="s">
        <v>14555</v>
      </c>
      <c r="F1986" s="1" t="s">
        <v>98</v>
      </c>
      <c r="G1986" s="1" t="s">
        <v>1191</v>
      </c>
      <c r="H1986" s="1">
        <v>0</v>
      </c>
      <c r="I1986" s="1" t="s">
        <v>142</v>
      </c>
      <c r="J1986" s="1"/>
      <c r="K1986" s="1"/>
      <c r="L1986" s="1" t="s">
        <v>716</v>
      </c>
      <c r="M1986" s="1" t="s">
        <v>125</v>
      </c>
      <c r="N1986" s="1">
        <v>0</v>
      </c>
      <c r="O1986" s="1">
        <v>0</v>
      </c>
      <c r="P1986" s="1" t="s">
        <v>1382</v>
      </c>
      <c r="Q1986" s="1" t="s">
        <v>167</v>
      </c>
      <c r="R1986" s="1" t="s">
        <v>14556</v>
      </c>
      <c r="S1986" s="1" t="s">
        <v>14557</v>
      </c>
      <c r="T1986" s="1" t="s">
        <v>14538</v>
      </c>
      <c r="U1986" s="1" t="s">
        <v>14558</v>
      </c>
      <c r="V1986" s="1">
        <v>1</v>
      </c>
      <c r="W1986" s="1">
        <v>1</v>
      </c>
      <c r="X1986" s="1">
        <v>1</v>
      </c>
      <c r="Y1986" s="1">
        <v>0</v>
      </c>
      <c r="Z1986" s="1">
        <v>0</v>
      </c>
      <c r="AA1986" s="1" t="s">
        <v>109</v>
      </c>
      <c r="AB1986" s="1" t="s">
        <v>109</v>
      </c>
      <c r="AC1986" s="1" t="s">
        <v>109</v>
      </c>
      <c r="AD1986" s="1" t="s">
        <v>109</v>
      </c>
      <c r="AE1986" s="1">
        <v>2</v>
      </c>
      <c r="AF1986" s="1" t="s">
        <v>109</v>
      </c>
      <c r="AG1986" s="1">
        <v>2</v>
      </c>
      <c r="AH1986" s="1" t="s">
        <v>109</v>
      </c>
      <c r="AI1986" s="1" t="s">
        <v>109</v>
      </c>
      <c r="AJ1986" s="1" t="s">
        <v>109</v>
      </c>
      <c r="AK1986" s="1" t="s">
        <v>109</v>
      </c>
      <c r="AL1986" s="1" t="s">
        <v>109</v>
      </c>
      <c r="AM1986" s="1">
        <v>2</v>
      </c>
      <c r="AN1986" s="1">
        <v>2</v>
      </c>
      <c r="AO1986" s="1" t="s">
        <v>109</v>
      </c>
      <c r="AP1986" s="1"/>
      <c r="AQ1986" s="1">
        <v>2</v>
      </c>
      <c r="AR1986" s="1"/>
      <c r="AS1986" s="1"/>
      <c r="AT1986" s="1">
        <v>0</v>
      </c>
      <c r="AU1986" s="1">
        <v>0</v>
      </c>
      <c r="AV1986" s="1">
        <v>0</v>
      </c>
      <c r="AW1986" s="1">
        <v>0</v>
      </c>
      <c r="AX1986" s="1">
        <v>0</v>
      </c>
      <c r="AY1986" s="1">
        <v>0</v>
      </c>
      <c r="AZ1986" s="1">
        <v>0</v>
      </c>
      <c r="BA1986" s="1">
        <v>0</v>
      </c>
      <c r="BB1986" s="1">
        <v>0</v>
      </c>
      <c r="BC1986" s="1">
        <v>0</v>
      </c>
      <c r="BD1986" s="1">
        <v>0</v>
      </c>
      <c r="BE1986" s="1">
        <v>0</v>
      </c>
      <c r="BF1986" s="1">
        <v>0</v>
      </c>
      <c r="BG1986" s="1">
        <v>0</v>
      </c>
      <c r="BH1986" s="1">
        <v>0</v>
      </c>
      <c r="BI1986" s="1">
        <v>0</v>
      </c>
      <c r="BJ1986" s="1">
        <v>0</v>
      </c>
      <c r="BK1986" s="1">
        <v>0</v>
      </c>
      <c r="BL1986" s="1">
        <v>0</v>
      </c>
      <c r="BM1986" s="1">
        <v>0</v>
      </c>
      <c r="BN1986" s="1">
        <v>0</v>
      </c>
      <c r="BO1986" s="1">
        <v>0</v>
      </c>
      <c r="BP1986" s="1">
        <v>0</v>
      </c>
      <c r="BQ1986" s="1">
        <v>0</v>
      </c>
      <c r="BR1986" s="1">
        <v>0</v>
      </c>
      <c r="BS1986" s="1" t="s">
        <v>109</v>
      </c>
      <c r="BT1986" s="1">
        <v>2060</v>
      </c>
      <c r="BU1986" s="1" t="s">
        <v>109</v>
      </c>
      <c r="BV1986" s="1"/>
      <c r="BW1986" s="1"/>
      <c r="BX1986" s="1"/>
      <c r="BY1986" s="1"/>
      <c r="BZ1986" s="1">
        <v>0</v>
      </c>
      <c r="CA1986" s="1">
        <v>2</v>
      </c>
      <c r="CB1986" s="1" t="s">
        <v>109</v>
      </c>
      <c r="CC1986" s="1" t="s">
        <v>109</v>
      </c>
      <c r="CD1986" s="1" t="s">
        <v>109</v>
      </c>
      <c r="CE1986" s="1" t="s">
        <v>109</v>
      </c>
      <c r="CF1986" s="1" t="s">
        <v>109</v>
      </c>
      <c r="CG1986" s="1" t="s">
        <v>109</v>
      </c>
      <c r="CH1986" s="1" t="s">
        <v>109</v>
      </c>
      <c r="CI1986" s="1" t="s">
        <v>109</v>
      </c>
      <c r="CJ1986" s="1">
        <v>2</v>
      </c>
      <c r="CK1986" s="1"/>
      <c r="CL1986" s="1">
        <v>0</v>
      </c>
      <c r="CM1986" s="1">
        <v>0</v>
      </c>
      <c r="CN1986" s="1">
        <v>0</v>
      </c>
    </row>
    <row r="1987" spans="1:92" ht="14.25" customHeight="1" x14ac:dyDescent="0.15">
      <c r="A1987" s="1" t="s">
        <v>14559</v>
      </c>
      <c r="B1987" s="1" t="s">
        <v>189</v>
      </c>
      <c r="C1987" s="1"/>
      <c r="D1987" s="1"/>
      <c r="E1987" s="1" t="s">
        <v>7324</v>
      </c>
      <c r="F1987" s="1" t="s">
        <v>98</v>
      </c>
      <c r="G1987" s="1" t="s">
        <v>1191</v>
      </c>
      <c r="H1987" s="1">
        <v>0</v>
      </c>
      <c r="I1987" s="1" t="s">
        <v>142</v>
      </c>
      <c r="J1987" s="1"/>
      <c r="K1987" s="1"/>
      <c r="L1987" s="1" t="s">
        <v>14560</v>
      </c>
      <c r="M1987" s="1" t="s">
        <v>125</v>
      </c>
      <c r="N1987" s="1">
        <v>0</v>
      </c>
      <c r="O1987" s="1">
        <v>0</v>
      </c>
      <c r="P1987" s="1" t="s">
        <v>1382</v>
      </c>
      <c r="Q1987" s="1" t="s">
        <v>12919</v>
      </c>
      <c r="R1987" s="1" t="s">
        <v>14561</v>
      </c>
      <c r="S1987" s="1" t="s">
        <v>14562</v>
      </c>
      <c r="T1987" s="1" t="s">
        <v>14538</v>
      </c>
      <c r="U1987" s="1" t="s">
        <v>14563</v>
      </c>
      <c r="V1987" s="1">
        <v>1</v>
      </c>
      <c r="W1987" s="1">
        <v>1</v>
      </c>
      <c r="X1987" s="1">
        <v>1</v>
      </c>
      <c r="Y1987" s="1">
        <v>0</v>
      </c>
      <c r="Z1987" s="1">
        <v>0</v>
      </c>
      <c r="AA1987" s="1">
        <v>3</v>
      </c>
      <c r="AB1987" s="1">
        <v>3</v>
      </c>
      <c r="AC1987" s="1" t="s">
        <v>109</v>
      </c>
      <c r="AD1987" s="1" t="s">
        <v>109</v>
      </c>
      <c r="AE1987" s="1" t="s">
        <v>109</v>
      </c>
      <c r="AF1987" s="1" t="s">
        <v>109</v>
      </c>
      <c r="AG1987" s="1" t="s">
        <v>109</v>
      </c>
      <c r="AH1987" s="1" t="s">
        <v>109</v>
      </c>
      <c r="AI1987" s="1">
        <v>3</v>
      </c>
      <c r="AJ1987" s="1" t="s">
        <v>109</v>
      </c>
      <c r="AK1987" s="1" t="s">
        <v>109</v>
      </c>
      <c r="AL1987" s="1" t="s">
        <v>109</v>
      </c>
      <c r="AM1987" s="1" t="s">
        <v>109</v>
      </c>
      <c r="AN1987" s="1" t="s">
        <v>109</v>
      </c>
      <c r="AO1987" s="1" t="s">
        <v>109</v>
      </c>
      <c r="AP1987" s="1"/>
      <c r="AQ1987" s="1">
        <v>3</v>
      </c>
      <c r="AR1987" s="1"/>
      <c r="AS1987" s="1"/>
      <c r="AT1987" s="1">
        <v>0</v>
      </c>
      <c r="AU1987" s="1">
        <v>0</v>
      </c>
      <c r="AV1987" s="1">
        <v>0</v>
      </c>
      <c r="AW1987" s="1">
        <v>0</v>
      </c>
      <c r="AX1987" s="1">
        <v>0</v>
      </c>
      <c r="AY1987" s="1">
        <v>0</v>
      </c>
      <c r="AZ1987" s="1">
        <v>0</v>
      </c>
      <c r="BA1987" s="1">
        <v>0</v>
      </c>
      <c r="BB1987" s="1">
        <v>0</v>
      </c>
      <c r="BC1987" s="1">
        <v>0</v>
      </c>
      <c r="BD1987" s="1">
        <v>0</v>
      </c>
      <c r="BE1987" s="1">
        <v>0</v>
      </c>
      <c r="BF1987" s="1">
        <v>0</v>
      </c>
      <c r="BG1987" s="1">
        <v>0</v>
      </c>
      <c r="BH1987" s="1">
        <v>0</v>
      </c>
      <c r="BI1987" s="1">
        <v>0</v>
      </c>
      <c r="BJ1987" s="1">
        <v>0</v>
      </c>
      <c r="BK1987" s="1">
        <v>0</v>
      </c>
      <c r="BL1987" s="1">
        <v>0</v>
      </c>
      <c r="BM1987" s="1">
        <v>0</v>
      </c>
      <c r="BN1987" s="1">
        <v>0</v>
      </c>
      <c r="BO1987" s="1">
        <v>0</v>
      </c>
      <c r="BP1987" s="1">
        <v>0</v>
      </c>
      <c r="BQ1987" s="1">
        <v>0</v>
      </c>
      <c r="BR1987" s="1">
        <v>0</v>
      </c>
      <c r="BS1987" s="1" t="s">
        <v>109</v>
      </c>
      <c r="BT1987" s="1">
        <v>2061</v>
      </c>
      <c r="BU1987" s="1" t="s">
        <v>109</v>
      </c>
      <c r="BV1987" s="1"/>
      <c r="BW1987" s="1"/>
      <c r="BX1987" s="1"/>
      <c r="BY1987" s="1"/>
      <c r="BZ1987" s="1">
        <v>0</v>
      </c>
      <c r="CA1987" s="1" t="s">
        <v>109</v>
      </c>
      <c r="CB1987" s="1" t="s">
        <v>109</v>
      </c>
      <c r="CC1987" s="1" t="s">
        <v>109</v>
      </c>
      <c r="CD1987" s="1" t="s">
        <v>109</v>
      </c>
      <c r="CE1987" s="1" t="s">
        <v>109</v>
      </c>
      <c r="CF1987" s="1" t="s">
        <v>109</v>
      </c>
      <c r="CG1987" s="1" t="s">
        <v>109</v>
      </c>
      <c r="CH1987" s="1" t="s">
        <v>109</v>
      </c>
      <c r="CI1987" s="1" t="s">
        <v>109</v>
      </c>
      <c r="CJ1987" s="1" t="s">
        <v>109</v>
      </c>
      <c r="CK1987" s="1"/>
      <c r="CL1987" s="1">
        <v>0</v>
      </c>
      <c r="CM1987" s="1">
        <v>0</v>
      </c>
      <c r="CN1987" s="1">
        <v>0</v>
      </c>
    </row>
    <row r="1988" spans="1:92" ht="14.25" customHeight="1" x14ac:dyDescent="0.15">
      <c r="A1988" s="1" t="s">
        <v>14564</v>
      </c>
      <c r="B1988" s="1" t="s">
        <v>189</v>
      </c>
      <c r="C1988" s="1"/>
      <c r="D1988" s="1"/>
      <c r="E1988" s="1" t="s">
        <v>9715</v>
      </c>
      <c r="F1988" s="1" t="s">
        <v>98</v>
      </c>
      <c r="G1988" s="1" t="s">
        <v>14565</v>
      </c>
      <c r="H1988" s="1">
        <v>0</v>
      </c>
      <c r="I1988" s="1" t="s">
        <v>235</v>
      </c>
      <c r="J1988" s="1"/>
      <c r="K1988" s="1"/>
      <c r="L1988" s="1" t="s">
        <v>14543</v>
      </c>
      <c r="M1988" s="1" t="s">
        <v>3042</v>
      </c>
      <c r="N1988" s="1">
        <v>0</v>
      </c>
      <c r="O1988" s="1">
        <v>0</v>
      </c>
      <c r="P1988" s="1"/>
      <c r="Q1988" s="1"/>
      <c r="R1988" s="1" t="s">
        <v>14566</v>
      </c>
      <c r="S1988" s="1" t="s">
        <v>14567</v>
      </c>
      <c r="T1988" s="1" t="s">
        <v>14538</v>
      </c>
      <c r="U1988" s="1" t="s">
        <v>14568</v>
      </c>
      <c r="V1988" s="1">
        <v>1</v>
      </c>
      <c r="W1988" s="1">
        <v>1</v>
      </c>
      <c r="X1988" s="1">
        <v>1</v>
      </c>
      <c r="Y1988" s="1">
        <v>0</v>
      </c>
      <c r="Z1988" s="1">
        <v>0</v>
      </c>
      <c r="AA1988" s="1">
        <v>4</v>
      </c>
      <c r="AB1988" s="1">
        <v>4</v>
      </c>
      <c r="AC1988" s="1" t="s">
        <v>109</v>
      </c>
      <c r="AD1988" s="1" t="s">
        <v>109</v>
      </c>
      <c r="AE1988" s="1" t="s">
        <v>109</v>
      </c>
      <c r="AF1988" s="1" t="s">
        <v>109</v>
      </c>
      <c r="AG1988" s="1" t="s">
        <v>109</v>
      </c>
      <c r="AH1988" s="1" t="s">
        <v>109</v>
      </c>
      <c r="AI1988" s="1" t="s">
        <v>109</v>
      </c>
      <c r="AJ1988" s="1">
        <v>4</v>
      </c>
      <c r="AK1988" s="1" t="s">
        <v>109</v>
      </c>
      <c r="AL1988" s="1" t="s">
        <v>109</v>
      </c>
      <c r="AM1988" s="1" t="s">
        <v>109</v>
      </c>
      <c r="AN1988" s="1" t="s">
        <v>109</v>
      </c>
      <c r="AO1988" s="1" t="s">
        <v>109</v>
      </c>
      <c r="AP1988" s="1"/>
      <c r="AQ1988" s="1">
        <v>4</v>
      </c>
      <c r="AR1988" s="1"/>
      <c r="AS1988" s="1"/>
      <c r="AT1988" s="1">
        <v>0</v>
      </c>
      <c r="AU1988" s="1">
        <v>0</v>
      </c>
      <c r="AV1988" s="1">
        <v>0</v>
      </c>
      <c r="AW1988" s="1">
        <v>0</v>
      </c>
      <c r="AX1988" s="1">
        <v>0</v>
      </c>
      <c r="AY1988" s="1">
        <v>0</v>
      </c>
      <c r="AZ1988" s="1">
        <v>0</v>
      </c>
      <c r="BA1988" s="1">
        <v>0</v>
      </c>
      <c r="BB1988" s="1">
        <v>0</v>
      </c>
      <c r="BC1988" s="1">
        <v>0</v>
      </c>
      <c r="BD1988" s="1">
        <v>0</v>
      </c>
      <c r="BE1988" s="1">
        <v>0</v>
      </c>
      <c r="BF1988" s="1">
        <v>0</v>
      </c>
      <c r="BG1988" s="1">
        <v>0</v>
      </c>
      <c r="BH1988" s="1">
        <v>0</v>
      </c>
      <c r="BI1988" s="1">
        <v>0</v>
      </c>
      <c r="BJ1988" s="1">
        <v>0</v>
      </c>
      <c r="BK1988" s="1">
        <v>0</v>
      </c>
      <c r="BL1988" s="1">
        <v>0</v>
      </c>
      <c r="BM1988" s="1">
        <v>0</v>
      </c>
      <c r="BN1988" s="1">
        <v>0</v>
      </c>
      <c r="BO1988" s="1">
        <v>0</v>
      </c>
      <c r="BP1988" s="1">
        <v>0</v>
      </c>
      <c r="BQ1988" s="1">
        <v>0</v>
      </c>
      <c r="BR1988" s="1">
        <v>0</v>
      </c>
      <c r="BS1988" s="1" t="s">
        <v>109</v>
      </c>
      <c r="BT1988" s="1">
        <v>2062</v>
      </c>
      <c r="BU1988" s="1" t="s">
        <v>109</v>
      </c>
      <c r="BV1988" s="1"/>
      <c r="BW1988" s="1"/>
      <c r="BX1988" s="1"/>
      <c r="BY1988" s="1"/>
      <c r="BZ1988" s="1">
        <v>0</v>
      </c>
      <c r="CA1988" s="1" t="s">
        <v>109</v>
      </c>
      <c r="CB1988" s="1" t="s">
        <v>109</v>
      </c>
      <c r="CC1988" s="1" t="s">
        <v>109</v>
      </c>
      <c r="CD1988" s="1" t="s">
        <v>109</v>
      </c>
      <c r="CE1988" s="1" t="s">
        <v>109</v>
      </c>
      <c r="CF1988" s="1" t="s">
        <v>109</v>
      </c>
      <c r="CG1988" s="1" t="s">
        <v>109</v>
      </c>
      <c r="CH1988" s="1" t="s">
        <v>109</v>
      </c>
      <c r="CI1988" s="1" t="s">
        <v>109</v>
      </c>
      <c r="CJ1988" s="1" t="s">
        <v>109</v>
      </c>
      <c r="CK1988" s="1"/>
      <c r="CL1988" s="1">
        <v>0</v>
      </c>
      <c r="CM1988" s="1">
        <v>0</v>
      </c>
      <c r="CN1988" s="1">
        <v>0</v>
      </c>
    </row>
    <row r="1989" spans="1:92" ht="14.25" customHeight="1" x14ac:dyDescent="0.15">
      <c r="A1989" s="1" t="s">
        <v>14569</v>
      </c>
      <c r="B1989" s="1" t="s">
        <v>189</v>
      </c>
      <c r="C1989" s="1"/>
      <c r="D1989" s="1"/>
      <c r="E1989" s="1" t="s">
        <v>14570</v>
      </c>
      <c r="F1989" s="1" t="s">
        <v>98</v>
      </c>
      <c r="G1989" s="1" t="s">
        <v>14571</v>
      </c>
      <c r="H1989" s="1">
        <v>0</v>
      </c>
      <c r="I1989" s="1" t="s">
        <v>235</v>
      </c>
      <c r="J1989" s="1"/>
      <c r="K1989" s="1"/>
      <c r="L1989" s="1" t="s">
        <v>236</v>
      </c>
      <c r="M1989" s="1" t="s">
        <v>125</v>
      </c>
      <c r="N1989" s="1">
        <v>0</v>
      </c>
      <c r="O1989" s="1">
        <v>0</v>
      </c>
      <c r="P1989" s="1"/>
      <c r="Q1989" s="1"/>
      <c r="R1989" s="1" t="s">
        <v>14572</v>
      </c>
      <c r="S1989" s="1" t="s">
        <v>14573</v>
      </c>
      <c r="T1989" s="1" t="s">
        <v>14538</v>
      </c>
      <c r="U1989" s="1" t="s">
        <v>14574</v>
      </c>
      <c r="V1989" s="1">
        <v>1</v>
      </c>
      <c r="W1989" s="1">
        <v>1</v>
      </c>
      <c r="X1989" s="1">
        <v>1</v>
      </c>
      <c r="Y1989" s="1">
        <v>0</v>
      </c>
      <c r="Z1989" s="1">
        <v>0</v>
      </c>
      <c r="AA1989" s="1" t="s">
        <v>109</v>
      </c>
      <c r="AB1989" s="1" t="s">
        <v>109</v>
      </c>
      <c r="AC1989" s="1">
        <v>3</v>
      </c>
      <c r="AD1989" s="1" t="s">
        <v>109</v>
      </c>
      <c r="AE1989" s="1">
        <v>3</v>
      </c>
      <c r="AF1989" s="1" t="s">
        <v>109</v>
      </c>
      <c r="AG1989" s="1">
        <v>3</v>
      </c>
      <c r="AH1989" s="1" t="s">
        <v>109</v>
      </c>
      <c r="AI1989" s="1" t="s">
        <v>109</v>
      </c>
      <c r="AJ1989" s="1" t="s">
        <v>109</v>
      </c>
      <c r="AK1989" s="1" t="s">
        <v>109</v>
      </c>
      <c r="AL1989" s="1">
        <v>3</v>
      </c>
      <c r="AM1989" s="1">
        <v>3</v>
      </c>
      <c r="AN1989" s="1">
        <v>3</v>
      </c>
      <c r="AO1989" s="1" t="s">
        <v>109</v>
      </c>
      <c r="AP1989" s="1"/>
      <c r="AQ1989" s="1">
        <v>3</v>
      </c>
      <c r="AR1989" s="1"/>
      <c r="AS1989" s="1"/>
      <c r="AT1989" s="1">
        <v>0</v>
      </c>
      <c r="AU1989" s="1">
        <v>0</v>
      </c>
      <c r="AV1989" s="1">
        <v>0</v>
      </c>
      <c r="AW1989" s="1">
        <v>0</v>
      </c>
      <c r="AX1989" s="1">
        <v>0</v>
      </c>
      <c r="AY1989" s="1">
        <v>0</v>
      </c>
      <c r="AZ1989" s="1">
        <v>0</v>
      </c>
      <c r="BA1989" s="1">
        <v>0</v>
      </c>
      <c r="BB1989" s="1">
        <v>0</v>
      </c>
      <c r="BC1989" s="1">
        <v>0</v>
      </c>
      <c r="BD1989" s="1">
        <v>0</v>
      </c>
      <c r="BE1989" s="1">
        <v>0</v>
      </c>
      <c r="BF1989" s="1">
        <v>0</v>
      </c>
      <c r="BG1989" s="1">
        <v>0</v>
      </c>
      <c r="BH1989" s="1">
        <v>0</v>
      </c>
      <c r="BI1989" s="1">
        <v>0</v>
      </c>
      <c r="BJ1989" s="1">
        <v>0</v>
      </c>
      <c r="BK1989" s="1">
        <v>0</v>
      </c>
      <c r="BL1989" s="1">
        <v>0</v>
      </c>
      <c r="BM1989" s="1">
        <v>0</v>
      </c>
      <c r="BN1989" s="1">
        <v>0</v>
      </c>
      <c r="BO1989" s="1">
        <v>0</v>
      </c>
      <c r="BP1989" s="1">
        <v>0</v>
      </c>
      <c r="BQ1989" s="1">
        <v>0</v>
      </c>
      <c r="BR1989" s="1">
        <v>0</v>
      </c>
      <c r="BS1989" s="1" t="s">
        <v>109</v>
      </c>
      <c r="BT1989" s="1">
        <v>2063</v>
      </c>
      <c r="BU1989" s="1" t="s">
        <v>109</v>
      </c>
      <c r="BV1989" s="1"/>
      <c r="BW1989" s="1"/>
      <c r="BX1989" s="1"/>
      <c r="BY1989" s="1"/>
      <c r="BZ1989" s="1">
        <v>0</v>
      </c>
      <c r="CA1989" s="1">
        <v>3</v>
      </c>
      <c r="CB1989" s="1" t="s">
        <v>109</v>
      </c>
      <c r="CC1989" s="1" t="s">
        <v>109</v>
      </c>
      <c r="CD1989" s="1" t="s">
        <v>109</v>
      </c>
      <c r="CE1989" s="1" t="s">
        <v>109</v>
      </c>
      <c r="CF1989" s="1" t="s">
        <v>109</v>
      </c>
      <c r="CG1989" s="1" t="s">
        <v>109</v>
      </c>
      <c r="CH1989" s="1" t="s">
        <v>109</v>
      </c>
      <c r="CI1989" s="1" t="s">
        <v>109</v>
      </c>
      <c r="CJ1989" s="1">
        <v>3</v>
      </c>
      <c r="CK1989" s="1"/>
      <c r="CL1989" s="1">
        <v>0</v>
      </c>
      <c r="CM1989" s="1">
        <v>0</v>
      </c>
      <c r="CN1989" s="1">
        <v>0</v>
      </c>
    </row>
    <row r="1990" spans="1:92" ht="14.25" customHeight="1" x14ac:dyDescent="0.15">
      <c r="A1990" s="1" t="s">
        <v>14575</v>
      </c>
      <c r="B1990" s="1" t="s">
        <v>242</v>
      </c>
      <c r="C1990" s="1"/>
      <c r="D1990" s="1"/>
      <c r="E1990" s="1" t="s">
        <v>14576</v>
      </c>
      <c r="F1990" s="1" t="s">
        <v>98</v>
      </c>
      <c r="G1990" s="1" t="s">
        <v>160</v>
      </c>
      <c r="H1990" s="1">
        <v>0</v>
      </c>
      <c r="I1990" s="1" t="s">
        <v>142</v>
      </c>
      <c r="J1990" s="1"/>
      <c r="K1990" s="1"/>
      <c r="L1990" s="1" t="s">
        <v>716</v>
      </c>
      <c r="M1990" s="1" t="s">
        <v>125</v>
      </c>
      <c r="N1990" s="1">
        <v>0</v>
      </c>
      <c r="O1990" s="1">
        <v>0</v>
      </c>
      <c r="P1990" s="1" t="s">
        <v>1382</v>
      </c>
      <c r="Q1990" s="1" t="s">
        <v>167</v>
      </c>
      <c r="R1990" s="1" t="s">
        <v>14577</v>
      </c>
      <c r="S1990" s="1" t="s">
        <v>14578</v>
      </c>
      <c r="T1990" s="1" t="s">
        <v>14579</v>
      </c>
      <c r="U1990" s="1" t="s">
        <v>14580</v>
      </c>
      <c r="V1990" s="1">
        <v>1</v>
      </c>
      <c r="W1990" s="1">
        <v>1</v>
      </c>
      <c r="X1990" s="1">
        <v>0</v>
      </c>
      <c r="Y1990" s="1">
        <v>0</v>
      </c>
      <c r="Z1990" s="1">
        <v>1</v>
      </c>
      <c r="AA1990" s="1" t="s">
        <v>109</v>
      </c>
      <c r="AB1990" s="1" t="s">
        <v>109</v>
      </c>
      <c r="AC1990" s="1">
        <v>3</v>
      </c>
      <c r="AD1990" s="1" t="s">
        <v>109</v>
      </c>
      <c r="AE1990" s="1" t="s">
        <v>109</v>
      </c>
      <c r="AF1990" s="1" t="s">
        <v>109</v>
      </c>
      <c r="AG1990" s="1">
        <v>3</v>
      </c>
      <c r="AH1990" s="1" t="s">
        <v>109</v>
      </c>
      <c r="AI1990" s="1" t="s">
        <v>109</v>
      </c>
      <c r="AJ1990" s="1" t="s">
        <v>109</v>
      </c>
      <c r="AK1990" s="1">
        <v>3</v>
      </c>
      <c r="AL1990" s="1">
        <v>3</v>
      </c>
      <c r="AM1990" s="1" t="s">
        <v>109</v>
      </c>
      <c r="AN1990" s="1" t="s">
        <v>109</v>
      </c>
      <c r="AO1990" s="1" t="s">
        <v>109</v>
      </c>
      <c r="AP1990" s="1"/>
      <c r="AQ1990" s="1">
        <v>3</v>
      </c>
      <c r="AR1990" s="1"/>
      <c r="AS1990" s="1"/>
      <c r="AT1990" s="1">
        <v>0</v>
      </c>
      <c r="AU1990" s="1">
        <v>0</v>
      </c>
      <c r="AV1990" s="1">
        <v>0</v>
      </c>
      <c r="AW1990" s="1">
        <v>0</v>
      </c>
      <c r="AX1990" s="1">
        <v>0</v>
      </c>
      <c r="AY1990" s="1">
        <v>0</v>
      </c>
      <c r="AZ1990" s="1">
        <v>0</v>
      </c>
      <c r="BA1990" s="1">
        <v>0</v>
      </c>
      <c r="BB1990" s="1">
        <v>0</v>
      </c>
      <c r="BC1990" s="1">
        <v>0</v>
      </c>
      <c r="BD1990" s="1">
        <v>0</v>
      </c>
      <c r="BE1990" s="1">
        <v>0</v>
      </c>
      <c r="BF1990" s="1">
        <v>0</v>
      </c>
      <c r="BG1990" s="1">
        <v>0</v>
      </c>
      <c r="BH1990" s="1">
        <v>0</v>
      </c>
      <c r="BI1990" s="1">
        <v>0</v>
      </c>
      <c r="BJ1990" s="1">
        <v>0</v>
      </c>
      <c r="BK1990" s="1">
        <v>0</v>
      </c>
      <c r="BL1990" s="1">
        <v>0</v>
      </c>
      <c r="BM1990" s="1">
        <v>0</v>
      </c>
      <c r="BN1990" s="1">
        <v>0</v>
      </c>
      <c r="BO1990" s="1">
        <v>0</v>
      </c>
      <c r="BP1990" s="1">
        <v>0</v>
      </c>
      <c r="BQ1990" s="1">
        <v>0</v>
      </c>
      <c r="BR1990" s="1">
        <v>0</v>
      </c>
      <c r="BS1990" s="1" t="s">
        <v>109</v>
      </c>
      <c r="BT1990" s="1">
        <v>2064</v>
      </c>
      <c r="BU1990" s="1" t="s">
        <v>109</v>
      </c>
      <c r="BV1990" s="1"/>
      <c r="BW1990" s="1"/>
      <c r="BX1990" s="1"/>
      <c r="BY1990" s="1"/>
      <c r="BZ1990" s="1">
        <v>0</v>
      </c>
      <c r="CA1990" s="1" t="s">
        <v>109</v>
      </c>
      <c r="CB1990" s="1" t="s">
        <v>109</v>
      </c>
      <c r="CC1990" s="1" t="s">
        <v>109</v>
      </c>
      <c r="CD1990" s="1" t="s">
        <v>109</v>
      </c>
      <c r="CE1990" s="1" t="s">
        <v>109</v>
      </c>
      <c r="CF1990" s="1" t="s">
        <v>109</v>
      </c>
      <c r="CG1990" s="1" t="s">
        <v>109</v>
      </c>
      <c r="CH1990" s="1" t="s">
        <v>109</v>
      </c>
      <c r="CI1990" s="1" t="s">
        <v>109</v>
      </c>
      <c r="CJ1990" s="1" t="s">
        <v>109</v>
      </c>
      <c r="CK1990" s="1"/>
      <c r="CL1990" s="1">
        <v>0</v>
      </c>
      <c r="CM1990" s="1">
        <v>0</v>
      </c>
      <c r="CN1990" s="1">
        <v>0</v>
      </c>
    </row>
    <row r="1991" spans="1:92" ht="14.25" customHeight="1" x14ac:dyDescent="0.15">
      <c r="A1991" s="1" t="s">
        <v>14581</v>
      </c>
      <c r="B1991" s="1" t="s">
        <v>95</v>
      </c>
      <c r="C1991" s="1" t="s">
        <v>96</v>
      </c>
      <c r="D1991" s="1"/>
      <c r="E1991" s="1" t="s">
        <v>14582</v>
      </c>
      <c r="F1991" s="1" t="s">
        <v>98</v>
      </c>
      <c r="G1991" s="1" t="s">
        <v>141</v>
      </c>
      <c r="H1991" s="1">
        <v>0</v>
      </c>
      <c r="I1991" s="1" t="s">
        <v>235</v>
      </c>
      <c r="J1991" s="1"/>
      <c r="K1991" s="1"/>
      <c r="L1991" s="1" t="s">
        <v>236</v>
      </c>
      <c r="M1991" s="1" t="s">
        <v>3042</v>
      </c>
      <c r="N1991" s="1">
        <v>0</v>
      </c>
      <c r="O1991" s="1">
        <v>0</v>
      </c>
      <c r="P1991" s="1"/>
      <c r="Q1991" s="1"/>
      <c r="R1991" s="1" t="s">
        <v>14583</v>
      </c>
      <c r="S1991" s="1" t="s">
        <v>14584</v>
      </c>
      <c r="T1991" s="1" t="s">
        <v>14579</v>
      </c>
      <c r="U1991" s="1" t="s">
        <v>14585</v>
      </c>
      <c r="V1991" s="1">
        <v>1</v>
      </c>
      <c r="W1991" s="1">
        <v>1</v>
      </c>
      <c r="X1991" s="1">
        <v>0</v>
      </c>
      <c r="Y1991" s="1">
        <v>0</v>
      </c>
      <c r="Z1991" s="1">
        <v>0</v>
      </c>
      <c r="AA1991" s="1">
        <v>2</v>
      </c>
      <c r="AB1991" s="1">
        <v>2</v>
      </c>
      <c r="AC1991" s="1" t="s">
        <v>109</v>
      </c>
      <c r="AD1991" s="1" t="s">
        <v>109</v>
      </c>
      <c r="AE1991" s="1" t="s">
        <v>109</v>
      </c>
      <c r="AF1991" s="1" t="s">
        <v>109</v>
      </c>
      <c r="AG1991" s="1">
        <v>2</v>
      </c>
      <c r="AH1991" s="1" t="s">
        <v>109</v>
      </c>
      <c r="AI1991" s="1">
        <v>2</v>
      </c>
      <c r="AJ1991" s="1" t="s">
        <v>109</v>
      </c>
      <c r="AK1991" s="1" t="s">
        <v>109</v>
      </c>
      <c r="AL1991" s="1" t="s">
        <v>109</v>
      </c>
      <c r="AM1991" s="1">
        <v>2</v>
      </c>
      <c r="AN1991" s="1">
        <v>1</v>
      </c>
      <c r="AO1991" s="1" t="s">
        <v>109</v>
      </c>
      <c r="AP1991" s="1"/>
      <c r="AQ1991" s="1">
        <v>2</v>
      </c>
      <c r="AR1991" s="1"/>
      <c r="AS1991" s="1"/>
      <c r="AT1991" s="1">
        <v>0</v>
      </c>
      <c r="AU1991" s="1">
        <v>0</v>
      </c>
      <c r="AV1991" s="1">
        <v>0</v>
      </c>
      <c r="AW1991" s="1">
        <v>0</v>
      </c>
      <c r="AX1991" s="1">
        <v>0</v>
      </c>
      <c r="AY1991" s="1">
        <v>0</v>
      </c>
      <c r="AZ1991" s="1">
        <v>0</v>
      </c>
      <c r="BA1991" s="1">
        <v>0</v>
      </c>
      <c r="BB1991" s="1">
        <v>0</v>
      </c>
      <c r="BC1991" s="1">
        <v>0</v>
      </c>
      <c r="BD1991" s="1">
        <v>0</v>
      </c>
      <c r="BE1991" s="1">
        <v>0</v>
      </c>
      <c r="BF1991" s="1">
        <v>0</v>
      </c>
      <c r="BG1991" s="1">
        <v>0</v>
      </c>
      <c r="BH1991" s="1">
        <v>0</v>
      </c>
      <c r="BI1991" s="1">
        <v>0</v>
      </c>
      <c r="BJ1991" s="1">
        <v>0</v>
      </c>
      <c r="BK1991" s="1">
        <v>0</v>
      </c>
      <c r="BL1991" s="1">
        <v>0</v>
      </c>
      <c r="BM1991" s="1">
        <v>0</v>
      </c>
      <c r="BN1991" s="1">
        <v>0</v>
      </c>
      <c r="BO1991" s="1">
        <v>0</v>
      </c>
      <c r="BP1991" s="1">
        <v>0</v>
      </c>
      <c r="BQ1991" s="1">
        <v>0</v>
      </c>
      <c r="BR1991" s="1">
        <v>0</v>
      </c>
      <c r="BS1991" s="1" t="s">
        <v>109</v>
      </c>
      <c r="BT1991" s="1">
        <v>2065</v>
      </c>
      <c r="BU1991" s="1" t="s">
        <v>109</v>
      </c>
      <c r="BV1991" s="1"/>
      <c r="BW1991" s="1"/>
      <c r="BX1991" s="1"/>
      <c r="BY1991" s="1"/>
      <c r="BZ1991" s="1">
        <v>0</v>
      </c>
      <c r="CA1991" s="1" t="s">
        <v>109</v>
      </c>
      <c r="CB1991" s="1" t="s">
        <v>109</v>
      </c>
      <c r="CC1991" s="1" t="s">
        <v>109</v>
      </c>
      <c r="CD1991" s="1" t="s">
        <v>109</v>
      </c>
      <c r="CE1991" s="1" t="s">
        <v>109</v>
      </c>
      <c r="CF1991" s="1" t="s">
        <v>109</v>
      </c>
      <c r="CG1991" s="1" t="s">
        <v>109</v>
      </c>
      <c r="CH1991" s="1" t="s">
        <v>109</v>
      </c>
      <c r="CI1991" s="1" t="s">
        <v>109</v>
      </c>
      <c r="CJ1991" s="1" t="s">
        <v>109</v>
      </c>
      <c r="CK1991" s="1"/>
      <c r="CL1991" s="1">
        <v>0</v>
      </c>
      <c r="CM1991" s="1">
        <v>0</v>
      </c>
      <c r="CN1991" s="1">
        <v>0</v>
      </c>
    </row>
    <row r="1992" spans="1:92" ht="14.25" customHeight="1" x14ac:dyDescent="0.15">
      <c r="A1992" s="1" t="s">
        <v>14586</v>
      </c>
      <c r="B1992" s="1" t="s">
        <v>674</v>
      </c>
      <c r="C1992" s="1" t="s">
        <v>2300</v>
      </c>
      <c r="D1992" s="1"/>
      <c r="E1992" s="1" t="s">
        <v>14587</v>
      </c>
      <c r="F1992" s="1" t="s">
        <v>6545</v>
      </c>
      <c r="G1992" s="1" t="s">
        <v>141</v>
      </c>
      <c r="H1992" s="1">
        <v>0</v>
      </c>
      <c r="I1992" s="1" t="s">
        <v>5544</v>
      </c>
      <c r="J1992" s="1"/>
      <c r="K1992" s="1" t="s">
        <v>14588</v>
      </c>
      <c r="L1992" s="1"/>
      <c r="M1992" s="1" t="s">
        <v>144</v>
      </c>
      <c r="N1992" s="1">
        <v>0</v>
      </c>
      <c r="O1992" s="1">
        <v>0</v>
      </c>
      <c r="P1992" s="1" t="s">
        <v>301</v>
      </c>
      <c r="Q1992" s="1" t="s">
        <v>268</v>
      </c>
      <c r="R1992" s="1" t="s">
        <v>14589</v>
      </c>
      <c r="S1992" s="1" t="s">
        <v>14590</v>
      </c>
      <c r="T1992" s="1" t="s">
        <v>14579</v>
      </c>
      <c r="U1992" s="1" t="s">
        <v>14591</v>
      </c>
      <c r="V1992" s="1">
        <v>1</v>
      </c>
      <c r="W1992" s="1">
        <v>1</v>
      </c>
      <c r="X1992" s="1">
        <v>0</v>
      </c>
      <c r="Y1992" s="1">
        <v>0</v>
      </c>
      <c r="Z1992" s="1">
        <v>0</v>
      </c>
      <c r="AA1992" s="1">
        <v>1</v>
      </c>
      <c r="AB1992" s="1">
        <v>1</v>
      </c>
      <c r="AC1992" s="1" t="s">
        <v>109</v>
      </c>
      <c r="AD1992" s="1" t="s">
        <v>109</v>
      </c>
      <c r="AE1992" s="1" t="s">
        <v>109</v>
      </c>
      <c r="AF1992" s="1">
        <v>1</v>
      </c>
      <c r="AG1992" s="1" t="s">
        <v>109</v>
      </c>
      <c r="AH1992" s="1" t="s">
        <v>109</v>
      </c>
      <c r="AI1992" s="1" t="s">
        <v>109</v>
      </c>
      <c r="AJ1992" s="1">
        <v>1</v>
      </c>
      <c r="AK1992" s="1" t="s">
        <v>109</v>
      </c>
      <c r="AL1992" s="1" t="s">
        <v>109</v>
      </c>
      <c r="AM1992" s="1">
        <v>1</v>
      </c>
      <c r="AN1992" s="1">
        <v>1</v>
      </c>
      <c r="AO1992" s="1" t="s">
        <v>109</v>
      </c>
      <c r="AP1992" s="1"/>
      <c r="AQ1992" s="1">
        <v>1</v>
      </c>
      <c r="AR1992" s="1"/>
      <c r="AS1992" s="1"/>
      <c r="AT1992" s="1">
        <v>0</v>
      </c>
      <c r="AU1992" s="1">
        <v>0</v>
      </c>
      <c r="AV1992" s="1">
        <v>0</v>
      </c>
      <c r="AW1992" s="1">
        <v>0</v>
      </c>
      <c r="AX1992" s="1">
        <v>0</v>
      </c>
      <c r="AY1992" s="1">
        <v>0</v>
      </c>
      <c r="AZ1992" s="1">
        <v>0</v>
      </c>
      <c r="BA1992" s="1">
        <v>0</v>
      </c>
      <c r="BB1992" s="1">
        <v>0</v>
      </c>
      <c r="BC1992" s="1">
        <v>0</v>
      </c>
      <c r="BD1992" s="1">
        <v>0</v>
      </c>
      <c r="BE1992" s="1">
        <v>0</v>
      </c>
      <c r="BF1992" s="1">
        <v>0</v>
      </c>
      <c r="BG1992" s="1">
        <v>0</v>
      </c>
      <c r="BH1992" s="1">
        <v>0</v>
      </c>
      <c r="BI1992" s="1">
        <v>0</v>
      </c>
      <c r="BJ1992" s="1">
        <v>0</v>
      </c>
      <c r="BK1992" s="1">
        <v>0</v>
      </c>
      <c r="BL1992" s="1">
        <v>0</v>
      </c>
      <c r="BM1992" s="1">
        <v>0</v>
      </c>
      <c r="BN1992" s="1">
        <v>0</v>
      </c>
      <c r="BO1992" s="1">
        <v>0</v>
      </c>
      <c r="BP1992" s="1">
        <v>0</v>
      </c>
      <c r="BQ1992" s="1">
        <v>0</v>
      </c>
      <c r="BR1992" s="1">
        <v>0</v>
      </c>
      <c r="BS1992" s="1" t="s">
        <v>109</v>
      </c>
      <c r="BT1992" s="1">
        <v>2066</v>
      </c>
      <c r="BU1992" s="1" t="s">
        <v>109</v>
      </c>
      <c r="BV1992" s="1"/>
      <c r="BW1992" s="1"/>
      <c r="BX1992" s="1"/>
      <c r="BY1992" s="1"/>
      <c r="BZ1992" s="1">
        <v>0</v>
      </c>
      <c r="CA1992" s="1" t="s">
        <v>109</v>
      </c>
      <c r="CB1992" s="1">
        <v>1</v>
      </c>
      <c r="CC1992" s="1" t="s">
        <v>109</v>
      </c>
      <c r="CD1992" s="1" t="s">
        <v>109</v>
      </c>
      <c r="CE1992" s="1" t="s">
        <v>109</v>
      </c>
      <c r="CF1992" s="1" t="s">
        <v>109</v>
      </c>
      <c r="CG1992" s="1" t="s">
        <v>109</v>
      </c>
      <c r="CH1992" s="1" t="s">
        <v>109</v>
      </c>
      <c r="CI1992" s="1" t="s">
        <v>109</v>
      </c>
      <c r="CJ1992" s="1" t="s">
        <v>109</v>
      </c>
      <c r="CK1992" s="1"/>
      <c r="CL1992" s="1">
        <v>0</v>
      </c>
      <c r="CM1992" s="1">
        <v>0</v>
      </c>
      <c r="CN1992" s="1">
        <v>0</v>
      </c>
    </row>
    <row r="1993" spans="1:92" ht="14.25" customHeight="1" x14ac:dyDescent="0.15">
      <c r="A1993" s="1" t="s">
        <v>14592</v>
      </c>
      <c r="B1993" s="1" t="s">
        <v>189</v>
      </c>
      <c r="C1993" s="1"/>
      <c r="D1993" s="1"/>
      <c r="E1993" s="1" t="s">
        <v>14593</v>
      </c>
      <c r="F1993" s="1" t="s">
        <v>6545</v>
      </c>
      <c r="G1993" s="1" t="s">
        <v>141</v>
      </c>
      <c r="H1993" s="1">
        <v>0</v>
      </c>
      <c r="I1993" s="1" t="s">
        <v>235</v>
      </c>
      <c r="J1993" s="1"/>
      <c r="K1993" s="1"/>
      <c r="L1993" s="1" t="s">
        <v>236</v>
      </c>
      <c r="M1993" s="1" t="s">
        <v>355</v>
      </c>
      <c r="N1993" s="1">
        <v>0</v>
      </c>
      <c r="O1993" s="1">
        <v>0</v>
      </c>
      <c r="P1993" s="1"/>
      <c r="Q1993" s="1"/>
      <c r="R1993" s="1" t="s">
        <v>14594</v>
      </c>
      <c r="S1993" s="1" t="s">
        <v>14595</v>
      </c>
      <c r="T1993" s="1" t="s">
        <v>14579</v>
      </c>
      <c r="U1993" s="1" t="s">
        <v>14596</v>
      </c>
      <c r="V1993" s="1">
        <v>1</v>
      </c>
      <c r="W1993" s="1">
        <v>1</v>
      </c>
      <c r="X1993" s="1">
        <v>0</v>
      </c>
      <c r="Y1993" s="1">
        <v>0</v>
      </c>
      <c r="Z1993" s="1">
        <v>0</v>
      </c>
      <c r="AA1993" s="1">
        <v>6</v>
      </c>
      <c r="AB1993" s="1">
        <v>6</v>
      </c>
      <c r="AC1993" s="1">
        <v>6</v>
      </c>
      <c r="AD1993" s="1" t="s">
        <v>109</v>
      </c>
      <c r="AE1993" s="1" t="s">
        <v>109</v>
      </c>
      <c r="AF1993" s="1" t="s">
        <v>109</v>
      </c>
      <c r="AG1993" s="1">
        <v>4</v>
      </c>
      <c r="AH1993" s="1" t="s">
        <v>109</v>
      </c>
      <c r="AI1993" s="1" t="s">
        <v>109</v>
      </c>
      <c r="AJ1993" s="1" t="s">
        <v>109</v>
      </c>
      <c r="AK1993" s="1">
        <v>5</v>
      </c>
      <c r="AL1993" s="1">
        <v>6</v>
      </c>
      <c r="AM1993" s="1">
        <v>4</v>
      </c>
      <c r="AN1993" s="1">
        <v>5</v>
      </c>
      <c r="AO1993" s="1" t="s">
        <v>109</v>
      </c>
      <c r="AP1993" s="1"/>
      <c r="AQ1993" s="1">
        <v>6</v>
      </c>
      <c r="AR1993" s="1"/>
      <c r="AS1993" s="1"/>
      <c r="AT1993" s="1">
        <v>0</v>
      </c>
      <c r="AU1993" s="1">
        <v>0</v>
      </c>
      <c r="AV1993" s="1">
        <v>0</v>
      </c>
      <c r="AW1993" s="1">
        <v>0</v>
      </c>
      <c r="AX1993" s="1">
        <v>0</v>
      </c>
      <c r="AY1993" s="1">
        <v>0</v>
      </c>
      <c r="AZ1993" s="1">
        <v>0</v>
      </c>
      <c r="BA1993" s="1">
        <v>0</v>
      </c>
      <c r="BB1993" s="1">
        <v>0</v>
      </c>
      <c r="BC1993" s="1">
        <v>0</v>
      </c>
      <c r="BD1993" s="1">
        <v>0</v>
      </c>
      <c r="BE1993" s="1">
        <v>0</v>
      </c>
      <c r="BF1993" s="1">
        <v>0</v>
      </c>
      <c r="BG1993" s="1">
        <v>0</v>
      </c>
      <c r="BH1993" s="1">
        <v>0</v>
      </c>
      <c r="BI1993" s="1">
        <v>0</v>
      </c>
      <c r="BJ1993" s="1">
        <v>0</v>
      </c>
      <c r="BK1993" s="1">
        <v>0</v>
      </c>
      <c r="BL1993" s="1">
        <v>0</v>
      </c>
      <c r="BM1993" s="1">
        <v>0</v>
      </c>
      <c r="BN1993" s="1">
        <v>0</v>
      </c>
      <c r="BO1993" s="1">
        <v>0</v>
      </c>
      <c r="BP1993" s="1">
        <v>0</v>
      </c>
      <c r="BQ1993" s="1">
        <v>0</v>
      </c>
      <c r="BR1993" s="1">
        <v>0</v>
      </c>
      <c r="BS1993" s="1" t="s">
        <v>109</v>
      </c>
      <c r="BT1993" s="1">
        <v>2067</v>
      </c>
      <c r="BU1993" s="1" t="s">
        <v>109</v>
      </c>
      <c r="BV1993" s="1"/>
      <c r="BW1993" s="1"/>
      <c r="BX1993" s="1"/>
      <c r="BY1993" s="1"/>
      <c r="BZ1993" s="1">
        <v>0</v>
      </c>
      <c r="CA1993" s="1">
        <v>4</v>
      </c>
      <c r="CB1993" s="1" t="s">
        <v>109</v>
      </c>
      <c r="CC1993" s="1" t="s">
        <v>109</v>
      </c>
      <c r="CD1993" s="1" t="s">
        <v>109</v>
      </c>
      <c r="CE1993" s="1" t="s">
        <v>109</v>
      </c>
      <c r="CF1993" s="1" t="s">
        <v>109</v>
      </c>
      <c r="CG1993" s="1" t="s">
        <v>109</v>
      </c>
      <c r="CH1993" s="1" t="s">
        <v>109</v>
      </c>
      <c r="CI1993" s="1" t="s">
        <v>109</v>
      </c>
      <c r="CJ1993" s="1" t="s">
        <v>109</v>
      </c>
      <c r="CK1993" s="1"/>
      <c r="CL1993" s="1">
        <v>0</v>
      </c>
      <c r="CM1993" s="1">
        <v>0</v>
      </c>
      <c r="CN1993" s="1">
        <v>0</v>
      </c>
    </row>
    <row r="1994" spans="1:92" ht="14.25" customHeight="1" x14ac:dyDescent="0.15">
      <c r="A1994" s="1" t="s">
        <v>14597</v>
      </c>
      <c r="B1994" s="1" t="s">
        <v>584</v>
      </c>
      <c r="C1994" s="1"/>
      <c r="D1994" s="1" t="s">
        <v>59</v>
      </c>
      <c r="E1994" s="1" t="s">
        <v>14598</v>
      </c>
      <c r="F1994" s="1" t="s">
        <v>98</v>
      </c>
      <c r="G1994" s="1" t="s">
        <v>141</v>
      </c>
      <c r="H1994" s="1">
        <v>0</v>
      </c>
      <c r="I1994" s="1" t="s">
        <v>161</v>
      </c>
      <c r="J1994" s="1"/>
      <c r="K1994" s="1"/>
      <c r="L1994" s="1" t="s">
        <v>2653</v>
      </c>
      <c r="M1994" s="1" t="s">
        <v>5711</v>
      </c>
      <c r="N1994" s="1">
        <v>0</v>
      </c>
      <c r="O1994" s="1">
        <v>0</v>
      </c>
      <c r="P1994" s="1" t="s">
        <v>103</v>
      </c>
      <c r="Q1994" s="1" t="s">
        <v>8631</v>
      </c>
      <c r="R1994" s="1" t="s">
        <v>14599</v>
      </c>
      <c r="S1994" s="1" t="s">
        <v>14600</v>
      </c>
      <c r="T1994" s="1" t="s">
        <v>14579</v>
      </c>
      <c r="U1994" s="1" t="s">
        <v>14601</v>
      </c>
      <c r="V1994" s="1">
        <v>1</v>
      </c>
      <c r="W1994" s="1">
        <v>1</v>
      </c>
      <c r="X1994" s="1">
        <v>0</v>
      </c>
      <c r="Y1994" s="1">
        <v>0</v>
      </c>
      <c r="Z1994" s="1">
        <v>0</v>
      </c>
      <c r="AA1994" s="1">
        <v>2</v>
      </c>
      <c r="AB1994" s="1">
        <v>2</v>
      </c>
      <c r="AC1994" s="1" t="s">
        <v>109</v>
      </c>
      <c r="AD1994" s="1">
        <v>2</v>
      </c>
      <c r="AE1994" s="1" t="s">
        <v>109</v>
      </c>
      <c r="AF1994" s="1" t="s">
        <v>109</v>
      </c>
      <c r="AG1994" s="1" t="s">
        <v>109</v>
      </c>
      <c r="AH1994" s="1">
        <v>2</v>
      </c>
      <c r="AI1994" s="1" t="s">
        <v>109</v>
      </c>
      <c r="AJ1994" s="1" t="s">
        <v>109</v>
      </c>
      <c r="AK1994" s="1" t="s">
        <v>109</v>
      </c>
      <c r="AL1994" s="1" t="s">
        <v>109</v>
      </c>
      <c r="AM1994" s="1" t="s">
        <v>109</v>
      </c>
      <c r="AN1994" s="1">
        <v>2</v>
      </c>
      <c r="AO1994" s="1" t="s">
        <v>109</v>
      </c>
      <c r="AP1994" s="1"/>
      <c r="AQ1994" s="1">
        <v>2</v>
      </c>
      <c r="AR1994" s="1"/>
      <c r="AS1994" s="1"/>
      <c r="AT1994" s="1">
        <v>0</v>
      </c>
      <c r="AU1994" s="1">
        <v>0</v>
      </c>
      <c r="AV1994" s="1">
        <v>0</v>
      </c>
      <c r="AW1994" s="1">
        <v>0</v>
      </c>
      <c r="AX1994" s="1">
        <v>0</v>
      </c>
      <c r="AY1994" s="1">
        <v>0</v>
      </c>
      <c r="AZ1994" s="1">
        <v>0</v>
      </c>
      <c r="BA1994" s="1">
        <v>0</v>
      </c>
      <c r="BB1994" s="1">
        <v>0</v>
      </c>
      <c r="BC1994" s="1">
        <v>0</v>
      </c>
      <c r="BD1994" s="1">
        <v>0</v>
      </c>
      <c r="BE1994" s="1">
        <v>0</v>
      </c>
      <c r="BF1994" s="1">
        <v>0</v>
      </c>
      <c r="BG1994" s="1">
        <v>1</v>
      </c>
      <c r="BH1994" s="1">
        <v>0</v>
      </c>
      <c r="BI1994" s="1">
        <v>0</v>
      </c>
      <c r="BJ1994" s="1">
        <v>0</v>
      </c>
      <c r="BK1994" s="1">
        <v>0</v>
      </c>
      <c r="BL1994" s="1">
        <v>0</v>
      </c>
      <c r="BM1994" s="1">
        <v>0</v>
      </c>
      <c r="BN1994" s="1">
        <v>0</v>
      </c>
      <c r="BO1994" s="1">
        <v>0</v>
      </c>
      <c r="BP1994" s="1">
        <v>0</v>
      </c>
      <c r="BQ1994" s="1">
        <v>0</v>
      </c>
      <c r="BR1994" s="1">
        <v>0</v>
      </c>
      <c r="BS1994" s="1" t="s">
        <v>109</v>
      </c>
      <c r="BT1994" s="1">
        <v>2068</v>
      </c>
      <c r="BU1994" s="1" t="s">
        <v>109</v>
      </c>
      <c r="BV1994" s="1"/>
      <c r="BW1994" s="1"/>
      <c r="BX1994" s="1"/>
      <c r="BY1994" s="1"/>
      <c r="BZ1994" s="1">
        <v>0</v>
      </c>
      <c r="CA1994" s="1">
        <v>2</v>
      </c>
      <c r="CB1994" s="1" t="s">
        <v>109</v>
      </c>
      <c r="CC1994" s="1" t="s">
        <v>109</v>
      </c>
      <c r="CD1994" s="1" t="s">
        <v>109</v>
      </c>
      <c r="CE1994" s="1" t="s">
        <v>109</v>
      </c>
      <c r="CF1994" s="1" t="s">
        <v>109</v>
      </c>
      <c r="CG1994" s="1" t="s">
        <v>109</v>
      </c>
      <c r="CH1994" s="1" t="s">
        <v>109</v>
      </c>
      <c r="CI1994" s="1" t="s">
        <v>109</v>
      </c>
      <c r="CJ1994" s="1">
        <v>2</v>
      </c>
      <c r="CK1994" s="1"/>
      <c r="CL1994" s="1">
        <v>0</v>
      </c>
      <c r="CM1994" s="1">
        <v>0</v>
      </c>
      <c r="CN1994" s="1">
        <v>0</v>
      </c>
    </row>
    <row r="1995" spans="1:92" ht="14.25" customHeight="1" x14ac:dyDescent="0.15">
      <c r="A1995" s="1" t="s">
        <v>14602</v>
      </c>
      <c r="B1995" s="1" t="s">
        <v>95</v>
      </c>
      <c r="C1995" s="1" t="s">
        <v>96</v>
      </c>
      <c r="D1995" s="1" t="s">
        <v>60</v>
      </c>
      <c r="E1995" s="1" t="s">
        <v>14603</v>
      </c>
      <c r="F1995" s="1" t="s">
        <v>98</v>
      </c>
      <c r="G1995" s="1" t="s">
        <v>141</v>
      </c>
      <c r="H1995" s="1">
        <v>0</v>
      </c>
      <c r="I1995" s="1" t="s">
        <v>925</v>
      </c>
      <c r="J1995" s="1"/>
      <c r="K1995" s="1" t="s">
        <v>14604</v>
      </c>
      <c r="L1995" s="1"/>
      <c r="M1995" s="1" t="s">
        <v>3042</v>
      </c>
      <c r="N1995" s="1">
        <v>0</v>
      </c>
      <c r="O1995" s="1">
        <v>0</v>
      </c>
      <c r="P1995" s="1"/>
      <c r="Q1995" s="1"/>
      <c r="R1995" s="1" t="s">
        <v>14605</v>
      </c>
      <c r="S1995" s="1" t="s">
        <v>14606</v>
      </c>
      <c r="T1995" s="1" t="s">
        <v>14579</v>
      </c>
      <c r="U1995" s="1" t="s">
        <v>14607</v>
      </c>
      <c r="V1995" s="1">
        <v>1</v>
      </c>
      <c r="W1995" s="1">
        <v>1</v>
      </c>
      <c r="X1995" s="1">
        <v>0</v>
      </c>
      <c r="Y1995" s="1">
        <v>0</v>
      </c>
      <c r="Z1995" s="1">
        <v>0</v>
      </c>
      <c r="AA1995" s="1">
        <v>2</v>
      </c>
      <c r="AB1995" s="1">
        <v>2</v>
      </c>
      <c r="AC1995" s="1">
        <v>2</v>
      </c>
      <c r="AD1995" s="1" t="s">
        <v>109</v>
      </c>
      <c r="AE1995" s="1" t="s">
        <v>109</v>
      </c>
      <c r="AF1995" s="1">
        <v>2</v>
      </c>
      <c r="AG1995" s="1" t="s">
        <v>109</v>
      </c>
      <c r="AH1995" s="1" t="s">
        <v>109</v>
      </c>
      <c r="AI1995" s="1" t="s">
        <v>109</v>
      </c>
      <c r="AJ1995" s="1" t="s">
        <v>109</v>
      </c>
      <c r="AK1995" s="1">
        <v>2</v>
      </c>
      <c r="AL1995" s="1">
        <v>2</v>
      </c>
      <c r="AM1995" s="1" t="s">
        <v>109</v>
      </c>
      <c r="AN1995" s="1">
        <v>2</v>
      </c>
      <c r="AO1995" s="1" t="s">
        <v>109</v>
      </c>
      <c r="AP1995" s="1"/>
      <c r="AQ1995" s="1">
        <v>2</v>
      </c>
      <c r="AR1995" s="1"/>
      <c r="AS1995" s="1"/>
      <c r="AT1995" s="1">
        <v>0</v>
      </c>
      <c r="AU1995" s="1">
        <v>0</v>
      </c>
      <c r="AV1995" s="1">
        <v>0</v>
      </c>
      <c r="AW1995" s="1">
        <v>0</v>
      </c>
      <c r="AX1995" s="1">
        <v>0</v>
      </c>
      <c r="AY1995" s="1">
        <v>0</v>
      </c>
      <c r="AZ1995" s="1">
        <v>0</v>
      </c>
      <c r="BA1995" s="1">
        <v>0</v>
      </c>
      <c r="BB1995" s="1">
        <v>0</v>
      </c>
      <c r="BC1995" s="1">
        <v>0</v>
      </c>
      <c r="BD1995" s="1">
        <v>0</v>
      </c>
      <c r="BE1995" s="1">
        <v>0</v>
      </c>
      <c r="BF1995" s="1">
        <v>0</v>
      </c>
      <c r="BG1995" s="1">
        <v>0</v>
      </c>
      <c r="BH1995" s="1">
        <v>1</v>
      </c>
      <c r="BI1995" s="1">
        <v>0</v>
      </c>
      <c r="BJ1995" s="1">
        <v>0</v>
      </c>
      <c r="BK1995" s="1">
        <v>0</v>
      </c>
      <c r="BL1995" s="1">
        <v>0</v>
      </c>
      <c r="BM1995" s="1">
        <v>0</v>
      </c>
      <c r="BN1995" s="1">
        <v>0</v>
      </c>
      <c r="BO1995" s="1">
        <v>0</v>
      </c>
      <c r="BP1995" s="1">
        <v>0</v>
      </c>
      <c r="BQ1995" s="1">
        <v>0</v>
      </c>
      <c r="BR1995" s="1">
        <v>0</v>
      </c>
      <c r="BS1995" s="1" t="s">
        <v>109</v>
      </c>
      <c r="BT1995" s="1">
        <v>2069</v>
      </c>
      <c r="BU1995" s="1" t="s">
        <v>109</v>
      </c>
      <c r="BV1995" s="1"/>
      <c r="BW1995" s="1"/>
      <c r="BX1995" s="1"/>
      <c r="BY1995" s="1"/>
      <c r="BZ1995" s="1">
        <v>0</v>
      </c>
      <c r="CA1995" s="1">
        <v>2</v>
      </c>
      <c r="CB1995" s="1" t="s">
        <v>109</v>
      </c>
      <c r="CC1995" s="1" t="s">
        <v>109</v>
      </c>
      <c r="CD1995" s="1" t="s">
        <v>109</v>
      </c>
      <c r="CE1995" s="1" t="s">
        <v>109</v>
      </c>
      <c r="CF1995" s="1" t="s">
        <v>109</v>
      </c>
      <c r="CG1995" s="1" t="s">
        <v>109</v>
      </c>
      <c r="CH1995" s="1" t="s">
        <v>109</v>
      </c>
      <c r="CI1995" s="1" t="s">
        <v>109</v>
      </c>
      <c r="CJ1995" s="1" t="s">
        <v>109</v>
      </c>
      <c r="CK1995" s="1"/>
      <c r="CL1995" s="1">
        <v>0</v>
      </c>
      <c r="CM1995" s="1">
        <v>0</v>
      </c>
      <c r="CN1995" s="1">
        <v>0</v>
      </c>
    </row>
    <row r="1996" spans="1:92" ht="14.25" customHeight="1" x14ac:dyDescent="0.15">
      <c r="A1996" s="1" t="s">
        <v>14608</v>
      </c>
      <c r="B1996" s="1" t="s">
        <v>308</v>
      </c>
      <c r="C1996" s="1"/>
      <c r="D1996" s="1" t="s">
        <v>57</v>
      </c>
      <c r="E1996" s="1" t="s">
        <v>14609</v>
      </c>
      <c r="F1996" s="1" t="s">
        <v>98</v>
      </c>
      <c r="G1996" s="1" t="s">
        <v>160</v>
      </c>
      <c r="H1996" s="1">
        <v>0</v>
      </c>
      <c r="I1996" s="1" t="s">
        <v>161</v>
      </c>
      <c r="J1996" s="1"/>
      <c r="K1996" s="1"/>
      <c r="L1996" s="1" t="s">
        <v>639</v>
      </c>
      <c r="M1996" s="1" t="s">
        <v>125</v>
      </c>
      <c r="N1996" s="1">
        <v>0</v>
      </c>
      <c r="O1996" s="1">
        <v>0</v>
      </c>
      <c r="P1996" s="1" t="s">
        <v>103</v>
      </c>
      <c r="Q1996" s="1" t="s">
        <v>104</v>
      </c>
      <c r="R1996" s="1" t="s">
        <v>14610</v>
      </c>
      <c r="S1996" s="1" t="s">
        <v>14611</v>
      </c>
      <c r="T1996" s="1" t="s">
        <v>14579</v>
      </c>
      <c r="U1996" s="1" t="s">
        <v>14612</v>
      </c>
      <c r="V1996" s="1">
        <v>1</v>
      </c>
      <c r="W1996" s="1">
        <v>1</v>
      </c>
      <c r="X1996" s="1">
        <v>0</v>
      </c>
      <c r="Y1996" s="1">
        <v>0</v>
      </c>
      <c r="Z1996" s="1">
        <v>1</v>
      </c>
      <c r="AA1996" s="1" t="s">
        <v>109</v>
      </c>
      <c r="AB1996" s="1" t="s">
        <v>109</v>
      </c>
      <c r="AC1996" s="1">
        <v>3</v>
      </c>
      <c r="AD1996" s="1" t="s">
        <v>109</v>
      </c>
      <c r="AE1996" s="1" t="s">
        <v>109</v>
      </c>
      <c r="AF1996" s="1" t="s">
        <v>109</v>
      </c>
      <c r="AG1996" s="1" t="s">
        <v>109</v>
      </c>
      <c r="AH1996" s="1" t="s">
        <v>109</v>
      </c>
      <c r="AI1996" s="1" t="s">
        <v>109</v>
      </c>
      <c r="AJ1996" s="1">
        <v>3</v>
      </c>
      <c r="AK1996" s="1">
        <v>3</v>
      </c>
      <c r="AL1996" s="1">
        <v>3</v>
      </c>
      <c r="AM1996" s="1">
        <v>2</v>
      </c>
      <c r="AN1996" s="1" t="s">
        <v>109</v>
      </c>
      <c r="AO1996" s="1" t="s">
        <v>109</v>
      </c>
      <c r="AP1996" s="1"/>
      <c r="AQ1996" s="1">
        <v>3</v>
      </c>
      <c r="AR1996" s="1"/>
      <c r="AS1996" s="1"/>
      <c r="AT1996" s="1">
        <v>0</v>
      </c>
      <c r="AU1996" s="1">
        <v>0</v>
      </c>
      <c r="AV1996" s="1">
        <v>0</v>
      </c>
      <c r="AW1996" s="1">
        <v>0</v>
      </c>
      <c r="AX1996" s="1">
        <v>0</v>
      </c>
      <c r="AY1996" s="1">
        <v>0</v>
      </c>
      <c r="AZ1996" s="1">
        <v>0</v>
      </c>
      <c r="BA1996" s="1">
        <v>0</v>
      </c>
      <c r="BB1996" s="1">
        <v>0</v>
      </c>
      <c r="BC1996" s="1">
        <v>0</v>
      </c>
      <c r="BD1996" s="1">
        <v>0</v>
      </c>
      <c r="BE1996" s="1">
        <v>1</v>
      </c>
      <c r="BF1996" s="1">
        <v>0</v>
      </c>
      <c r="BG1996" s="1">
        <v>0</v>
      </c>
      <c r="BH1996" s="1">
        <v>0</v>
      </c>
      <c r="BI1996" s="1">
        <v>0</v>
      </c>
      <c r="BJ1996" s="1">
        <v>0</v>
      </c>
      <c r="BK1996" s="1">
        <v>0</v>
      </c>
      <c r="BL1996" s="1">
        <v>0</v>
      </c>
      <c r="BM1996" s="1">
        <v>0</v>
      </c>
      <c r="BN1996" s="1">
        <v>0</v>
      </c>
      <c r="BO1996" s="1">
        <v>0</v>
      </c>
      <c r="BP1996" s="1">
        <v>0</v>
      </c>
      <c r="BQ1996" s="1">
        <v>0</v>
      </c>
      <c r="BR1996" s="1">
        <v>0</v>
      </c>
      <c r="BS1996" s="1" t="s">
        <v>109</v>
      </c>
      <c r="BT1996" s="1">
        <v>2070</v>
      </c>
      <c r="BU1996" s="1" t="s">
        <v>109</v>
      </c>
      <c r="BV1996" s="1"/>
      <c r="BW1996" s="1"/>
      <c r="BX1996" s="1"/>
      <c r="BY1996" s="1"/>
      <c r="BZ1996" s="1">
        <v>0</v>
      </c>
      <c r="CA1996" s="1">
        <v>2</v>
      </c>
      <c r="CB1996" s="1" t="s">
        <v>109</v>
      </c>
      <c r="CC1996" s="1" t="s">
        <v>109</v>
      </c>
      <c r="CD1996" s="1" t="s">
        <v>109</v>
      </c>
      <c r="CE1996" s="1" t="s">
        <v>109</v>
      </c>
      <c r="CF1996" s="1" t="s">
        <v>109</v>
      </c>
      <c r="CG1996" s="1" t="s">
        <v>109</v>
      </c>
      <c r="CH1996" s="1" t="s">
        <v>109</v>
      </c>
      <c r="CI1996" s="1" t="s">
        <v>109</v>
      </c>
      <c r="CJ1996" s="1" t="s">
        <v>109</v>
      </c>
      <c r="CK1996" s="1"/>
      <c r="CL1996" s="1">
        <v>0</v>
      </c>
      <c r="CM1996" s="1">
        <v>0</v>
      </c>
      <c r="CN1996" s="1">
        <v>0</v>
      </c>
    </row>
    <row r="1997" spans="1:92" ht="14.25" customHeight="1" x14ac:dyDescent="0.15">
      <c r="A1997" s="1" t="s">
        <v>14613</v>
      </c>
      <c r="B1997" s="1" t="s">
        <v>189</v>
      </c>
      <c r="C1997" s="1"/>
      <c r="D1997" s="1"/>
      <c r="E1997" s="1" t="s">
        <v>14614</v>
      </c>
      <c r="F1997" s="1" t="s">
        <v>98</v>
      </c>
      <c r="G1997" s="1" t="s">
        <v>14615</v>
      </c>
      <c r="H1997" s="1">
        <v>0</v>
      </c>
      <c r="I1997" s="1" t="s">
        <v>235</v>
      </c>
      <c r="J1997" s="1"/>
      <c r="K1997" s="1"/>
      <c r="L1997" s="1"/>
      <c r="M1997" s="1" t="s">
        <v>5642</v>
      </c>
      <c r="N1997" s="1">
        <v>0</v>
      </c>
      <c r="O1997" s="1">
        <v>0</v>
      </c>
      <c r="P1997" s="1"/>
      <c r="Q1997" s="1"/>
      <c r="R1997" s="1" t="s">
        <v>14616</v>
      </c>
      <c r="S1997" s="1" t="s">
        <v>14617</v>
      </c>
      <c r="T1997" s="1" t="s">
        <v>14579</v>
      </c>
      <c r="U1997" s="1" t="s">
        <v>14618</v>
      </c>
      <c r="V1997" s="1">
        <v>1</v>
      </c>
      <c r="W1997" s="1">
        <v>1</v>
      </c>
      <c r="X1997" s="1">
        <v>1</v>
      </c>
      <c r="Y1997" s="1">
        <v>0</v>
      </c>
      <c r="Z1997" s="1">
        <v>0</v>
      </c>
      <c r="AA1997" s="1">
        <v>5</v>
      </c>
      <c r="AB1997" s="1">
        <v>5</v>
      </c>
      <c r="AC1997" s="1" t="s">
        <v>109</v>
      </c>
      <c r="AD1997" s="1" t="s">
        <v>109</v>
      </c>
      <c r="AE1997" s="1" t="s">
        <v>109</v>
      </c>
      <c r="AF1997" s="1" t="s">
        <v>109</v>
      </c>
      <c r="AG1997" s="1" t="s">
        <v>109</v>
      </c>
      <c r="AH1997" s="1">
        <v>4</v>
      </c>
      <c r="AI1997" s="1" t="s">
        <v>109</v>
      </c>
      <c r="AJ1997" s="1">
        <v>5</v>
      </c>
      <c r="AK1997" s="1" t="s">
        <v>109</v>
      </c>
      <c r="AL1997" s="1" t="s">
        <v>109</v>
      </c>
      <c r="AM1997" s="1" t="s">
        <v>109</v>
      </c>
      <c r="AN1997" s="1">
        <v>4</v>
      </c>
      <c r="AO1997" s="1" t="s">
        <v>109</v>
      </c>
      <c r="AP1997" s="1"/>
      <c r="AQ1997" s="1">
        <v>5</v>
      </c>
      <c r="AR1997" s="1"/>
      <c r="AS1997" s="1"/>
      <c r="AT1997" s="1">
        <v>0</v>
      </c>
      <c r="AU1997" s="1">
        <v>0</v>
      </c>
      <c r="AV1997" s="1">
        <v>0</v>
      </c>
      <c r="AW1997" s="1">
        <v>0</v>
      </c>
      <c r="AX1997" s="1">
        <v>0</v>
      </c>
      <c r="AY1997" s="1">
        <v>0</v>
      </c>
      <c r="AZ1997" s="1">
        <v>0</v>
      </c>
      <c r="BA1997" s="1">
        <v>0</v>
      </c>
      <c r="BB1997" s="1">
        <v>0</v>
      </c>
      <c r="BC1997" s="1">
        <v>0</v>
      </c>
      <c r="BD1997" s="1">
        <v>0</v>
      </c>
      <c r="BE1997" s="1">
        <v>0</v>
      </c>
      <c r="BF1997" s="1">
        <v>0</v>
      </c>
      <c r="BG1997" s="1">
        <v>0</v>
      </c>
      <c r="BH1997" s="1">
        <v>0</v>
      </c>
      <c r="BI1997" s="1">
        <v>0</v>
      </c>
      <c r="BJ1997" s="1">
        <v>0</v>
      </c>
      <c r="BK1997" s="1">
        <v>0</v>
      </c>
      <c r="BL1997" s="1">
        <v>0</v>
      </c>
      <c r="BM1997" s="1">
        <v>0</v>
      </c>
      <c r="BN1997" s="1">
        <v>0</v>
      </c>
      <c r="BO1997" s="1">
        <v>0</v>
      </c>
      <c r="BP1997" s="1">
        <v>0</v>
      </c>
      <c r="BQ1997" s="1">
        <v>0</v>
      </c>
      <c r="BR1997" s="1">
        <v>0</v>
      </c>
      <c r="BS1997" s="1" t="s">
        <v>109</v>
      </c>
      <c r="BT1997" s="1">
        <v>2071</v>
      </c>
      <c r="BU1997" s="1" t="s">
        <v>109</v>
      </c>
      <c r="BV1997" s="1"/>
      <c r="BW1997" s="1"/>
      <c r="BX1997" s="1"/>
      <c r="BY1997" s="1"/>
      <c r="BZ1997" s="1">
        <v>0</v>
      </c>
      <c r="CA1997" s="1" t="s">
        <v>109</v>
      </c>
      <c r="CB1997" s="1" t="s">
        <v>109</v>
      </c>
      <c r="CC1997" s="1" t="s">
        <v>109</v>
      </c>
      <c r="CD1997" s="1" t="s">
        <v>109</v>
      </c>
      <c r="CE1997" s="1" t="s">
        <v>109</v>
      </c>
      <c r="CF1997" s="1" t="s">
        <v>109</v>
      </c>
      <c r="CG1997" s="1" t="s">
        <v>109</v>
      </c>
      <c r="CH1997" s="1" t="s">
        <v>109</v>
      </c>
      <c r="CI1997" s="1" t="s">
        <v>109</v>
      </c>
      <c r="CJ1997" s="1" t="s">
        <v>109</v>
      </c>
      <c r="CK1997" s="1"/>
      <c r="CL1997" s="1">
        <v>0</v>
      </c>
      <c r="CM1997" s="1">
        <v>0</v>
      </c>
      <c r="CN1997" s="1">
        <v>0</v>
      </c>
    </row>
    <row r="1998" spans="1:92" ht="14.25" customHeight="1" x14ac:dyDescent="0.15">
      <c r="A1998" s="1" t="s">
        <v>14619</v>
      </c>
      <c r="B1998" s="1" t="s">
        <v>674</v>
      </c>
      <c r="C1998" s="1"/>
      <c r="D1998" s="1" t="s">
        <v>14620</v>
      </c>
      <c r="E1998" s="1" t="s">
        <v>14621</v>
      </c>
      <c r="F1998" s="1" t="s">
        <v>98</v>
      </c>
      <c r="G1998" s="1" t="s">
        <v>14622</v>
      </c>
      <c r="H1998" s="1">
        <v>0</v>
      </c>
      <c r="I1998" s="1" t="s">
        <v>161</v>
      </c>
      <c r="J1998" s="1"/>
      <c r="K1998" s="1"/>
      <c r="L1998" s="1" t="s">
        <v>2653</v>
      </c>
      <c r="M1998" s="1" t="s">
        <v>125</v>
      </c>
      <c r="N1998" s="1">
        <v>0</v>
      </c>
      <c r="O1998" s="1">
        <v>0</v>
      </c>
      <c r="P1998" s="1" t="s">
        <v>103</v>
      </c>
      <c r="Q1998" s="1" t="s">
        <v>268</v>
      </c>
      <c r="R1998" s="1" t="s">
        <v>14623</v>
      </c>
      <c r="S1998" s="1" t="s">
        <v>14624</v>
      </c>
      <c r="T1998" s="1" t="s">
        <v>14579</v>
      </c>
      <c r="U1998" s="1" t="s">
        <v>14625</v>
      </c>
      <c r="V1998" s="1">
        <v>1</v>
      </c>
      <c r="W1998" s="1">
        <v>1</v>
      </c>
      <c r="X1998" s="1">
        <v>1</v>
      </c>
      <c r="Y1998" s="1">
        <v>0</v>
      </c>
      <c r="Z1998" s="1">
        <v>0</v>
      </c>
      <c r="AA1998" s="1">
        <v>2</v>
      </c>
      <c r="AB1998" s="1">
        <v>2</v>
      </c>
      <c r="AC1998" s="1" t="s">
        <v>109</v>
      </c>
      <c r="AD1998" s="1" t="s">
        <v>109</v>
      </c>
      <c r="AE1998" s="1" t="s">
        <v>109</v>
      </c>
      <c r="AF1998" s="1">
        <v>2</v>
      </c>
      <c r="AG1998" s="1" t="s">
        <v>109</v>
      </c>
      <c r="AH1998" s="1" t="s">
        <v>109</v>
      </c>
      <c r="AI1998" s="1" t="s">
        <v>109</v>
      </c>
      <c r="AJ1998" s="1">
        <v>2</v>
      </c>
      <c r="AK1998" s="1" t="s">
        <v>109</v>
      </c>
      <c r="AL1998" s="1" t="s">
        <v>109</v>
      </c>
      <c r="AM1998" s="1">
        <v>2</v>
      </c>
      <c r="AN1998" s="1">
        <v>2</v>
      </c>
      <c r="AO1998" s="1" t="s">
        <v>109</v>
      </c>
      <c r="AP1998" s="1"/>
      <c r="AQ1998" s="1">
        <v>2</v>
      </c>
      <c r="AR1998" s="1"/>
      <c r="AS1998" s="1"/>
      <c r="AT1998" s="1">
        <v>0</v>
      </c>
      <c r="AU1998" s="1">
        <v>0</v>
      </c>
      <c r="AV1998" s="1">
        <v>0</v>
      </c>
      <c r="AW1998" s="1">
        <v>1</v>
      </c>
      <c r="AX1998" s="1">
        <v>0</v>
      </c>
      <c r="AY1998" s="1">
        <v>0</v>
      </c>
      <c r="AZ1998" s="1">
        <v>0</v>
      </c>
      <c r="BA1998" s="1">
        <v>0</v>
      </c>
      <c r="BB1998" s="1">
        <v>0</v>
      </c>
      <c r="BC1998" s="1">
        <v>0</v>
      </c>
      <c r="BD1998" s="1">
        <v>0</v>
      </c>
      <c r="BE1998" s="1">
        <v>0</v>
      </c>
      <c r="BF1998" s="1">
        <v>0</v>
      </c>
      <c r="BG1998" s="1">
        <v>0</v>
      </c>
      <c r="BH1998" s="1">
        <v>0</v>
      </c>
      <c r="BI1998" s="1">
        <v>0</v>
      </c>
      <c r="BJ1998" s="1">
        <v>0</v>
      </c>
      <c r="BK1998" s="1">
        <v>0</v>
      </c>
      <c r="BL1998" s="1">
        <v>0</v>
      </c>
      <c r="BM1998" s="1">
        <v>0</v>
      </c>
      <c r="BN1998" s="1">
        <v>0</v>
      </c>
      <c r="BO1998" s="1">
        <v>0</v>
      </c>
      <c r="BP1998" s="1">
        <v>1</v>
      </c>
      <c r="BQ1998" s="1">
        <v>0</v>
      </c>
      <c r="BR1998" s="1">
        <v>0</v>
      </c>
      <c r="BS1998" s="1" t="s">
        <v>109</v>
      </c>
      <c r="BT1998" s="1">
        <v>2072</v>
      </c>
      <c r="BU1998" s="1" t="s">
        <v>109</v>
      </c>
      <c r="BV1998" s="1"/>
      <c r="BW1998" s="1"/>
      <c r="BX1998" s="1"/>
      <c r="BY1998" s="1"/>
      <c r="BZ1998" s="1">
        <v>0</v>
      </c>
      <c r="CA1998" s="1" t="s">
        <v>109</v>
      </c>
      <c r="CB1998" s="1" t="s">
        <v>109</v>
      </c>
      <c r="CC1998" s="1" t="s">
        <v>109</v>
      </c>
      <c r="CD1998" s="1" t="s">
        <v>109</v>
      </c>
      <c r="CE1998" s="1" t="s">
        <v>109</v>
      </c>
      <c r="CF1998" s="1" t="s">
        <v>109</v>
      </c>
      <c r="CG1998" s="1" t="s">
        <v>109</v>
      </c>
      <c r="CH1998" s="1" t="s">
        <v>109</v>
      </c>
      <c r="CI1998" s="1" t="s">
        <v>109</v>
      </c>
      <c r="CJ1998" s="1" t="s">
        <v>109</v>
      </c>
      <c r="CK1998" s="1"/>
      <c r="CL1998" s="1">
        <v>0</v>
      </c>
      <c r="CM1998" s="1">
        <v>0</v>
      </c>
      <c r="CN1998" s="1">
        <v>0</v>
      </c>
    </row>
    <row r="1999" spans="1:92" ht="14.25" customHeight="1" x14ac:dyDescent="0.15">
      <c r="A1999" s="1" t="s">
        <v>14626</v>
      </c>
      <c r="B1999" s="1" t="s">
        <v>95</v>
      </c>
      <c r="C1999" s="1" t="s">
        <v>96</v>
      </c>
      <c r="D1999" s="1"/>
      <c r="E1999" s="1" t="s">
        <v>14627</v>
      </c>
      <c r="F1999" s="1" t="s">
        <v>98</v>
      </c>
      <c r="G1999" s="1" t="s">
        <v>141</v>
      </c>
      <c r="H1999" s="1">
        <v>0</v>
      </c>
      <c r="I1999" s="1" t="s">
        <v>235</v>
      </c>
      <c r="J1999" s="1"/>
      <c r="K1999" s="1"/>
      <c r="L1999" s="1" t="s">
        <v>236</v>
      </c>
      <c r="M1999" s="1" t="s">
        <v>6144</v>
      </c>
      <c r="N1999" s="1">
        <v>1</v>
      </c>
      <c r="O1999" s="1">
        <v>0</v>
      </c>
      <c r="P1999" s="1" t="s">
        <v>11863</v>
      </c>
      <c r="Q1999" s="1" t="s">
        <v>268</v>
      </c>
      <c r="R1999" s="1" t="s">
        <v>14628</v>
      </c>
      <c r="S1999" s="1" t="s">
        <v>14629</v>
      </c>
      <c r="T1999" s="1" t="s">
        <v>14579</v>
      </c>
      <c r="U1999" s="1" t="s">
        <v>14630</v>
      </c>
      <c r="V1999" s="1">
        <v>1</v>
      </c>
      <c r="W1999" s="1">
        <v>1</v>
      </c>
      <c r="X1999" s="1">
        <v>0</v>
      </c>
      <c r="Y1999" s="1">
        <v>0</v>
      </c>
      <c r="Z1999" s="1">
        <v>0</v>
      </c>
      <c r="AA1999" s="1">
        <v>2</v>
      </c>
      <c r="AB1999" s="1">
        <v>2</v>
      </c>
      <c r="AC1999" s="1" t="s">
        <v>109</v>
      </c>
      <c r="AD1999" s="1">
        <v>2</v>
      </c>
      <c r="AE1999" s="1">
        <v>2</v>
      </c>
      <c r="AF1999" s="1" t="s">
        <v>109</v>
      </c>
      <c r="AG1999" s="1" t="s">
        <v>109</v>
      </c>
      <c r="AH1999" s="1">
        <v>2</v>
      </c>
      <c r="AI1999" s="1" t="s">
        <v>109</v>
      </c>
      <c r="AJ1999" s="1" t="s">
        <v>109</v>
      </c>
      <c r="AK1999" s="1" t="s">
        <v>109</v>
      </c>
      <c r="AL1999" s="1" t="s">
        <v>109</v>
      </c>
      <c r="AM1999" s="1">
        <v>2</v>
      </c>
      <c r="AN1999" s="1" t="s">
        <v>109</v>
      </c>
      <c r="AO1999" s="1" t="s">
        <v>109</v>
      </c>
      <c r="AP1999" s="1"/>
      <c r="AQ1999" s="1">
        <v>2</v>
      </c>
      <c r="AR1999" s="1"/>
      <c r="AS1999" s="1"/>
      <c r="AT1999" s="1">
        <v>0</v>
      </c>
      <c r="AU1999" s="1">
        <v>0</v>
      </c>
      <c r="AV1999" s="1">
        <v>0</v>
      </c>
      <c r="AW1999" s="1">
        <v>0</v>
      </c>
      <c r="AX1999" s="1">
        <v>0</v>
      </c>
      <c r="AY1999" s="1">
        <v>0</v>
      </c>
      <c r="AZ1999" s="1">
        <v>0</v>
      </c>
      <c r="BA1999" s="1">
        <v>0</v>
      </c>
      <c r="BB1999" s="1">
        <v>0</v>
      </c>
      <c r="BC1999" s="1">
        <v>0</v>
      </c>
      <c r="BD1999" s="1">
        <v>0</v>
      </c>
      <c r="BE1999" s="1">
        <v>0</v>
      </c>
      <c r="BF1999" s="1">
        <v>0</v>
      </c>
      <c r="BG1999" s="1">
        <v>0</v>
      </c>
      <c r="BH1999" s="1">
        <v>0</v>
      </c>
      <c r="BI1999" s="1">
        <v>0</v>
      </c>
      <c r="BJ1999" s="1">
        <v>0</v>
      </c>
      <c r="BK1999" s="1">
        <v>0</v>
      </c>
      <c r="BL1999" s="1">
        <v>0</v>
      </c>
      <c r="BM1999" s="1">
        <v>0</v>
      </c>
      <c r="BN1999" s="1">
        <v>0</v>
      </c>
      <c r="BO1999" s="1">
        <v>0</v>
      </c>
      <c r="BP1999" s="1">
        <v>0</v>
      </c>
      <c r="BQ1999" s="1">
        <v>0</v>
      </c>
      <c r="BR1999" s="1">
        <v>0</v>
      </c>
      <c r="BS1999" s="1" t="s">
        <v>109</v>
      </c>
      <c r="BT1999" s="1">
        <v>2073</v>
      </c>
      <c r="BU1999" s="1" t="s">
        <v>109</v>
      </c>
      <c r="BV1999" s="1"/>
      <c r="BW1999" s="1"/>
      <c r="BX1999" s="1"/>
      <c r="BY1999" s="1"/>
      <c r="BZ1999" s="1">
        <v>0</v>
      </c>
      <c r="CA1999" s="1">
        <v>2</v>
      </c>
      <c r="CB1999" s="1">
        <v>2</v>
      </c>
      <c r="CC1999" s="1" t="s">
        <v>109</v>
      </c>
      <c r="CD1999" s="1" t="s">
        <v>109</v>
      </c>
      <c r="CE1999" s="1" t="s">
        <v>109</v>
      </c>
      <c r="CF1999" s="1" t="s">
        <v>109</v>
      </c>
      <c r="CG1999" s="1" t="s">
        <v>109</v>
      </c>
      <c r="CH1999" s="1" t="s">
        <v>109</v>
      </c>
      <c r="CI1999" s="1" t="s">
        <v>109</v>
      </c>
      <c r="CJ1999" s="1">
        <v>2</v>
      </c>
      <c r="CK1999" s="1"/>
      <c r="CL1999" s="1">
        <v>0</v>
      </c>
      <c r="CM1999" s="1">
        <v>0</v>
      </c>
      <c r="CN1999" s="1">
        <v>0</v>
      </c>
    </row>
    <row r="2000" spans="1:92" ht="14.25" customHeight="1" x14ac:dyDescent="0.15">
      <c r="A2000" s="1" t="s">
        <v>14631</v>
      </c>
      <c r="B2000" s="1" t="s">
        <v>189</v>
      </c>
      <c r="C2000" s="1"/>
      <c r="D2000" s="1"/>
      <c r="E2000" s="1" t="s">
        <v>14632</v>
      </c>
      <c r="F2000" s="1" t="s">
        <v>6545</v>
      </c>
      <c r="G2000" s="1" t="s">
        <v>333</v>
      </c>
      <c r="H2000" s="1">
        <v>0</v>
      </c>
      <c r="I2000" s="1" t="s">
        <v>235</v>
      </c>
      <c r="J2000" s="1"/>
      <c r="K2000" s="1"/>
      <c r="L2000" s="1" t="s">
        <v>236</v>
      </c>
      <c r="M2000" s="1" t="s">
        <v>355</v>
      </c>
      <c r="N2000" s="1">
        <v>0</v>
      </c>
      <c r="O2000" s="1">
        <v>0</v>
      </c>
      <c r="P2000" s="1"/>
      <c r="Q2000" s="1"/>
      <c r="R2000" s="1" t="s">
        <v>14633</v>
      </c>
      <c r="S2000" s="1" t="s">
        <v>14634</v>
      </c>
      <c r="T2000" s="1" t="s">
        <v>14635</v>
      </c>
      <c r="U2000" s="1" t="s">
        <v>14636</v>
      </c>
      <c r="V2000" s="1">
        <v>1</v>
      </c>
      <c r="W2000" s="1">
        <v>0</v>
      </c>
      <c r="X2000" s="1">
        <v>0</v>
      </c>
      <c r="Y2000" s="1">
        <v>0</v>
      </c>
      <c r="Z2000" s="1">
        <v>0</v>
      </c>
      <c r="AA2000" s="1" t="s">
        <v>109</v>
      </c>
      <c r="AB2000" s="1" t="s">
        <v>109</v>
      </c>
      <c r="AC2000" s="1" t="s">
        <v>109</v>
      </c>
      <c r="AD2000" s="1">
        <v>1</v>
      </c>
      <c r="AE2000" s="1">
        <v>1</v>
      </c>
      <c r="AF2000" s="1" t="s">
        <v>109</v>
      </c>
      <c r="AG2000" s="1" t="s">
        <v>109</v>
      </c>
      <c r="AH2000" s="1" t="s">
        <v>109</v>
      </c>
      <c r="AI2000" s="1" t="s">
        <v>109</v>
      </c>
      <c r="AJ2000" s="1">
        <v>1</v>
      </c>
      <c r="AK2000" s="1" t="s">
        <v>109</v>
      </c>
      <c r="AL2000" s="1" t="s">
        <v>109</v>
      </c>
      <c r="AM2000" s="1" t="s">
        <v>109</v>
      </c>
      <c r="AN2000" s="1" t="s">
        <v>109</v>
      </c>
      <c r="AO2000" s="1" t="s">
        <v>109</v>
      </c>
      <c r="AP2000" s="1"/>
      <c r="AQ2000" s="1">
        <v>1</v>
      </c>
      <c r="AR2000" s="1"/>
      <c r="AS2000" s="1"/>
      <c r="AT2000" s="1">
        <v>0</v>
      </c>
      <c r="AU2000" s="1">
        <v>0</v>
      </c>
      <c r="AV2000" s="1">
        <v>0</v>
      </c>
      <c r="AW2000" s="1">
        <v>0</v>
      </c>
      <c r="AX2000" s="1">
        <v>0</v>
      </c>
      <c r="AY2000" s="1">
        <v>0</v>
      </c>
      <c r="AZ2000" s="1">
        <v>0</v>
      </c>
      <c r="BA2000" s="1">
        <v>0</v>
      </c>
      <c r="BB2000" s="1">
        <v>0</v>
      </c>
      <c r="BC2000" s="1">
        <v>0</v>
      </c>
      <c r="BD2000" s="1">
        <v>0</v>
      </c>
      <c r="BE2000" s="1">
        <v>0</v>
      </c>
      <c r="BF2000" s="1">
        <v>0</v>
      </c>
      <c r="BG2000" s="1">
        <v>0</v>
      </c>
      <c r="BH2000" s="1">
        <v>0</v>
      </c>
      <c r="BI2000" s="1">
        <v>0</v>
      </c>
      <c r="BJ2000" s="1">
        <v>0</v>
      </c>
      <c r="BK2000" s="1">
        <v>0</v>
      </c>
      <c r="BL2000" s="1">
        <v>0</v>
      </c>
      <c r="BM2000" s="1">
        <v>0</v>
      </c>
      <c r="BN2000" s="1">
        <v>0</v>
      </c>
      <c r="BO2000" s="1">
        <v>0</v>
      </c>
      <c r="BP2000" s="1">
        <v>0</v>
      </c>
      <c r="BQ2000" s="1">
        <v>0</v>
      </c>
      <c r="BR2000" s="1">
        <v>0</v>
      </c>
      <c r="BS2000" s="1" t="s">
        <v>109</v>
      </c>
      <c r="BT2000" s="1">
        <v>2074</v>
      </c>
      <c r="BU2000" s="1" t="s">
        <v>109</v>
      </c>
      <c r="BV2000" s="1"/>
      <c r="BW2000" s="1"/>
      <c r="BX2000" s="1"/>
      <c r="BY2000" s="1"/>
      <c r="BZ2000" s="1">
        <v>0</v>
      </c>
      <c r="CA2000" s="1">
        <v>1</v>
      </c>
      <c r="CB2000" s="1">
        <v>1</v>
      </c>
      <c r="CC2000" s="1" t="s">
        <v>109</v>
      </c>
      <c r="CD2000" s="1" t="s">
        <v>109</v>
      </c>
      <c r="CE2000" s="1" t="s">
        <v>109</v>
      </c>
      <c r="CF2000" s="1" t="s">
        <v>109</v>
      </c>
      <c r="CG2000" s="1" t="s">
        <v>109</v>
      </c>
      <c r="CH2000" s="1" t="s">
        <v>109</v>
      </c>
      <c r="CI2000" s="1" t="s">
        <v>109</v>
      </c>
      <c r="CJ2000" s="1">
        <v>1</v>
      </c>
      <c r="CK2000" s="1"/>
      <c r="CL2000" s="1">
        <v>0</v>
      </c>
      <c r="CM2000" s="1">
        <v>0</v>
      </c>
      <c r="CN2000" s="1">
        <v>0</v>
      </c>
    </row>
    <row r="2001" spans="1:92" ht="14.25" customHeight="1" x14ac:dyDescent="0.15">
      <c r="A2001" s="1" t="s">
        <v>14637</v>
      </c>
      <c r="B2001" s="1" t="s">
        <v>189</v>
      </c>
      <c r="C2001" s="1"/>
      <c r="D2001" s="1"/>
      <c r="E2001" s="1" t="s">
        <v>14638</v>
      </c>
      <c r="F2001" s="1" t="s">
        <v>395</v>
      </c>
      <c r="G2001" s="1" t="s">
        <v>14639</v>
      </c>
      <c r="H2001" s="1">
        <v>0</v>
      </c>
      <c r="I2001" s="1" t="s">
        <v>142</v>
      </c>
      <c r="J2001" s="1"/>
      <c r="K2001" s="1" t="s">
        <v>14640</v>
      </c>
      <c r="L2001" s="1"/>
      <c r="M2001" s="1" t="s">
        <v>6719</v>
      </c>
      <c r="N2001" s="1">
        <v>1</v>
      </c>
      <c r="O2001" s="1">
        <v>0</v>
      </c>
      <c r="P2001" s="1" t="s">
        <v>103</v>
      </c>
      <c r="Q2001" s="1" t="s">
        <v>104</v>
      </c>
      <c r="R2001" s="1" t="s">
        <v>14641</v>
      </c>
      <c r="S2001" s="1" t="s">
        <v>14642</v>
      </c>
      <c r="T2001" s="1" t="s">
        <v>14635</v>
      </c>
      <c r="U2001" s="1" t="s">
        <v>14643</v>
      </c>
      <c r="V2001" s="1">
        <v>1</v>
      </c>
      <c r="W2001" s="1">
        <v>1</v>
      </c>
      <c r="X2001" s="1">
        <v>1</v>
      </c>
      <c r="Y2001" s="1">
        <v>0</v>
      </c>
      <c r="Z2001" s="1">
        <v>1</v>
      </c>
      <c r="AA2001" s="1" t="s">
        <v>109</v>
      </c>
      <c r="AB2001" s="1" t="s">
        <v>109</v>
      </c>
      <c r="AC2001" s="1" t="s">
        <v>109</v>
      </c>
      <c r="AD2001" s="1">
        <v>3</v>
      </c>
      <c r="AE2001" s="1">
        <v>2</v>
      </c>
      <c r="AF2001" s="1" t="s">
        <v>109</v>
      </c>
      <c r="AG2001" s="1" t="s">
        <v>109</v>
      </c>
      <c r="AH2001" s="1" t="s">
        <v>109</v>
      </c>
      <c r="AI2001" s="1" t="s">
        <v>109</v>
      </c>
      <c r="AJ2001" s="1">
        <v>3</v>
      </c>
      <c r="AK2001" s="1" t="s">
        <v>109</v>
      </c>
      <c r="AL2001" s="1" t="s">
        <v>109</v>
      </c>
      <c r="AM2001" s="1" t="s">
        <v>109</v>
      </c>
      <c r="AN2001" s="1" t="s">
        <v>109</v>
      </c>
      <c r="AO2001" s="1" t="s">
        <v>109</v>
      </c>
      <c r="AP2001" s="1"/>
      <c r="AQ2001" s="1">
        <v>3</v>
      </c>
      <c r="AR2001" s="1"/>
      <c r="AS2001" s="1"/>
      <c r="AT2001" s="1">
        <v>0</v>
      </c>
      <c r="AU2001" s="1">
        <v>0</v>
      </c>
      <c r="AV2001" s="1">
        <v>0</v>
      </c>
      <c r="AW2001" s="1">
        <v>0</v>
      </c>
      <c r="AX2001" s="1">
        <v>0</v>
      </c>
      <c r="AY2001" s="1">
        <v>0</v>
      </c>
      <c r="AZ2001" s="1">
        <v>0</v>
      </c>
      <c r="BA2001" s="1">
        <v>0</v>
      </c>
      <c r="BB2001" s="1">
        <v>0</v>
      </c>
      <c r="BC2001" s="1">
        <v>0</v>
      </c>
      <c r="BD2001" s="1">
        <v>0</v>
      </c>
      <c r="BE2001" s="1">
        <v>0</v>
      </c>
      <c r="BF2001" s="1">
        <v>0</v>
      </c>
      <c r="BG2001" s="1">
        <v>0</v>
      </c>
      <c r="BH2001" s="1">
        <v>0</v>
      </c>
      <c r="BI2001" s="1">
        <v>0</v>
      </c>
      <c r="BJ2001" s="1">
        <v>0</v>
      </c>
      <c r="BK2001" s="1">
        <v>0</v>
      </c>
      <c r="BL2001" s="1">
        <v>0</v>
      </c>
      <c r="BM2001" s="1">
        <v>0</v>
      </c>
      <c r="BN2001" s="1">
        <v>0</v>
      </c>
      <c r="BO2001" s="1">
        <v>0</v>
      </c>
      <c r="BP2001" s="1">
        <v>0</v>
      </c>
      <c r="BQ2001" s="1">
        <v>0</v>
      </c>
      <c r="BR2001" s="1">
        <v>0</v>
      </c>
      <c r="BS2001" s="1" t="s">
        <v>109</v>
      </c>
      <c r="BT2001" s="1">
        <v>2075</v>
      </c>
      <c r="BU2001" s="1" t="s">
        <v>109</v>
      </c>
      <c r="BV2001" s="1"/>
      <c r="BW2001" s="1"/>
      <c r="BX2001" s="1"/>
      <c r="BY2001" s="1"/>
      <c r="BZ2001" s="1">
        <v>0</v>
      </c>
      <c r="CA2001" s="1" t="s">
        <v>109</v>
      </c>
      <c r="CB2001" s="1">
        <v>3</v>
      </c>
      <c r="CC2001" s="1" t="s">
        <v>109</v>
      </c>
      <c r="CD2001" s="1" t="s">
        <v>109</v>
      </c>
      <c r="CE2001" s="1" t="s">
        <v>109</v>
      </c>
      <c r="CF2001" s="1" t="s">
        <v>109</v>
      </c>
      <c r="CG2001" s="1" t="s">
        <v>109</v>
      </c>
      <c r="CH2001" s="1" t="s">
        <v>109</v>
      </c>
      <c r="CI2001" s="1" t="s">
        <v>109</v>
      </c>
      <c r="CJ2001" s="1">
        <v>2</v>
      </c>
      <c r="CK2001" s="1"/>
      <c r="CL2001" s="1">
        <v>0</v>
      </c>
      <c r="CM2001" s="1">
        <v>0</v>
      </c>
      <c r="CN2001" s="1">
        <v>0</v>
      </c>
    </row>
    <row r="2002" spans="1:92" ht="14.25" customHeight="1" x14ac:dyDescent="0.15">
      <c r="A2002" s="1" t="s">
        <v>14644</v>
      </c>
      <c r="B2002" s="1" t="s">
        <v>242</v>
      </c>
      <c r="C2002" s="1"/>
      <c r="D2002" s="1"/>
      <c r="E2002" s="1" t="s">
        <v>14645</v>
      </c>
      <c r="F2002" s="1" t="s">
        <v>98</v>
      </c>
      <c r="G2002" s="1" t="s">
        <v>14646</v>
      </c>
      <c r="H2002" s="1">
        <v>0</v>
      </c>
      <c r="I2002" s="1" t="s">
        <v>915</v>
      </c>
      <c r="J2002" s="1" t="s">
        <v>10917</v>
      </c>
      <c r="K2002" s="1"/>
      <c r="L2002" s="1"/>
      <c r="M2002" s="1" t="s">
        <v>6144</v>
      </c>
      <c r="N2002" s="1">
        <v>1</v>
      </c>
      <c r="O2002" s="1">
        <v>0</v>
      </c>
      <c r="P2002" s="1" t="s">
        <v>103</v>
      </c>
      <c r="Q2002" s="1" t="s">
        <v>104</v>
      </c>
      <c r="R2002" s="1" t="s">
        <v>14647</v>
      </c>
      <c r="S2002" s="1" t="s">
        <v>14648</v>
      </c>
      <c r="T2002" s="1" t="s">
        <v>14635</v>
      </c>
      <c r="U2002" s="1" t="s">
        <v>14649</v>
      </c>
      <c r="V2002" s="1">
        <v>1</v>
      </c>
      <c r="W2002" s="1">
        <v>1</v>
      </c>
      <c r="X2002" s="1">
        <v>1</v>
      </c>
      <c r="Y2002" s="1">
        <v>0</v>
      </c>
      <c r="Z2002" s="1">
        <v>1</v>
      </c>
      <c r="AA2002" s="1">
        <v>5</v>
      </c>
      <c r="AB2002" s="1">
        <v>5</v>
      </c>
      <c r="AC2002" s="1">
        <v>4</v>
      </c>
      <c r="AD2002" s="1">
        <v>4</v>
      </c>
      <c r="AE2002" s="1" t="s">
        <v>109</v>
      </c>
      <c r="AF2002" s="1" t="s">
        <v>109</v>
      </c>
      <c r="AG2002" s="1" t="s">
        <v>109</v>
      </c>
      <c r="AH2002" s="1" t="s">
        <v>109</v>
      </c>
      <c r="AI2002" s="1" t="s">
        <v>109</v>
      </c>
      <c r="AJ2002" s="1">
        <v>4</v>
      </c>
      <c r="AK2002" s="1" t="s">
        <v>109</v>
      </c>
      <c r="AL2002" s="1">
        <v>4</v>
      </c>
      <c r="AM2002" s="1" t="s">
        <v>109</v>
      </c>
      <c r="AN2002" s="1" t="s">
        <v>109</v>
      </c>
      <c r="AO2002" s="1" t="s">
        <v>109</v>
      </c>
      <c r="AP2002" s="1"/>
      <c r="AQ2002" s="1">
        <v>5</v>
      </c>
      <c r="AR2002" s="1"/>
      <c r="AS2002" s="1"/>
      <c r="AT2002" s="1">
        <v>0</v>
      </c>
      <c r="AU2002" s="1">
        <v>0</v>
      </c>
      <c r="AV2002" s="1">
        <v>0</v>
      </c>
      <c r="AW2002" s="1">
        <v>0</v>
      </c>
      <c r="AX2002" s="1">
        <v>0</v>
      </c>
      <c r="AY2002" s="1">
        <v>0</v>
      </c>
      <c r="AZ2002" s="1">
        <v>0</v>
      </c>
      <c r="BA2002" s="1">
        <v>0</v>
      </c>
      <c r="BB2002" s="1">
        <v>0</v>
      </c>
      <c r="BC2002" s="1">
        <v>0</v>
      </c>
      <c r="BD2002" s="1">
        <v>0</v>
      </c>
      <c r="BE2002" s="1">
        <v>0</v>
      </c>
      <c r="BF2002" s="1">
        <v>0</v>
      </c>
      <c r="BG2002" s="1">
        <v>0</v>
      </c>
      <c r="BH2002" s="1">
        <v>0</v>
      </c>
      <c r="BI2002" s="1">
        <v>0</v>
      </c>
      <c r="BJ2002" s="1">
        <v>0</v>
      </c>
      <c r="BK2002" s="1">
        <v>0</v>
      </c>
      <c r="BL2002" s="1">
        <v>0</v>
      </c>
      <c r="BM2002" s="1">
        <v>0</v>
      </c>
      <c r="BN2002" s="1">
        <v>0</v>
      </c>
      <c r="BO2002" s="1">
        <v>0</v>
      </c>
      <c r="BP2002" s="1">
        <v>0</v>
      </c>
      <c r="BQ2002" s="1">
        <v>0</v>
      </c>
      <c r="BR2002" s="1">
        <v>0</v>
      </c>
      <c r="BS2002" s="1" t="s">
        <v>109</v>
      </c>
      <c r="BT2002" s="1">
        <v>2076</v>
      </c>
      <c r="BU2002" s="1" t="s">
        <v>109</v>
      </c>
      <c r="BV2002" s="1"/>
      <c r="BW2002" s="1"/>
      <c r="BX2002" s="1"/>
      <c r="BY2002" s="1"/>
      <c r="BZ2002" s="1">
        <v>0</v>
      </c>
      <c r="CA2002" s="1" t="s">
        <v>109</v>
      </c>
      <c r="CB2002" s="1">
        <v>4</v>
      </c>
      <c r="CC2002" s="1" t="s">
        <v>109</v>
      </c>
      <c r="CD2002" s="1" t="s">
        <v>109</v>
      </c>
      <c r="CE2002" s="1" t="s">
        <v>109</v>
      </c>
      <c r="CF2002" s="1" t="s">
        <v>109</v>
      </c>
      <c r="CG2002" s="1" t="s">
        <v>109</v>
      </c>
      <c r="CH2002" s="1" t="s">
        <v>109</v>
      </c>
      <c r="CI2002" s="1" t="s">
        <v>109</v>
      </c>
      <c r="CJ2002" s="1">
        <v>4</v>
      </c>
      <c r="CK2002" s="1"/>
      <c r="CL2002" s="1">
        <v>0</v>
      </c>
      <c r="CM2002" s="1">
        <v>0</v>
      </c>
      <c r="CN2002" s="1">
        <v>0</v>
      </c>
    </row>
    <row r="2003" spans="1:92" ht="14.25" customHeight="1" x14ac:dyDescent="0.15">
      <c r="A2003" s="1" t="s">
        <v>14650</v>
      </c>
      <c r="B2003" s="1" t="s">
        <v>189</v>
      </c>
      <c r="C2003" s="1"/>
      <c r="D2003" s="1"/>
      <c r="E2003" s="1" t="s">
        <v>14651</v>
      </c>
      <c r="F2003" s="1" t="s">
        <v>436</v>
      </c>
      <c r="G2003" s="1" t="s">
        <v>14652</v>
      </c>
      <c r="H2003" s="1">
        <v>0</v>
      </c>
      <c r="I2003" s="1" t="s">
        <v>14653</v>
      </c>
      <c r="J2003" s="1"/>
      <c r="K2003" s="1" t="s">
        <v>14654</v>
      </c>
      <c r="L2003" s="1"/>
      <c r="M2003" s="1" t="s">
        <v>144</v>
      </c>
      <c r="N2003" s="1">
        <v>0</v>
      </c>
      <c r="O2003" s="1">
        <v>0</v>
      </c>
      <c r="P2003" s="1" t="s">
        <v>103</v>
      </c>
      <c r="Q2003" s="1" t="s">
        <v>104</v>
      </c>
      <c r="R2003" s="1" t="s">
        <v>14655</v>
      </c>
      <c r="S2003" s="1" t="s">
        <v>14656</v>
      </c>
      <c r="T2003" s="1" t="s">
        <v>14635</v>
      </c>
      <c r="U2003" s="1" t="s">
        <v>14657</v>
      </c>
      <c r="V2003" s="1">
        <v>1</v>
      </c>
      <c r="W2003" s="1">
        <v>1</v>
      </c>
      <c r="X2003" s="1">
        <v>1</v>
      </c>
      <c r="Y2003" s="1">
        <v>0</v>
      </c>
      <c r="Z2003" s="1">
        <v>1</v>
      </c>
      <c r="AA2003" s="1">
        <v>6</v>
      </c>
      <c r="AB2003" s="1">
        <v>6</v>
      </c>
      <c r="AC2003" s="1">
        <v>6</v>
      </c>
      <c r="AD2003" s="1">
        <v>5</v>
      </c>
      <c r="AE2003" s="1" t="s">
        <v>109</v>
      </c>
      <c r="AF2003" s="1" t="s">
        <v>109</v>
      </c>
      <c r="AG2003" s="1" t="s">
        <v>109</v>
      </c>
      <c r="AH2003" s="1" t="s">
        <v>109</v>
      </c>
      <c r="AI2003" s="1" t="s">
        <v>109</v>
      </c>
      <c r="AJ2003" s="1" t="s">
        <v>109</v>
      </c>
      <c r="AK2003" s="1" t="s">
        <v>109</v>
      </c>
      <c r="AL2003" s="1">
        <v>6</v>
      </c>
      <c r="AM2003" s="1" t="s">
        <v>109</v>
      </c>
      <c r="AN2003" s="1" t="s">
        <v>109</v>
      </c>
      <c r="AO2003" s="1" t="s">
        <v>109</v>
      </c>
      <c r="AP2003" s="1"/>
      <c r="AQ2003" s="1">
        <v>6</v>
      </c>
      <c r="AR2003" s="1"/>
      <c r="AS2003" s="1"/>
      <c r="AT2003" s="1">
        <v>0</v>
      </c>
      <c r="AU2003" s="1">
        <v>0</v>
      </c>
      <c r="AV2003" s="1">
        <v>0</v>
      </c>
      <c r="AW2003" s="1">
        <v>0</v>
      </c>
      <c r="AX2003" s="1">
        <v>0</v>
      </c>
      <c r="AY2003" s="1">
        <v>0</v>
      </c>
      <c r="AZ2003" s="1">
        <v>0</v>
      </c>
      <c r="BA2003" s="1">
        <v>0</v>
      </c>
      <c r="BB2003" s="1">
        <v>0</v>
      </c>
      <c r="BC2003" s="1">
        <v>0</v>
      </c>
      <c r="BD2003" s="1">
        <v>0</v>
      </c>
      <c r="BE2003" s="1">
        <v>0</v>
      </c>
      <c r="BF2003" s="1">
        <v>0</v>
      </c>
      <c r="BG2003" s="1">
        <v>0</v>
      </c>
      <c r="BH2003" s="1">
        <v>0</v>
      </c>
      <c r="BI2003" s="1">
        <v>0</v>
      </c>
      <c r="BJ2003" s="1">
        <v>0</v>
      </c>
      <c r="BK2003" s="1">
        <v>0</v>
      </c>
      <c r="BL2003" s="1">
        <v>0</v>
      </c>
      <c r="BM2003" s="1">
        <v>0</v>
      </c>
      <c r="BN2003" s="1">
        <v>0</v>
      </c>
      <c r="BO2003" s="1">
        <v>0</v>
      </c>
      <c r="BP2003" s="1">
        <v>0</v>
      </c>
      <c r="BQ2003" s="1">
        <v>0</v>
      </c>
      <c r="BR2003" s="1">
        <v>0</v>
      </c>
      <c r="BS2003" s="1" t="s">
        <v>109</v>
      </c>
      <c r="BT2003" s="1">
        <v>2078</v>
      </c>
      <c r="BU2003" s="1" t="s">
        <v>109</v>
      </c>
      <c r="BV2003" s="1"/>
      <c r="BW2003" s="1"/>
      <c r="BX2003" s="1"/>
      <c r="BY2003" s="1"/>
      <c r="BZ2003" s="1">
        <v>0</v>
      </c>
      <c r="CA2003" s="1" t="s">
        <v>109</v>
      </c>
      <c r="CB2003" s="1" t="s">
        <v>109</v>
      </c>
      <c r="CC2003" s="1" t="s">
        <v>109</v>
      </c>
      <c r="CD2003" s="1" t="s">
        <v>109</v>
      </c>
      <c r="CE2003" s="1" t="s">
        <v>109</v>
      </c>
      <c r="CF2003" s="1" t="s">
        <v>109</v>
      </c>
      <c r="CG2003" s="1" t="s">
        <v>109</v>
      </c>
      <c r="CH2003" s="1" t="s">
        <v>109</v>
      </c>
      <c r="CI2003" s="1" t="s">
        <v>109</v>
      </c>
      <c r="CJ2003" s="1">
        <v>5</v>
      </c>
      <c r="CK2003" s="1"/>
      <c r="CL2003" s="1">
        <v>0</v>
      </c>
      <c r="CM2003" s="1">
        <v>0</v>
      </c>
      <c r="CN2003" s="1">
        <v>0</v>
      </c>
    </row>
    <row r="2004" spans="1:92" ht="14.25" customHeight="1" x14ac:dyDescent="0.15">
      <c r="A2004" s="1" t="s">
        <v>14658</v>
      </c>
      <c r="B2004" s="1" t="s">
        <v>95</v>
      </c>
      <c r="C2004" s="1" t="s">
        <v>96</v>
      </c>
      <c r="D2004" s="1"/>
      <c r="E2004" s="1" t="s">
        <v>14659</v>
      </c>
      <c r="F2004" s="1" t="s">
        <v>377</v>
      </c>
      <c r="G2004" s="1" t="s">
        <v>14660</v>
      </c>
      <c r="H2004" s="1">
        <v>1</v>
      </c>
      <c r="I2004" s="1" t="s">
        <v>142</v>
      </c>
      <c r="J2004" s="1"/>
      <c r="K2004" s="1" t="s">
        <v>14661</v>
      </c>
      <c r="L2004" s="1"/>
      <c r="M2004" s="1" t="s">
        <v>280</v>
      </c>
      <c r="N2004" s="1">
        <v>0</v>
      </c>
      <c r="O2004" s="1">
        <v>0</v>
      </c>
      <c r="P2004" s="1" t="s">
        <v>103</v>
      </c>
      <c r="Q2004" s="1" t="s">
        <v>104</v>
      </c>
      <c r="R2004" s="1" t="s">
        <v>14662</v>
      </c>
      <c r="S2004" s="1" t="s">
        <v>14663</v>
      </c>
      <c r="T2004" s="1" t="s">
        <v>14635</v>
      </c>
      <c r="U2004" s="1" t="s">
        <v>14664</v>
      </c>
      <c r="V2004" s="1">
        <v>1</v>
      </c>
      <c r="W2004" s="1">
        <v>1</v>
      </c>
      <c r="X2004" s="1">
        <v>1</v>
      </c>
      <c r="Y2004" s="1">
        <v>0</v>
      </c>
      <c r="Z2004" s="1">
        <v>0</v>
      </c>
      <c r="AA2004" s="1">
        <v>7</v>
      </c>
      <c r="AB2004" s="1">
        <v>7</v>
      </c>
      <c r="AC2004" s="1">
        <v>7</v>
      </c>
      <c r="AD2004" s="1">
        <v>7</v>
      </c>
      <c r="AE2004" s="1" t="s">
        <v>109</v>
      </c>
      <c r="AF2004" s="1" t="s">
        <v>109</v>
      </c>
      <c r="AG2004" s="1" t="s">
        <v>109</v>
      </c>
      <c r="AH2004" s="1" t="s">
        <v>109</v>
      </c>
      <c r="AI2004" s="1">
        <v>6</v>
      </c>
      <c r="AJ2004" s="1">
        <v>7</v>
      </c>
      <c r="AK2004" s="1" t="s">
        <v>109</v>
      </c>
      <c r="AL2004" s="1">
        <v>7</v>
      </c>
      <c r="AM2004" s="1" t="s">
        <v>109</v>
      </c>
      <c r="AN2004" s="1" t="s">
        <v>109</v>
      </c>
      <c r="AO2004" s="1" t="s">
        <v>109</v>
      </c>
      <c r="AP2004" s="1"/>
      <c r="AQ2004" s="1">
        <v>7</v>
      </c>
      <c r="AR2004" s="1"/>
      <c r="AS2004" s="1"/>
      <c r="AT2004" s="1">
        <v>0</v>
      </c>
      <c r="AU2004" s="1">
        <v>0</v>
      </c>
      <c r="AV2004" s="1">
        <v>0</v>
      </c>
      <c r="AW2004" s="1">
        <v>0</v>
      </c>
      <c r="AX2004" s="1">
        <v>0</v>
      </c>
      <c r="AY2004" s="1">
        <v>0</v>
      </c>
      <c r="AZ2004" s="1">
        <v>0</v>
      </c>
      <c r="BA2004" s="1">
        <v>0</v>
      </c>
      <c r="BB2004" s="1">
        <v>0</v>
      </c>
      <c r="BC2004" s="1">
        <v>0</v>
      </c>
      <c r="BD2004" s="1">
        <v>0</v>
      </c>
      <c r="BE2004" s="1">
        <v>0</v>
      </c>
      <c r="BF2004" s="1">
        <v>0</v>
      </c>
      <c r="BG2004" s="1">
        <v>0</v>
      </c>
      <c r="BH2004" s="1">
        <v>0</v>
      </c>
      <c r="BI2004" s="1">
        <v>0</v>
      </c>
      <c r="BJ2004" s="1">
        <v>0</v>
      </c>
      <c r="BK2004" s="1">
        <v>0</v>
      </c>
      <c r="BL2004" s="1">
        <v>0</v>
      </c>
      <c r="BM2004" s="1">
        <v>0</v>
      </c>
      <c r="BN2004" s="1">
        <v>0</v>
      </c>
      <c r="BO2004" s="1">
        <v>0</v>
      </c>
      <c r="BP2004" s="1">
        <v>0</v>
      </c>
      <c r="BQ2004" s="1">
        <v>0</v>
      </c>
      <c r="BR2004" s="1">
        <v>0</v>
      </c>
      <c r="BS2004" s="1" t="s">
        <v>109</v>
      </c>
      <c r="BT2004" s="1">
        <v>2079</v>
      </c>
      <c r="BU2004" s="1">
        <v>500</v>
      </c>
      <c r="BV2004" s="1"/>
      <c r="BW2004" s="1"/>
      <c r="BX2004" s="1"/>
      <c r="BY2004" s="1"/>
      <c r="BZ2004" s="1">
        <v>0</v>
      </c>
      <c r="CA2004" s="1" t="s">
        <v>109</v>
      </c>
      <c r="CB2004" s="1">
        <v>7</v>
      </c>
      <c r="CC2004" s="1" t="s">
        <v>109</v>
      </c>
      <c r="CD2004" s="1" t="s">
        <v>109</v>
      </c>
      <c r="CE2004" s="1" t="s">
        <v>109</v>
      </c>
      <c r="CF2004" s="1" t="s">
        <v>109</v>
      </c>
      <c r="CG2004" s="1" t="s">
        <v>109</v>
      </c>
      <c r="CH2004" s="1" t="s">
        <v>109</v>
      </c>
      <c r="CI2004" s="1" t="s">
        <v>109</v>
      </c>
      <c r="CJ2004" s="1" t="s">
        <v>109</v>
      </c>
      <c r="CK2004" s="1"/>
      <c r="CL2004" s="1">
        <v>0</v>
      </c>
      <c r="CM2004" s="1">
        <v>0</v>
      </c>
      <c r="CN2004" s="1">
        <v>0</v>
      </c>
    </row>
    <row r="2005" spans="1:92" ht="14.25" customHeight="1" x14ac:dyDescent="0.15">
      <c r="A2005" s="1" t="s">
        <v>14665</v>
      </c>
      <c r="B2005" s="1" t="s">
        <v>189</v>
      </c>
      <c r="C2005" s="1"/>
      <c r="D2005" s="1"/>
      <c r="E2005" s="1" t="s">
        <v>14666</v>
      </c>
      <c r="F2005" s="1" t="s">
        <v>6545</v>
      </c>
      <c r="G2005" s="1" t="s">
        <v>333</v>
      </c>
      <c r="H2005" s="1">
        <v>0</v>
      </c>
      <c r="I2005" s="1" t="s">
        <v>235</v>
      </c>
      <c r="J2005" s="1"/>
      <c r="K2005" s="1"/>
      <c r="L2005" s="1" t="s">
        <v>236</v>
      </c>
      <c r="M2005" s="1" t="s">
        <v>355</v>
      </c>
      <c r="N2005" s="1">
        <v>0</v>
      </c>
      <c r="O2005" s="1">
        <v>0</v>
      </c>
      <c r="P2005" s="1"/>
      <c r="Q2005" s="1"/>
      <c r="R2005" s="1" t="s">
        <v>14667</v>
      </c>
      <c r="S2005" s="1" t="s">
        <v>14668</v>
      </c>
      <c r="T2005" s="1" t="s">
        <v>14635</v>
      </c>
      <c r="U2005" s="1" t="s">
        <v>14669</v>
      </c>
      <c r="V2005" s="1">
        <v>1</v>
      </c>
      <c r="W2005" s="1">
        <v>0</v>
      </c>
      <c r="X2005" s="1">
        <v>0</v>
      </c>
      <c r="Y2005" s="1">
        <v>0</v>
      </c>
      <c r="Z2005" s="1">
        <v>0</v>
      </c>
      <c r="AA2005" s="1">
        <v>2</v>
      </c>
      <c r="AB2005" s="1">
        <v>2</v>
      </c>
      <c r="AC2005" s="1" t="s">
        <v>109</v>
      </c>
      <c r="AD2005" s="1">
        <v>3</v>
      </c>
      <c r="AE2005" s="1">
        <v>2</v>
      </c>
      <c r="AF2005" s="1">
        <v>3</v>
      </c>
      <c r="AG2005" s="1" t="s">
        <v>109</v>
      </c>
      <c r="AH2005" s="1" t="s">
        <v>109</v>
      </c>
      <c r="AI2005" s="1" t="s">
        <v>109</v>
      </c>
      <c r="AJ2005" s="1">
        <v>2</v>
      </c>
      <c r="AK2005" s="1">
        <v>3</v>
      </c>
      <c r="AL2005" s="1" t="s">
        <v>109</v>
      </c>
      <c r="AM2005" s="1" t="s">
        <v>109</v>
      </c>
      <c r="AN2005" s="1">
        <v>2</v>
      </c>
      <c r="AO2005" s="1" t="s">
        <v>109</v>
      </c>
      <c r="AP2005" s="1"/>
      <c r="AQ2005" s="1">
        <v>2</v>
      </c>
      <c r="AR2005" s="1"/>
      <c r="AS2005" s="1"/>
      <c r="AT2005" s="1">
        <v>0</v>
      </c>
      <c r="AU2005" s="1">
        <v>0</v>
      </c>
      <c r="AV2005" s="1">
        <v>0</v>
      </c>
      <c r="AW2005" s="1">
        <v>0</v>
      </c>
      <c r="AX2005" s="1">
        <v>0</v>
      </c>
      <c r="AY2005" s="1">
        <v>0</v>
      </c>
      <c r="AZ2005" s="1">
        <v>0</v>
      </c>
      <c r="BA2005" s="1">
        <v>0</v>
      </c>
      <c r="BB2005" s="1">
        <v>0</v>
      </c>
      <c r="BC2005" s="1">
        <v>0</v>
      </c>
      <c r="BD2005" s="1">
        <v>0</v>
      </c>
      <c r="BE2005" s="1">
        <v>0</v>
      </c>
      <c r="BF2005" s="1">
        <v>0</v>
      </c>
      <c r="BG2005" s="1">
        <v>0</v>
      </c>
      <c r="BH2005" s="1">
        <v>0</v>
      </c>
      <c r="BI2005" s="1">
        <v>0</v>
      </c>
      <c r="BJ2005" s="1">
        <v>0</v>
      </c>
      <c r="BK2005" s="1">
        <v>0</v>
      </c>
      <c r="BL2005" s="1">
        <v>0</v>
      </c>
      <c r="BM2005" s="1">
        <v>0</v>
      </c>
      <c r="BN2005" s="1">
        <v>0</v>
      </c>
      <c r="BO2005" s="1">
        <v>0</v>
      </c>
      <c r="BP2005" s="1">
        <v>0</v>
      </c>
      <c r="BQ2005" s="1">
        <v>0</v>
      </c>
      <c r="BR2005" s="1">
        <v>0</v>
      </c>
      <c r="BS2005" s="1" t="s">
        <v>109</v>
      </c>
      <c r="BT2005" s="1">
        <v>2080</v>
      </c>
      <c r="BU2005" s="1" t="s">
        <v>109</v>
      </c>
      <c r="BV2005" s="1"/>
      <c r="BW2005" s="1"/>
      <c r="BX2005" s="1"/>
      <c r="BY2005" s="1"/>
      <c r="BZ2005" s="1">
        <v>0</v>
      </c>
      <c r="CA2005" s="1" t="s">
        <v>109</v>
      </c>
      <c r="CB2005" s="1">
        <v>2</v>
      </c>
      <c r="CC2005" s="1" t="s">
        <v>109</v>
      </c>
      <c r="CD2005" s="1" t="s">
        <v>109</v>
      </c>
      <c r="CE2005" s="1" t="s">
        <v>109</v>
      </c>
      <c r="CF2005" s="1" t="s">
        <v>109</v>
      </c>
      <c r="CG2005" s="1" t="s">
        <v>109</v>
      </c>
      <c r="CH2005" s="1" t="s">
        <v>109</v>
      </c>
      <c r="CI2005" s="1" t="s">
        <v>109</v>
      </c>
      <c r="CJ2005" s="1">
        <v>2</v>
      </c>
      <c r="CK2005" s="1"/>
      <c r="CL2005" s="1">
        <v>0</v>
      </c>
      <c r="CM2005" s="1">
        <v>0</v>
      </c>
      <c r="CN2005" s="1">
        <v>0</v>
      </c>
    </row>
    <row r="2006" spans="1:92" ht="14.25" customHeight="1" x14ac:dyDescent="0.15">
      <c r="A2006" s="1" t="s">
        <v>14670</v>
      </c>
      <c r="B2006" s="1" t="s">
        <v>254</v>
      </c>
      <c r="C2006" s="1"/>
      <c r="D2006" s="1"/>
      <c r="E2006" s="1" t="s">
        <v>14671</v>
      </c>
      <c r="F2006" s="1" t="s">
        <v>14672</v>
      </c>
      <c r="G2006" s="1" t="s">
        <v>160</v>
      </c>
      <c r="H2006" s="1">
        <v>0</v>
      </c>
      <c r="I2006" s="1" t="s">
        <v>235</v>
      </c>
      <c r="J2006" s="1"/>
      <c r="K2006" s="1"/>
      <c r="L2006" s="1" t="s">
        <v>236</v>
      </c>
      <c r="M2006" s="1" t="s">
        <v>3444</v>
      </c>
      <c r="N2006" s="1">
        <v>0</v>
      </c>
      <c r="O2006" s="1">
        <v>0</v>
      </c>
      <c r="P2006" s="1"/>
      <c r="Q2006" s="1"/>
      <c r="R2006" s="1" t="s">
        <v>14673</v>
      </c>
      <c r="S2006" s="1" t="s">
        <v>14674</v>
      </c>
      <c r="T2006" s="1" t="s">
        <v>14635</v>
      </c>
      <c r="U2006" s="1" t="s">
        <v>14675</v>
      </c>
      <c r="V2006" s="1">
        <v>1</v>
      </c>
      <c r="W2006" s="1">
        <v>1</v>
      </c>
      <c r="X2006" s="1">
        <v>0</v>
      </c>
      <c r="Y2006" s="1">
        <v>0</v>
      </c>
      <c r="Z2006" s="1">
        <v>1</v>
      </c>
      <c r="AA2006" s="1" t="s">
        <v>109</v>
      </c>
      <c r="AB2006" s="1" t="s">
        <v>109</v>
      </c>
      <c r="AC2006" s="1" t="s">
        <v>109</v>
      </c>
      <c r="AD2006" s="1">
        <v>2</v>
      </c>
      <c r="AE2006" s="1">
        <v>2</v>
      </c>
      <c r="AF2006" s="1" t="s">
        <v>109</v>
      </c>
      <c r="AG2006" s="1" t="s">
        <v>109</v>
      </c>
      <c r="AH2006" s="1" t="s">
        <v>109</v>
      </c>
      <c r="AI2006" s="1" t="s">
        <v>109</v>
      </c>
      <c r="AJ2006" s="1" t="s">
        <v>109</v>
      </c>
      <c r="AK2006" s="1" t="s">
        <v>109</v>
      </c>
      <c r="AL2006" s="1" t="s">
        <v>109</v>
      </c>
      <c r="AM2006" s="1" t="s">
        <v>109</v>
      </c>
      <c r="AN2006" s="1" t="s">
        <v>109</v>
      </c>
      <c r="AO2006" s="1" t="s">
        <v>109</v>
      </c>
      <c r="AP2006" s="1"/>
      <c r="AQ2006" s="1">
        <v>2</v>
      </c>
      <c r="AR2006" s="1"/>
      <c r="AS2006" s="1"/>
      <c r="AT2006" s="1">
        <v>0</v>
      </c>
      <c r="AU2006" s="1">
        <v>0</v>
      </c>
      <c r="AV2006" s="1">
        <v>0</v>
      </c>
      <c r="AW2006" s="1">
        <v>0</v>
      </c>
      <c r="AX2006" s="1">
        <v>0</v>
      </c>
      <c r="AY2006" s="1">
        <v>0</v>
      </c>
      <c r="AZ2006" s="1">
        <v>0</v>
      </c>
      <c r="BA2006" s="1">
        <v>0</v>
      </c>
      <c r="BB2006" s="1">
        <v>0</v>
      </c>
      <c r="BC2006" s="1">
        <v>0</v>
      </c>
      <c r="BD2006" s="1">
        <v>0</v>
      </c>
      <c r="BE2006" s="1">
        <v>0</v>
      </c>
      <c r="BF2006" s="1">
        <v>0</v>
      </c>
      <c r="BG2006" s="1">
        <v>0</v>
      </c>
      <c r="BH2006" s="1">
        <v>0</v>
      </c>
      <c r="BI2006" s="1">
        <v>0</v>
      </c>
      <c r="BJ2006" s="1">
        <v>0</v>
      </c>
      <c r="BK2006" s="1">
        <v>0</v>
      </c>
      <c r="BL2006" s="1">
        <v>0</v>
      </c>
      <c r="BM2006" s="1">
        <v>0</v>
      </c>
      <c r="BN2006" s="1">
        <v>0</v>
      </c>
      <c r="BO2006" s="1">
        <v>0</v>
      </c>
      <c r="BP2006" s="1">
        <v>0</v>
      </c>
      <c r="BQ2006" s="1">
        <v>0</v>
      </c>
      <c r="BR2006" s="1">
        <v>0</v>
      </c>
      <c r="BS2006" s="1" t="s">
        <v>109</v>
      </c>
      <c r="BT2006" s="1">
        <v>2081</v>
      </c>
      <c r="BU2006" s="1" t="s">
        <v>109</v>
      </c>
      <c r="BV2006" s="1"/>
      <c r="BW2006" s="1"/>
      <c r="BX2006" s="1"/>
      <c r="BY2006" s="1"/>
      <c r="BZ2006" s="1">
        <v>0</v>
      </c>
      <c r="CA2006" s="1">
        <v>2</v>
      </c>
      <c r="CB2006" s="1">
        <v>2</v>
      </c>
      <c r="CC2006" s="1" t="s">
        <v>109</v>
      </c>
      <c r="CD2006" s="1" t="s">
        <v>109</v>
      </c>
      <c r="CE2006" s="1" t="s">
        <v>109</v>
      </c>
      <c r="CF2006" s="1" t="s">
        <v>109</v>
      </c>
      <c r="CG2006" s="1" t="s">
        <v>109</v>
      </c>
      <c r="CH2006" s="1" t="s">
        <v>109</v>
      </c>
      <c r="CI2006" s="1" t="s">
        <v>109</v>
      </c>
      <c r="CJ2006" s="1">
        <v>2</v>
      </c>
      <c r="CK2006" s="1"/>
      <c r="CL2006" s="1">
        <v>0</v>
      </c>
      <c r="CM2006" s="1">
        <v>0</v>
      </c>
      <c r="CN2006" s="1">
        <v>0</v>
      </c>
    </row>
    <row r="2007" spans="1:92" ht="14.25" customHeight="1" x14ac:dyDescent="0.15">
      <c r="A2007" s="1" t="s">
        <v>14676</v>
      </c>
      <c r="B2007" s="1" t="s">
        <v>95</v>
      </c>
      <c r="C2007" s="1" t="s">
        <v>96</v>
      </c>
      <c r="D2007" s="1" t="s">
        <v>54</v>
      </c>
      <c r="E2007" s="1" t="s">
        <v>13232</v>
      </c>
      <c r="F2007" s="1" t="s">
        <v>98</v>
      </c>
      <c r="G2007" s="1" t="s">
        <v>11870</v>
      </c>
      <c r="H2007" s="1">
        <v>0</v>
      </c>
      <c r="I2007" s="1" t="s">
        <v>100</v>
      </c>
      <c r="J2007" s="1" t="s">
        <v>2701</v>
      </c>
      <c r="K2007" s="1"/>
      <c r="L2007" s="1"/>
      <c r="M2007" s="1" t="s">
        <v>574</v>
      </c>
      <c r="N2007" s="1">
        <v>1</v>
      </c>
      <c r="O2007" s="1">
        <v>0</v>
      </c>
      <c r="P2007" s="1" t="s">
        <v>103</v>
      </c>
      <c r="Q2007" s="1" t="s">
        <v>268</v>
      </c>
      <c r="R2007" s="1" t="s">
        <v>14677</v>
      </c>
      <c r="S2007" s="1" t="s">
        <v>14678</v>
      </c>
      <c r="T2007" s="1" t="s">
        <v>14679</v>
      </c>
      <c r="U2007" s="1" t="s">
        <v>14680</v>
      </c>
      <c r="V2007" s="1">
        <v>1</v>
      </c>
      <c r="W2007" s="1">
        <v>1</v>
      </c>
      <c r="X2007" s="1">
        <v>1</v>
      </c>
      <c r="Y2007" s="1">
        <v>0</v>
      </c>
      <c r="Z2007" s="1">
        <v>0</v>
      </c>
      <c r="AA2007" s="1">
        <v>4</v>
      </c>
      <c r="AB2007" s="1">
        <v>4</v>
      </c>
      <c r="AC2007" s="1" t="s">
        <v>109</v>
      </c>
      <c r="AD2007" s="1">
        <v>4</v>
      </c>
      <c r="AE2007" s="1" t="s">
        <v>109</v>
      </c>
      <c r="AF2007" s="1" t="s">
        <v>109</v>
      </c>
      <c r="AG2007" s="1" t="s">
        <v>109</v>
      </c>
      <c r="AH2007" s="1" t="s">
        <v>109</v>
      </c>
      <c r="AI2007" s="1" t="s">
        <v>109</v>
      </c>
      <c r="AJ2007" s="1" t="s">
        <v>109</v>
      </c>
      <c r="AK2007" s="1" t="s">
        <v>109</v>
      </c>
      <c r="AL2007" s="1" t="s">
        <v>109</v>
      </c>
      <c r="AM2007" s="1" t="s">
        <v>109</v>
      </c>
      <c r="AN2007" s="1" t="s">
        <v>109</v>
      </c>
      <c r="AO2007" s="1" t="s">
        <v>109</v>
      </c>
      <c r="AP2007" s="1"/>
      <c r="AQ2007" s="1">
        <v>4</v>
      </c>
      <c r="AR2007" s="1"/>
      <c r="AS2007" s="1"/>
      <c r="AT2007" s="1">
        <v>0</v>
      </c>
      <c r="AU2007" s="1">
        <v>0</v>
      </c>
      <c r="AV2007" s="1">
        <v>0</v>
      </c>
      <c r="AW2007" s="1">
        <v>0</v>
      </c>
      <c r="AX2007" s="1">
        <v>0</v>
      </c>
      <c r="AY2007" s="1">
        <v>0</v>
      </c>
      <c r="AZ2007" s="1">
        <v>0</v>
      </c>
      <c r="BA2007" s="1">
        <v>0</v>
      </c>
      <c r="BB2007" s="1">
        <v>1</v>
      </c>
      <c r="BC2007" s="1">
        <v>0</v>
      </c>
      <c r="BD2007" s="1">
        <v>0</v>
      </c>
      <c r="BE2007" s="1">
        <v>0</v>
      </c>
      <c r="BF2007" s="1">
        <v>0</v>
      </c>
      <c r="BG2007" s="1">
        <v>0</v>
      </c>
      <c r="BH2007" s="1">
        <v>0</v>
      </c>
      <c r="BI2007" s="1">
        <v>0</v>
      </c>
      <c r="BJ2007" s="1">
        <v>0</v>
      </c>
      <c r="BK2007" s="1">
        <v>0</v>
      </c>
      <c r="BL2007" s="1">
        <v>0</v>
      </c>
      <c r="BM2007" s="1">
        <v>0</v>
      </c>
      <c r="BN2007" s="1">
        <v>0</v>
      </c>
      <c r="BO2007" s="1">
        <v>0</v>
      </c>
      <c r="BP2007" s="1">
        <v>0</v>
      </c>
      <c r="BQ2007" s="1">
        <v>0</v>
      </c>
      <c r="BR2007" s="1">
        <v>0</v>
      </c>
      <c r="BS2007" s="1" t="s">
        <v>109</v>
      </c>
      <c r="BT2007" s="1">
        <v>2082</v>
      </c>
      <c r="BU2007" s="1" t="s">
        <v>109</v>
      </c>
      <c r="BV2007" s="1"/>
      <c r="BW2007" s="1"/>
      <c r="BX2007" s="1"/>
      <c r="BY2007" s="1"/>
      <c r="BZ2007" s="1">
        <v>0</v>
      </c>
      <c r="CA2007" s="1" t="s">
        <v>109</v>
      </c>
      <c r="CB2007" s="1" t="s">
        <v>109</v>
      </c>
      <c r="CC2007" s="1" t="s">
        <v>109</v>
      </c>
      <c r="CD2007" s="1" t="s">
        <v>109</v>
      </c>
      <c r="CE2007" s="1" t="s">
        <v>109</v>
      </c>
      <c r="CF2007" s="1" t="s">
        <v>109</v>
      </c>
      <c r="CG2007" s="1" t="s">
        <v>109</v>
      </c>
      <c r="CH2007" s="1" t="s">
        <v>109</v>
      </c>
      <c r="CI2007" s="1" t="s">
        <v>109</v>
      </c>
      <c r="CJ2007" s="1">
        <v>4</v>
      </c>
      <c r="CK2007" s="1"/>
      <c r="CL2007" s="1">
        <v>0</v>
      </c>
      <c r="CM2007" s="1">
        <v>0</v>
      </c>
      <c r="CN2007" s="1">
        <v>0</v>
      </c>
    </row>
    <row r="2008" spans="1:92" ht="14.25" customHeight="1" x14ac:dyDescent="0.15">
      <c r="A2008" s="1" t="s">
        <v>14681</v>
      </c>
      <c r="B2008" s="1" t="s">
        <v>308</v>
      </c>
      <c r="C2008" s="1"/>
      <c r="D2008" s="1"/>
      <c r="E2008" s="1" t="s">
        <v>14682</v>
      </c>
      <c r="F2008" s="1" t="s">
        <v>98</v>
      </c>
      <c r="G2008" s="1" t="s">
        <v>14683</v>
      </c>
      <c r="H2008" s="1">
        <v>0</v>
      </c>
      <c r="I2008" s="1" t="s">
        <v>161</v>
      </c>
      <c r="J2008" s="1"/>
      <c r="K2008" s="1"/>
      <c r="L2008" s="1" t="s">
        <v>14684</v>
      </c>
      <c r="M2008" s="1" t="s">
        <v>7432</v>
      </c>
      <c r="N2008" s="1">
        <v>1</v>
      </c>
      <c r="O2008" s="1">
        <v>0</v>
      </c>
      <c r="P2008" s="1" t="s">
        <v>103</v>
      </c>
      <c r="Q2008" s="1" t="s">
        <v>167</v>
      </c>
      <c r="R2008" s="1" t="s">
        <v>14685</v>
      </c>
      <c r="S2008" s="1" t="s">
        <v>14686</v>
      </c>
      <c r="T2008" s="1" t="s">
        <v>14687</v>
      </c>
      <c r="U2008" s="1" t="s">
        <v>14688</v>
      </c>
      <c r="V2008" s="1">
        <v>1</v>
      </c>
      <c r="W2008" s="1">
        <v>1</v>
      </c>
      <c r="X2008" s="1">
        <v>1</v>
      </c>
      <c r="Y2008" s="1">
        <v>0</v>
      </c>
      <c r="Z2008" s="1">
        <v>0</v>
      </c>
      <c r="AA2008" s="1">
        <v>5</v>
      </c>
      <c r="AB2008" s="1">
        <v>5</v>
      </c>
      <c r="AC2008" s="1">
        <v>5</v>
      </c>
      <c r="AD2008" s="1" t="s">
        <v>109</v>
      </c>
      <c r="AE2008" s="1" t="s">
        <v>109</v>
      </c>
      <c r="AF2008" s="1" t="s">
        <v>109</v>
      </c>
      <c r="AG2008" s="1" t="s">
        <v>109</v>
      </c>
      <c r="AH2008" s="1" t="s">
        <v>109</v>
      </c>
      <c r="AI2008" s="1" t="s">
        <v>109</v>
      </c>
      <c r="AJ2008" s="1">
        <v>5</v>
      </c>
      <c r="AK2008" s="1" t="s">
        <v>109</v>
      </c>
      <c r="AL2008" s="1">
        <v>5</v>
      </c>
      <c r="AM2008" s="1">
        <v>4</v>
      </c>
      <c r="AN2008" s="1" t="s">
        <v>109</v>
      </c>
      <c r="AO2008" s="1" t="s">
        <v>109</v>
      </c>
      <c r="AP2008" s="1"/>
      <c r="AQ2008" s="1">
        <v>5</v>
      </c>
      <c r="AR2008" s="1"/>
      <c r="AS2008" s="1"/>
      <c r="AT2008" s="1">
        <v>0</v>
      </c>
      <c r="AU2008" s="1">
        <v>0</v>
      </c>
      <c r="AV2008" s="1">
        <v>0</v>
      </c>
      <c r="AW2008" s="1">
        <v>0</v>
      </c>
      <c r="AX2008" s="1">
        <v>0</v>
      </c>
      <c r="AY2008" s="1">
        <v>0</v>
      </c>
      <c r="AZ2008" s="1">
        <v>0</v>
      </c>
      <c r="BA2008" s="1">
        <v>0</v>
      </c>
      <c r="BB2008" s="1">
        <v>0</v>
      </c>
      <c r="BC2008" s="1">
        <v>0</v>
      </c>
      <c r="BD2008" s="1">
        <v>0</v>
      </c>
      <c r="BE2008" s="1">
        <v>0</v>
      </c>
      <c r="BF2008" s="1">
        <v>0</v>
      </c>
      <c r="BG2008" s="1">
        <v>0</v>
      </c>
      <c r="BH2008" s="1">
        <v>0</v>
      </c>
      <c r="BI2008" s="1">
        <v>0</v>
      </c>
      <c r="BJ2008" s="1">
        <v>0</v>
      </c>
      <c r="BK2008" s="1">
        <v>0</v>
      </c>
      <c r="BL2008" s="1">
        <v>0</v>
      </c>
      <c r="BM2008" s="1">
        <v>0</v>
      </c>
      <c r="BN2008" s="1">
        <v>0</v>
      </c>
      <c r="BO2008" s="1">
        <v>0</v>
      </c>
      <c r="BP2008" s="1">
        <v>0</v>
      </c>
      <c r="BQ2008" s="1">
        <v>0</v>
      </c>
      <c r="BR2008" s="1">
        <v>0</v>
      </c>
      <c r="BS2008" s="1" t="s">
        <v>109</v>
      </c>
      <c r="BT2008" s="1">
        <v>2083</v>
      </c>
      <c r="BU2008" s="1" t="s">
        <v>109</v>
      </c>
      <c r="BV2008" s="1"/>
      <c r="BW2008" s="1"/>
      <c r="BX2008" s="1"/>
      <c r="BY2008" s="1"/>
      <c r="BZ2008" s="1">
        <v>0</v>
      </c>
      <c r="CA2008" s="1" t="s">
        <v>109</v>
      </c>
      <c r="CB2008" s="1" t="s">
        <v>109</v>
      </c>
      <c r="CC2008" s="1" t="s">
        <v>109</v>
      </c>
      <c r="CD2008" s="1" t="s">
        <v>109</v>
      </c>
      <c r="CE2008" s="1" t="s">
        <v>109</v>
      </c>
      <c r="CF2008" s="1" t="s">
        <v>109</v>
      </c>
      <c r="CG2008" s="1" t="s">
        <v>109</v>
      </c>
      <c r="CH2008" s="1" t="s">
        <v>109</v>
      </c>
      <c r="CI2008" s="1" t="s">
        <v>109</v>
      </c>
      <c r="CJ2008" s="1" t="s">
        <v>109</v>
      </c>
      <c r="CK2008" s="1"/>
      <c r="CL2008" s="1">
        <v>0</v>
      </c>
      <c r="CM2008" s="1">
        <v>0</v>
      </c>
      <c r="CN2008" s="1">
        <v>0</v>
      </c>
    </row>
    <row r="2009" spans="1:92" ht="14.25" customHeight="1" x14ac:dyDescent="0.15">
      <c r="A2009" s="1" t="s">
        <v>14689</v>
      </c>
      <c r="B2009" s="1" t="s">
        <v>189</v>
      </c>
      <c r="C2009" s="1"/>
      <c r="D2009" s="1"/>
      <c r="E2009" s="1" t="s">
        <v>14690</v>
      </c>
      <c r="F2009" s="1" t="s">
        <v>98</v>
      </c>
      <c r="G2009" s="1" t="s">
        <v>14691</v>
      </c>
      <c r="H2009" s="1">
        <v>0</v>
      </c>
      <c r="I2009" s="1" t="s">
        <v>142</v>
      </c>
      <c r="J2009" s="1"/>
      <c r="K2009" s="1"/>
      <c r="L2009" s="1" t="s">
        <v>14692</v>
      </c>
      <c r="M2009" s="1" t="s">
        <v>5642</v>
      </c>
      <c r="N2009" s="1">
        <v>0</v>
      </c>
      <c r="O2009" s="1">
        <v>0</v>
      </c>
      <c r="P2009" s="1" t="s">
        <v>507</v>
      </c>
      <c r="Q2009" s="1" t="s">
        <v>167</v>
      </c>
      <c r="R2009" s="1" t="s">
        <v>14693</v>
      </c>
      <c r="S2009" s="1" t="s">
        <v>14694</v>
      </c>
      <c r="T2009" s="1" t="s">
        <v>14687</v>
      </c>
      <c r="U2009" s="1" t="s">
        <v>14695</v>
      </c>
      <c r="V2009" s="1">
        <v>1</v>
      </c>
      <c r="W2009" s="1">
        <v>1</v>
      </c>
      <c r="X2009" s="1">
        <v>1</v>
      </c>
      <c r="Y2009" s="1">
        <v>0</v>
      </c>
      <c r="Z2009" s="1">
        <v>0</v>
      </c>
      <c r="AA2009" s="1" t="s">
        <v>109</v>
      </c>
      <c r="AB2009" s="1" t="s">
        <v>109</v>
      </c>
      <c r="AC2009" s="1">
        <v>3</v>
      </c>
      <c r="AD2009" s="1">
        <v>2</v>
      </c>
      <c r="AE2009" s="1" t="s">
        <v>109</v>
      </c>
      <c r="AF2009" s="1" t="s">
        <v>109</v>
      </c>
      <c r="AG2009" s="1" t="s">
        <v>109</v>
      </c>
      <c r="AH2009" s="1" t="s">
        <v>109</v>
      </c>
      <c r="AI2009" s="1" t="s">
        <v>109</v>
      </c>
      <c r="AJ2009" s="1">
        <v>3</v>
      </c>
      <c r="AK2009" s="1" t="s">
        <v>109</v>
      </c>
      <c r="AL2009" s="1">
        <v>3</v>
      </c>
      <c r="AM2009" s="1" t="s">
        <v>109</v>
      </c>
      <c r="AN2009" s="1" t="s">
        <v>109</v>
      </c>
      <c r="AO2009" s="1" t="s">
        <v>109</v>
      </c>
      <c r="AP2009" s="1"/>
      <c r="AQ2009" s="1">
        <v>3</v>
      </c>
      <c r="AR2009" s="1"/>
      <c r="AS2009" s="1"/>
      <c r="AT2009" s="1">
        <v>0</v>
      </c>
      <c r="AU2009" s="1">
        <v>0</v>
      </c>
      <c r="AV2009" s="1">
        <v>0</v>
      </c>
      <c r="AW2009" s="1">
        <v>0</v>
      </c>
      <c r="AX2009" s="1">
        <v>0</v>
      </c>
      <c r="AY2009" s="1">
        <v>0</v>
      </c>
      <c r="AZ2009" s="1">
        <v>0</v>
      </c>
      <c r="BA2009" s="1">
        <v>0</v>
      </c>
      <c r="BB2009" s="1">
        <v>0</v>
      </c>
      <c r="BC2009" s="1">
        <v>0</v>
      </c>
      <c r="BD2009" s="1">
        <v>0</v>
      </c>
      <c r="BE2009" s="1">
        <v>0</v>
      </c>
      <c r="BF2009" s="1">
        <v>0</v>
      </c>
      <c r="BG2009" s="1">
        <v>0</v>
      </c>
      <c r="BH2009" s="1">
        <v>0</v>
      </c>
      <c r="BI2009" s="1">
        <v>0</v>
      </c>
      <c r="BJ2009" s="1">
        <v>0</v>
      </c>
      <c r="BK2009" s="1">
        <v>0</v>
      </c>
      <c r="BL2009" s="1">
        <v>0</v>
      </c>
      <c r="BM2009" s="1">
        <v>0</v>
      </c>
      <c r="BN2009" s="1">
        <v>0</v>
      </c>
      <c r="BO2009" s="1">
        <v>0</v>
      </c>
      <c r="BP2009" s="1">
        <v>0</v>
      </c>
      <c r="BQ2009" s="1">
        <v>0</v>
      </c>
      <c r="BR2009" s="1">
        <v>0</v>
      </c>
      <c r="BS2009" s="1" t="s">
        <v>109</v>
      </c>
      <c r="BT2009" s="1">
        <v>2084</v>
      </c>
      <c r="BU2009" s="1" t="s">
        <v>109</v>
      </c>
      <c r="BV2009" s="1"/>
      <c r="BW2009" s="1"/>
      <c r="BX2009" s="1"/>
      <c r="BY2009" s="1"/>
      <c r="BZ2009" s="1">
        <v>0</v>
      </c>
      <c r="CA2009" s="1" t="s">
        <v>109</v>
      </c>
      <c r="CB2009" s="1">
        <v>2</v>
      </c>
      <c r="CC2009" s="1" t="s">
        <v>109</v>
      </c>
      <c r="CD2009" s="1" t="s">
        <v>109</v>
      </c>
      <c r="CE2009" s="1" t="s">
        <v>109</v>
      </c>
      <c r="CF2009" s="1" t="s">
        <v>109</v>
      </c>
      <c r="CG2009" s="1" t="s">
        <v>109</v>
      </c>
      <c r="CH2009" s="1" t="s">
        <v>109</v>
      </c>
      <c r="CI2009" s="1" t="s">
        <v>109</v>
      </c>
      <c r="CJ2009" s="1">
        <v>2</v>
      </c>
      <c r="CK2009" s="1"/>
      <c r="CL2009" s="1">
        <v>0</v>
      </c>
      <c r="CM2009" s="1">
        <v>0</v>
      </c>
      <c r="CN2009" s="1">
        <v>0</v>
      </c>
    </row>
    <row r="2010" spans="1:92" ht="14.25" customHeight="1" x14ac:dyDescent="0.15">
      <c r="A2010" s="1" t="s">
        <v>14696</v>
      </c>
      <c r="B2010" s="1" t="s">
        <v>95</v>
      </c>
      <c r="C2010" s="1"/>
      <c r="D2010" s="1" t="s">
        <v>14697</v>
      </c>
      <c r="E2010" s="1" t="s">
        <v>14698</v>
      </c>
      <c r="F2010" s="1" t="s">
        <v>98</v>
      </c>
      <c r="G2010" s="1" t="s">
        <v>14699</v>
      </c>
      <c r="H2010" s="1">
        <v>0</v>
      </c>
      <c r="I2010" s="1" t="s">
        <v>161</v>
      </c>
      <c r="J2010" s="1"/>
      <c r="K2010" s="1"/>
      <c r="L2010" s="1" t="s">
        <v>14700</v>
      </c>
      <c r="M2010" s="1" t="s">
        <v>211</v>
      </c>
      <c r="N2010" s="1">
        <v>0</v>
      </c>
      <c r="O2010" s="1">
        <v>0</v>
      </c>
      <c r="P2010" s="1" t="s">
        <v>6546</v>
      </c>
      <c r="Q2010" s="1" t="s">
        <v>104</v>
      </c>
      <c r="R2010" s="1" t="s">
        <v>14701</v>
      </c>
      <c r="S2010" s="1" t="s">
        <v>14702</v>
      </c>
      <c r="T2010" s="1" t="s">
        <v>14687</v>
      </c>
      <c r="U2010" s="1" t="s">
        <v>14703</v>
      </c>
      <c r="V2010" s="1">
        <v>1</v>
      </c>
      <c r="W2010" s="1">
        <v>1</v>
      </c>
      <c r="X2010" s="1">
        <v>1</v>
      </c>
      <c r="Y2010" s="1">
        <v>0</v>
      </c>
      <c r="Z2010" s="1">
        <v>0</v>
      </c>
      <c r="AA2010" s="1" t="s">
        <v>109</v>
      </c>
      <c r="AB2010" s="1" t="s">
        <v>109</v>
      </c>
      <c r="AC2010" s="1" t="s">
        <v>109</v>
      </c>
      <c r="AD2010" s="1">
        <v>2</v>
      </c>
      <c r="AE2010" s="1">
        <v>3</v>
      </c>
      <c r="AF2010" s="1" t="s">
        <v>109</v>
      </c>
      <c r="AG2010" s="1" t="s">
        <v>109</v>
      </c>
      <c r="AH2010" s="1" t="s">
        <v>109</v>
      </c>
      <c r="AI2010" s="1" t="s">
        <v>109</v>
      </c>
      <c r="AJ2010" s="1">
        <v>2</v>
      </c>
      <c r="AK2010" s="1" t="s">
        <v>109</v>
      </c>
      <c r="AL2010" s="1" t="s">
        <v>109</v>
      </c>
      <c r="AM2010" s="1" t="s">
        <v>109</v>
      </c>
      <c r="AN2010" s="1" t="s">
        <v>109</v>
      </c>
      <c r="AO2010" s="1" t="s">
        <v>109</v>
      </c>
      <c r="AP2010" s="1"/>
      <c r="AQ2010" s="1">
        <v>2</v>
      </c>
      <c r="AR2010" s="1"/>
      <c r="AS2010" s="1"/>
      <c r="AT2010" s="1">
        <v>0</v>
      </c>
      <c r="AU2010" s="1">
        <v>0</v>
      </c>
      <c r="AV2010" s="1">
        <v>0</v>
      </c>
      <c r="AW2010" s="1">
        <v>0</v>
      </c>
      <c r="AX2010" s="1">
        <v>0</v>
      </c>
      <c r="AY2010" s="1">
        <v>0</v>
      </c>
      <c r="AZ2010" s="1">
        <v>0</v>
      </c>
      <c r="BA2010" s="1">
        <v>0</v>
      </c>
      <c r="BB2010" s="1">
        <v>0</v>
      </c>
      <c r="BC2010" s="1">
        <v>0</v>
      </c>
      <c r="BD2010" s="1">
        <v>0</v>
      </c>
      <c r="BE2010" s="1">
        <v>0</v>
      </c>
      <c r="BF2010" s="1">
        <v>0</v>
      </c>
      <c r="BG2010" s="1">
        <v>0</v>
      </c>
      <c r="BH2010" s="1">
        <v>0</v>
      </c>
      <c r="BI2010" s="1">
        <v>0</v>
      </c>
      <c r="BJ2010" s="1">
        <v>0</v>
      </c>
      <c r="BK2010" s="1">
        <v>0</v>
      </c>
      <c r="BL2010" s="1">
        <v>0</v>
      </c>
      <c r="BM2010" s="1">
        <v>0</v>
      </c>
      <c r="BN2010" s="1">
        <v>0</v>
      </c>
      <c r="BO2010" s="1">
        <v>1</v>
      </c>
      <c r="BP2010" s="1">
        <v>0</v>
      </c>
      <c r="BQ2010" s="1">
        <v>0</v>
      </c>
      <c r="BR2010" s="1">
        <v>0</v>
      </c>
      <c r="BS2010" s="1" t="s">
        <v>109</v>
      </c>
      <c r="BT2010" s="1">
        <v>2085</v>
      </c>
      <c r="BU2010" s="1" t="s">
        <v>109</v>
      </c>
      <c r="BV2010" s="1"/>
      <c r="BW2010" s="1"/>
      <c r="BX2010" s="1"/>
      <c r="BY2010" s="1"/>
      <c r="BZ2010" s="1">
        <v>0</v>
      </c>
      <c r="CA2010" s="1" t="s">
        <v>109</v>
      </c>
      <c r="CB2010" s="1">
        <v>2</v>
      </c>
      <c r="CC2010" s="1" t="s">
        <v>109</v>
      </c>
      <c r="CD2010" s="1" t="s">
        <v>109</v>
      </c>
      <c r="CE2010" s="1" t="s">
        <v>109</v>
      </c>
      <c r="CF2010" s="1" t="s">
        <v>109</v>
      </c>
      <c r="CG2010" s="1" t="s">
        <v>109</v>
      </c>
      <c r="CH2010" s="1" t="s">
        <v>109</v>
      </c>
      <c r="CI2010" s="1" t="s">
        <v>109</v>
      </c>
      <c r="CJ2010" s="1">
        <v>2</v>
      </c>
      <c r="CK2010" s="1"/>
      <c r="CL2010" s="1">
        <v>0</v>
      </c>
      <c r="CM2010" s="1">
        <v>0</v>
      </c>
      <c r="CN2010" s="1">
        <v>0</v>
      </c>
    </row>
    <row r="2011" spans="1:92" ht="14.25" customHeight="1" x14ac:dyDescent="0.15">
      <c r="A2011" s="1" t="s">
        <v>14704</v>
      </c>
      <c r="B2011" s="1" t="s">
        <v>95</v>
      </c>
      <c r="C2011" s="1" t="s">
        <v>1179</v>
      </c>
      <c r="D2011" s="1"/>
      <c r="E2011" s="1" t="s">
        <v>14705</v>
      </c>
      <c r="F2011" s="1" t="s">
        <v>98</v>
      </c>
      <c r="G2011" s="1" t="s">
        <v>141</v>
      </c>
      <c r="H2011" s="1">
        <v>0</v>
      </c>
      <c r="I2011" s="1" t="s">
        <v>14706</v>
      </c>
      <c r="J2011" s="1"/>
      <c r="K2011" s="1"/>
      <c r="L2011" s="1" t="s">
        <v>4781</v>
      </c>
      <c r="M2011" s="1" t="s">
        <v>144</v>
      </c>
      <c r="N2011" s="1">
        <v>0</v>
      </c>
      <c r="O2011" s="1">
        <v>0</v>
      </c>
      <c r="P2011" s="1" t="s">
        <v>301</v>
      </c>
      <c r="Q2011" s="1" t="s">
        <v>268</v>
      </c>
      <c r="R2011" s="1" t="s">
        <v>14707</v>
      </c>
      <c r="S2011" s="1" t="s">
        <v>14708</v>
      </c>
      <c r="T2011" s="1" t="s">
        <v>14709</v>
      </c>
      <c r="U2011" s="1" t="s">
        <v>14710</v>
      </c>
      <c r="V2011" s="1">
        <v>1</v>
      </c>
      <c r="W2011" s="1">
        <v>1</v>
      </c>
      <c r="X2011" s="1">
        <v>0</v>
      </c>
      <c r="Y2011" s="1">
        <v>0</v>
      </c>
      <c r="Z2011" s="1">
        <v>0</v>
      </c>
      <c r="AA2011" s="1">
        <v>2</v>
      </c>
      <c r="AB2011" s="1">
        <v>2</v>
      </c>
      <c r="AC2011" s="1">
        <v>2</v>
      </c>
      <c r="AD2011" s="1">
        <v>2</v>
      </c>
      <c r="AE2011" s="1">
        <v>2</v>
      </c>
      <c r="AF2011" s="1">
        <v>2</v>
      </c>
      <c r="AG2011" s="1" t="s">
        <v>109</v>
      </c>
      <c r="AH2011" s="1" t="s">
        <v>109</v>
      </c>
      <c r="AI2011" s="1">
        <v>2</v>
      </c>
      <c r="AJ2011" s="1">
        <v>2</v>
      </c>
      <c r="AK2011" s="1" t="s">
        <v>109</v>
      </c>
      <c r="AL2011" s="1">
        <v>2</v>
      </c>
      <c r="AM2011" s="1">
        <v>2</v>
      </c>
      <c r="AN2011" s="1" t="s">
        <v>109</v>
      </c>
      <c r="AO2011" s="1" t="s">
        <v>109</v>
      </c>
      <c r="AP2011" s="1"/>
      <c r="AQ2011" s="1">
        <v>2</v>
      </c>
      <c r="AR2011" s="1"/>
      <c r="AS2011" s="1"/>
      <c r="AT2011" s="1">
        <v>0</v>
      </c>
      <c r="AU2011" s="1">
        <v>0</v>
      </c>
      <c r="AV2011" s="1">
        <v>0</v>
      </c>
      <c r="AW2011" s="1">
        <v>0</v>
      </c>
      <c r="AX2011" s="1">
        <v>0</v>
      </c>
      <c r="AY2011" s="1">
        <v>0</v>
      </c>
      <c r="AZ2011" s="1">
        <v>0</v>
      </c>
      <c r="BA2011" s="1">
        <v>0</v>
      </c>
      <c r="BB2011" s="1">
        <v>0</v>
      </c>
      <c r="BC2011" s="1">
        <v>0</v>
      </c>
      <c r="BD2011" s="1">
        <v>0</v>
      </c>
      <c r="BE2011" s="1">
        <v>0</v>
      </c>
      <c r="BF2011" s="1">
        <v>0</v>
      </c>
      <c r="BG2011" s="1">
        <v>0</v>
      </c>
      <c r="BH2011" s="1">
        <v>0</v>
      </c>
      <c r="BI2011" s="1">
        <v>0</v>
      </c>
      <c r="BJ2011" s="1">
        <v>0</v>
      </c>
      <c r="BK2011" s="1">
        <v>0</v>
      </c>
      <c r="BL2011" s="1">
        <v>0</v>
      </c>
      <c r="BM2011" s="1">
        <v>0</v>
      </c>
      <c r="BN2011" s="1">
        <v>0</v>
      </c>
      <c r="BO2011" s="1">
        <v>0</v>
      </c>
      <c r="BP2011" s="1">
        <v>0</v>
      </c>
      <c r="BQ2011" s="1">
        <v>0</v>
      </c>
      <c r="BR2011" s="1">
        <v>0</v>
      </c>
      <c r="BS2011" s="1" t="s">
        <v>109</v>
      </c>
      <c r="BT2011" s="1">
        <v>2086</v>
      </c>
      <c r="BU2011" s="1" t="s">
        <v>109</v>
      </c>
      <c r="BV2011" s="1"/>
      <c r="BW2011" s="1"/>
      <c r="BX2011" s="1"/>
      <c r="BY2011" s="1"/>
      <c r="BZ2011" s="1">
        <v>0</v>
      </c>
      <c r="CA2011" s="1" t="s">
        <v>109</v>
      </c>
      <c r="CB2011" s="1" t="s">
        <v>109</v>
      </c>
      <c r="CC2011" s="1" t="s">
        <v>109</v>
      </c>
      <c r="CD2011" s="1" t="s">
        <v>109</v>
      </c>
      <c r="CE2011" s="1" t="s">
        <v>109</v>
      </c>
      <c r="CF2011" s="1" t="s">
        <v>109</v>
      </c>
      <c r="CG2011" s="1" t="s">
        <v>109</v>
      </c>
      <c r="CH2011" s="1" t="s">
        <v>109</v>
      </c>
      <c r="CI2011" s="1" t="s">
        <v>109</v>
      </c>
      <c r="CJ2011" s="1">
        <v>2</v>
      </c>
      <c r="CK2011" s="1"/>
      <c r="CL2011" s="1">
        <v>0</v>
      </c>
      <c r="CM2011" s="1">
        <v>0</v>
      </c>
      <c r="CN2011" s="1">
        <v>0</v>
      </c>
    </row>
    <row r="2012" spans="1:92" ht="14.25" customHeight="1" x14ac:dyDescent="0.15">
      <c r="A2012" s="1" t="s">
        <v>14711</v>
      </c>
      <c r="B2012" s="1" t="s">
        <v>584</v>
      </c>
      <c r="C2012" s="1"/>
      <c r="D2012" s="1"/>
      <c r="E2012" s="1" t="s">
        <v>14712</v>
      </c>
      <c r="F2012" s="1" t="s">
        <v>98</v>
      </c>
      <c r="G2012" s="1" t="s">
        <v>141</v>
      </c>
      <c r="H2012" s="1">
        <v>0</v>
      </c>
      <c r="I2012" s="1" t="s">
        <v>142</v>
      </c>
      <c r="J2012" s="1"/>
      <c r="K2012" s="1"/>
      <c r="L2012" s="1" t="s">
        <v>4781</v>
      </c>
      <c r="M2012" s="1" t="s">
        <v>144</v>
      </c>
      <c r="N2012" s="1">
        <v>0</v>
      </c>
      <c r="O2012" s="1">
        <v>0</v>
      </c>
      <c r="P2012" s="1" t="s">
        <v>14713</v>
      </c>
      <c r="Q2012" s="1" t="s">
        <v>268</v>
      </c>
      <c r="R2012" s="1" t="s">
        <v>14714</v>
      </c>
      <c r="S2012" s="1" t="s">
        <v>14715</v>
      </c>
      <c r="T2012" s="1" t="s">
        <v>14709</v>
      </c>
      <c r="U2012" s="1" t="s">
        <v>14716</v>
      </c>
      <c r="V2012" s="1">
        <v>1</v>
      </c>
      <c r="W2012" s="1">
        <v>1</v>
      </c>
      <c r="X2012" s="1">
        <v>0</v>
      </c>
      <c r="Y2012" s="1">
        <v>0</v>
      </c>
      <c r="Z2012" s="1">
        <v>0</v>
      </c>
      <c r="AA2012" s="1">
        <v>3</v>
      </c>
      <c r="AB2012" s="1">
        <v>3</v>
      </c>
      <c r="AC2012" s="1">
        <v>3</v>
      </c>
      <c r="AD2012" s="1" t="s">
        <v>109</v>
      </c>
      <c r="AE2012" s="1" t="s">
        <v>109</v>
      </c>
      <c r="AF2012" s="1" t="s">
        <v>109</v>
      </c>
      <c r="AG2012" s="1" t="s">
        <v>109</v>
      </c>
      <c r="AH2012" s="1" t="s">
        <v>109</v>
      </c>
      <c r="AI2012" s="1">
        <v>2</v>
      </c>
      <c r="AJ2012" s="1">
        <v>4</v>
      </c>
      <c r="AK2012" s="1" t="s">
        <v>109</v>
      </c>
      <c r="AL2012" s="1">
        <v>3</v>
      </c>
      <c r="AM2012" s="1">
        <v>3</v>
      </c>
      <c r="AN2012" s="1" t="s">
        <v>109</v>
      </c>
      <c r="AO2012" s="1" t="s">
        <v>109</v>
      </c>
      <c r="AP2012" s="1"/>
      <c r="AQ2012" s="1">
        <v>3</v>
      </c>
      <c r="AR2012" s="1"/>
      <c r="AS2012" s="1"/>
      <c r="AT2012" s="1">
        <v>0</v>
      </c>
      <c r="AU2012" s="1">
        <v>0</v>
      </c>
      <c r="AV2012" s="1">
        <v>0</v>
      </c>
      <c r="AW2012" s="1">
        <v>0</v>
      </c>
      <c r="AX2012" s="1">
        <v>0</v>
      </c>
      <c r="AY2012" s="1">
        <v>0</v>
      </c>
      <c r="AZ2012" s="1">
        <v>0</v>
      </c>
      <c r="BA2012" s="1">
        <v>0</v>
      </c>
      <c r="BB2012" s="1">
        <v>0</v>
      </c>
      <c r="BC2012" s="1">
        <v>0</v>
      </c>
      <c r="BD2012" s="1">
        <v>0</v>
      </c>
      <c r="BE2012" s="1">
        <v>0</v>
      </c>
      <c r="BF2012" s="1">
        <v>0</v>
      </c>
      <c r="BG2012" s="1">
        <v>0</v>
      </c>
      <c r="BH2012" s="1">
        <v>0</v>
      </c>
      <c r="BI2012" s="1">
        <v>0</v>
      </c>
      <c r="BJ2012" s="1">
        <v>0</v>
      </c>
      <c r="BK2012" s="1">
        <v>0</v>
      </c>
      <c r="BL2012" s="1">
        <v>0</v>
      </c>
      <c r="BM2012" s="1">
        <v>0</v>
      </c>
      <c r="BN2012" s="1">
        <v>0</v>
      </c>
      <c r="BO2012" s="1">
        <v>0</v>
      </c>
      <c r="BP2012" s="1">
        <v>0</v>
      </c>
      <c r="BQ2012" s="1">
        <v>0</v>
      </c>
      <c r="BR2012" s="1">
        <v>0</v>
      </c>
      <c r="BS2012" s="1" t="s">
        <v>109</v>
      </c>
      <c r="BT2012" s="1">
        <v>2087</v>
      </c>
      <c r="BU2012" s="1" t="s">
        <v>109</v>
      </c>
      <c r="BV2012" s="1"/>
      <c r="BW2012" s="1"/>
      <c r="BX2012" s="1"/>
      <c r="BY2012" s="1"/>
      <c r="BZ2012" s="1">
        <v>0</v>
      </c>
      <c r="CA2012" s="1">
        <v>2</v>
      </c>
      <c r="CB2012" s="1">
        <v>3</v>
      </c>
      <c r="CC2012" s="1" t="s">
        <v>109</v>
      </c>
      <c r="CD2012" s="1" t="s">
        <v>109</v>
      </c>
      <c r="CE2012" s="1" t="s">
        <v>109</v>
      </c>
      <c r="CF2012" s="1" t="s">
        <v>109</v>
      </c>
      <c r="CG2012" s="1" t="s">
        <v>109</v>
      </c>
      <c r="CH2012" s="1" t="s">
        <v>109</v>
      </c>
      <c r="CI2012" s="1" t="s">
        <v>109</v>
      </c>
      <c r="CJ2012" s="1" t="s">
        <v>109</v>
      </c>
      <c r="CK2012" s="1"/>
      <c r="CL2012" s="1">
        <v>0</v>
      </c>
      <c r="CM2012" s="1">
        <v>0</v>
      </c>
      <c r="CN2012" s="1">
        <v>0</v>
      </c>
    </row>
    <row r="2013" spans="1:92" ht="14.25" customHeight="1" x14ac:dyDescent="0.15">
      <c r="A2013" s="1" t="s">
        <v>14717</v>
      </c>
      <c r="B2013" s="1" t="s">
        <v>242</v>
      </c>
      <c r="C2013" s="1"/>
      <c r="D2013" s="1"/>
      <c r="E2013" s="1" t="s">
        <v>14718</v>
      </c>
      <c r="F2013" s="1" t="s">
        <v>98</v>
      </c>
      <c r="G2013" s="1" t="s">
        <v>141</v>
      </c>
      <c r="H2013" s="1">
        <v>0</v>
      </c>
      <c r="I2013" s="1" t="s">
        <v>142</v>
      </c>
      <c r="J2013" s="1"/>
      <c r="K2013" s="1"/>
      <c r="L2013" s="1" t="s">
        <v>14719</v>
      </c>
      <c r="M2013" s="1" t="s">
        <v>574</v>
      </c>
      <c r="N2013" s="1">
        <v>1</v>
      </c>
      <c r="O2013" s="1">
        <v>0</v>
      </c>
      <c r="P2013" s="1" t="s">
        <v>103</v>
      </c>
      <c r="Q2013" s="1" t="s">
        <v>104</v>
      </c>
      <c r="R2013" s="1" t="s">
        <v>14720</v>
      </c>
      <c r="S2013" s="1" t="s">
        <v>14721</v>
      </c>
      <c r="T2013" s="1" t="s">
        <v>14709</v>
      </c>
      <c r="U2013" s="1" t="s">
        <v>14722</v>
      </c>
      <c r="V2013" s="1">
        <v>1</v>
      </c>
      <c r="W2013" s="1">
        <v>1</v>
      </c>
      <c r="X2013" s="1">
        <v>0</v>
      </c>
      <c r="Y2013" s="1">
        <v>0</v>
      </c>
      <c r="Z2013" s="1">
        <v>0</v>
      </c>
      <c r="AA2013" s="1">
        <v>2</v>
      </c>
      <c r="AB2013" s="1">
        <v>2</v>
      </c>
      <c r="AC2013" s="1">
        <v>2</v>
      </c>
      <c r="AD2013" s="1">
        <v>2</v>
      </c>
      <c r="AE2013" s="1" t="s">
        <v>109</v>
      </c>
      <c r="AF2013" s="1" t="s">
        <v>109</v>
      </c>
      <c r="AG2013" s="1" t="s">
        <v>109</v>
      </c>
      <c r="AH2013" s="1" t="s">
        <v>109</v>
      </c>
      <c r="AI2013" s="1">
        <v>2</v>
      </c>
      <c r="AJ2013" s="1">
        <v>2</v>
      </c>
      <c r="AK2013" s="1" t="s">
        <v>109</v>
      </c>
      <c r="AL2013" s="1">
        <v>2</v>
      </c>
      <c r="AM2013" s="1" t="s">
        <v>109</v>
      </c>
      <c r="AN2013" s="1" t="s">
        <v>109</v>
      </c>
      <c r="AO2013" s="1" t="s">
        <v>109</v>
      </c>
      <c r="AP2013" s="1"/>
      <c r="AQ2013" s="1">
        <v>2</v>
      </c>
      <c r="AR2013" s="1"/>
      <c r="AS2013" s="1"/>
      <c r="AT2013" s="1">
        <v>0</v>
      </c>
      <c r="AU2013" s="1">
        <v>0</v>
      </c>
      <c r="AV2013" s="1">
        <v>0</v>
      </c>
      <c r="AW2013" s="1">
        <v>0</v>
      </c>
      <c r="AX2013" s="1">
        <v>0</v>
      </c>
      <c r="AY2013" s="1">
        <v>0</v>
      </c>
      <c r="AZ2013" s="1">
        <v>0</v>
      </c>
      <c r="BA2013" s="1">
        <v>0</v>
      </c>
      <c r="BB2013" s="1">
        <v>0</v>
      </c>
      <c r="BC2013" s="1">
        <v>0</v>
      </c>
      <c r="BD2013" s="1">
        <v>0</v>
      </c>
      <c r="BE2013" s="1">
        <v>0</v>
      </c>
      <c r="BF2013" s="1">
        <v>0</v>
      </c>
      <c r="BG2013" s="1">
        <v>0</v>
      </c>
      <c r="BH2013" s="1">
        <v>0</v>
      </c>
      <c r="BI2013" s="1">
        <v>0</v>
      </c>
      <c r="BJ2013" s="1">
        <v>0</v>
      </c>
      <c r="BK2013" s="1">
        <v>0</v>
      </c>
      <c r="BL2013" s="1">
        <v>0</v>
      </c>
      <c r="BM2013" s="1">
        <v>0</v>
      </c>
      <c r="BN2013" s="1">
        <v>0</v>
      </c>
      <c r="BO2013" s="1">
        <v>0</v>
      </c>
      <c r="BP2013" s="1">
        <v>0</v>
      </c>
      <c r="BQ2013" s="1">
        <v>0</v>
      </c>
      <c r="BR2013" s="1">
        <v>0</v>
      </c>
      <c r="BS2013" s="1" t="s">
        <v>109</v>
      </c>
      <c r="BT2013" s="1">
        <v>2088</v>
      </c>
      <c r="BU2013" s="1" t="s">
        <v>109</v>
      </c>
      <c r="BV2013" s="1"/>
      <c r="BW2013" s="1"/>
      <c r="BX2013" s="1"/>
      <c r="BY2013" s="1"/>
      <c r="BZ2013" s="1">
        <v>0</v>
      </c>
      <c r="CA2013" s="1" t="s">
        <v>109</v>
      </c>
      <c r="CB2013" s="1" t="s">
        <v>109</v>
      </c>
      <c r="CC2013" s="1" t="s">
        <v>109</v>
      </c>
      <c r="CD2013" s="1" t="s">
        <v>109</v>
      </c>
      <c r="CE2013" s="1" t="s">
        <v>109</v>
      </c>
      <c r="CF2013" s="1" t="s">
        <v>109</v>
      </c>
      <c r="CG2013" s="1" t="s">
        <v>109</v>
      </c>
      <c r="CH2013" s="1" t="s">
        <v>109</v>
      </c>
      <c r="CI2013" s="1" t="s">
        <v>109</v>
      </c>
      <c r="CJ2013" s="1">
        <v>2</v>
      </c>
      <c r="CK2013" s="1"/>
      <c r="CL2013" s="1">
        <v>0</v>
      </c>
      <c r="CM2013" s="1">
        <v>0</v>
      </c>
      <c r="CN2013" s="1">
        <v>0</v>
      </c>
    </row>
    <row r="2014" spans="1:92" ht="14.25" customHeight="1" x14ac:dyDescent="0.15">
      <c r="A2014" s="1" t="s">
        <v>14723</v>
      </c>
      <c r="B2014" s="1" t="s">
        <v>95</v>
      </c>
      <c r="C2014" s="1" t="s">
        <v>694</v>
      </c>
      <c r="D2014" s="1"/>
      <c r="E2014" s="1" t="s">
        <v>14724</v>
      </c>
      <c r="F2014" s="1" t="s">
        <v>1963</v>
      </c>
      <c r="G2014" s="1" t="s">
        <v>14725</v>
      </c>
      <c r="H2014" s="1">
        <v>0</v>
      </c>
      <c r="I2014" s="1" t="s">
        <v>142</v>
      </c>
      <c r="J2014" s="1"/>
      <c r="K2014" s="1"/>
      <c r="L2014" s="1" t="s">
        <v>14726</v>
      </c>
      <c r="M2014" s="1" t="s">
        <v>574</v>
      </c>
      <c r="N2014" s="1">
        <v>1</v>
      </c>
      <c r="O2014" s="1">
        <v>0</v>
      </c>
      <c r="P2014" s="1" t="s">
        <v>103</v>
      </c>
      <c r="Q2014" s="1" t="s">
        <v>104</v>
      </c>
      <c r="R2014" s="1" t="s">
        <v>14727</v>
      </c>
      <c r="S2014" s="1" t="s">
        <v>14728</v>
      </c>
      <c r="T2014" s="1" t="s">
        <v>14709</v>
      </c>
      <c r="U2014" s="1" t="s">
        <v>14729</v>
      </c>
      <c r="V2014" s="1">
        <v>1</v>
      </c>
      <c r="W2014" s="1">
        <v>1</v>
      </c>
      <c r="X2014" s="1">
        <v>0</v>
      </c>
      <c r="Y2014" s="1">
        <v>0</v>
      </c>
      <c r="Z2014" s="1">
        <v>1</v>
      </c>
      <c r="AA2014" s="1" t="s">
        <v>109</v>
      </c>
      <c r="AB2014" s="1" t="s">
        <v>109</v>
      </c>
      <c r="AC2014" s="1">
        <v>4</v>
      </c>
      <c r="AD2014" s="1">
        <v>4</v>
      </c>
      <c r="AE2014" s="1" t="s">
        <v>109</v>
      </c>
      <c r="AF2014" s="1" t="s">
        <v>109</v>
      </c>
      <c r="AG2014" s="1" t="s">
        <v>109</v>
      </c>
      <c r="AH2014" s="1" t="s">
        <v>109</v>
      </c>
      <c r="AI2014" s="1">
        <v>4</v>
      </c>
      <c r="AJ2014" s="1">
        <v>4</v>
      </c>
      <c r="AK2014" s="1" t="s">
        <v>109</v>
      </c>
      <c r="AL2014" s="1">
        <v>4</v>
      </c>
      <c r="AM2014" s="1" t="s">
        <v>109</v>
      </c>
      <c r="AN2014" s="1" t="s">
        <v>109</v>
      </c>
      <c r="AO2014" s="1" t="s">
        <v>109</v>
      </c>
      <c r="AP2014" s="1"/>
      <c r="AQ2014" s="1">
        <v>4</v>
      </c>
      <c r="AR2014" s="1"/>
      <c r="AS2014" s="1"/>
      <c r="AT2014" s="1">
        <v>0</v>
      </c>
      <c r="AU2014" s="1">
        <v>0</v>
      </c>
      <c r="AV2014" s="1">
        <v>0</v>
      </c>
      <c r="AW2014" s="1">
        <v>0</v>
      </c>
      <c r="AX2014" s="1">
        <v>0</v>
      </c>
      <c r="AY2014" s="1">
        <v>0</v>
      </c>
      <c r="AZ2014" s="1">
        <v>0</v>
      </c>
      <c r="BA2014" s="1">
        <v>0</v>
      </c>
      <c r="BB2014" s="1">
        <v>0</v>
      </c>
      <c r="BC2014" s="1">
        <v>0</v>
      </c>
      <c r="BD2014" s="1">
        <v>0</v>
      </c>
      <c r="BE2014" s="1">
        <v>0</v>
      </c>
      <c r="BF2014" s="1">
        <v>0</v>
      </c>
      <c r="BG2014" s="1">
        <v>0</v>
      </c>
      <c r="BH2014" s="1">
        <v>0</v>
      </c>
      <c r="BI2014" s="1">
        <v>0</v>
      </c>
      <c r="BJ2014" s="1">
        <v>0</v>
      </c>
      <c r="BK2014" s="1">
        <v>0</v>
      </c>
      <c r="BL2014" s="1">
        <v>0</v>
      </c>
      <c r="BM2014" s="1">
        <v>0</v>
      </c>
      <c r="BN2014" s="1">
        <v>0</v>
      </c>
      <c r="BO2014" s="1">
        <v>0</v>
      </c>
      <c r="BP2014" s="1">
        <v>0</v>
      </c>
      <c r="BQ2014" s="1">
        <v>0</v>
      </c>
      <c r="BR2014" s="1">
        <v>0</v>
      </c>
      <c r="BS2014" s="1" t="s">
        <v>109</v>
      </c>
      <c r="BT2014" s="1">
        <v>2089</v>
      </c>
      <c r="BU2014" s="1" t="s">
        <v>109</v>
      </c>
      <c r="BV2014" s="1"/>
      <c r="BW2014" s="1"/>
      <c r="BX2014" s="1"/>
      <c r="BY2014" s="1"/>
      <c r="BZ2014" s="1">
        <v>0</v>
      </c>
      <c r="CA2014" s="1" t="s">
        <v>109</v>
      </c>
      <c r="CB2014" s="1">
        <v>4</v>
      </c>
      <c r="CC2014" s="1" t="s">
        <v>109</v>
      </c>
      <c r="CD2014" s="1" t="s">
        <v>109</v>
      </c>
      <c r="CE2014" s="1" t="s">
        <v>109</v>
      </c>
      <c r="CF2014" s="1" t="s">
        <v>109</v>
      </c>
      <c r="CG2014" s="1" t="s">
        <v>109</v>
      </c>
      <c r="CH2014" s="1" t="s">
        <v>109</v>
      </c>
      <c r="CI2014" s="1" t="s">
        <v>109</v>
      </c>
      <c r="CJ2014" s="1">
        <v>4</v>
      </c>
      <c r="CK2014" s="1"/>
      <c r="CL2014" s="1">
        <v>0</v>
      </c>
      <c r="CM2014" s="1">
        <v>0</v>
      </c>
      <c r="CN2014" s="1">
        <v>0</v>
      </c>
    </row>
    <row r="2015" spans="1:92" ht="14.25" customHeight="1" x14ac:dyDescent="0.15">
      <c r="A2015" s="1" t="s">
        <v>14730</v>
      </c>
      <c r="B2015" s="1" t="s">
        <v>95</v>
      </c>
      <c r="C2015" s="1" t="s">
        <v>1522</v>
      </c>
      <c r="D2015" s="1"/>
      <c r="E2015" s="1" t="s">
        <v>14731</v>
      </c>
      <c r="F2015" s="1" t="s">
        <v>98</v>
      </c>
      <c r="G2015" s="1" t="s">
        <v>141</v>
      </c>
      <c r="H2015" s="1">
        <v>0</v>
      </c>
      <c r="I2015" s="1" t="s">
        <v>142</v>
      </c>
      <c r="J2015" s="1"/>
      <c r="K2015" s="1"/>
      <c r="L2015" s="1" t="s">
        <v>14732</v>
      </c>
      <c r="M2015" s="1" t="s">
        <v>574</v>
      </c>
      <c r="N2015" s="1">
        <v>1</v>
      </c>
      <c r="O2015" s="1">
        <v>0</v>
      </c>
      <c r="P2015" s="1" t="s">
        <v>103</v>
      </c>
      <c r="Q2015" s="1" t="s">
        <v>104</v>
      </c>
      <c r="R2015" s="1" t="s">
        <v>14733</v>
      </c>
      <c r="S2015" s="1" t="s">
        <v>14734</v>
      </c>
      <c r="T2015" s="1" t="s">
        <v>14709</v>
      </c>
      <c r="U2015" s="1" t="s">
        <v>14735</v>
      </c>
      <c r="V2015" s="1">
        <v>1</v>
      </c>
      <c r="W2015" s="1">
        <v>1</v>
      </c>
      <c r="X2015" s="1">
        <v>0</v>
      </c>
      <c r="Y2015" s="1">
        <v>0</v>
      </c>
      <c r="Z2015" s="1">
        <v>0</v>
      </c>
      <c r="AA2015" s="1">
        <v>4</v>
      </c>
      <c r="AB2015" s="1">
        <v>4</v>
      </c>
      <c r="AC2015" s="1">
        <v>4</v>
      </c>
      <c r="AD2015" s="1">
        <v>4</v>
      </c>
      <c r="AE2015" s="1" t="s">
        <v>109</v>
      </c>
      <c r="AF2015" s="1" t="s">
        <v>109</v>
      </c>
      <c r="AG2015" s="1" t="s">
        <v>109</v>
      </c>
      <c r="AH2015" s="1" t="s">
        <v>109</v>
      </c>
      <c r="AI2015" s="1">
        <v>3</v>
      </c>
      <c r="AJ2015" s="1">
        <v>4</v>
      </c>
      <c r="AK2015" s="1" t="s">
        <v>109</v>
      </c>
      <c r="AL2015" s="1">
        <v>4</v>
      </c>
      <c r="AM2015" s="1" t="s">
        <v>109</v>
      </c>
      <c r="AN2015" s="1" t="s">
        <v>109</v>
      </c>
      <c r="AO2015" s="1" t="s">
        <v>109</v>
      </c>
      <c r="AP2015" s="1"/>
      <c r="AQ2015" s="1">
        <v>4</v>
      </c>
      <c r="AR2015" s="1"/>
      <c r="AS2015" s="1"/>
      <c r="AT2015" s="1">
        <v>0</v>
      </c>
      <c r="AU2015" s="1">
        <v>0</v>
      </c>
      <c r="AV2015" s="1">
        <v>0</v>
      </c>
      <c r="AW2015" s="1">
        <v>0</v>
      </c>
      <c r="AX2015" s="1">
        <v>0</v>
      </c>
      <c r="AY2015" s="1">
        <v>0</v>
      </c>
      <c r="AZ2015" s="1">
        <v>0</v>
      </c>
      <c r="BA2015" s="1">
        <v>0</v>
      </c>
      <c r="BB2015" s="1">
        <v>0</v>
      </c>
      <c r="BC2015" s="1">
        <v>0</v>
      </c>
      <c r="BD2015" s="1">
        <v>0</v>
      </c>
      <c r="BE2015" s="1">
        <v>0</v>
      </c>
      <c r="BF2015" s="1">
        <v>0</v>
      </c>
      <c r="BG2015" s="1">
        <v>0</v>
      </c>
      <c r="BH2015" s="1">
        <v>0</v>
      </c>
      <c r="BI2015" s="1">
        <v>0</v>
      </c>
      <c r="BJ2015" s="1">
        <v>0</v>
      </c>
      <c r="BK2015" s="1">
        <v>0</v>
      </c>
      <c r="BL2015" s="1">
        <v>0</v>
      </c>
      <c r="BM2015" s="1">
        <v>0</v>
      </c>
      <c r="BN2015" s="1">
        <v>0</v>
      </c>
      <c r="BO2015" s="1">
        <v>0</v>
      </c>
      <c r="BP2015" s="1">
        <v>0</v>
      </c>
      <c r="BQ2015" s="1">
        <v>0</v>
      </c>
      <c r="BR2015" s="1">
        <v>0</v>
      </c>
      <c r="BS2015" s="1" t="s">
        <v>109</v>
      </c>
      <c r="BT2015" s="1">
        <v>2090</v>
      </c>
      <c r="BU2015" s="1" t="s">
        <v>109</v>
      </c>
      <c r="BV2015" s="1"/>
      <c r="BW2015" s="1"/>
      <c r="BX2015" s="1"/>
      <c r="BY2015" s="1"/>
      <c r="BZ2015" s="1">
        <v>0</v>
      </c>
      <c r="CA2015" s="1" t="s">
        <v>109</v>
      </c>
      <c r="CB2015" s="1" t="s">
        <v>109</v>
      </c>
      <c r="CC2015" s="1" t="s">
        <v>109</v>
      </c>
      <c r="CD2015" s="1" t="s">
        <v>109</v>
      </c>
      <c r="CE2015" s="1" t="s">
        <v>109</v>
      </c>
      <c r="CF2015" s="1" t="s">
        <v>109</v>
      </c>
      <c r="CG2015" s="1" t="s">
        <v>109</v>
      </c>
      <c r="CH2015" s="1" t="s">
        <v>109</v>
      </c>
      <c r="CI2015" s="1" t="s">
        <v>109</v>
      </c>
      <c r="CJ2015" s="1">
        <v>4</v>
      </c>
      <c r="CK2015" s="1"/>
      <c r="CL2015" s="1">
        <v>0</v>
      </c>
      <c r="CM2015" s="1">
        <v>0</v>
      </c>
      <c r="CN2015" s="1">
        <v>0</v>
      </c>
    </row>
    <row r="2016" spans="1:92" ht="14.25" customHeight="1" x14ac:dyDescent="0.15">
      <c r="A2016" s="1" t="s">
        <v>14736</v>
      </c>
      <c r="B2016" s="1" t="s">
        <v>189</v>
      </c>
      <c r="C2016" s="1" t="s">
        <v>231</v>
      </c>
      <c r="D2016" s="1"/>
      <c r="E2016" s="1" t="s">
        <v>14737</v>
      </c>
      <c r="F2016" s="1" t="s">
        <v>98</v>
      </c>
      <c r="G2016" s="1" t="s">
        <v>141</v>
      </c>
      <c r="H2016" s="1">
        <v>0</v>
      </c>
      <c r="I2016" s="1" t="s">
        <v>5737</v>
      </c>
      <c r="J2016" s="1"/>
      <c r="K2016" s="1"/>
      <c r="L2016" s="1" t="s">
        <v>14732</v>
      </c>
      <c r="M2016" s="1" t="s">
        <v>574</v>
      </c>
      <c r="N2016" s="1">
        <v>1</v>
      </c>
      <c r="O2016" s="1">
        <v>0</v>
      </c>
      <c r="P2016" s="1" t="s">
        <v>103</v>
      </c>
      <c r="Q2016" s="1" t="s">
        <v>104</v>
      </c>
      <c r="R2016" s="1" t="s">
        <v>14738</v>
      </c>
      <c r="S2016" s="1" t="s">
        <v>14739</v>
      </c>
      <c r="T2016" s="1" t="s">
        <v>14709</v>
      </c>
      <c r="U2016" s="1" t="s">
        <v>14740</v>
      </c>
      <c r="V2016" s="1">
        <v>1</v>
      </c>
      <c r="W2016" s="1">
        <v>1</v>
      </c>
      <c r="X2016" s="1">
        <v>0</v>
      </c>
      <c r="Y2016" s="1">
        <v>0</v>
      </c>
      <c r="Z2016" s="1">
        <v>0</v>
      </c>
      <c r="AA2016" s="1">
        <v>5</v>
      </c>
      <c r="AB2016" s="1">
        <v>5</v>
      </c>
      <c r="AC2016" s="1" t="s">
        <v>109</v>
      </c>
      <c r="AD2016" s="1">
        <v>5</v>
      </c>
      <c r="AE2016" s="1" t="s">
        <v>109</v>
      </c>
      <c r="AF2016" s="1" t="s">
        <v>109</v>
      </c>
      <c r="AG2016" s="1" t="s">
        <v>109</v>
      </c>
      <c r="AH2016" s="1" t="s">
        <v>109</v>
      </c>
      <c r="AI2016" s="1">
        <v>5</v>
      </c>
      <c r="AJ2016" s="1">
        <v>5</v>
      </c>
      <c r="AK2016" s="1" t="s">
        <v>109</v>
      </c>
      <c r="AL2016" s="1" t="s">
        <v>109</v>
      </c>
      <c r="AM2016" s="1" t="s">
        <v>109</v>
      </c>
      <c r="AN2016" s="1" t="s">
        <v>109</v>
      </c>
      <c r="AO2016" s="1" t="s">
        <v>109</v>
      </c>
      <c r="AP2016" s="1"/>
      <c r="AQ2016" s="1">
        <v>5</v>
      </c>
      <c r="AR2016" s="1"/>
      <c r="AS2016" s="1"/>
      <c r="AT2016" s="1">
        <v>0</v>
      </c>
      <c r="AU2016" s="1">
        <v>0</v>
      </c>
      <c r="AV2016" s="1">
        <v>0</v>
      </c>
      <c r="AW2016" s="1">
        <v>0</v>
      </c>
      <c r="AX2016" s="1">
        <v>0</v>
      </c>
      <c r="AY2016" s="1">
        <v>0</v>
      </c>
      <c r="AZ2016" s="1">
        <v>0</v>
      </c>
      <c r="BA2016" s="1">
        <v>0</v>
      </c>
      <c r="BB2016" s="1">
        <v>0</v>
      </c>
      <c r="BC2016" s="1">
        <v>0</v>
      </c>
      <c r="BD2016" s="1">
        <v>0</v>
      </c>
      <c r="BE2016" s="1">
        <v>0</v>
      </c>
      <c r="BF2016" s="1">
        <v>0</v>
      </c>
      <c r="BG2016" s="1">
        <v>0</v>
      </c>
      <c r="BH2016" s="1">
        <v>0</v>
      </c>
      <c r="BI2016" s="1">
        <v>0</v>
      </c>
      <c r="BJ2016" s="1">
        <v>0</v>
      </c>
      <c r="BK2016" s="1">
        <v>0</v>
      </c>
      <c r="BL2016" s="1">
        <v>0</v>
      </c>
      <c r="BM2016" s="1">
        <v>0</v>
      </c>
      <c r="BN2016" s="1">
        <v>0</v>
      </c>
      <c r="BO2016" s="1">
        <v>0</v>
      </c>
      <c r="BP2016" s="1">
        <v>0</v>
      </c>
      <c r="BQ2016" s="1">
        <v>0</v>
      </c>
      <c r="BR2016" s="1">
        <v>0</v>
      </c>
      <c r="BS2016" s="1" t="s">
        <v>109</v>
      </c>
      <c r="BT2016" s="1">
        <v>2091</v>
      </c>
      <c r="BU2016" s="1" t="s">
        <v>109</v>
      </c>
      <c r="BV2016" s="1"/>
      <c r="BW2016" s="1"/>
      <c r="BX2016" s="1"/>
      <c r="BY2016" s="1"/>
      <c r="BZ2016" s="1">
        <v>0</v>
      </c>
      <c r="CA2016" s="1" t="s">
        <v>109</v>
      </c>
      <c r="CB2016" s="1" t="s">
        <v>109</v>
      </c>
      <c r="CC2016" s="1" t="s">
        <v>109</v>
      </c>
      <c r="CD2016" s="1" t="s">
        <v>109</v>
      </c>
      <c r="CE2016" s="1" t="s">
        <v>109</v>
      </c>
      <c r="CF2016" s="1" t="s">
        <v>109</v>
      </c>
      <c r="CG2016" s="1" t="s">
        <v>109</v>
      </c>
      <c r="CH2016" s="1" t="s">
        <v>109</v>
      </c>
      <c r="CI2016" s="1" t="s">
        <v>109</v>
      </c>
      <c r="CJ2016" s="1">
        <v>5</v>
      </c>
      <c r="CK2016" s="1"/>
      <c r="CL2016" s="1">
        <v>0</v>
      </c>
      <c r="CM2016" s="1">
        <v>0</v>
      </c>
      <c r="CN2016" s="1">
        <v>0</v>
      </c>
    </row>
    <row r="2017" spans="1:92" ht="14.25" customHeight="1" x14ac:dyDescent="0.15">
      <c r="A2017" s="1" t="s">
        <v>14741</v>
      </c>
      <c r="B2017" s="1" t="s">
        <v>95</v>
      </c>
      <c r="C2017" s="1" t="s">
        <v>1179</v>
      </c>
      <c r="D2017" s="1"/>
      <c r="E2017" s="1" t="s">
        <v>14742</v>
      </c>
      <c r="F2017" s="1" t="s">
        <v>395</v>
      </c>
      <c r="G2017" s="1" t="s">
        <v>14743</v>
      </c>
      <c r="H2017" s="1">
        <v>0</v>
      </c>
      <c r="I2017" s="1" t="s">
        <v>142</v>
      </c>
      <c r="J2017" s="1"/>
      <c r="K2017" s="1" t="s">
        <v>14744</v>
      </c>
      <c r="L2017" s="1"/>
      <c r="M2017" s="1" t="s">
        <v>14745</v>
      </c>
      <c r="N2017" s="1">
        <v>1</v>
      </c>
      <c r="O2017" s="1">
        <v>0</v>
      </c>
      <c r="P2017" s="1" t="s">
        <v>103</v>
      </c>
      <c r="Q2017" s="1" t="s">
        <v>104</v>
      </c>
      <c r="R2017" s="1" t="s">
        <v>14746</v>
      </c>
      <c r="S2017" s="1" t="s">
        <v>14747</v>
      </c>
      <c r="T2017" s="1" t="s">
        <v>14709</v>
      </c>
      <c r="U2017" s="1" t="s">
        <v>14748</v>
      </c>
      <c r="V2017" s="1">
        <v>1</v>
      </c>
      <c r="W2017" s="1">
        <v>1</v>
      </c>
      <c r="X2017" s="1">
        <v>0</v>
      </c>
      <c r="Y2017" s="1">
        <v>0</v>
      </c>
      <c r="Z2017" s="1">
        <v>1</v>
      </c>
      <c r="AA2017" s="1" t="s">
        <v>109</v>
      </c>
      <c r="AB2017" s="1" t="s">
        <v>109</v>
      </c>
      <c r="AC2017" s="1">
        <v>6</v>
      </c>
      <c r="AD2017" s="1" t="s">
        <v>109</v>
      </c>
      <c r="AE2017" s="1" t="s">
        <v>109</v>
      </c>
      <c r="AF2017" s="1" t="s">
        <v>109</v>
      </c>
      <c r="AG2017" s="1" t="s">
        <v>109</v>
      </c>
      <c r="AH2017" s="1" t="s">
        <v>109</v>
      </c>
      <c r="AI2017" s="1">
        <v>6</v>
      </c>
      <c r="AJ2017" s="1">
        <v>6</v>
      </c>
      <c r="AK2017" s="1" t="s">
        <v>109</v>
      </c>
      <c r="AL2017" s="1">
        <v>6</v>
      </c>
      <c r="AM2017" s="1" t="s">
        <v>109</v>
      </c>
      <c r="AN2017" s="1" t="s">
        <v>109</v>
      </c>
      <c r="AO2017" s="1" t="s">
        <v>109</v>
      </c>
      <c r="AP2017" s="1"/>
      <c r="AQ2017" s="1">
        <v>6</v>
      </c>
      <c r="AR2017" s="1"/>
      <c r="AS2017" s="1"/>
      <c r="AT2017" s="1">
        <v>0</v>
      </c>
      <c r="AU2017" s="1">
        <v>0</v>
      </c>
      <c r="AV2017" s="1">
        <v>0</v>
      </c>
      <c r="AW2017" s="1">
        <v>0</v>
      </c>
      <c r="AX2017" s="1">
        <v>0</v>
      </c>
      <c r="AY2017" s="1">
        <v>0</v>
      </c>
      <c r="AZ2017" s="1">
        <v>0</v>
      </c>
      <c r="BA2017" s="1">
        <v>0</v>
      </c>
      <c r="BB2017" s="1">
        <v>0</v>
      </c>
      <c r="BC2017" s="1">
        <v>0</v>
      </c>
      <c r="BD2017" s="1">
        <v>0</v>
      </c>
      <c r="BE2017" s="1">
        <v>0</v>
      </c>
      <c r="BF2017" s="1">
        <v>0</v>
      </c>
      <c r="BG2017" s="1">
        <v>0</v>
      </c>
      <c r="BH2017" s="1">
        <v>0</v>
      </c>
      <c r="BI2017" s="1">
        <v>0</v>
      </c>
      <c r="BJ2017" s="1">
        <v>0</v>
      </c>
      <c r="BK2017" s="1">
        <v>0</v>
      </c>
      <c r="BL2017" s="1">
        <v>0</v>
      </c>
      <c r="BM2017" s="1">
        <v>0</v>
      </c>
      <c r="BN2017" s="1">
        <v>0</v>
      </c>
      <c r="BO2017" s="1">
        <v>0</v>
      </c>
      <c r="BP2017" s="1">
        <v>0</v>
      </c>
      <c r="BQ2017" s="1">
        <v>0</v>
      </c>
      <c r="BR2017" s="1">
        <v>0</v>
      </c>
      <c r="BS2017" s="1" t="s">
        <v>109</v>
      </c>
      <c r="BT2017" s="1">
        <v>2092</v>
      </c>
      <c r="BU2017" s="1" t="s">
        <v>109</v>
      </c>
      <c r="BV2017" s="1"/>
      <c r="BW2017" s="1"/>
      <c r="BX2017" s="1"/>
      <c r="BY2017" s="1"/>
      <c r="BZ2017" s="1">
        <v>0</v>
      </c>
      <c r="CA2017" s="1" t="s">
        <v>109</v>
      </c>
      <c r="CB2017" s="1">
        <v>6</v>
      </c>
      <c r="CC2017" s="1" t="s">
        <v>109</v>
      </c>
      <c r="CD2017" s="1" t="s">
        <v>109</v>
      </c>
      <c r="CE2017" s="1" t="s">
        <v>109</v>
      </c>
      <c r="CF2017" s="1" t="s">
        <v>109</v>
      </c>
      <c r="CG2017" s="1" t="s">
        <v>109</v>
      </c>
      <c r="CH2017" s="1" t="s">
        <v>109</v>
      </c>
      <c r="CI2017" s="1" t="s">
        <v>109</v>
      </c>
      <c r="CJ2017" s="1" t="s">
        <v>109</v>
      </c>
      <c r="CK2017" s="1"/>
      <c r="CL2017" s="1">
        <v>0</v>
      </c>
      <c r="CM2017" s="1">
        <v>0</v>
      </c>
      <c r="CN2017" s="1">
        <v>0</v>
      </c>
    </row>
    <row r="2018" spans="1:92" ht="14.25" customHeight="1" x14ac:dyDescent="0.15">
      <c r="A2018" s="1" t="s">
        <v>14749</v>
      </c>
      <c r="B2018" s="1" t="s">
        <v>674</v>
      </c>
      <c r="C2018" s="1" t="s">
        <v>2300</v>
      </c>
      <c r="D2018" s="1"/>
      <c r="E2018" s="1" t="s">
        <v>10794</v>
      </c>
      <c r="F2018" s="1" t="s">
        <v>98</v>
      </c>
      <c r="G2018" s="1" t="s">
        <v>141</v>
      </c>
      <c r="H2018" s="1">
        <v>0</v>
      </c>
      <c r="I2018" s="1" t="s">
        <v>122</v>
      </c>
      <c r="J2018" s="1" t="s">
        <v>573</v>
      </c>
      <c r="K2018" s="1"/>
      <c r="L2018" s="1"/>
      <c r="M2018" s="1" t="s">
        <v>125</v>
      </c>
      <c r="N2018" s="1">
        <v>0</v>
      </c>
      <c r="O2018" s="1">
        <v>0</v>
      </c>
      <c r="P2018" s="1" t="s">
        <v>2465</v>
      </c>
      <c r="Q2018" s="1" t="s">
        <v>268</v>
      </c>
      <c r="R2018" s="1" t="s">
        <v>14750</v>
      </c>
      <c r="S2018" s="1" t="s">
        <v>14751</v>
      </c>
      <c r="T2018" s="1" t="s">
        <v>14752</v>
      </c>
      <c r="U2018" s="1" t="s">
        <v>14753</v>
      </c>
      <c r="V2018" s="1">
        <v>1</v>
      </c>
      <c r="W2018" s="1">
        <v>1</v>
      </c>
      <c r="X2018" s="1">
        <v>0</v>
      </c>
      <c r="Y2018" s="1">
        <v>0</v>
      </c>
      <c r="Z2018" s="1">
        <v>0</v>
      </c>
      <c r="AA2018" s="1">
        <v>2</v>
      </c>
      <c r="AB2018" s="1">
        <v>2</v>
      </c>
      <c r="AC2018" s="1" t="s">
        <v>109</v>
      </c>
      <c r="AD2018" s="1" t="s">
        <v>109</v>
      </c>
      <c r="AE2018" s="1" t="s">
        <v>109</v>
      </c>
      <c r="AF2018" s="1">
        <v>2</v>
      </c>
      <c r="AG2018" s="1" t="s">
        <v>109</v>
      </c>
      <c r="AH2018" s="1" t="s">
        <v>109</v>
      </c>
      <c r="AI2018" s="1" t="s">
        <v>109</v>
      </c>
      <c r="AJ2018" s="1">
        <v>2</v>
      </c>
      <c r="AK2018" s="1" t="s">
        <v>109</v>
      </c>
      <c r="AL2018" s="1" t="s">
        <v>109</v>
      </c>
      <c r="AM2018" s="1" t="s">
        <v>109</v>
      </c>
      <c r="AN2018" s="1" t="s">
        <v>109</v>
      </c>
      <c r="AO2018" s="1" t="s">
        <v>109</v>
      </c>
      <c r="AP2018" s="1"/>
      <c r="AQ2018" s="1">
        <v>2</v>
      </c>
      <c r="AR2018" s="1"/>
      <c r="AS2018" s="1"/>
      <c r="AT2018" s="1">
        <v>0</v>
      </c>
      <c r="AU2018" s="1">
        <v>0</v>
      </c>
      <c r="AV2018" s="1">
        <v>0</v>
      </c>
      <c r="AW2018" s="1">
        <v>0</v>
      </c>
      <c r="AX2018" s="1">
        <v>0</v>
      </c>
      <c r="AY2018" s="1">
        <v>0</v>
      </c>
      <c r="AZ2018" s="1">
        <v>0</v>
      </c>
      <c r="BA2018" s="1">
        <v>0</v>
      </c>
      <c r="BB2018" s="1">
        <v>0</v>
      </c>
      <c r="BC2018" s="1">
        <v>0</v>
      </c>
      <c r="BD2018" s="1">
        <v>0</v>
      </c>
      <c r="BE2018" s="1">
        <v>0</v>
      </c>
      <c r="BF2018" s="1">
        <v>0</v>
      </c>
      <c r="BG2018" s="1">
        <v>0</v>
      </c>
      <c r="BH2018" s="1">
        <v>0</v>
      </c>
      <c r="BI2018" s="1">
        <v>0</v>
      </c>
      <c r="BJ2018" s="1">
        <v>0</v>
      </c>
      <c r="BK2018" s="1">
        <v>0</v>
      </c>
      <c r="BL2018" s="1">
        <v>0</v>
      </c>
      <c r="BM2018" s="1">
        <v>0</v>
      </c>
      <c r="BN2018" s="1">
        <v>0</v>
      </c>
      <c r="BO2018" s="1">
        <v>0</v>
      </c>
      <c r="BP2018" s="1">
        <v>0</v>
      </c>
      <c r="BQ2018" s="1">
        <v>0</v>
      </c>
      <c r="BR2018" s="1">
        <v>0</v>
      </c>
      <c r="BS2018" s="1" t="s">
        <v>109</v>
      </c>
      <c r="BT2018" s="1">
        <v>2093</v>
      </c>
      <c r="BU2018" s="1" t="s">
        <v>109</v>
      </c>
      <c r="BV2018" s="1"/>
      <c r="BW2018" s="1"/>
      <c r="BX2018" s="1"/>
      <c r="BY2018" s="1"/>
      <c r="BZ2018" s="1">
        <v>0</v>
      </c>
      <c r="CA2018" s="1" t="s">
        <v>109</v>
      </c>
      <c r="CB2018" s="1" t="s">
        <v>109</v>
      </c>
      <c r="CC2018" s="1" t="s">
        <v>109</v>
      </c>
      <c r="CD2018" s="1" t="s">
        <v>109</v>
      </c>
      <c r="CE2018" s="1" t="s">
        <v>109</v>
      </c>
      <c r="CF2018" s="1" t="s">
        <v>109</v>
      </c>
      <c r="CG2018" s="1" t="s">
        <v>109</v>
      </c>
      <c r="CH2018" s="1" t="s">
        <v>109</v>
      </c>
      <c r="CI2018" s="1" t="s">
        <v>109</v>
      </c>
      <c r="CJ2018" s="1" t="s">
        <v>109</v>
      </c>
      <c r="CK2018" s="1"/>
      <c r="CL2018" s="1">
        <v>0</v>
      </c>
      <c r="CM2018" s="1">
        <v>0</v>
      </c>
      <c r="CN2018" s="1">
        <v>0</v>
      </c>
    </row>
    <row r="2019" spans="1:92" ht="14.25" customHeight="1" x14ac:dyDescent="0.15">
      <c r="A2019" s="1" t="s">
        <v>14754</v>
      </c>
      <c r="B2019" s="1" t="s">
        <v>156</v>
      </c>
      <c r="C2019" s="1" t="s">
        <v>157</v>
      </c>
      <c r="D2019" s="1" t="s">
        <v>158</v>
      </c>
      <c r="E2019" s="1" t="s">
        <v>14755</v>
      </c>
      <c r="F2019" s="1" t="s">
        <v>355</v>
      </c>
      <c r="G2019" s="1" t="s">
        <v>141</v>
      </c>
      <c r="H2019" s="1">
        <v>0</v>
      </c>
      <c r="I2019" s="1" t="s">
        <v>142</v>
      </c>
      <c r="J2019" s="1"/>
      <c r="K2019" s="1"/>
      <c r="L2019" s="1" t="s">
        <v>716</v>
      </c>
      <c r="M2019" s="1" t="s">
        <v>144</v>
      </c>
      <c r="N2019" s="1">
        <v>0</v>
      </c>
      <c r="O2019" s="1">
        <v>0</v>
      </c>
      <c r="P2019" s="1" t="s">
        <v>301</v>
      </c>
      <c r="Q2019" s="1" t="s">
        <v>268</v>
      </c>
      <c r="R2019" s="1" t="s">
        <v>14756</v>
      </c>
      <c r="S2019" s="1" t="s">
        <v>14757</v>
      </c>
      <c r="T2019" s="1" t="s">
        <v>14752</v>
      </c>
      <c r="U2019" s="1" t="s">
        <v>14758</v>
      </c>
      <c r="V2019" s="1">
        <v>1</v>
      </c>
      <c r="W2019" s="1">
        <v>1</v>
      </c>
      <c r="X2019" s="1">
        <v>0</v>
      </c>
      <c r="Y2019" s="1">
        <v>0</v>
      </c>
      <c r="Z2019" s="1">
        <v>0</v>
      </c>
      <c r="AA2019" s="1" t="s">
        <v>109</v>
      </c>
      <c r="AB2019" s="1" t="s">
        <v>109</v>
      </c>
      <c r="AC2019" s="1" t="s">
        <v>109</v>
      </c>
      <c r="AD2019" s="1">
        <v>2</v>
      </c>
      <c r="AE2019" s="1">
        <v>1</v>
      </c>
      <c r="AF2019" s="1">
        <v>2</v>
      </c>
      <c r="AG2019" s="1" t="s">
        <v>109</v>
      </c>
      <c r="AH2019" s="1" t="s">
        <v>109</v>
      </c>
      <c r="AI2019" s="1" t="s">
        <v>109</v>
      </c>
      <c r="AJ2019" s="1" t="s">
        <v>109</v>
      </c>
      <c r="AK2019" s="1" t="s">
        <v>109</v>
      </c>
      <c r="AL2019" s="1" t="s">
        <v>109</v>
      </c>
      <c r="AM2019" s="1" t="s">
        <v>109</v>
      </c>
      <c r="AN2019" s="1" t="s">
        <v>109</v>
      </c>
      <c r="AO2019" s="1" t="s">
        <v>109</v>
      </c>
      <c r="AP2019" s="1"/>
      <c r="AQ2019" s="1">
        <v>2</v>
      </c>
      <c r="AR2019" s="1"/>
      <c r="AS2019" s="1"/>
      <c r="AT2019" s="1">
        <v>0</v>
      </c>
      <c r="AU2019" s="1">
        <v>0</v>
      </c>
      <c r="AV2019" s="1">
        <v>0</v>
      </c>
      <c r="AW2019" s="1">
        <v>0</v>
      </c>
      <c r="AX2019" s="1">
        <v>0</v>
      </c>
      <c r="AY2019" s="1">
        <v>0</v>
      </c>
      <c r="AZ2019" s="1">
        <v>0</v>
      </c>
      <c r="BA2019" s="1">
        <v>0</v>
      </c>
      <c r="BB2019" s="1">
        <v>0</v>
      </c>
      <c r="BC2019" s="1">
        <v>0</v>
      </c>
      <c r="BD2019" s="1">
        <v>0</v>
      </c>
      <c r="BE2019" s="1">
        <v>0</v>
      </c>
      <c r="BF2019" s="1">
        <v>0</v>
      </c>
      <c r="BG2019" s="1">
        <v>0</v>
      </c>
      <c r="BH2019" s="1">
        <v>0</v>
      </c>
      <c r="BI2019" s="1">
        <v>0</v>
      </c>
      <c r="BJ2019" s="1">
        <v>0</v>
      </c>
      <c r="BK2019" s="1">
        <v>0</v>
      </c>
      <c r="BL2019" s="1">
        <v>0</v>
      </c>
      <c r="BM2019" s="1">
        <v>1</v>
      </c>
      <c r="BN2019" s="1">
        <v>0</v>
      </c>
      <c r="BO2019" s="1">
        <v>0</v>
      </c>
      <c r="BP2019" s="1">
        <v>0</v>
      </c>
      <c r="BQ2019" s="1">
        <v>0</v>
      </c>
      <c r="BR2019" s="1">
        <v>0</v>
      </c>
      <c r="BS2019" s="1" t="s">
        <v>109</v>
      </c>
      <c r="BT2019" s="1">
        <v>2094</v>
      </c>
      <c r="BU2019" s="1" t="s">
        <v>109</v>
      </c>
      <c r="BV2019" s="1"/>
      <c r="BW2019" s="1"/>
      <c r="BX2019" s="1"/>
      <c r="BY2019" s="1"/>
      <c r="BZ2019" s="1">
        <v>0</v>
      </c>
      <c r="CA2019" s="1" t="s">
        <v>109</v>
      </c>
      <c r="CB2019" s="1" t="s">
        <v>109</v>
      </c>
      <c r="CC2019" s="1" t="s">
        <v>109</v>
      </c>
      <c r="CD2019" s="1" t="s">
        <v>109</v>
      </c>
      <c r="CE2019" s="1" t="s">
        <v>109</v>
      </c>
      <c r="CF2019" s="1" t="s">
        <v>109</v>
      </c>
      <c r="CG2019" s="1" t="s">
        <v>109</v>
      </c>
      <c r="CH2019" s="1" t="s">
        <v>109</v>
      </c>
      <c r="CI2019" s="1" t="s">
        <v>109</v>
      </c>
      <c r="CJ2019" s="1">
        <v>1</v>
      </c>
      <c r="CK2019" s="1"/>
      <c r="CL2019" s="1">
        <v>0</v>
      </c>
      <c r="CM2019" s="1">
        <v>0</v>
      </c>
      <c r="CN2019" s="1">
        <v>0</v>
      </c>
    </row>
    <row r="2020" spans="1:92" ht="14.25" customHeight="1" x14ac:dyDescent="0.15">
      <c r="A2020" s="1" t="s">
        <v>14759</v>
      </c>
      <c r="B2020" s="1" t="s">
        <v>156</v>
      </c>
      <c r="C2020" s="1" t="s">
        <v>157</v>
      </c>
      <c r="D2020" s="1" t="s">
        <v>158</v>
      </c>
      <c r="E2020" s="1" t="s">
        <v>14760</v>
      </c>
      <c r="F2020" s="1" t="s">
        <v>98</v>
      </c>
      <c r="G2020" s="1" t="s">
        <v>14761</v>
      </c>
      <c r="H2020" s="1">
        <v>0</v>
      </c>
      <c r="I2020" s="1" t="s">
        <v>122</v>
      </c>
      <c r="J2020" s="1"/>
      <c r="K2020" s="1"/>
      <c r="L2020" s="1" t="s">
        <v>563</v>
      </c>
      <c r="M2020" s="1" t="s">
        <v>125</v>
      </c>
      <c r="N2020" s="1">
        <v>0</v>
      </c>
      <c r="O2020" s="1">
        <v>0</v>
      </c>
      <c r="P2020" s="1" t="s">
        <v>301</v>
      </c>
      <c r="Q2020" s="1" t="s">
        <v>268</v>
      </c>
      <c r="R2020" s="1" t="s">
        <v>14762</v>
      </c>
      <c r="S2020" s="1" t="s">
        <v>14763</v>
      </c>
      <c r="T2020" s="1" t="s">
        <v>14752</v>
      </c>
      <c r="U2020" s="1" t="s">
        <v>14764</v>
      </c>
      <c r="V2020" s="1">
        <v>1</v>
      </c>
      <c r="W2020" s="1">
        <v>1</v>
      </c>
      <c r="X2020" s="1">
        <v>1</v>
      </c>
      <c r="Y2020" s="1">
        <v>0</v>
      </c>
      <c r="Z2020" s="1">
        <v>1</v>
      </c>
      <c r="AA2020" s="1" t="s">
        <v>109</v>
      </c>
      <c r="AB2020" s="1" t="s">
        <v>109</v>
      </c>
      <c r="AC2020" s="1">
        <v>3</v>
      </c>
      <c r="AD2020" s="1" t="s">
        <v>109</v>
      </c>
      <c r="AE2020" s="1" t="s">
        <v>109</v>
      </c>
      <c r="AF2020" s="1">
        <v>3</v>
      </c>
      <c r="AG2020" s="1" t="s">
        <v>109</v>
      </c>
      <c r="AH2020" s="1" t="s">
        <v>109</v>
      </c>
      <c r="AI2020" s="1" t="s">
        <v>109</v>
      </c>
      <c r="AJ2020" s="1">
        <v>3</v>
      </c>
      <c r="AK2020" s="1" t="s">
        <v>109</v>
      </c>
      <c r="AL2020" s="1">
        <v>3</v>
      </c>
      <c r="AM2020" s="1" t="s">
        <v>109</v>
      </c>
      <c r="AN2020" s="1" t="s">
        <v>109</v>
      </c>
      <c r="AO2020" s="1" t="s">
        <v>109</v>
      </c>
      <c r="AP2020" s="1"/>
      <c r="AQ2020" s="1">
        <v>3</v>
      </c>
      <c r="AR2020" s="1"/>
      <c r="AS2020" s="1"/>
      <c r="AT2020" s="1">
        <v>0</v>
      </c>
      <c r="AU2020" s="1">
        <v>0</v>
      </c>
      <c r="AV2020" s="1">
        <v>0</v>
      </c>
      <c r="AW2020" s="1">
        <v>0</v>
      </c>
      <c r="AX2020" s="1">
        <v>0</v>
      </c>
      <c r="AY2020" s="1">
        <v>0</v>
      </c>
      <c r="AZ2020" s="1">
        <v>0</v>
      </c>
      <c r="BA2020" s="1">
        <v>0</v>
      </c>
      <c r="BB2020" s="1">
        <v>0</v>
      </c>
      <c r="BC2020" s="1">
        <v>0</v>
      </c>
      <c r="BD2020" s="1">
        <v>0</v>
      </c>
      <c r="BE2020" s="1">
        <v>0</v>
      </c>
      <c r="BF2020" s="1">
        <v>0</v>
      </c>
      <c r="BG2020" s="1">
        <v>0</v>
      </c>
      <c r="BH2020" s="1">
        <v>0</v>
      </c>
      <c r="BI2020" s="1">
        <v>0</v>
      </c>
      <c r="BJ2020" s="1">
        <v>0</v>
      </c>
      <c r="BK2020" s="1">
        <v>0</v>
      </c>
      <c r="BL2020" s="1">
        <v>0</v>
      </c>
      <c r="BM2020" s="1">
        <v>1</v>
      </c>
      <c r="BN2020" s="1">
        <v>0</v>
      </c>
      <c r="BO2020" s="1">
        <v>0</v>
      </c>
      <c r="BP2020" s="1">
        <v>0</v>
      </c>
      <c r="BQ2020" s="1">
        <v>0</v>
      </c>
      <c r="BR2020" s="1">
        <v>0</v>
      </c>
      <c r="BS2020" s="1" t="s">
        <v>109</v>
      </c>
      <c r="BT2020" s="1">
        <v>2095</v>
      </c>
      <c r="BU2020" s="1" t="s">
        <v>109</v>
      </c>
      <c r="BV2020" s="1"/>
      <c r="BW2020" s="1"/>
      <c r="BX2020" s="1"/>
      <c r="BY2020" s="1"/>
      <c r="BZ2020" s="1">
        <v>0</v>
      </c>
      <c r="CA2020" s="1" t="s">
        <v>109</v>
      </c>
      <c r="CB2020" s="1">
        <v>3</v>
      </c>
      <c r="CC2020" s="1" t="s">
        <v>109</v>
      </c>
      <c r="CD2020" s="1" t="s">
        <v>109</v>
      </c>
      <c r="CE2020" s="1" t="s">
        <v>109</v>
      </c>
      <c r="CF2020" s="1" t="s">
        <v>109</v>
      </c>
      <c r="CG2020" s="1" t="s">
        <v>109</v>
      </c>
      <c r="CH2020" s="1" t="s">
        <v>109</v>
      </c>
      <c r="CI2020" s="1" t="s">
        <v>109</v>
      </c>
      <c r="CJ2020" s="1" t="s">
        <v>109</v>
      </c>
      <c r="CK2020" s="1"/>
      <c r="CL2020" s="1">
        <v>0</v>
      </c>
      <c r="CM2020" s="1">
        <v>0</v>
      </c>
      <c r="CN2020" s="1">
        <v>0</v>
      </c>
    </row>
    <row r="2021" spans="1:92" ht="14.25" customHeight="1" x14ac:dyDescent="0.15">
      <c r="A2021" s="1" t="s">
        <v>14765</v>
      </c>
      <c r="B2021" s="1" t="s">
        <v>156</v>
      </c>
      <c r="C2021" s="1" t="s">
        <v>157</v>
      </c>
      <c r="D2021" s="1" t="s">
        <v>14766</v>
      </c>
      <c r="E2021" s="1" t="s">
        <v>9794</v>
      </c>
      <c r="F2021" s="1" t="s">
        <v>98</v>
      </c>
      <c r="G2021" s="1" t="s">
        <v>141</v>
      </c>
      <c r="H2021" s="1">
        <v>0</v>
      </c>
      <c r="I2021" s="1" t="s">
        <v>14767</v>
      </c>
      <c r="J2021" s="1"/>
      <c r="K2021" s="1"/>
      <c r="L2021" s="1" t="s">
        <v>14768</v>
      </c>
      <c r="M2021" s="1" t="s">
        <v>14769</v>
      </c>
      <c r="N2021" s="1">
        <v>0</v>
      </c>
      <c r="O2021" s="1">
        <v>0</v>
      </c>
      <c r="P2021" s="1" t="s">
        <v>14770</v>
      </c>
      <c r="Q2021" s="1" t="s">
        <v>268</v>
      </c>
      <c r="R2021" s="1" t="s">
        <v>14771</v>
      </c>
      <c r="S2021" s="1" t="s">
        <v>14772</v>
      </c>
      <c r="T2021" s="1" t="s">
        <v>14752</v>
      </c>
      <c r="U2021" s="1" t="s">
        <v>14773</v>
      </c>
      <c r="V2021" s="1">
        <v>1</v>
      </c>
      <c r="W2021" s="1">
        <v>1</v>
      </c>
      <c r="X2021" s="1">
        <v>0</v>
      </c>
      <c r="Y2021" s="1">
        <v>0</v>
      </c>
      <c r="Z2021" s="1">
        <v>0</v>
      </c>
      <c r="AA2021" s="1">
        <v>3</v>
      </c>
      <c r="AB2021" s="1">
        <v>3</v>
      </c>
      <c r="AC2021" s="1" t="s">
        <v>109</v>
      </c>
      <c r="AD2021" s="1" t="s">
        <v>109</v>
      </c>
      <c r="AE2021" s="1" t="s">
        <v>109</v>
      </c>
      <c r="AF2021" s="1">
        <v>2</v>
      </c>
      <c r="AG2021" s="1" t="s">
        <v>109</v>
      </c>
      <c r="AH2021" s="1" t="s">
        <v>109</v>
      </c>
      <c r="AI2021" s="1" t="s">
        <v>109</v>
      </c>
      <c r="AJ2021" s="1">
        <v>3</v>
      </c>
      <c r="AK2021" s="1" t="s">
        <v>109</v>
      </c>
      <c r="AL2021" s="1" t="s">
        <v>109</v>
      </c>
      <c r="AM2021" s="1" t="s">
        <v>109</v>
      </c>
      <c r="AN2021" s="1" t="s">
        <v>109</v>
      </c>
      <c r="AO2021" s="1" t="s">
        <v>109</v>
      </c>
      <c r="AP2021" s="1"/>
      <c r="AQ2021" s="1">
        <v>3</v>
      </c>
      <c r="AR2021" s="1"/>
      <c r="AS2021" s="1"/>
      <c r="AT2021" s="1">
        <v>0</v>
      </c>
      <c r="AU2021" s="1">
        <v>0</v>
      </c>
      <c r="AV2021" s="1">
        <v>0</v>
      </c>
      <c r="AW2021" s="1">
        <v>0</v>
      </c>
      <c r="AX2021" s="1">
        <v>1</v>
      </c>
      <c r="AY2021" s="1">
        <v>0</v>
      </c>
      <c r="AZ2021" s="1">
        <v>0</v>
      </c>
      <c r="BA2021" s="1">
        <v>0</v>
      </c>
      <c r="BB2021" s="1">
        <v>0</v>
      </c>
      <c r="BC2021" s="1">
        <v>0</v>
      </c>
      <c r="BD2021" s="1">
        <v>0</v>
      </c>
      <c r="BE2021" s="1">
        <v>0</v>
      </c>
      <c r="BF2021" s="1">
        <v>0</v>
      </c>
      <c r="BG2021" s="1">
        <v>0</v>
      </c>
      <c r="BH2021" s="1">
        <v>0</v>
      </c>
      <c r="BI2021" s="1">
        <v>0</v>
      </c>
      <c r="BJ2021" s="1">
        <v>0</v>
      </c>
      <c r="BK2021" s="1">
        <v>0</v>
      </c>
      <c r="BL2021" s="1">
        <v>0</v>
      </c>
      <c r="BM2021" s="1">
        <v>1</v>
      </c>
      <c r="BN2021" s="1">
        <v>0</v>
      </c>
      <c r="BO2021" s="1">
        <v>0</v>
      </c>
      <c r="BP2021" s="1">
        <v>0</v>
      </c>
      <c r="BQ2021" s="1">
        <v>0</v>
      </c>
      <c r="BR2021" s="1">
        <v>0</v>
      </c>
      <c r="BS2021" s="1" t="s">
        <v>109</v>
      </c>
      <c r="BT2021" s="1">
        <v>2096</v>
      </c>
      <c r="BU2021" s="1" t="s">
        <v>109</v>
      </c>
      <c r="BV2021" s="1"/>
      <c r="BW2021" s="1"/>
      <c r="BX2021" s="1"/>
      <c r="BY2021" s="1"/>
      <c r="BZ2021" s="1">
        <v>0</v>
      </c>
      <c r="CA2021" s="1" t="s">
        <v>109</v>
      </c>
      <c r="CB2021" s="1" t="s">
        <v>109</v>
      </c>
      <c r="CC2021" s="1" t="s">
        <v>109</v>
      </c>
      <c r="CD2021" s="1" t="s">
        <v>109</v>
      </c>
      <c r="CE2021" s="1" t="s">
        <v>109</v>
      </c>
      <c r="CF2021" s="1" t="s">
        <v>109</v>
      </c>
      <c r="CG2021" s="1" t="s">
        <v>109</v>
      </c>
      <c r="CH2021" s="1" t="s">
        <v>109</v>
      </c>
      <c r="CI2021" s="1" t="s">
        <v>109</v>
      </c>
      <c r="CJ2021" s="1" t="s">
        <v>109</v>
      </c>
      <c r="CK2021" s="1"/>
      <c r="CL2021" s="1">
        <v>0</v>
      </c>
      <c r="CM2021" s="1">
        <v>0</v>
      </c>
      <c r="CN2021" s="1">
        <v>0</v>
      </c>
    </row>
    <row r="2022" spans="1:92" ht="14.25" customHeight="1" x14ac:dyDescent="0.15">
      <c r="A2022" s="1" t="s">
        <v>14774</v>
      </c>
      <c r="B2022" s="1" t="s">
        <v>189</v>
      </c>
      <c r="C2022" s="1"/>
      <c r="D2022" s="1" t="s">
        <v>59</v>
      </c>
      <c r="E2022" s="1" t="s">
        <v>213</v>
      </c>
      <c r="F2022" s="1" t="s">
        <v>98</v>
      </c>
      <c r="G2022" s="1" t="s">
        <v>333</v>
      </c>
      <c r="H2022" s="1">
        <v>0</v>
      </c>
      <c r="I2022" s="1" t="s">
        <v>235</v>
      </c>
      <c r="J2022" s="1"/>
      <c r="K2022" s="1"/>
      <c r="L2022" s="1" t="s">
        <v>236</v>
      </c>
      <c r="M2022" s="1" t="s">
        <v>125</v>
      </c>
      <c r="N2022" s="1">
        <v>0</v>
      </c>
      <c r="O2022" s="1">
        <v>0</v>
      </c>
      <c r="P2022" s="1"/>
      <c r="Q2022" s="1"/>
      <c r="R2022" s="1" t="s">
        <v>14775</v>
      </c>
      <c r="S2022" s="1" t="s">
        <v>14776</v>
      </c>
      <c r="T2022" s="1" t="s">
        <v>14777</v>
      </c>
      <c r="U2022" s="1" t="s">
        <v>14778</v>
      </c>
      <c r="V2022" s="1">
        <v>1</v>
      </c>
      <c r="W2022" s="1">
        <v>0</v>
      </c>
      <c r="X2022" s="1">
        <v>0</v>
      </c>
      <c r="Y2022" s="1">
        <v>0</v>
      </c>
      <c r="Z2022" s="1">
        <v>0</v>
      </c>
      <c r="AA2022" s="1" t="s">
        <v>109</v>
      </c>
      <c r="AB2022" s="1" t="s">
        <v>109</v>
      </c>
      <c r="AC2022" s="1">
        <v>2</v>
      </c>
      <c r="AD2022" s="1" t="s">
        <v>109</v>
      </c>
      <c r="AE2022" s="1" t="s">
        <v>109</v>
      </c>
      <c r="AF2022" s="1" t="s">
        <v>109</v>
      </c>
      <c r="AG2022" s="1" t="s">
        <v>109</v>
      </c>
      <c r="AH2022" s="1" t="s">
        <v>109</v>
      </c>
      <c r="AI2022" s="1" t="s">
        <v>109</v>
      </c>
      <c r="AJ2022" s="1" t="s">
        <v>109</v>
      </c>
      <c r="AK2022" s="1">
        <v>2</v>
      </c>
      <c r="AL2022" s="1">
        <v>2</v>
      </c>
      <c r="AM2022" s="1" t="s">
        <v>109</v>
      </c>
      <c r="AN2022" s="1" t="s">
        <v>109</v>
      </c>
      <c r="AO2022" s="1" t="s">
        <v>109</v>
      </c>
      <c r="AP2022" s="1" t="s">
        <v>14779</v>
      </c>
      <c r="AQ2022" s="1">
        <v>2</v>
      </c>
      <c r="AR2022" s="1"/>
      <c r="AS2022" s="1"/>
      <c r="AT2022" s="1">
        <v>0</v>
      </c>
      <c r="AU2022" s="1">
        <v>0</v>
      </c>
      <c r="AV2022" s="1">
        <v>0</v>
      </c>
      <c r="AW2022" s="1">
        <v>0</v>
      </c>
      <c r="AX2022" s="1">
        <v>0</v>
      </c>
      <c r="AY2022" s="1">
        <v>0</v>
      </c>
      <c r="AZ2022" s="1">
        <v>0</v>
      </c>
      <c r="BA2022" s="1">
        <v>0</v>
      </c>
      <c r="BB2022" s="1">
        <v>0</v>
      </c>
      <c r="BC2022" s="1">
        <v>0</v>
      </c>
      <c r="BD2022" s="1">
        <v>0</v>
      </c>
      <c r="BE2022" s="1">
        <v>0</v>
      </c>
      <c r="BF2022" s="1">
        <v>0</v>
      </c>
      <c r="BG2022" s="1">
        <v>1</v>
      </c>
      <c r="BH2022" s="1">
        <v>0</v>
      </c>
      <c r="BI2022" s="1">
        <v>0</v>
      </c>
      <c r="BJ2022" s="1">
        <v>0</v>
      </c>
      <c r="BK2022" s="1">
        <v>0</v>
      </c>
      <c r="BL2022" s="1">
        <v>0</v>
      </c>
      <c r="BM2022" s="1">
        <v>0</v>
      </c>
      <c r="BN2022" s="1">
        <v>0</v>
      </c>
      <c r="BO2022" s="1">
        <v>0</v>
      </c>
      <c r="BP2022" s="1">
        <v>0</v>
      </c>
      <c r="BQ2022" s="1">
        <v>0</v>
      </c>
      <c r="BR2022" s="1">
        <v>0</v>
      </c>
      <c r="BS2022" s="1" t="s">
        <v>109</v>
      </c>
      <c r="BT2022" s="1">
        <v>2097</v>
      </c>
      <c r="BU2022" s="1" t="s">
        <v>109</v>
      </c>
      <c r="BV2022" s="1"/>
      <c r="BW2022" s="1"/>
      <c r="BX2022" s="1"/>
      <c r="BY2022" s="1"/>
      <c r="BZ2022" s="1">
        <v>0</v>
      </c>
      <c r="CA2022" s="1" t="s">
        <v>109</v>
      </c>
      <c r="CB2022" s="1" t="s">
        <v>109</v>
      </c>
      <c r="CC2022" s="1" t="s">
        <v>109</v>
      </c>
      <c r="CD2022" s="1" t="s">
        <v>109</v>
      </c>
      <c r="CE2022" s="1" t="s">
        <v>109</v>
      </c>
      <c r="CF2022" s="1" t="s">
        <v>109</v>
      </c>
      <c r="CG2022" s="1" t="s">
        <v>109</v>
      </c>
      <c r="CH2022" s="1" t="s">
        <v>109</v>
      </c>
      <c r="CI2022" s="1" t="s">
        <v>109</v>
      </c>
      <c r="CJ2022" s="1" t="s">
        <v>109</v>
      </c>
      <c r="CK2022" s="1"/>
      <c r="CL2022" s="1">
        <v>0</v>
      </c>
      <c r="CM2022" s="1">
        <v>0</v>
      </c>
      <c r="CN2022" s="1">
        <v>0</v>
      </c>
    </row>
    <row r="2023" spans="1:92" ht="14.25" customHeight="1" x14ac:dyDescent="0.15">
      <c r="A2023" s="1" t="s">
        <v>14780</v>
      </c>
      <c r="B2023" s="1" t="s">
        <v>308</v>
      </c>
      <c r="C2023" s="1"/>
      <c r="D2023" s="1"/>
      <c r="E2023" s="1" t="s">
        <v>14781</v>
      </c>
      <c r="F2023" s="1" t="s">
        <v>377</v>
      </c>
      <c r="G2023" s="1" t="s">
        <v>141</v>
      </c>
      <c r="H2023" s="1">
        <v>0</v>
      </c>
      <c r="I2023" s="1" t="s">
        <v>235</v>
      </c>
      <c r="J2023" s="1"/>
      <c r="K2023" s="1"/>
      <c r="L2023" s="1" t="s">
        <v>236</v>
      </c>
      <c r="M2023" s="1" t="s">
        <v>465</v>
      </c>
      <c r="N2023" s="1">
        <v>0</v>
      </c>
      <c r="O2023" s="1">
        <v>0</v>
      </c>
      <c r="P2023" s="1" t="s">
        <v>104</v>
      </c>
      <c r="Q2023" s="1" t="s">
        <v>104</v>
      </c>
      <c r="R2023" s="1" t="s">
        <v>14782</v>
      </c>
      <c r="S2023" s="1" t="s">
        <v>14783</v>
      </c>
      <c r="T2023" s="1" t="s">
        <v>14784</v>
      </c>
      <c r="U2023" s="1" t="s">
        <v>14785</v>
      </c>
      <c r="V2023" s="1">
        <v>1</v>
      </c>
      <c r="W2023" s="1">
        <v>1</v>
      </c>
      <c r="X2023" s="1">
        <v>0</v>
      </c>
      <c r="Y2023" s="1">
        <v>0</v>
      </c>
      <c r="Z2023" s="1">
        <v>0</v>
      </c>
      <c r="AA2023" s="1" t="s">
        <v>109</v>
      </c>
      <c r="AB2023" s="1" t="s">
        <v>109</v>
      </c>
      <c r="AC2023" s="1" t="s">
        <v>109</v>
      </c>
      <c r="AD2023" s="1" t="s">
        <v>109</v>
      </c>
      <c r="AE2023" s="1" t="s">
        <v>109</v>
      </c>
      <c r="AF2023" s="1" t="s">
        <v>109</v>
      </c>
      <c r="AG2023" s="1" t="s">
        <v>109</v>
      </c>
      <c r="AH2023" s="1" t="s">
        <v>109</v>
      </c>
      <c r="AI2023" s="1" t="s">
        <v>109</v>
      </c>
      <c r="AJ2023" s="1" t="s">
        <v>109</v>
      </c>
      <c r="AK2023" s="1" t="s">
        <v>109</v>
      </c>
      <c r="AL2023" s="1" t="s">
        <v>109</v>
      </c>
      <c r="AM2023" s="1" t="s">
        <v>109</v>
      </c>
      <c r="AN2023" s="1" t="s">
        <v>109</v>
      </c>
      <c r="AO2023" s="1" t="s">
        <v>109</v>
      </c>
      <c r="AP2023" s="1"/>
      <c r="AQ2023" s="1">
        <v>9</v>
      </c>
      <c r="AR2023" s="1"/>
      <c r="AS2023" s="1" t="s">
        <v>14786</v>
      </c>
      <c r="AT2023" s="1">
        <v>0</v>
      </c>
      <c r="AU2023" s="1">
        <v>0</v>
      </c>
      <c r="AV2023" s="1">
        <v>0</v>
      </c>
      <c r="AW2023" s="1">
        <v>0</v>
      </c>
      <c r="AX2023" s="1">
        <v>0</v>
      </c>
      <c r="AY2023" s="1">
        <v>0</v>
      </c>
      <c r="AZ2023" s="1">
        <v>0</v>
      </c>
      <c r="BA2023" s="1">
        <v>0</v>
      </c>
      <c r="BB2023" s="1">
        <v>0</v>
      </c>
      <c r="BC2023" s="1">
        <v>0</v>
      </c>
      <c r="BD2023" s="1">
        <v>0</v>
      </c>
      <c r="BE2023" s="1">
        <v>0</v>
      </c>
      <c r="BF2023" s="1">
        <v>0</v>
      </c>
      <c r="BG2023" s="1">
        <v>0</v>
      </c>
      <c r="BH2023" s="1">
        <v>0</v>
      </c>
      <c r="BI2023" s="1">
        <v>0</v>
      </c>
      <c r="BJ2023" s="1">
        <v>0</v>
      </c>
      <c r="BK2023" s="1">
        <v>0</v>
      </c>
      <c r="BL2023" s="1">
        <v>0</v>
      </c>
      <c r="BM2023" s="1">
        <v>0</v>
      </c>
      <c r="BN2023" s="1">
        <v>0</v>
      </c>
      <c r="BO2023" s="1">
        <v>0</v>
      </c>
      <c r="BP2023" s="1">
        <v>0</v>
      </c>
      <c r="BQ2023" s="1">
        <v>0</v>
      </c>
      <c r="BR2023" s="1">
        <v>0</v>
      </c>
      <c r="BS2023" s="1" t="s">
        <v>109</v>
      </c>
      <c r="BT2023" s="1">
        <v>2098</v>
      </c>
      <c r="BU2023" s="1" t="s">
        <v>109</v>
      </c>
      <c r="BV2023" s="1"/>
      <c r="BW2023" s="1"/>
      <c r="BX2023" s="1"/>
      <c r="BY2023" s="1"/>
      <c r="BZ2023" s="1">
        <v>0</v>
      </c>
      <c r="CA2023" s="1" t="s">
        <v>109</v>
      </c>
      <c r="CB2023" s="1" t="s">
        <v>109</v>
      </c>
      <c r="CC2023" s="1">
        <v>9</v>
      </c>
      <c r="CD2023" s="1" t="s">
        <v>109</v>
      </c>
      <c r="CE2023" s="1" t="s">
        <v>109</v>
      </c>
      <c r="CF2023" s="1" t="s">
        <v>109</v>
      </c>
      <c r="CG2023" s="1" t="s">
        <v>109</v>
      </c>
      <c r="CH2023" s="1" t="s">
        <v>109</v>
      </c>
      <c r="CI2023" s="1" t="s">
        <v>109</v>
      </c>
      <c r="CJ2023" s="1" t="s">
        <v>109</v>
      </c>
      <c r="CK2023" s="1"/>
      <c r="CL2023" s="1">
        <v>0</v>
      </c>
      <c r="CM2023" s="1">
        <v>0</v>
      </c>
      <c r="CN2023" s="1">
        <v>0</v>
      </c>
    </row>
    <row r="2024" spans="1:92" ht="14.25" customHeight="1" x14ac:dyDescent="0.15">
      <c r="A2024" s="1" t="s">
        <v>14787</v>
      </c>
      <c r="B2024" s="1" t="s">
        <v>254</v>
      </c>
      <c r="C2024" s="1"/>
      <c r="D2024" s="1"/>
      <c r="E2024" s="1" t="s">
        <v>14788</v>
      </c>
      <c r="F2024" s="1" t="s">
        <v>98</v>
      </c>
      <c r="G2024" s="1" t="s">
        <v>141</v>
      </c>
      <c r="H2024" s="1">
        <v>0</v>
      </c>
      <c r="I2024" s="1" t="s">
        <v>142</v>
      </c>
      <c r="J2024" s="1"/>
      <c r="K2024" s="1"/>
      <c r="L2024" s="1" t="s">
        <v>1548</v>
      </c>
      <c r="M2024" s="1" t="s">
        <v>766</v>
      </c>
      <c r="N2024" s="1">
        <v>0</v>
      </c>
      <c r="O2024" s="1">
        <v>0</v>
      </c>
      <c r="P2024" s="1" t="s">
        <v>103</v>
      </c>
      <c r="Q2024" s="1" t="s">
        <v>104</v>
      </c>
      <c r="R2024" s="1" t="s">
        <v>14789</v>
      </c>
      <c r="S2024" s="1" t="s">
        <v>14790</v>
      </c>
      <c r="T2024" s="1" t="s">
        <v>14784</v>
      </c>
      <c r="U2024" s="1" t="s">
        <v>14791</v>
      </c>
      <c r="V2024" s="1">
        <v>1</v>
      </c>
      <c r="W2024" s="1">
        <v>1</v>
      </c>
      <c r="X2024" s="1">
        <v>0</v>
      </c>
      <c r="Y2024" s="1">
        <v>0</v>
      </c>
      <c r="Z2024" s="1">
        <v>0</v>
      </c>
      <c r="AA2024" s="1" t="s">
        <v>109</v>
      </c>
      <c r="AB2024" s="1" t="s">
        <v>109</v>
      </c>
      <c r="AC2024" s="1" t="s">
        <v>109</v>
      </c>
      <c r="AD2024" s="1" t="s">
        <v>109</v>
      </c>
      <c r="AE2024" s="1" t="s">
        <v>109</v>
      </c>
      <c r="AF2024" s="1" t="s">
        <v>109</v>
      </c>
      <c r="AG2024" s="1" t="s">
        <v>109</v>
      </c>
      <c r="AH2024" s="1" t="s">
        <v>109</v>
      </c>
      <c r="AI2024" s="1" t="s">
        <v>109</v>
      </c>
      <c r="AJ2024" s="1" t="s">
        <v>109</v>
      </c>
      <c r="AK2024" s="1" t="s">
        <v>109</v>
      </c>
      <c r="AL2024" s="1" t="s">
        <v>109</v>
      </c>
      <c r="AM2024" s="1" t="s">
        <v>109</v>
      </c>
      <c r="AN2024" s="1" t="s">
        <v>109</v>
      </c>
      <c r="AO2024" s="1" t="s">
        <v>109</v>
      </c>
      <c r="AP2024" s="1"/>
      <c r="AQ2024" s="1" t="s">
        <v>109</v>
      </c>
      <c r="AR2024" s="1"/>
      <c r="AS2024" s="1" t="s">
        <v>14792</v>
      </c>
      <c r="AT2024" s="1">
        <v>0</v>
      </c>
      <c r="AU2024" s="1">
        <v>0</v>
      </c>
      <c r="AV2024" s="1">
        <v>0</v>
      </c>
      <c r="AW2024" s="1">
        <v>0</v>
      </c>
      <c r="AX2024" s="1">
        <v>0</v>
      </c>
      <c r="AY2024" s="1">
        <v>0</v>
      </c>
      <c r="AZ2024" s="1">
        <v>0</v>
      </c>
      <c r="BA2024" s="1">
        <v>0</v>
      </c>
      <c r="BB2024" s="1">
        <v>0</v>
      </c>
      <c r="BC2024" s="1">
        <v>0</v>
      </c>
      <c r="BD2024" s="1">
        <v>0</v>
      </c>
      <c r="BE2024" s="1">
        <v>0</v>
      </c>
      <c r="BF2024" s="1">
        <v>0</v>
      </c>
      <c r="BG2024" s="1">
        <v>0</v>
      </c>
      <c r="BH2024" s="1">
        <v>0</v>
      </c>
      <c r="BI2024" s="1">
        <v>0</v>
      </c>
      <c r="BJ2024" s="1">
        <v>0</v>
      </c>
      <c r="BK2024" s="1">
        <v>0</v>
      </c>
      <c r="BL2024" s="1">
        <v>0</v>
      </c>
      <c r="BM2024" s="1">
        <v>0</v>
      </c>
      <c r="BN2024" s="1">
        <v>0</v>
      </c>
      <c r="BO2024" s="1">
        <v>0</v>
      </c>
      <c r="BP2024" s="1">
        <v>0</v>
      </c>
      <c r="BQ2024" s="1">
        <v>0</v>
      </c>
      <c r="BR2024" s="1">
        <v>0</v>
      </c>
      <c r="BS2024" s="1" t="s">
        <v>109</v>
      </c>
      <c r="BT2024" s="1">
        <v>2099</v>
      </c>
      <c r="BU2024" s="1" t="s">
        <v>109</v>
      </c>
      <c r="BV2024" s="1"/>
      <c r="BW2024" s="1"/>
      <c r="BX2024" s="1"/>
      <c r="BY2024" s="1"/>
      <c r="BZ2024" s="1">
        <v>0</v>
      </c>
      <c r="CA2024" s="1" t="s">
        <v>109</v>
      </c>
      <c r="CB2024" s="1" t="s">
        <v>109</v>
      </c>
      <c r="CC2024" s="1">
        <v>3</v>
      </c>
      <c r="CD2024" s="1">
        <v>2</v>
      </c>
      <c r="CE2024" s="1">
        <v>3</v>
      </c>
      <c r="CF2024" s="1">
        <v>2</v>
      </c>
      <c r="CG2024" s="1">
        <v>3</v>
      </c>
      <c r="CH2024" s="1" t="s">
        <v>109</v>
      </c>
      <c r="CI2024" s="1" t="s">
        <v>109</v>
      </c>
      <c r="CJ2024" s="1" t="s">
        <v>109</v>
      </c>
      <c r="CK2024" s="1"/>
      <c r="CL2024" s="1">
        <v>0</v>
      </c>
      <c r="CM2024" s="1">
        <v>0</v>
      </c>
      <c r="CN2024" s="1">
        <v>0</v>
      </c>
    </row>
    <row r="2025" spans="1:92" ht="14.25" customHeight="1" x14ac:dyDescent="0.15">
      <c r="A2025" s="1" t="s">
        <v>14793</v>
      </c>
      <c r="B2025" s="1" t="s">
        <v>254</v>
      </c>
      <c r="C2025" s="1"/>
      <c r="D2025" s="1" t="s">
        <v>158</v>
      </c>
      <c r="E2025" s="1" t="s">
        <v>14794</v>
      </c>
      <c r="F2025" s="1" t="s">
        <v>98</v>
      </c>
      <c r="G2025" s="1" t="s">
        <v>333</v>
      </c>
      <c r="H2025" s="1">
        <v>0</v>
      </c>
      <c r="I2025" s="1" t="s">
        <v>142</v>
      </c>
      <c r="J2025" s="1"/>
      <c r="K2025" s="1"/>
      <c r="L2025" s="1" t="s">
        <v>1391</v>
      </c>
      <c r="M2025" s="1" t="s">
        <v>125</v>
      </c>
      <c r="N2025" s="1">
        <v>0</v>
      </c>
      <c r="O2025" s="1">
        <v>0</v>
      </c>
      <c r="P2025" s="1" t="s">
        <v>380</v>
      </c>
      <c r="Q2025" s="1" t="s">
        <v>268</v>
      </c>
      <c r="R2025" s="1" t="s">
        <v>14795</v>
      </c>
      <c r="S2025" s="1" t="s">
        <v>14796</v>
      </c>
      <c r="T2025" s="1" t="s">
        <v>14784</v>
      </c>
      <c r="U2025" s="1" t="s">
        <v>14797</v>
      </c>
      <c r="V2025" s="1">
        <v>1</v>
      </c>
      <c r="W2025" s="1">
        <v>0</v>
      </c>
      <c r="X2025" s="1">
        <v>0</v>
      </c>
      <c r="Y2025" s="1">
        <v>0</v>
      </c>
      <c r="Z2025" s="1">
        <v>0</v>
      </c>
      <c r="AA2025" s="1">
        <v>2</v>
      </c>
      <c r="AB2025" s="1">
        <v>2</v>
      </c>
      <c r="AC2025" s="1" t="s">
        <v>109</v>
      </c>
      <c r="AD2025" s="1" t="s">
        <v>109</v>
      </c>
      <c r="AE2025" s="1" t="s">
        <v>109</v>
      </c>
      <c r="AF2025" s="1">
        <v>2</v>
      </c>
      <c r="AG2025" s="1" t="s">
        <v>109</v>
      </c>
      <c r="AH2025" s="1" t="s">
        <v>109</v>
      </c>
      <c r="AI2025" s="1" t="s">
        <v>109</v>
      </c>
      <c r="AJ2025" s="1">
        <v>2</v>
      </c>
      <c r="AK2025" s="1">
        <v>2</v>
      </c>
      <c r="AL2025" s="1" t="s">
        <v>109</v>
      </c>
      <c r="AM2025" s="1" t="s">
        <v>109</v>
      </c>
      <c r="AN2025" s="1">
        <v>2</v>
      </c>
      <c r="AO2025" s="1" t="s">
        <v>109</v>
      </c>
      <c r="AP2025" s="1"/>
      <c r="AQ2025" s="1">
        <v>2</v>
      </c>
      <c r="AR2025" s="1"/>
      <c r="AS2025" s="1" t="s">
        <v>14798</v>
      </c>
      <c r="AT2025" s="1">
        <v>0</v>
      </c>
      <c r="AU2025" s="1">
        <v>0</v>
      </c>
      <c r="AV2025" s="1">
        <v>0</v>
      </c>
      <c r="AW2025" s="1">
        <v>0</v>
      </c>
      <c r="AX2025" s="1">
        <v>0</v>
      </c>
      <c r="AY2025" s="1">
        <v>0</v>
      </c>
      <c r="AZ2025" s="1">
        <v>0</v>
      </c>
      <c r="BA2025" s="1">
        <v>0</v>
      </c>
      <c r="BB2025" s="1">
        <v>0</v>
      </c>
      <c r="BC2025" s="1">
        <v>0</v>
      </c>
      <c r="BD2025" s="1">
        <v>0</v>
      </c>
      <c r="BE2025" s="1">
        <v>0</v>
      </c>
      <c r="BF2025" s="1">
        <v>0</v>
      </c>
      <c r="BG2025" s="1">
        <v>0</v>
      </c>
      <c r="BH2025" s="1">
        <v>0</v>
      </c>
      <c r="BI2025" s="1">
        <v>0</v>
      </c>
      <c r="BJ2025" s="1">
        <v>0</v>
      </c>
      <c r="BK2025" s="1">
        <v>0</v>
      </c>
      <c r="BL2025" s="1">
        <v>0</v>
      </c>
      <c r="BM2025" s="1">
        <v>1</v>
      </c>
      <c r="BN2025" s="1">
        <v>0</v>
      </c>
      <c r="BO2025" s="1">
        <v>0</v>
      </c>
      <c r="BP2025" s="1">
        <v>0</v>
      </c>
      <c r="BQ2025" s="1">
        <v>0</v>
      </c>
      <c r="BR2025" s="1">
        <v>0</v>
      </c>
      <c r="BS2025" s="1" t="s">
        <v>109</v>
      </c>
      <c r="BT2025" s="1">
        <v>2100</v>
      </c>
      <c r="BU2025" s="1" t="s">
        <v>109</v>
      </c>
      <c r="BV2025" s="1"/>
      <c r="BW2025" s="1"/>
      <c r="BX2025" s="1"/>
      <c r="BY2025" s="1"/>
      <c r="BZ2025" s="1">
        <v>0</v>
      </c>
      <c r="CA2025" s="1" t="s">
        <v>109</v>
      </c>
      <c r="CB2025" s="1" t="s">
        <v>109</v>
      </c>
      <c r="CC2025" s="1">
        <v>2</v>
      </c>
      <c r="CD2025" s="1" t="s">
        <v>109</v>
      </c>
      <c r="CE2025" s="1">
        <v>2</v>
      </c>
      <c r="CF2025" s="1" t="s">
        <v>109</v>
      </c>
      <c r="CG2025" s="1" t="s">
        <v>109</v>
      </c>
      <c r="CH2025" s="1" t="s">
        <v>109</v>
      </c>
      <c r="CI2025" s="1" t="s">
        <v>109</v>
      </c>
      <c r="CJ2025" s="1" t="s">
        <v>109</v>
      </c>
      <c r="CK2025" s="1"/>
      <c r="CL2025" s="1">
        <v>0</v>
      </c>
      <c r="CM2025" s="1">
        <v>0</v>
      </c>
      <c r="CN2025" s="1">
        <v>0</v>
      </c>
    </row>
    <row r="2026" spans="1:92" ht="14.25" customHeight="1" x14ac:dyDescent="0.15">
      <c r="A2026" s="1" t="s">
        <v>14799</v>
      </c>
      <c r="B2026" s="1" t="s">
        <v>95</v>
      </c>
      <c r="C2026" s="1" t="s">
        <v>1522</v>
      </c>
      <c r="D2026" s="1"/>
      <c r="E2026" s="1" t="s">
        <v>14800</v>
      </c>
      <c r="F2026" s="1" t="s">
        <v>98</v>
      </c>
      <c r="G2026" s="1" t="s">
        <v>333</v>
      </c>
      <c r="H2026" s="1">
        <v>0</v>
      </c>
      <c r="I2026" s="1" t="s">
        <v>161</v>
      </c>
      <c r="J2026" s="1"/>
      <c r="K2026" s="1"/>
      <c r="L2026" s="1" t="s">
        <v>14801</v>
      </c>
      <c r="M2026" s="1" t="s">
        <v>14802</v>
      </c>
      <c r="N2026" s="1">
        <v>0</v>
      </c>
      <c r="O2026" s="1">
        <v>0</v>
      </c>
      <c r="P2026" s="1" t="s">
        <v>629</v>
      </c>
      <c r="Q2026" s="1" t="s">
        <v>630</v>
      </c>
      <c r="R2026" s="1" t="s">
        <v>14803</v>
      </c>
      <c r="S2026" s="1" t="s">
        <v>14804</v>
      </c>
      <c r="T2026" s="1" t="s">
        <v>14784</v>
      </c>
      <c r="U2026" s="1" t="s">
        <v>14805</v>
      </c>
      <c r="V2026" s="1">
        <v>1</v>
      </c>
      <c r="W2026" s="1">
        <v>0</v>
      </c>
      <c r="X2026" s="1">
        <v>0</v>
      </c>
      <c r="Y2026" s="1">
        <v>0</v>
      </c>
      <c r="Z2026" s="1">
        <v>0</v>
      </c>
      <c r="AA2026" s="1">
        <v>2</v>
      </c>
      <c r="AB2026" s="1">
        <v>2</v>
      </c>
      <c r="AC2026" s="1" t="s">
        <v>109</v>
      </c>
      <c r="AD2026" s="1" t="s">
        <v>109</v>
      </c>
      <c r="AE2026" s="1" t="s">
        <v>109</v>
      </c>
      <c r="AF2026" s="1">
        <v>2</v>
      </c>
      <c r="AG2026" s="1" t="s">
        <v>109</v>
      </c>
      <c r="AH2026" s="1" t="s">
        <v>109</v>
      </c>
      <c r="AI2026" s="1" t="s">
        <v>109</v>
      </c>
      <c r="AJ2026" s="1">
        <v>2</v>
      </c>
      <c r="AK2026" s="1" t="s">
        <v>109</v>
      </c>
      <c r="AL2026" s="1" t="s">
        <v>109</v>
      </c>
      <c r="AM2026" s="1" t="s">
        <v>109</v>
      </c>
      <c r="AN2026" s="1" t="s">
        <v>109</v>
      </c>
      <c r="AO2026" s="1" t="s">
        <v>109</v>
      </c>
      <c r="AP2026" s="1"/>
      <c r="AQ2026" s="1">
        <v>2</v>
      </c>
      <c r="AR2026" s="1"/>
      <c r="AS2026" s="1" t="s">
        <v>14806</v>
      </c>
      <c r="AT2026" s="1">
        <v>0</v>
      </c>
      <c r="AU2026" s="1">
        <v>0</v>
      </c>
      <c r="AV2026" s="1">
        <v>0</v>
      </c>
      <c r="AW2026" s="1">
        <v>0</v>
      </c>
      <c r="AX2026" s="1">
        <v>0</v>
      </c>
      <c r="AY2026" s="1">
        <v>0</v>
      </c>
      <c r="AZ2026" s="1">
        <v>0</v>
      </c>
      <c r="BA2026" s="1">
        <v>0</v>
      </c>
      <c r="BB2026" s="1">
        <v>0</v>
      </c>
      <c r="BC2026" s="1">
        <v>0</v>
      </c>
      <c r="BD2026" s="1">
        <v>0</v>
      </c>
      <c r="BE2026" s="1">
        <v>0</v>
      </c>
      <c r="BF2026" s="1">
        <v>0</v>
      </c>
      <c r="BG2026" s="1">
        <v>0</v>
      </c>
      <c r="BH2026" s="1">
        <v>0</v>
      </c>
      <c r="BI2026" s="1">
        <v>0</v>
      </c>
      <c r="BJ2026" s="1">
        <v>0</v>
      </c>
      <c r="BK2026" s="1">
        <v>0</v>
      </c>
      <c r="BL2026" s="1">
        <v>0</v>
      </c>
      <c r="BM2026" s="1">
        <v>0</v>
      </c>
      <c r="BN2026" s="1">
        <v>0</v>
      </c>
      <c r="BO2026" s="1">
        <v>0</v>
      </c>
      <c r="BP2026" s="1">
        <v>0</v>
      </c>
      <c r="BQ2026" s="1">
        <v>0</v>
      </c>
      <c r="BR2026" s="1">
        <v>0</v>
      </c>
      <c r="BS2026" s="1" t="s">
        <v>109</v>
      </c>
      <c r="BT2026" s="1">
        <v>2101</v>
      </c>
      <c r="BU2026" s="1" t="s">
        <v>109</v>
      </c>
      <c r="BV2026" s="1"/>
      <c r="BW2026" s="1"/>
      <c r="BX2026" s="1"/>
      <c r="BY2026" s="1"/>
      <c r="BZ2026" s="1">
        <v>0</v>
      </c>
      <c r="CA2026" s="1" t="s">
        <v>109</v>
      </c>
      <c r="CB2026" s="1" t="s">
        <v>109</v>
      </c>
      <c r="CC2026" s="1">
        <v>2</v>
      </c>
      <c r="CD2026" s="1">
        <v>2</v>
      </c>
      <c r="CE2026" s="1">
        <v>2</v>
      </c>
      <c r="CF2026" s="1">
        <v>2</v>
      </c>
      <c r="CG2026" s="1" t="s">
        <v>109</v>
      </c>
      <c r="CH2026" s="1" t="s">
        <v>109</v>
      </c>
      <c r="CI2026" s="1" t="s">
        <v>109</v>
      </c>
      <c r="CJ2026" s="1" t="s">
        <v>109</v>
      </c>
      <c r="CK2026" s="1"/>
      <c r="CL2026" s="1">
        <v>0</v>
      </c>
      <c r="CM2026" s="1">
        <v>0</v>
      </c>
      <c r="CN2026" s="1">
        <v>0</v>
      </c>
    </row>
    <row r="2027" spans="1:92" ht="14.25" customHeight="1" x14ac:dyDescent="0.15">
      <c r="A2027" s="1" t="s">
        <v>14807</v>
      </c>
      <c r="B2027" s="1" t="s">
        <v>95</v>
      </c>
      <c r="C2027" s="1" t="s">
        <v>1522</v>
      </c>
      <c r="D2027" s="1"/>
      <c r="E2027" s="1" t="s">
        <v>14808</v>
      </c>
      <c r="F2027" s="1" t="s">
        <v>98</v>
      </c>
      <c r="G2027" s="1" t="s">
        <v>333</v>
      </c>
      <c r="H2027" s="1">
        <v>0</v>
      </c>
      <c r="I2027" s="1" t="s">
        <v>161</v>
      </c>
      <c r="J2027" s="1"/>
      <c r="K2027" s="1"/>
      <c r="L2027" s="1" t="s">
        <v>14809</v>
      </c>
      <c r="M2027" s="1" t="s">
        <v>14802</v>
      </c>
      <c r="N2027" s="1">
        <v>0</v>
      </c>
      <c r="O2027" s="1">
        <v>0</v>
      </c>
      <c r="P2027" s="1" t="s">
        <v>301</v>
      </c>
      <c r="Q2027" s="1" t="s">
        <v>268</v>
      </c>
      <c r="R2027" s="1" t="s">
        <v>14810</v>
      </c>
      <c r="S2027" s="1" t="s">
        <v>14811</v>
      </c>
      <c r="T2027" s="1" t="s">
        <v>14784</v>
      </c>
      <c r="U2027" s="1" t="s">
        <v>14812</v>
      </c>
      <c r="V2027" s="1">
        <v>1</v>
      </c>
      <c r="W2027" s="1">
        <v>0</v>
      </c>
      <c r="X2027" s="1">
        <v>0</v>
      </c>
      <c r="Y2027" s="1">
        <v>0</v>
      </c>
      <c r="Z2027" s="1">
        <v>0</v>
      </c>
      <c r="AA2027" s="1">
        <v>3</v>
      </c>
      <c r="AB2027" s="1">
        <v>3</v>
      </c>
      <c r="AC2027" s="1" t="s">
        <v>109</v>
      </c>
      <c r="AD2027" s="1">
        <v>3</v>
      </c>
      <c r="AE2027" s="1">
        <v>3</v>
      </c>
      <c r="AF2027" s="1" t="s">
        <v>109</v>
      </c>
      <c r="AG2027" s="1" t="s">
        <v>109</v>
      </c>
      <c r="AH2027" s="1" t="s">
        <v>109</v>
      </c>
      <c r="AI2027" s="1">
        <v>3</v>
      </c>
      <c r="AJ2027" s="1">
        <v>3</v>
      </c>
      <c r="AK2027" s="1" t="s">
        <v>109</v>
      </c>
      <c r="AL2027" s="1" t="s">
        <v>109</v>
      </c>
      <c r="AM2027" s="1" t="s">
        <v>109</v>
      </c>
      <c r="AN2027" s="1" t="s">
        <v>109</v>
      </c>
      <c r="AO2027" s="1" t="s">
        <v>109</v>
      </c>
      <c r="AP2027" s="1"/>
      <c r="AQ2027" s="1">
        <v>3</v>
      </c>
      <c r="AR2027" s="1"/>
      <c r="AS2027" s="1" t="s">
        <v>14813</v>
      </c>
      <c r="AT2027" s="1">
        <v>0</v>
      </c>
      <c r="AU2027" s="1">
        <v>0</v>
      </c>
      <c r="AV2027" s="1">
        <v>0</v>
      </c>
      <c r="AW2027" s="1">
        <v>0</v>
      </c>
      <c r="AX2027" s="1">
        <v>0</v>
      </c>
      <c r="AY2027" s="1">
        <v>0</v>
      </c>
      <c r="AZ2027" s="1">
        <v>0</v>
      </c>
      <c r="BA2027" s="1">
        <v>0</v>
      </c>
      <c r="BB2027" s="1">
        <v>0</v>
      </c>
      <c r="BC2027" s="1">
        <v>0</v>
      </c>
      <c r="BD2027" s="1">
        <v>0</v>
      </c>
      <c r="BE2027" s="1">
        <v>0</v>
      </c>
      <c r="BF2027" s="1">
        <v>0</v>
      </c>
      <c r="BG2027" s="1">
        <v>0</v>
      </c>
      <c r="BH2027" s="1">
        <v>0</v>
      </c>
      <c r="BI2027" s="1">
        <v>0</v>
      </c>
      <c r="BJ2027" s="1">
        <v>0</v>
      </c>
      <c r="BK2027" s="1">
        <v>0</v>
      </c>
      <c r="BL2027" s="1">
        <v>0</v>
      </c>
      <c r="BM2027" s="1">
        <v>0</v>
      </c>
      <c r="BN2027" s="1">
        <v>0</v>
      </c>
      <c r="BO2027" s="1">
        <v>0</v>
      </c>
      <c r="BP2027" s="1">
        <v>0</v>
      </c>
      <c r="BQ2027" s="1">
        <v>0</v>
      </c>
      <c r="BR2027" s="1">
        <v>0</v>
      </c>
      <c r="BS2027" s="1" t="s">
        <v>109</v>
      </c>
      <c r="BT2027" s="1">
        <v>2102</v>
      </c>
      <c r="BU2027" s="1" t="s">
        <v>109</v>
      </c>
      <c r="BV2027" s="1"/>
      <c r="BW2027" s="1"/>
      <c r="BX2027" s="1"/>
      <c r="BY2027" s="1"/>
      <c r="BZ2027" s="1">
        <v>0</v>
      </c>
      <c r="CA2027" s="1" t="s">
        <v>109</v>
      </c>
      <c r="CB2027" s="1" t="s">
        <v>109</v>
      </c>
      <c r="CC2027" s="1">
        <v>3</v>
      </c>
      <c r="CD2027" s="1">
        <v>3</v>
      </c>
      <c r="CE2027" s="1">
        <v>3</v>
      </c>
      <c r="CF2027" s="1" t="s">
        <v>109</v>
      </c>
      <c r="CG2027" s="1" t="s">
        <v>109</v>
      </c>
      <c r="CH2027" s="1" t="s">
        <v>109</v>
      </c>
      <c r="CI2027" s="1" t="s">
        <v>109</v>
      </c>
      <c r="CJ2027" s="1">
        <v>3</v>
      </c>
      <c r="CK2027" s="1"/>
      <c r="CL2027" s="1">
        <v>0</v>
      </c>
      <c r="CM2027" s="1">
        <v>0</v>
      </c>
      <c r="CN2027" s="1">
        <v>0</v>
      </c>
    </row>
    <row r="2028" spans="1:92" ht="14.25" customHeight="1" x14ac:dyDescent="0.15">
      <c r="A2028" s="1" t="s">
        <v>14814</v>
      </c>
      <c r="B2028" s="1" t="s">
        <v>674</v>
      </c>
      <c r="C2028" s="1"/>
      <c r="D2028" s="1"/>
      <c r="E2028" s="1" t="s">
        <v>14815</v>
      </c>
      <c r="F2028" s="1" t="s">
        <v>98</v>
      </c>
      <c r="G2028" s="1" t="s">
        <v>141</v>
      </c>
      <c r="H2028" s="1">
        <v>0</v>
      </c>
      <c r="I2028" s="1" t="s">
        <v>161</v>
      </c>
      <c r="J2028" s="1"/>
      <c r="K2028" s="1"/>
      <c r="L2028" s="1" t="s">
        <v>14816</v>
      </c>
      <c r="M2028" s="1" t="s">
        <v>5811</v>
      </c>
      <c r="N2028" s="1">
        <v>1</v>
      </c>
      <c r="O2028" s="1">
        <v>0</v>
      </c>
      <c r="P2028" s="1" t="s">
        <v>215</v>
      </c>
      <c r="Q2028" s="1" t="s">
        <v>268</v>
      </c>
      <c r="R2028" s="1" t="s">
        <v>14817</v>
      </c>
      <c r="S2028" s="1" t="s">
        <v>14818</v>
      </c>
      <c r="T2028" s="1" t="s">
        <v>14784</v>
      </c>
      <c r="U2028" s="1" t="s">
        <v>14819</v>
      </c>
      <c r="V2028" s="1">
        <v>1</v>
      </c>
      <c r="W2028" s="1">
        <v>1</v>
      </c>
      <c r="X2028" s="1">
        <v>0</v>
      </c>
      <c r="Y2028" s="1">
        <v>0</v>
      </c>
      <c r="Z2028" s="1">
        <v>0</v>
      </c>
      <c r="AA2028" s="1" t="s">
        <v>109</v>
      </c>
      <c r="AB2028" s="1" t="s">
        <v>109</v>
      </c>
      <c r="AC2028" s="1" t="s">
        <v>109</v>
      </c>
      <c r="AD2028" s="1" t="s">
        <v>109</v>
      </c>
      <c r="AE2028" s="1" t="s">
        <v>109</v>
      </c>
      <c r="AF2028" s="1" t="s">
        <v>109</v>
      </c>
      <c r="AG2028" s="1" t="s">
        <v>109</v>
      </c>
      <c r="AH2028" s="1" t="s">
        <v>109</v>
      </c>
      <c r="AI2028" s="1" t="s">
        <v>109</v>
      </c>
      <c r="AJ2028" s="1" t="s">
        <v>109</v>
      </c>
      <c r="AK2028" s="1" t="s">
        <v>109</v>
      </c>
      <c r="AL2028" s="1" t="s">
        <v>109</v>
      </c>
      <c r="AM2028" s="1" t="s">
        <v>109</v>
      </c>
      <c r="AN2028" s="1" t="s">
        <v>109</v>
      </c>
      <c r="AO2028" s="1" t="s">
        <v>109</v>
      </c>
      <c r="AP2028" s="1"/>
      <c r="AQ2028" s="1" t="s">
        <v>109</v>
      </c>
      <c r="AR2028" s="1"/>
      <c r="AS2028" s="1" t="s">
        <v>14820</v>
      </c>
      <c r="AT2028" s="1">
        <v>0</v>
      </c>
      <c r="AU2028" s="1">
        <v>0</v>
      </c>
      <c r="AV2028" s="1">
        <v>0</v>
      </c>
      <c r="AW2028" s="1">
        <v>0</v>
      </c>
      <c r="AX2028" s="1">
        <v>0</v>
      </c>
      <c r="AY2028" s="1">
        <v>0</v>
      </c>
      <c r="AZ2028" s="1">
        <v>0</v>
      </c>
      <c r="BA2028" s="1">
        <v>0</v>
      </c>
      <c r="BB2028" s="1">
        <v>0</v>
      </c>
      <c r="BC2028" s="1">
        <v>0</v>
      </c>
      <c r="BD2028" s="1">
        <v>0</v>
      </c>
      <c r="BE2028" s="1">
        <v>0</v>
      </c>
      <c r="BF2028" s="1">
        <v>0</v>
      </c>
      <c r="BG2028" s="1">
        <v>0</v>
      </c>
      <c r="BH2028" s="1">
        <v>0</v>
      </c>
      <c r="BI2028" s="1">
        <v>0</v>
      </c>
      <c r="BJ2028" s="1">
        <v>0</v>
      </c>
      <c r="BK2028" s="1">
        <v>0</v>
      </c>
      <c r="BL2028" s="1">
        <v>0</v>
      </c>
      <c r="BM2028" s="1">
        <v>0</v>
      </c>
      <c r="BN2028" s="1">
        <v>0</v>
      </c>
      <c r="BO2028" s="1">
        <v>0</v>
      </c>
      <c r="BP2028" s="1">
        <v>0</v>
      </c>
      <c r="BQ2028" s="1">
        <v>0</v>
      </c>
      <c r="BR2028" s="1">
        <v>0</v>
      </c>
      <c r="BS2028" s="1" t="s">
        <v>109</v>
      </c>
      <c r="BT2028" s="1">
        <v>2103</v>
      </c>
      <c r="BU2028" s="1" t="s">
        <v>109</v>
      </c>
      <c r="BV2028" s="1"/>
      <c r="BW2028" s="1"/>
      <c r="BX2028" s="1"/>
      <c r="BY2028" s="1"/>
      <c r="BZ2028" s="1">
        <v>0</v>
      </c>
      <c r="CA2028" s="1" t="s">
        <v>109</v>
      </c>
      <c r="CB2028" s="1" t="s">
        <v>109</v>
      </c>
      <c r="CC2028" s="1">
        <v>4</v>
      </c>
      <c r="CD2028" s="1">
        <v>3</v>
      </c>
      <c r="CE2028" s="1">
        <v>3</v>
      </c>
      <c r="CF2028" s="1">
        <v>3</v>
      </c>
      <c r="CG2028" s="1">
        <v>4</v>
      </c>
      <c r="CH2028" s="1" t="s">
        <v>109</v>
      </c>
      <c r="CI2028" s="1" t="s">
        <v>109</v>
      </c>
      <c r="CJ2028" s="1" t="s">
        <v>109</v>
      </c>
      <c r="CK2028" s="1"/>
      <c r="CL2028" s="1">
        <v>0</v>
      </c>
      <c r="CM2028" s="1">
        <v>0</v>
      </c>
      <c r="CN2028" s="1">
        <v>0</v>
      </c>
    </row>
    <row r="2029" spans="1:92" ht="14.25" customHeight="1" x14ac:dyDescent="0.15">
      <c r="A2029" s="1" t="s">
        <v>14821</v>
      </c>
      <c r="B2029" s="1" t="s">
        <v>189</v>
      </c>
      <c r="C2029" s="1"/>
      <c r="D2029" s="1" t="s">
        <v>14697</v>
      </c>
      <c r="E2029" s="1" t="s">
        <v>14822</v>
      </c>
      <c r="F2029" s="1" t="s">
        <v>98</v>
      </c>
      <c r="G2029" s="1" t="s">
        <v>14823</v>
      </c>
      <c r="H2029" s="1">
        <v>0</v>
      </c>
      <c r="I2029" s="1" t="s">
        <v>161</v>
      </c>
      <c r="J2029" s="1"/>
      <c r="K2029" s="1"/>
      <c r="L2029" s="1" t="s">
        <v>14824</v>
      </c>
      <c r="M2029" s="1" t="s">
        <v>465</v>
      </c>
      <c r="N2029" s="1">
        <v>0</v>
      </c>
      <c r="O2029" s="1">
        <v>0</v>
      </c>
      <c r="P2029" s="1" t="s">
        <v>103</v>
      </c>
      <c r="Q2029" s="1" t="s">
        <v>104</v>
      </c>
      <c r="R2029" s="1" t="s">
        <v>14825</v>
      </c>
      <c r="S2029" s="1" t="s">
        <v>14826</v>
      </c>
      <c r="T2029" s="1" t="s">
        <v>14827</v>
      </c>
      <c r="U2029" s="1" t="s">
        <v>14828</v>
      </c>
      <c r="V2029" s="1">
        <v>1</v>
      </c>
      <c r="W2029" s="1">
        <v>1</v>
      </c>
      <c r="X2029" s="1">
        <v>1</v>
      </c>
      <c r="Y2029" s="1">
        <v>0</v>
      </c>
      <c r="Z2029" s="1">
        <v>1</v>
      </c>
      <c r="AA2029" s="1" t="s">
        <v>109</v>
      </c>
      <c r="AB2029" s="1" t="s">
        <v>109</v>
      </c>
      <c r="AC2029" s="1">
        <v>3</v>
      </c>
      <c r="AD2029" s="1">
        <v>3</v>
      </c>
      <c r="AE2029" s="1">
        <v>3</v>
      </c>
      <c r="AF2029" s="1" t="s">
        <v>109</v>
      </c>
      <c r="AG2029" s="1" t="s">
        <v>109</v>
      </c>
      <c r="AH2029" s="1">
        <v>3</v>
      </c>
      <c r="AI2029" s="1" t="s">
        <v>109</v>
      </c>
      <c r="AJ2029" s="1">
        <v>3</v>
      </c>
      <c r="AK2029" s="1" t="s">
        <v>109</v>
      </c>
      <c r="AL2029" s="1">
        <v>3</v>
      </c>
      <c r="AM2029" s="1">
        <v>3</v>
      </c>
      <c r="AN2029" s="1" t="s">
        <v>109</v>
      </c>
      <c r="AO2029" s="1" t="s">
        <v>109</v>
      </c>
      <c r="AP2029" s="1"/>
      <c r="AQ2029" s="1">
        <v>3</v>
      </c>
      <c r="AR2029" s="1"/>
      <c r="AS2029" s="1"/>
      <c r="AT2029" s="1">
        <v>0</v>
      </c>
      <c r="AU2029" s="1">
        <v>0</v>
      </c>
      <c r="AV2029" s="1">
        <v>0</v>
      </c>
      <c r="AW2029" s="1">
        <v>0</v>
      </c>
      <c r="AX2029" s="1">
        <v>0</v>
      </c>
      <c r="AY2029" s="1">
        <v>0</v>
      </c>
      <c r="AZ2029" s="1">
        <v>0</v>
      </c>
      <c r="BA2029" s="1">
        <v>0</v>
      </c>
      <c r="BB2029" s="1">
        <v>0</v>
      </c>
      <c r="BC2029" s="1">
        <v>0</v>
      </c>
      <c r="BD2029" s="1">
        <v>0</v>
      </c>
      <c r="BE2029" s="1">
        <v>0</v>
      </c>
      <c r="BF2029" s="1">
        <v>0</v>
      </c>
      <c r="BG2029" s="1">
        <v>0</v>
      </c>
      <c r="BH2029" s="1">
        <v>0</v>
      </c>
      <c r="BI2029" s="1">
        <v>0</v>
      </c>
      <c r="BJ2029" s="1">
        <v>0</v>
      </c>
      <c r="BK2029" s="1">
        <v>0</v>
      </c>
      <c r="BL2029" s="1">
        <v>0</v>
      </c>
      <c r="BM2029" s="1">
        <v>0</v>
      </c>
      <c r="BN2029" s="1">
        <v>0</v>
      </c>
      <c r="BO2029" s="1">
        <v>1</v>
      </c>
      <c r="BP2029" s="1">
        <v>0</v>
      </c>
      <c r="BQ2029" s="1">
        <v>0</v>
      </c>
      <c r="BR2029" s="1">
        <v>0</v>
      </c>
      <c r="BS2029" s="1" t="s">
        <v>109</v>
      </c>
      <c r="BT2029" s="1">
        <v>2104</v>
      </c>
      <c r="BU2029" s="1" t="s">
        <v>109</v>
      </c>
      <c r="BV2029" s="1"/>
      <c r="BW2029" s="1"/>
      <c r="BX2029" s="1"/>
      <c r="BY2029" s="1"/>
      <c r="BZ2029" s="1">
        <v>0</v>
      </c>
      <c r="CA2029" s="1" t="s">
        <v>109</v>
      </c>
      <c r="CB2029" s="1" t="s">
        <v>109</v>
      </c>
      <c r="CC2029" s="1" t="s">
        <v>109</v>
      </c>
      <c r="CD2029" s="1" t="s">
        <v>109</v>
      </c>
      <c r="CE2029" s="1" t="s">
        <v>109</v>
      </c>
      <c r="CF2029" s="1" t="s">
        <v>109</v>
      </c>
      <c r="CG2029" s="1" t="s">
        <v>109</v>
      </c>
      <c r="CH2029" s="1" t="s">
        <v>109</v>
      </c>
      <c r="CI2029" s="1" t="s">
        <v>109</v>
      </c>
      <c r="CJ2029" s="1">
        <v>3</v>
      </c>
      <c r="CK2029" s="1"/>
      <c r="CL2029" s="1">
        <v>0</v>
      </c>
      <c r="CM2029" s="1">
        <v>0</v>
      </c>
      <c r="CN2029" s="1">
        <v>0</v>
      </c>
    </row>
    <row r="2030" spans="1:92" ht="14.25" customHeight="1" x14ac:dyDescent="0.15">
      <c r="A2030" s="1" t="s">
        <v>14829</v>
      </c>
      <c r="B2030" s="1" t="s">
        <v>95</v>
      </c>
      <c r="C2030" s="1" t="s">
        <v>96</v>
      </c>
      <c r="D2030" s="1" t="s">
        <v>14697</v>
      </c>
      <c r="E2030" s="1" t="s">
        <v>14830</v>
      </c>
      <c r="F2030" s="1" t="s">
        <v>98</v>
      </c>
      <c r="G2030" s="1" t="s">
        <v>14831</v>
      </c>
      <c r="H2030" s="1">
        <v>0</v>
      </c>
      <c r="I2030" s="1" t="s">
        <v>122</v>
      </c>
      <c r="J2030" s="1"/>
      <c r="K2030" s="1" t="s">
        <v>14832</v>
      </c>
      <c r="L2030" s="1"/>
      <c r="M2030" s="1" t="s">
        <v>574</v>
      </c>
      <c r="N2030" s="1">
        <v>1</v>
      </c>
      <c r="O2030" s="1">
        <v>0</v>
      </c>
      <c r="P2030" s="1" t="s">
        <v>267</v>
      </c>
      <c r="Q2030" s="1" t="s">
        <v>104</v>
      </c>
      <c r="R2030" s="1" t="s">
        <v>14833</v>
      </c>
      <c r="S2030" s="1" t="s">
        <v>14834</v>
      </c>
      <c r="T2030" s="1" t="s">
        <v>14827</v>
      </c>
      <c r="U2030" s="1" t="s">
        <v>14835</v>
      </c>
      <c r="V2030" s="1">
        <v>1</v>
      </c>
      <c r="W2030" s="1">
        <v>1</v>
      </c>
      <c r="X2030" s="1">
        <v>1</v>
      </c>
      <c r="Y2030" s="1">
        <v>0</v>
      </c>
      <c r="Z2030" s="1">
        <v>1</v>
      </c>
      <c r="AA2030" s="1">
        <v>2</v>
      </c>
      <c r="AB2030" s="1">
        <v>2</v>
      </c>
      <c r="AC2030" s="1" t="s">
        <v>109</v>
      </c>
      <c r="AD2030" s="1">
        <v>2</v>
      </c>
      <c r="AE2030" s="1">
        <v>2</v>
      </c>
      <c r="AF2030" s="1" t="s">
        <v>109</v>
      </c>
      <c r="AG2030" s="1" t="s">
        <v>109</v>
      </c>
      <c r="AH2030" s="1" t="s">
        <v>109</v>
      </c>
      <c r="AI2030" s="1">
        <v>2</v>
      </c>
      <c r="AJ2030" s="1">
        <v>2</v>
      </c>
      <c r="AK2030" s="1" t="s">
        <v>109</v>
      </c>
      <c r="AL2030" s="1" t="s">
        <v>109</v>
      </c>
      <c r="AM2030" s="1" t="s">
        <v>109</v>
      </c>
      <c r="AN2030" s="1" t="s">
        <v>109</v>
      </c>
      <c r="AO2030" s="1" t="s">
        <v>109</v>
      </c>
      <c r="AP2030" s="1"/>
      <c r="AQ2030" s="1">
        <v>2</v>
      </c>
      <c r="AR2030" s="1"/>
      <c r="AS2030" s="1"/>
      <c r="AT2030" s="1">
        <v>0</v>
      </c>
      <c r="AU2030" s="1">
        <v>0</v>
      </c>
      <c r="AV2030" s="1">
        <v>0</v>
      </c>
      <c r="AW2030" s="1">
        <v>0</v>
      </c>
      <c r="AX2030" s="1">
        <v>0</v>
      </c>
      <c r="AY2030" s="1">
        <v>0</v>
      </c>
      <c r="AZ2030" s="1">
        <v>0</v>
      </c>
      <c r="BA2030" s="1">
        <v>0</v>
      </c>
      <c r="BB2030" s="1">
        <v>0</v>
      </c>
      <c r="BC2030" s="1">
        <v>0</v>
      </c>
      <c r="BD2030" s="1">
        <v>0</v>
      </c>
      <c r="BE2030" s="1">
        <v>0</v>
      </c>
      <c r="BF2030" s="1">
        <v>0</v>
      </c>
      <c r="BG2030" s="1">
        <v>0</v>
      </c>
      <c r="BH2030" s="1">
        <v>0</v>
      </c>
      <c r="BI2030" s="1">
        <v>0</v>
      </c>
      <c r="BJ2030" s="1">
        <v>0</v>
      </c>
      <c r="BK2030" s="1">
        <v>0</v>
      </c>
      <c r="BL2030" s="1">
        <v>0</v>
      </c>
      <c r="BM2030" s="1">
        <v>0</v>
      </c>
      <c r="BN2030" s="1">
        <v>0</v>
      </c>
      <c r="BO2030" s="1">
        <v>1</v>
      </c>
      <c r="BP2030" s="1">
        <v>0</v>
      </c>
      <c r="BQ2030" s="1">
        <v>0</v>
      </c>
      <c r="BR2030" s="1">
        <v>0</v>
      </c>
      <c r="BS2030" s="1" t="s">
        <v>109</v>
      </c>
      <c r="BT2030" s="1">
        <v>2105</v>
      </c>
      <c r="BU2030" s="1" t="s">
        <v>109</v>
      </c>
      <c r="BV2030" s="1"/>
      <c r="BW2030" s="1"/>
      <c r="BX2030" s="1"/>
      <c r="BY2030" s="1"/>
      <c r="BZ2030" s="1">
        <v>0</v>
      </c>
      <c r="CA2030" s="1" t="s">
        <v>109</v>
      </c>
      <c r="CB2030" s="1" t="s">
        <v>109</v>
      </c>
      <c r="CC2030" s="1" t="s">
        <v>109</v>
      </c>
      <c r="CD2030" s="1" t="s">
        <v>109</v>
      </c>
      <c r="CE2030" s="1" t="s">
        <v>109</v>
      </c>
      <c r="CF2030" s="1" t="s">
        <v>109</v>
      </c>
      <c r="CG2030" s="1" t="s">
        <v>109</v>
      </c>
      <c r="CH2030" s="1" t="s">
        <v>109</v>
      </c>
      <c r="CI2030" s="1" t="s">
        <v>109</v>
      </c>
      <c r="CJ2030" s="1">
        <v>2</v>
      </c>
      <c r="CK2030" s="1"/>
      <c r="CL2030" s="1">
        <v>0</v>
      </c>
      <c r="CM2030" s="1">
        <v>0</v>
      </c>
      <c r="CN2030" s="1">
        <v>0</v>
      </c>
    </row>
    <row r="2031" spans="1:92" ht="14.25" customHeight="1" x14ac:dyDescent="0.15">
      <c r="A2031" s="1" t="s">
        <v>14836</v>
      </c>
      <c r="B2031" s="1" t="s">
        <v>189</v>
      </c>
      <c r="C2031" s="1"/>
      <c r="D2031" s="1"/>
      <c r="E2031" s="1" t="s">
        <v>14837</v>
      </c>
      <c r="F2031" s="1" t="s">
        <v>98</v>
      </c>
      <c r="G2031" s="1" t="s">
        <v>14838</v>
      </c>
      <c r="H2031" s="1">
        <v>0</v>
      </c>
      <c r="I2031" s="1" t="s">
        <v>161</v>
      </c>
      <c r="J2031" s="1"/>
      <c r="K2031" s="1"/>
      <c r="L2031" s="1" t="s">
        <v>506</v>
      </c>
      <c r="M2031" s="1" t="s">
        <v>5642</v>
      </c>
      <c r="N2031" s="1">
        <v>0</v>
      </c>
      <c r="O2031" s="1">
        <v>0</v>
      </c>
      <c r="P2031" s="1" t="s">
        <v>1382</v>
      </c>
      <c r="Q2031" s="1" t="s">
        <v>167</v>
      </c>
      <c r="R2031" s="1" t="s">
        <v>14839</v>
      </c>
      <c r="S2031" s="1" t="s">
        <v>14840</v>
      </c>
      <c r="T2031" s="1" t="s">
        <v>14827</v>
      </c>
      <c r="U2031" s="1" t="s">
        <v>14841</v>
      </c>
      <c r="V2031" s="1">
        <v>1</v>
      </c>
      <c r="W2031" s="1">
        <v>1</v>
      </c>
      <c r="X2031" s="1">
        <v>1</v>
      </c>
      <c r="Y2031" s="1">
        <v>0</v>
      </c>
      <c r="Z2031" s="1">
        <v>1</v>
      </c>
      <c r="AA2031" s="1" t="s">
        <v>109</v>
      </c>
      <c r="AB2031" s="1" t="s">
        <v>109</v>
      </c>
      <c r="AC2031" s="1">
        <v>2</v>
      </c>
      <c r="AD2031" s="1">
        <v>2</v>
      </c>
      <c r="AE2031" s="1" t="s">
        <v>109</v>
      </c>
      <c r="AF2031" s="1" t="s">
        <v>109</v>
      </c>
      <c r="AG2031" s="1" t="s">
        <v>109</v>
      </c>
      <c r="AH2031" s="1">
        <v>2</v>
      </c>
      <c r="AI2031" s="1" t="s">
        <v>109</v>
      </c>
      <c r="AJ2031" s="1" t="s">
        <v>109</v>
      </c>
      <c r="AK2031" s="1" t="s">
        <v>109</v>
      </c>
      <c r="AL2031" s="1">
        <v>2</v>
      </c>
      <c r="AM2031" s="1" t="s">
        <v>109</v>
      </c>
      <c r="AN2031" s="1" t="s">
        <v>109</v>
      </c>
      <c r="AO2031" s="1" t="s">
        <v>109</v>
      </c>
      <c r="AP2031" s="1"/>
      <c r="AQ2031" s="1">
        <v>2</v>
      </c>
      <c r="AR2031" s="1"/>
      <c r="AS2031" s="1"/>
      <c r="AT2031" s="1">
        <v>0</v>
      </c>
      <c r="AU2031" s="1">
        <v>0</v>
      </c>
      <c r="AV2031" s="1">
        <v>0</v>
      </c>
      <c r="AW2031" s="1">
        <v>0</v>
      </c>
      <c r="AX2031" s="1">
        <v>0</v>
      </c>
      <c r="AY2031" s="1">
        <v>0</v>
      </c>
      <c r="AZ2031" s="1">
        <v>0</v>
      </c>
      <c r="BA2031" s="1">
        <v>0</v>
      </c>
      <c r="BB2031" s="1">
        <v>0</v>
      </c>
      <c r="BC2031" s="1">
        <v>0</v>
      </c>
      <c r="BD2031" s="1">
        <v>0</v>
      </c>
      <c r="BE2031" s="1">
        <v>0</v>
      </c>
      <c r="BF2031" s="1">
        <v>0</v>
      </c>
      <c r="BG2031" s="1">
        <v>0</v>
      </c>
      <c r="BH2031" s="1">
        <v>0</v>
      </c>
      <c r="BI2031" s="1">
        <v>0</v>
      </c>
      <c r="BJ2031" s="1">
        <v>0</v>
      </c>
      <c r="BK2031" s="1">
        <v>0</v>
      </c>
      <c r="BL2031" s="1">
        <v>0</v>
      </c>
      <c r="BM2031" s="1">
        <v>0</v>
      </c>
      <c r="BN2031" s="1">
        <v>0</v>
      </c>
      <c r="BO2031" s="1">
        <v>0</v>
      </c>
      <c r="BP2031" s="1">
        <v>0</v>
      </c>
      <c r="BQ2031" s="1">
        <v>0</v>
      </c>
      <c r="BR2031" s="1">
        <v>0</v>
      </c>
      <c r="BS2031" s="1" t="s">
        <v>109</v>
      </c>
      <c r="BT2031" s="1">
        <v>2106</v>
      </c>
      <c r="BU2031" s="1" t="s">
        <v>109</v>
      </c>
      <c r="BV2031" s="1"/>
      <c r="BW2031" s="1"/>
      <c r="BX2031" s="1"/>
      <c r="BY2031" s="1"/>
      <c r="BZ2031" s="1">
        <v>0</v>
      </c>
      <c r="CA2031" s="1" t="s">
        <v>109</v>
      </c>
      <c r="CB2031" s="1">
        <v>2</v>
      </c>
      <c r="CC2031" s="1" t="s">
        <v>109</v>
      </c>
      <c r="CD2031" s="1" t="s">
        <v>109</v>
      </c>
      <c r="CE2031" s="1" t="s">
        <v>109</v>
      </c>
      <c r="CF2031" s="1" t="s">
        <v>109</v>
      </c>
      <c r="CG2031" s="1" t="s">
        <v>109</v>
      </c>
      <c r="CH2031" s="1" t="s">
        <v>109</v>
      </c>
      <c r="CI2031" s="1" t="s">
        <v>109</v>
      </c>
      <c r="CJ2031" s="1">
        <v>2</v>
      </c>
      <c r="CK2031" s="1"/>
      <c r="CL2031" s="1">
        <v>0</v>
      </c>
      <c r="CM2031" s="1">
        <v>0</v>
      </c>
      <c r="CN2031" s="1">
        <v>0</v>
      </c>
    </row>
    <row r="2032" spans="1:92" ht="14.25" customHeight="1" x14ac:dyDescent="0.15">
      <c r="A2032" s="1" t="s">
        <v>14842</v>
      </c>
      <c r="B2032" s="1" t="s">
        <v>95</v>
      </c>
      <c r="C2032" s="1" t="s">
        <v>694</v>
      </c>
      <c r="D2032" s="1"/>
      <c r="E2032" s="1" t="s">
        <v>14843</v>
      </c>
      <c r="F2032" s="1" t="s">
        <v>98</v>
      </c>
      <c r="G2032" s="1" t="s">
        <v>14844</v>
      </c>
      <c r="H2032" s="1">
        <v>0</v>
      </c>
      <c r="I2032" s="1" t="s">
        <v>161</v>
      </c>
      <c r="J2032" s="1"/>
      <c r="K2032" s="1"/>
      <c r="L2032" s="1" t="s">
        <v>3414</v>
      </c>
      <c r="M2032" s="1" t="s">
        <v>14845</v>
      </c>
      <c r="N2032" s="1">
        <v>1</v>
      </c>
      <c r="O2032" s="1">
        <v>0</v>
      </c>
      <c r="P2032" s="1" t="s">
        <v>215</v>
      </c>
      <c r="Q2032" s="1" t="s">
        <v>216</v>
      </c>
      <c r="R2032" s="1" t="s">
        <v>14846</v>
      </c>
      <c r="S2032" s="1" t="s">
        <v>14847</v>
      </c>
      <c r="T2032" s="1" t="s">
        <v>14827</v>
      </c>
      <c r="U2032" s="1" t="s">
        <v>14848</v>
      </c>
      <c r="V2032" s="1">
        <v>1</v>
      </c>
      <c r="W2032" s="1">
        <v>1</v>
      </c>
      <c r="X2032" s="1">
        <v>1</v>
      </c>
      <c r="Y2032" s="1">
        <v>0</v>
      </c>
      <c r="Z2032" s="1">
        <v>1</v>
      </c>
      <c r="AA2032" s="1" t="s">
        <v>109</v>
      </c>
      <c r="AB2032" s="1" t="s">
        <v>109</v>
      </c>
      <c r="AC2032" s="1">
        <v>6</v>
      </c>
      <c r="AD2032" s="1">
        <v>5</v>
      </c>
      <c r="AE2032" s="1" t="s">
        <v>109</v>
      </c>
      <c r="AF2032" s="1">
        <v>6</v>
      </c>
      <c r="AG2032" s="1" t="s">
        <v>109</v>
      </c>
      <c r="AH2032" s="1">
        <v>6</v>
      </c>
      <c r="AI2032" s="1" t="s">
        <v>109</v>
      </c>
      <c r="AJ2032" s="1">
        <v>6</v>
      </c>
      <c r="AK2032" s="1">
        <v>6</v>
      </c>
      <c r="AL2032" s="1">
        <v>6</v>
      </c>
      <c r="AM2032" s="1" t="s">
        <v>109</v>
      </c>
      <c r="AN2032" s="1" t="s">
        <v>109</v>
      </c>
      <c r="AO2032" s="1" t="s">
        <v>109</v>
      </c>
      <c r="AP2032" s="1"/>
      <c r="AQ2032" s="1">
        <v>6</v>
      </c>
      <c r="AR2032" s="1"/>
      <c r="AS2032" s="1"/>
      <c r="AT2032" s="1">
        <v>0</v>
      </c>
      <c r="AU2032" s="1">
        <v>0</v>
      </c>
      <c r="AV2032" s="1">
        <v>0</v>
      </c>
      <c r="AW2032" s="1">
        <v>0</v>
      </c>
      <c r="AX2032" s="1">
        <v>0</v>
      </c>
      <c r="AY2032" s="1">
        <v>0</v>
      </c>
      <c r="AZ2032" s="1">
        <v>0</v>
      </c>
      <c r="BA2032" s="1">
        <v>0</v>
      </c>
      <c r="BB2032" s="1">
        <v>0</v>
      </c>
      <c r="BC2032" s="1">
        <v>0</v>
      </c>
      <c r="BD2032" s="1">
        <v>0</v>
      </c>
      <c r="BE2032" s="1">
        <v>0</v>
      </c>
      <c r="BF2032" s="1">
        <v>0</v>
      </c>
      <c r="BG2032" s="1">
        <v>0</v>
      </c>
      <c r="BH2032" s="1">
        <v>0</v>
      </c>
      <c r="BI2032" s="1">
        <v>0</v>
      </c>
      <c r="BJ2032" s="1">
        <v>0</v>
      </c>
      <c r="BK2032" s="1">
        <v>0</v>
      </c>
      <c r="BL2032" s="1">
        <v>0</v>
      </c>
      <c r="BM2032" s="1">
        <v>0</v>
      </c>
      <c r="BN2032" s="1">
        <v>0</v>
      </c>
      <c r="BO2032" s="1">
        <v>0</v>
      </c>
      <c r="BP2032" s="1">
        <v>0</v>
      </c>
      <c r="BQ2032" s="1">
        <v>0</v>
      </c>
      <c r="BR2032" s="1">
        <v>0</v>
      </c>
      <c r="BS2032" s="1" t="s">
        <v>109</v>
      </c>
      <c r="BT2032" s="1">
        <v>2107</v>
      </c>
      <c r="BU2032" s="1" t="s">
        <v>109</v>
      </c>
      <c r="BV2032" s="1"/>
      <c r="BW2032" s="1"/>
      <c r="BX2032" s="1"/>
      <c r="BY2032" s="1"/>
      <c r="BZ2032" s="1">
        <v>0</v>
      </c>
      <c r="CA2032" s="1" t="s">
        <v>109</v>
      </c>
      <c r="CB2032" s="1" t="s">
        <v>109</v>
      </c>
      <c r="CC2032" s="1" t="s">
        <v>109</v>
      </c>
      <c r="CD2032" s="1" t="s">
        <v>109</v>
      </c>
      <c r="CE2032" s="1" t="s">
        <v>109</v>
      </c>
      <c r="CF2032" s="1" t="s">
        <v>109</v>
      </c>
      <c r="CG2032" s="1" t="s">
        <v>109</v>
      </c>
      <c r="CH2032" s="1" t="s">
        <v>109</v>
      </c>
      <c r="CI2032" s="1" t="s">
        <v>109</v>
      </c>
      <c r="CJ2032" s="1">
        <v>5</v>
      </c>
      <c r="CK2032" s="1"/>
      <c r="CL2032" s="1">
        <v>0</v>
      </c>
      <c r="CM2032" s="1">
        <v>0</v>
      </c>
      <c r="CN2032" s="1">
        <v>0</v>
      </c>
    </row>
    <row r="2033" spans="1:92" ht="14.25" customHeight="1" x14ac:dyDescent="0.15">
      <c r="A2033" s="1" t="s">
        <v>14849</v>
      </c>
      <c r="B2033" s="1" t="s">
        <v>584</v>
      </c>
      <c r="C2033" s="1"/>
      <c r="D2033" s="1" t="s">
        <v>14697</v>
      </c>
      <c r="E2033" s="1" t="s">
        <v>14850</v>
      </c>
      <c r="F2033" s="1" t="s">
        <v>98</v>
      </c>
      <c r="G2033" s="1" t="s">
        <v>14851</v>
      </c>
      <c r="H2033" s="1">
        <v>0</v>
      </c>
      <c r="I2033" s="1" t="s">
        <v>725</v>
      </c>
      <c r="J2033" s="1" t="s">
        <v>726</v>
      </c>
      <c r="K2033" s="1"/>
      <c r="L2033" s="1"/>
      <c r="M2033" s="1" t="s">
        <v>144</v>
      </c>
      <c r="N2033" s="1">
        <v>0</v>
      </c>
      <c r="O2033" s="1">
        <v>0</v>
      </c>
      <c r="P2033" s="1" t="s">
        <v>267</v>
      </c>
      <c r="Q2033" s="1" t="s">
        <v>268</v>
      </c>
      <c r="R2033" s="1" t="s">
        <v>14852</v>
      </c>
      <c r="S2033" s="1" t="s">
        <v>14853</v>
      </c>
      <c r="T2033" s="1" t="s">
        <v>14827</v>
      </c>
      <c r="U2033" s="1" t="s">
        <v>14854</v>
      </c>
      <c r="V2033" s="1">
        <v>1</v>
      </c>
      <c r="W2033" s="1">
        <v>1</v>
      </c>
      <c r="X2033" s="1">
        <v>1</v>
      </c>
      <c r="Y2033" s="1">
        <v>0</v>
      </c>
      <c r="Z2033" s="1">
        <v>1</v>
      </c>
      <c r="AA2033" s="1" t="s">
        <v>109</v>
      </c>
      <c r="AB2033" s="1" t="s">
        <v>109</v>
      </c>
      <c r="AC2033" s="1">
        <v>7</v>
      </c>
      <c r="AD2033" s="1">
        <v>6</v>
      </c>
      <c r="AE2033" s="1" t="s">
        <v>109</v>
      </c>
      <c r="AF2033" s="1" t="s">
        <v>109</v>
      </c>
      <c r="AG2033" s="1" t="s">
        <v>109</v>
      </c>
      <c r="AH2033" s="1" t="s">
        <v>109</v>
      </c>
      <c r="AI2033" s="1" t="s">
        <v>109</v>
      </c>
      <c r="AJ2033" s="1">
        <v>7</v>
      </c>
      <c r="AK2033" s="1" t="s">
        <v>109</v>
      </c>
      <c r="AL2033" s="1">
        <v>7</v>
      </c>
      <c r="AM2033" s="1" t="s">
        <v>109</v>
      </c>
      <c r="AN2033" s="1" t="s">
        <v>109</v>
      </c>
      <c r="AO2033" s="1" t="s">
        <v>109</v>
      </c>
      <c r="AP2033" s="1"/>
      <c r="AQ2033" s="1">
        <v>7</v>
      </c>
      <c r="AR2033" s="1"/>
      <c r="AS2033" s="1"/>
      <c r="AT2033" s="1">
        <v>0</v>
      </c>
      <c r="AU2033" s="1">
        <v>0</v>
      </c>
      <c r="AV2033" s="1">
        <v>0</v>
      </c>
      <c r="AW2033" s="1">
        <v>0</v>
      </c>
      <c r="AX2033" s="1">
        <v>0</v>
      </c>
      <c r="AY2033" s="1">
        <v>0</v>
      </c>
      <c r="AZ2033" s="1">
        <v>0</v>
      </c>
      <c r="BA2033" s="1">
        <v>0</v>
      </c>
      <c r="BB2033" s="1">
        <v>0</v>
      </c>
      <c r="BC2033" s="1">
        <v>0</v>
      </c>
      <c r="BD2033" s="1">
        <v>0</v>
      </c>
      <c r="BE2033" s="1">
        <v>0</v>
      </c>
      <c r="BF2033" s="1">
        <v>0</v>
      </c>
      <c r="BG2033" s="1">
        <v>0</v>
      </c>
      <c r="BH2033" s="1">
        <v>0</v>
      </c>
      <c r="BI2033" s="1">
        <v>0</v>
      </c>
      <c r="BJ2033" s="1">
        <v>0</v>
      </c>
      <c r="BK2033" s="1">
        <v>0</v>
      </c>
      <c r="BL2033" s="1">
        <v>0</v>
      </c>
      <c r="BM2033" s="1">
        <v>0</v>
      </c>
      <c r="BN2033" s="1">
        <v>0</v>
      </c>
      <c r="BO2033" s="1">
        <v>1</v>
      </c>
      <c r="BP2033" s="1">
        <v>0</v>
      </c>
      <c r="BQ2033" s="1">
        <v>0</v>
      </c>
      <c r="BR2033" s="1">
        <v>0</v>
      </c>
      <c r="BS2033" s="1" t="s">
        <v>109</v>
      </c>
      <c r="BT2033" s="1">
        <v>2108</v>
      </c>
      <c r="BU2033" s="1" t="s">
        <v>109</v>
      </c>
      <c r="BV2033" s="1"/>
      <c r="BW2033" s="1"/>
      <c r="BX2033" s="1"/>
      <c r="BY2033" s="1"/>
      <c r="BZ2033" s="1">
        <v>0</v>
      </c>
      <c r="CA2033" s="1" t="s">
        <v>109</v>
      </c>
      <c r="CB2033" s="1" t="s">
        <v>109</v>
      </c>
      <c r="CC2033" s="1" t="s">
        <v>109</v>
      </c>
      <c r="CD2033" s="1" t="s">
        <v>109</v>
      </c>
      <c r="CE2033" s="1" t="s">
        <v>109</v>
      </c>
      <c r="CF2033" s="1" t="s">
        <v>109</v>
      </c>
      <c r="CG2033" s="1" t="s">
        <v>109</v>
      </c>
      <c r="CH2033" s="1" t="s">
        <v>109</v>
      </c>
      <c r="CI2033" s="1" t="s">
        <v>109</v>
      </c>
      <c r="CJ2033" s="1">
        <v>6</v>
      </c>
      <c r="CK2033" s="1"/>
      <c r="CL2033" s="1">
        <v>0</v>
      </c>
      <c r="CM2033" s="1">
        <v>0</v>
      </c>
      <c r="CN2033" s="1">
        <v>0</v>
      </c>
    </row>
    <row r="2034" spans="1:92" ht="14.25" customHeight="1" x14ac:dyDescent="0.15">
      <c r="A2034" s="1" t="s">
        <v>14855</v>
      </c>
      <c r="B2034" s="1" t="s">
        <v>189</v>
      </c>
      <c r="C2034" s="1"/>
      <c r="D2034" s="1" t="s">
        <v>14697</v>
      </c>
      <c r="E2034" s="1" t="s">
        <v>14856</v>
      </c>
      <c r="F2034" s="1" t="s">
        <v>98</v>
      </c>
      <c r="G2034" s="1" t="s">
        <v>14857</v>
      </c>
      <c r="H2034" s="1">
        <v>0</v>
      </c>
      <c r="I2034" s="1" t="s">
        <v>142</v>
      </c>
      <c r="J2034" s="1"/>
      <c r="K2034" s="1"/>
      <c r="L2034" s="1" t="s">
        <v>14858</v>
      </c>
      <c r="M2034" s="1" t="s">
        <v>574</v>
      </c>
      <c r="N2034" s="1">
        <v>1</v>
      </c>
      <c r="O2034" s="1">
        <v>0</v>
      </c>
      <c r="P2034" s="1" t="s">
        <v>629</v>
      </c>
      <c r="Q2034" s="1" t="s">
        <v>630</v>
      </c>
      <c r="R2034" s="1" t="s">
        <v>14859</v>
      </c>
      <c r="S2034" s="1" t="s">
        <v>14860</v>
      </c>
      <c r="T2034" s="1" t="s">
        <v>14827</v>
      </c>
      <c r="U2034" s="1" t="s">
        <v>14861</v>
      </c>
      <c r="V2034" s="1">
        <v>1</v>
      </c>
      <c r="W2034" s="1">
        <v>1</v>
      </c>
      <c r="X2034" s="1">
        <v>1</v>
      </c>
      <c r="Y2034" s="1">
        <v>0</v>
      </c>
      <c r="Z2034" s="1">
        <v>1</v>
      </c>
      <c r="AA2034" s="1">
        <v>4</v>
      </c>
      <c r="AB2034" s="1">
        <v>4</v>
      </c>
      <c r="AC2034" s="1">
        <v>4</v>
      </c>
      <c r="AD2034" s="1">
        <v>4</v>
      </c>
      <c r="AE2034" s="1" t="s">
        <v>109</v>
      </c>
      <c r="AF2034" s="1" t="s">
        <v>109</v>
      </c>
      <c r="AG2034" s="1" t="s">
        <v>109</v>
      </c>
      <c r="AH2034" s="1" t="s">
        <v>109</v>
      </c>
      <c r="AI2034" s="1">
        <v>4</v>
      </c>
      <c r="AJ2034" s="1" t="s">
        <v>109</v>
      </c>
      <c r="AK2034" s="1" t="s">
        <v>109</v>
      </c>
      <c r="AL2034" s="1">
        <v>4</v>
      </c>
      <c r="AM2034" s="1" t="s">
        <v>109</v>
      </c>
      <c r="AN2034" s="1" t="s">
        <v>109</v>
      </c>
      <c r="AO2034" s="1" t="s">
        <v>109</v>
      </c>
      <c r="AP2034" s="1"/>
      <c r="AQ2034" s="1">
        <v>4</v>
      </c>
      <c r="AR2034" s="1"/>
      <c r="AS2034" s="1"/>
      <c r="AT2034" s="1">
        <v>0</v>
      </c>
      <c r="AU2034" s="1">
        <v>0</v>
      </c>
      <c r="AV2034" s="1">
        <v>0</v>
      </c>
      <c r="AW2034" s="1">
        <v>0</v>
      </c>
      <c r="AX2034" s="1">
        <v>0</v>
      </c>
      <c r="AY2034" s="1">
        <v>0</v>
      </c>
      <c r="AZ2034" s="1">
        <v>0</v>
      </c>
      <c r="BA2034" s="1">
        <v>0</v>
      </c>
      <c r="BB2034" s="1">
        <v>0</v>
      </c>
      <c r="BC2034" s="1">
        <v>0</v>
      </c>
      <c r="BD2034" s="1">
        <v>0</v>
      </c>
      <c r="BE2034" s="1">
        <v>0</v>
      </c>
      <c r="BF2034" s="1">
        <v>0</v>
      </c>
      <c r="BG2034" s="1">
        <v>0</v>
      </c>
      <c r="BH2034" s="1">
        <v>0</v>
      </c>
      <c r="BI2034" s="1">
        <v>0</v>
      </c>
      <c r="BJ2034" s="1">
        <v>0</v>
      </c>
      <c r="BK2034" s="1">
        <v>0</v>
      </c>
      <c r="BL2034" s="1">
        <v>0</v>
      </c>
      <c r="BM2034" s="1">
        <v>0</v>
      </c>
      <c r="BN2034" s="1">
        <v>0</v>
      </c>
      <c r="BO2034" s="1">
        <v>1</v>
      </c>
      <c r="BP2034" s="1">
        <v>0</v>
      </c>
      <c r="BQ2034" s="1">
        <v>0</v>
      </c>
      <c r="BR2034" s="1">
        <v>0</v>
      </c>
      <c r="BS2034" s="1" t="s">
        <v>109</v>
      </c>
      <c r="BT2034" s="1">
        <v>2109</v>
      </c>
      <c r="BU2034" s="1" t="s">
        <v>109</v>
      </c>
      <c r="BV2034" s="1"/>
      <c r="BW2034" s="1"/>
      <c r="BX2034" s="1"/>
      <c r="BY2034" s="1"/>
      <c r="BZ2034" s="1">
        <v>0</v>
      </c>
      <c r="CA2034" s="1" t="s">
        <v>109</v>
      </c>
      <c r="CB2034" s="1">
        <v>4</v>
      </c>
      <c r="CC2034" s="1" t="s">
        <v>109</v>
      </c>
      <c r="CD2034" s="1" t="s">
        <v>109</v>
      </c>
      <c r="CE2034" s="1" t="s">
        <v>109</v>
      </c>
      <c r="CF2034" s="1" t="s">
        <v>109</v>
      </c>
      <c r="CG2034" s="1" t="s">
        <v>109</v>
      </c>
      <c r="CH2034" s="1" t="s">
        <v>109</v>
      </c>
      <c r="CI2034" s="1" t="s">
        <v>109</v>
      </c>
      <c r="CJ2034" s="1">
        <v>4</v>
      </c>
      <c r="CK2034" s="1"/>
      <c r="CL2034" s="1">
        <v>0</v>
      </c>
      <c r="CM2034" s="1">
        <v>0</v>
      </c>
      <c r="CN2034" s="1">
        <v>0</v>
      </c>
    </row>
    <row r="2035" spans="1:92" ht="14.25" customHeight="1" x14ac:dyDescent="0.15">
      <c r="A2035" s="1" t="s">
        <v>14862</v>
      </c>
      <c r="B2035" s="1" t="s">
        <v>308</v>
      </c>
      <c r="C2035" s="1"/>
      <c r="D2035" s="1" t="s">
        <v>14697</v>
      </c>
      <c r="E2035" s="1" t="s">
        <v>14863</v>
      </c>
      <c r="F2035" s="1" t="s">
        <v>98</v>
      </c>
      <c r="G2035" s="1" t="s">
        <v>14864</v>
      </c>
      <c r="H2035" s="1">
        <v>0</v>
      </c>
      <c r="I2035" s="1" t="s">
        <v>142</v>
      </c>
      <c r="J2035" s="1"/>
      <c r="K2035" s="1"/>
      <c r="L2035" s="1" t="s">
        <v>14865</v>
      </c>
      <c r="M2035" s="1" t="s">
        <v>144</v>
      </c>
      <c r="N2035" s="1">
        <v>0</v>
      </c>
      <c r="O2035" s="1">
        <v>0</v>
      </c>
      <c r="P2035" s="1" t="s">
        <v>3667</v>
      </c>
      <c r="Q2035" s="1" t="s">
        <v>268</v>
      </c>
      <c r="R2035" s="1" t="s">
        <v>14866</v>
      </c>
      <c r="S2035" s="1" t="s">
        <v>14867</v>
      </c>
      <c r="T2035" s="1" t="s">
        <v>14827</v>
      </c>
      <c r="U2035" s="1" t="s">
        <v>14868</v>
      </c>
      <c r="V2035" s="1">
        <v>1</v>
      </c>
      <c r="W2035" s="1">
        <v>1</v>
      </c>
      <c r="X2035" s="1">
        <v>1</v>
      </c>
      <c r="Y2035" s="1">
        <v>0</v>
      </c>
      <c r="Z2035" s="1">
        <v>1</v>
      </c>
      <c r="AA2035" s="1">
        <v>3</v>
      </c>
      <c r="AB2035" s="1">
        <v>3</v>
      </c>
      <c r="AC2035" s="1" t="s">
        <v>109</v>
      </c>
      <c r="AD2035" s="1">
        <v>3</v>
      </c>
      <c r="AE2035" s="1" t="s">
        <v>109</v>
      </c>
      <c r="AF2035" s="1" t="s">
        <v>109</v>
      </c>
      <c r="AG2035" s="1" t="s">
        <v>109</v>
      </c>
      <c r="AH2035" s="1" t="s">
        <v>109</v>
      </c>
      <c r="AI2035" s="1" t="s">
        <v>109</v>
      </c>
      <c r="AJ2035" s="1">
        <v>3</v>
      </c>
      <c r="AK2035" s="1" t="s">
        <v>109</v>
      </c>
      <c r="AL2035" s="1" t="s">
        <v>109</v>
      </c>
      <c r="AM2035" s="1" t="s">
        <v>109</v>
      </c>
      <c r="AN2035" s="1" t="s">
        <v>109</v>
      </c>
      <c r="AO2035" s="1" t="s">
        <v>109</v>
      </c>
      <c r="AP2035" s="1"/>
      <c r="AQ2035" s="1">
        <v>3</v>
      </c>
      <c r="AR2035" s="1"/>
      <c r="AS2035" s="1"/>
      <c r="AT2035" s="1">
        <v>0</v>
      </c>
      <c r="AU2035" s="1">
        <v>0</v>
      </c>
      <c r="AV2035" s="1">
        <v>0</v>
      </c>
      <c r="AW2035" s="1">
        <v>0</v>
      </c>
      <c r="AX2035" s="1">
        <v>0</v>
      </c>
      <c r="AY2035" s="1">
        <v>0</v>
      </c>
      <c r="AZ2035" s="1">
        <v>0</v>
      </c>
      <c r="BA2035" s="1">
        <v>0</v>
      </c>
      <c r="BB2035" s="1">
        <v>0</v>
      </c>
      <c r="BC2035" s="1">
        <v>0</v>
      </c>
      <c r="BD2035" s="1">
        <v>0</v>
      </c>
      <c r="BE2035" s="1">
        <v>0</v>
      </c>
      <c r="BF2035" s="1">
        <v>0</v>
      </c>
      <c r="BG2035" s="1">
        <v>0</v>
      </c>
      <c r="BH2035" s="1">
        <v>0</v>
      </c>
      <c r="BI2035" s="1">
        <v>0</v>
      </c>
      <c r="BJ2035" s="1">
        <v>0</v>
      </c>
      <c r="BK2035" s="1">
        <v>0</v>
      </c>
      <c r="BL2035" s="1">
        <v>0</v>
      </c>
      <c r="BM2035" s="1">
        <v>0</v>
      </c>
      <c r="BN2035" s="1">
        <v>0</v>
      </c>
      <c r="BO2035" s="1">
        <v>1</v>
      </c>
      <c r="BP2035" s="1">
        <v>0</v>
      </c>
      <c r="BQ2035" s="1">
        <v>0</v>
      </c>
      <c r="BR2035" s="1">
        <v>0</v>
      </c>
      <c r="BS2035" s="1" t="s">
        <v>109</v>
      </c>
      <c r="BT2035" s="1">
        <v>2110</v>
      </c>
      <c r="BU2035" s="1" t="s">
        <v>109</v>
      </c>
      <c r="BV2035" s="1"/>
      <c r="BW2035" s="1"/>
      <c r="BX2035" s="1"/>
      <c r="BY2035" s="1"/>
      <c r="BZ2035" s="1">
        <v>0</v>
      </c>
      <c r="CA2035" s="1" t="s">
        <v>109</v>
      </c>
      <c r="CB2035" s="1">
        <v>3</v>
      </c>
      <c r="CC2035" s="1" t="s">
        <v>109</v>
      </c>
      <c r="CD2035" s="1" t="s">
        <v>109</v>
      </c>
      <c r="CE2035" s="1" t="s">
        <v>109</v>
      </c>
      <c r="CF2035" s="1" t="s">
        <v>109</v>
      </c>
      <c r="CG2035" s="1" t="s">
        <v>109</v>
      </c>
      <c r="CH2035" s="1" t="s">
        <v>109</v>
      </c>
      <c r="CI2035" s="1" t="s">
        <v>109</v>
      </c>
      <c r="CJ2035" s="1">
        <v>3</v>
      </c>
      <c r="CK2035" s="1"/>
      <c r="CL2035" s="1">
        <v>0</v>
      </c>
      <c r="CM2035" s="1">
        <v>0</v>
      </c>
      <c r="CN2035" s="1">
        <v>0</v>
      </c>
    </row>
    <row r="2036" spans="1:92" ht="14.25" customHeight="1" x14ac:dyDescent="0.15">
      <c r="A2036" s="1" t="s">
        <v>14869</v>
      </c>
      <c r="B2036" s="1" t="s">
        <v>189</v>
      </c>
      <c r="C2036" s="1"/>
      <c r="D2036" s="1" t="s">
        <v>14697</v>
      </c>
      <c r="E2036" s="1" t="s">
        <v>14870</v>
      </c>
      <c r="F2036" s="1" t="s">
        <v>98</v>
      </c>
      <c r="G2036" s="1" t="s">
        <v>14871</v>
      </c>
      <c r="H2036" s="1">
        <v>1</v>
      </c>
      <c r="I2036" s="1" t="s">
        <v>161</v>
      </c>
      <c r="J2036" s="1"/>
      <c r="K2036" s="1"/>
      <c r="L2036" s="1" t="s">
        <v>506</v>
      </c>
      <c r="M2036" s="1" t="s">
        <v>574</v>
      </c>
      <c r="N2036" s="1">
        <v>1</v>
      </c>
      <c r="O2036" s="1">
        <v>0</v>
      </c>
      <c r="P2036" s="1" t="s">
        <v>1382</v>
      </c>
      <c r="Q2036" s="1" t="s">
        <v>167</v>
      </c>
      <c r="R2036" s="1" t="s">
        <v>14872</v>
      </c>
      <c r="S2036" s="1" t="s">
        <v>14873</v>
      </c>
      <c r="T2036" s="1" t="s">
        <v>14827</v>
      </c>
      <c r="U2036" s="1" t="s">
        <v>14874</v>
      </c>
      <c r="V2036" s="1">
        <v>1</v>
      </c>
      <c r="W2036" s="1">
        <v>1</v>
      </c>
      <c r="X2036" s="1">
        <v>1</v>
      </c>
      <c r="Y2036" s="1">
        <v>0</v>
      </c>
      <c r="Z2036" s="1">
        <v>1</v>
      </c>
      <c r="AA2036" s="1" t="s">
        <v>109</v>
      </c>
      <c r="AB2036" s="1" t="s">
        <v>109</v>
      </c>
      <c r="AC2036" s="1" t="s">
        <v>109</v>
      </c>
      <c r="AD2036" s="1">
        <v>2</v>
      </c>
      <c r="AE2036" s="1">
        <v>2</v>
      </c>
      <c r="AF2036" s="1" t="s">
        <v>109</v>
      </c>
      <c r="AG2036" s="1" t="s">
        <v>109</v>
      </c>
      <c r="AH2036" s="1">
        <v>2</v>
      </c>
      <c r="AI2036" s="1">
        <v>2</v>
      </c>
      <c r="AJ2036" s="1">
        <v>2</v>
      </c>
      <c r="AK2036" s="1" t="s">
        <v>109</v>
      </c>
      <c r="AL2036" s="1" t="s">
        <v>109</v>
      </c>
      <c r="AM2036" s="1" t="s">
        <v>109</v>
      </c>
      <c r="AN2036" s="1" t="s">
        <v>109</v>
      </c>
      <c r="AO2036" s="1" t="s">
        <v>109</v>
      </c>
      <c r="AP2036" s="1"/>
      <c r="AQ2036" s="1">
        <v>2</v>
      </c>
      <c r="AR2036" s="1"/>
      <c r="AS2036" s="1"/>
      <c r="AT2036" s="1">
        <v>0</v>
      </c>
      <c r="AU2036" s="1">
        <v>0</v>
      </c>
      <c r="AV2036" s="1">
        <v>0</v>
      </c>
      <c r="AW2036" s="1">
        <v>0</v>
      </c>
      <c r="AX2036" s="1">
        <v>0</v>
      </c>
      <c r="AY2036" s="1">
        <v>0</v>
      </c>
      <c r="AZ2036" s="1">
        <v>0</v>
      </c>
      <c r="BA2036" s="1">
        <v>0</v>
      </c>
      <c r="BB2036" s="1">
        <v>0</v>
      </c>
      <c r="BC2036" s="1">
        <v>0</v>
      </c>
      <c r="BD2036" s="1">
        <v>0</v>
      </c>
      <c r="BE2036" s="1">
        <v>0</v>
      </c>
      <c r="BF2036" s="1">
        <v>0</v>
      </c>
      <c r="BG2036" s="1">
        <v>0</v>
      </c>
      <c r="BH2036" s="1">
        <v>0</v>
      </c>
      <c r="BI2036" s="1">
        <v>0</v>
      </c>
      <c r="BJ2036" s="1">
        <v>0</v>
      </c>
      <c r="BK2036" s="1">
        <v>0</v>
      </c>
      <c r="BL2036" s="1">
        <v>0</v>
      </c>
      <c r="BM2036" s="1">
        <v>0</v>
      </c>
      <c r="BN2036" s="1">
        <v>0</v>
      </c>
      <c r="BO2036" s="1">
        <v>1</v>
      </c>
      <c r="BP2036" s="1">
        <v>0</v>
      </c>
      <c r="BQ2036" s="1">
        <v>0</v>
      </c>
      <c r="BR2036" s="1">
        <v>0</v>
      </c>
      <c r="BS2036" s="1" t="s">
        <v>109</v>
      </c>
      <c r="BT2036" s="1">
        <v>2111</v>
      </c>
      <c r="BU2036" s="1">
        <v>75</v>
      </c>
      <c r="BV2036" s="1"/>
      <c r="BW2036" s="1"/>
      <c r="BX2036" s="1"/>
      <c r="BY2036" s="1"/>
      <c r="BZ2036" s="1">
        <v>0</v>
      </c>
      <c r="CA2036" s="1" t="s">
        <v>109</v>
      </c>
      <c r="CB2036" s="1">
        <v>2</v>
      </c>
      <c r="CC2036" s="1" t="s">
        <v>109</v>
      </c>
      <c r="CD2036" s="1" t="s">
        <v>109</v>
      </c>
      <c r="CE2036" s="1" t="s">
        <v>109</v>
      </c>
      <c r="CF2036" s="1" t="s">
        <v>109</v>
      </c>
      <c r="CG2036" s="1" t="s">
        <v>109</v>
      </c>
      <c r="CH2036" s="1" t="s">
        <v>109</v>
      </c>
      <c r="CI2036" s="1" t="s">
        <v>109</v>
      </c>
      <c r="CJ2036" s="1">
        <v>2</v>
      </c>
      <c r="CK2036" s="1"/>
      <c r="CL2036" s="1">
        <v>0</v>
      </c>
      <c r="CM2036" s="1">
        <v>0</v>
      </c>
      <c r="CN2036" s="1">
        <v>0</v>
      </c>
    </row>
    <row r="2037" spans="1:92" ht="14.25" customHeight="1" x14ac:dyDescent="0.15">
      <c r="A2037" s="1" t="s">
        <v>14875</v>
      </c>
      <c r="B2037" s="1" t="s">
        <v>674</v>
      </c>
      <c r="C2037" s="1" t="s">
        <v>675</v>
      </c>
      <c r="D2037" s="1"/>
      <c r="E2037" s="1" t="s">
        <v>14876</v>
      </c>
      <c r="F2037" s="1" t="s">
        <v>355</v>
      </c>
      <c r="G2037" s="1" t="s">
        <v>14877</v>
      </c>
      <c r="H2037" s="1">
        <v>0</v>
      </c>
      <c r="I2037" s="1" t="s">
        <v>142</v>
      </c>
      <c r="J2037" s="1"/>
      <c r="K2037" s="1"/>
      <c r="L2037" s="1" t="s">
        <v>1391</v>
      </c>
      <c r="M2037" s="1" t="s">
        <v>5642</v>
      </c>
      <c r="N2037" s="1">
        <v>0</v>
      </c>
      <c r="O2037" s="1">
        <v>0</v>
      </c>
      <c r="P2037" s="1" t="s">
        <v>14878</v>
      </c>
      <c r="Q2037" s="1" t="s">
        <v>167</v>
      </c>
      <c r="R2037" s="1" t="s">
        <v>14879</v>
      </c>
      <c r="S2037" s="1" t="s">
        <v>14880</v>
      </c>
      <c r="T2037" s="1" t="s">
        <v>14827</v>
      </c>
      <c r="U2037" s="1" t="s">
        <v>14881</v>
      </c>
      <c r="V2037" s="1">
        <v>1</v>
      </c>
      <c r="W2037" s="1">
        <v>1</v>
      </c>
      <c r="X2037" s="1">
        <v>1</v>
      </c>
      <c r="Y2037" s="1">
        <v>0</v>
      </c>
      <c r="Z2037" s="1">
        <v>1</v>
      </c>
      <c r="AA2037" s="1">
        <v>1</v>
      </c>
      <c r="AB2037" s="1">
        <v>1</v>
      </c>
      <c r="AC2037" s="1">
        <v>1</v>
      </c>
      <c r="AD2037" s="1">
        <v>1</v>
      </c>
      <c r="AE2037" s="1" t="s">
        <v>109</v>
      </c>
      <c r="AF2037" s="1">
        <v>1</v>
      </c>
      <c r="AG2037" s="1" t="s">
        <v>109</v>
      </c>
      <c r="AH2037" s="1" t="s">
        <v>109</v>
      </c>
      <c r="AI2037" s="1">
        <v>1</v>
      </c>
      <c r="AJ2037" s="1">
        <v>1</v>
      </c>
      <c r="AK2037" s="1" t="s">
        <v>109</v>
      </c>
      <c r="AL2037" s="1">
        <v>1</v>
      </c>
      <c r="AM2037" s="1" t="s">
        <v>109</v>
      </c>
      <c r="AN2037" s="1" t="s">
        <v>109</v>
      </c>
      <c r="AO2037" s="1" t="s">
        <v>109</v>
      </c>
      <c r="AP2037" s="1"/>
      <c r="AQ2037" s="1">
        <v>1</v>
      </c>
      <c r="AR2037" s="1"/>
      <c r="AS2037" s="1"/>
      <c r="AT2037" s="1">
        <v>0</v>
      </c>
      <c r="AU2037" s="1">
        <v>0</v>
      </c>
      <c r="AV2037" s="1">
        <v>0</v>
      </c>
      <c r="AW2037" s="1">
        <v>0</v>
      </c>
      <c r="AX2037" s="1">
        <v>0</v>
      </c>
      <c r="AY2037" s="1">
        <v>0</v>
      </c>
      <c r="AZ2037" s="1">
        <v>0</v>
      </c>
      <c r="BA2037" s="1">
        <v>0</v>
      </c>
      <c r="BB2037" s="1">
        <v>0</v>
      </c>
      <c r="BC2037" s="1">
        <v>0</v>
      </c>
      <c r="BD2037" s="1">
        <v>0</v>
      </c>
      <c r="BE2037" s="1">
        <v>0</v>
      </c>
      <c r="BF2037" s="1">
        <v>0</v>
      </c>
      <c r="BG2037" s="1">
        <v>0</v>
      </c>
      <c r="BH2037" s="1">
        <v>0</v>
      </c>
      <c r="BI2037" s="1">
        <v>0</v>
      </c>
      <c r="BJ2037" s="1">
        <v>0</v>
      </c>
      <c r="BK2037" s="1">
        <v>0</v>
      </c>
      <c r="BL2037" s="1">
        <v>0</v>
      </c>
      <c r="BM2037" s="1">
        <v>0</v>
      </c>
      <c r="BN2037" s="1">
        <v>0</v>
      </c>
      <c r="BO2037" s="1">
        <v>0</v>
      </c>
      <c r="BP2037" s="1">
        <v>0</v>
      </c>
      <c r="BQ2037" s="1">
        <v>0</v>
      </c>
      <c r="BR2037" s="1">
        <v>0</v>
      </c>
      <c r="BS2037" s="1" t="s">
        <v>109</v>
      </c>
      <c r="BT2037" s="1">
        <v>2112</v>
      </c>
      <c r="BU2037" s="1" t="s">
        <v>109</v>
      </c>
      <c r="BV2037" s="1"/>
      <c r="BW2037" s="1"/>
      <c r="BX2037" s="1"/>
      <c r="BY2037" s="1"/>
      <c r="BZ2037" s="1">
        <v>0</v>
      </c>
      <c r="CA2037" s="1" t="s">
        <v>109</v>
      </c>
      <c r="CB2037" s="1">
        <v>1</v>
      </c>
      <c r="CC2037" s="1" t="s">
        <v>109</v>
      </c>
      <c r="CD2037" s="1" t="s">
        <v>109</v>
      </c>
      <c r="CE2037" s="1" t="s">
        <v>109</v>
      </c>
      <c r="CF2037" s="1" t="s">
        <v>109</v>
      </c>
      <c r="CG2037" s="1" t="s">
        <v>109</v>
      </c>
      <c r="CH2037" s="1" t="s">
        <v>109</v>
      </c>
      <c r="CI2037" s="1" t="s">
        <v>109</v>
      </c>
      <c r="CJ2037" s="1">
        <v>1</v>
      </c>
      <c r="CK2037" s="1"/>
      <c r="CL2037" s="1">
        <v>0</v>
      </c>
      <c r="CM2037" s="1">
        <v>0</v>
      </c>
      <c r="CN2037" s="1">
        <v>0</v>
      </c>
    </row>
    <row r="2038" spans="1:92" ht="14.25" customHeight="1" x14ac:dyDescent="0.15">
      <c r="A2038" s="1" t="s">
        <v>14882</v>
      </c>
      <c r="B2038" s="1" t="s">
        <v>674</v>
      </c>
      <c r="C2038" s="1" t="s">
        <v>675</v>
      </c>
      <c r="D2038" s="1"/>
      <c r="E2038" s="1" t="s">
        <v>14883</v>
      </c>
      <c r="F2038" s="1" t="s">
        <v>98</v>
      </c>
      <c r="G2038" s="1" t="s">
        <v>14884</v>
      </c>
      <c r="H2038" s="1">
        <v>0</v>
      </c>
      <c r="I2038" s="1" t="s">
        <v>142</v>
      </c>
      <c r="J2038" s="1"/>
      <c r="K2038" s="1"/>
      <c r="L2038" s="1" t="s">
        <v>14885</v>
      </c>
      <c r="M2038" s="1" t="s">
        <v>125</v>
      </c>
      <c r="N2038" s="1">
        <v>0</v>
      </c>
      <c r="O2038" s="1">
        <v>0</v>
      </c>
      <c r="P2038" s="1" t="s">
        <v>301</v>
      </c>
      <c r="Q2038" s="1" t="s">
        <v>268</v>
      </c>
      <c r="R2038" s="1" t="s">
        <v>14886</v>
      </c>
      <c r="S2038" s="1" t="s">
        <v>14887</v>
      </c>
      <c r="T2038" s="1" t="s">
        <v>14827</v>
      </c>
      <c r="U2038" s="1" t="s">
        <v>14888</v>
      </c>
      <c r="V2038" s="1">
        <v>1</v>
      </c>
      <c r="W2038" s="1">
        <v>1</v>
      </c>
      <c r="X2038" s="1">
        <v>1</v>
      </c>
      <c r="Y2038" s="1">
        <v>0</v>
      </c>
      <c r="Z2038" s="1">
        <v>0</v>
      </c>
      <c r="AA2038" s="1">
        <v>2</v>
      </c>
      <c r="AB2038" s="1">
        <v>2</v>
      </c>
      <c r="AC2038" s="1" t="s">
        <v>109</v>
      </c>
      <c r="AD2038" s="1" t="s">
        <v>109</v>
      </c>
      <c r="AE2038" s="1" t="s">
        <v>109</v>
      </c>
      <c r="AF2038" s="1">
        <v>2</v>
      </c>
      <c r="AG2038" s="1" t="s">
        <v>109</v>
      </c>
      <c r="AH2038" s="1" t="s">
        <v>109</v>
      </c>
      <c r="AI2038" s="1" t="s">
        <v>109</v>
      </c>
      <c r="AJ2038" s="1" t="s">
        <v>109</v>
      </c>
      <c r="AK2038" s="1" t="s">
        <v>109</v>
      </c>
      <c r="AL2038" s="1" t="s">
        <v>109</v>
      </c>
      <c r="AM2038" s="1" t="s">
        <v>109</v>
      </c>
      <c r="AN2038" s="1">
        <v>2</v>
      </c>
      <c r="AO2038" s="1" t="s">
        <v>109</v>
      </c>
      <c r="AP2038" s="1"/>
      <c r="AQ2038" s="1">
        <v>2</v>
      </c>
      <c r="AR2038" s="1"/>
      <c r="AS2038" s="1"/>
      <c r="AT2038" s="1">
        <v>0</v>
      </c>
      <c r="AU2038" s="1">
        <v>0</v>
      </c>
      <c r="AV2038" s="1">
        <v>0</v>
      </c>
      <c r="AW2038" s="1">
        <v>0</v>
      </c>
      <c r="AX2038" s="1">
        <v>0</v>
      </c>
      <c r="AY2038" s="1">
        <v>0</v>
      </c>
      <c r="AZ2038" s="1">
        <v>0</v>
      </c>
      <c r="BA2038" s="1">
        <v>0</v>
      </c>
      <c r="BB2038" s="1">
        <v>0</v>
      </c>
      <c r="BC2038" s="1">
        <v>0</v>
      </c>
      <c r="BD2038" s="1">
        <v>0</v>
      </c>
      <c r="BE2038" s="1">
        <v>0</v>
      </c>
      <c r="BF2038" s="1">
        <v>0</v>
      </c>
      <c r="BG2038" s="1">
        <v>0</v>
      </c>
      <c r="BH2038" s="1">
        <v>0</v>
      </c>
      <c r="BI2038" s="1">
        <v>0</v>
      </c>
      <c r="BJ2038" s="1">
        <v>0</v>
      </c>
      <c r="BK2038" s="1">
        <v>0</v>
      </c>
      <c r="BL2038" s="1">
        <v>0</v>
      </c>
      <c r="BM2038" s="1">
        <v>0</v>
      </c>
      <c r="BN2038" s="1">
        <v>0</v>
      </c>
      <c r="BO2038" s="1">
        <v>0</v>
      </c>
      <c r="BP2038" s="1">
        <v>0</v>
      </c>
      <c r="BQ2038" s="1">
        <v>0</v>
      </c>
      <c r="BR2038" s="1">
        <v>0</v>
      </c>
      <c r="BS2038" s="1" t="s">
        <v>109</v>
      </c>
      <c r="BT2038" s="1">
        <v>2113</v>
      </c>
      <c r="BU2038" s="1" t="s">
        <v>109</v>
      </c>
      <c r="BV2038" s="1"/>
      <c r="BW2038" s="1"/>
      <c r="BX2038" s="1"/>
      <c r="BY2038" s="1"/>
      <c r="BZ2038" s="1">
        <v>0</v>
      </c>
      <c r="CA2038" s="1">
        <v>2</v>
      </c>
      <c r="CB2038" s="1" t="s">
        <v>109</v>
      </c>
      <c r="CC2038" s="1" t="s">
        <v>109</v>
      </c>
      <c r="CD2038" s="1" t="s">
        <v>109</v>
      </c>
      <c r="CE2038" s="1" t="s">
        <v>109</v>
      </c>
      <c r="CF2038" s="1" t="s">
        <v>109</v>
      </c>
      <c r="CG2038" s="1" t="s">
        <v>109</v>
      </c>
      <c r="CH2038" s="1" t="s">
        <v>109</v>
      </c>
      <c r="CI2038" s="1" t="s">
        <v>109</v>
      </c>
      <c r="CJ2038" s="1" t="s">
        <v>109</v>
      </c>
      <c r="CK2038" s="1"/>
      <c r="CL2038" s="1">
        <v>0</v>
      </c>
      <c r="CM2038" s="1">
        <v>0</v>
      </c>
      <c r="CN2038" s="1">
        <v>0</v>
      </c>
    </row>
    <row r="2039" spans="1:92" ht="14.25" customHeight="1" x14ac:dyDescent="0.15">
      <c r="A2039" s="1" t="s">
        <v>14889</v>
      </c>
      <c r="B2039" s="1" t="s">
        <v>95</v>
      </c>
      <c r="C2039" s="1" t="s">
        <v>96</v>
      </c>
      <c r="D2039" s="1"/>
      <c r="E2039" s="1" t="s">
        <v>14890</v>
      </c>
      <c r="F2039" s="1" t="s">
        <v>98</v>
      </c>
      <c r="G2039" s="1" t="s">
        <v>572</v>
      </c>
      <c r="H2039" s="1">
        <v>0</v>
      </c>
      <c r="I2039" s="1" t="s">
        <v>122</v>
      </c>
      <c r="J2039" s="1" t="s">
        <v>573</v>
      </c>
      <c r="K2039" s="1"/>
      <c r="L2039" s="1"/>
      <c r="M2039" s="1" t="s">
        <v>574</v>
      </c>
      <c r="N2039" s="1">
        <v>1</v>
      </c>
      <c r="O2039" s="1">
        <v>0</v>
      </c>
      <c r="P2039" s="1" t="s">
        <v>14891</v>
      </c>
      <c r="Q2039" s="1" t="s">
        <v>216</v>
      </c>
      <c r="R2039" s="1" t="s">
        <v>14892</v>
      </c>
      <c r="S2039" s="1" t="s">
        <v>14893</v>
      </c>
      <c r="T2039" s="1" t="s">
        <v>14827</v>
      </c>
      <c r="U2039" s="1" t="s">
        <v>14894</v>
      </c>
      <c r="V2039" s="1">
        <v>1</v>
      </c>
      <c r="W2039" s="1">
        <v>1</v>
      </c>
      <c r="X2039" s="1">
        <v>1</v>
      </c>
      <c r="Y2039" s="1">
        <v>0</v>
      </c>
      <c r="Z2039" s="1">
        <v>0</v>
      </c>
      <c r="AA2039" s="1">
        <v>3</v>
      </c>
      <c r="AB2039" s="1">
        <v>3</v>
      </c>
      <c r="AC2039" s="1" t="s">
        <v>109</v>
      </c>
      <c r="AD2039" s="1" t="s">
        <v>109</v>
      </c>
      <c r="AE2039" s="1" t="s">
        <v>109</v>
      </c>
      <c r="AF2039" s="1" t="s">
        <v>109</v>
      </c>
      <c r="AG2039" s="1" t="s">
        <v>109</v>
      </c>
      <c r="AH2039" s="1" t="s">
        <v>109</v>
      </c>
      <c r="AI2039" s="1">
        <v>3</v>
      </c>
      <c r="AJ2039" s="1">
        <v>3</v>
      </c>
      <c r="AK2039" s="1" t="s">
        <v>109</v>
      </c>
      <c r="AL2039" s="1" t="s">
        <v>109</v>
      </c>
      <c r="AM2039" s="1" t="s">
        <v>109</v>
      </c>
      <c r="AN2039" s="1">
        <v>3</v>
      </c>
      <c r="AO2039" s="1" t="s">
        <v>109</v>
      </c>
      <c r="AP2039" s="1"/>
      <c r="AQ2039" s="1">
        <v>3</v>
      </c>
      <c r="AR2039" s="1"/>
      <c r="AS2039" s="1"/>
      <c r="AT2039" s="1">
        <v>0</v>
      </c>
      <c r="AU2039" s="1">
        <v>0</v>
      </c>
      <c r="AV2039" s="1">
        <v>0</v>
      </c>
      <c r="AW2039" s="1">
        <v>0</v>
      </c>
      <c r="AX2039" s="1">
        <v>0</v>
      </c>
      <c r="AY2039" s="1">
        <v>0</v>
      </c>
      <c r="AZ2039" s="1">
        <v>0</v>
      </c>
      <c r="BA2039" s="1">
        <v>0</v>
      </c>
      <c r="BB2039" s="1">
        <v>0</v>
      </c>
      <c r="BC2039" s="1">
        <v>0</v>
      </c>
      <c r="BD2039" s="1">
        <v>0</v>
      </c>
      <c r="BE2039" s="1">
        <v>0</v>
      </c>
      <c r="BF2039" s="1">
        <v>0</v>
      </c>
      <c r="BG2039" s="1">
        <v>0</v>
      </c>
      <c r="BH2039" s="1">
        <v>0</v>
      </c>
      <c r="BI2039" s="1">
        <v>0</v>
      </c>
      <c r="BJ2039" s="1">
        <v>0</v>
      </c>
      <c r="BK2039" s="1">
        <v>0</v>
      </c>
      <c r="BL2039" s="1">
        <v>0</v>
      </c>
      <c r="BM2039" s="1">
        <v>0</v>
      </c>
      <c r="BN2039" s="1">
        <v>0</v>
      </c>
      <c r="BO2039" s="1">
        <v>0</v>
      </c>
      <c r="BP2039" s="1">
        <v>0</v>
      </c>
      <c r="BQ2039" s="1">
        <v>0</v>
      </c>
      <c r="BR2039" s="1">
        <v>0</v>
      </c>
      <c r="BS2039" s="1" t="s">
        <v>109</v>
      </c>
      <c r="BT2039" s="1">
        <v>2114</v>
      </c>
      <c r="BU2039" s="1" t="s">
        <v>109</v>
      </c>
      <c r="BV2039" s="1"/>
      <c r="BW2039" s="1"/>
      <c r="BX2039" s="1"/>
      <c r="BY2039" s="1"/>
      <c r="BZ2039" s="1">
        <v>0</v>
      </c>
      <c r="CA2039" s="1">
        <v>3</v>
      </c>
      <c r="CB2039" s="1" t="s">
        <v>109</v>
      </c>
      <c r="CC2039" s="1" t="s">
        <v>109</v>
      </c>
      <c r="CD2039" s="1" t="s">
        <v>109</v>
      </c>
      <c r="CE2039" s="1" t="s">
        <v>109</v>
      </c>
      <c r="CF2039" s="1" t="s">
        <v>109</v>
      </c>
      <c r="CG2039" s="1" t="s">
        <v>109</v>
      </c>
      <c r="CH2039" s="1" t="s">
        <v>109</v>
      </c>
      <c r="CI2039" s="1" t="s">
        <v>109</v>
      </c>
      <c r="CJ2039" s="1" t="s">
        <v>109</v>
      </c>
      <c r="CK2039" s="1"/>
      <c r="CL2039" s="1">
        <v>0</v>
      </c>
      <c r="CM2039" s="1">
        <v>0</v>
      </c>
      <c r="CN2039" s="1">
        <v>0</v>
      </c>
    </row>
    <row r="2040" spans="1:92" ht="14.25" customHeight="1" x14ac:dyDescent="0.15">
      <c r="A2040" s="1" t="s">
        <v>14895</v>
      </c>
      <c r="B2040" s="1" t="s">
        <v>95</v>
      </c>
      <c r="C2040" s="1" t="s">
        <v>96</v>
      </c>
      <c r="D2040" s="1"/>
      <c r="E2040" s="1" t="s">
        <v>14896</v>
      </c>
      <c r="F2040" s="1" t="s">
        <v>98</v>
      </c>
      <c r="G2040" s="1" t="s">
        <v>2418</v>
      </c>
      <c r="H2040" s="1">
        <v>0</v>
      </c>
      <c r="I2040" s="1" t="s">
        <v>122</v>
      </c>
      <c r="J2040" s="1"/>
      <c r="K2040" s="1"/>
      <c r="L2040" s="1" t="s">
        <v>14897</v>
      </c>
      <c r="M2040" s="1" t="s">
        <v>587</v>
      </c>
      <c r="N2040" s="1">
        <v>1</v>
      </c>
      <c r="O2040" s="1">
        <v>0</v>
      </c>
      <c r="P2040" s="1" t="s">
        <v>211</v>
      </c>
      <c r="Q2040" s="1" t="s">
        <v>104</v>
      </c>
      <c r="R2040" s="1" t="s">
        <v>14898</v>
      </c>
      <c r="S2040" s="1" t="s">
        <v>14899</v>
      </c>
      <c r="T2040" s="1" t="s">
        <v>14827</v>
      </c>
      <c r="U2040" s="1" t="s">
        <v>14900</v>
      </c>
      <c r="V2040" s="1">
        <v>1</v>
      </c>
      <c r="W2040" s="1">
        <v>1</v>
      </c>
      <c r="X2040" s="1">
        <v>1</v>
      </c>
      <c r="Y2040" s="1">
        <v>0</v>
      </c>
      <c r="Z2040" s="1">
        <v>0</v>
      </c>
      <c r="AA2040" s="1">
        <v>5</v>
      </c>
      <c r="AB2040" s="1">
        <v>5</v>
      </c>
      <c r="AC2040" s="1" t="s">
        <v>109</v>
      </c>
      <c r="AD2040" s="1" t="s">
        <v>109</v>
      </c>
      <c r="AE2040" s="1" t="s">
        <v>109</v>
      </c>
      <c r="AF2040" s="1">
        <v>5</v>
      </c>
      <c r="AG2040" s="1" t="s">
        <v>109</v>
      </c>
      <c r="AH2040" s="1" t="s">
        <v>109</v>
      </c>
      <c r="AI2040" s="1">
        <v>5</v>
      </c>
      <c r="AJ2040" s="1" t="s">
        <v>109</v>
      </c>
      <c r="AK2040" s="1" t="s">
        <v>109</v>
      </c>
      <c r="AL2040" s="1" t="s">
        <v>109</v>
      </c>
      <c r="AM2040" s="1" t="s">
        <v>109</v>
      </c>
      <c r="AN2040" s="1">
        <v>5</v>
      </c>
      <c r="AO2040" s="1" t="s">
        <v>109</v>
      </c>
      <c r="AP2040" s="1"/>
      <c r="AQ2040" s="1">
        <v>5</v>
      </c>
      <c r="AR2040" s="1"/>
      <c r="AS2040" s="1"/>
      <c r="AT2040" s="1">
        <v>0</v>
      </c>
      <c r="AU2040" s="1">
        <v>0</v>
      </c>
      <c r="AV2040" s="1">
        <v>0</v>
      </c>
      <c r="AW2040" s="1">
        <v>0</v>
      </c>
      <c r="AX2040" s="1">
        <v>0</v>
      </c>
      <c r="AY2040" s="1">
        <v>0</v>
      </c>
      <c r="AZ2040" s="1">
        <v>0</v>
      </c>
      <c r="BA2040" s="1">
        <v>0</v>
      </c>
      <c r="BB2040" s="1">
        <v>0</v>
      </c>
      <c r="BC2040" s="1">
        <v>0</v>
      </c>
      <c r="BD2040" s="1">
        <v>0</v>
      </c>
      <c r="BE2040" s="1">
        <v>0</v>
      </c>
      <c r="BF2040" s="1">
        <v>0</v>
      </c>
      <c r="BG2040" s="1">
        <v>0</v>
      </c>
      <c r="BH2040" s="1">
        <v>0</v>
      </c>
      <c r="BI2040" s="1">
        <v>0</v>
      </c>
      <c r="BJ2040" s="1">
        <v>0</v>
      </c>
      <c r="BK2040" s="1">
        <v>0</v>
      </c>
      <c r="BL2040" s="1">
        <v>0</v>
      </c>
      <c r="BM2040" s="1">
        <v>0</v>
      </c>
      <c r="BN2040" s="1">
        <v>0</v>
      </c>
      <c r="BO2040" s="1">
        <v>0</v>
      </c>
      <c r="BP2040" s="1">
        <v>0</v>
      </c>
      <c r="BQ2040" s="1">
        <v>0</v>
      </c>
      <c r="BR2040" s="1">
        <v>0</v>
      </c>
      <c r="BS2040" s="1" t="s">
        <v>109</v>
      </c>
      <c r="BT2040" s="1">
        <v>2115</v>
      </c>
      <c r="BU2040" s="1" t="s">
        <v>109</v>
      </c>
      <c r="BV2040" s="1"/>
      <c r="BW2040" s="1"/>
      <c r="BX2040" s="1"/>
      <c r="BY2040" s="1"/>
      <c r="BZ2040" s="1">
        <v>0</v>
      </c>
      <c r="CA2040" s="1" t="s">
        <v>109</v>
      </c>
      <c r="CB2040" s="1" t="s">
        <v>109</v>
      </c>
      <c r="CC2040" s="1" t="s">
        <v>109</v>
      </c>
      <c r="CD2040" s="1" t="s">
        <v>109</v>
      </c>
      <c r="CE2040" s="1" t="s">
        <v>109</v>
      </c>
      <c r="CF2040" s="1" t="s">
        <v>109</v>
      </c>
      <c r="CG2040" s="1" t="s">
        <v>109</v>
      </c>
      <c r="CH2040" s="1" t="s">
        <v>109</v>
      </c>
      <c r="CI2040" s="1" t="s">
        <v>109</v>
      </c>
      <c r="CJ2040" s="1" t="s">
        <v>109</v>
      </c>
      <c r="CK2040" s="1"/>
      <c r="CL2040" s="1">
        <v>0</v>
      </c>
      <c r="CM2040" s="1">
        <v>0</v>
      </c>
      <c r="CN2040" s="1">
        <v>0</v>
      </c>
    </row>
    <row r="2041" spans="1:92" ht="14.25" customHeight="1" x14ac:dyDescent="0.15">
      <c r="A2041" s="1" t="s">
        <v>14901</v>
      </c>
      <c r="B2041" s="1" t="s">
        <v>189</v>
      </c>
      <c r="C2041" s="1"/>
      <c r="D2041" s="1"/>
      <c r="E2041" s="1" t="s">
        <v>14902</v>
      </c>
      <c r="F2041" s="1" t="s">
        <v>98</v>
      </c>
      <c r="G2041" s="1" t="s">
        <v>141</v>
      </c>
      <c r="H2041" s="1">
        <v>0</v>
      </c>
      <c r="I2041" s="1" t="s">
        <v>235</v>
      </c>
      <c r="J2041" s="1"/>
      <c r="K2041" s="1"/>
      <c r="L2041" s="1" t="s">
        <v>236</v>
      </c>
      <c r="M2041" s="1" t="s">
        <v>815</v>
      </c>
      <c r="N2041" s="1">
        <v>1</v>
      </c>
      <c r="O2041" s="1">
        <v>0</v>
      </c>
      <c r="P2041" s="1"/>
      <c r="Q2041" s="1"/>
      <c r="R2041" s="1" t="s">
        <v>14903</v>
      </c>
      <c r="S2041" s="1" t="s">
        <v>14904</v>
      </c>
      <c r="T2041" s="1" t="s">
        <v>14827</v>
      </c>
      <c r="U2041" s="1" t="s">
        <v>14905</v>
      </c>
      <c r="V2041" s="1">
        <v>1</v>
      </c>
      <c r="W2041" s="1">
        <v>1</v>
      </c>
      <c r="X2041" s="1">
        <v>0</v>
      </c>
      <c r="Y2041" s="1">
        <v>0</v>
      </c>
      <c r="Z2041" s="1">
        <v>0</v>
      </c>
      <c r="AA2041" s="1">
        <v>1</v>
      </c>
      <c r="AB2041" s="1">
        <v>1</v>
      </c>
      <c r="AC2041" s="1" t="s">
        <v>109</v>
      </c>
      <c r="AD2041" s="1" t="s">
        <v>109</v>
      </c>
      <c r="AE2041" s="1">
        <v>1</v>
      </c>
      <c r="AF2041" s="1" t="s">
        <v>109</v>
      </c>
      <c r="AG2041" s="1" t="s">
        <v>109</v>
      </c>
      <c r="AH2041" s="1" t="s">
        <v>109</v>
      </c>
      <c r="AI2041" s="1" t="s">
        <v>109</v>
      </c>
      <c r="AJ2041" s="1" t="s">
        <v>109</v>
      </c>
      <c r="AK2041" s="1">
        <v>1</v>
      </c>
      <c r="AL2041" s="1" t="s">
        <v>109</v>
      </c>
      <c r="AM2041" s="1">
        <v>1</v>
      </c>
      <c r="AN2041" s="1">
        <v>1</v>
      </c>
      <c r="AO2041" s="1" t="s">
        <v>109</v>
      </c>
      <c r="AP2041" s="1"/>
      <c r="AQ2041" s="1">
        <v>1</v>
      </c>
      <c r="AR2041" s="1"/>
      <c r="AS2041" s="1"/>
      <c r="AT2041" s="1">
        <v>0</v>
      </c>
      <c r="AU2041" s="1">
        <v>0</v>
      </c>
      <c r="AV2041" s="1">
        <v>0</v>
      </c>
      <c r="AW2041" s="1">
        <v>0</v>
      </c>
      <c r="AX2041" s="1">
        <v>0</v>
      </c>
      <c r="AY2041" s="1">
        <v>0</v>
      </c>
      <c r="AZ2041" s="1">
        <v>0</v>
      </c>
      <c r="BA2041" s="1">
        <v>0</v>
      </c>
      <c r="BB2041" s="1">
        <v>0</v>
      </c>
      <c r="BC2041" s="1">
        <v>0</v>
      </c>
      <c r="BD2041" s="1">
        <v>0</v>
      </c>
      <c r="BE2041" s="1">
        <v>0</v>
      </c>
      <c r="BF2041" s="1">
        <v>0</v>
      </c>
      <c r="BG2041" s="1">
        <v>0</v>
      </c>
      <c r="BH2041" s="1">
        <v>0</v>
      </c>
      <c r="BI2041" s="1">
        <v>0</v>
      </c>
      <c r="BJ2041" s="1">
        <v>0</v>
      </c>
      <c r="BK2041" s="1">
        <v>0</v>
      </c>
      <c r="BL2041" s="1">
        <v>0</v>
      </c>
      <c r="BM2041" s="1">
        <v>0</v>
      </c>
      <c r="BN2041" s="1">
        <v>0</v>
      </c>
      <c r="BO2041" s="1">
        <v>0</v>
      </c>
      <c r="BP2041" s="1">
        <v>0</v>
      </c>
      <c r="BQ2041" s="1">
        <v>0</v>
      </c>
      <c r="BR2041" s="1">
        <v>0</v>
      </c>
      <c r="BS2041" s="1" t="s">
        <v>109</v>
      </c>
      <c r="BT2041" s="1">
        <v>2116</v>
      </c>
      <c r="BU2041" s="1" t="s">
        <v>109</v>
      </c>
      <c r="BV2041" s="1"/>
      <c r="BW2041" s="1"/>
      <c r="BX2041" s="1"/>
      <c r="BY2041" s="1"/>
      <c r="BZ2041" s="1">
        <v>0</v>
      </c>
      <c r="CA2041" s="1">
        <v>1</v>
      </c>
      <c r="CB2041" s="1" t="s">
        <v>109</v>
      </c>
      <c r="CC2041" s="1" t="s">
        <v>109</v>
      </c>
      <c r="CD2041" s="1" t="s">
        <v>109</v>
      </c>
      <c r="CE2041" s="1" t="s">
        <v>109</v>
      </c>
      <c r="CF2041" s="1" t="s">
        <v>109</v>
      </c>
      <c r="CG2041" s="1" t="s">
        <v>109</v>
      </c>
      <c r="CH2041" s="1" t="s">
        <v>109</v>
      </c>
      <c r="CI2041" s="1" t="s">
        <v>109</v>
      </c>
      <c r="CJ2041" s="1">
        <v>1</v>
      </c>
      <c r="CK2041" s="1"/>
      <c r="CL2041" s="1">
        <v>0</v>
      </c>
      <c r="CM2041" s="1">
        <v>0</v>
      </c>
      <c r="CN2041" s="1">
        <v>0</v>
      </c>
    </row>
    <row r="2042" spans="1:92" ht="14.25" customHeight="1" x14ac:dyDescent="0.15">
      <c r="A2042" s="1" t="s">
        <v>14906</v>
      </c>
      <c r="B2042" s="1" t="s">
        <v>674</v>
      </c>
      <c r="C2042" s="1" t="s">
        <v>675</v>
      </c>
      <c r="D2042" s="1"/>
      <c r="E2042" s="1" t="s">
        <v>14907</v>
      </c>
      <c r="F2042" s="1" t="s">
        <v>98</v>
      </c>
      <c r="G2042" s="1" t="s">
        <v>14908</v>
      </c>
      <c r="H2042" s="1">
        <v>0</v>
      </c>
      <c r="I2042" s="1" t="s">
        <v>142</v>
      </c>
      <c r="J2042" s="1"/>
      <c r="K2042" s="1"/>
      <c r="L2042" s="1" t="s">
        <v>14909</v>
      </c>
      <c r="M2042" s="1" t="s">
        <v>574</v>
      </c>
      <c r="N2042" s="1">
        <v>1</v>
      </c>
      <c r="O2042" s="1">
        <v>0</v>
      </c>
      <c r="P2042" s="1" t="s">
        <v>103</v>
      </c>
      <c r="Q2042" s="1" t="s">
        <v>268</v>
      </c>
      <c r="R2042" s="1" t="s">
        <v>14910</v>
      </c>
      <c r="S2042" s="1" t="s">
        <v>14911</v>
      </c>
      <c r="T2042" s="1" t="s">
        <v>14827</v>
      </c>
      <c r="U2042" s="1" t="s">
        <v>14912</v>
      </c>
      <c r="V2042" s="1">
        <v>1</v>
      </c>
      <c r="W2042" s="1">
        <v>1</v>
      </c>
      <c r="X2042" s="1">
        <v>1</v>
      </c>
      <c r="Y2042" s="1">
        <v>0</v>
      </c>
      <c r="Z2042" s="1">
        <v>1</v>
      </c>
      <c r="AA2042" s="1">
        <v>3</v>
      </c>
      <c r="AB2042" s="1">
        <v>3</v>
      </c>
      <c r="AC2042" s="1" t="s">
        <v>109</v>
      </c>
      <c r="AD2042" s="1" t="s">
        <v>109</v>
      </c>
      <c r="AE2042" s="1" t="s">
        <v>109</v>
      </c>
      <c r="AF2042" s="1">
        <v>3</v>
      </c>
      <c r="AG2042" s="1" t="s">
        <v>109</v>
      </c>
      <c r="AH2042" s="1">
        <v>3</v>
      </c>
      <c r="AI2042" s="1">
        <v>3</v>
      </c>
      <c r="AJ2042" s="1" t="s">
        <v>109</v>
      </c>
      <c r="AK2042" s="1">
        <v>3</v>
      </c>
      <c r="AL2042" s="1" t="s">
        <v>109</v>
      </c>
      <c r="AM2042" s="1">
        <v>3</v>
      </c>
      <c r="AN2042" s="1">
        <v>3</v>
      </c>
      <c r="AO2042" s="1" t="s">
        <v>109</v>
      </c>
      <c r="AP2042" s="1"/>
      <c r="AQ2042" s="1">
        <v>3</v>
      </c>
      <c r="AR2042" s="1"/>
      <c r="AS2042" s="1"/>
      <c r="AT2042" s="1">
        <v>0</v>
      </c>
      <c r="AU2042" s="1">
        <v>0</v>
      </c>
      <c r="AV2042" s="1">
        <v>0</v>
      </c>
      <c r="AW2042" s="1">
        <v>0</v>
      </c>
      <c r="AX2042" s="1">
        <v>0</v>
      </c>
      <c r="AY2042" s="1">
        <v>0</v>
      </c>
      <c r="AZ2042" s="1">
        <v>0</v>
      </c>
      <c r="BA2042" s="1">
        <v>0</v>
      </c>
      <c r="BB2042" s="1">
        <v>0</v>
      </c>
      <c r="BC2042" s="1">
        <v>0</v>
      </c>
      <c r="BD2042" s="1">
        <v>0</v>
      </c>
      <c r="BE2042" s="1">
        <v>0</v>
      </c>
      <c r="BF2042" s="1">
        <v>0</v>
      </c>
      <c r="BG2042" s="1">
        <v>0</v>
      </c>
      <c r="BH2042" s="1">
        <v>0</v>
      </c>
      <c r="BI2042" s="1">
        <v>0</v>
      </c>
      <c r="BJ2042" s="1">
        <v>0</v>
      </c>
      <c r="BK2042" s="1">
        <v>0</v>
      </c>
      <c r="BL2042" s="1">
        <v>0</v>
      </c>
      <c r="BM2042" s="1">
        <v>0</v>
      </c>
      <c r="BN2042" s="1">
        <v>0</v>
      </c>
      <c r="BO2042" s="1">
        <v>0</v>
      </c>
      <c r="BP2042" s="1">
        <v>0</v>
      </c>
      <c r="BQ2042" s="1">
        <v>0</v>
      </c>
      <c r="BR2042" s="1">
        <v>0</v>
      </c>
      <c r="BS2042" s="1" t="s">
        <v>109</v>
      </c>
      <c r="BT2042" s="1">
        <v>2117</v>
      </c>
      <c r="BU2042" s="1" t="s">
        <v>109</v>
      </c>
      <c r="BV2042" s="1"/>
      <c r="BW2042" s="1"/>
      <c r="BX2042" s="1"/>
      <c r="BY2042" s="1"/>
      <c r="BZ2042" s="1">
        <v>0</v>
      </c>
      <c r="CA2042" s="1" t="s">
        <v>109</v>
      </c>
      <c r="CB2042" s="1" t="s">
        <v>109</v>
      </c>
      <c r="CC2042" s="1" t="s">
        <v>109</v>
      </c>
      <c r="CD2042" s="1" t="s">
        <v>109</v>
      </c>
      <c r="CE2042" s="1" t="s">
        <v>109</v>
      </c>
      <c r="CF2042" s="1" t="s">
        <v>109</v>
      </c>
      <c r="CG2042" s="1" t="s">
        <v>109</v>
      </c>
      <c r="CH2042" s="1" t="s">
        <v>109</v>
      </c>
      <c r="CI2042" s="1" t="s">
        <v>109</v>
      </c>
      <c r="CJ2042" s="1" t="s">
        <v>109</v>
      </c>
      <c r="CK2042" s="1"/>
      <c r="CL2042" s="1">
        <v>0</v>
      </c>
      <c r="CM2042" s="1">
        <v>0</v>
      </c>
      <c r="CN2042" s="1">
        <v>0</v>
      </c>
    </row>
    <row r="2043" spans="1:92" ht="14.25" customHeight="1" x14ac:dyDescent="0.15">
      <c r="A2043" s="1" t="s">
        <v>14913</v>
      </c>
      <c r="B2043" s="1" t="s">
        <v>254</v>
      </c>
      <c r="C2043" s="1"/>
      <c r="D2043" s="1"/>
      <c r="E2043" s="1" t="s">
        <v>14914</v>
      </c>
      <c r="F2043" s="1" t="s">
        <v>98</v>
      </c>
      <c r="G2043" s="1" t="s">
        <v>1945</v>
      </c>
      <c r="H2043" s="1">
        <v>0</v>
      </c>
      <c r="I2043" s="1" t="s">
        <v>235</v>
      </c>
      <c r="J2043" s="1"/>
      <c r="K2043" s="1"/>
      <c r="L2043" s="1" t="s">
        <v>236</v>
      </c>
      <c r="M2043" s="1" t="s">
        <v>125</v>
      </c>
      <c r="N2043" s="1">
        <v>0</v>
      </c>
      <c r="O2043" s="1">
        <v>0</v>
      </c>
      <c r="P2043" s="1"/>
      <c r="Q2043" s="1"/>
      <c r="R2043" s="1" t="s">
        <v>14915</v>
      </c>
      <c r="S2043" s="1" t="s">
        <v>14916</v>
      </c>
      <c r="T2043" s="1" t="s">
        <v>14827</v>
      </c>
      <c r="U2043" s="1" t="s">
        <v>14917</v>
      </c>
      <c r="V2043" s="1">
        <v>1</v>
      </c>
      <c r="W2043" s="1">
        <v>1</v>
      </c>
      <c r="X2043" s="1">
        <v>1</v>
      </c>
      <c r="Y2043" s="1">
        <v>0</v>
      </c>
      <c r="Z2043" s="1">
        <v>0</v>
      </c>
      <c r="AA2043" s="1">
        <v>2</v>
      </c>
      <c r="AB2043" s="1">
        <v>2</v>
      </c>
      <c r="AC2043" s="1" t="s">
        <v>109</v>
      </c>
      <c r="AD2043" s="1" t="s">
        <v>109</v>
      </c>
      <c r="AE2043" s="1">
        <v>2</v>
      </c>
      <c r="AF2043" s="1">
        <v>2</v>
      </c>
      <c r="AG2043" s="1" t="s">
        <v>109</v>
      </c>
      <c r="AH2043" s="1" t="s">
        <v>109</v>
      </c>
      <c r="AI2043" s="1" t="s">
        <v>109</v>
      </c>
      <c r="AJ2043" s="1" t="s">
        <v>109</v>
      </c>
      <c r="AK2043" s="1" t="s">
        <v>109</v>
      </c>
      <c r="AL2043" s="1" t="s">
        <v>109</v>
      </c>
      <c r="AM2043" s="1">
        <v>2</v>
      </c>
      <c r="AN2043" s="1" t="s">
        <v>109</v>
      </c>
      <c r="AO2043" s="1" t="s">
        <v>109</v>
      </c>
      <c r="AP2043" s="1"/>
      <c r="AQ2043" s="1">
        <v>2</v>
      </c>
      <c r="AR2043" s="1"/>
      <c r="AS2043" s="1"/>
      <c r="AT2043" s="1">
        <v>0</v>
      </c>
      <c r="AU2043" s="1">
        <v>0</v>
      </c>
      <c r="AV2043" s="1">
        <v>0</v>
      </c>
      <c r="AW2043" s="1">
        <v>0</v>
      </c>
      <c r="AX2043" s="1">
        <v>0</v>
      </c>
      <c r="AY2043" s="1">
        <v>0</v>
      </c>
      <c r="AZ2043" s="1">
        <v>0</v>
      </c>
      <c r="BA2043" s="1">
        <v>0</v>
      </c>
      <c r="BB2043" s="1">
        <v>0</v>
      </c>
      <c r="BC2043" s="1">
        <v>0</v>
      </c>
      <c r="BD2043" s="1">
        <v>0</v>
      </c>
      <c r="BE2043" s="1">
        <v>0</v>
      </c>
      <c r="BF2043" s="1">
        <v>0</v>
      </c>
      <c r="BG2043" s="1">
        <v>0</v>
      </c>
      <c r="BH2043" s="1">
        <v>0</v>
      </c>
      <c r="BI2043" s="1">
        <v>0</v>
      </c>
      <c r="BJ2043" s="1">
        <v>0</v>
      </c>
      <c r="BK2043" s="1">
        <v>0</v>
      </c>
      <c r="BL2043" s="1">
        <v>0</v>
      </c>
      <c r="BM2043" s="1">
        <v>0</v>
      </c>
      <c r="BN2043" s="1">
        <v>0</v>
      </c>
      <c r="BO2043" s="1">
        <v>0</v>
      </c>
      <c r="BP2043" s="1">
        <v>0</v>
      </c>
      <c r="BQ2043" s="1">
        <v>0</v>
      </c>
      <c r="BR2043" s="1">
        <v>0</v>
      </c>
      <c r="BS2043" s="1" t="s">
        <v>109</v>
      </c>
      <c r="BT2043" s="1">
        <v>2118</v>
      </c>
      <c r="BU2043" s="1" t="s">
        <v>109</v>
      </c>
      <c r="BV2043" s="1"/>
      <c r="BW2043" s="1"/>
      <c r="BX2043" s="1"/>
      <c r="BY2043" s="1"/>
      <c r="BZ2043" s="1">
        <v>0</v>
      </c>
      <c r="CA2043" s="1" t="s">
        <v>109</v>
      </c>
      <c r="CB2043" s="1" t="s">
        <v>109</v>
      </c>
      <c r="CC2043" s="1" t="s">
        <v>109</v>
      </c>
      <c r="CD2043" s="1" t="s">
        <v>109</v>
      </c>
      <c r="CE2043" s="1" t="s">
        <v>109</v>
      </c>
      <c r="CF2043" s="1" t="s">
        <v>109</v>
      </c>
      <c r="CG2043" s="1" t="s">
        <v>109</v>
      </c>
      <c r="CH2043" s="1" t="s">
        <v>109</v>
      </c>
      <c r="CI2043" s="1" t="s">
        <v>109</v>
      </c>
      <c r="CJ2043" s="1">
        <v>2</v>
      </c>
      <c r="CK2043" s="1"/>
      <c r="CL2043" s="1">
        <v>0</v>
      </c>
      <c r="CM2043" s="1">
        <v>0</v>
      </c>
      <c r="CN2043" s="1">
        <v>0</v>
      </c>
    </row>
    <row r="2044" spans="1:92" ht="14.25" customHeight="1" x14ac:dyDescent="0.15">
      <c r="A2044" s="1" t="s">
        <v>14918</v>
      </c>
      <c r="B2044" s="1" t="s">
        <v>584</v>
      </c>
      <c r="C2044" s="1"/>
      <c r="D2044" s="1" t="s">
        <v>51</v>
      </c>
      <c r="E2044" s="1" t="s">
        <v>7745</v>
      </c>
      <c r="F2044" s="1" t="s">
        <v>98</v>
      </c>
      <c r="G2044" s="1" t="s">
        <v>14919</v>
      </c>
      <c r="H2044" s="1">
        <v>0</v>
      </c>
      <c r="I2044" s="1" t="s">
        <v>122</v>
      </c>
      <c r="J2044" s="1" t="s">
        <v>245</v>
      </c>
      <c r="K2044" s="1"/>
      <c r="L2044" s="1"/>
      <c r="M2044" s="1" t="s">
        <v>574</v>
      </c>
      <c r="N2044" s="1">
        <v>1</v>
      </c>
      <c r="O2044" s="1">
        <v>0</v>
      </c>
      <c r="P2044" s="1" t="s">
        <v>2975</v>
      </c>
      <c r="Q2044" s="1" t="s">
        <v>104</v>
      </c>
      <c r="R2044" s="1" t="s">
        <v>14920</v>
      </c>
      <c r="S2044" s="1" t="s">
        <v>14921</v>
      </c>
      <c r="T2044" s="1" t="s">
        <v>14827</v>
      </c>
      <c r="U2044" s="1" t="s">
        <v>14922</v>
      </c>
      <c r="V2044" s="1">
        <v>1</v>
      </c>
      <c r="W2044" s="1">
        <v>1</v>
      </c>
      <c r="X2044" s="1">
        <v>1</v>
      </c>
      <c r="Y2044" s="1">
        <v>0</v>
      </c>
      <c r="Z2044" s="1">
        <v>0</v>
      </c>
      <c r="AA2044" s="1">
        <v>3</v>
      </c>
      <c r="AB2044" s="1">
        <v>3</v>
      </c>
      <c r="AC2044" s="1" t="s">
        <v>109</v>
      </c>
      <c r="AD2044" s="1" t="s">
        <v>109</v>
      </c>
      <c r="AE2044" s="1" t="s">
        <v>109</v>
      </c>
      <c r="AF2044" s="1">
        <v>3</v>
      </c>
      <c r="AG2044" s="1" t="s">
        <v>109</v>
      </c>
      <c r="AH2044" s="1" t="s">
        <v>109</v>
      </c>
      <c r="AI2044" s="1" t="s">
        <v>109</v>
      </c>
      <c r="AJ2044" s="1">
        <v>3</v>
      </c>
      <c r="AK2044" s="1" t="s">
        <v>109</v>
      </c>
      <c r="AL2044" s="1" t="s">
        <v>109</v>
      </c>
      <c r="AM2044" s="1" t="s">
        <v>109</v>
      </c>
      <c r="AN2044" s="1" t="s">
        <v>109</v>
      </c>
      <c r="AO2044" s="1" t="s">
        <v>109</v>
      </c>
      <c r="AP2044" s="1"/>
      <c r="AQ2044" s="1">
        <v>3</v>
      </c>
      <c r="AR2044" s="1"/>
      <c r="AS2044" s="1"/>
      <c r="AT2044" s="1">
        <v>0</v>
      </c>
      <c r="AU2044" s="1">
        <v>0</v>
      </c>
      <c r="AV2044" s="1">
        <v>0</v>
      </c>
      <c r="AW2044" s="1">
        <v>0</v>
      </c>
      <c r="AX2044" s="1">
        <v>0</v>
      </c>
      <c r="AY2044" s="1">
        <v>1</v>
      </c>
      <c r="AZ2044" s="1">
        <v>0</v>
      </c>
      <c r="BA2044" s="1">
        <v>0</v>
      </c>
      <c r="BB2044" s="1">
        <v>0</v>
      </c>
      <c r="BC2044" s="1">
        <v>0</v>
      </c>
      <c r="BD2044" s="1">
        <v>0</v>
      </c>
      <c r="BE2044" s="1">
        <v>0</v>
      </c>
      <c r="BF2044" s="1">
        <v>0</v>
      </c>
      <c r="BG2044" s="1">
        <v>0</v>
      </c>
      <c r="BH2044" s="1">
        <v>0</v>
      </c>
      <c r="BI2044" s="1">
        <v>0</v>
      </c>
      <c r="BJ2044" s="1">
        <v>0</v>
      </c>
      <c r="BK2044" s="1">
        <v>0</v>
      </c>
      <c r="BL2044" s="1">
        <v>0</v>
      </c>
      <c r="BM2044" s="1">
        <v>0</v>
      </c>
      <c r="BN2044" s="1">
        <v>0</v>
      </c>
      <c r="BO2044" s="1">
        <v>0</v>
      </c>
      <c r="BP2044" s="1">
        <v>0</v>
      </c>
      <c r="BQ2044" s="1">
        <v>0</v>
      </c>
      <c r="BR2044" s="1">
        <v>0</v>
      </c>
      <c r="BS2044" s="1" t="s">
        <v>109</v>
      </c>
      <c r="BT2044" s="1">
        <v>2119</v>
      </c>
      <c r="BU2044" s="1" t="s">
        <v>109</v>
      </c>
      <c r="BV2044" s="1"/>
      <c r="BW2044" s="1"/>
      <c r="BX2044" s="1"/>
      <c r="BY2044" s="1"/>
      <c r="BZ2044" s="1">
        <v>0</v>
      </c>
      <c r="CA2044" s="1" t="s">
        <v>109</v>
      </c>
      <c r="CB2044" s="1" t="s">
        <v>109</v>
      </c>
      <c r="CC2044" s="1" t="s">
        <v>109</v>
      </c>
      <c r="CD2044" s="1" t="s">
        <v>109</v>
      </c>
      <c r="CE2044" s="1" t="s">
        <v>109</v>
      </c>
      <c r="CF2044" s="1" t="s">
        <v>109</v>
      </c>
      <c r="CG2044" s="1" t="s">
        <v>109</v>
      </c>
      <c r="CH2044" s="1" t="s">
        <v>109</v>
      </c>
      <c r="CI2044" s="1" t="s">
        <v>109</v>
      </c>
      <c r="CJ2044" s="1" t="s">
        <v>109</v>
      </c>
      <c r="CK2044" s="1"/>
      <c r="CL2044" s="1">
        <v>0</v>
      </c>
      <c r="CM2044" s="1">
        <v>0</v>
      </c>
      <c r="CN2044" s="1">
        <v>0</v>
      </c>
    </row>
    <row r="2045" spans="1:92" ht="14.25" customHeight="1" x14ac:dyDescent="0.15">
      <c r="A2045" s="1" t="s">
        <v>14923</v>
      </c>
      <c r="B2045" s="1" t="s">
        <v>254</v>
      </c>
      <c r="C2045" s="1"/>
      <c r="D2045" s="1"/>
      <c r="E2045" s="1" t="s">
        <v>14924</v>
      </c>
      <c r="F2045" s="1" t="s">
        <v>98</v>
      </c>
      <c r="G2045" s="1" t="s">
        <v>141</v>
      </c>
      <c r="H2045" s="1">
        <v>0</v>
      </c>
      <c r="I2045" s="1" t="s">
        <v>235</v>
      </c>
      <c r="J2045" s="1"/>
      <c r="K2045" s="1"/>
      <c r="L2045" s="1" t="s">
        <v>236</v>
      </c>
      <c r="M2045" s="1" t="s">
        <v>289</v>
      </c>
      <c r="N2045" s="1">
        <v>0</v>
      </c>
      <c r="O2045" s="1">
        <v>0</v>
      </c>
      <c r="P2045" s="1"/>
      <c r="Q2045" s="1"/>
      <c r="R2045" s="1" t="s">
        <v>14925</v>
      </c>
      <c r="S2045" s="1" t="s">
        <v>14926</v>
      </c>
      <c r="T2045" s="1" t="s">
        <v>14927</v>
      </c>
      <c r="U2045" s="1" t="s">
        <v>14928</v>
      </c>
      <c r="V2045" s="1">
        <v>1</v>
      </c>
      <c r="W2045" s="1">
        <v>1</v>
      </c>
      <c r="X2045" s="1">
        <v>0</v>
      </c>
      <c r="Y2045" s="1">
        <v>0</v>
      </c>
      <c r="Z2045" s="1">
        <v>0</v>
      </c>
      <c r="AA2045" s="1" t="s">
        <v>109</v>
      </c>
      <c r="AB2045" s="1" t="s">
        <v>109</v>
      </c>
      <c r="AC2045" s="1">
        <v>2</v>
      </c>
      <c r="AD2045" s="1" t="s">
        <v>109</v>
      </c>
      <c r="AE2045" s="1" t="s">
        <v>109</v>
      </c>
      <c r="AF2045" s="1">
        <v>2</v>
      </c>
      <c r="AG2045" s="1" t="s">
        <v>109</v>
      </c>
      <c r="AH2045" s="1">
        <v>2</v>
      </c>
      <c r="AI2045" s="1" t="s">
        <v>109</v>
      </c>
      <c r="AJ2045" s="1" t="s">
        <v>109</v>
      </c>
      <c r="AK2045" s="1" t="s">
        <v>109</v>
      </c>
      <c r="AL2045" s="1">
        <v>2</v>
      </c>
      <c r="AM2045" s="1" t="s">
        <v>109</v>
      </c>
      <c r="AN2045" s="1" t="s">
        <v>109</v>
      </c>
      <c r="AO2045" s="1" t="s">
        <v>109</v>
      </c>
      <c r="AP2045" s="1"/>
      <c r="AQ2045" s="1">
        <v>2</v>
      </c>
      <c r="AR2045" s="1"/>
      <c r="AS2045" s="1"/>
      <c r="AT2045" s="1">
        <v>0</v>
      </c>
      <c r="AU2045" s="1">
        <v>0</v>
      </c>
      <c r="AV2045" s="1">
        <v>0</v>
      </c>
      <c r="AW2045" s="1">
        <v>0</v>
      </c>
      <c r="AX2045" s="1">
        <v>0</v>
      </c>
      <c r="AY2045" s="1">
        <v>0</v>
      </c>
      <c r="AZ2045" s="1">
        <v>0</v>
      </c>
      <c r="BA2045" s="1">
        <v>0</v>
      </c>
      <c r="BB2045" s="1">
        <v>0</v>
      </c>
      <c r="BC2045" s="1">
        <v>0</v>
      </c>
      <c r="BD2045" s="1">
        <v>0</v>
      </c>
      <c r="BE2045" s="1">
        <v>0</v>
      </c>
      <c r="BF2045" s="1">
        <v>0</v>
      </c>
      <c r="BG2045" s="1">
        <v>0</v>
      </c>
      <c r="BH2045" s="1">
        <v>0</v>
      </c>
      <c r="BI2045" s="1">
        <v>0</v>
      </c>
      <c r="BJ2045" s="1">
        <v>0</v>
      </c>
      <c r="BK2045" s="1">
        <v>0</v>
      </c>
      <c r="BL2045" s="1">
        <v>0</v>
      </c>
      <c r="BM2045" s="1">
        <v>0</v>
      </c>
      <c r="BN2045" s="1">
        <v>0</v>
      </c>
      <c r="BO2045" s="1">
        <v>0</v>
      </c>
      <c r="BP2045" s="1">
        <v>0</v>
      </c>
      <c r="BQ2045" s="1">
        <v>0</v>
      </c>
      <c r="BR2045" s="1">
        <v>0</v>
      </c>
      <c r="BS2045" s="1" t="s">
        <v>109</v>
      </c>
      <c r="BT2045" s="1">
        <v>2131</v>
      </c>
      <c r="BU2045" s="1" t="s">
        <v>109</v>
      </c>
      <c r="BV2045" s="1"/>
      <c r="BW2045" s="1"/>
      <c r="BX2045" s="1"/>
      <c r="BY2045" s="1"/>
      <c r="BZ2045" s="1">
        <v>0</v>
      </c>
      <c r="CA2045" s="1" t="s">
        <v>109</v>
      </c>
      <c r="CB2045" s="1">
        <v>2</v>
      </c>
      <c r="CC2045" s="1" t="s">
        <v>109</v>
      </c>
      <c r="CD2045" s="1" t="s">
        <v>109</v>
      </c>
      <c r="CE2045" s="1" t="s">
        <v>109</v>
      </c>
      <c r="CF2045" s="1" t="s">
        <v>109</v>
      </c>
      <c r="CG2045" s="1" t="s">
        <v>109</v>
      </c>
      <c r="CH2045" s="1" t="s">
        <v>109</v>
      </c>
      <c r="CI2045" s="1" t="s">
        <v>109</v>
      </c>
      <c r="CJ2045" s="1" t="s">
        <v>109</v>
      </c>
      <c r="CK2045" s="1"/>
      <c r="CL2045" s="1">
        <v>0</v>
      </c>
      <c r="CM2045" s="1">
        <v>0</v>
      </c>
      <c r="CN2045" s="1">
        <v>0</v>
      </c>
    </row>
    <row r="2046" spans="1:92" ht="14.25" customHeight="1" x14ac:dyDescent="0.15">
      <c r="A2046" s="1" t="s">
        <v>14929</v>
      </c>
      <c r="B2046" s="1" t="s">
        <v>242</v>
      </c>
      <c r="C2046" s="1"/>
      <c r="D2046" s="1"/>
      <c r="E2046" s="1" t="s">
        <v>14930</v>
      </c>
      <c r="F2046" s="1" t="s">
        <v>98</v>
      </c>
      <c r="G2046" s="1" t="s">
        <v>14931</v>
      </c>
      <c r="H2046" s="1">
        <v>0</v>
      </c>
      <c r="I2046" s="1" t="s">
        <v>235</v>
      </c>
      <c r="J2046" s="1"/>
      <c r="K2046" s="1"/>
      <c r="L2046" s="1" t="s">
        <v>236</v>
      </c>
      <c r="M2046" s="1" t="s">
        <v>3042</v>
      </c>
      <c r="N2046" s="1">
        <v>0</v>
      </c>
      <c r="O2046" s="1">
        <v>0</v>
      </c>
      <c r="P2046" s="1"/>
      <c r="Q2046" s="1"/>
      <c r="R2046" s="1" t="s">
        <v>14932</v>
      </c>
      <c r="S2046" s="1" t="s">
        <v>14933</v>
      </c>
      <c r="T2046" s="1" t="s">
        <v>14927</v>
      </c>
      <c r="U2046" s="1" t="s">
        <v>14934</v>
      </c>
      <c r="V2046" s="1">
        <v>1</v>
      </c>
      <c r="W2046" s="1">
        <v>1</v>
      </c>
      <c r="X2046" s="1">
        <v>1</v>
      </c>
      <c r="Y2046" s="1">
        <v>0</v>
      </c>
      <c r="Z2046" s="1">
        <v>0</v>
      </c>
      <c r="AA2046" s="1" t="s">
        <v>109</v>
      </c>
      <c r="AB2046" s="1" t="s">
        <v>109</v>
      </c>
      <c r="AC2046" s="1" t="s">
        <v>109</v>
      </c>
      <c r="AD2046" s="1" t="s">
        <v>109</v>
      </c>
      <c r="AE2046" s="1" t="s">
        <v>109</v>
      </c>
      <c r="AF2046" s="1">
        <v>2</v>
      </c>
      <c r="AG2046" s="1" t="s">
        <v>109</v>
      </c>
      <c r="AH2046" s="1" t="s">
        <v>109</v>
      </c>
      <c r="AI2046" s="1" t="s">
        <v>109</v>
      </c>
      <c r="AJ2046" s="1" t="s">
        <v>109</v>
      </c>
      <c r="AK2046" s="1" t="s">
        <v>109</v>
      </c>
      <c r="AL2046" s="1" t="s">
        <v>109</v>
      </c>
      <c r="AM2046" s="1" t="s">
        <v>109</v>
      </c>
      <c r="AN2046" s="1" t="s">
        <v>109</v>
      </c>
      <c r="AO2046" s="1" t="s">
        <v>109</v>
      </c>
      <c r="AP2046" s="1"/>
      <c r="AQ2046" s="1">
        <v>2</v>
      </c>
      <c r="AR2046" s="1"/>
      <c r="AS2046" s="1"/>
      <c r="AT2046" s="1">
        <v>0</v>
      </c>
      <c r="AU2046" s="1">
        <v>0</v>
      </c>
      <c r="AV2046" s="1">
        <v>0</v>
      </c>
      <c r="AW2046" s="1">
        <v>0</v>
      </c>
      <c r="AX2046" s="1">
        <v>0</v>
      </c>
      <c r="AY2046" s="1">
        <v>0</v>
      </c>
      <c r="AZ2046" s="1">
        <v>0</v>
      </c>
      <c r="BA2046" s="1">
        <v>0</v>
      </c>
      <c r="BB2046" s="1">
        <v>0</v>
      </c>
      <c r="BC2046" s="1">
        <v>0</v>
      </c>
      <c r="BD2046" s="1">
        <v>0</v>
      </c>
      <c r="BE2046" s="1">
        <v>0</v>
      </c>
      <c r="BF2046" s="1">
        <v>0</v>
      </c>
      <c r="BG2046" s="1">
        <v>0</v>
      </c>
      <c r="BH2046" s="1">
        <v>0</v>
      </c>
      <c r="BI2046" s="1">
        <v>0</v>
      </c>
      <c r="BJ2046" s="1">
        <v>0</v>
      </c>
      <c r="BK2046" s="1">
        <v>0</v>
      </c>
      <c r="BL2046" s="1">
        <v>0</v>
      </c>
      <c r="BM2046" s="1">
        <v>0</v>
      </c>
      <c r="BN2046" s="1">
        <v>0</v>
      </c>
      <c r="BO2046" s="1">
        <v>0</v>
      </c>
      <c r="BP2046" s="1">
        <v>0</v>
      </c>
      <c r="BQ2046" s="1">
        <v>0</v>
      </c>
      <c r="BR2046" s="1">
        <v>0</v>
      </c>
      <c r="BS2046" s="1" t="s">
        <v>109</v>
      </c>
      <c r="BT2046" s="1">
        <v>2132</v>
      </c>
      <c r="BU2046" s="1" t="s">
        <v>109</v>
      </c>
      <c r="BV2046" s="1"/>
      <c r="BW2046" s="1"/>
      <c r="BX2046" s="1"/>
      <c r="BY2046" s="1"/>
      <c r="BZ2046" s="1">
        <v>0</v>
      </c>
      <c r="CA2046" s="1" t="s">
        <v>109</v>
      </c>
      <c r="CB2046" s="1">
        <v>2</v>
      </c>
      <c r="CC2046" s="1" t="s">
        <v>109</v>
      </c>
      <c r="CD2046" s="1" t="s">
        <v>109</v>
      </c>
      <c r="CE2046" s="1" t="s">
        <v>109</v>
      </c>
      <c r="CF2046" s="1" t="s">
        <v>109</v>
      </c>
      <c r="CG2046" s="1" t="s">
        <v>109</v>
      </c>
      <c r="CH2046" s="1" t="s">
        <v>109</v>
      </c>
      <c r="CI2046" s="1" t="s">
        <v>109</v>
      </c>
      <c r="CJ2046" s="1" t="s">
        <v>109</v>
      </c>
      <c r="CK2046" s="1"/>
      <c r="CL2046" s="1">
        <v>0</v>
      </c>
      <c r="CM2046" s="1">
        <v>0</v>
      </c>
      <c r="CN2046" s="1">
        <v>0</v>
      </c>
    </row>
    <row r="2047" spans="1:92" ht="14.25" customHeight="1" x14ac:dyDescent="0.15">
      <c r="A2047" s="1" t="s">
        <v>14935</v>
      </c>
      <c r="B2047" s="1" t="s">
        <v>189</v>
      </c>
      <c r="C2047" s="1" t="s">
        <v>231</v>
      </c>
      <c r="D2047" s="1"/>
      <c r="E2047" s="1" t="s">
        <v>14936</v>
      </c>
      <c r="F2047" s="1" t="s">
        <v>98</v>
      </c>
      <c r="G2047" s="1" t="s">
        <v>141</v>
      </c>
      <c r="H2047" s="1">
        <v>0</v>
      </c>
      <c r="I2047" s="1" t="s">
        <v>161</v>
      </c>
      <c r="J2047" s="1"/>
      <c r="K2047" s="1"/>
      <c r="L2047" s="1" t="s">
        <v>14937</v>
      </c>
      <c r="M2047" s="1" t="s">
        <v>14745</v>
      </c>
      <c r="N2047" s="1">
        <v>1</v>
      </c>
      <c r="O2047" s="1">
        <v>0</v>
      </c>
      <c r="P2047" s="1" t="s">
        <v>14362</v>
      </c>
      <c r="Q2047" s="1" t="s">
        <v>167</v>
      </c>
      <c r="R2047" s="1" t="s">
        <v>14938</v>
      </c>
      <c r="S2047" s="1" t="s">
        <v>14939</v>
      </c>
      <c r="T2047" s="1" t="s">
        <v>14927</v>
      </c>
      <c r="U2047" s="1" t="s">
        <v>14940</v>
      </c>
      <c r="V2047" s="1">
        <v>1</v>
      </c>
      <c r="W2047" s="1">
        <v>1</v>
      </c>
      <c r="X2047" s="1">
        <v>0</v>
      </c>
      <c r="Y2047" s="1">
        <v>0</v>
      </c>
      <c r="Z2047" s="1">
        <v>0</v>
      </c>
      <c r="AA2047" s="1">
        <v>2</v>
      </c>
      <c r="AB2047" s="1">
        <v>2</v>
      </c>
      <c r="AC2047" s="1" t="s">
        <v>109</v>
      </c>
      <c r="AD2047" s="1">
        <v>2</v>
      </c>
      <c r="AE2047" s="1">
        <v>2</v>
      </c>
      <c r="AF2047" s="1" t="s">
        <v>109</v>
      </c>
      <c r="AG2047" s="1" t="s">
        <v>109</v>
      </c>
      <c r="AH2047" s="1" t="s">
        <v>109</v>
      </c>
      <c r="AI2047" s="1" t="s">
        <v>109</v>
      </c>
      <c r="AJ2047" s="1">
        <v>2</v>
      </c>
      <c r="AK2047" s="1" t="s">
        <v>109</v>
      </c>
      <c r="AL2047" s="1" t="s">
        <v>109</v>
      </c>
      <c r="AM2047" s="1" t="s">
        <v>109</v>
      </c>
      <c r="AN2047" s="1" t="s">
        <v>109</v>
      </c>
      <c r="AO2047" s="1" t="s">
        <v>109</v>
      </c>
      <c r="AP2047" s="1"/>
      <c r="AQ2047" s="1">
        <v>2</v>
      </c>
      <c r="AR2047" s="1"/>
      <c r="AS2047" s="1"/>
      <c r="AT2047" s="1">
        <v>0</v>
      </c>
      <c r="AU2047" s="1">
        <v>0</v>
      </c>
      <c r="AV2047" s="1">
        <v>0</v>
      </c>
      <c r="AW2047" s="1">
        <v>0</v>
      </c>
      <c r="AX2047" s="1">
        <v>0</v>
      </c>
      <c r="AY2047" s="1">
        <v>0</v>
      </c>
      <c r="AZ2047" s="1">
        <v>0</v>
      </c>
      <c r="BA2047" s="1">
        <v>0</v>
      </c>
      <c r="BB2047" s="1">
        <v>0</v>
      </c>
      <c r="BC2047" s="1">
        <v>0</v>
      </c>
      <c r="BD2047" s="1">
        <v>0</v>
      </c>
      <c r="BE2047" s="1">
        <v>0</v>
      </c>
      <c r="BF2047" s="1">
        <v>0</v>
      </c>
      <c r="BG2047" s="1">
        <v>0</v>
      </c>
      <c r="BH2047" s="1">
        <v>0</v>
      </c>
      <c r="BI2047" s="1">
        <v>0</v>
      </c>
      <c r="BJ2047" s="1">
        <v>0</v>
      </c>
      <c r="BK2047" s="1">
        <v>0</v>
      </c>
      <c r="BL2047" s="1">
        <v>0</v>
      </c>
      <c r="BM2047" s="1">
        <v>0</v>
      </c>
      <c r="BN2047" s="1">
        <v>0</v>
      </c>
      <c r="BO2047" s="1">
        <v>0</v>
      </c>
      <c r="BP2047" s="1">
        <v>0</v>
      </c>
      <c r="BQ2047" s="1">
        <v>0</v>
      </c>
      <c r="BR2047" s="1">
        <v>0</v>
      </c>
      <c r="BS2047" s="1" t="s">
        <v>109</v>
      </c>
      <c r="BT2047" s="1">
        <v>2133</v>
      </c>
      <c r="BU2047" s="1" t="s">
        <v>109</v>
      </c>
      <c r="BV2047" s="1"/>
      <c r="BW2047" s="1"/>
      <c r="BX2047" s="1"/>
      <c r="BY2047" s="1"/>
      <c r="BZ2047" s="1">
        <v>0</v>
      </c>
      <c r="CA2047" s="1" t="s">
        <v>109</v>
      </c>
      <c r="CB2047" s="1">
        <v>2</v>
      </c>
      <c r="CC2047" s="1" t="s">
        <v>109</v>
      </c>
      <c r="CD2047" s="1" t="s">
        <v>109</v>
      </c>
      <c r="CE2047" s="1" t="s">
        <v>109</v>
      </c>
      <c r="CF2047" s="1" t="s">
        <v>109</v>
      </c>
      <c r="CG2047" s="1" t="s">
        <v>109</v>
      </c>
      <c r="CH2047" s="1" t="s">
        <v>109</v>
      </c>
      <c r="CI2047" s="1" t="s">
        <v>109</v>
      </c>
      <c r="CJ2047" s="1">
        <v>2</v>
      </c>
      <c r="CK2047" s="1"/>
      <c r="CL2047" s="1">
        <v>0</v>
      </c>
      <c r="CM2047" s="1">
        <v>0</v>
      </c>
      <c r="CN2047" s="1">
        <v>0</v>
      </c>
    </row>
    <row r="2048" spans="1:92" ht="14.25" customHeight="1" x14ac:dyDescent="0.15">
      <c r="A2048" s="1" t="s">
        <v>14941</v>
      </c>
      <c r="B2048" s="1" t="s">
        <v>242</v>
      </c>
      <c r="C2048" s="1"/>
      <c r="D2048" s="1"/>
      <c r="E2048" s="1" t="s">
        <v>2069</v>
      </c>
      <c r="F2048" s="1" t="s">
        <v>277</v>
      </c>
      <c r="G2048" s="1" t="s">
        <v>1191</v>
      </c>
      <c r="H2048" s="1">
        <v>0</v>
      </c>
      <c r="I2048" s="1" t="s">
        <v>142</v>
      </c>
      <c r="J2048" s="1"/>
      <c r="K2048" s="1"/>
      <c r="L2048" s="1" t="s">
        <v>14942</v>
      </c>
      <c r="M2048" s="1" t="s">
        <v>947</v>
      </c>
      <c r="N2048" s="1">
        <v>0</v>
      </c>
      <c r="O2048" s="1">
        <v>0</v>
      </c>
      <c r="P2048" s="1" t="s">
        <v>103</v>
      </c>
      <c r="Q2048" s="1" t="s">
        <v>104</v>
      </c>
      <c r="R2048" s="1" t="s">
        <v>14943</v>
      </c>
      <c r="S2048" s="1" t="s">
        <v>14944</v>
      </c>
      <c r="T2048" s="1" t="s">
        <v>14927</v>
      </c>
      <c r="U2048" s="1" t="s">
        <v>14945</v>
      </c>
      <c r="V2048" s="1">
        <v>1</v>
      </c>
      <c r="W2048" s="1">
        <v>1</v>
      </c>
      <c r="X2048" s="1">
        <v>1</v>
      </c>
      <c r="Y2048" s="1">
        <v>0</v>
      </c>
      <c r="Z2048" s="1">
        <v>0</v>
      </c>
      <c r="AA2048" s="1" t="s">
        <v>109</v>
      </c>
      <c r="AB2048" s="1" t="s">
        <v>109</v>
      </c>
      <c r="AC2048" s="1" t="s">
        <v>109</v>
      </c>
      <c r="AD2048" s="1">
        <v>2</v>
      </c>
      <c r="AE2048" s="1" t="s">
        <v>109</v>
      </c>
      <c r="AF2048" s="1" t="s">
        <v>109</v>
      </c>
      <c r="AG2048" s="1" t="s">
        <v>109</v>
      </c>
      <c r="AH2048" s="1" t="s">
        <v>109</v>
      </c>
      <c r="AI2048" s="1" t="s">
        <v>109</v>
      </c>
      <c r="AJ2048" s="1" t="s">
        <v>109</v>
      </c>
      <c r="AK2048" s="1" t="s">
        <v>109</v>
      </c>
      <c r="AL2048" s="1" t="s">
        <v>109</v>
      </c>
      <c r="AM2048" s="1" t="s">
        <v>109</v>
      </c>
      <c r="AN2048" s="1" t="s">
        <v>109</v>
      </c>
      <c r="AO2048" s="1" t="s">
        <v>109</v>
      </c>
      <c r="AP2048" s="1"/>
      <c r="AQ2048" s="1">
        <v>2</v>
      </c>
      <c r="AR2048" s="1"/>
      <c r="AS2048" s="1"/>
      <c r="AT2048" s="1">
        <v>0</v>
      </c>
      <c r="AU2048" s="1">
        <v>0</v>
      </c>
      <c r="AV2048" s="1">
        <v>0</v>
      </c>
      <c r="AW2048" s="1">
        <v>0</v>
      </c>
      <c r="AX2048" s="1">
        <v>0</v>
      </c>
      <c r="AY2048" s="1">
        <v>0</v>
      </c>
      <c r="AZ2048" s="1">
        <v>0</v>
      </c>
      <c r="BA2048" s="1">
        <v>0</v>
      </c>
      <c r="BB2048" s="1">
        <v>0</v>
      </c>
      <c r="BC2048" s="1">
        <v>0</v>
      </c>
      <c r="BD2048" s="1">
        <v>0</v>
      </c>
      <c r="BE2048" s="1">
        <v>0</v>
      </c>
      <c r="BF2048" s="1">
        <v>0</v>
      </c>
      <c r="BG2048" s="1">
        <v>0</v>
      </c>
      <c r="BH2048" s="1">
        <v>0</v>
      </c>
      <c r="BI2048" s="1">
        <v>0</v>
      </c>
      <c r="BJ2048" s="1">
        <v>0</v>
      </c>
      <c r="BK2048" s="1">
        <v>0</v>
      </c>
      <c r="BL2048" s="1">
        <v>0</v>
      </c>
      <c r="BM2048" s="1">
        <v>0</v>
      </c>
      <c r="BN2048" s="1">
        <v>0</v>
      </c>
      <c r="BO2048" s="1">
        <v>0</v>
      </c>
      <c r="BP2048" s="1">
        <v>0</v>
      </c>
      <c r="BQ2048" s="1">
        <v>0</v>
      </c>
      <c r="BR2048" s="1">
        <v>0</v>
      </c>
      <c r="BS2048" s="1" t="s">
        <v>109</v>
      </c>
      <c r="BT2048" s="1">
        <v>2134</v>
      </c>
      <c r="BU2048" s="1" t="s">
        <v>109</v>
      </c>
      <c r="BV2048" s="1"/>
      <c r="BW2048" s="1"/>
      <c r="BX2048" s="1"/>
      <c r="BY2048" s="1"/>
      <c r="BZ2048" s="1">
        <v>0</v>
      </c>
      <c r="CA2048" s="1" t="s">
        <v>109</v>
      </c>
      <c r="CB2048" s="1">
        <v>2</v>
      </c>
      <c r="CC2048" s="1" t="s">
        <v>109</v>
      </c>
      <c r="CD2048" s="1" t="s">
        <v>109</v>
      </c>
      <c r="CE2048" s="1" t="s">
        <v>109</v>
      </c>
      <c r="CF2048" s="1" t="s">
        <v>109</v>
      </c>
      <c r="CG2048" s="1" t="s">
        <v>109</v>
      </c>
      <c r="CH2048" s="1" t="s">
        <v>109</v>
      </c>
      <c r="CI2048" s="1" t="s">
        <v>109</v>
      </c>
      <c r="CJ2048" s="1">
        <v>2</v>
      </c>
      <c r="CK2048" s="1"/>
      <c r="CL2048" s="1">
        <v>0</v>
      </c>
      <c r="CM2048" s="1">
        <v>0</v>
      </c>
      <c r="CN2048" s="1">
        <v>0</v>
      </c>
    </row>
    <row r="2049" spans="1:92" ht="14.25" customHeight="1" x14ac:dyDescent="0.15">
      <c r="A2049" s="1" t="s">
        <v>14946</v>
      </c>
      <c r="B2049" s="1" t="s">
        <v>95</v>
      </c>
      <c r="C2049" s="1" t="s">
        <v>96</v>
      </c>
      <c r="D2049" s="1"/>
      <c r="E2049" s="1" t="s">
        <v>7724</v>
      </c>
      <c r="F2049" s="1" t="s">
        <v>98</v>
      </c>
      <c r="G2049" s="1" t="s">
        <v>141</v>
      </c>
      <c r="H2049" s="1">
        <v>0</v>
      </c>
      <c r="I2049" s="1" t="s">
        <v>122</v>
      </c>
      <c r="J2049" s="1"/>
      <c r="K2049" s="1" t="s">
        <v>14947</v>
      </c>
      <c r="L2049" s="1"/>
      <c r="M2049" s="1" t="s">
        <v>3042</v>
      </c>
      <c r="N2049" s="1">
        <v>0</v>
      </c>
      <c r="O2049" s="1">
        <v>0</v>
      </c>
      <c r="P2049" s="1" t="s">
        <v>588</v>
      </c>
      <c r="Q2049" s="1" t="s">
        <v>268</v>
      </c>
      <c r="R2049" s="1" t="s">
        <v>14948</v>
      </c>
      <c r="S2049" s="1" t="s">
        <v>14949</v>
      </c>
      <c r="T2049" s="1" t="s">
        <v>14927</v>
      </c>
      <c r="U2049" s="1" t="s">
        <v>14950</v>
      </c>
      <c r="V2049" s="1">
        <v>1</v>
      </c>
      <c r="W2049" s="1">
        <v>1</v>
      </c>
      <c r="X2049" s="1">
        <v>0</v>
      </c>
      <c r="Y2049" s="1">
        <v>0</v>
      </c>
      <c r="Z2049" s="1">
        <v>0</v>
      </c>
      <c r="AA2049" s="1">
        <v>5</v>
      </c>
      <c r="AB2049" s="1">
        <v>5</v>
      </c>
      <c r="AC2049" s="1">
        <v>5</v>
      </c>
      <c r="AD2049" s="1" t="s">
        <v>109</v>
      </c>
      <c r="AE2049" s="1" t="s">
        <v>109</v>
      </c>
      <c r="AF2049" s="1" t="s">
        <v>109</v>
      </c>
      <c r="AG2049" s="1" t="s">
        <v>109</v>
      </c>
      <c r="AH2049" s="1" t="s">
        <v>109</v>
      </c>
      <c r="AI2049" s="1" t="s">
        <v>109</v>
      </c>
      <c r="AJ2049" s="1" t="s">
        <v>109</v>
      </c>
      <c r="AK2049" s="1" t="s">
        <v>109</v>
      </c>
      <c r="AL2049" s="1">
        <v>5</v>
      </c>
      <c r="AM2049" s="1" t="s">
        <v>109</v>
      </c>
      <c r="AN2049" s="1" t="s">
        <v>109</v>
      </c>
      <c r="AO2049" s="1" t="s">
        <v>109</v>
      </c>
      <c r="AP2049" s="1"/>
      <c r="AQ2049" s="1">
        <v>5</v>
      </c>
      <c r="AR2049" s="1"/>
      <c r="AS2049" s="1"/>
      <c r="AT2049" s="1">
        <v>0</v>
      </c>
      <c r="AU2049" s="1">
        <v>0</v>
      </c>
      <c r="AV2049" s="1">
        <v>0</v>
      </c>
      <c r="AW2049" s="1">
        <v>0</v>
      </c>
      <c r="AX2049" s="1">
        <v>0</v>
      </c>
      <c r="AY2049" s="1">
        <v>0</v>
      </c>
      <c r="AZ2049" s="1">
        <v>0</v>
      </c>
      <c r="BA2049" s="1">
        <v>0</v>
      </c>
      <c r="BB2049" s="1">
        <v>0</v>
      </c>
      <c r="BC2049" s="1">
        <v>0</v>
      </c>
      <c r="BD2049" s="1">
        <v>0</v>
      </c>
      <c r="BE2049" s="1">
        <v>0</v>
      </c>
      <c r="BF2049" s="1">
        <v>0</v>
      </c>
      <c r="BG2049" s="1">
        <v>0</v>
      </c>
      <c r="BH2049" s="1">
        <v>0</v>
      </c>
      <c r="BI2049" s="1">
        <v>0</v>
      </c>
      <c r="BJ2049" s="1">
        <v>0</v>
      </c>
      <c r="BK2049" s="1">
        <v>0</v>
      </c>
      <c r="BL2049" s="1">
        <v>0</v>
      </c>
      <c r="BM2049" s="1">
        <v>0</v>
      </c>
      <c r="BN2049" s="1">
        <v>0</v>
      </c>
      <c r="BO2049" s="1">
        <v>0</v>
      </c>
      <c r="BP2049" s="1">
        <v>0</v>
      </c>
      <c r="BQ2049" s="1">
        <v>0</v>
      </c>
      <c r="BR2049" s="1">
        <v>0</v>
      </c>
      <c r="BS2049" s="1" t="s">
        <v>109</v>
      </c>
      <c r="BT2049" s="1">
        <v>2135</v>
      </c>
      <c r="BU2049" s="1" t="s">
        <v>109</v>
      </c>
      <c r="BV2049" s="1"/>
      <c r="BW2049" s="1"/>
      <c r="BX2049" s="1"/>
      <c r="BY2049" s="1"/>
      <c r="BZ2049" s="1">
        <v>0</v>
      </c>
      <c r="CA2049" s="1" t="s">
        <v>109</v>
      </c>
      <c r="CB2049" s="1" t="s">
        <v>109</v>
      </c>
      <c r="CC2049" s="1" t="s">
        <v>109</v>
      </c>
      <c r="CD2049" s="1" t="s">
        <v>109</v>
      </c>
      <c r="CE2049" s="1" t="s">
        <v>109</v>
      </c>
      <c r="CF2049" s="1" t="s">
        <v>109</v>
      </c>
      <c r="CG2049" s="1" t="s">
        <v>109</v>
      </c>
      <c r="CH2049" s="1" t="s">
        <v>109</v>
      </c>
      <c r="CI2049" s="1" t="s">
        <v>109</v>
      </c>
      <c r="CJ2049" s="1" t="s">
        <v>109</v>
      </c>
      <c r="CK2049" s="1"/>
      <c r="CL2049" s="1">
        <v>0</v>
      </c>
      <c r="CM2049" s="1">
        <v>0</v>
      </c>
      <c r="CN2049" s="1">
        <v>0</v>
      </c>
    </row>
    <row r="2050" spans="1:92" ht="14.25" customHeight="1" x14ac:dyDescent="0.15">
      <c r="A2050" s="1" t="s">
        <v>14951</v>
      </c>
      <c r="B2050" s="1" t="s">
        <v>674</v>
      </c>
      <c r="C2050" s="1" t="s">
        <v>675</v>
      </c>
      <c r="D2050" s="1"/>
      <c r="E2050" s="1" t="s">
        <v>14952</v>
      </c>
      <c r="F2050" s="1" t="s">
        <v>277</v>
      </c>
      <c r="G2050" s="1" t="s">
        <v>141</v>
      </c>
      <c r="H2050" s="1">
        <v>0</v>
      </c>
      <c r="I2050" s="1" t="s">
        <v>142</v>
      </c>
      <c r="J2050" s="1" t="s">
        <v>14953</v>
      </c>
      <c r="K2050" s="1"/>
      <c r="L2050" s="1"/>
      <c r="M2050" s="1" t="s">
        <v>6625</v>
      </c>
      <c r="N2050" s="1">
        <v>1</v>
      </c>
      <c r="O2050" s="1">
        <v>0</v>
      </c>
      <c r="P2050" s="1" t="s">
        <v>103</v>
      </c>
      <c r="Q2050" s="1" t="s">
        <v>104</v>
      </c>
      <c r="R2050" s="1" t="s">
        <v>14954</v>
      </c>
      <c r="S2050" s="1" t="s">
        <v>14955</v>
      </c>
      <c r="T2050" s="1" t="s">
        <v>14927</v>
      </c>
      <c r="U2050" s="1" t="s">
        <v>14956</v>
      </c>
      <c r="V2050" s="1">
        <v>1</v>
      </c>
      <c r="W2050" s="1">
        <v>1</v>
      </c>
      <c r="X2050" s="1">
        <v>0</v>
      </c>
      <c r="Y2050" s="1">
        <v>0</v>
      </c>
      <c r="Z2050" s="1">
        <v>0</v>
      </c>
      <c r="AA2050" s="1">
        <v>1</v>
      </c>
      <c r="AB2050" s="1">
        <v>1</v>
      </c>
      <c r="AC2050" s="1">
        <v>1</v>
      </c>
      <c r="AD2050" s="1" t="s">
        <v>109</v>
      </c>
      <c r="AE2050" s="1" t="s">
        <v>109</v>
      </c>
      <c r="AF2050" s="1">
        <v>1</v>
      </c>
      <c r="AG2050" s="1" t="s">
        <v>109</v>
      </c>
      <c r="AH2050" s="1" t="s">
        <v>109</v>
      </c>
      <c r="AI2050" s="1" t="s">
        <v>109</v>
      </c>
      <c r="AJ2050" s="1">
        <v>1</v>
      </c>
      <c r="AK2050" s="1">
        <v>1</v>
      </c>
      <c r="AL2050" s="1">
        <v>1</v>
      </c>
      <c r="AM2050" s="1">
        <v>1</v>
      </c>
      <c r="AN2050" s="1" t="s">
        <v>109</v>
      </c>
      <c r="AO2050" s="1" t="s">
        <v>109</v>
      </c>
      <c r="AP2050" s="1"/>
      <c r="AQ2050" s="1">
        <v>1</v>
      </c>
      <c r="AR2050" s="1"/>
      <c r="AS2050" s="1"/>
      <c r="AT2050" s="1">
        <v>0</v>
      </c>
      <c r="AU2050" s="1">
        <v>0</v>
      </c>
      <c r="AV2050" s="1">
        <v>0</v>
      </c>
      <c r="AW2050" s="1">
        <v>0</v>
      </c>
      <c r="AX2050" s="1">
        <v>0</v>
      </c>
      <c r="AY2050" s="1">
        <v>0</v>
      </c>
      <c r="AZ2050" s="1">
        <v>0</v>
      </c>
      <c r="BA2050" s="1">
        <v>0</v>
      </c>
      <c r="BB2050" s="1">
        <v>0</v>
      </c>
      <c r="BC2050" s="1">
        <v>0</v>
      </c>
      <c r="BD2050" s="1">
        <v>0</v>
      </c>
      <c r="BE2050" s="1">
        <v>0</v>
      </c>
      <c r="BF2050" s="1">
        <v>0</v>
      </c>
      <c r="BG2050" s="1">
        <v>0</v>
      </c>
      <c r="BH2050" s="1">
        <v>0</v>
      </c>
      <c r="BI2050" s="1">
        <v>0</v>
      </c>
      <c r="BJ2050" s="1">
        <v>0</v>
      </c>
      <c r="BK2050" s="1">
        <v>0</v>
      </c>
      <c r="BL2050" s="1">
        <v>0</v>
      </c>
      <c r="BM2050" s="1">
        <v>0</v>
      </c>
      <c r="BN2050" s="1">
        <v>0</v>
      </c>
      <c r="BO2050" s="1">
        <v>0</v>
      </c>
      <c r="BP2050" s="1">
        <v>0</v>
      </c>
      <c r="BQ2050" s="1">
        <v>0</v>
      </c>
      <c r="BR2050" s="1">
        <v>0</v>
      </c>
      <c r="BS2050" s="1" t="s">
        <v>109</v>
      </c>
      <c r="BT2050" s="1">
        <v>2136</v>
      </c>
      <c r="BU2050" s="1" t="s">
        <v>109</v>
      </c>
      <c r="BV2050" s="1"/>
      <c r="BW2050" s="1"/>
      <c r="BX2050" s="1"/>
      <c r="BY2050" s="1"/>
      <c r="BZ2050" s="1">
        <v>0</v>
      </c>
      <c r="CA2050" s="1" t="s">
        <v>109</v>
      </c>
      <c r="CB2050" s="1" t="s">
        <v>109</v>
      </c>
      <c r="CC2050" s="1" t="s">
        <v>109</v>
      </c>
      <c r="CD2050" s="1" t="s">
        <v>109</v>
      </c>
      <c r="CE2050" s="1" t="s">
        <v>109</v>
      </c>
      <c r="CF2050" s="1" t="s">
        <v>109</v>
      </c>
      <c r="CG2050" s="1" t="s">
        <v>109</v>
      </c>
      <c r="CH2050" s="1" t="s">
        <v>109</v>
      </c>
      <c r="CI2050" s="1" t="s">
        <v>109</v>
      </c>
      <c r="CJ2050" s="1" t="s">
        <v>109</v>
      </c>
      <c r="CK2050" s="1"/>
      <c r="CL2050" s="1">
        <v>0</v>
      </c>
      <c r="CM2050" s="1">
        <v>0</v>
      </c>
      <c r="CN2050" s="1">
        <v>0</v>
      </c>
    </row>
    <row r="2051" spans="1:92" ht="14.25" customHeight="1" x14ac:dyDescent="0.15">
      <c r="A2051" s="1" t="s">
        <v>14957</v>
      </c>
      <c r="B2051" s="1" t="s">
        <v>189</v>
      </c>
      <c r="C2051" s="1"/>
      <c r="D2051" s="1"/>
      <c r="E2051" s="1" t="s">
        <v>14958</v>
      </c>
      <c r="F2051" s="1" t="s">
        <v>98</v>
      </c>
      <c r="G2051" s="1" t="s">
        <v>2345</v>
      </c>
      <c r="H2051" s="1">
        <v>0</v>
      </c>
      <c r="I2051" s="1" t="s">
        <v>161</v>
      </c>
      <c r="J2051" s="1"/>
      <c r="K2051" s="1"/>
      <c r="L2051" s="1" t="s">
        <v>14959</v>
      </c>
      <c r="M2051" s="1" t="s">
        <v>14960</v>
      </c>
      <c r="N2051" s="1">
        <v>0</v>
      </c>
      <c r="O2051" s="1">
        <v>0</v>
      </c>
      <c r="P2051" s="1" t="s">
        <v>103</v>
      </c>
      <c r="Q2051" s="1" t="s">
        <v>216</v>
      </c>
      <c r="R2051" s="1" t="s">
        <v>14961</v>
      </c>
      <c r="S2051" s="1" t="s">
        <v>14962</v>
      </c>
      <c r="T2051" s="1" t="s">
        <v>14927</v>
      </c>
      <c r="U2051" s="1" t="s">
        <v>14963</v>
      </c>
      <c r="V2051" s="1">
        <v>0</v>
      </c>
      <c r="W2051" s="1">
        <v>1</v>
      </c>
      <c r="X2051" s="1">
        <v>0</v>
      </c>
      <c r="Y2051" s="1">
        <v>0</v>
      </c>
      <c r="Z2051" s="1">
        <v>0</v>
      </c>
      <c r="AA2051" s="1">
        <v>1</v>
      </c>
      <c r="AB2051" s="1">
        <v>1</v>
      </c>
      <c r="AC2051" s="1" t="s">
        <v>109</v>
      </c>
      <c r="AD2051" s="1" t="s">
        <v>109</v>
      </c>
      <c r="AE2051" s="1" t="s">
        <v>109</v>
      </c>
      <c r="AF2051" s="1">
        <v>1</v>
      </c>
      <c r="AG2051" s="1" t="s">
        <v>109</v>
      </c>
      <c r="AH2051" s="1">
        <v>1</v>
      </c>
      <c r="AI2051" s="1" t="s">
        <v>109</v>
      </c>
      <c r="AJ2051" s="1" t="s">
        <v>109</v>
      </c>
      <c r="AK2051" s="1" t="s">
        <v>109</v>
      </c>
      <c r="AL2051" s="1" t="s">
        <v>109</v>
      </c>
      <c r="AM2051" s="1">
        <v>1</v>
      </c>
      <c r="AN2051" s="1">
        <v>1</v>
      </c>
      <c r="AO2051" s="1" t="s">
        <v>109</v>
      </c>
      <c r="AP2051" s="1"/>
      <c r="AQ2051" s="1">
        <v>1</v>
      </c>
      <c r="AR2051" s="1"/>
      <c r="AS2051" s="1"/>
      <c r="AT2051" s="1">
        <v>0</v>
      </c>
      <c r="AU2051" s="1">
        <v>0</v>
      </c>
      <c r="AV2051" s="1">
        <v>0</v>
      </c>
      <c r="AW2051" s="1">
        <v>0</v>
      </c>
      <c r="AX2051" s="1">
        <v>0</v>
      </c>
      <c r="AY2051" s="1">
        <v>0</v>
      </c>
      <c r="AZ2051" s="1">
        <v>0</v>
      </c>
      <c r="BA2051" s="1">
        <v>0</v>
      </c>
      <c r="BB2051" s="1">
        <v>0</v>
      </c>
      <c r="BC2051" s="1">
        <v>0</v>
      </c>
      <c r="BD2051" s="1">
        <v>0</v>
      </c>
      <c r="BE2051" s="1">
        <v>0</v>
      </c>
      <c r="BF2051" s="1">
        <v>0</v>
      </c>
      <c r="BG2051" s="1">
        <v>0</v>
      </c>
      <c r="BH2051" s="1">
        <v>0</v>
      </c>
      <c r="BI2051" s="1">
        <v>0</v>
      </c>
      <c r="BJ2051" s="1">
        <v>0</v>
      </c>
      <c r="BK2051" s="1">
        <v>0</v>
      </c>
      <c r="BL2051" s="1">
        <v>0</v>
      </c>
      <c r="BM2051" s="1">
        <v>0</v>
      </c>
      <c r="BN2051" s="1">
        <v>0</v>
      </c>
      <c r="BO2051" s="1">
        <v>0</v>
      </c>
      <c r="BP2051" s="1">
        <v>0</v>
      </c>
      <c r="BQ2051" s="1">
        <v>0</v>
      </c>
      <c r="BR2051" s="1">
        <v>0</v>
      </c>
      <c r="BS2051" s="1" t="s">
        <v>109</v>
      </c>
      <c r="BT2051" s="1">
        <v>2137</v>
      </c>
      <c r="BU2051" s="1" t="s">
        <v>109</v>
      </c>
      <c r="BV2051" s="1"/>
      <c r="BW2051" s="1"/>
      <c r="BX2051" s="1"/>
      <c r="BY2051" s="1"/>
      <c r="BZ2051" s="1">
        <v>0</v>
      </c>
      <c r="CA2051" s="1">
        <v>1</v>
      </c>
      <c r="CB2051" s="1" t="s">
        <v>109</v>
      </c>
      <c r="CC2051" s="1" t="s">
        <v>109</v>
      </c>
      <c r="CD2051" s="1" t="s">
        <v>109</v>
      </c>
      <c r="CE2051" s="1" t="s">
        <v>109</v>
      </c>
      <c r="CF2051" s="1" t="s">
        <v>109</v>
      </c>
      <c r="CG2051" s="1" t="s">
        <v>109</v>
      </c>
      <c r="CH2051" s="1" t="s">
        <v>109</v>
      </c>
      <c r="CI2051" s="1" t="s">
        <v>109</v>
      </c>
      <c r="CJ2051" s="1" t="s">
        <v>109</v>
      </c>
      <c r="CK2051" s="1"/>
      <c r="CL2051" s="1">
        <v>0</v>
      </c>
      <c r="CM2051" s="1">
        <v>0</v>
      </c>
      <c r="CN2051" s="1">
        <v>0</v>
      </c>
    </row>
    <row r="2052" spans="1:92" ht="14.25" customHeight="1" x14ac:dyDescent="0.15">
      <c r="A2052" s="1" t="s">
        <v>14964</v>
      </c>
      <c r="B2052" s="1" t="s">
        <v>254</v>
      </c>
      <c r="C2052" s="1"/>
      <c r="D2052" s="1"/>
      <c r="E2052" s="1" t="s">
        <v>14965</v>
      </c>
      <c r="F2052" s="1" t="s">
        <v>98</v>
      </c>
      <c r="G2052" s="1" t="s">
        <v>14966</v>
      </c>
      <c r="H2052" s="1">
        <v>0</v>
      </c>
      <c r="I2052" s="1" t="s">
        <v>161</v>
      </c>
      <c r="J2052" s="1"/>
      <c r="K2052" s="1"/>
      <c r="L2052" s="1" t="s">
        <v>1391</v>
      </c>
      <c r="M2052" s="1" t="s">
        <v>125</v>
      </c>
      <c r="N2052" s="1">
        <v>0</v>
      </c>
      <c r="O2052" s="1">
        <v>0</v>
      </c>
      <c r="P2052" s="1" t="s">
        <v>507</v>
      </c>
      <c r="Q2052" s="1" t="s">
        <v>167</v>
      </c>
      <c r="R2052" s="1" t="s">
        <v>14967</v>
      </c>
      <c r="S2052" s="1" t="s">
        <v>14968</v>
      </c>
      <c r="T2052" s="1" t="s">
        <v>14927</v>
      </c>
      <c r="U2052" s="1" t="s">
        <v>14969</v>
      </c>
      <c r="V2052" s="1">
        <v>1</v>
      </c>
      <c r="W2052" s="1">
        <v>1</v>
      </c>
      <c r="X2052" s="1">
        <v>1</v>
      </c>
      <c r="Y2052" s="1">
        <v>0</v>
      </c>
      <c r="Z2052" s="1">
        <v>1</v>
      </c>
      <c r="AA2052" s="1">
        <v>1</v>
      </c>
      <c r="AB2052" s="1">
        <v>1</v>
      </c>
      <c r="AC2052" s="1">
        <v>1</v>
      </c>
      <c r="AD2052" s="1" t="s">
        <v>109</v>
      </c>
      <c r="AE2052" s="1" t="s">
        <v>109</v>
      </c>
      <c r="AF2052" s="1">
        <v>1</v>
      </c>
      <c r="AG2052" s="1" t="s">
        <v>109</v>
      </c>
      <c r="AH2052" s="1" t="s">
        <v>109</v>
      </c>
      <c r="AI2052" s="1" t="s">
        <v>109</v>
      </c>
      <c r="AJ2052" s="1">
        <v>1</v>
      </c>
      <c r="AK2052" s="1">
        <v>1</v>
      </c>
      <c r="AL2052" s="1">
        <v>1</v>
      </c>
      <c r="AM2052" s="1" t="s">
        <v>109</v>
      </c>
      <c r="AN2052" s="1" t="s">
        <v>109</v>
      </c>
      <c r="AO2052" s="1" t="s">
        <v>109</v>
      </c>
      <c r="AP2052" s="1"/>
      <c r="AQ2052" s="1">
        <v>1</v>
      </c>
      <c r="AR2052" s="1"/>
      <c r="AS2052" s="1"/>
      <c r="AT2052" s="1">
        <v>0</v>
      </c>
      <c r="AU2052" s="1">
        <v>0</v>
      </c>
      <c r="AV2052" s="1">
        <v>0</v>
      </c>
      <c r="AW2052" s="1">
        <v>0</v>
      </c>
      <c r="AX2052" s="1">
        <v>0</v>
      </c>
      <c r="AY2052" s="1">
        <v>0</v>
      </c>
      <c r="AZ2052" s="1">
        <v>0</v>
      </c>
      <c r="BA2052" s="1">
        <v>0</v>
      </c>
      <c r="BB2052" s="1">
        <v>0</v>
      </c>
      <c r="BC2052" s="1">
        <v>0</v>
      </c>
      <c r="BD2052" s="1">
        <v>0</v>
      </c>
      <c r="BE2052" s="1">
        <v>0</v>
      </c>
      <c r="BF2052" s="1">
        <v>0</v>
      </c>
      <c r="BG2052" s="1">
        <v>0</v>
      </c>
      <c r="BH2052" s="1">
        <v>0</v>
      </c>
      <c r="BI2052" s="1">
        <v>0</v>
      </c>
      <c r="BJ2052" s="1">
        <v>0</v>
      </c>
      <c r="BK2052" s="1">
        <v>0</v>
      </c>
      <c r="BL2052" s="1">
        <v>0</v>
      </c>
      <c r="BM2052" s="1">
        <v>0</v>
      </c>
      <c r="BN2052" s="1">
        <v>0</v>
      </c>
      <c r="BO2052" s="1">
        <v>0</v>
      </c>
      <c r="BP2052" s="1">
        <v>0</v>
      </c>
      <c r="BQ2052" s="1">
        <v>0</v>
      </c>
      <c r="BR2052" s="1">
        <v>0</v>
      </c>
      <c r="BS2052" s="1" t="s">
        <v>109</v>
      </c>
      <c r="BT2052" s="1">
        <v>2138</v>
      </c>
      <c r="BU2052" s="1" t="s">
        <v>109</v>
      </c>
      <c r="BV2052" s="1"/>
      <c r="BW2052" s="1"/>
      <c r="BX2052" s="1"/>
      <c r="BY2052" s="1"/>
      <c r="BZ2052" s="1">
        <v>0</v>
      </c>
      <c r="CA2052" s="1" t="s">
        <v>109</v>
      </c>
      <c r="CB2052" s="1">
        <v>1</v>
      </c>
      <c r="CC2052" s="1" t="s">
        <v>109</v>
      </c>
      <c r="CD2052" s="1" t="s">
        <v>109</v>
      </c>
      <c r="CE2052" s="1" t="s">
        <v>109</v>
      </c>
      <c r="CF2052" s="1" t="s">
        <v>109</v>
      </c>
      <c r="CG2052" s="1" t="s">
        <v>109</v>
      </c>
      <c r="CH2052" s="1" t="s">
        <v>109</v>
      </c>
      <c r="CI2052" s="1" t="s">
        <v>109</v>
      </c>
      <c r="CJ2052" s="1" t="s">
        <v>109</v>
      </c>
      <c r="CK2052" s="1"/>
      <c r="CL2052" s="1">
        <v>0</v>
      </c>
      <c r="CM2052" s="1">
        <v>0</v>
      </c>
      <c r="CN2052" s="1">
        <v>0</v>
      </c>
    </row>
    <row r="2053" spans="1:92" ht="14.25" customHeight="1" x14ac:dyDescent="0.15">
      <c r="A2053" s="1" t="s">
        <v>14970</v>
      </c>
      <c r="B2053" s="1" t="s">
        <v>674</v>
      </c>
      <c r="C2053" s="1" t="s">
        <v>2300</v>
      </c>
      <c r="D2053" s="1"/>
      <c r="E2053" s="1" t="s">
        <v>14971</v>
      </c>
      <c r="F2053" s="1" t="s">
        <v>98</v>
      </c>
      <c r="G2053" s="1" t="s">
        <v>14972</v>
      </c>
      <c r="H2053" s="1">
        <v>0</v>
      </c>
      <c r="I2053" s="1" t="s">
        <v>122</v>
      </c>
      <c r="J2053" s="1"/>
      <c r="K2053" s="1" t="s">
        <v>14973</v>
      </c>
      <c r="L2053" s="1"/>
      <c r="M2053" s="1" t="s">
        <v>6144</v>
      </c>
      <c r="N2053" s="1">
        <v>1</v>
      </c>
      <c r="O2053" s="1">
        <v>0</v>
      </c>
      <c r="P2053" s="1" t="s">
        <v>2465</v>
      </c>
      <c r="Q2053" s="1" t="s">
        <v>104</v>
      </c>
      <c r="R2053" s="1" t="s">
        <v>14974</v>
      </c>
      <c r="S2053" s="1" t="s">
        <v>14975</v>
      </c>
      <c r="T2053" s="1" t="s">
        <v>14927</v>
      </c>
      <c r="U2053" s="1" t="s">
        <v>14976</v>
      </c>
      <c r="V2053" s="1">
        <v>1</v>
      </c>
      <c r="W2053" s="1">
        <v>1</v>
      </c>
      <c r="X2053" s="1">
        <v>1</v>
      </c>
      <c r="Y2053" s="1">
        <v>0</v>
      </c>
      <c r="Z2053" s="1">
        <v>0</v>
      </c>
      <c r="AA2053" s="1" t="s">
        <v>109</v>
      </c>
      <c r="AB2053" s="1" t="s">
        <v>109</v>
      </c>
      <c r="AC2053" s="1" t="s">
        <v>109</v>
      </c>
      <c r="AD2053" s="1" t="s">
        <v>109</v>
      </c>
      <c r="AE2053" s="1" t="s">
        <v>109</v>
      </c>
      <c r="AF2053" s="1">
        <v>1</v>
      </c>
      <c r="AG2053" s="1" t="s">
        <v>109</v>
      </c>
      <c r="AH2053" s="1" t="s">
        <v>109</v>
      </c>
      <c r="AI2053" s="1" t="s">
        <v>109</v>
      </c>
      <c r="AJ2053" s="1">
        <v>1</v>
      </c>
      <c r="AK2053" s="1" t="s">
        <v>109</v>
      </c>
      <c r="AL2053" s="1" t="s">
        <v>109</v>
      </c>
      <c r="AM2053" s="1" t="s">
        <v>109</v>
      </c>
      <c r="AN2053" s="1" t="s">
        <v>109</v>
      </c>
      <c r="AO2053" s="1" t="s">
        <v>109</v>
      </c>
      <c r="AP2053" s="1"/>
      <c r="AQ2053" s="1">
        <v>1</v>
      </c>
      <c r="AR2053" s="1"/>
      <c r="AS2053" s="1"/>
      <c r="AT2053" s="1">
        <v>0</v>
      </c>
      <c r="AU2053" s="1">
        <v>0</v>
      </c>
      <c r="AV2053" s="1">
        <v>0</v>
      </c>
      <c r="AW2053" s="1">
        <v>0</v>
      </c>
      <c r="AX2053" s="1">
        <v>0</v>
      </c>
      <c r="AY2053" s="1">
        <v>0</v>
      </c>
      <c r="AZ2053" s="1">
        <v>0</v>
      </c>
      <c r="BA2053" s="1">
        <v>0</v>
      </c>
      <c r="BB2053" s="1">
        <v>0</v>
      </c>
      <c r="BC2053" s="1">
        <v>0</v>
      </c>
      <c r="BD2053" s="1">
        <v>0</v>
      </c>
      <c r="BE2053" s="1">
        <v>0</v>
      </c>
      <c r="BF2053" s="1">
        <v>0</v>
      </c>
      <c r="BG2053" s="1">
        <v>0</v>
      </c>
      <c r="BH2053" s="1">
        <v>0</v>
      </c>
      <c r="BI2053" s="1">
        <v>0</v>
      </c>
      <c r="BJ2053" s="1">
        <v>0</v>
      </c>
      <c r="BK2053" s="1">
        <v>0</v>
      </c>
      <c r="BL2053" s="1">
        <v>0</v>
      </c>
      <c r="BM2053" s="1">
        <v>0</v>
      </c>
      <c r="BN2053" s="1">
        <v>0</v>
      </c>
      <c r="BO2053" s="1">
        <v>0</v>
      </c>
      <c r="BP2053" s="1">
        <v>0</v>
      </c>
      <c r="BQ2053" s="1">
        <v>0</v>
      </c>
      <c r="BR2053" s="1">
        <v>0</v>
      </c>
      <c r="BS2053" s="1" t="s">
        <v>109</v>
      </c>
      <c r="BT2053" s="1">
        <v>2139</v>
      </c>
      <c r="BU2053" s="1" t="s">
        <v>109</v>
      </c>
      <c r="BV2053" s="1"/>
      <c r="BW2053" s="1"/>
      <c r="BX2053" s="1"/>
      <c r="BY2053" s="1"/>
      <c r="BZ2053" s="1">
        <v>0</v>
      </c>
      <c r="CA2053" s="1" t="s">
        <v>109</v>
      </c>
      <c r="CB2053" s="1">
        <v>1</v>
      </c>
      <c r="CC2053" s="1" t="s">
        <v>109</v>
      </c>
      <c r="CD2053" s="1" t="s">
        <v>109</v>
      </c>
      <c r="CE2053" s="1" t="s">
        <v>109</v>
      </c>
      <c r="CF2053" s="1" t="s">
        <v>109</v>
      </c>
      <c r="CG2053" s="1" t="s">
        <v>109</v>
      </c>
      <c r="CH2053" s="1" t="s">
        <v>109</v>
      </c>
      <c r="CI2053" s="1" t="s">
        <v>109</v>
      </c>
      <c r="CJ2053" s="1" t="s">
        <v>109</v>
      </c>
      <c r="CK2053" s="1"/>
      <c r="CL2053" s="1">
        <v>0</v>
      </c>
      <c r="CM2053" s="1">
        <v>0</v>
      </c>
      <c r="CN2053" s="1">
        <v>0</v>
      </c>
    </row>
    <row r="2054" spans="1:92" ht="14.25" customHeight="1" x14ac:dyDescent="0.15">
      <c r="A2054" s="1" t="s">
        <v>14977</v>
      </c>
      <c r="B2054" s="1" t="s">
        <v>254</v>
      </c>
      <c r="C2054" s="1"/>
      <c r="D2054" s="1"/>
      <c r="E2054" s="1" t="s">
        <v>14978</v>
      </c>
      <c r="F2054" s="1" t="s">
        <v>98</v>
      </c>
      <c r="G2054" s="1" t="s">
        <v>14979</v>
      </c>
      <c r="H2054" s="1">
        <v>0</v>
      </c>
      <c r="I2054" s="1" t="s">
        <v>161</v>
      </c>
      <c r="J2054" s="1"/>
      <c r="K2054" s="1"/>
      <c r="L2054" s="1" t="s">
        <v>1391</v>
      </c>
      <c r="M2054" s="1" t="s">
        <v>289</v>
      </c>
      <c r="N2054" s="1">
        <v>0</v>
      </c>
      <c r="O2054" s="1">
        <v>0</v>
      </c>
      <c r="P2054" s="1" t="s">
        <v>507</v>
      </c>
      <c r="Q2054" s="1" t="s">
        <v>167</v>
      </c>
      <c r="R2054" s="1" t="s">
        <v>14980</v>
      </c>
      <c r="S2054" s="1" t="s">
        <v>14981</v>
      </c>
      <c r="T2054" s="1" t="s">
        <v>14927</v>
      </c>
      <c r="U2054" s="1" t="s">
        <v>14982</v>
      </c>
      <c r="V2054" s="1">
        <v>1</v>
      </c>
      <c r="W2054" s="1">
        <v>1</v>
      </c>
      <c r="X2054" s="1">
        <v>1</v>
      </c>
      <c r="Y2054" s="1">
        <v>0</v>
      </c>
      <c r="Z2054" s="1">
        <v>1</v>
      </c>
      <c r="AA2054" s="1">
        <v>1</v>
      </c>
      <c r="AB2054" s="1">
        <v>1</v>
      </c>
      <c r="AC2054" s="1" t="s">
        <v>109</v>
      </c>
      <c r="AD2054" s="1" t="s">
        <v>109</v>
      </c>
      <c r="AE2054" s="1" t="s">
        <v>109</v>
      </c>
      <c r="AF2054" s="1">
        <v>1</v>
      </c>
      <c r="AG2054" s="1" t="s">
        <v>109</v>
      </c>
      <c r="AH2054" s="1">
        <v>1</v>
      </c>
      <c r="AI2054" s="1" t="s">
        <v>109</v>
      </c>
      <c r="AJ2054" s="1" t="s">
        <v>109</v>
      </c>
      <c r="AK2054" s="1">
        <v>1</v>
      </c>
      <c r="AL2054" s="1" t="s">
        <v>109</v>
      </c>
      <c r="AM2054" s="1">
        <v>1</v>
      </c>
      <c r="AN2054" s="1" t="s">
        <v>109</v>
      </c>
      <c r="AO2054" s="1" t="s">
        <v>109</v>
      </c>
      <c r="AP2054" s="1"/>
      <c r="AQ2054" s="1">
        <v>1</v>
      </c>
      <c r="AR2054" s="1"/>
      <c r="AS2054" s="1"/>
      <c r="AT2054" s="1">
        <v>0</v>
      </c>
      <c r="AU2054" s="1">
        <v>0</v>
      </c>
      <c r="AV2054" s="1">
        <v>0</v>
      </c>
      <c r="AW2054" s="1">
        <v>0</v>
      </c>
      <c r="AX2054" s="1">
        <v>0</v>
      </c>
      <c r="AY2054" s="1">
        <v>0</v>
      </c>
      <c r="AZ2054" s="1">
        <v>0</v>
      </c>
      <c r="BA2054" s="1">
        <v>0</v>
      </c>
      <c r="BB2054" s="1">
        <v>0</v>
      </c>
      <c r="BC2054" s="1">
        <v>0</v>
      </c>
      <c r="BD2054" s="1">
        <v>0</v>
      </c>
      <c r="BE2054" s="1">
        <v>0</v>
      </c>
      <c r="BF2054" s="1">
        <v>0</v>
      </c>
      <c r="BG2054" s="1">
        <v>0</v>
      </c>
      <c r="BH2054" s="1">
        <v>0</v>
      </c>
      <c r="BI2054" s="1">
        <v>0</v>
      </c>
      <c r="BJ2054" s="1">
        <v>0</v>
      </c>
      <c r="BK2054" s="1">
        <v>0</v>
      </c>
      <c r="BL2054" s="1">
        <v>0</v>
      </c>
      <c r="BM2054" s="1">
        <v>0</v>
      </c>
      <c r="BN2054" s="1">
        <v>0</v>
      </c>
      <c r="BO2054" s="1">
        <v>0</v>
      </c>
      <c r="BP2054" s="1">
        <v>0</v>
      </c>
      <c r="BQ2054" s="1">
        <v>0</v>
      </c>
      <c r="BR2054" s="1">
        <v>0</v>
      </c>
      <c r="BS2054" s="1" t="s">
        <v>109</v>
      </c>
      <c r="BT2054" s="1">
        <v>2140</v>
      </c>
      <c r="BU2054" s="1" t="s">
        <v>109</v>
      </c>
      <c r="BV2054" s="1"/>
      <c r="BW2054" s="1"/>
      <c r="BX2054" s="1"/>
      <c r="BY2054" s="1"/>
      <c r="BZ2054" s="1">
        <v>0</v>
      </c>
      <c r="CA2054" s="1" t="s">
        <v>109</v>
      </c>
      <c r="CB2054" s="1" t="s">
        <v>109</v>
      </c>
      <c r="CC2054" s="1" t="s">
        <v>109</v>
      </c>
      <c r="CD2054" s="1" t="s">
        <v>109</v>
      </c>
      <c r="CE2054" s="1" t="s">
        <v>109</v>
      </c>
      <c r="CF2054" s="1" t="s">
        <v>109</v>
      </c>
      <c r="CG2054" s="1" t="s">
        <v>109</v>
      </c>
      <c r="CH2054" s="1" t="s">
        <v>109</v>
      </c>
      <c r="CI2054" s="1" t="s">
        <v>109</v>
      </c>
      <c r="CJ2054" s="1" t="s">
        <v>109</v>
      </c>
      <c r="CK2054" s="1"/>
      <c r="CL2054" s="1">
        <v>0</v>
      </c>
      <c r="CM2054" s="1">
        <v>0</v>
      </c>
      <c r="CN2054" s="1">
        <v>0</v>
      </c>
    </row>
    <row r="2055" spans="1:92" ht="14.25" customHeight="1" x14ac:dyDescent="0.15">
      <c r="A2055" s="1" t="s">
        <v>14983</v>
      </c>
      <c r="B2055" s="1" t="s">
        <v>242</v>
      </c>
      <c r="C2055" s="1"/>
      <c r="D2055" s="1"/>
      <c r="E2055" s="1" t="s">
        <v>14984</v>
      </c>
      <c r="F2055" s="1" t="s">
        <v>98</v>
      </c>
      <c r="G2055" s="1" t="s">
        <v>14985</v>
      </c>
      <c r="H2055" s="1">
        <v>0</v>
      </c>
      <c r="I2055" s="1" t="s">
        <v>142</v>
      </c>
      <c r="J2055" s="1" t="s">
        <v>14986</v>
      </c>
      <c r="K2055" s="1"/>
      <c r="L2055" s="1"/>
      <c r="M2055" s="1" t="s">
        <v>3042</v>
      </c>
      <c r="N2055" s="1">
        <v>0</v>
      </c>
      <c r="O2055" s="1">
        <v>0</v>
      </c>
      <c r="P2055" s="1" t="s">
        <v>103</v>
      </c>
      <c r="Q2055" s="1" t="s">
        <v>104</v>
      </c>
      <c r="R2055" s="1" t="s">
        <v>14987</v>
      </c>
      <c r="S2055" s="1" t="s">
        <v>14988</v>
      </c>
      <c r="T2055" s="1" t="s">
        <v>14927</v>
      </c>
      <c r="U2055" s="1" t="s">
        <v>14989</v>
      </c>
      <c r="V2055" s="1">
        <v>1</v>
      </c>
      <c r="W2055" s="1">
        <v>1</v>
      </c>
      <c r="X2055" s="1">
        <v>1</v>
      </c>
      <c r="Y2055" s="1">
        <v>0</v>
      </c>
      <c r="Z2055" s="1">
        <v>1</v>
      </c>
      <c r="AA2055" s="1">
        <v>1</v>
      </c>
      <c r="AB2055" s="1">
        <v>1</v>
      </c>
      <c r="AC2055" s="1">
        <v>1</v>
      </c>
      <c r="AD2055" s="1">
        <v>1</v>
      </c>
      <c r="AE2055" s="1" t="s">
        <v>109</v>
      </c>
      <c r="AF2055" s="1">
        <v>1</v>
      </c>
      <c r="AG2055" s="1">
        <v>1</v>
      </c>
      <c r="AH2055" s="1" t="s">
        <v>109</v>
      </c>
      <c r="AI2055" s="1" t="s">
        <v>109</v>
      </c>
      <c r="AJ2055" s="1">
        <v>1</v>
      </c>
      <c r="AK2055" s="1">
        <v>1</v>
      </c>
      <c r="AL2055" s="1">
        <v>1</v>
      </c>
      <c r="AM2055" s="1" t="s">
        <v>109</v>
      </c>
      <c r="AN2055" s="1" t="s">
        <v>109</v>
      </c>
      <c r="AO2055" s="1" t="s">
        <v>109</v>
      </c>
      <c r="AP2055" s="1"/>
      <c r="AQ2055" s="1">
        <v>1</v>
      </c>
      <c r="AR2055" s="1"/>
      <c r="AS2055" s="1"/>
      <c r="AT2055" s="1">
        <v>0</v>
      </c>
      <c r="AU2055" s="1">
        <v>0</v>
      </c>
      <c r="AV2055" s="1">
        <v>0</v>
      </c>
      <c r="AW2055" s="1">
        <v>0</v>
      </c>
      <c r="AX2055" s="1">
        <v>0</v>
      </c>
      <c r="AY2055" s="1">
        <v>0</v>
      </c>
      <c r="AZ2055" s="1">
        <v>0</v>
      </c>
      <c r="BA2055" s="1">
        <v>0</v>
      </c>
      <c r="BB2055" s="1">
        <v>0</v>
      </c>
      <c r="BC2055" s="1">
        <v>0</v>
      </c>
      <c r="BD2055" s="1">
        <v>0</v>
      </c>
      <c r="BE2055" s="1">
        <v>0</v>
      </c>
      <c r="BF2055" s="1">
        <v>0</v>
      </c>
      <c r="BG2055" s="1">
        <v>0</v>
      </c>
      <c r="BH2055" s="1">
        <v>0</v>
      </c>
      <c r="BI2055" s="1">
        <v>0</v>
      </c>
      <c r="BJ2055" s="1">
        <v>0</v>
      </c>
      <c r="BK2055" s="1">
        <v>0</v>
      </c>
      <c r="BL2055" s="1">
        <v>0</v>
      </c>
      <c r="BM2055" s="1">
        <v>0</v>
      </c>
      <c r="BN2055" s="1">
        <v>0</v>
      </c>
      <c r="BO2055" s="1">
        <v>0</v>
      </c>
      <c r="BP2055" s="1">
        <v>0</v>
      </c>
      <c r="BQ2055" s="1">
        <v>0</v>
      </c>
      <c r="BR2055" s="1">
        <v>0</v>
      </c>
      <c r="BS2055" s="1" t="s">
        <v>109</v>
      </c>
      <c r="BT2055" s="1">
        <v>2141</v>
      </c>
      <c r="BU2055" s="1" t="s">
        <v>109</v>
      </c>
      <c r="BV2055" s="1"/>
      <c r="BW2055" s="1"/>
      <c r="BX2055" s="1"/>
      <c r="BY2055" s="1"/>
      <c r="BZ2055" s="1">
        <v>0</v>
      </c>
      <c r="CA2055" s="1" t="s">
        <v>109</v>
      </c>
      <c r="CB2055" s="1">
        <v>1</v>
      </c>
      <c r="CC2055" s="1" t="s">
        <v>109</v>
      </c>
      <c r="CD2055" s="1" t="s">
        <v>109</v>
      </c>
      <c r="CE2055" s="1" t="s">
        <v>109</v>
      </c>
      <c r="CF2055" s="1" t="s">
        <v>109</v>
      </c>
      <c r="CG2055" s="1" t="s">
        <v>109</v>
      </c>
      <c r="CH2055" s="1" t="s">
        <v>109</v>
      </c>
      <c r="CI2055" s="1" t="s">
        <v>109</v>
      </c>
      <c r="CJ2055" s="1">
        <v>1</v>
      </c>
      <c r="CK2055" s="1"/>
      <c r="CL2055" s="1">
        <v>0</v>
      </c>
      <c r="CM2055" s="1">
        <v>0</v>
      </c>
      <c r="CN2055" s="1">
        <v>0</v>
      </c>
    </row>
    <row r="2056" spans="1:92" ht="14.25" customHeight="1" x14ac:dyDescent="0.15">
      <c r="A2056" s="1" t="s">
        <v>14990</v>
      </c>
      <c r="B2056" s="1" t="s">
        <v>254</v>
      </c>
      <c r="C2056" s="1"/>
      <c r="D2056" s="1"/>
      <c r="E2056" s="1" t="s">
        <v>14991</v>
      </c>
      <c r="F2056" s="1" t="s">
        <v>98</v>
      </c>
      <c r="G2056" s="1" t="s">
        <v>14992</v>
      </c>
      <c r="H2056" s="1">
        <v>0</v>
      </c>
      <c r="I2056" s="1" t="s">
        <v>161</v>
      </c>
      <c r="J2056" s="1"/>
      <c r="K2056" s="1"/>
      <c r="L2056" s="1" t="s">
        <v>506</v>
      </c>
      <c r="M2056" s="1" t="s">
        <v>194</v>
      </c>
      <c r="N2056" s="1">
        <v>0</v>
      </c>
      <c r="O2056" s="1">
        <v>0</v>
      </c>
      <c r="P2056" s="1" t="s">
        <v>507</v>
      </c>
      <c r="Q2056" s="1" t="s">
        <v>104</v>
      </c>
      <c r="R2056" s="1" t="s">
        <v>14993</v>
      </c>
      <c r="S2056" s="1" t="s">
        <v>14994</v>
      </c>
      <c r="T2056" s="1" t="s">
        <v>14927</v>
      </c>
      <c r="U2056" s="1" t="s">
        <v>14995</v>
      </c>
      <c r="V2056" s="1">
        <v>1</v>
      </c>
      <c r="W2056" s="1">
        <v>0</v>
      </c>
      <c r="X2056" s="1">
        <v>1</v>
      </c>
      <c r="Y2056" s="1">
        <v>0</v>
      </c>
      <c r="Z2056" s="1">
        <v>1</v>
      </c>
      <c r="AA2056" s="1">
        <v>1</v>
      </c>
      <c r="AB2056" s="1">
        <v>1</v>
      </c>
      <c r="AC2056" s="1">
        <v>1</v>
      </c>
      <c r="AD2056" s="1" t="s">
        <v>109</v>
      </c>
      <c r="AE2056" s="1">
        <v>1</v>
      </c>
      <c r="AF2056" s="1">
        <v>1</v>
      </c>
      <c r="AG2056" s="1" t="s">
        <v>109</v>
      </c>
      <c r="AH2056" s="1" t="s">
        <v>109</v>
      </c>
      <c r="AI2056" s="1" t="s">
        <v>109</v>
      </c>
      <c r="AJ2056" s="1">
        <v>1</v>
      </c>
      <c r="AK2056" s="1">
        <v>1</v>
      </c>
      <c r="AL2056" s="1">
        <v>1</v>
      </c>
      <c r="AM2056" s="1" t="s">
        <v>109</v>
      </c>
      <c r="AN2056" s="1" t="s">
        <v>109</v>
      </c>
      <c r="AO2056" s="1" t="s">
        <v>109</v>
      </c>
      <c r="AP2056" s="1"/>
      <c r="AQ2056" s="1">
        <v>1</v>
      </c>
      <c r="AR2056" s="1"/>
      <c r="AS2056" s="1"/>
      <c r="AT2056" s="1">
        <v>0</v>
      </c>
      <c r="AU2056" s="1">
        <v>0</v>
      </c>
      <c r="AV2056" s="1">
        <v>0</v>
      </c>
      <c r="AW2056" s="1">
        <v>0</v>
      </c>
      <c r="AX2056" s="1">
        <v>0</v>
      </c>
      <c r="AY2056" s="1">
        <v>0</v>
      </c>
      <c r="AZ2056" s="1">
        <v>0</v>
      </c>
      <c r="BA2056" s="1">
        <v>0</v>
      </c>
      <c r="BB2056" s="1">
        <v>0</v>
      </c>
      <c r="BC2056" s="1">
        <v>0</v>
      </c>
      <c r="BD2056" s="1">
        <v>0</v>
      </c>
      <c r="BE2056" s="1">
        <v>0</v>
      </c>
      <c r="BF2056" s="1">
        <v>0</v>
      </c>
      <c r="BG2056" s="1">
        <v>0</v>
      </c>
      <c r="BH2056" s="1">
        <v>0</v>
      </c>
      <c r="BI2056" s="1">
        <v>0</v>
      </c>
      <c r="BJ2056" s="1">
        <v>0</v>
      </c>
      <c r="BK2056" s="1">
        <v>0</v>
      </c>
      <c r="BL2056" s="1">
        <v>0</v>
      </c>
      <c r="BM2056" s="1">
        <v>0</v>
      </c>
      <c r="BN2056" s="1">
        <v>0</v>
      </c>
      <c r="BO2056" s="1">
        <v>0</v>
      </c>
      <c r="BP2056" s="1">
        <v>0</v>
      </c>
      <c r="BQ2056" s="1">
        <v>0</v>
      </c>
      <c r="BR2056" s="1">
        <v>0</v>
      </c>
      <c r="BS2056" s="1" t="s">
        <v>109</v>
      </c>
      <c r="BT2056" s="1">
        <v>2143</v>
      </c>
      <c r="BU2056" s="1" t="s">
        <v>109</v>
      </c>
      <c r="BV2056" s="1"/>
      <c r="BW2056" s="1"/>
      <c r="BX2056" s="1"/>
      <c r="BY2056" s="1"/>
      <c r="BZ2056" s="1">
        <v>0</v>
      </c>
      <c r="CA2056" s="1" t="s">
        <v>109</v>
      </c>
      <c r="CB2056" s="1" t="s">
        <v>109</v>
      </c>
      <c r="CC2056" s="1" t="s">
        <v>109</v>
      </c>
      <c r="CD2056" s="1" t="s">
        <v>109</v>
      </c>
      <c r="CE2056" s="1" t="s">
        <v>109</v>
      </c>
      <c r="CF2056" s="1" t="s">
        <v>109</v>
      </c>
      <c r="CG2056" s="1" t="s">
        <v>109</v>
      </c>
      <c r="CH2056" s="1" t="s">
        <v>109</v>
      </c>
      <c r="CI2056" s="1" t="s">
        <v>109</v>
      </c>
      <c r="CJ2056" s="1">
        <v>1</v>
      </c>
      <c r="CK2056" s="1"/>
      <c r="CL2056" s="1">
        <v>0</v>
      </c>
      <c r="CM2056" s="1">
        <v>0</v>
      </c>
      <c r="CN2056" s="1">
        <v>0</v>
      </c>
    </row>
    <row r="2057" spans="1:92" ht="14.25" customHeight="1" x14ac:dyDescent="0.15">
      <c r="A2057" s="1" t="s">
        <v>14996</v>
      </c>
      <c r="B2057" s="1" t="s">
        <v>156</v>
      </c>
      <c r="C2057" s="1" t="s">
        <v>157</v>
      </c>
      <c r="D2057" s="1" t="s">
        <v>158</v>
      </c>
      <c r="E2057" s="1" t="s">
        <v>14997</v>
      </c>
      <c r="F2057" s="1" t="s">
        <v>98</v>
      </c>
      <c r="G2057" s="1" t="s">
        <v>141</v>
      </c>
      <c r="H2057" s="1">
        <v>0</v>
      </c>
      <c r="I2057" s="1" t="s">
        <v>142</v>
      </c>
      <c r="J2057" s="1"/>
      <c r="K2057" s="1"/>
      <c r="L2057" s="1" t="s">
        <v>1391</v>
      </c>
      <c r="M2057" s="1" t="s">
        <v>280</v>
      </c>
      <c r="N2057" s="1">
        <v>0</v>
      </c>
      <c r="O2057" s="1">
        <v>0</v>
      </c>
      <c r="P2057" s="1" t="s">
        <v>380</v>
      </c>
      <c r="Q2057" s="1" t="s">
        <v>268</v>
      </c>
      <c r="R2057" s="1" t="s">
        <v>14998</v>
      </c>
      <c r="S2057" s="1" t="s">
        <v>14999</v>
      </c>
      <c r="T2057" s="1" t="s">
        <v>14784</v>
      </c>
      <c r="U2057" s="1" t="s">
        <v>15000</v>
      </c>
      <c r="V2057" s="1">
        <v>1</v>
      </c>
      <c r="W2057" s="1">
        <v>1</v>
      </c>
      <c r="X2057" s="1">
        <v>0</v>
      </c>
      <c r="Y2057" s="1">
        <v>0</v>
      </c>
      <c r="Z2057" s="1">
        <v>0</v>
      </c>
      <c r="AA2057" s="1">
        <v>3</v>
      </c>
      <c r="AB2057" s="1">
        <v>3</v>
      </c>
      <c r="AC2057" s="1" t="s">
        <v>109</v>
      </c>
      <c r="AD2057" s="1">
        <v>3</v>
      </c>
      <c r="AE2057" s="1" t="s">
        <v>109</v>
      </c>
      <c r="AF2057" s="1">
        <v>2</v>
      </c>
      <c r="AG2057" s="1" t="s">
        <v>109</v>
      </c>
      <c r="AH2057" s="1" t="s">
        <v>109</v>
      </c>
      <c r="AI2057" s="1" t="s">
        <v>109</v>
      </c>
      <c r="AJ2057" s="1">
        <v>3</v>
      </c>
      <c r="AK2057" s="1" t="s">
        <v>109</v>
      </c>
      <c r="AL2057" s="1" t="s">
        <v>109</v>
      </c>
      <c r="AM2057" s="1" t="s">
        <v>109</v>
      </c>
      <c r="AN2057" s="1" t="s">
        <v>109</v>
      </c>
      <c r="AO2057" s="1" t="s">
        <v>109</v>
      </c>
      <c r="AP2057" s="1"/>
      <c r="AQ2057" s="1">
        <v>3</v>
      </c>
      <c r="AR2057" s="1"/>
      <c r="AS2057" s="1" t="s">
        <v>15001</v>
      </c>
      <c r="AT2057" s="1">
        <v>0</v>
      </c>
      <c r="AU2057" s="1">
        <v>0</v>
      </c>
      <c r="AV2057" s="1">
        <v>0</v>
      </c>
      <c r="AW2057" s="1">
        <v>0</v>
      </c>
      <c r="AX2057" s="1">
        <v>0</v>
      </c>
      <c r="AY2057" s="1">
        <v>0</v>
      </c>
      <c r="AZ2057" s="1">
        <v>0</v>
      </c>
      <c r="BA2057" s="1">
        <v>0</v>
      </c>
      <c r="BB2057" s="1">
        <v>0</v>
      </c>
      <c r="BC2057" s="1">
        <v>0</v>
      </c>
      <c r="BD2057" s="1">
        <v>0</v>
      </c>
      <c r="BE2057" s="1">
        <v>0</v>
      </c>
      <c r="BF2057" s="1">
        <v>0</v>
      </c>
      <c r="BG2057" s="1">
        <v>0</v>
      </c>
      <c r="BH2057" s="1">
        <v>0</v>
      </c>
      <c r="BI2057" s="1">
        <v>0</v>
      </c>
      <c r="BJ2057" s="1">
        <v>0</v>
      </c>
      <c r="BK2057" s="1">
        <v>0</v>
      </c>
      <c r="BL2057" s="1">
        <v>0</v>
      </c>
      <c r="BM2057" s="1">
        <v>1</v>
      </c>
      <c r="BN2057" s="1">
        <v>0</v>
      </c>
      <c r="BO2057" s="1">
        <v>0</v>
      </c>
      <c r="BP2057" s="1">
        <v>0</v>
      </c>
      <c r="BQ2057" s="1">
        <v>0</v>
      </c>
      <c r="BR2057" s="1">
        <v>0</v>
      </c>
      <c r="BS2057" s="1" t="s">
        <v>109</v>
      </c>
      <c r="BT2057" s="1">
        <v>2144</v>
      </c>
      <c r="BU2057" s="1" t="s">
        <v>109</v>
      </c>
      <c r="BV2057" s="1"/>
      <c r="BW2057" s="1"/>
      <c r="BX2057" s="1"/>
      <c r="BY2057" s="1"/>
      <c r="BZ2057" s="1">
        <v>0</v>
      </c>
      <c r="CA2057" s="1" t="s">
        <v>109</v>
      </c>
      <c r="CB2057" s="1" t="s">
        <v>109</v>
      </c>
      <c r="CC2057" s="1">
        <v>2</v>
      </c>
      <c r="CD2057" s="1" t="s">
        <v>109</v>
      </c>
      <c r="CE2057" s="1">
        <v>2</v>
      </c>
      <c r="CF2057" s="1">
        <v>2</v>
      </c>
      <c r="CG2057" s="1" t="s">
        <v>109</v>
      </c>
      <c r="CH2057" s="1" t="s">
        <v>109</v>
      </c>
      <c r="CI2057" s="1" t="s">
        <v>109</v>
      </c>
      <c r="CJ2057" s="1">
        <v>3</v>
      </c>
      <c r="CK2057" s="1"/>
      <c r="CL2057" s="1">
        <v>0</v>
      </c>
      <c r="CM2057" s="1">
        <v>0</v>
      </c>
      <c r="CN2057" s="1">
        <v>0</v>
      </c>
    </row>
    <row r="2058" spans="1:92" ht="14.25" customHeight="1" x14ac:dyDescent="0.15">
      <c r="A2058" s="1" t="s">
        <v>15002</v>
      </c>
      <c r="B2058" s="1" t="s">
        <v>189</v>
      </c>
      <c r="C2058" s="1"/>
      <c r="D2058" s="1"/>
      <c r="E2058" s="1" t="s">
        <v>15003</v>
      </c>
      <c r="F2058" s="1" t="s">
        <v>465</v>
      </c>
      <c r="G2058" s="1" t="s">
        <v>15004</v>
      </c>
      <c r="H2058" s="1">
        <v>1</v>
      </c>
      <c r="I2058" s="1" t="s">
        <v>161</v>
      </c>
      <c r="J2058" s="1"/>
      <c r="K2058" s="1"/>
      <c r="L2058" s="1" t="s">
        <v>15005</v>
      </c>
      <c r="M2058" s="1" t="s">
        <v>144</v>
      </c>
      <c r="N2058" s="1">
        <v>0</v>
      </c>
      <c r="O2058" s="1">
        <v>0</v>
      </c>
      <c r="P2058" s="1" t="s">
        <v>301</v>
      </c>
      <c r="Q2058" s="1" t="s">
        <v>104</v>
      </c>
      <c r="R2058" s="1" t="s">
        <v>15006</v>
      </c>
      <c r="S2058" s="1" t="s">
        <v>15007</v>
      </c>
      <c r="T2058" s="1" t="s">
        <v>14784</v>
      </c>
      <c r="U2058" s="1" t="s">
        <v>15008</v>
      </c>
      <c r="V2058" s="1">
        <v>1</v>
      </c>
      <c r="W2058" s="1">
        <v>1</v>
      </c>
      <c r="X2058" s="1">
        <v>1</v>
      </c>
      <c r="Y2058" s="1">
        <v>0</v>
      </c>
      <c r="Z2058" s="1">
        <v>1</v>
      </c>
      <c r="AA2058" s="1">
        <v>7</v>
      </c>
      <c r="AB2058" s="1">
        <v>7</v>
      </c>
      <c r="AC2058" s="1">
        <v>7</v>
      </c>
      <c r="AD2058" s="1" t="s">
        <v>109</v>
      </c>
      <c r="AE2058" s="1" t="s">
        <v>109</v>
      </c>
      <c r="AF2058" s="1" t="s">
        <v>109</v>
      </c>
      <c r="AG2058" s="1" t="s">
        <v>109</v>
      </c>
      <c r="AH2058" s="1" t="s">
        <v>109</v>
      </c>
      <c r="AI2058" s="1" t="s">
        <v>109</v>
      </c>
      <c r="AJ2058" s="1" t="s">
        <v>109</v>
      </c>
      <c r="AK2058" s="1" t="s">
        <v>109</v>
      </c>
      <c r="AL2058" s="1">
        <v>7</v>
      </c>
      <c r="AM2058" s="1" t="s">
        <v>109</v>
      </c>
      <c r="AN2058" s="1" t="s">
        <v>109</v>
      </c>
      <c r="AO2058" s="1" t="s">
        <v>109</v>
      </c>
      <c r="AP2058" s="1"/>
      <c r="AQ2058" s="1">
        <v>7</v>
      </c>
      <c r="AR2058" s="1"/>
      <c r="AS2058" s="1" t="s">
        <v>15009</v>
      </c>
      <c r="AT2058" s="1">
        <v>0</v>
      </c>
      <c r="AU2058" s="1">
        <v>0</v>
      </c>
      <c r="AV2058" s="1">
        <v>0</v>
      </c>
      <c r="AW2058" s="1">
        <v>0</v>
      </c>
      <c r="AX2058" s="1">
        <v>0</v>
      </c>
      <c r="AY2058" s="1">
        <v>0</v>
      </c>
      <c r="AZ2058" s="1">
        <v>0</v>
      </c>
      <c r="BA2058" s="1">
        <v>0</v>
      </c>
      <c r="BB2058" s="1">
        <v>0</v>
      </c>
      <c r="BC2058" s="1">
        <v>0</v>
      </c>
      <c r="BD2058" s="1">
        <v>0</v>
      </c>
      <c r="BE2058" s="1">
        <v>0</v>
      </c>
      <c r="BF2058" s="1">
        <v>0</v>
      </c>
      <c r="BG2058" s="1">
        <v>0</v>
      </c>
      <c r="BH2058" s="1">
        <v>0</v>
      </c>
      <c r="BI2058" s="1">
        <v>0</v>
      </c>
      <c r="BJ2058" s="1">
        <v>0</v>
      </c>
      <c r="BK2058" s="1">
        <v>0</v>
      </c>
      <c r="BL2058" s="1">
        <v>0</v>
      </c>
      <c r="BM2058" s="1">
        <v>0</v>
      </c>
      <c r="BN2058" s="1">
        <v>0</v>
      </c>
      <c r="BO2058" s="1">
        <v>0</v>
      </c>
      <c r="BP2058" s="1">
        <v>0</v>
      </c>
      <c r="BQ2058" s="1">
        <v>0</v>
      </c>
      <c r="BR2058" s="1">
        <v>0</v>
      </c>
      <c r="BS2058" s="1" t="s">
        <v>109</v>
      </c>
      <c r="BT2058" s="1">
        <v>2145</v>
      </c>
      <c r="BU2058" s="1">
        <v>2000</v>
      </c>
      <c r="BV2058" s="1"/>
      <c r="BW2058" s="1"/>
      <c r="BX2058" s="1"/>
      <c r="BY2058" s="1"/>
      <c r="BZ2058" s="1">
        <v>0</v>
      </c>
      <c r="CA2058" s="1" t="s">
        <v>109</v>
      </c>
      <c r="CB2058" s="1">
        <v>6</v>
      </c>
      <c r="CC2058" s="1">
        <v>6</v>
      </c>
      <c r="CD2058" s="1" t="s">
        <v>109</v>
      </c>
      <c r="CE2058" s="1" t="s">
        <v>109</v>
      </c>
      <c r="CF2058" s="1">
        <v>5</v>
      </c>
      <c r="CG2058" s="1" t="s">
        <v>109</v>
      </c>
      <c r="CH2058" s="1" t="s">
        <v>109</v>
      </c>
      <c r="CI2058" s="1" t="s">
        <v>109</v>
      </c>
      <c r="CJ2058" s="1" t="s">
        <v>109</v>
      </c>
      <c r="CK2058" s="1"/>
      <c r="CL2058" s="1">
        <v>0</v>
      </c>
      <c r="CM2058" s="1">
        <v>0</v>
      </c>
      <c r="CN2058" s="1">
        <v>0</v>
      </c>
    </row>
    <row r="2059" spans="1:92" ht="14.25" customHeight="1" x14ac:dyDescent="0.15">
      <c r="A2059" s="1" t="s">
        <v>15010</v>
      </c>
      <c r="B2059" s="1" t="s">
        <v>156</v>
      </c>
      <c r="C2059" s="1" t="s">
        <v>157</v>
      </c>
      <c r="D2059" s="1" t="s">
        <v>158</v>
      </c>
      <c r="E2059" s="1" t="s">
        <v>15011</v>
      </c>
      <c r="F2059" s="1" t="s">
        <v>98</v>
      </c>
      <c r="G2059" s="1" t="s">
        <v>141</v>
      </c>
      <c r="H2059" s="1">
        <v>0</v>
      </c>
      <c r="I2059" s="1" t="s">
        <v>142</v>
      </c>
      <c r="J2059" s="1"/>
      <c r="K2059" s="1"/>
      <c r="L2059" s="1" t="s">
        <v>2587</v>
      </c>
      <c r="M2059" s="1" t="s">
        <v>125</v>
      </c>
      <c r="N2059" s="1">
        <v>0</v>
      </c>
      <c r="O2059" s="1">
        <v>0</v>
      </c>
      <c r="P2059" s="1" t="s">
        <v>301</v>
      </c>
      <c r="Q2059" s="1" t="s">
        <v>268</v>
      </c>
      <c r="R2059" s="1" t="s">
        <v>15012</v>
      </c>
      <c r="S2059" s="1" t="s">
        <v>15013</v>
      </c>
      <c r="T2059" s="1" t="s">
        <v>14784</v>
      </c>
      <c r="U2059" s="1" t="s">
        <v>15014</v>
      </c>
      <c r="V2059" s="1">
        <v>1</v>
      </c>
      <c r="W2059" s="1">
        <v>1</v>
      </c>
      <c r="X2059" s="1">
        <v>0</v>
      </c>
      <c r="Y2059" s="1">
        <v>0</v>
      </c>
      <c r="Z2059" s="1">
        <v>0</v>
      </c>
      <c r="AA2059" s="1">
        <v>3</v>
      </c>
      <c r="AB2059" s="1">
        <v>3</v>
      </c>
      <c r="AC2059" s="1" t="s">
        <v>109</v>
      </c>
      <c r="AD2059" s="1" t="s">
        <v>109</v>
      </c>
      <c r="AE2059" s="1" t="s">
        <v>109</v>
      </c>
      <c r="AF2059" s="1">
        <v>2</v>
      </c>
      <c r="AG2059" s="1" t="s">
        <v>109</v>
      </c>
      <c r="AH2059" s="1" t="s">
        <v>109</v>
      </c>
      <c r="AI2059" s="1" t="s">
        <v>109</v>
      </c>
      <c r="AJ2059" s="1">
        <v>3</v>
      </c>
      <c r="AK2059" s="1" t="s">
        <v>109</v>
      </c>
      <c r="AL2059" s="1" t="s">
        <v>109</v>
      </c>
      <c r="AM2059" s="1" t="s">
        <v>109</v>
      </c>
      <c r="AN2059" s="1" t="s">
        <v>109</v>
      </c>
      <c r="AO2059" s="1" t="s">
        <v>109</v>
      </c>
      <c r="AP2059" s="1"/>
      <c r="AQ2059" s="1">
        <v>3</v>
      </c>
      <c r="AR2059" s="1"/>
      <c r="AS2059" s="1" t="s">
        <v>15015</v>
      </c>
      <c r="AT2059" s="1">
        <v>0</v>
      </c>
      <c r="AU2059" s="1">
        <v>0</v>
      </c>
      <c r="AV2059" s="1">
        <v>0</v>
      </c>
      <c r="AW2059" s="1">
        <v>0</v>
      </c>
      <c r="AX2059" s="1">
        <v>0</v>
      </c>
      <c r="AY2059" s="1">
        <v>0</v>
      </c>
      <c r="AZ2059" s="1">
        <v>0</v>
      </c>
      <c r="BA2059" s="1">
        <v>0</v>
      </c>
      <c r="BB2059" s="1">
        <v>0</v>
      </c>
      <c r="BC2059" s="1">
        <v>0</v>
      </c>
      <c r="BD2059" s="1">
        <v>0</v>
      </c>
      <c r="BE2059" s="1">
        <v>0</v>
      </c>
      <c r="BF2059" s="1">
        <v>0</v>
      </c>
      <c r="BG2059" s="1">
        <v>0</v>
      </c>
      <c r="BH2059" s="1">
        <v>0</v>
      </c>
      <c r="BI2059" s="1">
        <v>0</v>
      </c>
      <c r="BJ2059" s="1">
        <v>0</v>
      </c>
      <c r="BK2059" s="1">
        <v>0</v>
      </c>
      <c r="BL2059" s="1">
        <v>0</v>
      </c>
      <c r="BM2059" s="1">
        <v>1</v>
      </c>
      <c r="BN2059" s="1">
        <v>0</v>
      </c>
      <c r="BO2059" s="1">
        <v>0</v>
      </c>
      <c r="BP2059" s="1">
        <v>0</v>
      </c>
      <c r="BQ2059" s="1">
        <v>0</v>
      </c>
      <c r="BR2059" s="1">
        <v>0</v>
      </c>
      <c r="BS2059" s="1" t="s">
        <v>109</v>
      </c>
      <c r="BT2059" s="1">
        <v>2146</v>
      </c>
      <c r="BU2059" s="1" t="s">
        <v>109</v>
      </c>
      <c r="BV2059" s="1"/>
      <c r="BW2059" s="1"/>
      <c r="BX2059" s="1"/>
      <c r="BY2059" s="1"/>
      <c r="BZ2059" s="1">
        <v>0</v>
      </c>
      <c r="CA2059" s="1" t="s">
        <v>109</v>
      </c>
      <c r="CB2059" s="1" t="s">
        <v>109</v>
      </c>
      <c r="CC2059" s="1">
        <v>3</v>
      </c>
      <c r="CD2059" s="1" t="s">
        <v>109</v>
      </c>
      <c r="CE2059" s="1">
        <v>2</v>
      </c>
      <c r="CF2059" s="1" t="s">
        <v>109</v>
      </c>
      <c r="CG2059" s="1" t="s">
        <v>109</v>
      </c>
      <c r="CH2059" s="1" t="s">
        <v>109</v>
      </c>
      <c r="CI2059" s="1" t="s">
        <v>109</v>
      </c>
      <c r="CJ2059" s="1" t="s">
        <v>109</v>
      </c>
      <c r="CK2059" s="1"/>
      <c r="CL2059" s="1">
        <v>0</v>
      </c>
      <c r="CM2059" s="1">
        <v>0</v>
      </c>
      <c r="CN2059" s="1">
        <v>0</v>
      </c>
    </row>
    <row r="2060" spans="1:92" ht="14.25" customHeight="1" x14ac:dyDescent="0.15">
      <c r="A2060" s="1" t="s">
        <v>15016</v>
      </c>
      <c r="B2060" s="1" t="s">
        <v>95</v>
      </c>
      <c r="C2060" s="1" t="s">
        <v>96</v>
      </c>
      <c r="D2060" s="1"/>
      <c r="E2060" s="1" t="s">
        <v>15017</v>
      </c>
      <c r="F2060" s="1" t="s">
        <v>98</v>
      </c>
      <c r="G2060" s="1" t="s">
        <v>333</v>
      </c>
      <c r="H2060" s="1">
        <v>0</v>
      </c>
      <c r="I2060" s="1" t="s">
        <v>142</v>
      </c>
      <c r="J2060" s="1"/>
      <c r="K2060" s="1" t="s">
        <v>15018</v>
      </c>
      <c r="L2060" s="1"/>
      <c r="M2060" s="1" t="s">
        <v>574</v>
      </c>
      <c r="N2060" s="1">
        <v>1</v>
      </c>
      <c r="O2060" s="1">
        <v>0</v>
      </c>
      <c r="P2060" s="1" t="s">
        <v>103</v>
      </c>
      <c r="Q2060" s="1" t="s">
        <v>104</v>
      </c>
      <c r="R2060" s="1" t="s">
        <v>15019</v>
      </c>
      <c r="S2060" s="1" t="s">
        <v>15020</v>
      </c>
      <c r="T2060" s="1" t="s">
        <v>14784</v>
      </c>
      <c r="U2060" s="1" t="s">
        <v>15021</v>
      </c>
      <c r="V2060" s="1">
        <v>1</v>
      </c>
      <c r="W2060" s="1">
        <v>0</v>
      </c>
      <c r="X2060" s="1">
        <v>0</v>
      </c>
      <c r="Y2060" s="1">
        <v>0</v>
      </c>
      <c r="Z2060" s="1">
        <v>0</v>
      </c>
      <c r="AA2060" s="1">
        <v>9</v>
      </c>
      <c r="AB2060" s="1">
        <v>9</v>
      </c>
      <c r="AC2060" s="1" t="s">
        <v>109</v>
      </c>
      <c r="AD2060" s="1" t="s">
        <v>109</v>
      </c>
      <c r="AE2060" s="1" t="s">
        <v>109</v>
      </c>
      <c r="AF2060" s="1" t="s">
        <v>109</v>
      </c>
      <c r="AG2060" s="1" t="s">
        <v>109</v>
      </c>
      <c r="AH2060" s="1" t="s">
        <v>109</v>
      </c>
      <c r="AI2060" s="1" t="s">
        <v>109</v>
      </c>
      <c r="AJ2060" s="1" t="s">
        <v>109</v>
      </c>
      <c r="AK2060" s="1" t="s">
        <v>109</v>
      </c>
      <c r="AL2060" s="1" t="s">
        <v>109</v>
      </c>
      <c r="AM2060" s="1" t="s">
        <v>109</v>
      </c>
      <c r="AN2060" s="1" t="s">
        <v>109</v>
      </c>
      <c r="AO2060" s="1" t="s">
        <v>109</v>
      </c>
      <c r="AP2060" s="1"/>
      <c r="AQ2060" s="1">
        <v>9</v>
      </c>
      <c r="AR2060" s="1"/>
      <c r="AS2060" s="1" t="s">
        <v>15022</v>
      </c>
      <c r="AT2060" s="1">
        <v>0</v>
      </c>
      <c r="AU2060" s="1">
        <v>0</v>
      </c>
      <c r="AV2060" s="1">
        <v>0</v>
      </c>
      <c r="AW2060" s="1">
        <v>0</v>
      </c>
      <c r="AX2060" s="1">
        <v>0</v>
      </c>
      <c r="AY2060" s="1">
        <v>0</v>
      </c>
      <c r="AZ2060" s="1">
        <v>0</v>
      </c>
      <c r="BA2060" s="1">
        <v>0</v>
      </c>
      <c r="BB2060" s="1">
        <v>0</v>
      </c>
      <c r="BC2060" s="1">
        <v>0</v>
      </c>
      <c r="BD2060" s="1">
        <v>0</v>
      </c>
      <c r="BE2060" s="1">
        <v>0</v>
      </c>
      <c r="BF2060" s="1">
        <v>0</v>
      </c>
      <c r="BG2060" s="1">
        <v>0</v>
      </c>
      <c r="BH2060" s="1">
        <v>0</v>
      </c>
      <c r="BI2060" s="1">
        <v>0</v>
      </c>
      <c r="BJ2060" s="1">
        <v>0</v>
      </c>
      <c r="BK2060" s="1">
        <v>0</v>
      </c>
      <c r="BL2060" s="1">
        <v>0</v>
      </c>
      <c r="BM2060" s="1">
        <v>0</v>
      </c>
      <c r="BN2060" s="1">
        <v>0</v>
      </c>
      <c r="BO2060" s="1">
        <v>0</v>
      </c>
      <c r="BP2060" s="1">
        <v>0</v>
      </c>
      <c r="BQ2060" s="1">
        <v>0</v>
      </c>
      <c r="BR2060" s="1">
        <v>0</v>
      </c>
      <c r="BS2060" s="1" t="s">
        <v>109</v>
      </c>
      <c r="BT2060" s="1">
        <v>2147</v>
      </c>
      <c r="BU2060" s="1" t="s">
        <v>109</v>
      </c>
      <c r="BV2060" s="1" t="s">
        <v>15023</v>
      </c>
      <c r="BW2060" s="1"/>
      <c r="BX2060" s="1"/>
      <c r="BY2060" s="1"/>
      <c r="BZ2060" s="1">
        <v>0</v>
      </c>
      <c r="CA2060" s="1" t="s">
        <v>109</v>
      </c>
      <c r="CB2060" s="1" t="s">
        <v>109</v>
      </c>
      <c r="CC2060" s="1">
        <v>8</v>
      </c>
      <c r="CD2060" s="1" t="s">
        <v>109</v>
      </c>
      <c r="CE2060" s="1" t="s">
        <v>109</v>
      </c>
      <c r="CF2060" s="1" t="s">
        <v>109</v>
      </c>
      <c r="CG2060" s="1" t="s">
        <v>109</v>
      </c>
      <c r="CH2060" s="1" t="s">
        <v>109</v>
      </c>
      <c r="CI2060" s="1" t="s">
        <v>109</v>
      </c>
      <c r="CJ2060" s="1" t="s">
        <v>109</v>
      </c>
      <c r="CK2060" s="1"/>
      <c r="CL2060" s="1">
        <v>0</v>
      </c>
      <c r="CM2060" s="1">
        <v>0</v>
      </c>
      <c r="CN2060" s="1">
        <v>0</v>
      </c>
    </row>
    <row r="2061" spans="1:92" ht="14.25" customHeight="1" x14ac:dyDescent="0.15">
      <c r="A2061" s="1" t="s">
        <v>15024</v>
      </c>
      <c r="B2061" s="1" t="s">
        <v>189</v>
      </c>
      <c r="C2061" s="1"/>
      <c r="D2061" s="1"/>
      <c r="E2061" s="1" t="s">
        <v>15025</v>
      </c>
      <c r="F2061" s="1" t="s">
        <v>1963</v>
      </c>
      <c r="G2061" s="1" t="s">
        <v>141</v>
      </c>
      <c r="H2061" s="1">
        <v>0</v>
      </c>
      <c r="I2061" s="1" t="s">
        <v>235</v>
      </c>
      <c r="J2061" s="1"/>
      <c r="K2061" s="1"/>
      <c r="L2061" s="1" t="s">
        <v>236</v>
      </c>
      <c r="M2061" s="1" t="s">
        <v>144</v>
      </c>
      <c r="N2061" s="1">
        <v>0</v>
      </c>
      <c r="O2061" s="1">
        <v>0</v>
      </c>
      <c r="P2061" s="1" t="s">
        <v>103</v>
      </c>
      <c r="Q2061" s="1" t="s">
        <v>104</v>
      </c>
      <c r="R2061" s="1" t="s">
        <v>15026</v>
      </c>
      <c r="S2061" s="1" t="s">
        <v>15027</v>
      </c>
      <c r="T2061" s="1" t="s">
        <v>14784</v>
      </c>
      <c r="U2061" s="1" t="s">
        <v>15028</v>
      </c>
      <c r="V2061" s="1">
        <v>1</v>
      </c>
      <c r="W2061" s="1">
        <v>1</v>
      </c>
      <c r="X2061" s="1">
        <v>0</v>
      </c>
      <c r="Y2061" s="1">
        <v>0</v>
      </c>
      <c r="Z2061" s="1">
        <v>0</v>
      </c>
      <c r="AA2061" s="1" t="s">
        <v>109</v>
      </c>
      <c r="AB2061" s="1" t="s">
        <v>109</v>
      </c>
      <c r="AC2061" s="1" t="s">
        <v>109</v>
      </c>
      <c r="AD2061" s="1" t="s">
        <v>109</v>
      </c>
      <c r="AE2061" s="1" t="s">
        <v>109</v>
      </c>
      <c r="AF2061" s="1" t="s">
        <v>109</v>
      </c>
      <c r="AG2061" s="1" t="s">
        <v>109</v>
      </c>
      <c r="AH2061" s="1" t="s">
        <v>109</v>
      </c>
      <c r="AI2061" s="1" t="s">
        <v>109</v>
      </c>
      <c r="AJ2061" s="1" t="s">
        <v>109</v>
      </c>
      <c r="AK2061" s="1" t="s">
        <v>109</v>
      </c>
      <c r="AL2061" s="1" t="s">
        <v>109</v>
      </c>
      <c r="AM2061" s="1" t="s">
        <v>109</v>
      </c>
      <c r="AN2061" s="1" t="s">
        <v>109</v>
      </c>
      <c r="AO2061" s="1" t="s">
        <v>109</v>
      </c>
      <c r="AP2061" s="1"/>
      <c r="AQ2061" s="1">
        <v>1</v>
      </c>
      <c r="AR2061" s="1"/>
      <c r="AS2061" s="1" t="s">
        <v>15029</v>
      </c>
      <c r="AT2061" s="1">
        <v>0</v>
      </c>
      <c r="AU2061" s="1">
        <v>0</v>
      </c>
      <c r="AV2061" s="1">
        <v>0</v>
      </c>
      <c r="AW2061" s="1">
        <v>0</v>
      </c>
      <c r="AX2061" s="1">
        <v>0</v>
      </c>
      <c r="AY2061" s="1">
        <v>0</v>
      </c>
      <c r="AZ2061" s="1">
        <v>0</v>
      </c>
      <c r="BA2061" s="1">
        <v>0</v>
      </c>
      <c r="BB2061" s="1">
        <v>0</v>
      </c>
      <c r="BC2061" s="1">
        <v>0</v>
      </c>
      <c r="BD2061" s="1">
        <v>0</v>
      </c>
      <c r="BE2061" s="1">
        <v>0</v>
      </c>
      <c r="BF2061" s="1">
        <v>0</v>
      </c>
      <c r="BG2061" s="1">
        <v>0</v>
      </c>
      <c r="BH2061" s="1">
        <v>0</v>
      </c>
      <c r="BI2061" s="1">
        <v>0</v>
      </c>
      <c r="BJ2061" s="1">
        <v>0</v>
      </c>
      <c r="BK2061" s="1">
        <v>0</v>
      </c>
      <c r="BL2061" s="1">
        <v>0</v>
      </c>
      <c r="BM2061" s="1">
        <v>0</v>
      </c>
      <c r="BN2061" s="1">
        <v>0</v>
      </c>
      <c r="BO2061" s="1">
        <v>0</v>
      </c>
      <c r="BP2061" s="1">
        <v>0</v>
      </c>
      <c r="BQ2061" s="1">
        <v>0</v>
      </c>
      <c r="BR2061" s="1">
        <v>0</v>
      </c>
      <c r="BS2061" s="1" t="s">
        <v>109</v>
      </c>
      <c r="BT2061" s="1">
        <v>2148</v>
      </c>
      <c r="BU2061" s="1" t="s">
        <v>109</v>
      </c>
      <c r="BV2061" s="1"/>
      <c r="BW2061" s="1"/>
      <c r="BX2061" s="1"/>
      <c r="BY2061" s="1"/>
      <c r="BZ2061" s="1">
        <v>0</v>
      </c>
      <c r="CA2061" s="1" t="s">
        <v>109</v>
      </c>
      <c r="CB2061" s="1" t="s">
        <v>109</v>
      </c>
      <c r="CC2061" s="1">
        <v>1</v>
      </c>
      <c r="CD2061" s="1" t="s">
        <v>109</v>
      </c>
      <c r="CE2061" s="1">
        <v>1</v>
      </c>
      <c r="CF2061" s="1" t="s">
        <v>109</v>
      </c>
      <c r="CG2061" s="1">
        <v>1</v>
      </c>
      <c r="CH2061" s="1" t="s">
        <v>109</v>
      </c>
      <c r="CI2061" s="1" t="s">
        <v>109</v>
      </c>
      <c r="CJ2061" s="1" t="s">
        <v>109</v>
      </c>
      <c r="CK2061" s="1"/>
      <c r="CL2061" s="1">
        <v>0</v>
      </c>
      <c r="CM2061" s="1">
        <v>0</v>
      </c>
      <c r="CN2061" s="1">
        <v>0</v>
      </c>
    </row>
    <row r="2062" spans="1:92" ht="14.25" customHeight="1" x14ac:dyDescent="0.15">
      <c r="A2062" s="1" t="s">
        <v>15030</v>
      </c>
      <c r="B2062" s="1" t="s">
        <v>189</v>
      </c>
      <c r="C2062" s="1"/>
      <c r="D2062" s="1"/>
      <c r="E2062" s="1" t="s">
        <v>15031</v>
      </c>
      <c r="F2062" s="1" t="s">
        <v>1963</v>
      </c>
      <c r="G2062" s="1" t="s">
        <v>141</v>
      </c>
      <c r="H2062" s="1">
        <v>0</v>
      </c>
      <c r="I2062" s="1" t="s">
        <v>235</v>
      </c>
      <c r="J2062" s="1"/>
      <c r="K2062" s="1"/>
      <c r="L2062" s="1" t="s">
        <v>236</v>
      </c>
      <c r="M2062" s="1" t="s">
        <v>144</v>
      </c>
      <c r="N2062" s="1">
        <v>0</v>
      </c>
      <c r="O2062" s="1">
        <v>0</v>
      </c>
      <c r="P2062" s="1" t="s">
        <v>103</v>
      </c>
      <c r="Q2062" s="1" t="s">
        <v>104</v>
      </c>
      <c r="R2062" s="1" t="s">
        <v>15032</v>
      </c>
      <c r="S2062" s="1" t="s">
        <v>15033</v>
      </c>
      <c r="T2062" s="1" t="s">
        <v>14784</v>
      </c>
      <c r="U2062" s="1" t="s">
        <v>15034</v>
      </c>
      <c r="V2062" s="1">
        <v>1</v>
      </c>
      <c r="W2062" s="1">
        <v>1</v>
      </c>
      <c r="X2062" s="1">
        <v>0</v>
      </c>
      <c r="Y2062" s="1">
        <v>0</v>
      </c>
      <c r="Z2062" s="1">
        <v>0</v>
      </c>
      <c r="AA2062" s="1" t="s">
        <v>109</v>
      </c>
      <c r="AB2062" s="1" t="s">
        <v>109</v>
      </c>
      <c r="AC2062" s="1" t="s">
        <v>109</v>
      </c>
      <c r="AD2062" s="1" t="s">
        <v>109</v>
      </c>
      <c r="AE2062" s="1" t="s">
        <v>109</v>
      </c>
      <c r="AF2062" s="1" t="s">
        <v>109</v>
      </c>
      <c r="AG2062" s="1" t="s">
        <v>109</v>
      </c>
      <c r="AH2062" s="1" t="s">
        <v>109</v>
      </c>
      <c r="AI2062" s="1" t="s">
        <v>109</v>
      </c>
      <c r="AJ2062" s="1" t="s">
        <v>109</v>
      </c>
      <c r="AK2062" s="1" t="s">
        <v>109</v>
      </c>
      <c r="AL2062" s="1" t="s">
        <v>109</v>
      </c>
      <c r="AM2062" s="1" t="s">
        <v>109</v>
      </c>
      <c r="AN2062" s="1" t="s">
        <v>109</v>
      </c>
      <c r="AO2062" s="1" t="s">
        <v>109</v>
      </c>
      <c r="AP2062" s="1"/>
      <c r="AQ2062" s="1">
        <v>1</v>
      </c>
      <c r="AR2062" s="1"/>
      <c r="AS2062" s="1" t="s">
        <v>15035</v>
      </c>
      <c r="AT2062" s="1">
        <v>0</v>
      </c>
      <c r="AU2062" s="1">
        <v>0</v>
      </c>
      <c r="AV2062" s="1">
        <v>0</v>
      </c>
      <c r="AW2062" s="1">
        <v>0</v>
      </c>
      <c r="AX2062" s="1">
        <v>0</v>
      </c>
      <c r="AY2062" s="1">
        <v>0</v>
      </c>
      <c r="AZ2062" s="1">
        <v>0</v>
      </c>
      <c r="BA2062" s="1">
        <v>0</v>
      </c>
      <c r="BB2062" s="1">
        <v>0</v>
      </c>
      <c r="BC2062" s="1">
        <v>0</v>
      </c>
      <c r="BD2062" s="1">
        <v>0</v>
      </c>
      <c r="BE2062" s="1">
        <v>0</v>
      </c>
      <c r="BF2062" s="1">
        <v>0</v>
      </c>
      <c r="BG2062" s="1">
        <v>0</v>
      </c>
      <c r="BH2062" s="1">
        <v>0</v>
      </c>
      <c r="BI2062" s="1">
        <v>0</v>
      </c>
      <c r="BJ2062" s="1">
        <v>0</v>
      </c>
      <c r="BK2062" s="1">
        <v>0</v>
      </c>
      <c r="BL2062" s="1">
        <v>0</v>
      </c>
      <c r="BM2062" s="1">
        <v>0</v>
      </c>
      <c r="BN2062" s="1">
        <v>0</v>
      </c>
      <c r="BO2062" s="1">
        <v>0</v>
      </c>
      <c r="BP2062" s="1">
        <v>0</v>
      </c>
      <c r="BQ2062" s="1">
        <v>0</v>
      </c>
      <c r="BR2062" s="1">
        <v>0</v>
      </c>
      <c r="BS2062" s="1" t="s">
        <v>109</v>
      </c>
      <c r="BT2062" s="1">
        <v>2149</v>
      </c>
      <c r="BU2062" s="1" t="s">
        <v>109</v>
      </c>
      <c r="BV2062" s="1"/>
      <c r="BW2062" s="1"/>
      <c r="BX2062" s="1"/>
      <c r="BY2062" s="1"/>
      <c r="BZ2062" s="1">
        <v>0</v>
      </c>
      <c r="CA2062" s="1" t="s">
        <v>109</v>
      </c>
      <c r="CB2062" s="1" t="s">
        <v>109</v>
      </c>
      <c r="CC2062" s="1">
        <v>1</v>
      </c>
      <c r="CD2062" s="1">
        <v>1</v>
      </c>
      <c r="CE2062" s="1">
        <v>1</v>
      </c>
      <c r="CF2062" s="1" t="s">
        <v>109</v>
      </c>
      <c r="CG2062" s="1">
        <v>1</v>
      </c>
      <c r="CH2062" s="1" t="s">
        <v>109</v>
      </c>
      <c r="CI2062" s="1" t="s">
        <v>109</v>
      </c>
      <c r="CJ2062" s="1" t="s">
        <v>109</v>
      </c>
      <c r="CK2062" s="1"/>
      <c r="CL2062" s="1">
        <v>0</v>
      </c>
      <c r="CM2062" s="1">
        <v>0</v>
      </c>
      <c r="CN2062" s="1">
        <v>0</v>
      </c>
    </row>
    <row r="2063" spans="1:92" ht="14.25" customHeight="1" x14ac:dyDescent="0.15">
      <c r="A2063" s="1" t="s">
        <v>15036</v>
      </c>
      <c r="B2063" s="1" t="s">
        <v>95</v>
      </c>
      <c r="C2063" s="1" t="s">
        <v>3570</v>
      </c>
      <c r="D2063" s="1"/>
      <c r="E2063" s="1" t="s">
        <v>15037</v>
      </c>
      <c r="F2063" s="1" t="s">
        <v>395</v>
      </c>
      <c r="G2063" s="1" t="s">
        <v>141</v>
      </c>
      <c r="H2063" s="1">
        <v>0</v>
      </c>
      <c r="I2063" s="1" t="s">
        <v>356</v>
      </c>
      <c r="J2063" s="1"/>
      <c r="K2063" s="1" t="s">
        <v>15038</v>
      </c>
      <c r="L2063" s="1"/>
      <c r="M2063" s="1" t="s">
        <v>300</v>
      </c>
      <c r="N2063" s="1">
        <v>0</v>
      </c>
      <c r="O2063" s="1">
        <v>0</v>
      </c>
      <c r="P2063" s="1" t="s">
        <v>564</v>
      </c>
      <c r="Q2063" s="1" t="s">
        <v>104</v>
      </c>
      <c r="R2063" s="1" t="s">
        <v>15039</v>
      </c>
      <c r="S2063" s="1" t="s">
        <v>15040</v>
      </c>
      <c r="T2063" s="1" t="s">
        <v>14784</v>
      </c>
      <c r="U2063" s="1" t="s">
        <v>15041</v>
      </c>
      <c r="V2063" s="1">
        <v>1</v>
      </c>
      <c r="W2063" s="1">
        <v>1</v>
      </c>
      <c r="X2063" s="1">
        <v>0</v>
      </c>
      <c r="Y2063" s="1">
        <v>0</v>
      </c>
      <c r="Z2063" s="1">
        <v>0</v>
      </c>
      <c r="AA2063" s="1" t="s">
        <v>109</v>
      </c>
      <c r="AB2063" s="1" t="s">
        <v>109</v>
      </c>
      <c r="AC2063" s="1">
        <v>5</v>
      </c>
      <c r="AD2063" s="1" t="s">
        <v>109</v>
      </c>
      <c r="AE2063" s="1" t="s">
        <v>109</v>
      </c>
      <c r="AF2063" s="1" t="s">
        <v>109</v>
      </c>
      <c r="AG2063" s="1" t="s">
        <v>109</v>
      </c>
      <c r="AH2063" s="1" t="s">
        <v>109</v>
      </c>
      <c r="AI2063" s="1" t="s">
        <v>109</v>
      </c>
      <c r="AJ2063" s="1" t="s">
        <v>109</v>
      </c>
      <c r="AK2063" s="1" t="s">
        <v>109</v>
      </c>
      <c r="AL2063" s="1">
        <v>5</v>
      </c>
      <c r="AM2063" s="1" t="s">
        <v>109</v>
      </c>
      <c r="AN2063" s="1" t="s">
        <v>109</v>
      </c>
      <c r="AO2063" s="1" t="s">
        <v>109</v>
      </c>
      <c r="AP2063" s="1"/>
      <c r="AQ2063" s="1">
        <v>5</v>
      </c>
      <c r="AR2063" s="1"/>
      <c r="AS2063" s="1" t="s">
        <v>15042</v>
      </c>
      <c r="AT2063" s="1">
        <v>0</v>
      </c>
      <c r="AU2063" s="1">
        <v>0</v>
      </c>
      <c r="AV2063" s="1">
        <v>0</v>
      </c>
      <c r="AW2063" s="1">
        <v>0</v>
      </c>
      <c r="AX2063" s="1">
        <v>0</v>
      </c>
      <c r="AY2063" s="1">
        <v>0</v>
      </c>
      <c r="AZ2063" s="1">
        <v>0</v>
      </c>
      <c r="BA2063" s="1">
        <v>0</v>
      </c>
      <c r="BB2063" s="1">
        <v>0</v>
      </c>
      <c r="BC2063" s="1">
        <v>0</v>
      </c>
      <c r="BD2063" s="1">
        <v>0</v>
      </c>
      <c r="BE2063" s="1">
        <v>0</v>
      </c>
      <c r="BF2063" s="1">
        <v>0</v>
      </c>
      <c r="BG2063" s="1">
        <v>0</v>
      </c>
      <c r="BH2063" s="1">
        <v>0</v>
      </c>
      <c r="BI2063" s="1">
        <v>0</v>
      </c>
      <c r="BJ2063" s="1">
        <v>0</v>
      </c>
      <c r="BK2063" s="1">
        <v>0</v>
      </c>
      <c r="BL2063" s="1">
        <v>0</v>
      </c>
      <c r="BM2063" s="1">
        <v>0</v>
      </c>
      <c r="BN2063" s="1">
        <v>0</v>
      </c>
      <c r="BO2063" s="1">
        <v>0</v>
      </c>
      <c r="BP2063" s="1">
        <v>0</v>
      </c>
      <c r="BQ2063" s="1">
        <v>0</v>
      </c>
      <c r="BR2063" s="1">
        <v>0</v>
      </c>
      <c r="BS2063" s="1" t="s">
        <v>109</v>
      </c>
      <c r="BT2063" s="1">
        <v>2150</v>
      </c>
      <c r="BU2063" s="1" t="s">
        <v>109</v>
      </c>
      <c r="BV2063" s="1"/>
      <c r="BW2063" s="1"/>
      <c r="BX2063" s="1"/>
      <c r="BY2063" s="1"/>
      <c r="BZ2063" s="1">
        <v>0</v>
      </c>
      <c r="CA2063" s="1" t="s">
        <v>109</v>
      </c>
      <c r="CB2063" s="1">
        <v>5</v>
      </c>
      <c r="CC2063" s="1" t="s">
        <v>109</v>
      </c>
      <c r="CD2063" s="1">
        <v>3</v>
      </c>
      <c r="CE2063" s="1" t="s">
        <v>109</v>
      </c>
      <c r="CF2063" s="1" t="s">
        <v>109</v>
      </c>
      <c r="CG2063" s="1">
        <v>5</v>
      </c>
      <c r="CH2063" s="1" t="s">
        <v>109</v>
      </c>
      <c r="CI2063" s="1" t="s">
        <v>109</v>
      </c>
      <c r="CJ2063" s="1" t="s">
        <v>109</v>
      </c>
      <c r="CK2063" s="1"/>
      <c r="CL2063" s="1">
        <v>0</v>
      </c>
      <c r="CM2063" s="1">
        <v>0</v>
      </c>
      <c r="CN2063" s="1">
        <v>0</v>
      </c>
    </row>
    <row r="2064" spans="1:92" ht="14.25" customHeight="1" x14ac:dyDescent="0.15">
      <c r="A2064" s="1" t="s">
        <v>15043</v>
      </c>
      <c r="B2064" s="1" t="s">
        <v>308</v>
      </c>
      <c r="C2064" s="1"/>
      <c r="D2064" s="1"/>
      <c r="E2064" s="1" t="s">
        <v>15044</v>
      </c>
      <c r="F2064" s="1" t="s">
        <v>98</v>
      </c>
      <c r="G2064" s="1" t="s">
        <v>141</v>
      </c>
      <c r="H2064" s="1">
        <v>0</v>
      </c>
      <c r="I2064" s="1" t="s">
        <v>142</v>
      </c>
      <c r="J2064" s="1"/>
      <c r="K2064" s="1"/>
      <c r="L2064" s="1" t="s">
        <v>15045</v>
      </c>
      <c r="M2064" s="1" t="s">
        <v>15046</v>
      </c>
      <c r="N2064" s="1">
        <v>0</v>
      </c>
      <c r="O2064" s="1">
        <v>0</v>
      </c>
      <c r="P2064" s="1" t="s">
        <v>15047</v>
      </c>
      <c r="Q2064" s="1" t="s">
        <v>268</v>
      </c>
      <c r="R2064" s="1" t="s">
        <v>15048</v>
      </c>
      <c r="S2064" s="1" t="s">
        <v>15049</v>
      </c>
      <c r="T2064" s="1" t="s">
        <v>14784</v>
      </c>
      <c r="U2064" s="1" t="s">
        <v>15050</v>
      </c>
      <c r="V2064" s="1">
        <v>1</v>
      </c>
      <c r="W2064" s="1">
        <v>1</v>
      </c>
      <c r="X2064" s="1">
        <v>0</v>
      </c>
      <c r="Y2064" s="1">
        <v>0</v>
      </c>
      <c r="Z2064" s="1">
        <v>0</v>
      </c>
      <c r="AA2064" s="1" t="s">
        <v>109</v>
      </c>
      <c r="AB2064" s="1" t="s">
        <v>109</v>
      </c>
      <c r="AC2064" s="1">
        <v>2</v>
      </c>
      <c r="AD2064" s="1" t="s">
        <v>109</v>
      </c>
      <c r="AE2064" s="1" t="s">
        <v>109</v>
      </c>
      <c r="AF2064" s="1" t="s">
        <v>109</v>
      </c>
      <c r="AG2064" s="1" t="s">
        <v>109</v>
      </c>
      <c r="AH2064" s="1" t="s">
        <v>109</v>
      </c>
      <c r="AI2064" s="1" t="s">
        <v>109</v>
      </c>
      <c r="AJ2064" s="1" t="s">
        <v>109</v>
      </c>
      <c r="AK2064" s="1" t="s">
        <v>109</v>
      </c>
      <c r="AL2064" s="1">
        <v>2</v>
      </c>
      <c r="AM2064" s="1" t="s">
        <v>109</v>
      </c>
      <c r="AN2064" s="1" t="s">
        <v>109</v>
      </c>
      <c r="AO2064" s="1" t="s">
        <v>109</v>
      </c>
      <c r="AP2064" s="1"/>
      <c r="AQ2064" s="1">
        <v>2</v>
      </c>
      <c r="AR2064" s="1"/>
      <c r="AS2064" s="1" t="s">
        <v>15051</v>
      </c>
      <c r="AT2064" s="1">
        <v>0</v>
      </c>
      <c r="AU2064" s="1">
        <v>0</v>
      </c>
      <c r="AV2064" s="1">
        <v>0</v>
      </c>
      <c r="AW2064" s="1">
        <v>0</v>
      </c>
      <c r="AX2064" s="1">
        <v>0</v>
      </c>
      <c r="AY2064" s="1">
        <v>0</v>
      </c>
      <c r="AZ2064" s="1">
        <v>0</v>
      </c>
      <c r="BA2064" s="1">
        <v>0</v>
      </c>
      <c r="BB2064" s="1">
        <v>0</v>
      </c>
      <c r="BC2064" s="1">
        <v>0</v>
      </c>
      <c r="BD2064" s="1">
        <v>0</v>
      </c>
      <c r="BE2064" s="1">
        <v>0</v>
      </c>
      <c r="BF2064" s="1">
        <v>0</v>
      </c>
      <c r="BG2064" s="1">
        <v>0</v>
      </c>
      <c r="BH2064" s="1">
        <v>0</v>
      </c>
      <c r="BI2064" s="1">
        <v>0</v>
      </c>
      <c r="BJ2064" s="1">
        <v>0</v>
      </c>
      <c r="BK2064" s="1">
        <v>0</v>
      </c>
      <c r="BL2064" s="1">
        <v>0</v>
      </c>
      <c r="BM2064" s="1">
        <v>0</v>
      </c>
      <c r="BN2064" s="1">
        <v>0</v>
      </c>
      <c r="BO2064" s="1">
        <v>0</v>
      </c>
      <c r="BP2064" s="1">
        <v>0</v>
      </c>
      <c r="BQ2064" s="1">
        <v>0</v>
      </c>
      <c r="BR2064" s="1">
        <v>0</v>
      </c>
      <c r="BS2064" s="1" t="s">
        <v>109</v>
      </c>
      <c r="BT2064" s="1">
        <v>2151</v>
      </c>
      <c r="BU2064" s="1" t="s">
        <v>109</v>
      </c>
      <c r="BV2064" s="1"/>
      <c r="BW2064" s="1"/>
      <c r="BX2064" s="1"/>
      <c r="BY2064" s="1"/>
      <c r="BZ2064" s="1">
        <v>0</v>
      </c>
      <c r="CA2064" s="1" t="s">
        <v>109</v>
      </c>
      <c r="CB2064" s="1">
        <v>2</v>
      </c>
      <c r="CC2064" s="1" t="s">
        <v>109</v>
      </c>
      <c r="CD2064" s="1">
        <v>1</v>
      </c>
      <c r="CE2064" s="1" t="s">
        <v>109</v>
      </c>
      <c r="CF2064" s="1" t="s">
        <v>109</v>
      </c>
      <c r="CG2064" s="1">
        <v>2</v>
      </c>
      <c r="CH2064" s="1" t="s">
        <v>109</v>
      </c>
      <c r="CI2064" s="1" t="s">
        <v>109</v>
      </c>
      <c r="CJ2064" s="1" t="s">
        <v>109</v>
      </c>
      <c r="CK2064" s="1"/>
      <c r="CL2064" s="1">
        <v>0</v>
      </c>
      <c r="CM2064" s="1">
        <v>0</v>
      </c>
      <c r="CN2064" s="1">
        <v>0</v>
      </c>
    </row>
    <row r="2065" spans="1:92" ht="14.25" customHeight="1" x14ac:dyDescent="0.15">
      <c r="A2065" s="1" t="s">
        <v>15052</v>
      </c>
      <c r="B2065" s="1" t="s">
        <v>308</v>
      </c>
      <c r="C2065" s="1"/>
      <c r="D2065" s="1"/>
      <c r="E2065" s="1" t="s">
        <v>15053</v>
      </c>
      <c r="F2065" s="1" t="s">
        <v>98</v>
      </c>
      <c r="G2065" s="1" t="s">
        <v>2345</v>
      </c>
      <c r="H2065" s="1">
        <v>0</v>
      </c>
      <c r="I2065" s="1" t="s">
        <v>161</v>
      </c>
      <c r="J2065" s="1"/>
      <c r="K2065" s="1"/>
      <c r="L2065" s="1" t="s">
        <v>5616</v>
      </c>
      <c r="M2065" s="1" t="s">
        <v>815</v>
      </c>
      <c r="N2065" s="1">
        <v>1</v>
      </c>
      <c r="O2065" s="1">
        <v>0</v>
      </c>
      <c r="P2065" s="1" t="s">
        <v>103</v>
      </c>
      <c r="Q2065" s="1" t="s">
        <v>268</v>
      </c>
      <c r="R2065" s="1" t="s">
        <v>15054</v>
      </c>
      <c r="S2065" s="1" t="s">
        <v>15055</v>
      </c>
      <c r="T2065" s="1" t="s">
        <v>14784</v>
      </c>
      <c r="U2065" s="1" t="s">
        <v>15056</v>
      </c>
      <c r="V2065" s="1">
        <v>0</v>
      </c>
      <c r="W2065" s="1">
        <v>1</v>
      </c>
      <c r="X2065" s="1">
        <v>0</v>
      </c>
      <c r="Y2065" s="1">
        <v>0</v>
      </c>
      <c r="Z2065" s="1">
        <v>0</v>
      </c>
      <c r="AA2065" s="1">
        <v>3</v>
      </c>
      <c r="AB2065" s="1">
        <v>3</v>
      </c>
      <c r="AC2065" s="1">
        <v>3</v>
      </c>
      <c r="AD2065" s="1" t="s">
        <v>109</v>
      </c>
      <c r="AE2065" s="1" t="s">
        <v>109</v>
      </c>
      <c r="AF2065" s="1">
        <v>2</v>
      </c>
      <c r="AG2065" s="1" t="s">
        <v>109</v>
      </c>
      <c r="AH2065" s="1">
        <v>2</v>
      </c>
      <c r="AI2065" s="1" t="s">
        <v>109</v>
      </c>
      <c r="AJ2065" s="1">
        <v>3</v>
      </c>
      <c r="AK2065" s="1" t="s">
        <v>109</v>
      </c>
      <c r="AL2065" s="1">
        <v>3</v>
      </c>
      <c r="AM2065" s="1" t="s">
        <v>109</v>
      </c>
      <c r="AN2065" s="1" t="s">
        <v>109</v>
      </c>
      <c r="AO2065" s="1" t="s">
        <v>109</v>
      </c>
      <c r="AP2065" s="1"/>
      <c r="AQ2065" s="1">
        <v>3</v>
      </c>
      <c r="AR2065" s="1"/>
      <c r="AS2065" s="1" t="s">
        <v>15057</v>
      </c>
      <c r="AT2065" s="1">
        <v>0</v>
      </c>
      <c r="AU2065" s="1">
        <v>0</v>
      </c>
      <c r="AV2065" s="1">
        <v>0</v>
      </c>
      <c r="AW2065" s="1">
        <v>0</v>
      </c>
      <c r="AX2065" s="1">
        <v>0</v>
      </c>
      <c r="AY2065" s="1">
        <v>0</v>
      </c>
      <c r="AZ2065" s="1">
        <v>0</v>
      </c>
      <c r="BA2065" s="1">
        <v>0</v>
      </c>
      <c r="BB2065" s="1">
        <v>0</v>
      </c>
      <c r="BC2065" s="1">
        <v>0</v>
      </c>
      <c r="BD2065" s="1">
        <v>0</v>
      </c>
      <c r="BE2065" s="1">
        <v>0</v>
      </c>
      <c r="BF2065" s="1">
        <v>0</v>
      </c>
      <c r="BG2065" s="1">
        <v>0</v>
      </c>
      <c r="BH2065" s="1">
        <v>0</v>
      </c>
      <c r="BI2065" s="1">
        <v>0</v>
      </c>
      <c r="BJ2065" s="1">
        <v>0</v>
      </c>
      <c r="BK2065" s="1">
        <v>0</v>
      </c>
      <c r="BL2065" s="1">
        <v>0</v>
      </c>
      <c r="BM2065" s="1">
        <v>0</v>
      </c>
      <c r="BN2065" s="1">
        <v>0</v>
      </c>
      <c r="BO2065" s="1">
        <v>0</v>
      </c>
      <c r="BP2065" s="1">
        <v>0</v>
      </c>
      <c r="BQ2065" s="1">
        <v>0</v>
      </c>
      <c r="BR2065" s="1">
        <v>0</v>
      </c>
      <c r="BS2065" s="1" t="s">
        <v>109</v>
      </c>
      <c r="BT2065" s="1">
        <v>2152</v>
      </c>
      <c r="BU2065" s="1" t="s">
        <v>109</v>
      </c>
      <c r="BV2065" s="1"/>
      <c r="BW2065" s="1"/>
      <c r="BX2065" s="1"/>
      <c r="BY2065" s="1"/>
      <c r="BZ2065" s="1">
        <v>0</v>
      </c>
      <c r="CA2065" s="1" t="s">
        <v>109</v>
      </c>
      <c r="CB2065" s="1" t="s">
        <v>109</v>
      </c>
      <c r="CC2065" s="1">
        <v>3</v>
      </c>
      <c r="CD2065" s="1">
        <v>2</v>
      </c>
      <c r="CE2065" s="1">
        <v>2</v>
      </c>
      <c r="CF2065" s="1" t="s">
        <v>109</v>
      </c>
      <c r="CG2065" s="1">
        <v>2</v>
      </c>
      <c r="CH2065" s="1" t="s">
        <v>109</v>
      </c>
      <c r="CI2065" s="1" t="s">
        <v>109</v>
      </c>
      <c r="CJ2065" s="1" t="s">
        <v>109</v>
      </c>
      <c r="CK2065" s="1"/>
      <c r="CL2065" s="1">
        <v>0</v>
      </c>
      <c r="CM2065" s="1">
        <v>0</v>
      </c>
      <c r="CN2065" s="1">
        <v>0</v>
      </c>
    </row>
    <row r="2066" spans="1:92" ht="14.25" customHeight="1" x14ac:dyDescent="0.15">
      <c r="A2066" s="1" t="s">
        <v>15058</v>
      </c>
      <c r="B2066" s="1" t="s">
        <v>189</v>
      </c>
      <c r="C2066" s="1"/>
      <c r="D2066" s="1"/>
      <c r="E2066" s="1" t="s">
        <v>15059</v>
      </c>
      <c r="F2066" s="1" t="s">
        <v>395</v>
      </c>
      <c r="G2066" s="1" t="s">
        <v>141</v>
      </c>
      <c r="H2066" s="1">
        <v>0</v>
      </c>
      <c r="I2066" s="1" t="s">
        <v>161</v>
      </c>
      <c r="J2066" s="1"/>
      <c r="K2066" s="1"/>
      <c r="L2066" s="1" t="s">
        <v>1285</v>
      </c>
      <c r="M2066" s="1" t="s">
        <v>408</v>
      </c>
      <c r="N2066" s="1">
        <v>0</v>
      </c>
      <c r="O2066" s="1">
        <v>0</v>
      </c>
      <c r="P2066" s="1" t="s">
        <v>281</v>
      </c>
      <c r="Q2066" s="1" t="s">
        <v>104</v>
      </c>
      <c r="R2066" s="1" t="s">
        <v>15060</v>
      </c>
      <c r="S2066" s="1" t="s">
        <v>15061</v>
      </c>
      <c r="T2066" s="1" t="s">
        <v>14784</v>
      </c>
      <c r="U2066" s="1" t="s">
        <v>15062</v>
      </c>
      <c r="V2066" s="1">
        <v>1</v>
      </c>
      <c r="W2066" s="1">
        <v>1</v>
      </c>
      <c r="X2066" s="1">
        <v>0</v>
      </c>
      <c r="Y2066" s="1">
        <v>0</v>
      </c>
      <c r="Z2066" s="1">
        <v>0</v>
      </c>
      <c r="AA2066" s="1" t="s">
        <v>109</v>
      </c>
      <c r="AB2066" s="1" t="s">
        <v>109</v>
      </c>
      <c r="AC2066" s="1" t="s">
        <v>109</v>
      </c>
      <c r="AD2066" s="1" t="s">
        <v>109</v>
      </c>
      <c r="AE2066" s="1" t="s">
        <v>109</v>
      </c>
      <c r="AF2066" s="1" t="s">
        <v>109</v>
      </c>
      <c r="AG2066" s="1" t="s">
        <v>109</v>
      </c>
      <c r="AH2066" s="1" t="s">
        <v>109</v>
      </c>
      <c r="AI2066" s="1" t="s">
        <v>109</v>
      </c>
      <c r="AJ2066" s="1" t="s">
        <v>109</v>
      </c>
      <c r="AK2066" s="1" t="s">
        <v>109</v>
      </c>
      <c r="AL2066" s="1" t="s">
        <v>109</v>
      </c>
      <c r="AM2066" s="1" t="s">
        <v>109</v>
      </c>
      <c r="AN2066" s="1" t="s">
        <v>109</v>
      </c>
      <c r="AO2066" s="1" t="s">
        <v>109</v>
      </c>
      <c r="AP2066" s="1"/>
      <c r="AQ2066" s="1">
        <v>1</v>
      </c>
      <c r="AR2066" s="1"/>
      <c r="AS2066" s="1" t="s">
        <v>15063</v>
      </c>
      <c r="AT2066" s="1">
        <v>0</v>
      </c>
      <c r="AU2066" s="1">
        <v>0</v>
      </c>
      <c r="AV2066" s="1">
        <v>0</v>
      </c>
      <c r="AW2066" s="1">
        <v>0</v>
      </c>
      <c r="AX2066" s="1">
        <v>0</v>
      </c>
      <c r="AY2066" s="1">
        <v>0</v>
      </c>
      <c r="AZ2066" s="1">
        <v>0</v>
      </c>
      <c r="BA2066" s="1">
        <v>0</v>
      </c>
      <c r="BB2066" s="1">
        <v>0</v>
      </c>
      <c r="BC2066" s="1">
        <v>0</v>
      </c>
      <c r="BD2066" s="1">
        <v>0</v>
      </c>
      <c r="BE2066" s="1">
        <v>0</v>
      </c>
      <c r="BF2066" s="1">
        <v>0</v>
      </c>
      <c r="BG2066" s="1">
        <v>0</v>
      </c>
      <c r="BH2066" s="1">
        <v>0</v>
      </c>
      <c r="BI2066" s="1">
        <v>0</v>
      </c>
      <c r="BJ2066" s="1">
        <v>0</v>
      </c>
      <c r="BK2066" s="1">
        <v>0</v>
      </c>
      <c r="BL2066" s="1">
        <v>0</v>
      </c>
      <c r="BM2066" s="1">
        <v>0</v>
      </c>
      <c r="BN2066" s="1">
        <v>0</v>
      </c>
      <c r="BO2066" s="1">
        <v>0</v>
      </c>
      <c r="BP2066" s="1">
        <v>0</v>
      </c>
      <c r="BQ2066" s="1">
        <v>0</v>
      </c>
      <c r="BR2066" s="1">
        <v>0</v>
      </c>
      <c r="BS2066" s="1" t="s">
        <v>109</v>
      </c>
      <c r="BT2066" s="1">
        <v>2153</v>
      </c>
      <c r="BU2066" s="1" t="s">
        <v>109</v>
      </c>
      <c r="BV2066" s="1"/>
      <c r="BW2066" s="1"/>
      <c r="BX2066" s="1"/>
      <c r="BY2066" s="1"/>
      <c r="BZ2066" s="1">
        <v>0</v>
      </c>
      <c r="CA2066" s="1" t="s">
        <v>109</v>
      </c>
      <c r="CB2066" s="1" t="s">
        <v>109</v>
      </c>
      <c r="CC2066" s="1">
        <v>1</v>
      </c>
      <c r="CD2066" s="1">
        <v>1</v>
      </c>
      <c r="CE2066" s="1">
        <v>1</v>
      </c>
      <c r="CF2066" s="1">
        <v>1</v>
      </c>
      <c r="CG2066" s="1">
        <v>1</v>
      </c>
      <c r="CH2066" s="1" t="s">
        <v>109</v>
      </c>
      <c r="CI2066" s="1" t="s">
        <v>109</v>
      </c>
      <c r="CJ2066" s="1" t="s">
        <v>109</v>
      </c>
      <c r="CK2066" s="1"/>
      <c r="CL2066" s="1">
        <v>0</v>
      </c>
      <c r="CM2066" s="1">
        <v>0</v>
      </c>
      <c r="CN2066" s="1">
        <v>0</v>
      </c>
    </row>
    <row r="2067" spans="1:92" ht="14.25" customHeight="1" x14ac:dyDescent="0.15">
      <c r="A2067" s="1" t="s">
        <v>15064</v>
      </c>
      <c r="B2067" s="1" t="s">
        <v>156</v>
      </c>
      <c r="C2067" s="1" t="s">
        <v>157</v>
      </c>
      <c r="D2067" s="1" t="s">
        <v>158</v>
      </c>
      <c r="E2067" s="1" t="s">
        <v>15065</v>
      </c>
      <c r="F2067" s="1" t="s">
        <v>98</v>
      </c>
      <c r="G2067" s="1" t="s">
        <v>333</v>
      </c>
      <c r="H2067" s="1">
        <v>0</v>
      </c>
      <c r="I2067" s="1" t="s">
        <v>142</v>
      </c>
      <c r="J2067" s="1"/>
      <c r="K2067" s="1"/>
      <c r="L2067" s="1" t="s">
        <v>1391</v>
      </c>
      <c r="M2067" s="1" t="s">
        <v>574</v>
      </c>
      <c r="N2067" s="1">
        <v>1</v>
      </c>
      <c r="O2067" s="1">
        <v>0</v>
      </c>
      <c r="P2067" s="1" t="s">
        <v>301</v>
      </c>
      <c r="Q2067" s="1" t="s">
        <v>268</v>
      </c>
      <c r="R2067" s="1" t="s">
        <v>15066</v>
      </c>
      <c r="S2067" s="1" t="s">
        <v>15067</v>
      </c>
      <c r="T2067" s="1" t="s">
        <v>14784</v>
      </c>
      <c r="U2067" s="1" t="s">
        <v>15068</v>
      </c>
      <c r="V2067" s="1">
        <v>1</v>
      </c>
      <c r="W2067" s="1">
        <v>0</v>
      </c>
      <c r="X2067" s="1">
        <v>0</v>
      </c>
      <c r="Y2067" s="1">
        <v>0</v>
      </c>
      <c r="Z2067" s="1">
        <v>0</v>
      </c>
      <c r="AA2067" s="1" t="s">
        <v>109</v>
      </c>
      <c r="AB2067" s="1" t="s">
        <v>109</v>
      </c>
      <c r="AC2067" s="1" t="s">
        <v>109</v>
      </c>
      <c r="AD2067" s="1" t="s">
        <v>109</v>
      </c>
      <c r="AE2067" s="1" t="s">
        <v>109</v>
      </c>
      <c r="AF2067" s="1" t="s">
        <v>109</v>
      </c>
      <c r="AG2067" s="1" t="s">
        <v>109</v>
      </c>
      <c r="AH2067" s="1" t="s">
        <v>109</v>
      </c>
      <c r="AI2067" s="1" t="s">
        <v>109</v>
      </c>
      <c r="AJ2067" s="1" t="s">
        <v>109</v>
      </c>
      <c r="AK2067" s="1" t="s">
        <v>109</v>
      </c>
      <c r="AL2067" s="1" t="s">
        <v>109</v>
      </c>
      <c r="AM2067" s="1" t="s">
        <v>109</v>
      </c>
      <c r="AN2067" s="1" t="s">
        <v>109</v>
      </c>
      <c r="AO2067" s="1" t="s">
        <v>109</v>
      </c>
      <c r="AP2067" s="1"/>
      <c r="AQ2067" s="1" t="s">
        <v>109</v>
      </c>
      <c r="AR2067" s="1"/>
      <c r="AS2067" s="1" t="s">
        <v>15069</v>
      </c>
      <c r="AT2067" s="1">
        <v>0</v>
      </c>
      <c r="AU2067" s="1">
        <v>0</v>
      </c>
      <c r="AV2067" s="1">
        <v>0</v>
      </c>
      <c r="AW2067" s="1">
        <v>0</v>
      </c>
      <c r="AX2067" s="1">
        <v>0</v>
      </c>
      <c r="AY2067" s="1">
        <v>0</v>
      </c>
      <c r="AZ2067" s="1">
        <v>0</v>
      </c>
      <c r="BA2067" s="1">
        <v>0</v>
      </c>
      <c r="BB2067" s="1">
        <v>0</v>
      </c>
      <c r="BC2067" s="1">
        <v>0</v>
      </c>
      <c r="BD2067" s="1">
        <v>0</v>
      </c>
      <c r="BE2067" s="1">
        <v>0</v>
      </c>
      <c r="BF2067" s="1">
        <v>0</v>
      </c>
      <c r="BG2067" s="1">
        <v>0</v>
      </c>
      <c r="BH2067" s="1">
        <v>0</v>
      </c>
      <c r="BI2067" s="1">
        <v>0</v>
      </c>
      <c r="BJ2067" s="1">
        <v>0</v>
      </c>
      <c r="BK2067" s="1">
        <v>0</v>
      </c>
      <c r="BL2067" s="1">
        <v>0</v>
      </c>
      <c r="BM2067" s="1">
        <v>1</v>
      </c>
      <c r="BN2067" s="1">
        <v>0</v>
      </c>
      <c r="BO2067" s="1">
        <v>0</v>
      </c>
      <c r="BP2067" s="1">
        <v>0</v>
      </c>
      <c r="BQ2067" s="1">
        <v>0</v>
      </c>
      <c r="BR2067" s="1">
        <v>0</v>
      </c>
      <c r="BS2067" s="1" t="s">
        <v>109</v>
      </c>
      <c r="BT2067" s="1">
        <v>2154</v>
      </c>
      <c r="BU2067" s="1" t="s">
        <v>109</v>
      </c>
      <c r="BV2067" s="1"/>
      <c r="BW2067" s="1"/>
      <c r="BX2067" s="1"/>
      <c r="BY2067" s="1"/>
      <c r="BZ2067" s="1">
        <v>0</v>
      </c>
      <c r="CA2067" s="1" t="s">
        <v>109</v>
      </c>
      <c r="CB2067" s="1" t="s">
        <v>109</v>
      </c>
      <c r="CC2067" s="1">
        <v>3</v>
      </c>
      <c r="CD2067" s="1">
        <v>2</v>
      </c>
      <c r="CE2067" s="1">
        <v>2</v>
      </c>
      <c r="CF2067" s="1" t="s">
        <v>109</v>
      </c>
      <c r="CG2067" s="1" t="s">
        <v>109</v>
      </c>
      <c r="CH2067" s="1" t="s">
        <v>109</v>
      </c>
      <c r="CI2067" s="1" t="s">
        <v>109</v>
      </c>
      <c r="CJ2067" s="1" t="s">
        <v>109</v>
      </c>
      <c r="CK2067" s="1"/>
      <c r="CL2067" s="1">
        <v>0</v>
      </c>
      <c r="CM2067" s="1">
        <v>0</v>
      </c>
      <c r="CN2067" s="1">
        <v>0</v>
      </c>
    </row>
    <row r="2068" spans="1:92" ht="14.25" customHeight="1" x14ac:dyDescent="0.15">
      <c r="A2068" s="1" t="s">
        <v>15070</v>
      </c>
      <c r="B2068" s="1" t="s">
        <v>189</v>
      </c>
      <c r="C2068" s="1"/>
      <c r="D2068" s="1"/>
      <c r="E2068" s="1" t="s">
        <v>15071</v>
      </c>
      <c r="F2068" s="1" t="s">
        <v>98</v>
      </c>
      <c r="G2068" s="1" t="s">
        <v>15072</v>
      </c>
      <c r="H2068" s="1">
        <v>0</v>
      </c>
      <c r="I2068" s="1" t="s">
        <v>122</v>
      </c>
      <c r="J2068" s="1"/>
      <c r="K2068" s="1"/>
      <c r="L2068" s="1" t="s">
        <v>573</v>
      </c>
      <c r="M2068" s="1" t="s">
        <v>3042</v>
      </c>
      <c r="N2068" s="1">
        <v>0</v>
      </c>
      <c r="O2068" s="1">
        <v>0</v>
      </c>
      <c r="P2068" s="1" t="s">
        <v>103</v>
      </c>
      <c r="Q2068" s="1" t="s">
        <v>104</v>
      </c>
      <c r="R2068" s="1" t="s">
        <v>15073</v>
      </c>
      <c r="S2068" s="1" t="s">
        <v>15074</v>
      </c>
      <c r="T2068" s="1" t="s">
        <v>14784</v>
      </c>
      <c r="U2068" s="1" t="s">
        <v>15075</v>
      </c>
      <c r="V2068" s="1">
        <v>1</v>
      </c>
      <c r="W2068" s="1">
        <v>1</v>
      </c>
      <c r="X2068" s="1">
        <v>1</v>
      </c>
      <c r="Y2068" s="1">
        <v>0</v>
      </c>
      <c r="Z2068" s="1">
        <v>0</v>
      </c>
      <c r="AA2068" s="1">
        <v>5</v>
      </c>
      <c r="AB2068" s="1">
        <v>5</v>
      </c>
      <c r="AC2068" s="1" t="s">
        <v>109</v>
      </c>
      <c r="AD2068" s="1" t="s">
        <v>109</v>
      </c>
      <c r="AE2068" s="1" t="s">
        <v>109</v>
      </c>
      <c r="AF2068" s="1" t="s">
        <v>109</v>
      </c>
      <c r="AG2068" s="1" t="s">
        <v>109</v>
      </c>
      <c r="AH2068" s="1" t="s">
        <v>109</v>
      </c>
      <c r="AI2068" s="1" t="s">
        <v>109</v>
      </c>
      <c r="AJ2068" s="1" t="s">
        <v>109</v>
      </c>
      <c r="AK2068" s="1" t="s">
        <v>109</v>
      </c>
      <c r="AL2068" s="1" t="s">
        <v>109</v>
      </c>
      <c r="AM2068" s="1" t="s">
        <v>109</v>
      </c>
      <c r="AN2068" s="1" t="s">
        <v>109</v>
      </c>
      <c r="AO2068" s="1" t="s">
        <v>109</v>
      </c>
      <c r="AP2068" s="1"/>
      <c r="AQ2068" s="1">
        <v>5</v>
      </c>
      <c r="AR2068" s="1"/>
      <c r="AS2068" s="1" t="s">
        <v>15076</v>
      </c>
      <c r="AT2068" s="1">
        <v>0</v>
      </c>
      <c r="AU2068" s="1">
        <v>0</v>
      </c>
      <c r="AV2068" s="1">
        <v>0</v>
      </c>
      <c r="AW2068" s="1">
        <v>0</v>
      </c>
      <c r="AX2068" s="1">
        <v>0</v>
      </c>
      <c r="AY2068" s="1">
        <v>0</v>
      </c>
      <c r="AZ2068" s="1">
        <v>0</v>
      </c>
      <c r="BA2068" s="1">
        <v>0</v>
      </c>
      <c r="BB2068" s="1">
        <v>0</v>
      </c>
      <c r="BC2068" s="1">
        <v>0</v>
      </c>
      <c r="BD2068" s="1">
        <v>0</v>
      </c>
      <c r="BE2068" s="1">
        <v>0</v>
      </c>
      <c r="BF2068" s="1">
        <v>0</v>
      </c>
      <c r="BG2068" s="1">
        <v>0</v>
      </c>
      <c r="BH2068" s="1">
        <v>0</v>
      </c>
      <c r="BI2068" s="1">
        <v>0</v>
      </c>
      <c r="BJ2068" s="1">
        <v>0</v>
      </c>
      <c r="BK2068" s="1">
        <v>0</v>
      </c>
      <c r="BL2068" s="1">
        <v>0</v>
      </c>
      <c r="BM2068" s="1">
        <v>0</v>
      </c>
      <c r="BN2068" s="1">
        <v>0</v>
      </c>
      <c r="BO2068" s="1">
        <v>0</v>
      </c>
      <c r="BP2068" s="1">
        <v>0</v>
      </c>
      <c r="BQ2068" s="1">
        <v>0</v>
      </c>
      <c r="BR2068" s="1">
        <v>0</v>
      </c>
      <c r="BS2068" s="1" t="s">
        <v>109</v>
      </c>
      <c r="BT2068" s="1">
        <v>2155</v>
      </c>
      <c r="BU2068" s="1" t="s">
        <v>109</v>
      </c>
      <c r="BV2068" s="1"/>
      <c r="BW2068" s="1" t="s">
        <v>15077</v>
      </c>
      <c r="BX2068" s="1"/>
      <c r="BY2068" s="1"/>
      <c r="BZ2068" s="1">
        <v>0</v>
      </c>
      <c r="CA2068" s="1" t="s">
        <v>109</v>
      </c>
      <c r="CB2068" s="1" t="s">
        <v>109</v>
      </c>
      <c r="CC2068" s="1">
        <v>4</v>
      </c>
      <c r="CD2068" s="1" t="s">
        <v>109</v>
      </c>
      <c r="CE2068" s="1" t="s">
        <v>109</v>
      </c>
      <c r="CF2068" s="1" t="s">
        <v>109</v>
      </c>
      <c r="CG2068" s="1">
        <v>3</v>
      </c>
      <c r="CH2068" s="1" t="s">
        <v>109</v>
      </c>
      <c r="CI2068" s="1" t="s">
        <v>109</v>
      </c>
      <c r="CJ2068" s="1" t="s">
        <v>109</v>
      </c>
      <c r="CK2068" s="1"/>
      <c r="CL2068" s="1">
        <v>0</v>
      </c>
      <c r="CM2068" s="1">
        <v>0</v>
      </c>
      <c r="CN2068" s="1">
        <v>0</v>
      </c>
    </row>
    <row r="2069" spans="1:92" ht="14.25" customHeight="1" x14ac:dyDescent="0.15">
      <c r="A2069" s="1" t="s">
        <v>15078</v>
      </c>
      <c r="B2069" s="1" t="s">
        <v>156</v>
      </c>
      <c r="C2069" s="1" t="s">
        <v>157</v>
      </c>
      <c r="D2069" s="1" t="s">
        <v>8086</v>
      </c>
      <c r="E2069" s="1" t="s">
        <v>15079</v>
      </c>
      <c r="F2069" s="1" t="s">
        <v>98</v>
      </c>
      <c r="G2069" s="1" t="s">
        <v>141</v>
      </c>
      <c r="H2069" s="1">
        <v>0</v>
      </c>
      <c r="I2069" s="1" t="s">
        <v>142</v>
      </c>
      <c r="J2069" s="1"/>
      <c r="K2069" s="1"/>
      <c r="L2069" s="1" t="s">
        <v>1391</v>
      </c>
      <c r="M2069" s="1" t="s">
        <v>125</v>
      </c>
      <c r="N2069" s="1">
        <v>0</v>
      </c>
      <c r="O2069" s="1">
        <v>0</v>
      </c>
      <c r="P2069" s="1" t="s">
        <v>507</v>
      </c>
      <c r="Q2069" s="1" t="s">
        <v>167</v>
      </c>
      <c r="R2069" s="1" t="s">
        <v>15080</v>
      </c>
      <c r="S2069" s="1" t="s">
        <v>15081</v>
      </c>
      <c r="T2069" s="1" t="s">
        <v>14784</v>
      </c>
      <c r="U2069" s="1" t="s">
        <v>15082</v>
      </c>
      <c r="V2069" s="1">
        <v>1</v>
      </c>
      <c r="W2069" s="1">
        <v>1</v>
      </c>
      <c r="X2069" s="1">
        <v>0</v>
      </c>
      <c r="Y2069" s="1">
        <v>0</v>
      </c>
      <c r="Z2069" s="1">
        <v>0</v>
      </c>
      <c r="AA2069" s="1">
        <v>3</v>
      </c>
      <c r="AB2069" s="1">
        <v>3</v>
      </c>
      <c r="AC2069" s="1">
        <v>3</v>
      </c>
      <c r="AD2069" s="1" t="s">
        <v>109</v>
      </c>
      <c r="AE2069" s="1" t="s">
        <v>109</v>
      </c>
      <c r="AF2069" s="1">
        <v>2</v>
      </c>
      <c r="AG2069" s="1" t="s">
        <v>109</v>
      </c>
      <c r="AH2069" s="1" t="s">
        <v>109</v>
      </c>
      <c r="AI2069" s="1" t="s">
        <v>109</v>
      </c>
      <c r="AJ2069" s="1" t="s">
        <v>109</v>
      </c>
      <c r="AK2069" s="1">
        <v>3</v>
      </c>
      <c r="AL2069" s="1">
        <v>3</v>
      </c>
      <c r="AM2069" s="1" t="s">
        <v>109</v>
      </c>
      <c r="AN2069" s="1" t="s">
        <v>109</v>
      </c>
      <c r="AO2069" s="1" t="s">
        <v>109</v>
      </c>
      <c r="AP2069" s="1"/>
      <c r="AQ2069" s="1">
        <v>3</v>
      </c>
      <c r="AR2069" s="1"/>
      <c r="AS2069" s="1" t="s">
        <v>15083</v>
      </c>
      <c r="AT2069" s="1">
        <v>0</v>
      </c>
      <c r="AU2069" s="1">
        <v>0</v>
      </c>
      <c r="AV2069" s="1">
        <v>0</v>
      </c>
      <c r="AW2069" s="1">
        <v>0</v>
      </c>
      <c r="AX2069" s="1">
        <v>0</v>
      </c>
      <c r="AY2069" s="1">
        <v>0</v>
      </c>
      <c r="AZ2069" s="1">
        <v>0</v>
      </c>
      <c r="BA2069" s="1">
        <v>0</v>
      </c>
      <c r="BB2069" s="1">
        <v>0</v>
      </c>
      <c r="BC2069" s="1">
        <v>0</v>
      </c>
      <c r="BD2069" s="1">
        <v>1</v>
      </c>
      <c r="BE2069" s="1">
        <v>0</v>
      </c>
      <c r="BF2069" s="1">
        <v>0</v>
      </c>
      <c r="BG2069" s="1">
        <v>0</v>
      </c>
      <c r="BH2069" s="1">
        <v>0</v>
      </c>
      <c r="BI2069" s="1">
        <v>0</v>
      </c>
      <c r="BJ2069" s="1">
        <v>0</v>
      </c>
      <c r="BK2069" s="1">
        <v>0</v>
      </c>
      <c r="BL2069" s="1">
        <v>0</v>
      </c>
      <c r="BM2069" s="1">
        <v>1</v>
      </c>
      <c r="BN2069" s="1">
        <v>0</v>
      </c>
      <c r="BO2069" s="1">
        <v>0</v>
      </c>
      <c r="BP2069" s="1">
        <v>0</v>
      </c>
      <c r="BQ2069" s="1">
        <v>0</v>
      </c>
      <c r="BR2069" s="1">
        <v>0</v>
      </c>
      <c r="BS2069" s="1" t="s">
        <v>109</v>
      </c>
      <c r="BT2069" s="1">
        <v>2156</v>
      </c>
      <c r="BU2069" s="1" t="s">
        <v>109</v>
      </c>
      <c r="BV2069" s="1"/>
      <c r="BW2069" s="1"/>
      <c r="BX2069" s="1"/>
      <c r="BY2069" s="1"/>
      <c r="BZ2069" s="1">
        <v>0</v>
      </c>
      <c r="CA2069" s="1" t="s">
        <v>109</v>
      </c>
      <c r="CB2069" s="1" t="s">
        <v>109</v>
      </c>
      <c r="CC2069" s="1">
        <v>3</v>
      </c>
      <c r="CD2069" s="1" t="s">
        <v>109</v>
      </c>
      <c r="CE2069" s="1" t="s">
        <v>109</v>
      </c>
      <c r="CF2069" s="1" t="s">
        <v>109</v>
      </c>
      <c r="CG2069" s="1">
        <v>3</v>
      </c>
      <c r="CH2069" s="1" t="s">
        <v>109</v>
      </c>
      <c r="CI2069" s="1" t="s">
        <v>109</v>
      </c>
      <c r="CJ2069" s="1" t="s">
        <v>109</v>
      </c>
      <c r="CK2069" s="1"/>
      <c r="CL2069" s="1">
        <v>0</v>
      </c>
      <c r="CM2069" s="1">
        <v>0</v>
      </c>
      <c r="CN2069" s="1">
        <v>0</v>
      </c>
    </row>
    <row r="2070" spans="1:92" ht="14.25" customHeight="1" x14ac:dyDescent="0.15">
      <c r="A2070" s="1" t="s">
        <v>15084</v>
      </c>
      <c r="B2070" s="1" t="s">
        <v>674</v>
      </c>
      <c r="C2070" s="1" t="s">
        <v>1715</v>
      </c>
      <c r="D2070" s="1" t="s">
        <v>158</v>
      </c>
      <c r="E2070" s="1" t="s">
        <v>15085</v>
      </c>
      <c r="F2070" s="1" t="s">
        <v>355</v>
      </c>
      <c r="G2070" s="1" t="s">
        <v>141</v>
      </c>
      <c r="H2070" s="1">
        <v>0</v>
      </c>
      <c r="I2070" s="1" t="s">
        <v>100</v>
      </c>
      <c r="J2070" s="1"/>
      <c r="K2070" s="1"/>
      <c r="L2070" s="1" t="s">
        <v>1391</v>
      </c>
      <c r="M2070" s="1" t="s">
        <v>5642</v>
      </c>
      <c r="N2070" s="1">
        <v>0</v>
      </c>
      <c r="O2070" s="1">
        <v>0</v>
      </c>
      <c r="P2070" s="1" t="s">
        <v>15086</v>
      </c>
      <c r="Q2070" s="1" t="s">
        <v>268</v>
      </c>
      <c r="R2070" s="1" t="s">
        <v>15087</v>
      </c>
      <c r="S2070" s="1" t="s">
        <v>15088</v>
      </c>
      <c r="T2070" s="1" t="s">
        <v>14784</v>
      </c>
      <c r="U2070" s="1" t="s">
        <v>15089</v>
      </c>
      <c r="V2070" s="1">
        <v>1</v>
      </c>
      <c r="W2070" s="1">
        <v>1</v>
      </c>
      <c r="X2070" s="1">
        <v>0</v>
      </c>
      <c r="Y2070" s="1">
        <v>0</v>
      </c>
      <c r="Z2070" s="1">
        <v>0</v>
      </c>
      <c r="AA2070" s="1">
        <v>5</v>
      </c>
      <c r="AB2070" s="1">
        <v>5</v>
      </c>
      <c r="AC2070" s="1" t="s">
        <v>109</v>
      </c>
      <c r="AD2070" s="1" t="s">
        <v>109</v>
      </c>
      <c r="AE2070" s="1" t="s">
        <v>109</v>
      </c>
      <c r="AF2070" s="1" t="s">
        <v>109</v>
      </c>
      <c r="AG2070" s="1" t="s">
        <v>109</v>
      </c>
      <c r="AH2070" s="1" t="s">
        <v>109</v>
      </c>
      <c r="AI2070" s="1" t="s">
        <v>109</v>
      </c>
      <c r="AJ2070" s="1" t="s">
        <v>109</v>
      </c>
      <c r="AK2070" s="1" t="s">
        <v>109</v>
      </c>
      <c r="AL2070" s="1" t="s">
        <v>109</v>
      </c>
      <c r="AM2070" s="1" t="s">
        <v>109</v>
      </c>
      <c r="AN2070" s="1" t="s">
        <v>109</v>
      </c>
      <c r="AO2070" s="1" t="s">
        <v>109</v>
      </c>
      <c r="AP2070" s="1"/>
      <c r="AQ2070" s="1">
        <v>5</v>
      </c>
      <c r="AR2070" s="1"/>
      <c r="AS2070" s="1" t="s">
        <v>15090</v>
      </c>
      <c r="AT2070" s="1">
        <v>0</v>
      </c>
      <c r="AU2070" s="1">
        <v>0</v>
      </c>
      <c r="AV2070" s="1">
        <v>0</v>
      </c>
      <c r="AW2070" s="1">
        <v>0</v>
      </c>
      <c r="AX2070" s="1">
        <v>0</v>
      </c>
      <c r="AY2070" s="1">
        <v>0</v>
      </c>
      <c r="AZ2070" s="1">
        <v>0</v>
      </c>
      <c r="BA2070" s="1">
        <v>0</v>
      </c>
      <c r="BB2070" s="1">
        <v>0</v>
      </c>
      <c r="BC2070" s="1">
        <v>0</v>
      </c>
      <c r="BD2070" s="1">
        <v>0</v>
      </c>
      <c r="BE2070" s="1">
        <v>0</v>
      </c>
      <c r="BF2070" s="1">
        <v>0</v>
      </c>
      <c r="BG2070" s="1">
        <v>0</v>
      </c>
      <c r="BH2070" s="1">
        <v>0</v>
      </c>
      <c r="BI2070" s="1">
        <v>0</v>
      </c>
      <c r="BJ2070" s="1">
        <v>0</v>
      </c>
      <c r="BK2070" s="1">
        <v>0</v>
      </c>
      <c r="BL2070" s="1">
        <v>0</v>
      </c>
      <c r="BM2070" s="1">
        <v>1</v>
      </c>
      <c r="BN2070" s="1">
        <v>0</v>
      </c>
      <c r="BO2070" s="1">
        <v>0</v>
      </c>
      <c r="BP2070" s="1">
        <v>0</v>
      </c>
      <c r="BQ2070" s="1">
        <v>0</v>
      </c>
      <c r="BR2070" s="1">
        <v>0</v>
      </c>
      <c r="BS2070" s="1" t="s">
        <v>109</v>
      </c>
      <c r="BT2070" s="1">
        <v>2157</v>
      </c>
      <c r="BU2070" s="1" t="s">
        <v>109</v>
      </c>
      <c r="BV2070" s="1"/>
      <c r="BW2070" s="1" t="s">
        <v>15091</v>
      </c>
      <c r="BX2070" s="1"/>
      <c r="BY2070" s="1"/>
      <c r="BZ2070" s="1">
        <v>0</v>
      </c>
      <c r="CA2070" s="1" t="s">
        <v>109</v>
      </c>
      <c r="CB2070" s="1" t="s">
        <v>109</v>
      </c>
      <c r="CC2070" s="1">
        <v>4</v>
      </c>
      <c r="CD2070" s="1">
        <v>4</v>
      </c>
      <c r="CE2070" s="1">
        <v>4</v>
      </c>
      <c r="CF2070" s="1" t="s">
        <v>109</v>
      </c>
      <c r="CG2070" s="1" t="s">
        <v>109</v>
      </c>
      <c r="CH2070" s="1" t="s">
        <v>109</v>
      </c>
      <c r="CI2070" s="1" t="s">
        <v>109</v>
      </c>
      <c r="CJ2070" s="1" t="s">
        <v>109</v>
      </c>
      <c r="CK2070" s="1"/>
      <c r="CL2070" s="1">
        <v>0</v>
      </c>
      <c r="CM2070" s="1">
        <v>0</v>
      </c>
      <c r="CN2070" s="1">
        <v>0</v>
      </c>
    </row>
    <row r="2071" spans="1:92" ht="14.25" customHeight="1" x14ac:dyDescent="0.15">
      <c r="A2071" s="1" t="s">
        <v>15092</v>
      </c>
      <c r="B2071" s="1" t="s">
        <v>674</v>
      </c>
      <c r="C2071" s="1" t="s">
        <v>1715</v>
      </c>
      <c r="D2071" s="1" t="s">
        <v>158</v>
      </c>
      <c r="E2071" s="1" t="s">
        <v>15093</v>
      </c>
      <c r="F2071" s="1" t="s">
        <v>355</v>
      </c>
      <c r="G2071" s="1" t="s">
        <v>141</v>
      </c>
      <c r="H2071" s="1">
        <v>0</v>
      </c>
      <c r="I2071" s="1" t="s">
        <v>100</v>
      </c>
      <c r="J2071" s="1"/>
      <c r="K2071" s="1"/>
      <c r="L2071" s="1" t="s">
        <v>3277</v>
      </c>
      <c r="M2071" s="1" t="s">
        <v>280</v>
      </c>
      <c r="N2071" s="1">
        <v>0</v>
      </c>
      <c r="O2071" s="1">
        <v>0</v>
      </c>
      <c r="P2071" s="1" t="s">
        <v>15086</v>
      </c>
      <c r="Q2071" s="1" t="s">
        <v>268</v>
      </c>
      <c r="R2071" s="1" t="s">
        <v>15094</v>
      </c>
      <c r="S2071" s="1" t="s">
        <v>15095</v>
      </c>
      <c r="T2071" s="1" t="s">
        <v>14784</v>
      </c>
      <c r="U2071" s="1" t="s">
        <v>15096</v>
      </c>
      <c r="V2071" s="1">
        <v>1</v>
      </c>
      <c r="W2071" s="1">
        <v>1</v>
      </c>
      <c r="X2071" s="1">
        <v>0</v>
      </c>
      <c r="Y2071" s="1">
        <v>0</v>
      </c>
      <c r="Z2071" s="1">
        <v>0</v>
      </c>
      <c r="AA2071" s="1">
        <v>7</v>
      </c>
      <c r="AB2071" s="1">
        <v>7</v>
      </c>
      <c r="AC2071" s="1" t="s">
        <v>109</v>
      </c>
      <c r="AD2071" s="1" t="s">
        <v>109</v>
      </c>
      <c r="AE2071" s="1" t="s">
        <v>109</v>
      </c>
      <c r="AF2071" s="1" t="s">
        <v>109</v>
      </c>
      <c r="AG2071" s="1" t="s">
        <v>109</v>
      </c>
      <c r="AH2071" s="1" t="s">
        <v>109</v>
      </c>
      <c r="AI2071" s="1" t="s">
        <v>109</v>
      </c>
      <c r="AJ2071" s="1" t="s">
        <v>109</v>
      </c>
      <c r="AK2071" s="1" t="s">
        <v>109</v>
      </c>
      <c r="AL2071" s="1" t="s">
        <v>109</v>
      </c>
      <c r="AM2071" s="1" t="s">
        <v>109</v>
      </c>
      <c r="AN2071" s="1" t="s">
        <v>109</v>
      </c>
      <c r="AO2071" s="1" t="s">
        <v>109</v>
      </c>
      <c r="AP2071" s="1"/>
      <c r="AQ2071" s="1">
        <v>7</v>
      </c>
      <c r="AR2071" s="1"/>
      <c r="AS2071" s="1" t="s">
        <v>15097</v>
      </c>
      <c r="AT2071" s="1">
        <v>0</v>
      </c>
      <c r="AU2071" s="1">
        <v>0</v>
      </c>
      <c r="AV2071" s="1">
        <v>0</v>
      </c>
      <c r="AW2071" s="1">
        <v>0</v>
      </c>
      <c r="AX2071" s="1">
        <v>0</v>
      </c>
      <c r="AY2071" s="1">
        <v>0</v>
      </c>
      <c r="AZ2071" s="1">
        <v>0</v>
      </c>
      <c r="BA2071" s="1">
        <v>0</v>
      </c>
      <c r="BB2071" s="1">
        <v>0</v>
      </c>
      <c r="BC2071" s="1">
        <v>0</v>
      </c>
      <c r="BD2071" s="1">
        <v>0</v>
      </c>
      <c r="BE2071" s="1">
        <v>0</v>
      </c>
      <c r="BF2071" s="1">
        <v>0</v>
      </c>
      <c r="BG2071" s="1">
        <v>0</v>
      </c>
      <c r="BH2071" s="1">
        <v>0</v>
      </c>
      <c r="BI2071" s="1">
        <v>0</v>
      </c>
      <c r="BJ2071" s="1">
        <v>0</v>
      </c>
      <c r="BK2071" s="1">
        <v>0</v>
      </c>
      <c r="BL2071" s="1">
        <v>0</v>
      </c>
      <c r="BM2071" s="1">
        <v>1</v>
      </c>
      <c r="BN2071" s="1">
        <v>0</v>
      </c>
      <c r="BO2071" s="1">
        <v>0</v>
      </c>
      <c r="BP2071" s="1">
        <v>0</v>
      </c>
      <c r="BQ2071" s="1">
        <v>0</v>
      </c>
      <c r="BR2071" s="1">
        <v>0</v>
      </c>
      <c r="BS2071" s="1" t="s">
        <v>109</v>
      </c>
      <c r="BT2071" s="1">
        <v>2158</v>
      </c>
      <c r="BU2071" s="1" t="s">
        <v>109</v>
      </c>
      <c r="BV2071" s="1"/>
      <c r="BW2071" s="1" t="s">
        <v>15098</v>
      </c>
      <c r="BX2071" s="1"/>
      <c r="BY2071" s="1"/>
      <c r="BZ2071" s="1">
        <v>0</v>
      </c>
      <c r="CA2071" s="1" t="s">
        <v>109</v>
      </c>
      <c r="CB2071" s="1" t="s">
        <v>109</v>
      </c>
      <c r="CC2071" s="1">
        <v>6</v>
      </c>
      <c r="CD2071" s="1" t="s">
        <v>109</v>
      </c>
      <c r="CE2071" s="1">
        <v>6</v>
      </c>
      <c r="CF2071" s="1" t="s">
        <v>109</v>
      </c>
      <c r="CG2071" s="1" t="s">
        <v>109</v>
      </c>
      <c r="CH2071" s="1" t="s">
        <v>109</v>
      </c>
      <c r="CI2071" s="1" t="s">
        <v>109</v>
      </c>
      <c r="CJ2071" s="1" t="s">
        <v>109</v>
      </c>
      <c r="CK2071" s="1"/>
      <c r="CL2071" s="1">
        <v>0</v>
      </c>
      <c r="CM2071" s="1">
        <v>0</v>
      </c>
      <c r="CN2071" s="1">
        <v>0</v>
      </c>
    </row>
    <row r="2072" spans="1:92" ht="14.25" customHeight="1" x14ac:dyDescent="0.15">
      <c r="A2072" s="1" t="s">
        <v>15099</v>
      </c>
      <c r="B2072" s="1" t="s">
        <v>674</v>
      </c>
      <c r="C2072" s="1" t="s">
        <v>675</v>
      </c>
      <c r="D2072" s="1"/>
      <c r="E2072" s="1" t="s">
        <v>15100</v>
      </c>
      <c r="F2072" s="1" t="s">
        <v>98</v>
      </c>
      <c r="G2072" s="1" t="s">
        <v>333</v>
      </c>
      <c r="H2072" s="1">
        <v>0</v>
      </c>
      <c r="I2072" s="1" t="s">
        <v>5737</v>
      </c>
      <c r="J2072" s="1"/>
      <c r="K2072" s="1"/>
      <c r="L2072" s="1" t="s">
        <v>15101</v>
      </c>
      <c r="M2072" s="1" t="s">
        <v>280</v>
      </c>
      <c r="N2072" s="1">
        <v>0</v>
      </c>
      <c r="O2072" s="1">
        <v>0</v>
      </c>
      <c r="P2072" s="1" t="s">
        <v>15102</v>
      </c>
      <c r="Q2072" s="1" t="s">
        <v>104</v>
      </c>
      <c r="R2072" s="1" t="s">
        <v>15103</v>
      </c>
      <c r="S2072" s="1" t="s">
        <v>15104</v>
      </c>
      <c r="T2072" s="1" t="s">
        <v>14784</v>
      </c>
      <c r="U2072" s="1" t="s">
        <v>15105</v>
      </c>
      <c r="V2072" s="1">
        <v>1</v>
      </c>
      <c r="W2072" s="1">
        <v>0</v>
      </c>
      <c r="X2072" s="1">
        <v>0</v>
      </c>
      <c r="Y2072" s="1">
        <v>0</v>
      </c>
      <c r="Z2072" s="1">
        <v>0</v>
      </c>
      <c r="AA2072" s="1">
        <v>1</v>
      </c>
      <c r="AB2072" s="1">
        <v>1</v>
      </c>
      <c r="AC2072" s="1" t="s">
        <v>109</v>
      </c>
      <c r="AD2072" s="1" t="s">
        <v>109</v>
      </c>
      <c r="AE2072" s="1" t="s">
        <v>109</v>
      </c>
      <c r="AF2072" s="1">
        <v>1</v>
      </c>
      <c r="AG2072" s="1" t="s">
        <v>109</v>
      </c>
      <c r="AH2072" s="1" t="s">
        <v>109</v>
      </c>
      <c r="AI2072" s="1" t="s">
        <v>109</v>
      </c>
      <c r="AJ2072" s="1" t="s">
        <v>109</v>
      </c>
      <c r="AK2072" s="1" t="s">
        <v>109</v>
      </c>
      <c r="AL2072" s="1" t="s">
        <v>109</v>
      </c>
      <c r="AM2072" s="1" t="s">
        <v>109</v>
      </c>
      <c r="AN2072" s="1" t="s">
        <v>109</v>
      </c>
      <c r="AO2072" s="1" t="s">
        <v>109</v>
      </c>
      <c r="AP2072" s="1"/>
      <c r="AQ2072" s="1">
        <v>1</v>
      </c>
      <c r="AR2072" s="1"/>
      <c r="AS2072" s="1" t="s">
        <v>15106</v>
      </c>
      <c r="AT2072" s="1">
        <v>0</v>
      </c>
      <c r="AU2072" s="1">
        <v>0</v>
      </c>
      <c r="AV2072" s="1">
        <v>0</v>
      </c>
      <c r="AW2072" s="1">
        <v>0</v>
      </c>
      <c r="AX2072" s="1">
        <v>0</v>
      </c>
      <c r="AY2072" s="1">
        <v>0</v>
      </c>
      <c r="AZ2072" s="1">
        <v>0</v>
      </c>
      <c r="BA2072" s="1">
        <v>0</v>
      </c>
      <c r="BB2072" s="1">
        <v>0</v>
      </c>
      <c r="BC2072" s="1">
        <v>0</v>
      </c>
      <c r="BD2072" s="1">
        <v>0</v>
      </c>
      <c r="BE2072" s="1">
        <v>0</v>
      </c>
      <c r="BF2072" s="1">
        <v>0</v>
      </c>
      <c r="BG2072" s="1">
        <v>0</v>
      </c>
      <c r="BH2072" s="1">
        <v>0</v>
      </c>
      <c r="BI2072" s="1">
        <v>0</v>
      </c>
      <c r="BJ2072" s="1">
        <v>0</v>
      </c>
      <c r="BK2072" s="1">
        <v>0</v>
      </c>
      <c r="BL2072" s="1">
        <v>0</v>
      </c>
      <c r="BM2072" s="1">
        <v>0</v>
      </c>
      <c r="BN2072" s="1">
        <v>0</v>
      </c>
      <c r="BO2072" s="1">
        <v>0</v>
      </c>
      <c r="BP2072" s="1">
        <v>0</v>
      </c>
      <c r="BQ2072" s="1">
        <v>0</v>
      </c>
      <c r="BR2072" s="1">
        <v>0</v>
      </c>
      <c r="BS2072" s="1" t="s">
        <v>109</v>
      </c>
      <c r="BT2072" s="1">
        <v>2159</v>
      </c>
      <c r="BU2072" s="1" t="s">
        <v>109</v>
      </c>
      <c r="BV2072" s="1"/>
      <c r="BW2072" s="1"/>
      <c r="BX2072" s="1"/>
      <c r="BY2072" s="1"/>
      <c r="BZ2072" s="1">
        <v>0</v>
      </c>
      <c r="CA2072" s="1" t="s">
        <v>109</v>
      </c>
      <c r="CB2072" s="1" t="s">
        <v>109</v>
      </c>
      <c r="CC2072" s="1">
        <v>1</v>
      </c>
      <c r="CD2072" s="1">
        <v>1</v>
      </c>
      <c r="CE2072" s="1">
        <v>1</v>
      </c>
      <c r="CF2072" s="1">
        <v>1</v>
      </c>
      <c r="CG2072" s="1" t="s">
        <v>109</v>
      </c>
      <c r="CH2072" s="1" t="s">
        <v>109</v>
      </c>
      <c r="CI2072" s="1" t="s">
        <v>109</v>
      </c>
      <c r="CJ2072" s="1" t="s">
        <v>109</v>
      </c>
      <c r="CK2072" s="1"/>
      <c r="CL2072" s="1">
        <v>0</v>
      </c>
      <c r="CM2072" s="1">
        <v>0</v>
      </c>
      <c r="CN2072" s="1">
        <v>0</v>
      </c>
    </row>
    <row r="2073" spans="1:92" ht="14.25" customHeight="1" x14ac:dyDescent="0.15">
      <c r="A2073" s="1" t="s">
        <v>15107</v>
      </c>
      <c r="B2073" s="1" t="s">
        <v>156</v>
      </c>
      <c r="C2073" s="1" t="s">
        <v>157</v>
      </c>
      <c r="D2073" s="1" t="s">
        <v>158</v>
      </c>
      <c r="E2073" s="1" t="s">
        <v>15108</v>
      </c>
      <c r="F2073" s="1" t="s">
        <v>98</v>
      </c>
      <c r="G2073" s="1" t="s">
        <v>333</v>
      </c>
      <c r="H2073" s="1">
        <v>0</v>
      </c>
      <c r="I2073" s="1" t="s">
        <v>122</v>
      </c>
      <c r="J2073" s="1"/>
      <c r="K2073" s="1"/>
      <c r="L2073" s="1" t="s">
        <v>1391</v>
      </c>
      <c r="M2073" s="1" t="s">
        <v>3514</v>
      </c>
      <c r="N2073" s="1">
        <v>0</v>
      </c>
      <c r="O2073" s="1">
        <v>0</v>
      </c>
      <c r="P2073" s="1" t="s">
        <v>103</v>
      </c>
      <c r="Q2073" s="1" t="s">
        <v>268</v>
      </c>
      <c r="R2073" s="1" t="s">
        <v>15109</v>
      </c>
      <c r="S2073" s="1" t="s">
        <v>15110</v>
      </c>
      <c r="T2073" s="1" t="s">
        <v>14784</v>
      </c>
      <c r="U2073" s="1" t="s">
        <v>15111</v>
      </c>
      <c r="V2073" s="1">
        <v>1</v>
      </c>
      <c r="W2073" s="1">
        <v>0</v>
      </c>
      <c r="X2073" s="1">
        <v>0</v>
      </c>
      <c r="Y2073" s="1">
        <v>0</v>
      </c>
      <c r="Z2073" s="1">
        <v>0</v>
      </c>
      <c r="AA2073" s="1">
        <v>1</v>
      </c>
      <c r="AB2073" s="1">
        <v>1</v>
      </c>
      <c r="AC2073" s="1" t="s">
        <v>109</v>
      </c>
      <c r="AD2073" s="1" t="s">
        <v>109</v>
      </c>
      <c r="AE2073" s="1" t="s">
        <v>109</v>
      </c>
      <c r="AF2073" s="1">
        <v>1</v>
      </c>
      <c r="AG2073" s="1" t="s">
        <v>109</v>
      </c>
      <c r="AH2073" s="1" t="s">
        <v>109</v>
      </c>
      <c r="AI2073" s="1" t="s">
        <v>109</v>
      </c>
      <c r="AJ2073" s="1" t="s">
        <v>109</v>
      </c>
      <c r="AK2073" s="1" t="s">
        <v>109</v>
      </c>
      <c r="AL2073" s="1" t="s">
        <v>109</v>
      </c>
      <c r="AM2073" s="1" t="s">
        <v>109</v>
      </c>
      <c r="AN2073" s="1" t="s">
        <v>109</v>
      </c>
      <c r="AO2073" s="1" t="s">
        <v>109</v>
      </c>
      <c r="AP2073" s="1"/>
      <c r="AQ2073" s="1">
        <v>1</v>
      </c>
      <c r="AR2073" s="1"/>
      <c r="AS2073" s="1" t="s">
        <v>15112</v>
      </c>
      <c r="AT2073" s="1">
        <v>0</v>
      </c>
      <c r="AU2073" s="1">
        <v>0</v>
      </c>
      <c r="AV2073" s="1">
        <v>0</v>
      </c>
      <c r="AW2073" s="1">
        <v>0</v>
      </c>
      <c r="AX2073" s="1">
        <v>0</v>
      </c>
      <c r="AY2073" s="1">
        <v>0</v>
      </c>
      <c r="AZ2073" s="1">
        <v>0</v>
      </c>
      <c r="BA2073" s="1">
        <v>0</v>
      </c>
      <c r="BB2073" s="1">
        <v>0</v>
      </c>
      <c r="BC2073" s="1">
        <v>0</v>
      </c>
      <c r="BD2073" s="1">
        <v>0</v>
      </c>
      <c r="BE2073" s="1">
        <v>0</v>
      </c>
      <c r="BF2073" s="1">
        <v>0</v>
      </c>
      <c r="BG2073" s="1">
        <v>0</v>
      </c>
      <c r="BH2073" s="1">
        <v>0</v>
      </c>
      <c r="BI2073" s="1">
        <v>0</v>
      </c>
      <c r="BJ2073" s="1">
        <v>0</v>
      </c>
      <c r="BK2073" s="1">
        <v>0</v>
      </c>
      <c r="BL2073" s="1">
        <v>0</v>
      </c>
      <c r="BM2073" s="1">
        <v>1</v>
      </c>
      <c r="BN2073" s="1">
        <v>0</v>
      </c>
      <c r="BO2073" s="1">
        <v>0</v>
      </c>
      <c r="BP2073" s="1">
        <v>0</v>
      </c>
      <c r="BQ2073" s="1">
        <v>0</v>
      </c>
      <c r="BR2073" s="1">
        <v>0</v>
      </c>
      <c r="BS2073" s="1" t="s">
        <v>109</v>
      </c>
      <c r="BT2073" s="1">
        <v>2160</v>
      </c>
      <c r="BU2073" s="1" t="s">
        <v>109</v>
      </c>
      <c r="BV2073" s="1"/>
      <c r="BW2073" s="1"/>
      <c r="BX2073" s="1"/>
      <c r="BY2073" s="1"/>
      <c r="BZ2073" s="1">
        <v>0</v>
      </c>
      <c r="CA2073" s="1" t="s">
        <v>109</v>
      </c>
      <c r="CB2073" s="1" t="s">
        <v>109</v>
      </c>
      <c r="CC2073" s="1">
        <v>1</v>
      </c>
      <c r="CD2073" s="1" t="s">
        <v>109</v>
      </c>
      <c r="CE2073" s="1">
        <v>1</v>
      </c>
      <c r="CF2073" s="1" t="s">
        <v>109</v>
      </c>
      <c r="CG2073" s="1" t="s">
        <v>109</v>
      </c>
      <c r="CH2073" s="1" t="s">
        <v>109</v>
      </c>
      <c r="CI2073" s="1" t="s">
        <v>109</v>
      </c>
      <c r="CJ2073" s="1" t="s">
        <v>109</v>
      </c>
      <c r="CK2073" s="1"/>
      <c r="CL2073" s="1">
        <v>0</v>
      </c>
      <c r="CM2073" s="1">
        <v>0</v>
      </c>
      <c r="CN2073" s="1">
        <v>0</v>
      </c>
    </row>
    <row r="2074" spans="1:92" ht="14.25" customHeight="1" x14ac:dyDescent="0.15">
      <c r="A2074" s="1" t="s">
        <v>15113</v>
      </c>
      <c r="B2074" s="1" t="s">
        <v>156</v>
      </c>
      <c r="C2074" s="1" t="s">
        <v>157</v>
      </c>
      <c r="D2074" s="1" t="s">
        <v>158</v>
      </c>
      <c r="E2074" s="1" t="s">
        <v>15114</v>
      </c>
      <c r="F2074" s="1" t="s">
        <v>98</v>
      </c>
      <c r="G2074" s="1" t="s">
        <v>141</v>
      </c>
      <c r="H2074" s="1">
        <v>0</v>
      </c>
      <c r="I2074" s="1" t="s">
        <v>5544</v>
      </c>
      <c r="J2074" s="1"/>
      <c r="K2074" s="1"/>
      <c r="L2074" s="1" t="s">
        <v>1391</v>
      </c>
      <c r="M2074" s="1" t="s">
        <v>15115</v>
      </c>
      <c r="N2074" s="1">
        <v>0</v>
      </c>
      <c r="O2074" s="1">
        <v>0</v>
      </c>
      <c r="P2074" s="1" t="s">
        <v>301</v>
      </c>
      <c r="Q2074" s="1" t="s">
        <v>268</v>
      </c>
      <c r="R2074" s="1" t="s">
        <v>15116</v>
      </c>
      <c r="S2074" s="1" t="s">
        <v>15117</v>
      </c>
      <c r="T2074" s="1" t="s">
        <v>14784</v>
      </c>
      <c r="U2074" s="1" t="s">
        <v>15118</v>
      </c>
      <c r="V2074" s="1">
        <v>1</v>
      </c>
      <c r="W2074" s="1">
        <v>1</v>
      </c>
      <c r="X2074" s="1">
        <v>0</v>
      </c>
      <c r="Y2074" s="1">
        <v>0</v>
      </c>
      <c r="Z2074" s="1">
        <v>0</v>
      </c>
      <c r="AA2074" s="1">
        <v>2</v>
      </c>
      <c r="AB2074" s="1">
        <v>2</v>
      </c>
      <c r="AC2074" s="1" t="s">
        <v>109</v>
      </c>
      <c r="AD2074" s="1" t="s">
        <v>109</v>
      </c>
      <c r="AE2074" s="1" t="s">
        <v>109</v>
      </c>
      <c r="AF2074" s="1">
        <v>2</v>
      </c>
      <c r="AG2074" s="1" t="s">
        <v>109</v>
      </c>
      <c r="AH2074" s="1" t="s">
        <v>109</v>
      </c>
      <c r="AI2074" s="1" t="s">
        <v>109</v>
      </c>
      <c r="AJ2074" s="1">
        <v>2</v>
      </c>
      <c r="AK2074" s="1">
        <v>2</v>
      </c>
      <c r="AL2074" s="1" t="s">
        <v>109</v>
      </c>
      <c r="AM2074" s="1">
        <v>1</v>
      </c>
      <c r="AN2074" s="1" t="s">
        <v>109</v>
      </c>
      <c r="AO2074" s="1" t="s">
        <v>109</v>
      </c>
      <c r="AP2074" s="1"/>
      <c r="AQ2074" s="1">
        <v>2</v>
      </c>
      <c r="AR2074" s="1"/>
      <c r="AS2074" s="1" t="s">
        <v>15119</v>
      </c>
      <c r="AT2074" s="1">
        <v>0</v>
      </c>
      <c r="AU2074" s="1">
        <v>0</v>
      </c>
      <c r="AV2074" s="1">
        <v>0</v>
      </c>
      <c r="AW2074" s="1">
        <v>0</v>
      </c>
      <c r="AX2074" s="1">
        <v>0</v>
      </c>
      <c r="AY2074" s="1">
        <v>0</v>
      </c>
      <c r="AZ2074" s="1">
        <v>0</v>
      </c>
      <c r="BA2074" s="1">
        <v>0</v>
      </c>
      <c r="BB2074" s="1">
        <v>0</v>
      </c>
      <c r="BC2074" s="1">
        <v>0</v>
      </c>
      <c r="BD2074" s="1">
        <v>0</v>
      </c>
      <c r="BE2074" s="1">
        <v>0</v>
      </c>
      <c r="BF2074" s="1">
        <v>0</v>
      </c>
      <c r="BG2074" s="1">
        <v>0</v>
      </c>
      <c r="BH2074" s="1">
        <v>0</v>
      </c>
      <c r="BI2074" s="1">
        <v>0</v>
      </c>
      <c r="BJ2074" s="1">
        <v>0</v>
      </c>
      <c r="BK2074" s="1">
        <v>0</v>
      </c>
      <c r="BL2074" s="1">
        <v>0</v>
      </c>
      <c r="BM2074" s="1">
        <v>1</v>
      </c>
      <c r="BN2074" s="1">
        <v>0</v>
      </c>
      <c r="BO2074" s="1">
        <v>0</v>
      </c>
      <c r="BP2074" s="1">
        <v>0</v>
      </c>
      <c r="BQ2074" s="1">
        <v>0</v>
      </c>
      <c r="BR2074" s="1">
        <v>0</v>
      </c>
      <c r="BS2074" s="1" t="s">
        <v>109</v>
      </c>
      <c r="BT2074" s="1">
        <v>2161</v>
      </c>
      <c r="BU2074" s="1" t="s">
        <v>109</v>
      </c>
      <c r="BV2074" s="1"/>
      <c r="BW2074" s="1"/>
      <c r="BX2074" s="1"/>
      <c r="BY2074" s="1"/>
      <c r="BZ2074" s="1">
        <v>0</v>
      </c>
      <c r="CA2074" s="1" t="s">
        <v>109</v>
      </c>
      <c r="CB2074" s="1" t="s">
        <v>109</v>
      </c>
      <c r="CC2074" s="1">
        <v>2</v>
      </c>
      <c r="CD2074" s="1" t="s">
        <v>109</v>
      </c>
      <c r="CE2074" s="1">
        <v>1</v>
      </c>
      <c r="CF2074" s="1">
        <v>2</v>
      </c>
      <c r="CG2074" s="1" t="s">
        <v>109</v>
      </c>
      <c r="CH2074" s="1" t="s">
        <v>109</v>
      </c>
      <c r="CI2074" s="1" t="s">
        <v>109</v>
      </c>
      <c r="CJ2074" s="1" t="s">
        <v>109</v>
      </c>
      <c r="CK2074" s="1"/>
      <c r="CL2074" s="1">
        <v>0</v>
      </c>
      <c r="CM2074" s="1">
        <v>0</v>
      </c>
      <c r="CN2074" s="1">
        <v>0</v>
      </c>
    </row>
    <row r="2075" spans="1:92" ht="14.25" customHeight="1" x14ac:dyDescent="0.15">
      <c r="A2075" s="1" t="s">
        <v>15120</v>
      </c>
      <c r="B2075" s="1" t="s">
        <v>254</v>
      </c>
      <c r="C2075" s="1"/>
      <c r="D2075" s="1"/>
      <c r="E2075" s="1" t="s">
        <v>15121</v>
      </c>
      <c r="F2075" s="1" t="s">
        <v>98</v>
      </c>
      <c r="G2075" s="1" t="s">
        <v>141</v>
      </c>
      <c r="H2075" s="1">
        <v>0</v>
      </c>
      <c r="I2075" s="1" t="s">
        <v>1016</v>
      </c>
      <c r="J2075" s="1" t="s">
        <v>1346</v>
      </c>
      <c r="K2075" s="1"/>
      <c r="L2075" s="1"/>
      <c r="M2075" s="1" t="s">
        <v>11884</v>
      </c>
      <c r="N2075" s="1">
        <v>1</v>
      </c>
      <c r="O2075" s="1">
        <v>0</v>
      </c>
      <c r="P2075" s="1" t="s">
        <v>564</v>
      </c>
      <c r="Q2075" s="1" t="s">
        <v>104</v>
      </c>
      <c r="R2075" s="1" t="s">
        <v>15122</v>
      </c>
      <c r="S2075" s="1" t="s">
        <v>15123</v>
      </c>
      <c r="T2075" s="1" t="s">
        <v>14784</v>
      </c>
      <c r="U2075" s="1" t="s">
        <v>15124</v>
      </c>
      <c r="V2075" s="1">
        <v>1</v>
      </c>
      <c r="W2075" s="1">
        <v>1</v>
      </c>
      <c r="X2075" s="1">
        <v>0</v>
      </c>
      <c r="Y2075" s="1">
        <v>0</v>
      </c>
      <c r="Z2075" s="1">
        <v>0</v>
      </c>
      <c r="AA2075" s="1">
        <v>3</v>
      </c>
      <c r="AB2075" s="1">
        <v>3</v>
      </c>
      <c r="AC2075" s="1" t="s">
        <v>109</v>
      </c>
      <c r="AD2075" s="1" t="s">
        <v>109</v>
      </c>
      <c r="AE2075" s="1" t="s">
        <v>109</v>
      </c>
      <c r="AF2075" s="1" t="s">
        <v>109</v>
      </c>
      <c r="AG2075" s="1" t="s">
        <v>109</v>
      </c>
      <c r="AH2075" s="1" t="s">
        <v>109</v>
      </c>
      <c r="AI2075" s="1" t="s">
        <v>109</v>
      </c>
      <c r="AJ2075" s="1" t="s">
        <v>109</v>
      </c>
      <c r="AK2075" s="1" t="s">
        <v>109</v>
      </c>
      <c r="AL2075" s="1" t="s">
        <v>109</v>
      </c>
      <c r="AM2075" s="1" t="s">
        <v>109</v>
      </c>
      <c r="AN2075" s="1" t="s">
        <v>109</v>
      </c>
      <c r="AO2075" s="1" t="s">
        <v>109</v>
      </c>
      <c r="AP2075" s="1"/>
      <c r="AQ2075" s="1">
        <v>3</v>
      </c>
      <c r="AR2075" s="1"/>
      <c r="AS2075" s="1" t="s">
        <v>15125</v>
      </c>
      <c r="AT2075" s="1">
        <v>0</v>
      </c>
      <c r="AU2075" s="1">
        <v>0</v>
      </c>
      <c r="AV2075" s="1">
        <v>0</v>
      </c>
      <c r="AW2075" s="1">
        <v>0</v>
      </c>
      <c r="AX2075" s="1">
        <v>0</v>
      </c>
      <c r="AY2075" s="1">
        <v>0</v>
      </c>
      <c r="AZ2075" s="1">
        <v>0</v>
      </c>
      <c r="BA2075" s="1">
        <v>0</v>
      </c>
      <c r="BB2075" s="1">
        <v>0</v>
      </c>
      <c r="BC2075" s="1">
        <v>0</v>
      </c>
      <c r="BD2075" s="1">
        <v>0</v>
      </c>
      <c r="BE2075" s="1">
        <v>0</v>
      </c>
      <c r="BF2075" s="1">
        <v>0</v>
      </c>
      <c r="BG2075" s="1">
        <v>0</v>
      </c>
      <c r="BH2075" s="1">
        <v>0</v>
      </c>
      <c r="BI2075" s="1">
        <v>0</v>
      </c>
      <c r="BJ2075" s="1">
        <v>0</v>
      </c>
      <c r="BK2075" s="1">
        <v>0</v>
      </c>
      <c r="BL2075" s="1">
        <v>0</v>
      </c>
      <c r="BM2075" s="1">
        <v>0</v>
      </c>
      <c r="BN2075" s="1">
        <v>0</v>
      </c>
      <c r="BO2075" s="1">
        <v>0</v>
      </c>
      <c r="BP2075" s="1">
        <v>0</v>
      </c>
      <c r="BQ2075" s="1">
        <v>0</v>
      </c>
      <c r="BR2075" s="1">
        <v>0</v>
      </c>
      <c r="BS2075" s="1" t="s">
        <v>109</v>
      </c>
      <c r="BT2075" s="1">
        <v>2162</v>
      </c>
      <c r="BU2075" s="1" t="s">
        <v>109</v>
      </c>
      <c r="BV2075" s="1"/>
      <c r="BW2075" s="1"/>
      <c r="BX2075" s="1"/>
      <c r="BY2075" s="1"/>
      <c r="BZ2075" s="1">
        <v>0</v>
      </c>
      <c r="CA2075" s="1" t="s">
        <v>109</v>
      </c>
      <c r="CB2075" s="1" t="s">
        <v>109</v>
      </c>
      <c r="CC2075" s="1">
        <v>2</v>
      </c>
      <c r="CD2075" s="1">
        <v>2</v>
      </c>
      <c r="CE2075" s="1">
        <v>2</v>
      </c>
      <c r="CF2075" s="1" t="s">
        <v>109</v>
      </c>
      <c r="CG2075" s="1" t="s">
        <v>109</v>
      </c>
      <c r="CH2075" s="1" t="s">
        <v>109</v>
      </c>
      <c r="CI2075" s="1" t="s">
        <v>109</v>
      </c>
      <c r="CJ2075" s="1" t="s">
        <v>109</v>
      </c>
      <c r="CK2075" s="1"/>
      <c r="CL2075" s="1">
        <v>0</v>
      </c>
      <c r="CM2075" s="1">
        <v>0</v>
      </c>
      <c r="CN2075" s="1">
        <v>0</v>
      </c>
    </row>
    <row r="2076" spans="1:92" ht="14.25" customHeight="1" x14ac:dyDescent="0.15">
      <c r="A2076" s="1" t="s">
        <v>15126</v>
      </c>
      <c r="B2076" s="1" t="s">
        <v>254</v>
      </c>
      <c r="C2076" s="1"/>
      <c r="D2076" s="1"/>
      <c r="E2076" s="1" t="s">
        <v>15127</v>
      </c>
      <c r="F2076" s="1" t="s">
        <v>98</v>
      </c>
      <c r="G2076" s="1" t="s">
        <v>141</v>
      </c>
      <c r="H2076" s="1">
        <v>0</v>
      </c>
      <c r="I2076" s="1" t="s">
        <v>600</v>
      </c>
      <c r="J2076" s="1" t="s">
        <v>15128</v>
      </c>
      <c r="K2076" s="1"/>
      <c r="L2076" s="1"/>
      <c r="M2076" s="1" t="s">
        <v>144</v>
      </c>
      <c r="N2076" s="1">
        <v>0</v>
      </c>
      <c r="O2076" s="1">
        <v>0</v>
      </c>
      <c r="P2076" s="1" t="s">
        <v>103</v>
      </c>
      <c r="Q2076" s="1" t="s">
        <v>104</v>
      </c>
      <c r="R2076" s="1" t="s">
        <v>15129</v>
      </c>
      <c r="S2076" s="1" t="s">
        <v>15130</v>
      </c>
      <c r="T2076" s="1" t="s">
        <v>14784</v>
      </c>
      <c r="U2076" s="1" t="s">
        <v>15131</v>
      </c>
      <c r="V2076" s="1">
        <v>1</v>
      </c>
      <c r="W2076" s="1">
        <v>1</v>
      </c>
      <c r="X2076" s="1">
        <v>0</v>
      </c>
      <c r="Y2076" s="1">
        <v>0</v>
      </c>
      <c r="Z2076" s="1">
        <v>0</v>
      </c>
      <c r="AA2076" s="1" t="s">
        <v>109</v>
      </c>
      <c r="AB2076" s="1" t="s">
        <v>109</v>
      </c>
      <c r="AC2076" s="1" t="s">
        <v>109</v>
      </c>
      <c r="AD2076" s="1" t="s">
        <v>109</v>
      </c>
      <c r="AE2076" s="1" t="s">
        <v>109</v>
      </c>
      <c r="AF2076" s="1" t="s">
        <v>109</v>
      </c>
      <c r="AG2076" s="1" t="s">
        <v>109</v>
      </c>
      <c r="AH2076" s="1" t="s">
        <v>109</v>
      </c>
      <c r="AI2076" s="1" t="s">
        <v>109</v>
      </c>
      <c r="AJ2076" s="1" t="s">
        <v>109</v>
      </c>
      <c r="AK2076" s="1" t="s">
        <v>109</v>
      </c>
      <c r="AL2076" s="1" t="s">
        <v>109</v>
      </c>
      <c r="AM2076" s="1" t="s">
        <v>109</v>
      </c>
      <c r="AN2076" s="1" t="s">
        <v>109</v>
      </c>
      <c r="AO2076" s="1" t="s">
        <v>109</v>
      </c>
      <c r="AP2076" s="1"/>
      <c r="AQ2076" s="1">
        <v>0</v>
      </c>
      <c r="AR2076" s="1"/>
      <c r="AS2076" s="1" t="s">
        <v>15132</v>
      </c>
      <c r="AT2076" s="1">
        <v>0</v>
      </c>
      <c r="AU2076" s="1">
        <v>0</v>
      </c>
      <c r="AV2076" s="1">
        <v>0</v>
      </c>
      <c r="AW2076" s="1">
        <v>0</v>
      </c>
      <c r="AX2076" s="1">
        <v>0</v>
      </c>
      <c r="AY2076" s="1">
        <v>0</v>
      </c>
      <c r="AZ2076" s="1">
        <v>0</v>
      </c>
      <c r="BA2076" s="1">
        <v>0</v>
      </c>
      <c r="BB2076" s="1">
        <v>0</v>
      </c>
      <c r="BC2076" s="1">
        <v>0</v>
      </c>
      <c r="BD2076" s="1">
        <v>0</v>
      </c>
      <c r="BE2076" s="1">
        <v>0</v>
      </c>
      <c r="BF2076" s="1">
        <v>0</v>
      </c>
      <c r="BG2076" s="1">
        <v>0</v>
      </c>
      <c r="BH2076" s="1">
        <v>0</v>
      </c>
      <c r="BI2076" s="1">
        <v>0</v>
      </c>
      <c r="BJ2076" s="1">
        <v>0</v>
      </c>
      <c r="BK2076" s="1">
        <v>0</v>
      </c>
      <c r="BL2076" s="1">
        <v>0</v>
      </c>
      <c r="BM2076" s="1">
        <v>0</v>
      </c>
      <c r="BN2076" s="1">
        <v>0</v>
      </c>
      <c r="BO2076" s="1">
        <v>0</v>
      </c>
      <c r="BP2076" s="1">
        <v>0</v>
      </c>
      <c r="BQ2076" s="1">
        <v>0</v>
      </c>
      <c r="BR2076" s="1">
        <v>0</v>
      </c>
      <c r="BS2076" s="1" t="s">
        <v>109</v>
      </c>
      <c r="BT2076" s="1">
        <v>2163</v>
      </c>
      <c r="BU2076" s="1" t="s">
        <v>109</v>
      </c>
      <c r="BV2076" s="1"/>
      <c r="BW2076" s="1"/>
      <c r="BX2076" s="1"/>
      <c r="BY2076" s="1"/>
      <c r="BZ2076" s="1">
        <v>0</v>
      </c>
      <c r="CA2076" s="1" t="s">
        <v>109</v>
      </c>
      <c r="CB2076" s="1" t="s">
        <v>109</v>
      </c>
      <c r="CC2076" s="1">
        <v>0</v>
      </c>
      <c r="CD2076" s="1">
        <v>0</v>
      </c>
      <c r="CE2076" s="1">
        <v>0</v>
      </c>
      <c r="CF2076" s="1">
        <v>0</v>
      </c>
      <c r="CG2076" s="1">
        <v>0</v>
      </c>
      <c r="CH2076" s="1" t="s">
        <v>109</v>
      </c>
      <c r="CI2076" s="1" t="s">
        <v>109</v>
      </c>
      <c r="CJ2076" s="1" t="s">
        <v>109</v>
      </c>
      <c r="CK2076" s="1"/>
      <c r="CL2076" s="1">
        <v>0</v>
      </c>
      <c r="CM2076" s="1">
        <v>0</v>
      </c>
      <c r="CN2076" s="1">
        <v>0</v>
      </c>
    </row>
    <row r="2077" spans="1:92" ht="14.25" customHeight="1" x14ac:dyDescent="0.15">
      <c r="A2077" s="1" t="s">
        <v>15133</v>
      </c>
      <c r="B2077" s="1" t="s">
        <v>156</v>
      </c>
      <c r="C2077" s="1"/>
      <c r="D2077" s="1" t="s">
        <v>158</v>
      </c>
      <c r="E2077" s="1" t="s">
        <v>14781</v>
      </c>
      <c r="F2077" s="1" t="s">
        <v>98</v>
      </c>
      <c r="G2077" s="1" t="s">
        <v>333</v>
      </c>
      <c r="H2077" s="1">
        <v>0</v>
      </c>
      <c r="I2077" s="1" t="s">
        <v>235</v>
      </c>
      <c r="J2077" s="1"/>
      <c r="K2077" s="1"/>
      <c r="L2077" s="1" t="s">
        <v>236</v>
      </c>
      <c r="M2077" s="1" t="s">
        <v>277</v>
      </c>
      <c r="N2077" s="1">
        <v>0</v>
      </c>
      <c r="O2077" s="1">
        <v>0</v>
      </c>
      <c r="P2077" s="1" t="s">
        <v>103</v>
      </c>
      <c r="Q2077" s="1" t="s">
        <v>104</v>
      </c>
      <c r="R2077" s="1" t="s">
        <v>15134</v>
      </c>
      <c r="S2077" s="1" t="s">
        <v>15135</v>
      </c>
      <c r="T2077" s="1" t="s">
        <v>14784</v>
      </c>
      <c r="U2077" s="1" t="s">
        <v>15136</v>
      </c>
      <c r="V2077" s="1">
        <v>1</v>
      </c>
      <c r="W2077" s="1">
        <v>0</v>
      </c>
      <c r="X2077" s="1">
        <v>0</v>
      </c>
      <c r="Y2077" s="1">
        <v>0</v>
      </c>
      <c r="Z2077" s="1">
        <v>0</v>
      </c>
      <c r="AA2077" s="1" t="s">
        <v>109</v>
      </c>
      <c r="AB2077" s="1" t="s">
        <v>109</v>
      </c>
      <c r="AC2077" s="1" t="s">
        <v>109</v>
      </c>
      <c r="AD2077" s="1" t="s">
        <v>109</v>
      </c>
      <c r="AE2077" s="1" t="s">
        <v>109</v>
      </c>
      <c r="AF2077" s="1" t="s">
        <v>109</v>
      </c>
      <c r="AG2077" s="1" t="s">
        <v>109</v>
      </c>
      <c r="AH2077" s="1" t="s">
        <v>109</v>
      </c>
      <c r="AI2077" s="1" t="s">
        <v>109</v>
      </c>
      <c r="AJ2077" s="1" t="s">
        <v>109</v>
      </c>
      <c r="AK2077" s="1" t="s">
        <v>109</v>
      </c>
      <c r="AL2077" s="1" t="s">
        <v>109</v>
      </c>
      <c r="AM2077" s="1" t="s">
        <v>109</v>
      </c>
      <c r="AN2077" s="1" t="s">
        <v>109</v>
      </c>
      <c r="AO2077" s="1" t="s">
        <v>109</v>
      </c>
      <c r="AP2077" s="1"/>
      <c r="AQ2077" s="1">
        <v>9</v>
      </c>
      <c r="AR2077" s="1"/>
      <c r="AS2077" s="1" t="s">
        <v>15137</v>
      </c>
      <c r="AT2077" s="1">
        <v>0</v>
      </c>
      <c r="AU2077" s="1">
        <v>0</v>
      </c>
      <c r="AV2077" s="1">
        <v>0</v>
      </c>
      <c r="AW2077" s="1">
        <v>0</v>
      </c>
      <c r="AX2077" s="1">
        <v>0</v>
      </c>
      <c r="AY2077" s="1">
        <v>0</v>
      </c>
      <c r="AZ2077" s="1">
        <v>0</v>
      </c>
      <c r="BA2077" s="1">
        <v>0</v>
      </c>
      <c r="BB2077" s="1">
        <v>0</v>
      </c>
      <c r="BC2077" s="1">
        <v>0</v>
      </c>
      <c r="BD2077" s="1">
        <v>0</v>
      </c>
      <c r="BE2077" s="1">
        <v>0</v>
      </c>
      <c r="BF2077" s="1">
        <v>0</v>
      </c>
      <c r="BG2077" s="1">
        <v>0</v>
      </c>
      <c r="BH2077" s="1">
        <v>0</v>
      </c>
      <c r="BI2077" s="1">
        <v>0</v>
      </c>
      <c r="BJ2077" s="1">
        <v>0</v>
      </c>
      <c r="BK2077" s="1">
        <v>0</v>
      </c>
      <c r="BL2077" s="1">
        <v>0</v>
      </c>
      <c r="BM2077" s="1">
        <v>1</v>
      </c>
      <c r="BN2077" s="1">
        <v>0</v>
      </c>
      <c r="BO2077" s="1">
        <v>0</v>
      </c>
      <c r="BP2077" s="1">
        <v>0</v>
      </c>
      <c r="BQ2077" s="1">
        <v>0</v>
      </c>
      <c r="BR2077" s="1">
        <v>0</v>
      </c>
      <c r="BS2077" s="1" t="s">
        <v>109</v>
      </c>
      <c r="BT2077" s="1">
        <v>2164</v>
      </c>
      <c r="BU2077" s="1" t="s">
        <v>109</v>
      </c>
      <c r="BV2077" s="1"/>
      <c r="BW2077" s="1"/>
      <c r="BX2077" s="1"/>
      <c r="BY2077" s="1"/>
      <c r="BZ2077" s="1">
        <v>0</v>
      </c>
      <c r="CA2077" s="1" t="s">
        <v>109</v>
      </c>
      <c r="CB2077" s="1" t="s">
        <v>109</v>
      </c>
      <c r="CC2077" s="1">
        <v>9</v>
      </c>
      <c r="CD2077" s="1" t="s">
        <v>109</v>
      </c>
      <c r="CE2077" s="1" t="s">
        <v>109</v>
      </c>
      <c r="CF2077" s="1" t="s">
        <v>109</v>
      </c>
      <c r="CG2077" s="1" t="s">
        <v>109</v>
      </c>
      <c r="CH2077" s="1" t="s">
        <v>109</v>
      </c>
      <c r="CI2077" s="1" t="s">
        <v>109</v>
      </c>
      <c r="CJ2077" s="1" t="s">
        <v>109</v>
      </c>
      <c r="CK2077" s="1"/>
      <c r="CL2077" s="1">
        <v>0</v>
      </c>
      <c r="CM2077" s="1">
        <v>0</v>
      </c>
      <c r="CN2077" s="1">
        <v>0</v>
      </c>
    </row>
    <row r="2078" spans="1:92" ht="14.25" customHeight="1" x14ac:dyDescent="0.15">
      <c r="A2078" s="1" t="s">
        <v>15138</v>
      </c>
      <c r="B2078" s="1" t="s">
        <v>674</v>
      </c>
      <c r="C2078" s="1" t="s">
        <v>1715</v>
      </c>
      <c r="D2078" s="1" t="s">
        <v>158</v>
      </c>
      <c r="E2078" s="1" t="s">
        <v>15139</v>
      </c>
      <c r="F2078" s="1" t="s">
        <v>98</v>
      </c>
      <c r="G2078" s="1" t="s">
        <v>141</v>
      </c>
      <c r="H2078" s="1">
        <v>0</v>
      </c>
      <c r="I2078" s="1" t="s">
        <v>397</v>
      </c>
      <c r="J2078" s="1"/>
      <c r="K2078" s="1"/>
      <c r="L2078" s="1" t="s">
        <v>15140</v>
      </c>
      <c r="M2078" s="1" t="s">
        <v>211</v>
      </c>
      <c r="N2078" s="1">
        <v>0</v>
      </c>
      <c r="O2078" s="1">
        <v>0</v>
      </c>
      <c r="P2078" s="1" t="s">
        <v>301</v>
      </c>
      <c r="Q2078" s="1" t="s">
        <v>268</v>
      </c>
      <c r="R2078" s="1" t="s">
        <v>15141</v>
      </c>
      <c r="S2078" s="1" t="s">
        <v>15142</v>
      </c>
      <c r="T2078" s="1" t="s">
        <v>14784</v>
      </c>
      <c r="U2078" s="1" t="s">
        <v>15143</v>
      </c>
      <c r="V2078" s="1">
        <v>1</v>
      </c>
      <c r="W2078" s="1">
        <v>1</v>
      </c>
      <c r="X2078" s="1">
        <v>0</v>
      </c>
      <c r="Y2078" s="1">
        <v>0</v>
      </c>
      <c r="Z2078" s="1">
        <v>0</v>
      </c>
      <c r="AA2078" s="1">
        <v>7</v>
      </c>
      <c r="AB2078" s="1">
        <v>7</v>
      </c>
      <c r="AC2078" s="1" t="s">
        <v>109</v>
      </c>
      <c r="AD2078" s="1" t="s">
        <v>109</v>
      </c>
      <c r="AE2078" s="1" t="s">
        <v>109</v>
      </c>
      <c r="AF2078" s="1">
        <v>6</v>
      </c>
      <c r="AG2078" s="1" t="s">
        <v>109</v>
      </c>
      <c r="AH2078" s="1" t="s">
        <v>109</v>
      </c>
      <c r="AI2078" s="1" t="s">
        <v>109</v>
      </c>
      <c r="AJ2078" s="1" t="s">
        <v>109</v>
      </c>
      <c r="AK2078" s="1" t="s">
        <v>109</v>
      </c>
      <c r="AL2078" s="1" t="s">
        <v>109</v>
      </c>
      <c r="AM2078" s="1" t="s">
        <v>109</v>
      </c>
      <c r="AN2078" s="1" t="s">
        <v>109</v>
      </c>
      <c r="AO2078" s="1" t="s">
        <v>109</v>
      </c>
      <c r="AP2078" s="1"/>
      <c r="AQ2078" s="1">
        <v>7</v>
      </c>
      <c r="AR2078" s="1"/>
      <c r="AS2078" s="1" t="s">
        <v>15144</v>
      </c>
      <c r="AT2078" s="1">
        <v>0</v>
      </c>
      <c r="AU2078" s="1">
        <v>0</v>
      </c>
      <c r="AV2078" s="1">
        <v>0</v>
      </c>
      <c r="AW2078" s="1">
        <v>0</v>
      </c>
      <c r="AX2078" s="1">
        <v>0</v>
      </c>
      <c r="AY2078" s="1">
        <v>0</v>
      </c>
      <c r="AZ2078" s="1">
        <v>0</v>
      </c>
      <c r="BA2078" s="1">
        <v>0</v>
      </c>
      <c r="BB2078" s="1">
        <v>0</v>
      </c>
      <c r="BC2078" s="1">
        <v>0</v>
      </c>
      <c r="BD2078" s="1">
        <v>0</v>
      </c>
      <c r="BE2078" s="1">
        <v>0</v>
      </c>
      <c r="BF2078" s="1">
        <v>0</v>
      </c>
      <c r="BG2078" s="1">
        <v>0</v>
      </c>
      <c r="BH2078" s="1">
        <v>0</v>
      </c>
      <c r="BI2078" s="1">
        <v>0</v>
      </c>
      <c r="BJ2078" s="1">
        <v>0</v>
      </c>
      <c r="BK2078" s="1">
        <v>0</v>
      </c>
      <c r="BL2078" s="1">
        <v>0</v>
      </c>
      <c r="BM2078" s="1">
        <v>1</v>
      </c>
      <c r="BN2078" s="1">
        <v>0</v>
      </c>
      <c r="BO2078" s="1">
        <v>0</v>
      </c>
      <c r="BP2078" s="1">
        <v>0</v>
      </c>
      <c r="BQ2078" s="1">
        <v>0</v>
      </c>
      <c r="BR2078" s="1">
        <v>0</v>
      </c>
      <c r="BS2078" s="1" t="s">
        <v>109</v>
      </c>
      <c r="BT2078" s="1">
        <v>2165</v>
      </c>
      <c r="BU2078" s="1" t="s">
        <v>109</v>
      </c>
      <c r="BV2078" s="1"/>
      <c r="BW2078" s="1"/>
      <c r="BX2078" s="1"/>
      <c r="BY2078" s="1"/>
      <c r="BZ2078" s="1">
        <v>0</v>
      </c>
      <c r="CA2078" s="1" t="s">
        <v>109</v>
      </c>
      <c r="CB2078" s="1" t="s">
        <v>109</v>
      </c>
      <c r="CC2078" s="1">
        <v>6</v>
      </c>
      <c r="CD2078" s="1">
        <v>4</v>
      </c>
      <c r="CE2078" s="1">
        <v>5</v>
      </c>
      <c r="CF2078" s="1" t="s">
        <v>109</v>
      </c>
      <c r="CG2078" s="1" t="s">
        <v>109</v>
      </c>
      <c r="CH2078" s="1" t="s">
        <v>109</v>
      </c>
      <c r="CI2078" s="1" t="s">
        <v>109</v>
      </c>
      <c r="CJ2078" s="1" t="s">
        <v>109</v>
      </c>
      <c r="CK2078" s="1"/>
      <c r="CL2078" s="1">
        <v>0</v>
      </c>
      <c r="CM2078" s="1">
        <v>0</v>
      </c>
      <c r="CN2078" s="1">
        <v>0</v>
      </c>
    </row>
    <row r="2079" spans="1:92" ht="14.25" customHeight="1" x14ac:dyDescent="0.15">
      <c r="A2079" s="1" t="s">
        <v>15145</v>
      </c>
      <c r="B2079" s="1" t="s">
        <v>254</v>
      </c>
      <c r="C2079" s="1"/>
      <c r="D2079" s="1" t="s">
        <v>158</v>
      </c>
      <c r="E2079" s="1" t="s">
        <v>15146</v>
      </c>
      <c r="F2079" s="1" t="s">
        <v>98</v>
      </c>
      <c r="G2079" s="1" t="s">
        <v>141</v>
      </c>
      <c r="H2079" s="1">
        <v>0</v>
      </c>
      <c r="I2079" s="1" t="s">
        <v>397</v>
      </c>
      <c r="J2079" s="1"/>
      <c r="K2079" s="1"/>
      <c r="L2079" s="1" t="s">
        <v>563</v>
      </c>
      <c r="M2079" s="1" t="s">
        <v>211</v>
      </c>
      <c r="N2079" s="1">
        <v>0</v>
      </c>
      <c r="O2079" s="1">
        <v>0</v>
      </c>
      <c r="P2079" s="1" t="s">
        <v>301</v>
      </c>
      <c r="Q2079" s="1" t="s">
        <v>268</v>
      </c>
      <c r="R2079" s="1" t="s">
        <v>15147</v>
      </c>
      <c r="S2079" s="1" t="s">
        <v>15148</v>
      </c>
      <c r="T2079" s="1" t="s">
        <v>14784</v>
      </c>
      <c r="U2079" s="1" t="s">
        <v>15149</v>
      </c>
      <c r="V2079" s="1">
        <v>1</v>
      </c>
      <c r="W2079" s="1">
        <v>1</v>
      </c>
      <c r="X2079" s="1">
        <v>0</v>
      </c>
      <c r="Y2079" s="1">
        <v>0</v>
      </c>
      <c r="Z2079" s="1">
        <v>0</v>
      </c>
      <c r="AA2079" s="1">
        <v>6</v>
      </c>
      <c r="AB2079" s="1">
        <v>6</v>
      </c>
      <c r="AC2079" s="1" t="s">
        <v>109</v>
      </c>
      <c r="AD2079" s="1" t="s">
        <v>109</v>
      </c>
      <c r="AE2079" s="1" t="s">
        <v>109</v>
      </c>
      <c r="AF2079" s="1">
        <v>6</v>
      </c>
      <c r="AG2079" s="1" t="s">
        <v>109</v>
      </c>
      <c r="AH2079" s="1" t="s">
        <v>109</v>
      </c>
      <c r="AI2079" s="1" t="s">
        <v>109</v>
      </c>
      <c r="AJ2079" s="1" t="s">
        <v>109</v>
      </c>
      <c r="AK2079" s="1" t="s">
        <v>109</v>
      </c>
      <c r="AL2079" s="1" t="s">
        <v>109</v>
      </c>
      <c r="AM2079" s="1" t="s">
        <v>109</v>
      </c>
      <c r="AN2079" s="1" t="s">
        <v>109</v>
      </c>
      <c r="AO2079" s="1" t="s">
        <v>109</v>
      </c>
      <c r="AP2079" s="1"/>
      <c r="AQ2079" s="1">
        <v>6</v>
      </c>
      <c r="AR2079" s="1"/>
      <c r="AS2079" s="1" t="s">
        <v>15150</v>
      </c>
      <c r="AT2079" s="1">
        <v>0</v>
      </c>
      <c r="AU2079" s="1">
        <v>0</v>
      </c>
      <c r="AV2079" s="1">
        <v>0</v>
      </c>
      <c r="AW2079" s="1">
        <v>0</v>
      </c>
      <c r="AX2079" s="1">
        <v>0</v>
      </c>
      <c r="AY2079" s="1">
        <v>0</v>
      </c>
      <c r="AZ2079" s="1">
        <v>0</v>
      </c>
      <c r="BA2079" s="1">
        <v>0</v>
      </c>
      <c r="BB2079" s="1">
        <v>0</v>
      </c>
      <c r="BC2079" s="1">
        <v>0</v>
      </c>
      <c r="BD2079" s="1">
        <v>0</v>
      </c>
      <c r="BE2079" s="1">
        <v>0</v>
      </c>
      <c r="BF2079" s="1">
        <v>0</v>
      </c>
      <c r="BG2079" s="1">
        <v>0</v>
      </c>
      <c r="BH2079" s="1">
        <v>0</v>
      </c>
      <c r="BI2079" s="1">
        <v>0</v>
      </c>
      <c r="BJ2079" s="1">
        <v>0</v>
      </c>
      <c r="BK2079" s="1">
        <v>0</v>
      </c>
      <c r="BL2079" s="1">
        <v>0</v>
      </c>
      <c r="BM2079" s="1">
        <v>1</v>
      </c>
      <c r="BN2079" s="1">
        <v>0</v>
      </c>
      <c r="BO2079" s="1">
        <v>0</v>
      </c>
      <c r="BP2079" s="1">
        <v>0</v>
      </c>
      <c r="BQ2079" s="1">
        <v>0</v>
      </c>
      <c r="BR2079" s="1">
        <v>0</v>
      </c>
      <c r="BS2079" s="1" t="s">
        <v>109</v>
      </c>
      <c r="BT2079" s="1">
        <v>2166</v>
      </c>
      <c r="BU2079" s="1" t="s">
        <v>109</v>
      </c>
      <c r="BV2079" s="1"/>
      <c r="BW2079" s="1"/>
      <c r="BX2079" s="1"/>
      <c r="BY2079" s="1"/>
      <c r="BZ2079" s="1">
        <v>0</v>
      </c>
      <c r="CA2079" s="1" t="s">
        <v>109</v>
      </c>
      <c r="CB2079" s="1" t="s">
        <v>109</v>
      </c>
      <c r="CC2079" s="1">
        <v>5</v>
      </c>
      <c r="CD2079" s="1">
        <v>4</v>
      </c>
      <c r="CE2079" s="1">
        <v>5</v>
      </c>
      <c r="CF2079" s="1" t="s">
        <v>109</v>
      </c>
      <c r="CG2079" s="1" t="s">
        <v>109</v>
      </c>
      <c r="CH2079" s="1" t="s">
        <v>109</v>
      </c>
      <c r="CI2079" s="1" t="s">
        <v>109</v>
      </c>
      <c r="CJ2079" s="1" t="s">
        <v>109</v>
      </c>
      <c r="CK2079" s="1"/>
      <c r="CL2079" s="1">
        <v>0</v>
      </c>
      <c r="CM2079" s="1">
        <v>0</v>
      </c>
      <c r="CN2079" s="1">
        <v>0</v>
      </c>
    </row>
    <row r="2080" spans="1:92" ht="14.25" customHeight="1" x14ac:dyDescent="0.15">
      <c r="A2080" s="1" t="s">
        <v>15151</v>
      </c>
      <c r="B2080" s="1" t="s">
        <v>95</v>
      </c>
      <c r="C2080" s="1" t="s">
        <v>1522</v>
      </c>
      <c r="D2080" s="1" t="s">
        <v>158</v>
      </c>
      <c r="E2080" s="1" t="s">
        <v>15152</v>
      </c>
      <c r="F2080" s="1" t="s">
        <v>98</v>
      </c>
      <c r="G2080" s="1" t="s">
        <v>141</v>
      </c>
      <c r="H2080" s="1">
        <v>0</v>
      </c>
      <c r="I2080" s="1" t="s">
        <v>161</v>
      </c>
      <c r="J2080" s="1"/>
      <c r="K2080" s="1"/>
      <c r="L2080" s="1" t="s">
        <v>15153</v>
      </c>
      <c r="M2080" s="1" t="s">
        <v>815</v>
      </c>
      <c r="N2080" s="1">
        <v>1</v>
      </c>
      <c r="O2080" s="1">
        <v>0</v>
      </c>
      <c r="P2080" s="1" t="s">
        <v>301</v>
      </c>
      <c r="Q2080" s="1" t="s">
        <v>268</v>
      </c>
      <c r="R2080" s="1" t="s">
        <v>15154</v>
      </c>
      <c r="S2080" s="1" t="s">
        <v>15155</v>
      </c>
      <c r="T2080" s="1" t="s">
        <v>14784</v>
      </c>
      <c r="U2080" s="1" t="s">
        <v>15156</v>
      </c>
      <c r="V2080" s="1">
        <v>1</v>
      </c>
      <c r="W2080" s="1">
        <v>1</v>
      </c>
      <c r="X2080" s="1">
        <v>0</v>
      </c>
      <c r="Y2080" s="1">
        <v>0</v>
      </c>
      <c r="Z2080" s="1">
        <v>0</v>
      </c>
      <c r="AA2080" s="1" t="s">
        <v>109</v>
      </c>
      <c r="AB2080" s="1" t="s">
        <v>109</v>
      </c>
      <c r="AC2080" s="1" t="s">
        <v>109</v>
      </c>
      <c r="AD2080" s="1" t="s">
        <v>109</v>
      </c>
      <c r="AE2080" s="1" t="s">
        <v>109</v>
      </c>
      <c r="AF2080" s="1" t="s">
        <v>109</v>
      </c>
      <c r="AG2080" s="1" t="s">
        <v>109</v>
      </c>
      <c r="AH2080" s="1" t="s">
        <v>109</v>
      </c>
      <c r="AI2080" s="1" t="s">
        <v>109</v>
      </c>
      <c r="AJ2080" s="1" t="s">
        <v>109</v>
      </c>
      <c r="AK2080" s="1" t="s">
        <v>109</v>
      </c>
      <c r="AL2080" s="1" t="s">
        <v>109</v>
      </c>
      <c r="AM2080" s="1" t="s">
        <v>109</v>
      </c>
      <c r="AN2080" s="1" t="s">
        <v>109</v>
      </c>
      <c r="AO2080" s="1" t="s">
        <v>109</v>
      </c>
      <c r="AP2080" s="1"/>
      <c r="AQ2080" s="1">
        <v>6</v>
      </c>
      <c r="AR2080" s="1"/>
      <c r="AS2080" s="1" t="s">
        <v>15157</v>
      </c>
      <c r="AT2080" s="1">
        <v>0</v>
      </c>
      <c r="AU2080" s="1">
        <v>0</v>
      </c>
      <c r="AV2080" s="1">
        <v>0</v>
      </c>
      <c r="AW2080" s="1">
        <v>0</v>
      </c>
      <c r="AX2080" s="1">
        <v>0</v>
      </c>
      <c r="AY2080" s="1">
        <v>0</v>
      </c>
      <c r="AZ2080" s="1">
        <v>0</v>
      </c>
      <c r="BA2080" s="1">
        <v>0</v>
      </c>
      <c r="BB2080" s="1">
        <v>0</v>
      </c>
      <c r="BC2080" s="1">
        <v>0</v>
      </c>
      <c r="BD2080" s="1">
        <v>0</v>
      </c>
      <c r="BE2080" s="1">
        <v>0</v>
      </c>
      <c r="BF2080" s="1">
        <v>0</v>
      </c>
      <c r="BG2080" s="1">
        <v>0</v>
      </c>
      <c r="BH2080" s="1">
        <v>0</v>
      </c>
      <c r="BI2080" s="1">
        <v>0</v>
      </c>
      <c r="BJ2080" s="1">
        <v>0</v>
      </c>
      <c r="BK2080" s="1">
        <v>0</v>
      </c>
      <c r="BL2080" s="1">
        <v>0</v>
      </c>
      <c r="BM2080" s="1">
        <v>1</v>
      </c>
      <c r="BN2080" s="1">
        <v>0</v>
      </c>
      <c r="BO2080" s="1">
        <v>0</v>
      </c>
      <c r="BP2080" s="1">
        <v>0</v>
      </c>
      <c r="BQ2080" s="1">
        <v>0</v>
      </c>
      <c r="BR2080" s="1">
        <v>0</v>
      </c>
      <c r="BS2080" s="1" t="s">
        <v>109</v>
      </c>
      <c r="BT2080" s="1">
        <v>2167</v>
      </c>
      <c r="BU2080" s="1" t="s">
        <v>109</v>
      </c>
      <c r="BV2080" s="1"/>
      <c r="BW2080" s="1"/>
      <c r="BX2080" s="1"/>
      <c r="BY2080" s="1"/>
      <c r="BZ2080" s="1">
        <v>0</v>
      </c>
      <c r="CA2080" s="1" t="s">
        <v>109</v>
      </c>
      <c r="CB2080" s="1" t="s">
        <v>109</v>
      </c>
      <c r="CC2080" s="1">
        <v>6</v>
      </c>
      <c r="CD2080" s="1" t="s">
        <v>109</v>
      </c>
      <c r="CE2080" s="1">
        <v>6</v>
      </c>
      <c r="CF2080" s="1" t="s">
        <v>109</v>
      </c>
      <c r="CG2080" s="1" t="s">
        <v>109</v>
      </c>
      <c r="CH2080" s="1" t="s">
        <v>109</v>
      </c>
      <c r="CI2080" s="1" t="s">
        <v>109</v>
      </c>
      <c r="CJ2080" s="1" t="s">
        <v>109</v>
      </c>
      <c r="CK2080" s="1"/>
      <c r="CL2080" s="1">
        <v>0</v>
      </c>
      <c r="CM2080" s="1">
        <v>0</v>
      </c>
      <c r="CN2080" s="1">
        <v>0</v>
      </c>
    </row>
    <row r="2081" spans="1:92" ht="14.25" customHeight="1" x14ac:dyDescent="0.15">
      <c r="A2081" s="1" t="s">
        <v>15158</v>
      </c>
      <c r="B2081" s="1" t="s">
        <v>95</v>
      </c>
      <c r="C2081" s="1" t="s">
        <v>1522</v>
      </c>
      <c r="D2081" s="1" t="s">
        <v>158</v>
      </c>
      <c r="E2081" s="1" t="s">
        <v>14781</v>
      </c>
      <c r="F2081" s="1" t="s">
        <v>98</v>
      </c>
      <c r="G2081" s="1" t="s">
        <v>141</v>
      </c>
      <c r="H2081" s="1">
        <v>0</v>
      </c>
      <c r="I2081" s="1" t="s">
        <v>161</v>
      </c>
      <c r="J2081" s="1"/>
      <c r="K2081" s="1"/>
      <c r="L2081" s="1" t="s">
        <v>15153</v>
      </c>
      <c r="M2081" s="1" t="s">
        <v>815</v>
      </c>
      <c r="N2081" s="1">
        <v>1</v>
      </c>
      <c r="O2081" s="1">
        <v>0</v>
      </c>
      <c r="P2081" s="1" t="s">
        <v>301</v>
      </c>
      <c r="Q2081" s="1" t="s">
        <v>268</v>
      </c>
      <c r="R2081" s="1" t="s">
        <v>15159</v>
      </c>
      <c r="S2081" s="1" t="s">
        <v>15160</v>
      </c>
      <c r="T2081" s="1" t="s">
        <v>14784</v>
      </c>
      <c r="U2081" s="1" t="s">
        <v>15161</v>
      </c>
      <c r="V2081" s="1">
        <v>1</v>
      </c>
      <c r="W2081" s="1">
        <v>1</v>
      </c>
      <c r="X2081" s="1">
        <v>0</v>
      </c>
      <c r="Y2081" s="1">
        <v>0</v>
      </c>
      <c r="Z2081" s="1">
        <v>0</v>
      </c>
      <c r="AA2081" s="1" t="s">
        <v>109</v>
      </c>
      <c r="AB2081" s="1" t="s">
        <v>109</v>
      </c>
      <c r="AC2081" s="1" t="s">
        <v>109</v>
      </c>
      <c r="AD2081" s="1" t="s">
        <v>109</v>
      </c>
      <c r="AE2081" s="1" t="s">
        <v>109</v>
      </c>
      <c r="AF2081" s="1" t="s">
        <v>109</v>
      </c>
      <c r="AG2081" s="1" t="s">
        <v>109</v>
      </c>
      <c r="AH2081" s="1" t="s">
        <v>109</v>
      </c>
      <c r="AI2081" s="1" t="s">
        <v>109</v>
      </c>
      <c r="AJ2081" s="1" t="s">
        <v>109</v>
      </c>
      <c r="AK2081" s="1" t="s">
        <v>109</v>
      </c>
      <c r="AL2081" s="1" t="s">
        <v>109</v>
      </c>
      <c r="AM2081" s="1" t="s">
        <v>109</v>
      </c>
      <c r="AN2081" s="1" t="s">
        <v>109</v>
      </c>
      <c r="AO2081" s="1" t="s">
        <v>109</v>
      </c>
      <c r="AP2081" s="1"/>
      <c r="AQ2081" s="1">
        <v>9</v>
      </c>
      <c r="AR2081" s="1"/>
      <c r="AS2081" s="1" t="s">
        <v>15162</v>
      </c>
      <c r="AT2081" s="1">
        <v>0</v>
      </c>
      <c r="AU2081" s="1">
        <v>0</v>
      </c>
      <c r="AV2081" s="1">
        <v>0</v>
      </c>
      <c r="AW2081" s="1">
        <v>0</v>
      </c>
      <c r="AX2081" s="1">
        <v>0</v>
      </c>
      <c r="AY2081" s="1">
        <v>0</v>
      </c>
      <c r="AZ2081" s="1">
        <v>0</v>
      </c>
      <c r="BA2081" s="1">
        <v>0</v>
      </c>
      <c r="BB2081" s="1">
        <v>0</v>
      </c>
      <c r="BC2081" s="1">
        <v>0</v>
      </c>
      <c r="BD2081" s="1">
        <v>0</v>
      </c>
      <c r="BE2081" s="1">
        <v>0</v>
      </c>
      <c r="BF2081" s="1">
        <v>0</v>
      </c>
      <c r="BG2081" s="1">
        <v>0</v>
      </c>
      <c r="BH2081" s="1">
        <v>0</v>
      </c>
      <c r="BI2081" s="1">
        <v>0</v>
      </c>
      <c r="BJ2081" s="1">
        <v>0</v>
      </c>
      <c r="BK2081" s="1">
        <v>0</v>
      </c>
      <c r="BL2081" s="1">
        <v>0</v>
      </c>
      <c r="BM2081" s="1">
        <v>1</v>
      </c>
      <c r="BN2081" s="1">
        <v>0</v>
      </c>
      <c r="BO2081" s="1">
        <v>0</v>
      </c>
      <c r="BP2081" s="1">
        <v>0</v>
      </c>
      <c r="BQ2081" s="1">
        <v>0</v>
      </c>
      <c r="BR2081" s="1">
        <v>0</v>
      </c>
      <c r="BS2081" s="1" t="s">
        <v>109</v>
      </c>
      <c r="BT2081" s="1">
        <v>2168</v>
      </c>
      <c r="BU2081" s="1" t="s">
        <v>109</v>
      </c>
      <c r="BV2081" s="1"/>
      <c r="BW2081" s="1"/>
      <c r="BX2081" s="1"/>
      <c r="BY2081" s="1"/>
      <c r="BZ2081" s="1">
        <v>0</v>
      </c>
      <c r="CA2081" s="1" t="s">
        <v>109</v>
      </c>
      <c r="CB2081" s="1" t="s">
        <v>109</v>
      </c>
      <c r="CC2081" s="1">
        <v>9</v>
      </c>
      <c r="CD2081" s="1" t="s">
        <v>109</v>
      </c>
      <c r="CE2081" s="1" t="s">
        <v>109</v>
      </c>
      <c r="CF2081" s="1" t="s">
        <v>109</v>
      </c>
      <c r="CG2081" s="1" t="s">
        <v>109</v>
      </c>
      <c r="CH2081" s="1" t="s">
        <v>109</v>
      </c>
      <c r="CI2081" s="1" t="s">
        <v>109</v>
      </c>
      <c r="CJ2081" s="1" t="s">
        <v>109</v>
      </c>
      <c r="CK2081" s="1"/>
      <c r="CL2081" s="1">
        <v>0</v>
      </c>
      <c r="CM2081" s="1">
        <v>0</v>
      </c>
      <c r="CN2081" s="1">
        <v>0</v>
      </c>
    </row>
    <row r="2082" spans="1:92" ht="14.25" customHeight="1" x14ac:dyDescent="0.15">
      <c r="A2082" s="1" t="s">
        <v>15163</v>
      </c>
      <c r="B2082" s="1" t="s">
        <v>584</v>
      </c>
      <c r="C2082" s="1"/>
      <c r="D2082" s="1"/>
      <c r="E2082" s="1" t="s">
        <v>15164</v>
      </c>
      <c r="F2082" s="1" t="s">
        <v>98</v>
      </c>
      <c r="G2082" s="1" t="s">
        <v>141</v>
      </c>
      <c r="H2082" s="1">
        <v>0</v>
      </c>
      <c r="I2082" s="1" t="s">
        <v>122</v>
      </c>
      <c r="J2082" s="1" t="s">
        <v>5885</v>
      </c>
      <c r="K2082" s="1"/>
      <c r="L2082" s="1"/>
      <c r="M2082" s="1" t="s">
        <v>125</v>
      </c>
      <c r="N2082" s="1">
        <v>0</v>
      </c>
      <c r="O2082" s="1">
        <v>0</v>
      </c>
      <c r="P2082" s="1" t="s">
        <v>15165</v>
      </c>
      <c r="Q2082" s="1" t="s">
        <v>268</v>
      </c>
      <c r="R2082" s="1" t="s">
        <v>15166</v>
      </c>
      <c r="S2082" s="1" t="s">
        <v>15167</v>
      </c>
      <c r="T2082" s="1" t="s">
        <v>14784</v>
      </c>
      <c r="U2082" s="1" t="s">
        <v>15168</v>
      </c>
      <c r="V2082" s="1">
        <v>1</v>
      </c>
      <c r="W2082" s="1">
        <v>1</v>
      </c>
      <c r="X2082" s="1">
        <v>0</v>
      </c>
      <c r="Y2082" s="1">
        <v>0</v>
      </c>
      <c r="Z2082" s="1">
        <v>0</v>
      </c>
      <c r="AA2082" s="1" t="s">
        <v>109</v>
      </c>
      <c r="AB2082" s="1" t="s">
        <v>109</v>
      </c>
      <c r="AC2082" s="1" t="s">
        <v>109</v>
      </c>
      <c r="AD2082" s="1" t="s">
        <v>109</v>
      </c>
      <c r="AE2082" s="1" t="s">
        <v>109</v>
      </c>
      <c r="AF2082" s="1" t="s">
        <v>109</v>
      </c>
      <c r="AG2082" s="1" t="s">
        <v>109</v>
      </c>
      <c r="AH2082" s="1" t="s">
        <v>109</v>
      </c>
      <c r="AI2082" s="1" t="s">
        <v>109</v>
      </c>
      <c r="AJ2082" s="1" t="s">
        <v>109</v>
      </c>
      <c r="AK2082" s="1" t="s">
        <v>109</v>
      </c>
      <c r="AL2082" s="1" t="s">
        <v>109</v>
      </c>
      <c r="AM2082" s="1" t="s">
        <v>109</v>
      </c>
      <c r="AN2082" s="1" t="s">
        <v>109</v>
      </c>
      <c r="AO2082" s="1" t="s">
        <v>109</v>
      </c>
      <c r="AP2082" s="1"/>
      <c r="AQ2082" s="1" t="s">
        <v>109</v>
      </c>
      <c r="AR2082" s="1"/>
      <c r="AS2082" s="1" t="s">
        <v>15169</v>
      </c>
      <c r="AT2082" s="1">
        <v>0</v>
      </c>
      <c r="AU2082" s="1">
        <v>0</v>
      </c>
      <c r="AV2082" s="1">
        <v>0</v>
      </c>
      <c r="AW2082" s="1">
        <v>0</v>
      </c>
      <c r="AX2082" s="1">
        <v>0</v>
      </c>
      <c r="AY2082" s="1">
        <v>0</v>
      </c>
      <c r="AZ2082" s="1">
        <v>0</v>
      </c>
      <c r="BA2082" s="1">
        <v>0</v>
      </c>
      <c r="BB2082" s="1">
        <v>0</v>
      </c>
      <c r="BC2082" s="1">
        <v>0</v>
      </c>
      <c r="BD2082" s="1">
        <v>0</v>
      </c>
      <c r="BE2082" s="1">
        <v>0</v>
      </c>
      <c r="BF2082" s="1">
        <v>0</v>
      </c>
      <c r="BG2082" s="1">
        <v>0</v>
      </c>
      <c r="BH2082" s="1">
        <v>0</v>
      </c>
      <c r="BI2082" s="1">
        <v>0</v>
      </c>
      <c r="BJ2082" s="1">
        <v>0</v>
      </c>
      <c r="BK2082" s="1">
        <v>0</v>
      </c>
      <c r="BL2082" s="1">
        <v>0</v>
      </c>
      <c r="BM2082" s="1">
        <v>0</v>
      </c>
      <c r="BN2082" s="1">
        <v>0</v>
      </c>
      <c r="BO2082" s="1">
        <v>0</v>
      </c>
      <c r="BP2082" s="1">
        <v>0</v>
      </c>
      <c r="BQ2082" s="1">
        <v>0</v>
      </c>
      <c r="BR2082" s="1">
        <v>0</v>
      </c>
      <c r="BS2082" s="1" t="s">
        <v>109</v>
      </c>
      <c r="BT2082" s="1">
        <v>2169</v>
      </c>
      <c r="BU2082" s="1" t="s">
        <v>109</v>
      </c>
      <c r="BV2082" s="1" t="s">
        <v>15170</v>
      </c>
      <c r="BW2082" s="1" t="s">
        <v>15171</v>
      </c>
      <c r="BX2082" s="1"/>
      <c r="BY2082" s="1"/>
      <c r="BZ2082" s="1">
        <v>0</v>
      </c>
      <c r="CA2082" s="1" t="s">
        <v>109</v>
      </c>
      <c r="CB2082" s="1" t="s">
        <v>109</v>
      </c>
      <c r="CC2082" s="1">
        <v>7</v>
      </c>
      <c r="CD2082" s="1" t="s">
        <v>109</v>
      </c>
      <c r="CE2082" s="1" t="s">
        <v>109</v>
      </c>
      <c r="CF2082" s="1" t="s">
        <v>109</v>
      </c>
      <c r="CG2082" s="1">
        <v>6</v>
      </c>
      <c r="CH2082" s="1" t="s">
        <v>109</v>
      </c>
      <c r="CI2082" s="1" t="s">
        <v>109</v>
      </c>
      <c r="CJ2082" s="1" t="s">
        <v>109</v>
      </c>
      <c r="CK2082" s="1"/>
      <c r="CL2082" s="1">
        <v>0</v>
      </c>
      <c r="CM2082" s="1">
        <v>0</v>
      </c>
      <c r="CN2082" s="1">
        <v>0</v>
      </c>
    </row>
    <row r="2083" spans="1:92" ht="14.25" customHeight="1" x14ac:dyDescent="0.15">
      <c r="A2083" s="1" t="s">
        <v>15172</v>
      </c>
      <c r="B2083" s="1" t="s">
        <v>584</v>
      </c>
      <c r="C2083" s="1"/>
      <c r="D2083" s="1"/>
      <c r="E2083" s="1" t="s">
        <v>15173</v>
      </c>
      <c r="F2083" s="1" t="s">
        <v>98</v>
      </c>
      <c r="G2083" s="1" t="s">
        <v>141</v>
      </c>
      <c r="H2083" s="1">
        <v>0</v>
      </c>
      <c r="I2083" s="1" t="s">
        <v>142</v>
      </c>
      <c r="J2083" s="1"/>
      <c r="K2083" s="1" t="s">
        <v>15174</v>
      </c>
      <c r="L2083" s="1"/>
      <c r="M2083" s="1" t="s">
        <v>11878</v>
      </c>
      <c r="N2083" s="1">
        <v>1</v>
      </c>
      <c r="O2083" s="1">
        <v>0</v>
      </c>
      <c r="P2083" s="1" t="s">
        <v>1841</v>
      </c>
      <c r="Q2083" s="1" t="s">
        <v>268</v>
      </c>
      <c r="R2083" s="1" t="s">
        <v>15175</v>
      </c>
      <c r="S2083" s="1" t="s">
        <v>15176</v>
      </c>
      <c r="T2083" s="1" t="s">
        <v>14784</v>
      </c>
      <c r="U2083" s="1" t="s">
        <v>15177</v>
      </c>
      <c r="V2083" s="1">
        <v>1</v>
      </c>
      <c r="W2083" s="1">
        <v>1</v>
      </c>
      <c r="X2083" s="1">
        <v>0</v>
      </c>
      <c r="Y2083" s="1">
        <v>0</v>
      </c>
      <c r="Z2083" s="1">
        <v>0</v>
      </c>
      <c r="AA2083" s="1">
        <v>3</v>
      </c>
      <c r="AB2083" s="1">
        <v>3</v>
      </c>
      <c r="AC2083" s="1" t="s">
        <v>109</v>
      </c>
      <c r="AD2083" s="1" t="s">
        <v>109</v>
      </c>
      <c r="AE2083" s="1" t="s">
        <v>109</v>
      </c>
      <c r="AF2083" s="1" t="s">
        <v>109</v>
      </c>
      <c r="AG2083" s="1" t="s">
        <v>109</v>
      </c>
      <c r="AH2083" s="1" t="s">
        <v>109</v>
      </c>
      <c r="AI2083" s="1" t="s">
        <v>109</v>
      </c>
      <c r="AJ2083" s="1" t="s">
        <v>109</v>
      </c>
      <c r="AK2083" s="1" t="s">
        <v>109</v>
      </c>
      <c r="AL2083" s="1" t="s">
        <v>109</v>
      </c>
      <c r="AM2083" s="1" t="s">
        <v>109</v>
      </c>
      <c r="AN2083" s="1">
        <v>3</v>
      </c>
      <c r="AO2083" s="1" t="s">
        <v>109</v>
      </c>
      <c r="AP2083" s="1"/>
      <c r="AQ2083" s="1">
        <v>3</v>
      </c>
      <c r="AR2083" s="1"/>
      <c r="AS2083" s="1" t="s">
        <v>15178</v>
      </c>
      <c r="AT2083" s="1">
        <v>0</v>
      </c>
      <c r="AU2083" s="1">
        <v>0</v>
      </c>
      <c r="AV2083" s="1">
        <v>0</v>
      </c>
      <c r="AW2083" s="1">
        <v>0</v>
      </c>
      <c r="AX2083" s="1">
        <v>0</v>
      </c>
      <c r="AY2083" s="1">
        <v>0</v>
      </c>
      <c r="AZ2083" s="1">
        <v>0</v>
      </c>
      <c r="BA2083" s="1">
        <v>0</v>
      </c>
      <c r="BB2083" s="1">
        <v>0</v>
      </c>
      <c r="BC2083" s="1">
        <v>0</v>
      </c>
      <c r="BD2083" s="1">
        <v>0</v>
      </c>
      <c r="BE2083" s="1">
        <v>0</v>
      </c>
      <c r="BF2083" s="1">
        <v>0</v>
      </c>
      <c r="BG2083" s="1">
        <v>0</v>
      </c>
      <c r="BH2083" s="1">
        <v>0</v>
      </c>
      <c r="BI2083" s="1">
        <v>0</v>
      </c>
      <c r="BJ2083" s="1">
        <v>0</v>
      </c>
      <c r="BK2083" s="1">
        <v>0</v>
      </c>
      <c r="BL2083" s="1">
        <v>0</v>
      </c>
      <c r="BM2083" s="1">
        <v>0</v>
      </c>
      <c r="BN2083" s="1">
        <v>0</v>
      </c>
      <c r="BO2083" s="1">
        <v>0</v>
      </c>
      <c r="BP2083" s="1">
        <v>0</v>
      </c>
      <c r="BQ2083" s="1">
        <v>0</v>
      </c>
      <c r="BR2083" s="1">
        <v>0</v>
      </c>
      <c r="BS2083" s="1" t="s">
        <v>109</v>
      </c>
      <c r="BT2083" s="1">
        <v>2170</v>
      </c>
      <c r="BU2083" s="1" t="s">
        <v>109</v>
      </c>
      <c r="BV2083" s="1" t="s">
        <v>15179</v>
      </c>
      <c r="BW2083" s="1" t="s">
        <v>15180</v>
      </c>
      <c r="BX2083" s="1"/>
      <c r="BY2083" s="1"/>
      <c r="BZ2083" s="1">
        <v>0</v>
      </c>
      <c r="CA2083" s="1" t="s">
        <v>109</v>
      </c>
      <c r="CB2083" s="1">
        <v>3</v>
      </c>
      <c r="CC2083" s="1">
        <v>3</v>
      </c>
      <c r="CD2083" s="1" t="s">
        <v>109</v>
      </c>
      <c r="CE2083" s="1" t="s">
        <v>109</v>
      </c>
      <c r="CF2083" s="1" t="s">
        <v>109</v>
      </c>
      <c r="CG2083" s="1">
        <v>3</v>
      </c>
      <c r="CH2083" s="1" t="s">
        <v>109</v>
      </c>
      <c r="CI2083" s="1" t="s">
        <v>109</v>
      </c>
      <c r="CJ2083" s="1" t="s">
        <v>109</v>
      </c>
      <c r="CK2083" s="1"/>
      <c r="CL2083" s="1">
        <v>0</v>
      </c>
      <c r="CM2083" s="1">
        <v>0</v>
      </c>
      <c r="CN2083" s="1">
        <v>0</v>
      </c>
    </row>
    <row r="2084" spans="1:92" ht="14.25" customHeight="1" x14ac:dyDescent="0.15">
      <c r="A2084" s="1" t="s">
        <v>15181</v>
      </c>
      <c r="B2084" s="1" t="s">
        <v>156</v>
      </c>
      <c r="C2084" s="1" t="s">
        <v>157</v>
      </c>
      <c r="D2084" s="1" t="s">
        <v>8086</v>
      </c>
      <c r="E2084" s="1" t="s">
        <v>15182</v>
      </c>
      <c r="F2084" s="1" t="s">
        <v>98</v>
      </c>
      <c r="G2084" s="1" t="s">
        <v>2345</v>
      </c>
      <c r="H2084" s="1">
        <v>0</v>
      </c>
      <c r="I2084" s="1" t="s">
        <v>142</v>
      </c>
      <c r="J2084" s="1"/>
      <c r="K2084" s="1"/>
      <c r="L2084" s="1" t="s">
        <v>1391</v>
      </c>
      <c r="M2084" s="1" t="s">
        <v>125</v>
      </c>
      <c r="N2084" s="1">
        <v>0</v>
      </c>
      <c r="O2084" s="1">
        <v>0</v>
      </c>
      <c r="P2084" s="1" t="s">
        <v>380</v>
      </c>
      <c r="Q2084" s="1" t="s">
        <v>268</v>
      </c>
      <c r="R2084" s="1" t="s">
        <v>15183</v>
      </c>
      <c r="S2084" s="1" t="s">
        <v>15184</v>
      </c>
      <c r="T2084" s="1" t="s">
        <v>14784</v>
      </c>
      <c r="U2084" s="1" t="s">
        <v>15185</v>
      </c>
      <c r="V2084" s="1">
        <v>0</v>
      </c>
      <c r="W2084" s="1">
        <v>1</v>
      </c>
      <c r="X2084" s="1">
        <v>0</v>
      </c>
      <c r="Y2084" s="1">
        <v>0</v>
      </c>
      <c r="Z2084" s="1">
        <v>0</v>
      </c>
      <c r="AA2084" s="1" t="s">
        <v>109</v>
      </c>
      <c r="AB2084" s="1" t="s">
        <v>109</v>
      </c>
      <c r="AC2084" s="1" t="s">
        <v>109</v>
      </c>
      <c r="AD2084" s="1" t="s">
        <v>109</v>
      </c>
      <c r="AE2084" s="1" t="s">
        <v>109</v>
      </c>
      <c r="AF2084" s="1" t="s">
        <v>109</v>
      </c>
      <c r="AG2084" s="1" t="s">
        <v>109</v>
      </c>
      <c r="AH2084" s="1" t="s">
        <v>109</v>
      </c>
      <c r="AI2084" s="1" t="s">
        <v>109</v>
      </c>
      <c r="AJ2084" s="1" t="s">
        <v>109</v>
      </c>
      <c r="AK2084" s="1" t="s">
        <v>109</v>
      </c>
      <c r="AL2084" s="1" t="s">
        <v>109</v>
      </c>
      <c r="AM2084" s="1" t="s">
        <v>109</v>
      </c>
      <c r="AN2084" s="1" t="s">
        <v>109</v>
      </c>
      <c r="AO2084" s="1" t="s">
        <v>109</v>
      </c>
      <c r="AP2084" s="1"/>
      <c r="AQ2084" s="1">
        <v>3</v>
      </c>
      <c r="AR2084" s="1"/>
      <c r="AS2084" s="1" t="s">
        <v>15186</v>
      </c>
      <c r="AT2084" s="1">
        <v>0</v>
      </c>
      <c r="AU2084" s="1">
        <v>0</v>
      </c>
      <c r="AV2084" s="1">
        <v>0</v>
      </c>
      <c r="AW2084" s="1">
        <v>0</v>
      </c>
      <c r="AX2084" s="1">
        <v>0</v>
      </c>
      <c r="AY2084" s="1">
        <v>0</v>
      </c>
      <c r="AZ2084" s="1">
        <v>0</v>
      </c>
      <c r="BA2084" s="1">
        <v>0</v>
      </c>
      <c r="BB2084" s="1">
        <v>0</v>
      </c>
      <c r="BC2084" s="1">
        <v>0</v>
      </c>
      <c r="BD2084" s="1">
        <v>1</v>
      </c>
      <c r="BE2084" s="1">
        <v>0</v>
      </c>
      <c r="BF2084" s="1">
        <v>0</v>
      </c>
      <c r="BG2084" s="1">
        <v>0</v>
      </c>
      <c r="BH2084" s="1">
        <v>0</v>
      </c>
      <c r="BI2084" s="1">
        <v>0</v>
      </c>
      <c r="BJ2084" s="1">
        <v>0</v>
      </c>
      <c r="BK2084" s="1">
        <v>0</v>
      </c>
      <c r="BL2084" s="1">
        <v>0</v>
      </c>
      <c r="BM2084" s="1">
        <v>1</v>
      </c>
      <c r="BN2084" s="1">
        <v>0</v>
      </c>
      <c r="BO2084" s="1">
        <v>0</v>
      </c>
      <c r="BP2084" s="1">
        <v>0</v>
      </c>
      <c r="BQ2084" s="1">
        <v>0</v>
      </c>
      <c r="BR2084" s="1">
        <v>0</v>
      </c>
      <c r="BS2084" s="1" t="s">
        <v>109</v>
      </c>
      <c r="BT2084" s="1">
        <v>2171</v>
      </c>
      <c r="BU2084" s="1" t="s">
        <v>109</v>
      </c>
      <c r="BV2084" s="1" t="s">
        <v>15187</v>
      </c>
      <c r="BW2084" s="1"/>
      <c r="BX2084" s="1"/>
      <c r="BY2084" s="1"/>
      <c r="BZ2084" s="1">
        <v>0</v>
      </c>
      <c r="CA2084" s="1" t="s">
        <v>109</v>
      </c>
      <c r="CB2084" s="1" t="s">
        <v>109</v>
      </c>
      <c r="CC2084" s="1">
        <v>3</v>
      </c>
      <c r="CD2084" s="1" t="s">
        <v>109</v>
      </c>
      <c r="CE2084" s="1" t="s">
        <v>109</v>
      </c>
      <c r="CF2084" s="1" t="s">
        <v>109</v>
      </c>
      <c r="CG2084" s="1" t="s">
        <v>109</v>
      </c>
      <c r="CH2084" s="1" t="s">
        <v>109</v>
      </c>
      <c r="CI2084" s="1" t="s">
        <v>109</v>
      </c>
      <c r="CJ2084" s="1" t="s">
        <v>109</v>
      </c>
      <c r="CK2084" s="1"/>
      <c r="CL2084" s="1">
        <v>0</v>
      </c>
      <c r="CM2084" s="1">
        <v>0</v>
      </c>
      <c r="CN2084" s="1">
        <v>0</v>
      </c>
    </row>
    <row r="2085" spans="1:92" ht="14.25" customHeight="1" x14ac:dyDescent="0.15">
      <c r="A2085" s="1" t="s">
        <v>15188</v>
      </c>
      <c r="B2085" s="1" t="s">
        <v>156</v>
      </c>
      <c r="C2085" s="1" t="s">
        <v>157</v>
      </c>
      <c r="D2085" s="1" t="s">
        <v>8086</v>
      </c>
      <c r="E2085" s="1" t="s">
        <v>15189</v>
      </c>
      <c r="F2085" s="1" t="s">
        <v>98</v>
      </c>
      <c r="G2085" s="1" t="s">
        <v>2345</v>
      </c>
      <c r="H2085" s="1">
        <v>0</v>
      </c>
      <c r="I2085" s="1" t="s">
        <v>142</v>
      </c>
      <c r="J2085" s="1"/>
      <c r="K2085" s="1"/>
      <c r="L2085" s="1" t="s">
        <v>1391</v>
      </c>
      <c r="M2085" s="1" t="s">
        <v>125</v>
      </c>
      <c r="N2085" s="1">
        <v>0</v>
      </c>
      <c r="O2085" s="1">
        <v>0</v>
      </c>
      <c r="P2085" s="1" t="s">
        <v>380</v>
      </c>
      <c r="Q2085" s="1" t="s">
        <v>268</v>
      </c>
      <c r="R2085" s="1" t="s">
        <v>15190</v>
      </c>
      <c r="S2085" s="1" t="s">
        <v>15191</v>
      </c>
      <c r="T2085" s="1" t="s">
        <v>14784</v>
      </c>
      <c r="U2085" s="1" t="s">
        <v>15192</v>
      </c>
      <c r="V2085" s="1">
        <v>0</v>
      </c>
      <c r="W2085" s="1">
        <v>1</v>
      </c>
      <c r="X2085" s="1">
        <v>0</v>
      </c>
      <c r="Y2085" s="1">
        <v>0</v>
      </c>
      <c r="Z2085" s="1">
        <v>0</v>
      </c>
      <c r="AA2085" s="1" t="s">
        <v>109</v>
      </c>
      <c r="AB2085" s="1" t="s">
        <v>109</v>
      </c>
      <c r="AC2085" s="1" t="s">
        <v>109</v>
      </c>
      <c r="AD2085" s="1" t="s">
        <v>109</v>
      </c>
      <c r="AE2085" s="1" t="s">
        <v>109</v>
      </c>
      <c r="AF2085" s="1" t="s">
        <v>109</v>
      </c>
      <c r="AG2085" s="1" t="s">
        <v>109</v>
      </c>
      <c r="AH2085" s="1" t="s">
        <v>109</v>
      </c>
      <c r="AI2085" s="1" t="s">
        <v>109</v>
      </c>
      <c r="AJ2085" s="1" t="s">
        <v>109</v>
      </c>
      <c r="AK2085" s="1" t="s">
        <v>109</v>
      </c>
      <c r="AL2085" s="1" t="s">
        <v>109</v>
      </c>
      <c r="AM2085" s="1" t="s">
        <v>109</v>
      </c>
      <c r="AN2085" s="1" t="s">
        <v>109</v>
      </c>
      <c r="AO2085" s="1" t="s">
        <v>109</v>
      </c>
      <c r="AP2085" s="1"/>
      <c r="AQ2085" s="1">
        <v>4</v>
      </c>
      <c r="AR2085" s="1"/>
      <c r="AS2085" s="1" t="s">
        <v>15193</v>
      </c>
      <c r="AT2085" s="1">
        <v>0</v>
      </c>
      <c r="AU2085" s="1">
        <v>0</v>
      </c>
      <c r="AV2085" s="1">
        <v>0</v>
      </c>
      <c r="AW2085" s="1">
        <v>0</v>
      </c>
      <c r="AX2085" s="1">
        <v>0</v>
      </c>
      <c r="AY2085" s="1">
        <v>0</v>
      </c>
      <c r="AZ2085" s="1">
        <v>0</v>
      </c>
      <c r="BA2085" s="1">
        <v>0</v>
      </c>
      <c r="BB2085" s="1">
        <v>0</v>
      </c>
      <c r="BC2085" s="1">
        <v>0</v>
      </c>
      <c r="BD2085" s="1">
        <v>1</v>
      </c>
      <c r="BE2085" s="1">
        <v>0</v>
      </c>
      <c r="BF2085" s="1">
        <v>0</v>
      </c>
      <c r="BG2085" s="1">
        <v>0</v>
      </c>
      <c r="BH2085" s="1">
        <v>0</v>
      </c>
      <c r="BI2085" s="1">
        <v>0</v>
      </c>
      <c r="BJ2085" s="1">
        <v>0</v>
      </c>
      <c r="BK2085" s="1">
        <v>0</v>
      </c>
      <c r="BL2085" s="1">
        <v>0</v>
      </c>
      <c r="BM2085" s="1">
        <v>1</v>
      </c>
      <c r="BN2085" s="1">
        <v>0</v>
      </c>
      <c r="BO2085" s="1">
        <v>0</v>
      </c>
      <c r="BP2085" s="1">
        <v>0</v>
      </c>
      <c r="BQ2085" s="1">
        <v>0</v>
      </c>
      <c r="BR2085" s="1">
        <v>0</v>
      </c>
      <c r="BS2085" s="1" t="s">
        <v>109</v>
      </c>
      <c r="BT2085" s="1">
        <v>2172</v>
      </c>
      <c r="BU2085" s="1" t="s">
        <v>109</v>
      </c>
      <c r="BV2085" s="1"/>
      <c r="BW2085" s="1"/>
      <c r="BX2085" s="1"/>
      <c r="BY2085" s="1"/>
      <c r="BZ2085" s="1">
        <v>0</v>
      </c>
      <c r="CA2085" s="1" t="s">
        <v>109</v>
      </c>
      <c r="CB2085" s="1" t="s">
        <v>109</v>
      </c>
      <c r="CC2085" s="1">
        <v>4</v>
      </c>
      <c r="CD2085" s="1" t="s">
        <v>109</v>
      </c>
      <c r="CE2085" s="1" t="s">
        <v>109</v>
      </c>
      <c r="CF2085" s="1" t="s">
        <v>109</v>
      </c>
      <c r="CG2085" s="1" t="s">
        <v>109</v>
      </c>
      <c r="CH2085" s="1" t="s">
        <v>109</v>
      </c>
      <c r="CI2085" s="1" t="s">
        <v>109</v>
      </c>
      <c r="CJ2085" s="1" t="s">
        <v>109</v>
      </c>
      <c r="CK2085" s="1"/>
      <c r="CL2085" s="1">
        <v>0</v>
      </c>
      <c r="CM2085" s="1">
        <v>0</v>
      </c>
      <c r="CN2085" s="1">
        <v>0</v>
      </c>
    </row>
    <row r="2086" spans="1:92" ht="14.25" customHeight="1" x14ac:dyDescent="0.15">
      <c r="A2086" s="1" t="s">
        <v>15194</v>
      </c>
      <c r="B2086" s="1" t="s">
        <v>156</v>
      </c>
      <c r="C2086" s="1" t="s">
        <v>157</v>
      </c>
      <c r="D2086" s="1" t="s">
        <v>8086</v>
      </c>
      <c r="E2086" s="1" t="s">
        <v>15195</v>
      </c>
      <c r="F2086" s="1" t="s">
        <v>98</v>
      </c>
      <c r="G2086" s="1" t="s">
        <v>2345</v>
      </c>
      <c r="H2086" s="1">
        <v>0</v>
      </c>
      <c r="I2086" s="1" t="s">
        <v>142</v>
      </c>
      <c r="J2086" s="1"/>
      <c r="K2086" s="1"/>
      <c r="L2086" s="1" t="s">
        <v>1391</v>
      </c>
      <c r="M2086" s="1" t="s">
        <v>125</v>
      </c>
      <c r="N2086" s="1">
        <v>0</v>
      </c>
      <c r="O2086" s="1">
        <v>0</v>
      </c>
      <c r="P2086" s="1" t="s">
        <v>380</v>
      </c>
      <c r="Q2086" s="1" t="s">
        <v>268</v>
      </c>
      <c r="R2086" s="1" t="s">
        <v>15196</v>
      </c>
      <c r="S2086" s="1" t="s">
        <v>15197</v>
      </c>
      <c r="T2086" s="1" t="s">
        <v>14784</v>
      </c>
      <c r="U2086" s="1" t="s">
        <v>15198</v>
      </c>
      <c r="V2086" s="1">
        <v>0</v>
      </c>
      <c r="W2086" s="1">
        <v>1</v>
      </c>
      <c r="X2086" s="1">
        <v>0</v>
      </c>
      <c r="Y2086" s="1">
        <v>0</v>
      </c>
      <c r="Z2086" s="1">
        <v>0</v>
      </c>
      <c r="AA2086" s="1" t="s">
        <v>109</v>
      </c>
      <c r="AB2086" s="1" t="s">
        <v>109</v>
      </c>
      <c r="AC2086" s="1" t="s">
        <v>109</v>
      </c>
      <c r="AD2086" s="1" t="s">
        <v>109</v>
      </c>
      <c r="AE2086" s="1" t="s">
        <v>109</v>
      </c>
      <c r="AF2086" s="1" t="s">
        <v>109</v>
      </c>
      <c r="AG2086" s="1" t="s">
        <v>109</v>
      </c>
      <c r="AH2086" s="1" t="s">
        <v>109</v>
      </c>
      <c r="AI2086" s="1" t="s">
        <v>109</v>
      </c>
      <c r="AJ2086" s="1" t="s">
        <v>109</v>
      </c>
      <c r="AK2086" s="1" t="s">
        <v>109</v>
      </c>
      <c r="AL2086" s="1" t="s">
        <v>109</v>
      </c>
      <c r="AM2086" s="1" t="s">
        <v>109</v>
      </c>
      <c r="AN2086" s="1" t="s">
        <v>109</v>
      </c>
      <c r="AO2086" s="1" t="s">
        <v>109</v>
      </c>
      <c r="AP2086" s="1"/>
      <c r="AQ2086" s="1">
        <v>5</v>
      </c>
      <c r="AR2086" s="1"/>
      <c r="AS2086" s="1" t="s">
        <v>15199</v>
      </c>
      <c r="AT2086" s="1">
        <v>0</v>
      </c>
      <c r="AU2086" s="1">
        <v>0</v>
      </c>
      <c r="AV2086" s="1">
        <v>0</v>
      </c>
      <c r="AW2086" s="1">
        <v>0</v>
      </c>
      <c r="AX2086" s="1">
        <v>0</v>
      </c>
      <c r="AY2086" s="1">
        <v>0</v>
      </c>
      <c r="AZ2086" s="1">
        <v>0</v>
      </c>
      <c r="BA2086" s="1">
        <v>0</v>
      </c>
      <c r="BB2086" s="1">
        <v>0</v>
      </c>
      <c r="BC2086" s="1">
        <v>0</v>
      </c>
      <c r="BD2086" s="1">
        <v>1</v>
      </c>
      <c r="BE2086" s="1">
        <v>0</v>
      </c>
      <c r="BF2086" s="1">
        <v>0</v>
      </c>
      <c r="BG2086" s="1">
        <v>0</v>
      </c>
      <c r="BH2086" s="1">
        <v>0</v>
      </c>
      <c r="BI2086" s="1">
        <v>0</v>
      </c>
      <c r="BJ2086" s="1">
        <v>0</v>
      </c>
      <c r="BK2086" s="1">
        <v>0</v>
      </c>
      <c r="BL2086" s="1">
        <v>0</v>
      </c>
      <c r="BM2086" s="1">
        <v>1</v>
      </c>
      <c r="BN2086" s="1">
        <v>0</v>
      </c>
      <c r="BO2086" s="1">
        <v>0</v>
      </c>
      <c r="BP2086" s="1">
        <v>0</v>
      </c>
      <c r="BQ2086" s="1">
        <v>0</v>
      </c>
      <c r="BR2086" s="1">
        <v>0</v>
      </c>
      <c r="BS2086" s="1" t="s">
        <v>109</v>
      </c>
      <c r="BT2086" s="1">
        <v>2173</v>
      </c>
      <c r="BU2086" s="1" t="s">
        <v>109</v>
      </c>
      <c r="BV2086" s="1"/>
      <c r="BW2086" s="1"/>
      <c r="BX2086" s="1"/>
      <c r="BY2086" s="1"/>
      <c r="BZ2086" s="1">
        <v>0</v>
      </c>
      <c r="CA2086" s="1" t="s">
        <v>109</v>
      </c>
      <c r="CB2086" s="1" t="s">
        <v>109</v>
      </c>
      <c r="CC2086" s="1">
        <v>5</v>
      </c>
      <c r="CD2086" s="1" t="s">
        <v>109</v>
      </c>
      <c r="CE2086" s="1" t="s">
        <v>109</v>
      </c>
      <c r="CF2086" s="1" t="s">
        <v>109</v>
      </c>
      <c r="CG2086" s="1" t="s">
        <v>109</v>
      </c>
      <c r="CH2086" s="1" t="s">
        <v>109</v>
      </c>
      <c r="CI2086" s="1" t="s">
        <v>109</v>
      </c>
      <c r="CJ2086" s="1" t="s">
        <v>109</v>
      </c>
      <c r="CK2086" s="1"/>
      <c r="CL2086" s="1">
        <v>0</v>
      </c>
      <c r="CM2086" s="1">
        <v>0</v>
      </c>
      <c r="CN2086" s="1">
        <v>0</v>
      </c>
    </row>
    <row r="2087" spans="1:92" ht="14.25" customHeight="1" x14ac:dyDescent="0.15">
      <c r="A2087" s="1" t="s">
        <v>15200</v>
      </c>
      <c r="B2087" s="1" t="s">
        <v>156</v>
      </c>
      <c r="C2087" s="1" t="s">
        <v>157</v>
      </c>
      <c r="D2087" s="1" t="s">
        <v>8086</v>
      </c>
      <c r="E2087" s="1" t="s">
        <v>15201</v>
      </c>
      <c r="F2087" s="1" t="s">
        <v>98</v>
      </c>
      <c r="G2087" s="1" t="s">
        <v>2345</v>
      </c>
      <c r="H2087" s="1">
        <v>0</v>
      </c>
      <c r="I2087" s="1" t="s">
        <v>142</v>
      </c>
      <c r="J2087" s="1"/>
      <c r="K2087" s="1"/>
      <c r="L2087" s="1" t="s">
        <v>1391</v>
      </c>
      <c r="M2087" s="1" t="s">
        <v>125</v>
      </c>
      <c r="N2087" s="1">
        <v>0</v>
      </c>
      <c r="O2087" s="1">
        <v>0</v>
      </c>
      <c r="P2087" s="1" t="s">
        <v>380</v>
      </c>
      <c r="Q2087" s="1" t="s">
        <v>268</v>
      </c>
      <c r="R2087" s="1" t="s">
        <v>15202</v>
      </c>
      <c r="S2087" s="1" t="s">
        <v>15203</v>
      </c>
      <c r="T2087" s="1" t="s">
        <v>14784</v>
      </c>
      <c r="U2087" s="1" t="s">
        <v>15204</v>
      </c>
      <c r="V2087" s="1">
        <v>0</v>
      </c>
      <c r="W2087" s="1">
        <v>1</v>
      </c>
      <c r="X2087" s="1">
        <v>0</v>
      </c>
      <c r="Y2087" s="1">
        <v>0</v>
      </c>
      <c r="Z2087" s="1">
        <v>0</v>
      </c>
      <c r="AA2087" s="1" t="s">
        <v>109</v>
      </c>
      <c r="AB2087" s="1" t="s">
        <v>109</v>
      </c>
      <c r="AC2087" s="1" t="s">
        <v>109</v>
      </c>
      <c r="AD2087" s="1" t="s">
        <v>109</v>
      </c>
      <c r="AE2087" s="1" t="s">
        <v>109</v>
      </c>
      <c r="AF2087" s="1" t="s">
        <v>109</v>
      </c>
      <c r="AG2087" s="1" t="s">
        <v>109</v>
      </c>
      <c r="AH2087" s="1" t="s">
        <v>109</v>
      </c>
      <c r="AI2087" s="1" t="s">
        <v>109</v>
      </c>
      <c r="AJ2087" s="1" t="s">
        <v>109</v>
      </c>
      <c r="AK2087" s="1" t="s">
        <v>109</v>
      </c>
      <c r="AL2087" s="1" t="s">
        <v>109</v>
      </c>
      <c r="AM2087" s="1" t="s">
        <v>109</v>
      </c>
      <c r="AN2087" s="1" t="s">
        <v>109</v>
      </c>
      <c r="AO2087" s="1" t="s">
        <v>109</v>
      </c>
      <c r="AP2087" s="1"/>
      <c r="AQ2087" s="1">
        <v>6</v>
      </c>
      <c r="AR2087" s="1"/>
      <c r="AS2087" s="1" t="s">
        <v>15205</v>
      </c>
      <c r="AT2087" s="1">
        <v>0</v>
      </c>
      <c r="AU2087" s="1">
        <v>0</v>
      </c>
      <c r="AV2087" s="1">
        <v>0</v>
      </c>
      <c r="AW2087" s="1">
        <v>0</v>
      </c>
      <c r="AX2087" s="1">
        <v>0</v>
      </c>
      <c r="AY2087" s="1">
        <v>0</v>
      </c>
      <c r="AZ2087" s="1">
        <v>0</v>
      </c>
      <c r="BA2087" s="1">
        <v>0</v>
      </c>
      <c r="BB2087" s="1">
        <v>0</v>
      </c>
      <c r="BC2087" s="1">
        <v>0</v>
      </c>
      <c r="BD2087" s="1">
        <v>1</v>
      </c>
      <c r="BE2087" s="1">
        <v>0</v>
      </c>
      <c r="BF2087" s="1">
        <v>0</v>
      </c>
      <c r="BG2087" s="1">
        <v>0</v>
      </c>
      <c r="BH2087" s="1">
        <v>0</v>
      </c>
      <c r="BI2087" s="1">
        <v>0</v>
      </c>
      <c r="BJ2087" s="1">
        <v>0</v>
      </c>
      <c r="BK2087" s="1">
        <v>0</v>
      </c>
      <c r="BL2087" s="1">
        <v>0</v>
      </c>
      <c r="BM2087" s="1">
        <v>1</v>
      </c>
      <c r="BN2087" s="1">
        <v>0</v>
      </c>
      <c r="BO2087" s="1">
        <v>0</v>
      </c>
      <c r="BP2087" s="1">
        <v>0</v>
      </c>
      <c r="BQ2087" s="1">
        <v>0</v>
      </c>
      <c r="BR2087" s="1">
        <v>0</v>
      </c>
      <c r="BS2087" s="1" t="s">
        <v>109</v>
      </c>
      <c r="BT2087" s="1">
        <v>2174</v>
      </c>
      <c r="BU2087" s="1" t="s">
        <v>109</v>
      </c>
      <c r="BV2087" s="1"/>
      <c r="BW2087" s="1"/>
      <c r="BX2087" s="1"/>
      <c r="BY2087" s="1"/>
      <c r="BZ2087" s="1">
        <v>0</v>
      </c>
      <c r="CA2087" s="1" t="s">
        <v>109</v>
      </c>
      <c r="CB2087" s="1" t="s">
        <v>109</v>
      </c>
      <c r="CC2087" s="1">
        <v>6</v>
      </c>
      <c r="CD2087" s="1" t="s">
        <v>109</v>
      </c>
      <c r="CE2087" s="1" t="s">
        <v>109</v>
      </c>
      <c r="CF2087" s="1" t="s">
        <v>109</v>
      </c>
      <c r="CG2087" s="1" t="s">
        <v>109</v>
      </c>
      <c r="CH2087" s="1" t="s">
        <v>109</v>
      </c>
      <c r="CI2087" s="1" t="s">
        <v>109</v>
      </c>
      <c r="CJ2087" s="1" t="s">
        <v>109</v>
      </c>
      <c r="CK2087" s="1"/>
      <c r="CL2087" s="1">
        <v>0</v>
      </c>
      <c r="CM2087" s="1">
        <v>0</v>
      </c>
      <c r="CN2087" s="1">
        <v>0</v>
      </c>
    </row>
    <row r="2088" spans="1:92" ht="14.25" customHeight="1" x14ac:dyDescent="0.15">
      <c r="A2088" s="1" t="s">
        <v>15206</v>
      </c>
      <c r="B2088" s="1" t="s">
        <v>156</v>
      </c>
      <c r="C2088" s="1" t="s">
        <v>157</v>
      </c>
      <c r="D2088" s="1" t="s">
        <v>8086</v>
      </c>
      <c r="E2088" s="1" t="s">
        <v>15207</v>
      </c>
      <c r="F2088" s="1" t="s">
        <v>98</v>
      </c>
      <c r="G2088" s="1" t="s">
        <v>2345</v>
      </c>
      <c r="H2088" s="1">
        <v>0</v>
      </c>
      <c r="I2088" s="1" t="s">
        <v>142</v>
      </c>
      <c r="J2088" s="1"/>
      <c r="K2088" s="1"/>
      <c r="L2088" s="1" t="s">
        <v>1391</v>
      </c>
      <c r="M2088" s="1" t="s">
        <v>125</v>
      </c>
      <c r="N2088" s="1">
        <v>0</v>
      </c>
      <c r="O2088" s="1">
        <v>0</v>
      </c>
      <c r="P2088" s="1" t="s">
        <v>380</v>
      </c>
      <c r="Q2088" s="1" t="s">
        <v>268</v>
      </c>
      <c r="R2088" s="1" t="s">
        <v>15208</v>
      </c>
      <c r="S2088" s="1" t="s">
        <v>15209</v>
      </c>
      <c r="T2088" s="1" t="s">
        <v>14784</v>
      </c>
      <c r="U2088" s="1" t="s">
        <v>15210</v>
      </c>
      <c r="V2088" s="1">
        <v>0</v>
      </c>
      <c r="W2088" s="1">
        <v>1</v>
      </c>
      <c r="X2088" s="1">
        <v>0</v>
      </c>
      <c r="Y2088" s="1">
        <v>0</v>
      </c>
      <c r="Z2088" s="1">
        <v>0</v>
      </c>
      <c r="AA2088" s="1" t="s">
        <v>109</v>
      </c>
      <c r="AB2088" s="1" t="s">
        <v>109</v>
      </c>
      <c r="AC2088" s="1" t="s">
        <v>109</v>
      </c>
      <c r="AD2088" s="1" t="s">
        <v>109</v>
      </c>
      <c r="AE2088" s="1" t="s">
        <v>109</v>
      </c>
      <c r="AF2088" s="1" t="s">
        <v>109</v>
      </c>
      <c r="AG2088" s="1" t="s">
        <v>109</v>
      </c>
      <c r="AH2088" s="1" t="s">
        <v>109</v>
      </c>
      <c r="AI2088" s="1" t="s">
        <v>109</v>
      </c>
      <c r="AJ2088" s="1" t="s">
        <v>109</v>
      </c>
      <c r="AK2088" s="1" t="s">
        <v>109</v>
      </c>
      <c r="AL2088" s="1" t="s">
        <v>109</v>
      </c>
      <c r="AM2088" s="1" t="s">
        <v>109</v>
      </c>
      <c r="AN2088" s="1" t="s">
        <v>109</v>
      </c>
      <c r="AO2088" s="1" t="s">
        <v>109</v>
      </c>
      <c r="AP2088" s="1"/>
      <c r="AQ2088" s="1">
        <v>7</v>
      </c>
      <c r="AR2088" s="1"/>
      <c r="AS2088" s="1" t="s">
        <v>15211</v>
      </c>
      <c r="AT2088" s="1">
        <v>0</v>
      </c>
      <c r="AU2088" s="1">
        <v>0</v>
      </c>
      <c r="AV2088" s="1">
        <v>0</v>
      </c>
      <c r="AW2088" s="1">
        <v>0</v>
      </c>
      <c r="AX2088" s="1">
        <v>0</v>
      </c>
      <c r="AY2088" s="1">
        <v>0</v>
      </c>
      <c r="AZ2088" s="1">
        <v>0</v>
      </c>
      <c r="BA2088" s="1">
        <v>0</v>
      </c>
      <c r="BB2088" s="1">
        <v>0</v>
      </c>
      <c r="BC2088" s="1">
        <v>0</v>
      </c>
      <c r="BD2088" s="1">
        <v>1</v>
      </c>
      <c r="BE2088" s="1">
        <v>0</v>
      </c>
      <c r="BF2088" s="1">
        <v>0</v>
      </c>
      <c r="BG2088" s="1">
        <v>0</v>
      </c>
      <c r="BH2088" s="1">
        <v>0</v>
      </c>
      <c r="BI2088" s="1">
        <v>0</v>
      </c>
      <c r="BJ2088" s="1">
        <v>0</v>
      </c>
      <c r="BK2088" s="1">
        <v>0</v>
      </c>
      <c r="BL2088" s="1">
        <v>0</v>
      </c>
      <c r="BM2088" s="1">
        <v>1</v>
      </c>
      <c r="BN2088" s="1">
        <v>0</v>
      </c>
      <c r="BO2088" s="1">
        <v>0</v>
      </c>
      <c r="BP2088" s="1">
        <v>0</v>
      </c>
      <c r="BQ2088" s="1">
        <v>0</v>
      </c>
      <c r="BR2088" s="1">
        <v>0</v>
      </c>
      <c r="BS2088" s="1" t="s">
        <v>109</v>
      </c>
      <c r="BT2088" s="1">
        <v>2175</v>
      </c>
      <c r="BU2088" s="1" t="s">
        <v>109</v>
      </c>
      <c r="BV2088" s="1"/>
      <c r="BW2088" s="1"/>
      <c r="BX2088" s="1"/>
      <c r="BY2088" s="1"/>
      <c r="BZ2088" s="1">
        <v>0</v>
      </c>
      <c r="CA2088" s="1" t="s">
        <v>109</v>
      </c>
      <c r="CB2088" s="1" t="s">
        <v>109</v>
      </c>
      <c r="CC2088" s="1">
        <v>7</v>
      </c>
      <c r="CD2088" s="1" t="s">
        <v>109</v>
      </c>
      <c r="CE2088" s="1" t="s">
        <v>109</v>
      </c>
      <c r="CF2088" s="1" t="s">
        <v>109</v>
      </c>
      <c r="CG2088" s="1" t="s">
        <v>109</v>
      </c>
      <c r="CH2088" s="1" t="s">
        <v>109</v>
      </c>
      <c r="CI2088" s="1" t="s">
        <v>109</v>
      </c>
      <c r="CJ2088" s="1" t="s">
        <v>109</v>
      </c>
      <c r="CK2088" s="1"/>
      <c r="CL2088" s="1">
        <v>0</v>
      </c>
      <c r="CM2088" s="1">
        <v>0</v>
      </c>
      <c r="CN2088" s="1">
        <v>0</v>
      </c>
    </row>
    <row r="2089" spans="1:92" ht="14.25" customHeight="1" x14ac:dyDescent="0.15">
      <c r="A2089" s="1" t="s">
        <v>15212</v>
      </c>
      <c r="B2089" s="1" t="s">
        <v>156</v>
      </c>
      <c r="C2089" s="1" t="s">
        <v>157</v>
      </c>
      <c r="D2089" s="1" t="s">
        <v>8086</v>
      </c>
      <c r="E2089" s="1" t="s">
        <v>15213</v>
      </c>
      <c r="F2089" s="1" t="s">
        <v>98</v>
      </c>
      <c r="G2089" s="1" t="s">
        <v>2345</v>
      </c>
      <c r="H2089" s="1">
        <v>0</v>
      </c>
      <c r="I2089" s="1" t="s">
        <v>142</v>
      </c>
      <c r="J2089" s="1"/>
      <c r="K2089" s="1"/>
      <c r="L2089" s="1" t="s">
        <v>1391</v>
      </c>
      <c r="M2089" s="1" t="s">
        <v>574</v>
      </c>
      <c r="N2089" s="1">
        <v>1</v>
      </c>
      <c r="O2089" s="1">
        <v>0</v>
      </c>
      <c r="P2089" s="1" t="s">
        <v>301</v>
      </c>
      <c r="Q2089" s="1" t="s">
        <v>268</v>
      </c>
      <c r="R2089" s="1" t="s">
        <v>15214</v>
      </c>
      <c r="S2089" s="1" t="s">
        <v>15215</v>
      </c>
      <c r="T2089" s="1" t="s">
        <v>14784</v>
      </c>
      <c r="U2089" s="1" t="s">
        <v>15216</v>
      </c>
      <c r="V2089" s="1">
        <v>0</v>
      </c>
      <c r="W2089" s="1">
        <v>1</v>
      </c>
      <c r="X2089" s="1">
        <v>0</v>
      </c>
      <c r="Y2089" s="1">
        <v>0</v>
      </c>
      <c r="Z2089" s="1">
        <v>0</v>
      </c>
      <c r="AA2089" s="1" t="s">
        <v>109</v>
      </c>
      <c r="AB2089" s="1" t="s">
        <v>109</v>
      </c>
      <c r="AC2089" s="1" t="s">
        <v>109</v>
      </c>
      <c r="AD2089" s="1" t="s">
        <v>109</v>
      </c>
      <c r="AE2089" s="1" t="s">
        <v>109</v>
      </c>
      <c r="AF2089" s="1" t="s">
        <v>109</v>
      </c>
      <c r="AG2089" s="1" t="s">
        <v>109</v>
      </c>
      <c r="AH2089" s="1" t="s">
        <v>109</v>
      </c>
      <c r="AI2089" s="1" t="s">
        <v>109</v>
      </c>
      <c r="AJ2089" s="1" t="s">
        <v>109</v>
      </c>
      <c r="AK2089" s="1" t="s">
        <v>109</v>
      </c>
      <c r="AL2089" s="1" t="s">
        <v>109</v>
      </c>
      <c r="AM2089" s="1" t="s">
        <v>109</v>
      </c>
      <c r="AN2089" s="1" t="s">
        <v>109</v>
      </c>
      <c r="AO2089" s="1" t="s">
        <v>109</v>
      </c>
      <c r="AP2089" s="1"/>
      <c r="AQ2089" s="1" t="s">
        <v>109</v>
      </c>
      <c r="AR2089" s="1"/>
      <c r="AS2089" s="1" t="s">
        <v>15217</v>
      </c>
      <c r="AT2089" s="1">
        <v>0</v>
      </c>
      <c r="AU2089" s="1">
        <v>0</v>
      </c>
      <c r="AV2089" s="1">
        <v>0</v>
      </c>
      <c r="AW2089" s="1">
        <v>0</v>
      </c>
      <c r="AX2089" s="1">
        <v>0</v>
      </c>
      <c r="AY2089" s="1">
        <v>0</v>
      </c>
      <c r="AZ2089" s="1">
        <v>0</v>
      </c>
      <c r="BA2089" s="1">
        <v>0</v>
      </c>
      <c r="BB2089" s="1">
        <v>0</v>
      </c>
      <c r="BC2089" s="1">
        <v>0</v>
      </c>
      <c r="BD2089" s="1">
        <v>1</v>
      </c>
      <c r="BE2089" s="1">
        <v>0</v>
      </c>
      <c r="BF2089" s="1">
        <v>0</v>
      </c>
      <c r="BG2089" s="1">
        <v>0</v>
      </c>
      <c r="BH2089" s="1">
        <v>0</v>
      </c>
      <c r="BI2089" s="1">
        <v>0</v>
      </c>
      <c r="BJ2089" s="1">
        <v>0</v>
      </c>
      <c r="BK2089" s="1">
        <v>0</v>
      </c>
      <c r="BL2089" s="1">
        <v>0</v>
      </c>
      <c r="BM2089" s="1">
        <v>1</v>
      </c>
      <c r="BN2089" s="1">
        <v>0</v>
      </c>
      <c r="BO2089" s="1">
        <v>0</v>
      </c>
      <c r="BP2089" s="1">
        <v>0</v>
      </c>
      <c r="BQ2089" s="1">
        <v>0</v>
      </c>
      <c r="BR2089" s="1">
        <v>0</v>
      </c>
      <c r="BS2089" s="1" t="s">
        <v>109</v>
      </c>
      <c r="BT2089" s="1">
        <v>2176</v>
      </c>
      <c r="BU2089" s="1" t="s">
        <v>109</v>
      </c>
      <c r="BV2089" s="1"/>
      <c r="BW2089" s="1"/>
      <c r="BX2089" s="1"/>
      <c r="BY2089" s="1"/>
      <c r="BZ2089" s="1">
        <v>0</v>
      </c>
      <c r="CA2089" s="1" t="s">
        <v>109</v>
      </c>
      <c r="CB2089" s="1" t="s">
        <v>109</v>
      </c>
      <c r="CC2089" s="1">
        <v>3</v>
      </c>
      <c r="CD2089" s="1" t="s">
        <v>109</v>
      </c>
      <c r="CE2089" s="1">
        <v>2</v>
      </c>
      <c r="CF2089" s="1" t="s">
        <v>109</v>
      </c>
      <c r="CG2089" s="1">
        <v>2</v>
      </c>
      <c r="CH2089" s="1" t="s">
        <v>109</v>
      </c>
      <c r="CI2089" s="1" t="s">
        <v>109</v>
      </c>
      <c r="CJ2089" s="1" t="s">
        <v>109</v>
      </c>
      <c r="CK2089" s="1"/>
      <c r="CL2089" s="1">
        <v>0</v>
      </c>
      <c r="CM2089" s="1">
        <v>0</v>
      </c>
      <c r="CN2089" s="1">
        <v>0</v>
      </c>
    </row>
    <row r="2090" spans="1:92" ht="14.25" customHeight="1" x14ac:dyDescent="0.15">
      <c r="A2090" s="1" t="s">
        <v>15218</v>
      </c>
      <c r="B2090" s="1" t="s">
        <v>242</v>
      </c>
      <c r="C2090" s="1"/>
      <c r="D2090" s="1" t="s">
        <v>158</v>
      </c>
      <c r="E2090" s="1" t="s">
        <v>15219</v>
      </c>
      <c r="F2090" s="1" t="s">
        <v>98</v>
      </c>
      <c r="G2090" s="1" t="s">
        <v>141</v>
      </c>
      <c r="H2090" s="1">
        <v>0</v>
      </c>
      <c r="I2090" s="1" t="s">
        <v>235</v>
      </c>
      <c r="J2090" s="1"/>
      <c r="K2090" s="1"/>
      <c r="L2090" s="1" t="s">
        <v>236</v>
      </c>
      <c r="M2090" s="1" t="s">
        <v>6625</v>
      </c>
      <c r="N2090" s="1">
        <v>1</v>
      </c>
      <c r="O2090" s="1">
        <v>0</v>
      </c>
      <c r="P2090" s="1" t="s">
        <v>507</v>
      </c>
      <c r="Q2090" s="1" t="s">
        <v>167</v>
      </c>
      <c r="R2090" s="1" t="s">
        <v>15220</v>
      </c>
      <c r="S2090" s="1" t="s">
        <v>15221</v>
      </c>
      <c r="T2090" s="1" t="s">
        <v>14784</v>
      </c>
      <c r="U2090" s="1" t="s">
        <v>15222</v>
      </c>
      <c r="V2090" s="1">
        <v>1</v>
      </c>
      <c r="W2090" s="1">
        <v>1</v>
      </c>
      <c r="X2090" s="1">
        <v>0</v>
      </c>
      <c r="Y2090" s="1">
        <v>0</v>
      </c>
      <c r="Z2090" s="1">
        <v>0</v>
      </c>
      <c r="AA2090" s="1" t="s">
        <v>109</v>
      </c>
      <c r="AB2090" s="1" t="s">
        <v>109</v>
      </c>
      <c r="AC2090" s="1" t="s">
        <v>109</v>
      </c>
      <c r="AD2090" s="1" t="s">
        <v>109</v>
      </c>
      <c r="AE2090" s="1">
        <v>3</v>
      </c>
      <c r="AF2090" s="1">
        <v>2</v>
      </c>
      <c r="AG2090" s="1" t="s">
        <v>109</v>
      </c>
      <c r="AH2090" s="1">
        <v>2</v>
      </c>
      <c r="AI2090" s="1" t="s">
        <v>109</v>
      </c>
      <c r="AJ2090" s="1">
        <v>2</v>
      </c>
      <c r="AK2090" s="1">
        <v>2</v>
      </c>
      <c r="AL2090" s="1" t="s">
        <v>109</v>
      </c>
      <c r="AM2090" s="1" t="s">
        <v>109</v>
      </c>
      <c r="AN2090" s="1" t="s">
        <v>109</v>
      </c>
      <c r="AO2090" s="1" t="s">
        <v>109</v>
      </c>
      <c r="AP2090" s="1"/>
      <c r="AQ2090" s="1">
        <v>2</v>
      </c>
      <c r="AR2090" s="1"/>
      <c r="AS2090" s="1" t="s">
        <v>15223</v>
      </c>
      <c r="AT2090" s="1">
        <v>0</v>
      </c>
      <c r="AU2090" s="1">
        <v>0</v>
      </c>
      <c r="AV2090" s="1">
        <v>0</v>
      </c>
      <c r="AW2090" s="1">
        <v>0</v>
      </c>
      <c r="AX2090" s="1">
        <v>0</v>
      </c>
      <c r="AY2090" s="1">
        <v>0</v>
      </c>
      <c r="AZ2090" s="1">
        <v>0</v>
      </c>
      <c r="BA2090" s="1">
        <v>0</v>
      </c>
      <c r="BB2090" s="1">
        <v>0</v>
      </c>
      <c r="BC2090" s="1">
        <v>0</v>
      </c>
      <c r="BD2090" s="1">
        <v>0</v>
      </c>
      <c r="BE2090" s="1">
        <v>0</v>
      </c>
      <c r="BF2090" s="1">
        <v>0</v>
      </c>
      <c r="BG2090" s="1">
        <v>0</v>
      </c>
      <c r="BH2090" s="1">
        <v>0</v>
      </c>
      <c r="BI2090" s="1">
        <v>0</v>
      </c>
      <c r="BJ2090" s="1">
        <v>0</v>
      </c>
      <c r="BK2090" s="1">
        <v>0</v>
      </c>
      <c r="BL2090" s="1">
        <v>0</v>
      </c>
      <c r="BM2090" s="1">
        <v>1</v>
      </c>
      <c r="BN2090" s="1">
        <v>0</v>
      </c>
      <c r="BO2090" s="1">
        <v>0</v>
      </c>
      <c r="BP2090" s="1">
        <v>0</v>
      </c>
      <c r="BQ2090" s="1">
        <v>0</v>
      </c>
      <c r="BR2090" s="1">
        <v>0</v>
      </c>
      <c r="BS2090" s="1" t="s">
        <v>109</v>
      </c>
      <c r="BT2090" s="1">
        <v>2177</v>
      </c>
      <c r="BU2090" s="1" t="s">
        <v>109</v>
      </c>
      <c r="BV2090" s="1"/>
      <c r="BW2090" s="1"/>
      <c r="BX2090" s="1"/>
      <c r="BY2090" s="1"/>
      <c r="BZ2090" s="1">
        <v>0</v>
      </c>
      <c r="CA2090" s="1" t="s">
        <v>109</v>
      </c>
      <c r="CB2090" s="1">
        <v>2</v>
      </c>
      <c r="CC2090" s="1">
        <v>2</v>
      </c>
      <c r="CD2090" s="1">
        <v>2</v>
      </c>
      <c r="CE2090" s="1">
        <v>2</v>
      </c>
      <c r="CF2090" s="1" t="s">
        <v>109</v>
      </c>
      <c r="CG2090" s="1" t="s">
        <v>109</v>
      </c>
      <c r="CH2090" s="1" t="s">
        <v>109</v>
      </c>
      <c r="CI2090" s="1" t="s">
        <v>109</v>
      </c>
      <c r="CJ2090" s="1">
        <v>3</v>
      </c>
      <c r="CK2090" s="1"/>
      <c r="CL2090" s="1">
        <v>0</v>
      </c>
      <c r="CM2090" s="1">
        <v>0</v>
      </c>
      <c r="CN2090" s="1">
        <v>0</v>
      </c>
    </row>
    <row r="2091" spans="1:92" ht="14.25" customHeight="1" x14ac:dyDescent="0.15">
      <c r="A2091" s="1" t="s">
        <v>15224</v>
      </c>
      <c r="B2091" s="1" t="s">
        <v>308</v>
      </c>
      <c r="C2091" s="1"/>
      <c r="D2091" s="1"/>
      <c r="E2091" s="1" t="s">
        <v>15225</v>
      </c>
      <c r="F2091" s="1" t="s">
        <v>98</v>
      </c>
      <c r="G2091" s="1" t="s">
        <v>15226</v>
      </c>
      <c r="H2091" s="1">
        <v>0</v>
      </c>
      <c r="I2091" s="1" t="s">
        <v>142</v>
      </c>
      <c r="J2091" s="1"/>
      <c r="K2091" s="1"/>
      <c r="L2091" s="1" t="s">
        <v>15227</v>
      </c>
      <c r="M2091" s="1" t="s">
        <v>815</v>
      </c>
      <c r="N2091" s="1">
        <v>1</v>
      </c>
      <c r="O2091" s="1">
        <v>0</v>
      </c>
      <c r="P2091" s="1" t="s">
        <v>301</v>
      </c>
      <c r="Q2091" s="1" t="s">
        <v>268</v>
      </c>
      <c r="R2091" s="1" t="s">
        <v>15228</v>
      </c>
      <c r="S2091" s="1" t="s">
        <v>15229</v>
      </c>
      <c r="T2091" s="1" t="s">
        <v>14784</v>
      </c>
      <c r="U2091" s="1" t="s">
        <v>15230</v>
      </c>
      <c r="V2091" s="1">
        <v>1</v>
      </c>
      <c r="W2091" s="1">
        <v>1</v>
      </c>
      <c r="X2091" s="1">
        <v>0</v>
      </c>
      <c r="Y2091" s="1">
        <v>0</v>
      </c>
      <c r="Z2091" s="1">
        <v>0</v>
      </c>
      <c r="AA2091" s="1" t="s">
        <v>109</v>
      </c>
      <c r="AB2091" s="1" t="s">
        <v>109</v>
      </c>
      <c r="AC2091" s="1" t="s">
        <v>109</v>
      </c>
      <c r="AD2091" s="1" t="s">
        <v>109</v>
      </c>
      <c r="AE2091" s="1" t="s">
        <v>109</v>
      </c>
      <c r="AF2091" s="1" t="s">
        <v>109</v>
      </c>
      <c r="AG2091" s="1" t="s">
        <v>109</v>
      </c>
      <c r="AH2091" s="1" t="s">
        <v>109</v>
      </c>
      <c r="AI2091" s="1" t="s">
        <v>109</v>
      </c>
      <c r="AJ2091" s="1" t="s">
        <v>109</v>
      </c>
      <c r="AK2091" s="1" t="s">
        <v>109</v>
      </c>
      <c r="AL2091" s="1" t="s">
        <v>109</v>
      </c>
      <c r="AM2091" s="1" t="s">
        <v>109</v>
      </c>
      <c r="AN2091" s="1" t="s">
        <v>109</v>
      </c>
      <c r="AO2091" s="1" t="s">
        <v>109</v>
      </c>
      <c r="AP2091" s="1"/>
      <c r="AQ2091" s="1" t="s">
        <v>109</v>
      </c>
      <c r="AR2091" s="1"/>
      <c r="AS2091" s="1" t="s">
        <v>15231</v>
      </c>
      <c r="AT2091" s="1">
        <v>0</v>
      </c>
      <c r="AU2091" s="1">
        <v>0</v>
      </c>
      <c r="AV2091" s="1">
        <v>0</v>
      </c>
      <c r="AW2091" s="1">
        <v>0</v>
      </c>
      <c r="AX2091" s="1">
        <v>0</v>
      </c>
      <c r="AY2091" s="1">
        <v>0</v>
      </c>
      <c r="AZ2091" s="1">
        <v>0</v>
      </c>
      <c r="BA2091" s="1">
        <v>0</v>
      </c>
      <c r="BB2091" s="1">
        <v>0</v>
      </c>
      <c r="BC2091" s="1">
        <v>0</v>
      </c>
      <c r="BD2091" s="1">
        <v>0</v>
      </c>
      <c r="BE2091" s="1">
        <v>0</v>
      </c>
      <c r="BF2091" s="1">
        <v>0</v>
      </c>
      <c r="BG2091" s="1">
        <v>0</v>
      </c>
      <c r="BH2091" s="1">
        <v>0</v>
      </c>
      <c r="BI2091" s="1">
        <v>0</v>
      </c>
      <c r="BJ2091" s="1">
        <v>0</v>
      </c>
      <c r="BK2091" s="1">
        <v>0</v>
      </c>
      <c r="BL2091" s="1">
        <v>0</v>
      </c>
      <c r="BM2091" s="1">
        <v>0</v>
      </c>
      <c r="BN2091" s="1">
        <v>0</v>
      </c>
      <c r="BO2091" s="1">
        <v>0</v>
      </c>
      <c r="BP2091" s="1">
        <v>0</v>
      </c>
      <c r="BQ2091" s="1">
        <v>0</v>
      </c>
      <c r="BR2091" s="1">
        <v>0</v>
      </c>
      <c r="BS2091" s="1" t="s">
        <v>109</v>
      </c>
      <c r="BT2091" s="1">
        <v>2178</v>
      </c>
      <c r="BU2091" s="1" t="s">
        <v>109</v>
      </c>
      <c r="BV2091" s="1"/>
      <c r="BW2091" s="1"/>
      <c r="BX2091" s="1"/>
      <c r="BY2091" s="1"/>
      <c r="BZ2091" s="1">
        <v>0</v>
      </c>
      <c r="CA2091" s="1" t="s">
        <v>109</v>
      </c>
      <c r="CB2091" s="1" t="s">
        <v>109</v>
      </c>
      <c r="CC2091" s="1">
        <v>5</v>
      </c>
      <c r="CD2091" s="1">
        <v>4</v>
      </c>
      <c r="CE2091" s="1" t="s">
        <v>109</v>
      </c>
      <c r="CF2091" s="1">
        <v>5</v>
      </c>
      <c r="CG2091" s="1">
        <v>4</v>
      </c>
      <c r="CH2091" s="1" t="s">
        <v>109</v>
      </c>
      <c r="CI2091" s="1" t="s">
        <v>109</v>
      </c>
      <c r="CJ2091" s="1" t="s">
        <v>109</v>
      </c>
      <c r="CK2091" s="1"/>
      <c r="CL2091" s="1">
        <v>0</v>
      </c>
      <c r="CM2091" s="1">
        <v>0</v>
      </c>
      <c r="CN2091" s="1">
        <v>0</v>
      </c>
    </row>
    <row r="2092" spans="1:92" ht="14.25" customHeight="1" x14ac:dyDescent="0.15">
      <c r="A2092" s="1" t="s">
        <v>15232</v>
      </c>
      <c r="B2092" s="1" t="s">
        <v>242</v>
      </c>
      <c r="C2092" s="1"/>
      <c r="D2092" s="1"/>
      <c r="E2092" s="1" t="s">
        <v>15233</v>
      </c>
      <c r="F2092" s="1" t="s">
        <v>355</v>
      </c>
      <c r="G2092" s="1" t="s">
        <v>141</v>
      </c>
      <c r="H2092" s="1">
        <v>0</v>
      </c>
      <c r="I2092" s="1" t="s">
        <v>161</v>
      </c>
      <c r="J2092" s="1"/>
      <c r="K2092" s="1"/>
      <c r="L2092" s="1" t="s">
        <v>1285</v>
      </c>
      <c r="M2092" s="1" t="s">
        <v>144</v>
      </c>
      <c r="N2092" s="1">
        <v>0</v>
      </c>
      <c r="O2092" s="1">
        <v>0</v>
      </c>
      <c r="P2092" s="1" t="s">
        <v>629</v>
      </c>
      <c r="Q2092" s="1" t="s">
        <v>630</v>
      </c>
      <c r="R2092" s="1" t="s">
        <v>15234</v>
      </c>
      <c r="S2092" s="1" t="s">
        <v>15235</v>
      </c>
      <c r="T2092" s="1" t="s">
        <v>14784</v>
      </c>
      <c r="U2092" s="1" t="s">
        <v>15236</v>
      </c>
      <c r="V2092" s="1">
        <v>1</v>
      </c>
      <c r="W2092" s="1">
        <v>1</v>
      </c>
      <c r="X2092" s="1">
        <v>0</v>
      </c>
      <c r="Y2092" s="1">
        <v>0</v>
      </c>
      <c r="Z2092" s="1">
        <v>0</v>
      </c>
      <c r="AA2092" s="1" t="s">
        <v>109</v>
      </c>
      <c r="AB2092" s="1" t="s">
        <v>109</v>
      </c>
      <c r="AC2092" s="1" t="s">
        <v>109</v>
      </c>
      <c r="AD2092" s="1" t="s">
        <v>109</v>
      </c>
      <c r="AE2092" s="1" t="s">
        <v>109</v>
      </c>
      <c r="AF2092" s="1" t="s">
        <v>109</v>
      </c>
      <c r="AG2092" s="1" t="s">
        <v>109</v>
      </c>
      <c r="AH2092" s="1" t="s">
        <v>109</v>
      </c>
      <c r="AI2092" s="1" t="s">
        <v>109</v>
      </c>
      <c r="AJ2092" s="1" t="s">
        <v>109</v>
      </c>
      <c r="AK2092" s="1" t="s">
        <v>109</v>
      </c>
      <c r="AL2092" s="1" t="s">
        <v>109</v>
      </c>
      <c r="AM2092" s="1" t="s">
        <v>109</v>
      </c>
      <c r="AN2092" s="1" t="s">
        <v>109</v>
      </c>
      <c r="AO2092" s="1" t="s">
        <v>109</v>
      </c>
      <c r="AP2092" s="1"/>
      <c r="AQ2092" s="1" t="s">
        <v>109</v>
      </c>
      <c r="AR2092" s="1"/>
      <c r="AS2092" s="1" t="s">
        <v>15237</v>
      </c>
      <c r="AT2092" s="1">
        <v>0</v>
      </c>
      <c r="AU2092" s="1">
        <v>0</v>
      </c>
      <c r="AV2092" s="1">
        <v>0</v>
      </c>
      <c r="AW2092" s="1">
        <v>0</v>
      </c>
      <c r="AX2092" s="1">
        <v>0</v>
      </c>
      <c r="AY2092" s="1">
        <v>0</v>
      </c>
      <c r="AZ2092" s="1">
        <v>0</v>
      </c>
      <c r="BA2092" s="1">
        <v>0</v>
      </c>
      <c r="BB2092" s="1">
        <v>0</v>
      </c>
      <c r="BC2092" s="1">
        <v>0</v>
      </c>
      <c r="BD2092" s="1">
        <v>0</v>
      </c>
      <c r="BE2092" s="1">
        <v>0</v>
      </c>
      <c r="BF2092" s="1">
        <v>0</v>
      </c>
      <c r="BG2092" s="1">
        <v>0</v>
      </c>
      <c r="BH2092" s="1">
        <v>0</v>
      </c>
      <c r="BI2092" s="1">
        <v>0</v>
      </c>
      <c r="BJ2092" s="1">
        <v>0</v>
      </c>
      <c r="BK2092" s="1">
        <v>0</v>
      </c>
      <c r="BL2092" s="1">
        <v>0</v>
      </c>
      <c r="BM2092" s="1">
        <v>0</v>
      </c>
      <c r="BN2092" s="1">
        <v>0</v>
      </c>
      <c r="BO2092" s="1">
        <v>0</v>
      </c>
      <c r="BP2092" s="1">
        <v>0</v>
      </c>
      <c r="BQ2092" s="1">
        <v>0</v>
      </c>
      <c r="BR2092" s="1">
        <v>0</v>
      </c>
      <c r="BS2092" s="1" t="s">
        <v>109</v>
      </c>
      <c r="BT2092" s="1">
        <v>2179</v>
      </c>
      <c r="BU2092" s="1" t="s">
        <v>109</v>
      </c>
      <c r="BV2092" s="1"/>
      <c r="BW2092" s="1"/>
      <c r="BX2092" s="1"/>
      <c r="BY2092" s="1"/>
      <c r="BZ2092" s="1">
        <v>0</v>
      </c>
      <c r="CA2092" s="1" t="s">
        <v>109</v>
      </c>
      <c r="CB2092" s="1" t="s">
        <v>109</v>
      </c>
      <c r="CC2092" s="1">
        <v>5</v>
      </c>
      <c r="CD2092" s="1">
        <v>3</v>
      </c>
      <c r="CE2092" s="1">
        <v>4</v>
      </c>
      <c r="CF2092" s="1">
        <v>3</v>
      </c>
      <c r="CG2092" s="1">
        <v>4</v>
      </c>
      <c r="CH2092" s="1" t="s">
        <v>109</v>
      </c>
      <c r="CI2092" s="1" t="s">
        <v>109</v>
      </c>
      <c r="CJ2092" s="1" t="s">
        <v>109</v>
      </c>
      <c r="CK2092" s="1"/>
      <c r="CL2092" s="1">
        <v>0</v>
      </c>
      <c r="CM2092" s="1">
        <v>0</v>
      </c>
      <c r="CN2092" s="1">
        <v>0</v>
      </c>
    </row>
    <row r="2093" spans="1:92" ht="14.25" customHeight="1" x14ac:dyDescent="0.15">
      <c r="A2093" s="1" t="s">
        <v>15238</v>
      </c>
      <c r="B2093" s="1" t="s">
        <v>95</v>
      </c>
      <c r="C2093" s="1" t="s">
        <v>1522</v>
      </c>
      <c r="D2093" s="1"/>
      <c r="E2093" s="1" t="s">
        <v>15239</v>
      </c>
      <c r="F2093" s="1" t="s">
        <v>98</v>
      </c>
      <c r="G2093" s="1" t="s">
        <v>15240</v>
      </c>
      <c r="H2093" s="1">
        <v>0</v>
      </c>
      <c r="I2093" s="1" t="s">
        <v>235</v>
      </c>
      <c r="J2093" s="1"/>
      <c r="K2093" s="1"/>
      <c r="L2093" s="1" t="s">
        <v>236</v>
      </c>
      <c r="M2093" s="1" t="s">
        <v>815</v>
      </c>
      <c r="N2093" s="1">
        <v>1</v>
      </c>
      <c r="O2093" s="1">
        <v>0</v>
      </c>
      <c r="P2093" s="1"/>
      <c r="Q2093" s="1"/>
      <c r="R2093" s="1" t="s">
        <v>15241</v>
      </c>
      <c r="S2093" s="1" t="s">
        <v>15242</v>
      </c>
      <c r="T2093" s="1" t="s">
        <v>14784</v>
      </c>
      <c r="U2093" s="1" t="s">
        <v>15243</v>
      </c>
      <c r="V2093" s="1">
        <v>0</v>
      </c>
      <c r="W2093" s="1">
        <v>1</v>
      </c>
      <c r="X2093" s="1">
        <v>1</v>
      </c>
      <c r="Y2093" s="1">
        <v>0</v>
      </c>
      <c r="Z2093" s="1">
        <v>0</v>
      </c>
      <c r="AA2093" s="1" t="s">
        <v>109</v>
      </c>
      <c r="AB2093" s="1" t="s">
        <v>109</v>
      </c>
      <c r="AC2093" s="1" t="s">
        <v>109</v>
      </c>
      <c r="AD2093" s="1" t="s">
        <v>109</v>
      </c>
      <c r="AE2093" s="1" t="s">
        <v>109</v>
      </c>
      <c r="AF2093" s="1" t="s">
        <v>109</v>
      </c>
      <c r="AG2093" s="1" t="s">
        <v>109</v>
      </c>
      <c r="AH2093" s="1" t="s">
        <v>109</v>
      </c>
      <c r="AI2093" s="1" t="s">
        <v>109</v>
      </c>
      <c r="AJ2093" s="1" t="s">
        <v>109</v>
      </c>
      <c r="AK2093" s="1" t="s">
        <v>109</v>
      </c>
      <c r="AL2093" s="1" t="s">
        <v>109</v>
      </c>
      <c r="AM2093" s="1" t="s">
        <v>109</v>
      </c>
      <c r="AN2093" s="1" t="s">
        <v>109</v>
      </c>
      <c r="AO2093" s="1" t="s">
        <v>109</v>
      </c>
      <c r="AP2093" s="1"/>
      <c r="AQ2093" s="1" t="s">
        <v>109</v>
      </c>
      <c r="AR2093" s="1"/>
      <c r="AS2093" s="1" t="s">
        <v>15244</v>
      </c>
      <c r="AT2093" s="1">
        <v>0</v>
      </c>
      <c r="AU2093" s="1">
        <v>0</v>
      </c>
      <c r="AV2093" s="1">
        <v>0</v>
      </c>
      <c r="AW2093" s="1">
        <v>0</v>
      </c>
      <c r="AX2093" s="1">
        <v>0</v>
      </c>
      <c r="AY2093" s="1">
        <v>0</v>
      </c>
      <c r="AZ2093" s="1">
        <v>0</v>
      </c>
      <c r="BA2093" s="1">
        <v>0</v>
      </c>
      <c r="BB2093" s="1">
        <v>0</v>
      </c>
      <c r="BC2093" s="1">
        <v>0</v>
      </c>
      <c r="BD2093" s="1">
        <v>0</v>
      </c>
      <c r="BE2093" s="1">
        <v>0</v>
      </c>
      <c r="BF2093" s="1">
        <v>0</v>
      </c>
      <c r="BG2093" s="1">
        <v>0</v>
      </c>
      <c r="BH2093" s="1">
        <v>0</v>
      </c>
      <c r="BI2093" s="1">
        <v>0</v>
      </c>
      <c r="BJ2093" s="1">
        <v>0</v>
      </c>
      <c r="BK2093" s="1">
        <v>0</v>
      </c>
      <c r="BL2093" s="1">
        <v>0</v>
      </c>
      <c r="BM2093" s="1">
        <v>0</v>
      </c>
      <c r="BN2093" s="1">
        <v>0</v>
      </c>
      <c r="BO2093" s="1">
        <v>0</v>
      </c>
      <c r="BP2093" s="1">
        <v>0</v>
      </c>
      <c r="BQ2093" s="1">
        <v>0</v>
      </c>
      <c r="BR2093" s="1">
        <v>0</v>
      </c>
      <c r="BS2093" s="1" t="s">
        <v>109</v>
      </c>
      <c r="BT2093" s="1">
        <v>2180</v>
      </c>
      <c r="BU2093" s="1" t="s">
        <v>109</v>
      </c>
      <c r="BV2093" s="1"/>
      <c r="BW2093" s="1" t="s">
        <v>15245</v>
      </c>
      <c r="BX2093" s="1"/>
      <c r="BY2093" s="1"/>
      <c r="BZ2093" s="1">
        <v>0</v>
      </c>
      <c r="CA2093" s="1" t="s">
        <v>109</v>
      </c>
      <c r="CB2093" s="1" t="s">
        <v>109</v>
      </c>
      <c r="CC2093" s="1">
        <v>5</v>
      </c>
      <c r="CD2093" s="1" t="s">
        <v>109</v>
      </c>
      <c r="CE2093" s="1" t="s">
        <v>109</v>
      </c>
      <c r="CF2093" s="1" t="s">
        <v>109</v>
      </c>
      <c r="CG2093" s="1">
        <v>4</v>
      </c>
      <c r="CH2093" s="1" t="s">
        <v>109</v>
      </c>
      <c r="CI2093" s="1" t="s">
        <v>109</v>
      </c>
      <c r="CJ2093" s="1" t="s">
        <v>109</v>
      </c>
      <c r="CK2093" s="1"/>
      <c r="CL2093" s="1">
        <v>0</v>
      </c>
      <c r="CM2093" s="1">
        <v>0</v>
      </c>
      <c r="CN2093" s="1">
        <v>0</v>
      </c>
    </row>
    <row r="2094" spans="1:92" ht="14.25" customHeight="1" x14ac:dyDescent="0.15">
      <c r="A2094" s="1" t="s">
        <v>15246</v>
      </c>
      <c r="B2094" s="1" t="s">
        <v>95</v>
      </c>
      <c r="C2094" s="1" t="s">
        <v>1522</v>
      </c>
      <c r="D2094" s="1"/>
      <c r="E2094" s="1" t="s">
        <v>15247</v>
      </c>
      <c r="F2094" s="1" t="s">
        <v>98</v>
      </c>
      <c r="G2094" s="1" t="s">
        <v>15240</v>
      </c>
      <c r="H2094" s="1">
        <v>0</v>
      </c>
      <c r="I2094" s="1" t="s">
        <v>142</v>
      </c>
      <c r="J2094" s="1"/>
      <c r="K2094" s="1"/>
      <c r="L2094" s="1" t="s">
        <v>1391</v>
      </c>
      <c r="M2094" s="1" t="s">
        <v>815</v>
      </c>
      <c r="N2094" s="1">
        <v>1</v>
      </c>
      <c r="O2094" s="1">
        <v>0</v>
      </c>
      <c r="P2094" s="1" t="s">
        <v>8650</v>
      </c>
      <c r="Q2094" s="1" t="s">
        <v>268</v>
      </c>
      <c r="R2094" s="1" t="s">
        <v>15248</v>
      </c>
      <c r="S2094" s="1" t="s">
        <v>15249</v>
      </c>
      <c r="T2094" s="1" t="s">
        <v>14784</v>
      </c>
      <c r="U2094" s="1" t="s">
        <v>15250</v>
      </c>
      <c r="V2094" s="1">
        <v>0</v>
      </c>
      <c r="W2094" s="1">
        <v>1</v>
      </c>
      <c r="X2094" s="1">
        <v>1</v>
      </c>
      <c r="Y2094" s="1">
        <v>0</v>
      </c>
      <c r="Z2094" s="1">
        <v>0</v>
      </c>
      <c r="AA2094" s="1" t="s">
        <v>109</v>
      </c>
      <c r="AB2094" s="1" t="s">
        <v>109</v>
      </c>
      <c r="AC2094" s="1" t="s">
        <v>109</v>
      </c>
      <c r="AD2094" s="1" t="s">
        <v>109</v>
      </c>
      <c r="AE2094" s="1" t="s">
        <v>109</v>
      </c>
      <c r="AF2094" s="1" t="s">
        <v>109</v>
      </c>
      <c r="AG2094" s="1" t="s">
        <v>109</v>
      </c>
      <c r="AH2094" s="1" t="s">
        <v>109</v>
      </c>
      <c r="AI2094" s="1" t="s">
        <v>109</v>
      </c>
      <c r="AJ2094" s="1" t="s">
        <v>109</v>
      </c>
      <c r="AK2094" s="1" t="s">
        <v>109</v>
      </c>
      <c r="AL2094" s="1" t="s">
        <v>109</v>
      </c>
      <c r="AM2094" s="1" t="s">
        <v>109</v>
      </c>
      <c r="AN2094" s="1" t="s">
        <v>109</v>
      </c>
      <c r="AO2094" s="1" t="s">
        <v>109</v>
      </c>
      <c r="AP2094" s="1"/>
      <c r="AQ2094" s="1" t="s">
        <v>109</v>
      </c>
      <c r="AR2094" s="1"/>
      <c r="AS2094" s="1" t="s">
        <v>15251</v>
      </c>
      <c r="AT2094" s="1">
        <v>0</v>
      </c>
      <c r="AU2094" s="1">
        <v>0</v>
      </c>
      <c r="AV2094" s="1">
        <v>0</v>
      </c>
      <c r="AW2094" s="1">
        <v>0</v>
      </c>
      <c r="AX2094" s="1">
        <v>0</v>
      </c>
      <c r="AY2094" s="1">
        <v>0</v>
      </c>
      <c r="AZ2094" s="1">
        <v>0</v>
      </c>
      <c r="BA2094" s="1">
        <v>0</v>
      </c>
      <c r="BB2094" s="1">
        <v>0</v>
      </c>
      <c r="BC2094" s="1">
        <v>0</v>
      </c>
      <c r="BD2094" s="1">
        <v>0</v>
      </c>
      <c r="BE2094" s="1">
        <v>0</v>
      </c>
      <c r="BF2094" s="1">
        <v>0</v>
      </c>
      <c r="BG2094" s="1">
        <v>0</v>
      </c>
      <c r="BH2094" s="1">
        <v>0</v>
      </c>
      <c r="BI2094" s="1">
        <v>0</v>
      </c>
      <c r="BJ2094" s="1">
        <v>0</v>
      </c>
      <c r="BK2094" s="1">
        <v>0</v>
      </c>
      <c r="BL2094" s="1">
        <v>0</v>
      </c>
      <c r="BM2094" s="1">
        <v>0</v>
      </c>
      <c r="BN2094" s="1">
        <v>0</v>
      </c>
      <c r="BO2094" s="1">
        <v>0</v>
      </c>
      <c r="BP2094" s="1">
        <v>0</v>
      </c>
      <c r="BQ2094" s="1">
        <v>0</v>
      </c>
      <c r="BR2094" s="1">
        <v>0</v>
      </c>
      <c r="BS2094" s="1" t="s">
        <v>109</v>
      </c>
      <c r="BT2094" s="1">
        <v>2181</v>
      </c>
      <c r="BU2094" s="1" t="s">
        <v>109</v>
      </c>
      <c r="BV2094" s="1"/>
      <c r="BW2094" s="1" t="s">
        <v>15252</v>
      </c>
      <c r="BX2094" s="1"/>
      <c r="BY2094" s="1"/>
      <c r="BZ2094" s="1">
        <v>0</v>
      </c>
      <c r="CA2094" s="1" t="s">
        <v>109</v>
      </c>
      <c r="CB2094" s="1" t="s">
        <v>109</v>
      </c>
      <c r="CC2094" s="1">
        <v>7</v>
      </c>
      <c r="CD2094" s="1" t="s">
        <v>109</v>
      </c>
      <c r="CE2094" s="1" t="s">
        <v>109</v>
      </c>
      <c r="CF2094" s="1" t="s">
        <v>109</v>
      </c>
      <c r="CG2094" s="1">
        <v>5</v>
      </c>
      <c r="CH2094" s="1" t="s">
        <v>109</v>
      </c>
      <c r="CI2094" s="1" t="s">
        <v>109</v>
      </c>
      <c r="CJ2094" s="1" t="s">
        <v>109</v>
      </c>
      <c r="CK2094" s="1"/>
      <c r="CL2094" s="1">
        <v>0</v>
      </c>
      <c r="CM2094" s="1">
        <v>0</v>
      </c>
      <c r="CN2094" s="1">
        <v>0</v>
      </c>
    </row>
    <row r="2095" spans="1:92" ht="14.25" customHeight="1" x14ac:dyDescent="0.15">
      <c r="A2095" s="1" t="s">
        <v>15253</v>
      </c>
      <c r="B2095" s="1" t="s">
        <v>189</v>
      </c>
      <c r="C2095" s="1"/>
      <c r="D2095" s="1"/>
      <c r="E2095" s="1" t="s">
        <v>15254</v>
      </c>
      <c r="F2095" s="1" t="s">
        <v>98</v>
      </c>
      <c r="G2095" s="1" t="s">
        <v>2345</v>
      </c>
      <c r="H2095" s="1">
        <v>0</v>
      </c>
      <c r="I2095" s="1" t="s">
        <v>235</v>
      </c>
      <c r="J2095" s="1"/>
      <c r="K2095" s="1"/>
      <c r="L2095" s="1" t="s">
        <v>236</v>
      </c>
      <c r="M2095" s="1" t="s">
        <v>6144</v>
      </c>
      <c r="N2095" s="1">
        <v>1</v>
      </c>
      <c r="O2095" s="1">
        <v>0</v>
      </c>
      <c r="P2095" s="1"/>
      <c r="Q2095" s="1"/>
      <c r="R2095" s="1" t="s">
        <v>15255</v>
      </c>
      <c r="S2095" s="1" t="s">
        <v>15256</v>
      </c>
      <c r="T2095" s="1" t="s">
        <v>14784</v>
      </c>
      <c r="U2095" s="1" t="s">
        <v>15257</v>
      </c>
      <c r="V2095" s="1">
        <v>0</v>
      </c>
      <c r="W2095" s="1">
        <v>1</v>
      </c>
      <c r="X2095" s="1">
        <v>0</v>
      </c>
      <c r="Y2095" s="1">
        <v>0</v>
      </c>
      <c r="Z2095" s="1">
        <v>0</v>
      </c>
      <c r="AA2095" s="1" t="s">
        <v>109</v>
      </c>
      <c r="AB2095" s="1" t="s">
        <v>109</v>
      </c>
      <c r="AC2095" s="1" t="s">
        <v>109</v>
      </c>
      <c r="AD2095" s="1" t="s">
        <v>109</v>
      </c>
      <c r="AE2095" s="1" t="s">
        <v>109</v>
      </c>
      <c r="AF2095" s="1" t="s">
        <v>109</v>
      </c>
      <c r="AG2095" s="1" t="s">
        <v>109</v>
      </c>
      <c r="AH2095" s="1" t="s">
        <v>109</v>
      </c>
      <c r="AI2095" s="1" t="s">
        <v>109</v>
      </c>
      <c r="AJ2095" s="1" t="s">
        <v>109</v>
      </c>
      <c r="AK2095" s="1" t="s">
        <v>109</v>
      </c>
      <c r="AL2095" s="1" t="s">
        <v>109</v>
      </c>
      <c r="AM2095" s="1" t="s">
        <v>109</v>
      </c>
      <c r="AN2095" s="1">
        <v>4</v>
      </c>
      <c r="AO2095" s="1" t="s">
        <v>109</v>
      </c>
      <c r="AP2095" s="1"/>
      <c r="AQ2095" s="1" t="s">
        <v>109</v>
      </c>
      <c r="AR2095" s="1"/>
      <c r="AS2095" s="1" t="s">
        <v>15258</v>
      </c>
      <c r="AT2095" s="1">
        <v>0</v>
      </c>
      <c r="AU2095" s="1">
        <v>0</v>
      </c>
      <c r="AV2095" s="1">
        <v>0</v>
      </c>
      <c r="AW2095" s="1">
        <v>0</v>
      </c>
      <c r="AX2095" s="1">
        <v>0</v>
      </c>
      <c r="AY2095" s="1">
        <v>0</v>
      </c>
      <c r="AZ2095" s="1">
        <v>0</v>
      </c>
      <c r="BA2095" s="1">
        <v>0</v>
      </c>
      <c r="BB2095" s="1">
        <v>0</v>
      </c>
      <c r="BC2095" s="1">
        <v>0</v>
      </c>
      <c r="BD2095" s="1">
        <v>0</v>
      </c>
      <c r="BE2095" s="1">
        <v>0</v>
      </c>
      <c r="BF2095" s="1">
        <v>0</v>
      </c>
      <c r="BG2095" s="1">
        <v>0</v>
      </c>
      <c r="BH2095" s="1">
        <v>0</v>
      </c>
      <c r="BI2095" s="1">
        <v>0</v>
      </c>
      <c r="BJ2095" s="1">
        <v>0</v>
      </c>
      <c r="BK2095" s="1">
        <v>0</v>
      </c>
      <c r="BL2095" s="1">
        <v>0</v>
      </c>
      <c r="BM2095" s="1">
        <v>0</v>
      </c>
      <c r="BN2095" s="1">
        <v>0</v>
      </c>
      <c r="BO2095" s="1">
        <v>0</v>
      </c>
      <c r="BP2095" s="1">
        <v>0</v>
      </c>
      <c r="BQ2095" s="1">
        <v>0</v>
      </c>
      <c r="BR2095" s="1">
        <v>0</v>
      </c>
      <c r="BS2095" s="1" t="s">
        <v>109</v>
      </c>
      <c r="BT2095" s="1">
        <v>2182</v>
      </c>
      <c r="BU2095" s="1" t="s">
        <v>109</v>
      </c>
      <c r="BV2095" s="1"/>
      <c r="BW2095" s="1"/>
      <c r="BX2095" s="1"/>
      <c r="BY2095" s="1"/>
      <c r="BZ2095" s="1">
        <v>0</v>
      </c>
      <c r="CA2095" s="1" t="s">
        <v>109</v>
      </c>
      <c r="CB2095" s="1" t="s">
        <v>109</v>
      </c>
      <c r="CC2095" s="1" t="s">
        <v>109</v>
      </c>
      <c r="CD2095" s="1" t="s">
        <v>109</v>
      </c>
      <c r="CE2095" s="1" t="s">
        <v>109</v>
      </c>
      <c r="CF2095" s="1" t="s">
        <v>109</v>
      </c>
      <c r="CG2095" s="1">
        <v>3</v>
      </c>
      <c r="CH2095" s="1" t="s">
        <v>109</v>
      </c>
      <c r="CI2095" s="1" t="s">
        <v>109</v>
      </c>
      <c r="CJ2095" s="1" t="s">
        <v>109</v>
      </c>
      <c r="CK2095" s="1"/>
      <c r="CL2095" s="1">
        <v>0</v>
      </c>
      <c r="CM2095" s="1">
        <v>0</v>
      </c>
      <c r="CN2095" s="1">
        <v>0</v>
      </c>
    </row>
    <row r="2096" spans="1:92" ht="14.25" customHeight="1" x14ac:dyDescent="0.15">
      <c r="A2096" s="1" t="s">
        <v>15259</v>
      </c>
      <c r="B2096" s="1" t="s">
        <v>584</v>
      </c>
      <c r="C2096" s="1"/>
      <c r="D2096" s="1" t="s">
        <v>60</v>
      </c>
      <c r="E2096" s="1" t="s">
        <v>15260</v>
      </c>
      <c r="F2096" s="1" t="s">
        <v>98</v>
      </c>
      <c r="G2096" s="1" t="s">
        <v>15261</v>
      </c>
      <c r="H2096" s="1">
        <v>0</v>
      </c>
      <c r="I2096" s="1" t="s">
        <v>122</v>
      </c>
      <c r="J2096" s="1" t="s">
        <v>15262</v>
      </c>
      <c r="K2096" s="1"/>
      <c r="L2096" s="1"/>
      <c r="M2096" s="1" t="s">
        <v>815</v>
      </c>
      <c r="N2096" s="1">
        <v>1</v>
      </c>
      <c r="O2096" s="1">
        <v>0</v>
      </c>
      <c r="P2096" s="1" t="s">
        <v>15263</v>
      </c>
      <c r="Q2096" s="1" t="s">
        <v>104</v>
      </c>
      <c r="R2096" s="1" t="s">
        <v>15264</v>
      </c>
      <c r="S2096" s="1" t="s">
        <v>15265</v>
      </c>
      <c r="T2096" s="1" t="s">
        <v>14784</v>
      </c>
      <c r="U2096" s="1" t="s">
        <v>15266</v>
      </c>
      <c r="V2096" s="1">
        <v>0</v>
      </c>
      <c r="W2096" s="1">
        <v>1</v>
      </c>
      <c r="X2096" s="1">
        <v>1</v>
      </c>
      <c r="Y2096" s="1">
        <v>0</v>
      </c>
      <c r="Z2096" s="1">
        <v>0</v>
      </c>
      <c r="AA2096" s="1" t="s">
        <v>109</v>
      </c>
      <c r="AB2096" s="1" t="s">
        <v>109</v>
      </c>
      <c r="AC2096" s="1" t="s">
        <v>109</v>
      </c>
      <c r="AD2096" s="1" t="s">
        <v>109</v>
      </c>
      <c r="AE2096" s="1" t="s">
        <v>109</v>
      </c>
      <c r="AF2096" s="1" t="s">
        <v>109</v>
      </c>
      <c r="AG2096" s="1" t="s">
        <v>109</v>
      </c>
      <c r="AH2096" s="1" t="s">
        <v>109</v>
      </c>
      <c r="AI2096" s="1" t="s">
        <v>109</v>
      </c>
      <c r="AJ2096" s="1" t="s">
        <v>109</v>
      </c>
      <c r="AK2096" s="1" t="s">
        <v>109</v>
      </c>
      <c r="AL2096" s="1" t="s">
        <v>109</v>
      </c>
      <c r="AM2096" s="1" t="s">
        <v>109</v>
      </c>
      <c r="AN2096" s="1" t="s">
        <v>109</v>
      </c>
      <c r="AO2096" s="1" t="s">
        <v>109</v>
      </c>
      <c r="AP2096" s="1"/>
      <c r="AQ2096" s="1" t="s">
        <v>109</v>
      </c>
      <c r="AR2096" s="1"/>
      <c r="AS2096" s="1" t="s">
        <v>15267</v>
      </c>
      <c r="AT2096" s="1">
        <v>0</v>
      </c>
      <c r="AU2096" s="1">
        <v>0</v>
      </c>
      <c r="AV2096" s="1">
        <v>0</v>
      </c>
      <c r="AW2096" s="1">
        <v>0</v>
      </c>
      <c r="AX2096" s="1">
        <v>0</v>
      </c>
      <c r="AY2096" s="1">
        <v>0</v>
      </c>
      <c r="AZ2096" s="1">
        <v>0</v>
      </c>
      <c r="BA2096" s="1">
        <v>0</v>
      </c>
      <c r="BB2096" s="1">
        <v>0</v>
      </c>
      <c r="BC2096" s="1">
        <v>0</v>
      </c>
      <c r="BD2096" s="1">
        <v>0</v>
      </c>
      <c r="BE2096" s="1">
        <v>0</v>
      </c>
      <c r="BF2096" s="1">
        <v>0</v>
      </c>
      <c r="BG2096" s="1">
        <v>0</v>
      </c>
      <c r="BH2096" s="1">
        <v>1</v>
      </c>
      <c r="BI2096" s="1">
        <v>0</v>
      </c>
      <c r="BJ2096" s="1">
        <v>0</v>
      </c>
      <c r="BK2096" s="1">
        <v>0</v>
      </c>
      <c r="BL2096" s="1">
        <v>0</v>
      </c>
      <c r="BM2096" s="1">
        <v>0</v>
      </c>
      <c r="BN2096" s="1">
        <v>0</v>
      </c>
      <c r="BO2096" s="1">
        <v>0</v>
      </c>
      <c r="BP2096" s="1">
        <v>0</v>
      </c>
      <c r="BQ2096" s="1">
        <v>0</v>
      </c>
      <c r="BR2096" s="1">
        <v>0</v>
      </c>
      <c r="BS2096" s="1" t="s">
        <v>109</v>
      </c>
      <c r="BT2096" s="1">
        <v>2183</v>
      </c>
      <c r="BU2096" s="1" t="s">
        <v>109</v>
      </c>
      <c r="BV2096" s="1"/>
      <c r="BW2096" s="1"/>
      <c r="BX2096" s="1"/>
      <c r="BY2096" s="1"/>
      <c r="BZ2096" s="1">
        <v>0</v>
      </c>
      <c r="CA2096" s="1" t="s">
        <v>109</v>
      </c>
      <c r="CB2096" s="1" t="s">
        <v>109</v>
      </c>
      <c r="CC2096" s="1">
        <v>5</v>
      </c>
      <c r="CD2096" s="1" t="s">
        <v>109</v>
      </c>
      <c r="CE2096" s="1" t="s">
        <v>109</v>
      </c>
      <c r="CF2096" s="1">
        <v>4</v>
      </c>
      <c r="CG2096" s="1">
        <v>4</v>
      </c>
      <c r="CH2096" s="1" t="s">
        <v>109</v>
      </c>
      <c r="CI2096" s="1" t="s">
        <v>109</v>
      </c>
      <c r="CJ2096" s="1" t="s">
        <v>109</v>
      </c>
      <c r="CK2096" s="1"/>
      <c r="CL2096" s="1">
        <v>0</v>
      </c>
      <c r="CM2096" s="1">
        <v>0</v>
      </c>
      <c r="CN2096" s="1">
        <v>0</v>
      </c>
    </row>
    <row r="2097" spans="1:92" ht="14.25" customHeight="1" x14ac:dyDescent="0.15">
      <c r="A2097" s="1" t="s">
        <v>15268</v>
      </c>
      <c r="B2097" s="1" t="s">
        <v>584</v>
      </c>
      <c r="C2097" s="1"/>
      <c r="D2097" s="1"/>
      <c r="E2097" s="1" t="s">
        <v>15269</v>
      </c>
      <c r="F2097" s="1" t="s">
        <v>98</v>
      </c>
      <c r="G2097" s="1" t="s">
        <v>15270</v>
      </c>
      <c r="H2097" s="1">
        <v>0</v>
      </c>
      <c r="I2097" s="1"/>
      <c r="J2097" s="1"/>
      <c r="K2097" s="1"/>
      <c r="L2097" s="1" t="s">
        <v>15271</v>
      </c>
      <c r="M2097" s="1" t="s">
        <v>144</v>
      </c>
      <c r="N2097" s="1">
        <v>0</v>
      </c>
      <c r="O2097" s="1">
        <v>0</v>
      </c>
      <c r="P2097" s="1" t="s">
        <v>6546</v>
      </c>
      <c r="Q2097" s="1" t="s">
        <v>268</v>
      </c>
      <c r="R2097" s="1" t="s">
        <v>15272</v>
      </c>
      <c r="S2097" s="1" t="s">
        <v>15273</v>
      </c>
      <c r="T2097" s="1" t="s">
        <v>14784</v>
      </c>
      <c r="U2097" s="1" t="s">
        <v>15274</v>
      </c>
      <c r="V2097" s="1">
        <v>1</v>
      </c>
      <c r="W2097" s="1">
        <v>1</v>
      </c>
      <c r="X2097" s="1">
        <v>0</v>
      </c>
      <c r="Y2097" s="1">
        <v>0</v>
      </c>
      <c r="Z2097" s="1">
        <v>0</v>
      </c>
      <c r="AA2097" s="1">
        <v>6</v>
      </c>
      <c r="AB2097" s="1">
        <v>6</v>
      </c>
      <c r="AC2097" s="1" t="s">
        <v>109</v>
      </c>
      <c r="AD2097" s="1" t="s">
        <v>109</v>
      </c>
      <c r="AE2097" s="1" t="s">
        <v>109</v>
      </c>
      <c r="AF2097" s="1" t="s">
        <v>109</v>
      </c>
      <c r="AG2097" s="1" t="s">
        <v>109</v>
      </c>
      <c r="AH2097" s="1" t="s">
        <v>109</v>
      </c>
      <c r="AI2097" s="1" t="s">
        <v>109</v>
      </c>
      <c r="AJ2097" s="1" t="s">
        <v>109</v>
      </c>
      <c r="AK2097" s="1" t="s">
        <v>109</v>
      </c>
      <c r="AL2097" s="1" t="s">
        <v>109</v>
      </c>
      <c r="AM2097" s="1" t="s">
        <v>109</v>
      </c>
      <c r="AN2097" s="1">
        <v>6</v>
      </c>
      <c r="AO2097" s="1" t="s">
        <v>109</v>
      </c>
      <c r="AP2097" s="1"/>
      <c r="AQ2097" s="1">
        <v>6</v>
      </c>
      <c r="AR2097" s="1"/>
      <c r="AS2097" s="1" t="s">
        <v>15275</v>
      </c>
      <c r="AT2097" s="1">
        <v>0</v>
      </c>
      <c r="AU2097" s="1">
        <v>0</v>
      </c>
      <c r="AV2097" s="1">
        <v>0</v>
      </c>
      <c r="AW2097" s="1">
        <v>0</v>
      </c>
      <c r="AX2097" s="1">
        <v>0</v>
      </c>
      <c r="AY2097" s="1">
        <v>0</v>
      </c>
      <c r="AZ2097" s="1">
        <v>0</v>
      </c>
      <c r="BA2097" s="1">
        <v>0</v>
      </c>
      <c r="BB2097" s="1">
        <v>0</v>
      </c>
      <c r="BC2097" s="1">
        <v>0</v>
      </c>
      <c r="BD2097" s="1">
        <v>0</v>
      </c>
      <c r="BE2097" s="1">
        <v>0</v>
      </c>
      <c r="BF2097" s="1">
        <v>0</v>
      </c>
      <c r="BG2097" s="1">
        <v>0</v>
      </c>
      <c r="BH2097" s="1">
        <v>0</v>
      </c>
      <c r="BI2097" s="1">
        <v>0</v>
      </c>
      <c r="BJ2097" s="1">
        <v>0</v>
      </c>
      <c r="BK2097" s="1">
        <v>0</v>
      </c>
      <c r="BL2097" s="1">
        <v>0</v>
      </c>
      <c r="BM2097" s="1">
        <v>0</v>
      </c>
      <c r="BN2097" s="1">
        <v>0</v>
      </c>
      <c r="BO2097" s="1">
        <v>0</v>
      </c>
      <c r="BP2097" s="1">
        <v>0</v>
      </c>
      <c r="BQ2097" s="1">
        <v>0</v>
      </c>
      <c r="BR2097" s="1">
        <v>0</v>
      </c>
      <c r="BS2097" s="1" t="s">
        <v>109</v>
      </c>
      <c r="BT2097" s="1">
        <v>2184</v>
      </c>
      <c r="BU2097" s="1" t="s">
        <v>109</v>
      </c>
      <c r="BV2097" s="1"/>
      <c r="BW2097" s="1"/>
      <c r="BX2097" s="1"/>
      <c r="BY2097" s="1"/>
      <c r="BZ2097" s="1">
        <v>0</v>
      </c>
      <c r="CA2097" s="1" t="s">
        <v>109</v>
      </c>
      <c r="CB2097" s="1" t="s">
        <v>109</v>
      </c>
      <c r="CC2097" s="1">
        <v>5</v>
      </c>
      <c r="CD2097" s="1" t="s">
        <v>109</v>
      </c>
      <c r="CE2097" s="1" t="s">
        <v>109</v>
      </c>
      <c r="CF2097" s="1" t="s">
        <v>109</v>
      </c>
      <c r="CG2097" s="1" t="s">
        <v>109</v>
      </c>
      <c r="CH2097" s="1" t="s">
        <v>109</v>
      </c>
      <c r="CI2097" s="1" t="s">
        <v>109</v>
      </c>
      <c r="CJ2097" s="1" t="s">
        <v>109</v>
      </c>
      <c r="CK2097" s="1"/>
      <c r="CL2097" s="1">
        <v>0</v>
      </c>
      <c r="CM2097" s="1">
        <v>0</v>
      </c>
      <c r="CN2097" s="1">
        <v>0</v>
      </c>
    </row>
    <row r="2098" spans="1:92" ht="14.25" customHeight="1" x14ac:dyDescent="0.15">
      <c r="A2098" s="1" t="s">
        <v>15276</v>
      </c>
      <c r="B2098" s="1" t="s">
        <v>156</v>
      </c>
      <c r="C2098" s="1" t="s">
        <v>157</v>
      </c>
      <c r="D2098" s="1" t="s">
        <v>56</v>
      </c>
      <c r="E2098" s="1" t="s">
        <v>15277</v>
      </c>
      <c r="F2098" s="1" t="s">
        <v>98</v>
      </c>
      <c r="G2098" s="1" t="s">
        <v>2570</v>
      </c>
      <c r="H2098" s="1">
        <v>0</v>
      </c>
      <c r="I2098" s="1" t="s">
        <v>142</v>
      </c>
      <c r="J2098" s="1"/>
      <c r="K2098" s="1"/>
      <c r="L2098" s="1" t="s">
        <v>15278</v>
      </c>
      <c r="M2098" s="1" t="s">
        <v>815</v>
      </c>
      <c r="N2098" s="1">
        <v>1</v>
      </c>
      <c r="O2098" s="1">
        <v>0</v>
      </c>
      <c r="P2098" s="1" t="s">
        <v>301</v>
      </c>
      <c r="Q2098" s="1" t="s">
        <v>268</v>
      </c>
      <c r="R2098" s="1" t="s">
        <v>15279</v>
      </c>
      <c r="S2098" s="1" t="s">
        <v>15280</v>
      </c>
      <c r="T2098" s="1" t="s">
        <v>14784</v>
      </c>
      <c r="U2098" s="1" t="s">
        <v>15281</v>
      </c>
      <c r="V2098" s="1">
        <v>0</v>
      </c>
      <c r="W2098" s="1">
        <v>1</v>
      </c>
      <c r="X2098" s="1">
        <v>0</v>
      </c>
      <c r="Y2098" s="1">
        <v>0</v>
      </c>
      <c r="Z2098" s="1">
        <v>1</v>
      </c>
      <c r="AA2098" s="1" t="s">
        <v>109</v>
      </c>
      <c r="AB2098" s="1" t="s">
        <v>109</v>
      </c>
      <c r="AC2098" s="1" t="s">
        <v>109</v>
      </c>
      <c r="AD2098" s="1" t="s">
        <v>109</v>
      </c>
      <c r="AE2098" s="1" t="s">
        <v>109</v>
      </c>
      <c r="AF2098" s="1" t="s">
        <v>109</v>
      </c>
      <c r="AG2098" s="1" t="s">
        <v>109</v>
      </c>
      <c r="AH2098" s="1" t="s">
        <v>109</v>
      </c>
      <c r="AI2098" s="1" t="s">
        <v>109</v>
      </c>
      <c r="AJ2098" s="1" t="s">
        <v>109</v>
      </c>
      <c r="AK2098" s="1">
        <v>5</v>
      </c>
      <c r="AL2098" s="1" t="s">
        <v>109</v>
      </c>
      <c r="AM2098" s="1">
        <v>4</v>
      </c>
      <c r="AN2098" s="1" t="s">
        <v>109</v>
      </c>
      <c r="AO2098" s="1" t="s">
        <v>109</v>
      </c>
      <c r="AP2098" s="1"/>
      <c r="AQ2098" s="1" t="s">
        <v>109</v>
      </c>
      <c r="AR2098" s="1"/>
      <c r="AS2098" s="1" t="s">
        <v>15282</v>
      </c>
      <c r="AT2098" s="1">
        <v>0</v>
      </c>
      <c r="AU2098" s="1">
        <v>0</v>
      </c>
      <c r="AV2098" s="1">
        <v>0</v>
      </c>
      <c r="AW2098" s="1">
        <v>0</v>
      </c>
      <c r="AX2098" s="1">
        <v>0</v>
      </c>
      <c r="AY2098" s="1">
        <v>0</v>
      </c>
      <c r="AZ2098" s="1">
        <v>0</v>
      </c>
      <c r="BA2098" s="1">
        <v>0</v>
      </c>
      <c r="BB2098" s="1">
        <v>0</v>
      </c>
      <c r="BC2098" s="1">
        <v>0</v>
      </c>
      <c r="BD2098" s="1">
        <v>1</v>
      </c>
      <c r="BE2098" s="1">
        <v>0</v>
      </c>
      <c r="BF2098" s="1">
        <v>0</v>
      </c>
      <c r="BG2098" s="1">
        <v>0</v>
      </c>
      <c r="BH2098" s="1">
        <v>0</v>
      </c>
      <c r="BI2098" s="1">
        <v>0</v>
      </c>
      <c r="BJ2098" s="1">
        <v>0</v>
      </c>
      <c r="BK2098" s="1">
        <v>0</v>
      </c>
      <c r="BL2098" s="1">
        <v>0</v>
      </c>
      <c r="BM2098" s="1">
        <v>0</v>
      </c>
      <c r="BN2098" s="1">
        <v>0</v>
      </c>
      <c r="BO2098" s="1">
        <v>0</v>
      </c>
      <c r="BP2098" s="1">
        <v>0</v>
      </c>
      <c r="BQ2098" s="1">
        <v>0</v>
      </c>
      <c r="BR2098" s="1">
        <v>0</v>
      </c>
      <c r="BS2098" s="1" t="s">
        <v>109</v>
      </c>
      <c r="BT2098" s="1">
        <v>2185</v>
      </c>
      <c r="BU2098" s="1" t="s">
        <v>109</v>
      </c>
      <c r="BV2098" s="1"/>
      <c r="BW2098" s="1"/>
      <c r="BX2098" s="1"/>
      <c r="BY2098" s="1"/>
      <c r="BZ2098" s="1">
        <v>0</v>
      </c>
      <c r="CA2098" s="1" t="s">
        <v>109</v>
      </c>
      <c r="CB2098" s="1" t="s">
        <v>109</v>
      </c>
      <c r="CC2098" s="1">
        <v>6</v>
      </c>
      <c r="CD2098" s="1" t="s">
        <v>109</v>
      </c>
      <c r="CE2098" s="1">
        <v>5</v>
      </c>
      <c r="CF2098" s="1" t="s">
        <v>109</v>
      </c>
      <c r="CG2098" s="1">
        <v>5</v>
      </c>
      <c r="CH2098" s="1" t="s">
        <v>109</v>
      </c>
      <c r="CI2098" s="1" t="s">
        <v>109</v>
      </c>
      <c r="CJ2098" s="1" t="s">
        <v>109</v>
      </c>
      <c r="CK2098" s="1"/>
      <c r="CL2098" s="1">
        <v>0</v>
      </c>
      <c r="CM2098" s="1">
        <v>0</v>
      </c>
      <c r="CN2098" s="1">
        <v>0</v>
      </c>
    </row>
    <row r="2099" spans="1:92" ht="14.25" customHeight="1" x14ac:dyDescent="0.15">
      <c r="A2099" s="1" t="s">
        <v>15283</v>
      </c>
      <c r="B2099" s="1" t="s">
        <v>584</v>
      </c>
      <c r="C2099" s="1"/>
      <c r="D2099" s="1"/>
      <c r="E2099" s="1" t="s">
        <v>15284</v>
      </c>
      <c r="F2099" s="1" t="s">
        <v>98</v>
      </c>
      <c r="G2099" s="1" t="s">
        <v>141</v>
      </c>
      <c r="H2099" s="1">
        <v>0</v>
      </c>
      <c r="I2099" s="1" t="s">
        <v>925</v>
      </c>
      <c r="J2099" s="1"/>
      <c r="K2099" s="1" t="s">
        <v>15285</v>
      </c>
      <c r="L2099" s="1"/>
      <c r="M2099" s="1" t="s">
        <v>574</v>
      </c>
      <c r="N2099" s="1">
        <v>1</v>
      </c>
      <c r="O2099" s="1">
        <v>0</v>
      </c>
      <c r="P2099" s="1" t="s">
        <v>103</v>
      </c>
      <c r="Q2099" s="1" t="s">
        <v>268</v>
      </c>
      <c r="R2099" s="1" t="s">
        <v>15286</v>
      </c>
      <c r="S2099" s="1" t="s">
        <v>15287</v>
      </c>
      <c r="T2099" s="1" t="s">
        <v>14784</v>
      </c>
      <c r="U2099" s="1" t="s">
        <v>15288</v>
      </c>
      <c r="V2099" s="1">
        <v>1</v>
      </c>
      <c r="W2099" s="1">
        <v>1</v>
      </c>
      <c r="X2099" s="1">
        <v>0</v>
      </c>
      <c r="Y2099" s="1">
        <v>0</v>
      </c>
      <c r="Z2099" s="1">
        <v>0</v>
      </c>
      <c r="AA2099" s="1">
        <v>2</v>
      </c>
      <c r="AB2099" s="1">
        <v>2</v>
      </c>
      <c r="AC2099" s="1">
        <v>2</v>
      </c>
      <c r="AD2099" s="1" t="s">
        <v>109</v>
      </c>
      <c r="AE2099" s="1" t="s">
        <v>109</v>
      </c>
      <c r="AF2099" s="1" t="s">
        <v>109</v>
      </c>
      <c r="AG2099" s="1" t="s">
        <v>109</v>
      </c>
      <c r="AH2099" s="1" t="s">
        <v>109</v>
      </c>
      <c r="AI2099" s="1" t="s">
        <v>109</v>
      </c>
      <c r="AJ2099" s="1">
        <v>2</v>
      </c>
      <c r="AK2099" s="1">
        <v>2</v>
      </c>
      <c r="AL2099" s="1">
        <v>2</v>
      </c>
      <c r="AM2099" s="1" t="s">
        <v>109</v>
      </c>
      <c r="AN2099" s="1">
        <v>2</v>
      </c>
      <c r="AO2099" s="1" t="s">
        <v>109</v>
      </c>
      <c r="AP2099" s="1"/>
      <c r="AQ2099" s="1">
        <v>2</v>
      </c>
      <c r="AR2099" s="1"/>
      <c r="AS2099" s="1" t="s">
        <v>15289</v>
      </c>
      <c r="AT2099" s="1">
        <v>0</v>
      </c>
      <c r="AU2099" s="1">
        <v>0</v>
      </c>
      <c r="AV2099" s="1">
        <v>0</v>
      </c>
      <c r="AW2099" s="1">
        <v>0</v>
      </c>
      <c r="AX2099" s="1">
        <v>0</v>
      </c>
      <c r="AY2099" s="1">
        <v>0</v>
      </c>
      <c r="AZ2099" s="1">
        <v>0</v>
      </c>
      <c r="BA2099" s="1">
        <v>0</v>
      </c>
      <c r="BB2099" s="1">
        <v>0</v>
      </c>
      <c r="BC2099" s="1">
        <v>0</v>
      </c>
      <c r="BD2099" s="1">
        <v>0</v>
      </c>
      <c r="BE2099" s="1">
        <v>0</v>
      </c>
      <c r="BF2099" s="1">
        <v>0</v>
      </c>
      <c r="BG2099" s="1">
        <v>0</v>
      </c>
      <c r="BH2099" s="1">
        <v>0</v>
      </c>
      <c r="BI2099" s="1">
        <v>0</v>
      </c>
      <c r="BJ2099" s="1">
        <v>0</v>
      </c>
      <c r="BK2099" s="1">
        <v>0</v>
      </c>
      <c r="BL2099" s="1">
        <v>0</v>
      </c>
      <c r="BM2099" s="1">
        <v>0</v>
      </c>
      <c r="BN2099" s="1">
        <v>0</v>
      </c>
      <c r="BO2099" s="1">
        <v>0</v>
      </c>
      <c r="BP2099" s="1">
        <v>0</v>
      </c>
      <c r="BQ2099" s="1">
        <v>0</v>
      </c>
      <c r="BR2099" s="1">
        <v>0</v>
      </c>
      <c r="BS2099" s="1" t="s">
        <v>109</v>
      </c>
      <c r="BT2099" s="1">
        <v>2186</v>
      </c>
      <c r="BU2099" s="1" t="s">
        <v>109</v>
      </c>
      <c r="BV2099" s="1" t="s">
        <v>15290</v>
      </c>
      <c r="BW2099" s="1"/>
      <c r="BX2099" s="1"/>
      <c r="BY2099" s="1"/>
      <c r="BZ2099" s="1">
        <v>0</v>
      </c>
      <c r="CA2099" s="1" t="s">
        <v>109</v>
      </c>
      <c r="CB2099" s="1" t="s">
        <v>109</v>
      </c>
      <c r="CC2099" s="1">
        <v>2</v>
      </c>
      <c r="CD2099" s="1" t="s">
        <v>109</v>
      </c>
      <c r="CE2099" s="1" t="s">
        <v>109</v>
      </c>
      <c r="CF2099" s="1">
        <v>2</v>
      </c>
      <c r="CG2099" s="1">
        <v>2</v>
      </c>
      <c r="CH2099" s="1" t="s">
        <v>109</v>
      </c>
      <c r="CI2099" s="1" t="s">
        <v>109</v>
      </c>
      <c r="CJ2099" s="1" t="s">
        <v>109</v>
      </c>
      <c r="CK2099" s="1"/>
      <c r="CL2099" s="1">
        <v>0</v>
      </c>
      <c r="CM2099" s="1">
        <v>0</v>
      </c>
      <c r="CN2099" s="1">
        <v>0</v>
      </c>
    </row>
    <row r="2100" spans="1:92" ht="14.25" customHeight="1" x14ac:dyDescent="0.15">
      <c r="A2100" s="1" t="s">
        <v>15291</v>
      </c>
      <c r="B2100" s="1" t="s">
        <v>308</v>
      </c>
      <c r="C2100" s="1"/>
      <c r="D2100" s="1" t="s">
        <v>3274</v>
      </c>
      <c r="E2100" s="1" t="s">
        <v>15292</v>
      </c>
      <c r="F2100" s="1" t="s">
        <v>277</v>
      </c>
      <c r="G2100" s="1" t="s">
        <v>2345</v>
      </c>
      <c r="H2100" s="1">
        <v>0</v>
      </c>
      <c r="I2100" s="1" t="s">
        <v>161</v>
      </c>
      <c r="J2100" s="1"/>
      <c r="K2100" s="1"/>
      <c r="L2100" s="1" t="s">
        <v>4576</v>
      </c>
      <c r="M2100" s="1" t="s">
        <v>355</v>
      </c>
      <c r="N2100" s="1">
        <v>0</v>
      </c>
      <c r="O2100" s="1">
        <v>0</v>
      </c>
      <c r="P2100" s="1"/>
      <c r="Q2100" s="1"/>
      <c r="R2100" s="1" t="s">
        <v>15293</v>
      </c>
      <c r="S2100" s="1" t="s">
        <v>15294</v>
      </c>
      <c r="T2100" s="1" t="s">
        <v>14784</v>
      </c>
      <c r="U2100" s="1" t="s">
        <v>15295</v>
      </c>
      <c r="V2100" s="1">
        <v>0</v>
      </c>
      <c r="W2100" s="1">
        <v>1</v>
      </c>
      <c r="X2100" s="1">
        <v>0</v>
      </c>
      <c r="Y2100" s="1">
        <v>0</v>
      </c>
      <c r="Z2100" s="1">
        <v>0</v>
      </c>
      <c r="AA2100" s="1" t="s">
        <v>109</v>
      </c>
      <c r="AB2100" s="1" t="s">
        <v>109</v>
      </c>
      <c r="AC2100" s="1" t="s">
        <v>109</v>
      </c>
      <c r="AD2100" s="1" t="s">
        <v>109</v>
      </c>
      <c r="AE2100" s="1" t="s">
        <v>109</v>
      </c>
      <c r="AF2100" s="1" t="s">
        <v>109</v>
      </c>
      <c r="AG2100" s="1" t="s">
        <v>109</v>
      </c>
      <c r="AH2100" s="1" t="s">
        <v>109</v>
      </c>
      <c r="AI2100" s="1" t="s">
        <v>109</v>
      </c>
      <c r="AJ2100" s="1" t="s">
        <v>109</v>
      </c>
      <c r="AK2100" s="1" t="s">
        <v>109</v>
      </c>
      <c r="AL2100" s="1" t="s">
        <v>109</v>
      </c>
      <c r="AM2100" s="1" t="s">
        <v>109</v>
      </c>
      <c r="AN2100" s="1" t="s">
        <v>109</v>
      </c>
      <c r="AO2100" s="1" t="s">
        <v>109</v>
      </c>
      <c r="AP2100" s="1"/>
      <c r="AQ2100" s="1">
        <v>0</v>
      </c>
      <c r="AR2100" s="1"/>
      <c r="AS2100" s="1" t="s">
        <v>15296</v>
      </c>
      <c r="AT2100" s="1">
        <v>0</v>
      </c>
      <c r="AU2100" s="1">
        <v>0</v>
      </c>
      <c r="AV2100" s="1">
        <v>0</v>
      </c>
      <c r="AW2100" s="1">
        <v>0</v>
      </c>
      <c r="AX2100" s="1">
        <v>0</v>
      </c>
      <c r="AY2100" s="1">
        <v>0</v>
      </c>
      <c r="AZ2100" s="1">
        <v>0</v>
      </c>
      <c r="BA2100" s="1">
        <v>0</v>
      </c>
      <c r="BB2100" s="1">
        <v>0</v>
      </c>
      <c r="BC2100" s="1">
        <v>0</v>
      </c>
      <c r="BD2100" s="1">
        <v>0</v>
      </c>
      <c r="BE2100" s="1">
        <v>0</v>
      </c>
      <c r="BF2100" s="1">
        <v>0</v>
      </c>
      <c r="BG2100" s="1">
        <v>0</v>
      </c>
      <c r="BH2100" s="1">
        <v>0</v>
      </c>
      <c r="BI2100" s="1">
        <v>0</v>
      </c>
      <c r="BJ2100" s="1">
        <v>1</v>
      </c>
      <c r="BK2100" s="1">
        <v>0</v>
      </c>
      <c r="BL2100" s="1">
        <v>0</v>
      </c>
      <c r="BM2100" s="1">
        <v>0</v>
      </c>
      <c r="BN2100" s="1">
        <v>0</v>
      </c>
      <c r="BO2100" s="1">
        <v>0</v>
      </c>
      <c r="BP2100" s="1">
        <v>0</v>
      </c>
      <c r="BQ2100" s="1">
        <v>0</v>
      </c>
      <c r="BR2100" s="1">
        <v>0</v>
      </c>
      <c r="BS2100" s="1" t="s">
        <v>109</v>
      </c>
      <c r="BT2100" s="1">
        <v>2187</v>
      </c>
      <c r="BU2100" s="1" t="s">
        <v>109</v>
      </c>
      <c r="BV2100" s="1"/>
      <c r="BW2100" s="1"/>
      <c r="BX2100" s="1"/>
      <c r="BY2100" s="1"/>
      <c r="BZ2100" s="1">
        <v>0</v>
      </c>
      <c r="CA2100" s="1" t="s">
        <v>109</v>
      </c>
      <c r="CB2100" s="1" t="s">
        <v>109</v>
      </c>
      <c r="CC2100" s="1">
        <v>0</v>
      </c>
      <c r="CD2100" s="1">
        <v>0</v>
      </c>
      <c r="CE2100" s="1" t="s">
        <v>109</v>
      </c>
      <c r="CF2100" s="1">
        <v>0</v>
      </c>
      <c r="CG2100" s="1">
        <v>0</v>
      </c>
      <c r="CH2100" s="1" t="s">
        <v>109</v>
      </c>
      <c r="CI2100" s="1" t="s">
        <v>109</v>
      </c>
      <c r="CJ2100" s="1" t="s">
        <v>109</v>
      </c>
      <c r="CK2100" s="1"/>
      <c r="CL2100" s="1">
        <v>0</v>
      </c>
      <c r="CM2100" s="1">
        <v>0</v>
      </c>
      <c r="CN2100" s="1">
        <v>0</v>
      </c>
    </row>
    <row r="2101" spans="1:92" ht="14.25" customHeight="1" x14ac:dyDescent="0.15">
      <c r="A2101" s="1" t="s">
        <v>15297</v>
      </c>
      <c r="B2101" s="1" t="s">
        <v>254</v>
      </c>
      <c r="C2101" s="1"/>
      <c r="D2101" s="1"/>
      <c r="E2101" s="1" t="s">
        <v>15298</v>
      </c>
      <c r="F2101" s="1" t="s">
        <v>98</v>
      </c>
      <c r="G2101" s="1" t="s">
        <v>333</v>
      </c>
      <c r="H2101" s="1">
        <v>0</v>
      </c>
      <c r="I2101" s="1" t="s">
        <v>235</v>
      </c>
      <c r="J2101" s="1"/>
      <c r="K2101" s="1"/>
      <c r="L2101" s="1" t="s">
        <v>236</v>
      </c>
      <c r="M2101" s="1" t="s">
        <v>211</v>
      </c>
      <c r="N2101" s="1">
        <v>0</v>
      </c>
      <c r="O2101" s="1">
        <v>0</v>
      </c>
      <c r="P2101" s="1"/>
      <c r="Q2101" s="1"/>
      <c r="R2101" s="1" t="s">
        <v>15299</v>
      </c>
      <c r="S2101" s="1" t="s">
        <v>15300</v>
      </c>
      <c r="T2101" s="1" t="s">
        <v>14784</v>
      </c>
      <c r="U2101" s="1" t="s">
        <v>15301</v>
      </c>
      <c r="V2101" s="1">
        <v>1</v>
      </c>
      <c r="W2101" s="1">
        <v>0</v>
      </c>
      <c r="X2101" s="1">
        <v>0</v>
      </c>
      <c r="Y2101" s="1">
        <v>0</v>
      </c>
      <c r="Z2101" s="1">
        <v>0</v>
      </c>
      <c r="AA2101" s="1">
        <v>4</v>
      </c>
      <c r="AB2101" s="1">
        <v>4</v>
      </c>
      <c r="AC2101" s="1" t="s">
        <v>109</v>
      </c>
      <c r="AD2101" s="1" t="s">
        <v>109</v>
      </c>
      <c r="AE2101" s="1" t="s">
        <v>109</v>
      </c>
      <c r="AF2101" s="1">
        <v>3</v>
      </c>
      <c r="AG2101" s="1" t="s">
        <v>109</v>
      </c>
      <c r="AH2101" s="1">
        <v>3</v>
      </c>
      <c r="AI2101" s="1" t="s">
        <v>109</v>
      </c>
      <c r="AJ2101" s="1" t="s">
        <v>109</v>
      </c>
      <c r="AK2101" s="1" t="s">
        <v>109</v>
      </c>
      <c r="AL2101" s="1" t="s">
        <v>109</v>
      </c>
      <c r="AM2101" s="1" t="s">
        <v>109</v>
      </c>
      <c r="AN2101" s="1" t="s">
        <v>109</v>
      </c>
      <c r="AO2101" s="1" t="s">
        <v>109</v>
      </c>
      <c r="AP2101" s="1"/>
      <c r="AQ2101" s="1">
        <v>4</v>
      </c>
      <c r="AR2101" s="1"/>
      <c r="AS2101" s="1" t="s">
        <v>15302</v>
      </c>
      <c r="AT2101" s="1">
        <v>0</v>
      </c>
      <c r="AU2101" s="1">
        <v>0</v>
      </c>
      <c r="AV2101" s="1">
        <v>0</v>
      </c>
      <c r="AW2101" s="1">
        <v>0</v>
      </c>
      <c r="AX2101" s="1">
        <v>0</v>
      </c>
      <c r="AY2101" s="1">
        <v>0</v>
      </c>
      <c r="AZ2101" s="1">
        <v>0</v>
      </c>
      <c r="BA2101" s="1">
        <v>0</v>
      </c>
      <c r="BB2101" s="1">
        <v>0</v>
      </c>
      <c r="BC2101" s="1">
        <v>0</v>
      </c>
      <c r="BD2101" s="1">
        <v>0</v>
      </c>
      <c r="BE2101" s="1">
        <v>0</v>
      </c>
      <c r="BF2101" s="1">
        <v>0</v>
      </c>
      <c r="BG2101" s="1">
        <v>0</v>
      </c>
      <c r="BH2101" s="1">
        <v>0</v>
      </c>
      <c r="BI2101" s="1">
        <v>0</v>
      </c>
      <c r="BJ2101" s="1">
        <v>0</v>
      </c>
      <c r="BK2101" s="1">
        <v>0</v>
      </c>
      <c r="BL2101" s="1">
        <v>0</v>
      </c>
      <c r="BM2101" s="1">
        <v>0</v>
      </c>
      <c r="BN2101" s="1">
        <v>0</v>
      </c>
      <c r="BO2101" s="1">
        <v>0</v>
      </c>
      <c r="BP2101" s="1">
        <v>0</v>
      </c>
      <c r="BQ2101" s="1">
        <v>0</v>
      </c>
      <c r="BR2101" s="1">
        <v>0</v>
      </c>
      <c r="BS2101" s="1" t="s">
        <v>109</v>
      </c>
      <c r="BT2101" s="1">
        <v>2188</v>
      </c>
      <c r="BU2101" s="1" t="s">
        <v>109</v>
      </c>
      <c r="BV2101" s="1"/>
      <c r="BW2101" s="1"/>
      <c r="BX2101" s="1"/>
      <c r="BY2101" s="1"/>
      <c r="BZ2101" s="1">
        <v>0</v>
      </c>
      <c r="CA2101" s="1" t="s">
        <v>109</v>
      </c>
      <c r="CB2101" s="1" t="s">
        <v>109</v>
      </c>
      <c r="CC2101" s="1">
        <v>2</v>
      </c>
      <c r="CD2101" s="1">
        <v>2</v>
      </c>
      <c r="CE2101" s="1" t="s">
        <v>109</v>
      </c>
      <c r="CF2101" s="1" t="s">
        <v>109</v>
      </c>
      <c r="CG2101" s="1" t="s">
        <v>109</v>
      </c>
      <c r="CH2101" s="1" t="s">
        <v>109</v>
      </c>
      <c r="CI2101" s="1" t="s">
        <v>109</v>
      </c>
      <c r="CJ2101" s="1" t="s">
        <v>109</v>
      </c>
      <c r="CK2101" s="1"/>
      <c r="CL2101" s="1">
        <v>0</v>
      </c>
      <c r="CM2101" s="1">
        <v>0</v>
      </c>
      <c r="CN2101" s="1">
        <v>0</v>
      </c>
    </row>
    <row r="2102" spans="1:92" ht="14.25" customHeight="1" x14ac:dyDescent="0.15">
      <c r="A2102" s="1" t="s">
        <v>15303</v>
      </c>
      <c r="B2102" s="1" t="s">
        <v>156</v>
      </c>
      <c r="C2102" s="1" t="s">
        <v>157</v>
      </c>
      <c r="D2102" s="1" t="s">
        <v>158</v>
      </c>
      <c r="E2102" s="1" t="s">
        <v>15304</v>
      </c>
      <c r="F2102" s="1" t="s">
        <v>98</v>
      </c>
      <c r="G2102" s="1" t="s">
        <v>2345</v>
      </c>
      <c r="H2102" s="1">
        <v>0</v>
      </c>
      <c r="I2102" s="1" t="s">
        <v>142</v>
      </c>
      <c r="J2102" s="1"/>
      <c r="K2102" s="1"/>
      <c r="L2102" s="1" t="s">
        <v>1391</v>
      </c>
      <c r="M2102" s="1" t="s">
        <v>11493</v>
      </c>
      <c r="N2102" s="1">
        <v>0</v>
      </c>
      <c r="O2102" s="1">
        <v>0</v>
      </c>
      <c r="P2102" s="1" t="s">
        <v>301</v>
      </c>
      <c r="Q2102" s="1" t="s">
        <v>268</v>
      </c>
      <c r="R2102" s="1" t="s">
        <v>15305</v>
      </c>
      <c r="S2102" s="1" t="s">
        <v>15306</v>
      </c>
      <c r="T2102" s="1" t="s">
        <v>14784</v>
      </c>
      <c r="U2102" s="1" t="s">
        <v>15307</v>
      </c>
      <c r="V2102" s="1">
        <v>0</v>
      </c>
      <c r="W2102" s="1">
        <v>1</v>
      </c>
      <c r="X2102" s="1">
        <v>0</v>
      </c>
      <c r="Y2102" s="1">
        <v>0</v>
      </c>
      <c r="Z2102" s="1">
        <v>0</v>
      </c>
      <c r="AA2102" s="1" t="s">
        <v>109</v>
      </c>
      <c r="AB2102" s="1" t="s">
        <v>109</v>
      </c>
      <c r="AC2102" s="1" t="s">
        <v>109</v>
      </c>
      <c r="AD2102" s="1" t="s">
        <v>109</v>
      </c>
      <c r="AE2102" s="1" t="s">
        <v>109</v>
      </c>
      <c r="AF2102" s="1" t="s">
        <v>109</v>
      </c>
      <c r="AG2102" s="1" t="s">
        <v>109</v>
      </c>
      <c r="AH2102" s="1" t="s">
        <v>109</v>
      </c>
      <c r="AI2102" s="1" t="s">
        <v>109</v>
      </c>
      <c r="AJ2102" s="1" t="s">
        <v>109</v>
      </c>
      <c r="AK2102" s="1" t="s">
        <v>109</v>
      </c>
      <c r="AL2102" s="1" t="s">
        <v>109</v>
      </c>
      <c r="AM2102" s="1" t="s">
        <v>109</v>
      </c>
      <c r="AN2102" s="1" t="s">
        <v>109</v>
      </c>
      <c r="AO2102" s="1" t="s">
        <v>109</v>
      </c>
      <c r="AP2102" s="1"/>
      <c r="AQ2102" s="1">
        <v>2</v>
      </c>
      <c r="AR2102" s="1"/>
      <c r="AS2102" s="1" t="s">
        <v>15308</v>
      </c>
      <c r="AT2102" s="1">
        <v>0</v>
      </c>
      <c r="AU2102" s="1">
        <v>0</v>
      </c>
      <c r="AV2102" s="1">
        <v>0</v>
      </c>
      <c r="AW2102" s="1">
        <v>0</v>
      </c>
      <c r="AX2102" s="1">
        <v>0</v>
      </c>
      <c r="AY2102" s="1">
        <v>0</v>
      </c>
      <c r="AZ2102" s="1">
        <v>0</v>
      </c>
      <c r="BA2102" s="1">
        <v>0</v>
      </c>
      <c r="BB2102" s="1">
        <v>0</v>
      </c>
      <c r="BC2102" s="1">
        <v>0</v>
      </c>
      <c r="BD2102" s="1">
        <v>0</v>
      </c>
      <c r="BE2102" s="1">
        <v>0</v>
      </c>
      <c r="BF2102" s="1">
        <v>0</v>
      </c>
      <c r="BG2102" s="1">
        <v>0</v>
      </c>
      <c r="BH2102" s="1">
        <v>0</v>
      </c>
      <c r="BI2102" s="1">
        <v>0</v>
      </c>
      <c r="BJ2102" s="1">
        <v>0</v>
      </c>
      <c r="BK2102" s="1">
        <v>0</v>
      </c>
      <c r="BL2102" s="1">
        <v>0</v>
      </c>
      <c r="BM2102" s="1">
        <v>1</v>
      </c>
      <c r="BN2102" s="1">
        <v>0</v>
      </c>
      <c r="BO2102" s="1">
        <v>0</v>
      </c>
      <c r="BP2102" s="1">
        <v>0</v>
      </c>
      <c r="BQ2102" s="1">
        <v>0</v>
      </c>
      <c r="BR2102" s="1">
        <v>0</v>
      </c>
      <c r="BS2102" s="1" t="s">
        <v>109</v>
      </c>
      <c r="BT2102" s="1">
        <v>2189</v>
      </c>
      <c r="BU2102" s="1" t="s">
        <v>109</v>
      </c>
      <c r="BV2102" s="1" t="s">
        <v>15309</v>
      </c>
      <c r="BW2102" s="1"/>
      <c r="BX2102" s="1"/>
      <c r="BY2102" s="1"/>
      <c r="BZ2102" s="1">
        <v>0</v>
      </c>
      <c r="CA2102" s="1" t="s">
        <v>109</v>
      </c>
      <c r="CB2102" s="1" t="s">
        <v>109</v>
      </c>
      <c r="CC2102" s="1">
        <v>2</v>
      </c>
      <c r="CD2102" s="1" t="s">
        <v>109</v>
      </c>
      <c r="CE2102" s="1" t="s">
        <v>109</v>
      </c>
      <c r="CF2102" s="1" t="s">
        <v>109</v>
      </c>
      <c r="CG2102" s="1" t="s">
        <v>109</v>
      </c>
      <c r="CH2102" s="1" t="s">
        <v>109</v>
      </c>
      <c r="CI2102" s="1" t="s">
        <v>109</v>
      </c>
      <c r="CJ2102" s="1" t="s">
        <v>109</v>
      </c>
      <c r="CK2102" s="1"/>
      <c r="CL2102" s="1">
        <v>0</v>
      </c>
      <c r="CM2102" s="1">
        <v>0</v>
      </c>
      <c r="CN2102" s="1">
        <v>0</v>
      </c>
    </row>
    <row r="2103" spans="1:92" ht="14.25" customHeight="1" x14ac:dyDescent="0.15">
      <c r="A2103" s="1" t="s">
        <v>15310</v>
      </c>
      <c r="B2103" s="1" t="s">
        <v>156</v>
      </c>
      <c r="C2103" s="1" t="s">
        <v>157</v>
      </c>
      <c r="D2103" s="1" t="s">
        <v>158</v>
      </c>
      <c r="E2103" s="1" t="s">
        <v>15182</v>
      </c>
      <c r="F2103" s="1" t="s">
        <v>98</v>
      </c>
      <c r="G2103" s="1" t="s">
        <v>2345</v>
      </c>
      <c r="H2103" s="1">
        <v>0</v>
      </c>
      <c r="I2103" s="1" t="s">
        <v>142</v>
      </c>
      <c r="J2103" s="1"/>
      <c r="K2103" s="1"/>
      <c r="L2103" s="1" t="s">
        <v>15311</v>
      </c>
      <c r="M2103" s="1" t="s">
        <v>11493</v>
      </c>
      <c r="N2103" s="1">
        <v>0</v>
      </c>
      <c r="O2103" s="1">
        <v>0</v>
      </c>
      <c r="P2103" s="1" t="s">
        <v>301</v>
      </c>
      <c r="Q2103" s="1" t="s">
        <v>268</v>
      </c>
      <c r="R2103" s="1" t="s">
        <v>15312</v>
      </c>
      <c r="S2103" s="1" t="s">
        <v>15313</v>
      </c>
      <c r="T2103" s="1" t="s">
        <v>14784</v>
      </c>
      <c r="U2103" s="1" t="s">
        <v>15314</v>
      </c>
      <c r="V2103" s="1">
        <v>0</v>
      </c>
      <c r="W2103" s="1">
        <v>1</v>
      </c>
      <c r="X2103" s="1">
        <v>0</v>
      </c>
      <c r="Y2103" s="1">
        <v>0</v>
      </c>
      <c r="Z2103" s="1">
        <v>0</v>
      </c>
      <c r="AA2103" s="1" t="s">
        <v>109</v>
      </c>
      <c r="AB2103" s="1" t="s">
        <v>109</v>
      </c>
      <c r="AC2103" s="1" t="s">
        <v>109</v>
      </c>
      <c r="AD2103" s="1" t="s">
        <v>109</v>
      </c>
      <c r="AE2103" s="1" t="s">
        <v>109</v>
      </c>
      <c r="AF2103" s="1" t="s">
        <v>109</v>
      </c>
      <c r="AG2103" s="1" t="s">
        <v>109</v>
      </c>
      <c r="AH2103" s="1" t="s">
        <v>109</v>
      </c>
      <c r="AI2103" s="1" t="s">
        <v>109</v>
      </c>
      <c r="AJ2103" s="1" t="s">
        <v>109</v>
      </c>
      <c r="AK2103" s="1" t="s">
        <v>109</v>
      </c>
      <c r="AL2103" s="1" t="s">
        <v>109</v>
      </c>
      <c r="AM2103" s="1" t="s">
        <v>109</v>
      </c>
      <c r="AN2103" s="1" t="s">
        <v>109</v>
      </c>
      <c r="AO2103" s="1" t="s">
        <v>109</v>
      </c>
      <c r="AP2103" s="1"/>
      <c r="AQ2103" s="1">
        <v>3</v>
      </c>
      <c r="AR2103" s="1"/>
      <c r="AS2103" s="1" t="s">
        <v>15315</v>
      </c>
      <c r="AT2103" s="1">
        <v>0</v>
      </c>
      <c r="AU2103" s="1">
        <v>0</v>
      </c>
      <c r="AV2103" s="1">
        <v>0</v>
      </c>
      <c r="AW2103" s="1">
        <v>0</v>
      </c>
      <c r="AX2103" s="1">
        <v>0</v>
      </c>
      <c r="AY2103" s="1">
        <v>0</v>
      </c>
      <c r="AZ2103" s="1">
        <v>0</v>
      </c>
      <c r="BA2103" s="1">
        <v>0</v>
      </c>
      <c r="BB2103" s="1">
        <v>0</v>
      </c>
      <c r="BC2103" s="1">
        <v>0</v>
      </c>
      <c r="BD2103" s="1">
        <v>0</v>
      </c>
      <c r="BE2103" s="1">
        <v>0</v>
      </c>
      <c r="BF2103" s="1">
        <v>0</v>
      </c>
      <c r="BG2103" s="1">
        <v>0</v>
      </c>
      <c r="BH2103" s="1">
        <v>0</v>
      </c>
      <c r="BI2103" s="1">
        <v>0</v>
      </c>
      <c r="BJ2103" s="1">
        <v>0</v>
      </c>
      <c r="BK2103" s="1">
        <v>0</v>
      </c>
      <c r="BL2103" s="1">
        <v>0</v>
      </c>
      <c r="BM2103" s="1">
        <v>1</v>
      </c>
      <c r="BN2103" s="1">
        <v>0</v>
      </c>
      <c r="BO2103" s="1">
        <v>0</v>
      </c>
      <c r="BP2103" s="1">
        <v>0</v>
      </c>
      <c r="BQ2103" s="1">
        <v>0</v>
      </c>
      <c r="BR2103" s="1">
        <v>0</v>
      </c>
      <c r="BS2103" s="1" t="s">
        <v>109</v>
      </c>
      <c r="BT2103" s="1">
        <v>2190</v>
      </c>
      <c r="BU2103" s="1" t="s">
        <v>109</v>
      </c>
      <c r="BV2103" s="1"/>
      <c r="BW2103" s="1"/>
      <c r="BX2103" s="1"/>
      <c r="BY2103" s="1"/>
      <c r="BZ2103" s="1">
        <v>0</v>
      </c>
      <c r="CA2103" s="1" t="s">
        <v>109</v>
      </c>
      <c r="CB2103" s="1" t="s">
        <v>109</v>
      </c>
      <c r="CC2103" s="1">
        <v>3</v>
      </c>
      <c r="CD2103" s="1" t="s">
        <v>109</v>
      </c>
      <c r="CE2103" s="1" t="s">
        <v>109</v>
      </c>
      <c r="CF2103" s="1" t="s">
        <v>109</v>
      </c>
      <c r="CG2103" s="1" t="s">
        <v>109</v>
      </c>
      <c r="CH2103" s="1" t="s">
        <v>109</v>
      </c>
      <c r="CI2103" s="1" t="s">
        <v>109</v>
      </c>
      <c r="CJ2103" s="1" t="s">
        <v>109</v>
      </c>
      <c r="CK2103" s="1"/>
      <c r="CL2103" s="1">
        <v>0</v>
      </c>
      <c r="CM2103" s="1">
        <v>0</v>
      </c>
      <c r="CN2103" s="1">
        <v>0</v>
      </c>
    </row>
    <row r="2104" spans="1:92" ht="14.25" customHeight="1" x14ac:dyDescent="0.15">
      <c r="A2104" s="1" t="s">
        <v>15316</v>
      </c>
      <c r="B2104" s="1" t="s">
        <v>156</v>
      </c>
      <c r="C2104" s="1" t="s">
        <v>157</v>
      </c>
      <c r="D2104" s="1" t="s">
        <v>158</v>
      </c>
      <c r="E2104" s="1" t="s">
        <v>15189</v>
      </c>
      <c r="F2104" s="1" t="s">
        <v>98</v>
      </c>
      <c r="G2104" s="1" t="s">
        <v>2345</v>
      </c>
      <c r="H2104" s="1">
        <v>0</v>
      </c>
      <c r="I2104" s="1" t="s">
        <v>142</v>
      </c>
      <c r="J2104" s="1"/>
      <c r="K2104" s="1"/>
      <c r="L2104" s="1" t="s">
        <v>15317</v>
      </c>
      <c r="M2104" s="1" t="s">
        <v>11493</v>
      </c>
      <c r="N2104" s="1">
        <v>0</v>
      </c>
      <c r="O2104" s="1">
        <v>0</v>
      </c>
      <c r="P2104" s="1" t="s">
        <v>301</v>
      </c>
      <c r="Q2104" s="1" t="s">
        <v>268</v>
      </c>
      <c r="R2104" s="1" t="s">
        <v>15318</v>
      </c>
      <c r="S2104" s="1" t="s">
        <v>15319</v>
      </c>
      <c r="T2104" s="1" t="s">
        <v>14784</v>
      </c>
      <c r="U2104" s="1" t="s">
        <v>15320</v>
      </c>
      <c r="V2104" s="1">
        <v>0</v>
      </c>
      <c r="W2104" s="1">
        <v>1</v>
      </c>
      <c r="X2104" s="1">
        <v>0</v>
      </c>
      <c r="Y2104" s="1">
        <v>0</v>
      </c>
      <c r="Z2104" s="1">
        <v>0</v>
      </c>
      <c r="AA2104" s="1" t="s">
        <v>109</v>
      </c>
      <c r="AB2104" s="1" t="s">
        <v>109</v>
      </c>
      <c r="AC2104" s="1" t="s">
        <v>109</v>
      </c>
      <c r="AD2104" s="1" t="s">
        <v>109</v>
      </c>
      <c r="AE2104" s="1" t="s">
        <v>109</v>
      </c>
      <c r="AF2104" s="1" t="s">
        <v>109</v>
      </c>
      <c r="AG2104" s="1" t="s">
        <v>109</v>
      </c>
      <c r="AH2104" s="1" t="s">
        <v>109</v>
      </c>
      <c r="AI2104" s="1" t="s">
        <v>109</v>
      </c>
      <c r="AJ2104" s="1" t="s">
        <v>109</v>
      </c>
      <c r="AK2104" s="1" t="s">
        <v>109</v>
      </c>
      <c r="AL2104" s="1" t="s">
        <v>109</v>
      </c>
      <c r="AM2104" s="1" t="s">
        <v>109</v>
      </c>
      <c r="AN2104" s="1" t="s">
        <v>109</v>
      </c>
      <c r="AO2104" s="1" t="s">
        <v>109</v>
      </c>
      <c r="AP2104" s="1"/>
      <c r="AQ2104" s="1">
        <v>4</v>
      </c>
      <c r="AR2104" s="1"/>
      <c r="AS2104" s="1" t="s">
        <v>15321</v>
      </c>
      <c r="AT2104" s="1">
        <v>0</v>
      </c>
      <c r="AU2104" s="1">
        <v>0</v>
      </c>
      <c r="AV2104" s="1">
        <v>0</v>
      </c>
      <c r="AW2104" s="1">
        <v>0</v>
      </c>
      <c r="AX2104" s="1">
        <v>0</v>
      </c>
      <c r="AY2104" s="1">
        <v>0</v>
      </c>
      <c r="AZ2104" s="1">
        <v>0</v>
      </c>
      <c r="BA2104" s="1">
        <v>0</v>
      </c>
      <c r="BB2104" s="1">
        <v>0</v>
      </c>
      <c r="BC2104" s="1">
        <v>0</v>
      </c>
      <c r="BD2104" s="1">
        <v>0</v>
      </c>
      <c r="BE2104" s="1">
        <v>0</v>
      </c>
      <c r="BF2104" s="1">
        <v>0</v>
      </c>
      <c r="BG2104" s="1">
        <v>0</v>
      </c>
      <c r="BH2104" s="1">
        <v>0</v>
      </c>
      <c r="BI2104" s="1">
        <v>0</v>
      </c>
      <c r="BJ2104" s="1">
        <v>0</v>
      </c>
      <c r="BK2104" s="1">
        <v>0</v>
      </c>
      <c r="BL2104" s="1">
        <v>0</v>
      </c>
      <c r="BM2104" s="1">
        <v>1</v>
      </c>
      <c r="BN2104" s="1">
        <v>0</v>
      </c>
      <c r="BO2104" s="1">
        <v>0</v>
      </c>
      <c r="BP2104" s="1">
        <v>0</v>
      </c>
      <c r="BQ2104" s="1">
        <v>0</v>
      </c>
      <c r="BR2104" s="1">
        <v>0</v>
      </c>
      <c r="BS2104" s="1" t="s">
        <v>109</v>
      </c>
      <c r="BT2104" s="1">
        <v>2191</v>
      </c>
      <c r="BU2104" s="1" t="s">
        <v>109</v>
      </c>
      <c r="BV2104" s="1"/>
      <c r="BW2104" s="1"/>
      <c r="BX2104" s="1"/>
      <c r="BY2104" s="1"/>
      <c r="BZ2104" s="1">
        <v>0</v>
      </c>
      <c r="CA2104" s="1" t="s">
        <v>109</v>
      </c>
      <c r="CB2104" s="1" t="s">
        <v>109</v>
      </c>
      <c r="CC2104" s="1">
        <v>4</v>
      </c>
      <c r="CD2104" s="1" t="s">
        <v>109</v>
      </c>
      <c r="CE2104" s="1" t="s">
        <v>109</v>
      </c>
      <c r="CF2104" s="1" t="s">
        <v>109</v>
      </c>
      <c r="CG2104" s="1" t="s">
        <v>109</v>
      </c>
      <c r="CH2104" s="1" t="s">
        <v>109</v>
      </c>
      <c r="CI2104" s="1" t="s">
        <v>109</v>
      </c>
      <c r="CJ2104" s="1" t="s">
        <v>109</v>
      </c>
      <c r="CK2104" s="1"/>
      <c r="CL2104" s="1">
        <v>0</v>
      </c>
      <c r="CM2104" s="1">
        <v>0</v>
      </c>
      <c r="CN2104" s="1">
        <v>0</v>
      </c>
    </row>
    <row r="2105" spans="1:92" ht="14.25" customHeight="1" x14ac:dyDescent="0.15">
      <c r="A2105" s="1" t="s">
        <v>15322</v>
      </c>
      <c r="B2105" s="1" t="s">
        <v>156</v>
      </c>
      <c r="C2105" s="1" t="s">
        <v>157</v>
      </c>
      <c r="D2105" s="1" t="s">
        <v>158</v>
      </c>
      <c r="E2105" s="1" t="s">
        <v>15195</v>
      </c>
      <c r="F2105" s="1" t="s">
        <v>98</v>
      </c>
      <c r="G2105" s="1" t="s">
        <v>2345</v>
      </c>
      <c r="H2105" s="1">
        <v>0</v>
      </c>
      <c r="I2105" s="1" t="s">
        <v>142</v>
      </c>
      <c r="J2105" s="1"/>
      <c r="K2105" s="1"/>
      <c r="L2105" s="1" t="s">
        <v>15323</v>
      </c>
      <c r="M2105" s="1" t="s">
        <v>11493</v>
      </c>
      <c r="N2105" s="1">
        <v>0</v>
      </c>
      <c r="O2105" s="1">
        <v>0</v>
      </c>
      <c r="P2105" s="1" t="s">
        <v>301</v>
      </c>
      <c r="Q2105" s="1" t="s">
        <v>268</v>
      </c>
      <c r="R2105" s="1" t="s">
        <v>15324</v>
      </c>
      <c r="S2105" s="1" t="s">
        <v>15325</v>
      </c>
      <c r="T2105" s="1" t="s">
        <v>14784</v>
      </c>
      <c r="U2105" s="1" t="s">
        <v>15326</v>
      </c>
      <c r="V2105" s="1">
        <v>0</v>
      </c>
      <c r="W2105" s="1">
        <v>1</v>
      </c>
      <c r="X2105" s="1">
        <v>0</v>
      </c>
      <c r="Y2105" s="1">
        <v>0</v>
      </c>
      <c r="Z2105" s="1">
        <v>0</v>
      </c>
      <c r="AA2105" s="1" t="s">
        <v>109</v>
      </c>
      <c r="AB2105" s="1" t="s">
        <v>109</v>
      </c>
      <c r="AC2105" s="1" t="s">
        <v>109</v>
      </c>
      <c r="AD2105" s="1" t="s">
        <v>109</v>
      </c>
      <c r="AE2105" s="1" t="s">
        <v>109</v>
      </c>
      <c r="AF2105" s="1" t="s">
        <v>109</v>
      </c>
      <c r="AG2105" s="1" t="s">
        <v>109</v>
      </c>
      <c r="AH2105" s="1" t="s">
        <v>109</v>
      </c>
      <c r="AI2105" s="1" t="s">
        <v>109</v>
      </c>
      <c r="AJ2105" s="1" t="s">
        <v>109</v>
      </c>
      <c r="AK2105" s="1" t="s">
        <v>109</v>
      </c>
      <c r="AL2105" s="1" t="s">
        <v>109</v>
      </c>
      <c r="AM2105" s="1" t="s">
        <v>109</v>
      </c>
      <c r="AN2105" s="1" t="s">
        <v>109</v>
      </c>
      <c r="AO2105" s="1" t="s">
        <v>109</v>
      </c>
      <c r="AP2105" s="1"/>
      <c r="AQ2105" s="1">
        <v>5</v>
      </c>
      <c r="AR2105" s="1"/>
      <c r="AS2105" s="1" t="s">
        <v>15327</v>
      </c>
      <c r="AT2105" s="1">
        <v>0</v>
      </c>
      <c r="AU2105" s="1">
        <v>0</v>
      </c>
      <c r="AV2105" s="1">
        <v>0</v>
      </c>
      <c r="AW2105" s="1">
        <v>0</v>
      </c>
      <c r="AX2105" s="1">
        <v>0</v>
      </c>
      <c r="AY2105" s="1">
        <v>0</v>
      </c>
      <c r="AZ2105" s="1">
        <v>0</v>
      </c>
      <c r="BA2105" s="1">
        <v>0</v>
      </c>
      <c r="BB2105" s="1">
        <v>0</v>
      </c>
      <c r="BC2105" s="1">
        <v>0</v>
      </c>
      <c r="BD2105" s="1">
        <v>0</v>
      </c>
      <c r="BE2105" s="1">
        <v>0</v>
      </c>
      <c r="BF2105" s="1">
        <v>0</v>
      </c>
      <c r="BG2105" s="1">
        <v>0</v>
      </c>
      <c r="BH2105" s="1">
        <v>0</v>
      </c>
      <c r="BI2105" s="1">
        <v>0</v>
      </c>
      <c r="BJ2105" s="1">
        <v>0</v>
      </c>
      <c r="BK2105" s="1">
        <v>0</v>
      </c>
      <c r="BL2105" s="1">
        <v>0</v>
      </c>
      <c r="BM2105" s="1">
        <v>1</v>
      </c>
      <c r="BN2105" s="1">
        <v>0</v>
      </c>
      <c r="BO2105" s="1">
        <v>0</v>
      </c>
      <c r="BP2105" s="1">
        <v>0</v>
      </c>
      <c r="BQ2105" s="1">
        <v>0</v>
      </c>
      <c r="BR2105" s="1">
        <v>0</v>
      </c>
      <c r="BS2105" s="1" t="s">
        <v>109</v>
      </c>
      <c r="BT2105" s="1">
        <v>2192</v>
      </c>
      <c r="BU2105" s="1" t="s">
        <v>109</v>
      </c>
      <c r="BV2105" s="1"/>
      <c r="BW2105" s="1"/>
      <c r="BX2105" s="1"/>
      <c r="BY2105" s="1"/>
      <c r="BZ2105" s="1">
        <v>0</v>
      </c>
      <c r="CA2105" s="1" t="s">
        <v>109</v>
      </c>
      <c r="CB2105" s="1" t="s">
        <v>109</v>
      </c>
      <c r="CC2105" s="1">
        <v>5</v>
      </c>
      <c r="CD2105" s="1" t="s">
        <v>109</v>
      </c>
      <c r="CE2105" s="1" t="s">
        <v>109</v>
      </c>
      <c r="CF2105" s="1" t="s">
        <v>109</v>
      </c>
      <c r="CG2105" s="1" t="s">
        <v>109</v>
      </c>
      <c r="CH2105" s="1" t="s">
        <v>109</v>
      </c>
      <c r="CI2105" s="1" t="s">
        <v>109</v>
      </c>
      <c r="CJ2105" s="1" t="s">
        <v>109</v>
      </c>
      <c r="CK2105" s="1"/>
      <c r="CL2105" s="1">
        <v>0</v>
      </c>
      <c r="CM2105" s="1">
        <v>0</v>
      </c>
      <c r="CN2105" s="1">
        <v>0</v>
      </c>
    </row>
    <row r="2106" spans="1:92" ht="14.25" customHeight="1" x14ac:dyDescent="0.15">
      <c r="A2106" s="1" t="s">
        <v>15328</v>
      </c>
      <c r="B2106" s="1" t="s">
        <v>674</v>
      </c>
      <c r="C2106" s="1" t="s">
        <v>675</v>
      </c>
      <c r="D2106" s="1"/>
      <c r="E2106" s="1" t="s">
        <v>15329</v>
      </c>
      <c r="F2106" s="1" t="s">
        <v>277</v>
      </c>
      <c r="G2106" s="1" t="s">
        <v>141</v>
      </c>
      <c r="H2106" s="1">
        <v>0</v>
      </c>
      <c r="I2106" s="1" t="s">
        <v>161</v>
      </c>
      <c r="J2106" s="1"/>
      <c r="K2106" s="1"/>
      <c r="L2106" s="1" t="s">
        <v>1285</v>
      </c>
      <c r="M2106" s="1" t="s">
        <v>280</v>
      </c>
      <c r="N2106" s="1">
        <v>0</v>
      </c>
      <c r="O2106" s="1">
        <v>0</v>
      </c>
      <c r="P2106" s="1" t="s">
        <v>281</v>
      </c>
      <c r="Q2106" s="1" t="s">
        <v>104</v>
      </c>
      <c r="R2106" s="1" t="s">
        <v>15330</v>
      </c>
      <c r="S2106" s="1" t="s">
        <v>15331</v>
      </c>
      <c r="T2106" s="1" t="s">
        <v>14784</v>
      </c>
      <c r="U2106" s="1" t="s">
        <v>15332</v>
      </c>
      <c r="V2106" s="1">
        <v>1</v>
      </c>
      <c r="W2106" s="1">
        <v>1</v>
      </c>
      <c r="X2106" s="1">
        <v>0</v>
      </c>
      <c r="Y2106" s="1">
        <v>0</v>
      </c>
      <c r="Z2106" s="1">
        <v>0</v>
      </c>
      <c r="AA2106" s="1" t="s">
        <v>109</v>
      </c>
      <c r="AB2106" s="1" t="s">
        <v>109</v>
      </c>
      <c r="AC2106" s="1" t="s">
        <v>109</v>
      </c>
      <c r="AD2106" s="1" t="s">
        <v>109</v>
      </c>
      <c r="AE2106" s="1" t="s">
        <v>109</v>
      </c>
      <c r="AF2106" s="1" t="s">
        <v>109</v>
      </c>
      <c r="AG2106" s="1" t="s">
        <v>109</v>
      </c>
      <c r="AH2106" s="1" t="s">
        <v>109</v>
      </c>
      <c r="AI2106" s="1" t="s">
        <v>109</v>
      </c>
      <c r="AJ2106" s="1" t="s">
        <v>109</v>
      </c>
      <c r="AK2106" s="1" t="s">
        <v>109</v>
      </c>
      <c r="AL2106" s="1" t="s">
        <v>109</v>
      </c>
      <c r="AM2106" s="1" t="s">
        <v>109</v>
      </c>
      <c r="AN2106" s="1" t="s">
        <v>109</v>
      </c>
      <c r="AO2106" s="1" t="s">
        <v>109</v>
      </c>
      <c r="AP2106" s="1"/>
      <c r="AQ2106" s="1">
        <v>2</v>
      </c>
      <c r="AR2106" s="1"/>
      <c r="AS2106" s="1" t="s">
        <v>15333</v>
      </c>
      <c r="AT2106" s="1">
        <v>0</v>
      </c>
      <c r="AU2106" s="1">
        <v>0</v>
      </c>
      <c r="AV2106" s="1">
        <v>0</v>
      </c>
      <c r="AW2106" s="1">
        <v>0</v>
      </c>
      <c r="AX2106" s="1">
        <v>0</v>
      </c>
      <c r="AY2106" s="1">
        <v>0</v>
      </c>
      <c r="AZ2106" s="1">
        <v>0</v>
      </c>
      <c r="BA2106" s="1">
        <v>0</v>
      </c>
      <c r="BB2106" s="1">
        <v>0</v>
      </c>
      <c r="BC2106" s="1">
        <v>0</v>
      </c>
      <c r="BD2106" s="1">
        <v>0</v>
      </c>
      <c r="BE2106" s="1">
        <v>0</v>
      </c>
      <c r="BF2106" s="1">
        <v>0</v>
      </c>
      <c r="BG2106" s="1">
        <v>0</v>
      </c>
      <c r="BH2106" s="1">
        <v>0</v>
      </c>
      <c r="BI2106" s="1">
        <v>0</v>
      </c>
      <c r="BJ2106" s="1">
        <v>0</v>
      </c>
      <c r="BK2106" s="1">
        <v>0</v>
      </c>
      <c r="BL2106" s="1">
        <v>0</v>
      </c>
      <c r="BM2106" s="1">
        <v>0</v>
      </c>
      <c r="BN2106" s="1">
        <v>0</v>
      </c>
      <c r="BO2106" s="1">
        <v>0</v>
      </c>
      <c r="BP2106" s="1">
        <v>0</v>
      </c>
      <c r="BQ2106" s="1">
        <v>0</v>
      </c>
      <c r="BR2106" s="1">
        <v>0</v>
      </c>
      <c r="BS2106" s="1" t="s">
        <v>109</v>
      </c>
      <c r="BT2106" s="1">
        <v>2193</v>
      </c>
      <c r="BU2106" s="1" t="s">
        <v>109</v>
      </c>
      <c r="BV2106" s="1"/>
      <c r="BW2106" s="1"/>
      <c r="BX2106" s="1"/>
      <c r="BY2106" s="1"/>
      <c r="BZ2106" s="1">
        <v>0</v>
      </c>
      <c r="CA2106" s="1" t="s">
        <v>109</v>
      </c>
      <c r="CB2106" s="1" t="s">
        <v>109</v>
      </c>
      <c r="CC2106" s="1">
        <v>2</v>
      </c>
      <c r="CD2106" s="1" t="s">
        <v>109</v>
      </c>
      <c r="CE2106" s="1">
        <v>2</v>
      </c>
      <c r="CF2106" s="1">
        <v>2</v>
      </c>
      <c r="CG2106" s="1" t="s">
        <v>109</v>
      </c>
      <c r="CH2106" s="1" t="s">
        <v>109</v>
      </c>
      <c r="CI2106" s="1" t="s">
        <v>109</v>
      </c>
      <c r="CJ2106" s="1" t="s">
        <v>109</v>
      </c>
      <c r="CK2106" s="1"/>
      <c r="CL2106" s="1">
        <v>0</v>
      </c>
      <c r="CM2106" s="1">
        <v>0</v>
      </c>
      <c r="CN2106" s="1">
        <v>0</v>
      </c>
    </row>
    <row r="2107" spans="1:92" ht="14.25" customHeight="1" x14ac:dyDescent="0.15">
      <c r="A2107" s="1" t="s">
        <v>15334</v>
      </c>
      <c r="B2107" s="1" t="s">
        <v>584</v>
      </c>
      <c r="C2107" s="1"/>
      <c r="D2107" s="1" t="s">
        <v>60</v>
      </c>
      <c r="E2107" s="1" t="s">
        <v>15335</v>
      </c>
      <c r="F2107" s="1" t="s">
        <v>98</v>
      </c>
      <c r="G2107" s="1" t="s">
        <v>141</v>
      </c>
      <c r="H2107" s="1">
        <v>0</v>
      </c>
      <c r="I2107" s="1" t="s">
        <v>142</v>
      </c>
      <c r="J2107" s="1"/>
      <c r="K2107" s="1"/>
      <c r="L2107" s="1" t="s">
        <v>6689</v>
      </c>
      <c r="M2107" s="1" t="s">
        <v>300</v>
      </c>
      <c r="N2107" s="1">
        <v>0</v>
      </c>
      <c r="O2107" s="1">
        <v>0</v>
      </c>
      <c r="P2107" s="1" t="s">
        <v>103</v>
      </c>
      <c r="Q2107" s="1" t="s">
        <v>268</v>
      </c>
      <c r="R2107" s="1" t="s">
        <v>15336</v>
      </c>
      <c r="S2107" s="1" t="s">
        <v>15337</v>
      </c>
      <c r="T2107" s="1" t="s">
        <v>14784</v>
      </c>
      <c r="U2107" s="1" t="s">
        <v>15338</v>
      </c>
      <c r="V2107" s="1">
        <v>1</v>
      </c>
      <c r="W2107" s="1">
        <v>1</v>
      </c>
      <c r="X2107" s="1">
        <v>0</v>
      </c>
      <c r="Y2107" s="1">
        <v>0</v>
      </c>
      <c r="Z2107" s="1">
        <v>0</v>
      </c>
      <c r="AA2107" s="1" t="s">
        <v>109</v>
      </c>
      <c r="AB2107" s="1" t="s">
        <v>109</v>
      </c>
      <c r="AC2107" s="1" t="s">
        <v>109</v>
      </c>
      <c r="AD2107" s="1" t="s">
        <v>109</v>
      </c>
      <c r="AE2107" s="1" t="s">
        <v>109</v>
      </c>
      <c r="AF2107" s="1" t="s">
        <v>109</v>
      </c>
      <c r="AG2107" s="1" t="s">
        <v>109</v>
      </c>
      <c r="AH2107" s="1" t="s">
        <v>109</v>
      </c>
      <c r="AI2107" s="1" t="s">
        <v>109</v>
      </c>
      <c r="AJ2107" s="1" t="s">
        <v>109</v>
      </c>
      <c r="AK2107" s="1" t="s">
        <v>109</v>
      </c>
      <c r="AL2107" s="1" t="s">
        <v>109</v>
      </c>
      <c r="AM2107" s="1" t="s">
        <v>109</v>
      </c>
      <c r="AN2107" s="1" t="s">
        <v>109</v>
      </c>
      <c r="AO2107" s="1" t="s">
        <v>109</v>
      </c>
      <c r="AP2107" s="1"/>
      <c r="AQ2107" s="1" t="s">
        <v>109</v>
      </c>
      <c r="AR2107" s="1"/>
      <c r="AS2107" s="1" t="s">
        <v>15339</v>
      </c>
      <c r="AT2107" s="1">
        <v>0</v>
      </c>
      <c r="AU2107" s="1">
        <v>0</v>
      </c>
      <c r="AV2107" s="1">
        <v>0</v>
      </c>
      <c r="AW2107" s="1">
        <v>0</v>
      </c>
      <c r="AX2107" s="1">
        <v>0</v>
      </c>
      <c r="AY2107" s="1">
        <v>0</v>
      </c>
      <c r="AZ2107" s="1">
        <v>0</v>
      </c>
      <c r="BA2107" s="1">
        <v>0</v>
      </c>
      <c r="BB2107" s="1">
        <v>0</v>
      </c>
      <c r="BC2107" s="1">
        <v>0</v>
      </c>
      <c r="BD2107" s="1">
        <v>0</v>
      </c>
      <c r="BE2107" s="1">
        <v>0</v>
      </c>
      <c r="BF2107" s="1">
        <v>0</v>
      </c>
      <c r="BG2107" s="1">
        <v>0</v>
      </c>
      <c r="BH2107" s="1">
        <v>1</v>
      </c>
      <c r="BI2107" s="1">
        <v>0</v>
      </c>
      <c r="BJ2107" s="1">
        <v>0</v>
      </c>
      <c r="BK2107" s="1">
        <v>0</v>
      </c>
      <c r="BL2107" s="1">
        <v>0</v>
      </c>
      <c r="BM2107" s="1">
        <v>0</v>
      </c>
      <c r="BN2107" s="1">
        <v>0</v>
      </c>
      <c r="BO2107" s="1">
        <v>0</v>
      </c>
      <c r="BP2107" s="1">
        <v>0</v>
      </c>
      <c r="BQ2107" s="1">
        <v>0</v>
      </c>
      <c r="BR2107" s="1">
        <v>0</v>
      </c>
      <c r="BS2107" s="1" t="s">
        <v>109</v>
      </c>
      <c r="BT2107" s="1">
        <v>2194</v>
      </c>
      <c r="BU2107" s="1" t="s">
        <v>109</v>
      </c>
      <c r="BV2107" s="1"/>
      <c r="BW2107" s="1"/>
      <c r="BX2107" s="1"/>
      <c r="BY2107" s="1"/>
      <c r="BZ2107" s="1">
        <v>0</v>
      </c>
      <c r="CA2107" s="1" t="s">
        <v>109</v>
      </c>
      <c r="CB2107" s="1" t="s">
        <v>109</v>
      </c>
      <c r="CC2107" s="1">
        <v>6</v>
      </c>
      <c r="CD2107" s="1" t="s">
        <v>109</v>
      </c>
      <c r="CE2107" s="1" t="s">
        <v>109</v>
      </c>
      <c r="CF2107" s="1" t="s">
        <v>109</v>
      </c>
      <c r="CG2107" s="1">
        <v>5</v>
      </c>
      <c r="CH2107" s="1" t="s">
        <v>109</v>
      </c>
      <c r="CI2107" s="1" t="s">
        <v>109</v>
      </c>
      <c r="CJ2107" s="1" t="s">
        <v>109</v>
      </c>
      <c r="CK2107" s="1"/>
      <c r="CL2107" s="1">
        <v>0</v>
      </c>
      <c r="CM2107" s="1">
        <v>0</v>
      </c>
      <c r="CN2107" s="1">
        <v>0</v>
      </c>
    </row>
    <row r="2108" spans="1:92" ht="14.25" customHeight="1" x14ac:dyDescent="0.15">
      <c r="A2108" s="1" t="s">
        <v>15340</v>
      </c>
      <c r="B2108" s="1" t="s">
        <v>156</v>
      </c>
      <c r="C2108" s="1"/>
      <c r="D2108" s="1" t="s">
        <v>15341</v>
      </c>
      <c r="E2108" s="1" t="s">
        <v>15342</v>
      </c>
      <c r="F2108" s="1" t="s">
        <v>98</v>
      </c>
      <c r="G2108" s="1" t="s">
        <v>141</v>
      </c>
      <c r="H2108" s="1">
        <v>0</v>
      </c>
      <c r="I2108" s="1" t="s">
        <v>142</v>
      </c>
      <c r="J2108" s="1"/>
      <c r="K2108" s="1"/>
      <c r="L2108" s="1" t="s">
        <v>1391</v>
      </c>
      <c r="M2108" s="1" t="s">
        <v>125</v>
      </c>
      <c r="N2108" s="1">
        <v>0</v>
      </c>
      <c r="O2108" s="1">
        <v>0</v>
      </c>
      <c r="P2108" s="1" t="s">
        <v>826</v>
      </c>
      <c r="Q2108" s="1" t="s">
        <v>268</v>
      </c>
      <c r="R2108" s="1" t="s">
        <v>15343</v>
      </c>
      <c r="S2108" s="1" t="s">
        <v>15344</v>
      </c>
      <c r="T2108" s="1" t="s">
        <v>14784</v>
      </c>
      <c r="U2108" s="1" t="s">
        <v>15345</v>
      </c>
      <c r="V2108" s="1">
        <v>1</v>
      </c>
      <c r="W2108" s="1">
        <v>1</v>
      </c>
      <c r="X2108" s="1">
        <v>0</v>
      </c>
      <c r="Y2108" s="1">
        <v>0</v>
      </c>
      <c r="Z2108" s="1">
        <v>0</v>
      </c>
      <c r="AA2108" s="1">
        <v>3</v>
      </c>
      <c r="AB2108" s="1">
        <v>3</v>
      </c>
      <c r="AC2108" s="1" t="s">
        <v>109</v>
      </c>
      <c r="AD2108" s="1" t="s">
        <v>109</v>
      </c>
      <c r="AE2108" s="1" t="s">
        <v>109</v>
      </c>
      <c r="AF2108" s="1" t="s">
        <v>109</v>
      </c>
      <c r="AG2108" s="1" t="s">
        <v>109</v>
      </c>
      <c r="AH2108" s="1" t="s">
        <v>109</v>
      </c>
      <c r="AI2108" s="1" t="s">
        <v>109</v>
      </c>
      <c r="AJ2108" s="1">
        <v>3</v>
      </c>
      <c r="AK2108" s="1">
        <v>2</v>
      </c>
      <c r="AL2108" s="1" t="s">
        <v>109</v>
      </c>
      <c r="AM2108" s="1">
        <v>2</v>
      </c>
      <c r="AN2108" s="1" t="s">
        <v>109</v>
      </c>
      <c r="AO2108" s="1" t="s">
        <v>109</v>
      </c>
      <c r="AP2108" s="1"/>
      <c r="AQ2108" s="1">
        <v>3</v>
      </c>
      <c r="AR2108" s="1"/>
      <c r="AS2108" s="1" t="s">
        <v>15346</v>
      </c>
      <c r="AT2108" s="1">
        <v>0</v>
      </c>
      <c r="AU2108" s="1">
        <v>0</v>
      </c>
      <c r="AV2108" s="1">
        <v>0</v>
      </c>
      <c r="AW2108" s="1">
        <v>0</v>
      </c>
      <c r="AX2108" s="1">
        <v>0</v>
      </c>
      <c r="AY2108" s="1">
        <v>0</v>
      </c>
      <c r="AZ2108" s="1">
        <v>0</v>
      </c>
      <c r="BA2108" s="1">
        <v>0</v>
      </c>
      <c r="BB2108" s="1">
        <v>0</v>
      </c>
      <c r="BC2108" s="1">
        <v>0</v>
      </c>
      <c r="BD2108" s="1">
        <v>0</v>
      </c>
      <c r="BE2108" s="1">
        <v>0</v>
      </c>
      <c r="BF2108" s="1">
        <v>0</v>
      </c>
      <c r="BG2108" s="1">
        <v>0</v>
      </c>
      <c r="BH2108" s="1">
        <v>0</v>
      </c>
      <c r="BI2108" s="1">
        <v>0</v>
      </c>
      <c r="BJ2108" s="1">
        <v>0</v>
      </c>
      <c r="BK2108" s="1">
        <v>0</v>
      </c>
      <c r="BL2108" s="1">
        <v>0</v>
      </c>
      <c r="BM2108" s="1">
        <v>1</v>
      </c>
      <c r="BN2108" s="1">
        <v>1</v>
      </c>
      <c r="BO2108" s="1">
        <v>0</v>
      </c>
      <c r="BP2108" s="1">
        <v>0</v>
      </c>
      <c r="BQ2108" s="1">
        <v>0</v>
      </c>
      <c r="BR2108" s="1">
        <v>0</v>
      </c>
      <c r="BS2108" s="1" t="s">
        <v>109</v>
      </c>
      <c r="BT2108" s="1">
        <v>2195</v>
      </c>
      <c r="BU2108" s="1" t="s">
        <v>109</v>
      </c>
      <c r="BV2108" s="1"/>
      <c r="BW2108" s="1"/>
      <c r="BX2108" s="1"/>
      <c r="BY2108" s="1"/>
      <c r="BZ2108" s="1">
        <v>0</v>
      </c>
      <c r="CA2108" s="1" t="s">
        <v>109</v>
      </c>
      <c r="CB2108" s="1" t="s">
        <v>109</v>
      </c>
      <c r="CC2108" s="1">
        <v>2</v>
      </c>
      <c r="CD2108" s="1">
        <v>2</v>
      </c>
      <c r="CE2108" s="1">
        <v>2</v>
      </c>
      <c r="CF2108" s="1">
        <v>2</v>
      </c>
      <c r="CG2108" s="1">
        <v>2</v>
      </c>
      <c r="CH2108" s="1" t="s">
        <v>109</v>
      </c>
      <c r="CI2108" s="1" t="s">
        <v>109</v>
      </c>
      <c r="CJ2108" s="1" t="s">
        <v>109</v>
      </c>
      <c r="CK2108" s="1"/>
      <c r="CL2108" s="1">
        <v>0</v>
      </c>
      <c r="CM2108" s="1">
        <v>0</v>
      </c>
      <c r="CN2108" s="1">
        <v>0</v>
      </c>
    </row>
    <row r="2109" spans="1:92" ht="14.25" customHeight="1" x14ac:dyDescent="0.15">
      <c r="A2109" s="1" t="s">
        <v>15347</v>
      </c>
      <c r="B2109" s="1" t="s">
        <v>156</v>
      </c>
      <c r="C2109" s="1"/>
      <c r="D2109" s="1" t="s">
        <v>15341</v>
      </c>
      <c r="E2109" s="1" t="s">
        <v>15348</v>
      </c>
      <c r="F2109" s="1" t="s">
        <v>98</v>
      </c>
      <c r="G2109" s="1" t="s">
        <v>141</v>
      </c>
      <c r="H2109" s="1">
        <v>0</v>
      </c>
      <c r="I2109" s="1" t="s">
        <v>142</v>
      </c>
      <c r="J2109" s="1"/>
      <c r="K2109" s="1"/>
      <c r="L2109" s="1" t="s">
        <v>8544</v>
      </c>
      <c r="M2109" s="1" t="s">
        <v>125</v>
      </c>
      <c r="N2109" s="1">
        <v>0</v>
      </c>
      <c r="O2109" s="1">
        <v>0</v>
      </c>
      <c r="P2109" s="1" t="s">
        <v>826</v>
      </c>
      <c r="Q2109" s="1" t="s">
        <v>268</v>
      </c>
      <c r="R2109" s="1" t="s">
        <v>15349</v>
      </c>
      <c r="S2109" s="1" t="s">
        <v>15350</v>
      </c>
      <c r="T2109" s="1" t="s">
        <v>14784</v>
      </c>
      <c r="U2109" s="1" t="s">
        <v>15351</v>
      </c>
      <c r="V2109" s="1">
        <v>1</v>
      </c>
      <c r="W2109" s="1">
        <v>1</v>
      </c>
      <c r="X2109" s="1">
        <v>0</v>
      </c>
      <c r="Y2109" s="1">
        <v>0</v>
      </c>
      <c r="Z2109" s="1">
        <v>0</v>
      </c>
      <c r="AA2109" s="1">
        <v>7</v>
      </c>
      <c r="AB2109" s="1">
        <v>7</v>
      </c>
      <c r="AC2109" s="1" t="s">
        <v>109</v>
      </c>
      <c r="AD2109" s="1" t="s">
        <v>109</v>
      </c>
      <c r="AE2109" s="1" t="s">
        <v>109</v>
      </c>
      <c r="AF2109" s="1" t="s">
        <v>109</v>
      </c>
      <c r="AG2109" s="1" t="s">
        <v>109</v>
      </c>
      <c r="AH2109" s="1" t="s">
        <v>109</v>
      </c>
      <c r="AI2109" s="1" t="s">
        <v>109</v>
      </c>
      <c r="AJ2109" s="1">
        <v>7</v>
      </c>
      <c r="AK2109" s="1">
        <v>5</v>
      </c>
      <c r="AL2109" s="1" t="s">
        <v>109</v>
      </c>
      <c r="AM2109" s="1">
        <v>4</v>
      </c>
      <c r="AN2109" s="1" t="s">
        <v>109</v>
      </c>
      <c r="AO2109" s="1" t="s">
        <v>109</v>
      </c>
      <c r="AP2109" s="1"/>
      <c r="AQ2109" s="1">
        <v>7</v>
      </c>
      <c r="AR2109" s="1"/>
      <c r="AS2109" s="1" t="s">
        <v>15352</v>
      </c>
      <c r="AT2109" s="1">
        <v>0</v>
      </c>
      <c r="AU2109" s="1">
        <v>0</v>
      </c>
      <c r="AV2109" s="1">
        <v>0</v>
      </c>
      <c r="AW2109" s="1">
        <v>0</v>
      </c>
      <c r="AX2109" s="1">
        <v>0</v>
      </c>
      <c r="AY2109" s="1">
        <v>0</v>
      </c>
      <c r="AZ2109" s="1">
        <v>0</v>
      </c>
      <c r="BA2109" s="1">
        <v>0</v>
      </c>
      <c r="BB2109" s="1">
        <v>0</v>
      </c>
      <c r="BC2109" s="1">
        <v>0</v>
      </c>
      <c r="BD2109" s="1">
        <v>0</v>
      </c>
      <c r="BE2109" s="1">
        <v>0</v>
      </c>
      <c r="BF2109" s="1">
        <v>0</v>
      </c>
      <c r="BG2109" s="1">
        <v>0</v>
      </c>
      <c r="BH2109" s="1">
        <v>0</v>
      </c>
      <c r="BI2109" s="1">
        <v>0</v>
      </c>
      <c r="BJ2109" s="1">
        <v>0</v>
      </c>
      <c r="BK2109" s="1">
        <v>0</v>
      </c>
      <c r="BL2109" s="1">
        <v>0</v>
      </c>
      <c r="BM2109" s="1">
        <v>1</v>
      </c>
      <c r="BN2109" s="1">
        <v>1</v>
      </c>
      <c r="BO2109" s="1">
        <v>0</v>
      </c>
      <c r="BP2109" s="1">
        <v>0</v>
      </c>
      <c r="BQ2109" s="1">
        <v>0</v>
      </c>
      <c r="BR2109" s="1">
        <v>0</v>
      </c>
      <c r="BS2109" s="1" t="s">
        <v>109</v>
      </c>
      <c r="BT2109" s="1">
        <v>2196</v>
      </c>
      <c r="BU2109" s="1" t="s">
        <v>109</v>
      </c>
      <c r="BV2109" s="1"/>
      <c r="BW2109" s="1"/>
      <c r="BX2109" s="1"/>
      <c r="BY2109" s="1"/>
      <c r="BZ2109" s="1">
        <v>0</v>
      </c>
      <c r="CA2109" s="1" t="s">
        <v>109</v>
      </c>
      <c r="CB2109" s="1" t="s">
        <v>109</v>
      </c>
      <c r="CC2109" s="1">
        <v>6</v>
      </c>
      <c r="CD2109" s="1">
        <v>4</v>
      </c>
      <c r="CE2109" s="1">
        <v>5</v>
      </c>
      <c r="CF2109" s="1">
        <v>5</v>
      </c>
      <c r="CG2109" s="1">
        <v>5</v>
      </c>
      <c r="CH2109" s="1" t="s">
        <v>109</v>
      </c>
      <c r="CI2109" s="1" t="s">
        <v>109</v>
      </c>
      <c r="CJ2109" s="1" t="s">
        <v>109</v>
      </c>
      <c r="CK2109" s="1"/>
      <c r="CL2109" s="1">
        <v>0</v>
      </c>
      <c r="CM2109" s="1">
        <v>0</v>
      </c>
      <c r="CN2109" s="1">
        <v>0</v>
      </c>
    </row>
    <row r="2110" spans="1:92" ht="14.25" customHeight="1" x14ac:dyDescent="0.15">
      <c r="A2110" s="1" t="s">
        <v>15353</v>
      </c>
      <c r="B2110" s="1" t="s">
        <v>674</v>
      </c>
      <c r="C2110" s="1" t="s">
        <v>1715</v>
      </c>
      <c r="D2110" s="1" t="s">
        <v>158</v>
      </c>
      <c r="E2110" s="1" t="s">
        <v>15354</v>
      </c>
      <c r="F2110" s="1" t="s">
        <v>98</v>
      </c>
      <c r="G2110" s="1" t="s">
        <v>141</v>
      </c>
      <c r="H2110" s="1">
        <v>0</v>
      </c>
      <c r="I2110" s="1" t="s">
        <v>122</v>
      </c>
      <c r="J2110" s="1"/>
      <c r="K2110" s="1"/>
      <c r="L2110" s="1" t="s">
        <v>1391</v>
      </c>
      <c r="M2110" s="1" t="s">
        <v>3042</v>
      </c>
      <c r="N2110" s="1">
        <v>0</v>
      </c>
      <c r="O2110" s="1">
        <v>0</v>
      </c>
      <c r="P2110" s="1" t="s">
        <v>301</v>
      </c>
      <c r="Q2110" s="1" t="s">
        <v>268</v>
      </c>
      <c r="R2110" s="1" t="s">
        <v>15355</v>
      </c>
      <c r="S2110" s="1" t="s">
        <v>15356</v>
      </c>
      <c r="T2110" s="1" t="s">
        <v>14784</v>
      </c>
      <c r="U2110" s="1" t="s">
        <v>15357</v>
      </c>
      <c r="V2110" s="1">
        <v>1</v>
      </c>
      <c r="W2110" s="1">
        <v>1</v>
      </c>
      <c r="X2110" s="1">
        <v>0</v>
      </c>
      <c r="Y2110" s="1">
        <v>0</v>
      </c>
      <c r="Z2110" s="1">
        <v>0</v>
      </c>
      <c r="AA2110" s="1" t="s">
        <v>109</v>
      </c>
      <c r="AB2110" s="1" t="s">
        <v>109</v>
      </c>
      <c r="AC2110" s="1" t="s">
        <v>109</v>
      </c>
      <c r="AD2110" s="1" t="s">
        <v>109</v>
      </c>
      <c r="AE2110" s="1" t="s">
        <v>109</v>
      </c>
      <c r="AF2110" s="1" t="s">
        <v>109</v>
      </c>
      <c r="AG2110" s="1" t="s">
        <v>109</v>
      </c>
      <c r="AH2110" s="1" t="s">
        <v>109</v>
      </c>
      <c r="AI2110" s="1" t="s">
        <v>109</v>
      </c>
      <c r="AJ2110" s="1" t="s">
        <v>109</v>
      </c>
      <c r="AK2110" s="1" t="s">
        <v>109</v>
      </c>
      <c r="AL2110" s="1" t="s">
        <v>109</v>
      </c>
      <c r="AM2110" s="1" t="s">
        <v>109</v>
      </c>
      <c r="AN2110" s="1" t="s">
        <v>109</v>
      </c>
      <c r="AO2110" s="1" t="s">
        <v>109</v>
      </c>
      <c r="AP2110" s="1"/>
      <c r="AQ2110" s="1">
        <v>2</v>
      </c>
      <c r="AR2110" s="1"/>
      <c r="AS2110" s="1" t="s">
        <v>15358</v>
      </c>
      <c r="AT2110" s="1">
        <v>0</v>
      </c>
      <c r="AU2110" s="1">
        <v>0</v>
      </c>
      <c r="AV2110" s="1">
        <v>0</v>
      </c>
      <c r="AW2110" s="1">
        <v>0</v>
      </c>
      <c r="AX2110" s="1">
        <v>0</v>
      </c>
      <c r="AY2110" s="1">
        <v>0</v>
      </c>
      <c r="AZ2110" s="1">
        <v>0</v>
      </c>
      <c r="BA2110" s="1">
        <v>0</v>
      </c>
      <c r="BB2110" s="1">
        <v>0</v>
      </c>
      <c r="BC2110" s="1">
        <v>0</v>
      </c>
      <c r="BD2110" s="1">
        <v>0</v>
      </c>
      <c r="BE2110" s="1">
        <v>0</v>
      </c>
      <c r="BF2110" s="1">
        <v>0</v>
      </c>
      <c r="BG2110" s="1">
        <v>0</v>
      </c>
      <c r="BH2110" s="1">
        <v>0</v>
      </c>
      <c r="BI2110" s="1">
        <v>0</v>
      </c>
      <c r="BJ2110" s="1">
        <v>0</v>
      </c>
      <c r="BK2110" s="1">
        <v>0</v>
      </c>
      <c r="BL2110" s="1">
        <v>0</v>
      </c>
      <c r="BM2110" s="1">
        <v>1</v>
      </c>
      <c r="BN2110" s="1">
        <v>0</v>
      </c>
      <c r="BO2110" s="1">
        <v>0</v>
      </c>
      <c r="BP2110" s="1">
        <v>0</v>
      </c>
      <c r="BQ2110" s="1">
        <v>0</v>
      </c>
      <c r="BR2110" s="1">
        <v>0</v>
      </c>
      <c r="BS2110" s="1" t="s">
        <v>109</v>
      </c>
      <c r="BT2110" s="1">
        <v>2197</v>
      </c>
      <c r="BU2110" s="1" t="s">
        <v>109</v>
      </c>
      <c r="BV2110" s="1"/>
      <c r="BW2110" s="1"/>
      <c r="BX2110" s="1"/>
      <c r="BY2110" s="1"/>
      <c r="BZ2110" s="1">
        <v>0</v>
      </c>
      <c r="CA2110" s="1" t="s">
        <v>109</v>
      </c>
      <c r="CB2110" s="1" t="s">
        <v>109</v>
      </c>
      <c r="CC2110" s="1">
        <v>2</v>
      </c>
      <c r="CD2110" s="1">
        <v>2</v>
      </c>
      <c r="CE2110" s="1">
        <v>2</v>
      </c>
      <c r="CF2110" s="1">
        <v>2</v>
      </c>
      <c r="CG2110" s="1">
        <v>2</v>
      </c>
      <c r="CH2110" s="1" t="s">
        <v>109</v>
      </c>
      <c r="CI2110" s="1" t="s">
        <v>109</v>
      </c>
      <c r="CJ2110" s="1" t="s">
        <v>109</v>
      </c>
      <c r="CK2110" s="1"/>
      <c r="CL2110" s="1">
        <v>0</v>
      </c>
      <c r="CM2110" s="1">
        <v>0</v>
      </c>
      <c r="CN2110" s="1">
        <v>0</v>
      </c>
    </row>
    <row r="2111" spans="1:92" ht="14.25" customHeight="1" x14ac:dyDescent="0.15">
      <c r="A2111" s="1" t="s">
        <v>15359</v>
      </c>
      <c r="B2111" s="1" t="s">
        <v>242</v>
      </c>
      <c r="C2111" s="1"/>
      <c r="D2111" s="1"/>
      <c r="E2111" s="1" t="s">
        <v>15189</v>
      </c>
      <c r="F2111" s="1" t="s">
        <v>1963</v>
      </c>
      <c r="G2111" s="1" t="s">
        <v>333</v>
      </c>
      <c r="H2111" s="1">
        <v>0</v>
      </c>
      <c r="I2111" s="1" t="s">
        <v>915</v>
      </c>
      <c r="J2111" s="1" t="s">
        <v>7933</v>
      </c>
      <c r="K2111" s="1"/>
      <c r="L2111" s="1"/>
      <c r="M2111" s="1" t="s">
        <v>355</v>
      </c>
      <c r="N2111" s="1">
        <v>0</v>
      </c>
      <c r="O2111" s="1">
        <v>0</v>
      </c>
      <c r="P2111" s="1" t="s">
        <v>103</v>
      </c>
      <c r="Q2111" s="1" t="s">
        <v>167</v>
      </c>
      <c r="R2111" s="1" t="s">
        <v>15360</v>
      </c>
      <c r="S2111" s="1" t="s">
        <v>15361</v>
      </c>
      <c r="T2111" s="1" t="s">
        <v>14784</v>
      </c>
      <c r="U2111" s="1" t="s">
        <v>15362</v>
      </c>
      <c r="V2111" s="1">
        <v>1</v>
      </c>
      <c r="W2111" s="1">
        <v>0</v>
      </c>
      <c r="X2111" s="1">
        <v>0</v>
      </c>
      <c r="Y2111" s="1">
        <v>0</v>
      </c>
      <c r="Z2111" s="1">
        <v>0</v>
      </c>
      <c r="AA2111" s="1" t="s">
        <v>109</v>
      </c>
      <c r="AB2111" s="1" t="s">
        <v>109</v>
      </c>
      <c r="AC2111" s="1" t="s">
        <v>109</v>
      </c>
      <c r="AD2111" s="1" t="s">
        <v>109</v>
      </c>
      <c r="AE2111" s="1" t="s">
        <v>109</v>
      </c>
      <c r="AF2111" s="1" t="s">
        <v>109</v>
      </c>
      <c r="AG2111" s="1" t="s">
        <v>109</v>
      </c>
      <c r="AH2111" s="1" t="s">
        <v>109</v>
      </c>
      <c r="AI2111" s="1" t="s">
        <v>109</v>
      </c>
      <c r="AJ2111" s="1" t="s">
        <v>109</v>
      </c>
      <c r="AK2111" s="1" t="s">
        <v>109</v>
      </c>
      <c r="AL2111" s="1" t="s">
        <v>109</v>
      </c>
      <c r="AM2111" s="1" t="s">
        <v>109</v>
      </c>
      <c r="AN2111" s="1" t="s">
        <v>109</v>
      </c>
      <c r="AO2111" s="1" t="s">
        <v>109</v>
      </c>
      <c r="AP2111" s="1"/>
      <c r="AQ2111" s="1">
        <v>4</v>
      </c>
      <c r="AR2111" s="1"/>
      <c r="AS2111" s="1" t="s">
        <v>15363</v>
      </c>
      <c r="AT2111" s="1">
        <v>0</v>
      </c>
      <c r="AU2111" s="1">
        <v>0</v>
      </c>
      <c r="AV2111" s="1">
        <v>0</v>
      </c>
      <c r="AW2111" s="1">
        <v>0</v>
      </c>
      <c r="AX2111" s="1">
        <v>0</v>
      </c>
      <c r="AY2111" s="1">
        <v>0</v>
      </c>
      <c r="AZ2111" s="1">
        <v>0</v>
      </c>
      <c r="BA2111" s="1">
        <v>0</v>
      </c>
      <c r="BB2111" s="1">
        <v>0</v>
      </c>
      <c r="BC2111" s="1">
        <v>0</v>
      </c>
      <c r="BD2111" s="1">
        <v>0</v>
      </c>
      <c r="BE2111" s="1">
        <v>0</v>
      </c>
      <c r="BF2111" s="1">
        <v>0</v>
      </c>
      <c r="BG2111" s="1">
        <v>0</v>
      </c>
      <c r="BH2111" s="1">
        <v>0</v>
      </c>
      <c r="BI2111" s="1">
        <v>0</v>
      </c>
      <c r="BJ2111" s="1">
        <v>0</v>
      </c>
      <c r="BK2111" s="1">
        <v>0</v>
      </c>
      <c r="BL2111" s="1">
        <v>0</v>
      </c>
      <c r="BM2111" s="1">
        <v>0</v>
      </c>
      <c r="BN2111" s="1">
        <v>0</v>
      </c>
      <c r="BO2111" s="1">
        <v>0</v>
      </c>
      <c r="BP2111" s="1">
        <v>0</v>
      </c>
      <c r="BQ2111" s="1">
        <v>0</v>
      </c>
      <c r="BR2111" s="1">
        <v>0</v>
      </c>
      <c r="BS2111" s="1" t="s">
        <v>109</v>
      </c>
      <c r="BT2111" s="1">
        <v>2198</v>
      </c>
      <c r="BU2111" s="1" t="s">
        <v>109</v>
      </c>
      <c r="BV2111" s="1" t="s">
        <v>15364</v>
      </c>
      <c r="BW2111" s="1"/>
      <c r="BX2111" s="1"/>
      <c r="BY2111" s="1"/>
      <c r="BZ2111" s="1">
        <v>0</v>
      </c>
      <c r="CA2111" s="1" t="s">
        <v>109</v>
      </c>
      <c r="CB2111" s="1" t="s">
        <v>109</v>
      </c>
      <c r="CC2111" s="1">
        <v>4</v>
      </c>
      <c r="CD2111" s="1" t="s">
        <v>109</v>
      </c>
      <c r="CE2111" s="1" t="s">
        <v>109</v>
      </c>
      <c r="CF2111" s="1" t="s">
        <v>109</v>
      </c>
      <c r="CG2111" s="1" t="s">
        <v>109</v>
      </c>
      <c r="CH2111" s="1" t="s">
        <v>109</v>
      </c>
      <c r="CI2111" s="1" t="s">
        <v>109</v>
      </c>
      <c r="CJ2111" s="1" t="s">
        <v>109</v>
      </c>
      <c r="CK2111" s="1"/>
      <c r="CL2111" s="1">
        <v>0</v>
      </c>
      <c r="CM2111" s="1">
        <v>0</v>
      </c>
      <c r="CN2111" s="1">
        <v>0</v>
      </c>
    </row>
    <row r="2112" spans="1:92" ht="14.25" customHeight="1" x14ac:dyDescent="0.15">
      <c r="A2112" s="1" t="s">
        <v>15365</v>
      </c>
      <c r="B2112" s="1" t="s">
        <v>242</v>
      </c>
      <c r="C2112" s="1"/>
      <c r="D2112" s="1"/>
      <c r="E2112" s="1" t="s">
        <v>15195</v>
      </c>
      <c r="F2112" s="1" t="s">
        <v>1963</v>
      </c>
      <c r="G2112" s="1" t="s">
        <v>333</v>
      </c>
      <c r="H2112" s="1">
        <v>0</v>
      </c>
      <c r="I2112" s="1" t="s">
        <v>915</v>
      </c>
      <c r="J2112" s="1" t="s">
        <v>7933</v>
      </c>
      <c r="K2112" s="1"/>
      <c r="L2112" s="1"/>
      <c r="M2112" s="1" t="s">
        <v>355</v>
      </c>
      <c r="N2112" s="1">
        <v>0</v>
      </c>
      <c r="O2112" s="1">
        <v>0</v>
      </c>
      <c r="P2112" s="1" t="s">
        <v>103</v>
      </c>
      <c r="Q2112" s="1" t="s">
        <v>167</v>
      </c>
      <c r="R2112" s="1" t="s">
        <v>15366</v>
      </c>
      <c r="S2112" s="1" t="s">
        <v>15367</v>
      </c>
      <c r="T2112" s="1" t="s">
        <v>14784</v>
      </c>
      <c r="U2112" s="1" t="s">
        <v>15368</v>
      </c>
      <c r="V2112" s="1">
        <v>1</v>
      </c>
      <c r="W2112" s="1">
        <v>0</v>
      </c>
      <c r="X2112" s="1">
        <v>0</v>
      </c>
      <c r="Y2112" s="1">
        <v>0</v>
      </c>
      <c r="Z2112" s="1">
        <v>0</v>
      </c>
      <c r="AA2112" s="1" t="s">
        <v>109</v>
      </c>
      <c r="AB2112" s="1" t="s">
        <v>109</v>
      </c>
      <c r="AC2112" s="1" t="s">
        <v>109</v>
      </c>
      <c r="AD2112" s="1" t="s">
        <v>109</v>
      </c>
      <c r="AE2112" s="1" t="s">
        <v>109</v>
      </c>
      <c r="AF2112" s="1" t="s">
        <v>109</v>
      </c>
      <c r="AG2112" s="1" t="s">
        <v>109</v>
      </c>
      <c r="AH2112" s="1" t="s">
        <v>109</v>
      </c>
      <c r="AI2112" s="1" t="s">
        <v>109</v>
      </c>
      <c r="AJ2112" s="1" t="s">
        <v>109</v>
      </c>
      <c r="AK2112" s="1" t="s">
        <v>109</v>
      </c>
      <c r="AL2112" s="1" t="s">
        <v>109</v>
      </c>
      <c r="AM2112" s="1" t="s">
        <v>109</v>
      </c>
      <c r="AN2112" s="1" t="s">
        <v>109</v>
      </c>
      <c r="AO2112" s="1" t="s">
        <v>109</v>
      </c>
      <c r="AP2112" s="1"/>
      <c r="AQ2112" s="1">
        <v>5</v>
      </c>
      <c r="AR2112" s="1"/>
      <c r="AS2112" s="1" t="s">
        <v>15369</v>
      </c>
      <c r="AT2112" s="1">
        <v>0</v>
      </c>
      <c r="AU2112" s="1">
        <v>0</v>
      </c>
      <c r="AV2112" s="1">
        <v>0</v>
      </c>
      <c r="AW2112" s="1">
        <v>0</v>
      </c>
      <c r="AX2112" s="1">
        <v>0</v>
      </c>
      <c r="AY2112" s="1">
        <v>0</v>
      </c>
      <c r="AZ2112" s="1">
        <v>0</v>
      </c>
      <c r="BA2112" s="1">
        <v>0</v>
      </c>
      <c r="BB2112" s="1">
        <v>0</v>
      </c>
      <c r="BC2112" s="1">
        <v>0</v>
      </c>
      <c r="BD2112" s="1">
        <v>0</v>
      </c>
      <c r="BE2112" s="1">
        <v>0</v>
      </c>
      <c r="BF2112" s="1">
        <v>0</v>
      </c>
      <c r="BG2112" s="1">
        <v>0</v>
      </c>
      <c r="BH2112" s="1">
        <v>0</v>
      </c>
      <c r="BI2112" s="1">
        <v>0</v>
      </c>
      <c r="BJ2112" s="1">
        <v>0</v>
      </c>
      <c r="BK2112" s="1">
        <v>0</v>
      </c>
      <c r="BL2112" s="1">
        <v>0</v>
      </c>
      <c r="BM2112" s="1">
        <v>0</v>
      </c>
      <c r="BN2112" s="1">
        <v>0</v>
      </c>
      <c r="BO2112" s="1">
        <v>0</v>
      </c>
      <c r="BP2112" s="1">
        <v>0</v>
      </c>
      <c r="BQ2112" s="1">
        <v>0</v>
      </c>
      <c r="BR2112" s="1">
        <v>0</v>
      </c>
      <c r="BS2112" s="1" t="s">
        <v>109</v>
      </c>
      <c r="BT2112" s="1">
        <v>2199</v>
      </c>
      <c r="BU2112" s="1" t="s">
        <v>109</v>
      </c>
      <c r="BV2112" s="1"/>
      <c r="BW2112" s="1"/>
      <c r="BX2112" s="1"/>
      <c r="BY2112" s="1"/>
      <c r="BZ2112" s="1">
        <v>0</v>
      </c>
      <c r="CA2112" s="1" t="s">
        <v>109</v>
      </c>
      <c r="CB2112" s="1" t="s">
        <v>109</v>
      </c>
      <c r="CC2112" s="1">
        <v>5</v>
      </c>
      <c r="CD2112" s="1" t="s">
        <v>109</v>
      </c>
      <c r="CE2112" s="1" t="s">
        <v>109</v>
      </c>
      <c r="CF2112" s="1" t="s">
        <v>109</v>
      </c>
      <c r="CG2112" s="1" t="s">
        <v>109</v>
      </c>
      <c r="CH2112" s="1" t="s">
        <v>109</v>
      </c>
      <c r="CI2112" s="1" t="s">
        <v>109</v>
      </c>
      <c r="CJ2112" s="1" t="s">
        <v>109</v>
      </c>
      <c r="CK2112" s="1"/>
      <c r="CL2112" s="1">
        <v>0</v>
      </c>
      <c r="CM2112" s="1">
        <v>0</v>
      </c>
      <c r="CN2112" s="1">
        <v>0</v>
      </c>
    </row>
    <row r="2113" spans="1:92" ht="14.25" customHeight="1" x14ac:dyDescent="0.15">
      <c r="A2113" s="1" t="s">
        <v>15370</v>
      </c>
      <c r="B2113" s="1" t="s">
        <v>242</v>
      </c>
      <c r="C2113" s="1"/>
      <c r="D2113" s="1"/>
      <c r="E2113" s="1" t="s">
        <v>15201</v>
      </c>
      <c r="F2113" s="1" t="s">
        <v>1963</v>
      </c>
      <c r="G2113" s="1" t="s">
        <v>333</v>
      </c>
      <c r="H2113" s="1">
        <v>0</v>
      </c>
      <c r="I2113" s="1" t="s">
        <v>915</v>
      </c>
      <c r="J2113" s="1" t="s">
        <v>7933</v>
      </c>
      <c r="K2113" s="1"/>
      <c r="L2113" s="1"/>
      <c r="M2113" s="1" t="s">
        <v>355</v>
      </c>
      <c r="N2113" s="1">
        <v>0</v>
      </c>
      <c r="O2113" s="1">
        <v>0</v>
      </c>
      <c r="P2113" s="1" t="s">
        <v>103</v>
      </c>
      <c r="Q2113" s="1" t="s">
        <v>167</v>
      </c>
      <c r="R2113" s="1" t="s">
        <v>15371</v>
      </c>
      <c r="S2113" s="1" t="s">
        <v>15372</v>
      </c>
      <c r="T2113" s="1" t="s">
        <v>14784</v>
      </c>
      <c r="U2113" s="1" t="s">
        <v>15373</v>
      </c>
      <c r="V2113" s="1">
        <v>1</v>
      </c>
      <c r="W2113" s="1">
        <v>0</v>
      </c>
      <c r="X2113" s="1">
        <v>0</v>
      </c>
      <c r="Y2113" s="1">
        <v>0</v>
      </c>
      <c r="Z2113" s="1">
        <v>0</v>
      </c>
      <c r="AA2113" s="1" t="s">
        <v>109</v>
      </c>
      <c r="AB2113" s="1" t="s">
        <v>109</v>
      </c>
      <c r="AC2113" s="1" t="s">
        <v>109</v>
      </c>
      <c r="AD2113" s="1" t="s">
        <v>109</v>
      </c>
      <c r="AE2113" s="1" t="s">
        <v>109</v>
      </c>
      <c r="AF2113" s="1" t="s">
        <v>109</v>
      </c>
      <c r="AG2113" s="1" t="s">
        <v>109</v>
      </c>
      <c r="AH2113" s="1" t="s">
        <v>109</v>
      </c>
      <c r="AI2113" s="1" t="s">
        <v>109</v>
      </c>
      <c r="AJ2113" s="1" t="s">
        <v>109</v>
      </c>
      <c r="AK2113" s="1" t="s">
        <v>109</v>
      </c>
      <c r="AL2113" s="1" t="s">
        <v>109</v>
      </c>
      <c r="AM2113" s="1" t="s">
        <v>109</v>
      </c>
      <c r="AN2113" s="1" t="s">
        <v>109</v>
      </c>
      <c r="AO2113" s="1" t="s">
        <v>109</v>
      </c>
      <c r="AP2113" s="1"/>
      <c r="AQ2113" s="1">
        <v>6</v>
      </c>
      <c r="AR2113" s="1"/>
      <c r="AS2113" s="1" t="s">
        <v>15374</v>
      </c>
      <c r="AT2113" s="1">
        <v>0</v>
      </c>
      <c r="AU2113" s="1">
        <v>0</v>
      </c>
      <c r="AV2113" s="1">
        <v>0</v>
      </c>
      <c r="AW2113" s="1">
        <v>0</v>
      </c>
      <c r="AX2113" s="1">
        <v>0</v>
      </c>
      <c r="AY2113" s="1">
        <v>0</v>
      </c>
      <c r="AZ2113" s="1">
        <v>0</v>
      </c>
      <c r="BA2113" s="1">
        <v>0</v>
      </c>
      <c r="BB2113" s="1">
        <v>0</v>
      </c>
      <c r="BC2113" s="1">
        <v>0</v>
      </c>
      <c r="BD2113" s="1">
        <v>0</v>
      </c>
      <c r="BE2113" s="1">
        <v>0</v>
      </c>
      <c r="BF2113" s="1">
        <v>0</v>
      </c>
      <c r="BG2113" s="1">
        <v>0</v>
      </c>
      <c r="BH2113" s="1">
        <v>0</v>
      </c>
      <c r="BI2113" s="1">
        <v>0</v>
      </c>
      <c r="BJ2113" s="1">
        <v>0</v>
      </c>
      <c r="BK2113" s="1">
        <v>0</v>
      </c>
      <c r="BL2113" s="1">
        <v>0</v>
      </c>
      <c r="BM2113" s="1">
        <v>0</v>
      </c>
      <c r="BN2113" s="1">
        <v>0</v>
      </c>
      <c r="BO2113" s="1">
        <v>0</v>
      </c>
      <c r="BP2113" s="1">
        <v>0</v>
      </c>
      <c r="BQ2113" s="1">
        <v>0</v>
      </c>
      <c r="BR2113" s="1">
        <v>0</v>
      </c>
      <c r="BS2113" s="1" t="s">
        <v>109</v>
      </c>
      <c r="BT2113" s="1">
        <v>2200</v>
      </c>
      <c r="BU2113" s="1" t="s">
        <v>109</v>
      </c>
      <c r="BV2113" s="1"/>
      <c r="BW2113" s="1"/>
      <c r="BX2113" s="1"/>
      <c r="BY2113" s="1"/>
      <c r="BZ2113" s="1">
        <v>0</v>
      </c>
      <c r="CA2113" s="1" t="s">
        <v>109</v>
      </c>
      <c r="CB2113" s="1" t="s">
        <v>109</v>
      </c>
      <c r="CC2113" s="1">
        <v>6</v>
      </c>
      <c r="CD2113" s="1" t="s">
        <v>109</v>
      </c>
      <c r="CE2113" s="1" t="s">
        <v>109</v>
      </c>
      <c r="CF2113" s="1" t="s">
        <v>109</v>
      </c>
      <c r="CG2113" s="1" t="s">
        <v>109</v>
      </c>
      <c r="CH2113" s="1" t="s">
        <v>109</v>
      </c>
      <c r="CI2113" s="1" t="s">
        <v>109</v>
      </c>
      <c r="CJ2113" s="1" t="s">
        <v>109</v>
      </c>
      <c r="CK2113" s="1"/>
      <c r="CL2113" s="1">
        <v>0</v>
      </c>
      <c r="CM2113" s="1">
        <v>0</v>
      </c>
      <c r="CN2113" s="1">
        <v>0</v>
      </c>
    </row>
    <row r="2114" spans="1:92" ht="14.25" customHeight="1" x14ac:dyDescent="0.15">
      <c r="A2114" s="1" t="s">
        <v>15375</v>
      </c>
      <c r="B2114" s="1" t="s">
        <v>242</v>
      </c>
      <c r="C2114" s="1"/>
      <c r="D2114" s="1"/>
      <c r="E2114" s="1" t="s">
        <v>15304</v>
      </c>
      <c r="F2114" s="1" t="s">
        <v>1963</v>
      </c>
      <c r="G2114" s="1" t="s">
        <v>333</v>
      </c>
      <c r="H2114" s="1">
        <v>0</v>
      </c>
      <c r="I2114" s="1" t="s">
        <v>235</v>
      </c>
      <c r="J2114" s="1"/>
      <c r="K2114" s="1"/>
      <c r="L2114" s="1" t="s">
        <v>236</v>
      </c>
      <c r="M2114" s="1" t="s">
        <v>355</v>
      </c>
      <c r="N2114" s="1">
        <v>0</v>
      </c>
      <c r="O2114" s="1">
        <v>0</v>
      </c>
      <c r="P2114" s="1"/>
      <c r="Q2114" s="1"/>
      <c r="R2114" s="1" t="s">
        <v>15376</v>
      </c>
      <c r="S2114" s="1" t="s">
        <v>15377</v>
      </c>
      <c r="T2114" s="1" t="s">
        <v>14784</v>
      </c>
      <c r="U2114" s="1" t="s">
        <v>15378</v>
      </c>
      <c r="V2114" s="1">
        <v>1</v>
      </c>
      <c r="W2114" s="1">
        <v>0</v>
      </c>
      <c r="X2114" s="1">
        <v>0</v>
      </c>
      <c r="Y2114" s="1">
        <v>0</v>
      </c>
      <c r="Z2114" s="1">
        <v>0</v>
      </c>
      <c r="AA2114" s="1" t="s">
        <v>109</v>
      </c>
      <c r="AB2114" s="1" t="s">
        <v>109</v>
      </c>
      <c r="AC2114" s="1" t="s">
        <v>109</v>
      </c>
      <c r="AD2114" s="1" t="s">
        <v>109</v>
      </c>
      <c r="AE2114" s="1" t="s">
        <v>109</v>
      </c>
      <c r="AF2114" s="1" t="s">
        <v>109</v>
      </c>
      <c r="AG2114" s="1" t="s">
        <v>109</v>
      </c>
      <c r="AH2114" s="1" t="s">
        <v>109</v>
      </c>
      <c r="AI2114" s="1" t="s">
        <v>109</v>
      </c>
      <c r="AJ2114" s="1" t="s">
        <v>109</v>
      </c>
      <c r="AK2114" s="1" t="s">
        <v>109</v>
      </c>
      <c r="AL2114" s="1" t="s">
        <v>109</v>
      </c>
      <c r="AM2114" s="1" t="s">
        <v>109</v>
      </c>
      <c r="AN2114" s="1" t="s">
        <v>109</v>
      </c>
      <c r="AO2114" s="1" t="s">
        <v>109</v>
      </c>
      <c r="AP2114" s="1"/>
      <c r="AQ2114" s="1">
        <v>2</v>
      </c>
      <c r="AR2114" s="1"/>
      <c r="AS2114" s="1" t="s">
        <v>15379</v>
      </c>
      <c r="AT2114" s="1">
        <v>0</v>
      </c>
      <c r="AU2114" s="1">
        <v>0</v>
      </c>
      <c r="AV2114" s="1">
        <v>0</v>
      </c>
      <c r="AW2114" s="1">
        <v>0</v>
      </c>
      <c r="AX2114" s="1">
        <v>0</v>
      </c>
      <c r="AY2114" s="1">
        <v>0</v>
      </c>
      <c r="AZ2114" s="1">
        <v>0</v>
      </c>
      <c r="BA2114" s="1">
        <v>0</v>
      </c>
      <c r="BB2114" s="1">
        <v>0</v>
      </c>
      <c r="BC2114" s="1">
        <v>0</v>
      </c>
      <c r="BD2114" s="1">
        <v>0</v>
      </c>
      <c r="BE2114" s="1">
        <v>0</v>
      </c>
      <c r="BF2114" s="1">
        <v>0</v>
      </c>
      <c r="BG2114" s="1">
        <v>0</v>
      </c>
      <c r="BH2114" s="1">
        <v>0</v>
      </c>
      <c r="BI2114" s="1">
        <v>0</v>
      </c>
      <c r="BJ2114" s="1">
        <v>0</v>
      </c>
      <c r="BK2114" s="1">
        <v>0</v>
      </c>
      <c r="BL2114" s="1">
        <v>0</v>
      </c>
      <c r="BM2114" s="1">
        <v>0</v>
      </c>
      <c r="BN2114" s="1">
        <v>0</v>
      </c>
      <c r="BO2114" s="1">
        <v>0</v>
      </c>
      <c r="BP2114" s="1">
        <v>0</v>
      </c>
      <c r="BQ2114" s="1">
        <v>0</v>
      </c>
      <c r="BR2114" s="1">
        <v>0</v>
      </c>
      <c r="BS2114" s="1" t="s">
        <v>109</v>
      </c>
      <c r="BT2114" s="1">
        <v>2201</v>
      </c>
      <c r="BU2114" s="1" t="s">
        <v>109</v>
      </c>
      <c r="BV2114" s="1"/>
      <c r="BW2114" s="1"/>
      <c r="BX2114" s="1"/>
      <c r="BY2114" s="1"/>
      <c r="BZ2114" s="1">
        <v>0</v>
      </c>
      <c r="CA2114" s="1" t="s">
        <v>109</v>
      </c>
      <c r="CB2114" s="1" t="s">
        <v>109</v>
      </c>
      <c r="CC2114" s="1">
        <v>2</v>
      </c>
      <c r="CD2114" s="1" t="s">
        <v>109</v>
      </c>
      <c r="CE2114" s="1" t="s">
        <v>109</v>
      </c>
      <c r="CF2114" s="1" t="s">
        <v>109</v>
      </c>
      <c r="CG2114" s="1" t="s">
        <v>109</v>
      </c>
      <c r="CH2114" s="1" t="s">
        <v>109</v>
      </c>
      <c r="CI2114" s="1" t="s">
        <v>109</v>
      </c>
      <c r="CJ2114" s="1" t="s">
        <v>109</v>
      </c>
      <c r="CK2114" s="1"/>
      <c r="CL2114" s="1">
        <v>0</v>
      </c>
      <c r="CM2114" s="1">
        <v>0</v>
      </c>
      <c r="CN2114" s="1">
        <v>0</v>
      </c>
    </row>
    <row r="2115" spans="1:92" ht="14.25" customHeight="1" x14ac:dyDescent="0.15">
      <c r="A2115" s="1" t="s">
        <v>15380</v>
      </c>
      <c r="B2115" s="1" t="s">
        <v>242</v>
      </c>
      <c r="C2115" s="1"/>
      <c r="D2115" s="1"/>
      <c r="E2115" s="1" t="s">
        <v>15182</v>
      </c>
      <c r="F2115" s="1" t="s">
        <v>1963</v>
      </c>
      <c r="G2115" s="1" t="s">
        <v>333</v>
      </c>
      <c r="H2115" s="1">
        <v>0</v>
      </c>
      <c r="I2115" s="1" t="s">
        <v>235</v>
      </c>
      <c r="J2115" s="1"/>
      <c r="K2115" s="1"/>
      <c r="L2115" s="1" t="s">
        <v>236</v>
      </c>
      <c r="M2115" s="1" t="s">
        <v>355</v>
      </c>
      <c r="N2115" s="1">
        <v>0</v>
      </c>
      <c r="O2115" s="1">
        <v>0</v>
      </c>
      <c r="P2115" s="1"/>
      <c r="Q2115" s="1"/>
      <c r="R2115" s="1" t="s">
        <v>15381</v>
      </c>
      <c r="S2115" s="1" t="s">
        <v>15382</v>
      </c>
      <c r="T2115" s="1" t="s">
        <v>14784</v>
      </c>
      <c r="U2115" s="1" t="s">
        <v>15383</v>
      </c>
      <c r="V2115" s="1">
        <v>1</v>
      </c>
      <c r="W2115" s="1">
        <v>0</v>
      </c>
      <c r="X2115" s="1">
        <v>0</v>
      </c>
      <c r="Y2115" s="1">
        <v>0</v>
      </c>
      <c r="Z2115" s="1">
        <v>0</v>
      </c>
      <c r="AA2115" s="1" t="s">
        <v>109</v>
      </c>
      <c r="AB2115" s="1" t="s">
        <v>109</v>
      </c>
      <c r="AC2115" s="1" t="s">
        <v>109</v>
      </c>
      <c r="AD2115" s="1" t="s">
        <v>109</v>
      </c>
      <c r="AE2115" s="1" t="s">
        <v>109</v>
      </c>
      <c r="AF2115" s="1" t="s">
        <v>109</v>
      </c>
      <c r="AG2115" s="1" t="s">
        <v>109</v>
      </c>
      <c r="AH2115" s="1" t="s">
        <v>109</v>
      </c>
      <c r="AI2115" s="1" t="s">
        <v>109</v>
      </c>
      <c r="AJ2115" s="1" t="s">
        <v>109</v>
      </c>
      <c r="AK2115" s="1" t="s">
        <v>109</v>
      </c>
      <c r="AL2115" s="1" t="s">
        <v>109</v>
      </c>
      <c r="AM2115" s="1" t="s">
        <v>109</v>
      </c>
      <c r="AN2115" s="1" t="s">
        <v>109</v>
      </c>
      <c r="AO2115" s="1" t="s">
        <v>109</v>
      </c>
      <c r="AP2115" s="1"/>
      <c r="AQ2115" s="1">
        <v>3</v>
      </c>
      <c r="AR2115" s="1"/>
      <c r="AS2115" s="1" t="s">
        <v>15384</v>
      </c>
      <c r="AT2115" s="1">
        <v>0</v>
      </c>
      <c r="AU2115" s="1">
        <v>0</v>
      </c>
      <c r="AV2115" s="1">
        <v>0</v>
      </c>
      <c r="AW2115" s="1">
        <v>0</v>
      </c>
      <c r="AX2115" s="1">
        <v>0</v>
      </c>
      <c r="AY2115" s="1">
        <v>0</v>
      </c>
      <c r="AZ2115" s="1">
        <v>0</v>
      </c>
      <c r="BA2115" s="1">
        <v>0</v>
      </c>
      <c r="BB2115" s="1">
        <v>0</v>
      </c>
      <c r="BC2115" s="1">
        <v>0</v>
      </c>
      <c r="BD2115" s="1">
        <v>0</v>
      </c>
      <c r="BE2115" s="1">
        <v>0</v>
      </c>
      <c r="BF2115" s="1">
        <v>0</v>
      </c>
      <c r="BG2115" s="1">
        <v>0</v>
      </c>
      <c r="BH2115" s="1">
        <v>0</v>
      </c>
      <c r="BI2115" s="1">
        <v>0</v>
      </c>
      <c r="BJ2115" s="1">
        <v>0</v>
      </c>
      <c r="BK2115" s="1">
        <v>0</v>
      </c>
      <c r="BL2115" s="1">
        <v>0</v>
      </c>
      <c r="BM2115" s="1">
        <v>0</v>
      </c>
      <c r="BN2115" s="1">
        <v>0</v>
      </c>
      <c r="BO2115" s="1">
        <v>0</v>
      </c>
      <c r="BP2115" s="1">
        <v>0</v>
      </c>
      <c r="BQ2115" s="1">
        <v>0</v>
      </c>
      <c r="BR2115" s="1">
        <v>0</v>
      </c>
      <c r="BS2115" s="1" t="s">
        <v>109</v>
      </c>
      <c r="BT2115" s="1">
        <v>2202</v>
      </c>
      <c r="BU2115" s="1" t="s">
        <v>109</v>
      </c>
      <c r="BV2115" s="1"/>
      <c r="BW2115" s="1"/>
      <c r="BX2115" s="1"/>
      <c r="BY2115" s="1"/>
      <c r="BZ2115" s="1">
        <v>0</v>
      </c>
      <c r="CA2115" s="1" t="s">
        <v>109</v>
      </c>
      <c r="CB2115" s="1" t="s">
        <v>109</v>
      </c>
      <c r="CC2115" s="1">
        <v>3</v>
      </c>
      <c r="CD2115" s="1" t="s">
        <v>109</v>
      </c>
      <c r="CE2115" s="1" t="s">
        <v>109</v>
      </c>
      <c r="CF2115" s="1" t="s">
        <v>109</v>
      </c>
      <c r="CG2115" s="1" t="s">
        <v>109</v>
      </c>
      <c r="CH2115" s="1" t="s">
        <v>109</v>
      </c>
      <c r="CI2115" s="1" t="s">
        <v>109</v>
      </c>
      <c r="CJ2115" s="1" t="s">
        <v>109</v>
      </c>
      <c r="CK2115" s="1"/>
      <c r="CL2115" s="1">
        <v>0</v>
      </c>
      <c r="CM2115" s="1">
        <v>0</v>
      </c>
      <c r="CN2115" s="1">
        <v>0</v>
      </c>
    </row>
    <row r="2116" spans="1:92" ht="14.25" customHeight="1" x14ac:dyDescent="0.15">
      <c r="A2116" s="1" t="s">
        <v>15385</v>
      </c>
      <c r="B2116" s="1" t="s">
        <v>242</v>
      </c>
      <c r="C2116" s="1"/>
      <c r="D2116" s="1"/>
      <c r="E2116" s="1" t="s">
        <v>15189</v>
      </c>
      <c r="F2116" s="1" t="s">
        <v>1963</v>
      </c>
      <c r="G2116" s="1" t="s">
        <v>333</v>
      </c>
      <c r="H2116" s="1">
        <v>0</v>
      </c>
      <c r="I2116" s="1" t="s">
        <v>235</v>
      </c>
      <c r="J2116" s="1"/>
      <c r="K2116" s="1"/>
      <c r="L2116" s="1" t="s">
        <v>236</v>
      </c>
      <c r="M2116" s="1" t="s">
        <v>355</v>
      </c>
      <c r="N2116" s="1">
        <v>0</v>
      </c>
      <c r="O2116" s="1">
        <v>0</v>
      </c>
      <c r="P2116" s="1"/>
      <c r="Q2116" s="1"/>
      <c r="R2116" s="1" t="s">
        <v>15386</v>
      </c>
      <c r="S2116" s="1" t="s">
        <v>15387</v>
      </c>
      <c r="T2116" s="1" t="s">
        <v>14784</v>
      </c>
      <c r="U2116" s="1" t="s">
        <v>15388</v>
      </c>
      <c r="V2116" s="1">
        <v>1</v>
      </c>
      <c r="W2116" s="1">
        <v>0</v>
      </c>
      <c r="X2116" s="1">
        <v>0</v>
      </c>
      <c r="Y2116" s="1">
        <v>0</v>
      </c>
      <c r="Z2116" s="1">
        <v>0</v>
      </c>
      <c r="AA2116" s="1" t="s">
        <v>109</v>
      </c>
      <c r="AB2116" s="1" t="s">
        <v>109</v>
      </c>
      <c r="AC2116" s="1" t="s">
        <v>109</v>
      </c>
      <c r="AD2116" s="1" t="s">
        <v>109</v>
      </c>
      <c r="AE2116" s="1" t="s">
        <v>109</v>
      </c>
      <c r="AF2116" s="1" t="s">
        <v>109</v>
      </c>
      <c r="AG2116" s="1" t="s">
        <v>109</v>
      </c>
      <c r="AH2116" s="1" t="s">
        <v>109</v>
      </c>
      <c r="AI2116" s="1" t="s">
        <v>109</v>
      </c>
      <c r="AJ2116" s="1" t="s">
        <v>109</v>
      </c>
      <c r="AK2116" s="1" t="s">
        <v>109</v>
      </c>
      <c r="AL2116" s="1" t="s">
        <v>109</v>
      </c>
      <c r="AM2116" s="1" t="s">
        <v>109</v>
      </c>
      <c r="AN2116" s="1" t="s">
        <v>109</v>
      </c>
      <c r="AO2116" s="1" t="s">
        <v>109</v>
      </c>
      <c r="AP2116" s="1"/>
      <c r="AQ2116" s="1">
        <v>4</v>
      </c>
      <c r="AR2116" s="1"/>
      <c r="AS2116" s="1" t="s">
        <v>15389</v>
      </c>
      <c r="AT2116" s="1">
        <v>0</v>
      </c>
      <c r="AU2116" s="1">
        <v>0</v>
      </c>
      <c r="AV2116" s="1">
        <v>0</v>
      </c>
      <c r="AW2116" s="1">
        <v>0</v>
      </c>
      <c r="AX2116" s="1">
        <v>0</v>
      </c>
      <c r="AY2116" s="1">
        <v>0</v>
      </c>
      <c r="AZ2116" s="1">
        <v>0</v>
      </c>
      <c r="BA2116" s="1">
        <v>0</v>
      </c>
      <c r="BB2116" s="1">
        <v>0</v>
      </c>
      <c r="BC2116" s="1">
        <v>0</v>
      </c>
      <c r="BD2116" s="1">
        <v>0</v>
      </c>
      <c r="BE2116" s="1">
        <v>0</v>
      </c>
      <c r="BF2116" s="1">
        <v>0</v>
      </c>
      <c r="BG2116" s="1">
        <v>0</v>
      </c>
      <c r="BH2116" s="1">
        <v>0</v>
      </c>
      <c r="BI2116" s="1">
        <v>0</v>
      </c>
      <c r="BJ2116" s="1">
        <v>0</v>
      </c>
      <c r="BK2116" s="1">
        <v>0</v>
      </c>
      <c r="BL2116" s="1">
        <v>0</v>
      </c>
      <c r="BM2116" s="1">
        <v>0</v>
      </c>
      <c r="BN2116" s="1">
        <v>0</v>
      </c>
      <c r="BO2116" s="1">
        <v>0</v>
      </c>
      <c r="BP2116" s="1">
        <v>0</v>
      </c>
      <c r="BQ2116" s="1">
        <v>0</v>
      </c>
      <c r="BR2116" s="1">
        <v>0</v>
      </c>
      <c r="BS2116" s="1" t="s">
        <v>109</v>
      </c>
      <c r="BT2116" s="1">
        <v>2203</v>
      </c>
      <c r="BU2116" s="1" t="s">
        <v>109</v>
      </c>
      <c r="BV2116" s="1"/>
      <c r="BW2116" s="1"/>
      <c r="BX2116" s="1"/>
      <c r="BY2116" s="1"/>
      <c r="BZ2116" s="1">
        <v>0</v>
      </c>
      <c r="CA2116" s="1" t="s">
        <v>109</v>
      </c>
      <c r="CB2116" s="1" t="s">
        <v>109</v>
      </c>
      <c r="CC2116" s="1">
        <v>4</v>
      </c>
      <c r="CD2116" s="1" t="s">
        <v>109</v>
      </c>
      <c r="CE2116" s="1" t="s">
        <v>109</v>
      </c>
      <c r="CF2116" s="1" t="s">
        <v>109</v>
      </c>
      <c r="CG2116" s="1" t="s">
        <v>109</v>
      </c>
      <c r="CH2116" s="1" t="s">
        <v>109</v>
      </c>
      <c r="CI2116" s="1" t="s">
        <v>109</v>
      </c>
      <c r="CJ2116" s="1" t="s">
        <v>109</v>
      </c>
      <c r="CK2116" s="1"/>
      <c r="CL2116" s="1">
        <v>0</v>
      </c>
      <c r="CM2116" s="1">
        <v>0</v>
      </c>
      <c r="CN2116" s="1">
        <v>0</v>
      </c>
    </row>
    <row r="2117" spans="1:92" ht="14.25" customHeight="1" x14ac:dyDescent="0.15">
      <c r="A2117" s="1" t="s">
        <v>15390</v>
      </c>
      <c r="B2117" s="1" t="s">
        <v>242</v>
      </c>
      <c r="C2117" s="1"/>
      <c r="D2117" s="1"/>
      <c r="E2117" s="1" t="s">
        <v>15195</v>
      </c>
      <c r="F2117" s="1" t="s">
        <v>1963</v>
      </c>
      <c r="G2117" s="1" t="s">
        <v>333</v>
      </c>
      <c r="H2117" s="1">
        <v>0</v>
      </c>
      <c r="I2117" s="1" t="s">
        <v>235</v>
      </c>
      <c r="J2117" s="1"/>
      <c r="K2117" s="1"/>
      <c r="L2117" s="1" t="s">
        <v>236</v>
      </c>
      <c r="M2117" s="1" t="s">
        <v>355</v>
      </c>
      <c r="N2117" s="1">
        <v>0</v>
      </c>
      <c r="O2117" s="1">
        <v>0</v>
      </c>
      <c r="P2117" s="1"/>
      <c r="Q2117" s="1"/>
      <c r="R2117" s="1" t="s">
        <v>15391</v>
      </c>
      <c r="S2117" s="1" t="s">
        <v>15392</v>
      </c>
      <c r="T2117" s="1" t="s">
        <v>14784</v>
      </c>
      <c r="U2117" s="1" t="s">
        <v>15393</v>
      </c>
      <c r="V2117" s="1">
        <v>1</v>
      </c>
      <c r="W2117" s="1">
        <v>0</v>
      </c>
      <c r="X2117" s="1">
        <v>0</v>
      </c>
      <c r="Y2117" s="1">
        <v>0</v>
      </c>
      <c r="Z2117" s="1">
        <v>0</v>
      </c>
      <c r="AA2117" s="1" t="s">
        <v>109</v>
      </c>
      <c r="AB2117" s="1" t="s">
        <v>109</v>
      </c>
      <c r="AC2117" s="1" t="s">
        <v>109</v>
      </c>
      <c r="AD2117" s="1" t="s">
        <v>109</v>
      </c>
      <c r="AE2117" s="1" t="s">
        <v>109</v>
      </c>
      <c r="AF2117" s="1" t="s">
        <v>109</v>
      </c>
      <c r="AG2117" s="1" t="s">
        <v>109</v>
      </c>
      <c r="AH2117" s="1" t="s">
        <v>109</v>
      </c>
      <c r="AI2117" s="1" t="s">
        <v>109</v>
      </c>
      <c r="AJ2117" s="1" t="s">
        <v>109</v>
      </c>
      <c r="AK2117" s="1" t="s">
        <v>109</v>
      </c>
      <c r="AL2117" s="1" t="s">
        <v>109</v>
      </c>
      <c r="AM2117" s="1" t="s">
        <v>109</v>
      </c>
      <c r="AN2117" s="1" t="s">
        <v>109</v>
      </c>
      <c r="AO2117" s="1" t="s">
        <v>109</v>
      </c>
      <c r="AP2117" s="1"/>
      <c r="AQ2117" s="1">
        <v>5</v>
      </c>
      <c r="AR2117" s="1"/>
      <c r="AS2117" s="1" t="s">
        <v>15394</v>
      </c>
      <c r="AT2117" s="1">
        <v>0</v>
      </c>
      <c r="AU2117" s="1">
        <v>0</v>
      </c>
      <c r="AV2117" s="1">
        <v>0</v>
      </c>
      <c r="AW2117" s="1">
        <v>0</v>
      </c>
      <c r="AX2117" s="1">
        <v>0</v>
      </c>
      <c r="AY2117" s="1">
        <v>0</v>
      </c>
      <c r="AZ2117" s="1">
        <v>0</v>
      </c>
      <c r="BA2117" s="1">
        <v>0</v>
      </c>
      <c r="BB2117" s="1">
        <v>0</v>
      </c>
      <c r="BC2117" s="1">
        <v>0</v>
      </c>
      <c r="BD2117" s="1">
        <v>0</v>
      </c>
      <c r="BE2117" s="1">
        <v>0</v>
      </c>
      <c r="BF2117" s="1">
        <v>0</v>
      </c>
      <c r="BG2117" s="1">
        <v>0</v>
      </c>
      <c r="BH2117" s="1">
        <v>0</v>
      </c>
      <c r="BI2117" s="1">
        <v>0</v>
      </c>
      <c r="BJ2117" s="1">
        <v>0</v>
      </c>
      <c r="BK2117" s="1">
        <v>0</v>
      </c>
      <c r="BL2117" s="1">
        <v>0</v>
      </c>
      <c r="BM2117" s="1">
        <v>0</v>
      </c>
      <c r="BN2117" s="1">
        <v>0</v>
      </c>
      <c r="BO2117" s="1">
        <v>0</v>
      </c>
      <c r="BP2117" s="1">
        <v>0</v>
      </c>
      <c r="BQ2117" s="1">
        <v>0</v>
      </c>
      <c r="BR2117" s="1">
        <v>0</v>
      </c>
      <c r="BS2117" s="1" t="s">
        <v>109</v>
      </c>
      <c r="BT2117" s="1">
        <v>2204</v>
      </c>
      <c r="BU2117" s="1" t="s">
        <v>109</v>
      </c>
      <c r="BV2117" s="1"/>
      <c r="BW2117" s="1"/>
      <c r="BX2117" s="1"/>
      <c r="BY2117" s="1"/>
      <c r="BZ2117" s="1">
        <v>0</v>
      </c>
      <c r="CA2117" s="1" t="s">
        <v>109</v>
      </c>
      <c r="CB2117" s="1" t="s">
        <v>109</v>
      </c>
      <c r="CC2117" s="1">
        <v>5</v>
      </c>
      <c r="CD2117" s="1" t="s">
        <v>109</v>
      </c>
      <c r="CE2117" s="1" t="s">
        <v>109</v>
      </c>
      <c r="CF2117" s="1" t="s">
        <v>109</v>
      </c>
      <c r="CG2117" s="1" t="s">
        <v>109</v>
      </c>
      <c r="CH2117" s="1" t="s">
        <v>109</v>
      </c>
      <c r="CI2117" s="1" t="s">
        <v>109</v>
      </c>
      <c r="CJ2117" s="1" t="s">
        <v>109</v>
      </c>
      <c r="CK2117" s="1"/>
      <c r="CL2117" s="1">
        <v>0</v>
      </c>
      <c r="CM2117" s="1">
        <v>0</v>
      </c>
      <c r="CN2117" s="1">
        <v>0</v>
      </c>
    </row>
    <row r="2118" spans="1:92" ht="14.25" customHeight="1" x14ac:dyDescent="0.15">
      <c r="A2118" s="1" t="s">
        <v>15395</v>
      </c>
      <c r="B2118" s="1" t="s">
        <v>242</v>
      </c>
      <c r="C2118" s="1"/>
      <c r="D2118" s="1"/>
      <c r="E2118" s="1" t="s">
        <v>15201</v>
      </c>
      <c r="F2118" s="1" t="s">
        <v>1963</v>
      </c>
      <c r="G2118" s="1" t="s">
        <v>333</v>
      </c>
      <c r="H2118" s="1">
        <v>0</v>
      </c>
      <c r="I2118" s="1" t="s">
        <v>235</v>
      </c>
      <c r="J2118" s="1"/>
      <c r="K2118" s="1"/>
      <c r="L2118" s="1" t="s">
        <v>236</v>
      </c>
      <c r="M2118" s="1" t="s">
        <v>355</v>
      </c>
      <c r="N2118" s="1">
        <v>0</v>
      </c>
      <c r="O2118" s="1">
        <v>0</v>
      </c>
      <c r="P2118" s="1"/>
      <c r="Q2118" s="1"/>
      <c r="R2118" s="1" t="s">
        <v>15396</v>
      </c>
      <c r="S2118" s="1" t="s">
        <v>15397</v>
      </c>
      <c r="T2118" s="1" t="s">
        <v>14784</v>
      </c>
      <c r="U2118" s="1" t="s">
        <v>15398</v>
      </c>
      <c r="V2118" s="1">
        <v>1</v>
      </c>
      <c r="W2118" s="1">
        <v>0</v>
      </c>
      <c r="X2118" s="1">
        <v>0</v>
      </c>
      <c r="Y2118" s="1">
        <v>0</v>
      </c>
      <c r="Z2118" s="1">
        <v>0</v>
      </c>
      <c r="AA2118" s="1" t="s">
        <v>109</v>
      </c>
      <c r="AB2118" s="1" t="s">
        <v>109</v>
      </c>
      <c r="AC2118" s="1" t="s">
        <v>109</v>
      </c>
      <c r="AD2118" s="1" t="s">
        <v>109</v>
      </c>
      <c r="AE2118" s="1" t="s">
        <v>109</v>
      </c>
      <c r="AF2118" s="1" t="s">
        <v>109</v>
      </c>
      <c r="AG2118" s="1" t="s">
        <v>109</v>
      </c>
      <c r="AH2118" s="1" t="s">
        <v>109</v>
      </c>
      <c r="AI2118" s="1" t="s">
        <v>109</v>
      </c>
      <c r="AJ2118" s="1" t="s">
        <v>109</v>
      </c>
      <c r="AK2118" s="1" t="s">
        <v>109</v>
      </c>
      <c r="AL2118" s="1" t="s">
        <v>109</v>
      </c>
      <c r="AM2118" s="1" t="s">
        <v>109</v>
      </c>
      <c r="AN2118" s="1" t="s">
        <v>109</v>
      </c>
      <c r="AO2118" s="1" t="s">
        <v>109</v>
      </c>
      <c r="AP2118" s="1"/>
      <c r="AQ2118" s="1">
        <v>6</v>
      </c>
      <c r="AR2118" s="1"/>
      <c r="AS2118" s="1" t="s">
        <v>15399</v>
      </c>
      <c r="AT2118" s="1">
        <v>0</v>
      </c>
      <c r="AU2118" s="1">
        <v>0</v>
      </c>
      <c r="AV2118" s="1">
        <v>0</v>
      </c>
      <c r="AW2118" s="1">
        <v>0</v>
      </c>
      <c r="AX2118" s="1">
        <v>0</v>
      </c>
      <c r="AY2118" s="1">
        <v>0</v>
      </c>
      <c r="AZ2118" s="1">
        <v>0</v>
      </c>
      <c r="BA2118" s="1">
        <v>0</v>
      </c>
      <c r="BB2118" s="1">
        <v>0</v>
      </c>
      <c r="BC2118" s="1">
        <v>0</v>
      </c>
      <c r="BD2118" s="1">
        <v>0</v>
      </c>
      <c r="BE2118" s="1">
        <v>0</v>
      </c>
      <c r="BF2118" s="1">
        <v>0</v>
      </c>
      <c r="BG2118" s="1">
        <v>0</v>
      </c>
      <c r="BH2118" s="1">
        <v>0</v>
      </c>
      <c r="BI2118" s="1">
        <v>0</v>
      </c>
      <c r="BJ2118" s="1">
        <v>0</v>
      </c>
      <c r="BK2118" s="1">
        <v>0</v>
      </c>
      <c r="BL2118" s="1">
        <v>0</v>
      </c>
      <c r="BM2118" s="1">
        <v>0</v>
      </c>
      <c r="BN2118" s="1">
        <v>0</v>
      </c>
      <c r="BO2118" s="1">
        <v>0</v>
      </c>
      <c r="BP2118" s="1">
        <v>0</v>
      </c>
      <c r="BQ2118" s="1">
        <v>0</v>
      </c>
      <c r="BR2118" s="1">
        <v>0</v>
      </c>
      <c r="BS2118" s="1" t="s">
        <v>109</v>
      </c>
      <c r="BT2118" s="1">
        <v>2205</v>
      </c>
      <c r="BU2118" s="1" t="s">
        <v>109</v>
      </c>
      <c r="BV2118" s="1" t="s">
        <v>15400</v>
      </c>
      <c r="BW2118" s="1"/>
      <c r="BX2118" s="1"/>
      <c r="BY2118" s="1"/>
      <c r="BZ2118" s="1">
        <v>0</v>
      </c>
      <c r="CA2118" s="1" t="s">
        <v>109</v>
      </c>
      <c r="CB2118" s="1" t="s">
        <v>109</v>
      </c>
      <c r="CC2118" s="1">
        <v>6</v>
      </c>
      <c r="CD2118" s="1" t="s">
        <v>109</v>
      </c>
      <c r="CE2118" s="1" t="s">
        <v>109</v>
      </c>
      <c r="CF2118" s="1" t="s">
        <v>109</v>
      </c>
      <c r="CG2118" s="1" t="s">
        <v>109</v>
      </c>
      <c r="CH2118" s="1" t="s">
        <v>109</v>
      </c>
      <c r="CI2118" s="1" t="s">
        <v>109</v>
      </c>
      <c r="CJ2118" s="1" t="s">
        <v>109</v>
      </c>
      <c r="CK2118" s="1"/>
      <c r="CL2118" s="1">
        <v>0</v>
      </c>
      <c r="CM2118" s="1">
        <v>0</v>
      </c>
      <c r="CN2118" s="1">
        <v>0</v>
      </c>
    </row>
    <row r="2119" spans="1:92" ht="14.25" customHeight="1" x14ac:dyDescent="0.15">
      <c r="A2119" s="1" t="s">
        <v>15401</v>
      </c>
      <c r="B2119" s="1" t="s">
        <v>254</v>
      </c>
      <c r="C2119" s="1"/>
      <c r="D2119" s="1" t="s">
        <v>158</v>
      </c>
      <c r="E2119" s="1" t="s">
        <v>15402</v>
      </c>
      <c r="F2119" s="1" t="s">
        <v>98</v>
      </c>
      <c r="G2119" s="1" t="s">
        <v>333</v>
      </c>
      <c r="H2119" s="1">
        <v>0</v>
      </c>
      <c r="I2119" s="1" t="s">
        <v>142</v>
      </c>
      <c r="J2119" s="1"/>
      <c r="K2119" s="1"/>
      <c r="L2119" s="1" t="s">
        <v>1391</v>
      </c>
      <c r="M2119" s="1" t="s">
        <v>574</v>
      </c>
      <c r="N2119" s="1">
        <v>1</v>
      </c>
      <c r="O2119" s="1">
        <v>0</v>
      </c>
      <c r="P2119" s="1" t="s">
        <v>301</v>
      </c>
      <c r="Q2119" s="1" t="s">
        <v>268</v>
      </c>
      <c r="R2119" s="1" t="s">
        <v>15403</v>
      </c>
      <c r="S2119" s="1" t="s">
        <v>15404</v>
      </c>
      <c r="T2119" s="1" t="s">
        <v>14784</v>
      </c>
      <c r="U2119" s="1" t="s">
        <v>15405</v>
      </c>
      <c r="V2119" s="1">
        <v>1</v>
      </c>
      <c r="W2119" s="1">
        <v>0</v>
      </c>
      <c r="X2119" s="1">
        <v>0</v>
      </c>
      <c r="Y2119" s="1">
        <v>0</v>
      </c>
      <c r="Z2119" s="1">
        <v>0</v>
      </c>
      <c r="AA2119" s="1" t="s">
        <v>109</v>
      </c>
      <c r="AB2119" s="1" t="s">
        <v>109</v>
      </c>
      <c r="AC2119" s="1" t="s">
        <v>109</v>
      </c>
      <c r="AD2119" s="1" t="s">
        <v>109</v>
      </c>
      <c r="AE2119" s="1" t="s">
        <v>109</v>
      </c>
      <c r="AF2119" s="1">
        <v>2</v>
      </c>
      <c r="AG2119" s="1" t="s">
        <v>109</v>
      </c>
      <c r="AH2119" s="1" t="s">
        <v>109</v>
      </c>
      <c r="AI2119" s="1" t="s">
        <v>109</v>
      </c>
      <c r="AJ2119" s="1" t="s">
        <v>109</v>
      </c>
      <c r="AK2119" s="1" t="s">
        <v>109</v>
      </c>
      <c r="AL2119" s="1" t="s">
        <v>109</v>
      </c>
      <c r="AM2119" s="1" t="s">
        <v>109</v>
      </c>
      <c r="AN2119" s="1" t="s">
        <v>109</v>
      </c>
      <c r="AO2119" s="1" t="s">
        <v>109</v>
      </c>
      <c r="AP2119" s="1"/>
      <c r="AQ2119" s="1">
        <v>2</v>
      </c>
      <c r="AR2119" s="1"/>
      <c r="AS2119" s="1" t="s">
        <v>15406</v>
      </c>
      <c r="AT2119" s="1">
        <v>0</v>
      </c>
      <c r="AU2119" s="1">
        <v>0</v>
      </c>
      <c r="AV2119" s="1">
        <v>0</v>
      </c>
      <c r="AW2119" s="1">
        <v>0</v>
      </c>
      <c r="AX2119" s="1">
        <v>0</v>
      </c>
      <c r="AY2119" s="1">
        <v>0</v>
      </c>
      <c r="AZ2119" s="1">
        <v>0</v>
      </c>
      <c r="BA2119" s="1">
        <v>0</v>
      </c>
      <c r="BB2119" s="1">
        <v>0</v>
      </c>
      <c r="BC2119" s="1">
        <v>0</v>
      </c>
      <c r="BD2119" s="1">
        <v>0</v>
      </c>
      <c r="BE2119" s="1">
        <v>0</v>
      </c>
      <c r="BF2119" s="1">
        <v>0</v>
      </c>
      <c r="BG2119" s="1">
        <v>0</v>
      </c>
      <c r="BH2119" s="1">
        <v>0</v>
      </c>
      <c r="BI2119" s="1">
        <v>0</v>
      </c>
      <c r="BJ2119" s="1">
        <v>0</v>
      </c>
      <c r="BK2119" s="1">
        <v>0</v>
      </c>
      <c r="BL2119" s="1">
        <v>0</v>
      </c>
      <c r="BM2119" s="1">
        <v>1</v>
      </c>
      <c r="BN2119" s="1">
        <v>0</v>
      </c>
      <c r="BO2119" s="1">
        <v>0</v>
      </c>
      <c r="BP2119" s="1">
        <v>0</v>
      </c>
      <c r="BQ2119" s="1">
        <v>0</v>
      </c>
      <c r="BR2119" s="1">
        <v>0</v>
      </c>
      <c r="BS2119" s="1" t="s">
        <v>109</v>
      </c>
      <c r="BT2119" s="1">
        <v>2206</v>
      </c>
      <c r="BU2119" s="1" t="s">
        <v>109</v>
      </c>
      <c r="BV2119" s="1"/>
      <c r="BW2119" s="1" t="s">
        <v>15407</v>
      </c>
      <c r="BX2119" s="1"/>
      <c r="BY2119" s="1"/>
      <c r="BZ2119" s="1">
        <v>0</v>
      </c>
      <c r="CA2119" s="1" t="s">
        <v>109</v>
      </c>
      <c r="CB2119" s="1" t="s">
        <v>109</v>
      </c>
      <c r="CC2119" s="1">
        <v>2</v>
      </c>
      <c r="CD2119" s="1" t="s">
        <v>109</v>
      </c>
      <c r="CE2119" s="1">
        <v>1</v>
      </c>
      <c r="CF2119" s="1" t="s">
        <v>109</v>
      </c>
      <c r="CG2119" s="1" t="s">
        <v>109</v>
      </c>
      <c r="CH2119" s="1" t="s">
        <v>109</v>
      </c>
      <c r="CI2119" s="1" t="s">
        <v>109</v>
      </c>
      <c r="CJ2119" s="1" t="s">
        <v>109</v>
      </c>
      <c r="CK2119" s="1"/>
      <c r="CL2119" s="1">
        <v>0</v>
      </c>
      <c r="CM2119" s="1">
        <v>0</v>
      </c>
      <c r="CN2119" s="1">
        <v>0</v>
      </c>
    </row>
    <row r="2120" spans="1:92" ht="14.25" customHeight="1" x14ac:dyDescent="0.15">
      <c r="A2120" s="1" t="s">
        <v>15408</v>
      </c>
      <c r="B2120" s="1" t="s">
        <v>674</v>
      </c>
      <c r="C2120" s="1" t="s">
        <v>1715</v>
      </c>
      <c r="D2120" s="1" t="s">
        <v>158</v>
      </c>
      <c r="E2120" s="1" t="s">
        <v>14781</v>
      </c>
      <c r="F2120" s="1" t="s">
        <v>98</v>
      </c>
      <c r="G2120" s="1" t="s">
        <v>141</v>
      </c>
      <c r="H2120" s="1">
        <v>0</v>
      </c>
      <c r="I2120" s="1" t="s">
        <v>142</v>
      </c>
      <c r="J2120" s="1"/>
      <c r="K2120" s="1"/>
      <c r="L2120" s="1" t="s">
        <v>15409</v>
      </c>
      <c r="M2120" s="1" t="s">
        <v>408</v>
      </c>
      <c r="N2120" s="1">
        <v>0</v>
      </c>
      <c r="O2120" s="1">
        <v>0</v>
      </c>
      <c r="P2120" s="1" t="s">
        <v>7902</v>
      </c>
      <c r="Q2120" s="1" t="s">
        <v>268</v>
      </c>
      <c r="R2120" s="1" t="s">
        <v>15410</v>
      </c>
      <c r="S2120" s="1" t="s">
        <v>15411</v>
      </c>
      <c r="T2120" s="1" t="s">
        <v>14784</v>
      </c>
      <c r="U2120" s="1" t="s">
        <v>15412</v>
      </c>
      <c r="V2120" s="1">
        <v>1</v>
      </c>
      <c r="W2120" s="1">
        <v>1</v>
      </c>
      <c r="X2120" s="1">
        <v>0</v>
      </c>
      <c r="Y2120" s="1">
        <v>0</v>
      </c>
      <c r="Z2120" s="1">
        <v>0</v>
      </c>
      <c r="AA2120" s="1" t="s">
        <v>109</v>
      </c>
      <c r="AB2120" s="1" t="s">
        <v>109</v>
      </c>
      <c r="AC2120" s="1" t="s">
        <v>109</v>
      </c>
      <c r="AD2120" s="1" t="s">
        <v>109</v>
      </c>
      <c r="AE2120" s="1" t="s">
        <v>109</v>
      </c>
      <c r="AF2120" s="1" t="s">
        <v>109</v>
      </c>
      <c r="AG2120" s="1" t="s">
        <v>109</v>
      </c>
      <c r="AH2120" s="1" t="s">
        <v>109</v>
      </c>
      <c r="AI2120" s="1" t="s">
        <v>109</v>
      </c>
      <c r="AJ2120" s="1" t="s">
        <v>109</v>
      </c>
      <c r="AK2120" s="1" t="s">
        <v>109</v>
      </c>
      <c r="AL2120" s="1" t="s">
        <v>109</v>
      </c>
      <c r="AM2120" s="1" t="s">
        <v>109</v>
      </c>
      <c r="AN2120" s="1" t="s">
        <v>109</v>
      </c>
      <c r="AO2120" s="1" t="s">
        <v>109</v>
      </c>
      <c r="AP2120" s="1"/>
      <c r="AQ2120" s="1">
        <v>9</v>
      </c>
      <c r="AR2120" s="1"/>
      <c r="AS2120" s="1" t="s">
        <v>15413</v>
      </c>
      <c r="AT2120" s="1">
        <v>0</v>
      </c>
      <c r="AU2120" s="1">
        <v>0</v>
      </c>
      <c r="AV2120" s="1">
        <v>0</v>
      </c>
      <c r="AW2120" s="1">
        <v>0</v>
      </c>
      <c r="AX2120" s="1">
        <v>0</v>
      </c>
      <c r="AY2120" s="1">
        <v>0</v>
      </c>
      <c r="AZ2120" s="1">
        <v>0</v>
      </c>
      <c r="BA2120" s="1">
        <v>0</v>
      </c>
      <c r="BB2120" s="1">
        <v>0</v>
      </c>
      <c r="BC2120" s="1">
        <v>0</v>
      </c>
      <c r="BD2120" s="1">
        <v>0</v>
      </c>
      <c r="BE2120" s="1">
        <v>0</v>
      </c>
      <c r="BF2120" s="1">
        <v>0</v>
      </c>
      <c r="BG2120" s="1">
        <v>0</v>
      </c>
      <c r="BH2120" s="1">
        <v>0</v>
      </c>
      <c r="BI2120" s="1">
        <v>0</v>
      </c>
      <c r="BJ2120" s="1">
        <v>0</v>
      </c>
      <c r="BK2120" s="1">
        <v>0</v>
      </c>
      <c r="BL2120" s="1">
        <v>0</v>
      </c>
      <c r="BM2120" s="1">
        <v>1</v>
      </c>
      <c r="BN2120" s="1">
        <v>0</v>
      </c>
      <c r="BO2120" s="1">
        <v>0</v>
      </c>
      <c r="BP2120" s="1">
        <v>0</v>
      </c>
      <c r="BQ2120" s="1">
        <v>0</v>
      </c>
      <c r="BR2120" s="1">
        <v>0</v>
      </c>
      <c r="BS2120" s="1" t="s">
        <v>109</v>
      </c>
      <c r="BT2120" s="1">
        <v>2207</v>
      </c>
      <c r="BU2120" s="1" t="s">
        <v>109</v>
      </c>
      <c r="BV2120" s="1" t="s">
        <v>15414</v>
      </c>
      <c r="BW2120" s="1" t="s">
        <v>15415</v>
      </c>
      <c r="BX2120" s="1"/>
      <c r="BY2120" s="1"/>
      <c r="BZ2120" s="1">
        <v>0</v>
      </c>
      <c r="CA2120" s="1" t="s">
        <v>109</v>
      </c>
      <c r="CB2120" s="1" t="s">
        <v>109</v>
      </c>
      <c r="CC2120" s="1">
        <v>9</v>
      </c>
      <c r="CD2120" s="1" t="s">
        <v>109</v>
      </c>
      <c r="CE2120" s="1" t="s">
        <v>109</v>
      </c>
      <c r="CF2120" s="1" t="s">
        <v>109</v>
      </c>
      <c r="CG2120" s="1" t="s">
        <v>109</v>
      </c>
      <c r="CH2120" s="1" t="s">
        <v>109</v>
      </c>
      <c r="CI2120" s="1" t="s">
        <v>109</v>
      </c>
      <c r="CJ2120" s="1" t="s">
        <v>109</v>
      </c>
      <c r="CK2120" s="1"/>
      <c r="CL2120" s="1">
        <v>0</v>
      </c>
      <c r="CM2120" s="1">
        <v>0</v>
      </c>
      <c r="CN2120" s="1">
        <v>0</v>
      </c>
    </row>
    <row r="2121" spans="1:92" ht="14.25" customHeight="1" x14ac:dyDescent="0.15">
      <c r="A2121" s="1" t="s">
        <v>15416</v>
      </c>
      <c r="B2121" s="1" t="s">
        <v>254</v>
      </c>
      <c r="C2121" s="1"/>
      <c r="D2121" s="1" t="s">
        <v>158</v>
      </c>
      <c r="E2121" s="1" t="s">
        <v>15417</v>
      </c>
      <c r="F2121" s="1" t="s">
        <v>277</v>
      </c>
      <c r="G2121" s="1" t="s">
        <v>141</v>
      </c>
      <c r="H2121" s="1">
        <v>0</v>
      </c>
      <c r="I2121" s="1" t="s">
        <v>142</v>
      </c>
      <c r="J2121" s="1"/>
      <c r="K2121" s="1"/>
      <c r="L2121" s="1" t="s">
        <v>1391</v>
      </c>
      <c r="M2121" s="1" t="s">
        <v>574</v>
      </c>
      <c r="N2121" s="1">
        <v>1</v>
      </c>
      <c r="O2121" s="1">
        <v>0</v>
      </c>
      <c r="P2121" s="1" t="s">
        <v>301</v>
      </c>
      <c r="Q2121" s="1" t="s">
        <v>268</v>
      </c>
      <c r="R2121" s="1" t="s">
        <v>15418</v>
      </c>
      <c r="S2121" s="1" t="s">
        <v>15419</v>
      </c>
      <c r="T2121" s="1" t="s">
        <v>14784</v>
      </c>
      <c r="U2121" s="1" t="s">
        <v>15420</v>
      </c>
      <c r="V2121" s="1">
        <v>1</v>
      </c>
      <c r="W2121" s="1">
        <v>1</v>
      </c>
      <c r="X2121" s="1">
        <v>0</v>
      </c>
      <c r="Y2121" s="1">
        <v>0</v>
      </c>
      <c r="Z2121" s="1">
        <v>0</v>
      </c>
      <c r="AA2121" s="1">
        <v>5</v>
      </c>
      <c r="AB2121" s="1">
        <v>5</v>
      </c>
      <c r="AC2121" s="1" t="s">
        <v>109</v>
      </c>
      <c r="AD2121" s="1" t="s">
        <v>109</v>
      </c>
      <c r="AE2121" s="1" t="s">
        <v>109</v>
      </c>
      <c r="AF2121" s="1" t="s">
        <v>109</v>
      </c>
      <c r="AG2121" s="1" t="s">
        <v>109</v>
      </c>
      <c r="AH2121" s="1" t="s">
        <v>109</v>
      </c>
      <c r="AI2121" s="1" t="s">
        <v>109</v>
      </c>
      <c r="AJ2121" s="1" t="s">
        <v>109</v>
      </c>
      <c r="AK2121" s="1" t="s">
        <v>109</v>
      </c>
      <c r="AL2121" s="1" t="s">
        <v>109</v>
      </c>
      <c r="AM2121" s="1" t="s">
        <v>109</v>
      </c>
      <c r="AN2121" s="1" t="s">
        <v>109</v>
      </c>
      <c r="AO2121" s="1" t="s">
        <v>109</v>
      </c>
      <c r="AP2121" s="1"/>
      <c r="AQ2121" s="1">
        <v>5</v>
      </c>
      <c r="AR2121" s="1"/>
      <c r="AS2121" s="1" t="s">
        <v>15421</v>
      </c>
      <c r="AT2121" s="1">
        <v>0</v>
      </c>
      <c r="AU2121" s="1">
        <v>0</v>
      </c>
      <c r="AV2121" s="1">
        <v>0</v>
      </c>
      <c r="AW2121" s="1">
        <v>0</v>
      </c>
      <c r="AX2121" s="1">
        <v>0</v>
      </c>
      <c r="AY2121" s="1">
        <v>0</v>
      </c>
      <c r="AZ2121" s="1">
        <v>0</v>
      </c>
      <c r="BA2121" s="1">
        <v>0</v>
      </c>
      <c r="BB2121" s="1">
        <v>0</v>
      </c>
      <c r="BC2121" s="1">
        <v>0</v>
      </c>
      <c r="BD2121" s="1">
        <v>0</v>
      </c>
      <c r="BE2121" s="1">
        <v>0</v>
      </c>
      <c r="BF2121" s="1">
        <v>0</v>
      </c>
      <c r="BG2121" s="1">
        <v>0</v>
      </c>
      <c r="BH2121" s="1">
        <v>0</v>
      </c>
      <c r="BI2121" s="1">
        <v>0</v>
      </c>
      <c r="BJ2121" s="1">
        <v>0</v>
      </c>
      <c r="BK2121" s="1">
        <v>0</v>
      </c>
      <c r="BL2121" s="1">
        <v>0</v>
      </c>
      <c r="BM2121" s="1">
        <v>1</v>
      </c>
      <c r="BN2121" s="1">
        <v>0</v>
      </c>
      <c r="BO2121" s="1">
        <v>0</v>
      </c>
      <c r="BP2121" s="1">
        <v>0</v>
      </c>
      <c r="BQ2121" s="1">
        <v>0</v>
      </c>
      <c r="BR2121" s="1">
        <v>0</v>
      </c>
      <c r="BS2121" s="1" t="s">
        <v>109</v>
      </c>
      <c r="BT2121" s="1">
        <v>2208</v>
      </c>
      <c r="BU2121" s="1" t="s">
        <v>109</v>
      </c>
      <c r="BV2121" s="1"/>
      <c r="BW2121" s="1"/>
      <c r="BX2121" s="1"/>
      <c r="BY2121" s="1"/>
      <c r="BZ2121" s="1">
        <v>0</v>
      </c>
      <c r="CA2121" s="1" t="s">
        <v>109</v>
      </c>
      <c r="CB2121" s="1" t="s">
        <v>109</v>
      </c>
      <c r="CC2121" s="1">
        <v>4</v>
      </c>
      <c r="CD2121" s="1">
        <v>3</v>
      </c>
      <c r="CE2121" s="1">
        <v>4</v>
      </c>
      <c r="CF2121" s="1">
        <v>4</v>
      </c>
      <c r="CG2121" s="1" t="s">
        <v>109</v>
      </c>
      <c r="CH2121" s="1" t="s">
        <v>109</v>
      </c>
      <c r="CI2121" s="1" t="s">
        <v>109</v>
      </c>
      <c r="CJ2121" s="1" t="s">
        <v>109</v>
      </c>
      <c r="CK2121" s="1"/>
      <c r="CL2121" s="1">
        <v>0</v>
      </c>
      <c r="CM2121" s="1">
        <v>0</v>
      </c>
      <c r="CN2121" s="1">
        <v>0</v>
      </c>
    </row>
    <row r="2122" spans="1:92" ht="14.25" customHeight="1" x14ac:dyDescent="0.15">
      <c r="A2122" s="1" t="s">
        <v>15422</v>
      </c>
      <c r="B2122" s="1" t="s">
        <v>156</v>
      </c>
      <c r="C2122" s="1" t="s">
        <v>157</v>
      </c>
      <c r="D2122" s="1" t="s">
        <v>158</v>
      </c>
      <c r="E2122" s="1" t="s">
        <v>15423</v>
      </c>
      <c r="F2122" s="1" t="s">
        <v>355</v>
      </c>
      <c r="G2122" s="1" t="s">
        <v>141</v>
      </c>
      <c r="H2122" s="1">
        <v>0</v>
      </c>
      <c r="I2122" s="1" t="s">
        <v>122</v>
      </c>
      <c r="J2122" s="1"/>
      <c r="K2122" s="1"/>
      <c r="L2122" s="1" t="s">
        <v>1391</v>
      </c>
      <c r="M2122" s="1" t="s">
        <v>815</v>
      </c>
      <c r="N2122" s="1">
        <v>1</v>
      </c>
      <c r="O2122" s="1">
        <v>0</v>
      </c>
      <c r="P2122" s="1" t="s">
        <v>301</v>
      </c>
      <c r="Q2122" s="1" t="s">
        <v>268</v>
      </c>
      <c r="R2122" s="1" t="s">
        <v>15424</v>
      </c>
      <c r="S2122" s="1" t="s">
        <v>15425</v>
      </c>
      <c r="T2122" s="1" t="s">
        <v>14784</v>
      </c>
      <c r="U2122" s="1" t="s">
        <v>15426</v>
      </c>
      <c r="V2122" s="1">
        <v>1</v>
      </c>
      <c r="W2122" s="1">
        <v>1</v>
      </c>
      <c r="X2122" s="1">
        <v>0</v>
      </c>
      <c r="Y2122" s="1">
        <v>0</v>
      </c>
      <c r="Z2122" s="1">
        <v>0</v>
      </c>
      <c r="AA2122" s="1">
        <v>6</v>
      </c>
      <c r="AB2122" s="1">
        <v>6</v>
      </c>
      <c r="AC2122" s="1" t="s">
        <v>109</v>
      </c>
      <c r="AD2122" s="1" t="s">
        <v>109</v>
      </c>
      <c r="AE2122" s="1" t="s">
        <v>109</v>
      </c>
      <c r="AF2122" s="1" t="s">
        <v>109</v>
      </c>
      <c r="AG2122" s="1" t="s">
        <v>109</v>
      </c>
      <c r="AH2122" s="1" t="s">
        <v>109</v>
      </c>
      <c r="AI2122" s="1">
        <v>5</v>
      </c>
      <c r="AJ2122" s="1">
        <v>6</v>
      </c>
      <c r="AK2122" s="1" t="s">
        <v>109</v>
      </c>
      <c r="AL2122" s="1" t="s">
        <v>109</v>
      </c>
      <c r="AM2122" s="1" t="s">
        <v>109</v>
      </c>
      <c r="AN2122" s="1" t="s">
        <v>109</v>
      </c>
      <c r="AO2122" s="1" t="s">
        <v>109</v>
      </c>
      <c r="AP2122" s="1"/>
      <c r="AQ2122" s="1">
        <v>6</v>
      </c>
      <c r="AR2122" s="1"/>
      <c r="AS2122" s="1" t="s">
        <v>15427</v>
      </c>
      <c r="AT2122" s="1">
        <v>0</v>
      </c>
      <c r="AU2122" s="1">
        <v>0</v>
      </c>
      <c r="AV2122" s="1">
        <v>0</v>
      </c>
      <c r="AW2122" s="1">
        <v>0</v>
      </c>
      <c r="AX2122" s="1">
        <v>0</v>
      </c>
      <c r="AY2122" s="1">
        <v>0</v>
      </c>
      <c r="AZ2122" s="1">
        <v>0</v>
      </c>
      <c r="BA2122" s="1">
        <v>0</v>
      </c>
      <c r="BB2122" s="1">
        <v>0</v>
      </c>
      <c r="BC2122" s="1">
        <v>0</v>
      </c>
      <c r="BD2122" s="1">
        <v>0</v>
      </c>
      <c r="BE2122" s="1">
        <v>0</v>
      </c>
      <c r="BF2122" s="1">
        <v>0</v>
      </c>
      <c r="BG2122" s="1">
        <v>0</v>
      </c>
      <c r="BH2122" s="1">
        <v>0</v>
      </c>
      <c r="BI2122" s="1">
        <v>0</v>
      </c>
      <c r="BJ2122" s="1">
        <v>0</v>
      </c>
      <c r="BK2122" s="1">
        <v>0</v>
      </c>
      <c r="BL2122" s="1">
        <v>0</v>
      </c>
      <c r="BM2122" s="1">
        <v>1</v>
      </c>
      <c r="BN2122" s="1">
        <v>0</v>
      </c>
      <c r="BO2122" s="1">
        <v>0</v>
      </c>
      <c r="BP2122" s="1">
        <v>0</v>
      </c>
      <c r="BQ2122" s="1">
        <v>0</v>
      </c>
      <c r="BR2122" s="1">
        <v>0</v>
      </c>
      <c r="BS2122" s="1" t="s">
        <v>109</v>
      </c>
      <c r="BT2122" s="1">
        <v>2209</v>
      </c>
      <c r="BU2122" s="1" t="s">
        <v>109</v>
      </c>
      <c r="BV2122" s="1"/>
      <c r="BW2122" s="1"/>
      <c r="BX2122" s="1"/>
      <c r="BY2122" s="1"/>
      <c r="BZ2122" s="1">
        <v>0</v>
      </c>
      <c r="CA2122" s="1" t="s">
        <v>109</v>
      </c>
      <c r="CB2122" s="1" t="s">
        <v>109</v>
      </c>
      <c r="CC2122" s="1">
        <v>5</v>
      </c>
      <c r="CD2122" s="1">
        <v>3</v>
      </c>
      <c r="CE2122" s="1">
        <v>5</v>
      </c>
      <c r="CF2122" s="1">
        <v>4</v>
      </c>
      <c r="CG2122" s="1">
        <v>4</v>
      </c>
      <c r="CH2122" s="1" t="s">
        <v>109</v>
      </c>
      <c r="CI2122" s="1" t="s">
        <v>109</v>
      </c>
      <c r="CJ2122" s="1" t="s">
        <v>109</v>
      </c>
      <c r="CK2122" s="1"/>
      <c r="CL2122" s="1">
        <v>0</v>
      </c>
      <c r="CM2122" s="1">
        <v>0</v>
      </c>
      <c r="CN2122" s="1">
        <v>0</v>
      </c>
    </row>
    <row r="2123" spans="1:92" ht="14.25" customHeight="1" x14ac:dyDescent="0.15">
      <c r="A2123" s="1" t="s">
        <v>15428</v>
      </c>
      <c r="B2123" s="1" t="s">
        <v>156</v>
      </c>
      <c r="C2123" s="1" t="s">
        <v>157</v>
      </c>
      <c r="D2123" s="1" t="s">
        <v>158</v>
      </c>
      <c r="E2123" s="1" t="s">
        <v>14781</v>
      </c>
      <c r="F2123" s="1" t="s">
        <v>277</v>
      </c>
      <c r="G2123" s="1" t="s">
        <v>15429</v>
      </c>
      <c r="H2123" s="1">
        <v>1</v>
      </c>
      <c r="I2123" s="1" t="s">
        <v>122</v>
      </c>
      <c r="J2123" s="1"/>
      <c r="K2123" s="1"/>
      <c r="L2123" s="1" t="s">
        <v>15430</v>
      </c>
      <c r="M2123" s="1" t="s">
        <v>144</v>
      </c>
      <c r="N2123" s="1">
        <v>0</v>
      </c>
      <c r="O2123" s="1">
        <v>0</v>
      </c>
      <c r="P2123" s="1" t="s">
        <v>301</v>
      </c>
      <c r="Q2123" s="1" t="s">
        <v>268</v>
      </c>
      <c r="R2123" s="1" t="s">
        <v>15431</v>
      </c>
      <c r="S2123" s="1" t="s">
        <v>15432</v>
      </c>
      <c r="T2123" s="1" t="s">
        <v>14784</v>
      </c>
      <c r="U2123" s="1" t="s">
        <v>15433</v>
      </c>
      <c r="V2123" s="1">
        <v>1</v>
      </c>
      <c r="W2123" s="1">
        <v>1</v>
      </c>
      <c r="X2123" s="1">
        <v>1</v>
      </c>
      <c r="Y2123" s="1">
        <v>0</v>
      </c>
      <c r="Z2123" s="1">
        <v>0</v>
      </c>
      <c r="AA2123" s="1" t="s">
        <v>109</v>
      </c>
      <c r="AB2123" s="1" t="s">
        <v>109</v>
      </c>
      <c r="AC2123" s="1" t="s">
        <v>109</v>
      </c>
      <c r="AD2123" s="1" t="s">
        <v>109</v>
      </c>
      <c r="AE2123" s="1" t="s">
        <v>109</v>
      </c>
      <c r="AF2123" s="1" t="s">
        <v>109</v>
      </c>
      <c r="AG2123" s="1" t="s">
        <v>109</v>
      </c>
      <c r="AH2123" s="1" t="s">
        <v>109</v>
      </c>
      <c r="AI2123" s="1" t="s">
        <v>109</v>
      </c>
      <c r="AJ2123" s="1" t="s">
        <v>109</v>
      </c>
      <c r="AK2123" s="1" t="s">
        <v>109</v>
      </c>
      <c r="AL2123" s="1" t="s">
        <v>109</v>
      </c>
      <c r="AM2123" s="1" t="s">
        <v>109</v>
      </c>
      <c r="AN2123" s="1" t="s">
        <v>109</v>
      </c>
      <c r="AO2123" s="1" t="s">
        <v>109</v>
      </c>
      <c r="AP2123" s="1"/>
      <c r="AQ2123" s="1">
        <v>9</v>
      </c>
      <c r="AR2123" s="1"/>
      <c r="AS2123" s="1" t="s">
        <v>15434</v>
      </c>
      <c r="AT2123" s="1">
        <v>0</v>
      </c>
      <c r="AU2123" s="1">
        <v>0</v>
      </c>
      <c r="AV2123" s="1">
        <v>0</v>
      </c>
      <c r="AW2123" s="1">
        <v>0</v>
      </c>
      <c r="AX2123" s="1">
        <v>0</v>
      </c>
      <c r="AY2123" s="1">
        <v>0</v>
      </c>
      <c r="AZ2123" s="1">
        <v>0</v>
      </c>
      <c r="BA2123" s="1">
        <v>0</v>
      </c>
      <c r="BB2123" s="1">
        <v>0</v>
      </c>
      <c r="BC2123" s="1">
        <v>0</v>
      </c>
      <c r="BD2123" s="1">
        <v>0</v>
      </c>
      <c r="BE2123" s="1">
        <v>0</v>
      </c>
      <c r="BF2123" s="1">
        <v>0</v>
      </c>
      <c r="BG2123" s="1">
        <v>0</v>
      </c>
      <c r="BH2123" s="1">
        <v>0</v>
      </c>
      <c r="BI2123" s="1">
        <v>0</v>
      </c>
      <c r="BJ2123" s="1">
        <v>0</v>
      </c>
      <c r="BK2123" s="1">
        <v>0</v>
      </c>
      <c r="BL2123" s="1">
        <v>0</v>
      </c>
      <c r="BM2123" s="1">
        <v>1</v>
      </c>
      <c r="BN2123" s="1">
        <v>0</v>
      </c>
      <c r="BO2123" s="1">
        <v>0</v>
      </c>
      <c r="BP2123" s="1">
        <v>0</v>
      </c>
      <c r="BQ2123" s="1">
        <v>0</v>
      </c>
      <c r="BR2123" s="1">
        <v>0</v>
      </c>
      <c r="BS2123" s="1" t="s">
        <v>109</v>
      </c>
      <c r="BT2123" s="1">
        <v>2210</v>
      </c>
      <c r="BU2123" s="1">
        <v>10000</v>
      </c>
      <c r="BV2123" s="1"/>
      <c r="BW2123" s="1"/>
      <c r="BX2123" s="1"/>
      <c r="BY2123" s="1"/>
      <c r="BZ2123" s="1">
        <v>0</v>
      </c>
      <c r="CA2123" s="1" t="s">
        <v>109</v>
      </c>
      <c r="CB2123" s="1" t="s">
        <v>109</v>
      </c>
      <c r="CC2123" s="1">
        <v>9</v>
      </c>
      <c r="CD2123" s="1" t="s">
        <v>109</v>
      </c>
      <c r="CE2123" s="1" t="s">
        <v>109</v>
      </c>
      <c r="CF2123" s="1" t="s">
        <v>109</v>
      </c>
      <c r="CG2123" s="1" t="s">
        <v>109</v>
      </c>
      <c r="CH2123" s="1" t="s">
        <v>109</v>
      </c>
      <c r="CI2123" s="1" t="s">
        <v>109</v>
      </c>
      <c r="CJ2123" s="1" t="s">
        <v>109</v>
      </c>
      <c r="CK2123" s="1"/>
      <c r="CL2123" s="1">
        <v>0</v>
      </c>
      <c r="CM2123" s="1">
        <v>0</v>
      </c>
      <c r="CN2123" s="1">
        <v>0</v>
      </c>
    </row>
    <row r="2124" spans="1:92" ht="14.25" customHeight="1" x14ac:dyDescent="0.15">
      <c r="A2124" s="1" t="s">
        <v>15435</v>
      </c>
      <c r="B2124" s="1" t="s">
        <v>254</v>
      </c>
      <c r="C2124" s="1"/>
      <c r="D2124" s="1" t="s">
        <v>158</v>
      </c>
      <c r="E2124" s="1" t="s">
        <v>15436</v>
      </c>
      <c r="F2124" s="1" t="s">
        <v>98</v>
      </c>
      <c r="G2124" s="1" t="s">
        <v>2345</v>
      </c>
      <c r="H2124" s="1">
        <v>0</v>
      </c>
      <c r="I2124" s="1" t="s">
        <v>142</v>
      </c>
      <c r="J2124" s="1"/>
      <c r="K2124" s="1"/>
      <c r="L2124" s="1" t="s">
        <v>1391</v>
      </c>
      <c r="M2124" s="1" t="s">
        <v>144</v>
      </c>
      <c r="N2124" s="1">
        <v>0</v>
      </c>
      <c r="O2124" s="1">
        <v>0</v>
      </c>
      <c r="P2124" s="1" t="s">
        <v>2770</v>
      </c>
      <c r="Q2124" s="1" t="s">
        <v>268</v>
      </c>
      <c r="R2124" s="1" t="s">
        <v>15437</v>
      </c>
      <c r="S2124" s="1" t="s">
        <v>15438</v>
      </c>
      <c r="T2124" s="1" t="s">
        <v>14784</v>
      </c>
      <c r="U2124" s="1" t="s">
        <v>15439</v>
      </c>
      <c r="V2124" s="1">
        <v>0</v>
      </c>
      <c r="W2124" s="1">
        <v>1</v>
      </c>
      <c r="X2124" s="1">
        <v>0</v>
      </c>
      <c r="Y2124" s="1">
        <v>0</v>
      </c>
      <c r="Z2124" s="1">
        <v>0</v>
      </c>
      <c r="AA2124" s="1" t="s">
        <v>109</v>
      </c>
      <c r="AB2124" s="1" t="s">
        <v>109</v>
      </c>
      <c r="AC2124" s="1" t="s">
        <v>109</v>
      </c>
      <c r="AD2124" s="1" t="s">
        <v>109</v>
      </c>
      <c r="AE2124" s="1" t="s">
        <v>109</v>
      </c>
      <c r="AF2124" s="1" t="s">
        <v>109</v>
      </c>
      <c r="AG2124" s="1" t="s">
        <v>109</v>
      </c>
      <c r="AH2124" s="1" t="s">
        <v>109</v>
      </c>
      <c r="AI2124" s="1" t="s">
        <v>109</v>
      </c>
      <c r="AJ2124" s="1" t="s">
        <v>109</v>
      </c>
      <c r="AK2124" s="1" t="s">
        <v>109</v>
      </c>
      <c r="AL2124" s="1" t="s">
        <v>109</v>
      </c>
      <c r="AM2124" s="1" t="s">
        <v>109</v>
      </c>
      <c r="AN2124" s="1" t="s">
        <v>109</v>
      </c>
      <c r="AO2124" s="1" t="s">
        <v>109</v>
      </c>
      <c r="AP2124" s="1"/>
      <c r="AQ2124" s="1">
        <v>1</v>
      </c>
      <c r="AR2124" s="1"/>
      <c r="AS2124" s="1" t="s">
        <v>15440</v>
      </c>
      <c r="AT2124" s="1">
        <v>0</v>
      </c>
      <c r="AU2124" s="1">
        <v>0</v>
      </c>
      <c r="AV2124" s="1">
        <v>0</v>
      </c>
      <c r="AW2124" s="1">
        <v>0</v>
      </c>
      <c r="AX2124" s="1">
        <v>0</v>
      </c>
      <c r="AY2124" s="1">
        <v>0</v>
      </c>
      <c r="AZ2124" s="1">
        <v>0</v>
      </c>
      <c r="BA2124" s="1">
        <v>0</v>
      </c>
      <c r="BB2124" s="1">
        <v>0</v>
      </c>
      <c r="BC2124" s="1">
        <v>0</v>
      </c>
      <c r="BD2124" s="1">
        <v>0</v>
      </c>
      <c r="BE2124" s="1">
        <v>0</v>
      </c>
      <c r="BF2124" s="1">
        <v>0</v>
      </c>
      <c r="BG2124" s="1">
        <v>0</v>
      </c>
      <c r="BH2124" s="1">
        <v>0</v>
      </c>
      <c r="BI2124" s="1">
        <v>0</v>
      </c>
      <c r="BJ2124" s="1">
        <v>0</v>
      </c>
      <c r="BK2124" s="1">
        <v>0</v>
      </c>
      <c r="BL2124" s="1">
        <v>0</v>
      </c>
      <c r="BM2124" s="1">
        <v>1</v>
      </c>
      <c r="BN2124" s="1">
        <v>0</v>
      </c>
      <c r="BO2124" s="1">
        <v>0</v>
      </c>
      <c r="BP2124" s="1">
        <v>0</v>
      </c>
      <c r="BQ2124" s="1">
        <v>0</v>
      </c>
      <c r="BR2124" s="1">
        <v>0</v>
      </c>
      <c r="BS2124" s="1" t="s">
        <v>109</v>
      </c>
      <c r="BT2124" s="1">
        <v>2211</v>
      </c>
      <c r="BU2124" s="1" t="s">
        <v>109</v>
      </c>
      <c r="BV2124" s="1" t="s">
        <v>15441</v>
      </c>
      <c r="BW2124" s="1"/>
      <c r="BX2124" s="1"/>
      <c r="BY2124" s="1"/>
      <c r="BZ2124" s="1">
        <v>0</v>
      </c>
      <c r="CA2124" s="1" t="s">
        <v>109</v>
      </c>
      <c r="CB2124" s="1" t="s">
        <v>109</v>
      </c>
      <c r="CC2124" s="1">
        <v>1</v>
      </c>
      <c r="CD2124" s="1" t="s">
        <v>109</v>
      </c>
      <c r="CE2124" s="1" t="s">
        <v>109</v>
      </c>
      <c r="CF2124" s="1" t="s">
        <v>109</v>
      </c>
      <c r="CG2124" s="1" t="s">
        <v>109</v>
      </c>
      <c r="CH2124" s="1" t="s">
        <v>109</v>
      </c>
      <c r="CI2124" s="1" t="s">
        <v>109</v>
      </c>
      <c r="CJ2124" s="1" t="s">
        <v>109</v>
      </c>
      <c r="CK2124" s="1"/>
      <c r="CL2124" s="1">
        <v>0</v>
      </c>
      <c r="CM2124" s="1">
        <v>0</v>
      </c>
      <c r="CN2124" s="1">
        <v>0</v>
      </c>
    </row>
    <row r="2125" spans="1:92" ht="14.25" customHeight="1" x14ac:dyDescent="0.15">
      <c r="A2125" s="1" t="s">
        <v>15442</v>
      </c>
      <c r="B2125" s="1" t="s">
        <v>254</v>
      </c>
      <c r="C2125" s="1"/>
      <c r="D2125" s="1"/>
      <c r="E2125" s="1" t="s">
        <v>15304</v>
      </c>
      <c r="F2125" s="1" t="s">
        <v>98</v>
      </c>
      <c r="G2125" s="1" t="s">
        <v>2345</v>
      </c>
      <c r="H2125" s="1">
        <v>0</v>
      </c>
      <c r="I2125" s="1" t="s">
        <v>142</v>
      </c>
      <c r="J2125" s="1"/>
      <c r="K2125" s="1"/>
      <c r="L2125" s="1" t="s">
        <v>1391</v>
      </c>
      <c r="M2125" s="1" t="s">
        <v>144</v>
      </c>
      <c r="N2125" s="1">
        <v>0</v>
      </c>
      <c r="O2125" s="1">
        <v>0</v>
      </c>
      <c r="P2125" s="1" t="s">
        <v>2770</v>
      </c>
      <c r="Q2125" s="1" t="s">
        <v>268</v>
      </c>
      <c r="R2125" s="1" t="s">
        <v>15443</v>
      </c>
      <c r="S2125" s="1" t="s">
        <v>15444</v>
      </c>
      <c r="T2125" s="1" t="s">
        <v>14784</v>
      </c>
      <c r="U2125" s="1" t="s">
        <v>15445</v>
      </c>
      <c r="V2125" s="1">
        <v>0</v>
      </c>
      <c r="W2125" s="1">
        <v>1</v>
      </c>
      <c r="X2125" s="1">
        <v>0</v>
      </c>
      <c r="Y2125" s="1">
        <v>0</v>
      </c>
      <c r="Z2125" s="1">
        <v>0</v>
      </c>
      <c r="AA2125" s="1" t="s">
        <v>109</v>
      </c>
      <c r="AB2125" s="1" t="s">
        <v>109</v>
      </c>
      <c r="AC2125" s="1" t="s">
        <v>109</v>
      </c>
      <c r="AD2125" s="1" t="s">
        <v>109</v>
      </c>
      <c r="AE2125" s="1" t="s">
        <v>109</v>
      </c>
      <c r="AF2125" s="1" t="s">
        <v>109</v>
      </c>
      <c r="AG2125" s="1" t="s">
        <v>109</v>
      </c>
      <c r="AH2125" s="1" t="s">
        <v>109</v>
      </c>
      <c r="AI2125" s="1" t="s">
        <v>109</v>
      </c>
      <c r="AJ2125" s="1" t="s">
        <v>109</v>
      </c>
      <c r="AK2125" s="1" t="s">
        <v>109</v>
      </c>
      <c r="AL2125" s="1" t="s">
        <v>109</v>
      </c>
      <c r="AM2125" s="1" t="s">
        <v>109</v>
      </c>
      <c r="AN2125" s="1" t="s">
        <v>109</v>
      </c>
      <c r="AO2125" s="1" t="s">
        <v>109</v>
      </c>
      <c r="AP2125" s="1"/>
      <c r="AQ2125" s="1">
        <v>2</v>
      </c>
      <c r="AR2125" s="1"/>
      <c r="AS2125" s="1" t="s">
        <v>15446</v>
      </c>
      <c r="AT2125" s="1">
        <v>0</v>
      </c>
      <c r="AU2125" s="1">
        <v>0</v>
      </c>
      <c r="AV2125" s="1">
        <v>0</v>
      </c>
      <c r="AW2125" s="1">
        <v>0</v>
      </c>
      <c r="AX2125" s="1">
        <v>0</v>
      </c>
      <c r="AY2125" s="1">
        <v>0</v>
      </c>
      <c r="AZ2125" s="1">
        <v>0</v>
      </c>
      <c r="BA2125" s="1">
        <v>0</v>
      </c>
      <c r="BB2125" s="1">
        <v>0</v>
      </c>
      <c r="BC2125" s="1">
        <v>0</v>
      </c>
      <c r="BD2125" s="1">
        <v>0</v>
      </c>
      <c r="BE2125" s="1">
        <v>0</v>
      </c>
      <c r="BF2125" s="1">
        <v>0</v>
      </c>
      <c r="BG2125" s="1">
        <v>0</v>
      </c>
      <c r="BH2125" s="1">
        <v>0</v>
      </c>
      <c r="BI2125" s="1">
        <v>0</v>
      </c>
      <c r="BJ2125" s="1">
        <v>0</v>
      </c>
      <c r="BK2125" s="1">
        <v>0</v>
      </c>
      <c r="BL2125" s="1">
        <v>0</v>
      </c>
      <c r="BM2125" s="1">
        <v>0</v>
      </c>
      <c r="BN2125" s="1">
        <v>0</v>
      </c>
      <c r="BO2125" s="1">
        <v>0</v>
      </c>
      <c r="BP2125" s="1">
        <v>0</v>
      </c>
      <c r="BQ2125" s="1">
        <v>0</v>
      </c>
      <c r="BR2125" s="1">
        <v>0</v>
      </c>
      <c r="BS2125" s="1" t="s">
        <v>109</v>
      </c>
      <c r="BT2125" s="1">
        <v>2212</v>
      </c>
      <c r="BU2125" s="1" t="s">
        <v>109</v>
      </c>
      <c r="BV2125" s="1"/>
      <c r="BW2125" s="1"/>
      <c r="BX2125" s="1"/>
      <c r="BY2125" s="1"/>
      <c r="BZ2125" s="1">
        <v>0</v>
      </c>
      <c r="CA2125" s="1" t="s">
        <v>109</v>
      </c>
      <c r="CB2125" s="1" t="s">
        <v>109</v>
      </c>
      <c r="CC2125" s="1">
        <v>2</v>
      </c>
      <c r="CD2125" s="1" t="s">
        <v>109</v>
      </c>
      <c r="CE2125" s="1" t="s">
        <v>109</v>
      </c>
      <c r="CF2125" s="1" t="s">
        <v>109</v>
      </c>
      <c r="CG2125" s="1" t="s">
        <v>109</v>
      </c>
      <c r="CH2125" s="1" t="s">
        <v>109</v>
      </c>
      <c r="CI2125" s="1" t="s">
        <v>109</v>
      </c>
      <c r="CJ2125" s="1" t="s">
        <v>109</v>
      </c>
      <c r="CK2125" s="1"/>
      <c r="CL2125" s="1">
        <v>0</v>
      </c>
      <c r="CM2125" s="1">
        <v>0</v>
      </c>
      <c r="CN2125" s="1">
        <v>0</v>
      </c>
    </row>
    <row r="2126" spans="1:92" ht="14.25" customHeight="1" x14ac:dyDescent="0.15">
      <c r="A2126" s="1" t="s">
        <v>15447</v>
      </c>
      <c r="B2126" s="1" t="s">
        <v>254</v>
      </c>
      <c r="C2126" s="1"/>
      <c r="D2126" s="1"/>
      <c r="E2126" s="1" t="s">
        <v>15182</v>
      </c>
      <c r="F2126" s="1" t="s">
        <v>98</v>
      </c>
      <c r="G2126" s="1" t="s">
        <v>2345</v>
      </c>
      <c r="H2126" s="1">
        <v>0</v>
      </c>
      <c r="I2126" s="1" t="s">
        <v>142</v>
      </c>
      <c r="J2126" s="1"/>
      <c r="K2126" s="1"/>
      <c r="L2126" s="1" t="s">
        <v>1391</v>
      </c>
      <c r="M2126" s="1" t="s">
        <v>144</v>
      </c>
      <c r="N2126" s="1">
        <v>0</v>
      </c>
      <c r="O2126" s="1">
        <v>0</v>
      </c>
      <c r="P2126" s="1" t="s">
        <v>2770</v>
      </c>
      <c r="Q2126" s="1" t="s">
        <v>268</v>
      </c>
      <c r="R2126" s="1" t="s">
        <v>15448</v>
      </c>
      <c r="S2126" s="1" t="s">
        <v>15449</v>
      </c>
      <c r="T2126" s="1" t="s">
        <v>14784</v>
      </c>
      <c r="U2126" s="1" t="s">
        <v>15450</v>
      </c>
      <c r="V2126" s="1">
        <v>0</v>
      </c>
      <c r="W2126" s="1">
        <v>1</v>
      </c>
      <c r="X2126" s="1">
        <v>0</v>
      </c>
      <c r="Y2126" s="1">
        <v>0</v>
      </c>
      <c r="Z2126" s="1">
        <v>0</v>
      </c>
      <c r="AA2126" s="1" t="s">
        <v>109</v>
      </c>
      <c r="AB2126" s="1" t="s">
        <v>109</v>
      </c>
      <c r="AC2126" s="1" t="s">
        <v>109</v>
      </c>
      <c r="AD2126" s="1" t="s">
        <v>109</v>
      </c>
      <c r="AE2126" s="1" t="s">
        <v>109</v>
      </c>
      <c r="AF2126" s="1" t="s">
        <v>109</v>
      </c>
      <c r="AG2126" s="1" t="s">
        <v>109</v>
      </c>
      <c r="AH2126" s="1" t="s">
        <v>109</v>
      </c>
      <c r="AI2126" s="1" t="s">
        <v>109</v>
      </c>
      <c r="AJ2126" s="1" t="s">
        <v>109</v>
      </c>
      <c r="AK2126" s="1" t="s">
        <v>109</v>
      </c>
      <c r="AL2126" s="1" t="s">
        <v>109</v>
      </c>
      <c r="AM2126" s="1" t="s">
        <v>109</v>
      </c>
      <c r="AN2126" s="1" t="s">
        <v>109</v>
      </c>
      <c r="AO2126" s="1" t="s">
        <v>109</v>
      </c>
      <c r="AP2126" s="1"/>
      <c r="AQ2126" s="1">
        <v>3</v>
      </c>
      <c r="AR2126" s="1"/>
      <c r="AS2126" s="1" t="s">
        <v>15451</v>
      </c>
      <c r="AT2126" s="1">
        <v>0</v>
      </c>
      <c r="AU2126" s="1">
        <v>0</v>
      </c>
      <c r="AV2126" s="1">
        <v>0</v>
      </c>
      <c r="AW2126" s="1">
        <v>0</v>
      </c>
      <c r="AX2126" s="1">
        <v>0</v>
      </c>
      <c r="AY2126" s="1">
        <v>0</v>
      </c>
      <c r="AZ2126" s="1">
        <v>0</v>
      </c>
      <c r="BA2126" s="1">
        <v>0</v>
      </c>
      <c r="BB2126" s="1">
        <v>0</v>
      </c>
      <c r="BC2126" s="1">
        <v>0</v>
      </c>
      <c r="BD2126" s="1">
        <v>0</v>
      </c>
      <c r="BE2126" s="1">
        <v>0</v>
      </c>
      <c r="BF2126" s="1">
        <v>0</v>
      </c>
      <c r="BG2126" s="1">
        <v>0</v>
      </c>
      <c r="BH2126" s="1">
        <v>0</v>
      </c>
      <c r="BI2126" s="1">
        <v>0</v>
      </c>
      <c r="BJ2126" s="1">
        <v>0</v>
      </c>
      <c r="BK2126" s="1">
        <v>0</v>
      </c>
      <c r="BL2126" s="1">
        <v>0</v>
      </c>
      <c r="BM2126" s="1">
        <v>0</v>
      </c>
      <c r="BN2126" s="1">
        <v>0</v>
      </c>
      <c r="BO2126" s="1">
        <v>0</v>
      </c>
      <c r="BP2126" s="1">
        <v>0</v>
      </c>
      <c r="BQ2126" s="1">
        <v>0</v>
      </c>
      <c r="BR2126" s="1">
        <v>0</v>
      </c>
      <c r="BS2126" s="1" t="s">
        <v>109</v>
      </c>
      <c r="BT2126" s="1">
        <v>2213</v>
      </c>
      <c r="BU2126" s="1" t="s">
        <v>109</v>
      </c>
      <c r="BV2126" s="1"/>
      <c r="BW2126" s="1"/>
      <c r="BX2126" s="1"/>
      <c r="BY2126" s="1"/>
      <c r="BZ2126" s="1">
        <v>0</v>
      </c>
      <c r="CA2126" s="1" t="s">
        <v>109</v>
      </c>
      <c r="CB2126" s="1" t="s">
        <v>109</v>
      </c>
      <c r="CC2126" s="1">
        <v>3</v>
      </c>
      <c r="CD2126" s="1" t="s">
        <v>109</v>
      </c>
      <c r="CE2126" s="1" t="s">
        <v>109</v>
      </c>
      <c r="CF2126" s="1" t="s">
        <v>109</v>
      </c>
      <c r="CG2126" s="1" t="s">
        <v>109</v>
      </c>
      <c r="CH2126" s="1" t="s">
        <v>109</v>
      </c>
      <c r="CI2126" s="1" t="s">
        <v>109</v>
      </c>
      <c r="CJ2126" s="1" t="s">
        <v>109</v>
      </c>
      <c r="CK2126" s="1"/>
      <c r="CL2126" s="1">
        <v>0</v>
      </c>
      <c r="CM2126" s="1">
        <v>0</v>
      </c>
      <c r="CN2126" s="1">
        <v>0</v>
      </c>
    </row>
    <row r="2127" spans="1:92" ht="14.25" customHeight="1" x14ac:dyDescent="0.15">
      <c r="A2127" s="1" t="s">
        <v>15452</v>
      </c>
      <c r="B2127" s="1" t="s">
        <v>254</v>
      </c>
      <c r="C2127" s="1"/>
      <c r="D2127" s="1"/>
      <c r="E2127" s="1" t="s">
        <v>15189</v>
      </c>
      <c r="F2127" s="1" t="s">
        <v>98</v>
      </c>
      <c r="G2127" s="1" t="s">
        <v>2345</v>
      </c>
      <c r="H2127" s="1">
        <v>0</v>
      </c>
      <c r="I2127" s="1" t="s">
        <v>142</v>
      </c>
      <c r="J2127" s="1"/>
      <c r="K2127" s="1"/>
      <c r="L2127" s="1" t="s">
        <v>1391</v>
      </c>
      <c r="M2127" s="1" t="s">
        <v>144</v>
      </c>
      <c r="N2127" s="1">
        <v>0</v>
      </c>
      <c r="O2127" s="1">
        <v>0</v>
      </c>
      <c r="P2127" s="1" t="s">
        <v>2770</v>
      </c>
      <c r="Q2127" s="1" t="s">
        <v>268</v>
      </c>
      <c r="R2127" s="1" t="s">
        <v>15453</v>
      </c>
      <c r="S2127" s="1" t="s">
        <v>15454</v>
      </c>
      <c r="T2127" s="1" t="s">
        <v>14784</v>
      </c>
      <c r="U2127" s="1" t="s">
        <v>15455</v>
      </c>
      <c r="V2127" s="1">
        <v>0</v>
      </c>
      <c r="W2127" s="1">
        <v>1</v>
      </c>
      <c r="X2127" s="1">
        <v>0</v>
      </c>
      <c r="Y2127" s="1">
        <v>0</v>
      </c>
      <c r="Z2127" s="1">
        <v>0</v>
      </c>
      <c r="AA2127" s="1" t="s">
        <v>109</v>
      </c>
      <c r="AB2127" s="1" t="s">
        <v>109</v>
      </c>
      <c r="AC2127" s="1" t="s">
        <v>109</v>
      </c>
      <c r="AD2127" s="1" t="s">
        <v>109</v>
      </c>
      <c r="AE2127" s="1" t="s">
        <v>109</v>
      </c>
      <c r="AF2127" s="1" t="s">
        <v>109</v>
      </c>
      <c r="AG2127" s="1" t="s">
        <v>109</v>
      </c>
      <c r="AH2127" s="1" t="s">
        <v>109</v>
      </c>
      <c r="AI2127" s="1" t="s">
        <v>109</v>
      </c>
      <c r="AJ2127" s="1" t="s">
        <v>109</v>
      </c>
      <c r="AK2127" s="1" t="s">
        <v>109</v>
      </c>
      <c r="AL2127" s="1" t="s">
        <v>109</v>
      </c>
      <c r="AM2127" s="1" t="s">
        <v>109</v>
      </c>
      <c r="AN2127" s="1" t="s">
        <v>109</v>
      </c>
      <c r="AO2127" s="1" t="s">
        <v>109</v>
      </c>
      <c r="AP2127" s="1"/>
      <c r="AQ2127" s="1">
        <v>4</v>
      </c>
      <c r="AR2127" s="1"/>
      <c r="AS2127" s="1" t="s">
        <v>15456</v>
      </c>
      <c r="AT2127" s="1">
        <v>0</v>
      </c>
      <c r="AU2127" s="1">
        <v>0</v>
      </c>
      <c r="AV2127" s="1">
        <v>0</v>
      </c>
      <c r="AW2127" s="1">
        <v>0</v>
      </c>
      <c r="AX2127" s="1">
        <v>0</v>
      </c>
      <c r="AY2127" s="1">
        <v>0</v>
      </c>
      <c r="AZ2127" s="1">
        <v>0</v>
      </c>
      <c r="BA2127" s="1">
        <v>0</v>
      </c>
      <c r="BB2127" s="1">
        <v>0</v>
      </c>
      <c r="BC2127" s="1">
        <v>0</v>
      </c>
      <c r="BD2127" s="1">
        <v>0</v>
      </c>
      <c r="BE2127" s="1">
        <v>0</v>
      </c>
      <c r="BF2127" s="1">
        <v>0</v>
      </c>
      <c r="BG2127" s="1">
        <v>0</v>
      </c>
      <c r="BH2127" s="1">
        <v>0</v>
      </c>
      <c r="BI2127" s="1">
        <v>0</v>
      </c>
      <c r="BJ2127" s="1">
        <v>0</v>
      </c>
      <c r="BK2127" s="1">
        <v>0</v>
      </c>
      <c r="BL2127" s="1">
        <v>0</v>
      </c>
      <c r="BM2127" s="1">
        <v>0</v>
      </c>
      <c r="BN2127" s="1">
        <v>0</v>
      </c>
      <c r="BO2127" s="1">
        <v>0</v>
      </c>
      <c r="BP2127" s="1">
        <v>0</v>
      </c>
      <c r="BQ2127" s="1">
        <v>0</v>
      </c>
      <c r="BR2127" s="1">
        <v>0</v>
      </c>
      <c r="BS2127" s="1" t="s">
        <v>109</v>
      </c>
      <c r="BT2127" s="1">
        <v>2214</v>
      </c>
      <c r="BU2127" s="1" t="s">
        <v>109</v>
      </c>
      <c r="BV2127" s="1"/>
      <c r="BW2127" s="1"/>
      <c r="BX2127" s="1"/>
      <c r="BY2127" s="1"/>
      <c r="BZ2127" s="1">
        <v>0</v>
      </c>
      <c r="CA2127" s="1" t="s">
        <v>109</v>
      </c>
      <c r="CB2127" s="1" t="s">
        <v>109</v>
      </c>
      <c r="CC2127" s="1">
        <v>4</v>
      </c>
      <c r="CD2127" s="1" t="s">
        <v>109</v>
      </c>
      <c r="CE2127" s="1" t="s">
        <v>109</v>
      </c>
      <c r="CF2127" s="1" t="s">
        <v>109</v>
      </c>
      <c r="CG2127" s="1" t="s">
        <v>109</v>
      </c>
      <c r="CH2127" s="1" t="s">
        <v>109</v>
      </c>
      <c r="CI2127" s="1" t="s">
        <v>109</v>
      </c>
      <c r="CJ2127" s="1" t="s">
        <v>109</v>
      </c>
      <c r="CK2127" s="1"/>
      <c r="CL2127" s="1">
        <v>0</v>
      </c>
      <c r="CM2127" s="1">
        <v>0</v>
      </c>
      <c r="CN2127" s="1">
        <v>0</v>
      </c>
    </row>
    <row r="2128" spans="1:92" ht="14.25" customHeight="1" x14ac:dyDescent="0.15">
      <c r="A2128" s="1" t="s">
        <v>15457</v>
      </c>
      <c r="B2128" s="1" t="s">
        <v>254</v>
      </c>
      <c r="C2128" s="1"/>
      <c r="D2128" s="1"/>
      <c r="E2128" s="1" t="s">
        <v>15195</v>
      </c>
      <c r="F2128" s="1" t="s">
        <v>98</v>
      </c>
      <c r="G2128" s="1" t="s">
        <v>2345</v>
      </c>
      <c r="H2128" s="1">
        <v>0</v>
      </c>
      <c r="I2128" s="1" t="s">
        <v>142</v>
      </c>
      <c r="J2128" s="1"/>
      <c r="K2128" s="1"/>
      <c r="L2128" s="1" t="s">
        <v>1391</v>
      </c>
      <c r="M2128" s="1" t="s">
        <v>144</v>
      </c>
      <c r="N2128" s="1">
        <v>0</v>
      </c>
      <c r="O2128" s="1">
        <v>0</v>
      </c>
      <c r="P2128" s="1" t="s">
        <v>2770</v>
      </c>
      <c r="Q2128" s="1" t="s">
        <v>268</v>
      </c>
      <c r="R2128" s="1" t="s">
        <v>15458</v>
      </c>
      <c r="S2128" s="1" t="s">
        <v>15459</v>
      </c>
      <c r="T2128" s="1" t="s">
        <v>14784</v>
      </c>
      <c r="U2128" s="1" t="s">
        <v>15460</v>
      </c>
      <c r="V2128" s="1">
        <v>0</v>
      </c>
      <c r="W2128" s="1">
        <v>1</v>
      </c>
      <c r="X2128" s="1">
        <v>0</v>
      </c>
      <c r="Y2128" s="1">
        <v>0</v>
      </c>
      <c r="Z2128" s="1">
        <v>0</v>
      </c>
      <c r="AA2128" s="1" t="s">
        <v>109</v>
      </c>
      <c r="AB2128" s="1" t="s">
        <v>109</v>
      </c>
      <c r="AC2128" s="1" t="s">
        <v>109</v>
      </c>
      <c r="AD2128" s="1" t="s">
        <v>109</v>
      </c>
      <c r="AE2128" s="1" t="s">
        <v>109</v>
      </c>
      <c r="AF2128" s="1" t="s">
        <v>109</v>
      </c>
      <c r="AG2128" s="1" t="s">
        <v>109</v>
      </c>
      <c r="AH2128" s="1" t="s">
        <v>109</v>
      </c>
      <c r="AI2128" s="1" t="s">
        <v>109</v>
      </c>
      <c r="AJ2128" s="1" t="s">
        <v>109</v>
      </c>
      <c r="AK2128" s="1" t="s">
        <v>109</v>
      </c>
      <c r="AL2128" s="1" t="s">
        <v>109</v>
      </c>
      <c r="AM2128" s="1" t="s">
        <v>109</v>
      </c>
      <c r="AN2128" s="1" t="s">
        <v>109</v>
      </c>
      <c r="AO2128" s="1" t="s">
        <v>109</v>
      </c>
      <c r="AP2128" s="1"/>
      <c r="AQ2128" s="1">
        <v>5</v>
      </c>
      <c r="AR2128" s="1"/>
      <c r="AS2128" s="1" t="s">
        <v>15461</v>
      </c>
      <c r="AT2128" s="1">
        <v>0</v>
      </c>
      <c r="AU2128" s="1">
        <v>0</v>
      </c>
      <c r="AV2128" s="1">
        <v>0</v>
      </c>
      <c r="AW2128" s="1">
        <v>0</v>
      </c>
      <c r="AX2128" s="1">
        <v>0</v>
      </c>
      <c r="AY2128" s="1">
        <v>0</v>
      </c>
      <c r="AZ2128" s="1">
        <v>0</v>
      </c>
      <c r="BA2128" s="1">
        <v>0</v>
      </c>
      <c r="BB2128" s="1">
        <v>0</v>
      </c>
      <c r="BC2128" s="1">
        <v>0</v>
      </c>
      <c r="BD2128" s="1">
        <v>0</v>
      </c>
      <c r="BE2128" s="1">
        <v>0</v>
      </c>
      <c r="BF2128" s="1">
        <v>0</v>
      </c>
      <c r="BG2128" s="1">
        <v>0</v>
      </c>
      <c r="BH2128" s="1">
        <v>0</v>
      </c>
      <c r="BI2128" s="1">
        <v>0</v>
      </c>
      <c r="BJ2128" s="1">
        <v>0</v>
      </c>
      <c r="BK2128" s="1">
        <v>0</v>
      </c>
      <c r="BL2128" s="1">
        <v>0</v>
      </c>
      <c r="BM2128" s="1">
        <v>0</v>
      </c>
      <c r="BN2128" s="1">
        <v>0</v>
      </c>
      <c r="BO2128" s="1">
        <v>0</v>
      </c>
      <c r="BP2128" s="1">
        <v>0</v>
      </c>
      <c r="BQ2128" s="1">
        <v>0</v>
      </c>
      <c r="BR2128" s="1">
        <v>0</v>
      </c>
      <c r="BS2128" s="1" t="s">
        <v>109</v>
      </c>
      <c r="BT2128" s="1">
        <v>2215</v>
      </c>
      <c r="BU2128" s="1" t="s">
        <v>109</v>
      </c>
      <c r="BV2128" s="1"/>
      <c r="BW2128" s="1"/>
      <c r="BX2128" s="1"/>
      <c r="BY2128" s="1"/>
      <c r="BZ2128" s="1">
        <v>0</v>
      </c>
      <c r="CA2128" s="1" t="s">
        <v>109</v>
      </c>
      <c r="CB2128" s="1" t="s">
        <v>109</v>
      </c>
      <c r="CC2128" s="1">
        <v>5</v>
      </c>
      <c r="CD2128" s="1" t="s">
        <v>109</v>
      </c>
      <c r="CE2128" s="1" t="s">
        <v>109</v>
      </c>
      <c r="CF2128" s="1" t="s">
        <v>109</v>
      </c>
      <c r="CG2128" s="1" t="s">
        <v>109</v>
      </c>
      <c r="CH2128" s="1" t="s">
        <v>109</v>
      </c>
      <c r="CI2128" s="1" t="s">
        <v>109</v>
      </c>
      <c r="CJ2128" s="1" t="s">
        <v>109</v>
      </c>
      <c r="CK2128" s="1"/>
      <c r="CL2128" s="1">
        <v>0</v>
      </c>
      <c r="CM2128" s="1">
        <v>0</v>
      </c>
      <c r="CN2128" s="1">
        <v>0</v>
      </c>
    </row>
    <row r="2129" spans="1:92" ht="14.25" customHeight="1" x14ac:dyDescent="0.15">
      <c r="A2129" s="1" t="s">
        <v>15462</v>
      </c>
      <c r="B2129" s="1" t="s">
        <v>254</v>
      </c>
      <c r="C2129" s="1"/>
      <c r="D2129" s="1"/>
      <c r="E2129" s="1" t="s">
        <v>15201</v>
      </c>
      <c r="F2129" s="1" t="s">
        <v>98</v>
      </c>
      <c r="G2129" s="1" t="s">
        <v>2345</v>
      </c>
      <c r="H2129" s="1">
        <v>0</v>
      </c>
      <c r="I2129" s="1" t="s">
        <v>142</v>
      </c>
      <c r="J2129" s="1"/>
      <c r="K2129" s="1"/>
      <c r="L2129" s="1" t="s">
        <v>1391</v>
      </c>
      <c r="M2129" s="1" t="s">
        <v>144</v>
      </c>
      <c r="N2129" s="1">
        <v>0</v>
      </c>
      <c r="O2129" s="1">
        <v>0</v>
      </c>
      <c r="P2129" s="1" t="s">
        <v>2770</v>
      </c>
      <c r="Q2129" s="1" t="s">
        <v>268</v>
      </c>
      <c r="R2129" s="1" t="s">
        <v>15463</v>
      </c>
      <c r="S2129" s="1" t="s">
        <v>15464</v>
      </c>
      <c r="T2129" s="1" t="s">
        <v>14784</v>
      </c>
      <c r="U2129" s="1" t="s">
        <v>15465</v>
      </c>
      <c r="V2129" s="1">
        <v>0</v>
      </c>
      <c r="W2129" s="1">
        <v>1</v>
      </c>
      <c r="X2129" s="1">
        <v>0</v>
      </c>
      <c r="Y2129" s="1">
        <v>0</v>
      </c>
      <c r="Z2129" s="1">
        <v>0</v>
      </c>
      <c r="AA2129" s="1" t="s">
        <v>109</v>
      </c>
      <c r="AB2129" s="1" t="s">
        <v>109</v>
      </c>
      <c r="AC2129" s="1" t="s">
        <v>109</v>
      </c>
      <c r="AD2129" s="1" t="s">
        <v>109</v>
      </c>
      <c r="AE2129" s="1" t="s">
        <v>109</v>
      </c>
      <c r="AF2129" s="1" t="s">
        <v>109</v>
      </c>
      <c r="AG2129" s="1" t="s">
        <v>109</v>
      </c>
      <c r="AH2129" s="1" t="s">
        <v>109</v>
      </c>
      <c r="AI2129" s="1" t="s">
        <v>109</v>
      </c>
      <c r="AJ2129" s="1" t="s">
        <v>109</v>
      </c>
      <c r="AK2129" s="1" t="s">
        <v>109</v>
      </c>
      <c r="AL2129" s="1" t="s">
        <v>109</v>
      </c>
      <c r="AM2129" s="1" t="s">
        <v>109</v>
      </c>
      <c r="AN2129" s="1" t="s">
        <v>109</v>
      </c>
      <c r="AO2129" s="1" t="s">
        <v>109</v>
      </c>
      <c r="AP2129" s="1"/>
      <c r="AQ2129" s="1">
        <v>6</v>
      </c>
      <c r="AR2129" s="1"/>
      <c r="AS2129" s="1" t="s">
        <v>15466</v>
      </c>
      <c r="AT2129" s="1">
        <v>0</v>
      </c>
      <c r="AU2129" s="1">
        <v>0</v>
      </c>
      <c r="AV2129" s="1">
        <v>0</v>
      </c>
      <c r="AW2129" s="1">
        <v>0</v>
      </c>
      <c r="AX2129" s="1">
        <v>0</v>
      </c>
      <c r="AY2129" s="1">
        <v>0</v>
      </c>
      <c r="AZ2129" s="1">
        <v>0</v>
      </c>
      <c r="BA2129" s="1">
        <v>0</v>
      </c>
      <c r="BB2129" s="1">
        <v>0</v>
      </c>
      <c r="BC2129" s="1">
        <v>0</v>
      </c>
      <c r="BD2129" s="1">
        <v>0</v>
      </c>
      <c r="BE2129" s="1">
        <v>0</v>
      </c>
      <c r="BF2129" s="1">
        <v>0</v>
      </c>
      <c r="BG2129" s="1">
        <v>0</v>
      </c>
      <c r="BH2129" s="1">
        <v>0</v>
      </c>
      <c r="BI2129" s="1">
        <v>0</v>
      </c>
      <c r="BJ2129" s="1">
        <v>0</v>
      </c>
      <c r="BK2129" s="1">
        <v>0</v>
      </c>
      <c r="BL2129" s="1">
        <v>0</v>
      </c>
      <c r="BM2129" s="1">
        <v>0</v>
      </c>
      <c r="BN2129" s="1">
        <v>0</v>
      </c>
      <c r="BO2129" s="1">
        <v>0</v>
      </c>
      <c r="BP2129" s="1">
        <v>0</v>
      </c>
      <c r="BQ2129" s="1">
        <v>0</v>
      </c>
      <c r="BR2129" s="1">
        <v>0</v>
      </c>
      <c r="BS2129" s="1" t="s">
        <v>109</v>
      </c>
      <c r="BT2129" s="1">
        <v>2216</v>
      </c>
      <c r="BU2129" s="1" t="s">
        <v>109</v>
      </c>
      <c r="BV2129" s="1"/>
      <c r="BW2129" s="1"/>
      <c r="BX2129" s="1"/>
      <c r="BY2129" s="1"/>
      <c r="BZ2129" s="1">
        <v>0</v>
      </c>
      <c r="CA2129" s="1" t="s">
        <v>109</v>
      </c>
      <c r="CB2129" s="1" t="s">
        <v>109</v>
      </c>
      <c r="CC2129" s="1">
        <v>6</v>
      </c>
      <c r="CD2129" s="1" t="s">
        <v>109</v>
      </c>
      <c r="CE2129" s="1" t="s">
        <v>109</v>
      </c>
      <c r="CF2129" s="1" t="s">
        <v>109</v>
      </c>
      <c r="CG2129" s="1" t="s">
        <v>109</v>
      </c>
      <c r="CH2129" s="1" t="s">
        <v>109</v>
      </c>
      <c r="CI2129" s="1" t="s">
        <v>109</v>
      </c>
      <c r="CJ2129" s="1" t="s">
        <v>109</v>
      </c>
      <c r="CK2129" s="1"/>
      <c r="CL2129" s="1">
        <v>0</v>
      </c>
      <c r="CM2129" s="1">
        <v>0</v>
      </c>
      <c r="CN2129" s="1">
        <v>0</v>
      </c>
    </row>
    <row r="2130" spans="1:92" ht="14.25" customHeight="1" x14ac:dyDescent="0.15">
      <c r="A2130" s="1" t="s">
        <v>15467</v>
      </c>
      <c r="B2130" s="1" t="s">
        <v>254</v>
      </c>
      <c r="C2130" s="1"/>
      <c r="D2130" s="1" t="s">
        <v>158</v>
      </c>
      <c r="E2130" s="1" t="s">
        <v>15468</v>
      </c>
      <c r="F2130" s="1" t="s">
        <v>98</v>
      </c>
      <c r="G2130" s="1" t="s">
        <v>333</v>
      </c>
      <c r="H2130" s="1">
        <v>0</v>
      </c>
      <c r="I2130" s="1" t="s">
        <v>161</v>
      </c>
      <c r="J2130" s="1"/>
      <c r="K2130" s="1"/>
      <c r="L2130" s="1" t="s">
        <v>506</v>
      </c>
      <c r="M2130" s="1" t="s">
        <v>144</v>
      </c>
      <c r="N2130" s="1">
        <v>0</v>
      </c>
      <c r="O2130" s="1">
        <v>0</v>
      </c>
      <c r="P2130" s="1" t="s">
        <v>507</v>
      </c>
      <c r="Q2130" s="1" t="s">
        <v>268</v>
      </c>
      <c r="R2130" s="1" t="s">
        <v>15469</v>
      </c>
      <c r="S2130" s="1" t="s">
        <v>15470</v>
      </c>
      <c r="T2130" s="1" t="s">
        <v>14784</v>
      </c>
      <c r="U2130" s="1" t="s">
        <v>15471</v>
      </c>
      <c r="V2130" s="1">
        <v>1</v>
      </c>
      <c r="W2130" s="1">
        <v>0</v>
      </c>
      <c r="X2130" s="1">
        <v>0</v>
      </c>
      <c r="Y2130" s="1">
        <v>0</v>
      </c>
      <c r="Z2130" s="1">
        <v>0</v>
      </c>
      <c r="AA2130" s="1">
        <v>1</v>
      </c>
      <c r="AB2130" s="1">
        <v>1</v>
      </c>
      <c r="AC2130" s="1" t="s">
        <v>109</v>
      </c>
      <c r="AD2130" s="1" t="s">
        <v>109</v>
      </c>
      <c r="AE2130" s="1" t="s">
        <v>109</v>
      </c>
      <c r="AF2130" s="1" t="s">
        <v>109</v>
      </c>
      <c r="AG2130" s="1" t="s">
        <v>109</v>
      </c>
      <c r="AH2130" s="1" t="s">
        <v>109</v>
      </c>
      <c r="AI2130" s="1" t="s">
        <v>109</v>
      </c>
      <c r="AJ2130" s="1" t="s">
        <v>109</v>
      </c>
      <c r="AK2130" s="1" t="s">
        <v>109</v>
      </c>
      <c r="AL2130" s="1" t="s">
        <v>109</v>
      </c>
      <c r="AM2130" s="1" t="s">
        <v>109</v>
      </c>
      <c r="AN2130" s="1" t="s">
        <v>109</v>
      </c>
      <c r="AO2130" s="1" t="s">
        <v>109</v>
      </c>
      <c r="AP2130" s="1"/>
      <c r="AQ2130" s="1">
        <v>1</v>
      </c>
      <c r="AR2130" s="1"/>
      <c r="AS2130" s="1" t="s">
        <v>15472</v>
      </c>
      <c r="AT2130" s="1">
        <v>0</v>
      </c>
      <c r="AU2130" s="1">
        <v>0</v>
      </c>
      <c r="AV2130" s="1">
        <v>0</v>
      </c>
      <c r="AW2130" s="1">
        <v>0</v>
      </c>
      <c r="AX2130" s="1">
        <v>0</v>
      </c>
      <c r="AY2130" s="1">
        <v>0</v>
      </c>
      <c r="AZ2130" s="1">
        <v>0</v>
      </c>
      <c r="BA2130" s="1">
        <v>0</v>
      </c>
      <c r="BB2130" s="1">
        <v>0</v>
      </c>
      <c r="BC2130" s="1">
        <v>0</v>
      </c>
      <c r="BD2130" s="1">
        <v>0</v>
      </c>
      <c r="BE2130" s="1">
        <v>0</v>
      </c>
      <c r="BF2130" s="1">
        <v>0</v>
      </c>
      <c r="BG2130" s="1">
        <v>0</v>
      </c>
      <c r="BH2130" s="1">
        <v>0</v>
      </c>
      <c r="BI2130" s="1">
        <v>0</v>
      </c>
      <c r="BJ2130" s="1">
        <v>0</v>
      </c>
      <c r="BK2130" s="1">
        <v>0</v>
      </c>
      <c r="BL2130" s="1">
        <v>0</v>
      </c>
      <c r="BM2130" s="1">
        <v>1</v>
      </c>
      <c r="BN2130" s="1">
        <v>0</v>
      </c>
      <c r="BO2130" s="1">
        <v>0</v>
      </c>
      <c r="BP2130" s="1">
        <v>0</v>
      </c>
      <c r="BQ2130" s="1">
        <v>0</v>
      </c>
      <c r="BR2130" s="1">
        <v>0</v>
      </c>
      <c r="BS2130" s="1" t="s">
        <v>109</v>
      </c>
      <c r="BT2130" s="1">
        <v>2217</v>
      </c>
      <c r="BU2130" s="1" t="s">
        <v>109</v>
      </c>
      <c r="BV2130" s="1"/>
      <c r="BW2130" s="1" t="s">
        <v>15473</v>
      </c>
      <c r="BX2130" s="1"/>
      <c r="BY2130" s="1"/>
      <c r="BZ2130" s="1">
        <v>0</v>
      </c>
      <c r="CA2130" s="1" t="s">
        <v>109</v>
      </c>
      <c r="CB2130" s="1">
        <v>1</v>
      </c>
      <c r="CC2130" s="1">
        <v>1</v>
      </c>
      <c r="CD2130" s="1">
        <v>1</v>
      </c>
      <c r="CE2130" s="1">
        <v>1</v>
      </c>
      <c r="CF2130" s="1">
        <v>1</v>
      </c>
      <c r="CG2130" s="1">
        <v>1</v>
      </c>
      <c r="CH2130" s="1" t="s">
        <v>109</v>
      </c>
      <c r="CI2130" s="1" t="s">
        <v>109</v>
      </c>
      <c r="CJ2130" s="1" t="s">
        <v>109</v>
      </c>
      <c r="CK2130" s="1"/>
      <c r="CL2130" s="1">
        <v>0</v>
      </c>
      <c r="CM2130" s="1">
        <v>0</v>
      </c>
      <c r="CN2130" s="1">
        <v>0</v>
      </c>
    </row>
    <row r="2131" spans="1:92" ht="14.25" customHeight="1" x14ac:dyDescent="0.15">
      <c r="A2131" s="1" t="s">
        <v>15474</v>
      </c>
      <c r="B2131" s="1" t="s">
        <v>674</v>
      </c>
      <c r="C2131" s="1" t="s">
        <v>1715</v>
      </c>
      <c r="D2131" s="1" t="s">
        <v>158</v>
      </c>
      <c r="E2131" s="1" t="s">
        <v>15475</v>
      </c>
      <c r="F2131" s="1" t="s">
        <v>98</v>
      </c>
      <c r="G2131" s="1" t="s">
        <v>141</v>
      </c>
      <c r="H2131" s="1">
        <v>0</v>
      </c>
      <c r="I2131" s="1" t="s">
        <v>142</v>
      </c>
      <c r="J2131" s="1"/>
      <c r="K2131" s="1" t="s">
        <v>15476</v>
      </c>
      <c r="L2131" s="1"/>
      <c r="M2131" s="1" t="s">
        <v>5642</v>
      </c>
      <c r="N2131" s="1">
        <v>0</v>
      </c>
      <c r="O2131" s="1">
        <v>0</v>
      </c>
      <c r="P2131" s="1" t="s">
        <v>2475</v>
      </c>
      <c r="Q2131" s="1" t="s">
        <v>104</v>
      </c>
      <c r="R2131" s="1" t="s">
        <v>15477</v>
      </c>
      <c r="S2131" s="1" t="s">
        <v>15478</v>
      </c>
      <c r="T2131" s="1" t="s">
        <v>14784</v>
      </c>
      <c r="U2131" s="1" t="s">
        <v>15479</v>
      </c>
      <c r="V2131" s="1">
        <v>1</v>
      </c>
      <c r="W2131" s="1">
        <v>1</v>
      </c>
      <c r="X2131" s="1">
        <v>0</v>
      </c>
      <c r="Y2131" s="1">
        <v>0</v>
      </c>
      <c r="Z2131" s="1">
        <v>0</v>
      </c>
      <c r="AA2131" s="1">
        <v>4</v>
      </c>
      <c r="AB2131" s="1">
        <v>4</v>
      </c>
      <c r="AC2131" s="1" t="s">
        <v>109</v>
      </c>
      <c r="AD2131" s="1" t="s">
        <v>109</v>
      </c>
      <c r="AE2131" s="1" t="s">
        <v>109</v>
      </c>
      <c r="AF2131" s="1" t="s">
        <v>109</v>
      </c>
      <c r="AG2131" s="1" t="s">
        <v>109</v>
      </c>
      <c r="AH2131" s="1" t="s">
        <v>109</v>
      </c>
      <c r="AI2131" s="1" t="s">
        <v>109</v>
      </c>
      <c r="AJ2131" s="1" t="s">
        <v>109</v>
      </c>
      <c r="AK2131" s="1" t="s">
        <v>109</v>
      </c>
      <c r="AL2131" s="1" t="s">
        <v>109</v>
      </c>
      <c r="AM2131" s="1" t="s">
        <v>109</v>
      </c>
      <c r="AN2131" s="1" t="s">
        <v>109</v>
      </c>
      <c r="AO2131" s="1" t="s">
        <v>109</v>
      </c>
      <c r="AP2131" s="1"/>
      <c r="AQ2131" s="1">
        <v>4</v>
      </c>
      <c r="AR2131" s="1"/>
      <c r="AS2131" s="1" t="s">
        <v>15480</v>
      </c>
      <c r="AT2131" s="1">
        <v>0</v>
      </c>
      <c r="AU2131" s="1">
        <v>0</v>
      </c>
      <c r="AV2131" s="1">
        <v>0</v>
      </c>
      <c r="AW2131" s="1">
        <v>0</v>
      </c>
      <c r="AX2131" s="1">
        <v>0</v>
      </c>
      <c r="AY2131" s="1">
        <v>0</v>
      </c>
      <c r="AZ2131" s="1">
        <v>0</v>
      </c>
      <c r="BA2131" s="1">
        <v>0</v>
      </c>
      <c r="BB2131" s="1">
        <v>0</v>
      </c>
      <c r="BC2131" s="1">
        <v>0</v>
      </c>
      <c r="BD2131" s="1">
        <v>0</v>
      </c>
      <c r="BE2131" s="1">
        <v>0</v>
      </c>
      <c r="BF2131" s="1">
        <v>0</v>
      </c>
      <c r="BG2131" s="1">
        <v>0</v>
      </c>
      <c r="BH2131" s="1">
        <v>0</v>
      </c>
      <c r="BI2131" s="1">
        <v>0</v>
      </c>
      <c r="BJ2131" s="1">
        <v>0</v>
      </c>
      <c r="BK2131" s="1">
        <v>0</v>
      </c>
      <c r="BL2131" s="1">
        <v>0</v>
      </c>
      <c r="BM2131" s="1">
        <v>1</v>
      </c>
      <c r="BN2131" s="1">
        <v>0</v>
      </c>
      <c r="BO2131" s="1">
        <v>0</v>
      </c>
      <c r="BP2131" s="1">
        <v>0</v>
      </c>
      <c r="BQ2131" s="1">
        <v>0</v>
      </c>
      <c r="BR2131" s="1">
        <v>0</v>
      </c>
      <c r="BS2131" s="1" t="s">
        <v>109</v>
      </c>
      <c r="BT2131" s="1">
        <v>2218</v>
      </c>
      <c r="BU2131" s="1" t="s">
        <v>109</v>
      </c>
      <c r="BV2131" s="1"/>
      <c r="BW2131" s="1" t="s">
        <v>15481</v>
      </c>
      <c r="BX2131" s="1"/>
      <c r="BY2131" s="1"/>
      <c r="BZ2131" s="1">
        <v>0</v>
      </c>
      <c r="CA2131" s="1" t="s">
        <v>109</v>
      </c>
      <c r="CB2131" s="1" t="s">
        <v>109</v>
      </c>
      <c r="CC2131" s="1">
        <v>3</v>
      </c>
      <c r="CD2131" s="1">
        <v>3</v>
      </c>
      <c r="CE2131" s="1">
        <v>3</v>
      </c>
      <c r="CF2131" s="1" t="s">
        <v>109</v>
      </c>
      <c r="CG2131" s="1" t="s">
        <v>109</v>
      </c>
      <c r="CH2131" s="1" t="s">
        <v>109</v>
      </c>
      <c r="CI2131" s="1" t="s">
        <v>109</v>
      </c>
      <c r="CJ2131" s="1" t="s">
        <v>109</v>
      </c>
      <c r="CK2131" s="1"/>
      <c r="CL2131" s="1">
        <v>0</v>
      </c>
      <c r="CM2131" s="1">
        <v>0</v>
      </c>
      <c r="CN2131" s="1">
        <v>0</v>
      </c>
    </row>
    <row r="2132" spans="1:92" ht="14.25" customHeight="1" x14ac:dyDescent="0.15">
      <c r="A2132" s="1" t="s">
        <v>15482</v>
      </c>
      <c r="B2132" s="1" t="s">
        <v>156</v>
      </c>
      <c r="C2132" s="1" t="s">
        <v>157</v>
      </c>
      <c r="D2132" s="1" t="s">
        <v>158</v>
      </c>
      <c r="E2132" s="1" t="s">
        <v>15483</v>
      </c>
      <c r="F2132" s="1" t="s">
        <v>98</v>
      </c>
      <c r="G2132" s="1" t="s">
        <v>333</v>
      </c>
      <c r="H2132" s="1">
        <v>0</v>
      </c>
      <c r="I2132" s="1" t="s">
        <v>142</v>
      </c>
      <c r="J2132" s="1"/>
      <c r="K2132" s="1"/>
      <c r="L2132" s="1" t="s">
        <v>1391</v>
      </c>
      <c r="M2132" s="1" t="s">
        <v>947</v>
      </c>
      <c r="N2132" s="1">
        <v>0</v>
      </c>
      <c r="O2132" s="1">
        <v>0</v>
      </c>
      <c r="P2132" s="1" t="s">
        <v>301</v>
      </c>
      <c r="Q2132" s="1" t="s">
        <v>268</v>
      </c>
      <c r="R2132" s="1" t="s">
        <v>15484</v>
      </c>
      <c r="S2132" s="1" t="s">
        <v>15485</v>
      </c>
      <c r="T2132" s="1" t="s">
        <v>14784</v>
      </c>
      <c r="U2132" s="1" t="s">
        <v>15486</v>
      </c>
      <c r="V2132" s="1">
        <v>1</v>
      </c>
      <c r="W2132" s="1">
        <v>0</v>
      </c>
      <c r="X2132" s="1">
        <v>0</v>
      </c>
      <c r="Y2132" s="1">
        <v>0</v>
      </c>
      <c r="Z2132" s="1">
        <v>0</v>
      </c>
      <c r="AA2132" s="1">
        <v>4</v>
      </c>
      <c r="AB2132" s="1">
        <v>4</v>
      </c>
      <c r="AC2132" s="1" t="s">
        <v>109</v>
      </c>
      <c r="AD2132" s="1" t="s">
        <v>109</v>
      </c>
      <c r="AE2132" s="1" t="s">
        <v>109</v>
      </c>
      <c r="AF2132" s="1" t="s">
        <v>109</v>
      </c>
      <c r="AG2132" s="1" t="s">
        <v>109</v>
      </c>
      <c r="AH2132" s="1" t="s">
        <v>109</v>
      </c>
      <c r="AI2132" s="1" t="s">
        <v>109</v>
      </c>
      <c r="AJ2132" s="1" t="s">
        <v>109</v>
      </c>
      <c r="AK2132" s="1" t="s">
        <v>109</v>
      </c>
      <c r="AL2132" s="1" t="s">
        <v>109</v>
      </c>
      <c r="AM2132" s="1" t="s">
        <v>109</v>
      </c>
      <c r="AN2132" s="1" t="s">
        <v>109</v>
      </c>
      <c r="AO2132" s="1" t="s">
        <v>109</v>
      </c>
      <c r="AP2132" s="1"/>
      <c r="AQ2132" s="1">
        <v>4</v>
      </c>
      <c r="AR2132" s="1"/>
      <c r="AS2132" s="1" t="s">
        <v>15487</v>
      </c>
      <c r="AT2132" s="1">
        <v>0</v>
      </c>
      <c r="AU2132" s="1">
        <v>0</v>
      </c>
      <c r="AV2132" s="1">
        <v>0</v>
      </c>
      <c r="AW2132" s="1">
        <v>0</v>
      </c>
      <c r="AX2132" s="1">
        <v>0</v>
      </c>
      <c r="AY2132" s="1">
        <v>0</v>
      </c>
      <c r="AZ2132" s="1">
        <v>0</v>
      </c>
      <c r="BA2132" s="1">
        <v>0</v>
      </c>
      <c r="BB2132" s="1">
        <v>0</v>
      </c>
      <c r="BC2132" s="1">
        <v>0</v>
      </c>
      <c r="BD2132" s="1">
        <v>0</v>
      </c>
      <c r="BE2132" s="1">
        <v>0</v>
      </c>
      <c r="BF2132" s="1">
        <v>0</v>
      </c>
      <c r="BG2132" s="1">
        <v>0</v>
      </c>
      <c r="BH2132" s="1">
        <v>0</v>
      </c>
      <c r="BI2132" s="1">
        <v>0</v>
      </c>
      <c r="BJ2132" s="1">
        <v>0</v>
      </c>
      <c r="BK2132" s="1">
        <v>0</v>
      </c>
      <c r="BL2132" s="1">
        <v>0</v>
      </c>
      <c r="BM2132" s="1">
        <v>1</v>
      </c>
      <c r="BN2132" s="1">
        <v>0</v>
      </c>
      <c r="BO2132" s="1">
        <v>0</v>
      </c>
      <c r="BP2132" s="1">
        <v>0</v>
      </c>
      <c r="BQ2132" s="1">
        <v>0</v>
      </c>
      <c r="BR2132" s="1">
        <v>0</v>
      </c>
      <c r="BS2132" s="1" t="s">
        <v>109</v>
      </c>
      <c r="BT2132" s="1">
        <v>2219</v>
      </c>
      <c r="BU2132" s="1" t="s">
        <v>109</v>
      </c>
      <c r="BV2132" s="1"/>
      <c r="BW2132" s="1"/>
      <c r="BX2132" s="1"/>
      <c r="BY2132" s="1"/>
      <c r="BZ2132" s="1">
        <v>0</v>
      </c>
      <c r="CA2132" s="1" t="s">
        <v>109</v>
      </c>
      <c r="CB2132" s="1" t="s">
        <v>109</v>
      </c>
      <c r="CC2132" s="1">
        <v>4</v>
      </c>
      <c r="CD2132" s="1">
        <v>4</v>
      </c>
      <c r="CE2132" s="1">
        <v>4</v>
      </c>
      <c r="CF2132" s="1">
        <v>4</v>
      </c>
      <c r="CG2132" s="1">
        <v>4</v>
      </c>
      <c r="CH2132" s="1" t="s">
        <v>109</v>
      </c>
      <c r="CI2132" s="1" t="s">
        <v>109</v>
      </c>
      <c r="CJ2132" s="1" t="s">
        <v>109</v>
      </c>
      <c r="CK2132" s="1"/>
      <c r="CL2132" s="1">
        <v>0</v>
      </c>
      <c r="CM2132" s="1">
        <v>0</v>
      </c>
      <c r="CN2132" s="1">
        <v>0</v>
      </c>
    </row>
    <row r="2133" spans="1:92" ht="14.25" customHeight="1" x14ac:dyDescent="0.15">
      <c r="A2133" s="1" t="s">
        <v>15488</v>
      </c>
      <c r="B2133" s="1" t="s">
        <v>242</v>
      </c>
      <c r="C2133" s="1"/>
      <c r="D2133" s="1" t="s">
        <v>158</v>
      </c>
      <c r="E2133" s="1" t="s">
        <v>15489</v>
      </c>
      <c r="F2133" s="1" t="s">
        <v>98</v>
      </c>
      <c r="G2133" s="1" t="s">
        <v>333</v>
      </c>
      <c r="H2133" s="1">
        <v>0</v>
      </c>
      <c r="I2133" s="1" t="s">
        <v>161</v>
      </c>
      <c r="J2133" s="1"/>
      <c r="K2133" s="1"/>
      <c r="L2133" s="1" t="s">
        <v>1905</v>
      </c>
      <c r="M2133" s="1" t="s">
        <v>2044</v>
      </c>
      <c r="N2133" s="1">
        <v>1</v>
      </c>
      <c r="O2133" s="1">
        <v>0</v>
      </c>
      <c r="P2133" s="1" t="s">
        <v>826</v>
      </c>
      <c r="Q2133" s="1" t="s">
        <v>104</v>
      </c>
      <c r="R2133" s="1" t="s">
        <v>15490</v>
      </c>
      <c r="S2133" s="1" t="s">
        <v>15491</v>
      </c>
      <c r="T2133" s="1" t="s">
        <v>14784</v>
      </c>
      <c r="U2133" s="1" t="s">
        <v>15492</v>
      </c>
      <c r="V2133" s="1">
        <v>1</v>
      </c>
      <c r="W2133" s="1">
        <v>0</v>
      </c>
      <c r="X2133" s="1">
        <v>0</v>
      </c>
      <c r="Y2133" s="1">
        <v>0</v>
      </c>
      <c r="Z2133" s="1">
        <v>0</v>
      </c>
      <c r="AA2133" s="1" t="s">
        <v>109</v>
      </c>
      <c r="AB2133" s="1" t="s">
        <v>109</v>
      </c>
      <c r="AC2133" s="1" t="s">
        <v>109</v>
      </c>
      <c r="AD2133" s="1" t="s">
        <v>109</v>
      </c>
      <c r="AE2133" s="1" t="s">
        <v>109</v>
      </c>
      <c r="AF2133" s="1" t="s">
        <v>109</v>
      </c>
      <c r="AG2133" s="1" t="s">
        <v>109</v>
      </c>
      <c r="AH2133" s="1" t="s">
        <v>109</v>
      </c>
      <c r="AI2133" s="1" t="s">
        <v>109</v>
      </c>
      <c r="AJ2133" s="1" t="s">
        <v>109</v>
      </c>
      <c r="AK2133" s="1" t="s">
        <v>109</v>
      </c>
      <c r="AL2133" s="1" t="s">
        <v>109</v>
      </c>
      <c r="AM2133" s="1" t="s">
        <v>109</v>
      </c>
      <c r="AN2133" s="1" t="s">
        <v>109</v>
      </c>
      <c r="AO2133" s="1" t="s">
        <v>109</v>
      </c>
      <c r="AP2133" s="1"/>
      <c r="AQ2133" s="1" t="s">
        <v>109</v>
      </c>
      <c r="AR2133" s="1"/>
      <c r="AS2133" s="1" t="s">
        <v>15493</v>
      </c>
      <c r="AT2133" s="1">
        <v>0</v>
      </c>
      <c r="AU2133" s="1">
        <v>0</v>
      </c>
      <c r="AV2133" s="1">
        <v>0</v>
      </c>
      <c r="AW2133" s="1">
        <v>0</v>
      </c>
      <c r="AX2133" s="1">
        <v>0</v>
      </c>
      <c r="AY2133" s="1">
        <v>0</v>
      </c>
      <c r="AZ2133" s="1">
        <v>0</v>
      </c>
      <c r="BA2133" s="1">
        <v>0</v>
      </c>
      <c r="BB2133" s="1">
        <v>0</v>
      </c>
      <c r="BC2133" s="1">
        <v>0</v>
      </c>
      <c r="BD2133" s="1">
        <v>0</v>
      </c>
      <c r="BE2133" s="1">
        <v>0</v>
      </c>
      <c r="BF2133" s="1">
        <v>0</v>
      </c>
      <c r="BG2133" s="1">
        <v>0</v>
      </c>
      <c r="BH2133" s="1">
        <v>0</v>
      </c>
      <c r="BI2133" s="1">
        <v>0</v>
      </c>
      <c r="BJ2133" s="1">
        <v>0</v>
      </c>
      <c r="BK2133" s="1">
        <v>0</v>
      </c>
      <c r="BL2133" s="1">
        <v>0</v>
      </c>
      <c r="BM2133" s="1">
        <v>1</v>
      </c>
      <c r="BN2133" s="1">
        <v>0</v>
      </c>
      <c r="BO2133" s="1">
        <v>0</v>
      </c>
      <c r="BP2133" s="1">
        <v>0</v>
      </c>
      <c r="BQ2133" s="1">
        <v>0</v>
      </c>
      <c r="BR2133" s="1">
        <v>0</v>
      </c>
      <c r="BS2133" s="1" t="s">
        <v>109</v>
      </c>
      <c r="BT2133" s="1">
        <v>2220</v>
      </c>
      <c r="BU2133" s="1" t="s">
        <v>109</v>
      </c>
      <c r="BV2133" s="1"/>
      <c r="BW2133" s="1"/>
      <c r="BX2133" s="1"/>
      <c r="BY2133" s="1"/>
      <c r="BZ2133" s="1">
        <v>0</v>
      </c>
      <c r="CA2133" s="1" t="s">
        <v>109</v>
      </c>
      <c r="CB2133" s="1" t="s">
        <v>109</v>
      </c>
      <c r="CC2133" s="1">
        <v>3</v>
      </c>
      <c r="CD2133" s="1">
        <v>3</v>
      </c>
      <c r="CE2133" s="1">
        <v>3</v>
      </c>
      <c r="CF2133" s="1">
        <v>2</v>
      </c>
      <c r="CG2133" s="1" t="s">
        <v>109</v>
      </c>
      <c r="CH2133" s="1" t="s">
        <v>109</v>
      </c>
      <c r="CI2133" s="1" t="s">
        <v>109</v>
      </c>
      <c r="CJ2133" s="1" t="s">
        <v>109</v>
      </c>
      <c r="CK2133" s="1"/>
      <c r="CL2133" s="1">
        <v>0</v>
      </c>
      <c r="CM2133" s="1">
        <v>0</v>
      </c>
      <c r="CN2133" s="1">
        <v>0</v>
      </c>
    </row>
    <row r="2134" spans="1:92" ht="14.25" customHeight="1" x14ac:dyDescent="0.15">
      <c r="A2134" s="1" t="s">
        <v>15494</v>
      </c>
      <c r="B2134" s="1" t="s">
        <v>308</v>
      </c>
      <c r="C2134" s="1"/>
      <c r="D2134" s="1"/>
      <c r="E2134" s="1" t="s">
        <v>15495</v>
      </c>
      <c r="F2134" s="1" t="s">
        <v>98</v>
      </c>
      <c r="G2134" s="1" t="s">
        <v>141</v>
      </c>
      <c r="H2134" s="1">
        <v>0</v>
      </c>
      <c r="I2134" s="1" t="s">
        <v>142</v>
      </c>
      <c r="J2134" s="1"/>
      <c r="K2134" s="1"/>
      <c r="L2134" s="1" t="s">
        <v>15496</v>
      </c>
      <c r="M2134" s="1" t="s">
        <v>6625</v>
      </c>
      <c r="N2134" s="1">
        <v>1</v>
      </c>
      <c r="O2134" s="1">
        <v>0</v>
      </c>
      <c r="P2134" s="1" t="s">
        <v>5546</v>
      </c>
      <c r="Q2134" s="1" t="s">
        <v>5547</v>
      </c>
      <c r="R2134" s="1" t="s">
        <v>15497</v>
      </c>
      <c r="S2134" s="1" t="s">
        <v>15498</v>
      </c>
      <c r="T2134" s="1" t="s">
        <v>14784</v>
      </c>
      <c r="U2134" s="1" t="s">
        <v>15499</v>
      </c>
      <c r="V2134" s="1">
        <v>1</v>
      </c>
      <c r="W2134" s="1">
        <v>1</v>
      </c>
      <c r="X2134" s="1">
        <v>0</v>
      </c>
      <c r="Y2134" s="1">
        <v>0</v>
      </c>
      <c r="Z2134" s="1">
        <v>0</v>
      </c>
      <c r="AA2134" s="1">
        <v>5</v>
      </c>
      <c r="AB2134" s="1">
        <v>5</v>
      </c>
      <c r="AC2134" s="1" t="s">
        <v>109</v>
      </c>
      <c r="AD2134" s="1" t="s">
        <v>109</v>
      </c>
      <c r="AE2134" s="1" t="s">
        <v>109</v>
      </c>
      <c r="AF2134" s="1" t="s">
        <v>109</v>
      </c>
      <c r="AG2134" s="1" t="s">
        <v>109</v>
      </c>
      <c r="AH2134" s="1" t="s">
        <v>109</v>
      </c>
      <c r="AI2134" s="1" t="s">
        <v>109</v>
      </c>
      <c r="AJ2134" s="1">
        <v>5</v>
      </c>
      <c r="AK2134" s="1" t="s">
        <v>109</v>
      </c>
      <c r="AL2134" s="1" t="s">
        <v>109</v>
      </c>
      <c r="AM2134" s="1" t="s">
        <v>109</v>
      </c>
      <c r="AN2134" s="1" t="s">
        <v>109</v>
      </c>
      <c r="AO2134" s="1" t="s">
        <v>109</v>
      </c>
      <c r="AP2134" s="1"/>
      <c r="AQ2134" s="1">
        <v>5</v>
      </c>
      <c r="AR2134" s="1"/>
      <c r="AS2134" s="1" t="s">
        <v>15500</v>
      </c>
      <c r="AT2134" s="1">
        <v>0</v>
      </c>
      <c r="AU2134" s="1">
        <v>0</v>
      </c>
      <c r="AV2134" s="1">
        <v>0</v>
      </c>
      <c r="AW2134" s="1">
        <v>0</v>
      </c>
      <c r="AX2134" s="1">
        <v>0</v>
      </c>
      <c r="AY2134" s="1">
        <v>0</v>
      </c>
      <c r="AZ2134" s="1">
        <v>0</v>
      </c>
      <c r="BA2134" s="1">
        <v>0</v>
      </c>
      <c r="BB2134" s="1">
        <v>0</v>
      </c>
      <c r="BC2134" s="1">
        <v>0</v>
      </c>
      <c r="BD2134" s="1">
        <v>0</v>
      </c>
      <c r="BE2134" s="1">
        <v>0</v>
      </c>
      <c r="BF2134" s="1">
        <v>0</v>
      </c>
      <c r="BG2134" s="1">
        <v>0</v>
      </c>
      <c r="BH2134" s="1">
        <v>0</v>
      </c>
      <c r="BI2134" s="1">
        <v>0</v>
      </c>
      <c r="BJ2134" s="1">
        <v>0</v>
      </c>
      <c r="BK2134" s="1">
        <v>0</v>
      </c>
      <c r="BL2134" s="1">
        <v>0</v>
      </c>
      <c r="BM2134" s="1">
        <v>0</v>
      </c>
      <c r="BN2134" s="1">
        <v>0</v>
      </c>
      <c r="BO2134" s="1">
        <v>0</v>
      </c>
      <c r="BP2134" s="1">
        <v>0</v>
      </c>
      <c r="BQ2134" s="1">
        <v>0</v>
      </c>
      <c r="BR2134" s="1">
        <v>0</v>
      </c>
      <c r="BS2134" s="1" t="s">
        <v>109</v>
      </c>
      <c r="BT2134" s="1">
        <v>2221</v>
      </c>
      <c r="BU2134" s="1" t="s">
        <v>109</v>
      </c>
      <c r="BV2134" s="1"/>
      <c r="BW2134" s="1"/>
      <c r="BX2134" s="1"/>
      <c r="BY2134" s="1"/>
      <c r="BZ2134" s="1">
        <v>0</v>
      </c>
      <c r="CA2134" s="1" t="s">
        <v>109</v>
      </c>
      <c r="CB2134" s="1" t="s">
        <v>109</v>
      </c>
      <c r="CC2134" s="1">
        <v>5</v>
      </c>
      <c r="CD2134" s="1">
        <v>4</v>
      </c>
      <c r="CE2134" s="1">
        <v>5</v>
      </c>
      <c r="CF2134" s="1">
        <v>4</v>
      </c>
      <c r="CG2134" s="1">
        <v>5</v>
      </c>
      <c r="CH2134" s="1" t="s">
        <v>109</v>
      </c>
      <c r="CI2134" s="1" t="s">
        <v>109</v>
      </c>
      <c r="CJ2134" s="1" t="s">
        <v>109</v>
      </c>
      <c r="CK2134" s="1"/>
      <c r="CL2134" s="1">
        <v>0</v>
      </c>
      <c r="CM2134" s="1">
        <v>0</v>
      </c>
      <c r="CN2134" s="1">
        <v>0</v>
      </c>
    </row>
    <row r="2135" spans="1:92" ht="14.25" customHeight="1" x14ac:dyDescent="0.15">
      <c r="A2135" s="1" t="s">
        <v>15501</v>
      </c>
      <c r="B2135" s="1" t="s">
        <v>308</v>
      </c>
      <c r="C2135" s="1"/>
      <c r="D2135" s="1"/>
      <c r="E2135" s="1" t="s">
        <v>15502</v>
      </c>
      <c r="F2135" s="1" t="s">
        <v>98</v>
      </c>
      <c r="G2135" s="1" t="s">
        <v>141</v>
      </c>
      <c r="H2135" s="1">
        <v>0</v>
      </c>
      <c r="I2135" s="1" t="s">
        <v>122</v>
      </c>
      <c r="J2135" s="1"/>
      <c r="K2135" s="1"/>
      <c r="L2135" s="1" t="s">
        <v>15503</v>
      </c>
      <c r="M2135" s="1" t="s">
        <v>6625</v>
      </c>
      <c r="N2135" s="1">
        <v>1</v>
      </c>
      <c r="O2135" s="1">
        <v>0</v>
      </c>
      <c r="P2135" s="1" t="s">
        <v>5546</v>
      </c>
      <c r="Q2135" s="1" t="s">
        <v>5547</v>
      </c>
      <c r="R2135" s="1" t="s">
        <v>15504</v>
      </c>
      <c r="S2135" s="1" t="s">
        <v>15505</v>
      </c>
      <c r="T2135" s="1" t="s">
        <v>14784</v>
      </c>
      <c r="U2135" s="1" t="s">
        <v>15506</v>
      </c>
      <c r="V2135" s="1">
        <v>1</v>
      </c>
      <c r="W2135" s="1">
        <v>1</v>
      </c>
      <c r="X2135" s="1">
        <v>0</v>
      </c>
      <c r="Y2135" s="1">
        <v>0</v>
      </c>
      <c r="Z2135" s="1">
        <v>0</v>
      </c>
      <c r="AA2135" s="1">
        <v>7</v>
      </c>
      <c r="AB2135" s="1">
        <v>7</v>
      </c>
      <c r="AC2135" s="1" t="s">
        <v>109</v>
      </c>
      <c r="AD2135" s="1" t="s">
        <v>109</v>
      </c>
      <c r="AE2135" s="1" t="s">
        <v>109</v>
      </c>
      <c r="AF2135" s="1" t="s">
        <v>109</v>
      </c>
      <c r="AG2135" s="1" t="s">
        <v>109</v>
      </c>
      <c r="AH2135" s="1" t="s">
        <v>109</v>
      </c>
      <c r="AI2135" s="1" t="s">
        <v>109</v>
      </c>
      <c r="AJ2135" s="1">
        <v>7</v>
      </c>
      <c r="AK2135" s="1" t="s">
        <v>109</v>
      </c>
      <c r="AL2135" s="1" t="s">
        <v>109</v>
      </c>
      <c r="AM2135" s="1" t="s">
        <v>109</v>
      </c>
      <c r="AN2135" s="1" t="s">
        <v>109</v>
      </c>
      <c r="AO2135" s="1" t="s">
        <v>109</v>
      </c>
      <c r="AP2135" s="1"/>
      <c r="AQ2135" s="1">
        <v>7</v>
      </c>
      <c r="AR2135" s="1"/>
      <c r="AS2135" s="1" t="s">
        <v>15507</v>
      </c>
      <c r="AT2135" s="1">
        <v>0</v>
      </c>
      <c r="AU2135" s="1">
        <v>0</v>
      </c>
      <c r="AV2135" s="1">
        <v>0</v>
      </c>
      <c r="AW2135" s="1">
        <v>0</v>
      </c>
      <c r="AX2135" s="1">
        <v>0</v>
      </c>
      <c r="AY2135" s="1">
        <v>0</v>
      </c>
      <c r="AZ2135" s="1">
        <v>0</v>
      </c>
      <c r="BA2135" s="1">
        <v>0</v>
      </c>
      <c r="BB2135" s="1">
        <v>0</v>
      </c>
      <c r="BC2135" s="1">
        <v>0</v>
      </c>
      <c r="BD2135" s="1">
        <v>0</v>
      </c>
      <c r="BE2135" s="1">
        <v>0</v>
      </c>
      <c r="BF2135" s="1">
        <v>0</v>
      </c>
      <c r="BG2135" s="1">
        <v>0</v>
      </c>
      <c r="BH2135" s="1">
        <v>0</v>
      </c>
      <c r="BI2135" s="1">
        <v>0</v>
      </c>
      <c r="BJ2135" s="1">
        <v>0</v>
      </c>
      <c r="BK2135" s="1">
        <v>0</v>
      </c>
      <c r="BL2135" s="1">
        <v>0</v>
      </c>
      <c r="BM2135" s="1">
        <v>0</v>
      </c>
      <c r="BN2135" s="1">
        <v>0</v>
      </c>
      <c r="BO2135" s="1">
        <v>0</v>
      </c>
      <c r="BP2135" s="1">
        <v>0</v>
      </c>
      <c r="BQ2135" s="1">
        <v>0</v>
      </c>
      <c r="BR2135" s="1">
        <v>0</v>
      </c>
      <c r="BS2135" s="1" t="s">
        <v>109</v>
      </c>
      <c r="BT2135" s="1">
        <v>2222</v>
      </c>
      <c r="BU2135" s="1" t="s">
        <v>109</v>
      </c>
      <c r="BV2135" s="1"/>
      <c r="BW2135" s="1"/>
      <c r="BX2135" s="1"/>
      <c r="BY2135" s="1"/>
      <c r="BZ2135" s="1">
        <v>0</v>
      </c>
      <c r="CA2135" s="1" t="s">
        <v>109</v>
      </c>
      <c r="CB2135" s="1" t="s">
        <v>109</v>
      </c>
      <c r="CC2135" s="1">
        <v>6</v>
      </c>
      <c r="CD2135" s="1" t="s">
        <v>109</v>
      </c>
      <c r="CE2135" s="1" t="s">
        <v>109</v>
      </c>
      <c r="CF2135" s="1">
        <v>5</v>
      </c>
      <c r="CG2135" s="1">
        <v>6</v>
      </c>
      <c r="CH2135" s="1" t="s">
        <v>109</v>
      </c>
      <c r="CI2135" s="1" t="s">
        <v>109</v>
      </c>
      <c r="CJ2135" s="1" t="s">
        <v>109</v>
      </c>
      <c r="CK2135" s="1"/>
      <c r="CL2135" s="1">
        <v>0</v>
      </c>
      <c r="CM2135" s="1">
        <v>0</v>
      </c>
      <c r="CN2135" s="1">
        <v>0</v>
      </c>
    </row>
    <row r="2136" spans="1:92" ht="14.25" customHeight="1" x14ac:dyDescent="0.15">
      <c r="A2136" s="1" t="s">
        <v>15508</v>
      </c>
      <c r="B2136" s="1" t="s">
        <v>308</v>
      </c>
      <c r="C2136" s="1"/>
      <c r="D2136" s="1"/>
      <c r="E2136" s="1" t="s">
        <v>15509</v>
      </c>
      <c r="F2136" s="1" t="s">
        <v>98</v>
      </c>
      <c r="G2136" s="1" t="s">
        <v>141</v>
      </c>
      <c r="H2136" s="1">
        <v>0</v>
      </c>
      <c r="I2136" s="1" t="s">
        <v>161</v>
      </c>
      <c r="J2136" s="1"/>
      <c r="K2136" s="1"/>
      <c r="L2136" s="1" t="s">
        <v>15510</v>
      </c>
      <c r="M2136" s="1" t="s">
        <v>6144</v>
      </c>
      <c r="N2136" s="1">
        <v>1</v>
      </c>
      <c r="O2136" s="1">
        <v>0</v>
      </c>
      <c r="P2136" s="1" t="s">
        <v>5546</v>
      </c>
      <c r="Q2136" s="1" t="s">
        <v>5547</v>
      </c>
      <c r="R2136" s="1" t="s">
        <v>15511</v>
      </c>
      <c r="S2136" s="1" t="s">
        <v>15512</v>
      </c>
      <c r="T2136" s="1" t="s">
        <v>14784</v>
      </c>
      <c r="U2136" s="1" t="s">
        <v>15513</v>
      </c>
      <c r="V2136" s="1">
        <v>1</v>
      </c>
      <c r="W2136" s="1">
        <v>1</v>
      </c>
      <c r="X2136" s="1">
        <v>0</v>
      </c>
      <c r="Y2136" s="1">
        <v>0</v>
      </c>
      <c r="Z2136" s="1">
        <v>0</v>
      </c>
      <c r="AA2136" s="1">
        <v>4</v>
      </c>
      <c r="AB2136" s="1">
        <v>4</v>
      </c>
      <c r="AC2136" s="1" t="s">
        <v>109</v>
      </c>
      <c r="AD2136" s="1" t="s">
        <v>109</v>
      </c>
      <c r="AE2136" s="1" t="s">
        <v>109</v>
      </c>
      <c r="AF2136" s="1" t="s">
        <v>109</v>
      </c>
      <c r="AG2136" s="1" t="s">
        <v>109</v>
      </c>
      <c r="AH2136" s="1" t="s">
        <v>109</v>
      </c>
      <c r="AI2136" s="1" t="s">
        <v>109</v>
      </c>
      <c r="AJ2136" s="1">
        <v>4</v>
      </c>
      <c r="AK2136" s="1" t="s">
        <v>109</v>
      </c>
      <c r="AL2136" s="1" t="s">
        <v>109</v>
      </c>
      <c r="AM2136" s="1" t="s">
        <v>109</v>
      </c>
      <c r="AN2136" s="1" t="s">
        <v>109</v>
      </c>
      <c r="AO2136" s="1" t="s">
        <v>109</v>
      </c>
      <c r="AP2136" s="1"/>
      <c r="AQ2136" s="1">
        <v>4</v>
      </c>
      <c r="AR2136" s="1"/>
      <c r="AS2136" s="1" t="s">
        <v>15514</v>
      </c>
      <c r="AT2136" s="1">
        <v>0</v>
      </c>
      <c r="AU2136" s="1">
        <v>0</v>
      </c>
      <c r="AV2136" s="1">
        <v>0</v>
      </c>
      <c r="AW2136" s="1">
        <v>0</v>
      </c>
      <c r="AX2136" s="1">
        <v>0</v>
      </c>
      <c r="AY2136" s="1">
        <v>0</v>
      </c>
      <c r="AZ2136" s="1">
        <v>0</v>
      </c>
      <c r="BA2136" s="1">
        <v>0</v>
      </c>
      <c r="BB2136" s="1">
        <v>0</v>
      </c>
      <c r="BC2136" s="1">
        <v>0</v>
      </c>
      <c r="BD2136" s="1">
        <v>0</v>
      </c>
      <c r="BE2136" s="1">
        <v>0</v>
      </c>
      <c r="BF2136" s="1">
        <v>0</v>
      </c>
      <c r="BG2136" s="1">
        <v>0</v>
      </c>
      <c r="BH2136" s="1">
        <v>0</v>
      </c>
      <c r="BI2136" s="1">
        <v>0</v>
      </c>
      <c r="BJ2136" s="1">
        <v>0</v>
      </c>
      <c r="BK2136" s="1">
        <v>0</v>
      </c>
      <c r="BL2136" s="1">
        <v>0</v>
      </c>
      <c r="BM2136" s="1">
        <v>0</v>
      </c>
      <c r="BN2136" s="1">
        <v>0</v>
      </c>
      <c r="BO2136" s="1">
        <v>0</v>
      </c>
      <c r="BP2136" s="1">
        <v>0</v>
      </c>
      <c r="BQ2136" s="1">
        <v>0</v>
      </c>
      <c r="BR2136" s="1">
        <v>0</v>
      </c>
      <c r="BS2136" s="1" t="s">
        <v>109</v>
      </c>
      <c r="BT2136" s="1">
        <v>2223</v>
      </c>
      <c r="BU2136" s="1" t="s">
        <v>109</v>
      </c>
      <c r="BV2136" s="1"/>
      <c r="BW2136" s="1"/>
      <c r="BX2136" s="1"/>
      <c r="BY2136" s="1"/>
      <c r="BZ2136" s="1">
        <v>0</v>
      </c>
      <c r="CA2136" s="1" t="s">
        <v>109</v>
      </c>
      <c r="CB2136" s="1" t="s">
        <v>109</v>
      </c>
      <c r="CC2136" s="1">
        <v>3</v>
      </c>
      <c r="CD2136" s="1">
        <v>2</v>
      </c>
      <c r="CE2136" s="1">
        <v>3</v>
      </c>
      <c r="CF2136" s="1">
        <v>2</v>
      </c>
      <c r="CG2136" s="1">
        <v>3</v>
      </c>
      <c r="CH2136" s="1" t="s">
        <v>109</v>
      </c>
      <c r="CI2136" s="1" t="s">
        <v>109</v>
      </c>
      <c r="CJ2136" s="1" t="s">
        <v>109</v>
      </c>
      <c r="CK2136" s="1"/>
      <c r="CL2136" s="1">
        <v>0</v>
      </c>
      <c r="CM2136" s="1">
        <v>0</v>
      </c>
      <c r="CN2136" s="1">
        <v>0</v>
      </c>
    </row>
    <row r="2137" spans="1:92" ht="14.25" customHeight="1" x14ac:dyDescent="0.15">
      <c r="A2137" s="1" t="s">
        <v>15515</v>
      </c>
      <c r="B2137" s="1" t="s">
        <v>254</v>
      </c>
      <c r="C2137" s="1"/>
      <c r="D2137" s="1"/>
      <c r="E2137" s="1" t="s">
        <v>15516</v>
      </c>
      <c r="F2137" s="1" t="s">
        <v>98</v>
      </c>
      <c r="G2137" s="1" t="s">
        <v>141</v>
      </c>
      <c r="H2137" s="1">
        <v>0</v>
      </c>
      <c r="I2137" s="1" t="s">
        <v>161</v>
      </c>
      <c r="J2137" s="1"/>
      <c r="K2137" s="1"/>
      <c r="L2137" s="1" t="s">
        <v>15517</v>
      </c>
      <c r="M2137" s="1" t="s">
        <v>15518</v>
      </c>
      <c r="N2137" s="1">
        <v>1</v>
      </c>
      <c r="O2137" s="1">
        <v>0</v>
      </c>
      <c r="P2137" s="1" t="s">
        <v>103</v>
      </c>
      <c r="Q2137" s="1" t="s">
        <v>104</v>
      </c>
      <c r="R2137" s="1" t="s">
        <v>15519</v>
      </c>
      <c r="S2137" s="1" t="s">
        <v>15520</v>
      </c>
      <c r="T2137" s="1" t="s">
        <v>14784</v>
      </c>
      <c r="U2137" s="1" t="s">
        <v>15521</v>
      </c>
      <c r="V2137" s="1">
        <v>1</v>
      </c>
      <c r="W2137" s="1">
        <v>1</v>
      </c>
      <c r="X2137" s="1">
        <v>0</v>
      </c>
      <c r="Y2137" s="1">
        <v>0</v>
      </c>
      <c r="Z2137" s="1">
        <v>0</v>
      </c>
      <c r="AA2137" s="1" t="s">
        <v>109</v>
      </c>
      <c r="AB2137" s="1" t="s">
        <v>109</v>
      </c>
      <c r="AC2137" s="1" t="s">
        <v>109</v>
      </c>
      <c r="AD2137" s="1" t="s">
        <v>109</v>
      </c>
      <c r="AE2137" s="1" t="s">
        <v>109</v>
      </c>
      <c r="AF2137" s="1" t="s">
        <v>109</v>
      </c>
      <c r="AG2137" s="1" t="s">
        <v>109</v>
      </c>
      <c r="AH2137" s="1" t="s">
        <v>109</v>
      </c>
      <c r="AI2137" s="1" t="s">
        <v>109</v>
      </c>
      <c r="AJ2137" s="1" t="s">
        <v>109</v>
      </c>
      <c r="AK2137" s="1" t="s">
        <v>109</v>
      </c>
      <c r="AL2137" s="1" t="s">
        <v>109</v>
      </c>
      <c r="AM2137" s="1" t="s">
        <v>109</v>
      </c>
      <c r="AN2137" s="1" t="s">
        <v>109</v>
      </c>
      <c r="AO2137" s="1" t="s">
        <v>109</v>
      </c>
      <c r="AP2137" s="1"/>
      <c r="AQ2137" s="1" t="s">
        <v>109</v>
      </c>
      <c r="AR2137" s="1"/>
      <c r="AS2137" s="1" t="s">
        <v>15522</v>
      </c>
      <c r="AT2137" s="1">
        <v>0</v>
      </c>
      <c r="AU2137" s="1">
        <v>0</v>
      </c>
      <c r="AV2137" s="1">
        <v>0</v>
      </c>
      <c r="AW2137" s="1">
        <v>0</v>
      </c>
      <c r="AX2137" s="1">
        <v>0</v>
      </c>
      <c r="AY2137" s="1">
        <v>0</v>
      </c>
      <c r="AZ2137" s="1">
        <v>0</v>
      </c>
      <c r="BA2137" s="1">
        <v>0</v>
      </c>
      <c r="BB2137" s="1">
        <v>0</v>
      </c>
      <c r="BC2137" s="1">
        <v>0</v>
      </c>
      <c r="BD2137" s="1">
        <v>0</v>
      </c>
      <c r="BE2137" s="1">
        <v>0</v>
      </c>
      <c r="BF2137" s="1">
        <v>0</v>
      </c>
      <c r="BG2137" s="1">
        <v>0</v>
      </c>
      <c r="BH2137" s="1">
        <v>0</v>
      </c>
      <c r="BI2137" s="1">
        <v>0</v>
      </c>
      <c r="BJ2137" s="1">
        <v>0</v>
      </c>
      <c r="BK2137" s="1">
        <v>0</v>
      </c>
      <c r="BL2137" s="1">
        <v>0</v>
      </c>
      <c r="BM2137" s="1">
        <v>0</v>
      </c>
      <c r="BN2137" s="1">
        <v>0</v>
      </c>
      <c r="BO2137" s="1">
        <v>0</v>
      </c>
      <c r="BP2137" s="1">
        <v>0</v>
      </c>
      <c r="BQ2137" s="1">
        <v>0</v>
      </c>
      <c r="BR2137" s="1">
        <v>0</v>
      </c>
      <c r="BS2137" s="1" t="s">
        <v>109</v>
      </c>
      <c r="BT2137" s="1">
        <v>2224</v>
      </c>
      <c r="BU2137" s="1" t="s">
        <v>109</v>
      </c>
      <c r="BV2137" s="1"/>
      <c r="BW2137" s="1"/>
      <c r="BX2137" s="1"/>
      <c r="BY2137" s="1"/>
      <c r="BZ2137" s="1">
        <v>0</v>
      </c>
      <c r="CA2137" s="1" t="s">
        <v>109</v>
      </c>
      <c r="CB2137" s="1" t="s">
        <v>109</v>
      </c>
      <c r="CC2137" s="1">
        <v>2</v>
      </c>
      <c r="CD2137" s="1">
        <v>1</v>
      </c>
      <c r="CE2137" s="1">
        <v>2</v>
      </c>
      <c r="CF2137" s="1">
        <v>1</v>
      </c>
      <c r="CG2137" s="1">
        <v>2</v>
      </c>
      <c r="CH2137" s="1" t="s">
        <v>109</v>
      </c>
      <c r="CI2137" s="1" t="s">
        <v>109</v>
      </c>
      <c r="CJ2137" s="1" t="s">
        <v>109</v>
      </c>
      <c r="CK2137" s="1"/>
      <c r="CL2137" s="1">
        <v>0</v>
      </c>
      <c r="CM2137" s="1">
        <v>0</v>
      </c>
      <c r="CN2137" s="1">
        <v>0</v>
      </c>
    </row>
    <row r="2138" spans="1:92" ht="14.25" customHeight="1" x14ac:dyDescent="0.15">
      <c r="A2138" s="1" t="s">
        <v>15523</v>
      </c>
      <c r="B2138" s="1" t="s">
        <v>674</v>
      </c>
      <c r="C2138" s="1" t="s">
        <v>1715</v>
      </c>
      <c r="D2138" s="1" t="s">
        <v>158</v>
      </c>
      <c r="E2138" s="1" t="s">
        <v>15524</v>
      </c>
      <c r="F2138" s="1" t="s">
        <v>98</v>
      </c>
      <c r="G2138" s="1" t="s">
        <v>141</v>
      </c>
      <c r="H2138" s="1">
        <v>0</v>
      </c>
      <c r="I2138" s="1" t="s">
        <v>122</v>
      </c>
      <c r="J2138" s="1"/>
      <c r="K2138" s="1"/>
      <c r="L2138" s="1" t="s">
        <v>563</v>
      </c>
      <c r="M2138" s="1" t="s">
        <v>574</v>
      </c>
      <c r="N2138" s="1">
        <v>1</v>
      </c>
      <c r="O2138" s="1">
        <v>0</v>
      </c>
      <c r="P2138" s="1" t="s">
        <v>301</v>
      </c>
      <c r="Q2138" s="1" t="s">
        <v>268</v>
      </c>
      <c r="R2138" s="1" t="s">
        <v>15525</v>
      </c>
      <c r="S2138" s="1" t="s">
        <v>15526</v>
      </c>
      <c r="T2138" s="1" t="s">
        <v>14784</v>
      </c>
      <c r="U2138" s="1" t="s">
        <v>15527</v>
      </c>
      <c r="V2138" s="1">
        <v>1</v>
      </c>
      <c r="W2138" s="1">
        <v>1</v>
      </c>
      <c r="X2138" s="1">
        <v>0</v>
      </c>
      <c r="Y2138" s="1">
        <v>0</v>
      </c>
      <c r="Z2138" s="1">
        <v>0</v>
      </c>
      <c r="AA2138" s="1">
        <v>3</v>
      </c>
      <c r="AB2138" s="1">
        <v>3</v>
      </c>
      <c r="AC2138" s="1" t="s">
        <v>109</v>
      </c>
      <c r="AD2138" s="1" t="s">
        <v>109</v>
      </c>
      <c r="AE2138" s="1" t="s">
        <v>109</v>
      </c>
      <c r="AF2138" s="1">
        <v>2</v>
      </c>
      <c r="AG2138" s="1" t="s">
        <v>109</v>
      </c>
      <c r="AH2138" s="1" t="s">
        <v>109</v>
      </c>
      <c r="AI2138" s="1" t="s">
        <v>109</v>
      </c>
      <c r="AJ2138" s="1" t="s">
        <v>109</v>
      </c>
      <c r="AK2138" s="1" t="s">
        <v>109</v>
      </c>
      <c r="AL2138" s="1" t="s">
        <v>109</v>
      </c>
      <c r="AM2138" s="1" t="s">
        <v>109</v>
      </c>
      <c r="AN2138" s="1" t="s">
        <v>109</v>
      </c>
      <c r="AO2138" s="1" t="s">
        <v>109</v>
      </c>
      <c r="AP2138" s="1"/>
      <c r="AQ2138" s="1">
        <v>3</v>
      </c>
      <c r="AR2138" s="1"/>
      <c r="AS2138" s="1" t="s">
        <v>15528</v>
      </c>
      <c r="AT2138" s="1">
        <v>0</v>
      </c>
      <c r="AU2138" s="1">
        <v>0</v>
      </c>
      <c r="AV2138" s="1">
        <v>0</v>
      </c>
      <c r="AW2138" s="1">
        <v>0</v>
      </c>
      <c r="AX2138" s="1">
        <v>0</v>
      </c>
      <c r="AY2138" s="1">
        <v>0</v>
      </c>
      <c r="AZ2138" s="1">
        <v>0</v>
      </c>
      <c r="BA2138" s="1">
        <v>0</v>
      </c>
      <c r="BB2138" s="1">
        <v>0</v>
      </c>
      <c r="BC2138" s="1">
        <v>0</v>
      </c>
      <c r="BD2138" s="1">
        <v>0</v>
      </c>
      <c r="BE2138" s="1">
        <v>0</v>
      </c>
      <c r="BF2138" s="1">
        <v>0</v>
      </c>
      <c r="BG2138" s="1">
        <v>0</v>
      </c>
      <c r="BH2138" s="1">
        <v>0</v>
      </c>
      <c r="BI2138" s="1">
        <v>0</v>
      </c>
      <c r="BJ2138" s="1">
        <v>0</v>
      </c>
      <c r="BK2138" s="1">
        <v>0</v>
      </c>
      <c r="BL2138" s="1">
        <v>0</v>
      </c>
      <c r="BM2138" s="1">
        <v>1</v>
      </c>
      <c r="BN2138" s="1">
        <v>0</v>
      </c>
      <c r="BO2138" s="1">
        <v>0</v>
      </c>
      <c r="BP2138" s="1">
        <v>0</v>
      </c>
      <c r="BQ2138" s="1">
        <v>0</v>
      </c>
      <c r="BR2138" s="1">
        <v>0</v>
      </c>
      <c r="BS2138" s="1" t="s">
        <v>109</v>
      </c>
      <c r="BT2138" s="1">
        <v>2225</v>
      </c>
      <c r="BU2138" s="1" t="s">
        <v>109</v>
      </c>
      <c r="BV2138" s="1"/>
      <c r="BW2138" s="1"/>
      <c r="BX2138" s="1"/>
      <c r="BY2138" s="1"/>
      <c r="BZ2138" s="1">
        <v>0</v>
      </c>
      <c r="CA2138" s="1" t="s">
        <v>109</v>
      </c>
      <c r="CB2138" s="1" t="s">
        <v>109</v>
      </c>
      <c r="CC2138" s="1">
        <v>2</v>
      </c>
      <c r="CD2138" s="1">
        <v>1</v>
      </c>
      <c r="CE2138" s="1">
        <v>2</v>
      </c>
      <c r="CF2138" s="1" t="s">
        <v>109</v>
      </c>
      <c r="CG2138" s="1" t="s">
        <v>109</v>
      </c>
      <c r="CH2138" s="1" t="s">
        <v>109</v>
      </c>
      <c r="CI2138" s="1" t="s">
        <v>109</v>
      </c>
      <c r="CJ2138" s="1" t="s">
        <v>109</v>
      </c>
      <c r="CK2138" s="1"/>
      <c r="CL2138" s="1">
        <v>0</v>
      </c>
      <c r="CM2138" s="1">
        <v>0</v>
      </c>
      <c r="CN2138" s="1">
        <v>0</v>
      </c>
    </row>
    <row r="2139" spans="1:92" ht="14.25" customHeight="1" x14ac:dyDescent="0.15">
      <c r="A2139" s="1" t="s">
        <v>15529</v>
      </c>
      <c r="B2139" s="1" t="s">
        <v>674</v>
      </c>
      <c r="C2139" s="1" t="s">
        <v>1715</v>
      </c>
      <c r="D2139" s="1" t="s">
        <v>158</v>
      </c>
      <c r="E2139" s="1" t="s">
        <v>15530</v>
      </c>
      <c r="F2139" s="1" t="s">
        <v>98</v>
      </c>
      <c r="G2139" s="1" t="s">
        <v>141</v>
      </c>
      <c r="H2139" s="1">
        <v>0</v>
      </c>
      <c r="I2139" s="1" t="s">
        <v>122</v>
      </c>
      <c r="J2139" s="1"/>
      <c r="K2139" s="1"/>
      <c r="L2139" s="1" t="s">
        <v>563</v>
      </c>
      <c r="M2139" s="1" t="s">
        <v>574</v>
      </c>
      <c r="N2139" s="1">
        <v>1</v>
      </c>
      <c r="O2139" s="1">
        <v>0</v>
      </c>
      <c r="P2139" s="1" t="s">
        <v>15531</v>
      </c>
      <c r="Q2139" s="1" t="s">
        <v>268</v>
      </c>
      <c r="R2139" s="1" t="s">
        <v>15532</v>
      </c>
      <c r="S2139" s="1" t="s">
        <v>15533</v>
      </c>
      <c r="T2139" s="1" t="s">
        <v>14784</v>
      </c>
      <c r="U2139" s="1" t="s">
        <v>15534</v>
      </c>
      <c r="V2139" s="1">
        <v>1</v>
      </c>
      <c r="W2139" s="1">
        <v>1</v>
      </c>
      <c r="X2139" s="1">
        <v>0</v>
      </c>
      <c r="Y2139" s="1">
        <v>0</v>
      </c>
      <c r="Z2139" s="1">
        <v>0</v>
      </c>
      <c r="AA2139" s="1">
        <v>5</v>
      </c>
      <c r="AB2139" s="1">
        <v>5</v>
      </c>
      <c r="AC2139" s="1" t="s">
        <v>109</v>
      </c>
      <c r="AD2139" s="1" t="s">
        <v>109</v>
      </c>
      <c r="AE2139" s="1" t="s">
        <v>109</v>
      </c>
      <c r="AF2139" s="1">
        <v>4</v>
      </c>
      <c r="AG2139" s="1" t="s">
        <v>109</v>
      </c>
      <c r="AH2139" s="1" t="s">
        <v>109</v>
      </c>
      <c r="AI2139" s="1" t="s">
        <v>109</v>
      </c>
      <c r="AJ2139" s="1" t="s">
        <v>109</v>
      </c>
      <c r="AK2139" s="1" t="s">
        <v>109</v>
      </c>
      <c r="AL2139" s="1" t="s">
        <v>109</v>
      </c>
      <c r="AM2139" s="1" t="s">
        <v>109</v>
      </c>
      <c r="AN2139" s="1" t="s">
        <v>109</v>
      </c>
      <c r="AO2139" s="1" t="s">
        <v>109</v>
      </c>
      <c r="AP2139" s="1"/>
      <c r="AQ2139" s="1">
        <v>5</v>
      </c>
      <c r="AR2139" s="1"/>
      <c r="AS2139" s="1" t="s">
        <v>15535</v>
      </c>
      <c r="AT2139" s="1">
        <v>0</v>
      </c>
      <c r="AU2139" s="1">
        <v>0</v>
      </c>
      <c r="AV2139" s="1">
        <v>0</v>
      </c>
      <c r="AW2139" s="1">
        <v>0</v>
      </c>
      <c r="AX2139" s="1">
        <v>0</v>
      </c>
      <c r="AY2139" s="1">
        <v>0</v>
      </c>
      <c r="AZ2139" s="1">
        <v>0</v>
      </c>
      <c r="BA2139" s="1">
        <v>0</v>
      </c>
      <c r="BB2139" s="1">
        <v>0</v>
      </c>
      <c r="BC2139" s="1">
        <v>0</v>
      </c>
      <c r="BD2139" s="1">
        <v>0</v>
      </c>
      <c r="BE2139" s="1">
        <v>0</v>
      </c>
      <c r="BF2139" s="1">
        <v>0</v>
      </c>
      <c r="BG2139" s="1">
        <v>0</v>
      </c>
      <c r="BH2139" s="1">
        <v>0</v>
      </c>
      <c r="BI2139" s="1">
        <v>0</v>
      </c>
      <c r="BJ2139" s="1">
        <v>0</v>
      </c>
      <c r="BK2139" s="1">
        <v>0</v>
      </c>
      <c r="BL2139" s="1">
        <v>0</v>
      </c>
      <c r="BM2139" s="1">
        <v>1</v>
      </c>
      <c r="BN2139" s="1">
        <v>0</v>
      </c>
      <c r="BO2139" s="1">
        <v>0</v>
      </c>
      <c r="BP2139" s="1">
        <v>0</v>
      </c>
      <c r="BQ2139" s="1">
        <v>0</v>
      </c>
      <c r="BR2139" s="1">
        <v>0</v>
      </c>
      <c r="BS2139" s="1" t="s">
        <v>109</v>
      </c>
      <c r="BT2139" s="1">
        <v>2226</v>
      </c>
      <c r="BU2139" s="1" t="s">
        <v>109</v>
      </c>
      <c r="BV2139" s="1"/>
      <c r="BW2139" s="1"/>
      <c r="BX2139" s="1"/>
      <c r="BY2139" s="1"/>
      <c r="BZ2139" s="1">
        <v>0</v>
      </c>
      <c r="CA2139" s="1" t="s">
        <v>109</v>
      </c>
      <c r="CB2139" s="1" t="s">
        <v>109</v>
      </c>
      <c r="CC2139" s="1">
        <v>4</v>
      </c>
      <c r="CD2139" s="1">
        <v>2</v>
      </c>
      <c r="CE2139" s="1">
        <v>3</v>
      </c>
      <c r="CF2139" s="1" t="s">
        <v>109</v>
      </c>
      <c r="CG2139" s="1" t="s">
        <v>109</v>
      </c>
      <c r="CH2139" s="1" t="s">
        <v>109</v>
      </c>
      <c r="CI2139" s="1" t="s">
        <v>109</v>
      </c>
      <c r="CJ2139" s="1" t="s">
        <v>109</v>
      </c>
      <c r="CK2139" s="1"/>
      <c r="CL2139" s="1">
        <v>0</v>
      </c>
      <c r="CM2139" s="1">
        <v>0</v>
      </c>
      <c r="CN2139" s="1">
        <v>0</v>
      </c>
    </row>
    <row r="2140" spans="1:92" ht="14.25" customHeight="1" x14ac:dyDescent="0.15">
      <c r="A2140" s="1" t="s">
        <v>15536</v>
      </c>
      <c r="B2140" s="1" t="s">
        <v>674</v>
      </c>
      <c r="C2140" s="1" t="s">
        <v>1715</v>
      </c>
      <c r="D2140" s="1" t="s">
        <v>158</v>
      </c>
      <c r="E2140" s="1" t="s">
        <v>15537</v>
      </c>
      <c r="F2140" s="1" t="s">
        <v>98</v>
      </c>
      <c r="G2140" s="1" t="s">
        <v>141</v>
      </c>
      <c r="H2140" s="1">
        <v>0</v>
      </c>
      <c r="I2140" s="1"/>
      <c r="J2140" s="1"/>
      <c r="K2140" s="1"/>
      <c r="L2140" s="1" t="s">
        <v>1391</v>
      </c>
      <c r="M2140" s="1" t="s">
        <v>574</v>
      </c>
      <c r="N2140" s="1">
        <v>1</v>
      </c>
      <c r="O2140" s="1">
        <v>0</v>
      </c>
      <c r="P2140" s="1" t="s">
        <v>301</v>
      </c>
      <c r="Q2140" s="1" t="s">
        <v>268</v>
      </c>
      <c r="R2140" s="1" t="s">
        <v>15538</v>
      </c>
      <c r="S2140" s="1" t="s">
        <v>15539</v>
      </c>
      <c r="T2140" s="1" t="s">
        <v>14784</v>
      </c>
      <c r="U2140" s="1" t="s">
        <v>15540</v>
      </c>
      <c r="V2140" s="1">
        <v>1</v>
      </c>
      <c r="W2140" s="1">
        <v>1</v>
      </c>
      <c r="X2140" s="1">
        <v>0</v>
      </c>
      <c r="Y2140" s="1">
        <v>0</v>
      </c>
      <c r="Z2140" s="1">
        <v>0</v>
      </c>
      <c r="AA2140" s="1">
        <v>2</v>
      </c>
      <c r="AB2140" s="1">
        <v>2</v>
      </c>
      <c r="AC2140" s="1" t="s">
        <v>109</v>
      </c>
      <c r="AD2140" s="1" t="s">
        <v>109</v>
      </c>
      <c r="AE2140" s="1" t="s">
        <v>109</v>
      </c>
      <c r="AF2140" s="1">
        <v>2</v>
      </c>
      <c r="AG2140" s="1" t="s">
        <v>109</v>
      </c>
      <c r="AH2140" s="1" t="s">
        <v>109</v>
      </c>
      <c r="AI2140" s="1" t="s">
        <v>109</v>
      </c>
      <c r="AJ2140" s="1">
        <v>2</v>
      </c>
      <c r="AK2140" s="1" t="s">
        <v>109</v>
      </c>
      <c r="AL2140" s="1" t="s">
        <v>109</v>
      </c>
      <c r="AM2140" s="1" t="s">
        <v>109</v>
      </c>
      <c r="AN2140" s="1" t="s">
        <v>109</v>
      </c>
      <c r="AO2140" s="1" t="s">
        <v>109</v>
      </c>
      <c r="AP2140" s="1"/>
      <c r="AQ2140" s="1">
        <v>2</v>
      </c>
      <c r="AR2140" s="1"/>
      <c r="AS2140" s="1" t="s">
        <v>15541</v>
      </c>
      <c r="AT2140" s="1">
        <v>0</v>
      </c>
      <c r="AU2140" s="1">
        <v>0</v>
      </c>
      <c r="AV2140" s="1">
        <v>0</v>
      </c>
      <c r="AW2140" s="1">
        <v>0</v>
      </c>
      <c r="AX2140" s="1">
        <v>0</v>
      </c>
      <c r="AY2140" s="1">
        <v>0</v>
      </c>
      <c r="AZ2140" s="1">
        <v>0</v>
      </c>
      <c r="BA2140" s="1">
        <v>0</v>
      </c>
      <c r="BB2140" s="1">
        <v>0</v>
      </c>
      <c r="BC2140" s="1">
        <v>0</v>
      </c>
      <c r="BD2140" s="1">
        <v>0</v>
      </c>
      <c r="BE2140" s="1">
        <v>0</v>
      </c>
      <c r="BF2140" s="1">
        <v>0</v>
      </c>
      <c r="BG2140" s="1">
        <v>0</v>
      </c>
      <c r="BH2140" s="1">
        <v>0</v>
      </c>
      <c r="BI2140" s="1">
        <v>0</v>
      </c>
      <c r="BJ2140" s="1">
        <v>0</v>
      </c>
      <c r="BK2140" s="1">
        <v>0</v>
      </c>
      <c r="BL2140" s="1">
        <v>0</v>
      </c>
      <c r="BM2140" s="1">
        <v>1</v>
      </c>
      <c r="BN2140" s="1">
        <v>0</v>
      </c>
      <c r="BO2140" s="1">
        <v>0</v>
      </c>
      <c r="BP2140" s="1">
        <v>0</v>
      </c>
      <c r="BQ2140" s="1">
        <v>0</v>
      </c>
      <c r="BR2140" s="1">
        <v>0</v>
      </c>
      <c r="BS2140" s="1" t="s">
        <v>109</v>
      </c>
      <c r="BT2140" s="1">
        <v>2227</v>
      </c>
      <c r="BU2140" s="1" t="s">
        <v>109</v>
      </c>
      <c r="BV2140" s="1"/>
      <c r="BW2140" s="1"/>
      <c r="BX2140" s="1"/>
      <c r="BY2140" s="1"/>
      <c r="BZ2140" s="1">
        <v>0</v>
      </c>
      <c r="CA2140" s="1" t="s">
        <v>109</v>
      </c>
      <c r="CB2140" s="1" t="s">
        <v>109</v>
      </c>
      <c r="CC2140" s="1">
        <v>2</v>
      </c>
      <c r="CD2140" s="1">
        <v>1</v>
      </c>
      <c r="CE2140" s="1">
        <v>1</v>
      </c>
      <c r="CF2140" s="1" t="s">
        <v>109</v>
      </c>
      <c r="CG2140" s="1" t="s">
        <v>109</v>
      </c>
      <c r="CH2140" s="1" t="s">
        <v>109</v>
      </c>
      <c r="CI2140" s="1" t="s">
        <v>109</v>
      </c>
      <c r="CJ2140" s="1" t="s">
        <v>109</v>
      </c>
      <c r="CK2140" s="1"/>
      <c r="CL2140" s="1">
        <v>0</v>
      </c>
      <c r="CM2140" s="1">
        <v>0</v>
      </c>
      <c r="CN2140" s="1">
        <v>0</v>
      </c>
    </row>
    <row r="2141" spans="1:92" ht="14.25" customHeight="1" x14ac:dyDescent="0.15">
      <c r="A2141" s="1" t="s">
        <v>15542</v>
      </c>
      <c r="B2141" s="1" t="s">
        <v>189</v>
      </c>
      <c r="C2141" s="1"/>
      <c r="D2141" s="1"/>
      <c r="E2141" s="1" t="s">
        <v>15543</v>
      </c>
      <c r="F2141" s="1" t="s">
        <v>98</v>
      </c>
      <c r="G2141" s="1" t="s">
        <v>15544</v>
      </c>
      <c r="H2141" s="1">
        <v>0</v>
      </c>
      <c r="I2141" s="1" t="s">
        <v>142</v>
      </c>
      <c r="J2141" s="1"/>
      <c r="K2141" s="1"/>
      <c r="L2141" s="1" t="s">
        <v>1391</v>
      </c>
      <c r="M2141" s="1" t="s">
        <v>144</v>
      </c>
      <c r="N2141" s="1">
        <v>0</v>
      </c>
      <c r="O2141" s="1">
        <v>0</v>
      </c>
      <c r="P2141" s="1" t="s">
        <v>2045</v>
      </c>
      <c r="Q2141" s="1" t="s">
        <v>268</v>
      </c>
      <c r="R2141" s="1" t="s">
        <v>15545</v>
      </c>
      <c r="S2141" s="1" t="s">
        <v>15546</v>
      </c>
      <c r="T2141" s="1" t="s">
        <v>14784</v>
      </c>
      <c r="U2141" s="1" t="s">
        <v>15547</v>
      </c>
      <c r="V2141" s="1">
        <v>0</v>
      </c>
      <c r="W2141" s="1">
        <v>1</v>
      </c>
      <c r="X2141" s="1">
        <v>1</v>
      </c>
      <c r="Y2141" s="1">
        <v>0</v>
      </c>
      <c r="Z2141" s="1">
        <v>0</v>
      </c>
      <c r="AA2141" s="1">
        <v>5</v>
      </c>
      <c r="AB2141" s="1">
        <v>5</v>
      </c>
      <c r="AC2141" s="1" t="s">
        <v>109</v>
      </c>
      <c r="AD2141" s="1" t="s">
        <v>109</v>
      </c>
      <c r="AE2141" s="1" t="s">
        <v>109</v>
      </c>
      <c r="AF2141" s="1" t="s">
        <v>109</v>
      </c>
      <c r="AG2141" s="1" t="s">
        <v>109</v>
      </c>
      <c r="AH2141" s="1" t="s">
        <v>109</v>
      </c>
      <c r="AI2141" s="1" t="s">
        <v>109</v>
      </c>
      <c r="AJ2141" s="1" t="s">
        <v>109</v>
      </c>
      <c r="AK2141" s="1" t="s">
        <v>109</v>
      </c>
      <c r="AL2141" s="1" t="s">
        <v>109</v>
      </c>
      <c r="AM2141" s="1" t="s">
        <v>109</v>
      </c>
      <c r="AN2141" s="1">
        <v>5</v>
      </c>
      <c r="AO2141" s="1" t="s">
        <v>109</v>
      </c>
      <c r="AP2141" s="1"/>
      <c r="AQ2141" s="1">
        <v>5</v>
      </c>
      <c r="AR2141" s="1"/>
      <c r="AS2141" s="1" t="s">
        <v>15548</v>
      </c>
      <c r="AT2141" s="1">
        <v>0</v>
      </c>
      <c r="AU2141" s="1">
        <v>0</v>
      </c>
      <c r="AV2141" s="1">
        <v>0</v>
      </c>
      <c r="AW2141" s="1">
        <v>0</v>
      </c>
      <c r="AX2141" s="1">
        <v>0</v>
      </c>
      <c r="AY2141" s="1">
        <v>0</v>
      </c>
      <c r="AZ2141" s="1">
        <v>0</v>
      </c>
      <c r="BA2141" s="1">
        <v>0</v>
      </c>
      <c r="BB2141" s="1">
        <v>0</v>
      </c>
      <c r="BC2141" s="1">
        <v>0</v>
      </c>
      <c r="BD2141" s="1">
        <v>0</v>
      </c>
      <c r="BE2141" s="1">
        <v>0</v>
      </c>
      <c r="BF2141" s="1">
        <v>0</v>
      </c>
      <c r="BG2141" s="1">
        <v>0</v>
      </c>
      <c r="BH2141" s="1">
        <v>0</v>
      </c>
      <c r="BI2141" s="1">
        <v>0</v>
      </c>
      <c r="BJ2141" s="1">
        <v>0</v>
      </c>
      <c r="BK2141" s="1">
        <v>0</v>
      </c>
      <c r="BL2141" s="1">
        <v>0</v>
      </c>
      <c r="BM2141" s="1">
        <v>0</v>
      </c>
      <c r="BN2141" s="1">
        <v>0</v>
      </c>
      <c r="BO2141" s="1">
        <v>0</v>
      </c>
      <c r="BP2141" s="1">
        <v>0</v>
      </c>
      <c r="BQ2141" s="1">
        <v>0</v>
      </c>
      <c r="BR2141" s="1">
        <v>0</v>
      </c>
      <c r="BS2141" s="1" t="s">
        <v>109</v>
      </c>
      <c r="BT2141" s="1">
        <v>2228</v>
      </c>
      <c r="BU2141" s="1" t="s">
        <v>109</v>
      </c>
      <c r="BV2141" s="1"/>
      <c r="BW2141" s="1"/>
      <c r="BX2141" s="1"/>
      <c r="BY2141" s="1"/>
      <c r="BZ2141" s="1">
        <v>0</v>
      </c>
      <c r="CA2141" s="1" t="s">
        <v>109</v>
      </c>
      <c r="CB2141" s="1" t="s">
        <v>109</v>
      </c>
      <c r="CC2141" s="1" t="s">
        <v>109</v>
      </c>
      <c r="CD2141" s="1" t="s">
        <v>109</v>
      </c>
      <c r="CE2141" s="1" t="s">
        <v>109</v>
      </c>
      <c r="CF2141" s="1">
        <v>4</v>
      </c>
      <c r="CG2141" s="1" t="s">
        <v>109</v>
      </c>
      <c r="CH2141" s="1" t="s">
        <v>109</v>
      </c>
      <c r="CI2141" s="1" t="s">
        <v>109</v>
      </c>
      <c r="CJ2141" s="1" t="s">
        <v>109</v>
      </c>
      <c r="CK2141" s="1"/>
      <c r="CL2141" s="1">
        <v>0</v>
      </c>
      <c r="CM2141" s="1">
        <v>0</v>
      </c>
      <c r="CN2141" s="1">
        <v>0</v>
      </c>
    </row>
    <row r="2142" spans="1:92" ht="14.25" customHeight="1" x14ac:dyDescent="0.15">
      <c r="A2142" s="1" t="s">
        <v>15549</v>
      </c>
      <c r="B2142" s="1" t="s">
        <v>674</v>
      </c>
      <c r="C2142" s="1" t="s">
        <v>1715</v>
      </c>
      <c r="D2142" s="1" t="s">
        <v>158</v>
      </c>
      <c r="E2142" s="1" t="s">
        <v>15550</v>
      </c>
      <c r="F2142" s="1" t="s">
        <v>98</v>
      </c>
      <c r="G2142" s="1" t="s">
        <v>15551</v>
      </c>
      <c r="H2142" s="1">
        <v>0</v>
      </c>
      <c r="I2142" s="1" t="s">
        <v>161</v>
      </c>
      <c r="J2142" s="1"/>
      <c r="K2142" s="1"/>
      <c r="L2142" s="1" t="s">
        <v>506</v>
      </c>
      <c r="M2142" s="1" t="s">
        <v>3042</v>
      </c>
      <c r="N2142" s="1">
        <v>0</v>
      </c>
      <c r="O2142" s="1">
        <v>0</v>
      </c>
      <c r="P2142" s="1" t="s">
        <v>13277</v>
      </c>
      <c r="Q2142" s="1" t="s">
        <v>7769</v>
      </c>
      <c r="R2142" s="1" t="s">
        <v>15552</v>
      </c>
      <c r="S2142" s="1" t="s">
        <v>15553</v>
      </c>
      <c r="T2142" s="1" t="s">
        <v>14784</v>
      </c>
      <c r="U2142" s="1" t="s">
        <v>15554</v>
      </c>
      <c r="V2142" s="1">
        <v>1</v>
      </c>
      <c r="W2142" s="1">
        <v>0</v>
      </c>
      <c r="X2142" s="1">
        <v>1</v>
      </c>
      <c r="Y2142" s="1">
        <v>0</v>
      </c>
      <c r="Z2142" s="1">
        <v>0</v>
      </c>
      <c r="AA2142" s="1" t="s">
        <v>109</v>
      </c>
      <c r="AB2142" s="1" t="s">
        <v>109</v>
      </c>
      <c r="AC2142" s="1" t="s">
        <v>109</v>
      </c>
      <c r="AD2142" s="1" t="s">
        <v>109</v>
      </c>
      <c r="AE2142" s="1" t="s">
        <v>109</v>
      </c>
      <c r="AF2142" s="1" t="s">
        <v>109</v>
      </c>
      <c r="AG2142" s="1" t="s">
        <v>109</v>
      </c>
      <c r="AH2142" s="1" t="s">
        <v>109</v>
      </c>
      <c r="AI2142" s="1" t="s">
        <v>109</v>
      </c>
      <c r="AJ2142" s="1" t="s">
        <v>109</v>
      </c>
      <c r="AK2142" s="1" t="s">
        <v>109</v>
      </c>
      <c r="AL2142" s="1" t="s">
        <v>109</v>
      </c>
      <c r="AM2142" s="1" t="s">
        <v>109</v>
      </c>
      <c r="AN2142" s="1" t="s">
        <v>109</v>
      </c>
      <c r="AO2142" s="1" t="s">
        <v>109</v>
      </c>
      <c r="AP2142" s="1"/>
      <c r="AQ2142" s="1">
        <v>2</v>
      </c>
      <c r="AR2142" s="1"/>
      <c r="AS2142" s="1" t="s">
        <v>15555</v>
      </c>
      <c r="AT2142" s="1">
        <v>0</v>
      </c>
      <c r="AU2142" s="1">
        <v>0</v>
      </c>
      <c r="AV2142" s="1">
        <v>0</v>
      </c>
      <c r="AW2142" s="1">
        <v>0</v>
      </c>
      <c r="AX2142" s="1">
        <v>0</v>
      </c>
      <c r="AY2142" s="1">
        <v>0</v>
      </c>
      <c r="AZ2142" s="1">
        <v>0</v>
      </c>
      <c r="BA2142" s="1">
        <v>0</v>
      </c>
      <c r="BB2142" s="1">
        <v>0</v>
      </c>
      <c r="BC2142" s="1">
        <v>0</v>
      </c>
      <c r="BD2142" s="1">
        <v>0</v>
      </c>
      <c r="BE2142" s="1">
        <v>0</v>
      </c>
      <c r="BF2142" s="1">
        <v>0</v>
      </c>
      <c r="BG2142" s="1">
        <v>0</v>
      </c>
      <c r="BH2142" s="1">
        <v>0</v>
      </c>
      <c r="BI2142" s="1">
        <v>0</v>
      </c>
      <c r="BJ2142" s="1">
        <v>0</v>
      </c>
      <c r="BK2142" s="1">
        <v>0</v>
      </c>
      <c r="BL2142" s="1">
        <v>0</v>
      </c>
      <c r="BM2142" s="1">
        <v>1</v>
      </c>
      <c r="BN2142" s="1">
        <v>0</v>
      </c>
      <c r="BO2142" s="1">
        <v>0</v>
      </c>
      <c r="BP2142" s="1">
        <v>0</v>
      </c>
      <c r="BQ2142" s="1">
        <v>0</v>
      </c>
      <c r="BR2142" s="1">
        <v>0</v>
      </c>
      <c r="BS2142" s="1" t="s">
        <v>109</v>
      </c>
      <c r="BT2142" s="1">
        <v>2229</v>
      </c>
      <c r="BU2142" s="1" t="s">
        <v>109</v>
      </c>
      <c r="BV2142" s="1"/>
      <c r="BW2142" s="1"/>
      <c r="BX2142" s="1"/>
      <c r="BY2142" s="1"/>
      <c r="BZ2142" s="1">
        <v>0</v>
      </c>
      <c r="CA2142" s="1" t="s">
        <v>109</v>
      </c>
      <c r="CB2142" s="1" t="s">
        <v>109</v>
      </c>
      <c r="CC2142" s="1">
        <v>2</v>
      </c>
      <c r="CD2142" s="1">
        <v>2</v>
      </c>
      <c r="CE2142" s="1">
        <v>2</v>
      </c>
      <c r="CF2142" s="1" t="s">
        <v>109</v>
      </c>
      <c r="CG2142" s="1" t="s">
        <v>109</v>
      </c>
      <c r="CH2142" s="1" t="s">
        <v>109</v>
      </c>
      <c r="CI2142" s="1" t="s">
        <v>109</v>
      </c>
      <c r="CJ2142" s="1" t="s">
        <v>109</v>
      </c>
      <c r="CK2142" s="1"/>
      <c r="CL2142" s="1">
        <v>0</v>
      </c>
      <c r="CM2142" s="1">
        <v>0</v>
      </c>
      <c r="CN2142" s="1">
        <v>0</v>
      </c>
    </row>
    <row r="2143" spans="1:92" ht="14.25" customHeight="1" x14ac:dyDescent="0.15">
      <c r="A2143" s="1" t="s">
        <v>15556</v>
      </c>
      <c r="B2143" s="1" t="s">
        <v>308</v>
      </c>
      <c r="C2143" s="1"/>
      <c r="D2143" s="1"/>
      <c r="E2143" s="1" t="s">
        <v>15557</v>
      </c>
      <c r="F2143" s="1" t="s">
        <v>98</v>
      </c>
      <c r="G2143" s="1" t="s">
        <v>141</v>
      </c>
      <c r="H2143" s="1">
        <v>0</v>
      </c>
      <c r="I2143" s="1" t="s">
        <v>122</v>
      </c>
      <c r="J2143" s="1"/>
      <c r="K2143" s="1"/>
      <c r="L2143" s="1" t="s">
        <v>1391</v>
      </c>
      <c r="M2143" s="1" t="s">
        <v>815</v>
      </c>
      <c r="N2143" s="1">
        <v>1</v>
      </c>
      <c r="O2143" s="1">
        <v>0</v>
      </c>
      <c r="P2143" s="1" t="s">
        <v>301</v>
      </c>
      <c r="Q2143" s="1" t="s">
        <v>268</v>
      </c>
      <c r="R2143" s="1" t="s">
        <v>15558</v>
      </c>
      <c r="S2143" s="1" t="s">
        <v>15559</v>
      </c>
      <c r="T2143" s="1" t="s">
        <v>14784</v>
      </c>
      <c r="U2143" s="1" t="s">
        <v>15560</v>
      </c>
      <c r="V2143" s="1">
        <v>1</v>
      </c>
      <c r="W2143" s="1">
        <v>1</v>
      </c>
      <c r="X2143" s="1">
        <v>0</v>
      </c>
      <c r="Y2143" s="1">
        <v>0</v>
      </c>
      <c r="Z2143" s="1">
        <v>0</v>
      </c>
      <c r="AA2143" s="1">
        <v>5</v>
      </c>
      <c r="AB2143" s="1">
        <v>5</v>
      </c>
      <c r="AC2143" s="1" t="s">
        <v>109</v>
      </c>
      <c r="AD2143" s="1" t="s">
        <v>109</v>
      </c>
      <c r="AE2143" s="1" t="s">
        <v>109</v>
      </c>
      <c r="AF2143" s="1" t="s">
        <v>109</v>
      </c>
      <c r="AG2143" s="1" t="s">
        <v>109</v>
      </c>
      <c r="AH2143" s="1" t="s">
        <v>109</v>
      </c>
      <c r="AI2143" s="1">
        <v>5</v>
      </c>
      <c r="AJ2143" s="1">
        <v>5</v>
      </c>
      <c r="AK2143" s="1" t="s">
        <v>109</v>
      </c>
      <c r="AL2143" s="1" t="s">
        <v>109</v>
      </c>
      <c r="AM2143" s="1" t="s">
        <v>109</v>
      </c>
      <c r="AN2143" s="1" t="s">
        <v>109</v>
      </c>
      <c r="AO2143" s="1" t="s">
        <v>109</v>
      </c>
      <c r="AP2143" s="1"/>
      <c r="AQ2143" s="1">
        <v>5</v>
      </c>
      <c r="AR2143" s="1"/>
      <c r="AS2143" s="1" t="s">
        <v>15561</v>
      </c>
      <c r="AT2143" s="1">
        <v>0</v>
      </c>
      <c r="AU2143" s="1">
        <v>0</v>
      </c>
      <c r="AV2143" s="1">
        <v>0</v>
      </c>
      <c r="AW2143" s="1">
        <v>0</v>
      </c>
      <c r="AX2143" s="1">
        <v>0</v>
      </c>
      <c r="AY2143" s="1">
        <v>0</v>
      </c>
      <c r="AZ2143" s="1">
        <v>0</v>
      </c>
      <c r="BA2143" s="1">
        <v>0</v>
      </c>
      <c r="BB2143" s="1">
        <v>0</v>
      </c>
      <c r="BC2143" s="1">
        <v>0</v>
      </c>
      <c r="BD2143" s="1">
        <v>0</v>
      </c>
      <c r="BE2143" s="1">
        <v>0</v>
      </c>
      <c r="BF2143" s="1">
        <v>0</v>
      </c>
      <c r="BG2143" s="1">
        <v>0</v>
      </c>
      <c r="BH2143" s="1">
        <v>0</v>
      </c>
      <c r="BI2143" s="1">
        <v>0</v>
      </c>
      <c r="BJ2143" s="1">
        <v>0</v>
      </c>
      <c r="BK2143" s="1">
        <v>0</v>
      </c>
      <c r="BL2143" s="1">
        <v>0</v>
      </c>
      <c r="BM2143" s="1">
        <v>0</v>
      </c>
      <c r="BN2143" s="1">
        <v>0</v>
      </c>
      <c r="BO2143" s="1">
        <v>0</v>
      </c>
      <c r="BP2143" s="1">
        <v>0</v>
      </c>
      <c r="BQ2143" s="1">
        <v>0</v>
      </c>
      <c r="BR2143" s="1">
        <v>0</v>
      </c>
      <c r="BS2143" s="1" t="s">
        <v>109</v>
      </c>
      <c r="BT2143" s="1">
        <v>2230</v>
      </c>
      <c r="BU2143" s="1" t="s">
        <v>109</v>
      </c>
      <c r="BV2143" s="1"/>
      <c r="BW2143" s="1"/>
      <c r="BX2143" s="1"/>
      <c r="BY2143" s="1"/>
      <c r="BZ2143" s="1">
        <v>0</v>
      </c>
      <c r="CA2143" s="1" t="s">
        <v>109</v>
      </c>
      <c r="CB2143" s="1" t="s">
        <v>109</v>
      </c>
      <c r="CC2143" s="1">
        <v>5</v>
      </c>
      <c r="CD2143" s="1">
        <v>3</v>
      </c>
      <c r="CE2143" s="1">
        <v>5</v>
      </c>
      <c r="CF2143" s="1">
        <v>4</v>
      </c>
      <c r="CG2143" s="1">
        <v>4</v>
      </c>
      <c r="CH2143" s="1" t="s">
        <v>109</v>
      </c>
      <c r="CI2143" s="1" t="s">
        <v>109</v>
      </c>
      <c r="CJ2143" s="1" t="s">
        <v>109</v>
      </c>
      <c r="CK2143" s="1"/>
      <c r="CL2143" s="1">
        <v>0</v>
      </c>
      <c r="CM2143" s="1">
        <v>0</v>
      </c>
      <c r="CN2143" s="1">
        <v>0</v>
      </c>
    </row>
    <row r="2144" spans="1:92" ht="14.25" customHeight="1" x14ac:dyDescent="0.15">
      <c r="A2144" s="1" t="s">
        <v>15562</v>
      </c>
      <c r="B2144" s="1" t="s">
        <v>308</v>
      </c>
      <c r="C2144" s="1"/>
      <c r="D2144" s="1"/>
      <c r="E2144" s="1" t="s">
        <v>15563</v>
      </c>
      <c r="F2144" s="1" t="s">
        <v>98</v>
      </c>
      <c r="G2144" s="1" t="s">
        <v>141</v>
      </c>
      <c r="H2144" s="1">
        <v>0</v>
      </c>
      <c r="I2144" s="1" t="s">
        <v>122</v>
      </c>
      <c r="J2144" s="1"/>
      <c r="K2144" s="1"/>
      <c r="L2144" s="1" t="s">
        <v>1391</v>
      </c>
      <c r="M2144" s="1" t="s">
        <v>815</v>
      </c>
      <c r="N2144" s="1">
        <v>1</v>
      </c>
      <c r="O2144" s="1">
        <v>0</v>
      </c>
      <c r="P2144" s="1" t="s">
        <v>301</v>
      </c>
      <c r="Q2144" s="1" t="s">
        <v>268</v>
      </c>
      <c r="R2144" s="1" t="s">
        <v>15564</v>
      </c>
      <c r="S2144" s="1" t="s">
        <v>15565</v>
      </c>
      <c r="T2144" s="1" t="s">
        <v>14784</v>
      </c>
      <c r="U2144" s="1" t="s">
        <v>15566</v>
      </c>
      <c r="V2144" s="1">
        <v>1</v>
      </c>
      <c r="W2144" s="1">
        <v>1</v>
      </c>
      <c r="X2144" s="1">
        <v>0</v>
      </c>
      <c r="Y2144" s="1">
        <v>0</v>
      </c>
      <c r="Z2144" s="1">
        <v>0</v>
      </c>
      <c r="AA2144" s="1">
        <v>8</v>
      </c>
      <c r="AB2144" s="1">
        <v>8</v>
      </c>
      <c r="AC2144" s="1" t="s">
        <v>109</v>
      </c>
      <c r="AD2144" s="1" t="s">
        <v>109</v>
      </c>
      <c r="AE2144" s="1" t="s">
        <v>109</v>
      </c>
      <c r="AF2144" s="1" t="s">
        <v>109</v>
      </c>
      <c r="AG2144" s="1" t="s">
        <v>109</v>
      </c>
      <c r="AH2144" s="1" t="s">
        <v>109</v>
      </c>
      <c r="AI2144" s="1" t="s">
        <v>109</v>
      </c>
      <c r="AJ2144" s="1">
        <v>8</v>
      </c>
      <c r="AK2144" s="1" t="s">
        <v>109</v>
      </c>
      <c r="AL2144" s="1" t="s">
        <v>109</v>
      </c>
      <c r="AM2144" s="1" t="s">
        <v>109</v>
      </c>
      <c r="AN2144" s="1" t="s">
        <v>109</v>
      </c>
      <c r="AO2144" s="1" t="s">
        <v>109</v>
      </c>
      <c r="AP2144" s="1"/>
      <c r="AQ2144" s="1">
        <v>8</v>
      </c>
      <c r="AR2144" s="1"/>
      <c r="AS2144" s="1" t="s">
        <v>15567</v>
      </c>
      <c r="AT2144" s="1">
        <v>0</v>
      </c>
      <c r="AU2144" s="1">
        <v>0</v>
      </c>
      <c r="AV2144" s="1">
        <v>0</v>
      </c>
      <c r="AW2144" s="1">
        <v>0</v>
      </c>
      <c r="AX2144" s="1">
        <v>0</v>
      </c>
      <c r="AY2144" s="1">
        <v>0</v>
      </c>
      <c r="AZ2144" s="1">
        <v>0</v>
      </c>
      <c r="BA2144" s="1">
        <v>0</v>
      </c>
      <c r="BB2144" s="1">
        <v>0</v>
      </c>
      <c r="BC2144" s="1">
        <v>0</v>
      </c>
      <c r="BD2144" s="1">
        <v>0</v>
      </c>
      <c r="BE2144" s="1">
        <v>0</v>
      </c>
      <c r="BF2144" s="1">
        <v>0</v>
      </c>
      <c r="BG2144" s="1">
        <v>0</v>
      </c>
      <c r="BH2144" s="1">
        <v>0</v>
      </c>
      <c r="BI2144" s="1">
        <v>0</v>
      </c>
      <c r="BJ2144" s="1">
        <v>0</v>
      </c>
      <c r="BK2144" s="1">
        <v>0</v>
      </c>
      <c r="BL2144" s="1">
        <v>0</v>
      </c>
      <c r="BM2144" s="1">
        <v>0</v>
      </c>
      <c r="BN2144" s="1">
        <v>0</v>
      </c>
      <c r="BO2144" s="1">
        <v>0</v>
      </c>
      <c r="BP2144" s="1">
        <v>0</v>
      </c>
      <c r="BQ2144" s="1">
        <v>0</v>
      </c>
      <c r="BR2144" s="1">
        <v>0</v>
      </c>
      <c r="BS2144" s="1" t="s">
        <v>109</v>
      </c>
      <c r="BT2144" s="1">
        <v>2231</v>
      </c>
      <c r="BU2144" s="1" t="s">
        <v>109</v>
      </c>
      <c r="BV2144" s="1"/>
      <c r="BW2144" s="1"/>
      <c r="BX2144" s="1"/>
      <c r="BY2144" s="1"/>
      <c r="BZ2144" s="1">
        <v>0</v>
      </c>
      <c r="CA2144" s="1" t="s">
        <v>109</v>
      </c>
      <c r="CB2144" s="1" t="s">
        <v>109</v>
      </c>
      <c r="CC2144" s="1">
        <v>8</v>
      </c>
      <c r="CD2144" s="1" t="s">
        <v>109</v>
      </c>
      <c r="CE2144" s="1" t="s">
        <v>109</v>
      </c>
      <c r="CF2144" s="1">
        <v>6</v>
      </c>
      <c r="CG2144" s="1">
        <v>6</v>
      </c>
      <c r="CH2144" s="1" t="s">
        <v>109</v>
      </c>
      <c r="CI2144" s="1" t="s">
        <v>109</v>
      </c>
      <c r="CJ2144" s="1" t="s">
        <v>109</v>
      </c>
      <c r="CK2144" s="1"/>
      <c r="CL2144" s="1">
        <v>0</v>
      </c>
      <c r="CM2144" s="1">
        <v>0</v>
      </c>
      <c r="CN2144" s="1">
        <v>0</v>
      </c>
    </row>
    <row r="2145" spans="1:92" ht="14.25" customHeight="1" x14ac:dyDescent="0.15">
      <c r="A2145" s="1" t="s">
        <v>15568</v>
      </c>
      <c r="B2145" s="1" t="s">
        <v>156</v>
      </c>
      <c r="C2145" s="1" t="s">
        <v>157</v>
      </c>
      <c r="D2145" s="1" t="s">
        <v>158</v>
      </c>
      <c r="E2145" s="1" t="s">
        <v>15569</v>
      </c>
      <c r="F2145" s="1" t="s">
        <v>98</v>
      </c>
      <c r="G2145" s="1" t="s">
        <v>2345</v>
      </c>
      <c r="H2145" s="1">
        <v>0</v>
      </c>
      <c r="I2145" s="1" t="s">
        <v>142</v>
      </c>
      <c r="J2145" s="1"/>
      <c r="K2145" s="1"/>
      <c r="L2145" s="1" t="s">
        <v>15570</v>
      </c>
      <c r="M2145" s="1" t="s">
        <v>3042</v>
      </c>
      <c r="N2145" s="1">
        <v>0</v>
      </c>
      <c r="O2145" s="1">
        <v>0</v>
      </c>
      <c r="P2145" s="1" t="s">
        <v>301</v>
      </c>
      <c r="Q2145" s="1" t="s">
        <v>268</v>
      </c>
      <c r="R2145" s="1" t="s">
        <v>15571</v>
      </c>
      <c r="S2145" s="1" t="s">
        <v>15572</v>
      </c>
      <c r="T2145" s="1" t="s">
        <v>14784</v>
      </c>
      <c r="U2145" s="1" t="s">
        <v>15573</v>
      </c>
      <c r="V2145" s="1">
        <v>0</v>
      </c>
      <c r="W2145" s="1">
        <v>1</v>
      </c>
      <c r="X2145" s="1">
        <v>0</v>
      </c>
      <c r="Y2145" s="1">
        <v>0</v>
      </c>
      <c r="Z2145" s="1">
        <v>0</v>
      </c>
      <c r="AA2145" s="1" t="s">
        <v>109</v>
      </c>
      <c r="AB2145" s="1" t="s">
        <v>109</v>
      </c>
      <c r="AC2145" s="1" t="s">
        <v>109</v>
      </c>
      <c r="AD2145" s="1">
        <v>6</v>
      </c>
      <c r="AE2145" s="1" t="s">
        <v>109</v>
      </c>
      <c r="AF2145" s="1" t="s">
        <v>109</v>
      </c>
      <c r="AG2145" s="1" t="s">
        <v>109</v>
      </c>
      <c r="AH2145" s="1" t="s">
        <v>109</v>
      </c>
      <c r="AI2145" s="1" t="s">
        <v>109</v>
      </c>
      <c r="AJ2145" s="1">
        <v>7</v>
      </c>
      <c r="AK2145" s="1" t="s">
        <v>109</v>
      </c>
      <c r="AL2145" s="1" t="s">
        <v>109</v>
      </c>
      <c r="AM2145" s="1" t="s">
        <v>109</v>
      </c>
      <c r="AN2145" s="1" t="s">
        <v>109</v>
      </c>
      <c r="AO2145" s="1" t="s">
        <v>109</v>
      </c>
      <c r="AP2145" s="1"/>
      <c r="AQ2145" s="1">
        <v>6</v>
      </c>
      <c r="AR2145" s="1"/>
      <c r="AS2145" s="1" t="s">
        <v>15574</v>
      </c>
      <c r="AT2145" s="1">
        <v>0</v>
      </c>
      <c r="AU2145" s="1">
        <v>0</v>
      </c>
      <c r="AV2145" s="1">
        <v>0</v>
      </c>
      <c r="AW2145" s="1">
        <v>0</v>
      </c>
      <c r="AX2145" s="1">
        <v>0</v>
      </c>
      <c r="AY2145" s="1">
        <v>0</v>
      </c>
      <c r="AZ2145" s="1">
        <v>0</v>
      </c>
      <c r="BA2145" s="1">
        <v>0</v>
      </c>
      <c r="BB2145" s="1">
        <v>0</v>
      </c>
      <c r="BC2145" s="1">
        <v>0</v>
      </c>
      <c r="BD2145" s="1">
        <v>0</v>
      </c>
      <c r="BE2145" s="1">
        <v>0</v>
      </c>
      <c r="BF2145" s="1">
        <v>0</v>
      </c>
      <c r="BG2145" s="1">
        <v>0</v>
      </c>
      <c r="BH2145" s="1">
        <v>0</v>
      </c>
      <c r="BI2145" s="1">
        <v>0</v>
      </c>
      <c r="BJ2145" s="1">
        <v>0</v>
      </c>
      <c r="BK2145" s="1">
        <v>0</v>
      </c>
      <c r="BL2145" s="1">
        <v>0</v>
      </c>
      <c r="BM2145" s="1">
        <v>1</v>
      </c>
      <c r="BN2145" s="1">
        <v>0</v>
      </c>
      <c r="BO2145" s="1">
        <v>0</v>
      </c>
      <c r="BP2145" s="1">
        <v>0</v>
      </c>
      <c r="BQ2145" s="1">
        <v>0</v>
      </c>
      <c r="BR2145" s="1">
        <v>0</v>
      </c>
      <c r="BS2145" s="1" t="s">
        <v>109</v>
      </c>
      <c r="BT2145" s="1">
        <v>2232</v>
      </c>
      <c r="BU2145" s="1" t="s">
        <v>109</v>
      </c>
      <c r="BV2145" s="1"/>
      <c r="BW2145" s="1"/>
      <c r="BX2145" s="1"/>
      <c r="BY2145" s="1"/>
      <c r="BZ2145" s="1">
        <v>0</v>
      </c>
      <c r="CA2145" s="1" t="s">
        <v>109</v>
      </c>
      <c r="CB2145" s="1">
        <v>6</v>
      </c>
      <c r="CC2145" s="1">
        <v>6</v>
      </c>
      <c r="CD2145" s="1" t="s">
        <v>109</v>
      </c>
      <c r="CE2145" s="1">
        <v>5</v>
      </c>
      <c r="CF2145" s="1" t="s">
        <v>109</v>
      </c>
      <c r="CG2145" s="1" t="s">
        <v>109</v>
      </c>
      <c r="CH2145" s="1" t="s">
        <v>109</v>
      </c>
      <c r="CI2145" s="1" t="s">
        <v>109</v>
      </c>
      <c r="CJ2145" s="1">
        <v>6</v>
      </c>
      <c r="CK2145" s="1"/>
      <c r="CL2145" s="1">
        <v>0</v>
      </c>
      <c r="CM2145" s="1">
        <v>0</v>
      </c>
      <c r="CN2145" s="1">
        <v>0</v>
      </c>
    </row>
    <row r="2146" spans="1:92" ht="14.25" customHeight="1" x14ac:dyDescent="0.15">
      <c r="A2146" s="1" t="s">
        <v>15575</v>
      </c>
      <c r="B2146" s="1" t="s">
        <v>674</v>
      </c>
      <c r="C2146" s="1" t="s">
        <v>1715</v>
      </c>
      <c r="D2146" s="1" t="s">
        <v>158</v>
      </c>
      <c r="E2146" s="1" t="s">
        <v>15576</v>
      </c>
      <c r="F2146" s="1" t="s">
        <v>6545</v>
      </c>
      <c r="G2146" s="1" t="s">
        <v>141</v>
      </c>
      <c r="H2146" s="1">
        <v>0</v>
      </c>
      <c r="I2146" s="1" t="s">
        <v>235</v>
      </c>
      <c r="J2146" s="1"/>
      <c r="K2146" s="1"/>
      <c r="L2146" s="1" t="s">
        <v>236</v>
      </c>
      <c r="M2146" s="1" t="s">
        <v>947</v>
      </c>
      <c r="N2146" s="1">
        <v>0</v>
      </c>
      <c r="O2146" s="1">
        <v>0</v>
      </c>
      <c r="P2146" s="1" t="s">
        <v>103</v>
      </c>
      <c r="Q2146" s="1" t="s">
        <v>104</v>
      </c>
      <c r="R2146" s="1" t="s">
        <v>15577</v>
      </c>
      <c r="S2146" s="1" t="s">
        <v>15578</v>
      </c>
      <c r="T2146" s="1" t="s">
        <v>14784</v>
      </c>
      <c r="U2146" s="1" t="s">
        <v>15579</v>
      </c>
      <c r="V2146" s="1">
        <v>1</v>
      </c>
      <c r="W2146" s="1">
        <v>1</v>
      </c>
      <c r="X2146" s="1">
        <v>0</v>
      </c>
      <c r="Y2146" s="1">
        <v>0</v>
      </c>
      <c r="Z2146" s="1">
        <v>0</v>
      </c>
      <c r="AA2146" s="1">
        <v>6</v>
      </c>
      <c r="AB2146" s="1">
        <v>6</v>
      </c>
      <c r="AC2146" s="1" t="s">
        <v>109</v>
      </c>
      <c r="AD2146" s="1" t="s">
        <v>109</v>
      </c>
      <c r="AE2146" s="1" t="s">
        <v>109</v>
      </c>
      <c r="AF2146" s="1" t="s">
        <v>109</v>
      </c>
      <c r="AG2146" s="1" t="s">
        <v>109</v>
      </c>
      <c r="AH2146" s="1" t="s">
        <v>109</v>
      </c>
      <c r="AI2146" s="1" t="s">
        <v>109</v>
      </c>
      <c r="AJ2146" s="1" t="s">
        <v>109</v>
      </c>
      <c r="AK2146" s="1" t="s">
        <v>109</v>
      </c>
      <c r="AL2146" s="1" t="s">
        <v>109</v>
      </c>
      <c r="AM2146" s="1" t="s">
        <v>109</v>
      </c>
      <c r="AN2146" s="1" t="s">
        <v>109</v>
      </c>
      <c r="AO2146" s="1" t="s">
        <v>109</v>
      </c>
      <c r="AP2146" s="1"/>
      <c r="AQ2146" s="1">
        <v>6</v>
      </c>
      <c r="AR2146" s="1"/>
      <c r="AS2146" s="1" t="s">
        <v>15580</v>
      </c>
      <c r="AT2146" s="1">
        <v>0</v>
      </c>
      <c r="AU2146" s="1">
        <v>0</v>
      </c>
      <c r="AV2146" s="1">
        <v>0</v>
      </c>
      <c r="AW2146" s="1">
        <v>0</v>
      </c>
      <c r="AX2146" s="1">
        <v>0</v>
      </c>
      <c r="AY2146" s="1">
        <v>0</v>
      </c>
      <c r="AZ2146" s="1">
        <v>0</v>
      </c>
      <c r="BA2146" s="1">
        <v>0</v>
      </c>
      <c r="BB2146" s="1">
        <v>0</v>
      </c>
      <c r="BC2146" s="1">
        <v>0</v>
      </c>
      <c r="BD2146" s="1">
        <v>0</v>
      </c>
      <c r="BE2146" s="1">
        <v>0</v>
      </c>
      <c r="BF2146" s="1">
        <v>0</v>
      </c>
      <c r="BG2146" s="1">
        <v>0</v>
      </c>
      <c r="BH2146" s="1">
        <v>0</v>
      </c>
      <c r="BI2146" s="1">
        <v>0</v>
      </c>
      <c r="BJ2146" s="1">
        <v>0</v>
      </c>
      <c r="BK2146" s="1">
        <v>0</v>
      </c>
      <c r="BL2146" s="1">
        <v>0</v>
      </c>
      <c r="BM2146" s="1">
        <v>1</v>
      </c>
      <c r="BN2146" s="1">
        <v>0</v>
      </c>
      <c r="BO2146" s="1">
        <v>0</v>
      </c>
      <c r="BP2146" s="1">
        <v>0</v>
      </c>
      <c r="BQ2146" s="1">
        <v>0</v>
      </c>
      <c r="BR2146" s="1">
        <v>0</v>
      </c>
      <c r="BS2146" s="1" t="s">
        <v>109</v>
      </c>
      <c r="BT2146" s="1">
        <v>2233</v>
      </c>
      <c r="BU2146" s="1" t="s">
        <v>109</v>
      </c>
      <c r="BV2146" s="1"/>
      <c r="BW2146" s="1" t="s">
        <v>15581</v>
      </c>
      <c r="BX2146" s="1"/>
      <c r="BY2146" s="1"/>
      <c r="BZ2146" s="1">
        <v>0</v>
      </c>
      <c r="CA2146" s="1" t="s">
        <v>109</v>
      </c>
      <c r="CB2146" s="1" t="s">
        <v>109</v>
      </c>
      <c r="CC2146" s="1">
        <v>5</v>
      </c>
      <c r="CD2146" s="1" t="s">
        <v>109</v>
      </c>
      <c r="CE2146" s="1">
        <v>5</v>
      </c>
      <c r="CF2146" s="1" t="s">
        <v>109</v>
      </c>
      <c r="CG2146" s="1" t="s">
        <v>109</v>
      </c>
      <c r="CH2146" s="1" t="s">
        <v>109</v>
      </c>
      <c r="CI2146" s="1" t="s">
        <v>109</v>
      </c>
      <c r="CJ2146" s="1" t="s">
        <v>109</v>
      </c>
      <c r="CK2146" s="1"/>
      <c r="CL2146" s="1">
        <v>0</v>
      </c>
      <c r="CM2146" s="1">
        <v>0</v>
      </c>
      <c r="CN2146" s="1">
        <v>0</v>
      </c>
    </row>
    <row r="2147" spans="1:92" ht="14.25" customHeight="1" x14ac:dyDescent="0.15">
      <c r="A2147" s="1" t="s">
        <v>15582</v>
      </c>
      <c r="B2147" s="1" t="s">
        <v>308</v>
      </c>
      <c r="C2147" s="1"/>
      <c r="D2147" s="1" t="s">
        <v>158</v>
      </c>
      <c r="E2147" s="1" t="s">
        <v>15195</v>
      </c>
      <c r="F2147" s="1" t="s">
        <v>98</v>
      </c>
      <c r="G2147" s="1" t="s">
        <v>2345</v>
      </c>
      <c r="H2147" s="1">
        <v>0</v>
      </c>
      <c r="I2147" s="1" t="s">
        <v>142</v>
      </c>
      <c r="J2147" s="1"/>
      <c r="K2147" s="1"/>
      <c r="L2147" s="1" t="s">
        <v>1391</v>
      </c>
      <c r="M2147" s="1" t="s">
        <v>144</v>
      </c>
      <c r="N2147" s="1">
        <v>0</v>
      </c>
      <c r="O2147" s="1">
        <v>0</v>
      </c>
      <c r="P2147" s="1" t="s">
        <v>15583</v>
      </c>
      <c r="Q2147" s="1" t="s">
        <v>268</v>
      </c>
      <c r="R2147" s="1" t="s">
        <v>15584</v>
      </c>
      <c r="S2147" s="1" t="s">
        <v>15585</v>
      </c>
      <c r="T2147" s="1" t="s">
        <v>14784</v>
      </c>
      <c r="U2147" s="1" t="s">
        <v>15586</v>
      </c>
      <c r="V2147" s="1">
        <v>0</v>
      </c>
      <c r="W2147" s="1">
        <v>1</v>
      </c>
      <c r="X2147" s="1">
        <v>0</v>
      </c>
      <c r="Y2147" s="1">
        <v>0</v>
      </c>
      <c r="Z2147" s="1">
        <v>0</v>
      </c>
      <c r="AA2147" s="1" t="s">
        <v>109</v>
      </c>
      <c r="AB2147" s="1" t="s">
        <v>109</v>
      </c>
      <c r="AC2147" s="1" t="s">
        <v>109</v>
      </c>
      <c r="AD2147" s="1" t="s">
        <v>109</v>
      </c>
      <c r="AE2147" s="1" t="s">
        <v>109</v>
      </c>
      <c r="AF2147" s="1" t="s">
        <v>109</v>
      </c>
      <c r="AG2147" s="1" t="s">
        <v>109</v>
      </c>
      <c r="AH2147" s="1" t="s">
        <v>109</v>
      </c>
      <c r="AI2147" s="1" t="s">
        <v>109</v>
      </c>
      <c r="AJ2147" s="1" t="s">
        <v>109</v>
      </c>
      <c r="AK2147" s="1" t="s">
        <v>109</v>
      </c>
      <c r="AL2147" s="1" t="s">
        <v>109</v>
      </c>
      <c r="AM2147" s="1" t="s">
        <v>109</v>
      </c>
      <c r="AN2147" s="1" t="s">
        <v>109</v>
      </c>
      <c r="AO2147" s="1" t="s">
        <v>109</v>
      </c>
      <c r="AP2147" s="1"/>
      <c r="AQ2147" s="1">
        <v>5</v>
      </c>
      <c r="AR2147" s="1"/>
      <c r="AS2147" s="1" t="s">
        <v>15587</v>
      </c>
      <c r="AT2147" s="1">
        <v>0</v>
      </c>
      <c r="AU2147" s="1">
        <v>0</v>
      </c>
      <c r="AV2147" s="1">
        <v>0</v>
      </c>
      <c r="AW2147" s="1">
        <v>0</v>
      </c>
      <c r="AX2147" s="1">
        <v>0</v>
      </c>
      <c r="AY2147" s="1">
        <v>0</v>
      </c>
      <c r="AZ2147" s="1">
        <v>0</v>
      </c>
      <c r="BA2147" s="1">
        <v>0</v>
      </c>
      <c r="BB2147" s="1">
        <v>0</v>
      </c>
      <c r="BC2147" s="1">
        <v>0</v>
      </c>
      <c r="BD2147" s="1">
        <v>0</v>
      </c>
      <c r="BE2147" s="1">
        <v>0</v>
      </c>
      <c r="BF2147" s="1">
        <v>0</v>
      </c>
      <c r="BG2147" s="1">
        <v>0</v>
      </c>
      <c r="BH2147" s="1">
        <v>0</v>
      </c>
      <c r="BI2147" s="1">
        <v>0</v>
      </c>
      <c r="BJ2147" s="1">
        <v>0</v>
      </c>
      <c r="BK2147" s="1">
        <v>0</v>
      </c>
      <c r="BL2147" s="1">
        <v>0</v>
      </c>
      <c r="BM2147" s="1">
        <v>1</v>
      </c>
      <c r="BN2147" s="1">
        <v>0</v>
      </c>
      <c r="BO2147" s="1">
        <v>0</v>
      </c>
      <c r="BP2147" s="1">
        <v>0</v>
      </c>
      <c r="BQ2147" s="1">
        <v>0</v>
      </c>
      <c r="BR2147" s="1">
        <v>0</v>
      </c>
      <c r="BS2147" s="1" t="s">
        <v>109</v>
      </c>
      <c r="BT2147" s="1">
        <v>2234</v>
      </c>
      <c r="BU2147" s="1" t="s">
        <v>109</v>
      </c>
      <c r="BV2147" s="1" t="s">
        <v>15588</v>
      </c>
      <c r="BW2147" s="1"/>
      <c r="BX2147" s="1"/>
      <c r="BY2147" s="1"/>
      <c r="BZ2147" s="1">
        <v>0</v>
      </c>
      <c r="CA2147" s="1" t="s">
        <v>109</v>
      </c>
      <c r="CB2147" s="1" t="s">
        <v>109</v>
      </c>
      <c r="CC2147" s="1">
        <v>5</v>
      </c>
      <c r="CD2147" s="1" t="s">
        <v>109</v>
      </c>
      <c r="CE2147" s="1" t="s">
        <v>109</v>
      </c>
      <c r="CF2147" s="1" t="s">
        <v>109</v>
      </c>
      <c r="CG2147" s="1" t="s">
        <v>109</v>
      </c>
      <c r="CH2147" s="1" t="s">
        <v>109</v>
      </c>
      <c r="CI2147" s="1" t="s">
        <v>109</v>
      </c>
      <c r="CJ2147" s="1" t="s">
        <v>109</v>
      </c>
      <c r="CK2147" s="1"/>
      <c r="CL2147" s="1">
        <v>0</v>
      </c>
      <c r="CM2147" s="1">
        <v>0</v>
      </c>
      <c r="CN2147" s="1">
        <v>0</v>
      </c>
    </row>
    <row r="2148" spans="1:92" ht="14.25" customHeight="1" x14ac:dyDescent="0.15">
      <c r="A2148" s="1" t="s">
        <v>15589</v>
      </c>
      <c r="B2148" s="1" t="s">
        <v>308</v>
      </c>
      <c r="C2148" s="1"/>
      <c r="D2148" s="1" t="s">
        <v>158</v>
      </c>
      <c r="E2148" s="1" t="s">
        <v>15201</v>
      </c>
      <c r="F2148" s="1" t="s">
        <v>98</v>
      </c>
      <c r="G2148" s="1" t="s">
        <v>2345</v>
      </c>
      <c r="H2148" s="1">
        <v>0</v>
      </c>
      <c r="I2148" s="1" t="s">
        <v>142</v>
      </c>
      <c r="J2148" s="1"/>
      <c r="K2148" s="1"/>
      <c r="L2148" s="1" t="s">
        <v>1391</v>
      </c>
      <c r="M2148" s="1" t="s">
        <v>144</v>
      </c>
      <c r="N2148" s="1">
        <v>0</v>
      </c>
      <c r="O2148" s="1">
        <v>0</v>
      </c>
      <c r="P2148" s="1" t="s">
        <v>15583</v>
      </c>
      <c r="Q2148" s="1" t="s">
        <v>268</v>
      </c>
      <c r="R2148" s="1" t="s">
        <v>15590</v>
      </c>
      <c r="S2148" s="1" t="s">
        <v>15591</v>
      </c>
      <c r="T2148" s="1" t="s">
        <v>14784</v>
      </c>
      <c r="U2148" s="1" t="s">
        <v>15592</v>
      </c>
      <c r="V2148" s="1">
        <v>0</v>
      </c>
      <c r="W2148" s="1">
        <v>1</v>
      </c>
      <c r="X2148" s="1">
        <v>0</v>
      </c>
      <c r="Y2148" s="1">
        <v>0</v>
      </c>
      <c r="Z2148" s="1">
        <v>0</v>
      </c>
      <c r="AA2148" s="1" t="s">
        <v>109</v>
      </c>
      <c r="AB2148" s="1" t="s">
        <v>109</v>
      </c>
      <c r="AC2148" s="1" t="s">
        <v>109</v>
      </c>
      <c r="AD2148" s="1" t="s">
        <v>109</v>
      </c>
      <c r="AE2148" s="1" t="s">
        <v>109</v>
      </c>
      <c r="AF2148" s="1" t="s">
        <v>109</v>
      </c>
      <c r="AG2148" s="1" t="s">
        <v>109</v>
      </c>
      <c r="AH2148" s="1" t="s">
        <v>109</v>
      </c>
      <c r="AI2148" s="1" t="s">
        <v>109</v>
      </c>
      <c r="AJ2148" s="1" t="s">
        <v>109</v>
      </c>
      <c r="AK2148" s="1" t="s">
        <v>109</v>
      </c>
      <c r="AL2148" s="1" t="s">
        <v>109</v>
      </c>
      <c r="AM2148" s="1" t="s">
        <v>109</v>
      </c>
      <c r="AN2148" s="1" t="s">
        <v>109</v>
      </c>
      <c r="AO2148" s="1" t="s">
        <v>109</v>
      </c>
      <c r="AP2148" s="1"/>
      <c r="AQ2148" s="1">
        <v>6</v>
      </c>
      <c r="AR2148" s="1"/>
      <c r="AS2148" s="1" t="s">
        <v>15593</v>
      </c>
      <c r="AT2148" s="1">
        <v>0</v>
      </c>
      <c r="AU2148" s="1">
        <v>0</v>
      </c>
      <c r="AV2148" s="1">
        <v>0</v>
      </c>
      <c r="AW2148" s="1">
        <v>0</v>
      </c>
      <c r="AX2148" s="1">
        <v>0</v>
      </c>
      <c r="AY2148" s="1">
        <v>0</v>
      </c>
      <c r="AZ2148" s="1">
        <v>0</v>
      </c>
      <c r="BA2148" s="1">
        <v>0</v>
      </c>
      <c r="BB2148" s="1">
        <v>0</v>
      </c>
      <c r="BC2148" s="1">
        <v>0</v>
      </c>
      <c r="BD2148" s="1">
        <v>0</v>
      </c>
      <c r="BE2148" s="1">
        <v>0</v>
      </c>
      <c r="BF2148" s="1">
        <v>0</v>
      </c>
      <c r="BG2148" s="1">
        <v>0</v>
      </c>
      <c r="BH2148" s="1">
        <v>0</v>
      </c>
      <c r="BI2148" s="1">
        <v>0</v>
      </c>
      <c r="BJ2148" s="1">
        <v>0</v>
      </c>
      <c r="BK2148" s="1">
        <v>0</v>
      </c>
      <c r="BL2148" s="1">
        <v>0</v>
      </c>
      <c r="BM2148" s="1">
        <v>1</v>
      </c>
      <c r="BN2148" s="1">
        <v>0</v>
      </c>
      <c r="BO2148" s="1">
        <v>0</v>
      </c>
      <c r="BP2148" s="1">
        <v>0</v>
      </c>
      <c r="BQ2148" s="1">
        <v>0</v>
      </c>
      <c r="BR2148" s="1">
        <v>0</v>
      </c>
      <c r="BS2148" s="1" t="s">
        <v>109</v>
      </c>
      <c r="BT2148" s="1">
        <v>2235</v>
      </c>
      <c r="BU2148" s="1" t="s">
        <v>109</v>
      </c>
      <c r="BV2148" s="1"/>
      <c r="BW2148" s="1"/>
      <c r="BX2148" s="1"/>
      <c r="BY2148" s="1"/>
      <c r="BZ2148" s="1">
        <v>0</v>
      </c>
      <c r="CA2148" s="1" t="s">
        <v>109</v>
      </c>
      <c r="CB2148" s="1" t="s">
        <v>109</v>
      </c>
      <c r="CC2148" s="1">
        <v>6</v>
      </c>
      <c r="CD2148" s="1" t="s">
        <v>109</v>
      </c>
      <c r="CE2148" s="1" t="s">
        <v>109</v>
      </c>
      <c r="CF2148" s="1" t="s">
        <v>109</v>
      </c>
      <c r="CG2148" s="1" t="s">
        <v>109</v>
      </c>
      <c r="CH2148" s="1" t="s">
        <v>109</v>
      </c>
      <c r="CI2148" s="1" t="s">
        <v>109</v>
      </c>
      <c r="CJ2148" s="1" t="s">
        <v>109</v>
      </c>
      <c r="CK2148" s="1"/>
      <c r="CL2148" s="1">
        <v>0</v>
      </c>
      <c r="CM2148" s="1">
        <v>0</v>
      </c>
      <c r="CN2148" s="1">
        <v>0</v>
      </c>
    </row>
    <row r="2149" spans="1:92" ht="14.25" customHeight="1" x14ac:dyDescent="0.15">
      <c r="A2149" s="1" t="s">
        <v>15594</v>
      </c>
      <c r="B2149" s="1" t="s">
        <v>308</v>
      </c>
      <c r="C2149" s="1"/>
      <c r="D2149" s="1" t="s">
        <v>158</v>
      </c>
      <c r="E2149" s="1" t="s">
        <v>15207</v>
      </c>
      <c r="F2149" s="1" t="s">
        <v>98</v>
      </c>
      <c r="G2149" s="1" t="s">
        <v>2345</v>
      </c>
      <c r="H2149" s="1">
        <v>0</v>
      </c>
      <c r="I2149" s="1" t="s">
        <v>142</v>
      </c>
      <c r="J2149" s="1"/>
      <c r="K2149" s="1"/>
      <c r="L2149" s="1" t="s">
        <v>1391</v>
      </c>
      <c r="M2149" s="1" t="s">
        <v>144</v>
      </c>
      <c r="N2149" s="1">
        <v>0</v>
      </c>
      <c r="O2149" s="1">
        <v>0</v>
      </c>
      <c r="P2149" s="1" t="s">
        <v>15583</v>
      </c>
      <c r="Q2149" s="1" t="s">
        <v>268</v>
      </c>
      <c r="R2149" s="1" t="s">
        <v>15595</v>
      </c>
      <c r="S2149" s="1" t="s">
        <v>15596</v>
      </c>
      <c r="T2149" s="1" t="s">
        <v>14784</v>
      </c>
      <c r="U2149" s="1" t="s">
        <v>15597</v>
      </c>
      <c r="V2149" s="1">
        <v>0</v>
      </c>
      <c r="W2149" s="1">
        <v>1</v>
      </c>
      <c r="X2149" s="1">
        <v>0</v>
      </c>
      <c r="Y2149" s="1">
        <v>0</v>
      </c>
      <c r="Z2149" s="1">
        <v>0</v>
      </c>
      <c r="AA2149" s="1" t="s">
        <v>109</v>
      </c>
      <c r="AB2149" s="1" t="s">
        <v>109</v>
      </c>
      <c r="AC2149" s="1" t="s">
        <v>109</v>
      </c>
      <c r="AD2149" s="1" t="s">
        <v>109</v>
      </c>
      <c r="AE2149" s="1" t="s">
        <v>109</v>
      </c>
      <c r="AF2149" s="1" t="s">
        <v>109</v>
      </c>
      <c r="AG2149" s="1" t="s">
        <v>109</v>
      </c>
      <c r="AH2149" s="1" t="s">
        <v>109</v>
      </c>
      <c r="AI2149" s="1" t="s">
        <v>109</v>
      </c>
      <c r="AJ2149" s="1" t="s">
        <v>109</v>
      </c>
      <c r="AK2149" s="1" t="s">
        <v>109</v>
      </c>
      <c r="AL2149" s="1" t="s">
        <v>109</v>
      </c>
      <c r="AM2149" s="1" t="s">
        <v>109</v>
      </c>
      <c r="AN2149" s="1" t="s">
        <v>109</v>
      </c>
      <c r="AO2149" s="1" t="s">
        <v>109</v>
      </c>
      <c r="AP2149" s="1"/>
      <c r="AQ2149" s="1">
        <v>7</v>
      </c>
      <c r="AR2149" s="1"/>
      <c r="AS2149" s="1" t="s">
        <v>15598</v>
      </c>
      <c r="AT2149" s="1">
        <v>0</v>
      </c>
      <c r="AU2149" s="1">
        <v>0</v>
      </c>
      <c r="AV2149" s="1">
        <v>0</v>
      </c>
      <c r="AW2149" s="1">
        <v>0</v>
      </c>
      <c r="AX2149" s="1">
        <v>0</v>
      </c>
      <c r="AY2149" s="1">
        <v>0</v>
      </c>
      <c r="AZ2149" s="1">
        <v>0</v>
      </c>
      <c r="BA2149" s="1">
        <v>0</v>
      </c>
      <c r="BB2149" s="1">
        <v>0</v>
      </c>
      <c r="BC2149" s="1">
        <v>0</v>
      </c>
      <c r="BD2149" s="1">
        <v>0</v>
      </c>
      <c r="BE2149" s="1">
        <v>0</v>
      </c>
      <c r="BF2149" s="1">
        <v>0</v>
      </c>
      <c r="BG2149" s="1">
        <v>0</v>
      </c>
      <c r="BH2149" s="1">
        <v>0</v>
      </c>
      <c r="BI2149" s="1">
        <v>0</v>
      </c>
      <c r="BJ2149" s="1">
        <v>0</v>
      </c>
      <c r="BK2149" s="1">
        <v>0</v>
      </c>
      <c r="BL2149" s="1">
        <v>0</v>
      </c>
      <c r="BM2149" s="1">
        <v>1</v>
      </c>
      <c r="BN2149" s="1">
        <v>0</v>
      </c>
      <c r="BO2149" s="1">
        <v>0</v>
      </c>
      <c r="BP2149" s="1">
        <v>0</v>
      </c>
      <c r="BQ2149" s="1">
        <v>0</v>
      </c>
      <c r="BR2149" s="1">
        <v>0</v>
      </c>
      <c r="BS2149" s="1" t="s">
        <v>109</v>
      </c>
      <c r="BT2149" s="1">
        <v>2236</v>
      </c>
      <c r="BU2149" s="1" t="s">
        <v>109</v>
      </c>
      <c r="BV2149" s="1"/>
      <c r="BW2149" s="1"/>
      <c r="BX2149" s="1"/>
      <c r="BY2149" s="1"/>
      <c r="BZ2149" s="1">
        <v>0</v>
      </c>
      <c r="CA2149" s="1" t="s">
        <v>109</v>
      </c>
      <c r="CB2149" s="1" t="s">
        <v>109</v>
      </c>
      <c r="CC2149" s="1">
        <v>7</v>
      </c>
      <c r="CD2149" s="1" t="s">
        <v>109</v>
      </c>
      <c r="CE2149" s="1" t="s">
        <v>109</v>
      </c>
      <c r="CF2149" s="1" t="s">
        <v>109</v>
      </c>
      <c r="CG2149" s="1" t="s">
        <v>109</v>
      </c>
      <c r="CH2149" s="1" t="s">
        <v>109</v>
      </c>
      <c r="CI2149" s="1" t="s">
        <v>109</v>
      </c>
      <c r="CJ2149" s="1" t="s">
        <v>109</v>
      </c>
      <c r="CK2149" s="1"/>
      <c r="CL2149" s="1">
        <v>0</v>
      </c>
      <c r="CM2149" s="1">
        <v>0</v>
      </c>
      <c r="CN2149" s="1">
        <v>0</v>
      </c>
    </row>
    <row r="2150" spans="1:92" ht="14.25" customHeight="1" x14ac:dyDescent="0.15">
      <c r="A2150" s="1" t="s">
        <v>15599</v>
      </c>
      <c r="B2150" s="1" t="s">
        <v>308</v>
      </c>
      <c r="C2150" s="1"/>
      <c r="D2150" s="1" t="s">
        <v>158</v>
      </c>
      <c r="E2150" s="1" t="s">
        <v>15600</v>
      </c>
      <c r="F2150" s="1" t="s">
        <v>98</v>
      </c>
      <c r="G2150" s="1" t="s">
        <v>2345</v>
      </c>
      <c r="H2150" s="1">
        <v>0</v>
      </c>
      <c r="I2150" s="1" t="s">
        <v>142</v>
      </c>
      <c r="J2150" s="1"/>
      <c r="K2150" s="1"/>
      <c r="L2150" s="1" t="s">
        <v>1391</v>
      </c>
      <c r="M2150" s="1" t="s">
        <v>144</v>
      </c>
      <c r="N2150" s="1">
        <v>0</v>
      </c>
      <c r="O2150" s="1">
        <v>0</v>
      </c>
      <c r="P2150" s="1" t="s">
        <v>15583</v>
      </c>
      <c r="Q2150" s="1" t="s">
        <v>268</v>
      </c>
      <c r="R2150" s="1" t="s">
        <v>15601</v>
      </c>
      <c r="S2150" s="1" t="s">
        <v>15602</v>
      </c>
      <c r="T2150" s="1" t="s">
        <v>14784</v>
      </c>
      <c r="U2150" s="1" t="s">
        <v>15603</v>
      </c>
      <c r="V2150" s="1">
        <v>0</v>
      </c>
      <c r="W2150" s="1">
        <v>1</v>
      </c>
      <c r="X2150" s="1">
        <v>0</v>
      </c>
      <c r="Y2150" s="1">
        <v>0</v>
      </c>
      <c r="Z2150" s="1">
        <v>0</v>
      </c>
      <c r="AA2150" s="1" t="s">
        <v>109</v>
      </c>
      <c r="AB2150" s="1" t="s">
        <v>109</v>
      </c>
      <c r="AC2150" s="1" t="s">
        <v>109</v>
      </c>
      <c r="AD2150" s="1" t="s">
        <v>109</v>
      </c>
      <c r="AE2150" s="1" t="s">
        <v>109</v>
      </c>
      <c r="AF2150" s="1" t="s">
        <v>109</v>
      </c>
      <c r="AG2150" s="1" t="s">
        <v>109</v>
      </c>
      <c r="AH2150" s="1" t="s">
        <v>109</v>
      </c>
      <c r="AI2150" s="1" t="s">
        <v>109</v>
      </c>
      <c r="AJ2150" s="1" t="s">
        <v>109</v>
      </c>
      <c r="AK2150" s="1" t="s">
        <v>109</v>
      </c>
      <c r="AL2150" s="1" t="s">
        <v>109</v>
      </c>
      <c r="AM2150" s="1" t="s">
        <v>109</v>
      </c>
      <c r="AN2150" s="1" t="s">
        <v>109</v>
      </c>
      <c r="AO2150" s="1" t="s">
        <v>109</v>
      </c>
      <c r="AP2150" s="1"/>
      <c r="AQ2150" s="1">
        <v>8</v>
      </c>
      <c r="AR2150" s="1"/>
      <c r="AS2150" s="1" t="s">
        <v>15604</v>
      </c>
      <c r="AT2150" s="1">
        <v>0</v>
      </c>
      <c r="AU2150" s="1">
        <v>0</v>
      </c>
      <c r="AV2150" s="1">
        <v>0</v>
      </c>
      <c r="AW2150" s="1">
        <v>0</v>
      </c>
      <c r="AX2150" s="1">
        <v>0</v>
      </c>
      <c r="AY2150" s="1">
        <v>0</v>
      </c>
      <c r="AZ2150" s="1">
        <v>0</v>
      </c>
      <c r="BA2150" s="1">
        <v>0</v>
      </c>
      <c r="BB2150" s="1">
        <v>0</v>
      </c>
      <c r="BC2150" s="1">
        <v>0</v>
      </c>
      <c r="BD2150" s="1">
        <v>0</v>
      </c>
      <c r="BE2150" s="1">
        <v>0</v>
      </c>
      <c r="BF2150" s="1">
        <v>0</v>
      </c>
      <c r="BG2150" s="1">
        <v>0</v>
      </c>
      <c r="BH2150" s="1">
        <v>0</v>
      </c>
      <c r="BI2150" s="1">
        <v>0</v>
      </c>
      <c r="BJ2150" s="1">
        <v>0</v>
      </c>
      <c r="BK2150" s="1">
        <v>0</v>
      </c>
      <c r="BL2150" s="1">
        <v>0</v>
      </c>
      <c r="BM2150" s="1">
        <v>1</v>
      </c>
      <c r="BN2150" s="1">
        <v>0</v>
      </c>
      <c r="BO2150" s="1">
        <v>0</v>
      </c>
      <c r="BP2150" s="1">
        <v>0</v>
      </c>
      <c r="BQ2150" s="1">
        <v>0</v>
      </c>
      <c r="BR2150" s="1">
        <v>0</v>
      </c>
      <c r="BS2150" s="1" t="s">
        <v>109</v>
      </c>
      <c r="BT2150" s="1">
        <v>2237</v>
      </c>
      <c r="BU2150" s="1" t="s">
        <v>109</v>
      </c>
      <c r="BV2150" s="1"/>
      <c r="BW2150" s="1"/>
      <c r="BX2150" s="1"/>
      <c r="BY2150" s="1"/>
      <c r="BZ2150" s="1">
        <v>0</v>
      </c>
      <c r="CA2150" s="1" t="s">
        <v>109</v>
      </c>
      <c r="CB2150" s="1" t="s">
        <v>109</v>
      </c>
      <c r="CC2150" s="1">
        <v>8</v>
      </c>
      <c r="CD2150" s="1" t="s">
        <v>109</v>
      </c>
      <c r="CE2150" s="1" t="s">
        <v>109</v>
      </c>
      <c r="CF2150" s="1" t="s">
        <v>109</v>
      </c>
      <c r="CG2150" s="1" t="s">
        <v>109</v>
      </c>
      <c r="CH2150" s="1" t="s">
        <v>109</v>
      </c>
      <c r="CI2150" s="1" t="s">
        <v>109</v>
      </c>
      <c r="CJ2150" s="1" t="s">
        <v>109</v>
      </c>
      <c r="CK2150" s="1"/>
      <c r="CL2150" s="1">
        <v>0</v>
      </c>
      <c r="CM2150" s="1">
        <v>0</v>
      </c>
      <c r="CN2150" s="1">
        <v>0</v>
      </c>
    </row>
    <row r="2151" spans="1:92" ht="14.25" customHeight="1" x14ac:dyDescent="0.15">
      <c r="A2151" s="1" t="s">
        <v>15605</v>
      </c>
      <c r="B2151" s="1" t="s">
        <v>308</v>
      </c>
      <c r="C2151" s="1"/>
      <c r="D2151" s="1" t="s">
        <v>158</v>
      </c>
      <c r="E2151" s="1" t="s">
        <v>14781</v>
      </c>
      <c r="F2151" s="1" t="s">
        <v>98</v>
      </c>
      <c r="G2151" s="1" t="s">
        <v>2345</v>
      </c>
      <c r="H2151" s="1">
        <v>0</v>
      </c>
      <c r="I2151" s="1" t="s">
        <v>142</v>
      </c>
      <c r="J2151" s="1"/>
      <c r="K2151" s="1"/>
      <c r="L2151" s="1" t="s">
        <v>1391</v>
      </c>
      <c r="M2151" s="1" t="s">
        <v>144</v>
      </c>
      <c r="N2151" s="1">
        <v>0</v>
      </c>
      <c r="O2151" s="1">
        <v>0</v>
      </c>
      <c r="P2151" s="1" t="s">
        <v>15583</v>
      </c>
      <c r="Q2151" s="1" t="s">
        <v>268</v>
      </c>
      <c r="R2151" s="1" t="s">
        <v>15606</v>
      </c>
      <c r="S2151" s="1" t="s">
        <v>15607</v>
      </c>
      <c r="T2151" s="1" t="s">
        <v>14784</v>
      </c>
      <c r="U2151" s="1" t="s">
        <v>15608</v>
      </c>
      <c r="V2151" s="1">
        <v>0</v>
      </c>
      <c r="W2151" s="1">
        <v>1</v>
      </c>
      <c r="X2151" s="1">
        <v>0</v>
      </c>
      <c r="Y2151" s="1">
        <v>0</v>
      </c>
      <c r="Z2151" s="1">
        <v>0</v>
      </c>
      <c r="AA2151" s="1" t="s">
        <v>109</v>
      </c>
      <c r="AB2151" s="1" t="s">
        <v>109</v>
      </c>
      <c r="AC2151" s="1" t="s">
        <v>109</v>
      </c>
      <c r="AD2151" s="1" t="s">
        <v>109</v>
      </c>
      <c r="AE2151" s="1" t="s">
        <v>109</v>
      </c>
      <c r="AF2151" s="1" t="s">
        <v>109</v>
      </c>
      <c r="AG2151" s="1" t="s">
        <v>109</v>
      </c>
      <c r="AH2151" s="1" t="s">
        <v>109</v>
      </c>
      <c r="AI2151" s="1" t="s">
        <v>109</v>
      </c>
      <c r="AJ2151" s="1" t="s">
        <v>109</v>
      </c>
      <c r="AK2151" s="1" t="s">
        <v>109</v>
      </c>
      <c r="AL2151" s="1" t="s">
        <v>109</v>
      </c>
      <c r="AM2151" s="1" t="s">
        <v>109</v>
      </c>
      <c r="AN2151" s="1" t="s">
        <v>109</v>
      </c>
      <c r="AO2151" s="1" t="s">
        <v>109</v>
      </c>
      <c r="AP2151" s="1"/>
      <c r="AQ2151" s="1">
        <v>9</v>
      </c>
      <c r="AR2151" s="1"/>
      <c r="AS2151" s="1" t="s">
        <v>15609</v>
      </c>
      <c r="AT2151" s="1">
        <v>0</v>
      </c>
      <c r="AU2151" s="1">
        <v>0</v>
      </c>
      <c r="AV2151" s="1">
        <v>0</v>
      </c>
      <c r="AW2151" s="1">
        <v>0</v>
      </c>
      <c r="AX2151" s="1">
        <v>0</v>
      </c>
      <c r="AY2151" s="1">
        <v>0</v>
      </c>
      <c r="AZ2151" s="1">
        <v>0</v>
      </c>
      <c r="BA2151" s="1">
        <v>0</v>
      </c>
      <c r="BB2151" s="1">
        <v>0</v>
      </c>
      <c r="BC2151" s="1">
        <v>0</v>
      </c>
      <c r="BD2151" s="1">
        <v>0</v>
      </c>
      <c r="BE2151" s="1">
        <v>0</v>
      </c>
      <c r="BF2151" s="1">
        <v>0</v>
      </c>
      <c r="BG2151" s="1">
        <v>0</v>
      </c>
      <c r="BH2151" s="1">
        <v>0</v>
      </c>
      <c r="BI2151" s="1">
        <v>0</v>
      </c>
      <c r="BJ2151" s="1">
        <v>0</v>
      </c>
      <c r="BK2151" s="1">
        <v>0</v>
      </c>
      <c r="BL2151" s="1">
        <v>0</v>
      </c>
      <c r="BM2151" s="1">
        <v>1</v>
      </c>
      <c r="BN2151" s="1">
        <v>0</v>
      </c>
      <c r="BO2151" s="1">
        <v>0</v>
      </c>
      <c r="BP2151" s="1">
        <v>0</v>
      </c>
      <c r="BQ2151" s="1">
        <v>0</v>
      </c>
      <c r="BR2151" s="1">
        <v>0</v>
      </c>
      <c r="BS2151" s="1" t="s">
        <v>109</v>
      </c>
      <c r="BT2151" s="1">
        <v>2238</v>
      </c>
      <c r="BU2151" s="1" t="s">
        <v>109</v>
      </c>
      <c r="BV2151" s="1"/>
      <c r="BW2151" s="1"/>
      <c r="BX2151" s="1"/>
      <c r="BY2151" s="1"/>
      <c r="BZ2151" s="1">
        <v>0</v>
      </c>
      <c r="CA2151" s="1" t="s">
        <v>109</v>
      </c>
      <c r="CB2151" s="1" t="s">
        <v>109</v>
      </c>
      <c r="CC2151" s="1">
        <v>9</v>
      </c>
      <c r="CD2151" s="1" t="s">
        <v>109</v>
      </c>
      <c r="CE2151" s="1" t="s">
        <v>109</v>
      </c>
      <c r="CF2151" s="1" t="s">
        <v>109</v>
      </c>
      <c r="CG2151" s="1" t="s">
        <v>109</v>
      </c>
      <c r="CH2151" s="1" t="s">
        <v>109</v>
      </c>
      <c r="CI2151" s="1" t="s">
        <v>109</v>
      </c>
      <c r="CJ2151" s="1" t="s">
        <v>109</v>
      </c>
      <c r="CK2151" s="1"/>
      <c r="CL2151" s="1">
        <v>0</v>
      </c>
      <c r="CM2151" s="1">
        <v>0</v>
      </c>
      <c r="CN2151" s="1">
        <v>0</v>
      </c>
    </row>
    <row r="2152" spans="1:92" ht="14.25" customHeight="1" x14ac:dyDescent="0.15">
      <c r="A2152" s="1" t="s">
        <v>15610</v>
      </c>
      <c r="B2152" s="1" t="s">
        <v>674</v>
      </c>
      <c r="C2152" s="1" t="s">
        <v>68</v>
      </c>
      <c r="D2152" s="1"/>
      <c r="E2152" s="1" t="s">
        <v>14781</v>
      </c>
      <c r="F2152" s="1" t="s">
        <v>98</v>
      </c>
      <c r="G2152" s="1" t="s">
        <v>333</v>
      </c>
      <c r="H2152" s="1">
        <v>0</v>
      </c>
      <c r="I2152" s="1" t="s">
        <v>100</v>
      </c>
      <c r="J2152" s="1"/>
      <c r="K2152" s="1" t="s">
        <v>3804</v>
      </c>
      <c r="L2152" s="1"/>
      <c r="M2152" s="1" t="s">
        <v>574</v>
      </c>
      <c r="N2152" s="1">
        <v>1</v>
      </c>
      <c r="O2152" s="1">
        <v>0</v>
      </c>
      <c r="P2152" s="1" t="s">
        <v>2465</v>
      </c>
      <c r="Q2152" s="1" t="s">
        <v>268</v>
      </c>
      <c r="R2152" s="1" t="s">
        <v>15611</v>
      </c>
      <c r="S2152" s="1" t="s">
        <v>15612</v>
      </c>
      <c r="T2152" s="1" t="s">
        <v>14784</v>
      </c>
      <c r="U2152" s="1" t="s">
        <v>15613</v>
      </c>
      <c r="V2152" s="1">
        <v>1</v>
      </c>
      <c r="W2152" s="1">
        <v>0</v>
      </c>
      <c r="X2152" s="1">
        <v>0</v>
      </c>
      <c r="Y2152" s="1">
        <v>0</v>
      </c>
      <c r="Z2152" s="1">
        <v>0</v>
      </c>
      <c r="AA2152" s="1" t="s">
        <v>109</v>
      </c>
      <c r="AB2152" s="1" t="s">
        <v>109</v>
      </c>
      <c r="AC2152" s="1" t="s">
        <v>109</v>
      </c>
      <c r="AD2152" s="1" t="s">
        <v>109</v>
      </c>
      <c r="AE2152" s="1" t="s">
        <v>109</v>
      </c>
      <c r="AF2152" s="1" t="s">
        <v>109</v>
      </c>
      <c r="AG2152" s="1" t="s">
        <v>109</v>
      </c>
      <c r="AH2152" s="1" t="s">
        <v>109</v>
      </c>
      <c r="AI2152" s="1" t="s">
        <v>109</v>
      </c>
      <c r="AJ2152" s="1" t="s">
        <v>109</v>
      </c>
      <c r="AK2152" s="1" t="s">
        <v>109</v>
      </c>
      <c r="AL2152" s="1" t="s">
        <v>109</v>
      </c>
      <c r="AM2152" s="1" t="s">
        <v>109</v>
      </c>
      <c r="AN2152" s="1" t="s">
        <v>109</v>
      </c>
      <c r="AO2152" s="1" t="s">
        <v>109</v>
      </c>
      <c r="AP2152" s="1"/>
      <c r="AQ2152" s="1">
        <v>9</v>
      </c>
      <c r="AR2152" s="1"/>
      <c r="AS2152" s="1" t="s">
        <v>15614</v>
      </c>
      <c r="AT2152" s="1">
        <v>0</v>
      </c>
      <c r="AU2152" s="1">
        <v>0</v>
      </c>
      <c r="AV2152" s="1">
        <v>0</v>
      </c>
      <c r="AW2152" s="1">
        <v>0</v>
      </c>
      <c r="AX2152" s="1">
        <v>0</v>
      </c>
      <c r="AY2152" s="1">
        <v>0</v>
      </c>
      <c r="AZ2152" s="1">
        <v>0</v>
      </c>
      <c r="BA2152" s="1">
        <v>0</v>
      </c>
      <c r="BB2152" s="1">
        <v>0</v>
      </c>
      <c r="BC2152" s="1">
        <v>0</v>
      </c>
      <c r="BD2152" s="1">
        <v>0</v>
      </c>
      <c r="BE2152" s="1">
        <v>0</v>
      </c>
      <c r="BF2152" s="1">
        <v>0</v>
      </c>
      <c r="BG2152" s="1">
        <v>0</v>
      </c>
      <c r="BH2152" s="1">
        <v>0</v>
      </c>
      <c r="BI2152" s="1">
        <v>0</v>
      </c>
      <c r="BJ2152" s="1">
        <v>0</v>
      </c>
      <c r="BK2152" s="1">
        <v>0</v>
      </c>
      <c r="BL2152" s="1">
        <v>0</v>
      </c>
      <c r="BM2152" s="1">
        <v>0</v>
      </c>
      <c r="BN2152" s="1">
        <v>0</v>
      </c>
      <c r="BO2152" s="1">
        <v>0</v>
      </c>
      <c r="BP2152" s="1">
        <v>0</v>
      </c>
      <c r="BQ2152" s="1">
        <v>0</v>
      </c>
      <c r="BR2152" s="1">
        <v>0</v>
      </c>
      <c r="BS2152" s="1" t="s">
        <v>109</v>
      </c>
      <c r="BT2152" s="1">
        <v>2239</v>
      </c>
      <c r="BU2152" s="1" t="s">
        <v>109</v>
      </c>
      <c r="BV2152" s="1"/>
      <c r="BW2152" s="1"/>
      <c r="BX2152" s="1"/>
      <c r="BY2152" s="1"/>
      <c r="BZ2152" s="1">
        <v>0</v>
      </c>
      <c r="CA2152" s="1" t="s">
        <v>109</v>
      </c>
      <c r="CB2152" s="1" t="s">
        <v>109</v>
      </c>
      <c r="CC2152" s="1">
        <v>9</v>
      </c>
      <c r="CD2152" s="1" t="s">
        <v>109</v>
      </c>
      <c r="CE2152" s="1" t="s">
        <v>109</v>
      </c>
      <c r="CF2152" s="1" t="s">
        <v>109</v>
      </c>
      <c r="CG2152" s="1" t="s">
        <v>109</v>
      </c>
      <c r="CH2152" s="1" t="s">
        <v>109</v>
      </c>
      <c r="CI2152" s="1" t="s">
        <v>109</v>
      </c>
      <c r="CJ2152" s="1" t="s">
        <v>109</v>
      </c>
      <c r="CK2152" s="1"/>
      <c r="CL2152" s="1">
        <v>0</v>
      </c>
      <c r="CM2152" s="1">
        <v>0</v>
      </c>
      <c r="CN2152" s="1">
        <v>0</v>
      </c>
    </row>
    <row r="2153" spans="1:92" ht="14.25" customHeight="1" x14ac:dyDescent="0.15">
      <c r="A2153" s="1" t="s">
        <v>15615</v>
      </c>
      <c r="B2153" s="1" t="s">
        <v>254</v>
      </c>
      <c r="C2153" s="1"/>
      <c r="D2153" s="1"/>
      <c r="E2153" s="1" t="s">
        <v>15616</v>
      </c>
      <c r="F2153" s="1" t="s">
        <v>98</v>
      </c>
      <c r="G2153" s="1" t="s">
        <v>333</v>
      </c>
      <c r="H2153" s="1">
        <v>0</v>
      </c>
      <c r="I2153" s="1" t="s">
        <v>142</v>
      </c>
      <c r="J2153" s="1"/>
      <c r="K2153" s="1"/>
      <c r="L2153" s="1" t="s">
        <v>836</v>
      </c>
      <c r="M2153" s="1" t="s">
        <v>355</v>
      </c>
      <c r="N2153" s="1">
        <v>0</v>
      </c>
      <c r="O2153" s="1">
        <v>0</v>
      </c>
      <c r="P2153" s="1" t="s">
        <v>103</v>
      </c>
      <c r="Q2153" s="1" t="s">
        <v>268</v>
      </c>
      <c r="R2153" s="1" t="s">
        <v>15617</v>
      </c>
      <c r="S2153" s="1" t="s">
        <v>15618</v>
      </c>
      <c r="T2153" s="1" t="s">
        <v>14784</v>
      </c>
      <c r="U2153" s="1" t="s">
        <v>15619</v>
      </c>
      <c r="V2153" s="1">
        <v>1</v>
      </c>
      <c r="W2153" s="1">
        <v>0</v>
      </c>
      <c r="X2153" s="1">
        <v>0</v>
      </c>
      <c r="Y2153" s="1">
        <v>0</v>
      </c>
      <c r="Z2153" s="1">
        <v>0</v>
      </c>
      <c r="AA2153" s="1">
        <v>2</v>
      </c>
      <c r="AB2153" s="1">
        <v>2</v>
      </c>
      <c r="AC2153" s="1" t="s">
        <v>109</v>
      </c>
      <c r="AD2153" s="1" t="s">
        <v>109</v>
      </c>
      <c r="AE2153" s="1" t="s">
        <v>109</v>
      </c>
      <c r="AF2153" s="1">
        <v>2</v>
      </c>
      <c r="AG2153" s="1" t="s">
        <v>109</v>
      </c>
      <c r="AH2153" s="1" t="s">
        <v>109</v>
      </c>
      <c r="AI2153" s="1" t="s">
        <v>109</v>
      </c>
      <c r="AJ2153" s="1" t="s">
        <v>109</v>
      </c>
      <c r="AK2153" s="1">
        <v>2</v>
      </c>
      <c r="AL2153" s="1" t="s">
        <v>109</v>
      </c>
      <c r="AM2153" s="1" t="s">
        <v>109</v>
      </c>
      <c r="AN2153" s="1" t="s">
        <v>109</v>
      </c>
      <c r="AO2153" s="1" t="s">
        <v>109</v>
      </c>
      <c r="AP2153" s="1"/>
      <c r="AQ2153" s="1">
        <v>2</v>
      </c>
      <c r="AR2153" s="1"/>
      <c r="AS2153" s="1" t="s">
        <v>15620</v>
      </c>
      <c r="AT2153" s="1">
        <v>0</v>
      </c>
      <c r="AU2153" s="1">
        <v>0</v>
      </c>
      <c r="AV2153" s="1">
        <v>0</v>
      </c>
      <c r="AW2153" s="1">
        <v>0</v>
      </c>
      <c r="AX2153" s="1">
        <v>0</v>
      </c>
      <c r="AY2153" s="1">
        <v>0</v>
      </c>
      <c r="AZ2153" s="1">
        <v>0</v>
      </c>
      <c r="BA2153" s="1">
        <v>0</v>
      </c>
      <c r="BB2153" s="1">
        <v>0</v>
      </c>
      <c r="BC2153" s="1">
        <v>0</v>
      </c>
      <c r="BD2153" s="1">
        <v>0</v>
      </c>
      <c r="BE2153" s="1">
        <v>0</v>
      </c>
      <c r="BF2153" s="1">
        <v>0</v>
      </c>
      <c r="BG2153" s="1">
        <v>0</v>
      </c>
      <c r="BH2153" s="1">
        <v>0</v>
      </c>
      <c r="BI2153" s="1">
        <v>0</v>
      </c>
      <c r="BJ2153" s="1">
        <v>0</v>
      </c>
      <c r="BK2153" s="1">
        <v>0</v>
      </c>
      <c r="BL2153" s="1">
        <v>0</v>
      </c>
      <c r="BM2153" s="1">
        <v>0</v>
      </c>
      <c r="BN2153" s="1">
        <v>0</v>
      </c>
      <c r="BO2153" s="1">
        <v>0</v>
      </c>
      <c r="BP2153" s="1">
        <v>0</v>
      </c>
      <c r="BQ2153" s="1">
        <v>0</v>
      </c>
      <c r="BR2153" s="1">
        <v>0</v>
      </c>
      <c r="BS2153" s="1" t="s">
        <v>109</v>
      </c>
      <c r="BT2153" s="1">
        <v>2240</v>
      </c>
      <c r="BU2153" s="1" t="s">
        <v>109</v>
      </c>
      <c r="BV2153" s="1"/>
      <c r="BW2153" s="1"/>
      <c r="BX2153" s="1"/>
      <c r="BY2153" s="1"/>
      <c r="BZ2153" s="1">
        <v>0</v>
      </c>
      <c r="CA2153" s="1" t="s">
        <v>109</v>
      </c>
      <c r="CB2153" s="1" t="s">
        <v>109</v>
      </c>
      <c r="CC2153" s="1">
        <v>1</v>
      </c>
      <c r="CD2153" s="1">
        <v>1</v>
      </c>
      <c r="CE2153" s="1">
        <v>1</v>
      </c>
      <c r="CF2153" s="1">
        <v>1</v>
      </c>
      <c r="CG2153" s="1">
        <v>1</v>
      </c>
      <c r="CH2153" s="1" t="s">
        <v>109</v>
      </c>
      <c r="CI2153" s="1" t="s">
        <v>109</v>
      </c>
      <c r="CJ2153" s="1" t="s">
        <v>109</v>
      </c>
      <c r="CK2153" s="1"/>
      <c r="CL2153" s="1">
        <v>0</v>
      </c>
      <c r="CM2153" s="1">
        <v>0</v>
      </c>
      <c r="CN2153" s="1">
        <v>0</v>
      </c>
    </row>
    <row r="2154" spans="1:92" ht="14.25" customHeight="1" x14ac:dyDescent="0.15">
      <c r="A2154" s="1" t="s">
        <v>15621</v>
      </c>
      <c r="B2154" s="1" t="s">
        <v>156</v>
      </c>
      <c r="C2154" s="1"/>
      <c r="D2154" s="1" t="s">
        <v>158</v>
      </c>
      <c r="E2154" s="1" t="s">
        <v>15622</v>
      </c>
      <c r="F2154" s="1" t="s">
        <v>395</v>
      </c>
      <c r="G2154" s="1" t="s">
        <v>15623</v>
      </c>
      <c r="H2154" s="1">
        <v>1</v>
      </c>
      <c r="I2154" s="1" t="s">
        <v>161</v>
      </c>
      <c r="J2154" s="1"/>
      <c r="K2154" s="1"/>
      <c r="L2154" s="1" t="s">
        <v>15624</v>
      </c>
      <c r="M2154" s="1" t="s">
        <v>144</v>
      </c>
      <c r="N2154" s="1">
        <v>0</v>
      </c>
      <c r="O2154" s="1">
        <v>0</v>
      </c>
      <c r="P2154" s="1" t="s">
        <v>103</v>
      </c>
      <c r="Q2154" s="1" t="s">
        <v>104</v>
      </c>
      <c r="R2154" s="1" t="s">
        <v>15625</v>
      </c>
      <c r="S2154" s="1" t="s">
        <v>15626</v>
      </c>
      <c r="T2154" s="1" t="s">
        <v>14784</v>
      </c>
      <c r="U2154" s="1" t="s">
        <v>15627</v>
      </c>
      <c r="V2154" s="1">
        <v>1</v>
      </c>
      <c r="W2154" s="1">
        <v>0</v>
      </c>
      <c r="X2154" s="1">
        <v>1</v>
      </c>
      <c r="Y2154" s="1">
        <v>0</v>
      </c>
      <c r="Z2154" s="1">
        <v>0</v>
      </c>
      <c r="AA2154" s="1" t="s">
        <v>109</v>
      </c>
      <c r="AB2154" s="1" t="s">
        <v>109</v>
      </c>
      <c r="AC2154" s="1" t="s">
        <v>109</v>
      </c>
      <c r="AD2154" s="1" t="s">
        <v>109</v>
      </c>
      <c r="AE2154" s="1" t="s">
        <v>109</v>
      </c>
      <c r="AF2154" s="1" t="s">
        <v>109</v>
      </c>
      <c r="AG2154" s="1" t="s">
        <v>109</v>
      </c>
      <c r="AH2154" s="1" t="s">
        <v>109</v>
      </c>
      <c r="AI2154" s="1" t="s">
        <v>109</v>
      </c>
      <c r="AJ2154" s="1" t="s">
        <v>109</v>
      </c>
      <c r="AK2154" s="1" t="s">
        <v>109</v>
      </c>
      <c r="AL2154" s="1" t="s">
        <v>109</v>
      </c>
      <c r="AM2154" s="1" t="s">
        <v>109</v>
      </c>
      <c r="AN2154" s="1" t="s">
        <v>109</v>
      </c>
      <c r="AO2154" s="1" t="s">
        <v>109</v>
      </c>
      <c r="AP2154" s="1"/>
      <c r="AQ2154" s="1" t="s">
        <v>109</v>
      </c>
      <c r="AR2154" s="1"/>
      <c r="AS2154" s="1" t="s">
        <v>15628</v>
      </c>
      <c r="AT2154" s="1">
        <v>0</v>
      </c>
      <c r="AU2154" s="1">
        <v>0</v>
      </c>
      <c r="AV2154" s="1">
        <v>0</v>
      </c>
      <c r="AW2154" s="1">
        <v>0</v>
      </c>
      <c r="AX2154" s="1">
        <v>0</v>
      </c>
      <c r="AY2154" s="1">
        <v>0</v>
      </c>
      <c r="AZ2154" s="1">
        <v>0</v>
      </c>
      <c r="BA2154" s="1">
        <v>0</v>
      </c>
      <c r="BB2154" s="1">
        <v>0</v>
      </c>
      <c r="BC2154" s="1">
        <v>0</v>
      </c>
      <c r="BD2154" s="1">
        <v>0</v>
      </c>
      <c r="BE2154" s="1">
        <v>0</v>
      </c>
      <c r="BF2154" s="1">
        <v>0</v>
      </c>
      <c r="BG2154" s="1">
        <v>0</v>
      </c>
      <c r="BH2154" s="1">
        <v>0</v>
      </c>
      <c r="BI2154" s="1">
        <v>0</v>
      </c>
      <c r="BJ2154" s="1">
        <v>0</v>
      </c>
      <c r="BK2154" s="1">
        <v>0</v>
      </c>
      <c r="BL2154" s="1">
        <v>0</v>
      </c>
      <c r="BM2154" s="1">
        <v>1</v>
      </c>
      <c r="BN2154" s="1">
        <v>0</v>
      </c>
      <c r="BO2154" s="1">
        <v>0</v>
      </c>
      <c r="BP2154" s="1">
        <v>0</v>
      </c>
      <c r="BQ2154" s="1">
        <v>0</v>
      </c>
      <c r="BR2154" s="1">
        <v>0</v>
      </c>
      <c r="BS2154" s="1" t="s">
        <v>109</v>
      </c>
      <c r="BT2154" s="1">
        <v>2241</v>
      </c>
      <c r="BU2154" s="1">
        <v>250</v>
      </c>
      <c r="BV2154" s="1"/>
      <c r="BW2154" s="1" t="s">
        <v>15581</v>
      </c>
      <c r="BX2154" s="1"/>
      <c r="BY2154" s="1"/>
      <c r="BZ2154" s="1">
        <v>0</v>
      </c>
      <c r="CA2154" s="1" t="s">
        <v>109</v>
      </c>
      <c r="CB2154" s="1" t="s">
        <v>109</v>
      </c>
      <c r="CC2154" s="1">
        <v>6</v>
      </c>
      <c r="CD2154" s="1" t="s">
        <v>109</v>
      </c>
      <c r="CE2154" s="1">
        <v>5</v>
      </c>
      <c r="CF2154" s="1" t="s">
        <v>109</v>
      </c>
      <c r="CG2154" s="1" t="s">
        <v>109</v>
      </c>
      <c r="CH2154" s="1" t="s">
        <v>109</v>
      </c>
      <c r="CI2154" s="1" t="s">
        <v>109</v>
      </c>
      <c r="CJ2154" s="1" t="s">
        <v>109</v>
      </c>
      <c r="CK2154" s="1"/>
      <c r="CL2154" s="1">
        <v>0</v>
      </c>
      <c r="CM2154" s="1">
        <v>0</v>
      </c>
      <c r="CN2154" s="1">
        <v>0</v>
      </c>
    </row>
    <row r="2155" spans="1:92" ht="14.25" customHeight="1" x14ac:dyDescent="0.15">
      <c r="A2155" s="1" t="s">
        <v>15629</v>
      </c>
      <c r="B2155" s="1" t="s">
        <v>308</v>
      </c>
      <c r="C2155" s="1"/>
      <c r="D2155" s="1"/>
      <c r="E2155" s="1" t="s">
        <v>15630</v>
      </c>
      <c r="F2155" s="1" t="s">
        <v>98</v>
      </c>
      <c r="G2155" s="1" t="s">
        <v>141</v>
      </c>
      <c r="H2155" s="1">
        <v>0</v>
      </c>
      <c r="I2155" s="1" t="s">
        <v>122</v>
      </c>
      <c r="J2155" s="1"/>
      <c r="K2155" s="1"/>
      <c r="L2155" s="1" t="s">
        <v>15631</v>
      </c>
      <c r="M2155" s="1" t="s">
        <v>144</v>
      </c>
      <c r="N2155" s="1">
        <v>0</v>
      </c>
      <c r="O2155" s="1">
        <v>0</v>
      </c>
      <c r="P2155" s="1" t="s">
        <v>380</v>
      </c>
      <c r="Q2155" s="1" t="s">
        <v>268</v>
      </c>
      <c r="R2155" s="1" t="s">
        <v>15632</v>
      </c>
      <c r="S2155" s="1" t="s">
        <v>15633</v>
      </c>
      <c r="T2155" s="1" t="s">
        <v>14784</v>
      </c>
      <c r="U2155" s="1" t="s">
        <v>15634</v>
      </c>
      <c r="V2155" s="1">
        <v>1</v>
      </c>
      <c r="W2155" s="1">
        <v>1</v>
      </c>
      <c r="X2155" s="1">
        <v>0</v>
      </c>
      <c r="Y2155" s="1">
        <v>0</v>
      </c>
      <c r="Z2155" s="1">
        <v>0</v>
      </c>
      <c r="AA2155" s="1">
        <v>4</v>
      </c>
      <c r="AB2155" s="1">
        <v>4</v>
      </c>
      <c r="AC2155" s="1" t="s">
        <v>109</v>
      </c>
      <c r="AD2155" s="1" t="s">
        <v>109</v>
      </c>
      <c r="AE2155" s="1" t="s">
        <v>109</v>
      </c>
      <c r="AF2155" s="1" t="s">
        <v>109</v>
      </c>
      <c r="AG2155" s="1" t="s">
        <v>109</v>
      </c>
      <c r="AH2155" s="1" t="s">
        <v>109</v>
      </c>
      <c r="AI2155" s="1" t="s">
        <v>109</v>
      </c>
      <c r="AJ2155" s="1">
        <v>4</v>
      </c>
      <c r="AK2155" s="1" t="s">
        <v>109</v>
      </c>
      <c r="AL2155" s="1" t="s">
        <v>109</v>
      </c>
      <c r="AM2155" s="1" t="s">
        <v>109</v>
      </c>
      <c r="AN2155" s="1" t="s">
        <v>109</v>
      </c>
      <c r="AO2155" s="1" t="s">
        <v>109</v>
      </c>
      <c r="AP2155" s="1"/>
      <c r="AQ2155" s="1">
        <v>4</v>
      </c>
      <c r="AR2155" s="1"/>
      <c r="AS2155" s="1" t="s">
        <v>15635</v>
      </c>
      <c r="AT2155" s="1">
        <v>0</v>
      </c>
      <c r="AU2155" s="1">
        <v>0</v>
      </c>
      <c r="AV2155" s="1">
        <v>0</v>
      </c>
      <c r="AW2155" s="1">
        <v>0</v>
      </c>
      <c r="AX2155" s="1">
        <v>0</v>
      </c>
      <c r="AY2155" s="1">
        <v>0</v>
      </c>
      <c r="AZ2155" s="1">
        <v>0</v>
      </c>
      <c r="BA2155" s="1">
        <v>0</v>
      </c>
      <c r="BB2155" s="1">
        <v>0</v>
      </c>
      <c r="BC2155" s="1">
        <v>0</v>
      </c>
      <c r="BD2155" s="1">
        <v>0</v>
      </c>
      <c r="BE2155" s="1">
        <v>0</v>
      </c>
      <c r="BF2155" s="1">
        <v>0</v>
      </c>
      <c r="BG2155" s="1">
        <v>0</v>
      </c>
      <c r="BH2155" s="1">
        <v>0</v>
      </c>
      <c r="BI2155" s="1">
        <v>0</v>
      </c>
      <c r="BJ2155" s="1">
        <v>0</v>
      </c>
      <c r="BK2155" s="1">
        <v>0</v>
      </c>
      <c r="BL2155" s="1">
        <v>0</v>
      </c>
      <c r="BM2155" s="1">
        <v>0</v>
      </c>
      <c r="BN2155" s="1">
        <v>0</v>
      </c>
      <c r="BO2155" s="1">
        <v>0</v>
      </c>
      <c r="BP2155" s="1">
        <v>0</v>
      </c>
      <c r="BQ2155" s="1">
        <v>0</v>
      </c>
      <c r="BR2155" s="1">
        <v>0</v>
      </c>
      <c r="BS2155" s="1" t="s">
        <v>109</v>
      </c>
      <c r="BT2155" s="1">
        <v>2242</v>
      </c>
      <c r="BU2155" s="1" t="s">
        <v>109</v>
      </c>
      <c r="BV2155" s="1"/>
      <c r="BW2155" s="1"/>
      <c r="BX2155" s="1"/>
      <c r="BY2155" s="1"/>
      <c r="BZ2155" s="1">
        <v>0</v>
      </c>
      <c r="CA2155" s="1" t="s">
        <v>109</v>
      </c>
      <c r="CB2155" s="1" t="s">
        <v>109</v>
      </c>
      <c r="CC2155" s="1">
        <v>3</v>
      </c>
      <c r="CD2155" s="1">
        <v>2</v>
      </c>
      <c r="CE2155" s="1" t="s">
        <v>109</v>
      </c>
      <c r="CF2155" s="1">
        <v>2</v>
      </c>
      <c r="CG2155" s="1">
        <v>2</v>
      </c>
      <c r="CH2155" s="1" t="s">
        <v>109</v>
      </c>
      <c r="CI2155" s="1" t="s">
        <v>109</v>
      </c>
      <c r="CJ2155" s="1" t="s">
        <v>109</v>
      </c>
      <c r="CK2155" s="1"/>
      <c r="CL2155" s="1">
        <v>0</v>
      </c>
      <c r="CM2155" s="1">
        <v>0</v>
      </c>
      <c r="CN2155" s="1">
        <v>0</v>
      </c>
    </row>
    <row r="2156" spans="1:92" ht="14.25" customHeight="1" x14ac:dyDescent="0.15">
      <c r="A2156" s="1" t="s">
        <v>15636</v>
      </c>
      <c r="B2156" s="1" t="s">
        <v>674</v>
      </c>
      <c r="C2156" s="1" t="s">
        <v>675</v>
      </c>
      <c r="D2156" s="1"/>
      <c r="E2156" s="1" t="s">
        <v>15100</v>
      </c>
      <c r="F2156" s="1" t="s">
        <v>98</v>
      </c>
      <c r="G2156" s="1" t="s">
        <v>141</v>
      </c>
      <c r="H2156" s="1">
        <v>0</v>
      </c>
      <c r="I2156" s="1" t="s">
        <v>161</v>
      </c>
      <c r="J2156" s="1"/>
      <c r="K2156" s="1"/>
      <c r="L2156" s="1" t="s">
        <v>3434</v>
      </c>
      <c r="M2156" s="1" t="s">
        <v>6625</v>
      </c>
      <c r="N2156" s="1">
        <v>1</v>
      </c>
      <c r="O2156" s="1">
        <v>0</v>
      </c>
      <c r="P2156" s="1" t="s">
        <v>15637</v>
      </c>
      <c r="Q2156" s="1" t="s">
        <v>211</v>
      </c>
      <c r="R2156" s="1" t="s">
        <v>15638</v>
      </c>
      <c r="S2156" s="1" t="s">
        <v>15639</v>
      </c>
      <c r="T2156" s="1" t="s">
        <v>14784</v>
      </c>
      <c r="U2156" s="1" t="s">
        <v>15640</v>
      </c>
      <c r="V2156" s="1">
        <v>1</v>
      </c>
      <c r="W2156" s="1">
        <v>1</v>
      </c>
      <c r="X2156" s="1">
        <v>0</v>
      </c>
      <c r="Y2156" s="1">
        <v>0</v>
      </c>
      <c r="Z2156" s="1">
        <v>0</v>
      </c>
      <c r="AA2156" s="1">
        <v>1</v>
      </c>
      <c r="AB2156" s="1">
        <v>1</v>
      </c>
      <c r="AC2156" s="1" t="s">
        <v>109</v>
      </c>
      <c r="AD2156" s="1" t="s">
        <v>109</v>
      </c>
      <c r="AE2156" s="1" t="s">
        <v>109</v>
      </c>
      <c r="AF2156" s="1">
        <v>1</v>
      </c>
      <c r="AG2156" s="1" t="s">
        <v>109</v>
      </c>
      <c r="AH2156" s="1" t="s">
        <v>109</v>
      </c>
      <c r="AI2156" s="1" t="s">
        <v>109</v>
      </c>
      <c r="AJ2156" s="1" t="s">
        <v>109</v>
      </c>
      <c r="AK2156" s="1" t="s">
        <v>109</v>
      </c>
      <c r="AL2156" s="1" t="s">
        <v>109</v>
      </c>
      <c r="AM2156" s="1" t="s">
        <v>109</v>
      </c>
      <c r="AN2156" s="1" t="s">
        <v>109</v>
      </c>
      <c r="AO2156" s="1" t="s">
        <v>109</v>
      </c>
      <c r="AP2156" s="1"/>
      <c r="AQ2156" s="1">
        <v>1</v>
      </c>
      <c r="AR2156" s="1"/>
      <c r="AS2156" s="1" t="s">
        <v>15641</v>
      </c>
      <c r="AT2156" s="1">
        <v>0</v>
      </c>
      <c r="AU2156" s="1">
        <v>0</v>
      </c>
      <c r="AV2156" s="1">
        <v>0</v>
      </c>
      <c r="AW2156" s="1">
        <v>0</v>
      </c>
      <c r="AX2156" s="1">
        <v>0</v>
      </c>
      <c r="AY2156" s="1">
        <v>0</v>
      </c>
      <c r="AZ2156" s="1">
        <v>0</v>
      </c>
      <c r="BA2156" s="1">
        <v>0</v>
      </c>
      <c r="BB2156" s="1">
        <v>0</v>
      </c>
      <c r="BC2156" s="1">
        <v>0</v>
      </c>
      <c r="BD2156" s="1">
        <v>0</v>
      </c>
      <c r="BE2156" s="1">
        <v>0</v>
      </c>
      <c r="BF2156" s="1">
        <v>0</v>
      </c>
      <c r="BG2156" s="1">
        <v>0</v>
      </c>
      <c r="BH2156" s="1">
        <v>0</v>
      </c>
      <c r="BI2156" s="1">
        <v>0</v>
      </c>
      <c r="BJ2156" s="1">
        <v>0</v>
      </c>
      <c r="BK2156" s="1">
        <v>0</v>
      </c>
      <c r="BL2156" s="1">
        <v>0</v>
      </c>
      <c r="BM2156" s="1">
        <v>0</v>
      </c>
      <c r="BN2156" s="1">
        <v>0</v>
      </c>
      <c r="BO2156" s="1">
        <v>0</v>
      </c>
      <c r="BP2156" s="1">
        <v>0</v>
      </c>
      <c r="BQ2156" s="1">
        <v>0</v>
      </c>
      <c r="BR2156" s="1">
        <v>0</v>
      </c>
      <c r="BS2156" s="1" t="s">
        <v>109</v>
      </c>
      <c r="BT2156" s="1">
        <v>2243</v>
      </c>
      <c r="BU2156" s="1" t="s">
        <v>109</v>
      </c>
      <c r="BV2156" s="1"/>
      <c r="BW2156" s="1"/>
      <c r="BX2156" s="1"/>
      <c r="BY2156" s="1"/>
      <c r="BZ2156" s="1">
        <v>0</v>
      </c>
      <c r="CA2156" s="1" t="s">
        <v>109</v>
      </c>
      <c r="CB2156" s="1" t="s">
        <v>109</v>
      </c>
      <c r="CC2156" s="1">
        <v>1</v>
      </c>
      <c r="CD2156" s="1">
        <v>1</v>
      </c>
      <c r="CE2156" s="1">
        <v>1</v>
      </c>
      <c r="CF2156" s="1">
        <v>1</v>
      </c>
      <c r="CG2156" s="1" t="s">
        <v>109</v>
      </c>
      <c r="CH2156" s="1" t="s">
        <v>109</v>
      </c>
      <c r="CI2156" s="1" t="s">
        <v>109</v>
      </c>
      <c r="CJ2156" s="1" t="s">
        <v>109</v>
      </c>
      <c r="CK2156" s="1"/>
      <c r="CL2156" s="1">
        <v>0</v>
      </c>
      <c r="CM2156" s="1">
        <v>0</v>
      </c>
      <c r="CN2156" s="1">
        <v>0</v>
      </c>
    </row>
    <row r="2157" spans="1:92" ht="14.25" customHeight="1" x14ac:dyDescent="0.15">
      <c r="A2157" s="1" t="s">
        <v>15642</v>
      </c>
      <c r="B2157" s="1" t="s">
        <v>254</v>
      </c>
      <c r="C2157" s="1" t="s">
        <v>393</v>
      </c>
      <c r="D2157" s="1"/>
      <c r="E2157" s="1" t="s">
        <v>15643</v>
      </c>
      <c r="F2157" s="1" t="s">
        <v>377</v>
      </c>
      <c r="G2157" s="1" t="s">
        <v>15644</v>
      </c>
      <c r="H2157" s="1">
        <v>0</v>
      </c>
      <c r="I2157" s="1" t="s">
        <v>211</v>
      </c>
      <c r="J2157" s="1"/>
      <c r="K2157" s="1"/>
      <c r="L2157" s="1" t="s">
        <v>236</v>
      </c>
      <c r="M2157" s="1" t="s">
        <v>144</v>
      </c>
      <c r="N2157" s="1">
        <v>0</v>
      </c>
      <c r="O2157" s="1">
        <v>0</v>
      </c>
      <c r="P2157" s="1"/>
      <c r="Q2157" s="1"/>
      <c r="R2157" s="1" t="s">
        <v>15645</v>
      </c>
      <c r="S2157" s="1" t="s">
        <v>15646</v>
      </c>
      <c r="T2157" s="1" t="s">
        <v>14784</v>
      </c>
      <c r="U2157" s="1" t="s">
        <v>15647</v>
      </c>
      <c r="V2157" s="1">
        <v>1</v>
      </c>
      <c r="W2157" s="1">
        <v>1</v>
      </c>
      <c r="X2157" s="1">
        <v>1</v>
      </c>
      <c r="Y2157" s="1">
        <v>0</v>
      </c>
      <c r="Z2157" s="1">
        <v>0</v>
      </c>
      <c r="AA2157" s="1" t="s">
        <v>109</v>
      </c>
      <c r="AB2157" s="1" t="s">
        <v>109</v>
      </c>
      <c r="AC2157" s="1" t="s">
        <v>109</v>
      </c>
      <c r="AD2157" s="1" t="s">
        <v>109</v>
      </c>
      <c r="AE2157" s="1" t="s">
        <v>109</v>
      </c>
      <c r="AF2157" s="1" t="s">
        <v>109</v>
      </c>
      <c r="AG2157" s="1" t="s">
        <v>109</v>
      </c>
      <c r="AH2157" s="1" t="s">
        <v>109</v>
      </c>
      <c r="AI2157" s="1" t="s">
        <v>109</v>
      </c>
      <c r="AJ2157" s="1" t="s">
        <v>109</v>
      </c>
      <c r="AK2157" s="1" t="s">
        <v>109</v>
      </c>
      <c r="AL2157" s="1" t="s">
        <v>109</v>
      </c>
      <c r="AM2157" s="1" t="s">
        <v>109</v>
      </c>
      <c r="AN2157" s="1" t="s">
        <v>109</v>
      </c>
      <c r="AO2157" s="1" t="s">
        <v>109</v>
      </c>
      <c r="AP2157" s="1"/>
      <c r="AQ2157" s="1" t="s">
        <v>109</v>
      </c>
      <c r="AR2157" s="1"/>
      <c r="AS2157" s="1" t="s">
        <v>15648</v>
      </c>
      <c r="AT2157" s="1">
        <v>0</v>
      </c>
      <c r="AU2157" s="1">
        <v>0</v>
      </c>
      <c r="AV2157" s="1">
        <v>0</v>
      </c>
      <c r="AW2157" s="1">
        <v>0</v>
      </c>
      <c r="AX2157" s="1">
        <v>0</v>
      </c>
      <c r="AY2157" s="1">
        <v>0</v>
      </c>
      <c r="AZ2157" s="1">
        <v>0</v>
      </c>
      <c r="BA2157" s="1">
        <v>0</v>
      </c>
      <c r="BB2157" s="1">
        <v>0</v>
      </c>
      <c r="BC2157" s="1">
        <v>0</v>
      </c>
      <c r="BD2157" s="1">
        <v>0</v>
      </c>
      <c r="BE2157" s="1">
        <v>0</v>
      </c>
      <c r="BF2157" s="1">
        <v>0</v>
      </c>
      <c r="BG2157" s="1">
        <v>0</v>
      </c>
      <c r="BH2157" s="1">
        <v>0</v>
      </c>
      <c r="BI2157" s="1">
        <v>0</v>
      </c>
      <c r="BJ2157" s="1">
        <v>0</v>
      </c>
      <c r="BK2157" s="1">
        <v>0</v>
      </c>
      <c r="BL2157" s="1">
        <v>0</v>
      </c>
      <c r="BM2157" s="1">
        <v>0</v>
      </c>
      <c r="BN2157" s="1">
        <v>0</v>
      </c>
      <c r="BO2157" s="1">
        <v>0</v>
      </c>
      <c r="BP2157" s="1">
        <v>0</v>
      </c>
      <c r="BQ2157" s="1">
        <v>0</v>
      </c>
      <c r="BR2157" s="1">
        <v>0</v>
      </c>
      <c r="BS2157" s="1" t="s">
        <v>109</v>
      </c>
      <c r="BT2157" s="1">
        <v>2244</v>
      </c>
      <c r="BU2157" s="1" t="s">
        <v>109</v>
      </c>
      <c r="BV2157" s="1"/>
      <c r="BW2157" s="1"/>
      <c r="BX2157" s="1"/>
      <c r="BY2157" s="1"/>
      <c r="BZ2157" s="1">
        <v>0</v>
      </c>
      <c r="CA2157" s="1" t="s">
        <v>109</v>
      </c>
      <c r="CB2157" s="1" t="s">
        <v>109</v>
      </c>
      <c r="CC2157" s="1">
        <v>5</v>
      </c>
      <c r="CD2157" s="1">
        <v>4</v>
      </c>
      <c r="CE2157" s="1" t="s">
        <v>109</v>
      </c>
      <c r="CF2157" s="1">
        <v>5</v>
      </c>
      <c r="CG2157" s="1">
        <v>5</v>
      </c>
      <c r="CH2157" s="1" t="s">
        <v>109</v>
      </c>
      <c r="CI2157" s="1" t="s">
        <v>109</v>
      </c>
      <c r="CJ2157" s="1" t="s">
        <v>109</v>
      </c>
      <c r="CK2157" s="1"/>
      <c r="CL2157" s="1">
        <v>0</v>
      </c>
      <c r="CM2157" s="1">
        <v>0</v>
      </c>
      <c r="CN2157" s="1">
        <v>0</v>
      </c>
    </row>
    <row r="2158" spans="1:92" ht="14.25" customHeight="1" x14ac:dyDescent="0.15">
      <c r="A2158" s="1" t="s">
        <v>15649</v>
      </c>
      <c r="B2158" s="1" t="s">
        <v>156</v>
      </c>
      <c r="C2158" s="1" t="s">
        <v>157</v>
      </c>
      <c r="D2158" s="1" t="s">
        <v>158</v>
      </c>
      <c r="E2158" s="1" t="s">
        <v>15650</v>
      </c>
      <c r="F2158" s="1" t="s">
        <v>355</v>
      </c>
      <c r="G2158" s="1" t="s">
        <v>141</v>
      </c>
      <c r="H2158" s="1">
        <v>0</v>
      </c>
      <c r="I2158" s="1" t="s">
        <v>235</v>
      </c>
      <c r="J2158" s="1"/>
      <c r="K2158" s="1"/>
      <c r="L2158" s="1" t="s">
        <v>236</v>
      </c>
      <c r="M2158" s="1" t="s">
        <v>144</v>
      </c>
      <c r="N2158" s="1">
        <v>0</v>
      </c>
      <c r="O2158" s="1">
        <v>0</v>
      </c>
      <c r="P2158" s="1"/>
      <c r="Q2158" s="1"/>
      <c r="R2158" s="1" t="s">
        <v>15651</v>
      </c>
      <c r="S2158" s="1" t="s">
        <v>15652</v>
      </c>
      <c r="T2158" s="1" t="s">
        <v>14784</v>
      </c>
      <c r="U2158" s="1" t="s">
        <v>15653</v>
      </c>
      <c r="V2158" s="1">
        <v>1</v>
      </c>
      <c r="W2158" s="1">
        <v>1</v>
      </c>
      <c r="X2158" s="1">
        <v>0</v>
      </c>
      <c r="Y2158" s="1">
        <v>0</v>
      </c>
      <c r="Z2158" s="1">
        <v>0</v>
      </c>
      <c r="AA2158" s="1" t="s">
        <v>109</v>
      </c>
      <c r="AB2158" s="1" t="s">
        <v>109</v>
      </c>
      <c r="AC2158" s="1" t="s">
        <v>109</v>
      </c>
      <c r="AD2158" s="1" t="s">
        <v>109</v>
      </c>
      <c r="AE2158" s="1" t="s">
        <v>109</v>
      </c>
      <c r="AF2158" s="1">
        <v>5</v>
      </c>
      <c r="AG2158" s="1" t="s">
        <v>109</v>
      </c>
      <c r="AH2158" s="1" t="s">
        <v>109</v>
      </c>
      <c r="AI2158" s="1" t="s">
        <v>109</v>
      </c>
      <c r="AJ2158" s="1" t="s">
        <v>109</v>
      </c>
      <c r="AK2158" s="1" t="s">
        <v>109</v>
      </c>
      <c r="AL2158" s="1" t="s">
        <v>109</v>
      </c>
      <c r="AM2158" s="1" t="s">
        <v>109</v>
      </c>
      <c r="AN2158" s="1" t="s">
        <v>109</v>
      </c>
      <c r="AO2158" s="1" t="s">
        <v>109</v>
      </c>
      <c r="AP2158" s="1"/>
      <c r="AQ2158" s="1">
        <v>5</v>
      </c>
      <c r="AR2158" s="1"/>
      <c r="AS2158" s="1" t="s">
        <v>15654</v>
      </c>
      <c r="AT2158" s="1">
        <v>0</v>
      </c>
      <c r="AU2158" s="1">
        <v>0</v>
      </c>
      <c r="AV2158" s="1">
        <v>0</v>
      </c>
      <c r="AW2158" s="1">
        <v>0</v>
      </c>
      <c r="AX2158" s="1">
        <v>0</v>
      </c>
      <c r="AY2158" s="1">
        <v>0</v>
      </c>
      <c r="AZ2158" s="1">
        <v>0</v>
      </c>
      <c r="BA2158" s="1">
        <v>0</v>
      </c>
      <c r="BB2158" s="1">
        <v>0</v>
      </c>
      <c r="BC2158" s="1">
        <v>0</v>
      </c>
      <c r="BD2158" s="1">
        <v>0</v>
      </c>
      <c r="BE2158" s="1">
        <v>0</v>
      </c>
      <c r="BF2158" s="1">
        <v>0</v>
      </c>
      <c r="BG2158" s="1">
        <v>0</v>
      </c>
      <c r="BH2158" s="1">
        <v>0</v>
      </c>
      <c r="BI2158" s="1">
        <v>0</v>
      </c>
      <c r="BJ2158" s="1">
        <v>0</v>
      </c>
      <c r="BK2158" s="1">
        <v>0</v>
      </c>
      <c r="BL2158" s="1">
        <v>0</v>
      </c>
      <c r="BM2158" s="1">
        <v>1</v>
      </c>
      <c r="BN2158" s="1">
        <v>0</v>
      </c>
      <c r="BO2158" s="1">
        <v>0</v>
      </c>
      <c r="BP2158" s="1">
        <v>0</v>
      </c>
      <c r="BQ2158" s="1">
        <v>0</v>
      </c>
      <c r="BR2158" s="1">
        <v>0</v>
      </c>
      <c r="BS2158" s="1" t="s">
        <v>109</v>
      </c>
      <c r="BT2158" s="1">
        <v>2245</v>
      </c>
      <c r="BU2158" s="1" t="s">
        <v>109</v>
      </c>
      <c r="BV2158" s="1"/>
      <c r="BW2158" s="1"/>
      <c r="BX2158" s="1"/>
      <c r="BY2158" s="1"/>
      <c r="BZ2158" s="1">
        <v>0</v>
      </c>
      <c r="CA2158" s="1" t="s">
        <v>109</v>
      </c>
      <c r="CB2158" s="1" t="s">
        <v>109</v>
      </c>
      <c r="CC2158" s="1">
        <v>6</v>
      </c>
      <c r="CD2158" s="1" t="s">
        <v>109</v>
      </c>
      <c r="CE2158" s="1">
        <v>5</v>
      </c>
      <c r="CF2158" s="1" t="s">
        <v>109</v>
      </c>
      <c r="CG2158" s="1" t="s">
        <v>109</v>
      </c>
      <c r="CH2158" s="1" t="s">
        <v>109</v>
      </c>
      <c r="CI2158" s="1" t="s">
        <v>109</v>
      </c>
      <c r="CJ2158" s="1" t="s">
        <v>109</v>
      </c>
      <c r="CK2158" s="1"/>
      <c r="CL2158" s="1">
        <v>0</v>
      </c>
      <c r="CM2158" s="1">
        <v>0</v>
      </c>
      <c r="CN2158" s="1">
        <v>0</v>
      </c>
    </row>
    <row r="2159" spans="1:92" ht="14.25" customHeight="1" x14ac:dyDescent="0.15">
      <c r="A2159" s="1" t="s">
        <v>15655</v>
      </c>
      <c r="B2159" s="1" t="s">
        <v>254</v>
      </c>
      <c r="C2159" s="1"/>
      <c r="D2159" s="1"/>
      <c r="E2159" s="1" t="s">
        <v>15656</v>
      </c>
      <c r="F2159" s="1" t="s">
        <v>277</v>
      </c>
      <c r="G2159" s="1" t="s">
        <v>141</v>
      </c>
      <c r="H2159" s="1">
        <v>0</v>
      </c>
      <c r="I2159" s="1" t="s">
        <v>235</v>
      </c>
      <c r="J2159" s="1"/>
      <c r="K2159" s="1"/>
      <c r="L2159" s="1" t="s">
        <v>236</v>
      </c>
      <c r="M2159" s="1" t="s">
        <v>7223</v>
      </c>
      <c r="N2159" s="1">
        <v>0</v>
      </c>
      <c r="O2159" s="1">
        <v>0</v>
      </c>
      <c r="P2159" s="1"/>
      <c r="Q2159" s="1"/>
      <c r="R2159" s="1" t="s">
        <v>15657</v>
      </c>
      <c r="S2159" s="1" t="s">
        <v>15658</v>
      </c>
      <c r="T2159" s="1" t="s">
        <v>14784</v>
      </c>
      <c r="U2159" s="1" t="s">
        <v>15659</v>
      </c>
      <c r="V2159" s="1">
        <v>1</v>
      </c>
      <c r="W2159" s="1">
        <v>1</v>
      </c>
      <c r="X2159" s="1">
        <v>0</v>
      </c>
      <c r="Y2159" s="1">
        <v>0</v>
      </c>
      <c r="Z2159" s="1">
        <v>0</v>
      </c>
      <c r="AA2159" s="1">
        <v>7</v>
      </c>
      <c r="AB2159" s="1">
        <v>7</v>
      </c>
      <c r="AC2159" s="1" t="s">
        <v>109</v>
      </c>
      <c r="AD2159" s="1" t="s">
        <v>109</v>
      </c>
      <c r="AE2159" s="1" t="s">
        <v>109</v>
      </c>
      <c r="AF2159" s="1" t="s">
        <v>109</v>
      </c>
      <c r="AG2159" s="1" t="s">
        <v>109</v>
      </c>
      <c r="AH2159" s="1" t="s">
        <v>109</v>
      </c>
      <c r="AI2159" s="1" t="s">
        <v>109</v>
      </c>
      <c r="AJ2159" s="1" t="s">
        <v>109</v>
      </c>
      <c r="AK2159" s="1" t="s">
        <v>109</v>
      </c>
      <c r="AL2159" s="1" t="s">
        <v>109</v>
      </c>
      <c r="AM2159" s="1" t="s">
        <v>109</v>
      </c>
      <c r="AN2159" s="1" t="s">
        <v>109</v>
      </c>
      <c r="AO2159" s="1" t="s">
        <v>109</v>
      </c>
      <c r="AP2159" s="1"/>
      <c r="AQ2159" s="1">
        <v>7</v>
      </c>
      <c r="AR2159" s="1"/>
      <c r="AS2159" s="1" t="s">
        <v>15660</v>
      </c>
      <c r="AT2159" s="1">
        <v>0</v>
      </c>
      <c r="AU2159" s="1">
        <v>0</v>
      </c>
      <c r="AV2159" s="1">
        <v>0</v>
      </c>
      <c r="AW2159" s="1">
        <v>0</v>
      </c>
      <c r="AX2159" s="1">
        <v>0</v>
      </c>
      <c r="AY2159" s="1">
        <v>0</v>
      </c>
      <c r="AZ2159" s="1">
        <v>0</v>
      </c>
      <c r="BA2159" s="1">
        <v>0</v>
      </c>
      <c r="BB2159" s="1">
        <v>0</v>
      </c>
      <c r="BC2159" s="1">
        <v>0</v>
      </c>
      <c r="BD2159" s="1">
        <v>0</v>
      </c>
      <c r="BE2159" s="1">
        <v>0</v>
      </c>
      <c r="BF2159" s="1">
        <v>0</v>
      </c>
      <c r="BG2159" s="1">
        <v>0</v>
      </c>
      <c r="BH2159" s="1">
        <v>0</v>
      </c>
      <c r="BI2159" s="1">
        <v>0</v>
      </c>
      <c r="BJ2159" s="1">
        <v>0</v>
      </c>
      <c r="BK2159" s="1">
        <v>0</v>
      </c>
      <c r="BL2159" s="1">
        <v>0</v>
      </c>
      <c r="BM2159" s="1">
        <v>0</v>
      </c>
      <c r="BN2159" s="1">
        <v>0</v>
      </c>
      <c r="BO2159" s="1">
        <v>0</v>
      </c>
      <c r="BP2159" s="1">
        <v>0</v>
      </c>
      <c r="BQ2159" s="1">
        <v>0</v>
      </c>
      <c r="BR2159" s="1">
        <v>0</v>
      </c>
      <c r="BS2159" s="1" t="s">
        <v>109</v>
      </c>
      <c r="BT2159" s="1">
        <v>2246</v>
      </c>
      <c r="BU2159" s="1" t="s">
        <v>109</v>
      </c>
      <c r="BV2159" s="1"/>
      <c r="BW2159" s="1"/>
      <c r="BX2159" s="1"/>
      <c r="BY2159" s="1"/>
      <c r="BZ2159" s="1">
        <v>0</v>
      </c>
      <c r="CA2159" s="1" t="s">
        <v>109</v>
      </c>
      <c r="CB2159" s="1" t="s">
        <v>109</v>
      </c>
      <c r="CC2159" s="1">
        <v>5</v>
      </c>
      <c r="CD2159" s="1">
        <v>3</v>
      </c>
      <c r="CE2159" s="1" t="s">
        <v>109</v>
      </c>
      <c r="CF2159" s="1">
        <v>3</v>
      </c>
      <c r="CG2159" s="1" t="s">
        <v>109</v>
      </c>
      <c r="CH2159" s="1" t="s">
        <v>109</v>
      </c>
      <c r="CI2159" s="1" t="s">
        <v>109</v>
      </c>
      <c r="CJ2159" s="1" t="s">
        <v>109</v>
      </c>
      <c r="CK2159" s="1"/>
      <c r="CL2159" s="1">
        <v>0</v>
      </c>
      <c r="CM2159" s="1">
        <v>0</v>
      </c>
      <c r="CN2159" s="1">
        <v>0</v>
      </c>
    </row>
    <row r="2160" spans="1:92" ht="14.25" customHeight="1" x14ac:dyDescent="0.15">
      <c r="A2160" s="1" t="s">
        <v>15661</v>
      </c>
      <c r="B2160" s="1" t="s">
        <v>308</v>
      </c>
      <c r="C2160" s="1"/>
      <c r="D2160" s="1"/>
      <c r="E2160" s="1" t="s">
        <v>15662</v>
      </c>
      <c r="F2160" s="1" t="s">
        <v>98</v>
      </c>
      <c r="G2160" s="1" t="s">
        <v>141</v>
      </c>
      <c r="H2160" s="1">
        <v>0</v>
      </c>
      <c r="I2160" s="1" t="s">
        <v>122</v>
      </c>
      <c r="J2160" s="1"/>
      <c r="K2160" s="1"/>
      <c r="L2160" s="1" t="s">
        <v>1391</v>
      </c>
      <c r="M2160" s="1" t="s">
        <v>15663</v>
      </c>
      <c r="N2160" s="1">
        <v>1</v>
      </c>
      <c r="O2160" s="1">
        <v>0</v>
      </c>
      <c r="P2160" s="1" t="s">
        <v>301</v>
      </c>
      <c r="Q2160" s="1" t="s">
        <v>268</v>
      </c>
      <c r="R2160" s="1" t="s">
        <v>15664</v>
      </c>
      <c r="S2160" s="1" t="s">
        <v>15665</v>
      </c>
      <c r="T2160" s="1" t="s">
        <v>14784</v>
      </c>
      <c r="U2160" s="1" t="s">
        <v>15666</v>
      </c>
      <c r="V2160" s="1">
        <v>1</v>
      </c>
      <c r="W2160" s="1">
        <v>1</v>
      </c>
      <c r="X2160" s="1">
        <v>0</v>
      </c>
      <c r="Y2160" s="1">
        <v>0</v>
      </c>
      <c r="Z2160" s="1">
        <v>0</v>
      </c>
      <c r="AA2160" s="1">
        <v>4</v>
      </c>
      <c r="AB2160" s="1">
        <v>4</v>
      </c>
      <c r="AC2160" s="1" t="s">
        <v>109</v>
      </c>
      <c r="AD2160" s="1" t="s">
        <v>109</v>
      </c>
      <c r="AE2160" s="1" t="s">
        <v>109</v>
      </c>
      <c r="AF2160" s="1" t="s">
        <v>109</v>
      </c>
      <c r="AG2160" s="1" t="s">
        <v>109</v>
      </c>
      <c r="AH2160" s="1" t="s">
        <v>109</v>
      </c>
      <c r="AI2160" s="1">
        <v>4</v>
      </c>
      <c r="AJ2160" s="1">
        <v>4</v>
      </c>
      <c r="AK2160" s="1" t="s">
        <v>109</v>
      </c>
      <c r="AL2160" s="1" t="s">
        <v>109</v>
      </c>
      <c r="AM2160" s="1" t="s">
        <v>109</v>
      </c>
      <c r="AN2160" s="1" t="s">
        <v>109</v>
      </c>
      <c r="AO2160" s="1" t="s">
        <v>109</v>
      </c>
      <c r="AP2160" s="1"/>
      <c r="AQ2160" s="1">
        <v>4</v>
      </c>
      <c r="AR2160" s="1"/>
      <c r="AS2160" s="1" t="s">
        <v>15667</v>
      </c>
      <c r="AT2160" s="1">
        <v>0</v>
      </c>
      <c r="AU2160" s="1">
        <v>0</v>
      </c>
      <c r="AV2160" s="1">
        <v>0</v>
      </c>
      <c r="AW2160" s="1">
        <v>0</v>
      </c>
      <c r="AX2160" s="1">
        <v>0</v>
      </c>
      <c r="AY2160" s="1">
        <v>0</v>
      </c>
      <c r="AZ2160" s="1">
        <v>0</v>
      </c>
      <c r="BA2160" s="1">
        <v>0</v>
      </c>
      <c r="BB2160" s="1">
        <v>0</v>
      </c>
      <c r="BC2160" s="1">
        <v>0</v>
      </c>
      <c r="BD2160" s="1">
        <v>0</v>
      </c>
      <c r="BE2160" s="1">
        <v>0</v>
      </c>
      <c r="BF2160" s="1">
        <v>0</v>
      </c>
      <c r="BG2160" s="1">
        <v>0</v>
      </c>
      <c r="BH2160" s="1">
        <v>0</v>
      </c>
      <c r="BI2160" s="1">
        <v>0</v>
      </c>
      <c r="BJ2160" s="1">
        <v>0</v>
      </c>
      <c r="BK2160" s="1">
        <v>0</v>
      </c>
      <c r="BL2160" s="1">
        <v>0</v>
      </c>
      <c r="BM2160" s="1">
        <v>0</v>
      </c>
      <c r="BN2160" s="1">
        <v>0</v>
      </c>
      <c r="BO2160" s="1">
        <v>0</v>
      </c>
      <c r="BP2160" s="1">
        <v>0</v>
      </c>
      <c r="BQ2160" s="1">
        <v>0</v>
      </c>
      <c r="BR2160" s="1">
        <v>0</v>
      </c>
      <c r="BS2160" s="1" t="s">
        <v>109</v>
      </c>
      <c r="BT2160" s="1">
        <v>2247</v>
      </c>
      <c r="BU2160" s="1" t="s">
        <v>109</v>
      </c>
      <c r="BV2160" s="1"/>
      <c r="BW2160" s="1"/>
      <c r="BX2160" s="1"/>
      <c r="BY2160" s="1"/>
      <c r="BZ2160" s="1">
        <v>0</v>
      </c>
      <c r="CA2160" s="1" t="s">
        <v>109</v>
      </c>
      <c r="CB2160" s="1" t="s">
        <v>109</v>
      </c>
      <c r="CC2160" s="1">
        <v>4</v>
      </c>
      <c r="CD2160" s="1">
        <v>2</v>
      </c>
      <c r="CE2160" s="1">
        <v>4</v>
      </c>
      <c r="CF2160" s="1">
        <v>3</v>
      </c>
      <c r="CG2160" s="1">
        <v>3</v>
      </c>
      <c r="CH2160" s="1" t="s">
        <v>109</v>
      </c>
      <c r="CI2160" s="1" t="s">
        <v>109</v>
      </c>
      <c r="CJ2160" s="1" t="s">
        <v>109</v>
      </c>
      <c r="CK2160" s="1"/>
      <c r="CL2160" s="1">
        <v>0</v>
      </c>
      <c r="CM2160" s="1">
        <v>0</v>
      </c>
      <c r="CN2160" s="1">
        <v>0</v>
      </c>
    </row>
    <row r="2161" spans="1:92" ht="14.25" customHeight="1" x14ac:dyDescent="0.15">
      <c r="A2161" s="1" t="s">
        <v>15668</v>
      </c>
      <c r="B2161" s="1" t="s">
        <v>242</v>
      </c>
      <c r="C2161" s="1"/>
      <c r="D2161" s="1"/>
      <c r="E2161" s="1" t="s">
        <v>15669</v>
      </c>
      <c r="F2161" s="1" t="s">
        <v>98</v>
      </c>
      <c r="G2161" s="1" t="s">
        <v>2345</v>
      </c>
      <c r="H2161" s="1">
        <v>0</v>
      </c>
      <c r="I2161" s="1" t="s">
        <v>8402</v>
      </c>
      <c r="J2161" s="1"/>
      <c r="K2161" s="1"/>
      <c r="L2161" s="1" t="s">
        <v>1391</v>
      </c>
      <c r="M2161" s="1" t="s">
        <v>125</v>
      </c>
      <c r="N2161" s="1">
        <v>0</v>
      </c>
      <c r="O2161" s="1">
        <v>0</v>
      </c>
      <c r="P2161" s="1" t="s">
        <v>103</v>
      </c>
      <c r="Q2161" s="1" t="s">
        <v>268</v>
      </c>
      <c r="R2161" s="1" t="s">
        <v>15670</v>
      </c>
      <c r="S2161" s="1" t="s">
        <v>15671</v>
      </c>
      <c r="T2161" s="1" t="s">
        <v>14784</v>
      </c>
      <c r="U2161" s="1" t="s">
        <v>15672</v>
      </c>
      <c r="V2161" s="1">
        <v>0</v>
      </c>
      <c r="W2161" s="1">
        <v>1</v>
      </c>
      <c r="X2161" s="1">
        <v>0</v>
      </c>
      <c r="Y2161" s="1">
        <v>0</v>
      </c>
      <c r="Z2161" s="1">
        <v>0</v>
      </c>
      <c r="AA2161" s="1" t="s">
        <v>109</v>
      </c>
      <c r="AB2161" s="1" t="s">
        <v>109</v>
      </c>
      <c r="AC2161" s="1" t="s">
        <v>109</v>
      </c>
      <c r="AD2161" s="1" t="s">
        <v>109</v>
      </c>
      <c r="AE2161" s="1" t="s">
        <v>109</v>
      </c>
      <c r="AF2161" s="1" t="s">
        <v>109</v>
      </c>
      <c r="AG2161" s="1" t="s">
        <v>109</v>
      </c>
      <c r="AH2161" s="1" t="s">
        <v>109</v>
      </c>
      <c r="AI2161" s="1" t="s">
        <v>109</v>
      </c>
      <c r="AJ2161" s="1" t="s">
        <v>109</v>
      </c>
      <c r="AK2161" s="1" t="s">
        <v>109</v>
      </c>
      <c r="AL2161" s="1" t="s">
        <v>109</v>
      </c>
      <c r="AM2161" s="1" t="s">
        <v>109</v>
      </c>
      <c r="AN2161" s="1" t="s">
        <v>109</v>
      </c>
      <c r="AO2161" s="1" t="s">
        <v>109</v>
      </c>
      <c r="AP2161" s="1"/>
      <c r="AQ2161" s="1" t="s">
        <v>109</v>
      </c>
      <c r="AR2161" s="1"/>
      <c r="AS2161" s="1" t="s">
        <v>15673</v>
      </c>
      <c r="AT2161" s="1">
        <v>0</v>
      </c>
      <c r="AU2161" s="1">
        <v>0</v>
      </c>
      <c r="AV2161" s="1">
        <v>0</v>
      </c>
      <c r="AW2161" s="1">
        <v>0</v>
      </c>
      <c r="AX2161" s="1">
        <v>0</v>
      </c>
      <c r="AY2161" s="1">
        <v>0</v>
      </c>
      <c r="AZ2161" s="1">
        <v>0</v>
      </c>
      <c r="BA2161" s="1">
        <v>0</v>
      </c>
      <c r="BB2161" s="1">
        <v>0</v>
      </c>
      <c r="BC2161" s="1">
        <v>0</v>
      </c>
      <c r="BD2161" s="1">
        <v>0</v>
      </c>
      <c r="BE2161" s="1">
        <v>0</v>
      </c>
      <c r="BF2161" s="1">
        <v>0</v>
      </c>
      <c r="BG2161" s="1">
        <v>0</v>
      </c>
      <c r="BH2161" s="1">
        <v>0</v>
      </c>
      <c r="BI2161" s="1">
        <v>0</v>
      </c>
      <c r="BJ2161" s="1">
        <v>0</v>
      </c>
      <c r="BK2161" s="1">
        <v>0</v>
      </c>
      <c r="BL2161" s="1">
        <v>0</v>
      </c>
      <c r="BM2161" s="1">
        <v>0</v>
      </c>
      <c r="BN2161" s="1">
        <v>0</v>
      </c>
      <c r="BO2161" s="1">
        <v>0</v>
      </c>
      <c r="BP2161" s="1">
        <v>0</v>
      </c>
      <c r="BQ2161" s="1">
        <v>0</v>
      </c>
      <c r="BR2161" s="1">
        <v>0</v>
      </c>
      <c r="BS2161" s="1" t="s">
        <v>109</v>
      </c>
      <c r="BT2161" s="1">
        <v>2248</v>
      </c>
      <c r="BU2161" s="1" t="s">
        <v>109</v>
      </c>
      <c r="BV2161" s="1"/>
      <c r="BW2161" s="1"/>
      <c r="BX2161" s="1"/>
      <c r="BY2161" s="1"/>
      <c r="BZ2161" s="1">
        <v>0</v>
      </c>
      <c r="CA2161" s="1" t="s">
        <v>109</v>
      </c>
      <c r="CB2161" s="1" t="s">
        <v>109</v>
      </c>
      <c r="CC2161" s="1" t="s">
        <v>109</v>
      </c>
      <c r="CD2161" s="1">
        <v>2</v>
      </c>
      <c r="CE2161" s="1" t="s">
        <v>109</v>
      </c>
      <c r="CF2161" s="1" t="s">
        <v>109</v>
      </c>
      <c r="CG2161" s="1">
        <v>3</v>
      </c>
      <c r="CH2161" s="1" t="s">
        <v>109</v>
      </c>
      <c r="CI2161" s="1" t="s">
        <v>109</v>
      </c>
      <c r="CJ2161" s="1" t="s">
        <v>109</v>
      </c>
      <c r="CK2161" s="1"/>
      <c r="CL2161" s="1">
        <v>0</v>
      </c>
      <c r="CM2161" s="1">
        <v>0</v>
      </c>
      <c r="CN2161" s="1">
        <v>0</v>
      </c>
    </row>
    <row r="2162" spans="1:92" ht="14.25" customHeight="1" x14ac:dyDescent="0.15">
      <c r="A2162" s="1" t="s">
        <v>15674</v>
      </c>
      <c r="B2162" s="1" t="s">
        <v>242</v>
      </c>
      <c r="C2162" s="1"/>
      <c r="D2162" s="1"/>
      <c r="E2162" s="1" t="s">
        <v>15675</v>
      </c>
      <c r="F2162" s="1" t="s">
        <v>98</v>
      </c>
      <c r="G2162" s="1" t="s">
        <v>2345</v>
      </c>
      <c r="H2162" s="1">
        <v>0</v>
      </c>
      <c r="I2162" s="1" t="s">
        <v>8402</v>
      </c>
      <c r="J2162" s="1"/>
      <c r="K2162" s="1"/>
      <c r="L2162" s="1" t="s">
        <v>1391</v>
      </c>
      <c r="M2162" s="1" t="s">
        <v>3042</v>
      </c>
      <c r="N2162" s="1">
        <v>0</v>
      </c>
      <c r="O2162" s="1">
        <v>0</v>
      </c>
      <c r="P2162" s="1" t="s">
        <v>103</v>
      </c>
      <c r="Q2162" s="1" t="s">
        <v>268</v>
      </c>
      <c r="R2162" s="1" t="s">
        <v>15676</v>
      </c>
      <c r="S2162" s="1" t="s">
        <v>15677</v>
      </c>
      <c r="T2162" s="1" t="s">
        <v>14784</v>
      </c>
      <c r="U2162" s="1" t="s">
        <v>15678</v>
      </c>
      <c r="V2162" s="1">
        <v>0</v>
      </c>
      <c r="W2162" s="1">
        <v>1</v>
      </c>
      <c r="X2162" s="1">
        <v>0</v>
      </c>
      <c r="Y2162" s="1">
        <v>0</v>
      </c>
      <c r="Z2162" s="1">
        <v>0</v>
      </c>
      <c r="AA2162" s="1" t="s">
        <v>109</v>
      </c>
      <c r="AB2162" s="1" t="s">
        <v>109</v>
      </c>
      <c r="AC2162" s="1" t="s">
        <v>109</v>
      </c>
      <c r="AD2162" s="1" t="s">
        <v>109</v>
      </c>
      <c r="AE2162" s="1" t="s">
        <v>109</v>
      </c>
      <c r="AF2162" s="1" t="s">
        <v>109</v>
      </c>
      <c r="AG2162" s="1" t="s">
        <v>109</v>
      </c>
      <c r="AH2162" s="1" t="s">
        <v>109</v>
      </c>
      <c r="AI2162" s="1" t="s">
        <v>109</v>
      </c>
      <c r="AJ2162" s="1" t="s">
        <v>109</v>
      </c>
      <c r="AK2162" s="1" t="s">
        <v>109</v>
      </c>
      <c r="AL2162" s="1" t="s">
        <v>109</v>
      </c>
      <c r="AM2162" s="1" t="s">
        <v>109</v>
      </c>
      <c r="AN2162" s="1" t="s">
        <v>109</v>
      </c>
      <c r="AO2162" s="1" t="s">
        <v>109</v>
      </c>
      <c r="AP2162" s="1"/>
      <c r="AQ2162" s="1">
        <v>6</v>
      </c>
      <c r="AR2162" s="1"/>
      <c r="AS2162" s="1" t="s">
        <v>15679</v>
      </c>
      <c r="AT2162" s="1">
        <v>0</v>
      </c>
      <c r="AU2162" s="1">
        <v>0</v>
      </c>
      <c r="AV2162" s="1">
        <v>0</v>
      </c>
      <c r="AW2162" s="1">
        <v>0</v>
      </c>
      <c r="AX2162" s="1">
        <v>0</v>
      </c>
      <c r="AY2162" s="1">
        <v>0</v>
      </c>
      <c r="AZ2162" s="1">
        <v>0</v>
      </c>
      <c r="BA2162" s="1">
        <v>0</v>
      </c>
      <c r="BB2162" s="1">
        <v>0</v>
      </c>
      <c r="BC2162" s="1">
        <v>0</v>
      </c>
      <c r="BD2162" s="1">
        <v>0</v>
      </c>
      <c r="BE2162" s="1">
        <v>0</v>
      </c>
      <c r="BF2162" s="1">
        <v>0</v>
      </c>
      <c r="BG2162" s="1">
        <v>0</v>
      </c>
      <c r="BH2162" s="1">
        <v>0</v>
      </c>
      <c r="BI2162" s="1">
        <v>0</v>
      </c>
      <c r="BJ2162" s="1">
        <v>0</v>
      </c>
      <c r="BK2162" s="1">
        <v>0</v>
      </c>
      <c r="BL2162" s="1">
        <v>0</v>
      </c>
      <c r="BM2162" s="1">
        <v>0</v>
      </c>
      <c r="BN2162" s="1">
        <v>0</v>
      </c>
      <c r="BO2162" s="1">
        <v>0</v>
      </c>
      <c r="BP2162" s="1">
        <v>0</v>
      </c>
      <c r="BQ2162" s="1">
        <v>0</v>
      </c>
      <c r="BR2162" s="1">
        <v>0</v>
      </c>
      <c r="BS2162" s="1" t="s">
        <v>109</v>
      </c>
      <c r="BT2162" s="1">
        <v>2249</v>
      </c>
      <c r="BU2162" s="1" t="s">
        <v>109</v>
      </c>
      <c r="BV2162" s="1"/>
      <c r="BW2162" s="1"/>
      <c r="BX2162" s="1"/>
      <c r="BY2162" s="1"/>
      <c r="BZ2162" s="1">
        <v>0</v>
      </c>
      <c r="CA2162" s="1" t="s">
        <v>109</v>
      </c>
      <c r="CB2162" s="1" t="s">
        <v>109</v>
      </c>
      <c r="CC2162" s="1" t="s">
        <v>109</v>
      </c>
      <c r="CD2162" s="1" t="s">
        <v>109</v>
      </c>
      <c r="CE2162" s="1" t="s">
        <v>109</v>
      </c>
      <c r="CF2162" s="1" t="s">
        <v>109</v>
      </c>
      <c r="CG2162" s="1">
        <v>6</v>
      </c>
      <c r="CH2162" s="1" t="s">
        <v>109</v>
      </c>
      <c r="CI2162" s="1" t="s">
        <v>109</v>
      </c>
      <c r="CJ2162" s="1" t="s">
        <v>109</v>
      </c>
      <c r="CK2162" s="1"/>
      <c r="CL2162" s="1">
        <v>0</v>
      </c>
      <c r="CM2162" s="1">
        <v>0</v>
      </c>
      <c r="CN2162" s="1">
        <v>0</v>
      </c>
    </row>
    <row r="2163" spans="1:92" ht="14.25" customHeight="1" x14ac:dyDescent="0.15">
      <c r="A2163" s="1" t="s">
        <v>15680</v>
      </c>
      <c r="B2163" s="1" t="s">
        <v>308</v>
      </c>
      <c r="C2163" s="1"/>
      <c r="D2163" s="1"/>
      <c r="E2163" s="1" t="s">
        <v>15681</v>
      </c>
      <c r="F2163" s="1" t="s">
        <v>98</v>
      </c>
      <c r="G2163" s="1" t="s">
        <v>141</v>
      </c>
      <c r="H2163" s="1">
        <v>0</v>
      </c>
      <c r="I2163" s="1" t="s">
        <v>122</v>
      </c>
      <c r="J2163" s="1"/>
      <c r="K2163" s="1"/>
      <c r="L2163" s="1" t="s">
        <v>15682</v>
      </c>
      <c r="M2163" s="1" t="s">
        <v>574</v>
      </c>
      <c r="N2163" s="1">
        <v>1</v>
      </c>
      <c r="O2163" s="1">
        <v>0</v>
      </c>
      <c r="P2163" s="1" t="s">
        <v>507</v>
      </c>
      <c r="Q2163" s="1" t="s">
        <v>268</v>
      </c>
      <c r="R2163" s="1" t="s">
        <v>15683</v>
      </c>
      <c r="S2163" s="1" t="s">
        <v>15684</v>
      </c>
      <c r="T2163" s="1" t="s">
        <v>14784</v>
      </c>
      <c r="U2163" s="1" t="s">
        <v>15685</v>
      </c>
      <c r="V2163" s="1">
        <v>1</v>
      </c>
      <c r="W2163" s="1">
        <v>1</v>
      </c>
      <c r="X2163" s="1">
        <v>0</v>
      </c>
      <c r="Y2163" s="1">
        <v>0</v>
      </c>
      <c r="Z2163" s="1">
        <v>0</v>
      </c>
      <c r="AA2163" s="1" t="s">
        <v>109</v>
      </c>
      <c r="AB2163" s="1" t="s">
        <v>109</v>
      </c>
      <c r="AC2163" s="1">
        <v>5</v>
      </c>
      <c r="AD2163" s="1" t="s">
        <v>109</v>
      </c>
      <c r="AE2163" s="1" t="s">
        <v>109</v>
      </c>
      <c r="AF2163" s="1" t="s">
        <v>109</v>
      </c>
      <c r="AG2163" s="1" t="s">
        <v>109</v>
      </c>
      <c r="AH2163" s="1" t="s">
        <v>109</v>
      </c>
      <c r="AI2163" s="1" t="s">
        <v>109</v>
      </c>
      <c r="AJ2163" s="1">
        <v>5</v>
      </c>
      <c r="AK2163" s="1">
        <v>4</v>
      </c>
      <c r="AL2163" s="1">
        <v>5</v>
      </c>
      <c r="AM2163" s="1" t="s">
        <v>109</v>
      </c>
      <c r="AN2163" s="1" t="s">
        <v>109</v>
      </c>
      <c r="AO2163" s="1" t="s">
        <v>109</v>
      </c>
      <c r="AP2163" s="1"/>
      <c r="AQ2163" s="1">
        <v>5</v>
      </c>
      <c r="AR2163" s="1"/>
      <c r="AS2163" s="1" t="s">
        <v>15686</v>
      </c>
      <c r="AT2163" s="1">
        <v>0</v>
      </c>
      <c r="AU2163" s="1">
        <v>0</v>
      </c>
      <c r="AV2163" s="1">
        <v>0</v>
      </c>
      <c r="AW2163" s="1">
        <v>0</v>
      </c>
      <c r="AX2163" s="1">
        <v>0</v>
      </c>
      <c r="AY2163" s="1">
        <v>0</v>
      </c>
      <c r="AZ2163" s="1">
        <v>0</v>
      </c>
      <c r="BA2163" s="1">
        <v>0</v>
      </c>
      <c r="BB2163" s="1">
        <v>0</v>
      </c>
      <c r="BC2163" s="1">
        <v>0</v>
      </c>
      <c r="BD2163" s="1">
        <v>0</v>
      </c>
      <c r="BE2163" s="1">
        <v>0</v>
      </c>
      <c r="BF2163" s="1">
        <v>0</v>
      </c>
      <c r="BG2163" s="1">
        <v>0</v>
      </c>
      <c r="BH2163" s="1">
        <v>0</v>
      </c>
      <c r="BI2163" s="1">
        <v>0</v>
      </c>
      <c r="BJ2163" s="1">
        <v>0</v>
      </c>
      <c r="BK2163" s="1">
        <v>0</v>
      </c>
      <c r="BL2163" s="1">
        <v>0</v>
      </c>
      <c r="BM2163" s="1">
        <v>0</v>
      </c>
      <c r="BN2163" s="1">
        <v>0</v>
      </c>
      <c r="BO2163" s="1">
        <v>0</v>
      </c>
      <c r="BP2163" s="1">
        <v>0</v>
      </c>
      <c r="BQ2163" s="1">
        <v>0</v>
      </c>
      <c r="BR2163" s="1">
        <v>0</v>
      </c>
      <c r="BS2163" s="1" t="s">
        <v>109</v>
      </c>
      <c r="BT2163" s="1">
        <v>2250</v>
      </c>
      <c r="BU2163" s="1" t="s">
        <v>109</v>
      </c>
      <c r="BV2163" s="1"/>
      <c r="BW2163" s="1"/>
      <c r="BX2163" s="1"/>
      <c r="BY2163" s="1"/>
      <c r="BZ2163" s="1">
        <v>0</v>
      </c>
      <c r="CA2163" s="1" t="s">
        <v>109</v>
      </c>
      <c r="CB2163" s="1">
        <v>4</v>
      </c>
      <c r="CC2163" s="1" t="s">
        <v>109</v>
      </c>
      <c r="CD2163" s="1">
        <v>2</v>
      </c>
      <c r="CE2163" s="1" t="s">
        <v>109</v>
      </c>
      <c r="CF2163" s="1">
        <v>3</v>
      </c>
      <c r="CG2163" s="1">
        <v>3</v>
      </c>
      <c r="CH2163" s="1" t="s">
        <v>109</v>
      </c>
      <c r="CI2163" s="1" t="s">
        <v>109</v>
      </c>
      <c r="CJ2163" s="1" t="s">
        <v>109</v>
      </c>
      <c r="CK2163" s="1"/>
      <c r="CL2163" s="1">
        <v>0</v>
      </c>
      <c r="CM2163" s="1">
        <v>0</v>
      </c>
      <c r="CN2163" s="1">
        <v>0</v>
      </c>
    </row>
    <row r="2164" spans="1:92" ht="14.25" customHeight="1" x14ac:dyDescent="0.15">
      <c r="A2164" s="1" t="s">
        <v>15687</v>
      </c>
      <c r="B2164" s="1" t="s">
        <v>189</v>
      </c>
      <c r="C2164" s="1" t="s">
        <v>231</v>
      </c>
      <c r="D2164" s="1"/>
      <c r="E2164" s="1" t="s">
        <v>15688</v>
      </c>
      <c r="F2164" s="1" t="s">
        <v>98</v>
      </c>
      <c r="G2164" s="1" t="s">
        <v>141</v>
      </c>
      <c r="H2164" s="1">
        <v>0</v>
      </c>
      <c r="I2164" s="1" t="s">
        <v>235</v>
      </c>
      <c r="J2164" s="1"/>
      <c r="K2164" s="1"/>
      <c r="L2164" s="1" t="s">
        <v>236</v>
      </c>
      <c r="M2164" s="1" t="s">
        <v>6144</v>
      </c>
      <c r="N2164" s="1">
        <v>1</v>
      </c>
      <c r="O2164" s="1">
        <v>0</v>
      </c>
      <c r="P2164" s="1"/>
      <c r="Q2164" s="1"/>
      <c r="R2164" s="1" t="s">
        <v>15689</v>
      </c>
      <c r="S2164" s="1" t="s">
        <v>15690</v>
      </c>
      <c r="T2164" s="1" t="s">
        <v>14784</v>
      </c>
      <c r="U2164" s="1" t="s">
        <v>15691</v>
      </c>
      <c r="V2164" s="1">
        <v>1</v>
      </c>
      <c r="W2164" s="1">
        <v>1</v>
      </c>
      <c r="X2164" s="1">
        <v>0</v>
      </c>
      <c r="Y2164" s="1">
        <v>0</v>
      </c>
      <c r="Z2164" s="1">
        <v>0</v>
      </c>
      <c r="AA2164" s="1">
        <v>7</v>
      </c>
      <c r="AB2164" s="1">
        <v>7</v>
      </c>
      <c r="AC2164" s="1" t="s">
        <v>109</v>
      </c>
      <c r="AD2164" s="1" t="s">
        <v>109</v>
      </c>
      <c r="AE2164" s="1" t="s">
        <v>109</v>
      </c>
      <c r="AF2164" s="1" t="s">
        <v>109</v>
      </c>
      <c r="AG2164" s="1" t="s">
        <v>109</v>
      </c>
      <c r="AH2164" s="1" t="s">
        <v>109</v>
      </c>
      <c r="AI2164" s="1" t="s">
        <v>109</v>
      </c>
      <c r="AJ2164" s="1">
        <v>7</v>
      </c>
      <c r="AK2164" s="1" t="s">
        <v>109</v>
      </c>
      <c r="AL2164" s="1" t="s">
        <v>109</v>
      </c>
      <c r="AM2164" s="1" t="s">
        <v>109</v>
      </c>
      <c r="AN2164" s="1" t="s">
        <v>109</v>
      </c>
      <c r="AO2164" s="1" t="s">
        <v>109</v>
      </c>
      <c r="AP2164" s="1"/>
      <c r="AQ2164" s="1">
        <v>7</v>
      </c>
      <c r="AR2164" s="1"/>
      <c r="AS2164" s="1" t="s">
        <v>15692</v>
      </c>
      <c r="AT2164" s="1">
        <v>0</v>
      </c>
      <c r="AU2164" s="1">
        <v>0</v>
      </c>
      <c r="AV2164" s="1">
        <v>0</v>
      </c>
      <c r="AW2164" s="1">
        <v>0</v>
      </c>
      <c r="AX2164" s="1">
        <v>0</v>
      </c>
      <c r="AY2164" s="1">
        <v>0</v>
      </c>
      <c r="AZ2164" s="1">
        <v>0</v>
      </c>
      <c r="BA2164" s="1">
        <v>0</v>
      </c>
      <c r="BB2164" s="1">
        <v>0</v>
      </c>
      <c r="BC2164" s="1">
        <v>0</v>
      </c>
      <c r="BD2164" s="1">
        <v>0</v>
      </c>
      <c r="BE2164" s="1">
        <v>0</v>
      </c>
      <c r="BF2164" s="1">
        <v>0</v>
      </c>
      <c r="BG2164" s="1">
        <v>0</v>
      </c>
      <c r="BH2164" s="1">
        <v>0</v>
      </c>
      <c r="BI2164" s="1">
        <v>0</v>
      </c>
      <c r="BJ2164" s="1">
        <v>0</v>
      </c>
      <c r="BK2164" s="1">
        <v>0</v>
      </c>
      <c r="BL2164" s="1">
        <v>0</v>
      </c>
      <c r="BM2164" s="1">
        <v>0</v>
      </c>
      <c r="BN2164" s="1">
        <v>0</v>
      </c>
      <c r="BO2164" s="1">
        <v>0</v>
      </c>
      <c r="BP2164" s="1">
        <v>0</v>
      </c>
      <c r="BQ2164" s="1">
        <v>0</v>
      </c>
      <c r="BR2164" s="1">
        <v>0</v>
      </c>
      <c r="BS2164" s="1" t="s">
        <v>109</v>
      </c>
      <c r="BT2164" s="1">
        <v>2251</v>
      </c>
      <c r="BU2164" s="1" t="s">
        <v>109</v>
      </c>
      <c r="BV2164" s="1"/>
      <c r="BW2164" s="1"/>
      <c r="BX2164" s="1"/>
      <c r="BY2164" s="1"/>
      <c r="BZ2164" s="1">
        <v>0</v>
      </c>
      <c r="CA2164" s="1" t="s">
        <v>109</v>
      </c>
      <c r="CB2164" s="1" t="s">
        <v>109</v>
      </c>
      <c r="CC2164" s="1" t="s">
        <v>109</v>
      </c>
      <c r="CD2164" s="1" t="s">
        <v>109</v>
      </c>
      <c r="CE2164" s="1" t="s">
        <v>109</v>
      </c>
      <c r="CF2164" s="1" t="s">
        <v>109</v>
      </c>
      <c r="CG2164" s="1">
        <v>5</v>
      </c>
      <c r="CH2164" s="1" t="s">
        <v>109</v>
      </c>
      <c r="CI2164" s="1" t="s">
        <v>109</v>
      </c>
      <c r="CJ2164" s="1" t="s">
        <v>109</v>
      </c>
      <c r="CK2164" s="1"/>
      <c r="CL2164" s="1">
        <v>0</v>
      </c>
      <c r="CM2164" s="1">
        <v>0</v>
      </c>
      <c r="CN2164" s="1">
        <v>0</v>
      </c>
    </row>
    <row r="2165" spans="1:92" ht="14.25" customHeight="1" x14ac:dyDescent="0.15">
      <c r="A2165" s="1" t="s">
        <v>15693</v>
      </c>
      <c r="B2165" s="1" t="s">
        <v>584</v>
      </c>
      <c r="C2165" s="1"/>
      <c r="D2165" s="1"/>
      <c r="E2165" s="1" t="s">
        <v>15694</v>
      </c>
      <c r="F2165" s="1" t="s">
        <v>98</v>
      </c>
      <c r="G2165" s="1" t="s">
        <v>2345</v>
      </c>
      <c r="H2165" s="1">
        <v>0</v>
      </c>
      <c r="I2165" s="1" t="s">
        <v>161</v>
      </c>
      <c r="J2165" s="1"/>
      <c r="K2165" s="1"/>
      <c r="L2165" s="1" t="s">
        <v>639</v>
      </c>
      <c r="M2165" s="1" t="s">
        <v>3042</v>
      </c>
      <c r="N2165" s="1">
        <v>0</v>
      </c>
      <c r="O2165" s="1">
        <v>0</v>
      </c>
      <c r="P2165" s="1" t="s">
        <v>215</v>
      </c>
      <c r="Q2165" s="1" t="s">
        <v>104</v>
      </c>
      <c r="R2165" s="1" t="s">
        <v>15695</v>
      </c>
      <c r="S2165" s="1" t="s">
        <v>15696</v>
      </c>
      <c r="T2165" s="1" t="s">
        <v>14784</v>
      </c>
      <c r="U2165" s="1" t="s">
        <v>15697</v>
      </c>
      <c r="V2165" s="1">
        <v>0</v>
      </c>
      <c r="W2165" s="1">
        <v>1</v>
      </c>
      <c r="X2165" s="1">
        <v>0</v>
      </c>
      <c r="Y2165" s="1">
        <v>0</v>
      </c>
      <c r="Z2165" s="1">
        <v>0</v>
      </c>
      <c r="AA2165" s="1" t="s">
        <v>109</v>
      </c>
      <c r="AB2165" s="1" t="s">
        <v>109</v>
      </c>
      <c r="AC2165" s="1" t="s">
        <v>109</v>
      </c>
      <c r="AD2165" s="1" t="s">
        <v>109</v>
      </c>
      <c r="AE2165" s="1" t="s">
        <v>109</v>
      </c>
      <c r="AF2165" s="1" t="s">
        <v>109</v>
      </c>
      <c r="AG2165" s="1" t="s">
        <v>109</v>
      </c>
      <c r="AH2165" s="1" t="s">
        <v>109</v>
      </c>
      <c r="AI2165" s="1" t="s">
        <v>109</v>
      </c>
      <c r="AJ2165" s="1" t="s">
        <v>109</v>
      </c>
      <c r="AK2165" s="1" t="s">
        <v>109</v>
      </c>
      <c r="AL2165" s="1" t="s">
        <v>109</v>
      </c>
      <c r="AM2165" s="1" t="s">
        <v>109</v>
      </c>
      <c r="AN2165" s="1" t="s">
        <v>109</v>
      </c>
      <c r="AO2165" s="1" t="s">
        <v>109</v>
      </c>
      <c r="AP2165" s="1"/>
      <c r="AQ2165" s="1" t="s">
        <v>109</v>
      </c>
      <c r="AR2165" s="1"/>
      <c r="AS2165" s="1" t="s">
        <v>15698</v>
      </c>
      <c r="AT2165" s="1">
        <v>0</v>
      </c>
      <c r="AU2165" s="1">
        <v>0</v>
      </c>
      <c r="AV2165" s="1">
        <v>0</v>
      </c>
      <c r="AW2165" s="1">
        <v>0</v>
      </c>
      <c r="AX2165" s="1">
        <v>0</v>
      </c>
      <c r="AY2165" s="1">
        <v>0</v>
      </c>
      <c r="AZ2165" s="1">
        <v>0</v>
      </c>
      <c r="BA2165" s="1">
        <v>0</v>
      </c>
      <c r="BB2165" s="1">
        <v>0</v>
      </c>
      <c r="BC2165" s="1">
        <v>0</v>
      </c>
      <c r="BD2165" s="1">
        <v>0</v>
      </c>
      <c r="BE2165" s="1">
        <v>0</v>
      </c>
      <c r="BF2165" s="1">
        <v>0</v>
      </c>
      <c r="BG2165" s="1">
        <v>0</v>
      </c>
      <c r="BH2165" s="1">
        <v>0</v>
      </c>
      <c r="BI2165" s="1">
        <v>0</v>
      </c>
      <c r="BJ2165" s="1">
        <v>0</v>
      </c>
      <c r="BK2165" s="1">
        <v>0</v>
      </c>
      <c r="BL2165" s="1">
        <v>0</v>
      </c>
      <c r="BM2165" s="1">
        <v>0</v>
      </c>
      <c r="BN2165" s="1">
        <v>0</v>
      </c>
      <c r="BO2165" s="1">
        <v>0</v>
      </c>
      <c r="BP2165" s="1">
        <v>0</v>
      </c>
      <c r="BQ2165" s="1">
        <v>0</v>
      </c>
      <c r="BR2165" s="1">
        <v>0</v>
      </c>
      <c r="BS2165" s="1" t="s">
        <v>109</v>
      </c>
      <c r="BT2165" s="1">
        <v>2252</v>
      </c>
      <c r="BU2165" s="1" t="s">
        <v>109</v>
      </c>
      <c r="BV2165" s="1" t="s">
        <v>15699</v>
      </c>
      <c r="BW2165" s="1"/>
      <c r="BX2165" s="1"/>
      <c r="BY2165" s="1"/>
      <c r="BZ2165" s="1">
        <v>0</v>
      </c>
      <c r="CA2165" s="1" t="s">
        <v>109</v>
      </c>
      <c r="CB2165" s="1">
        <v>4</v>
      </c>
      <c r="CC2165" s="1" t="s">
        <v>109</v>
      </c>
      <c r="CD2165" s="1">
        <v>4</v>
      </c>
      <c r="CE2165" s="1" t="s">
        <v>109</v>
      </c>
      <c r="CF2165" s="1">
        <v>4</v>
      </c>
      <c r="CG2165" s="1">
        <v>3</v>
      </c>
      <c r="CH2165" s="1" t="s">
        <v>109</v>
      </c>
      <c r="CI2165" s="1" t="s">
        <v>109</v>
      </c>
      <c r="CJ2165" s="1" t="s">
        <v>109</v>
      </c>
      <c r="CK2165" s="1"/>
      <c r="CL2165" s="1">
        <v>0</v>
      </c>
      <c r="CM2165" s="1">
        <v>0</v>
      </c>
      <c r="CN2165" s="1">
        <v>0</v>
      </c>
    </row>
    <row r="2166" spans="1:92" ht="14.25" customHeight="1" x14ac:dyDescent="0.15">
      <c r="A2166" s="1" t="s">
        <v>15700</v>
      </c>
      <c r="B2166" s="1" t="s">
        <v>254</v>
      </c>
      <c r="C2166" s="1"/>
      <c r="D2166" s="1" t="s">
        <v>158</v>
      </c>
      <c r="E2166" s="1" t="s">
        <v>15701</v>
      </c>
      <c r="F2166" s="1" t="s">
        <v>98</v>
      </c>
      <c r="G2166" s="1" t="s">
        <v>333</v>
      </c>
      <c r="H2166" s="1">
        <v>0</v>
      </c>
      <c r="I2166" s="1" t="s">
        <v>161</v>
      </c>
      <c r="J2166" s="1"/>
      <c r="K2166" s="1"/>
      <c r="L2166" s="1" t="s">
        <v>162</v>
      </c>
      <c r="M2166" s="1" t="s">
        <v>144</v>
      </c>
      <c r="N2166" s="1">
        <v>0</v>
      </c>
      <c r="O2166" s="1">
        <v>0</v>
      </c>
      <c r="P2166" s="1" t="s">
        <v>8321</v>
      </c>
      <c r="Q2166" s="1" t="s">
        <v>268</v>
      </c>
      <c r="R2166" s="1" t="s">
        <v>15702</v>
      </c>
      <c r="S2166" s="1" t="s">
        <v>15703</v>
      </c>
      <c r="T2166" s="1" t="s">
        <v>14784</v>
      </c>
      <c r="U2166" s="1" t="s">
        <v>15704</v>
      </c>
      <c r="V2166" s="1">
        <v>1</v>
      </c>
      <c r="W2166" s="1">
        <v>0</v>
      </c>
      <c r="X2166" s="1">
        <v>0</v>
      </c>
      <c r="Y2166" s="1">
        <v>0</v>
      </c>
      <c r="Z2166" s="1">
        <v>0</v>
      </c>
      <c r="AA2166" s="1" t="s">
        <v>109</v>
      </c>
      <c r="AB2166" s="1" t="s">
        <v>109</v>
      </c>
      <c r="AC2166" s="1" t="s">
        <v>109</v>
      </c>
      <c r="AD2166" s="1" t="s">
        <v>109</v>
      </c>
      <c r="AE2166" s="1" t="s">
        <v>109</v>
      </c>
      <c r="AF2166" s="1" t="s">
        <v>109</v>
      </c>
      <c r="AG2166" s="1" t="s">
        <v>109</v>
      </c>
      <c r="AH2166" s="1" t="s">
        <v>109</v>
      </c>
      <c r="AI2166" s="1" t="s">
        <v>109</v>
      </c>
      <c r="AJ2166" s="1" t="s">
        <v>109</v>
      </c>
      <c r="AK2166" s="1" t="s">
        <v>109</v>
      </c>
      <c r="AL2166" s="1" t="s">
        <v>109</v>
      </c>
      <c r="AM2166" s="1" t="s">
        <v>109</v>
      </c>
      <c r="AN2166" s="1" t="s">
        <v>109</v>
      </c>
      <c r="AO2166" s="1" t="s">
        <v>109</v>
      </c>
      <c r="AP2166" s="1"/>
      <c r="AQ2166" s="1" t="s">
        <v>109</v>
      </c>
      <c r="AR2166" s="1"/>
      <c r="AS2166" s="1" t="s">
        <v>15705</v>
      </c>
      <c r="AT2166" s="1">
        <v>0</v>
      </c>
      <c r="AU2166" s="1">
        <v>0</v>
      </c>
      <c r="AV2166" s="1">
        <v>0</v>
      </c>
      <c r="AW2166" s="1">
        <v>0</v>
      </c>
      <c r="AX2166" s="1">
        <v>0</v>
      </c>
      <c r="AY2166" s="1">
        <v>0</v>
      </c>
      <c r="AZ2166" s="1">
        <v>0</v>
      </c>
      <c r="BA2166" s="1">
        <v>0</v>
      </c>
      <c r="BB2166" s="1">
        <v>0</v>
      </c>
      <c r="BC2166" s="1">
        <v>0</v>
      </c>
      <c r="BD2166" s="1">
        <v>0</v>
      </c>
      <c r="BE2166" s="1">
        <v>0</v>
      </c>
      <c r="BF2166" s="1">
        <v>0</v>
      </c>
      <c r="BG2166" s="1">
        <v>0</v>
      </c>
      <c r="BH2166" s="1">
        <v>0</v>
      </c>
      <c r="BI2166" s="1">
        <v>0</v>
      </c>
      <c r="BJ2166" s="1">
        <v>0</v>
      </c>
      <c r="BK2166" s="1">
        <v>0</v>
      </c>
      <c r="BL2166" s="1">
        <v>0</v>
      </c>
      <c r="BM2166" s="1">
        <v>1</v>
      </c>
      <c r="BN2166" s="1">
        <v>0</v>
      </c>
      <c r="BO2166" s="1">
        <v>0</v>
      </c>
      <c r="BP2166" s="1">
        <v>0</v>
      </c>
      <c r="BQ2166" s="1">
        <v>0</v>
      </c>
      <c r="BR2166" s="1">
        <v>0</v>
      </c>
      <c r="BS2166" s="1" t="s">
        <v>109</v>
      </c>
      <c r="BT2166" s="1">
        <v>2253</v>
      </c>
      <c r="BU2166" s="1" t="s">
        <v>109</v>
      </c>
      <c r="BV2166" s="1"/>
      <c r="BW2166" s="1"/>
      <c r="BX2166" s="1"/>
      <c r="BY2166" s="1"/>
      <c r="BZ2166" s="1">
        <v>0</v>
      </c>
      <c r="CA2166" s="1" t="s">
        <v>109</v>
      </c>
      <c r="CB2166" s="1" t="s">
        <v>109</v>
      </c>
      <c r="CC2166" s="1">
        <v>5</v>
      </c>
      <c r="CD2166" s="1" t="s">
        <v>109</v>
      </c>
      <c r="CE2166" s="1">
        <v>4</v>
      </c>
      <c r="CF2166" s="1" t="s">
        <v>109</v>
      </c>
      <c r="CG2166" s="1" t="s">
        <v>109</v>
      </c>
      <c r="CH2166" s="1" t="s">
        <v>109</v>
      </c>
      <c r="CI2166" s="1" t="s">
        <v>109</v>
      </c>
      <c r="CJ2166" s="1" t="s">
        <v>109</v>
      </c>
      <c r="CK2166" s="1"/>
      <c r="CL2166" s="1">
        <v>0</v>
      </c>
      <c r="CM2166" s="1">
        <v>0</v>
      </c>
      <c r="CN2166" s="1">
        <v>0</v>
      </c>
    </row>
    <row r="2167" spans="1:92" ht="14.25" customHeight="1" x14ac:dyDescent="0.15">
      <c r="A2167" s="1" t="s">
        <v>15706</v>
      </c>
      <c r="B2167" s="1" t="s">
        <v>156</v>
      </c>
      <c r="C2167" s="1" t="s">
        <v>157</v>
      </c>
      <c r="D2167" s="1" t="s">
        <v>158</v>
      </c>
      <c r="E2167" s="1" t="s">
        <v>15707</v>
      </c>
      <c r="F2167" s="1" t="s">
        <v>98</v>
      </c>
      <c r="G2167" s="1" t="s">
        <v>333</v>
      </c>
      <c r="H2167" s="1">
        <v>0</v>
      </c>
      <c r="I2167" s="1" t="s">
        <v>1192</v>
      </c>
      <c r="J2167" s="1" t="s">
        <v>6326</v>
      </c>
      <c r="K2167" s="1"/>
      <c r="L2167" s="1"/>
      <c r="M2167" s="1" t="s">
        <v>355</v>
      </c>
      <c r="N2167" s="1">
        <v>0</v>
      </c>
      <c r="O2167" s="1">
        <v>0</v>
      </c>
      <c r="P2167" s="1" t="s">
        <v>301</v>
      </c>
      <c r="Q2167" s="1" t="s">
        <v>268</v>
      </c>
      <c r="R2167" s="1" t="s">
        <v>15708</v>
      </c>
      <c r="S2167" s="1" t="s">
        <v>15709</v>
      </c>
      <c r="T2167" s="1" t="s">
        <v>14784</v>
      </c>
      <c r="U2167" s="1" t="s">
        <v>15710</v>
      </c>
      <c r="V2167" s="1">
        <v>1</v>
      </c>
      <c r="W2167" s="1">
        <v>0</v>
      </c>
      <c r="X2167" s="1">
        <v>0</v>
      </c>
      <c r="Y2167" s="1">
        <v>0</v>
      </c>
      <c r="Z2167" s="1">
        <v>0</v>
      </c>
      <c r="AA2167" s="1" t="s">
        <v>109</v>
      </c>
      <c r="AB2167" s="1" t="s">
        <v>109</v>
      </c>
      <c r="AC2167" s="1" t="s">
        <v>109</v>
      </c>
      <c r="AD2167" s="1" t="s">
        <v>109</v>
      </c>
      <c r="AE2167" s="1" t="s">
        <v>109</v>
      </c>
      <c r="AF2167" s="1" t="s">
        <v>109</v>
      </c>
      <c r="AG2167" s="1" t="s">
        <v>109</v>
      </c>
      <c r="AH2167" s="1" t="s">
        <v>109</v>
      </c>
      <c r="AI2167" s="1" t="s">
        <v>109</v>
      </c>
      <c r="AJ2167" s="1" t="s">
        <v>109</v>
      </c>
      <c r="AK2167" s="1" t="s">
        <v>109</v>
      </c>
      <c r="AL2167" s="1" t="s">
        <v>109</v>
      </c>
      <c r="AM2167" s="1" t="s">
        <v>109</v>
      </c>
      <c r="AN2167" s="1" t="s">
        <v>109</v>
      </c>
      <c r="AO2167" s="1" t="s">
        <v>109</v>
      </c>
      <c r="AP2167" s="1"/>
      <c r="AQ2167" s="1">
        <v>3</v>
      </c>
      <c r="AR2167" s="1"/>
      <c r="AS2167" s="1" t="s">
        <v>15711</v>
      </c>
      <c r="AT2167" s="1">
        <v>0</v>
      </c>
      <c r="AU2167" s="1">
        <v>0</v>
      </c>
      <c r="AV2167" s="1">
        <v>0</v>
      </c>
      <c r="AW2167" s="1">
        <v>0</v>
      </c>
      <c r="AX2167" s="1">
        <v>0</v>
      </c>
      <c r="AY2167" s="1">
        <v>0</v>
      </c>
      <c r="AZ2167" s="1">
        <v>0</v>
      </c>
      <c r="BA2167" s="1">
        <v>0</v>
      </c>
      <c r="BB2167" s="1">
        <v>0</v>
      </c>
      <c r="BC2167" s="1">
        <v>0</v>
      </c>
      <c r="BD2167" s="1">
        <v>0</v>
      </c>
      <c r="BE2167" s="1">
        <v>0</v>
      </c>
      <c r="BF2167" s="1">
        <v>0</v>
      </c>
      <c r="BG2167" s="1">
        <v>0</v>
      </c>
      <c r="BH2167" s="1">
        <v>0</v>
      </c>
      <c r="BI2167" s="1">
        <v>0</v>
      </c>
      <c r="BJ2167" s="1">
        <v>0</v>
      </c>
      <c r="BK2167" s="1">
        <v>0</v>
      </c>
      <c r="BL2167" s="1">
        <v>0</v>
      </c>
      <c r="BM2167" s="1">
        <v>1</v>
      </c>
      <c r="BN2167" s="1">
        <v>0</v>
      </c>
      <c r="BO2167" s="1">
        <v>0</v>
      </c>
      <c r="BP2167" s="1">
        <v>0</v>
      </c>
      <c r="BQ2167" s="1">
        <v>0</v>
      </c>
      <c r="BR2167" s="1">
        <v>0</v>
      </c>
      <c r="BS2167" s="1" t="s">
        <v>109</v>
      </c>
      <c r="BT2167" s="1">
        <v>2254</v>
      </c>
      <c r="BU2167" s="1" t="s">
        <v>109</v>
      </c>
      <c r="BV2167" s="1"/>
      <c r="BW2167" s="1"/>
      <c r="BX2167" s="1"/>
      <c r="BY2167" s="1"/>
      <c r="BZ2167" s="1">
        <v>0</v>
      </c>
      <c r="CA2167" s="1" t="s">
        <v>109</v>
      </c>
      <c r="CB2167" s="1" t="s">
        <v>109</v>
      </c>
      <c r="CC2167" s="1">
        <v>3</v>
      </c>
      <c r="CD2167" s="1" t="s">
        <v>109</v>
      </c>
      <c r="CE2167" s="1">
        <v>3</v>
      </c>
      <c r="CF2167" s="1" t="s">
        <v>109</v>
      </c>
      <c r="CG2167" s="1" t="s">
        <v>109</v>
      </c>
      <c r="CH2167" s="1" t="s">
        <v>109</v>
      </c>
      <c r="CI2167" s="1" t="s">
        <v>109</v>
      </c>
      <c r="CJ2167" s="1" t="s">
        <v>109</v>
      </c>
      <c r="CK2167" s="1"/>
      <c r="CL2167" s="1">
        <v>0</v>
      </c>
      <c r="CM2167" s="1">
        <v>0</v>
      </c>
      <c r="CN2167" s="1">
        <v>0</v>
      </c>
    </row>
    <row r="2168" spans="1:92" ht="14.25" customHeight="1" x14ac:dyDescent="0.15">
      <c r="A2168" s="1" t="s">
        <v>15712</v>
      </c>
      <c r="B2168" s="1" t="s">
        <v>156</v>
      </c>
      <c r="C2168" s="1" t="s">
        <v>157</v>
      </c>
      <c r="D2168" s="1" t="s">
        <v>158</v>
      </c>
      <c r="E2168" s="1" t="s">
        <v>15701</v>
      </c>
      <c r="F2168" s="1" t="s">
        <v>98</v>
      </c>
      <c r="G2168" s="1" t="s">
        <v>333</v>
      </c>
      <c r="H2168" s="1">
        <v>0</v>
      </c>
      <c r="I2168" s="1" t="s">
        <v>1192</v>
      </c>
      <c r="J2168" s="1" t="s">
        <v>6326</v>
      </c>
      <c r="K2168" s="1"/>
      <c r="L2168" s="1"/>
      <c r="M2168" s="1" t="s">
        <v>15713</v>
      </c>
      <c r="N2168" s="1">
        <v>0</v>
      </c>
      <c r="O2168" s="1">
        <v>0</v>
      </c>
      <c r="P2168" s="1" t="s">
        <v>301</v>
      </c>
      <c r="Q2168" s="1" t="s">
        <v>268</v>
      </c>
      <c r="R2168" s="1" t="s">
        <v>15714</v>
      </c>
      <c r="S2168" s="1" t="s">
        <v>15715</v>
      </c>
      <c r="T2168" s="1" t="s">
        <v>14784</v>
      </c>
      <c r="U2168" s="1" t="s">
        <v>15716</v>
      </c>
      <c r="V2168" s="1">
        <v>1</v>
      </c>
      <c r="W2168" s="1">
        <v>0</v>
      </c>
      <c r="X2168" s="1">
        <v>0</v>
      </c>
      <c r="Y2168" s="1">
        <v>0</v>
      </c>
      <c r="Z2168" s="1">
        <v>0</v>
      </c>
      <c r="AA2168" s="1" t="s">
        <v>109</v>
      </c>
      <c r="AB2168" s="1" t="s">
        <v>109</v>
      </c>
      <c r="AC2168" s="1" t="s">
        <v>109</v>
      </c>
      <c r="AD2168" s="1" t="s">
        <v>109</v>
      </c>
      <c r="AE2168" s="1" t="s">
        <v>109</v>
      </c>
      <c r="AF2168" s="1" t="s">
        <v>109</v>
      </c>
      <c r="AG2168" s="1" t="s">
        <v>109</v>
      </c>
      <c r="AH2168" s="1" t="s">
        <v>109</v>
      </c>
      <c r="AI2168" s="1" t="s">
        <v>109</v>
      </c>
      <c r="AJ2168" s="1" t="s">
        <v>109</v>
      </c>
      <c r="AK2168" s="1" t="s">
        <v>109</v>
      </c>
      <c r="AL2168" s="1" t="s">
        <v>109</v>
      </c>
      <c r="AM2168" s="1" t="s">
        <v>109</v>
      </c>
      <c r="AN2168" s="1" t="s">
        <v>109</v>
      </c>
      <c r="AO2168" s="1" t="s">
        <v>109</v>
      </c>
      <c r="AP2168" s="1"/>
      <c r="AQ2168" s="1" t="s">
        <v>109</v>
      </c>
      <c r="AR2168" s="1"/>
      <c r="AS2168" s="1" t="s">
        <v>15717</v>
      </c>
      <c r="AT2168" s="1">
        <v>0</v>
      </c>
      <c r="AU2168" s="1">
        <v>0</v>
      </c>
      <c r="AV2168" s="1">
        <v>0</v>
      </c>
      <c r="AW2168" s="1">
        <v>0</v>
      </c>
      <c r="AX2168" s="1">
        <v>0</v>
      </c>
      <c r="AY2168" s="1">
        <v>0</v>
      </c>
      <c r="AZ2168" s="1">
        <v>0</v>
      </c>
      <c r="BA2168" s="1">
        <v>0</v>
      </c>
      <c r="BB2168" s="1">
        <v>0</v>
      </c>
      <c r="BC2168" s="1">
        <v>0</v>
      </c>
      <c r="BD2168" s="1">
        <v>0</v>
      </c>
      <c r="BE2168" s="1">
        <v>0</v>
      </c>
      <c r="BF2168" s="1">
        <v>0</v>
      </c>
      <c r="BG2168" s="1">
        <v>0</v>
      </c>
      <c r="BH2168" s="1">
        <v>0</v>
      </c>
      <c r="BI2168" s="1">
        <v>0</v>
      </c>
      <c r="BJ2168" s="1">
        <v>0</v>
      </c>
      <c r="BK2168" s="1">
        <v>0</v>
      </c>
      <c r="BL2168" s="1">
        <v>0</v>
      </c>
      <c r="BM2168" s="1">
        <v>1</v>
      </c>
      <c r="BN2168" s="1">
        <v>0</v>
      </c>
      <c r="BO2168" s="1">
        <v>0</v>
      </c>
      <c r="BP2168" s="1">
        <v>0</v>
      </c>
      <c r="BQ2168" s="1">
        <v>0</v>
      </c>
      <c r="BR2168" s="1">
        <v>0</v>
      </c>
      <c r="BS2168" s="1" t="s">
        <v>109</v>
      </c>
      <c r="BT2168" s="1">
        <v>2255</v>
      </c>
      <c r="BU2168" s="1" t="s">
        <v>109</v>
      </c>
      <c r="BV2168" s="1"/>
      <c r="BW2168" s="1"/>
      <c r="BX2168" s="1"/>
      <c r="BY2168" s="1"/>
      <c r="BZ2168" s="1">
        <v>0</v>
      </c>
      <c r="CA2168" s="1" t="s">
        <v>109</v>
      </c>
      <c r="CB2168" s="1" t="s">
        <v>109</v>
      </c>
      <c r="CC2168" s="1">
        <v>5</v>
      </c>
      <c r="CD2168" s="1" t="s">
        <v>109</v>
      </c>
      <c r="CE2168" s="1">
        <v>4</v>
      </c>
      <c r="CF2168" s="1" t="s">
        <v>109</v>
      </c>
      <c r="CG2168" s="1" t="s">
        <v>109</v>
      </c>
      <c r="CH2168" s="1" t="s">
        <v>109</v>
      </c>
      <c r="CI2168" s="1" t="s">
        <v>109</v>
      </c>
      <c r="CJ2168" s="1" t="s">
        <v>109</v>
      </c>
      <c r="CK2168" s="1"/>
      <c r="CL2168" s="1">
        <v>0</v>
      </c>
      <c r="CM2168" s="1">
        <v>0</v>
      </c>
      <c r="CN2168" s="1">
        <v>0</v>
      </c>
    </row>
    <row r="2169" spans="1:92" ht="14.25" customHeight="1" x14ac:dyDescent="0.15">
      <c r="A2169" s="1" t="s">
        <v>15718</v>
      </c>
      <c r="B2169" s="1" t="s">
        <v>156</v>
      </c>
      <c r="C2169" s="1" t="s">
        <v>157</v>
      </c>
      <c r="D2169" s="1" t="s">
        <v>158</v>
      </c>
      <c r="E2169" s="1" t="s">
        <v>15719</v>
      </c>
      <c r="F2169" s="1" t="s">
        <v>98</v>
      </c>
      <c r="G2169" s="1" t="s">
        <v>141</v>
      </c>
      <c r="H2169" s="1">
        <v>0</v>
      </c>
      <c r="I2169" s="1" t="s">
        <v>122</v>
      </c>
      <c r="J2169" s="1"/>
      <c r="K2169" s="1"/>
      <c r="L2169" s="1" t="s">
        <v>1391</v>
      </c>
      <c r="M2169" s="1" t="s">
        <v>125</v>
      </c>
      <c r="N2169" s="1">
        <v>0</v>
      </c>
      <c r="O2169" s="1">
        <v>0</v>
      </c>
      <c r="P2169" s="1" t="s">
        <v>301</v>
      </c>
      <c r="Q2169" s="1" t="s">
        <v>268</v>
      </c>
      <c r="R2169" s="1" t="s">
        <v>15720</v>
      </c>
      <c r="S2169" s="1" t="s">
        <v>15721</v>
      </c>
      <c r="T2169" s="1" t="s">
        <v>14784</v>
      </c>
      <c r="U2169" s="1" t="s">
        <v>15722</v>
      </c>
      <c r="V2169" s="1">
        <v>1</v>
      </c>
      <c r="W2169" s="1">
        <v>1</v>
      </c>
      <c r="X2169" s="1">
        <v>0</v>
      </c>
      <c r="Y2169" s="1">
        <v>0</v>
      </c>
      <c r="Z2169" s="1">
        <v>0</v>
      </c>
      <c r="AA2169" s="1" t="s">
        <v>109</v>
      </c>
      <c r="AB2169" s="1" t="s">
        <v>109</v>
      </c>
      <c r="AC2169" s="1" t="s">
        <v>109</v>
      </c>
      <c r="AD2169" s="1" t="s">
        <v>109</v>
      </c>
      <c r="AE2169" s="1" t="s">
        <v>109</v>
      </c>
      <c r="AF2169" s="1" t="s">
        <v>109</v>
      </c>
      <c r="AG2169" s="1" t="s">
        <v>109</v>
      </c>
      <c r="AH2169" s="1" t="s">
        <v>109</v>
      </c>
      <c r="AI2169" s="1" t="s">
        <v>109</v>
      </c>
      <c r="AJ2169" s="1" t="s">
        <v>109</v>
      </c>
      <c r="AK2169" s="1" t="s">
        <v>109</v>
      </c>
      <c r="AL2169" s="1" t="s">
        <v>109</v>
      </c>
      <c r="AM2169" s="1" t="s">
        <v>109</v>
      </c>
      <c r="AN2169" s="1" t="s">
        <v>109</v>
      </c>
      <c r="AO2169" s="1" t="s">
        <v>109</v>
      </c>
      <c r="AP2169" s="1"/>
      <c r="AQ2169" s="1" t="s">
        <v>109</v>
      </c>
      <c r="AR2169" s="1"/>
      <c r="AS2169" s="1" t="s">
        <v>15723</v>
      </c>
      <c r="AT2169" s="1">
        <v>0</v>
      </c>
      <c r="AU2169" s="1">
        <v>0</v>
      </c>
      <c r="AV2169" s="1">
        <v>0</v>
      </c>
      <c r="AW2169" s="1">
        <v>0</v>
      </c>
      <c r="AX2169" s="1">
        <v>0</v>
      </c>
      <c r="AY2169" s="1">
        <v>0</v>
      </c>
      <c r="AZ2169" s="1">
        <v>0</v>
      </c>
      <c r="BA2169" s="1">
        <v>0</v>
      </c>
      <c r="BB2169" s="1">
        <v>0</v>
      </c>
      <c r="BC2169" s="1">
        <v>0</v>
      </c>
      <c r="BD2169" s="1">
        <v>0</v>
      </c>
      <c r="BE2169" s="1">
        <v>0</v>
      </c>
      <c r="BF2169" s="1">
        <v>0</v>
      </c>
      <c r="BG2169" s="1">
        <v>0</v>
      </c>
      <c r="BH2169" s="1">
        <v>0</v>
      </c>
      <c r="BI2169" s="1">
        <v>0</v>
      </c>
      <c r="BJ2169" s="1">
        <v>0</v>
      </c>
      <c r="BK2169" s="1">
        <v>0</v>
      </c>
      <c r="BL2169" s="1">
        <v>0</v>
      </c>
      <c r="BM2169" s="1">
        <v>1</v>
      </c>
      <c r="BN2169" s="1">
        <v>0</v>
      </c>
      <c r="BO2169" s="1">
        <v>0</v>
      </c>
      <c r="BP2169" s="1">
        <v>0</v>
      </c>
      <c r="BQ2169" s="1">
        <v>0</v>
      </c>
      <c r="BR2169" s="1">
        <v>0</v>
      </c>
      <c r="BS2169" s="1" t="s">
        <v>109</v>
      </c>
      <c r="BT2169" s="1">
        <v>2256</v>
      </c>
      <c r="BU2169" s="1" t="s">
        <v>109</v>
      </c>
      <c r="BV2169" s="1"/>
      <c r="BW2169" s="1"/>
      <c r="BX2169" s="1"/>
      <c r="BY2169" s="1"/>
      <c r="BZ2169" s="1">
        <v>0</v>
      </c>
      <c r="CA2169" s="1" t="s">
        <v>109</v>
      </c>
      <c r="CB2169" s="1" t="s">
        <v>109</v>
      </c>
      <c r="CC2169" s="1">
        <v>4</v>
      </c>
      <c r="CD2169" s="1" t="s">
        <v>109</v>
      </c>
      <c r="CE2169" s="1">
        <v>3</v>
      </c>
      <c r="CF2169" s="1" t="s">
        <v>109</v>
      </c>
      <c r="CG2169" s="1" t="s">
        <v>109</v>
      </c>
      <c r="CH2169" s="1" t="s">
        <v>109</v>
      </c>
      <c r="CI2169" s="1" t="s">
        <v>109</v>
      </c>
      <c r="CJ2169" s="1" t="s">
        <v>109</v>
      </c>
      <c r="CK2169" s="1"/>
      <c r="CL2169" s="1">
        <v>0</v>
      </c>
      <c r="CM2169" s="1">
        <v>0</v>
      </c>
      <c r="CN2169" s="1">
        <v>0</v>
      </c>
    </row>
    <row r="2170" spans="1:92" ht="14.25" customHeight="1" x14ac:dyDescent="0.15">
      <c r="A2170" s="1" t="s">
        <v>15724</v>
      </c>
      <c r="B2170" s="1" t="s">
        <v>674</v>
      </c>
      <c r="C2170" s="1" t="s">
        <v>1715</v>
      </c>
      <c r="D2170" s="1" t="s">
        <v>158</v>
      </c>
      <c r="E2170" s="1" t="s">
        <v>15707</v>
      </c>
      <c r="F2170" s="1" t="s">
        <v>98</v>
      </c>
      <c r="G2170" s="1" t="s">
        <v>141</v>
      </c>
      <c r="H2170" s="1">
        <v>0</v>
      </c>
      <c r="I2170" s="1" t="s">
        <v>142</v>
      </c>
      <c r="J2170" s="1"/>
      <c r="K2170" s="1"/>
      <c r="L2170" s="1" t="s">
        <v>563</v>
      </c>
      <c r="M2170" s="1" t="s">
        <v>125</v>
      </c>
      <c r="N2170" s="1">
        <v>0</v>
      </c>
      <c r="O2170" s="1">
        <v>0</v>
      </c>
      <c r="P2170" s="1" t="s">
        <v>301</v>
      </c>
      <c r="Q2170" s="1" t="s">
        <v>268</v>
      </c>
      <c r="R2170" s="1" t="s">
        <v>15725</v>
      </c>
      <c r="S2170" s="1" t="s">
        <v>15726</v>
      </c>
      <c r="T2170" s="1" t="s">
        <v>14784</v>
      </c>
      <c r="U2170" s="1" t="s">
        <v>15727</v>
      </c>
      <c r="V2170" s="1">
        <v>1</v>
      </c>
      <c r="W2170" s="1">
        <v>1</v>
      </c>
      <c r="X2170" s="1">
        <v>0</v>
      </c>
      <c r="Y2170" s="1">
        <v>0</v>
      </c>
      <c r="Z2170" s="1">
        <v>0</v>
      </c>
      <c r="AA2170" s="1" t="s">
        <v>109</v>
      </c>
      <c r="AB2170" s="1" t="s">
        <v>109</v>
      </c>
      <c r="AC2170" s="1" t="s">
        <v>109</v>
      </c>
      <c r="AD2170" s="1" t="s">
        <v>109</v>
      </c>
      <c r="AE2170" s="1" t="s">
        <v>109</v>
      </c>
      <c r="AF2170" s="1" t="s">
        <v>109</v>
      </c>
      <c r="AG2170" s="1" t="s">
        <v>109</v>
      </c>
      <c r="AH2170" s="1" t="s">
        <v>109</v>
      </c>
      <c r="AI2170" s="1" t="s">
        <v>109</v>
      </c>
      <c r="AJ2170" s="1" t="s">
        <v>109</v>
      </c>
      <c r="AK2170" s="1" t="s">
        <v>109</v>
      </c>
      <c r="AL2170" s="1" t="s">
        <v>109</v>
      </c>
      <c r="AM2170" s="1" t="s">
        <v>109</v>
      </c>
      <c r="AN2170" s="1" t="s">
        <v>109</v>
      </c>
      <c r="AO2170" s="1" t="s">
        <v>109</v>
      </c>
      <c r="AP2170" s="1"/>
      <c r="AQ2170" s="1">
        <v>3</v>
      </c>
      <c r="AR2170" s="1"/>
      <c r="AS2170" s="1" t="s">
        <v>15728</v>
      </c>
      <c r="AT2170" s="1">
        <v>0</v>
      </c>
      <c r="AU2170" s="1">
        <v>0</v>
      </c>
      <c r="AV2170" s="1">
        <v>0</v>
      </c>
      <c r="AW2170" s="1">
        <v>0</v>
      </c>
      <c r="AX2170" s="1">
        <v>0</v>
      </c>
      <c r="AY2170" s="1">
        <v>0</v>
      </c>
      <c r="AZ2170" s="1">
        <v>0</v>
      </c>
      <c r="BA2170" s="1">
        <v>0</v>
      </c>
      <c r="BB2170" s="1">
        <v>0</v>
      </c>
      <c r="BC2170" s="1">
        <v>0</v>
      </c>
      <c r="BD2170" s="1">
        <v>0</v>
      </c>
      <c r="BE2170" s="1">
        <v>0</v>
      </c>
      <c r="BF2170" s="1">
        <v>0</v>
      </c>
      <c r="BG2170" s="1">
        <v>0</v>
      </c>
      <c r="BH2170" s="1">
        <v>0</v>
      </c>
      <c r="BI2170" s="1">
        <v>0</v>
      </c>
      <c r="BJ2170" s="1">
        <v>0</v>
      </c>
      <c r="BK2170" s="1">
        <v>0</v>
      </c>
      <c r="BL2170" s="1">
        <v>0</v>
      </c>
      <c r="BM2170" s="1">
        <v>1</v>
      </c>
      <c r="BN2170" s="1">
        <v>0</v>
      </c>
      <c r="BO2170" s="1">
        <v>0</v>
      </c>
      <c r="BP2170" s="1">
        <v>0</v>
      </c>
      <c r="BQ2170" s="1">
        <v>0</v>
      </c>
      <c r="BR2170" s="1">
        <v>0</v>
      </c>
      <c r="BS2170" s="1" t="s">
        <v>109</v>
      </c>
      <c r="BT2170" s="1">
        <v>2257</v>
      </c>
      <c r="BU2170" s="1" t="s">
        <v>109</v>
      </c>
      <c r="BV2170" s="1"/>
      <c r="BW2170" s="1"/>
      <c r="BX2170" s="1"/>
      <c r="BY2170" s="1"/>
      <c r="BZ2170" s="1">
        <v>0</v>
      </c>
      <c r="CA2170" s="1" t="s">
        <v>109</v>
      </c>
      <c r="CB2170" s="1" t="s">
        <v>109</v>
      </c>
      <c r="CC2170" s="1">
        <v>3</v>
      </c>
      <c r="CD2170" s="1" t="s">
        <v>109</v>
      </c>
      <c r="CE2170" s="1">
        <v>3</v>
      </c>
      <c r="CF2170" s="1" t="s">
        <v>109</v>
      </c>
      <c r="CG2170" s="1" t="s">
        <v>109</v>
      </c>
      <c r="CH2170" s="1" t="s">
        <v>109</v>
      </c>
      <c r="CI2170" s="1" t="s">
        <v>109</v>
      </c>
      <c r="CJ2170" s="1" t="s">
        <v>109</v>
      </c>
      <c r="CK2170" s="1"/>
      <c r="CL2170" s="1">
        <v>0</v>
      </c>
      <c r="CM2170" s="1">
        <v>0</v>
      </c>
      <c r="CN2170" s="1">
        <v>0</v>
      </c>
    </row>
    <row r="2171" spans="1:92" ht="14.25" customHeight="1" x14ac:dyDescent="0.15">
      <c r="A2171" s="1" t="s">
        <v>15729</v>
      </c>
      <c r="B2171" s="1" t="s">
        <v>674</v>
      </c>
      <c r="C2171" s="1" t="s">
        <v>1715</v>
      </c>
      <c r="D2171" s="1" t="s">
        <v>158</v>
      </c>
      <c r="E2171" s="1" t="s">
        <v>15730</v>
      </c>
      <c r="F2171" s="1" t="s">
        <v>98</v>
      </c>
      <c r="G2171" s="1" t="s">
        <v>141</v>
      </c>
      <c r="H2171" s="1">
        <v>0</v>
      </c>
      <c r="I2171" s="1" t="s">
        <v>122</v>
      </c>
      <c r="J2171" s="1"/>
      <c r="K2171" s="1"/>
      <c r="L2171" s="1" t="s">
        <v>15731</v>
      </c>
      <c r="M2171" s="1" t="s">
        <v>125</v>
      </c>
      <c r="N2171" s="1">
        <v>0</v>
      </c>
      <c r="O2171" s="1">
        <v>0</v>
      </c>
      <c r="P2171" s="1" t="s">
        <v>301</v>
      </c>
      <c r="Q2171" s="1" t="s">
        <v>268</v>
      </c>
      <c r="R2171" s="1" t="s">
        <v>15732</v>
      </c>
      <c r="S2171" s="1" t="s">
        <v>15733</v>
      </c>
      <c r="T2171" s="1" t="s">
        <v>14784</v>
      </c>
      <c r="U2171" s="1" t="s">
        <v>15734</v>
      </c>
      <c r="V2171" s="1">
        <v>1</v>
      </c>
      <c r="W2171" s="1">
        <v>1</v>
      </c>
      <c r="X2171" s="1">
        <v>0</v>
      </c>
      <c r="Y2171" s="1">
        <v>0</v>
      </c>
      <c r="Z2171" s="1">
        <v>0</v>
      </c>
      <c r="AA2171" s="1" t="s">
        <v>109</v>
      </c>
      <c r="AB2171" s="1" t="s">
        <v>109</v>
      </c>
      <c r="AC2171" s="1" t="s">
        <v>109</v>
      </c>
      <c r="AD2171" s="1" t="s">
        <v>109</v>
      </c>
      <c r="AE2171" s="1" t="s">
        <v>109</v>
      </c>
      <c r="AF2171" s="1" t="s">
        <v>109</v>
      </c>
      <c r="AG2171" s="1" t="s">
        <v>109</v>
      </c>
      <c r="AH2171" s="1" t="s">
        <v>109</v>
      </c>
      <c r="AI2171" s="1" t="s">
        <v>109</v>
      </c>
      <c r="AJ2171" s="1" t="s">
        <v>109</v>
      </c>
      <c r="AK2171" s="1" t="s">
        <v>109</v>
      </c>
      <c r="AL2171" s="1" t="s">
        <v>109</v>
      </c>
      <c r="AM2171" s="1" t="s">
        <v>109</v>
      </c>
      <c r="AN2171" s="1" t="s">
        <v>109</v>
      </c>
      <c r="AO2171" s="1" t="s">
        <v>109</v>
      </c>
      <c r="AP2171" s="1"/>
      <c r="AQ2171" s="1" t="s">
        <v>109</v>
      </c>
      <c r="AR2171" s="1"/>
      <c r="AS2171" s="1" t="s">
        <v>15735</v>
      </c>
      <c r="AT2171" s="1">
        <v>0</v>
      </c>
      <c r="AU2171" s="1">
        <v>0</v>
      </c>
      <c r="AV2171" s="1">
        <v>0</v>
      </c>
      <c r="AW2171" s="1">
        <v>0</v>
      </c>
      <c r="AX2171" s="1">
        <v>0</v>
      </c>
      <c r="AY2171" s="1">
        <v>0</v>
      </c>
      <c r="AZ2171" s="1">
        <v>0</v>
      </c>
      <c r="BA2171" s="1">
        <v>0</v>
      </c>
      <c r="BB2171" s="1">
        <v>0</v>
      </c>
      <c r="BC2171" s="1">
        <v>0</v>
      </c>
      <c r="BD2171" s="1">
        <v>0</v>
      </c>
      <c r="BE2171" s="1">
        <v>0</v>
      </c>
      <c r="BF2171" s="1">
        <v>0</v>
      </c>
      <c r="BG2171" s="1">
        <v>0</v>
      </c>
      <c r="BH2171" s="1">
        <v>0</v>
      </c>
      <c r="BI2171" s="1">
        <v>0</v>
      </c>
      <c r="BJ2171" s="1">
        <v>0</v>
      </c>
      <c r="BK2171" s="1">
        <v>0</v>
      </c>
      <c r="BL2171" s="1">
        <v>0</v>
      </c>
      <c r="BM2171" s="1">
        <v>1</v>
      </c>
      <c r="BN2171" s="1">
        <v>0</v>
      </c>
      <c r="BO2171" s="1">
        <v>0</v>
      </c>
      <c r="BP2171" s="1">
        <v>0</v>
      </c>
      <c r="BQ2171" s="1">
        <v>0</v>
      </c>
      <c r="BR2171" s="1">
        <v>0</v>
      </c>
      <c r="BS2171" s="1" t="s">
        <v>109</v>
      </c>
      <c r="BT2171" s="1">
        <v>2258</v>
      </c>
      <c r="BU2171" s="1" t="s">
        <v>109</v>
      </c>
      <c r="BV2171" s="1"/>
      <c r="BW2171" s="1"/>
      <c r="BX2171" s="1"/>
      <c r="BY2171" s="1"/>
      <c r="BZ2171" s="1">
        <v>0</v>
      </c>
      <c r="CA2171" s="1" t="s">
        <v>109</v>
      </c>
      <c r="CB2171" s="1" t="s">
        <v>109</v>
      </c>
      <c r="CC2171" s="1">
        <v>7</v>
      </c>
      <c r="CD2171" s="1" t="s">
        <v>109</v>
      </c>
      <c r="CE2171" s="1">
        <v>5</v>
      </c>
      <c r="CF2171" s="1" t="s">
        <v>109</v>
      </c>
      <c r="CG2171" s="1" t="s">
        <v>109</v>
      </c>
      <c r="CH2171" s="1" t="s">
        <v>109</v>
      </c>
      <c r="CI2171" s="1" t="s">
        <v>109</v>
      </c>
      <c r="CJ2171" s="1" t="s">
        <v>109</v>
      </c>
      <c r="CK2171" s="1"/>
      <c r="CL2171" s="1">
        <v>0</v>
      </c>
      <c r="CM2171" s="1">
        <v>0</v>
      </c>
      <c r="CN2171" s="1">
        <v>0</v>
      </c>
    </row>
    <row r="2172" spans="1:92" ht="14.25" customHeight="1" x14ac:dyDescent="0.15">
      <c r="A2172" s="1" t="s">
        <v>15736</v>
      </c>
      <c r="B2172" s="1" t="s">
        <v>584</v>
      </c>
      <c r="C2172" s="1"/>
      <c r="D2172" s="1"/>
      <c r="E2172" s="1" t="s">
        <v>15737</v>
      </c>
      <c r="F2172" s="1" t="s">
        <v>395</v>
      </c>
      <c r="G2172" s="1" t="s">
        <v>333</v>
      </c>
      <c r="H2172" s="1">
        <v>0</v>
      </c>
      <c r="I2172" s="1" t="s">
        <v>235</v>
      </c>
      <c r="J2172" s="1"/>
      <c r="K2172" s="1"/>
      <c r="L2172" s="1" t="s">
        <v>236</v>
      </c>
      <c r="M2172" s="1" t="s">
        <v>7341</v>
      </c>
      <c r="N2172" s="1">
        <v>1</v>
      </c>
      <c r="O2172" s="1">
        <v>0</v>
      </c>
      <c r="P2172" s="1"/>
      <c r="Q2172" s="1"/>
      <c r="R2172" s="1" t="s">
        <v>15738</v>
      </c>
      <c r="S2172" s="1" t="s">
        <v>15739</v>
      </c>
      <c r="T2172" s="1" t="s">
        <v>14784</v>
      </c>
      <c r="U2172" s="1" t="s">
        <v>15740</v>
      </c>
      <c r="V2172" s="1">
        <v>1</v>
      </c>
      <c r="W2172" s="1">
        <v>0</v>
      </c>
      <c r="X2172" s="1">
        <v>0</v>
      </c>
      <c r="Y2172" s="1">
        <v>0</v>
      </c>
      <c r="Z2172" s="1">
        <v>0</v>
      </c>
      <c r="AA2172" s="1" t="s">
        <v>109</v>
      </c>
      <c r="AB2172" s="1" t="s">
        <v>109</v>
      </c>
      <c r="AC2172" s="1" t="s">
        <v>109</v>
      </c>
      <c r="AD2172" s="1" t="s">
        <v>109</v>
      </c>
      <c r="AE2172" s="1" t="s">
        <v>109</v>
      </c>
      <c r="AF2172" s="1" t="s">
        <v>109</v>
      </c>
      <c r="AG2172" s="1" t="s">
        <v>109</v>
      </c>
      <c r="AH2172" s="1" t="s">
        <v>109</v>
      </c>
      <c r="AI2172" s="1" t="s">
        <v>109</v>
      </c>
      <c r="AJ2172" s="1" t="s">
        <v>109</v>
      </c>
      <c r="AK2172" s="1" t="s">
        <v>109</v>
      </c>
      <c r="AL2172" s="1" t="s">
        <v>109</v>
      </c>
      <c r="AM2172" s="1" t="s">
        <v>109</v>
      </c>
      <c r="AN2172" s="1" t="s">
        <v>109</v>
      </c>
      <c r="AO2172" s="1" t="s">
        <v>109</v>
      </c>
      <c r="AP2172" s="1"/>
      <c r="AQ2172" s="1">
        <v>3</v>
      </c>
      <c r="AR2172" s="1"/>
      <c r="AS2172" s="1" t="s">
        <v>15741</v>
      </c>
      <c r="AT2172" s="1">
        <v>0</v>
      </c>
      <c r="AU2172" s="1">
        <v>0</v>
      </c>
      <c r="AV2172" s="1">
        <v>0</v>
      </c>
      <c r="AW2172" s="1">
        <v>0</v>
      </c>
      <c r="AX2172" s="1">
        <v>0</v>
      </c>
      <c r="AY2172" s="1">
        <v>0</v>
      </c>
      <c r="AZ2172" s="1">
        <v>0</v>
      </c>
      <c r="BA2172" s="1">
        <v>0</v>
      </c>
      <c r="BB2172" s="1">
        <v>0</v>
      </c>
      <c r="BC2172" s="1">
        <v>0</v>
      </c>
      <c r="BD2172" s="1">
        <v>0</v>
      </c>
      <c r="BE2172" s="1">
        <v>0</v>
      </c>
      <c r="BF2172" s="1">
        <v>0</v>
      </c>
      <c r="BG2172" s="1">
        <v>0</v>
      </c>
      <c r="BH2172" s="1">
        <v>0</v>
      </c>
      <c r="BI2172" s="1">
        <v>0</v>
      </c>
      <c r="BJ2172" s="1">
        <v>0</v>
      </c>
      <c r="BK2172" s="1">
        <v>0</v>
      </c>
      <c r="BL2172" s="1">
        <v>0</v>
      </c>
      <c r="BM2172" s="1">
        <v>0</v>
      </c>
      <c r="BN2172" s="1">
        <v>0</v>
      </c>
      <c r="BO2172" s="1">
        <v>0</v>
      </c>
      <c r="BP2172" s="1">
        <v>0</v>
      </c>
      <c r="BQ2172" s="1">
        <v>0</v>
      </c>
      <c r="BR2172" s="1">
        <v>0</v>
      </c>
      <c r="BS2172" s="1" t="s">
        <v>109</v>
      </c>
      <c r="BT2172" s="1">
        <v>2259</v>
      </c>
      <c r="BU2172" s="1" t="s">
        <v>109</v>
      </c>
      <c r="BV2172" s="1"/>
      <c r="BW2172" s="1"/>
      <c r="BX2172" s="1"/>
      <c r="BY2172" s="1"/>
      <c r="BZ2172" s="1">
        <v>0</v>
      </c>
      <c r="CA2172" s="1" t="s">
        <v>109</v>
      </c>
      <c r="CB2172" s="1" t="s">
        <v>109</v>
      </c>
      <c r="CC2172" s="1" t="s">
        <v>109</v>
      </c>
      <c r="CD2172" s="1" t="s">
        <v>109</v>
      </c>
      <c r="CE2172" s="1" t="s">
        <v>109</v>
      </c>
      <c r="CF2172" s="1">
        <v>3</v>
      </c>
      <c r="CG2172" s="1" t="s">
        <v>109</v>
      </c>
      <c r="CH2172" s="1" t="s">
        <v>109</v>
      </c>
      <c r="CI2172" s="1" t="s">
        <v>109</v>
      </c>
      <c r="CJ2172" s="1" t="s">
        <v>109</v>
      </c>
      <c r="CK2172" s="1"/>
      <c r="CL2172" s="1">
        <v>0</v>
      </c>
      <c r="CM2172" s="1">
        <v>0</v>
      </c>
      <c r="CN2172" s="1">
        <v>0</v>
      </c>
    </row>
    <row r="2173" spans="1:92" ht="14.25" customHeight="1" x14ac:dyDescent="0.15">
      <c r="A2173" s="1" t="s">
        <v>15742</v>
      </c>
      <c r="B2173" s="1" t="s">
        <v>189</v>
      </c>
      <c r="C2173" s="1"/>
      <c r="D2173" s="1"/>
      <c r="E2173" s="1" t="s">
        <v>15743</v>
      </c>
      <c r="F2173" s="1" t="s">
        <v>98</v>
      </c>
      <c r="G2173" s="1" t="s">
        <v>141</v>
      </c>
      <c r="H2173" s="1">
        <v>0</v>
      </c>
      <c r="I2173" s="1" t="s">
        <v>142</v>
      </c>
      <c r="J2173" s="1"/>
      <c r="K2173" s="1"/>
      <c r="L2173" s="1" t="s">
        <v>1391</v>
      </c>
      <c r="M2173" s="1" t="s">
        <v>15744</v>
      </c>
      <c r="N2173" s="1">
        <v>0</v>
      </c>
      <c r="O2173" s="1">
        <v>0</v>
      </c>
      <c r="P2173" s="1" t="s">
        <v>103</v>
      </c>
      <c r="Q2173" s="1" t="s">
        <v>268</v>
      </c>
      <c r="R2173" s="1" t="s">
        <v>15745</v>
      </c>
      <c r="S2173" s="1" t="s">
        <v>15746</v>
      </c>
      <c r="T2173" s="1" t="s">
        <v>14784</v>
      </c>
      <c r="U2173" s="1" t="s">
        <v>15747</v>
      </c>
      <c r="V2173" s="1">
        <v>1</v>
      </c>
      <c r="W2173" s="1">
        <v>1</v>
      </c>
      <c r="X2173" s="1">
        <v>0</v>
      </c>
      <c r="Y2173" s="1">
        <v>0</v>
      </c>
      <c r="Z2173" s="1">
        <v>0</v>
      </c>
      <c r="AA2173" s="1">
        <v>4</v>
      </c>
      <c r="AB2173" s="1">
        <v>4</v>
      </c>
      <c r="AC2173" s="1" t="s">
        <v>109</v>
      </c>
      <c r="AD2173" s="1" t="s">
        <v>109</v>
      </c>
      <c r="AE2173" s="1" t="s">
        <v>109</v>
      </c>
      <c r="AF2173" s="1" t="s">
        <v>109</v>
      </c>
      <c r="AG2173" s="1" t="s">
        <v>109</v>
      </c>
      <c r="AH2173" s="1" t="s">
        <v>109</v>
      </c>
      <c r="AI2173" s="1" t="s">
        <v>109</v>
      </c>
      <c r="AJ2173" s="1" t="s">
        <v>109</v>
      </c>
      <c r="AK2173" s="1" t="s">
        <v>109</v>
      </c>
      <c r="AL2173" s="1" t="s">
        <v>109</v>
      </c>
      <c r="AM2173" s="1" t="s">
        <v>109</v>
      </c>
      <c r="AN2173" s="1">
        <v>4</v>
      </c>
      <c r="AO2173" s="1" t="s">
        <v>109</v>
      </c>
      <c r="AP2173" s="1"/>
      <c r="AQ2173" s="1">
        <v>4</v>
      </c>
      <c r="AR2173" s="1"/>
      <c r="AS2173" s="1" t="s">
        <v>15748</v>
      </c>
      <c r="AT2173" s="1">
        <v>0</v>
      </c>
      <c r="AU2173" s="1">
        <v>0</v>
      </c>
      <c r="AV2173" s="1">
        <v>0</v>
      </c>
      <c r="AW2173" s="1">
        <v>0</v>
      </c>
      <c r="AX2173" s="1">
        <v>0</v>
      </c>
      <c r="AY2173" s="1">
        <v>0</v>
      </c>
      <c r="AZ2173" s="1">
        <v>0</v>
      </c>
      <c r="BA2173" s="1">
        <v>0</v>
      </c>
      <c r="BB2173" s="1">
        <v>0</v>
      </c>
      <c r="BC2173" s="1">
        <v>0</v>
      </c>
      <c r="BD2173" s="1">
        <v>0</v>
      </c>
      <c r="BE2173" s="1">
        <v>0</v>
      </c>
      <c r="BF2173" s="1">
        <v>0</v>
      </c>
      <c r="BG2173" s="1">
        <v>0</v>
      </c>
      <c r="BH2173" s="1">
        <v>0</v>
      </c>
      <c r="BI2173" s="1">
        <v>0</v>
      </c>
      <c r="BJ2173" s="1">
        <v>0</v>
      </c>
      <c r="BK2173" s="1">
        <v>0</v>
      </c>
      <c r="BL2173" s="1">
        <v>0</v>
      </c>
      <c r="BM2173" s="1">
        <v>0</v>
      </c>
      <c r="BN2173" s="1">
        <v>0</v>
      </c>
      <c r="BO2173" s="1">
        <v>0</v>
      </c>
      <c r="BP2173" s="1">
        <v>0</v>
      </c>
      <c r="BQ2173" s="1">
        <v>0</v>
      </c>
      <c r="BR2173" s="1">
        <v>0</v>
      </c>
      <c r="BS2173" s="1" t="s">
        <v>109</v>
      </c>
      <c r="BT2173" s="1">
        <v>2260</v>
      </c>
      <c r="BU2173" s="1" t="s">
        <v>109</v>
      </c>
      <c r="BV2173" s="1"/>
      <c r="BW2173" s="1"/>
      <c r="BX2173" s="1"/>
      <c r="BY2173" s="1"/>
      <c r="BZ2173" s="1">
        <v>0</v>
      </c>
      <c r="CA2173" s="1" t="s">
        <v>109</v>
      </c>
      <c r="CB2173" s="1" t="s">
        <v>109</v>
      </c>
      <c r="CC2173" s="1">
        <v>3</v>
      </c>
      <c r="CD2173" s="1" t="s">
        <v>109</v>
      </c>
      <c r="CE2173" s="1" t="s">
        <v>109</v>
      </c>
      <c r="CF2173" s="1" t="s">
        <v>109</v>
      </c>
      <c r="CG2173" s="1">
        <v>4</v>
      </c>
      <c r="CH2173" s="1" t="s">
        <v>109</v>
      </c>
      <c r="CI2173" s="1" t="s">
        <v>109</v>
      </c>
      <c r="CJ2173" s="1" t="s">
        <v>109</v>
      </c>
      <c r="CK2173" s="1"/>
      <c r="CL2173" s="1">
        <v>0</v>
      </c>
      <c r="CM2173" s="1">
        <v>0</v>
      </c>
      <c r="CN2173" s="1">
        <v>0</v>
      </c>
    </row>
    <row r="2174" spans="1:92" ht="14.25" customHeight="1" x14ac:dyDescent="0.15">
      <c r="A2174" s="1" t="s">
        <v>15749</v>
      </c>
      <c r="B2174" s="1" t="s">
        <v>584</v>
      </c>
      <c r="C2174" s="1"/>
      <c r="D2174" s="1"/>
      <c r="E2174" s="1" t="s">
        <v>15750</v>
      </c>
      <c r="F2174" s="1" t="s">
        <v>98</v>
      </c>
      <c r="G2174" s="1" t="s">
        <v>141</v>
      </c>
      <c r="H2174" s="1">
        <v>0</v>
      </c>
      <c r="I2174" s="1" t="s">
        <v>142</v>
      </c>
      <c r="J2174" s="1"/>
      <c r="K2174" s="1"/>
      <c r="L2174" s="1"/>
      <c r="M2174" s="1" t="s">
        <v>144</v>
      </c>
      <c r="N2174" s="1">
        <v>0</v>
      </c>
      <c r="O2174" s="1">
        <v>0</v>
      </c>
      <c r="P2174" s="1" t="s">
        <v>104</v>
      </c>
      <c r="Q2174" s="1" t="s">
        <v>104</v>
      </c>
      <c r="R2174" s="1" t="s">
        <v>15751</v>
      </c>
      <c r="S2174" s="1" t="s">
        <v>15752</v>
      </c>
      <c r="T2174" s="1" t="s">
        <v>14784</v>
      </c>
      <c r="U2174" s="1" t="s">
        <v>15753</v>
      </c>
      <c r="V2174" s="1">
        <v>1</v>
      </c>
      <c r="W2174" s="1">
        <v>1</v>
      </c>
      <c r="X2174" s="1">
        <v>0</v>
      </c>
      <c r="Y2174" s="1">
        <v>0</v>
      </c>
      <c r="Z2174" s="1">
        <v>0</v>
      </c>
      <c r="AA2174" s="1" t="s">
        <v>109</v>
      </c>
      <c r="AB2174" s="1" t="s">
        <v>109</v>
      </c>
      <c r="AC2174" s="1" t="s">
        <v>109</v>
      </c>
      <c r="AD2174" s="1" t="s">
        <v>109</v>
      </c>
      <c r="AE2174" s="1" t="s">
        <v>109</v>
      </c>
      <c r="AF2174" s="1" t="s">
        <v>109</v>
      </c>
      <c r="AG2174" s="1" t="s">
        <v>109</v>
      </c>
      <c r="AH2174" s="1" t="s">
        <v>109</v>
      </c>
      <c r="AI2174" s="1" t="s">
        <v>109</v>
      </c>
      <c r="AJ2174" s="1" t="s">
        <v>109</v>
      </c>
      <c r="AK2174" s="1" t="s">
        <v>109</v>
      </c>
      <c r="AL2174" s="1" t="s">
        <v>109</v>
      </c>
      <c r="AM2174" s="1" t="s">
        <v>109</v>
      </c>
      <c r="AN2174" s="1" t="s">
        <v>109</v>
      </c>
      <c r="AO2174" s="1" t="s">
        <v>109</v>
      </c>
      <c r="AP2174" s="1"/>
      <c r="AQ2174" s="1">
        <v>0</v>
      </c>
      <c r="AR2174" s="1"/>
      <c r="AS2174" s="1" t="s">
        <v>15754</v>
      </c>
      <c r="AT2174" s="1">
        <v>0</v>
      </c>
      <c r="AU2174" s="1">
        <v>0</v>
      </c>
      <c r="AV2174" s="1">
        <v>0</v>
      </c>
      <c r="AW2174" s="1">
        <v>0</v>
      </c>
      <c r="AX2174" s="1">
        <v>0</v>
      </c>
      <c r="AY2174" s="1">
        <v>0</v>
      </c>
      <c r="AZ2174" s="1">
        <v>0</v>
      </c>
      <c r="BA2174" s="1">
        <v>0</v>
      </c>
      <c r="BB2174" s="1">
        <v>0</v>
      </c>
      <c r="BC2174" s="1">
        <v>0</v>
      </c>
      <c r="BD2174" s="1">
        <v>0</v>
      </c>
      <c r="BE2174" s="1">
        <v>0</v>
      </c>
      <c r="BF2174" s="1">
        <v>0</v>
      </c>
      <c r="BG2174" s="1">
        <v>0</v>
      </c>
      <c r="BH2174" s="1">
        <v>0</v>
      </c>
      <c r="BI2174" s="1">
        <v>0</v>
      </c>
      <c r="BJ2174" s="1">
        <v>0</v>
      </c>
      <c r="BK2174" s="1">
        <v>0</v>
      </c>
      <c r="BL2174" s="1">
        <v>0</v>
      </c>
      <c r="BM2174" s="1">
        <v>0</v>
      </c>
      <c r="BN2174" s="1">
        <v>0</v>
      </c>
      <c r="BO2174" s="1">
        <v>0</v>
      </c>
      <c r="BP2174" s="1">
        <v>0</v>
      </c>
      <c r="BQ2174" s="1">
        <v>0</v>
      </c>
      <c r="BR2174" s="1">
        <v>0</v>
      </c>
      <c r="BS2174" s="1" t="s">
        <v>109</v>
      </c>
      <c r="BT2174" s="1">
        <v>2261</v>
      </c>
      <c r="BU2174" s="1" t="s">
        <v>109</v>
      </c>
      <c r="BV2174" s="1"/>
      <c r="BW2174" s="1"/>
      <c r="BX2174" s="1"/>
      <c r="BY2174" s="1"/>
      <c r="BZ2174" s="1">
        <v>0</v>
      </c>
      <c r="CA2174" s="1" t="s">
        <v>109</v>
      </c>
      <c r="CB2174" s="1" t="s">
        <v>109</v>
      </c>
      <c r="CC2174" s="1">
        <v>0</v>
      </c>
      <c r="CD2174" s="1" t="s">
        <v>109</v>
      </c>
      <c r="CE2174" s="1" t="s">
        <v>109</v>
      </c>
      <c r="CF2174" s="1">
        <v>0</v>
      </c>
      <c r="CG2174" s="1">
        <v>0</v>
      </c>
      <c r="CH2174" s="1" t="s">
        <v>109</v>
      </c>
      <c r="CI2174" s="1" t="s">
        <v>109</v>
      </c>
      <c r="CJ2174" s="1" t="s">
        <v>109</v>
      </c>
      <c r="CK2174" s="1"/>
      <c r="CL2174" s="1">
        <v>0</v>
      </c>
      <c r="CM2174" s="1">
        <v>0</v>
      </c>
      <c r="CN2174" s="1">
        <v>0</v>
      </c>
    </row>
    <row r="2175" spans="1:92" ht="14.25" customHeight="1" x14ac:dyDescent="0.15">
      <c r="A2175" s="1" t="s">
        <v>15755</v>
      </c>
      <c r="B2175" s="1" t="s">
        <v>584</v>
      </c>
      <c r="C2175" s="1"/>
      <c r="D2175" s="1" t="s">
        <v>60</v>
      </c>
      <c r="E2175" s="1" t="s">
        <v>14781</v>
      </c>
      <c r="F2175" s="1" t="s">
        <v>98</v>
      </c>
      <c r="G2175" s="1" t="s">
        <v>141</v>
      </c>
      <c r="H2175" s="1">
        <v>0</v>
      </c>
      <c r="I2175" s="1"/>
      <c r="J2175" s="1" t="s">
        <v>11984</v>
      </c>
      <c r="K2175" s="1"/>
      <c r="L2175" s="1"/>
      <c r="M2175" s="1" t="s">
        <v>144</v>
      </c>
      <c r="N2175" s="1">
        <v>0</v>
      </c>
      <c r="O2175" s="1">
        <v>0</v>
      </c>
      <c r="P2175" s="1" t="s">
        <v>8321</v>
      </c>
      <c r="Q2175" s="1" t="s">
        <v>268</v>
      </c>
      <c r="R2175" s="1" t="s">
        <v>15756</v>
      </c>
      <c r="S2175" s="1" t="s">
        <v>15757</v>
      </c>
      <c r="T2175" s="1" t="s">
        <v>14784</v>
      </c>
      <c r="U2175" s="1" t="s">
        <v>15758</v>
      </c>
      <c r="V2175" s="1">
        <v>1</v>
      </c>
      <c r="W2175" s="1">
        <v>1</v>
      </c>
      <c r="X2175" s="1">
        <v>0</v>
      </c>
      <c r="Y2175" s="1">
        <v>0</v>
      </c>
      <c r="Z2175" s="1">
        <v>0</v>
      </c>
      <c r="AA2175" s="1" t="s">
        <v>109</v>
      </c>
      <c r="AB2175" s="1" t="s">
        <v>109</v>
      </c>
      <c r="AC2175" s="1" t="s">
        <v>109</v>
      </c>
      <c r="AD2175" s="1" t="s">
        <v>109</v>
      </c>
      <c r="AE2175" s="1" t="s">
        <v>109</v>
      </c>
      <c r="AF2175" s="1" t="s">
        <v>109</v>
      </c>
      <c r="AG2175" s="1" t="s">
        <v>109</v>
      </c>
      <c r="AH2175" s="1" t="s">
        <v>109</v>
      </c>
      <c r="AI2175" s="1" t="s">
        <v>109</v>
      </c>
      <c r="AJ2175" s="1" t="s">
        <v>109</v>
      </c>
      <c r="AK2175" s="1" t="s">
        <v>109</v>
      </c>
      <c r="AL2175" s="1" t="s">
        <v>109</v>
      </c>
      <c r="AM2175" s="1" t="s">
        <v>109</v>
      </c>
      <c r="AN2175" s="1" t="s">
        <v>109</v>
      </c>
      <c r="AO2175" s="1" t="s">
        <v>109</v>
      </c>
      <c r="AP2175" s="1"/>
      <c r="AQ2175" s="1">
        <v>9</v>
      </c>
      <c r="AR2175" s="1"/>
      <c r="AS2175" s="1" t="s">
        <v>15759</v>
      </c>
      <c r="AT2175" s="1">
        <v>0</v>
      </c>
      <c r="AU2175" s="1">
        <v>0</v>
      </c>
      <c r="AV2175" s="1">
        <v>0</v>
      </c>
      <c r="AW2175" s="1">
        <v>0</v>
      </c>
      <c r="AX2175" s="1">
        <v>0</v>
      </c>
      <c r="AY2175" s="1">
        <v>0</v>
      </c>
      <c r="AZ2175" s="1">
        <v>0</v>
      </c>
      <c r="BA2175" s="1">
        <v>0</v>
      </c>
      <c r="BB2175" s="1">
        <v>0</v>
      </c>
      <c r="BC2175" s="1">
        <v>0</v>
      </c>
      <c r="BD2175" s="1">
        <v>0</v>
      </c>
      <c r="BE2175" s="1">
        <v>0</v>
      </c>
      <c r="BF2175" s="1">
        <v>0</v>
      </c>
      <c r="BG2175" s="1">
        <v>0</v>
      </c>
      <c r="BH2175" s="1">
        <v>1</v>
      </c>
      <c r="BI2175" s="1">
        <v>0</v>
      </c>
      <c r="BJ2175" s="1">
        <v>0</v>
      </c>
      <c r="BK2175" s="1">
        <v>0</v>
      </c>
      <c r="BL2175" s="1">
        <v>0</v>
      </c>
      <c r="BM2175" s="1">
        <v>0</v>
      </c>
      <c r="BN2175" s="1">
        <v>0</v>
      </c>
      <c r="BO2175" s="1">
        <v>0</v>
      </c>
      <c r="BP2175" s="1">
        <v>0</v>
      </c>
      <c r="BQ2175" s="1">
        <v>0</v>
      </c>
      <c r="BR2175" s="1">
        <v>0</v>
      </c>
      <c r="BS2175" s="1" t="s">
        <v>109</v>
      </c>
      <c r="BT2175" s="1">
        <v>2262</v>
      </c>
      <c r="BU2175" s="1" t="s">
        <v>109</v>
      </c>
      <c r="BV2175" s="1"/>
      <c r="BW2175" s="1"/>
      <c r="BX2175" s="1"/>
      <c r="BY2175" s="1"/>
      <c r="BZ2175" s="1">
        <v>0</v>
      </c>
      <c r="CA2175" s="1" t="s">
        <v>109</v>
      </c>
      <c r="CB2175" s="1" t="s">
        <v>109</v>
      </c>
      <c r="CC2175" s="1">
        <v>9</v>
      </c>
      <c r="CD2175" s="1" t="s">
        <v>109</v>
      </c>
      <c r="CE2175" s="1" t="s">
        <v>109</v>
      </c>
      <c r="CF2175" s="1" t="s">
        <v>109</v>
      </c>
      <c r="CG2175" s="1" t="s">
        <v>109</v>
      </c>
      <c r="CH2175" s="1" t="s">
        <v>109</v>
      </c>
      <c r="CI2175" s="1" t="s">
        <v>109</v>
      </c>
      <c r="CJ2175" s="1" t="s">
        <v>109</v>
      </c>
      <c r="CK2175" s="1"/>
      <c r="CL2175" s="1">
        <v>0</v>
      </c>
      <c r="CM2175" s="1">
        <v>0</v>
      </c>
      <c r="CN2175" s="1">
        <v>0</v>
      </c>
    </row>
    <row r="2176" spans="1:92" ht="14.25" customHeight="1" x14ac:dyDescent="0.15">
      <c r="A2176" s="1" t="s">
        <v>15760</v>
      </c>
      <c r="B2176" s="1" t="s">
        <v>156</v>
      </c>
      <c r="C2176" s="1" t="s">
        <v>157</v>
      </c>
      <c r="D2176" s="1" t="s">
        <v>8086</v>
      </c>
      <c r="E2176" s="1" t="s">
        <v>15025</v>
      </c>
      <c r="F2176" s="1" t="s">
        <v>98</v>
      </c>
      <c r="G2176" s="1" t="s">
        <v>141</v>
      </c>
      <c r="H2176" s="1">
        <v>0</v>
      </c>
      <c r="I2176" s="1" t="s">
        <v>122</v>
      </c>
      <c r="J2176" s="1"/>
      <c r="K2176" s="1"/>
      <c r="L2176" s="1" t="s">
        <v>1391</v>
      </c>
      <c r="M2176" s="1" t="s">
        <v>3042</v>
      </c>
      <c r="N2176" s="1">
        <v>0</v>
      </c>
      <c r="O2176" s="1">
        <v>0</v>
      </c>
      <c r="P2176" s="1" t="s">
        <v>2475</v>
      </c>
      <c r="Q2176" s="1" t="s">
        <v>268</v>
      </c>
      <c r="R2176" s="1" t="s">
        <v>15761</v>
      </c>
      <c r="S2176" s="1" t="s">
        <v>15762</v>
      </c>
      <c r="T2176" s="1" t="s">
        <v>14784</v>
      </c>
      <c r="U2176" s="1" t="s">
        <v>15763</v>
      </c>
      <c r="V2176" s="1">
        <v>1</v>
      </c>
      <c r="W2176" s="1">
        <v>1</v>
      </c>
      <c r="X2176" s="1">
        <v>0</v>
      </c>
      <c r="Y2176" s="1">
        <v>0</v>
      </c>
      <c r="Z2176" s="1">
        <v>0</v>
      </c>
      <c r="AA2176" s="1" t="s">
        <v>109</v>
      </c>
      <c r="AB2176" s="1" t="s">
        <v>109</v>
      </c>
      <c r="AC2176" s="1" t="s">
        <v>109</v>
      </c>
      <c r="AD2176" s="1" t="s">
        <v>109</v>
      </c>
      <c r="AE2176" s="1" t="s">
        <v>109</v>
      </c>
      <c r="AF2176" s="1" t="s">
        <v>109</v>
      </c>
      <c r="AG2176" s="1" t="s">
        <v>109</v>
      </c>
      <c r="AH2176" s="1" t="s">
        <v>109</v>
      </c>
      <c r="AI2176" s="1" t="s">
        <v>109</v>
      </c>
      <c r="AJ2176" s="1" t="s">
        <v>109</v>
      </c>
      <c r="AK2176" s="1" t="s">
        <v>109</v>
      </c>
      <c r="AL2176" s="1" t="s">
        <v>109</v>
      </c>
      <c r="AM2176" s="1" t="s">
        <v>109</v>
      </c>
      <c r="AN2176" s="1" t="s">
        <v>109</v>
      </c>
      <c r="AO2176" s="1" t="s">
        <v>109</v>
      </c>
      <c r="AP2176" s="1"/>
      <c r="AQ2176" s="1">
        <v>1</v>
      </c>
      <c r="AR2176" s="1"/>
      <c r="AS2176" s="1" t="s">
        <v>15764</v>
      </c>
      <c r="AT2176" s="1">
        <v>0</v>
      </c>
      <c r="AU2176" s="1">
        <v>0</v>
      </c>
      <c r="AV2176" s="1">
        <v>0</v>
      </c>
      <c r="AW2176" s="1">
        <v>0</v>
      </c>
      <c r="AX2176" s="1">
        <v>0</v>
      </c>
      <c r="AY2176" s="1">
        <v>0</v>
      </c>
      <c r="AZ2176" s="1">
        <v>0</v>
      </c>
      <c r="BA2176" s="1">
        <v>0</v>
      </c>
      <c r="BB2176" s="1">
        <v>0</v>
      </c>
      <c r="BC2176" s="1">
        <v>0</v>
      </c>
      <c r="BD2176" s="1">
        <v>1</v>
      </c>
      <c r="BE2176" s="1">
        <v>0</v>
      </c>
      <c r="BF2176" s="1">
        <v>0</v>
      </c>
      <c r="BG2176" s="1">
        <v>0</v>
      </c>
      <c r="BH2176" s="1">
        <v>0</v>
      </c>
      <c r="BI2176" s="1">
        <v>0</v>
      </c>
      <c r="BJ2176" s="1">
        <v>0</v>
      </c>
      <c r="BK2176" s="1">
        <v>0</v>
      </c>
      <c r="BL2176" s="1">
        <v>0</v>
      </c>
      <c r="BM2176" s="1">
        <v>1</v>
      </c>
      <c r="BN2176" s="1">
        <v>0</v>
      </c>
      <c r="BO2176" s="1">
        <v>0</v>
      </c>
      <c r="BP2176" s="1">
        <v>0</v>
      </c>
      <c r="BQ2176" s="1">
        <v>0</v>
      </c>
      <c r="BR2176" s="1">
        <v>0</v>
      </c>
      <c r="BS2176" s="1" t="s">
        <v>109</v>
      </c>
      <c r="BT2176" s="1">
        <v>2263</v>
      </c>
      <c r="BU2176" s="1" t="s">
        <v>109</v>
      </c>
      <c r="BV2176" s="1"/>
      <c r="BW2176" s="1"/>
      <c r="BX2176" s="1"/>
      <c r="BY2176" s="1"/>
      <c r="BZ2176" s="1">
        <v>0</v>
      </c>
      <c r="CA2176" s="1" t="s">
        <v>109</v>
      </c>
      <c r="CB2176" s="1" t="s">
        <v>109</v>
      </c>
      <c r="CC2176" s="1">
        <v>1</v>
      </c>
      <c r="CD2176" s="1" t="s">
        <v>109</v>
      </c>
      <c r="CE2176" s="1">
        <v>1</v>
      </c>
      <c r="CF2176" s="1" t="s">
        <v>109</v>
      </c>
      <c r="CG2176" s="1">
        <v>1</v>
      </c>
      <c r="CH2176" s="1" t="s">
        <v>109</v>
      </c>
      <c r="CI2176" s="1" t="s">
        <v>109</v>
      </c>
      <c r="CJ2176" s="1" t="s">
        <v>109</v>
      </c>
      <c r="CK2176" s="1"/>
      <c r="CL2176" s="1">
        <v>0</v>
      </c>
      <c r="CM2176" s="1">
        <v>0</v>
      </c>
      <c r="CN2176" s="1">
        <v>0</v>
      </c>
    </row>
    <row r="2177" spans="1:92" ht="14.25" customHeight="1" x14ac:dyDescent="0.15">
      <c r="A2177" s="1" t="s">
        <v>15765</v>
      </c>
      <c r="B2177" s="1" t="s">
        <v>254</v>
      </c>
      <c r="C2177" s="1"/>
      <c r="D2177" s="1" t="s">
        <v>158</v>
      </c>
      <c r="E2177" s="1" t="s">
        <v>15766</v>
      </c>
      <c r="F2177" s="1" t="s">
        <v>98</v>
      </c>
      <c r="G2177" s="1" t="s">
        <v>333</v>
      </c>
      <c r="H2177" s="1">
        <v>0</v>
      </c>
      <c r="I2177" s="1" t="s">
        <v>235</v>
      </c>
      <c r="J2177" s="1"/>
      <c r="K2177" s="1"/>
      <c r="L2177" s="1" t="s">
        <v>236</v>
      </c>
      <c r="M2177" s="1" t="s">
        <v>3042</v>
      </c>
      <c r="N2177" s="1">
        <v>0</v>
      </c>
      <c r="O2177" s="1">
        <v>0</v>
      </c>
      <c r="P2177" s="1"/>
      <c r="Q2177" s="1"/>
      <c r="R2177" s="1" t="s">
        <v>15767</v>
      </c>
      <c r="S2177" s="1" t="s">
        <v>15768</v>
      </c>
      <c r="T2177" s="1" t="s">
        <v>14784</v>
      </c>
      <c r="U2177" s="1" t="s">
        <v>15769</v>
      </c>
      <c r="V2177" s="1">
        <v>1</v>
      </c>
      <c r="W2177" s="1">
        <v>0</v>
      </c>
      <c r="X2177" s="1">
        <v>0</v>
      </c>
      <c r="Y2177" s="1">
        <v>0</v>
      </c>
      <c r="Z2177" s="1">
        <v>0</v>
      </c>
      <c r="AA2177" s="1">
        <v>6</v>
      </c>
      <c r="AB2177" s="1">
        <v>6</v>
      </c>
      <c r="AC2177" s="1" t="s">
        <v>109</v>
      </c>
      <c r="AD2177" s="1" t="s">
        <v>109</v>
      </c>
      <c r="AE2177" s="1" t="s">
        <v>109</v>
      </c>
      <c r="AF2177" s="1" t="s">
        <v>109</v>
      </c>
      <c r="AG2177" s="1" t="s">
        <v>109</v>
      </c>
      <c r="AH2177" s="1" t="s">
        <v>109</v>
      </c>
      <c r="AI2177" s="1" t="s">
        <v>109</v>
      </c>
      <c r="AJ2177" s="1" t="s">
        <v>109</v>
      </c>
      <c r="AK2177" s="1" t="s">
        <v>109</v>
      </c>
      <c r="AL2177" s="1" t="s">
        <v>109</v>
      </c>
      <c r="AM2177" s="1" t="s">
        <v>109</v>
      </c>
      <c r="AN2177" s="1" t="s">
        <v>109</v>
      </c>
      <c r="AO2177" s="1" t="s">
        <v>109</v>
      </c>
      <c r="AP2177" s="1"/>
      <c r="AQ2177" s="1">
        <v>6</v>
      </c>
      <c r="AR2177" s="1"/>
      <c r="AS2177" s="1" t="s">
        <v>15770</v>
      </c>
      <c r="AT2177" s="1">
        <v>0</v>
      </c>
      <c r="AU2177" s="1">
        <v>0</v>
      </c>
      <c r="AV2177" s="1">
        <v>0</v>
      </c>
      <c r="AW2177" s="1">
        <v>0</v>
      </c>
      <c r="AX2177" s="1">
        <v>0</v>
      </c>
      <c r="AY2177" s="1">
        <v>0</v>
      </c>
      <c r="AZ2177" s="1">
        <v>0</v>
      </c>
      <c r="BA2177" s="1">
        <v>0</v>
      </c>
      <c r="BB2177" s="1">
        <v>0</v>
      </c>
      <c r="BC2177" s="1">
        <v>0</v>
      </c>
      <c r="BD2177" s="1">
        <v>0</v>
      </c>
      <c r="BE2177" s="1">
        <v>0</v>
      </c>
      <c r="BF2177" s="1">
        <v>0</v>
      </c>
      <c r="BG2177" s="1">
        <v>0</v>
      </c>
      <c r="BH2177" s="1">
        <v>0</v>
      </c>
      <c r="BI2177" s="1">
        <v>0</v>
      </c>
      <c r="BJ2177" s="1">
        <v>0</v>
      </c>
      <c r="BK2177" s="1">
        <v>0</v>
      </c>
      <c r="BL2177" s="1">
        <v>0</v>
      </c>
      <c r="BM2177" s="1">
        <v>1</v>
      </c>
      <c r="BN2177" s="1">
        <v>0</v>
      </c>
      <c r="BO2177" s="1">
        <v>0</v>
      </c>
      <c r="BP2177" s="1">
        <v>0</v>
      </c>
      <c r="BQ2177" s="1">
        <v>0</v>
      </c>
      <c r="BR2177" s="1">
        <v>0</v>
      </c>
      <c r="BS2177" s="1" t="s">
        <v>109</v>
      </c>
      <c r="BT2177" s="1">
        <v>2264</v>
      </c>
      <c r="BU2177" s="1" t="s">
        <v>109</v>
      </c>
      <c r="BV2177" s="1"/>
      <c r="BW2177" s="1"/>
      <c r="BX2177" s="1"/>
      <c r="BY2177" s="1"/>
      <c r="BZ2177" s="1">
        <v>0</v>
      </c>
      <c r="CA2177" s="1" t="s">
        <v>109</v>
      </c>
      <c r="CB2177" s="1" t="s">
        <v>109</v>
      </c>
      <c r="CC2177" s="1">
        <v>5</v>
      </c>
      <c r="CD2177" s="1">
        <v>4</v>
      </c>
      <c r="CE2177" s="1">
        <v>4</v>
      </c>
      <c r="CF2177" s="1" t="s">
        <v>109</v>
      </c>
      <c r="CG2177" s="1">
        <v>6</v>
      </c>
      <c r="CH2177" s="1" t="s">
        <v>109</v>
      </c>
      <c r="CI2177" s="1" t="s">
        <v>109</v>
      </c>
      <c r="CJ2177" s="1" t="s">
        <v>109</v>
      </c>
      <c r="CK2177" s="1"/>
      <c r="CL2177" s="1">
        <v>0</v>
      </c>
      <c r="CM2177" s="1">
        <v>0</v>
      </c>
      <c r="CN2177" s="1">
        <v>0</v>
      </c>
    </row>
    <row r="2178" spans="1:92" ht="14.25" customHeight="1" x14ac:dyDescent="0.15">
      <c r="A2178" s="1" t="s">
        <v>15771</v>
      </c>
      <c r="B2178" s="1" t="s">
        <v>242</v>
      </c>
      <c r="C2178" s="1"/>
      <c r="D2178" s="1"/>
      <c r="E2178" s="1" t="s">
        <v>15772</v>
      </c>
      <c r="F2178" s="1" t="s">
        <v>98</v>
      </c>
      <c r="G2178" s="1" t="s">
        <v>15773</v>
      </c>
      <c r="H2178" s="1">
        <v>0</v>
      </c>
      <c r="I2178" s="1" t="s">
        <v>161</v>
      </c>
      <c r="J2178" s="1" t="s">
        <v>3101</v>
      </c>
      <c r="K2178" s="1"/>
      <c r="L2178" s="1"/>
      <c r="M2178" s="1" t="s">
        <v>194</v>
      </c>
      <c r="N2178" s="1">
        <v>0</v>
      </c>
      <c r="O2178" s="1">
        <v>0</v>
      </c>
      <c r="P2178" s="1" t="s">
        <v>507</v>
      </c>
      <c r="Q2178" s="1" t="s">
        <v>3102</v>
      </c>
      <c r="R2178" s="1" t="s">
        <v>15774</v>
      </c>
      <c r="S2178" s="1" t="s">
        <v>15775</v>
      </c>
      <c r="T2178" s="1" t="s">
        <v>14784</v>
      </c>
      <c r="U2178" s="1" t="s">
        <v>15776</v>
      </c>
      <c r="V2178" s="1">
        <v>1</v>
      </c>
      <c r="W2178" s="1">
        <v>1</v>
      </c>
      <c r="X2178" s="1">
        <v>1</v>
      </c>
      <c r="Y2178" s="1">
        <v>0</v>
      </c>
      <c r="Z2178" s="1">
        <v>1</v>
      </c>
      <c r="AA2178" s="1">
        <v>4</v>
      </c>
      <c r="AB2178" s="1">
        <v>4</v>
      </c>
      <c r="AC2178" s="1">
        <v>4</v>
      </c>
      <c r="AD2178" s="1" t="s">
        <v>109</v>
      </c>
      <c r="AE2178" s="1" t="s">
        <v>109</v>
      </c>
      <c r="AF2178" s="1" t="s">
        <v>109</v>
      </c>
      <c r="AG2178" s="1" t="s">
        <v>109</v>
      </c>
      <c r="AH2178" s="1" t="s">
        <v>109</v>
      </c>
      <c r="AI2178" s="1">
        <v>4</v>
      </c>
      <c r="AJ2178" s="1" t="s">
        <v>109</v>
      </c>
      <c r="AK2178" s="1">
        <v>4</v>
      </c>
      <c r="AL2178" s="1">
        <v>4</v>
      </c>
      <c r="AM2178" s="1" t="s">
        <v>109</v>
      </c>
      <c r="AN2178" s="1" t="s">
        <v>109</v>
      </c>
      <c r="AO2178" s="1" t="s">
        <v>109</v>
      </c>
      <c r="AP2178" s="1"/>
      <c r="AQ2178" s="1">
        <v>4</v>
      </c>
      <c r="AR2178" s="1"/>
      <c r="AS2178" s="1" t="s">
        <v>15777</v>
      </c>
      <c r="AT2178" s="1">
        <v>0</v>
      </c>
      <c r="AU2178" s="1">
        <v>0</v>
      </c>
      <c r="AV2178" s="1">
        <v>0</v>
      </c>
      <c r="AW2178" s="1">
        <v>0</v>
      </c>
      <c r="AX2178" s="1">
        <v>0</v>
      </c>
      <c r="AY2178" s="1">
        <v>0</v>
      </c>
      <c r="AZ2178" s="1">
        <v>0</v>
      </c>
      <c r="BA2178" s="1">
        <v>0</v>
      </c>
      <c r="BB2178" s="1">
        <v>0</v>
      </c>
      <c r="BC2178" s="1">
        <v>0</v>
      </c>
      <c r="BD2178" s="1">
        <v>0</v>
      </c>
      <c r="BE2178" s="1">
        <v>0</v>
      </c>
      <c r="BF2178" s="1">
        <v>0</v>
      </c>
      <c r="BG2178" s="1">
        <v>0</v>
      </c>
      <c r="BH2178" s="1">
        <v>0</v>
      </c>
      <c r="BI2178" s="1">
        <v>0</v>
      </c>
      <c r="BJ2178" s="1">
        <v>0</v>
      </c>
      <c r="BK2178" s="1">
        <v>0</v>
      </c>
      <c r="BL2178" s="1">
        <v>0</v>
      </c>
      <c r="BM2178" s="1">
        <v>0</v>
      </c>
      <c r="BN2178" s="1">
        <v>0</v>
      </c>
      <c r="BO2178" s="1">
        <v>0</v>
      </c>
      <c r="BP2178" s="1">
        <v>0</v>
      </c>
      <c r="BQ2178" s="1">
        <v>0</v>
      </c>
      <c r="BR2178" s="1">
        <v>0</v>
      </c>
      <c r="BS2178" s="1" t="s">
        <v>109</v>
      </c>
      <c r="BT2178" s="1">
        <v>2265</v>
      </c>
      <c r="BU2178" s="1" t="s">
        <v>109</v>
      </c>
      <c r="BV2178" s="1"/>
      <c r="BW2178" s="1"/>
      <c r="BX2178" s="1"/>
      <c r="BY2178" s="1"/>
      <c r="BZ2178" s="1">
        <v>0</v>
      </c>
      <c r="CA2178" s="1" t="s">
        <v>109</v>
      </c>
      <c r="CB2178" s="1" t="s">
        <v>109</v>
      </c>
      <c r="CC2178" s="1" t="s">
        <v>109</v>
      </c>
      <c r="CD2178" s="1">
        <v>3</v>
      </c>
      <c r="CE2178" s="1" t="s">
        <v>109</v>
      </c>
      <c r="CF2178" s="1">
        <v>3</v>
      </c>
      <c r="CG2178" s="1" t="s">
        <v>109</v>
      </c>
      <c r="CH2178" s="1" t="s">
        <v>109</v>
      </c>
      <c r="CI2178" s="1" t="s">
        <v>109</v>
      </c>
      <c r="CJ2178" s="1" t="s">
        <v>109</v>
      </c>
      <c r="CK2178" s="1"/>
      <c r="CL2178" s="1">
        <v>0</v>
      </c>
      <c r="CM2178" s="1">
        <v>0</v>
      </c>
      <c r="CN2178" s="1">
        <v>0</v>
      </c>
    </row>
    <row r="2179" spans="1:92" ht="14.25" customHeight="1" x14ac:dyDescent="0.15">
      <c r="A2179" s="1" t="s">
        <v>15778</v>
      </c>
      <c r="B2179" s="1" t="s">
        <v>674</v>
      </c>
      <c r="C2179" s="1" t="s">
        <v>675</v>
      </c>
      <c r="D2179" s="1"/>
      <c r="E2179" s="1" t="s">
        <v>15779</v>
      </c>
      <c r="F2179" s="1" t="s">
        <v>355</v>
      </c>
      <c r="G2179" s="1" t="s">
        <v>333</v>
      </c>
      <c r="H2179" s="1">
        <v>0</v>
      </c>
      <c r="I2179" s="1" t="s">
        <v>161</v>
      </c>
      <c r="J2179" s="1"/>
      <c r="K2179" s="1"/>
      <c r="L2179" s="1" t="s">
        <v>162</v>
      </c>
      <c r="M2179" s="1" t="s">
        <v>6144</v>
      </c>
      <c r="N2179" s="1">
        <v>1</v>
      </c>
      <c r="O2179" s="1">
        <v>0</v>
      </c>
      <c r="P2179" s="1" t="s">
        <v>507</v>
      </c>
      <c r="Q2179" s="1" t="s">
        <v>167</v>
      </c>
      <c r="R2179" s="1" t="s">
        <v>15780</v>
      </c>
      <c r="S2179" s="1" t="s">
        <v>15781</v>
      </c>
      <c r="T2179" s="1" t="s">
        <v>14784</v>
      </c>
      <c r="U2179" s="1" t="s">
        <v>15782</v>
      </c>
      <c r="V2179" s="1">
        <v>1</v>
      </c>
      <c r="W2179" s="1">
        <v>0</v>
      </c>
      <c r="X2179" s="1">
        <v>0</v>
      </c>
      <c r="Y2179" s="1">
        <v>0</v>
      </c>
      <c r="Z2179" s="1">
        <v>0</v>
      </c>
      <c r="AA2179" s="1" t="s">
        <v>109</v>
      </c>
      <c r="AB2179" s="1" t="s">
        <v>109</v>
      </c>
      <c r="AC2179" s="1" t="s">
        <v>109</v>
      </c>
      <c r="AD2179" s="1" t="s">
        <v>109</v>
      </c>
      <c r="AE2179" s="1" t="s">
        <v>109</v>
      </c>
      <c r="AF2179" s="1" t="s">
        <v>109</v>
      </c>
      <c r="AG2179" s="1" t="s">
        <v>109</v>
      </c>
      <c r="AH2179" s="1" t="s">
        <v>109</v>
      </c>
      <c r="AI2179" s="1" t="s">
        <v>109</v>
      </c>
      <c r="AJ2179" s="1" t="s">
        <v>109</v>
      </c>
      <c r="AK2179" s="1" t="s">
        <v>109</v>
      </c>
      <c r="AL2179" s="1" t="s">
        <v>109</v>
      </c>
      <c r="AM2179" s="1" t="s">
        <v>109</v>
      </c>
      <c r="AN2179" s="1" t="s">
        <v>109</v>
      </c>
      <c r="AO2179" s="1" t="s">
        <v>109</v>
      </c>
      <c r="AP2179" s="1"/>
      <c r="AQ2179" s="1">
        <v>1</v>
      </c>
      <c r="AR2179" s="1"/>
      <c r="AS2179" s="1" t="s">
        <v>15783</v>
      </c>
      <c r="AT2179" s="1">
        <v>0</v>
      </c>
      <c r="AU2179" s="1">
        <v>0</v>
      </c>
      <c r="AV2179" s="1">
        <v>0</v>
      </c>
      <c r="AW2179" s="1">
        <v>0</v>
      </c>
      <c r="AX2179" s="1">
        <v>0</v>
      </c>
      <c r="AY2179" s="1">
        <v>0</v>
      </c>
      <c r="AZ2179" s="1">
        <v>0</v>
      </c>
      <c r="BA2179" s="1">
        <v>0</v>
      </c>
      <c r="BB2179" s="1">
        <v>0</v>
      </c>
      <c r="BC2179" s="1">
        <v>0</v>
      </c>
      <c r="BD2179" s="1">
        <v>0</v>
      </c>
      <c r="BE2179" s="1">
        <v>0</v>
      </c>
      <c r="BF2179" s="1">
        <v>0</v>
      </c>
      <c r="BG2179" s="1">
        <v>0</v>
      </c>
      <c r="BH2179" s="1">
        <v>0</v>
      </c>
      <c r="BI2179" s="1">
        <v>0</v>
      </c>
      <c r="BJ2179" s="1">
        <v>0</v>
      </c>
      <c r="BK2179" s="1">
        <v>0</v>
      </c>
      <c r="BL2179" s="1">
        <v>0</v>
      </c>
      <c r="BM2179" s="1">
        <v>0</v>
      </c>
      <c r="BN2179" s="1">
        <v>0</v>
      </c>
      <c r="BO2179" s="1">
        <v>0</v>
      </c>
      <c r="BP2179" s="1">
        <v>0</v>
      </c>
      <c r="BQ2179" s="1">
        <v>0</v>
      </c>
      <c r="BR2179" s="1">
        <v>0</v>
      </c>
      <c r="BS2179" s="1" t="s">
        <v>109</v>
      </c>
      <c r="BT2179" s="1">
        <v>2266</v>
      </c>
      <c r="BU2179" s="1" t="s">
        <v>109</v>
      </c>
      <c r="BV2179" s="1"/>
      <c r="BW2179" s="1"/>
      <c r="BX2179" s="1"/>
      <c r="BY2179" s="1"/>
      <c r="BZ2179" s="1">
        <v>0</v>
      </c>
      <c r="CA2179" s="1" t="s">
        <v>109</v>
      </c>
      <c r="CB2179" s="1" t="s">
        <v>109</v>
      </c>
      <c r="CC2179" s="1">
        <v>1</v>
      </c>
      <c r="CD2179" s="1" t="s">
        <v>109</v>
      </c>
      <c r="CE2179" s="1">
        <v>1</v>
      </c>
      <c r="CF2179" s="1" t="s">
        <v>109</v>
      </c>
      <c r="CG2179" s="1" t="s">
        <v>109</v>
      </c>
      <c r="CH2179" s="1" t="s">
        <v>109</v>
      </c>
      <c r="CI2179" s="1" t="s">
        <v>109</v>
      </c>
      <c r="CJ2179" s="1" t="s">
        <v>109</v>
      </c>
      <c r="CK2179" s="1"/>
      <c r="CL2179" s="1">
        <v>0</v>
      </c>
      <c r="CM2179" s="1">
        <v>0</v>
      </c>
      <c r="CN2179" s="1">
        <v>0</v>
      </c>
    </row>
    <row r="2180" spans="1:92" ht="14.25" customHeight="1" x14ac:dyDescent="0.15">
      <c r="A2180" s="1" t="s">
        <v>15784</v>
      </c>
      <c r="B2180" s="1" t="s">
        <v>242</v>
      </c>
      <c r="C2180" s="1"/>
      <c r="D2180" s="1"/>
      <c r="E2180" s="1" t="s">
        <v>15304</v>
      </c>
      <c r="F2180" s="1" t="s">
        <v>1963</v>
      </c>
      <c r="G2180" s="1" t="s">
        <v>333</v>
      </c>
      <c r="H2180" s="1">
        <v>0</v>
      </c>
      <c r="I2180" s="1" t="s">
        <v>235</v>
      </c>
      <c r="J2180" s="1"/>
      <c r="K2180" s="1"/>
      <c r="L2180" s="1" t="s">
        <v>236</v>
      </c>
      <c r="M2180" s="1" t="s">
        <v>355</v>
      </c>
      <c r="N2180" s="1">
        <v>0</v>
      </c>
      <c r="O2180" s="1">
        <v>0</v>
      </c>
      <c r="P2180" s="1"/>
      <c r="Q2180" s="1"/>
      <c r="R2180" s="1" t="s">
        <v>15785</v>
      </c>
      <c r="S2180" s="1" t="s">
        <v>15786</v>
      </c>
      <c r="T2180" s="1" t="s">
        <v>14784</v>
      </c>
      <c r="U2180" s="1" t="s">
        <v>15787</v>
      </c>
      <c r="V2180" s="1">
        <v>1</v>
      </c>
      <c r="W2180" s="1">
        <v>0</v>
      </c>
      <c r="X2180" s="1">
        <v>0</v>
      </c>
      <c r="Y2180" s="1">
        <v>0</v>
      </c>
      <c r="Z2180" s="1">
        <v>0</v>
      </c>
      <c r="AA2180" s="1" t="s">
        <v>109</v>
      </c>
      <c r="AB2180" s="1" t="s">
        <v>109</v>
      </c>
      <c r="AC2180" s="1" t="s">
        <v>109</v>
      </c>
      <c r="AD2180" s="1" t="s">
        <v>109</v>
      </c>
      <c r="AE2180" s="1" t="s">
        <v>109</v>
      </c>
      <c r="AF2180" s="1" t="s">
        <v>109</v>
      </c>
      <c r="AG2180" s="1" t="s">
        <v>109</v>
      </c>
      <c r="AH2180" s="1" t="s">
        <v>109</v>
      </c>
      <c r="AI2180" s="1" t="s">
        <v>109</v>
      </c>
      <c r="AJ2180" s="1" t="s">
        <v>109</v>
      </c>
      <c r="AK2180" s="1" t="s">
        <v>109</v>
      </c>
      <c r="AL2180" s="1" t="s">
        <v>109</v>
      </c>
      <c r="AM2180" s="1" t="s">
        <v>109</v>
      </c>
      <c r="AN2180" s="1" t="s">
        <v>109</v>
      </c>
      <c r="AO2180" s="1" t="s">
        <v>109</v>
      </c>
      <c r="AP2180" s="1"/>
      <c r="AQ2180" s="1">
        <v>2</v>
      </c>
      <c r="AR2180" s="1"/>
      <c r="AS2180" s="1" t="s">
        <v>15788</v>
      </c>
      <c r="AT2180" s="1">
        <v>0</v>
      </c>
      <c r="AU2180" s="1">
        <v>0</v>
      </c>
      <c r="AV2180" s="1">
        <v>0</v>
      </c>
      <c r="AW2180" s="1">
        <v>0</v>
      </c>
      <c r="AX2180" s="1">
        <v>0</v>
      </c>
      <c r="AY2180" s="1">
        <v>0</v>
      </c>
      <c r="AZ2180" s="1">
        <v>0</v>
      </c>
      <c r="BA2180" s="1">
        <v>0</v>
      </c>
      <c r="BB2180" s="1">
        <v>0</v>
      </c>
      <c r="BC2180" s="1">
        <v>0</v>
      </c>
      <c r="BD2180" s="1">
        <v>0</v>
      </c>
      <c r="BE2180" s="1">
        <v>0</v>
      </c>
      <c r="BF2180" s="1">
        <v>0</v>
      </c>
      <c r="BG2180" s="1">
        <v>0</v>
      </c>
      <c r="BH2180" s="1">
        <v>0</v>
      </c>
      <c r="BI2180" s="1">
        <v>0</v>
      </c>
      <c r="BJ2180" s="1">
        <v>0</v>
      </c>
      <c r="BK2180" s="1">
        <v>0</v>
      </c>
      <c r="BL2180" s="1">
        <v>0</v>
      </c>
      <c r="BM2180" s="1">
        <v>0</v>
      </c>
      <c r="BN2180" s="1">
        <v>0</v>
      </c>
      <c r="BO2180" s="1">
        <v>0</v>
      </c>
      <c r="BP2180" s="1">
        <v>0</v>
      </c>
      <c r="BQ2180" s="1">
        <v>0</v>
      </c>
      <c r="BR2180" s="1">
        <v>0</v>
      </c>
      <c r="BS2180" s="1" t="s">
        <v>109</v>
      </c>
      <c r="BT2180" s="1">
        <v>2267</v>
      </c>
      <c r="BU2180" s="1" t="s">
        <v>109</v>
      </c>
      <c r="BV2180" s="1"/>
      <c r="BW2180" s="1"/>
      <c r="BX2180" s="1"/>
      <c r="BY2180" s="1"/>
      <c r="BZ2180" s="1">
        <v>0</v>
      </c>
      <c r="CA2180" s="1" t="s">
        <v>109</v>
      </c>
      <c r="CB2180" s="1" t="s">
        <v>109</v>
      </c>
      <c r="CC2180" s="1">
        <v>2</v>
      </c>
      <c r="CD2180" s="1" t="s">
        <v>109</v>
      </c>
      <c r="CE2180" s="1" t="s">
        <v>109</v>
      </c>
      <c r="CF2180" s="1" t="s">
        <v>109</v>
      </c>
      <c r="CG2180" s="1" t="s">
        <v>109</v>
      </c>
      <c r="CH2180" s="1" t="s">
        <v>109</v>
      </c>
      <c r="CI2180" s="1" t="s">
        <v>109</v>
      </c>
      <c r="CJ2180" s="1" t="s">
        <v>109</v>
      </c>
      <c r="CK2180" s="1"/>
      <c r="CL2180" s="1">
        <v>0</v>
      </c>
      <c r="CM2180" s="1">
        <v>0</v>
      </c>
      <c r="CN2180" s="1">
        <v>0</v>
      </c>
    </row>
    <row r="2181" spans="1:92" ht="14.25" customHeight="1" x14ac:dyDescent="0.15">
      <c r="A2181" s="1" t="s">
        <v>15789</v>
      </c>
      <c r="B2181" s="1" t="s">
        <v>242</v>
      </c>
      <c r="C2181" s="1"/>
      <c r="D2181" s="1"/>
      <c r="E2181" s="1" t="s">
        <v>15182</v>
      </c>
      <c r="F2181" s="1" t="s">
        <v>1963</v>
      </c>
      <c r="G2181" s="1" t="s">
        <v>333</v>
      </c>
      <c r="H2181" s="1">
        <v>0</v>
      </c>
      <c r="I2181" s="1" t="s">
        <v>235</v>
      </c>
      <c r="J2181" s="1"/>
      <c r="K2181" s="1"/>
      <c r="L2181" s="1" t="s">
        <v>236</v>
      </c>
      <c r="M2181" s="1" t="s">
        <v>355</v>
      </c>
      <c r="N2181" s="1">
        <v>0</v>
      </c>
      <c r="O2181" s="1">
        <v>0</v>
      </c>
      <c r="P2181" s="1"/>
      <c r="Q2181" s="1"/>
      <c r="R2181" s="1" t="s">
        <v>15790</v>
      </c>
      <c r="S2181" s="1" t="s">
        <v>15791</v>
      </c>
      <c r="T2181" s="1" t="s">
        <v>14784</v>
      </c>
      <c r="U2181" s="1" t="s">
        <v>15792</v>
      </c>
      <c r="V2181" s="1">
        <v>1</v>
      </c>
      <c r="W2181" s="1">
        <v>0</v>
      </c>
      <c r="X2181" s="1">
        <v>0</v>
      </c>
      <c r="Y2181" s="1">
        <v>0</v>
      </c>
      <c r="Z2181" s="1">
        <v>0</v>
      </c>
      <c r="AA2181" s="1" t="s">
        <v>109</v>
      </c>
      <c r="AB2181" s="1" t="s">
        <v>109</v>
      </c>
      <c r="AC2181" s="1" t="s">
        <v>109</v>
      </c>
      <c r="AD2181" s="1" t="s">
        <v>109</v>
      </c>
      <c r="AE2181" s="1" t="s">
        <v>109</v>
      </c>
      <c r="AF2181" s="1" t="s">
        <v>109</v>
      </c>
      <c r="AG2181" s="1" t="s">
        <v>109</v>
      </c>
      <c r="AH2181" s="1" t="s">
        <v>109</v>
      </c>
      <c r="AI2181" s="1" t="s">
        <v>109</v>
      </c>
      <c r="AJ2181" s="1" t="s">
        <v>109</v>
      </c>
      <c r="AK2181" s="1" t="s">
        <v>109</v>
      </c>
      <c r="AL2181" s="1" t="s">
        <v>109</v>
      </c>
      <c r="AM2181" s="1" t="s">
        <v>109</v>
      </c>
      <c r="AN2181" s="1" t="s">
        <v>109</v>
      </c>
      <c r="AO2181" s="1" t="s">
        <v>109</v>
      </c>
      <c r="AP2181" s="1"/>
      <c r="AQ2181" s="1">
        <v>3</v>
      </c>
      <c r="AR2181" s="1"/>
      <c r="AS2181" s="1" t="s">
        <v>15793</v>
      </c>
      <c r="AT2181" s="1">
        <v>0</v>
      </c>
      <c r="AU2181" s="1">
        <v>0</v>
      </c>
      <c r="AV2181" s="1">
        <v>0</v>
      </c>
      <c r="AW2181" s="1">
        <v>0</v>
      </c>
      <c r="AX2181" s="1">
        <v>0</v>
      </c>
      <c r="AY2181" s="1">
        <v>0</v>
      </c>
      <c r="AZ2181" s="1">
        <v>0</v>
      </c>
      <c r="BA2181" s="1">
        <v>0</v>
      </c>
      <c r="BB2181" s="1">
        <v>0</v>
      </c>
      <c r="BC2181" s="1">
        <v>0</v>
      </c>
      <c r="BD2181" s="1">
        <v>0</v>
      </c>
      <c r="BE2181" s="1">
        <v>0</v>
      </c>
      <c r="BF2181" s="1">
        <v>0</v>
      </c>
      <c r="BG2181" s="1">
        <v>0</v>
      </c>
      <c r="BH2181" s="1">
        <v>0</v>
      </c>
      <c r="BI2181" s="1">
        <v>0</v>
      </c>
      <c r="BJ2181" s="1">
        <v>0</v>
      </c>
      <c r="BK2181" s="1">
        <v>0</v>
      </c>
      <c r="BL2181" s="1">
        <v>0</v>
      </c>
      <c r="BM2181" s="1">
        <v>0</v>
      </c>
      <c r="BN2181" s="1">
        <v>0</v>
      </c>
      <c r="BO2181" s="1">
        <v>0</v>
      </c>
      <c r="BP2181" s="1">
        <v>0</v>
      </c>
      <c r="BQ2181" s="1">
        <v>0</v>
      </c>
      <c r="BR2181" s="1">
        <v>0</v>
      </c>
      <c r="BS2181" s="1" t="s">
        <v>109</v>
      </c>
      <c r="BT2181" s="1">
        <v>2268</v>
      </c>
      <c r="BU2181" s="1" t="s">
        <v>109</v>
      </c>
      <c r="BV2181" s="1"/>
      <c r="BW2181" s="1"/>
      <c r="BX2181" s="1"/>
      <c r="BY2181" s="1"/>
      <c r="BZ2181" s="1">
        <v>0</v>
      </c>
      <c r="CA2181" s="1" t="s">
        <v>109</v>
      </c>
      <c r="CB2181" s="1" t="s">
        <v>109</v>
      </c>
      <c r="CC2181" s="1">
        <v>3</v>
      </c>
      <c r="CD2181" s="1" t="s">
        <v>109</v>
      </c>
      <c r="CE2181" s="1" t="s">
        <v>109</v>
      </c>
      <c r="CF2181" s="1" t="s">
        <v>109</v>
      </c>
      <c r="CG2181" s="1" t="s">
        <v>109</v>
      </c>
      <c r="CH2181" s="1" t="s">
        <v>109</v>
      </c>
      <c r="CI2181" s="1" t="s">
        <v>109</v>
      </c>
      <c r="CJ2181" s="1" t="s">
        <v>109</v>
      </c>
      <c r="CK2181" s="1"/>
      <c r="CL2181" s="1">
        <v>0</v>
      </c>
      <c r="CM2181" s="1">
        <v>0</v>
      </c>
      <c r="CN2181" s="1">
        <v>0</v>
      </c>
    </row>
    <row r="2182" spans="1:92" ht="14.25" customHeight="1" x14ac:dyDescent="0.15">
      <c r="A2182" s="1" t="s">
        <v>15794</v>
      </c>
      <c r="B2182" s="1" t="s">
        <v>242</v>
      </c>
      <c r="C2182" s="1"/>
      <c r="D2182" s="1"/>
      <c r="E2182" s="1" t="s">
        <v>15189</v>
      </c>
      <c r="F2182" s="1" t="s">
        <v>1963</v>
      </c>
      <c r="G2182" s="1" t="s">
        <v>333</v>
      </c>
      <c r="H2182" s="1">
        <v>0</v>
      </c>
      <c r="I2182" s="1" t="s">
        <v>235</v>
      </c>
      <c r="J2182" s="1"/>
      <c r="K2182" s="1"/>
      <c r="L2182" s="1" t="s">
        <v>236</v>
      </c>
      <c r="M2182" s="1" t="s">
        <v>355</v>
      </c>
      <c r="N2182" s="1">
        <v>0</v>
      </c>
      <c r="O2182" s="1">
        <v>0</v>
      </c>
      <c r="P2182" s="1"/>
      <c r="Q2182" s="1"/>
      <c r="R2182" s="1" t="s">
        <v>15795</v>
      </c>
      <c r="S2182" s="1" t="s">
        <v>15796</v>
      </c>
      <c r="T2182" s="1" t="s">
        <v>14784</v>
      </c>
      <c r="U2182" s="1" t="s">
        <v>15797</v>
      </c>
      <c r="V2182" s="1">
        <v>1</v>
      </c>
      <c r="W2182" s="1">
        <v>0</v>
      </c>
      <c r="X2182" s="1">
        <v>0</v>
      </c>
      <c r="Y2182" s="1">
        <v>0</v>
      </c>
      <c r="Z2182" s="1">
        <v>0</v>
      </c>
      <c r="AA2182" s="1" t="s">
        <v>109</v>
      </c>
      <c r="AB2182" s="1" t="s">
        <v>109</v>
      </c>
      <c r="AC2182" s="1" t="s">
        <v>109</v>
      </c>
      <c r="AD2182" s="1" t="s">
        <v>109</v>
      </c>
      <c r="AE2182" s="1" t="s">
        <v>109</v>
      </c>
      <c r="AF2182" s="1" t="s">
        <v>109</v>
      </c>
      <c r="AG2182" s="1" t="s">
        <v>109</v>
      </c>
      <c r="AH2182" s="1" t="s">
        <v>109</v>
      </c>
      <c r="AI2182" s="1" t="s">
        <v>109</v>
      </c>
      <c r="AJ2182" s="1" t="s">
        <v>109</v>
      </c>
      <c r="AK2182" s="1" t="s">
        <v>109</v>
      </c>
      <c r="AL2182" s="1" t="s">
        <v>109</v>
      </c>
      <c r="AM2182" s="1" t="s">
        <v>109</v>
      </c>
      <c r="AN2182" s="1" t="s">
        <v>109</v>
      </c>
      <c r="AO2182" s="1" t="s">
        <v>109</v>
      </c>
      <c r="AP2182" s="1"/>
      <c r="AQ2182" s="1">
        <v>4</v>
      </c>
      <c r="AR2182" s="1"/>
      <c r="AS2182" s="1" t="s">
        <v>15798</v>
      </c>
      <c r="AT2182" s="1">
        <v>0</v>
      </c>
      <c r="AU2182" s="1">
        <v>0</v>
      </c>
      <c r="AV2182" s="1">
        <v>0</v>
      </c>
      <c r="AW2182" s="1">
        <v>0</v>
      </c>
      <c r="AX2182" s="1">
        <v>0</v>
      </c>
      <c r="AY2182" s="1">
        <v>0</v>
      </c>
      <c r="AZ2182" s="1">
        <v>0</v>
      </c>
      <c r="BA2182" s="1">
        <v>0</v>
      </c>
      <c r="BB2182" s="1">
        <v>0</v>
      </c>
      <c r="BC2182" s="1">
        <v>0</v>
      </c>
      <c r="BD2182" s="1">
        <v>0</v>
      </c>
      <c r="BE2182" s="1">
        <v>0</v>
      </c>
      <c r="BF2182" s="1">
        <v>0</v>
      </c>
      <c r="BG2182" s="1">
        <v>0</v>
      </c>
      <c r="BH2182" s="1">
        <v>0</v>
      </c>
      <c r="BI2182" s="1">
        <v>0</v>
      </c>
      <c r="BJ2182" s="1">
        <v>0</v>
      </c>
      <c r="BK2182" s="1">
        <v>0</v>
      </c>
      <c r="BL2182" s="1">
        <v>0</v>
      </c>
      <c r="BM2182" s="1">
        <v>0</v>
      </c>
      <c r="BN2182" s="1">
        <v>0</v>
      </c>
      <c r="BO2182" s="1">
        <v>0</v>
      </c>
      <c r="BP2182" s="1">
        <v>0</v>
      </c>
      <c r="BQ2182" s="1">
        <v>0</v>
      </c>
      <c r="BR2182" s="1">
        <v>0</v>
      </c>
      <c r="BS2182" s="1" t="s">
        <v>109</v>
      </c>
      <c r="BT2182" s="1">
        <v>2269</v>
      </c>
      <c r="BU2182" s="1" t="s">
        <v>109</v>
      </c>
      <c r="BV2182" s="1"/>
      <c r="BW2182" s="1"/>
      <c r="BX2182" s="1"/>
      <c r="BY2182" s="1"/>
      <c r="BZ2182" s="1">
        <v>0</v>
      </c>
      <c r="CA2182" s="1" t="s">
        <v>109</v>
      </c>
      <c r="CB2182" s="1" t="s">
        <v>109</v>
      </c>
      <c r="CC2182" s="1">
        <v>4</v>
      </c>
      <c r="CD2182" s="1" t="s">
        <v>109</v>
      </c>
      <c r="CE2182" s="1" t="s">
        <v>109</v>
      </c>
      <c r="CF2182" s="1" t="s">
        <v>109</v>
      </c>
      <c r="CG2182" s="1" t="s">
        <v>109</v>
      </c>
      <c r="CH2182" s="1" t="s">
        <v>109</v>
      </c>
      <c r="CI2182" s="1" t="s">
        <v>109</v>
      </c>
      <c r="CJ2182" s="1" t="s">
        <v>109</v>
      </c>
      <c r="CK2182" s="1"/>
      <c r="CL2182" s="1">
        <v>0</v>
      </c>
      <c r="CM2182" s="1">
        <v>0</v>
      </c>
      <c r="CN2182" s="1">
        <v>0</v>
      </c>
    </row>
    <row r="2183" spans="1:92" ht="14.25" customHeight="1" x14ac:dyDescent="0.15">
      <c r="A2183" s="1" t="s">
        <v>15799</v>
      </c>
      <c r="B2183" s="1" t="s">
        <v>242</v>
      </c>
      <c r="C2183" s="1"/>
      <c r="D2183" s="1"/>
      <c r="E2183" s="1" t="s">
        <v>15195</v>
      </c>
      <c r="F2183" s="1" t="s">
        <v>1963</v>
      </c>
      <c r="G2183" s="1" t="s">
        <v>333</v>
      </c>
      <c r="H2183" s="1">
        <v>0</v>
      </c>
      <c r="I2183" s="1" t="s">
        <v>235</v>
      </c>
      <c r="J2183" s="1"/>
      <c r="K2183" s="1"/>
      <c r="L2183" s="1" t="s">
        <v>236</v>
      </c>
      <c r="M2183" s="1" t="s">
        <v>355</v>
      </c>
      <c r="N2183" s="1">
        <v>0</v>
      </c>
      <c r="O2183" s="1">
        <v>0</v>
      </c>
      <c r="P2183" s="1"/>
      <c r="Q2183" s="1"/>
      <c r="R2183" s="1" t="s">
        <v>15800</v>
      </c>
      <c r="S2183" s="1" t="s">
        <v>15801</v>
      </c>
      <c r="T2183" s="1" t="s">
        <v>14784</v>
      </c>
      <c r="U2183" s="1" t="s">
        <v>15802</v>
      </c>
      <c r="V2183" s="1">
        <v>1</v>
      </c>
      <c r="W2183" s="1">
        <v>0</v>
      </c>
      <c r="X2183" s="1">
        <v>0</v>
      </c>
      <c r="Y2183" s="1">
        <v>0</v>
      </c>
      <c r="Z2183" s="1">
        <v>0</v>
      </c>
      <c r="AA2183" s="1" t="s">
        <v>109</v>
      </c>
      <c r="AB2183" s="1" t="s">
        <v>109</v>
      </c>
      <c r="AC2183" s="1" t="s">
        <v>109</v>
      </c>
      <c r="AD2183" s="1" t="s">
        <v>109</v>
      </c>
      <c r="AE2183" s="1" t="s">
        <v>109</v>
      </c>
      <c r="AF2183" s="1" t="s">
        <v>109</v>
      </c>
      <c r="AG2183" s="1" t="s">
        <v>109</v>
      </c>
      <c r="AH2183" s="1" t="s">
        <v>109</v>
      </c>
      <c r="AI2183" s="1" t="s">
        <v>109</v>
      </c>
      <c r="AJ2183" s="1" t="s">
        <v>109</v>
      </c>
      <c r="AK2183" s="1" t="s">
        <v>109</v>
      </c>
      <c r="AL2183" s="1" t="s">
        <v>109</v>
      </c>
      <c r="AM2183" s="1" t="s">
        <v>109</v>
      </c>
      <c r="AN2183" s="1" t="s">
        <v>109</v>
      </c>
      <c r="AO2183" s="1" t="s">
        <v>109</v>
      </c>
      <c r="AP2183" s="1"/>
      <c r="AQ2183" s="1">
        <v>5</v>
      </c>
      <c r="AR2183" s="1"/>
      <c r="AS2183" s="1" t="s">
        <v>15803</v>
      </c>
      <c r="AT2183" s="1">
        <v>0</v>
      </c>
      <c r="AU2183" s="1">
        <v>0</v>
      </c>
      <c r="AV2183" s="1">
        <v>0</v>
      </c>
      <c r="AW2183" s="1">
        <v>0</v>
      </c>
      <c r="AX2183" s="1">
        <v>0</v>
      </c>
      <c r="AY2183" s="1">
        <v>0</v>
      </c>
      <c r="AZ2183" s="1">
        <v>0</v>
      </c>
      <c r="BA2183" s="1">
        <v>0</v>
      </c>
      <c r="BB2183" s="1">
        <v>0</v>
      </c>
      <c r="BC2183" s="1">
        <v>0</v>
      </c>
      <c r="BD2183" s="1">
        <v>0</v>
      </c>
      <c r="BE2183" s="1">
        <v>0</v>
      </c>
      <c r="BF2183" s="1">
        <v>0</v>
      </c>
      <c r="BG2183" s="1">
        <v>0</v>
      </c>
      <c r="BH2183" s="1">
        <v>0</v>
      </c>
      <c r="BI2183" s="1">
        <v>0</v>
      </c>
      <c r="BJ2183" s="1">
        <v>0</v>
      </c>
      <c r="BK2183" s="1">
        <v>0</v>
      </c>
      <c r="BL2183" s="1">
        <v>0</v>
      </c>
      <c r="BM2183" s="1">
        <v>0</v>
      </c>
      <c r="BN2183" s="1">
        <v>0</v>
      </c>
      <c r="BO2183" s="1">
        <v>0</v>
      </c>
      <c r="BP2183" s="1">
        <v>0</v>
      </c>
      <c r="BQ2183" s="1">
        <v>0</v>
      </c>
      <c r="BR2183" s="1">
        <v>0</v>
      </c>
      <c r="BS2183" s="1" t="s">
        <v>109</v>
      </c>
      <c r="BT2183" s="1">
        <v>2270</v>
      </c>
      <c r="BU2183" s="1" t="s">
        <v>109</v>
      </c>
      <c r="BV2183" s="1"/>
      <c r="BW2183" s="1"/>
      <c r="BX2183" s="1"/>
      <c r="BY2183" s="1"/>
      <c r="BZ2183" s="1">
        <v>0</v>
      </c>
      <c r="CA2183" s="1" t="s">
        <v>109</v>
      </c>
      <c r="CB2183" s="1" t="s">
        <v>109</v>
      </c>
      <c r="CC2183" s="1">
        <v>5</v>
      </c>
      <c r="CD2183" s="1" t="s">
        <v>109</v>
      </c>
      <c r="CE2183" s="1" t="s">
        <v>109</v>
      </c>
      <c r="CF2183" s="1" t="s">
        <v>109</v>
      </c>
      <c r="CG2183" s="1" t="s">
        <v>109</v>
      </c>
      <c r="CH2183" s="1" t="s">
        <v>109</v>
      </c>
      <c r="CI2183" s="1" t="s">
        <v>109</v>
      </c>
      <c r="CJ2183" s="1" t="s">
        <v>109</v>
      </c>
      <c r="CK2183" s="1"/>
      <c r="CL2183" s="1">
        <v>0</v>
      </c>
      <c r="CM2183" s="1">
        <v>0</v>
      </c>
      <c r="CN2183" s="1">
        <v>0</v>
      </c>
    </row>
    <row r="2184" spans="1:92" ht="14.25" customHeight="1" x14ac:dyDescent="0.15">
      <c r="A2184" s="1" t="s">
        <v>15804</v>
      </c>
      <c r="B2184" s="1" t="s">
        <v>242</v>
      </c>
      <c r="C2184" s="1"/>
      <c r="D2184" s="1"/>
      <c r="E2184" s="1" t="s">
        <v>15201</v>
      </c>
      <c r="F2184" s="1" t="s">
        <v>1963</v>
      </c>
      <c r="G2184" s="1" t="s">
        <v>333</v>
      </c>
      <c r="H2184" s="1">
        <v>0</v>
      </c>
      <c r="I2184" s="1" t="s">
        <v>235</v>
      </c>
      <c r="J2184" s="1"/>
      <c r="K2184" s="1"/>
      <c r="L2184" s="1" t="s">
        <v>236</v>
      </c>
      <c r="M2184" s="1" t="s">
        <v>9367</v>
      </c>
      <c r="N2184" s="1">
        <v>0</v>
      </c>
      <c r="O2184" s="1">
        <v>0</v>
      </c>
      <c r="P2184" s="1"/>
      <c r="Q2184" s="1"/>
      <c r="R2184" s="1" t="s">
        <v>15805</v>
      </c>
      <c r="S2184" s="1" t="s">
        <v>15806</v>
      </c>
      <c r="T2184" s="1" t="s">
        <v>14784</v>
      </c>
      <c r="U2184" s="1" t="s">
        <v>15807</v>
      </c>
      <c r="V2184" s="1">
        <v>1</v>
      </c>
      <c r="W2184" s="1">
        <v>0</v>
      </c>
      <c r="X2184" s="1">
        <v>0</v>
      </c>
      <c r="Y2184" s="1">
        <v>0</v>
      </c>
      <c r="Z2184" s="1">
        <v>0</v>
      </c>
      <c r="AA2184" s="1" t="s">
        <v>109</v>
      </c>
      <c r="AB2184" s="1" t="s">
        <v>109</v>
      </c>
      <c r="AC2184" s="1" t="s">
        <v>109</v>
      </c>
      <c r="AD2184" s="1" t="s">
        <v>109</v>
      </c>
      <c r="AE2184" s="1" t="s">
        <v>109</v>
      </c>
      <c r="AF2184" s="1" t="s">
        <v>109</v>
      </c>
      <c r="AG2184" s="1" t="s">
        <v>109</v>
      </c>
      <c r="AH2184" s="1" t="s">
        <v>109</v>
      </c>
      <c r="AI2184" s="1" t="s">
        <v>109</v>
      </c>
      <c r="AJ2184" s="1" t="s">
        <v>109</v>
      </c>
      <c r="AK2184" s="1" t="s">
        <v>109</v>
      </c>
      <c r="AL2184" s="1" t="s">
        <v>109</v>
      </c>
      <c r="AM2184" s="1" t="s">
        <v>109</v>
      </c>
      <c r="AN2184" s="1" t="s">
        <v>109</v>
      </c>
      <c r="AO2184" s="1" t="s">
        <v>109</v>
      </c>
      <c r="AP2184" s="1"/>
      <c r="AQ2184" s="1">
        <v>6</v>
      </c>
      <c r="AR2184" s="1"/>
      <c r="AS2184" s="1" t="s">
        <v>15808</v>
      </c>
      <c r="AT2184" s="1">
        <v>0</v>
      </c>
      <c r="AU2184" s="1">
        <v>0</v>
      </c>
      <c r="AV2184" s="1">
        <v>0</v>
      </c>
      <c r="AW2184" s="1">
        <v>0</v>
      </c>
      <c r="AX2184" s="1">
        <v>0</v>
      </c>
      <c r="AY2184" s="1">
        <v>0</v>
      </c>
      <c r="AZ2184" s="1">
        <v>0</v>
      </c>
      <c r="BA2184" s="1">
        <v>0</v>
      </c>
      <c r="BB2184" s="1">
        <v>0</v>
      </c>
      <c r="BC2184" s="1">
        <v>0</v>
      </c>
      <c r="BD2184" s="1">
        <v>0</v>
      </c>
      <c r="BE2184" s="1">
        <v>0</v>
      </c>
      <c r="BF2184" s="1">
        <v>0</v>
      </c>
      <c r="BG2184" s="1">
        <v>0</v>
      </c>
      <c r="BH2184" s="1">
        <v>0</v>
      </c>
      <c r="BI2184" s="1">
        <v>0</v>
      </c>
      <c r="BJ2184" s="1">
        <v>0</v>
      </c>
      <c r="BK2184" s="1">
        <v>0</v>
      </c>
      <c r="BL2184" s="1">
        <v>0</v>
      </c>
      <c r="BM2184" s="1">
        <v>0</v>
      </c>
      <c r="BN2184" s="1">
        <v>0</v>
      </c>
      <c r="BO2184" s="1">
        <v>0</v>
      </c>
      <c r="BP2184" s="1">
        <v>0</v>
      </c>
      <c r="BQ2184" s="1">
        <v>0</v>
      </c>
      <c r="BR2184" s="1">
        <v>0</v>
      </c>
      <c r="BS2184" s="1" t="s">
        <v>109</v>
      </c>
      <c r="BT2184" s="1">
        <v>2271</v>
      </c>
      <c r="BU2184" s="1" t="s">
        <v>109</v>
      </c>
      <c r="BV2184" s="1"/>
      <c r="BW2184" s="1"/>
      <c r="BX2184" s="1"/>
      <c r="BY2184" s="1"/>
      <c r="BZ2184" s="1">
        <v>0</v>
      </c>
      <c r="CA2184" s="1" t="s">
        <v>109</v>
      </c>
      <c r="CB2184" s="1" t="s">
        <v>109</v>
      </c>
      <c r="CC2184" s="1">
        <v>6</v>
      </c>
      <c r="CD2184" s="1" t="s">
        <v>109</v>
      </c>
      <c r="CE2184" s="1" t="s">
        <v>109</v>
      </c>
      <c r="CF2184" s="1" t="s">
        <v>109</v>
      </c>
      <c r="CG2184" s="1" t="s">
        <v>109</v>
      </c>
      <c r="CH2184" s="1" t="s">
        <v>109</v>
      </c>
      <c r="CI2184" s="1" t="s">
        <v>109</v>
      </c>
      <c r="CJ2184" s="1" t="s">
        <v>109</v>
      </c>
      <c r="CK2184" s="1"/>
      <c r="CL2184" s="1">
        <v>0</v>
      </c>
      <c r="CM2184" s="1">
        <v>0</v>
      </c>
      <c r="CN2184" s="1">
        <v>0</v>
      </c>
    </row>
    <row r="2185" spans="1:92" ht="14.25" customHeight="1" x14ac:dyDescent="0.15">
      <c r="A2185" s="1" t="s">
        <v>15809</v>
      </c>
      <c r="B2185" s="1" t="s">
        <v>254</v>
      </c>
      <c r="C2185" s="1"/>
      <c r="D2185" s="1" t="s">
        <v>158</v>
      </c>
      <c r="E2185" s="1" t="s">
        <v>15810</v>
      </c>
      <c r="F2185" s="1" t="s">
        <v>98</v>
      </c>
      <c r="G2185" s="1" t="s">
        <v>15811</v>
      </c>
      <c r="H2185" s="1">
        <v>0</v>
      </c>
      <c r="I2185" s="1" t="s">
        <v>235</v>
      </c>
      <c r="J2185" s="1"/>
      <c r="K2185" s="1"/>
      <c r="L2185" s="1" t="s">
        <v>236</v>
      </c>
      <c r="M2185" s="1" t="s">
        <v>3042</v>
      </c>
      <c r="N2185" s="1">
        <v>0</v>
      </c>
      <c r="O2185" s="1">
        <v>0</v>
      </c>
      <c r="P2185" s="1"/>
      <c r="Q2185" s="1"/>
      <c r="R2185" s="1" t="s">
        <v>15812</v>
      </c>
      <c r="S2185" s="1" t="s">
        <v>15813</v>
      </c>
      <c r="T2185" s="1" t="s">
        <v>14784</v>
      </c>
      <c r="U2185" s="1" t="s">
        <v>15814</v>
      </c>
      <c r="V2185" s="1">
        <v>1</v>
      </c>
      <c r="W2185" s="1">
        <v>0</v>
      </c>
      <c r="X2185" s="1">
        <v>1</v>
      </c>
      <c r="Y2185" s="1">
        <v>0</v>
      </c>
      <c r="Z2185" s="1">
        <v>0</v>
      </c>
      <c r="AA2185" s="1">
        <v>5</v>
      </c>
      <c r="AB2185" s="1">
        <v>5</v>
      </c>
      <c r="AC2185" s="1" t="s">
        <v>109</v>
      </c>
      <c r="AD2185" s="1" t="s">
        <v>109</v>
      </c>
      <c r="AE2185" s="1" t="s">
        <v>109</v>
      </c>
      <c r="AF2185" s="1" t="s">
        <v>109</v>
      </c>
      <c r="AG2185" s="1" t="s">
        <v>109</v>
      </c>
      <c r="AH2185" s="1" t="s">
        <v>109</v>
      </c>
      <c r="AI2185" s="1" t="s">
        <v>109</v>
      </c>
      <c r="AJ2185" s="1" t="s">
        <v>109</v>
      </c>
      <c r="AK2185" s="1" t="s">
        <v>109</v>
      </c>
      <c r="AL2185" s="1" t="s">
        <v>109</v>
      </c>
      <c r="AM2185" s="1" t="s">
        <v>109</v>
      </c>
      <c r="AN2185" s="1" t="s">
        <v>109</v>
      </c>
      <c r="AO2185" s="1" t="s">
        <v>109</v>
      </c>
      <c r="AP2185" s="1"/>
      <c r="AQ2185" s="1">
        <v>5</v>
      </c>
      <c r="AR2185" s="1"/>
      <c r="AS2185" s="1" t="s">
        <v>15815</v>
      </c>
      <c r="AT2185" s="1">
        <v>0</v>
      </c>
      <c r="AU2185" s="1">
        <v>0</v>
      </c>
      <c r="AV2185" s="1">
        <v>0</v>
      </c>
      <c r="AW2185" s="1">
        <v>0</v>
      </c>
      <c r="AX2185" s="1">
        <v>0</v>
      </c>
      <c r="AY2185" s="1">
        <v>0</v>
      </c>
      <c r="AZ2185" s="1">
        <v>0</v>
      </c>
      <c r="BA2185" s="1">
        <v>0</v>
      </c>
      <c r="BB2185" s="1">
        <v>0</v>
      </c>
      <c r="BC2185" s="1">
        <v>0</v>
      </c>
      <c r="BD2185" s="1">
        <v>0</v>
      </c>
      <c r="BE2185" s="1">
        <v>0</v>
      </c>
      <c r="BF2185" s="1">
        <v>0</v>
      </c>
      <c r="BG2185" s="1">
        <v>0</v>
      </c>
      <c r="BH2185" s="1">
        <v>0</v>
      </c>
      <c r="BI2185" s="1">
        <v>0</v>
      </c>
      <c r="BJ2185" s="1">
        <v>0</v>
      </c>
      <c r="BK2185" s="1">
        <v>0</v>
      </c>
      <c r="BL2185" s="1">
        <v>0</v>
      </c>
      <c r="BM2185" s="1">
        <v>1</v>
      </c>
      <c r="BN2185" s="1">
        <v>0</v>
      </c>
      <c r="BO2185" s="1">
        <v>0</v>
      </c>
      <c r="BP2185" s="1">
        <v>0</v>
      </c>
      <c r="BQ2185" s="1">
        <v>0</v>
      </c>
      <c r="BR2185" s="1">
        <v>0</v>
      </c>
      <c r="BS2185" s="1" t="s">
        <v>109</v>
      </c>
      <c r="BT2185" s="1">
        <v>2272</v>
      </c>
      <c r="BU2185" s="1" t="s">
        <v>109</v>
      </c>
      <c r="BV2185" s="1"/>
      <c r="BW2185" s="1"/>
      <c r="BX2185" s="1"/>
      <c r="BY2185" s="1"/>
      <c r="BZ2185" s="1">
        <v>0</v>
      </c>
      <c r="CA2185" s="1" t="s">
        <v>109</v>
      </c>
      <c r="CB2185" s="1" t="s">
        <v>109</v>
      </c>
      <c r="CC2185" s="1">
        <v>4</v>
      </c>
      <c r="CD2185" s="1">
        <v>4</v>
      </c>
      <c r="CE2185" s="1">
        <v>4</v>
      </c>
      <c r="CF2185" s="1" t="s">
        <v>109</v>
      </c>
      <c r="CG2185" s="1">
        <v>4</v>
      </c>
      <c r="CH2185" s="1" t="s">
        <v>109</v>
      </c>
      <c r="CI2185" s="1" t="s">
        <v>109</v>
      </c>
      <c r="CJ2185" s="1" t="s">
        <v>109</v>
      </c>
      <c r="CK2185" s="1"/>
      <c r="CL2185" s="1">
        <v>0</v>
      </c>
      <c r="CM2185" s="1">
        <v>0</v>
      </c>
      <c r="CN2185" s="1">
        <v>0</v>
      </c>
    </row>
    <row r="2186" spans="1:92" ht="14.25" customHeight="1" x14ac:dyDescent="0.15">
      <c r="A2186" s="1" t="s">
        <v>15816</v>
      </c>
      <c r="B2186" s="1" t="s">
        <v>242</v>
      </c>
      <c r="C2186" s="1"/>
      <c r="D2186" s="1"/>
      <c r="E2186" s="1" t="s">
        <v>15195</v>
      </c>
      <c r="F2186" s="1" t="s">
        <v>1963</v>
      </c>
      <c r="G2186" s="1" t="s">
        <v>333</v>
      </c>
      <c r="H2186" s="1">
        <v>0</v>
      </c>
      <c r="I2186" s="1" t="s">
        <v>356</v>
      </c>
      <c r="J2186" s="1" t="s">
        <v>4038</v>
      </c>
      <c r="K2186" s="1"/>
      <c r="L2186" s="1"/>
      <c r="M2186" s="1" t="s">
        <v>355</v>
      </c>
      <c r="N2186" s="1">
        <v>0</v>
      </c>
      <c r="O2186" s="1">
        <v>0</v>
      </c>
      <c r="P2186" s="1" t="s">
        <v>103</v>
      </c>
      <c r="Q2186" s="1" t="s">
        <v>167</v>
      </c>
      <c r="R2186" s="1" t="s">
        <v>15817</v>
      </c>
      <c r="S2186" s="1" t="s">
        <v>15818</v>
      </c>
      <c r="T2186" s="1" t="s">
        <v>14784</v>
      </c>
      <c r="U2186" s="1" t="s">
        <v>15819</v>
      </c>
      <c r="V2186" s="1">
        <v>1</v>
      </c>
      <c r="W2186" s="1">
        <v>0</v>
      </c>
      <c r="X2186" s="1">
        <v>0</v>
      </c>
      <c r="Y2186" s="1">
        <v>0</v>
      </c>
      <c r="Z2186" s="1">
        <v>0</v>
      </c>
      <c r="AA2186" s="1" t="s">
        <v>109</v>
      </c>
      <c r="AB2186" s="1" t="s">
        <v>109</v>
      </c>
      <c r="AC2186" s="1" t="s">
        <v>109</v>
      </c>
      <c r="AD2186" s="1" t="s">
        <v>109</v>
      </c>
      <c r="AE2186" s="1" t="s">
        <v>109</v>
      </c>
      <c r="AF2186" s="1" t="s">
        <v>109</v>
      </c>
      <c r="AG2186" s="1" t="s">
        <v>109</v>
      </c>
      <c r="AH2186" s="1" t="s">
        <v>109</v>
      </c>
      <c r="AI2186" s="1" t="s">
        <v>109</v>
      </c>
      <c r="AJ2186" s="1" t="s">
        <v>109</v>
      </c>
      <c r="AK2186" s="1" t="s">
        <v>109</v>
      </c>
      <c r="AL2186" s="1" t="s">
        <v>109</v>
      </c>
      <c r="AM2186" s="1" t="s">
        <v>109</v>
      </c>
      <c r="AN2186" s="1" t="s">
        <v>109</v>
      </c>
      <c r="AO2186" s="1" t="s">
        <v>109</v>
      </c>
      <c r="AP2186" s="1"/>
      <c r="AQ2186" s="1">
        <v>5</v>
      </c>
      <c r="AR2186" s="1"/>
      <c r="AS2186" s="1" t="s">
        <v>15820</v>
      </c>
      <c r="AT2186" s="1">
        <v>0</v>
      </c>
      <c r="AU2186" s="1">
        <v>0</v>
      </c>
      <c r="AV2186" s="1">
        <v>0</v>
      </c>
      <c r="AW2186" s="1">
        <v>0</v>
      </c>
      <c r="AX2186" s="1">
        <v>0</v>
      </c>
      <c r="AY2186" s="1">
        <v>0</v>
      </c>
      <c r="AZ2186" s="1">
        <v>0</v>
      </c>
      <c r="BA2186" s="1">
        <v>0</v>
      </c>
      <c r="BB2186" s="1">
        <v>0</v>
      </c>
      <c r="BC2186" s="1">
        <v>0</v>
      </c>
      <c r="BD2186" s="1">
        <v>0</v>
      </c>
      <c r="BE2186" s="1">
        <v>0</v>
      </c>
      <c r="BF2186" s="1">
        <v>0</v>
      </c>
      <c r="BG2186" s="1">
        <v>0</v>
      </c>
      <c r="BH2186" s="1">
        <v>0</v>
      </c>
      <c r="BI2186" s="1">
        <v>0</v>
      </c>
      <c r="BJ2186" s="1">
        <v>0</v>
      </c>
      <c r="BK2186" s="1">
        <v>0</v>
      </c>
      <c r="BL2186" s="1">
        <v>0</v>
      </c>
      <c r="BM2186" s="1">
        <v>0</v>
      </c>
      <c r="BN2186" s="1">
        <v>0</v>
      </c>
      <c r="BO2186" s="1">
        <v>0</v>
      </c>
      <c r="BP2186" s="1">
        <v>0</v>
      </c>
      <c r="BQ2186" s="1">
        <v>0</v>
      </c>
      <c r="BR2186" s="1">
        <v>0</v>
      </c>
      <c r="BS2186" s="1" t="s">
        <v>109</v>
      </c>
      <c r="BT2186" s="1">
        <v>2273</v>
      </c>
      <c r="BU2186" s="1" t="s">
        <v>109</v>
      </c>
      <c r="BV2186" s="1"/>
      <c r="BW2186" s="1"/>
      <c r="BX2186" s="1"/>
      <c r="BY2186" s="1"/>
      <c r="BZ2186" s="1">
        <v>0</v>
      </c>
      <c r="CA2186" s="1" t="s">
        <v>109</v>
      </c>
      <c r="CB2186" s="1" t="s">
        <v>109</v>
      </c>
      <c r="CC2186" s="1">
        <v>5</v>
      </c>
      <c r="CD2186" s="1" t="s">
        <v>109</v>
      </c>
      <c r="CE2186" s="1" t="s">
        <v>109</v>
      </c>
      <c r="CF2186" s="1" t="s">
        <v>109</v>
      </c>
      <c r="CG2186" s="1" t="s">
        <v>109</v>
      </c>
      <c r="CH2186" s="1" t="s">
        <v>109</v>
      </c>
      <c r="CI2186" s="1" t="s">
        <v>109</v>
      </c>
      <c r="CJ2186" s="1" t="s">
        <v>109</v>
      </c>
      <c r="CK2186" s="1"/>
      <c r="CL2186" s="1">
        <v>0</v>
      </c>
      <c r="CM2186" s="1">
        <v>0</v>
      </c>
      <c r="CN2186" s="1">
        <v>0</v>
      </c>
    </row>
    <row r="2187" spans="1:92" ht="14.25" customHeight="1" x14ac:dyDescent="0.15">
      <c r="A2187" s="1" t="s">
        <v>15821</v>
      </c>
      <c r="B2187" s="1" t="s">
        <v>242</v>
      </c>
      <c r="C2187" s="1"/>
      <c r="D2187" s="1"/>
      <c r="E2187" s="1" t="s">
        <v>15201</v>
      </c>
      <c r="F2187" s="1" t="s">
        <v>1963</v>
      </c>
      <c r="G2187" s="1" t="s">
        <v>333</v>
      </c>
      <c r="H2187" s="1">
        <v>0</v>
      </c>
      <c r="I2187" s="1" t="s">
        <v>356</v>
      </c>
      <c r="J2187" s="1" t="s">
        <v>4038</v>
      </c>
      <c r="K2187" s="1"/>
      <c r="L2187" s="1"/>
      <c r="M2187" s="1" t="s">
        <v>3514</v>
      </c>
      <c r="N2187" s="1">
        <v>0</v>
      </c>
      <c r="O2187" s="1">
        <v>0</v>
      </c>
      <c r="P2187" s="1" t="s">
        <v>103</v>
      </c>
      <c r="Q2187" s="1" t="s">
        <v>167</v>
      </c>
      <c r="R2187" s="1" t="s">
        <v>15822</v>
      </c>
      <c r="S2187" s="1" t="s">
        <v>15823</v>
      </c>
      <c r="T2187" s="1" t="s">
        <v>14784</v>
      </c>
      <c r="U2187" s="1" t="s">
        <v>15824</v>
      </c>
      <c r="V2187" s="1">
        <v>1</v>
      </c>
      <c r="W2187" s="1">
        <v>0</v>
      </c>
      <c r="X2187" s="1">
        <v>0</v>
      </c>
      <c r="Y2187" s="1">
        <v>0</v>
      </c>
      <c r="Z2187" s="1">
        <v>0</v>
      </c>
      <c r="AA2187" s="1" t="s">
        <v>109</v>
      </c>
      <c r="AB2187" s="1" t="s">
        <v>109</v>
      </c>
      <c r="AC2187" s="1" t="s">
        <v>109</v>
      </c>
      <c r="AD2187" s="1" t="s">
        <v>109</v>
      </c>
      <c r="AE2187" s="1" t="s">
        <v>109</v>
      </c>
      <c r="AF2187" s="1" t="s">
        <v>109</v>
      </c>
      <c r="AG2187" s="1" t="s">
        <v>109</v>
      </c>
      <c r="AH2187" s="1" t="s">
        <v>109</v>
      </c>
      <c r="AI2187" s="1" t="s">
        <v>109</v>
      </c>
      <c r="AJ2187" s="1" t="s">
        <v>109</v>
      </c>
      <c r="AK2187" s="1" t="s">
        <v>109</v>
      </c>
      <c r="AL2187" s="1" t="s">
        <v>109</v>
      </c>
      <c r="AM2187" s="1" t="s">
        <v>109</v>
      </c>
      <c r="AN2187" s="1" t="s">
        <v>109</v>
      </c>
      <c r="AO2187" s="1" t="s">
        <v>109</v>
      </c>
      <c r="AP2187" s="1"/>
      <c r="AQ2187" s="1">
        <v>6</v>
      </c>
      <c r="AR2187" s="1"/>
      <c r="AS2187" s="1" t="s">
        <v>15825</v>
      </c>
      <c r="AT2187" s="1">
        <v>0</v>
      </c>
      <c r="AU2187" s="1">
        <v>0</v>
      </c>
      <c r="AV2187" s="1">
        <v>0</v>
      </c>
      <c r="AW2187" s="1">
        <v>0</v>
      </c>
      <c r="AX2187" s="1">
        <v>0</v>
      </c>
      <c r="AY2187" s="1">
        <v>0</v>
      </c>
      <c r="AZ2187" s="1">
        <v>0</v>
      </c>
      <c r="BA2187" s="1">
        <v>0</v>
      </c>
      <c r="BB2187" s="1">
        <v>0</v>
      </c>
      <c r="BC2187" s="1">
        <v>0</v>
      </c>
      <c r="BD2187" s="1">
        <v>0</v>
      </c>
      <c r="BE2187" s="1">
        <v>0</v>
      </c>
      <c r="BF2187" s="1">
        <v>0</v>
      </c>
      <c r="BG2187" s="1">
        <v>0</v>
      </c>
      <c r="BH2187" s="1">
        <v>0</v>
      </c>
      <c r="BI2187" s="1">
        <v>0</v>
      </c>
      <c r="BJ2187" s="1">
        <v>0</v>
      </c>
      <c r="BK2187" s="1">
        <v>0</v>
      </c>
      <c r="BL2187" s="1">
        <v>0</v>
      </c>
      <c r="BM2187" s="1">
        <v>0</v>
      </c>
      <c r="BN2187" s="1">
        <v>0</v>
      </c>
      <c r="BO2187" s="1">
        <v>0</v>
      </c>
      <c r="BP2187" s="1">
        <v>0</v>
      </c>
      <c r="BQ2187" s="1">
        <v>0</v>
      </c>
      <c r="BR2187" s="1">
        <v>0</v>
      </c>
      <c r="BS2187" s="1" t="s">
        <v>109</v>
      </c>
      <c r="BT2187" s="1">
        <v>2274</v>
      </c>
      <c r="BU2187" s="1" t="s">
        <v>109</v>
      </c>
      <c r="BV2187" s="1"/>
      <c r="BW2187" s="1"/>
      <c r="BX2187" s="1"/>
      <c r="BY2187" s="1"/>
      <c r="BZ2187" s="1">
        <v>0</v>
      </c>
      <c r="CA2187" s="1" t="s">
        <v>109</v>
      </c>
      <c r="CB2187" s="1" t="s">
        <v>109</v>
      </c>
      <c r="CC2187" s="1">
        <v>6</v>
      </c>
      <c r="CD2187" s="1" t="s">
        <v>109</v>
      </c>
      <c r="CE2187" s="1" t="s">
        <v>109</v>
      </c>
      <c r="CF2187" s="1" t="s">
        <v>109</v>
      </c>
      <c r="CG2187" s="1" t="s">
        <v>109</v>
      </c>
      <c r="CH2187" s="1" t="s">
        <v>109</v>
      </c>
      <c r="CI2187" s="1" t="s">
        <v>109</v>
      </c>
      <c r="CJ2187" s="1" t="s">
        <v>109</v>
      </c>
      <c r="CK2187" s="1"/>
      <c r="CL2187" s="1">
        <v>0</v>
      </c>
      <c r="CM2187" s="1">
        <v>0</v>
      </c>
      <c r="CN2187" s="1">
        <v>0</v>
      </c>
    </row>
    <row r="2188" spans="1:92" ht="14.25" customHeight="1" x14ac:dyDescent="0.15">
      <c r="A2188" s="1" t="s">
        <v>15826</v>
      </c>
      <c r="B2188" s="1" t="s">
        <v>242</v>
      </c>
      <c r="C2188" s="1"/>
      <c r="D2188" s="1"/>
      <c r="E2188" s="1" t="s">
        <v>15207</v>
      </c>
      <c r="F2188" s="1" t="s">
        <v>1963</v>
      </c>
      <c r="G2188" s="1" t="s">
        <v>333</v>
      </c>
      <c r="H2188" s="1">
        <v>0</v>
      </c>
      <c r="I2188" s="1" t="s">
        <v>356</v>
      </c>
      <c r="J2188" s="1" t="s">
        <v>4038</v>
      </c>
      <c r="K2188" s="1"/>
      <c r="L2188" s="1"/>
      <c r="M2188" s="1" t="s">
        <v>1984</v>
      </c>
      <c r="N2188" s="1">
        <v>0</v>
      </c>
      <c r="O2188" s="1">
        <v>0</v>
      </c>
      <c r="P2188" s="1" t="s">
        <v>103</v>
      </c>
      <c r="Q2188" s="1" t="s">
        <v>167</v>
      </c>
      <c r="R2188" s="1" t="s">
        <v>15822</v>
      </c>
      <c r="S2188" s="1" t="s">
        <v>15823</v>
      </c>
      <c r="T2188" s="1" t="s">
        <v>14784</v>
      </c>
      <c r="U2188" s="1" t="s">
        <v>15827</v>
      </c>
      <c r="V2188" s="1">
        <v>1</v>
      </c>
      <c r="W2188" s="1">
        <v>0</v>
      </c>
      <c r="X2188" s="1">
        <v>0</v>
      </c>
      <c r="Y2188" s="1">
        <v>0</v>
      </c>
      <c r="Z2188" s="1">
        <v>0</v>
      </c>
      <c r="AA2188" s="1" t="s">
        <v>109</v>
      </c>
      <c r="AB2188" s="1" t="s">
        <v>109</v>
      </c>
      <c r="AC2188" s="1" t="s">
        <v>109</v>
      </c>
      <c r="AD2188" s="1" t="s">
        <v>109</v>
      </c>
      <c r="AE2188" s="1" t="s">
        <v>109</v>
      </c>
      <c r="AF2188" s="1" t="s">
        <v>109</v>
      </c>
      <c r="AG2188" s="1" t="s">
        <v>109</v>
      </c>
      <c r="AH2188" s="1" t="s">
        <v>109</v>
      </c>
      <c r="AI2188" s="1" t="s">
        <v>109</v>
      </c>
      <c r="AJ2188" s="1" t="s">
        <v>109</v>
      </c>
      <c r="AK2188" s="1" t="s">
        <v>109</v>
      </c>
      <c r="AL2188" s="1" t="s">
        <v>109</v>
      </c>
      <c r="AM2188" s="1" t="s">
        <v>109</v>
      </c>
      <c r="AN2188" s="1" t="s">
        <v>109</v>
      </c>
      <c r="AO2188" s="1" t="s">
        <v>109</v>
      </c>
      <c r="AP2188" s="1"/>
      <c r="AQ2188" s="1">
        <v>7</v>
      </c>
      <c r="AR2188" s="1"/>
      <c r="AS2188" s="1" t="s">
        <v>15828</v>
      </c>
      <c r="AT2188" s="1">
        <v>0</v>
      </c>
      <c r="AU2188" s="1">
        <v>0</v>
      </c>
      <c r="AV2188" s="1">
        <v>0</v>
      </c>
      <c r="AW2188" s="1">
        <v>0</v>
      </c>
      <c r="AX2188" s="1">
        <v>0</v>
      </c>
      <c r="AY2188" s="1">
        <v>0</v>
      </c>
      <c r="AZ2188" s="1">
        <v>0</v>
      </c>
      <c r="BA2188" s="1">
        <v>0</v>
      </c>
      <c r="BB2188" s="1">
        <v>0</v>
      </c>
      <c r="BC2188" s="1">
        <v>0</v>
      </c>
      <c r="BD2188" s="1">
        <v>0</v>
      </c>
      <c r="BE2188" s="1">
        <v>0</v>
      </c>
      <c r="BF2188" s="1">
        <v>0</v>
      </c>
      <c r="BG2188" s="1">
        <v>0</v>
      </c>
      <c r="BH2188" s="1">
        <v>0</v>
      </c>
      <c r="BI2188" s="1">
        <v>0</v>
      </c>
      <c r="BJ2188" s="1">
        <v>0</v>
      </c>
      <c r="BK2188" s="1">
        <v>0</v>
      </c>
      <c r="BL2188" s="1">
        <v>0</v>
      </c>
      <c r="BM2188" s="1">
        <v>0</v>
      </c>
      <c r="BN2188" s="1">
        <v>0</v>
      </c>
      <c r="BO2188" s="1">
        <v>0</v>
      </c>
      <c r="BP2188" s="1">
        <v>0</v>
      </c>
      <c r="BQ2188" s="1">
        <v>0</v>
      </c>
      <c r="BR2188" s="1">
        <v>0</v>
      </c>
      <c r="BS2188" s="1" t="s">
        <v>109</v>
      </c>
      <c r="BT2188" s="1">
        <v>2275</v>
      </c>
      <c r="BU2188" s="1" t="s">
        <v>109</v>
      </c>
      <c r="BV2188" s="1" t="s">
        <v>15829</v>
      </c>
      <c r="BW2188" s="1"/>
      <c r="BX2188" s="1"/>
      <c r="BY2188" s="1"/>
      <c r="BZ2188" s="1">
        <v>0</v>
      </c>
      <c r="CA2188" s="1" t="s">
        <v>109</v>
      </c>
      <c r="CB2188" s="1" t="s">
        <v>109</v>
      </c>
      <c r="CC2188" s="1">
        <v>7</v>
      </c>
      <c r="CD2188" s="1" t="s">
        <v>109</v>
      </c>
      <c r="CE2188" s="1" t="s">
        <v>109</v>
      </c>
      <c r="CF2188" s="1" t="s">
        <v>109</v>
      </c>
      <c r="CG2188" s="1" t="s">
        <v>109</v>
      </c>
      <c r="CH2188" s="1" t="s">
        <v>109</v>
      </c>
      <c r="CI2188" s="1" t="s">
        <v>109</v>
      </c>
      <c r="CJ2188" s="1" t="s">
        <v>109</v>
      </c>
      <c r="CK2188" s="1"/>
      <c r="CL2188" s="1">
        <v>0</v>
      </c>
      <c r="CM2188" s="1">
        <v>0</v>
      </c>
      <c r="CN2188" s="1">
        <v>0</v>
      </c>
    </row>
    <row r="2189" spans="1:92" ht="14.25" customHeight="1" x14ac:dyDescent="0.15">
      <c r="A2189" s="1" t="s">
        <v>15830</v>
      </c>
      <c r="B2189" s="1" t="s">
        <v>242</v>
      </c>
      <c r="C2189" s="1"/>
      <c r="D2189" s="1"/>
      <c r="E2189" s="1" t="s">
        <v>15600</v>
      </c>
      <c r="F2189" s="1" t="s">
        <v>1963</v>
      </c>
      <c r="G2189" s="1" t="s">
        <v>333</v>
      </c>
      <c r="H2189" s="1">
        <v>0</v>
      </c>
      <c r="I2189" s="1" t="s">
        <v>356</v>
      </c>
      <c r="J2189" s="1" t="s">
        <v>4038</v>
      </c>
      <c r="K2189" s="1"/>
      <c r="L2189" s="1"/>
      <c r="M2189" s="1" t="s">
        <v>15831</v>
      </c>
      <c r="N2189" s="1">
        <v>0</v>
      </c>
      <c r="O2189" s="1">
        <v>0</v>
      </c>
      <c r="P2189" s="1" t="s">
        <v>103</v>
      </c>
      <c r="Q2189" s="1" t="s">
        <v>167</v>
      </c>
      <c r="R2189" s="1" t="s">
        <v>15822</v>
      </c>
      <c r="S2189" s="1" t="s">
        <v>15823</v>
      </c>
      <c r="T2189" s="1" t="s">
        <v>14784</v>
      </c>
      <c r="U2189" s="1" t="s">
        <v>15832</v>
      </c>
      <c r="V2189" s="1">
        <v>1</v>
      </c>
      <c r="W2189" s="1">
        <v>0</v>
      </c>
      <c r="X2189" s="1">
        <v>0</v>
      </c>
      <c r="Y2189" s="1">
        <v>0</v>
      </c>
      <c r="Z2189" s="1">
        <v>0</v>
      </c>
      <c r="AA2189" s="1" t="s">
        <v>109</v>
      </c>
      <c r="AB2189" s="1" t="s">
        <v>109</v>
      </c>
      <c r="AC2189" s="1" t="s">
        <v>109</v>
      </c>
      <c r="AD2189" s="1" t="s">
        <v>109</v>
      </c>
      <c r="AE2189" s="1" t="s">
        <v>109</v>
      </c>
      <c r="AF2189" s="1" t="s">
        <v>109</v>
      </c>
      <c r="AG2189" s="1" t="s">
        <v>109</v>
      </c>
      <c r="AH2189" s="1" t="s">
        <v>109</v>
      </c>
      <c r="AI2189" s="1" t="s">
        <v>109</v>
      </c>
      <c r="AJ2189" s="1" t="s">
        <v>109</v>
      </c>
      <c r="AK2189" s="1" t="s">
        <v>109</v>
      </c>
      <c r="AL2189" s="1" t="s">
        <v>109</v>
      </c>
      <c r="AM2189" s="1" t="s">
        <v>109</v>
      </c>
      <c r="AN2189" s="1" t="s">
        <v>109</v>
      </c>
      <c r="AO2189" s="1" t="s">
        <v>109</v>
      </c>
      <c r="AP2189" s="1"/>
      <c r="AQ2189" s="1">
        <v>8</v>
      </c>
      <c r="AR2189" s="1"/>
      <c r="AS2189" s="1" t="s">
        <v>15833</v>
      </c>
      <c r="AT2189" s="1">
        <v>0</v>
      </c>
      <c r="AU2189" s="1">
        <v>0</v>
      </c>
      <c r="AV2189" s="1">
        <v>0</v>
      </c>
      <c r="AW2189" s="1">
        <v>0</v>
      </c>
      <c r="AX2189" s="1">
        <v>0</v>
      </c>
      <c r="AY2189" s="1">
        <v>0</v>
      </c>
      <c r="AZ2189" s="1">
        <v>0</v>
      </c>
      <c r="BA2189" s="1">
        <v>0</v>
      </c>
      <c r="BB2189" s="1">
        <v>0</v>
      </c>
      <c r="BC2189" s="1">
        <v>0</v>
      </c>
      <c r="BD2189" s="1">
        <v>0</v>
      </c>
      <c r="BE2189" s="1">
        <v>0</v>
      </c>
      <c r="BF2189" s="1">
        <v>0</v>
      </c>
      <c r="BG2189" s="1">
        <v>0</v>
      </c>
      <c r="BH2189" s="1">
        <v>0</v>
      </c>
      <c r="BI2189" s="1">
        <v>0</v>
      </c>
      <c r="BJ2189" s="1">
        <v>0</v>
      </c>
      <c r="BK2189" s="1">
        <v>0</v>
      </c>
      <c r="BL2189" s="1">
        <v>0</v>
      </c>
      <c r="BM2189" s="1">
        <v>0</v>
      </c>
      <c r="BN2189" s="1">
        <v>0</v>
      </c>
      <c r="BO2189" s="1">
        <v>0</v>
      </c>
      <c r="BP2189" s="1">
        <v>0</v>
      </c>
      <c r="BQ2189" s="1">
        <v>0</v>
      </c>
      <c r="BR2189" s="1">
        <v>0</v>
      </c>
      <c r="BS2189" s="1" t="s">
        <v>109</v>
      </c>
      <c r="BT2189" s="1">
        <v>2276</v>
      </c>
      <c r="BU2189" s="1" t="s">
        <v>109</v>
      </c>
      <c r="BV2189" s="1"/>
      <c r="BW2189" s="1"/>
      <c r="BX2189" s="1"/>
      <c r="BY2189" s="1"/>
      <c r="BZ2189" s="1">
        <v>0</v>
      </c>
      <c r="CA2189" s="1" t="s">
        <v>109</v>
      </c>
      <c r="CB2189" s="1" t="s">
        <v>109</v>
      </c>
      <c r="CC2189" s="1">
        <v>8</v>
      </c>
      <c r="CD2189" s="1" t="s">
        <v>109</v>
      </c>
      <c r="CE2189" s="1" t="s">
        <v>109</v>
      </c>
      <c r="CF2189" s="1" t="s">
        <v>109</v>
      </c>
      <c r="CG2189" s="1" t="s">
        <v>109</v>
      </c>
      <c r="CH2189" s="1" t="s">
        <v>109</v>
      </c>
      <c r="CI2189" s="1" t="s">
        <v>109</v>
      </c>
      <c r="CJ2189" s="1" t="s">
        <v>109</v>
      </c>
      <c r="CK2189" s="1"/>
      <c r="CL2189" s="1">
        <v>0</v>
      </c>
      <c r="CM2189" s="1">
        <v>0</v>
      </c>
      <c r="CN2189" s="1">
        <v>0</v>
      </c>
    </row>
    <row r="2190" spans="1:92" ht="14.25" customHeight="1" x14ac:dyDescent="0.15">
      <c r="A2190" s="1" t="s">
        <v>15834</v>
      </c>
      <c r="B2190" s="1" t="s">
        <v>242</v>
      </c>
      <c r="C2190" s="1"/>
      <c r="D2190" s="1"/>
      <c r="E2190" s="1" t="s">
        <v>14781</v>
      </c>
      <c r="F2190" s="1" t="s">
        <v>1963</v>
      </c>
      <c r="G2190" s="1" t="s">
        <v>333</v>
      </c>
      <c r="H2190" s="1">
        <v>0</v>
      </c>
      <c r="I2190" s="1" t="s">
        <v>356</v>
      </c>
      <c r="J2190" s="1" t="s">
        <v>4038</v>
      </c>
      <c r="K2190" s="1"/>
      <c r="L2190" s="1"/>
      <c r="M2190" s="1" t="s">
        <v>7508</v>
      </c>
      <c r="N2190" s="1">
        <v>0</v>
      </c>
      <c r="O2190" s="1">
        <v>0</v>
      </c>
      <c r="P2190" s="1" t="s">
        <v>103</v>
      </c>
      <c r="Q2190" s="1" t="s">
        <v>167</v>
      </c>
      <c r="R2190" s="1" t="s">
        <v>15822</v>
      </c>
      <c r="S2190" s="1" t="s">
        <v>15823</v>
      </c>
      <c r="T2190" s="1" t="s">
        <v>14784</v>
      </c>
      <c r="U2190" s="1" t="s">
        <v>15835</v>
      </c>
      <c r="V2190" s="1">
        <v>1</v>
      </c>
      <c r="W2190" s="1">
        <v>0</v>
      </c>
      <c r="X2190" s="1">
        <v>0</v>
      </c>
      <c r="Y2190" s="1">
        <v>0</v>
      </c>
      <c r="Z2190" s="1">
        <v>0</v>
      </c>
      <c r="AA2190" s="1" t="s">
        <v>109</v>
      </c>
      <c r="AB2190" s="1" t="s">
        <v>109</v>
      </c>
      <c r="AC2190" s="1" t="s">
        <v>109</v>
      </c>
      <c r="AD2190" s="1" t="s">
        <v>109</v>
      </c>
      <c r="AE2190" s="1" t="s">
        <v>109</v>
      </c>
      <c r="AF2190" s="1" t="s">
        <v>109</v>
      </c>
      <c r="AG2190" s="1" t="s">
        <v>109</v>
      </c>
      <c r="AH2190" s="1" t="s">
        <v>109</v>
      </c>
      <c r="AI2190" s="1" t="s">
        <v>109</v>
      </c>
      <c r="AJ2190" s="1" t="s">
        <v>109</v>
      </c>
      <c r="AK2190" s="1" t="s">
        <v>109</v>
      </c>
      <c r="AL2190" s="1" t="s">
        <v>109</v>
      </c>
      <c r="AM2190" s="1" t="s">
        <v>109</v>
      </c>
      <c r="AN2190" s="1" t="s">
        <v>109</v>
      </c>
      <c r="AO2190" s="1" t="s">
        <v>109</v>
      </c>
      <c r="AP2190" s="1"/>
      <c r="AQ2190" s="1">
        <v>9</v>
      </c>
      <c r="AR2190" s="1"/>
      <c r="AS2190" s="1" t="s">
        <v>15836</v>
      </c>
      <c r="AT2190" s="1">
        <v>0</v>
      </c>
      <c r="AU2190" s="1">
        <v>0</v>
      </c>
      <c r="AV2190" s="1">
        <v>0</v>
      </c>
      <c r="AW2190" s="1">
        <v>0</v>
      </c>
      <c r="AX2190" s="1">
        <v>0</v>
      </c>
      <c r="AY2190" s="1">
        <v>0</v>
      </c>
      <c r="AZ2190" s="1">
        <v>0</v>
      </c>
      <c r="BA2190" s="1">
        <v>0</v>
      </c>
      <c r="BB2190" s="1">
        <v>0</v>
      </c>
      <c r="BC2190" s="1">
        <v>0</v>
      </c>
      <c r="BD2190" s="1">
        <v>0</v>
      </c>
      <c r="BE2190" s="1">
        <v>0</v>
      </c>
      <c r="BF2190" s="1">
        <v>0</v>
      </c>
      <c r="BG2190" s="1">
        <v>0</v>
      </c>
      <c r="BH2190" s="1">
        <v>0</v>
      </c>
      <c r="BI2190" s="1">
        <v>0</v>
      </c>
      <c r="BJ2190" s="1">
        <v>0</v>
      </c>
      <c r="BK2190" s="1">
        <v>0</v>
      </c>
      <c r="BL2190" s="1">
        <v>0</v>
      </c>
      <c r="BM2190" s="1">
        <v>0</v>
      </c>
      <c r="BN2190" s="1">
        <v>0</v>
      </c>
      <c r="BO2190" s="1">
        <v>0</v>
      </c>
      <c r="BP2190" s="1">
        <v>0</v>
      </c>
      <c r="BQ2190" s="1">
        <v>0</v>
      </c>
      <c r="BR2190" s="1">
        <v>0</v>
      </c>
      <c r="BS2190" s="1" t="s">
        <v>109</v>
      </c>
      <c r="BT2190" s="1">
        <v>2277</v>
      </c>
      <c r="BU2190" s="1" t="s">
        <v>109</v>
      </c>
      <c r="BV2190" s="1"/>
      <c r="BW2190" s="1"/>
      <c r="BX2190" s="1"/>
      <c r="BY2190" s="1"/>
      <c r="BZ2190" s="1">
        <v>0</v>
      </c>
      <c r="CA2190" s="1" t="s">
        <v>109</v>
      </c>
      <c r="CB2190" s="1" t="s">
        <v>109</v>
      </c>
      <c r="CC2190" s="1">
        <v>9</v>
      </c>
      <c r="CD2190" s="1" t="s">
        <v>109</v>
      </c>
      <c r="CE2190" s="1" t="s">
        <v>109</v>
      </c>
      <c r="CF2190" s="1" t="s">
        <v>109</v>
      </c>
      <c r="CG2190" s="1" t="s">
        <v>109</v>
      </c>
      <c r="CH2190" s="1" t="s">
        <v>109</v>
      </c>
      <c r="CI2190" s="1" t="s">
        <v>109</v>
      </c>
      <c r="CJ2190" s="1" t="s">
        <v>109</v>
      </c>
      <c r="CK2190" s="1"/>
      <c r="CL2190" s="1">
        <v>0</v>
      </c>
      <c r="CM2190" s="1">
        <v>0</v>
      </c>
      <c r="CN2190" s="1">
        <v>0</v>
      </c>
    </row>
    <row r="2191" spans="1:92" ht="14.25" customHeight="1" x14ac:dyDescent="0.15">
      <c r="A2191" s="1" t="s">
        <v>15837</v>
      </c>
      <c r="B2191" s="1" t="s">
        <v>156</v>
      </c>
      <c r="C2191" s="1" t="s">
        <v>157</v>
      </c>
      <c r="D2191" s="1" t="s">
        <v>8086</v>
      </c>
      <c r="E2191" s="1" t="s">
        <v>15838</v>
      </c>
      <c r="F2191" s="1" t="s">
        <v>98</v>
      </c>
      <c r="G2191" s="1" t="s">
        <v>15839</v>
      </c>
      <c r="H2191" s="1">
        <v>0</v>
      </c>
      <c r="I2191" s="1" t="s">
        <v>161</v>
      </c>
      <c r="J2191" s="1"/>
      <c r="K2191" s="1"/>
      <c r="L2191" s="1" t="s">
        <v>506</v>
      </c>
      <c r="M2191" s="1" t="s">
        <v>289</v>
      </c>
      <c r="N2191" s="1">
        <v>0</v>
      </c>
      <c r="O2191" s="1">
        <v>0</v>
      </c>
      <c r="P2191" s="1" t="s">
        <v>507</v>
      </c>
      <c r="Q2191" s="1" t="s">
        <v>167</v>
      </c>
      <c r="R2191" s="1" t="s">
        <v>15840</v>
      </c>
      <c r="S2191" s="1" t="s">
        <v>15841</v>
      </c>
      <c r="T2191" s="1" t="s">
        <v>14784</v>
      </c>
      <c r="U2191" s="1" t="s">
        <v>15842</v>
      </c>
      <c r="V2191" s="1">
        <v>1</v>
      </c>
      <c r="W2191" s="1">
        <v>1</v>
      </c>
      <c r="X2191" s="1">
        <v>0</v>
      </c>
      <c r="Y2191" s="1">
        <v>0</v>
      </c>
      <c r="Z2191" s="1">
        <v>0</v>
      </c>
      <c r="AA2191" s="1" t="s">
        <v>109</v>
      </c>
      <c r="AB2191" s="1" t="s">
        <v>109</v>
      </c>
      <c r="AC2191" s="1" t="s">
        <v>109</v>
      </c>
      <c r="AD2191" s="1" t="s">
        <v>109</v>
      </c>
      <c r="AE2191" s="1" t="s">
        <v>109</v>
      </c>
      <c r="AF2191" s="1">
        <v>5</v>
      </c>
      <c r="AG2191" s="1" t="s">
        <v>109</v>
      </c>
      <c r="AH2191" s="1" t="s">
        <v>109</v>
      </c>
      <c r="AI2191" s="1" t="s">
        <v>109</v>
      </c>
      <c r="AJ2191" s="1" t="s">
        <v>109</v>
      </c>
      <c r="AK2191" s="1">
        <v>6</v>
      </c>
      <c r="AL2191" s="1" t="s">
        <v>109</v>
      </c>
      <c r="AM2191" s="1" t="s">
        <v>109</v>
      </c>
      <c r="AN2191" s="1" t="s">
        <v>109</v>
      </c>
      <c r="AO2191" s="1" t="s">
        <v>109</v>
      </c>
      <c r="AP2191" s="1"/>
      <c r="AQ2191" s="1">
        <v>5</v>
      </c>
      <c r="AR2191" s="1"/>
      <c r="AS2191" s="1" t="s">
        <v>15843</v>
      </c>
      <c r="AT2191" s="1">
        <v>0</v>
      </c>
      <c r="AU2191" s="1">
        <v>0</v>
      </c>
      <c r="AV2191" s="1">
        <v>0</v>
      </c>
      <c r="AW2191" s="1">
        <v>0</v>
      </c>
      <c r="AX2191" s="1">
        <v>0</v>
      </c>
      <c r="AY2191" s="1">
        <v>0</v>
      </c>
      <c r="AZ2191" s="1">
        <v>0</v>
      </c>
      <c r="BA2191" s="1">
        <v>0</v>
      </c>
      <c r="BB2191" s="1">
        <v>0</v>
      </c>
      <c r="BC2191" s="1">
        <v>0</v>
      </c>
      <c r="BD2191" s="1">
        <v>1</v>
      </c>
      <c r="BE2191" s="1">
        <v>0</v>
      </c>
      <c r="BF2191" s="1">
        <v>0</v>
      </c>
      <c r="BG2191" s="1">
        <v>0</v>
      </c>
      <c r="BH2191" s="1">
        <v>0</v>
      </c>
      <c r="BI2191" s="1">
        <v>0</v>
      </c>
      <c r="BJ2191" s="1">
        <v>0</v>
      </c>
      <c r="BK2191" s="1">
        <v>0</v>
      </c>
      <c r="BL2191" s="1">
        <v>0</v>
      </c>
      <c r="BM2191" s="1">
        <v>1</v>
      </c>
      <c r="BN2191" s="1">
        <v>0</v>
      </c>
      <c r="BO2191" s="1">
        <v>0</v>
      </c>
      <c r="BP2191" s="1">
        <v>0</v>
      </c>
      <c r="BQ2191" s="1">
        <v>0</v>
      </c>
      <c r="BR2191" s="1">
        <v>0</v>
      </c>
      <c r="BS2191" s="1" t="s">
        <v>109</v>
      </c>
      <c r="BT2191" s="1">
        <v>2278</v>
      </c>
      <c r="BU2191" s="1" t="s">
        <v>109</v>
      </c>
      <c r="BV2191" s="1"/>
      <c r="BW2191" s="1"/>
      <c r="BX2191" s="1"/>
      <c r="BY2191" s="1"/>
      <c r="BZ2191" s="1">
        <v>0</v>
      </c>
      <c r="CA2191" s="1" t="s">
        <v>109</v>
      </c>
      <c r="CB2191" s="1" t="s">
        <v>109</v>
      </c>
      <c r="CC2191" s="1">
        <v>7</v>
      </c>
      <c r="CD2191" s="1" t="s">
        <v>109</v>
      </c>
      <c r="CE2191" s="1" t="s">
        <v>109</v>
      </c>
      <c r="CF2191" s="1" t="s">
        <v>109</v>
      </c>
      <c r="CG2191" s="1">
        <v>6</v>
      </c>
      <c r="CH2191" s="1" t="s">
        <v>109</v>
      </c>
      <c r="CI2191" s="1" t="s">
        <v>109</v>
      </c>
      <c r="CJ2191" s="1" t="s">
        <v>109</v>
      </c>
      <c r="CK2191" s="1"/>
      <c r="CL2191" s="1">
        <v>0</v>
      </c>
      <c r="CM2191" s="1">
        <v>0</v>
      </c>
      <c r="CN2191" s="1">
        <v>0</v>
      </c>
    </row>
    <row r="2192" spans="1:92" ht="14.25" customHeight="1" x14ac:dyDescent="0.15">
      <c r="A2192" s="1" t="s">
        <v>15844</v>
      </c>
      <c r="B2192" s="1" t="s">
        <v>584</v>
      </c>
      <c r="C2192" s="1"/>
      <c r="D2192" s="1"/>
      <c r="E2192" s="1" t="s">
        <v>15845</v>
      </c>
      <c r="F2192" s="1" t="s">
        <v>98</v>
      </c>
      <c r="G2192" s="1" t="s">
        <v>15846</v>
      </c>
      <c r="H2192" s="1">
        <v>0</v>
      </c>
      <c r="I2192" s="1" t="s">
        <v>142</v>
      </c>
      <c r="J2192" s="1"/>
      <c r="K2192" s="1" t="s">
        <v>15847</v>
      </c>
      <c r="L2192" s="1"/>
      <c r="M2192" s="1" t="s">
        <v>3042</v>
      </c>
      <c r="N2192" s="1">
        <v>0</v>
      </c>
      <c r="O2192" s="1">
        <v>0</v>
      </c>
      <c r="P2192" s="1" t="s">
        <v>15848</v>
      </c>
      <c r="Q2192" s="1" t="s">
        <v>268</v>
      </c>
      <c r="R2192" s="1" t="s">
        <v>15849</v>
      </c>
      <c r="S2192" s="1" t="s">
        <v>15850</v>
      </c>
      <c r="T2192" s="1" t="s">
        <v>14784</v>
      </c>
      <c r="U2192" s="1" t="s">
        <v>15851</v>
      </c>
      <c r="V2192" s="1">
        <v>1</v>
      </c>
      <c r="W2192" s="1">
        <v>1</v>
      </c>
      <c r="X2192" s="1">
        <v>1</v>
      </c>
      <c r="Y2192" s="1">
        <v>0</v>
      </c>
      <c r="Z2192" s="1">
        <v>0</v>
      </c>
      <c r="AA2192" s="1">
        <v>5</v>
      </c>
      <c r="AB2192" s="1">
        <v>5</v>
      </c>
      <c r="AC2192" s="1">
        <v>5</v>
      </c>
      <c r="AD2192" s="1" t="s">
        <v>109</v>
      </c>
      <c r="AE2192" s="1" t="s">
        <v>109</v>
      </c>
      <c r="AF2192" s="1" t="s">
        <v>109</v>
      </c>
      <c r="AG2192" s="1" t="s">
        <v>109</v>
      </c>
      <c r="AH2192" s="1" t="s">
        <v>109</v>
      </c>
      <c r="AI2192" s="1" t="s">
        <v>109</v>
      </c>
      <c r="AJ2192" s="1" t="s">
        <v>109</v>
      </c>
      <c r="AK2192" s="1" t="s">
        <v>109</v>
      </c>
      <c r="AL2192" s="1">
        <v>5</v>
      </c>
      <c r="AM2192" s="1" t="s">
        <v>109</v>
      </c>
      <c r="AN2192" s="1" t="s">
        <v>109</v>
      </c>
      <c r="AO2192" s="1" t="s">
        <v>109</v>
      </c>
      <c r="AP2192" s="1"/>
      <c r="AQ2192" s="1">
        <v>5</v>
      </c>
      <c r="AR2192" s="1"/>
      <c r="AS2192" s="1" t="s">
        <v>15852</v>
      </c>
      <c r="AT2192" s="1">
        <v>0</v>
      </c>
      <c r="AU2192" s="1">
        <v>0</v>
      </c>
      <c r="AV2192" s="1">
        <v>0</v>
      </c>
      <c r="AW2192" s="1">
        <v>0</v>
      </c>
      <c r="AX2192" s="1">
        <v>0</v>
      </c>
      <c r="AY2192" s="1">
        <v>0</v>
      </c>
      <c r="AZ2192" s="1">
        <v>0</v>
      </c>
      <c r="BA2192" s="1">
        <v>0</v>
      </c>
      <c r="BB2192" s="1">
        <v>0</v>
      </c>
      <c r="BC2192" s="1">
        <v>0</v>
      </c>
      <c r="BD2192" s="1">
        <v>0</v>
      </c>
      <c r="BE2192" s="1">
        <v>0</v>
      </c>
      <c r="BF2192" s="1">
        <v>0</v>
      </c>
      <c r="BG2192" s="1">
        <v>0</v>
      </c>
      <c r="BH2192" s="1">
        <v>0</v>
      </c>
      <c r="BI2192" s="1">
        <v>0</v>
      </c>
      <c r="BJ2192" s="1">
        <v>0</v>
      </c>
      <c r="BK2192" s="1">
        <v>0</v>
      </c>
      <c r="BL2192" s="1">
        <v>0</v>
      </c>
      <c r="BM2192" s="1">
        <v>0</v>
      </c>
      <c r="BN2192" s="1">
        <v>0</v>
      </c>
      <c r="BO2192" s="1">
        <v>0</v>
      </c>
      <c r="BP2192" s="1">
        <v>0</v>
      </c>
      <c r="BQ2192" s="1">
        <v>0</v>
      </c>
      <c r="BR2192" s="1">
        <v>0</v>
      </c>
      <c r="BS2192" s="1" t="s">
        <v>109</v>
      </c>
      <c r="BT2192" s="1">
        <v>2279</v>
      </c>
      <c r="BU2192" s="1" t="s">
        <v>109</v>
      </c>
      <c r="BV2192" s="1" t="s">
        <v>15853</v>
      </c>
      <c r="BW2192" s="1"/>
      <c r="BX2192" s="1"/>
      <c r="BY2192" s="1"/>
      <c r="BZ2192" s="1">
        <v>0</v>
      </c>
      <c r="CA2192" s="1" t="s">
        <v>109</v>
      </c>
      <c r="CB2192" s="1" t="s">
        <v>109</v>
      </c>
      <c r="CC2192" s="1">
        <v>5</v>
      </c>
      <c r="CD2192" s="1" t="s">
        <v>109</v>
      </c>
      <c r="CE2192" s="1" t="s">
        <v>109</v>
      </c>
      <c r="CF2192" s="1" t="s">
        <v>109</v>
      </c>
      <c r="CG2192" s="1">
        <v>5</v>
      </c>
      <c r="CH2192" s="1" t="s">
        <v>109</v>
      </c>
      <c r="CI2192" s="1" t="s">
        <v>109</v>
      </c>
      <c r="CJ2192" s="1" t="s">
        <v>109</v>
      </c>
      <c r="CK2192" s="1"/>
      <c r="CL2192" s="1">
        <v>0</v>
      </c>
      <c r="CM2192" s="1">
        <v>0</v>
      </c>
      <c r="CN2192" s="1">
        <v>0</v>
      </c>
    </row>
    <row r="2193" spans="1:92" ht="14.25" customHeight="1" x14ac:dyDescent="0.15">
      <c r="A2193" s="1" t="s">
        <v>15854</v>
      </c>
      <c r="B2193" s="1" t="s">
        <v>308</v>
      </c>
      <c r="C2193" s="1"/>
      <c r="D2193" s="1"/>
      <c r="E2193" s="1" t="s">
        <v>15855</v>
      </c>
      <c r="F2193" s="1" t="s">
        <v>98</v>
      </c>
      <c r="G2193" s="1" t="s">
        <v>141</v>
      </c>
      <c r="H2193" s="1">
        <v>0</v>
      </c>
      <c r="I2193" s="1" t="s">
        <v>161</v>
      </c>
      <c r="J2193" s="1"/>
      <c r="K2193" s="1"/>
      <c r="L2193" s="1" t="s">
        <v>15856</v>
      </c>
      <c r="M2193" s="1" t="s">
        <v>144</v>
      </c>
      <c r="N2193" s="1">
        <v>0</v>
      </c>
      <c r="O2193" s="1">
        <v>0</v>
      </c>
      <c r="P2193" s="1" t="s">
        <v>103</v>
      </c>
      <c r="Q2193" s="1" t="s">
        <v>268</v>
      </c>
      <c r="R2193" s="1" t="s">
        <v>15857</v>
      </c>
      <c r="S2193" s="1" t="s">
        <v>15858</v>
      </c>
      <c r="T2193" s="1" t="s">
        <v>14784</v>
      </c>
      <c r="U2193" s="1" t="s">
        <v>15859</v>
      </c>
      <c r="V2193" s="1">
        <v>1</v>
      </c>
      <c r="W2193" s="1">
        <v>1</v>
      </c>
      <c r="X2193" s="1">
        <v>0</v>
      </c>
      <c r="Y2193" s="1">
        <v>0</v>
      </c>
      <c r="Z2193" s="1">
        <v>0</v>
      </c>
      <c r="AA2193" s="1" t="s">
        <v>109</v>
      </c>
      <c r="AB2193" s="1" t="s">
        <v>109</v>
      </c>
      <c r="AC2193" s="1" t="s">
        <v>109</v>
      </c>
      <c r="AD2193" s="1" t="s">
        <v>109</v>
      </c>
      <c r="AE2193" s="1" t="s">
        <v>109</v>
      </c>
      <c r="AF2193" s="1" t="s">
        <v>109</v>
      </c>
      <c r="AG2193" s="1" t="s">
        <v>109</v>
      </c>
      <c r="AH2193" s="1" t="s">
        <v>109</v>
      </c>
      <c r="AI2193" s="1" t="s">
        <v>109</v>
      </c>
      <c r="AJ2193" s="1">
        <v>7</v>
      </c>
      <c r="AK2193" s="1" t="s">
        <v>109</v>
      </c>
      <c r="AL2193" s="1" t="s">
        <v>109</v>
      </c>
      <c r="AM2193" s="1" t="s">
        <v>109</v>
      </c>
      <c r="AN2193" s="1" t="s">
        <v>109</v>
      </c>
      <c r="AO2193" s="1" t="s">
        <v>109</v>
      </c>
      <c r="AP2193" s="1"/>
      <c r="AQ2193" s="1" t="s">
        <v>109</v>
      </c>
      <c r="AR2193" s="1"/>
      <c r="AS2193" s="1" t="s">
        <v>15860</v>
      </c>
      <c r="AT2193" s="1">
        <v>0</v>
      </c>
      <c r="AU2193" s="1">
        <v>0</v>
      </c>
      <c r="AV2193" s="1">
        <v>0</v>
      </c>
      <c r="AW2193" s="1">
        <v>0</v>
      </c>
      <c r="AX2193" s="1">
        <v>0</v>
      </c>
      <c r="AY2193" s="1">
        <v>0</v>
      </c>
      <c r="AZ2193" s="1">
        <v>0</v>
      </c>
      <c r="BA2193" s="1">
        <v>0</v>
      </c>
      <c r="BB2193" s="1">
        <v>0</v>
      </c>
      <c r="BC2193" s="1">
        <v>0</v>
      </c>
      <c r="BD2193" s="1">
        <v>0</v>
      </c>
      <c r="BE2193" s="1">
        <v>0</v>
      </c>
      <c r="BF2193" s="1">
        <v>0</v>
      </c>
      <c r="BG2193" s="1">
        <v>0</v>
      </c>
      <c r="BH2193" s="1">
        <v>0</v>
      </c>
      <c r="BI2193" s="1">
        <v>0</v>
      </c>
      <c r="BJ2193" s="1">
        <v>0</v>
      </c>
      <c r="BK2193" s="1">
        <v>0</v>
      </c>
      <c r="BL2193" s="1">
        <v>0</v>
      </c>
      <c r="BM2193" s="1">
        <v>0</v>
      </c>
      <c r="BN2193" s="1">
        <v>0</v>
      </c>
      <c r="BO2193" s="1">
        <v>0</v>
      </c>
      <c r="BP2193" s="1">
        <v>0</v>
      </c>
      <c r="BQ2193" s="1">
        <v>0</v>
      </c>
      <c r="BR2193" s="1">
        <v>0</v>
      </c>
      <c r="BS2193" s="1" t="s">
        <v>109</v>
      </c>
      <c r="BT2193" s="1">
        <v>2280</v>
      </c>
      <c r="BU2193" s="1" t="s">
        <v>109</v>
      </c>
      <c r="BV2193" s="1"/>
      <c r="BW2193" s="1"/>
      <c r="BX2193" s="1"/>
      <c r="BY2193" s="1"/>
      <c r="BZ2193" s="1">
        <v>0</v>
      </c>
      <c r="CA2193" s="1" t="s">
        <v>109</v>
      </c>
      <c r="CB2193" s="1">
        <v>6</v>
      </c>
      <c r="CC2193" s="1">
        <v>6</v>
      </c>
      <c r="CD2193" s="1" t="s">
        <v>109</v>
      </c>
      <c r="CE2193" s="1" t="s">
        <v>109</v>
      </c>
      <c r="CF2193" s="1" t="s">
        <v>109</v>
      </c>
      <c r="CG2193" s="1">
        <v>5</v>
      </c>
      <c r="CH2193" s="1" t="s">
        <v>109</v>
      </c>
      <c r="CI2193" s="1" t="s">
        <v>109</v>
      </c>
      <c r="CJ2193" s="1" t="s">
        <v>109</v>
      </c>
      <c r="CK2193" s="1"/>
      <c r="CL2193" s="1">
        <v>0</v>
      </c>
      <c r="CM2193" s="1">
        <v>0</v>
      </c>
      <c r="CN2193" s="1">
        <v>0</v>
      </c>
    </row>
    <row r="2194" spans="1:92" ht="14.25" customHeight="1" x14ac:dyDescent="0.15">
      <c r="A2194" s="1" t="s">
        <v>15861</v>
      </c>
      <c r="B2194" s="1" t="s">
        <v>674</v>
      </c>
      <c r="C2194" s="1" t="s">
        <v>675</v>
      </c>
      <c r="D2194" s="1"/>
      <c r="E2194" s="1" t="s">
        <v>15862</v>
      </c>
      <c r="F2194" s="1" t="s">
        <v>98</v>
      </c>
      <c r="G2194" s="1" t="s">
        <v>141</v>
      </c>
      <c r="H2194" s="1">
        <v>0</v>
      </c>
      <c r="I2194" s="1" t="s">
        <v>235</v>
      </c>
      <c r="J2194" s="1"/>
      <c r="K2194" s="1"/>
      <c r="L2194" s="1" t="s">
        <v>236</v>
      </c>
      <c r="M2194" s="1" t="s">
        <v>6144</v>
      </c>
      <c r="N2194" s="1">
        <v>1</v>
      </c>
      <c r="O2194" s="1">
        <v>0</v>
      </c>
      <c r="P2194" s="1"/>
      <c r="Q2194" s="1"/>
      <c r="R2194" s="1" t="s">
        <v>15863</v>
      </c>
      <c r="S2194" s="1" t="s">
        <v>15864</v>
      </c>
      <c r="T2194" s="1" t="s">
        <v>15865</v>
      </c>
      <c r="U2194" s="1" t="s">
        <v>15866</v>
      </c>
      <c r="V2194" s="1">
        <v>1</v>
      </c>
      <c r="W2194" s="1">
        <v>1</v>
      </c>
      <c r="X2194" s="1">
        <v>0</v>
      </c>
      <c r="Y2194" s="1">
        <v>0</v>
      </c>
      <c r="Z2194" s="1">
        <v>0</v>
      </c>
      <c r="AA2194" s="1" t="s">
        <v>109</v>
      </c>
      <c r="AB2194" s="1" t="s">
        <v>109</v>
      </c>
      <c r="AC2194" s="1" t="s">
        <v>109</v>
      </c>
      <c r="AD2194" s="1" t="s">
        <v>109</v>
      </c>
      <c r="AE2194" s="1" t="s">
        <v>109</v>
      </c>
      <c r="AF2194" s="1">
        <v>3</v>
      </c>
      <c r="AG2194" s="1" t="s">
        <v>109</v>
      </c>
      <c r="AH2194" s="1" t="s">
        <v>109</v>
      </c>
      <c r="AI2194" s="1" t="s">
        <v>109</v>
      </c>
      <c r="AJ2194" s="1" t="s">
        <v>109</v>
      </c>
      <c r="AK2194" s="1" t="s">
        <v>109</v>
      </c>
      <c r="AL2194" s="1" t="s">
        <v>109</v>
      </c>
      <c r="AM2194" s="1" t="s">
        <v>109</v>
      </c>
      <c r="AN2194" s="1" t="s">
        <v>109</v>
      </c>
      <c r="AO2194" s="1" t="s">
        <v>109</v>
      </c>
      <c r="AP2194" s="1"/>
      <c r="AQ2194" s="1">
        <v>3</v>
      </c>
      <c r="AR2194" s="1"/>
      <c r="AS2194" s="1"/>
      <c r="AT2194" s="1">
        <v>0</v>
      </c>
      <c r="AU2194" s="1">
        <v>0</v>
      </c>
      <c r="AV2194" s="1">
        <v>0</v>
      </c>
      <c r="AW2194" s="1">
        <v>0</v>
      </c>
      <c r="AX2194" s="1">
        <v>0</v>
      </c>
      <c r="AY2194" s="1">
        <v>0</v>
      </c>
      <c r="AZ2194" s="1">
        <v>0</v>
      </c>
      <c r="BA2194" s="1">
        <v>0</v>
      </c>
      <c r="BB2194" s="1">
        <v>0</v>
      </c>
      <c r="BC2194" s="1">
        <v>0</v>
      </c>
      <c r="BD2194" s="1">
        <v>0</v>
      </c>
      <c r="BE2194" s="1">
        <v>0</v>
      </c>
      <c r="BF2194" s="1">
        <v>0</v>
      </c>
      <c r="BG2194" s="1">
        <v>0</v>
      </c>
      <c r="BH2194" s="1">
        <v>0</v>
      </c>
      <c r="BI2194" s="1">
        <v>0</v>
      </c>
      <c r="BJ2194" s="1">
        <v>0</v>
      </c>
      <c r="BK2194" s="1">
        <v>0</v>
      </c>
      <c r="BL2194" s="1">
        <v>0</v>
      </c>
      <c r="BM2194" s="1">
        <v>0</v>
      </c>
      <c r="BN2194" s="1">
        <v>0</v>
      </c>
      <c r="BO2194" s="1">
        <v>0</v>
      </c>
      <c r="BP2194" s="1">
        <v>0</v>
      </c>
      <c r="BQ2194" s="1">
        <v>0</v>
      </c>
      <c r="BR2194" s="1">
        <v>0</v>
      </c>
      <c r="BS2194" s="1" t="s">
        <v>109</v>
      </c>
      <c r="BT2194" s="1">
        <v>2281</v>
      </c>
      <c r="BU2194" s="1" t="s">
        <v>109</v>
      </c>
      <c r="BV2194" s="1"/>
      <c r="BW2194" s="1"/>
      <c r="BX2194" s="1"/>
      <c r="BY2194" s="1"/>
      <c r="BZ2194" s="1">
        <v>0</v>
      </c>
      <c r="CA2194" s="1" t="s">
        <v>109</v>
      </c>
      <c r="CB2194" s="1" t="s">
        <v>109</v>
      </c>
      <c r="CC2194" s="1">
        <v>5</v>
      </c>
      <c r="CD2194" s="1">
        <v>3</v>
      </c>
      <c r="CE2194" s="1">
        <v>3</v>
      </c>
      <c r="CF2194" s="1" t="s">
        <v>109</v>
      </c>
      <c r="CG2194" s="1" t="s">
        <v>109</v>
      </c>
      <c r="CH2194" s="1" t="s">
        <v>109</v>
      </c>
      <c r="CI2194" s="1" t="s">
        <v>109</v>
      </c>
      <c r="CJ2194" s="1" t="s">
        <v>109</v>
      </c>
      <c r="CK2194" s="1"/>
      <c r="CL2194" s="1">
        <v>0</v>
      </c>
      <c r="CM2194" s="1">
        <v>0</v>
      </c>
      <c r="CN2194" s="1">
        <v>0</v>
      </c>
    </row>
    <row r="2195" spans="1:92" ht="14.25" customHeight="1" x14ac:dyDescent="0.15">
      <c r="A2195" s="1" t="s">
        <v>15867</v>
      </c>
      <c r="B2195" s="1" t="s">
        <v>156</v>
      </c>
      <c r="C2195" s="1" t="s">
        <v>157</v>
      </c>
      <c r="D2195" s="1" t="s">
        <v>158</v>
      </c>
      <c r="E2195" s="1" t="s">
        <v>15868</v>
      </c>
      <c r="F2195" s="1" t="s">
        <v>98</v>
      </c>
      <c r="G2195" s="1" t="s">
        <v>141</v>
      </c>
      <c r="H2195" s="1">
        <v>0</v>
      </c>
      <c r="I2195" s="1" t="s">
        <v>235</v>
      </c>
      <c r="J2195" s="1"/>
      <c r="K2195" s="1"/>
      <c r="L2195" s="1" t="s">
        <v>236</v>
      </c>
      <c r="M2195" s="1" t="s">
        <v>465</v>
      </c>
      <c r="N2195" s="1">
        <v>0</v>
      </c>
      <c r="O2195" s="1">
        <v>0</v>
      </c>
      <c r="P2195" s="1"/>
      <c r="Q2195" s="1"/>
      <c r="R2195" s="1" t="s">
        <v>15869</v>
      </c>
      <c r="S2195" s="1" t="s">
        <v>15870</v>
      </c>
      <c r="T2195" s="1" t="s">
        <v>15865</v>
      </c>
      <c r="U2195" s="1" t="s">
        <v>15871</v>
      </c>
      <c r="V2195" s="1">
        <v>1</v>
      </c>
      <c r="W2195" s="1">
        <v>1</v>
      </c>
      <c r="X2195" s="1">
        <v>0</v>
      </c>
      <c r="Y2195" s="1">
        <v>0</v>
      </c>
      <c r="Z2195" s="1">
        <v>0</v>
      </c>
      <c r="AA2195" s="1">
        <v>6</v>
      </c>
      <c r="AB2195" s="1">
        <v>6</v>
      </c>
      <c r="AC2195" s="1" t="s">
        <v>109</v>
      </c>
      <c r="AD2195" s="1">
        <v>6</v>
      </c>
      <c r="AE2195" s="1" t="s">
        <v>109</v>
      </c>
      <c r="AF2195" s="1" t="s">
        <v>109</v>
      </c>
      <c r="AG2195" s="1" t="s">
        <v>109</v>
      </c>
      <c r="AH2195" s="1">
        <v>4</v>
      </c>
      <c r="AI2195" s="1" t="s">
        <v>109</v>
      </c>
      <c r="AJ2195" s="1">
        <v>6</v>
      </c>
      <c r="AK2195" s="1" t="s">
        <v>109</v>
      </c>
      <c r="AL2195" s="1" t="s">
        <v>109</v>
      </c>
      <c r="AM2195" s="1" t="s">
        <v>109</v>
      </c>
      <c r="AN2195" s="1" t="s">
        <v>109</v>
      </c>
      <c r="AO2195" s="1" t="s">
        <v>109</v>
      </c>
      <c r="AP2195" s="1"/>
      <c r="AQ2195" s="1">
        <v>6</v>
      </c>
      <c r="AR2195" s="1"/>
      <c r="AS2195" s="1"/>
      <c r="AT2195" s="1">
        <v>0</v>
      </c>
      <c r="AU2195" s="1">
        <v>0</v>
      </c>
      <c r="AV2195" s="1">
        <v>0</v>
      </c>
      <c r="AW2195" s="1">
        <v>0</v>
      </c>
      <c r="AX2195" s="1">
        <v>0</v>
      </c>
      <c r="AY2195" s="1">
        <v>0</v>
      </c>
      <c r="AZ2195" s="1">
        <v>0</v>
      </c>
      <c r="BA2195" s="1">
        <v>0</v>
      </c>
      <c r="BB2195" s="1">
        <v>0</v>
      </c>
      <c r="BC2195" s="1">
        <v>0</v>
      </c>
      <c r="BD2195" s="1">
        <v>0</v>
      </c>
      <c r="BE2195" s="1">
        <v>0</v>
      </c>
      <c r="BF2195" s="1">
        <v>0</v>
      </c>
      <c r="BG2195" s="1">
        <v>0</v>
      </c>
      <c r="BH2195" s="1">
        <v>0</v>
      </c>
      <c r="BI2195" s="1">
        <v>0</v>
      </c>
      <c r="BJ2195" s="1">
        <v>0</v>
      </c>
      <c r="BK2195" s="1">
        <v>0</v>
      </c>
      <c r="BL2195" s="1">
        <v>0</v>
      </c>
      <c r="BM2195" s="1">
        <v>1</v>
      </c>
      <c r="BN2195" s="1">
        <v>0</v>
      </c>
      <c r="BO2195" s="1">
        <v>0</v>
      </c>
      <c r="BP2195" s="1">
        <v>0</v>
      </c>
      <c r="BQ2195" s="1">
        <v>0</v>
      </c>
      <c r="BR2195" s="1">
        <v>0</v>
      </c>
      <c r="BS2195" s="1" t="s">
        <v>109</v>
      </c>
      <c r="BT2195" s="1">
        <v>2282</v>
      </c>
      <c r="BU2195" s="1" t="s">
        <v>109</v>
      </c>
      <c r="BV2195" s="1"/>
      <c r="BW2195" s="1"/>
      <c r="BX2195" s="1"/>
      <c r="BY2195" s="1"/>
      <c r="BZ2195" s="1">
        <v>0</v>
      </c>
      <c r="CA2195" s="1" t="s">
        <v>109</v>
      </c>
      <c r="CB2195" s="1" t="s">
        <v>109</v>
      </c>
      <c r="CC2195" s="1" t="s">
        <v>109</v>
      </c>
      <c r="CD2195" s="1" t="s">
        <v>109</v>
      </c>
      <c r="CE2195" s="1" t="s">
        <v>109</v>
      </c>
      <c r="CF2195" s="1" t="s">
        <v>109</v>
      </c>
      <c r="CG2195" s="1">
        <v>4</v>
      </c>
      <c r="CH2195" s="1" t="s">
        <v>109</v>
      </c>
      <c r="CI2195" s="1" t="s">
        <v>109</v>
      </c>
      <c r="CJ2195" s="1">
        <v>6</v>
      </c>
      <c r="CK2195" s="1"/>
      <c r="CL2195" s="1">
        <v>0</v>
      </c>
      <c r="CM2195" s="1">
        <v>0</v>
      </c>
      <c r="CN2195" s="1">
        <v>0</v>
      </c>
    </row>
    <row r="2196" spans="1:92" ht="14.25" customHeight="1" x14ac:dyDescent="0.15">
      <c r="A2196" s="1" t="s">
        <v>15872</v>
      </c>
      <c r="B2196" s="1" t="s">
        <v>584</v>
      </c>
      <c r="C2196" s="1"/>
      <c r="D2196" s="1" t="s">
        <v>15873</v>
      </c>
      <c r="E2196" s="1" t="s">
        <v>15874</v>
      </c>
      <c r="F2196" s="1" t="s">
        <v>98</v>
      </c>
      <c r="G2196" s="1" t="s">
        <v>141</v>
      </c>
      <c r="H2196" s="1">
        <v>0</v>
      </c>
      <c r="I2196" s="1" t="s">
        <v>100</v>
      </c>
      <c r="J2196" s="1" t="s">
        <v>15875</v>
      </c>
      <c r="K2196" s="1"/>
      <c r="L2196" s="1"/>
      <c r="M2196" s="1" t="s">
        <v>144</v>
      </c>
      <c r="N2196" s="1">
        <v>0</v>
      </c>
      <c r="O2196" s="1">
        <v>1</v>
      </c>
      <c r="P2196" s="1" t="s">
        <v>727</v>
      </c>
      <c r="Q2196" s="1" t="s">
        <v>268</v>
      </c>
      <c r="R2196" s="1" t="s">
        <v>15876</v>
      </c>
      <c r="S2196" s="1" t="s">
        <v>15877</v>
      </c>
      <c r="T2196" s="1" t="s">
        <v>15865</v>
      </c>
      <c r="U2196" s="1" t="s">
        <v>15878</v>
      </c>
      <c r="V2196" s="1">
        <v>1</v>
      </c>
      <c r="W2196" s="1">
        <v>1</v>
      </c>
      <c r="X2196" s="1">
        <v>0</v>
      </c>
      <c r="Y2196" s="1">
        <v>0</v>
      </c>
      <c r="Z2196" s="1">
        <v>0</v>
      </c>
      <c r="AA2196" s="1">
        <v>5</v>
      </c>
      <c r="AB2196" s="1">
        <v>5</v>
      </c>
      <c r="AC2196" s="1" t="s">
        <v>109</v>
      </c>
      <c r="AD2196" s="1" t="s">
        <v>109</v>
      </c>
      <c r="AE2196" s="1" t="s">
        <v>109</v>
      </c>
      <c r="AF2196" s="1" t="s">
        <v>109</v>
      </c>
      <c r="AG2196" s="1" t="s">
        <v>109</v>
      </c>
      <c r="AH2196" s="1" t="s">
        <v>109</v>
      </c>
      <c r="AI2196" s="1" t="s">
        <v>109</v>
      </c>
      <c r="AJ2196" s="1" t="s">
        <v>109</v>
      </c>
      <c r="AK2196" s="1" t="s">
        <v>109</v>
      </c>
      <c r="AL2196" s="1" t="s">
        <v>109</v>
      </c>
      <c r="AM2196" s="1" t="s">
        <v>109</v>
      </c>
      <c r="AN2196" s="1">
        <v>5</v>
      </c>
      <c r="AO2196" s="1" t="s">
        <v>109</v>
      </c>
      <c r="AP2196" s="1"/>
      <c r="AQ2196" s="1">
        <v>5</v>
      </c>
      <c r="AR2196" s="1"/>
      <c r="AS2196" s="1"/>
      <c r="AT2196" s="1">
        <v>0</v>
      </c>
      <c r="AU2196" s="1">
        <v>0</v>
      </c>
      <c r="AV2196" s="1">
        <v>0</v>
      </c>
      <c r="AW2196" s="1">
        <v>0</v>
      </c>
      <c r="AX2196" s="1">
        <v>0</v>
      </c>
      <c r="AY2196" s="1">
        <v>0</v>
      </c>
      <c r="AZ2196" s="1">
        <v>0</v>
      </c>
      <c r="BA2196" s="1">
        <v>0</v>
      </c>
      <c r="BB2196" s="1">
        <v>0</v>
      </c>
      <c r="BC2196" s="1">
        <v>0</v>
      </c>
      <c r="BD2196" s="1">
        <v>0</v>
      </c>
      <c r="BE2196" s="1">
        <v>0</v>
      </c>
      <c r="BF2196" s="1">
        <v>0</v>
      </c>
      <c r="BG2196" s="1">
        <v>1</v>
      </c>
      <c r="BH2196" s="1">
        <v>0</v>
      </c>
      <c r="BI2196" s="1">
        <v>1</v>
      </c>
      <c r="BJ2196" s="1">
        <v>0</v>
      </c>
      <c r="BK2196" s="1">
        <v>0</v>
      </c>
      <c r="BL2196" s="1">
        <v>0</v>
      </c>
      <c r="BM2196" s="1">
        <v>0</v>
      </c>
      <c r="BN2196" s="1">
        <v>0</v>
      </c>
      <c r="BO2196" s="1">
        <v>0</v>
      </c>
      <c r="BP2196" s="1">
        <v>0</v>
      </c>
      <c r="BQ2196" s="1">
        <v>0</v>
      </c>
      <c r="BR2196" s="1">
        <v>0</v>
      </c>
      <c r="BS2196" s="1" t="s">
        <v>109</v>
      </c>
      <c r="BT2196" s="1">
        <v>2283</v>
      </c>
      <c r="BU2196" s="1" t="s">
        <v>109</v>
      </c>
      <c r="BV2196" s="1"/>
      <c r="BW2196" s="1"/>
      <c r="BX2196" s="1"/>
      <c r="BY2196" s="1"/>
      <c r="BZ2196" s="1">
        <v>0</v>
      </c>
      <c r="CA2196" s="1">
        <v>4</v>
      </c>
      <c r="CB2196" s="1" t="s">
        <v>109</v>
      </c>
      <c r="CC2196" s="1" t="s">
        <v>109</v>
      </c>
      <c r="CD2196" s="1" t="s">
        <v>109</v>
      </c>
      <c r="CE2196" s="1" t="s">
        <v>109</v>
      </c>
      <c r="CF2196" s="1" t="s">
        <v>109</v>
      </c>
      <c r="CG2196" s="1" t="s">
        <v>109</v>
      </c>
      <c r="CH2196" s="1" t="s">
        <v>109</v>
      </c>
      <c r="CI2196" s="1" t="s">
        <v>109</v>
      </c>
      <c r="CJ2196" s="1" t="s">
        <v>109</v>
      </c>
      <c r="CK2196" s="1"/>
      <c r="CL2196" s="1">
        <v>0</v>
      </c>
      <c r="CM2196" s="1">
        <v>0</v>
      </c>
      <c r="CN2196" s="1">
        <v>0</v>
      </c>
    </row>
    <row r="2197" spans="1:92" ht="14.25" customHeight="1" x14ac:dyDescent="0.15">
      <c r="A2197" s="1" t="s">
        <v>15879</v>
      </c>
      <c r="B2197" s="1" t="s">
        <v>156</v>
      </c>
      <c r="C2197" s="1" t="s">
        <v>157</v>
      </c>
      <c r="D2197" s="1" t="s">
        <v>158</v>
      </c>
      <c r="E2197" s="1" t="s">
        <v>15880</v>
      </c>
      <c r="F2197" s="1" t="s">
        <v>355</v>
      </c>
      <c r="G2197" s="1" t="s">
        <v>141</v>
      </c>
      <c r="H2197" s="1">
        <v>0</v>
      </c>
      <c r="I2197" s="1" t="s">
        <v>122</v>
      </c>
      <c r="J2197" s="1"/>
      <c r="K2197" s="1"/>
      <c r="L2197" s="1" t="s">
        <v>15311</v>
      </c>
      <c r="M2197" s="1" t="s">
        <v>125</v>
      </c>
      <c r="N2197" s="1">
        <v>0</v>
      </c>
      <c r="O2197" s="1">
        <v>0</v>
      </c>
      <c r="P2197" s="1" t="s">
        <v>2475</v>
      </c>
      <c r="Q2197" s="1" t="s">
        <v>8631</v>
      </c>
      <c r="R2197" s="1" t="s">
        <v>15881</v>
      </c>
      <c r="S2197" s="1" t="s">
        <v>15882</v>
      </c>
      <c r="T2197" s="1" t="s">
        <v>15865</v>
      </c>
      <c r="U2197" s="1" t="s">
        <v>15883</v>
      </c>
      <c r="V2197" s="1">
        <v>1</v>
      </c>
      <c r="W2197" s="1">
        <v>1</v>
      </c>
      <c r="X2197" s="1">
        <v>0</v>
      </c>
      <c r="Y2197" s="1">
        <v>0</v>
      </c>
      <c r="Z2197" s="1">
        <v>0</v>
      </c>
      <c r="AA2197" s="1" t="s">
        <v>109</v>
      </c>
      <c r="AB2197" s="1" t="s">
        <v>109</v>
      </c>
      <c r="AC2197" s="1">
        <v>3</v>
      </c>
      <c r="AD2197" s="1" t="s">
        <v>109</v>
      </c>
      <c r="AE2197" s="1" t="s">
        <v>109</v>
      </c>
      <c r="AF2197" s="1">
        <v>3</v>
      </c>
      <c r="AG2197" s="1" t="s">
        <v>109</v>
      </c>
      <c r="AH2197" s="1" t="s">
        <v>109</v>
      </c>
      <c r="AI2197" s="1" t="s">
        <v>109</v>
      </c>
      <c r="AJ2197" s="1" t="s">
        <v>109</v>
      </c>
      <c r="AK2197" s="1" t="s">
        <v>109</v>
      </c>
      <c r="AL2197" s="1">
        <v>3</v>
      </c>
      <c r="AM2197" s="1" t="s">
        <v>109</v>
      </c>
      <c r="AN2197" s="1" t="s">
        <v>109</v>
      </c>
      <c r="AO2197" s="1" t="s">
        <v>109</v>
      </c>
      <c r="AP2197" s="1"/>
      <c r="AQ2197" s="1">
        <v>3</v>
      </c>
      <c r="AR2197" s="1"/>
      <c r="AS2197" s="1"/>
      <c r="AT2197" s="1">
        <v>0</v>
      </c>
      <c r="AU2197" s="1">
        <v>0</v>
      </c>
      <c r="AV2197" s="1">
        <v>0</v>
      </c>
      <c r="AW2197" s="1">
        <v>0</v>
      </c>
      <c r="AX2197" s="1">
        <v>0</v>
      </c>
      <c r="AY2197" s="1">
        <v>0</v>
      </c>
      <c r="AZ2197" s="1">
        <v>0</v>
      </c>
      <c r="BA2197" s="1">
        <v>0</v>
      </c>
      <c r="BB2197" s="1">
        <v>0</v>
      </c>
      <c r="BC2197" s="1">
        <v>0</v>
      </c>
      <c r="BD2197" s="1">
        <v>0</v>
      </c>
      <c r="BE2197" s="1">
        <v>0</v>
      </c>
      <c r="BF2197" s="1">
        <v>0</v>
      </c>
      <c r="BG2197" s="1">
        <v>0</v>
      </c>
      <c r="BH2197" s="1">
        <v>0</v>
      </c>
      <c r="BI2197" s="1">
        <v>0</v>
      </c>
      <c r="BJ2197" s="1">
        <v>0</v>
      </c>
      <c r="BK2197" s="1">
        <v>0</v>
      </c>
      <c r="BL2197" s="1">
        <v>0</v>
      </c>
      <c r="BM2197" s="1">
        <v>1</v>
      </c>
      <c r="BN2197" s="1">
        <v>0</v>
      </c>
      <c r="BO2197" s="1">
        <v>0</v>
      </c>
      <c r="BP2197" s="1">
        <v>0</v>
      </c>
      <c r="BQ2197" s="1">
        <v>0</v>
      </c>
      <c r="BR2197" s="1">
        <v>0</v>
      </c>
      <c r="BS2197" s="1" t="s">
        <v>109</v>
      </c>
      <c r="BT2197" s="1">
        <v>2284</v>
      </c>
      <c r="BU2197" s="1" t="s">
        <v>109</v>
      </c>
      <c r="BV2197" s="1"/>
      <c r="BW2197" s="1"/>
      <c r="BX2197" s="1"/>
      <c r="BY2197" s="1"/>
      <c r="BZ2197" s="1">
        <v>0</v>
      </c>
      <c r="CA2197" s="1" t="s">
        <v>109</v>
      </c>
      <c r="CB2197" s="1" t="s">
        <v>109</v>
      </c>
      <c r="CC2197" s="1" t="s">
        <v>109</v>
      </c>
      <c r="CD2197" s="1" t="s">
        <v>109</v>
      </c>
      <c r="CE2197" s="1">
        <v>3</v>
      </c>
      <c r="CF2197" s="1" t="s">
        <v>109</v>
      </c>
      <c r="CG2197" s="1" t="s">
        <v>109</v>
      </c>
      <c r="CH2197" s="1" t="s">
        <v>109</v>
      </c>
      <c r="CI2197" s="1" t="s">
        <v>109</v>
      </c>
      <c r="CJ2197" s="1" t="s">
        <v>109</v>
      </c>
      <c r="CK2197" s="1"/>
      <c r="CL2197" s="1">
        <v>0</v>
      </c>
      <c r="CM2197" s="1">
        <v>0</v>
      </c>
      <c r="CN2197" s="1">
        <v>0</v>
      </c>
    </row>
    <row r="2198" spans="1:92" ht="14.25" customHeight="1" x14ac:dyDescent="0.15">
      <c r="A2198" s="1" t="s">
        <v>15884</v>
      </c>
      <c r="B2198" s="1" t="s">
        <v>156</v>
      </c>
      <c r="C2198" s="1" t="s">
        <v>157</v>
      </c>
      <c r="D2198" s="1" t="s">
        <v>158</v>
      </c>
      <c r="E2198" s="1" t="s">
        <v>15885</v>
      </c>
      <c r="F2198" s="1" t="s">
        <v>377</v>
      </c>
      <c r="G2198" s="1" t="s">
        <v>15886</v>
      </c>
      <c r="H2198" s="1">
        <v>1</v>
      </c>
      <c r="I2198" s="1" t="s">
        <v>100</v>
      </c>
      <c r="J2198" s="1"/>
      <c r="K2198" s="1"/>
      <c r="L2198" s="1" t="s">
        <v>15887</v>
      </c>
      <c r="M2198" s="1" t="s">
        <v>408</v>
      </c>
      <c r="N2198" s="1">
        <v>0</v>
      </c>
      <c r="O2198" s="1">
        <v>0</v>
      </c>
      <c r="P2198" s="1" t="s">
        <v>301</v>
      </c>
      <c r="Q2198" s="1" t="s">
        <v>268</v>
      </c>
      <c r="R2198" s="1" t="s">
        <v>15888</v>
      </c>
      <c r="S2198" s="1" t="s">
        <v>15889</v>
      </c>
      <c r="T2198" s="1" t="s">
        <v>15865</v>
      </c>
      <c r="U2198" s="1" t="s">
        <v>15890</v>
      </c>
      <c r="V2198" s="1">
        <v>1</v>
      </c>
      <c r="W2198" s="1">
        <v>1</v>
      </c>
      <c r="X2198" s="1">
        <v>0</v>
      </c>
      <c r="Y2198" s="1">
        <v>0</v>
      </c>
      <c r="Z2198" s="1">
        <v>0</v>
      </c>
      <c r="AA2198" s="1" t="s">
        <v>109</v>
      </c>
      <c r="AB2198" s="1" t="s">
        <v>109</v>
      </c>
      <c r="AC2198" s="1" t="s">
        <v>109</v>
      </c>
      <c r="AD2198" s="1" t="s">
        <v>109</v>
      </c>
      <c r="AE2198" s="1" t="s">
        <v>109</v>
      </c>
      <c r="AF2198" s="1">
        <v>6</v>
      </c>
      <c r="AG2198" s="1" t="s">
        <v>109</v>
      </c>
      <c r="AH2198" s="1" t="s">
        <v>109</v>
      </c>
      <c r="AI2198" s="1" t="s">
        <v>109</v>
      </c>
      <c r="AJ2198" s="1" t="s">
        <v>109</v>
      </c>
      <c r="AK2198" s="1" t="s">
        <v>109</v>
      </c>
      <c r="AL2198" s="1" t="s">
        <v>109</v>
      </c>
      <c r="AM2198" s="1" t="s">
        <v>109</v>
      </c>
      <c r="AN2198" s="1" t="s">
        <v>109</v>
      </c>
      <c r="AO2198" s="1" t="s">
        <v>109</v>
      </c>
      <c r="AP2198" s="1"/>
      <c r="AQ2198" s="1">
        <v>6</v>
      </c>
      <c r="AR2198" s="1"/>
      <c r="AS2198" s="1"/>
      <c r="AT2198" s="1">
        <v>0</v>
      </c>
      <c r="AU2198" s="1">
        <v>0</v>
      </c>
      <c r="AV2198" s="1">
        <v>0</v>
      </c>
      <c r="AW2198" s="1">
        <v>0</v>
      </c>
      <c r="AX2198" s="1">
        <v>0</v>
      </c>
      <c r="AY2198" s="1">
        <v>0</v>
      </c>
      <c r="AZ2198" s="1">
        <v>0</v>
      </c>
      <c r="BA2198" s="1">
        <v>0</v>
      </c>
      <c r="BB2198" s="1">
        <v>0</v>
      </c>
      <c r="BC2198" s="1">
        <v>0</v>
      </c>
      <c r="BD2198" s="1">
        <v>0</v>
      </c>
      <c r="BE2198" s="1">
        <v>0</v>
      </c>
      <c r="BF2198" s="1">
        <v>0</v>
      </c>
      <c r="BG2198" s="1">
        <v>0</v>
      </c>
      <c r="BH2198" s="1">
        <v>0</v>
      </c>
      <c r="BI2198" s="1">
        <v>0</v>
      </c>
      <c r="BJ2198" s="1">
        <v>0</v>
      </c>
      <c r="BK2198" s="1">
        <v>0</v>
      </c>
      <c r="BL2198" s="1">
        <v>0</v>
      </c>
      <c r="BM2198" s="1">
        <v>1</v>
      </c>
      <c r="BN2198" s="1">
        <v>0</v>
      </c>
      <c r="BO2198" s="1">
        <v>0</v>
      </c>
      <c r="BP2198" s="1">
        <v>0</v>
      </c>
      <c r="BQ2198" s="1">
        <v>0</v>
      </c>
      <c r="BR2198" s="1">
        <v>0</v>
      </c>
      <c r="BS2198" s="1" t="s">
        <v>109</v>
      </c>
      <c r="BT2198" s="1">
        <v>2285</v>
      </c>
      <c r="BU2198" s="1">
        <v>5000</v>
      </c>
      <c r="BV2198" s="1"/>
      <c r="BW2198" s="1"/>
      <c r="BX2198" s="1"/>
      <c r="BY2198" s="1"/>
      <c r="BZ2198" s="1">
        <v>0</v>
      </c>
      <c r="CA2198" s="1" t="s">
        <v>109</v>
      </c>
      <c r="CB2198" s="1" t="s">
        <v>109</v>
      </c>
      <c r="CC2198" s="1">
        <v>9</v>
      </c>
      <c r="CD2198" s="1" t="s">
        <v>109</v>
      </c>
      <c r="CE2198" s="1">
        <v>6</v>
      </c>
      <c r="CF2198" s="1" t="s">
        <v>109</v>
      </c>
      <c r="CG2198" s="1" t="s">
        <v>109</v>
      </c>
      <c r="CH2198" s="1" t="s">
        <v>109</v>
      </c>
      <c r="CI2198" s="1" t="s">
        <v>109</v>
      </c>
      <c r="CJ2198" s="1" t="s">
        <v>109</v>
      </c>
      <c r="CK2198" s="1"/>
      <c r="CL2198" s="1">
        <v>0</v>
      </c>
      <c r="CM2198" s="1">
        <v>0</v>
      </c>
      <c r="CN2198" s="1">
        <v>0</v>
      </c>
    </row>
    <row r="2199" spans="1:92" ht="14.25" customHeight="1" x14ac:dyDescent="0.15">
      <c r="A2199" s="1" t="s">
        <v>15891</v>
      </c>
      <c r="B2199" s="1" t="s">
        <v>189</v>
      </c>
      <c r="C2199" s="1"/>
      <c r="D2199" s="1" t="s">
        <v>211</v>
      </c>
      <c r="E2199" s="1" t="s">
        <v>15892</v>
      </c>
      <c r="F2199" s="1" t="s">
        <v>98</v>
      </c>
      <c r="G2199" s="1" t="s">
        <v>141</v>
      </c>
      <c r="H2199" s="1">
        <v>0</v>
      </c>
      <c r="I2199" s="1" t="s">
        <v>235</v>
      </c>
      <c r="J2199" s="1"/>
      <c r="K2199" s="1"/>
      <c r="L2199" s="1" t="s">
        <v>236</v>
      </c>
      <c r="M2199" s="1" t="s">
        <v>3042</v>
      </c>
      <c r="N2199" s="1">
        <v>0</v>
      </c>
      <c r="O2199" s="1">
        <v>0</v>
      </c>
      <c r="P2199" s="1"/>
      <c r="Q2199" s="1"/>
      <c r="R2199" s="1" t="s">
        <v>15893</v>
      </c>
      <c r="S2199" s="1" t="s">
        <v>15894</v>
      </c>
      <c r="T2199" s="1" t="s">
        <v>15865</v>
      </c>
      <c r="U2199" s="1" t="s">
        <v>15895</v>
      </c>
      <c r="V2199" s="1">
        <v>1</v>
      </c>
      <c r="W2199" s="1">
        <v>1</v>
      </c>
      <c r="X2199" s="1">
        <v>0</v>
      </c>
      <c r="Y2199" s="1">
        <v>0</v>
      </c>
      <c r="Z2199" s="1">
        <v>0</v>
      </c>
      <c r="AA2199" s="1">
        <v>4</v>
      </c>
      <c r="AB2199" s="1">
        <v>4</v>
      </c>
      <c r="AC2199" s="1" t="s">
        <v>109</v>
      </c>
      <c r="AD2199" s="1">
        <v>4</v>
      </c>
      <c r="AE2199" s="1">
        <v>4</v>
      </c>
      <c r="AF2199" s="1" t="s">
        <v>109</v>
      </c>
      <c r="AG2199" s="1" t="s">
        <v>109</v>
      </c>
      <c r="AH2199" s="1" t="s">
        <v>109</v>
      </c>
      <c r="AI2199" s="1" t="s">
        <v>109</v>
      </c>
      <c r="AJ2199" s="1" t="s">
        <v>109</v>
      </c>
      <c r="AK2199" s="1" t="s">
        <v>109</v>
      </c>
      <c r="AL2199" s="1" t="s">
        <v>109</v>
      </c>
      <c r="AM2199" s="1" t="s">
        <v>109</v>
      </c>
      <c r="AN2199" s="1">
        <v>4</v>
      </c>
      <c r="AO2199" s="1" t="s">
        <v>109</v>
      </c>
      <c r="AP2199" s="1"/>
      <c r="AQ2199" s="1">
        <v>4</v>
      </c>
      <c r="AR2199" s="1"/>
      <c r="AS2199" s="1"/>
      <c r="AT2199" s="1">
        <v>0</v>
      </c>
      <c r="AU2199" s="1">
        <v>0</v>
      </c>
      <c r="AV2199" s="1">
        <v>0</v>
      </c>
      <c r="AW2199" s="1">
        <v>0</v>
      </c>
      <c r="AX2199" s="1">
        <v>0</v>
      </c>
      <c r="AY2199" s="1">
        <v>0</v>
      </c>
      <c r="AZ2199" s="1">
        <v>0</v>
      </c>
      <c r="BA2199" s="1">
        <v>0</v>
      </c>
      <c r="BB2199" s="1">
        <v>0</v>
      </c>
      <c r="BC2199" s="1">
        <v>0</v>
      </c>
      <c r="BD2199" s="1">
        <v>0</v>
      </c>
      <c r="BE2199" s="1">
        <v>0</v>
      </c>
      <c r="BF2199" s="1">
        <v>0</v>
      </c>
      <c r="BG2199" s="1">
        <v>0</v>
      </c>
      <c r="BH2199" s="1">
        <v>0</v>
      </c>
      <c r="BI2199" s="1">
        <v>0</v>
      </c>
      <c r="BJ2199" s="1">
        <v>0</v>
      </c>
      <c r="BK2199" s="1">
        <v>0</v>
      </c>
      <c r="BL2199" s="1">
        <v>0</v>
      </c>
      <c r="BM2199" s="1">
        <v>0</v>
      </c>
      <c r="BN2199" s="1">
        <v>0</v>
      </c>
      <c r="BO2199" s="1">
        <v>0</v>
      </c>
      <c r="BP2199" s="1">
        <v>0</v>
      </c>
      <c r="BQ2199" s="1">
        <v>0</v>
      </c>
      <c r="BR2199" s="1">
        <v>0</v>
      </c>
      <c r="BS2199" s="1" t="s">
        <v>109</v>
      </c>
      <c r="BT2199" s="1">
        <v>2286</v>
      </c>
      <c r="BU2199" s="1" t="s">
        <v>109</v>
      </c>
      <c r="BV2199" s="1"/>
      <c r="BW2199" s="1"/>
      <c r="BX2199" s="1"/>
      <c r="BY2199" s="1"/>
      <c r="BZ2199" s="1">
        <v>0</v>
      </c>
      <c r="CA2199" s="1">
        <v>4</v>
      </c>
      <c r="CB2199" s="1" t="s">
        <v>109</v>
      </c>
      <c r="CC2199" s="1" t="s">
        <v>109</v>
      </c>
      <c r="CD2199" s="1" t="s">
        <v>109</v>
      </c>
      <c r="CE2199" s="1" t="s">
        <v>109</v>
      </c>
      <c r="CF2199" s="1" t="s">
        <v>109</v>
      </c>
      <c r="CG2199" s="1" t="s">
        <v>109</v>
      </c>
      <c r="CH2199" s="1" t="s">
        <v>109</v>
      </c>
      <c r="CI2199" s="1" t="s">
        <v>109</v>
      </c>
      <c r="CJ2199" s="1">
        <v>4</v>
      </c>
      <c r="CK2199" s="1"/>
      <c r="CL2199" s="1">
        <v>0</v>
      </c>
      <c r="CM2199" s="1">
        <v>0</v>
      </c>
      <c r="CN2199" s="1">
        <v>0</v>
      </c>
    </row>
    <row r="2200" spans="1:92" ht="14.25" customHeight="1" x14ac:dyDescent="0.15">
      <c r="A2200" s="1" t="s">
        <v>15896</v>
      </c>
      <c r="B2200" s="1" t="s">
        <v>674</v>
      </c>
      <c r="C2200" s="1" t="s">
        <v>68</v>
      </c>
      <c r="D2200" s="1" t="s">
        <v>68</v>
      </c>
      <c r="E2200" s="1" t="s">
        <v>15897</v>
      </c>
      <c r="F2200" s="1" t="s">
        <v>355</v>
      </c>
      <c r="G2200" s="1" t="s">
        <v>15898</v>
      </c>
      <c r="H2200" s="1">
        <v>0</v>
      </c>
      <c r="I2200" s="1" t="s">
        <v>142</v>
      </c>
      <c r="J2200" s="1"/>
      <c r="K2200" s="1" t="s">
        <v>15899</v>
      </c>
      <c r="L2200" s="1"/>
      <c r="M2200" s="1" t="s">
        <v>125</v>
      </c>
      <c r="N2200" s="1">
        <v>0</v>
      </c>
      <c r="O2200" s="1">
        <v>0</v>
      </c>
      <c r="P2200" s="1" t="s">
        <v>2304</v>
      </c>
      <c r="Q2200" s="1" t="s">
        <v>268</v>
      </c>
      <c r="R2200" s="1" t="s">
        <v>15900</v>
      </c>
      <c r="S2200" s="1" t="s">
        <v>15901</v>
      </c>
      <c r="T2200" s="1" t="s">
        <v>15865</v>
      </c>
      <c r="U2200" s="1" t="s">
        <v>15902</v>
      </c>
      <c r="V2200" s="1">
        <v>1</v>
      </c>
      <c r="W2200" s="1">
        <v>1</v>
      </c>
      <c r="X2200" s="1">
        <v>0</v>
      </c>
      <c r="Y2200" s="1">
        <v>0</v>
      </c>
      <c r="Z2200" s="1">
        <v>0</v>
      </c>
      <c r="AA2200" s="1" t="s">
        <v>109</v>
      </c>
      <c r="AB2200" s="1" t="s">
        <v>109</v>
      </c>
      <c r="AC2200" s="1" t="s">
        <v>109</v>
      </c>
      <c r="AD2200" s="1" t="s">
        <v>109</v>
      </c>
      <c r="AE2200" s="1" t="s">
        <v>109</v>
      </c>
      <c r="AF2200" s="1">
        <v>5</v>
      </c>
      <c r="AG2200" s="1" t="s">
        <v>109</v>
      </c>
      <c r="AH2200" s="1" t="s">
        <v>109</v>
      </c>
      <c r="AI2200" s="1" t="s">
        <v>109</v>
      </c>
      <c r="AJ2200" s="1" t="s">
        <v>109</v>
      </c>
      <c r="AK2200" s="1" t="s">
        <v>109</v>
      </c>
      <c r="AL2200" s="1" t="s">
        <v>109</v>
      </c>
      <c r="AM2200" s="1" t="s">
        <v>109</v>
      </c>
      <c r="AN2200" s="1" t="s">
        <v>109</v>
      </c>
      <c r="AO2200" s="1" t="s">
        <v>109</v>
      </c>
      <c r="AP2200" s="1"/>
      <c r="AQ2200" s="1">
        <v>5</v>
      </c>
      <c r="AR2200" s="1"/>
      <c r="AS2200" s="1"/>
      <c r="AT2200" s="1">
        <v>0</v>
      </c>
      <c r="AU2200" s="1">
        <v>0</v>
      </c>
      <c r="AV2200" s="1">
        <v>0</v>
      </c>
      <c r="AW2200" s="1">
        <v>0</v>
      </c>
      <c r="AX2200" s="1">
        <v>0</v>
      </c>
      <c r="AY2200" s="1">
        <v>0</v>
      </c>
      <c r="AZ2200" s="1">
        <v>0</v>
      </c>
      <c r="BA2200" s="1">
        <v>0</v>
      </c>
      <c r="BB2200" s="1">
        <v>0</v>
      </c>
      <c r="BC2200" s="1">
        <v>0</v>
      </c>
      <c r="BD2200" s="1">
        <v>0</v>
      </c>
      <c r="BE2200" s="1">
        <v>0</v>
      </c>
      <c r="BF2200" s="1">
        <v>0</v>
      </c>
      <c r="BG2200" s="1">
        <v>0</v>
      </c>
      <c r="BH2200" s="1">
        <v>0</v>
      </c>
      <c r="BI2200" s="1">
        <v>0</v>
      </c>
      <c r="BJ2200" s="1">
        <v>0</v>
      </c>
      <c r="BK2200" s="1">
        <v>0</v>
      </c>
      <c r="BL2200" s="1">
        <v>0</v>
      </c>
      <c r="BM2200" s="1">
        <v>0</v>
      </c>
      <c r="BN2200" s="1">
        <v>0</v>
      </c>
      <c r="BO2200" s="1">
        <v>0</v>
      </c>
      <c r="BP2200" s="1">
        <v>1</v>
      </c>
      <c r="BQ2200" s="1">
        <v>0</v>
      </c>
      <c r="BR2200" s="1">
        <v>0</v>
      </c>
      <c r="BS2200" s="1" t="s">
        <v>109</v>
      </c>
      <c r="BT2200" s="1">
        <v>2287</v>
      </c>
      <c r="BU2200" s="1" t="s">
        <v>109</v>
      </c>
      <c r="BV2200" s="1"/>
      <c r="BW2200" s="1"/>
      <c r="BX2200" s="1"/>
      <c r="BY2200" s="1"/>
      <c r="BZ2200" s="1">
        <v>0</v>
      </c>
      <c r="CA2200" s="1" t="s">
        <v>109</v>
      </c>
      <c r="CB2200" s="1" t="s">
        <v>109</v>
      </c>
      <c r="CC2200" s="1" t="s">
        <v>109</v>
      </c>
      <c r="CD2200" s="1">
        <v>4</v>
      </c>
      <c r="CE2200" s="1" t="s">
        <v>109</v>
      </c>
      <c r="CF2200" s="1" t="s">
        <v>109</v>
      </c>
      <c r="CG2200" s="1" t="s">
        <v>109</v>
      </c>
      <c r="CH2200" s="1" t="s">
        <v>109</v>
      </c>
      <c r="CI2200" s="1" t="s">
        <v>109</v>
      </c>
      <c r="CJ2200" s="1" t="s">
        <v>109</v>
      </c>
      <c r="CK2200" s="1"/>
      <c r="CL2200" s="1">
        <v>0</v>
      </c>
      <c r="CM2200" s="1">
        <v>0</v>
      </c>
      <c r="CN2200" s="1">
        <v>0</v>
      </c>
    </row>
    <row r="2201" spans="1:92" ht="14.25" customHeight="1" x14ac:dyDescent="0.15">
      <c r="A2201" s="1" t="s">
        <v>15903</v>
      </c>
      <c r="B2201" s="1" t="s">
        <v>584</v>
      </c>
      <c r="C2201" s="1"/>
      <c r="D2201" s="1" t="s">
        <v>59</v>
      </c>
      <c r="E2201" s="1" t="s">
        <v>15904</v>
      </c>
      <c r="F2201" s="1" t="s">
        <v>98</v>
      </c>
      <c r="G2201" s="1" t="s">
        <v>15905</v>
      </c>
      <c r="H2201" s="1">
        <v>0</v>
      </c>
      <c r="I2201" s="1" t="s">
        <v>235</v>
      </c>
      <c r="J2201" s="1"/>
      <c r="K2201" s="1"/>
      <c r="L2201" s="1" t="s">
        <v>236</v>
      </c>
      <c r="M2201" s="1" t="s">
        <v>125</v>
      </c>
      <c r="N2201" s="1">
        <v>0</v>
      </c>
      <c r="O2201" s="1">
        <v>0</v>
      </c>
      <c r="P2201" s="1"/>
      <c r="Q2201" s="1"/>
      <c r="R2201" s="1" t="s">
        <v>15906</v>
      </c>
      <c r="S2201" s="1" t="s">
        <v>15907</v>
      </c>
      <c r="T2201" s="1" t="s">
        <v>15865</v>
      </c>
      <c r="U2201" s="1" t="s">
        <v>15908</v>
      </c>
      <c r="V2201" s="1">
        <v>1</v>
      </c>
      <c r="W2201" s="1">
        <v>1</v>
      </c>
      <c r="X2201" s="1">
        <v>1</v>
      </c>
      <c r="Y2201" s="1">
        <v>0</v>
      </c>
      <c r="Z2201" s="1">
        <v>0</v>
      </c>
      <c r="AA2201" s="1" t="s">
        <v>109</v>
      </c>
      <c r="AB2201" s="1" t="s">
        <v>109</v>
      </c>
      <c r="AC2201" s="1" t="s">
        <v>109</v>
      </c>
      <c r="AD2201" s="1" t="s">
        <v>109</v>
      </c>
      <c r="AE2201" s="1" t="s">
        <v>109</v>
      </c>
      <c r="AF2201" s="1" t="s">
        <v>109</v>
      </c>
      <c r="AG2201" s="1" t="s">
        <v>109</v>
      </c>
      <c r="AH2201" s="1">
        <v>2</v>
      </c>
      <c r="AI2201" s="1" t="s">
        <v>109</v>
      </c>
      <c r="AJ2201" s="1" t="s">
        <v>109</v>
      </c>
      <c r="AK2201" s="1" t="s">
        <v>109</v>
      </c>
      <c r="AL2201" s="1" t="s">
        <v>109</v>
      </c>
      <c r="AM2201" s="1" t="s">
        <v>109</v>
      </c>
      <c r="AN2201" s="1">
        <v>2</v>
      </c>
      <c r="AO2201" s="1" t="s">
        <v>109</v>
      </c>
      <c r="AP2201" s="1"/>
      <c r="AQ2201" s="1">
        <v>2</v>
      </c>
      <c r="AR2201" s="1"/>
      <c r="AS2201" s="1"/>
      <c r="AT2201" s="1">
        <v>0</v>
      </c>
      <c r="AU2201" s="1">
        <v>0</v>
      </c>
      <c r="AV2201" s="1">
        <v>0</v>
      </c>
      <c r="AW2201" s="1">
        <v>0</v>
      </c>
      <c r="AX2201" s="1">
        <v>0</v>
      </c>
      <c r="AY2201" s="1">
        <v>0</v>
      </c>
      <c r="AZ2201" s="1">
        <v>0</v>
      </c>
      <c r="BA2201" s="1">
        <v>0</v>
      </c>
      <c r="BB2201" s="1">
        <v>0</v>
      </c>
      <c r="BC2201" s="1">
        <v>0</v>
      </c>
      <c r="BD2201" s="1">
        <v>0</v>
      </c>
      <c r="BE2201" s="1">
        <v>0</v>
      </c>
      <c r="BF2201" s="1">
        <v>0</v>
      </c>
      <c r="BG2201" s="1">
        <v>1</v>
      </c>
      <c r="BH2201" s="1">
        <v>0</v>
      </c>
      <c r="BI2201" s="1">
        <v>0</v>
      </c>
      <c r="BJ2201" s="1">
        <v>0</v>
      </c>
      <c r="BK2201" s="1">
        <v>0</v>
      </c>
      <c r="BL2201" s="1">
        <v>0</v>
      </c>
      <c r="BM2201" s="1">
        <v>0</v>
      </c>
      <c r="BN2201" s="1">
        <v>0</v>
      </c>
      <c r="BO2201" s="1">
        <v>0</v>
      </c>
      <c r="BP2201" s="1">
        <v>0</v>
      </c>
      <c r="BQ2201" s="1">
        <v>0</v>
      </c>
      <c r="BR2201" s="1">
        <v>0</v>
      </c>
      <c r="BS2201" s="1" t="s">
        <v>109</v>
      </c>
      <c r="BT2201" s="1">
        <v>2288</v>
      </c>
      <c r="BU2201" s="1" t="s">
        <v>109</v>
      </c>
      <c r="BV2201" s="1"/>
      <c r="BW2201" s="1"/>
      <c r="BX2201" s="1"/>
      <c r="BY2201" s="1"/>
      <c r="BZ2201" s="1">
        <v>0</v>
      </c>
      <c r="CA2201" s="1">
        <v>2</v>
      </c>
      <c r="CB2201" s="1" t="s">
        <v>109</v>
      </c>
      <c r="CC2201" s="1" t="s">
        <v>109</v>
      </c>
      <c r="CD2201" s="1" t="s">
        <v>109</v>
      </c>
      <c r="CE2201" s="1" t="s">
        <v>109</v>
      </c>
      <c r="CF2201" s="1" t="s">
        <v>109</v>
      </c>
      <c r="CG2201" s="1" t="s">
        <v>109</v>
      </c>
      <c r="CH2201" s="1" t="s">
        <v>109</v>
      </c>
      <c r="CI2201" s="1" t="s">
        <v>109</v>
      </c>
      <c r="CJ2201" s="1" t="s">
        <v>109</v>
      </c>
      <c r="CK2201" s="1"/>
      <c r="CL2201" s="1">
        <v>0</v>
      </c>
      <c r="CM2201" s="1">
        <v>0</v>
      </c>
      <c r="CN2201" s="1">
        <v>0</v>
      </c>
    </row>
    <row r="2202" spans="1:92" ht="14.25" customHeight="1" x14ac:dyDescent="0.15">
      <c r="A2202" s="1" t="s">
        <v>15909</v>
      </c>
      <c r="B2202" s="1" t="s">
        <v>95</v>
      </c>
      <c r="C2202" s="1" t="s">
        <v>1179</v>
      </c>
      <c r="D2202" s="1"/>
      <c r="E2202" s="1" t="s">
        <v>15910</v>
      </c>
      <c r="F2202" s="1" t="s">
        <v>355</v>
      </c>
      <c r="G2202" s="1" t="s">
        <v>4883</v>
      </c>
      <c r="H2202" s="1">
        <v>0</v>
      </c>
      <c r="I2202" s="1" t="s">
        <v>142</v>
      </c>
      <c r="J2202" s="1"/>
      <c r="K2202" s="1" t="s">
        <v>4884</v>
      </c>
      <c r="L2202" s="1"/>
      <c r="M2202" s="1" t="s">
        <v>15911</v>
      </c>
      <c r="N2202" s="1">
        <v>0</v>
      </c>
      <c r="O2202" s="1">
        <v>0</v>
      </c>
      <c r="P2202" s="1" t="s">
        <v>103</v>
      </c>
      <c r="Q2202" s="1" t="s">
        <v>104</v>
      </c>
      <c r="R2202" s="1" t="s">
        <v>15912</v>
      </c>
      <c r="S2202" s="1" t="s">
        <v>15913</v>
      </c>
      <c r="T2202" s="1" t="s">
        <v>15865</v>
      </c>
      <c r="U2202" s="1" t="s">
        <v>15914</v>
      </c>
      <c r="V2202" s="1">
        <v>1</v>
      </c>
      <c r="W2202" s="1">
        <v>1</v>
      </c>
      <c r="X2202" s="1">
        <v>1</v>
      </c>
      <c r="Y2202" s="1">
        <v>0</v>
      </c>
      <c r="Z2202" s="1">
        <v>1</v>
      </c>
      <c r="AA2202" s="1">
        <v>3</v>
      </c>
      <c r="AB2202" s="1">
        <v>3</v>
      </c>
      <c r="AC2202" s="1" t="s">
        <v>109</v>
      </c>
      <c r="AD2202" s="1" t="s">
        <v>109</v>
      </c>
      <c r="AE2202" s="1" t="s">
        <v>109</v>
      </c>
      <c r="AF2202" s="1" t="s">
        <v>109</v>
      </c>
      <c r="AG2202" s="1" t="s">
        <v>109</v>
      </c>
      <c r="AH2202" s="1" t="s">
        <v>109</v>
      </c>
      <c r="AI2202" s="1">
        <v>3</v>
      </c>
      <c r="AJ2202" s="1">
        <v>3</v>
      </c>
      <c r="AK2202" s="1" t="s">
        <v>109</v>
      </c>
      <c r="AL2202" s="1" t="s">
        <v>109</v>
      </c>
      <c r="AM2202" s="1" t="s">
        <v>109</v>
      </c>
      <c r="AN2202" s="1" t="s">
        <v>109</v>
      </c>
      <c r="AO2202" s="1" t="s">
        <v>109</v>
      </c>
      <c r="AP2202" s="1"/>
      <c r="AQ2202" s="1">
        <v>3</v>
      </c>
      <c r="AR2202" s="1"/>
      <c r="AS2202" s="1"/>
      <c r="AT2202" s="1">
        <v>0</v>
      </c>
      <c r="AU2202" s="1">
        <v>0</v>
      </c>
      <c r="AV2202" s="1">
        <v>0</v>
      </c>
      <c r="AW2202" s="1">
        <v>0</v>
      </c>
      <c r="AX2202" s="1">
        <v>0</v>
      </c>
      <c r="AY2202" s="1">
        <v>0</v>
      </c>
      <c r="AZ2202" s="1">
        <v>0</v>
      </c>
      <c r="BA2202" s="1">
        <v>0</v>
      </c>
      <c r="BB2202" s="1">
        <v>0</v>
      </c>
      <c r="BC2202" s="1">
        <v>0</v>
      </c>
      <c r="BD2202" s="1">
        <v>0</v>
      </c>
      <c r="BE2202" s="1">
        <v>0</v>
      </c>
      <c r="BF2202" s="1">
        <v>0</v>
      </c>
      <c r="BG2202" s="1">
        <v>0</v>
      </c>
      <c r="BH2202" s="1">
        <v>0</v>
      </c>
      <c r="BI2202" s="1">
        <v>0</v>
      </c>
      <c r="BJ2202" s="1">
        <v>0</v>
      </c>
      <c r="BK2202" s="1">
        <v>0</v>
      </c>
      <c r="BL2202" s="1">
        <v>0</v>
      </c>
      <c r="BM2202" s="1">
        <v>0</v>
      </c>
      <c r="BN2202" s="1">
        <v>0</v>
      </c>
      <c r="BO2202" s="1">
        <v>0</v>
      </c>
      <c r="BP2202" s="1">
        <v>0</v>
      </c>
      <c r="BQ2202" s="1">
        <v>0</v>
      </c>
      <c r="BR2202" s="1">
        <v>0</v>
      </c>
      <c r="BS2202" s="1" t="s">
        <v>109</v>
      </c>
      <c r="BT2202" s="1">
        <v>2289</v>
      </c>
      <c r="BU2202" s="1" t="s">
        <v>109</v>
      </c>
      <c r="BV2202" s="1"/>
      <c r="BW2202" s="1"/>
      <c r="BX2202" s="1"/>
      <c r="BY2202" s="1"/>
      <c r="BZ2202" s="1">
        <v>0</v>
      </c>
      <c r="CA2202" s="1" t="s">
        <v>109</v>
      </c>
      <c r="CB2202" s="1" t="s">
        <v>109</v>
      </c>
      <c r="CC2202" s="1" t="s">
        <v>109</v>
      </c>
      <c r="CD2202" s="1" t="s">
        <v>109</v>
      </c>
      <c r="CE2202" s="1" t="s">
        <v>109</v>
      </c>
      <c r="CF2202" s="1" t="s">
        <v>109</v>
      </c>
      <c r="CG2202" s="1" t="s">
        <v>109</v>
      </c>
      <c r="CH2202" s="1" t="s">
        <v>109</v>
      </c>
      <c r="CI2202" s="1" t="s">
        <v>109</v>
      </c>
      <c r="CJ2202" s="1" t="s">
        <v>109</v>
      </c>
      <c r="CK2202" s="1"/>
      <c r="CL2202" s="1">
        <v>0</v>
      </c>
      <c r="CM2202" s="1">
        <v>0</v>
      </c>
      <c r="CN2202" s="1">
        <v>0</v>
      </c>
    </row>
    <row r="2203" spans="1:92" ht="14.25" customHeight="1" x14ac:dyDescent="0.15">
      <c r="A2203" s="1" t="s">
        <v>15915</v>
      </c>
      <c r="B2203" s="1" t="s">
        <v>242</v>
      </c>
      <c r="C2203" s="1"/>
      <c r="D2203" s="1" t="s">
        <v>15873</v>
      </c>
      <c r="E2203" s="1" t="s">
        <v>15916</v>
      </c>
      <c r="F2203" s="1" t="s">
        <v>98</v>
      </c>
      <c r="G2203" s="1" t="s">
        <v>333</v>
      </c>
      <c r="H2203" s="1">
        <v>0</v>
      </c>
      <c r="I2203" s="1" t="s">
        <v>142</v>
      </c>
      <c r="J2203" s="1" t="s">
        <v>15917</v>
      </c>
      <c r="K2203" s="1"/>
      <c r="L2203" s="1"/>
      <c r="M2203" s="1" t="s">
        <v>125</v>
      </c>
      <c r="N2203" s="1">
        <v>0</v>
      </c>
      <c r="O2203" s="1">
        <v>0</v>
      </c>
      <c r="P2203" s="1" t="s">
        <v>2475</v>
      </c>
      <c r="Q2203" s="1" t="s">
        <v>268</v>
      </c>
      <c r="R2203" s="1" t="s">
        <v>15918</v>
      </c>
      <c r="S2203" s="1" t="s">
        <v>15919</v>
      </c>
      <c r="T2203" s="1" t="s">
        <v>15865</v>
      </c>
      <c r="U2203" s="1" t="s">
        <v>15920</v>
      </c>
      <c r="V2203" s="1">
        <v>1</v>
      </c>
      <c r="W2203" s="1">
        <v>0</v>
      </c>
      <c r="X2203" s="1">
        <v>0</v>
      </c>
      <c r="Y2203" s="1">
        <v>0</v>
      </c>
      <c r="Z2203" s="1">
        <v>0</v>
      </c>
      <c r="AA2203" s="1" t="s">
        <v>109</v>
      </c>
      <c r="AB2203" s="1" t="s">
        <v>109</v>
      </c>
      <c r="AC2203" s="1" t="s">
        <v>109</v>
      </c>
      <c r="AD2203" s="1" t="s">
        <v>109</v>
      </c>
      <c r="AE2203" s="1">
        <v>2</v>
      </c>
      <c r="AF2203" s="1">
        <v>2</v>
      </c>
      <c r="AG2203" s="1" t="s">
        <v>109</v>
      </c>
      <c r="AH2203" s="1" t="s">
        <v>109</v>
      </c>
      <c r="AI2203" s="1" t="s">
        <v>109</v>
      </c>
      <c r="AJ2203" s="1" t="s">
        <v>109</v>
      </c>
      <c r="AK2203" s="1" t="s">
        <v>109</v>
      </c>
      <c r="AL2203" s="1" t="s">
        <v>109</v>
      </c>
      <c r="AM2203" s="1" t="s">
        <v>109</v>
      </c>
      <c r="AN2203" s="1" t="s">
        <v>109</v>
      </c>
      <c r="AO2203" s="1" t="s">
        <v>109</v>
      </c>
      <c r="AP2203" s="1"/>
      <c r="AQ2203" s="1">
        <v>2</v>
      </c>
      <c r="AR2203" s="1"/>
      <c r="AS2203" s="1"/>
      <c r="AT2203" s="1">
        <v>0</v>
      </c>
      <c r="AU2203" s="1">
        <v>0</v>
      </c>
      <c r="AV2203" s="1">
        <v>0</v>
      </c>
      <c r="AW2203" s="1">
        <v>0</v>
      </c>
      <c r="AX2203" s="1">
        <v>0</v>
      </c>
      <c r="AY2203" s="1">
        <v>0</v>
      </c>
      <c r="AZ2203" s="1">
        <v>0</v>
      </c>
      <c r="BA2203" s="1">
        <v>0</v>
      </c>
      <c r="BB2203" s="1">
        <v>0</v>
      </c>
      <c r="BC2203" s="1">
        <v>0</v>
      </c>
      <c r="BD2203" s="1">
        <v>0</v>
      </c>
      <c r="BE2203" s="1">
        <v>0</v>
      </c>
      <c r="BF2203" s="1">
        <v>0</v>
      </c>
      <c r="BG2203" s="1">
        <v>1</v>
      </c>
      <c r="BH2203" s="1">
        <v>0</v>
      </c>
      <c r="BI2203" s="1">
        <v>1</v>
      </c>
      <c r="BJ2203" s="1">
        <v>0</v>
      </c>
      <c r="BK2203" s="1">
        <v>0</v>
      </c>
      <c r="BL2203" s="1">
        <v>0</v>
      </c>
      <c r="BM2203" s="1">
        <v>0</v>
      </c>
      <c r="BN2203" s="1">
        <v>0</v>
      </c>
      <c r="BO2203" s="1">
        <v>0</v>
      </c>
      <c r="BP2203" s="1">
        <v>0</v>
      </c>
      <c r="BQ2203" s="1">
        <v>0</v>
      </c>
      <c r="BR2203" s="1">
        <v>0</v>
      </c>
      <c r="BS2203" s="1" t="s">
        <v>109</v>
      </c>
      <c r="BT2203" s="1">
        <v>2290</v>
      </c>
      <c r="BU2203" s="1" t="s">
        <v>109</v>
      </c>
      <c r="BV2203" s="1"/>
      <c r="BW2203" s="1"/>
      <c r="BX2203" s="1"/>
      <c r="BY2203" s="1"/>
      <c r="BZ2203" s="1">
        <v>0</v>
      </c>
      <c r="CA2203" s="1" t="s">
        <v>109</v>
      </c>
      <c r="CB2203" s="1" t="s">
        <v>109</v>
      </c>
      <c r="CC2203" s="1" t="s">
        <v>109</v>
      </c>
      <c r="CD2203" s="1" t="s">
        <v>109</v>
      </c>
      <c r="CE2203" s="1" t="s">
        <v>109</v>
      </c>
      <c r="CF2203" s="1" t="s">
        <v>109</v>
      </c>
      <c r="CG2203" s="1" t="s">
        <v>109</v>
      </c>
      <c r="CH2203" s="1" t="s">
        <v>109</v>
      </c>
      <c r="CI2203" s="1" t="s">
        <v>109</v>
      </c>
      <c r="CJ2203" s="1">
        <v>2</v>
      </c>
      <c r="CK2203" s="1"/>
      <c r="CL2203" s="1">
        <v>0</v>
      </c>
      <c r="CM2203" s="1">
        <v>0</v>
      </c>
      <c r="CN2203" s="1">
        <v>0</v>
      </c>
    </row>
    <row r="2204" spans="1:92" ht="14.25" customHeight="1" x14ac:dyDescent="0.15">
      <c r="A2204" s="1" t="s">
        <v>15921</v>
      </c>
      <c r="B2204" s="1" t="s">
        <v>156</v>
      </c>
      <c r="C2204" s="1" t="s">
        <v>157</v>
      </c>
      <c r="D2204" s="1" t="s">
        <v>158</v>
      </c>
      <c r="E2204" s="1" t="s">
        <v>15922</v>
      </c>
      <c r="F2204" s="1" t="s">
        <v>98</v>
      </c>
      <c r="G2204" s="1" t="s">
        <v>141</v>
      </c>
      <c r="H2204" s="1">
        <v>0</v>
      </c>
      <c r="I2204" s="1" t="s">
        <v>100</v>
      </c>
      <c r="J2204" s="1" t="s">
        <v>15923</v>
      </c>
      <c r="K2204" s="1"/>
      <c r="L2204" s="1"/>
      <c r="M2204" s="1" t="s">
        <v>6719</v>
      </c>
      <c r="N2204" s="1">
        <v>1</v>
      </c>
      <c r="O2204" s="1">
        <v>1</v>
      </c>
      <c r="P2204" s="1" t="s">
        <v>380</v>
      </c>
      <c r="Q2204" s="1" t="s">
        <v>268</v>
      </c>
      <c r="R2204" s="1" t="s">
        <v>15924</v>
      </c>
      <c r="S2204" s="1" t="s">
        <v>15925</v>
      </c>
      <c r="T2204" s="1" t="s">
        <v>15865</v>
      </c>
      <c r="U2204" s="1" t="s">
        <v>15926</v>
      </c>
      <c r="V2204" s="1">
        <v>1</v>
      </c>
      <c r="W2204" s="1">
        <v>1</v>
      </c>
      <c r="X2204" s="1">
        <v>0</v>
      </c>
      <c r="Y2204" s="1">
        <v>0</v>
      </c>
      <c r="Z2204" s="1">
        <v>0</v>
      </c>
      <c r="AA2204" s="1">
        <v>4</v>
      </c>
      <c r="AB2204" s="1">
        <v>4</v>
      </c>
      <c r="AC2204" s="1" t="s">
        <v>109</v>
      </c>
      <c r="AD2204" s="1" t="s">
        <v>109</v>
      </c>
      <c r="AE2204" s="1" t="s">
        <v>109</v>
      </c>
      <c r="AF2204" s="1">
        <v>4</v>
      </c>
      <c r="AG2204" s="1" t="s">
        <v>109</v>
      </c>
      <c r="AH2204" s="1" t="s">
        <v>109</v>
      </c>
      <c r="AI2204" s="1" t="s">
        <v>109</v>
      </c>
      <c r="AJ2204" s="1" t="s">
        <v>109</v>
      </c>
      <c r="AK2204" s="1" t="s">
        <v>109</v>
      </c>
      <c r="AL2204" s="1" t="s">
        <v>109</v>
      </c>
      <c r="AM2204" s="1" t="s">
        <v>109</v>
      </c>
      <c r="AN2204" s="1" t="s">
        <v>109</v>
      </c>
      <c r="AO2204" s="1" t="s">
        <v>109</v>
      </c>
      <c r="AP2204" s="1"/>
      <c r="AQ2204" s="1">
        <v>4</v>
      </c>
      <c r="AR2204" s="1"/>
      <c r="AS2204" s="1"/>
      <c r="AT2204" s="1">
        <v>0</v>
      </c>
      <c r="AU2204" s="1">
        <v>0</v>
      </c>
      <c r="AV2204" s="1">
        <v>0</v>
      </c>
      <c r="AW2204" s="1">
        <v>0</v>
      </c>
      <c r="AX2204" s="1">
        <v>0</v>
      </c>
      <c r="AY2204" s="1">
        <v>0</v>
      </c>
      <c r="AZ2204" s="1">
        <v>0</v>
      </c>
      <c r="BA2204" s="1">
        <v>0</v>
      </c>
      <c r="BB2204" s="1">
        <v>0</v>
      </c>
      <c r="BC2204" s="1">
        <v>0</v>
      </c>
      <c r="BD2204" s="1">
        <v>0</v>
      </c>
      <c r="BE2204" s="1">
        <v>0</v>
      </c>
      <c r="BF2204" s="1">
        <v>0</v>
      </c>
      <c r="BG2204" s="1">
        <v>0</v>
      </c>
      <c r="BH2204" s="1">
        <v>0</v>
      </c>
      <c r="BI2204" s="1">
        <v>0</v>
      </c>
      <c r="BJ2204" s="1">
        <v>0</v>
      </c>
      <c r="BK2204" s="1">
        <v>0</v>
      </c>
      <c r="BL2204" s="1">
        <v>0</v>
      </c>
      <c r="BM2204" s="1">
        <v>1</v>
      </c>
      <c r="BN2204" s="1">
        <v>0</v>
      </c>
      <c r="BO2204" s="1">
        <v>0</v>
      </c>
      <c r="BP2204" s="1">
        <v>0</v>
      </c>
      <c r="BQ2204" s="1">
        <v>0</v>
      </c>
      <c r="BR2204" s="1">
        <v>0</v>
      </c>
      <c r="BS2204" s="1" t="s">
        <v>109</v>
      </c>
      <c r="BT2204" s="1">
        <v>2291</v>
      </c>
      <c r="BU2204" s="1" t="s">
        <v>109</v>
      </c>
      <c r="BV2204" s="1"/>
      <c r="BW2204" s="1"/>
      <c r="BX2204" s="1"/>
      <c r="BY2204" s="1"/>
      <c r="BZ2204" s="1">
        <v>0</v>
      </c>
      <c r="CA2204" s="1" t="s">
        <v>109</v>
      </c>
      <c r="CB2204" s="1" t="s">
        <v>109</v>
      </c>
      <c r="CC2204" s="1">
        <v>4</v>
      </c>
      <c r="CD2204" s="1" t="s">
        <v>109</v>
      </c>
      <c r="CE2204" s="1">
        <v>3</v>
      </c>
      <c r="CF2204" s="1" t="s">
        <v>109</v>
      </c>
      <c r="CG2204" s="1" t="s">
        <v>109</v>
      </c>
      <c r="CH2204" s="1" t="s">
        <v>109</v>
      </c>
      <c r="CI2204" s="1" t="s">
        <v>109</v>
      </c>
      <c r="CJ2204" s="1" t="s">
        <v>109</v>
      </c>
      <c r="CK2204" s="1"/>
      <c r="CL2204" s="1">
        <v>0</v>
      </c>
      <c r="CM2204" s="1">
        <v>0</v>
      </c>
      <c r="CN2204" s="1">
        <v>0</v>
      </c>
    </row>
    <row r="2205" spans="1:92" ht="14.25" customHeight="1" x14ac:dyDescent="0.15">
      <c r="A2205" s="1" t="s">
        <v>15927</v>
      </c>
      <c r="B2205" s="1" t="s">
        <v>156</v>
      </c>
      <c r="C2205" s="1" t="s">
        <v>157</v>
      </c>
      <c r="D2205" s="1" t="s">
        <v>158</v>
      </c>
      <c r="E2205" s="1" t="s">
        <v>15928</v>
      </c>
      <c r="F2205" s="1" t="s">
        <v>465</v>
      </c>
      <c r="G2205" s="1" t="s">
        <v>141</v>
      </c>
      <c r="H2205" s="1">
        <v>0</v>
      </c>
      <c r="I2205" s="1" t="s">
        <v>5410</v>
      </c>
      <c r="J2205" s="1" t="s">
        <v>15929</v>
      </c>
      <c r="K2205" s="1"/>
      <c r="L2205" s="1"/>
      <c r="M2205" s="1" t="s">
        <v>6719</v>
      </c>
      <c r="N2205" s="1">
        <v>1</v>
      </c>
      <c r="O2205" s="1">
        <v>0</v>
      </c>
      <c r="P2205" s="1" t="s">
        <v>380</v>
      </c>
      <c r="Q2205" s="1" t="s">
        <v>268</v>
      </c>
      <c r="R2205" s="1" t="s">
        <v>15930</v>
      </c>
      <c r="S2205" s="1" t="s">
        <v>15931</v>
      </c>
      <c r="T2205" s="1" t="s">
        <v>15865</v>
      </c>
      <c r="U2205" s="1" t="s">
        <v>15932</v>
      </c>
      <c r="V2205" s="1">
        <v>1</v>
      </c>
      <c r="W2205" s="1">
        <v>1</v>
      </c>
      <c r="X2205" s="1">
        <v>0</v>
      </c>
      <c r="Y2205" s="1">
        <v>0</v>
      </c>
      <c r="Z2205" s="1">
        <v>0</v>
      </c>
      <c r="AA2205" s="1">
        <v>9</v>
      </c>
      <c r="AB2205" s="1">
        <v>9</v>
      </c>
      <c r="AC2205" s="1" t="s">
        <v>109</v>
      </c>
      <c r="AD2205" s="1" t="s">
        <v>109</v>
      </c>
      <c r="AE2205" s="1" t="s">
        <v>109</v>
      </c>
      <c r="AF2205" s="1" t="s">
        <v>109</v>
      </c>
      <c r="AG2205" s="1" t="s">
        <v>109</v>
      </c>
      <c r="AH2205" s="1" t="s">
        <v>109</v>
      </c>
      <c r="AI2205" s="1" t="s">
        <v>109</v>
      </c>
      <c r="AJ2205" s="1" t="s">
        <v>109</v>
      </c>
      <c r="AK2205" s="1" t="s">
        <v>109</v>
      </c>
      <c r="AL2205" s="1" t="s">
        <v>109</v>
      </c>
      <c r="AM2205" s="1" t="s">
        <v>109</v>
      </c>
      <c r="AN2205" s="1" t="s">
        <v>109</v>
      </c>
      <c r="AO2205" s="1" t="s">
        <v>109</v>
      </c>
      <c r="AP2205" s="1"/>
      <c r="AQ2205" s="1">
        <v>9</v>
      </c>
      <c r="AR2205" s="1"/>
      <c r="AS2205" s="1"/>
      <c r="AT2205" s="1">
        <v>0</v>
      </c>
      <c r="AU2205" s="1">
        <v>0</v>
      </c>
      <c r="AV2205" s="1">
        <v>0</v>
      </c>
      <c r="AW2205" s="1">
        <v>0</v>
      </c>
      <c r="AX2205" s="1">
        <v>0</v>
      </c>
      <c r="AY2205" s="1">
        <v>0</v>
      </c>
      <c r="AZ2205" s="1">
        <v>0</v>
      </c>
      <c r="BA2205" s="1">
        <v>0</v>
      </c>
      <c r="BB2205" s="1">
        <v>0</v>
      </c>
      <c r="BC2205" s="1">
        <v>0</v>
      </c>
      <c r="BD2205" s="1">
        <v>0</v>
      </c>
      <c r="BE2205" s="1">
        <v>0</v>
      </c>
      <c r="BF2205" s="1">
        <v>0</v>
      </c>
      <c r="BG2205" s="1">
        <v>0</v>
      </c>
      <c r="BH2205" s="1">
        <v>0</v>
      </c>
      <c r="BI2205" s="1">
        <v>0</v>
      </c>
      <c r="BJ2205" s="1">
        <v>0</v>
      </c>
      <c r="BK2205" s="1">
        <v>0</v>
      </c>
      <c r="BL2205" s="1">
        <v>0</v>
      </c>
      <c r="BM2205" s="1">
        <v>1</v>
      </c>
      <c r="BN2205" s="1">
        <v>0</v>
      </c>
      <c r="BO2205" s="1">
        <v>0</v>
      </c>
      <c r="BP2205" s="1">
        <v>0</v>
      </c>
      <c r="BQ2205" s="1">
        <v>0</v>
      </c>
      <c r="BR2205" s="1">
        <v>0</v>
      </c>
      <c r="BS2205" s="1" t="s">
        <v>109</v>
      </c>
      <c r="BT2205" s="1">
        <v>2292</v>
      </c>
      <c r="BU2205" s="1" t="s">
        <v>109</v>
      </c>
      <c r="BV2205" s="1"/>
      <c r="BW2205" s="1"/>
      <c r="BX2205" s="1"/>
      <c r="BY2205" s="1"/>
      <c r="BZ2205" s="1">
        <v>0</v>
      </c>
      <c r="CA2205" s="1" t="s">
        <v>109</v>
      </c>
      <c r="CB2205" s="1" t="s">
        <v>109</v>
      </c>
      <c r="CC2205" s="1">
        <v>9</v>
      </c>
      <c r="CD2205" s="1" t="s">
        <v>109</v>
      </c>
      <c r="CE2205" s="1" t="s">
        <v>109</v>
      </c>
      <c r="CF2205" s="1" t="s">
        <v>109</v>
      </c>
      <c r="CG2205" s="1" t="s">
        <v>109</v>
      </c>
      <c r="CH2205" s="1" t="s">
        <v>109</v>
      </c>
      <c r="CI2205" s="1" t="s">
        <v>109</v>
      </c>
      <c r="CJ2205" s="1" t="s">
        <v>109</v>
      </c>
      <c r="CK2205" s="1"/>
      <c r="CL2205" s="1">
        <v>0</v>
      </c>
      <c r="CM2205" s="1">
        <v>0</v>
      </c>
      <c r="CN2205" s="1">
        <v>0</v>
      </c>
    </row>
    <row r="2206" spans="1:92" ht="14.25" customHeight="1" x14ac:dyDescent="0.15">
      <c r="A2206" s="1" t="s">
        <v>15933</v>
      </c>
      <c r="B2206" s="1" t="s">
        <v>189</v>
      </c>
      <c r="C2206" s="1"/>
      <c r="D2206" s="1" t="s">
        <v>61</v>
      </c>
      <c r="E2206" s="1" t="s">
        <v>15934</v>
      </c>
      <c r="F2206" s="1" t="s">
        <v>98</v>
      </c>
      <c r="G2206" s="1" t="s">
        <v>141</v>
      </c>
      <c r="H2206" s="1">
        <v>0</v>
      </c>
      <c r="I2206" s="1" t="s">
        <v>122</v>
      </c>
      <c r="J2206" s="1"/>
      <c r="K2206" s="1"/>
      <c r="L2206" s="1" t="s">
        <v>15935</v>
      </c>
      <c r="M2206" s="1" t="s">
        <v>3042</v>
      </c>
      <c r="N2206" s="1">
        <v>0</v>
      </c>
      <c r="O2206" s="1">
        <v>0</v>
      </c>
      <c r="P2206" s="1" t="s">
        <v>507</v>
      </c>
      <c r="Q2206" s="1" t="s">
        <v>167</v>
      </c>
      <c r="R2206" s="1" t="s">
        <v>15936</v>
      </c>
      <c r="S2206" s="1" t="s">
        <v>15937</v>
      </c>
      <c r="T2206" s="1" t="s">
        <v>15865</v>
      </c>
      <c r="U2206" s="1" t="s">
        <v>15938</v>
      </c>
      <c r="V2206" s="1">
        <v>1</v>
      </c>
      <c r="W2206" s="1">
        <v>1</v>
      </c>
      <c r="X2206" s="1">
        <v>0</v>
      </c>
      <c r="Y2206" s="1">
        <v>0</v>
      </c>
      <c r="Z2206" s="1">
        <v>0</v>
      </c>
      <c r="AA2206" s="1">
        <v>5</v>
      </c>
      <c r="AB2206" s="1">
        <v>5</v>
      </c>
      <c r="AC2206" s="1" t="s">
        <v>109</v>
      </c>
      <c r="AD2206" s="1">
        <v>5</v>
      </c>
      <c r="AE2206" s="1" t="s">
        <v>109</v>
      </c>
      <c r="AF2206" s="1" t="s">
        <v>109</v>
      </c>
      <c r="AG2206" s="1" t="s">
        <v>109</v>
      </c>
      <c r="AH2206" s="1" t="s">
        <v>109</v>
      </c>
      <c r="AI2206" s="1" t="s">
        <v>109</v>
      </c>
      <c r="AJ2206" s="1" t="s">
        <v>109</v>
      </c>
      <c r="AK2206" s="1" t="s">
        <v>109</v>
      </c>
      <c r="AL2206" s="1" t="s">
        <v>109</v>
      </c>
      <c r="AM2206" s="1" t="s">
        <v>109</v>
      </c>
      <c r="AN2206" s="1" t="s">
        <v>109</v>
      </c>
      <c r="AO2206" s="1" t="s">
        <v>109</v>
      </c>
      <c r="AP2206" s="1"/>
      <c r="AQ2206" s="1">
        <v>5</v>
      </c>
      <c r="AR2206" s="1"/>
      <c r="AS2206" s="1"/>
      <c r="AT2206" s="1">
        <v>0</v>
      </c>
      <c r="AU2206" s="1">
        <v>0</v>
      </c>
      <c r="AV2206" s="1">
        <v>0</v>
      </c>
      <c r="AW2206" s="1">
        <v>0</v>
      </c>
      <c r="AX2206" s="1">
        <v>0</v>
      </c>
      <c r="AY2206" s="1">
        <v>0</v>
      </c>
      <c r="AZ2206" s="1">
        <v>0</v>
      </c>
      <c r="BA2206" s="1">
        <v>0</v>
      </c>
      <c r="BB2206" s="1">
        <v>0</v>
      </c>
      <c r="BC2206" s="1">
        <v>0</v>
      </c>
      <c r="BD2206" s="1">
        <v>0</v>
      </c>
      <c r="BE2206" s="1">
        <v>0</v>
      </c>
      <c r="BF2206" s="1">
        <v>0</v>
      </c>
      <c r="BG2206" s="1">
        <v>0</v>
      </c>
      <c r="BH2206" s="1">
        <v>0</v>
      </c>
      <c r="BI2206" s="1">
        <v>1</v>
      </c>
      <c r="BJ2206" s="1">
        <v>0</v>
      </c>
      <c r="BK2206" s="1">
        <v>0</v>
      </c>
      <c r="BL2206" s="1">
        <v>0</v>
      </c>
      <c r="BM2206" s="1">
        <v>0</v>
      </c>
      <c r="BN2206" s="1">
        <v>0</v>
      </c>
      <c r="BO2206" s="1">
        <v>0</v>
      </c>
      <c r="BP2206" s="1">
        <v>0</v>
      </c>
      <c r="BQ2206" s="1">
        <v>0</v>
      </c>
      <c r="BR2206" s="1">
        <v>0</v>
      </c>
      <c r="BS2206" s="1" t="s">
        <v>109</v>
      </c>
      <c r="BT2206" s="1">
        <v>2293</v>
      </c>
      <c r="BU2206" s="1" t="s">
        <v>109</v>
      </c>
      <c r="BV2206" s="1"/>
      <c r="BW2206" s="1"/>
      <c r="BX2206" s="1"/>
      <c r="BY2206" s="1"/>
      <c r="BZ2206" s="1">
        <v>0</v>
      </c>
      <c r="CA2206" s="1" t="s">
        <v>109</v>
      </c>
      <c r="CB2206" s="1">
        <v>5</v>
      </c>
      <c r="CC2206" s="1" t="s">
        <v>109</v>
      </c>
      <c r="CD2206" s="1" t="s">
        <v>109</v>
      </c>
      <c r="CE2206" s="1" t="s">
        <v>109</v>
      </c>
      <c r="CF2206" s="1" t="s">
        <v>109</v>
      </c>
      <c r="CG2206" s="1" t="s">
        <v>109</v>
      </c>
      <c r="CH2206" s="1" t="s">
        <v>109</v>
      </c>
      <c r="CI2206" s="1" t="s">
        <v>109</v>
      </c>
      <c r="CJ2206" s="1">
        <v>5</v>
      </c>
      <c r="CK2206" s="1"/>
      <c r="CL2206" s="1">
        <v>0</v>
      </c>
      <c r="CM2206" s="1">
        <v>0</v>
      </c>
      <c r="CN2206" s="1">
        <v>0</v>
      </c>
    </row>
    <row r="2207" spans="1:92" ht="14.25" customHeight="1" x14ac:dyDescent="0.15">
      <c r="A2207" s="1" t="s">
        <v>15939</v>
      </c>
      <c r="B2207" s="1" t="s">
        <v>584</v>
      </c>
      <c r="C2207" s="1"/>
      <c r="D2207" s="1"/>
      <c r="E2207" s="1" t="s">
        <v>15940</v>
      </c>
      <c r="F2207" s="1" t="s">
        <v>98</v>
      </c>
      <c r="G2207" s="1" t="s">
        <v>141</v>
      </c>
      <c r="H2207" s="1">
        <v>0</v>
      </c>
      <c r="I2207" s="1" t="s">
        <v>100</v>
      </c>
      <c r="J2207" s="1"/>
      <c r="K2207" s="1"/>
      <c r="L2207" s="1" t="s">
        <v>211</v>
      </c>
      <c r="M2207" s="1" t="s">
        <v>144</v>
      </c>
      <c r="N2207" s="1">
        <v>0</v>
      </c>
      <c r="O2207" s="1">
        <v>0</v>
      </c>
      <c r="P2207" s="1" t="s">
        <v>15941</v>
      </c>
      <c r="Q2207" s="1" t="s">
        <v>4298</v>
      </c>
      <c r="R2207" s="1" t="s">
        <v>15942</v>
      </c>
      <c r="S2207" s="1" t="s">
        <v>15943</v>
      </c>
      <c r="T2207" s="1" t="s">
        <v>15865</v>
      </c>
      <c r="U2207" s="1" t="s">
        <v>15944</v>
      </c>
      <c r="V2207" s="1">
        <v>1</v>
      </c>
      <c r="W2207" s="1">
        <v>1</v>
      </c>
      <c r="X2207" s="1">
        <v>0</v>
      </c>
      <c r="Y2207" s="1">
        <v>0</v>
      </c>
      <c r="Z2207" s="1">
        <v>0</v>
      </c>
      <c r="AA2207" s="1">
        <v>4</v>
      </c>
      <c r="AB2207" s="1">
        <v>4</v>
      </c>
      <c r="AC2207" s="1" t="s">
        <v>109</v>
      </c>
      <c r="AD2207" s="1" t="s">
        <v>109</v>
      </c>
      <c r="AE2207" s="1" t="s">
        <v>109</v>
      </c>
      <c r="AF2207" s="1" t="s">
        <v>109</v>
      </c>
      <c r="AG2207" s="1" t="s">
        <v>109</v>
      </c>
      <c r="AH2207" s="1" t="s">
        <v>109</v>
      </c>
      <c r="AI2207" s="1" t="s">
        <v>109</v>
      </c>
      <c r="AJ2207" s="1" t="s">
        <v>109</v>
      </c>
      <c r="AK2207" s="1" t="s">
        <v>109</v>
      </c>
      <c r="AL2207" s="1" t="s">
        <v>109</v>
      </c>
      <c r="AM2207" s="1" t="s">
        <v>109</v>
      </c>
      <c r="AN2207" s="1">
        <v>4</v>
      </c>
      <c r="AO2207" s="1" t="s">
        <v>109</v>
      </c>
      <c r="AP2207" s="1"/>
      <c r="AQ2207" s="1">
        <v>4</v>
      </c>
      <c r="AR2207" s="1"/>
      <c r="AS2207" s="1"/>
      <c r="AT2207" s="1">
        <v>0</v>
      </c>
      <c r="AU2207" s="1">
        <v>0</v>
      </c>
      <c r="AV2207" s="1">
        <v>0</v>
      </c>
      <c r="AW2207" s="1">
        <v>0</v>
      </c>
      <c r="AX2207" s="1">
        <v>0</v>
      </c>
      <c r="AY2207" s="1">
        <v>0</v>
      </c>
      <c r="AZ2207" s="1">
        <v>0</v>
      </c>
      <c r="BA2207" s="1">
        <v>0</v>
      </c>
      <c r="BB2207" s="1">
        <v>0</v>
      </c>
      <c r="BC2207" s="1">
        <v>0</v>
      </c>
      <c r="BD2207" s="1">
        <v>0</v>
      </c>
      <c r="BE2207" s="1">
        <v>0</v>
      </c>
      <c r="BF2207" s="1">
        <v>0</v>
      </c>
      <c r="BG2207" s="1">
        <v>0</v>
      </c>
      <c r="BH2207" s="1">
        <v>0</v>
      </c>
      <c r="BI2207" s="1">
        <v>0</v>
      </c>
      <c r="BJ2207" s="1">
        <v>0</v>
      </c>
      <c r="BK2207" s="1">
        <v>0</v>
      </c>
      <c r="BL2207" s="1">
        <v>0</v>
      </c>
      <c r="BM2207" s="1">
        <v>0</v>
      </c>
      <c r="BN2207" s="1">
        <v>0</v>
      </c>
      <c r="BO2207" s="1">
        <v>0</v>
      </c>
      <c r="BP2207" s="1">
        <v>0</v>
      </c>
      <c r="BQ2207" s="1">
        <v>0</v>
      </c>
      <c r="BR2207" s="1">
        <v>0</v>
      </c>
      <c r="BS2207" s="1" t="s">
        <v>109</v>
      </c>
      <c r="BT2207" s="1">
        <v>2294</v>
      </c>
      <c r="BU2207" s="1" t="s">
        <v>109</v>
      </c>
      <c r="BV2207" s="1"/>
      <c r="BW2207" s="1"/>
      <c r="BX2207" s="1"/>
      <c r="BY2207" s="1"/>
      <c r="BZ2207" s="1">
        <v>0</v>
      </c>
      <c r="CA2207" s="1" t="s">
        <v>109</v>
      </c>
      <c r="CB2207" s="1" t="s">
        <v>109</v>
      </c>
      <c r="CC2207" s="1">
        <v>3</v>
      </c>
      <c r="CD2207" s="1" t="s">
        <v>109</v>
      </c>
      <c r="CE2207" s="1" t="s">
        <v>109</v>
      </c>
      <c r="CF2207" s="1">
        <v>4</v>
      </c>
      <c r="CG2207" s="1">
        <v>4</v>
      </c>
      <c r="CH2207" s="1" t="s">
        <v>109</v>
      </c>
      <c r="CI2207" s="1" t="s">
        <v>109</v>
      </c>
      <c r="CJ2207" s="1" t="s">
        <v>109</v>
      </c>
      <c r="CK2207" s="1"/>
      <c r="CL2207" s="1">
        <v>0</v>
      </c>
      <c r="CM2207" s="1">
        <v>0</v>
      </c>
      <c r="CN2207" s="1">
        <v>0</v>
      </c>
    </row>
    <row r="2208" spans="1:92" ht="14.25" customHeight="1" x14ac:dyDescent="0.15">
      <c r="A2208" s="1" t="s">
        <v>15945</v>
      </c>
      <c r="B2208" s="1" t="s">
        <v>156</v>
      </c>
      <c r="C2208" s="1" t="s">
        <v>157</v>
      </c>
      <c r="D2208" s="1" t="s">
        <v>473</v>
      </c>
      <c r="E2208" s="1" t="s">
        <v>15946</v>
      </c>
      <c r="F2208" s="1" t="s">
        <v>98</v>
      </c>
      <c r="G2208" s="1" t="s">
        <v>141</v>
      </c>
      <c r="H2208" s="1">
        <v>0</v>
      </c>
      <c r="I2208" s="1" t="s">
        <v>9671</v>
      </c>
      <c r="J2208" s="1" t="s">
        <v>726</v>
      </c>
      <c r="K2208" s="1"/>
      <c r="L2208" s="1"/>
      <c r="M2208" s="1" t="s">
        <v>144</v>
      </c>
      <c r="N2208" s="1">
        <v>0</v>
      </c>
      <c r="O2208" s="1">
        <v>0</v>
      </c>
      <c r="P2208" s="1" t="s">
        <v>103</v>
      </c>
      <c r="Q2208" s="1" t="s">
        <v>104</v>
      </c>
      <c r="R2208" s="1" t="s">
        <v>15947</v>
      </c>
      <c r="S2208" s="1" t="s">
        <v>15948</v>
      </c>
      <c r="T2208" s="1" t="s">
        <v>15865</v>
      </c>
      <c r="U2208" s="1" t="s">
        <v>15949</v>
      </c>
      <c r="V2208" s="1">
        <v>1</v>
      </c>
      <c r="W2208" s="1">
        <v>1</v>
      </c>
      <c r="X2208" s="1">
        <v>0</v>
      </c>
      <c r="Y2208" s="1">
        <v>0</v>
      </c>
      <c r="Z2208" s="1">
        <v>0</v>
      </c>
      <c r="AA2208" s="1" t="s">
        <v>109</v>
      </c>
      <c r="AB2208" s="1" t="s">
        <v>109</v>
      </c>
      <c r="AC2208" s="1" t="s">
        <v>109</v>
      </c>
      <c r="AD2208" s="1" t="s">
        <v>109</v>
      </c>
      <c r="AE2208" s="1" t="s">
        <v>109</v>
      </c>
      <c r="AF2208" s="1">
        <v>2</v>
      </c>
      <c r="AG2208" s="1" t="s">
        <v>109</v>
      </c>
      <c r="AH2208" s="1" t="s">
        <v>109</v>
      </c>
      <c r="AI2208" s="1" t="s">
        <v>109</v>
      </c>
      <c r="AJ2208" s="1" t="s">
        <v>109</v>
      </c>
      <c r="AK2208" s="1">
        <v>3</v>
      </c>
      <c r="AL2208" s="1" t="s">
        <v>109</v>
      </c>
      <c r="AM2208" s="1">
        <v>2</v>
      </c>
      <c r="AN2208" s="1" t="s">
        <v>109</v>
      </c>
      <c r="AO2208" s="1" t="s">
        <v>109</v>
      </c>
      <c r="AP2208" s="1"/>
      <c r="AQ2208" s="1">
        <v>2</v>
      </c>
      <c r="AR2208" s="1"/>
      <c r="AS2208" s="1"/>
      <c r="AT2208" s="1">
        <v>0</v>
      </c>
      <c r="AU2208" s="1">
        <v>0</v>
      </c>
      <c r="AV2208" s="1">
        <v>0</v>
      </c>
      <c r="AW2208" s="1">
        <v>0</v>
      </c>
      <c r="AX2208" s="1">
        <v>0</v>
      </c>
      <c r="AY2208" s="1">
        <v>0</v>
      </c>
      <c r="AZ2208" s="1">
        <v>0</v>
      </c>
      <c r="BA2208" s="1">
        <v>0</v>
      </c>
      <c r="BB2208" s="1">
        <v>0</v>
      </c>
      <c r="BC2208" s="1">
        <v>0</v>
      </c>
      <c r="BD2208" s="1">
        <v>0</v>
      </c>
      <c r="BE2208" s="1">
        <v>0</v>
      </c>
      <c r="BF2208" s="1">
        <v>1</v>
      </c>
      <c r="BG2208" s="1">
        <v>0</v>
      </c>
      <c r="BH2208" s="1">
        <v>0</v>
      </c>
      <c r="BI2208" s="1">
        <v>0</v>
      </c>
      <c r="BJ2208" s="1">
        <v>0</v>
      </c>
      <c r="BK2208" s="1">
        <v>0</v>
      </c>
      <c r="BL2208" s="1">
        <v>0</v>
      </c>
      <c r="BM2208" s="1">
        <v>1</v>
      </c>
      <c r="BN2208" s="1">
        <v>0</v>
      </c>
      <c r="BO2208" s="1">
        <v>0</v>
      </c>
      <c r="BP2208" s="1">
        <v>0</v>
      </c>
      <c r="BQ2208" s="1">
        <v>0</v>
      </c>
      <c r="BR2208" s="1">
        <v>0</v>
      </c>
      <c r="BS2208" s="1" t="s">
        <v>109</v>
      </c>
      <c r="BT2208" s="1">
        <v>2295</v>
      </c>
      <c r="BU2208" s="1" t="s">
        <v>109</v>
      </c>
      <c r="BV2208" s="1"/>
      <c r="BW2208" s="1"/>
      <c r="BX2208" s="1"/>
      <c r="BY2208" s="1"/>
      <c r="BZ2208" s="1">
        <v>0</v>
      </c>
      <c r="CA2208" s="1">
        <v>2</v>
      </c>
      <c r="CB2208" s="1" t="s">
        <v>109</v>
      </c>
      <c r="CC2208" s="1" t="s">
        <v>109</v>
      </c>
      <c r="CD2208" s="1" t="s">
        <v>109</v>
      </c>
      <c r="CE2208" s="1">
        <v>3</v>
      </c>
      <c r="CF2208" s="1" t="s">
        <v>109</v>
      </c>
      <c r="CG2208" s="1" t="s">
        <v>109</v>
      </c>
      <c r="CH2208" s="1" t="s">
        <v>109</v>
      </c>
      <c r="CI2208" s="1" t="s">
        <v>109</v>
      </c>
      <c r="CJ2208" s="1" t="s">
        <v>109</v>
      </c>
      <c r="CK2208" s="1"/>
      <c r="CL2208" s="1">
        <v>0</v>
      </c>
      <c r="CM2208" s="1">
        <v>0</v>
      </c>
      <c r="CN2208" s="1">
        <v>0</v>
      </c>
    </row>
    <row r="2209" spans="1:92" ht="14.25" customHeight="1" x14ac:dyDescent="0.15">
      <c r="A2209" s="1" t="s">
        <v>15950</v>
      </c>
      <c r="B2209" s="1" t="s">
        <v>95</v>
      </c>
      <c r="C2209" s="1" t="s">
        <v>1179</v>
      </c>
      <c r="D2209" s="1" t="s">
        <v>211</v>
      </c>
      <c r="E2209" s="1" t="s">
        <v>15951</v>
      </c>
      <c r="F2209" s="1" t="s">
        <v>355</v>
      </c>
      <c r="G2209" s="1" t="s">
        <v>15952</v>
      </c>
      <c r="H2209" s="1">
        <v>0</v>
      </c>
      <c r="I2209" s="1" t="s">
        <v>122</v>
      </c>
      <c r="J2209" s="1"/>
      <c r="K2209" s="1" t="s">
        <v>15953</v>
      </c>
      <c r="L2209" s="1"/>
      <c r="M2209" s="1" t="s">
        <v>125</v>
      </c>
      <c r="N2209" s="1">
        <v>0</v>
      </c>
      <c r="O2209" s="1">
        <v>0</v>
      </c>
      <c r="P2209" s="1" t="s">
        <v>103</v>
      </c>
      <c r="Q2209" s="1" t="s">
        <v>104</v>
      </c>
      <c r="R2209" s="1" t="s">
        <v>15954</v>
      </c>
      <c r="S2209" s="1" t="s">
        <v>15955</v>
      </c>
      <c r="T2209" s="1" t="s">
        <v>15865</v>
      </c>
      <c r="U2209" s="1" t="s">
        <v>15956</v>
      </c>
      <c r="V2209" s="1">
        <v>1</v>
      </c>
      <c r="W2209" s="1">
        <v>1</v>
      </c>
      <c r="X2209" s="1">
        <v>0</v>
      </c>
      <c r="Y2209" s="1">
        <v>0</v>
      </c>
      <c r="Z2209" s="1">
        <v>0</v>
      </c>
      <c r="AA2209" s="1">
        <v>1</v>
      </c>
      <c r="AB2209" s="1">
        <v>1</v>
      </c>
      <c r="AC2209" s="1">
        <v>1</v>
      </c>
      <c r="AD2209" s="1" t="s">
        <v>109</v>
      </c>
      <c r="AE2209" s="1" t="s">
        <v>109</v>
      </c>
      <c r="AF2209" s="1" t="s">
        <v>109</v>
      </c>
      <c r="AG2209" s="1">
        <v>1</v>
      </c>
      <c r="AH2209" s="1" t="s">
        <v>109</v>
      </c>
      <c r="AI2209" s="1">
        <v>1</v>
      </c>
      <c r="AJ2209" s="1">
        <v>1</v>
      </c>
      <c r="AK2209" s="1" t="s">
        <v>109</v>
      </c>
      <c r="AL2209" s="1">
        <v>1</v>
      </c>
      <c r="AM2209" s="1">
        <v>1</v>
      </c>
      <c r="AN2209" s="1" t="s">
        <v>109</v>
      </c>
      <c r="AO2209" s="1" t="s">
        <v>109</v>
      </c>
      <c r="AP2209" s="1"/>
      <c r="AQ2209" s="1">
        <v>1</v>
      </c>
      <c r="AR2209" s="1"/>
      <c r="AS2209" s="1"/>
      <c r="AT2209" s="1">
        <v>0</v>
      </c>
      <c r="AU2209" s="1">
        <v>0</v>
      </c>
      <c r="AV2209" s="1">
        <v>0</v>
      </c>
      <c r="AW2209" s="1">
        <v>0</v>
      </c>
      <c r="AX2209" s="1">
        <v>0</v>
      </c>
      <c r="AY2209" s="1">
        <v>0</v>
      </c>
      <c r="AZ2209" s="1">
        <v>0</v>
      </c>
      <c r="BA2209" s="1">
        <v>0</v>
      </c>
      <c r="BB2209" s="1">
        <v>0</v>
      </c>
      <c r="BC2209" s="1">
        <v>0</v>
      </c>
      <c r="BD2209" s="1">
        <v>0</v>
      </c>
      <c r="BE2209" s="1">
        <v>0</v>
      </c>
      <c r="BF2209" s="1">
        <v>0</v>
      </c>
      <c r="BG2209" s="1">
        <v>0</v>
      </c>
      <c r="BH2209" s="1">
        <v>0</v>
      </c>
      <c r="BI2209" s="1">
        <v>0</v>
      </c>
      <c r="BJ2209" s="1">
        <v>0</v>
      </c>
      <c r="BK2209" s="1">
        <v>0</v>
      </c>
      <c r="BL2209" s="1">
        <v>0</v>
      </c>
      <c r="BM2209" s="1">
        <v>0</v>
      </c>
      <c r="BN2209" s="1">
        <v>0</v>
      </c>
      <c r="BO2209" s="1">
        <v>0</v>
      </c>
      <c r="BP2209" s="1">
        <v>0</v>
      </c>
      <c r="BQ2209" s="1">
        <v>0</v>
      </c>
      <c r="BR2209" s="1">
        <v>0</v>
      </c>
      <c r="BS2209" s="1" t="s">
        <v>109</v>
      </c>
      <c r="BT2209" s="1">
        <v>2296</v>
      </c>
      <c r="BU2209" s="1" t="s">
        <v>109</v>
      </c>
      <c r="BV2209" s="1"/>
      <c r="BW2209" s="1"/>
      <c r="BX2209" s="1"/>
      <c r="BY2209" s="1"/>
      <c r="BZ2209" s="1">
        <v>0</v>
      </c>
      <c r="CA2209" s="1" t="s">
        <v>109</v>
      </c>
      <c r="CB2209" s="1" t="s">
        <v>109</v>
      </c>
      <c r="CC2209" s="1" t="s">
        <v>109</v>
      </c>
      <c r="CD2209" s="1" t="s">
        <v>109</v>
      </c>
      <c r="CE2209" s="1" t="s">
        <v>109</v>
      </c>
      <c r="CF2209" s="1" t="s">
        <v>109</v>
      </c>
      <c r="CG2209" s="1" t="s">
        <v>109</v>
      </c>
      <c r="CH2209" s="1" t="s">
        <v>109</v>
      </c>
      <c r="CI2209" s="1" t="s">
        <v>109</v>
      </c>
      <c r="CJ2209" s="1" t="s">
        <v>109</v>
      </c>
      <c r="CK2209" s="1"/>
      <c r="CL2209" s="1">
        <v>0</v>
      </c>
      <c r="CM2209" s="1">
        <v>0</v>
      </c>
      <c r="CN2209" s="1">
        <v>0</v>
      </c>
    </row>
    <row r="2210" spans="1:92" ht="14.25" customHeight="1" x14ac:dyDescent="0.15">
      <c r="A2210" s="1" t="s">
        <v>15957</v>
      </c>
      <c r="B2210" s="1" t="s">
        <v>156</v>
      </c>
      <c r="C2210" s="1" t="s">
        <v>157</v>
      </c>
      <c r="D2210" s="1" t="s">
        <v>158</v>
      </c>
      <c r="E2210" s="1" t="s">
        <v>15958</v>
      </c>
      <c r="F2210" s="1" t="s">
        <v>98</v>
      </c>
      <c r="G2210" s="1" t="s">
        <v>141</v>
      </c>
      <c r="H2210" s="1">
        <v>0</v>
      </c>
      <c r="I2210" s="1" t="s">
        <v>235</v>
      </c>
      <c r="J2210" s="1"/>
      <c r="K2210" s="1"/>
      <c r="L2210" s="1" t="s">
        <v>236</v>
      </c>
      <c r="M2210" s="1" t="s">
        <v>3042</v>
      </c>
      <c r="N2210" s="1">
        <v>0</v>
      </c>
      <c r="O2210" s="1">
        <v>0</v>
      </c>
      <c r="P2210" s="1"/>
      <c r="Q2210" s="1"/>
      <c r="R2210" s="1" t="s">
        <v>15959</v>
      </c>
      <c r="S2210" s="1" t="s">
        <v>15960</v>
      </c>
      <c r="T2210" s="1" t="s">
        <v>15865</v>
      </c>
      <c r="U2210" s="1" t="s">
        <v>15961</v>
      </c>
      <c r="V2210" s="1">
        <v>1</v>
      </c>
      <c r="W2210" s="1">
        <v>1</v>
      </c>
      <c r="X2210" s="1">
        <v>0</v>
      </c>
      <c r="Y2210" s="1">
        <v>0</v>
      </c>
      <c r="Z2210" s="1">
        <v>0</v>
      </c>
      <c r="AA2210" s="1" t="s">
        <v>109</v>
      </c>
      <c r="AB2210" s="1" t="s">
        <v>109</v>
      </c>
      <c r="AC2210" s="1" t="s">
        <v>109</v>
      </c>
      <c r="AD2210" s="1" t="s">
        <v>109</v>
      </c>
      <c r="AE2210" s="1" t="s">
        <v>109</v>
      </c>
      <c r="AF2210" s="1">
        <v>3</v>
      </c>
      <c r="AG2210" s="1" t="s">
        <v>109</v>
      </c>
      <c r="AH2210" s="1" t="s">
        <v>109</v>
      </c>
      <c r="AI2210" s="1" t="s">
        <v>109</v>
      </c>
      <c r="AJ2210" s="1" t="s">
        <v>109</v>
      </c>
      <c r="AK2210" s="1" t="s">
        <v>109</v>
      </c>
      <c r="AL2210" s="1" t="s">
        <v>109</v>
      </c>
      <c r="AM2210" s="1" t="s">
        <v>109</v>
      </c>
      <c r="AN2210" s="1" t="s">
        <v>109</v>
      </c>
      <c r="AO2210" s="1" t="s">
        <v>109</v>
      </c>
      <c r="AP2210" s="1"/>
      <c r="AQ2210" s="1">
        <v>3</v>
      </c>
      <c r="AR2210" s="1"/>
      <c r="AS2210" s="1"/>
      <c r="AT2210" s="1">
        <v>0</v>
      </c>
      <c r="AU2210" s="1">
        <v>0</v>
      </c>
      <c r="AV2210" s="1">
        <v>0</v>
      </c>
      <c r="AW2210" s="1">
        <v>0</v>
      </c>
      <c r="AX2210" s="1">
        <v>0</v>
      </c>
      <c r="AY2210" s="1">
        <v>0</v>
      </c>
      <c r="AZ2210" s="1">
        <v>0</v>
      </c>
      <c r="BA2210" s="1">
        <v>0</v>
      </c>
      <c r="BB2210" s="1">
        <v>0</v>
      </c>
      <c r="BC2210" s="1">
        <v>0</v>
      </c>
      <c r="BD2210" s="1">
        <v>0</v>
      </c>
      <c r="BE2210" s="1">
        <v>0</v>
      </c>
      <c r="BF2210" s="1">
        <v>0</v>
      </c>
      <c r="BG2210" s="1">
        <v>0</v>
      </c>
      <c r="BH2210" s="1">
        <v>0</v>
      </c>
      <c r="BI2210" s="1">
        <v>0</v>
      </c>
      <c r="BJ2210" s="1">
        <v>0</v>
      </c>
      <c r="BK2210" s="1">
        <v>0</v>
      </c>
      <c r="BL2210" s="1">
        <v>0</v>
      </c>
      <c r="BM2210" s="1">
        <v>1</v>
      </c>
      <c r="BN2210" s="1">
        <v>0</v>
      </c>
      <c r="BO2210" s="1">
        <v>0</v>
      </c>
      <c r="BP2210" s="1">
        <v>0</v>
      </c>
      <c r="BQ2210" s="1">
        <v>0</v>
      </c>
      <c r="BR2210" s="1">
        <v>0</v>
      </c>
      <c r="BS2210" s="1" t="s">
        <v>109</v>
      </c>
      <c r="BT2210" s="1">
        <v>2297</v>
      </c>
      <c r="BU2210" s="1" t="s">
        <v>109</v>
      </c>
      <c r="BV2210" s="1"/>
      <c r="BW2210" s="1"/>
      <c r="BX2210" s="1"/>
      <c r="BY2210" s="1"/>
      <c r="BZ2210" s="1">
        <v>0</v>
      </c>
      <c r="CA2210" s="1" t="s">
        <v>109</v>
      </c>
      <c r="CB2210" s="1" t="s">
        <v>109</v>
      </c>
      <c r="CC2210" s="1">
        <v>4</v>
      </c>
      <c r="CD2210" s="1" t="s">
        <v>109</v>
      </c>
      <c r="CE2210" s="1">
        <v>3</v>
      </c>
      <c r="CF2210" s="1" t="s">
        <v>109</v>
      </c>
      <c r="CG2210" s="1" t="s">
        <v>109</v>
      </c>
      <c r="CH2210" s="1" t="s">
        <v>109</v>
      </c>
      <c r="CI2210" s="1" t="s">
        <v>109</v>
      </c>
      <c r="CJ2210" s="1" t="s">
        <v>109</v>
      </c>
      <c r="CK2210" s="1"/>
      <c r="CL2210" s="1">
        <v>0</v>
      </c>
      <c r="CM2210" s="1">
        <v>0</v>
      </c>
      <c r="CN2210" s="1">
        <v>0</v>
      </c>
    </row>
    <row r="2211" spans="1:92" ht="14.25" customHeight="1" x14ac:dyDescent="0.15">
      <c r="A2211" s="1" t="s">
        <v>15962</v>
      </c>
      <c r="B2211" s="1" t="s">
        <v>254</v>
      </c>
      <c r="C2211" s="1"/>
      <c r="D2211" s="1"/>
      <c r="E2211" s="1" t="s">
        <v>15963</v>
      </c>
      <c r="F2211" s="1" t="s">
        <v>355</v>
      </c>
      <c r="G2211" s="1" t="s">
        <v>160</v>
      </c>
      <c r="H2211" s="1">
        <v>0</v>
      </c>
      <c r="I2211" s="1" t="s">
        <v>142</v>
      </c>
      <c r="J2211" s="1"/>
      <c r="K2211" s="1"/>
      <c r="L2211" s="1" t="s">
        <v>1391</v>
      </c>
      <c r="M2211" s="1" t="s">
        <v>144</v>
      </c>
      <c r="N2211" s="1">
        <v>0</v>
      </c>
      <c r="O2211" s="1">
        <v>0</v>
      </c>
      <c r="P2211" s="1" t="s">
        <v>301</v>
      </c>
      <c r="Q2211" s="1" t="s">
        <v>268</v>
      </c>
      <c r="R2211" s="1" t="s">
        <v>15964</v>
      </c>
      <c r="S2211" s="1" t="s">
        <v>15965</v>
      </c>
      <c r="T2211" s="1" t="s">
        <v>15865</v>
      </c>
      <c r="U2211" s="1" t="s">
        <v>15966</v>
      </c>
      <c r="V2211" s="1">
        <v>1</v>
      </c>
      <c r="W2211" s="1">
        <v>1</v>
      </c>
      <c r="X2211" s="1">
        <v>0</v>
      </c>
      <c r="Y2211" s="1">
        <v>0</v>
      </c>
      <c r="Z2211" s="1">
        <v>1</v>
      </c>
      <c r="AA2211" s="1">
        <v>4</v>
      </c>
      <c r="AB2211" s="1">
        <v>4</v>
      </c>
      <c r="AC2211" s="1">
        <v>4</v>
      </c>
      <c r="AD2211" s="1" t="s">
        <v>109</v>
      </c>
      <c r="AE2211" s="1" t="s">
        <v>109</v>
      </c>
      <c r="AF2211" s="1">
        <v>3</v>
      </c>
      <c r="AG2211" s="1" t="s">
        <v>109</v>
      </c>
      <c r="AH2211" s="1" t="s">
        <v>109</v>
      </c>
      <c r="AI2211" s="1" t="s">
        <v>109</v>
      </c>
      <c r="AJ2211" s="1" t="s">
        <v>109</v>
      </c>
      <c r="AK2211" s="1">
        <v>4</v>
      </c>
      <c r="AL2211" s="1">
        <v>4</v>
      </c>
      <c r="AM2211" s="1" t="s">
        <v>109</v>
      </c>
      <c r="AN2211" s="1" t="s">
        <v>109</v>
      </c>
      <c r="AO2211" s="1" t="s">
        <v>109</v>
      </c>
      <c r="AP2211" s="1"/>
      <c r="AQ2211" s="1">
        <v>4</v>
      </c>
      <c r="AR2211" s="1"/>
      <c r="AS2211" s="1"/>
      <c r="AT2211" s="1">
        <v>0</v>
      </c>
      <c r="AU2211" s="1">
        <v>0</v>
      </c>
      <c r="AV2211" s="1">
        <v>0</v>
      </c>
      <c r="AW2211" s="1">
        <v>0</v>
      </c>
      <c r="AX2211" s="1">
        <v>0</v>
      </c>
      <c r="AY2211" s="1">
        <v>0</v>
      </c>
      <c r="AZ2211" s="1">
        <v>0</v>
      </c>
      <c r="BA2211" s="1">
        <v>0</v>
      </c>
      <c r="BB2211" s="1">
        <v>0</v>
      </c>
      <c r="BC2211" s="1">
        <v>0</v>
      </c>
      <c r="BD2211" s="1">
        <v>0</v>
      </c>
      <c r="BE2211" s="1">
        <v>0</v>
      </c>
      <c r="BF2211" s="1">
        <v>0</v>
      </c>
      <c r="BG2211" s="1">
        <v>0</v>
      </c>
      <c r="BH2211" s="1">
        <v>0</v>
      </c>
      <c r="BI2211" s="1">
        <v>0</v>
      </c>
      <c r="BJ2211" s="1">
        <v>0</v>
      </c>
      <c r="BK2211" s="1">
        <v>0</v>
      </c>
      <c r="BL2211" s="1">
        <v>0</v>
      </c>
      <c r="BM2211" s="1">
        <v>0</v>
      </c>
      <c r="BN2211" s="1">
        <v>0</v>
      </c>
      <c r="BO2211" s="1">
        <v>0</v>
      </c>
      <c r="BP2211" s="1">
        <v>0</v>
      </c>
      <c r="BQ2211" s="1">
        <v>0</v>
      </c>
      <c r="BR2211" s="1">
        <v>0</v>
      </c>
      <c r="BS2211" s="1" t="s">
        <v>109</v>
      </c>
      <c r="BT2211" s="1">
        <v>2298</v>
      </c>
      <c r="BU2211" s="1" t="s">
        <v>109</v>
      </c>
      <c r="BV2211" s="1"/>
      <c r="BW2211" s="1"/>
      <c r="BX2211" s="1"/>
      <c r="BY2211" s="1"/>
      <c r="BZ2211" s="1">
        <v>0</v>
      </c>
      <c r="CA2211" s="1" t="s">
        <v>109</v>
      </c>
      <c r="CB2211" s="1" t="s">
        <v>109</v>
      </c>
      <c r="CC2211" s="1" t="s">
        <v>109</v>
      </c>
      <c r="CD2211" s="1">
        <v>2</v>
      </c>
      <c r="CE2211" s="1">
        <v>3</v>
      </c>
      <c r="CF2211" s="1">
        <v>3</v>
      </c>
      <c r="CG2211" s="1" t="s">
        <v>109</v>
      </c>
      <c r="CH2211" s="1" t="s">
        <v>109</v>
      </c>
      <c r="CI2211" s="1" t="s">
        <v>109</v>
      </c>
      <c r="CJ2211" s="1" t="s">
        <v>109</v>
      </c>
      <c r="CK2211" s="1"/>
      <c r="CL2211" s="1">
        <v>0</v>
      </c>
      <c r="CM2211" s="1">
        <v>0</v>
      </c>
      <c r="CN2211" s="1">
        <v>0</v>
      </c>
    </row>
    <row r="2212" spans="1:92" ht="14.25" customHeight="1" x14ac:dyDescent="0.15">
      <c r="A2212" s="1" t="s">
        <v>15967</v>
      </c>
      <c r="B2212" s="1" t="s">
        <v>674</v>
      </c>
      <c r="C2212" s="1" t="s">
        <v>675</v>
      </c>
      <c r="D2212" s="1"/>
      <c r="E2212" s="1" t="s">
        <v>15968</v>
      </c>
      <c r="F2212" s="1" t="s">
        <v>98</v>
      </c>
      <c r="G2212" s="1" t="s">
        <v>160</v>
      </c>
      <c r="H2212" s="1">
        <v>0</v>
      </c>
      <c r="I2212" s="1" t="s">
        <v>122</v>
      </c>
      <c r="J2212" s="1"/>
      <c r="K2212" s="1"/>
      <c r="L2212" s="1" t="s">
        <v>15969</v>
      </c>
      <c r="M2212" s="1" t="s">
        <v>6144</v>
      </c>
      <c r="N2212" s="1">
        <v>1</v>
      </c>
      <c r="O2212" s="1">
        <v>0</v>
      </c>
      <c r="P2212" s="1" t="s">
        <v>301</v>
      </c>
      <c r="Q2212" s="1" t="s">
        <v>268</v>
      </c>
      <c r="R2212" s="1" t="s">
        <v>15970</v>
      </c>
      <c r="S2212" s="1" t="s">
        <v>15971</v>
      </c>
      <c r="T2212" s="1" t="s">
        <v>15865</v>
      </c>
      <c r="U2212" s="1" t="s">
        <v>15972</v>
      </c>
      <c r="V2212" s="1">
        <v>1</v>
      </c>
      <c r="W2212" s="1">
        <v>1</v>
      </c>
      <c r="X2212" s="1">
        <v>0</v>
      </c>
      <c r="Y2212" s="1">
        <v>0</v>
      </c>
      <c r="Z2212" s="1">
        <v>1</v>
      </c>
      <c r="AA2212" s="1" t="s">
        <v>109</v>
      </c>
      <c r="AB2212" s="1" t="s">
        <v>109</v>
      </c>
      <c r="AC2212" s="1">
        <v>5</v>
      </c>
      <c r="AD2212" s="1" t="s">
        <v>109</v>
      </c>
      <c r="AE2212" s="1" t="s">
        <v>109</v>
      </c>
      <c r="AF2212" s="1">
        <v>3</v>
      </c>
      <c r="AG2212" s="1" t="s">
        <v>109</v>
      </c>
      <c r="AH2212" s="1" t="s">
        <v>109</v>
      </c>
      <c r="AI2212" s="1" t="s">
        <v>109</v>
      </c>
      <c r="AJ2212" s="1" t="s">
        <v>109</v>
      </c>
      <c r="AK2212" s="1">
        <v>3</v>
      </c>
      <c r="AL2212" s="1">
        <v>5</v>
      </c>
      <c r="AM2212" s="1" t="s">
        <v>109</v>
      </c>
      <c r="AN2212" s="1" t="s">
        <v>109</v>
      </c>
      <c r="AO2212" s="1" t="s">
        <v>109</v>
      </c>
      <c r="AP2212" s="1"/>
      <c r="AQ2212" s="1">
        <v>5</v>
      </c>
      <c r="AR2212" s="1"/>
      <c r="AS2212" s="1"/>
      <c r="AT2212" s="1">
        <v>0</v>
      </c>
      <c r="AU2212" s="1">
        <v>0</v>
      </c>
      <c r="AV2212" s="1">
        <v>0</v>
      </c>
      <c r="AW2212" s="1">
        <v>0</v>
      </c>
      <c r="AX2212" s="1">
        <v>0</v>
      </c>
      <c r="AY2212" s="1">
        <v>0</v>
      </c>
      <c r="AZ2212" s="1">
        <v>0</v>
      </c>
      <c r="BA2212" s="1">
        <v>0</v>
      </c>
      <c r="BB2212" s="1">
        <v>0</v>
      </c>
      <c r="BC2212" s="1">
        <v>0</v>
      </c>
      <c r="BD2212" s="1">
        <v>0</v>
      </c>
      <c r="BE2212" s="1">
        <v>0</v>
      </c>
      <c r="BF2212" s="1">
        <v>0</v>
      </c>
      <c r="BG2212" s="1">
        <v>0</v>
      </c>
      <c r="BH2212" s="1">
        <v>0</v>
      </c>
      <c r="BI2212" s="1">
        <v>0</v>
      </c>
      <c r="BJ2212" s="1">
        <v>0</v>
      </c>
      <c r="BK2212" s="1">
        <v>0</v>
      </c>
      <c r="BL2212" s="1">
        <v>0</v>
      </c>
      <c r="BM2212" s="1">
        <v>0</v>
      </c>
      <c r="BN2212" s="1">
        <v>0</v>
      </c>
      <c r="BO2212" s="1">
        <v>0</v>
      </c>
      <c r="BP2212" s="1">
        <v>0</v>
      </c>
      <c r="BQ2212" s="1">
        <v>0</v>
      </c>
      <c r="BR2212" s="1">
        <v>0</v>
      </c>
      <c r="BS2212" s="1" t="s">
        <v>109</v>
      </c>
      <c r="BT2212" s="1">
        <v>2299</v>
      </c>
      <c r="BU2212" s="1" t="s">
        <v>109</v>
      </c>
      <c r="BV2212" s="1"/>
      <c r="BW2212" s="1"/>
      <c r="BX2212" s="1"/>
      <c r="BY2212" s="1"/>
      <c r="BZ2212" s="1">
        <v>0</v>
      </c>
      <c r="CA2212" s="1" t="s">
        <v>109</v>
      </c>
      <c r="CB2212" s="1" t="s">
        <v>109</v>
      </c>
      <c r="CC2212" s="1" t="s">
        <v>109</v>
      </c>
      <c r="CD2212" s="1" t="s">
        <v>109</v>
      </c>
      <c r="CE2212" s="1" t="s">
        <v>109</v>
      </c>
      <c r="CF2212" s="1" t="s">
        <v>109</v>
      </c>
      <c r="CG2212" s="1" t="s">
        <v>109</v>
      </c>
      <c r="CH2212" s="1" t="s">
        <v>109</v>
      </c>
      <c r="CI2212" s="1" t="s">
        <v>109</v>
      </c>
      <c r="CJ2212" s="1" t="s">
        <v>109</v>
      </c>
      <c r="CK2212" s="1"/>
      <c r="CL2212" s="1">
        <v>0</v>
      </c>
      <c r="CM2212" s="1">
        <v>0</v>
      </c>
      <c r="CN2212" s="1">
        <v>0</v>
      </c>
    </row>
    <row r="2213" spans="1:92" ht="14.25" customHeight="1" x14ac:dyDescent="0.15">
      <c r="A2213" s="1" t="s">
        <v>15973</v>
      </c>
      <c r="B2213" s="1" t="s">
        <v>156</v>
      </c>
      <c r="C2213" s="1" t="s">
        <v>157</v>
      </c>
      <c r="D2213" s="1" t="s">
        <v>15974</v>
      </c>
      <c r="E2213" s="1" t="s">
        <v>15975</v>
      </c>
      <c r="F2213" s="1" t="s">
        <v>98</v>
      </c>
      <c r="G2213" s="1" t="s">
        <v>141</v>
      </c>
      <c r="H2213" s="1">
        <v>0</v>
      </c>
      <c r="I2213" s="1" t="s">
        <v>142</v>
      </c>
      <c r="J2213" s="1"/>
      <c r="K2213" s="1"/>
      <c r="L2213" s="1" t="s">
        <v>15976</v>
      </c>
      <c r="M2213" s="1" t="s">
        <v>125</v>
      </c>
      <c r="N2213" s="1">
        <v>0</v>
      </c>
      <c r="O2213" s="1">
        <v>0</v>
      </c>
      <c r="P2213" s="1" t="s">
        <v>7902</v>
      </c>
      <c r="Q2213" s="1" t="s">
        <v>268</v>
      </c>
      <c r="R2213" s="1" t="s">
        <v>15977</v>
      </c>
      <c r="S2213" s="1" t="s">
        <v>15978</v>
      </c>
      <c r="T2213" s="1" t="s">
        <v>15865</v>
      </c>
      <c r="U2213" s="1" t="s">
        <v>15979</v>
      </c>
      <c r="V2213" s="1">
        <v>1</v>
      </c>
      <c r="W2213" s="1">
        <v>1</v>
      </c>
      <c r="X2213" s="1">
        <v>0</v>
      </c>
      <c r="Y2213" s="1">
        <v>0</v>
      </c>
      <c r="Z2213" s="1">
        <v>0</v>
      </c>
      <c r="AA2213" s="1" t="s">
        <v>109</v>
      </c>
      <c r="AB2213" s="1" t="s">
        <v>109</v>
      </c>
      <c r="AC2213" s="1" t="s">
        <v>109</v>
      </c>
      <c r="AD2213" s="1" t="s">
        <v>109</v>
      </c>
      <c r="AE2213" s="1" t="s">
        <v>109</v>
      </c>
      <c r="AF2213" s="1">
        <v>4</v>
      </c>
      <c r="AG2213" s="1" t="s">
        <v>109</v>
      </c>
      <c r="AH2213" s="1" t="s">
        <v>109</v>
      </c>
      <c r="AI2213" s="1" t="s">
        <v>109</v>
      </c>
      <c r="AJ2213" s="1" t="s">
        <v>109</v>
      </c>
      <c r="AK2213" s="1" t="s">
        <v>109</v>
      </c>
      <c r="AL2213" s="1" t="s">
        <v>109</v>
      </c>
      <c r="AM2213" s="1">
        <v>4</v>
      </c>
      <c r="AN2213" s="1" t="s">
        <v>109</v>
      </c>
      <c r="AO2213" s="1" t="s">
        <v>109</v>
      </c>
      <c r="AP2213" s="1"/>
      <c r="AQ2213" s="1">
        <v>4</v>
      </c>
      <c r="AR2213" s="1"/>
      <c r="AS2213" s="1"/>
      <c r="AT2213" s="1">
        <v>0</v>
      </c>
      <c r="AU2213" s="1">
        <v>0</v>
      </c>
      <c r="AV2213" s="1">
        <v>0</v>
      </c>
      <c r="AW2213" s="1">
        <v>0</v>
      </c>
      <c r="AX2213" s="1">
        <v>0</v>
      </c>
      <c r="AY2213" s="1">
        <v>1</v>
      </c>
      <c r="AZ2213" s="1">
        <v>0</v>
      </c>
      <c r="BA2213" s="1">
        <v>0</v>
      </c>
      <c r="BB2213" s="1">
        <v>0</v>
      </c>
      <c r="BC2213" s="1">
        <v>0</v>
      </c>
      <c r="BD2213" s="1">
        <v>1</v>
      </c>
      <c r="BE2213" s="1">
        <v>1</v>
      </c>
      <c r="BF2213" s="1">
        <v>0</v>
      </c>
      <c r="BG2213" s="1">
        <v>0</v>
      </c>
      <c r="BH2213" s="1">
        <v>0</v>
      </c>
      <c r="BI2213" s="1">
        <v>0</v>
      </c>
      <c r="BJ2213" s="1">
        <v>0</v>
      </c>
      <c r="BK2213" s="1">
        <v>0</v>
      </c>
      <c r="BL2213" s="1">
        <v>0</v>
      </c>
      <c r="BM2213" s="1">
        <v>1</v>
      </c>
      <c r="BN2213" s="1">
        <v>0</v>
      </c>
      <c r="BO2213" s="1">
        <v>0</v>
      </c>
      <c r="BP2213" s="1">
        <v>0</v>
      </c>
      <c r="BQ2213" s="1">
        <v>0</v>
      </c>
      <c r="BR2213" s="1">
        <v>0</v>
      </c>
      <c r="BS2213" s="1" t="s">
        <v>109</v>
      </c>
      <c r="BT2213" s="1">
        <v>2300</v>
      </c>
      <c r="BU2213" s="1" t="s">
        <v>109</v>
      </c>
      <c r="BV2213" s="1"/>
      <c r="BW2213" s="1"/>
      <c r="BX2213" s="1"/>
      <c r="BY2213" s="1"/>
      <c r="BZ2213" s="1">
        <v>0</v>
      </c>
      <c r="CA2213" s="1" t="s">
        <v>109</v>
      </c>
      <c r="CB2213" s="1" t="s">
        <v>109</v>
      </c>
      <c r="CC2213" s="1">
        <v>6</v>
      </c>
      <c r="CD2213" s="1" t="s">
        <v>109</v>
      </c>
      <c r="CE2213" s="1">
        <v>4</v>
      </c>
      <c r="CF2213" s="1" t="s">
        <v>109</v>
      </c>
      <c r="CG2213" s="1">
        <v>4</v>
      </c>
      <c r="CH2213" s="1" t="s">
        <v>109</v>
      </c>
      <c r="CI2213" s="1" t="s">
        <v>109</v>
      </c>
      <c r="CJ2213" s="1" t="s">
        <v>109</v>
      </c>
      <c r="CK2213" s="1"/>
      <c r="CL2213" s="1">
        <v>0</v>
      </c>
      <c r="CM2213" s="1">
        <v>0</v>
      </c>
      <c r="CN2213" s="1">
        <v>0</v>
      </c>
    </row>
    <row r="2214" spans="1:92" ht="14.25" customHeight="1" x14ac:dyDescent="0.15">
      <c r="A2214" s="1" t="s">
        <v>15980</v>
      </c>
      <c r="B2214" s="1" t="s">
        <v>584</v>
      </c>
      <c r="C2214" s="1"/>
      <c r="D2214" s="1" t="s">
        <v>54</v>
      </c>
      <c r="E2214" s="1" t="s">
        <v>15981</v>
      </c>
      <c r="F2214" s="1" t="s">
        <v>355</v>
      </c>
      <c r="G2214" s="1" t="s">
        <v>141</v>
      </c>
      <c r="H2214" s="1">
        <v>0</v>
      </c>
      <c r="I2214" s="1" t="s">
        <v>100</v>
      </c>
      <c r="J2214" s="1" t="s">
        <v>15982</v>
      </c>
      <c r="K2214" s="1"/>
      <c r="L2214" s="1"/>
      <c r="M2214" s="1" t="s">
        <v>144</v>
      </c>
      <c r="N2214" s="1">
        <v>0</v>
      </c>
      <c r="O2214" s="1">
        <v>0</v>
      </c>
      <c r="P2214" s="1" t="s">
        <v>7818</v>
      </c>
      <c r="Q2214" s="1" t="s">
        <v>167</v>
      </c>
      <c r="R2214" s="1" t="s">
        <v>15983</v>
      </c>
      <c r="S2214" s="1" t="s">
        <v>15984</v>
      </c>
      <c r="T2214" s="1" t="s">
        <v>15865</v>
      </c>
      <c r="U2214" s="1" t="s">
        <v>15985</v>
      </c>
      <c r="V2214" s="1">
        <v>1</v>
      </c>
      <c r="W2214" s="1">
        <v>1</v>
      </c>
      <c r="X2214" s="1">
        <v>0</v>
      </c>
      <c r="Y2214" s="1">
        <v>0</v>
      </c>
      <c r="Z2214" s="1">
        <v>0</v>
      </c>
      <c r="AA2214" s="1" t="s">
        <v>109</v>
      </c>
      <c r="AB2214" s="1" t="s">
        <v>109</v>
      </c>
      <c r="AC2214" s="1" t="s">
        <v>109</v>
      </c>
      <c r="AD2214" s="1">
        <v>5</v>
      </c>
      <c r="AE2214" s="1">
        <v>4</v>
      </c>
      <c r="AF2214" s="1" t="s">
        <v>109</v>
      </c>
      <c r="AG2214" s="1" t="s">
        <v>109</v>
      </c>
      <c r="AH2214" s="1" t="s">
        <v>109</v>
      </c>
      <c r="AI2214" s="1" t="s">
        <v>109</v>
      </c>
      <c r="AJ2214" s="1" t="s">
        <v>109</v>
      </c>
      <c r="AK2214" s="1" t="s">
        <v>109</v>
      </c>
      <c r="AL2214" s="1" t="s">
        <v>109</v>
      </c>
      <c r="AM2214" s="1" t="s">
        <v>109</v>
      </c>
      <c r="AN2214" s="1" t="s">
        <v>109</v>
      </c>
      <c r="AO2214" s="1" t="s">
        <v>109</v>
      </c>
      <c r="AP2214" s="1"/>
      <c r="AQ2214" s="1">
        <v>5</v>
      </c>
      <c r="AR2214" s="1"/>
      <c r="AS2214" s="1"/>
      <c r="AT2214" s="1">
        <v>0</v>
      </c>
      <c r="AU2214" s="1">
        <v>0</v>
      </c>
      <c r="AV2214" s="1">
        <v>0</v>
      </c>
      <c r="AW2214" s="1">
        <v>0</v>
      </c>
      <c r="AX2214" s="1">
        <v>0</v>
      </c>
      <c r="AY2214" s="1">
        <v>0</v>
      </c>
      <c r="AZ2214" s="1">
        <v>0</v>
      </c>
      <c r="BA2214" s="1">
        <v>0</v>
      </c>
      <c r="BB2214" s="1">
        <v>1</v>
      </c>
      <c r="BC2214" s="1">
        <v>0</v>
      </c>
      <c r="BD2214" s="1">
        <v>0</v>
      </c>
      <c r="BE2214" s="1">
        <v>0</v>
      </c>
      <c r="BF2214" s="1">
        <v>0</v>
      </c>
      <c r="BG2214" s="1">
        <v>0</v>
      </c>
      <c r="BH2214" s="1">
        <v>0</v>
      </c>
      <c r="BI2214" s="1">
        <v>0</v>
      </c>
      <c r="BJ2214" s="1">
        <v>0</v>
      </c>
      <c r="BK2214" s="1">
        <v>0</v>
      </c>
      <c r="BL2214" s="1">
        <v>0</v>
      </c>
      <c r="BM2214" s="1">
        <v>0</v>
      </c>
      <c r="BN2214" s="1">
        <v>0</v>
      </c>
      <c r="BO2214" s="1">
        <v>0</v>
      </c>
      <c r="BP2214" s="1">
        <v>0</v>
      </c>
      <c r="BQ2214" s="1">
        <v>0</v>
      </c>
      <c r="BR2214" s="1">
        <v>0</v>
      </c>
      <c r="BS2214" s="1" t="s">
        <v>109</v>
      </c>
      <c r="BT2214" s="1">
        <v>2301</v>
      </c>
      <c r="BU2214" s="1" t="s">
        <v>109</v>
      </c>
      <c r="BV2214" s="1"/>
      <c r="BW2214" s="1"/>
      <c r="BX2214" s="1"/>
      <c r="BY2214" s="1"/>
      <c r="BZ2214" s="1">
        <v>0</v>
      </c>
      <c r="CA2214" s="1" t="s">
        <v>109</v>
      </c>
      <c r="CB2214" s="1">
        <v>5</v>
      </c>
      <c r="CC2214" s="1" t="s">
        <v>109</v>
      </c>
      <c r="CD2214" s="1" t="s">
        <v>109</v>
      </c>
      <c r="CE2214" s="1" t="s">
        <v>109</v>
      </c>
      <c r="CF2214" s="1" t="s">
        <v>109</v>
      </c>
      <c r="CG2214" s="1" t="s">
        <v>109</v>
      </c>
      <c r="CH2214" s="1" t="s">
        <v>109</v>
      </c>
      <c r="CI2214" s="1" t="s">
        <v>109</v>
      </c>
      <c r="CJ2214" s="1">
        <v>4</v>
      </c>
      <c r="CK2214" s="1"/>
      <c r="CL2214" s="1">
        <v>0</v>
      </c>
      <c r="CM2214" s="1">
        <v>0</v>
      </c>
      <c r="CN2214" s="1">
        <v>0</v>
      </c>
    </row>
    <row r="2215" spans="1:92" ht="14.25" customHeight="1" x14ac:dyDescent="0.15">
      <c r="A2215" s="1" t="s">
        <v>15986</v>
      </c>
      <c r="B2215" s="1" t="s">
        <v>95</v>
      </c>
      <c r="C2215" s="1" t="s">
        <v>1179</v>
      </c>
      <c r="D2215" s="1" t="s">
        <v>211</v>
      </c>
      <c r="E2215" s="1" t="s">
        <v>4045</v>
      </c>
      <c r="F2215" s="1" t="s">
        <v>98</v>
      </c>
      <c r="G2215" s="1" t="s">
        <v>15987</v>
      </c>
      <c r="H2215" s="1">
        <v>0</v>
      </c>
      <c r="I2215" s="1" t="s">
        <v>142</v>
      </c>
      <c r="J2215" s="1"/>
      <c r="K2215" s="1" t="s">
        <v>15988</v>
      </c>
      <c r="L2215" s="1"/>
      <c r="M2215" s="1" t="s">
        <v>574</v>
      </c>
      <c r="N2215" s="1">
        <v>1</v>
      </c>
      <c r="O2215" s="1">
        <v>0</v>
      </c>
      <c r="P2215" s="1" t="s">
        <v>103</v>
      </c>
      <c r="Q2215" s="1" t="s">
        <v>104</v>
      </c>
      <c r="R2215" s="1" t="s">
        <v>15989</v>
      </c>
      <c r="S2215" s="1" t="s">
        <v>15990</v>
      </c>
      <c r="T2215" s="1" t="s">
        <v>15865</v>
      </c>
      <c r="U2215" s="1" t="s">
        <v>15991</v>
      </c>
      <c r="V2215" s="1">
        <v>1</v>
      </c>
      <c r="W2215" s="1">
        <v>1</v>
      </c>
      <c r="X2215" s="1">
        <v>0</v>
      </c>
      <c r="Y2215" s="1">
        <v>0</v>
      </c>
      <c r="Z2215" s="1">
        <v>1</v>
      </c>
      <c r="AA2215" s="1" t="s">
        <v>109</v>
      </c>
      <c r="AB2215" s="1" t="s">
        <v>109</v>
      </c>
      <c r="AC2215" s="1" t="s">
        <v>109</v>
      </c>
      <c r="AD2215" s="1">
        <v>6</v>
      </c>
      <c r="AE2215" s="1" t="s">
        <v>109</v>
      </c>
      <c r="AF2215" s="1" t="s">
        <v>109</v>
      </c>
      <c r="AG2215" s="1" t="s">
        <v>109</v>
      </c>
      <c r="AH2215" s="1" t="s">
        <v>109</v>
      </c>
      <c r="AI2215" s="1" t="s">
        <v>109</v>
      </c>
      <c r="AJ2215" s="1" t="s">
        <v>109</v>
      </c>
      <c r="AK2215" s="1" t="s">
        <v>109</v>
      </c>
      <c r="AL2215" s="1" t="s">
        <v>109</v>
      </c>
      <c r="AM2215" s="1" t="s">
        <v>109</v>
      </c>
      <c r="AN2215" s="1" t="s">
        <v>109</v>
      </c>
      <c r="AO2215" s="1" t="s">
        <v>109</v>
      </c>
      <c r="AP2215" s="1"/>
      <c r="AQ2215" s="1">
        <v>6</v>
      </c>
      <c r="AR2215" s="1"/>
      <c r="AS2215" s="1"/>
      <c r="AT2215" s="1">
        <v>0</v>
      </c>
      <c r="AU2215" s="1">
        <v>0</v>
      </c>
      <c r="AV2215" s="1">
        <v>0</v>
      </c>
      <c r="AW2215" s="1">
        <v>0</v>
      </c>
      <c r="AX2215" s="1">
        <v>0</v>
      </c>
      <c r="AY2215" s="1">
        <v>0</v>
      </c>
      <c r="AZ2215" s="1">
        <v>0</v>
      </c>
      <c r="BA2215" s="1">
        <v>0</v>
      </c>
      <c r="BB2215" s="1">
        <v>0</v>
      </c>
      <c r="BC2215" s="1">
        <v>0</v>
      </c>
      <c r="BD2215" s="1">
        <v>0</v>
      </c>
      <c r="BE2215" s="1">
        <v>0</v>
      </c>
      <c r="BF2215" s="1">
        <v>0</v>
      </c>
      <c r="BG2215" s="1">
        <v>0</v>
      </c>
      <c r="BH2215" s="1">
        <v>0</v>
      </c>
      <c r="BI2215" s="1">
        <v>0</v>
      </c>
      <c r="BJ2215" s="1">
        <v>0</v>
      </c>
      <c r="BK2215" s="1">
        <v>0</v>
      </c>
      <c r="BL2215" s="1">
        <v>0</v>
      </c>
      <c r="BM2215" s="1">
        <v>0</v>
      </c>
      <c r="BN2215" s="1">
        <v>0</v>
      </c>
      <c r="BO2215" s="1">
        <v>0</v>
      </c>
      <c r="BP2215" s="1">
        <v>0</v>
      </c>
      <c r="BQ2215" s="1">
        <v>0</v>
      </c>
      <c r="BR2215" s="1">
        <v>0</v>
      </c>
      <c r="BS2215" s="1" t="s">
        <v>109</v>
      </c>
      <c r="BT2215" s="1">
        <v>2302</v>
      </c>
      <c r="BU2215" s="1" t="s">
        <v>109</v>
      </c>
      <c r="BV2215" s="1"/>
      <c r="BW2215" s="1"/>
      <c r="BX2215" s="1"/>
      <c r="BY2215" s="1"/>
      <c r="BZ2215" s="1">
        <v>0</v>
      </c>
      <c r="CA2215" s="1" t="s">
        <v>109</v>
      </c>
      <c r="CB2215" s="1" t="s">
        <v>109</v>
      </c>
      <c r="CC2215" s="1" t="s">
        <v>109</v>
      </c>
      <c r="CD2215" s="1" t="s">
        <v>109</v>
      </c>
      <c r="CE2215" s="1" t="s">
        <v>109</v>
      </c>
      <c r="CF2215" s="1" t="s">
        <v>109</v>
      </c>
      <c r="CG2215" s="1" t="s">
        <v>109</v>
      </c>
      <c r="CH2215" s="1" t="s">
        <v>109</v>
      </c>
      <c r="CI2215" s="1" t="s">
        <v>109</v>
      </c>
      <c r="CJ2215" s="1">
        <v>6</v>
      </c>
      <c r="CK2215" s="1"/>
      <c r="CL2215" s="1">
        <v>0</v>
      </c>
      <c r="CM2215" s="1">
        <v>0</v>
      </c>
      <c r="CN2215" s="1">
        <v>0</v>
      </c>
    </row>
    <row r="2216" spans="1:92" ht="14.25" customHeight="1" x14ac:dyDescent="0.15">
      <c r="A2216" s="1" t="s">
        <v>15992</v>
      </c>
      <c r="B2216" s="1" t="s">
        <v>95</v>
      </c>
      <c r="C2216" s="1" t="s">
        <v>1179</v>
      </c>
      <c r="D2216" s="1" t="s">
        <v>211</v>
      </c>
      <c r="E2216" s="1" t="s">
        <v>812</v>
      </c>
      <c r="F2216" s="1" t="s">
        <v>98</v>
      </c>
      <c r="G2216" s="1" t="s">
        <v>15987</v>
      </c>
      <c r="H2216" s="1">
        <v>0</v>
      </c>
      <c r="I2216" s="1" t="s">
        <v>142</v>
      </c>
      <c r="J2216" s="1"/>
      <c r="K2216" s="1" t="s">
        <v>15988</v>
      </c>
      <c r="L2216" s="1"/>
      <c r="M2216" s="1" t="s">
        <v>574</v>
      </c>
      <c r="N2216" s="1">
        <v>1</v>
      </c>
      <c r="O2216" s="1">
        <v>0</v>
      </c>
      <c r="P2216" s="1" t="s">
        <v>103</v>
      </c>
      <c r="Q2216" s="1" t="s">
        <v>104</v>
      </c>
      <c r="R2216" s="1" t="s">
        <v>15993</v>
      </c>
      <c r="S2216" s="1" t="s">
        <v>15994</v>
      </c>
      <c r="T2216" s="1" t="s">
        <v>15865</v>
      </c>
      <c r="U2216" s="1" t="s">
        <v>15995</v>
      </c>
      <c r="V2216" s="1">
        <v>1</v>
      </c>
      <c r="W2216" s="1">
        <v>1</v>
      </c>
      <c r="X2216" s="1">
        <v>0</v>
      </c>
      <c r="Y2216" s="1">
        <v>0</v>
      </c>
      <c r="Z2216" s="1">
        <v>1</v>
      </c>
      <c r="AA2216" s="1" t="s">
        <v>109</v>
      </c>
      <c r="AB2216" s="1" t="s">
        <v>109</v>
      </c>
      <c r="AC2216" s="1" t="s">
        <v>109</v>
      </c>
      <c r="AD2216" s="1">
        <v>7</v>
      </c>
      <c r="AE2216" s="1" t="s">
        <v>109</v>
      </c>
      <c r="AF2216" s="1" t="s">
        <v>109</v>
      </c>
      <c r="AG2216" s="1" t="s">
        <v>109</v>
      </c>
      <c r="AH2216" s="1" t="s">
        <v>109</v>
      </c>
      <c r="AI2216" s="1" t="s">
        <v>109</v>
      </c>
      <c r="AJ2216" s="1" t="s">
        <v>109</v>
      </c>
      <c r="AK2216" s="1" t="s">
        <v>109</v>
      </c>
      <c r="AL2216" s="1" t="s">
        <v>109</v>
      </c>
      <c r="AM2216" s="1" t="s">
        <v>109</v>
      </c>
      <c r="AN2216" s="1" t="s">
        <v>109</v>
      </c>
      <c r="AO2216" s="1" t="s">
        <v>109</v>
      </c>
      <c r="AP2216" s="1"/>
      <c r="AQ2216" s="1">
        <v>7</v>
      </c>
      <c r="AR2216" s="1"/>
      <c r="AS2216" s="1"/>
      <c r="AT2216" s="1">
        <v>0</v>
      </c>
      <c r="AU2216" s="1">
        <v>0</v>
      </c>
      <c r="AV2216" s="1">
        <v>0</v>
      </c>
      <c r="AW2216" s="1">
        <v>0</v>
      </c>
      <c r="AX2216" s="1">
        <v>0</v>
      </c>
      <c r="AY2216" s="1">
        <v>0</v>
      </c>
      <c r="AZ2216" s="1">
        <v>0</v>
      </c>
      <c r="BA2216" s="1">
        <v>0</v>
      </c>
      <c r="BB2216" s="1">
        <v>0</v>
      </c>
      <c r="BC2216" s="1">
        <v>0</v>
      </c>
      <c r="BD2216" s="1">
        <v>0</v>
      </c>
      <c r="BE2216" s="1">
        <v>0</v>
      </c>
      <c r="BF2216" s="1">
        <v>0</v>
      </c>
      <c r="BG2216" s="1">
        <v>0</v>
      </c>
      <c r="BH2216" s="1">
        <v>0</v>
      </c>
      <c r="BI2216" s="1">
        <v>0</v>
      </c>
      <c r="BJ2216" s="1">
        <v>0</v>
      </c>
      <c r="BK2216" s="1">
        <v>0</v>
      </c>
      <c r="BL2216" s="1">
        <v>0</v>
      </c>
      <c r="BM2216" s="1">
        <v>0</v>
      </c>
      <c r="BN2216" s="1">
        <v>0</v>
      </c>
      <c r="BO2216" s="1">
        <v>0</v>
      </c>
      <c r="BP2216" s="1">
        <v>0</v>
      </c>
      <c r="BQ2216" s="1">
        <v>0</v>
      </c>
      <c r="BR2216" s="1">
        <v>0</v>
      </c>
      <c r="BS2216" s="1" t="s">
        <v>109</v>
      </c>
      <c r="BT2216" s="1">
        <v>2303</v>
      </c>
      <c r="BU2216" s="1" t="s">
        <v>109</v>
      </c>
      <c r="BV2216" s="1"/>
      <c r="BW2216" s="1"/>
      <c r="BX2216" s="1"/>
      <c r="BY2216" s="1"/>
      <c r="BZ2216" s="1">
        <v>0</v>
      </c>
      <c r="CA2216" s="1" t="s">
        <v>109</v>
      </c>
      <c r="CB2216" s="1" t="s">
        <v>109</v>
      </c>
      <c r="CC2216" s="1" t="s">
        <v>109</v>
      </c>
      <c r="CD2216" s="1" t="s">
        <v>109</v>
      </c>
      <c r="CE2216" s="1" t="s">
        <v>109</v>
      </c>
      <c r="CF2216" s="1" t="s">
        <v>109</v>
      </c>
      <c r="CG2216" s="1" t="s">
        <v>109</v>
      </c>
      <c r="CH2216" s="1" t="s">
        <v>109</v>
      </c>
      <c r="CI2216" s="1" t="s">
        <v>109</v>
      </c>
      <c r="CJ2216" s="1" t="s">
        <v>109</v>
      </c>
      <c r="CK2216" s="1"/>
      <c r="CL2216" s="1">
        <v>0</v>
      </c>
      <c r="CM2216" s="1">
        <v>0</v>
      </c>
      <c r="CN2216" s="1">
        <v>0</v>
      </c>
    </row>
    <row r="2217" spans="1:92" ht="14.25" customHeight="1" x14ac:dyDescent="0.15">
      <c r="A2217" s="1" t="s">
        <v>15996</v>
      </c>
      <c r="B2217" s="1" t="s">
        <v>95</v>
      </c>
      <c r="C2217" s="1" t="s">
        <v>1179</v>
      </c>
      <c r="D2217" s="1" t="s">
        <v>211</v>
      </c>
      <c r="E2217" s="1" t="s">
        <v>1093</v>
      </c>
      <c r="F2217" s="1" t="s">
        <v>98</v>
      </c>
      <c r="G2217" s="1" t="s">
        <v>15987</v>
      </c>
      <c r="H2217" s="1">
        <v>0</v>
      </c>
      <c r="I2217" s="1" t="s">
        <v>142</v>
      </c>
      <c r="J2217" s="1"/>
      <c r="K2217" s="1" t="s">
        <v>15988</v>
      </c>
      <c r="L2217" s="1"/>
      <c r="M2217" s="1" t="s">
        <v>574</v>
      </c>
      <c r="N2217" s="1">
        <v>1</v>
      </c>
      <c r="O2217" s="1">
        <v>0</v>
      </c>
      <c r="P2217" s="1" t="s">
        <v>103</v>
      </c>
      <c r="Q2217" s="1" t="s">
        <v>104</v>
      </c>
      <c r="R2217" s="1" t="s">
        <v>15997</v>
      </c>
      <c r="S2217" s="1" t="s">
        <v>15998</v>
      </c>
      <c r="T2217" s="1" t="s">
        <v>15865</v>
      </c>
      <c r="U2217" s="1" t="s">
        <v>15999</v>
      </c>
      <c r="V2217" s="1">
        <v>1</v>
      </c>
      <c r="W2217" s="1">
        <v>1</v>
      </c>
      <c r="X2217" s="1">
        <v>0</v>
      </c>
      <c r="Y2217" s="1">
        <v>0</v>
      </c>
      <c r="Z2217" s="1">
        <v>1</v>
      </c>
      <c r="AA2217" s="1" t="s">
        <v>109</v>
      </c>
      <c r="AB2217" s="1" t="s">
        <v>109</v>
      </c>
      <c r="AC2217" s="1" t="s">
        <v>109</v>
      </c>
      <c r="AD2217" s="1">
        <v>8</v>
      </c>
      <c r="AE2217" s="1" t="s">
        <v>109</v>
      </c>
      <c r="AF2217" s="1" t="s">
        <v>109</v>
      </c>
      <c r="AG2217" s="1" t="s">
        <v>109</v>
      </c>
      <c r="AH2217" s="1" t="s">
        <v>109</v>
      </c>
      <c r="AI2217" s="1" t="s">
        <v>109</v>
      </c>
      <c r="AJ2217" s="1" t="s">
        <v>109</v>
      </c>
      <c r="AK2217" s="1" t="s">
        <v>109</v>
      </c>
      <c r="AL2217" s="1" t="s">
        <v>109</v>
      </c>
      <c r="AM2217" s="1" t="s">
        <v>109</v>
      </c>
      <c r="AN2217" s="1" t="s">
        <v>109</v>
      </c>
      <c r="AO2217" s="1" t="s">
        <v>109</v>
      </c>
      <c r="AP2217" s="1"/>
      <c r="AQ2217" s="1">
        <v>8</v>
      </c>
      <c r="AR2217" s="1"/>
      <c r="AS2217" s="1"/>
      <c r="AT2217" s="1">
        <v>0</v>
      </c>
      <c r="AU2217" s="1">
        <v>0</v>
      </c>
      <c r="AV2217" s="1">
        <v>0</v>
      </c>
      <c r="AW2217" s="1">
        <v>0</v>
      </c>
      <c r="AX2217" s="1">
        <v>0</v>
      </c>
      <c r="AY2217" s="1">
        <v>0</v>
      </c>
      <c r="AZ2217" s="1">
        <v>0</v>
      </c>
      <c r="BA2217" s="1">
        <v>0</v>
      </c>
      <c r="BB2217" s="1">
        <v>0</v>
      </c>
      <c r="BC2217" s="1">
        <v>0</v>
      </c>
      <c r="BD2217" s="1">
        <v>0</v>
      </c>
      <c r="BE2217" s="1">
        <v>0</v>
      </c>
      <c r="BF2217" s="1">
        <v>0</v>
      </c>
      <c r="BG2217" s="1">
        <v>0</v>
      </c>
      <c r="BH2217" s="1">
        <v>0</v>
      </c>
      <c r="BI2217" s="1">
        <v>0</v>
      </c>
      <c r="BJ2217" s="1">
        <v>0</v>
      </c>
      <c r="BK2217" s="1">
        <v>0</v>
      </c>
      <c r="BL2217" s="1">
        <v>0</v>
      </c>
      <c r="BM2217" s="1">
        <v>0</v>
      </c>
      <c r="BN2217" s="1">
        <v>0</v>
      </c>
      <c r="BO2217" s="1">
        <v>0</v>
      </c>
      <c r="BP2217" s="1">
        <v>0</v>
      </c>
      <c r="BQ2217" s="1">
        <v>0</v>
      </c>
      <c r="BR2217" s="1">
        <v>0</v>
      </c>
      <c r="BS2217" s="1" t="s">
        <v>109</v>
      </c>
      <c r="BT2217" s="1">
        <v>2304</v>
      </c>
      <c r="BU2217" s="1" t="s">
        <v>109</v>
      </c>
      <c r="BV2217" s="1"/>
      <c r="BW2217" s="1"/>
      <c r="BX2217" s="1"/>
      <c r="BY2217" s="1"/>
      <c r="BZ2217" s="1">
        <v>0</v>
      </c>
      <c r="CA2217" s="1" t="s">
        <v>109</v>
      </c>
      <c r="CB2217" s="1" t="s">
        <v>109</v>
      </c>
      <c r="CC2217" s="1" t="s">
        <v>109</v>
      </c>
      <c r="CD2217" s="1" t="s">
        <v>109</v>
      </c>
      <c r="CE2217" s="1" t="s">
        <v>109</v>
      </c>
      <c r="CF2217" s="1" t="s">
        <v>109</v>
      </c>
      <c r="CG2217" s="1" t="s">
        <v>109</v>
      </c>
      <c r="CH2217" s="1" t="s">
        <v>109</v>
      </c>
      <c r="CI2217" s="1" t="s">
        <v>109</v>
      </c>
      <c r="CJ2217" s="1" t="s">
        <v>109</v>
      </c>
      <c r="CK2217" s="1"/>
      <c r="CL2217" s="1">
        <v>0</v>
      </c>
      <c r="CM2217" s="1">
        <v>0</v>
      </c>
      <c r="CN2217" s="1">
        <v>0</v>
      </c>
    </row>
    <row r="2218" spans="1:92" ht="14.25" customHeight="1" x14ac:dyDescent="0.15">
      <c r="A2218" s="1" t="s">
        <v>16000</v>
      </c>
      <c r="B2218" s="1" t="s">
        <v>95</v>
      </c>
      <c r="C2218" s="1"/>
      <c r="D2218" s="1"/>
      <c r="E2218" s="1" t="s">
        <v>5330</v>
      </c>
      <c r="F2218" s="1" t="s">
        <v>355</v>
      </c>
      <c r="G2218" s="1" t="s">
        <v>160</v>
      </c>
      <c r="H2218" s="1">
        <v>0</v>
      </c>
      <c r="I2218" s="1" t="s">
        <v>142</v>
      </c>
      <c r="J2218" s="1"/>
      <c r="K2218" s="1" t="s">
        <v>16001</v>
      </c>
      <c r="L2218" s="1"/>
      <c r="M2218" s="1" t="s">
        <v>574</v>
      </c>
      <c r="N2218" s="1">
        <v>1</v>
      </c>
      <c r="O2218" s="1">
        <v>0</v>
      </c>
      <c r="P2218" s="1" t="s">
        <v>103</v>
      </c>
      <c r="Q2218" s="1" t="s">
        <v>104</v>
      </c>
      <c r="R2218" s="1" t="s">
        <v>16002</v>
      </c>
      <c r="S2218" s="1" t="s">
        <v>16003</v>
      </c>
      <c r="T2218" s="1" t="s">
        <v>15865</v>
      </c>
      <c r="U2218" s="1" t="s">
        <v>16004</v>
      </c>
      <c r="V2218" s="1">
        <v>1</v>
      </c>
      <c r="W2218" s="1">
        <v>1</v>
      </c>
      <c r="X2218" s="1">
        <v>0</v>
      </c>
      <c r="Y2218" s="1">
        <v>0</v>
      </c>
      <c r="Z2218" s="1">
        <v>1</v>
      </c>
      <c r="AA2218" s="1" t="s">
        <v>109</v>
      </c>
      <c r="AB2218" s="1" t="s">
        <v>109</v>
      </c>
      <c r="AC2218" s="1" t="s">
        <v>109</v>
      </c>
      <c r="AD2218" s="1">
        <v>5</v>
      </c>
      <c r="AE2218" s="1" t="s">
        <v>109</v>
      </c>
      <c r="AF2218" s="1" t="s">
        <v>109</v>
      </c>
      <c r="AG2218" s="1" t="s">
        <v>109</v>
      </c>
      <c r="AH2218" s="1" t="s">
        <v>109</v>
      </c>
      <c r="AI2218" s="1" t="s">
        <v>109</v>
      </c>
      <c r="AJ2218" s="1" t="s">
        <v>109</v>
      </c>
      <c r="AK2218" s="1" t="s">
        <v>109</v>
      </c>
      <c r="AL2218" s="1" t="s">
        <v>109</v>
      </c>
      <c r="AM2218" s="1" t="s">
        <v>109</v>
      </c>
      <c r="AN2218" s="1" t="s">
        <v>109</v>
      </c>
      <c r="AO2218" s="1" t="s">
        <v>109</v>
      </c>
      <c r="AP2218" s="1"/>
      <c r="AQ2218" s="1">
        <v>5</v>
      </c>
      <c r="AR2218" s="1"/>
      <c r="AS2218" s="1"/>
      <c r="AT2218" s="1">
        <v>0</v>
      </c>
      <c r="AU2218" s="1">
        <v>0</v>
      </c>
      <c r="AV2218" s="1">
        <v>0</v>
      </c>
      <c r="AW2218" s="1">
        <v>0</v>
      </c>
      <c r="AX2218" s="1">
        <v>0</v>
      </c>
      <c r="AY2218" s="1">
        <v>0</v>
      </c>
      <c r="AZ2218" s="1">
        <v>0</v>
      </c>
      <c r="BA2218" s="1">
        <v>0</v>
      </c>
      <c r="BB2218" s="1">
        <v>0</v>
      </c>
      <c r="BC2218" s="1">
        <v>0</v>
      </c>
      <c r="BD2218" s="1">
        <v>0</v>
      </c>
      <c r="BE2218" s="1">
        <v>0</v>
      </c>
      <c r="BF2218" s="1">
        <v>0</v>
      </c>
      <c r="BG2218" s="1">
        <v>0</v>
      </c>
      <c r="BH2218" s="1">
        <v>0</v>
      </c>
      <c r="BI2218" s="1">
        <v>0</v>
      </c>
      <c r="BJ2218" s="1">
        <v>0</v>
      </c>
      <c r="BK2218" s="1">
        <v>0</v>
      </c>
      <c r="BL2218" s="1">
        <v>0</v>
      </c>
      <c r="BM2218" s="1">
        <v>0</v>
      </c>
      <c r="BN2218" s="1">
        <v>0</v>
      </c>
      <c r="BO2218" s="1">
        <v>0</v>
      </c>
      <c r="BP2218" s="1">
        <v>0</v>
      </c>
      <c r="BQ2218" s="1">
        <v>0</v>
      </c>
      <c r="BR2218" s="1">
        <v>0</v>
      </c>
      <c r="BS2218" s="1" t="s">
        <v>109</v>
      </c>
      <c r="BT2218" s="1">
        <v>2305</v>
      </c>
      <c r="BU2218" s="1" t="s">
        <v>109</v>
      </c>
      <c r="BV2218" s="1"/>
      <c r="BW2218" s="1"/>
      <c r="BX2218" s="1"/>
      <c r="BY2218" s="1"/>
      <c r="BZ2218" s="1">
        <v>0</v>
      </c>
      <c r="CA2218" s="1" t="s">
        <v>109</v>
      </c>
      <c r="CB2218" s="1">
        <v>5</v>
      </c>
      <c r="CC2218" s="1" t="s">
        <v>109</v>
      </c>
      <c r="CD2218" s="1" t="s">
        <v>109</v>
      </c>
      <c r="CE2218" s="1" t="s">
        <v>109</v>
      </c>
      <c r="CF2218" s="1" t="s">
        <v>109</v>
      </c>
      <c r="CG2218" s="1" t="s">
        <v>109</v>
      </c>
      <c r="CH2218" s="1" t="s">
        <v>109</v>
      </c>
      <c r="CI2218" s="1" t="s">
        <v>109</v>
      </c>
      <c r="CJ2218" s="1">
        <v>5</v>
      </c>
      <c r="CK2218" s="1"/>
      <c r="CL2218" s="1">
        <v>0</v>
      </c>
      <c r="CM2218" s="1">
        <v>0</v>
      </c>
      <c r="CN2218" s="1">
        <v>0</v>
      </c>
    </row>
    <row r="2219" spans="1:92" ht="14.25" customHeight="1" x14ac:dyDescent="0.15">
      <c r="A2219" s="1" t="s">
        <v>16005</v>
      </c>
      <c r="B2219" s="1" t="s">
        <v>584</v>
      </c>
      <c r="C2219" s="1"/>
      <c r="D2219" s="1"/>
      <c r="E2219" s="1" t="s">
        <v>16006</v>
      </c>
      <c r="F2219" s="1" t="s">
        <v>98</v>
      </c>
      <c r="G2219" s="1" t="s">
        <v>16007</v>
      </c>
      <c r="H2219" s="1">
        <v>1</v>
      </c>
      <c r="I2219" s="1" t="s">
        <v>235</v>
      </c>
      <c r="J2219" s="1"/>
      <c r="K2219" s="1"/>
      <c r="L2219" s="1" t="s">
        <v>236</v>
      </c>
      <c r="M2219" s="1" t="s">
        <v>16008</v>
      </c>
      <c r="N2219" s="1">
        <v>1</v>
      </c>
      <c r="O2219" s="1">
        <v>0</v>
      </c>
      <c r="P2219" s="1"/>
      <c r="Q2219" s="1"/>
      <c r="R2219" s="1" t="s">
        <v>16009</v>
      </c>
      <c r="S2219" s="1" t="s">
        <v>16010</v>
      </c>
      <c r="T2219" s="1" t="s">
        <v>15865</v>
      </c>
      <c r="U2219" s="1" t="s">
        <v>16011</v>
      </c>
      <c r="V2219" s="1">
        <v>1</v>
      </c>
      <c r="W2219" s="1">
        <v>1</v>
      </c>
      <c r="X2219" s="1">
        <v>0</v>
      </c>
      <c r="Y2219" s="1">
        <v>0</v>
      </c>
      <c r="Z2219" s="1">
        <v>0</v>
      </c>
      <c r="AA2219" s="1">
        <v>4</v>
      </c>
      <c r="AB2219" s="1">
        <v>4</v>
      </c>
      <c r="AC2219" s="1" t="s">
        <v>109</v>
      </c>
      <c r="AD2219" s="1" t="s">
        <v>109</v>
      </c>
      <c r="AE2219" s="1" t="s">
        <v>109</v>
      </c>
      <c r="AF2219" s="1" t="s">
        <v>109</v>
      </c>
      <c r="AG2219" s="1" t="s">
        <v>109</v>
      </c>
      <c r="AH2219" s="1" t="s">
        <v>109</v>
      </c>
      <c r="AI2219" s="1" t="s">
        <v>109</v>
      </c>
      <c r="AJ2219" s="1" t="s">
        <v>109</v>
      </c>
      <c r="AK2219" s="1" t="s">
        <v>109</v>
      </c>
      <c r="AL2219" s="1" t="s">
        <v>109</v>
      </c>
      <c r="AM2219" s="1" t="s">
        <v>109</v>
      </c>
      <c r="AN2219" s="1" t="s">
        <v>109</v>
      </c>
      <c r="AO2219" s="1" t="s">
        <v>109</v>
      </c>
      <c r="AP2219" s="1"/>
      <c r="AQ2219" s="1">
        <v>4</v>
      </c>
      <c r="AR2219" s="1"/>
      <c r="AS2219" s="1"/>
      <c r="AT2219" s="1">
        <v>0</v>
      </c>
      <c r="AU2219" s="1">
        <v>0</v>
      </c>
      <c r="AV2219" s="1">
        <v>0</v>
      </c>
      <c r="AW2219" s="1">
        <v>0</v>
      </c>
      <c r="AX2219" s="1">
        <v>0</v>
      </c>
      <c r="AY2219" s="1">
        <v>0</v>
      </c>
      <c r="AZ2219" s="1">
        <v>0</v>
      </c>
      <c r="BA2219" s="1">
        <v>0</v>
      </c>
      <c r="BB2219" s="1">
        <v>0</v>
      </c>
      <c r="BC2219" s="1">
        <v>0</v>
      </c>
      <c r="BD2219" s="1">
        <v>0</v>
      </c>
      <c r="BE2219" s="1">
        <v>0</v>
      </c>
      <c r="BF2219" s="1">
        <v>0</v>
      </c>
      <c r="BG2219" s="1">
        <v>0</v>
      </c>
      <c r="BH2219" s="1">
        <v>0</v>
      </c>
      <c r="BI2219" s="1">
        <v>0</v>
      </c>
      <c r="BJ2219" s="1">
        <v>0</v>
      </c>
      <c r="BK2219" s="1">
        <v>0</v>
      </c>
      <c r="BL2219" s="1">
        <v>0</v>
      </c>
      <c r="BM2219" s="1">
        <v>0</v>
      </c>
      <c r="BN2219" s="1">
        <v>0</v>
      </c>
      <c r="BO2219" s="1">
        <v>0</v>
      </c>
      <c r="BP2219" s="1">
        <v>0</v>
      </c>
      <c r="BQ2219" s="1">
        <v>0</v>
      </c>
      <c r="BR2219" s="1">
        <v>0</v>
      </c>
      <c r="BS2219" s="1" t="s">
        <v>109</v>
      </c>
      <c r="BT2219" s="1">
        <v>2306</v>
      </c>
      <c r="BU2219" s="1">
        <v>1000</v>
      </c>
      <c r="BV2219" s="1"/>
      <c r="BW2219" s="1"/>
      <c r="BX2219" s="1"/>
      <c r="BY2219" s="1"/>
      <c r="BZ2219" s="1">
        <v>0</v>
      </c>
      <c r="CA2219" s="1" t="s">
        <v>109</v>
      </c>
      <c r="CB2219" s="1" t="s">
        <v>109</v>
      </c>
      <c r="CC2219" s="1" t="s">
        <v>109</v>
      </c>
      <c r="CD2219" s="1" t="s">
        <v>109</v>
      </c>
      <c r="CE2219" s="1" t="s">
        <v>109</v>
      </c>
      <c r="CF2219" s="1">
        <v>3</v>
      </c>
      <c r="CG2219" s="1" t="s">
        <v>109</v>
      </c>
      <c r="CH2219" s="1" t="s">
        <v>109</v>
      </c>
      <c r="CI2219" s="1" t="s">
        <v>109</v>
      </c>
      <c r="CJ2219" s="1" t="s">
        <v>109</v>
      </c>
      <c r="CK2219" s="1"/>
      <c r="CL2219" s="1">
        <v>0</v>
      </c>
      <c r="CM2219" s="1">
        <v>0</v>
      </c>
      <c r="CN2219" s="1">
        <v>0</v>
      </c>
    </row>
    <row r="2220" spans="1:92" ht="14.25" customHeight="1" x14ac:dyDescent="0.15">
      <c r="A2220" s="1" t="s">
        <v>16012</v>
      </c>
      <c r="B2220" s="1" t="s">
        <v>95</v>
      </c>
      <c r="C2220" s="1" t="s">
        <v>96</v>
      </c>
      <c r="D2220" s="1" t="s">
        <v>70</v>
      </c>
      <c r="E2220" s="1" t="s">
        <v>16013</v>
      </c>
      <c r="F2220" s="1" t="s">
        <v>98</v>
      </c>
      <c r="G2220" s="1" t="s">
        <v>16014</v>
      </c>
      <c r="H2220" s="1">
        <v>0</v>
      </c>
      <c r="I2220" s="1" t="s">
        <v>122</v>
      </c>
      <c r="J2220" s="1"/>
      <c r="K2220" s="1" t="s">
        <v>5432</v>
      </c>
      <c r="L2220" s="1"/>
      <c r="M2220" s="1" t="s">
        <v>3019</v>
      </c>
      <c r="N2220" s="1">
        <v>0</v>
      </c>
      <c r="O2220" s="1">
        <v>0</v>
      </c>
      <c r="P2220" s="1" t="s">
        <v>281</v>
      </c>
      <c r="Q2220" s="1" t="s">
        <v>268</v>
      </c>
      <c r="R2220" s="1" t="s">
        <v>16015</v>
      </c>
      <c r="S2220" s="1" t="s">
        <v>16016</v>
      </c>
      <c r="T2220" s="1" t="s">
        <v>15865</v>
      </c>
      <c r="U2220" s="1" t="s">
        <v>16017</v>
      </c>
      <c r="V2220" s="1">
        <v>1</v>
      </c>
      <c r="W2220" s="1">
        <v>1</v>
      </c>
      <c r="X2220" s="1">
        <v>1</v>
      </c>
      <c r="Y2220" s="1">
        <v>0</v>
      </c>
      <c r="Z2220" s="1">
        <v>1</v>
      </c>
      <c r="AA2220" s="1">
        <v>4</v>
      </c>
      <c r="AB2220" s="1">
        <v>4</v>
      </c>
      <c r="AC2220" s="1" t="s">
        <v>109</v>
      </c>
      <c r="AD2220" s="1">
        <v>4</v>
      </c>
      <c r="AE2220" s="1">
        <v>3</v>
      </c>
      <c r="AF2220" s="1" t="s">
        <v>109</v>
      </c>
      <c r="AG2220" s="1" t="s">
        <v>109</v>
      </c>
      <c r="AH2220" s="1" t="s">
        <v>109</v>
      </c>
      <c r="AI2220" s="1" t="s">
        <v>109</v>
      </c>
      <c r="AJ2220" s="1" t="s">
        <v>109</v>
      </c>
      <c r="AK2220" s="1" t="s">
        <v>109</v>
      </c>
      <c r="AL2220" s="1" t="s">
        <v>109</v>
      </c>
      <c r="AM2220" s="1" t="s">
        <v>109</v>
      </c>
      <c r="AN2220" s="1">
        <v>4</v>
      </c>
      <c r="AO2220" s="1" t="s">
        <v>109</v>
      </c>
      <c r="AP2220" s="1"/>
      <c r="AQ2220" s="1">
        <v>4</v>
      </c>
      <c r="AR2220" s="1"/>
      <c r="AS2220" s="1"/>
      <c r="AT2220" s="1">
        <v>0</v>
      </c>
      <c r="AU2220" s="1">
        <v>0</v>
      </c>
      <c r="AV2220" s="1">
        <v>0</v>
      </c>
      <c r="AW2220" s="1">
        <v>0</v>
      </c>
      <c r="AX2220" s="1">
        <v>0</v>
      </c>
      <c r="AY2220" s="1">
        <v>0</v>
      </c>
      <c r="AZ2220" s="1">
        <v>0</v>
      </c>
      <c r="BA2220" s="1">
        <v>0</v>
      </c>
      <c r="BB2220" s="1">
        <v>0</v>
      </c>
      <c r="BC2220" s="1">
        <v>0</v>
      </c>
      <c r="BD2220" s="1">
        <v>0</v>
      </c>
      <c r="BE2220" s="1">
        <v>0</v>
      </c>
      <c r="BF2220" s="1">
        <v>0</v>
      </c>
      <c r="BG2220" s="1">
        <v>0</v>
      </c>
      <c r="BH2220" s="1">
        <v>0</v>
      </c>
      <c r="BI2220" s="1">
        <v>0</v>
      </c>
      <c r="BJ2220" s="1">
        <v>0</v>
      </c>
      <c r="BK2220" s="1">
        <v>0</v>
      </c>
      <c r="BL2220" s="1">
        <v>0</v>
      </c>
      <c r="BM2220" s="1">
        <v>0</v>
      </c>
      <c r="BN2220" s="1">
        <v>0</v>
      </c>
      <c r="BO2220" s="1">
        <v>0</v>
      </c>
      <c r="BP2220" s="1">
        <v>0</v>
      </c>
      <c r="BQ2220" s="1">
        <v>0</v>
      </c>
      <c r="BR2220" s="1">
        <v>1</v>
      </c>
      <c r="BS2220" s="1" t="s">
        <v>109</v>
      </c>
      <c r="BT2220" s="1">
        <v>2307</v>
      </c>
      <c r="BU2220" s="1" t="s">
        <v>109</v>
      </c>
      <c r="BV2220" s="1"/>
      <c r="BW2220" s="1"/>
      <c r="BX2220" s="1"/>
      <c r="BY2220" s="1"/>
      <c r="BZ2220" s="1">
        <v>0</v>
      </c>
      <c r="CA2220" s="1" t="s">
        <v>109</v>
      </c>
      <c r="CB2220" s="1">
        <v>4</v>
      </c>
      <c r="CC2220" s="1" t="s">
        <v>109</v>
      </c>
      <c r="CD2220" s="1" t="s">
        <v>109</v>
      </c>
      <c r="CE2220" s="1" t="s">
        <v>109</v>
      </c>
      <c r="CF2220" s="1" t="s">
        <v>109</v>
      </c>
      <c r="CG2220" s="1" t="s">
        <v>109</v>
      </c>
      <c r="CH2220" s="1" t="s">
        <v>109</v>
      </c>
      <c r="CI2220" s="1" t="s">
        <v>109</v>
      </c>
      <c r="CJ2220" s="1">
        <v>3</v>
      </c>
      <c r="CK2220" s="1"/>
      <c r="CL2220" s="1">
        <v>0</v>
      </c>
      <c r="CM2220" s="1">
        <v>0</v>
      </c>
      <c r="CN2220" s="1">
        <v>0</v>
      </c>
    </row>
    <row r="2221" spans="1:92" ht="14.25" customHeight="1" x14ac:dyDescent="0.15">
      <c r="A2221" s="1" t="s">
        <v>16018</v>
      </c>
      <c r="B2221" s="1" t="s">
        <v>189</v>
      </c>
      <c r="C2221" s="1"/>
      <c r="D2221" s="1" t="s">
        <v>47</v>
      </c>
      <c r="E2221" s="1" t="s">
        <v>6819</v>
      </c>
      <c r="F2221" s="1" t="s">
        <v>355</v>
      </c>
      <c r="G2221" s="1" t="s">
        <v>141</v>
      </c>
      <c r="H2221" s="1">
        <v>0</v>
      </c>
      <c r="I2221" s="1" t="s">
        <v>100</v>
      </c>
      <c r="J2221" s="1"/>
      <c r="K2221" s="1"/>
      <c r="L2221" s="1" t="s">
        <v>12845</v>
      </c>
      <c r="M2221" s="1" t="s">
        <v>3042</v>
      </c>
      <c r="N2221" s="1">
        <v>0</v>
      </c>
      <c r="O2221" s="1">
        <v>0</v>
      </c>
      <c r="P2221" s="1" t="s">
        <v>507</v>
      </c>
      <c r="Q2221" s="1" t="s">
        <v>167</v>
      </c>
      <c r="R2221" s="1" t="s">
        <v>16019</v>
      </c>
      <c r="S2221" s="1" t="s">
        <v>16020</v>
      </c>
      <c r="T2221" s="1" t="s">
        <v>15865</v>
      </c>
      <c r="U2221" s="1" t="s">
        <v>16021</v>
      </c>
      <c r="V2221" s="1">
        <v>1</v>
      </c>
      <c r="W2221" s="1">
        <v>1</v>
      </c>
      <c r="X2221" s="1">
        <v>0</v>
      </c>
      <c r="Y2221" s="1">
        <v>0</v>
      </c>
      <c r="Z2221" s="1">
        <v>0</v>
      </c>
      <c r="AA2221" s="1" t="s">
        <v>109</v>
      </c>
      <c r="AB2221" s="1" t="s">
        <v>109</v>
      </c>
      <c r="AC2221" s="1" t="s">
        <v>109</v>
      </c>
      <c r="AD2221" s="1" t="s">
        <v>109</v>
      </c>
      <c r="AE2221" s="1">
        <v>3</v>
      </c>
      <c r="AF2221" s="1" t="s">
        <v>109</v>
      </c>
      <c r="AG2221" s="1" t="s">
        <v>109</v>
      </c>
      <c r="AH2221" s="1" t="s">
        <v>109</v>
      </c>
      <c r="AI2221" s="1" t="s">
        <v>109</v>
      </c>
      <c r="AJ2221" s="1" t="s">
        <v>109</v>
      </c>
      <c r="AK2221" s="1" t="s">
        <v>109</v>
      </c>
      <c r="AL2221" s="1" t="s">
        <v>109</v>
      </c>
      <c r="AM2221" s="1" t="s">
        <v>109</v>
      </c>
      <c r="AN2221" s="1" t="s">
        <v>109</v>
      </c>
      <c r="AO2221" s="1" t="s">
        <v>109</v>
      </c>
      <c r="AP2221" s="1"/>
      <c r="AQ2221" s="1">
        <v>3</v>
      </c>
      <c r="AR2221" s="1"/>
      <c r="AS2221" s="1"/>
      <c r="AT2221" s="1">
        <v>0</v>
      </c>
      <c r="AU2221" s="1">
        <v>1</v>
      </c>
      <c r="AV2221" s="1">
        <v>0</v>
      </c>
      <c r="AW2221" s="1">
        <v>0</v>
      </c>
      <c r="AX2221" s="1">
        <v>0</v>
      </c>
      <c r="AY2221" s="1">
        <v>0</v>
      </c>
      <c r="AZ2221" s="1">
        <v>0</v>
      </c>
      <c r="BA2221" s="1">
        <v>0</v>
      </c>
      <c r="BB2221" s="1">
        <v>0</v>
      </c>
      <c r="BC2221" s="1">
        <v>0</v>
      </c>
      <c r="BD2221" s="1">
        <v>0</v>
      </c>
      <c r="BE2221" s="1">
        <v>0</v>
      </c>
      <c r="BF2221" s="1">
        <v>0</v>
      </c>
      <c r="BG2221" s="1">
        <v>0</v>
      </c>
      <c r="BH2221" s="1">
        <v>0</v>
      </c>
      <c r="BI2221" s="1">
        <v>0</v>
      </c>
      <c r="BJ2221" s="1">
        <v>0</v>
      </c>
      <c r="BK2221" s="1">
        <v>0</v>
      </c>
      <c r="BL2221" s="1">
        <v>0</v>
      </c>
      <c r="BM2221" s="1">
        <v>0</v>
      </c>
      <c r="BN2221" s="1">
        <v>0</v>
      </c>
      <c r="BO2221" s="1">
        <v>0</v>
      </c>
      <c r="BP2221" s="1">
        <v>0</v>
      </c>
      <c r="BQ2221" s="1">
        <v>0</v>
      </c>
      <c r="BR2221" s="1">
        <v>0</v>
      </c>
      <c r="BS2221" s="1" t="s">
        <v>109</v>
      </c>
      <c r="BT2221" s="1">
        <v>2308</v>
      </c>
      <c r="BU2221" s="1" t="s">
        <v>109</v>
      </c>
      <c r="BV2221" s="1"/>
      <c r="BW2221" s="1"/>
      <c r="BX2221" s="1"/>
      <c r="BY2221" s="1"/>
      <c r="BZ2221" s="1">
        <v>0</v>
      </c>
      <c r="CA2221" s="1" t="s">
        <v>109</v>
      </c>
      <c r="CB2221" s="1" t="s">
        <v>109</v>
      </c>
      <c r="CC2221" s="1" t="s">
        <v>109</v>
      </c>
      <c r="CD2221" s="1" t="s">
        <v>109</v>
      </c>
      <c r="CE2221" s="1" t="s">
        <v>109</v>
      </c>
      <c r="CF2221" s="1" t="s">
        <v>109</v>
      </c>
      <c r="CG2221" s="1" t="s">
        <v>109</v>
      </c>
      <c r="CH2221" s="1" t="s">
        <v>109</v>
      </c>
      <c r="CI2221" s="1" t="s">
        <v>109</v>
      </c>
      <c r="CJ2221" s="1">
        <v>3</v>
      </c>
      <c r="CK2221" s="1"/>
      <c r="CL2221" s="1">
        <v>0</v>
      </c>
      <c r="CM2221" s="1">
        <v>0</v>
      </c>
      <c r="CN2221" s="1">
        <v>0</v>
      </c>
    </row>
    <row r="2222" spans="1:92" ht="14.25" customHeight="1" x14ac:dyDescent="0.15">
      <c r="A2222" s="1" t="s">
        <v>16022</v>
      </c>
      <c r="B2222" s="1" t="s">
        <v>95</v>
      </c>
      <c r="C2222" s="1" t="s">
        <v>96</v>
      </c>
      <c r="D2222" s="1"/>
      <c r="E2222" s="1" t="s">
        <v>16023</v>
      </c>
      <c r="F2222" s="1" t="s">
        <v>355</v>
      </c>
      <c r="G2222" s="1" t="s">
        <v>141</v>
      </c>
      <c r="H2222" s="1">
        <v>0</v>
      </c>
      <c r="I2222" s="1" t="s">
        <v>925</v>
      </c>
      <c r="J2222" s="1"/>
      <c r="K2222" s="1" t="s">
        <v>16024</v>
      </c>
      <c r="L2222" s="1"/>
      <c r="M2222" s="1" t="s">
        <v>277</v>
      </c>
      <c r="N2222" s="1">
        <v>0</v>
      </c>
      <c r="O2222" s="1">
        <v>0</v>
      </c>
      <c r="P2222" s="1" t="s">
        <v>11157</v>
      </c>
      <c r="Q2222" s="1" t="s">
        <v>104</v>
      </c>
      <c r="R2222" s="1" t="s">
        <v>16025</v>
      </c>
      <c r="S2222" s="1" t="s">
        <v>16026</v>
      </c>
      <c r="T2222" s="1" t="s">
        <v>16027</v>
      </c>
      <c r="U2222" s="1" t="s">
        <v>16028</v>
      </c>
      <c r="V2222" s="1">
        <v>1</v>
      </c>
      <c r="W2222" s="1">
        <v>1</v>
      </c>
      <c r="X2222" s="1">
        <v>0</v>
      </c>
      <c r="Y2222" s="1">
        <v>0</v>
      </c>
      <c r="Z2222" s="1">
        <v>0</v>
      </c>
      <c r="AA2222" s="1" t="s">
        <v>109</v>
      </c>
      <c r="AB2222" s="1" t="s">
        <v>109</v>
      </c>
      <c r="AC2222" s="1">
        <v>4</v>
      </c>
      <c r="AD2222" s="1">
        <v>3</v>
      </c>
      <c r="AE2222" s="1" t="s">
        <v>109</v>
      </c>
      <c r="AF2222" s="1" t="s">
        <v>109</v>
      </c>
      <c r="AG2222" s="1" t="s">
        <v>109</v>
      </c>
      <c r="AH2222" s="1" t="s">
        <v>109</v>
      </c>
      <c r="AI2222" s="1" t="s">
        <v>109</v>
      </c>
      <c r="AJ2222" s="1" t="s">
        <v>109</v>
      </c>
      <c r="AK2222" s="1" t="s">
        <v>109</v>
      </c>
      <c r="AL2222" s="1">
        <v>4</v>
      </c>
      <c r="AM2222" s="1" t="s">
        <v>109</v>
      </c>
      <c r="AN2222" s="1" t="s">
        <v>109</v>
      </c>
      <c r="AO2222" s="1" t="s">
        <v>109</v>
      </c>
      <c r="AP2222" s="1"/>
      <c r="AQ2222" s="1">
        <v>4</v>
      </c>
      <c r="AR2222" s="1"/>
      <c r="AS2222" s="1"/>
      <c r="AT2222" s="1">
        <v>0</v>
      </c>
      <c r="AU2222" s="1">
        <v>0</v>
      </c>
      <c r="AV2222" s="1">
        <v>0</v>
      </c>
      <c r="AW2222" s="1">
        <v>0</v>
      </c>
      <c r="AX2222" s="1">
        <v>0</v>
      </c>
      <c r="AY2222" s="1">
        <v>0</v>
      </c>
      <c r="AZ2222" s="1">
        <v>0</v>
      </c>
      <c r="BA2222" s="1">
        <v>0</v>
      </c>
      <c r="BB2222" s="1">
        <v>0</v>
      </c>
      <c r="BC2222" s="1">
        <v>0</v>
      </c>
      <c r="BD2222" s="1">
        <v>0</v>
      </c>
      <c r="BE2222" s="1">
        <v>0</v>
      </c>
      <c r="BF2222" s="1">
        <v>0</v>
      </c>
      <c r="BG2222" s="1">
        <v>0</v>
      </c>
      <c r="BH2222" s="1">
        <v>0</v>
      </c>
      <c r="BI2222" s="1">
        <v>0</v>
      </c>
      <c r="BJ2222" s="1">
        <v>0</v>
      </c>
      <c r="BK2222" s="1">
        <v>0</v>
      </c>
      <c r="BL2222" s="1">
        <v>0</v>
      </c>
      <c r="BM2222" s="1">
        <v>0</v>
      </c>
      <c r="BN2222" s="1">
        <v>0</v>
      </c>
      <c r="BO2222" s="1">
        <v>0</v>
      </c>
      <c r="BP2222" s="1">
        <v>0</v>
      </c>
      <c r="BQ2222" s="1">
        <v>0</v>
      </c>
      <c r="BR2222" s="1">
        <v>0</v>
      </c>
      <c r="BS2222" s="1" t="s">
        <v>109</v>
      </c>
      <c r="BT2222" s="1">
        <v>2309</v>
      </c>
      <c r="BU2222" s="1" t="s">
        <v>109</v>
      </c>
      <c r="BV2222" s="1"/>
      <c r="BW2222" s="1"/>
      <c r="BX2222" s="1"/>
      <c r="BY2222" s="1"/>
      <c r="BZ2222" s="1">
        <v>0</v>
      </c>
      <c r="CA2222" s="1" t="s">
        <v>109</v>
      </c>
      <c r="CB2222" s="1" t="s">
        <v>109</v>
      </c>
      <c r="CC2222" s="1" t="s">
        <v>109</v>
      </c>
      <c r="CD2222" s="1" t="s">
        <v>109</v>
      </c>
      <c r="CE2222" s="1" t="s">
        <v>109</v>
      </c>
      <c r="CF2222" s="1" t="s">
        <v>109</v>
      </c>
      <c r="CG2222" s="1" t="s">
        <v>109</v>
      </c>
      <c r="CH2222" s="1" t="s">
        <v>109</v>
      </c>
      <c r="CI2222" s="1" t="s">
        <v>109</v>
      </c>
      <c r="CJ2222" s="1">
        <v>3</v>
      </c>
      <c r="CK2222" s="1"/>
      <c r="CL2222" s="1">
        <v>0</v>
      </c>
      <c r="CM2222" s="1">
        <v>0</v>
      </c>
      <c r="CN2222" s="1">
        <v>0</v>
      </c>
    </row>
    <row r="2223" spans="1:92" ht="14.25" customHeight="1" x14ac:dyDescent="0.15">
      <c r="A2223" s="1" t="s">
        <v>16029</v>
      </c>
      <c r="B2223" s="1" t="s">
        <v>156</v>
      </c>
      <c r="C2223" s="1"/>
      <c r="D2223" s="1" t="s">
        <v>158</v>
      </c>
      <c r="E2223" s="1" t="s">
        <v>16030</v>
      </c>
      <c r="F2223" s="1" t="s">
        <v>277</v>
      </c>
      <c r="G2223" s="1" t="s">
        <v>16031</v>
      </c>
      <c r="H2223" s="1">
        <v>0</v>
      </c>
      <c r="I2223" s="1" t="s">
        <v>161</v>
      </c>
      <c r="J2223" s="1"/>
      <c r="K2223" s="1"/>
      <c r="L2223" s="1" t="s">
        <v>1391</v>
      </c>
      <c r="M2223" s="1" t="s">
        <v>465</v>
      </c>
      <c r="N2223" s="1">
        <v>0</v>
      </c>
      <c r="O2223" s="1">
        <v>0</v>
      </c>
      <c r="P2223" s="1" t="s">
        <v>564</v>
      </c>
      <c r="Q2223" s="1" t="s">
        <v>268</v>
      </c>
      <c r="R2223" s="1" t="s">
        <v>16032</v>
      </c>
      <c r="S2223" s="1" t="s">
        <v>16033</v>
      </c>
      <c r="T2223" s="1" t="s">
        <v>16034</v>
      </c>
      <c r="U2223" s="1" t="s">
        <v>16035</v>
      </c>
      <c r="V2223" s="1">
        <v>1</v>
      </c>
      <c r="W2223" s="1">
        <v>1</v>
      </c>
      <c r="X2223" s="1">
        <v>1</v>
      </c>
      <c r="Y2223" s="1">
        <v>0</v>
      </c>
      <c r="Z2223" s="1">
        <v>0</v>
      </c>
      <c r="AA2223" s="1" t="s">
        <v>109</v>
      </c>
      <c r="AB2223" s="1" t="s">
        <v>109</v>
      </c>
      <c r="AC2223" s="1" t="s">
        <v>109</v>
      </c>
      <c r="AD2223" s="1" t="s">
        <v>109</v>
      </c>
      <c r="AE2223" s="1" t="s">
        <v>109</v>
      </c>
      <c r="AF2223" s="1">
        <v>5</v>
      </c>
      <c r="AG2223" s="1" t="s">
        <v>109</v>
      </c>
      <c r="AH2223" s="1" t="s">
        <v>109</v>
      </c>
      <c r="AI2223" s="1" t="s">
        <v>109</v>
      </c>
      <c r="AJ2223" s="1">
        <v>6</v>
      </c>
      <c r="AK2223" s="1" t="s">
        <v>109</v>
      </c>
      <c r="AL2223" s="1" t="s">
        <v>109</v>
      </c>
      <c r="AM2223" s="1" t="s">
        <v>109</v>
      </c>
      <c r="AN2223" s="1" t="s">
        <v>109</v>
      </c>
      <c r="AO2223" s="1" t="s">
        <v>109</v>
      </c>
      <c r="AP2223" s="1"/>
      <c r="AQ2223" s="1">
        <v>5</v>
      </c>
      <c r="AR2223" s="1"/>
      <c r="AS2223" s="1"/>
      <c r="AT2223" s="1">
        <v>0</v>
      </c>
      <c r="AU2223" s="1">
        <v>0</v>
      </c>
      <c r="AV2223" s="1">
        <v>0</v>
      </c>
      <c r="AW2223" s="1">
        <v>0</v>
      </c>
      <c r="AX2223" s="1">
        <v>0</v>
      </c>
      <c r="AY2223" s="1">
        <v>0</v>
      </c>
      <c r="AZ2223" s="1">
        <v>0</v>
      </c>
      <c r="BA2223" s="1">
        <v>0</v>
      </c>
      <c r="BB2223" s="1">
        <v>0</v>
      </c>
      <c r="BC2223" s="1">
        <v>0</v>
      </c>
      <c r="BD2223" s="1">
        <v>0</v>
      </c>
      <c r="BE2223" s="1">
        <v>0</v>
      </c>
      <c r="BF2223" s="1">
        <v>0</v>
      </c>
      <c r="BG2223" s="1">
        <v>0</v>
      </c>
      <c r="BH2223" s="1">
        <v>0</v>
      </c>
      <c r="BI2223" s="1">
        <v>0</v>
      </c>
      <c r="BJ2223" s="1">
        <v>0</v>
      </c>
      <c r="BK2223" s="1">
        <v>0</v>
      </c>
      <c r="BL2223" s="1">
        <v>0</v>
      </c>
      <c r="BM2223" s="1">
        <v>1</v>
      </c>
      <c r="BN2223" s="1">
        <v>0</v>
      </c>
      <c r="BO2223" s="1">
        <v>0</v>
      </c>
      <c r="BP2223" s="1">
        <v>0</v>
      </c>
      <c r="BQ2223" s="1">
        <v>0</v>
      </c>
      <c r="BR2223" s="1">
        <v>0</v>
      </c>
      <c r="BS2223" s="1" t="s">
        <v>109</v>
      </c>
      <c r="BT2223" s="1">
        <v>2310</v>
      </c>
      <c r="BU2223" s="1" t="s">
        <v>109</v>
      </c>
      <c r="BV2223" s="1"/>
      <c r="BW2223" s="1"/>
      <c r="BX2223" s="1"/>
      <c r="BY2223" s="1"/>
      <c r="BZ2223" s="1">
        <v>0</v>
      </c>
      <c r="CA2223" s="1" t="s">
        <v>109</v>
      </c>
      <c r="CB2223" s="1" t="s">
        <v>109</v>
      </c>
      <c r="CC2223" s="1">
        <v>6</v>
      </c>
      <c r="CD2223" s="1" t="s">
        <v>109</v>
      </c>
      <c r="CE2223" s="1">
        <v>5</v>
      </c>
      <c r="CF2223" s="1" t="s">
        <v>109</v>
      </c>
      <c r="CG2223" s="1" t="s">
        <v>109</v>
      </c>
      <c r="CH2223" s="1" t="s">
        <v>109</v>
      </c>
      <c r="CI2223" s="1" t="s">
        <v>109</v>
      </c>
      <c r="CJ2223" s="1" t="s">
        <v>109</v>
      </c>
      <c r="CK2223" s="1"/>
      <c r="CL2223" s="1">
        <v>0</v>
      </c>
      <c r="CM2223" s="1">
        <v>0</v>
      </c>
      <c r="CN2223" s="1">
        <v>0</v>
      </c>
    </row>
    <row r="2224" spans="1:92" ht="14.25" customHeight="1" x14ac:dyDescent="0.15">
      <c r="A2224" s="1" t="s">
        <v>16036</v>
      </c>
      <c r="B2224" s="1" t="s">
        <v>674</v>
      </c>
      <c r="C2224" s="1" t="s">
        <v>675</v>
      </c>
      <c r="D2224" s="1"/>
      <c r="E2224" s="1" t="s">
        <v>16037</v>
      </c>
      <c r="F2224" s="1" t="s">
        <v>98</v>
      </c>
      <c r="G2224" s="1" t="s">
        <v>333</v>
      </c>
      <c r="H2224" s="1">
        <v>0</v>
      </c>
      <c r="I2224" s="1" t="s">
        <v>5018</v>
      </c>
      <c r="J2224" s="1"/>
      <c r="K2224" s="1"/>
      <c r="L2224" s="1" t="s">
        <v>16038</v>
      </c>
      <c r="M2224" s="1" t="s">
        <v>3042</v>
      </c>
      <c r="N2224" s="1">
        <v>0</v>
      </c>
      <c r="O2224" s="1">
        <v>0</v>
      </c>
      <c r="P2224" s="1" t="s">
        <v>2579</v>
      </c>
      <c r="Q2224" s="1" t="s">
        <v>104</v>
      </c>
      <c r="R2224" s="1" t="s">
        <v>16039</v>
      </c>
      <c r="S2224" s="1" t="s">
        <v>16040</v>
      </c>
      <c r="T2224" s="1" t="s">
        <v>16034</v>
      </c>
      <c r="U2224" s="1" t="s">
        <v>16041</v>
      </c>
      <c r="V2224" s="1">
        <v>1</v>
      </c>
      <c r="W2224" s="1">
        <v>0</v>
      </c>
      <c r="X2224" s="1">
        <v>0</v>
      </c>
      <c r="Y2224" s="1">
        <v>0</v>
      </c>
      <c r="Z2224" s="1">
        <v>0</v>
      </c>
      <c r="AA2224" s="1">
        <v>4</v>
      </c>
      <c r="AB2224" s="1">
        <v>4</v>
      </c>
      <c r="AC2224" s="1" t="s">
        <v>109</v>
      </c>
      <c r="AD2224" s="1" t="s">
        <v>109</v>
      </c>
      <c r="AE2224" s="1" t="s">
        <v>109</v>
      </c>
      <c r="AF2224" s="1" t="s">
        <v>109</v>
      </c>
      <c r="AG2224" s="1" t="s">
        <v>109</v>
      </c>
      <c r="AH2224" s="1" t="s">
        <v>109</v>
      </c>
      <c r="AI2224" s="1" t="s">
        <v>109</v>
      </c>
      <c r="AJ2224" s="1" t="s">
        <v>109</v>
      </c>
      <c r="AK2224" s="1" t="s">
        <v>109</v>
      </c>
      <c r="AL2224" s="1" t="s">
        <v>109</v>
      </c>
      <c r="AM2224" s="1" t="s">
        <v>109</v>
      </c>
      <c r="AN2224" s="1" t="s">
        <v>109</v>
      </c>
      <c r="AO2224" s="1" t="s">
        <v>109</v>
      </c>
      <c r="AP2224" s="1"/>
      <c r="AQ2224" s="1">
        <v>4</v>
      </c>
      <c r="AR2224" s="1"/>
      <c r="AS2224" s="1"/>
      <c r="AT2224" s="1">
        <v>0</v>
      </c>
      <c r="AU2224" s="1">
        <v>0</v>
      </c>
      <c r="AV2224" s="1">
        <v>0</v>
      </c>
      <c r="AW2224" s="1">
        <v>0</v>
      </c>
      <c r="AX2224" s="1">
        <v>0</v>
      </c>
      <c r="AY2224" s="1">
        <v>0</v>
      </c>
      <c r="AZ2224" s="1">
        <v>0</v>
      </c>
      <c r="BA2224" s="1">
        <v>0</v>
      </c>
      <c r="BB2224" s="1">
        <v>0</v>
      </c>
      <c r="BC2224" s="1">
        <v>0</v>
      </c>
      <c r="BD2224" s="1">
        <v>0</v>
      </c>
      <c r="BE2224" s="1">
        <v>0</v>
      </c>
      <c r="BF2224" s="1">
        <v>0</v>
      </c>
      <c r="BG2224" s="1">
        <v>0</v>
      </c>
      <c r="BH2224" s="1">
        <v>0</v>
      </c>
      <c r="BI2224" s="1">
        <v>0</v>
      </c>
      <c r="BJ2224" s="1">
        <v>0</v>
      </c>
      <c r="BK2224" s="1">
        <v>0</v>
      </c>
      <c r="BL2224" s="1">
        <v>0</v>
      </c>
      <c r="BM2224" s="1">
        <v>0</v>
      </c>
      <c r="BN2224" s="1">
        <v>0</v>
      </c>
      <c r="BO2224" s="1">
        <v>0</v>
      </c>
      <c r="BP2224" s="1">
        <v>0</v>
      </c>
      <c r="BQ2224" s="1">
        <v>0</v>
      </c>
      <c r="BR2224" s="1">
        <v>0</v>
      </c>
      <c r="BS2224" s="1" t="s">
        <v>109</v>
      </c>
      <c r="BT2224" s="1">
        <v>2311</v>
      </c>
      <c r="BU2224" s="1" t="s">
        <v>109</v>
      </c>
      <c r="BV2224" s="1"/>
      <c r="BW2224" s="1"/>
      <c r="BX2224" s="1"/>
      <c r="BY2224" s="1"/>
      <c r="BZ2224" s="1">
        <v>0</v>
      </c>
      <c r="CA2224" s="1" t="s">
        <v>109</v>
      </c>
      <c r="CB2224" s="1" t="s">
        <v>109</v>
      </c>
      <c r="CC2224" s="1">
        <v>4</v>
      </c>
      <c r="CD2224" s="1" t="s">
        <v>109</v>
      </c>
      <c r="CE2224" s="1">
        <v>3</v>
      </c>
      <c r="CF2224" s="1" t="s">
        <v>109</v>
      </c>
      <c r="CG2224" s="1" t="s">
        <v>109</v>
      </c>
      <c r="CH2224" s="1" t="s">
        <v>109</v>
      </c>
      <c r="CI2224" s="1" t="s">
        <v>109</v>
      </c>
      <c r="CJ2224" s="1" t="s">
        <v>109</v>
      </c>
      <c r="CK2224" s="1"/>
      <c r="CL2224" s="1">
        <v>0</v>
      </c>
      <c r="CM2224" s="1">
        <v>0</v>
      </c>
      <c r="CN2224" s="1">
        <v>0</v>
      </c>
    </row>
    <row r="2225" spans="1:92" ht="14.25" customHeight="1" x14ac:dyDescent="0.15">
      <c r="A2225" s="1" t="s">
        <v>16042</v>
      </c>
      <c r="B2225" s="1" t="s">
        <v>156</v>
      </c>
      <c r="C2225" s="1" t="s">
        <v>157</v>
      </c>
      <c r="D2225" s="1" t="s">
        <v>16043</v>
      </c>
      <c r="E2225" s="1" t="s">
        <v>15707</v>
      </c>
      <c r="F2225" s="1" t="s">
        <v>98</v>
      </c>
      <c r="G2225" s="1" t="s">
        <v>141</v>
      </c>
      <c r="H2225" s="1">
        <v>0</v>
      </c>
      <c r="I2225" s="1" t="s">
        <v>122</v>
      </c>
      <c r="J2225" s="1"/>
      <c r="K2225" s="1"/>
      <c r="L2225" s="1" t="s">
        <v>1391</v>
      </c>
      <c r="M2225" s="1" t="s">
        <v>280</v>
      </c>
      <c r="N2225" s="1">
        <v>0</v>
      </c>
      <c r="O2225" s="1">
        <v>0</v>
      </c>
      <c r="P2225" s="1" t="s">
        <v>301</v>
      </c>
      <c r="Q2225" s="1" t="s">
        <v>9440</v>
      </c>
      <c r="R2225" s="1" t="s">
        <v>16044</v>
      </c>
      <c r="S2225" s="1" t="s">
        <v>16045</v>
      </c>
      <c r="T2225" s="1" t="s">
        <v>16034</v>
      </c>
      <c r="U2225" s="1" t="s">
        <v>16046</v>
      </c>
      <c r="V2225" s="1">
        <v>1</v>
      </c>
      <c r="W2225" s="1">
        <v>1</v>
      </c>
      <c r="X2225" s="1">
        <v>0</v>
      </c>
      <c r="Y2225" s="1">
        <v>0</v>
      </c>
      <c r="Z2225" s="1">
        <v>0</v>
      </c>
      <c r="AA2225" s="1" t="s">
        <v>109</v>
      </c>
      <c r="AB2225" s="1" t="s">
        <v>109</v>
      </c>
      <c r="AC2225" s="1" t="s">
        <v>109</v>
      </c>
      <c r="AD2225" s="1" t="s">
        <v>109</v>
      </c>
      <c r="AE2225" s="1" t="s">
        <v>109</v>
      </c>
      <c r="AF2225" s="1" t="s">
        <v>109</v>
      </c>
      <c r="AG2225" s="1" t="s">
        <v>109</v>
      </c>
      <c r="AH2225" s="1" t="s">
        <v>109</v>
      </c>
      <c r="AI2225" s="1" t="s">
        <v>109</v>
      </c>
      <c r="AJ2225" s="1" t="s">
        <v>109</v>
      </c>
      <c r="AK2225" s="1" t="s">
        <v>109</v>
      </c>
      <c r="AL2225" s="1" t="s">
        <v>109</v>
      </c>
      <c r="AM2225" s="1" t="s">
        <v>109</v>
      </c>
      <c r="AN2225" s="1" t="s">
        <v>109</v>
      </c>
      <c r="AO2225" s="1" t="s">
        <v>109</v>
      </c>
      <c r="AP2225" s="1"/>
      <c r="AQ2225" s="1">
        <v>3</v>
      </c>
      <c r="AR2225" s="1"/>
      <c r="AS2225" s="1"/>
      <c r="AT2225" s="1">
        <v>0</v>
      </c>
      <c r="AU2225" s="1">
        <v>0</v>
      </c>
      <c r="AV2225" s="1">
        <v>0</v>
      </c>
      <c r="AW2225" s="1">
        <v>0</v>
      </c>
      <c r="AX2225" s="1">
        <v>0</v>
      </c>
      <c r="AY2225" s="1">
        <v>0</v>
      </c>
      <c r="AZ2225" s="1">
        <v>0</v>
      </c>
      <c r="BA2225" s="1">
        <v>0</v>
      </c>
      <c r="BB2225" s="1">
        <v>0</v>
      </c>
      <c r="BC2225" s="1">
        <v>0</v>
      </c>
      <c r="BD2225" s="1">
        <v>1</v>
      </c>
      <c r="BE2225" s="1">
        <v>0</v>
      </c>
      <c r="BF2225" s="1">
        <v>0</v>
      </c>
      <c r="BG2225" s="1">
        <v>0</v>
      </c>
      <c r="BH2225" s="1">
        <v>0</v>
      </c>
      <c r="BI2225" s="1">
        <v>0</v>
      </c>
      <c r="BJ2225" s="1">
        <v>0</v>
      </c>
      <c r="BK2225" s="1">
        <v>0</v>
      </c>
      <c r="BL2225" s="1">
        <v>0</v>
      </c>
      <c r="BM2225" s="1">
        <v>1</v>
      </c>
      <c r="BN2225" s="1">
        <v>0</v>
      </c>
      <c r="BO2225" s="1">
        <v>0</v>
      </c>
      <c r="BP2225" s="1">
        <v>0</v>
      </c>
      <c r="BQ2225" s="1">
        <v>0</v>
      </c>
      <c r="BR2225" s="1">
        <v>0</v>
      </c>
      <c r="BS2225" s="1" t="s">
        <v>109</v>
      </c>
      <c r="BT2225" s="1">
        <v>2312</v>
      </c>
      <c r="BU2225" s="1" t="s">
        <v>109</v>
      </c>
      <c r="BV2225" s="1"/>
      <c r="BW2225" s="1"/>
      <c r="BX2225" s="1"/>
      <c r="BY2225" s="1"/>
      <c r="BZ2225" s="1">
        <v>0</v>
      </c>
      <c r="CA2225" s="1" t="s">
        <v>109</v>
      </c>
      <c r="CB2225" s="1" t="s">
        <v>109</v>
      </c>
      <c r="CC2225" s="1">
        <v>3</v>
      </c>
      <c r="CD2225" s="1" t="s">
        <v>109</v>
      </c>
      <c r="CE2225" s="1">
        <v>3</v>
      </c>
      <c r="CF2225" s="1" t="s">
        <v>109</v>
      </c>
      <c r="CG2225" s="1" t="s">
        <v>109</v>
      </c>
      <c r="CH2225" s="1" t="s">
        <v>109</v>
      </c>
      <c r="CI2225" s="1" t="s">
        <v>109</v>
      </c>
      <c r="CJ2225" s="1" t="s">
        <v>109</v>
      </c>
      <c r="CK2225" s="1"/>
      <c r="CL2225" s="1">
        <v>0</v>
      </c>
      <c r="CM2225" s="1">
        <v>0</v>
      </c>
      <c r="CN2225" s="1">
        <v>0</v>
      </c>
    </row>
    <row r="2226" spans="1:92" ht="14.25" customHeight="1" x14ac:dyDescent="0.15">
      <c r="A2226" s="1" t="s">
        <v>16047</v>
      </c>
      <c r="B2226" s="1" t="s">
        <v>242</v>
      </c>
      <c r="C2226" s="1"/>
      <c r="D2226" s="1"/>
      <c r="E2226" s="1" t="s">
        <v>16048</v>
      </c>
      <c r="F2226" s="1" t="s">
        <v>98</v>
      </c>
      <c r="G2226" s="1" t="s">
        <v>16049</v>
      </c>
      <c r="H2226" s="1">
        <v>0</v>
      </c>
      <c r="I2226" s="1" t="s">
        <v>161</v>
      </c>
      <c r="J2226" s="1"/>
      <c r="K2226" s="1"/>
      <c r="L2226" s="1" t="s">
        <v>506</v>
      </c>
      <c r="M2226" s="1" t="s">
        <v>289</v>
      </c>
      <c r="N2226" s="1">
        <v>0</v>
      </c>
      <c r="O2226" s="1">
        <v>0</v>
      </c>
      <c r="P2226" s="1" t="s">
        <v>507</v>
      </c>
      <c r="Q2226" s="1" t="s">
        <v>104</v>
      </c>
      <c r="R2226" s="1" t="s">
        <v>16050</v>
      </c>
      <c r="S2226" s="1" t="s">
        <v>16051</v>
      </c>
      <c r="T2226" s="1" t="s">
        <v>16034</v>
      </c>
      <c r="U2226" s="1" t="s">
        <v>16052</v>
      </c>
      <c r="V2226" s="1">
        <v>1</v>
      </c>
      <c r="W2226" s="1">
        <v>1</v>
      </c>
      <c r="X2226" s="1">
        <v>1</v>
      </c>
      <c r="Y2226" s="1">
        <v>0</v>
      </c>
      <c r="Z2226" s="1">
        <v>0</v>
      </c>
      <c r="AA2226" s="1">
        <v>4</v>
      </c>
      <c r="AB2226" s="1">
        <v>4</v>
      </c>
      <c r="AC2226" s="1" t="s">
        <v>109</v>
      </c>
      <c r="AD2226" s="1" t="s">
        <v>109</v>
      </c>
      <c r="AE2226" s="1" t="s">
        <v>109</v>
      </c>
      <c r="AF2226" s="1">
        <v>2</v>
      </c>
      <c r="AG2226" s="1" t="s">
        <v>109</v>
      </c>
      <c r="AH2226" s="1">
        <v>2</v>
      </c>
      <c r="AI2226" s="1" t="s">
        <v>109</v>
      </c>
      <c r="AJ2226" s="1">
        <v>4</v>
      </c>
      <c r="AK2226" s="1" t="s">
        <v>109</v>
      </c>
      <c r="AL2226" s="1" t="s">
        <v>109</v>
      </c>
      <c r="AM2226" s="1" t="s">
        <v>109</v>
      </c>
      <c r="AN2226" s="1" t="s">
        <v>109</v>
      </c>
      <c r="AO2226" s="1" t="s">
        <v>109</v>
      </c>
      <c r="AP2226" s="1"/>
      <c r="AQ2226" s="1">
        <v>4</v>
      </c>
      <c r="AR2226" s="1"/>
      <c r="AS2226" s="1"/>
      <c r="AT2226" s="1">
        <v>0</v>
      </c>
      <c r="AU2226" s="1">
        <v>0</v>
      </c>
      <c r="AV2226" s="1">
        <v>0</v>
      </c>
      <c r="AW2226" s="1">
        <v>0</v>
      </c>
      <c r="AX2226" s="1">
        <v>0</v>
      </c>
      <c r="AY2226" s="1">
        <v>0</v>
      </c>
      <c r="AZ2226" s="1">
        <v>0</v>
      </c>
      <c r="BA2226" s="1">
        <v>0</v>
      </c>
      <c r="BB2226" s="1">
        <v>0</v>
      </c>
      <c r="BC2226" s="1">
        <v>0</v>
      </c>
      <c r="BD2226" s="1">
        <v>0</v>
      </c>
      <c r="BE2226" s="1">
        <v>0</v>
      </c>
      <c r="BF2226" s="1">
        <v>0</v>
      </c>
      <c r="BG2226" s="1">
        <v>0</v>
      </c>
      <c r="BH2226" s="1">
        <v>0</v>
      </c>
      <c r="BI2226" s="1">
        <v>0</v>
      </c>
      <c r="BJ2226" s="1">
        <v>0</v>
      </c>
      <c r="BK2226" s="1">
        <v>0</v>
      </c>
      <c r="BL2226" s="1">
        <v>0</v>
      </c>
      <c r="BM2226" s="1">
        <v>0</v>
      </c>
      <c r="BN2226" s="1">
        <v>0</v>
      </c>
      <c r="BO2226" s="1">
        <v>0</v>
      </c>
      <c r="BP2226" s="1">
        <v>0</v>
      </c>
      <c r="BQ2226" s="1">
        <v>0</v>
      </c>
      <c r="BR2226" s="1">
        <v>0</v>
      </c>
      <c r="BS2226" s="1" t="s">
        <v>109</v>
      </c>
      <c r="BT2226" s="1">
        <v>2313</v>
      </c>
      <c r="BU2226" s="1" t="s">
        <v>109</v>
      </c>
      <c r="BV2226" s="1"/>
      <c r="BW2226" s="1"/>
      <c r="BX2226" s="1"/>
      <c r="BY2226" s="1"/>
      <c r="BZ2226" s="1">
        <v>0</v>
      </c>
      <c r="CA2226" s="1" t="s">
        <v>109</v>
      </c>
      <c r="CB2226" s="1">
        <v>2</v>
      </c>
      <c r="CC2226" s="1">
        <v>3</v>
      </c>
      <c r="CD2226" s="1">
        <v>2</v>
      </c>
      <c r="CE2226" s="1">
        <v>2</v>
      </c>
      <c r="CF2226" s="1" t="s">
        <v>109</v>
      </c>
      <c r="CG2226" s="1" t="s">
        <v>109</v>
      </c>
      <c r="CH2226" s="1" t="s">
        <v>109</v>
      </c>
      <c r="CI2226" s="1" t="s">
        <v>109</v>
      </c>
      <c r="CJ2226" s="1" t="s">
        <v>109</v>
      </c>
      <c r="CK2226" s="1"/>
      <c r="CL2226" s="1">
        <v>0</v>
      </c>
      <c r="CM2226" s="1">
        <v>0</v>
      </c>
      <c r="CN2226" s="1">
        <v>0</v>
      </c>
    </row>
    <row r="2227" spans="1:92" ht="14.25" customHeight="1" x14ac:dyDescent="0.15">
      <c r="A2227" s="1" t="s">
        <v>16053</v>
      </c>
      <c r="B2227" s="1" t="s">
        <v>156</v>
      </c>
      <c r="C2227" s="1" t="s">
        <v>157</v>
      </c>
      <c r="D2227" s="1" t="s">
        <v>16043</v>
      </c>
      <c r="E2227" s="1" t="s">
        <v>16054</v>
      </c>
      <c r="F2227" s="1" t="s">
        <v>98</v>
      </c>
      <c r="G2227" s="1" t="s">
        <v>141</v>
      </c>
      <c r="H2227" s="1">
        <v>0</v>
      </c>
      <c r="I2227" s="1" t="s">
        <v>122</v>
      </c>
      <c r="J2227" s="1"/>
      <c r="K2227" s="1"/>
      <c r="L2227" s="1" t="s">
        <v>563</v>
      </c>
      <c r="M2227" s="1" t="s">
        <v>6144</v>
      </c>
      <c r="N2227" s="1">
        <v>1</v>
      </c>
      <c r="O2227" s="1">
        <v>0</v>
      </c>
      <c r="P2227" s="1" t="s">
        <v>301</v>
      </c>
      <c r="Q2227" s="1" t="s">
        <v>104</v>
      </c>
      <c r="R2227" s="1" t="s">
        <v>16055</v>
      </c>
      <c r="S2227" s="1" t="s">
        <v>16056</v>
      </c>
      <c r="T2227" s="1" t="s">
        <v>16034</v>
      </c>
      <c r="U2227" s="1" t="s">
        <v>16057</v>
      </c>
      <c r="V2227" s="1">
        <v>1</v>
      </c>
      <c r="W2227" s="1">
        <v>1</v>
      </c>
      <c r="X2227" s="1">
        <v>0</v>
      </c>
      <c r="Y2227" s="1">
        <v>0</v>
      </c>
      <c r="Z2227" s="1">
        <v>0</v>
      </c>
      <c r="AA2227" s="1" t="s">
        <v>109</v>
      </c>
      <c r="AB2227" s="1" t="s">
        <v>109</v>
      </c>
      <c r="AC2227" s="1" t="s">
        <v>109</v>
      </c>
      <c r="AD2227" s="1" t="s">
        <v>109</v>
      </c>
      <c r="AE2227" s="1" t="s">
        <v>109</v>
      </c>
      <c r="AF2227" s="1">
        <v>2</v>
      </c>
      <c r="AG2227" s="1" t="s">
        <v>109</v>
      </c>
      <c r="AH2227" s="1" t="s">
        <v>109</v>
      </c>
      <c r="AI2227" s="1" t="s">
        <v>109</v>
      </c>
      <c r="AJ2227" s="1">
        <v>3</v>
      </c>
      <c r="AK2227" s="1" t="s">
        <v>109</v>
      </c>
      <c r="AL2227" s="1" t="s">
        <v>109</v>
      </c>
      <c r="AM2227" s="1">
        <v>2</v>
      </c>
      <c r="AN2227" s="1" t="s">
        <v>109</v>
      </c>
      <c r="AO2227" s="1" t="s">
        <v>109</v>
      </c>
      <c r="AP2227" s="1"/>
      <c r="AQ2227" s="1">
        <v>2</v>
      </c>
      <c r="AR2227" s="1"/>
      <c r="AS2227" s="1"/>
      <c r="AT2227" s="1">
        <v>0</v>
      </c>
      <c r="AU2227" s="1">
        <v>0</v>
      </c>
      <c r="AV2227" s="1">
        <v>0</v>
      </c>
      <c r="AW2227" s="1">
        <v>0</v>
      </c>
      <c r="AX2227" s="1">
        <v>0</v>
      </c>
      <c r="AY2227" s="1">
        <v>0</v>
      </c>
      <c r="AZ2227" s="1">
        <v>0</v>
      </c>
      <c r="BA2227" s="1">
        <v>0</v>
      </c>
      <c r="BB2227" s="1">
        <v>0</v>
      </c>
      <c r="BC2227" s="1">
        <v>0</v>
      </c>
      <c r="BD2227" s="1">
        <v>1</v>
      </c>
      <c r="BE2227" s="1">
        <v>0</v>
      </c>
      <c r="BF2227" s="1">
        <v>0</v>
      </c>
      <c r="BG2227" s="1">
        <v>0</v>
      </c>
      <c r="BH2227" s="1">
        <v>0</v>
      </c>
      <c r="BI2227" s="1">
        <v>0</v>
      </c>
      <c r="BJ2227" s="1">
        <v>0</v>
      </c>
      <c r="BK2227" s="1">
        <v>0</v>
      </c>
      <c r="BL2227" s="1">
        <v>0</v>
      </c>
      <c r="BM2227" s="1">
        <v>1</v>
      </c>
      <c r="BN2227" s="1">
        <v>0</v>
      </c>
      <c r="BO2227" s="1">
        <v>0</v>
      </c>
      <c r="BP2227" s="1">
        <v>0</v>
      </c>
      <c r="BQ2227" s="1">
        <v>0</v>
      </c>
      <c r="BR2227" s="1">
        <v>0</v>
      </c>
      <c r="BS2227" s="1" t="s">
        <v>109</v>
      </c>
      <c r="BT2227" s="1">
        <v>2314</v>
      </c>
      <c r="BU2227" s="1" t="s">
        <v>109</v>
      </c>
      <c r="BV2227" s="1"/>
      <c r="BW2227" s="1"/>
      <c r="BX2227" s="1"/>
      <c r="BY2227" s="1"/>
      <c r="BZ2227" s="1">
        <v>0</v>
      </c>
      <c r="CA2227" s="1">
        <v>2</v>
      </c>
      <c r="CB2227" s="1">
        <v>3</v>
      </c>
      <c r="CC2227" s="1">
        <v>3</v>
      </c>
      <c r="CD2227" s="1" t="s">
        <v>109</v>
      </c>
      <c r="CE2227" s="1">
        <v>2</v>
      </c>
      <c r="CF2227" s="1" t="s">
        <v>109</v>
      </c>
      <c r="CG2227" s="1">
        <v>2</v>
      </c>
      <c r="CH2227" s="1" t="s">
        <v>109</v>
      </c>
      <c r="CI2227" s="1" t="s">
        <v>109</v>
      </c>
      <c r="CJ2227" s="1" t="s">
        <v>109</v>
      </c>
      <c r="CK2227" s="1"/>
      <c r="CL2227" s="1">
        <v>0</v>
      </c>
      <c r="CM2227" s="1">
        <v>0</v>
      </c>
      <c r="CN2227" s="1">
        <v>0</v>
      </c>
    </row>
    <row r="2228" spans="1:92" ht="14.25" customHeight="1" x14ac:dyDescent="0.15">
      <c r="A2228" s="1" t="s">
        <v>16058</v>
      </c>
      <c r="B2228" s="1" t="s">
        <v>254</v>
      </c>
      <c r="C2228" s="1"/>
      <c r="D2228" s="1" t="s">
        <v>15341</v>
      </c>
      <c r="E2228" s="1" t="s">
        <v>16059</v>
      </c>
      <c r="F2228" s="1" t="s">
        <v>98</v>
      </c>
      <c r="G2228" s="1" t="s">
        <v>141</v>
      </c>
      <c r="H2228" s="1">
        <v>0</v>
      </c>
      <c r="I2228" s="1" t="s">
        <v>235</v>
      </c>
      <c r="J2228" s="1"/>
      <c r="K2228" s="1"/>
      <c r="L2228" s="1" t="s">
        <v>236</v>
      </c>
      <c r="M2228" s="1" t="s">
        <v>574</v>
      </c>
      <c r="N2228" s="1">
        <v>1</v>
      </c>
      <c r="O2228" s="1">
        <v>0</v>
      </c>
      <c r="P2228" s="1"/>
      <c r="Q2228" s="1"/>
      <c r="R2228" s="1" t="s">
        <v>16060</v>
      </c>
      <c r="S2228" s="1" t="s">
        <v>16061</v>
      </c>
      <c r="T2228" s="1" t="s">
        <v>16034</v>
      </c>
      <c r="U2228" s="1" t="s">
        <v>16062</v>
      </c>
      <c r="V2228" s="1">
        <v>1</v>
      </c>
      <c r="W2228" s="1">
        <v>1</v>
      </c>
      <c r="X2228" s="1">
        <v>0</v>
      </c>
      <c r="Y2228" s="1">
        <v>0</v>
      </c>
      <c r="Z2228" s="1">
        <v>0</v>
      </c>
      <c r="AA2228" s="1" t="s">
        <v>109</v>
      </c>
      <c r="AB2228" s="1" t="s">
        <v>109</v>
      </c>
      <c r="AC2228" s="1" t="s">
        <v>109</v>
      </c>
      <c r="AD2228" s="1" t="s">
        <v>109</v>
      </c>
      <c r="AE2228" s="1" t="s">
        <v>109</v>
      </c>
      <c r="AF2228" s="1" t="s">
        <v>109</v>
      </c>
      <c r="AG2228" s="1" t="s">
        <v>109</v>
      </c>
      <c r="AH2228" s="1" t="s">
        <v>109</v>
      </c>
      <c r="AI2228" s="1" t="s">
        <v>109</v>
      </c>
      <c r="AJ2228" s="1">
        <v>2</v>
      </c>
      <c r="AK2228" s="1">
        <v>2</v>
      </c>
      <c r="AL2228" s="1" t="s">
        <v>109</v>
      </c>
      <c r="AM2228" s="1">
        <v>2</v>
      </c>
      <c r="AN2228" s="1" t="s">
        <v>109</v>
      </c>
      <c r="AO2228" s="1" t="s">
        <v>109</v>
      </c>
      <c r="AP2228" s="1"/>
      <c r="AQ2228" s="1">
        <v>2</v>
      </c>
      <c r="AR2228" s="1"/>
      <c r="AS2228" s="1"/>
      <c r="AT2228" s="1">
        <v>0</v>
      </c>
      <c r="AU2228" s="1">
        <v>0</v>
      </c>
      <c r="AV2228" s="1">
        <v>0</v>
      </c>
      <c r="AW2228" s="1">
        <v>0</v>
      </c>
      <c r="AX2228" s="1">
        <v>0</v>
      </c>
      <c r="AY2228" s="1">
        <v>0</v>
      </c>
      <c r="AZ2228" s="1">
        <v>0</v>
      </c>
      <c r="BA2228" s="1">
        <v>0</v>
      </c>
      <c r="BB2228" s="1">
        <v>0</v>
      </c>
      <c r="BC2228" s="1">
        <v>0</v>
      </c>
      <c r="BD2228" s="1">
        <v>0</v>
      </c>
      <c r="BE2228" s="1">
        <v>0</v>
      </c>
      <c r="BF2228" s="1">
        <v>0</v>
      </c>
      <c r="BG2228" s="1">
        <v>0</v>
      </c>
      <c r="BH2228" s="1">
        <v>0</v>
      </c>
      <c r="BI2228" s="1">
        <v>0</v>
      </c>
      <c r="BJ2228" s="1">
        <v>0</v>
      </c>
      <c r="BK2228" s="1">
        <v>0</v>
      </c>
      <c r="BL2228" s="1">
        <v>0</v>
      </c>
      <c r="BM2228" s="1">
        <v>1</v>
      </c>
      <c r="BN2228" s="1">
        <v>1</v>
      </c>
      <c r="BO2228" s="1">
        <v>0</v>
      </c>
      <c r="BP2228" s="1">
        <v>0</v>
      </c>
      <c r="BQ2228" s="1">
        <v>0</v>
      </c>
      <c r="BR2228" s="1">
        <v>0</v>
      </c>
      <c r="BS2228" s="1" t="s">
        <v>109</v>
      </c>
      <c r="BT2228" s="1">
        <v>2315</v>
      </c>
      <c r="BU2228" s="1" t="s">
        <v>109</v>
      </c>
      <c r="BV2228" s="1"/>
      <c r="BW2228" s="1"/>
      <c r="BX2228" s="1"/>
      <c r="BY2228" s="1"/>
      <c r="BZ2228" s="1">
        <v>0</v>
      </c>
      <c r="CA2228" s="1">
        <v>2</v>
      </c>
      <c r="CB2228" s="1">
        <v>2</v>
      </c>
      <c r="CC2228" s="1">
        <v>2</v>
      </c>
      <c r="CD2228" s="1">
        <v>2</v>
      </c>
      <c r="CE2228" s="1" t="s">
        <v>109</v>
      </c>
      <c r="CF2228" s="1">
        <v>2</v>
      </c>
      <c r="CG2228" s="1">
        <v>2</v>
      </c>
      <c r="CH2228" s="1" t="s">
        <v>109</v>
      </c>
      <c r="CI2228" s="1" t="s">
        <v>109</v>
      </c>
      <c r="CJ2228" s="1" t="s">
        <v>109</v>
      </c>
      <c r="CK2228" s="1"/>
      <c r="CL2228" s="1">
        <v>0</v>
      </c>
      <c r="CM2228" s="1">
        <v>0</v>
      </c>
      <c r="CN2228" s="1">
        <v>0</v>
      </c>
    </row>
    <row r="2229" spans="1:92" ht="14.25" customHeight="1" x14ac:dyDescent="0.15">
      <c r="A2229" s="1" t="s">
        <v>16063</v>
      </c>
      <c r="B2229" s="1" t="s">
        <v>156</v>
      </c>
      <c r="C2229" s="1" t="s">
        <v>157</v>
      </c>
      <c r="D2229" s="1" t="s">
        <v>16043</v>
      </c>
      <c r="E2229" s="1" t="s">
        <v>16064</v>
      </c>
      <c r="F2229" s="1" t="s">
        <v>98</v>
      </c>
      <c r="G2229" s="1" t="s">
        <v>2345</v>
      </c>
      <c r="H2229" s="1">
        <v>0</v>
      </c>
      <c r="I2229" s="1" t="s">
        <v>142</v>
      </c>
      <c r="J2229" s="1"/>
      <c r="K2229" s="1"/>
      <c r="L2229" s="1" t="s">
        <v>563</v>
      </c>
      <c r="M2229" s="1" t="s">
        <v>6144</v>
      </c>
      <c r="N2229" s="1">
        <v>1</v>
      </c>
      <c r="O2229" s="1">
        <v>0</v>
      </c>
      <c r="P2229" s="1" t="s">
        <v>380</v>
      </c>
      <c r="Q2229" s="1" t="s">
        <v>268</v>
      </c>
      <c r="R2229" s="1" t="s">
        <v>16065</v>
      </c>
      <c r="S2229" s="1" t="s">
        <v>16066</v>
      </c>
      <c r="T2229" s="1" t="s">
        <v>16034</v>
      </c>
      <c r="U2229" s="1" t="s">
        <v>16067</v>
      </c>
      <c r="V2229" s="1">
        <v>0</v>
      </c>
      <c r="W2229" s="1">
        <v>1</v>
      </c>
      <c r="X2229" s="1">
        <v>0</v>
      </c>
      <c r="Y2229" s="1">
        <v>0</v>
      </c>
      <c r="Z2229" s="1">
        <v>0</v>
      </c>
      <c r="AA2229" s="1">
        <v>3</v>
      </c>
      <c r="AB2229" s="1">
        <v>3</v>
      </c>
      <c r="AC2229" s="1" t="s">
        <v>109</v>
      </c>
      <c r="AD2229" s="1" t="s">
        <v>109</v>
      </c>
      <c r="AE2229" s="1" t="s">
        <v>109</v>
      </c>
      <c r="AF2229" s="1" t="s">
        <v>109</v>
      </c>
      <c r="AG2229" s="1" t="s">
        <v>109</v>
      </c>
      <c r="AH2229" s="1" t="s">
        <v>109</v>
      </c>
      <c r="AI2229" s="1" t="s">
        <v>109</v>
      </c>
      <c r="AJ2229" s="1">
        <v>2</v>
      </c>
      <c r="AK2229" s="1" t="s">
        <v>109</v>
      </c>
      <c r="AL2229" s="1" t="s">
        <v>109</v>
      </c>
      <c r="AM2229" s="1" t="s">
        <v>109</v>
      </c>
      <c r="AN2229" s="1">
        <v>3</v>
      </c>
      <c r="AO2229" s="1" t="s">
        <v>109</v>
      </c>
      <c r="AP2229" s="1"/>
      <c r="AQ2229" s="1">
        <v>3</v>
      </c>
      <c r="AR2229" s="1"/>
      <c r="AS2229" s="1"/>
      <c r="AT2229" s="1">
        <v>0</v>
      </c>
      <c r="AU2229" s="1">
        <v>0</v>
      </c>
      <c r="AV2229" s="1">
        <v>0</v>
      </c>
      <c r="AW2229" s="1">
        <v>0</v>
      </c>
      <c r="AX2229" s="1">
        <v>0</v>
      </c>
      <c r="AY2229" s="1">
        <v>0</v>
      </c>
      <c r="AZ2229" s="1">
        <v>0</v>
      </c>
      <c r="BA2229" s="1">
        <v>0</v>
      </c>
      <c r="BB2229" s="1">
        <v>0</v>
      </c>
      <c r="BC2229" s="1">
        <v>0</v>
      </c>
      <c r="BD2229" s="1">
        <v>1</v>
      </c>
      <c r="BE2229" s="1">
        <v>0</v>
      </c>
      <c r="BF2229" s="1">
        <v>0</v>
      </c>
      <c r="BG2229" s="1">
        <v>0</v>
      </c>
      <c r="BH2229" s="1">
        <v>0</v>
      </c>
      <c r="BI2229" s="1">
        <v>0</v>
      </c>
      <c r="BJ2229" s="1">
        <v>0</v>
      </c>
      <c r="BK2229" s="1">
        <v>0</v>
      </c>
      <c r="BL2229" s="1">
        <v>0</v>
      </c>
      <c r="BM2229" s="1">
        <v>1</v>
      </c>
      <c r="BN2229" s="1">
        <v>0</v>
      </c>
      <c r="BO2229" s="1">
        <v>0</v>
      </c>
      <c r="BP2229" s="1">
        <v>0</v>
      </c>
      <c r="BQ2229" s="1">
        <v>0</v>
      </c>
      <c r="BR2229" s="1">
        <v>0</v>
      </c>
      <c r="BS2229" s="1" t="s">
        <v>109</v>
      </c>
      <c r="BT2229" s="1">
        <v>2316</v>
      </c>
      <c r="BU2229" s="1" t="s">
        <v>109</v>
      </c>
      <c r="BV2229" s="1"/>
      <c r="BW2229" s="1"/>
      <c r="BX2229" s="1"/>
      <c r="BY2229" s="1"/>
      <c r="BZ2229" s="1">
        <v>0</v>
      </c>
      <c r="CA2229" s="1">
        <v>3</v>
      </c>
      <c r="CB2229" s="1" t="s">
        <v>109</v>
      </c>
      <c r="CC2229" s="1">
        <v>2</v>
      </c>
      <c r="CD2229" s="1">
        <v>3</v>
      </c>
      <c r="CE2229" s="1">
        <v>2</v>
      </c>
      <c r="CF2229" s="1" t="s">
        <v>109</v>
      </c>
      <c r="CG2229" s="1">
        <v>2</v>
      </c>
      <c r="CH2229" s="1" t="s">
        <v>109</v>
      </c>
      <c r="CI2229" s="1" t="s">
        <v>109</v>
      </c>
      <c r="CJ2229" s="1" t="s">
        <v>109</v>
      </c>
      <c r="CK2229" s="1"/>
      <c r="CL2229" s="1">
        <v>0</v>
      </c>
      <c r="CM2229" s="1">
        <v>0</v>
      </c>
      <c r="CN2229" s="1">
        <v>0</v>
      </c>
    </row>
    <row r="2230" spans="1:92" ht="14.25" customHeight="1" x14ac:dyDescent="0.15">
      <c r="A2230" s="1" t="s">
        <v>16068</v>
      </c>
      <c r="B2230" s="1" t="s">
        <v>242</v>
      </c>
      <c r="C2230" s="1"/>
      <c r="D2230" s="1"/>
      <c r="E2230" s="1" t="s">
        <v>16069</v>
      </c>
      <c r="F2230" s="1" t="s">
        <v>98</v>
      </c>
      <c r="G2230" s="1" t="s">
        <v>141</v>
      </c>
      <c r="H2230" s="1">
        <v>0</v>
      </c>
      <c r="I2230" s="1" t="s">
        <v>142</v>
      </c>
      <c r="J2230" s="1"/>
      <c r="K2230" s="1"/>
      <c r="L2230" s="1" t="s">
        <v>1391</v>
      </c>
      <c r="M2230" s="1" t="s">
        <v>125</v>
      </c>
      <c r="N2230" s="1">
        <v>0</v>
      </c>
      <c r="O2230" s="1">
        <v>0</v>
      </c>
      <c r="P2230" s="1" t="s">
        <v>380</v>
      </c>
      <c r="Q2230" s="1" t="s">
        <v>268</v>
      </c>
      <c r="R2230" s="1" t="s">
        <v>16070</v>
      </c>
      <c r="S2230" s="1" t="s">
        <v>16071</v>
      </c>
      <c r="T2230" s="1" t="s">
        <v>16034</v>
      </c>
      <c r="U2230" s="1" t="s">
        <v>16072</v>
      </c>
      <c r="V2230" s="1">
        <v>1</v>
      </c>
      <c r="W2230" s="1">
        <v>1</v>
      </c>
      <c r="X2230" s="1">
        <v>0</v>
      </c>
      <c r="Y2230" s="1">
        <v>0</v>
      </c>
      <c r="Z2230" s="1">
        <v>0</v>
      </c>
      <c r="AA2230" s="1">
        <v>3</v>
      </c>
      <c r="AB2230" s="1">
        <v>3</v>
      </c>
      <c r="AC2230" s="1" t="s">
        <v>109</v>
      </c>
      <c r="AD2230" s="1">
        <v>3</v>
      </c>
      <c r="AE2230" s="1" t="s">
        <v>109</v>
      </c>
      <c r="AF2230" s="1" t="s">
        <v>109</v>
      </c>
      <c r="AG2230" s="1" t="s">
        <v>109</v>
      </c>
      <c r="AH2230" s="1" t="s">
        <v>109</v>
      </c>
      <c r="AI2230" s="1" t="s">
        <v>109</v>
      </c>
      <c r="AJ2230" s="1">
        <v>3</v>
      </c>
      <c r="AK2230" s="1">
        <v>3</v>
      </c>
      <c r="AL2230" s="1" t="s">
        <v>109</v>
      </c>
      <c r="AM2230" s="1" t="s">
        <v>109</v>
      </c>
      <c r="AN2230" s="1" t="s">
        <v>109</v>
      </c>
      <c r="AO2230" s="1" t="s">
        <v>109</v>
      </c>
      <c r="AP2230" s="1"/>
      <c r="AQ2230" s="1">
        <v>3</v>
      </c>
      <c r="AR2230" s="1"/>
      <c r="AS2230" s="1"/>
      <c r="AT2230" s="1">
        <v>0</v>
      </c>
      <c r="AU2230" s="1">
        <v>0</v>
      </c>
      <c r="AV2230" s="1">
        <v>0</v>
      </c>
      <c r="AW2230" s="1">
        <v>0</v>
      </c>
      <c r="AX2230" s="1">
        <v>0</v>
      </c>
      <c r="AY2230" s="1">
        <v>0</v>
      </c>
      <c r="AZ2230" s="1">
        <v>0</v>
      </c>
      <c r="BA2230" s="1">
        <v>0</v>
      </c>
      <c r="BB2230" s="1">
        <v>0</v>
      </c>
      <c r="BC2230" s="1">
        <v>0</v>
      </c>
      <c r="BD2230" s="1">
        <v>0</v>
      </c>
      <c r="BE2230" s="1">
        <v>0</v>
      </c>
      <c r="BF2230" s="1">
        <v>0</v>
      </c>
      <c r="BG2230" s="1">
        <v>0</v>
      </c>
      <c r="BH2230" s="1">
        <v>0</v>
      </c>
      <c r="BI2230" s="1">
        <v>0</v>
      </c>
      <c r="BJ2230" s="1">
        <v>0</v>
      </c>
      <c r="BK2230" s="1">
        <v>0</v>
      </c>
      <c r="BL2230" s="1">
        <v>0</v>
      </c>
      <c r="BM2230" s="1">
        <v>0</v>
      </c>
      <c r="BN2230" s="1">
        <v>0</v>
      </c>
      <c r="BO2230" s="1">
        <v>0</v>
      </c>
      <c r="BP2230" s="1">
        <v>0</v>
      </c>
      <c r="BQ2230" s="1">
        <v>0</v>
      </c>
      <c r="BR2230" s="1">
        <v>0</v>
      </c>
      <c r="BS2230" s="1" t="s">
        <v>109</v>
      </c>
      <c r="BT2230" s="1">
        <v>2317</v>
      </c>
      <c r="BU2230" s="1" t="s">
        <v>109</v>
      </c>
      <c r="BV2230" s="1"/>
      <c r="BW2230" s="1"/>
      <c r="BX2230" s="1"/>
      <c r="BY2230" s="1"/>
      <c r="BZ2230" s="1">
        <v>0</v>
      </c>
      <c r="CA2230" s="1" t="s">
        <v>109</v>
      </c>
      <c r="CB2230" s="1">
        <v>3</v>
      </c>
      <c r="CC2230" s="1">
        <v>3</v>
      </c>
      <c r="CD2230" s="1" t="s">
        <v>109</v>
      </c>
      <c r="CE2230" s="1" t="s">
        <v>109</v>
      </c>
      <c r="CF2230" s="1">
        <v>3</v>
      </c>
      <c r="CG2230" s="1" t="s">
        <v>109</v>
      </c>
      <c r="CH2230" s="1" t="s">
        <v>109</v>
      </c>
      <c r="CI2230" s="1" t="s">
        <v>109</v>
      </c>
      <c r="CJ2230" s="1">
        <v>3</v>
      </c>
      <c r="CK2230" s="1"/>
      <c r="CL2230" s="1">
        <v>0</v>
      </c>
      <c r="CM2230" s="1">
        <v>0</v>
      </c>
      <c r="CN2230" s="1">
        <v>0</v>
      </c>
    </row>
    <row r="2231" spans="1:92" ht="14.25" customHeight="1" x14ac:dyDescent="0.15">
      <c r="A2231" s="1" t="s">
        <v>16073</v>
      </c>
      <c r="B2231" s="1" t="s">
        <v>308</v>
      </c>
      <c r="C2231" s="1"/>
      <c r="D2231" s="1" t="s">
        <v>16074</v>
      </c>
      <c r="E2231" s="1" t="s">
        <v>16075</v>
      </c>
      <c r="F2231" s="1" t="s">
        <v>98</v>
      </c>
      <c r="G2231" s="1" t="s">
        <v>141</v>
      </c>
      <c r="H2231" s="1">
        <v>0</v>
      </c>
      <c r="I2231" s="1" t="s">
        <v>161</v>
      </c>
      <c r="J2231" s="1"/>
      <c r="K2231" s="1"/>
      <c r="L2231" s="1" t="s">
        <v>10530</v>
      </c>
      <c r="M2231" s="1" t="s">
        <v>16076</v>
      </c>
      <c r="N2231" s="1">
        <v>0</v>
      </c>
      <c r="O2231" s="1">
        <v>0</v>
      </c>
      <c r="P2231" s="1" t="s">
        <v>16077</v>
      </c>
      <c r="Q2231" s="1" t="s">
        <v>268</v>
      </c>
      <c r="R2231" s="1" t="s">
        <v>16078</v>
      </c>
      <c r="S2231" s="1" t="s">
        <v>16079</v>
      </c>
      <c r="T2231" s="1" t="s">
        <v>16034</v>
      </c>
      <c r="U2231" s="1" t="s">
        <v>16080</v>
      </c>
      <c r="V2231" s="1">
        <v>1</v>
      </c>
      <c r="W2231" s="1">
        <v>1</v>
      </c>
      <c r="X2231" s="1">
        <v>0</v>
      </c>
      <c r="Y2231" s="1">
        <v>0</v>
      </c>
      <c r="Z2231" s="1">
        <v>0</v>
      </c>
      <c r="AA2231" s="1" t="s">
        <v>109</v>
      </c>
      <c r="AB2231" s="1" t="s">
        <v>109</v>
      </c>
      <c r="AC2231" s="1" t="s">
        <v>109</v>
      </c>
      <c r="AD2231" s="1" t="s">
        <v>109</v>
      </c>
      <c r="AE2231" s="1" t="s">
        <v>109</v>
      </c>
      <c r="AF2231" s="1" t="s">
        <v>109</v>
      </c>
      <c r="AG2231" s="1" t="s">
        <v>109</v>
      </c>
      <c r="AH2231" s="1" t="s">
        <v>109</v>
      </c>
      <c r="AI2231" s="1" t="s">
        <v>109</v>
      </c>
      <c r="AJ2231" s="1">
        <v>4</v>
      </c>
      <c r="AK2231" s="1">
        <v>3</v>
      </c>
      <c r="AL2231" s="1" t="s">
        <v>109</v>
      </c>
      <c r="AM2231" s="1">
        <v>3</v>
      </c>
      <c r="AN2231" s="1" t="s">
        <v>109</v>
      </c>
      <c r="AO2231" s="1" t="s">
        <v>109</v>
      </c>
      <c r="AP2231" s="1"/>
      <c r="AQ2231" s="1" t="s">
        <v>109</v>
      </c>
      <c r="AR2231" s="1"/>
      <c r="AS2231" s="1"/>
      <c r="AT2231" s="1">
        <v>0</v>
      </c>
      <c r="AU2231" s="1">
        <v>0</v>
      </c>
      <c r="AV2231" s="1">
        <v>0</v>
      </c>
      <c r="AW2231" s="1">
        <v>0</v>
      </c>
      <c r="AX2231" s="1">
        <v>1</v>
      </c>
      <c r="AY2231" s="1">
        <v>0</v>
      </c>
      <c r="AZ2231" s="1">
        <v>0</v>
      </c>
      <c r="BA2231" s="1">
        <v>0</v>
      </c>
      <c r="BB2231" s="1">
        <v>0</v>
      </c>
      <c r="BC2231" s="1">
        <v>0</v>
      </c>
      <c r="BD2231" s="1">
        <v>0</v>
      </c>
      <c r="BE2231" s="1">
        <v>0</v>
      </c>
      <c r="BF2231" s="1">
        <v>0</v>
      </c>
      <c r="BG2231" s="1">
        <v>0</v>
      </c>
      <c r="BH2231" s="1">
        <v>0</v>
      </c>
      <c r="BI2231" s="1">
        <v>0</v>
      </c>
      <c r="BJ2231" s="1">
        <v>0</v>
      </c>
      <c r="BK2231" s="1">
        <v>0</v>
      </c>
      <c r="BL2231" s="1">
        <v>0</v>
      </c>
      <c r="BM2231" s="1">
        <v>0</v>
      </c>
      <c r="BN2231" s="1">
        <v>0</v>
      </c>
      <c r="BO2231" s="1">
        <v>0</v>
      </c>
      <c r="BP2231" s="1">
        <v>0</v>
      </c>
      <c r="BQ2231" s="1">
        <v>0</v>
      </c>
      <c r="BR2231" s="1">
        <v>0</v>
      </c>
      <c r="BS2231" s="1" t="s">
        <v>109</v>
      </c>
      <c r="BT2231" s="1">
        <v>2318</v>
      </c>
      <c r="BU2231" s="1" t="s">
        <v>109</v>
      </c>
      <c r="BV2231" s="1"/>
      <c r="BW2231" s="1"/>
      <c r="BX2231" s="1"/>
      <c r="BY2231" s="1"/>
      <c r="BZ2231" s="1">
        <v>0</v>
      </c>
      <c r="CA2231" s="1" t="s">
        <v>109</v>
      </c>
      <c r="CB2231" s="1" t="s">
        <v>109</v>
      </c>
      <c r="CC2231" s="1" t="s">
        <v>109</v>
      </c>
      <c r="CD2231" s="1" t="s">
        <v>109</v>
      </c>
      <c r="CE2231" s="1" t="s">
        <v>109</v>
      </c>
      <c r="CF2231" s="1">
        <v>3</v>
      </c>
      <c r="CG2231" s="1">
        <v>3</v>
      </c>
      <c r="CH2231" s="1" t="s">
        <v>109</v>
      </c>
      <c r="CI2231" s="1" t="s">
        <v>109</v>
      </c>
      <c r="CJ2231" s="1" t="s">
        <v>109</v>
      </c>
      <c r="CK2231" s="1"/>
      <c r="CL2231" s="1">
        <v>0</v>
      </c>
      <c r="CM2231" s="1">
        <v>0</v>
      </c>
      <c r="CN2231" s="1">
        <v>0</v>
      </c>
    </row>
    <row r="2232" spans="1:92" ht="14.25" customHeight="1" x14ac:dyDescent="0.15">
      <c r="A2232" s="1" t="s">
        <v>16081</v>
      </c>
      <c r="B2232" s="1" t="s">
        <v>254</v>
      </c>
      <c r="C2232" s="1"/>
      <c r="D2232" s="1" t="s">
        <v>158</v>
      </c>
      <c r="E2232" s="1" t="s">
        <v>16082</v>
      </c>
      <c r="F2232" s="1" t="s">
        <v>98</v>
      </c>
      <c r="G2232" s="1" t="s">
        <v>2345</v>
      </c>
      <c r="H2232" s="1">
        <v>0</v>
      </c>
      <c r="I2232" s="1" t="s">
        <v>235</v>
      </c>
      <c r="J2232" s="1" t="s">
        <v>4038</v>
      </c>
      <c r="K2232" s="1"/>
      <c r="L2232" s="1"/>
      <c r="M2232" s="1" t="s">
        <v>574</v>
      </c>
      <c r="N2232" s="1">
        <v>1</v>
      </c>
      <c r="O2232" s="1">
        <v>0</v>
      </c>
      <c r="P2232" s="1" t="s">
        <v>301</v>
      </c>
      <c r="Q2232" s="1" t="s">
        <v>268</v>
      </c>
      <c r="R2232" s="1" t="s">
        <v>16083</v>
      </c>
      <c r="S2232" s="1" t="s">
        <v>16084</v>
      </c>
      <c r="T2232" s="1" t="s">
        <v>16034</v>
      </c>
      <c r="U2232" s="1" t="s">
        <v>16085</v>
      </c>
      <c r="V2232" s="1">
        <v>0</v>
      </c>
      <c r="W2232" s="1">
        <v>1</v>
      </c>
      <c r="X2232" s="1">
        <v>0</v>
      </c>
      <c r="Y2232" s="1">
        <v>0</v>
      </c>
      <c r="Z2232" s="1">
        <v>0</v>
      </c>
      <c r="AA2232" s="1" t="s">
        <v>109</v>
      </c>
      <c r="AB2232" s="1" t="s">
        <v>109</v>
      </c>
      <c r="AC2232" s="1" t="s">
        <v>109</v>
      </c>
      <c r="AD2232" s="1">
        <v>4</v>
      </c>
      <c r="AE2232" s="1" t="s">
        <v>109</v>
      </c>
      <c r="AF2232" s="1" t="s">
        <v>109</v>
      </c>
      <c r="AG2232" s="1" t="s">
        <v>109</v>
      </c>
      <c r="AH2232" s="1" t="s">
        <v>109</v>
      </c>
      <c r="AI2232" s="1" t="s">
        <v>109</v>
      </c>
      <c r="AJ2232" s="1">
        <v>3</v>
      </c>
      <c r="AK2232" s="1" t="s">
        <v>109</v>
      </c>
      <c r="AL2232" s="1" t="s">
        <v>109</v>
      </c>
      <c r="AM2232" s="1" t="s">
        <v>109</v>
      </c>
      <c r="AN2232" s="1" t="s">
        <v>109</v>
      </c>
      <c r="AO2232" s="1" t="s">
        <v>109</v>
      </c>
      <c r="AP2232" s="1"/>
      <c r="AQ2232" s="1">
        <v>4</v>
      </c>
      <c r="AR2232" s="1"/>
      <c r="AS2232" s="1"/>
      <c r="AT2232" s="1">
        <v>0</v>
      </c>
      <c r="AU2232" s="1">
        <v>0</v>
      </c>
      <c r="AV2232" s="1">
        <v>0</v>
      </c>
      <c r="AW2232" s="1">
        <v>0</v>
      </c>
      <c r="AX2232" s="1">
        <v>0</v>
      </c>
      <c r="AY2232" s="1">
        <v>0</v>
      </c>
      <c r="AZ2232" s="1">
        <v>0</v>
      </c>
      <c r="BA2232" s="1">
        <v>0</v>
      </c>
      <c r="BB2232" s="1">
        <v>0</v>
      </c>
      <c r="BC2232" s="1">
        <v>0</v>
      </c>
      <c r="BD2232" s="1">
        <v>0</v>
      </c>
      <c r="BE2232" s="1">
        <v>0</v>
      </c>
      <c r="BF2232" s="1">
        <v>0</v>
      </c>
      <c r="BG2232" s="1">
        <v>0</v>
      </c>
      <c r="BH2232" s="1">
        <v>0</v>
      </c>
      <c r="BI2232" s="1">
        <v>0</v>
      </c>
      <c r="BJ2232" s="1">
        <v>0</v>
      </c>
      <c r="BK2232" s="1">
        <v>0</v>
      </c>
      <c r="BL2232" s="1">
        <v>0</v>
      </c>
      <c r="BM2232" s="1">
        <v>1</v>
      </c>
      <c r="BN2232" s="1">
        <v>0</v>
      </c>
      <c r="BO2232" s="1">
        <v>0</v>
      </c>
      <c r="BP2232" s="1">
        <v>0</v>
      </c>
      <c r="BQ2232" s="1">
        <v>0</v>
      </c>
      <c r="BR2232" s="1">
        <v>0</v>
      </c>
      <c r="BS2232" s="1" t="s">
        <v>109</v>
      </c>
      <c r="BT2232" s="1">
        <v>2319</v>
      </c>
      <c r="BU2232" s="1" t="s">
        <v>109</v>
      </c>
      <c r="BV2232" s="1"/>
      <c r="BW2232" s="1"/>
      <c r="BX2232" s="1"/>
      <c r="BY2232" s="1"/>
      <c r="BZ2232" s="1">
        <v>0</v>
      </c>
      <c r="CA2232" s="1" t="s">
        <v>109</v>
      </c>
      <c r="CB2232" s="1" t="s">
        <v>109</v>
      </c>
      <c r="CC2232" s="1">
        <v>3</v>
      </c>
      <c r="CD2232" s="1">
        <v>2</v>
      </c>
      <c r="CE2232" s="1">
        <v>3</v>
      </c>
      <c r="CF2232" s="1" t="s">
        <v>109</v>
      </c>
      <c r="CG2232" s="1" t="s">
        <v>109</v>
      </c>
      <c r="CH2232" s="1" t="s">
        <v>109</v>
      </c>
      <c r="CI2232" s="1" t="s">
        <v>109</v>
      </c>
      <c r="CJ2232" s="1">
        <v>4</v>
      </c>
      <c r="CK2232" s="1"/>
      <c r="CL2232" s="1">
        <v>0</v>
      </c>
      <c r="CM2232" s="1">
        <v>0</v>
      </c>
      <c r="CN2232" s="1">
        <v>0</v>
      </c>
    </row>
    <row r="2233" spans="1:92" ht="14.25" customHeight="1" x14ac:dyDescent="0.15">
      <c r="A2233" s="1" t="s">
        <v>16086</v>
      </c>
      <c r="B2233" s="1" t="s">
        <v>674</v>
      </c>
      <c r="C2233" s="1" t="s">
        <v>1715</v>
      </c>
      <c r="D2233" s="1" t="s">
        <v>158</v>
      </c>
      <c r="E2233" s="1" t="s">
        <v>16087</v>
      </c>
      <c r="F2233" s="1" t="s">
        <v>98</v>
      </c>
      <c r="G2233" s="1" t="s">
        <v>333</v>
      </c>
      <c r="H2233" s="1">
        <v>0</v>
      </c>
      <c r="I2233" s="1" t="s">
        <v>235</v>
      </c>
      <c r="J2233" s="1"/>
      <c r="K2233" s="1"/>
      <c r="L2233" s="1" t="s">
        <v>236</v>
      </c>
      <c r="M2233" s="1" t="s">
        <v>574</v>
      </c>
      <c r="N2233" s="1">
        <v>1</v>
      </c>
      <c r="O2233" s="1">
        <v>0</v>
      </c>
      <c r="P2233" s="1" t="s">
        <v>103</v>
      </c>
      <c r="Q2233" s="1" t="s">
        <v>103</v>
      </c>
      <c r="R2233" s="1" t="s">
        <v>16088</v>
      </c>
      <c r="S2233" s="1" t="s">
        <v>16089</v>
      </c>
      <c r="T2233" s="1" t="s">
        <v>16034</v>
      </c>
      <c r="U2233" s="1" t="s">
        <v>16090</v>
      </c>
      <c r="V2233" s="1">
        <v>1</v>
      </c>
      <c r="W2233" s="1">
        <v>0</v>
      </c>
      <c r="X2233" s="1">
        <v>0</v>
      </c>
      <c r="Y2233" s="1">
        <v>0</v>
      </c>
      <c r="Z2233" s="1">
        <v>0</v>
      </c>
      <c r="AA2233" s="1">
        <v>7</v>
      </c>
      <c r="AB2233" s="1">
        <v>7</v>
      </c>
      <c r="AC2233" s="1" t="s">
        <v>109</v>
      </c>
      <c r="AD2233" s="1" t="s">
        <v>109</v>
      </c>
      <c r="AE2233" s="1" t="s">
        <v>109</v>
      </c>
      <c r="AF2233" s="1">
        <v>6</v>
      </c>
      <c r="AG2233" s="1" t="s">
        <v>109</v>
      </c>
      <c r="AH2233" s="1" t="s">
        <v>109</v>
      </c>
      <c r="AI2233" s="1" t="s">
        <v>109</v>
      </c>
      <c r="AJ2233" s="1" t="s">
        <v>109</v>
      </c>
      <c r="AK2233" s="1" t="s">
        <v>109</v>
      </c>
      <c r="AL2233" s="1" t="s">
        <v>109</v>
      </c>
      <c r="AM2233" s="1" t="s">
        <v>109</v>
      </c>
      <c r="AN2233" s="1" t="s">
        <v>109</v>
      </c>
      <c r="AO2233" s="1" t="s">
        <v>109</v>
      </c>
      <c r="AP2233" s="1"/>
      <c r="AQ2233" s="1">
        <v>7</v>
      </c>
      <c r="AR2233" s="1"/>
      <c r="AS2233" s="1"/>
      <c r="AT2233" s="1">
        <v>0</v>
      </c>
      <c r="AU2233" s="1">
        <v>0</v>
      </c>
      <c r="AV2233" s="1">
        <v>0</v>
      </c>
      <c r="AW2233" s="1">
        <v>0</v>
      </c>
      <c r="AX2233" s="1">
        <v>0</v>
      </c>
      <c r="AY2233" s="1">
        <v>0</v>
      </c>
      <c r="AZ2233" s="1">
        <v>0</v>
      </c>
      <c r="BA2233" s="1">
        <v>0</v>
      </c>
      <c r="BB2233" s="1">
        <v>0</v>
      </c>
      <c r="BC2233" s="1">
        <v>0</v>
      </c>
      <c r="BD2233" s="1">
        <v>0</v>
      </c>
      <c r="BE2233" s="1">
        <v>0</v>
      </c>
      <c r="BF2233" s="1">
        <v>0</v>
      </c>
      <c r="BG2233" s="1">
        <v>0</v>
      </c>
      <c r="BH2233" s="1">
        <v>0</v>
      </c>
      <c r="BI2233" s="1">
        <v>0</v>
      </c>
      <c r="BJ2233" s="1">
        <v>0</v>
      </c>
      <c r="BK2233" s="1">
        <v>0</v>
      </c>
      <c r="BL2233" s="1">
        <v>0</v>
      </c>
      <c r="BM2233" s="1">
        <v>1</v>
      </c>
      <c r="BN2233" s="1">
        <v>0</v>
      </c>
      <c r="BO2233" s="1">
        <v>0</v>
      </c>
      <c r="BP2233" s="1">
        <v>0</v>
      </c>
      <c r="BQ2233" s="1">
        <v>0</v>
      </c>
      <c r="BR2233" s="1">
        <v>0</v>
      </c>
      <c r="BS2233" s="1" t="s">
        <v>109</v>
      </c>
      <c r="BT2233" s="1">
        <v>2320</v>
      </c>
      <c r="BU2233" s="1" t="s">
        <v>109</v>
      </c>
      <c r="BV2233" s="1"/>
      <c r="BW2233" s="1"/>
      <c r="BX2233" s="1"/>
      <c r="BY2233" s="1"/>
      <c r="BZ2233" s="1">
        <v>0</v>
      </c>
      <c r="CA2233" s="1" t="s">
        <v>109</v>
      </c>
      <c r="CB2233" s="1" t="s">
        <v>109</v>
      </c>
      <c r="CC2233" s="1">
        <v>6</v>
      </c>
      <c r="CD2233" s="1">
        <v>5</v>
      </c>
      <c r="CE2233" s="1">
        <v>5</v>
      </c>
      <c r="CF2233" s="1" t="s">
        <v>109</v>
      </c>
      <c r="CG2233" s="1" t="s">
        <v>109</v>
      </c>
      <c r="CH2233" s="1" t="s">
        <v>109</v>
      </c>
      <c r="CI2233" s="1" t="s">
        <v>109</v>
      </c>
      <c r="CJ2233" s="1" t="s">
        <v>109</v>
      </c>
      <c r="CK2233" s="1"/>
      <c r="CL2233" s="1">
        <v>0</v>
      </c>
      <c r="CM2233" s="1">
        <v>0</v>
      </c>
      <c r="CN2233" s="1">
        <v>0</v>
      </c>
    </row>
    <row r="2234" spans="1:92" ht="14.25" customHeight="1" x14ac:dyDescent="0.15">
      <c r="A2234" s="1" t="s">
        <v>16091</v>
      </c>
      <c r="B2234" s="1" t="s">
        <v>584</v>
      </c>
      <c r="C2234" s="1"/>
      <c r="D2234" s="1"/>
      <c r="E2234" s="1" t="s">
        <v>16092</v>
      </c>
      <c r="F2234" s="1" t="s">
        <v>98</v>
      </c>
      <c r="G2234" s="1" t="s">
        <v>141</v>
      </c>
      <c r="H2234" s="1">
        <v>0</v>
      </c>
      <c r="I2234" s="1" t="s">
        <v>5737</v>
      </c>
      <c r="J2234" s="1"/>
      <c r="K2234" s="1" t="s">
        <v>16093</v>
      </c>
      <c r="L2234" s="1"/>
      <c r="M2234" s="1" t="s">
        <v>3042</v>
      </c>
      <c r="N2234" s="1">
        <v>0</v>
      </c>
      <c r="O2234" s="1">
        <v>0</v>
      </c>
      <c r="P2234" s="1" t="s">
        <v>103</v>
      </c>
      <c r="Q2234" s="1" t="s">
        <v>104</v>
      </c>
      <c r="R2234" s="1" t="s">
        <v>16094</v>
      </c>
      <c r="S2234" s="1" t="s">
        <v>16095</v>
      </c>
      <c r="T2234" s="1" t="s">
        <v>16034</v>
      </c>
      <c r="U2234" s="1" t="s">
        <v>16096</v>
      </c>
      <c r="V2234" s="1">
        <v>1</v>
      </c>
      <c r="W2234" s="1">
        <v>1</v>
      </c>
      <c r="X2234" s="1">
        <v>0</v>
      </c>
      <c r="Y2234" s="1">
        <v>0</v>
      </c>
      <c r="Z2234" s="1">
        <v>0</v>
      </c>
      <c r="AA2234" s="1" t="s">
        <v>109</v>
      </c>
      <c r="AB2234" s="1" t="s">
        <v>109</v>
      </c>
      <c r="AC2234" s="1" t="s">
        <v>109</v>
      </c>
      <c r="AD2234" s="1" t="s">
        <v>109</v>
      </c>
      <c r="AE2234" s="1" t="s">
        <v>109</v>
      </c>
      <c r="AF2234" s="1" t="s">
        <v>109</v>
      </c>
      <c r="AG2234" s="1" t="s">
        <v>109</v>
      </c>
      <c r="AH2234" s="1" t="s">
        <v>109</v>
      </c>
      <c r="AI2234" s="1" t="s">
        <v>109</v>
      </c>
      <c r="AJ2234" s="1" t="s">
        <v>109</v>
      </c>
      <c r="AK2234" s="1" t="s">
        <v>109</v>
      </c>
      <c r="AL2234" s="1" t="s">
        <v>109</v>
      </c>
      <c r="AM2234" s="1" t="s">
        <v>109</v>
      </c>
      <c r="AN2234" s="1" t="s">
        <v>109</v>
      </c>
      <c r="AO2234" s="1" t="s">
        <v>109</v>
      </c>
      <c r="AP2234" s="1"/>
      <c r="AQ2234" s="1" t="s">
        <v>109</v>
      </c>
      <c r="AR2234" s="1"/>
      <c r="AS2234" s="1"/>
      <c r="AT2234" s="1">
        <v>0</v>
      </c>
      <c r="AU2234" s="1">
        <v>0</v>
      </c>
      <c r="AV2234" s="1">
        <v>0</v>
      </c>
      <c r="AW2234" s="1">
        <v>0</v>
      </c>
      <c r="AX2234" s="1">
        <v>0</v>
      </c>
      <c r="AY2234" s="1">
        <v>0</v>
      </c>
      <c r="AZ2234" s="1">
        <v>0</v>
      </c>
      <c r="BA2234" s="1">
        <v>0</v>
      </c>
      <c r="BB2234" s="1">
        <v>0</v>
      </c>
      <c r="BC2234" s="1">
        <v>0</v>
      </c>
      <c r="BD2234" s="1">
        <v>0</v>
      </c>
      <c r="BE2234" s="1">
        <v>0</v>
      </c>
      <c r="BF2234" s="1">
        <v>0</v>
      </c>
      <c r="BG2234" s="1">
        <v>0</v>
      </c>
      <c r="BH2234" s="1">
        <v>0</v>
      </c>
      <c r="BI2234" s="1">
        <v>0</v>
      </c>
      <c r="BJ2234" s="1">
        <v>0</v>
      </c>
      <c r="BK2234" s="1">
        <v>0</v>
      </c>
      <c r="BL2234" s="1">
        <v>0</v>
      </c>
      <c r="BM2234" s="1">
        <v>0</v>
      </c>
      <c r="BN2234" s="1">
        <v>0</v>
      </c>
      <c r="BO2234" s="1">
        <v>0</v>
      </c>
      <c r="BP2234" s="1">
        <v>0</v>
      </c>
      <c r="BQ2234" s="1">
        <v>0</v>
      </c>
      <c r="BR2234" s="1">
        <v>0</v>
      </c>
      <c r="BS2234" s="1" t="s">
        <v>109</v>
      </c>
      <c r="BT2234" s="1">
        <v>2321</v>
      </c>
      <c r="BU2234" s="1" t="s">
        <v>109</v>
      </c>
      <c r="BV2234" s="1"/>
      <c r="BW2234" s="1"/>
      <c r="BX2234" s="1"/>
      <c r="BY2234" s="1"/>
      <c r="BZ2234" s="1">
        <v>0</v>
      </c>
      <c r="CA2234" s="1" t="s">
        <v>109</v>
      </c>
      <c r="CB2234" s="1" t="s">
        <v>109</v>
      </c>
      <c r="CC2234" s="1">
        <v>5</v>
      </c>
      <c r="CD2234" s="1" t="s">
        <v>109</v>
      </c>
      <c r="CE2234" s="1" t="s">
        <v>109</v>
      </c>
      <c r="CF2234" s="1">
        <v>5</v>
      </c>
      <c r="CG2234" s="1">
        <v>4</v>
      </c>
      <c r="CH2234" s="1" t="s">
        <v>109</v>
      </c>
      <c r="CI2234" s="1" t="s">
        <v>109</v>
      </c>
      <c r="CJ2234" s="1" t="s">
        <v>109</v>
      </c>
      <c r="CK2234" s="1"/>
      <c r="CL2234" s="1">
        <v>0</v>
      </c>
      <c r="CM2234" s="1">
        <v>0</v>
      </c>
      <c r="CN2234" s="1">
        <v>0</v>
      </c>
    </row>
    <row r="2235" spans="1:92" ht="14.25" customHeight="1" x14ac:dyDescent="0.15">
      <c r="A2235" s="1" t="s">
        <v>16097</v>
      </c>
      <c r="B2235" s="1" t="s">
        <v>674</v>
      </c>
      <c r="C2235" s="1" t="s">
        <v>1715</v>
      </c>
      <c r="D2235" s="1" t="s">
        <v>16098</v>
      </c>
      <c r="E2235" s="1" t="s">
        <v>16099</v>
      </c>
      <c r="F2235" s="1" t="s">
        <v>98</v>
      </c>
      <c r="G2235" s="1" t="s">
        <v>141</v>
      </c>
      <c r="H2235" s="1">
        <v>0</v>
      </c>
      <c r="I2235" s="1" t="s">
        <v>235</v>
      </c>
      <c r="J2235" s="1"/>
      <c r="K2235" s="1"/>
      <c r="L2235" s="1" t="s">
        <v>236</v>
      </c>
      <c r="M2235" s="1" t="s">
        <v>574</v>
      </c>
      <c r="N2235" s="1">
        <v>1</v>
      </c>
      <c r="O2235" s="1">
        <v>0</v>
      </c>
      <c r="P2235" s="1"/>
      <c r="Q2235" s="1"/>
      <c r="R2235" s="1" t="s">
        <v>16100</v>
      </c>
      <c r="S2235" s="1" t="s">
        <v>16101</v>
      </c>
      <c r="T2235" s="1" t="s">
        <v>16034</v>
      </c>
      <c r="U2235" s="1" t="s">
        <v>16102</v>
      </c>
      <c r="V2235" s="1">
        <v>1</v>
      </c>
      <c r="W2235" s="1">
        <v>1</v>
      </c>
      <c r="X2235" s="1">
        <v>0</v>
      </c>
      <c r="Y2235" s="1">
        <v>0</v>
      </c>
      <c r="Z2235" s="1">
        <v>0</v>
      </c>
      <c r="AA2235" s="1" t="s">
        <v>109</v>
      </c>
      <c r="AB2235" s="1" t="s">
        <v>109</v>
      </c>
      <c r="AC2235" s="1" t="s">
        <v>109</v>
      </c>
      <c r="AD2235" s="1" t="s">
        <v>109</v>
      </c>
      <c r="AE2235" s="1" t="s">
        <v>109</v>
      </c>
      <c r="AF2235" s="1" t="s">
        <v>109</v>
      </c>
      <c r="AG2235" s="1" t="s">
        <v>109</v>
      </c>
      <c r="AH2235" s="1" t="s">
        <v>109</v>
      </c>
      <c r="AI2235" s="1" t="s">
        <v>109</v>
      </c>
      <c r="AJ2235" s="1" t="s">
        <v>109</v>
      </c>
      <c r="AK2235" s="1" t="s">
        <v>109</v>
      </c>
      <c r="AL2235" s="1" t="s">
        <v>109</v>
      </c>
      <c r="AM2235" s="1" t="s">
        <v>109</v>
      </c>
      <c r="AN2235" s="1" t="s">
        <v>109</v>
      </c>
      <c r="AO2235" s="1" t="s">
        <v>109</v>
      </c>
      <c r="AP2235" s="1"/>
      <c r="AQ2235" s="1" t="s">
        <v>109</v>
      </c>
      <c r="AR2235" s="1"/>
      <c r="AS2235" s="1"/>
      <c r="AT2235" s="1">
        <v>0</v>
      </c>
      <c r="AU2235" s="1">
        <v>0</v>
      </c>
      <c r="AV2235" s="1">
        <v>0</v>
      </c>
      <c r="AW2235" s="1">
        <v>0</v>
      </c>
      <c r="AX2235" s="1">
        <v>0</v>
      </c>
      <c r="AY2235" s="1">
        <v>0</v>
      </c>
      <c r="AZ2235" s="1">
        <v>0</v>
      </c>
      <c r="BA2235" s="1">
        <v>0</v>
      </c>
      <c r="BB2235" s="1">
        <v>0</v>
      </c>
      <c r="BC2235" s="1">
        <v>0</v>
      </c>
      <c r="BD2235" s="1">
        <v>1</v>
      </c>
      <c r="BE2235" s="1">
        <v>0</v>
      </c>
      <c r="BF2235" s="1">
        <v>1</v>
      </c>
      <c r="BG2235" s="1">
        <v>0</v>
      </c>
      <c r="BH2235" s="1">
        <v>0</v>
      </c>
      <c r="BI2235" s="1">
        <v>0</v>
      </c>
      <c r="BJ2235" s="1">
        <v>0</v>
      </c>
      <c r="BK2235" s="1">
        <v>0</v>
      </c>
      <c r="BL2235" s="1">
        <v>0</v>
      </c>
      <c r="BM2235" s="1">
        <v>1</v>
      </c>
      <c r="BN2235" s="1">
        <v>0</v>
      </c>
      <c r="BO2235" s="1">
        <v>0</v>
      </c>
      <c r="BP2235" s="1">
        <v>0</v>
      </c>
      <c r="BQ2235" s="1">
        <v>0</v>
      </c>
      <c r="BR2235" s="1">
        <v>0</v>
      </c>
      <c r="BS2235" s="1" t="s">
        <v>109</v>
      </c>
      <c r="BT2235" s="1">
        <v>2322</v>
      </c>
      <c r="BU2235" s="1" t="s">
        <v>109</v>
      </c>
      <c r="BV2235" s="1"/>
      <c r="BW2235" s="1"/>
      <c r="BX2235" s="1"/>
      <c r="BY2235" s="1"/>
      <c r="BZ2235" s="1">
        <v>0</v>
      </c>
      <c r="CA2235" s="1" t="s">
        <v>109</v>
      </c>
      <c r="CB2235" s="1" t="s">
        <v>109</v>
      </c>
      <c r="CC2235" s="1">
        <v>8</v>
      </c>
      <c r="CD2235" s="1" t="s">
        <v>109</v>
      </c>
      <c r="CE2235" s="1">
        <v>6</v>
      </c>
      <c r="CF2235" s="1" t="s">
        <v>109</v>
      </c>
      <c r="CG2235" s="1" t="s">
        <v>109</v>
      </c>
      <c r="CH2235" s="1" t="s">
        <v>109</v>
      </c>
      <c r="CI2235" s="1" t="s">
        <v>109</v>
      </c>
      <c r="CJ2235" s="1" t="s">
        <v>109</v>
      </c>
      <c r="CK2235" s="1"/>
      <c r="CL2235" s="1">
        <v>0</v>
      </c>
      <c r="CM2235" s="1">
        <v>0</v>
      </c>
      <c r="CN2235" s="1">
        <v>0</v>
      </c>
    </row>
    <row r="2236" spans="1:92" ht="14.25" customHeight="1" x14ac:dyDescent="0.15">
      <c r="A2236" s="1" t="s">
        <v>16103</v>
      </c>
      <c r="B2236" s="1" t="s">
        <v>308</v>
      </c>
      <c r="C2236" s="1"/>
      <c r="D2236" s="1"/>
      <c r="E2236" s="1" t="s">
        <v>16104</v>
      </c>
      <c r="F2236" s="1" t="s">
        <v>98</v>
      </c>
      <c r="G2236" s="1" t="s">
        <v>141</v>
      </c>
      <c r="H2236" s="1">
        <v>0</v>
      </c>
      <c r="I2236" s="1" t="s">
        <v>161</v>
      </c>
      <c r="J2236" s="1"/>
      <c r="K2236" s="1"/>
      <c r="L2236" s="1" t="s">
        <v>1391</v>
      </c>
      <c r="M2236" s="1" t="s">
        <v>144</v>
      </c>
      <c r="N2236" s="1">
        <v>0</v>
      </c>
      <c r="O2236" s="1">
        <v>0</v>
      </c>
      <c r="P2236" s="1" t="s">
        <v>14354</v>
      </c>
      <c r="Q2236" s="1" t="s">
        <v>268</v>
      </c>
      <c r="R2236" s="1" t="s">
        <v>16105</v>
      </c>
      <c r="S2236" s="1" t="s">
        <v>16106</v>
      </c>
      <c r="T2236" s="1" t="s">
        <v>16034</v>
      </c>
      <c r="U2236" s="1" t="s">
        <v>16107</v>
      </c>
      <c r="V2236" s="1">
        <v>1</v>
      </c>
      <c r="W2236" s="1">
        <v>1</v>
      </c>
      <c r="X2236" s="1">
        <v>0</v>
      </c>
      <c r="Y2236" s="1">
        <v>0</v>
      </c>
      <c r="Z2236" s="1">
        <v>0</v>
      </c>
      <c r="AA2236" s="1" t="s">
        <v>109</v>
      </c>
      <c r="AB2236" s="1" t="s">
        <v>109</v>
      </c>
      <c r="AC2236" s="1" t="s">
        <v>109</v>
      </c>
      <c r="AD2236" s="1" t="s">
        <v>109</v>
      </c>
      <c r="AE2236" s="1" t="s">
        <v>109</v>
      </c>
      <c r="AF2236" s="1" t="s">
        <v>109</v>
      </c>
      <c r="AG2236" s="1" t="s">
        <v>109</v>
      </c>
      <c r="AH2236" s="1" t="s">
        <v>109</v>
      </c>
      <c r="AI2236" s="1" t="s">
        <v>109</v>
      </c>
      <c r="AJ2236" s="1" t="s">
        <v>109</v>
      </c>
      <c r="AK2236" s="1" t="s">
        <v>109</v>
      </c>
      <c r="AL2236" s="1" t="s">
        <v>109</v>
      </c>
      <c r="AM2236" s="1" t="s">
        <v>109</v>
      </c>
      <c r="AN2236" s="1" t="s">
        <v>109</v>
      </c>
      <c r="AO2236" s="1" t="s">
        <v>109</v>
      </c>
      <c r="AP2236" s="1"/>
      <c r="AQ2236" s="1">
        <v>2</v>
      </c>
      <c r="AR2236" s="1"/>
      <c r="AS2236" s="1"/>
      <c r="AT2236" s="1">
        <v>0</v>
      </c>
      <c r="AU2236" s="1">
        <v>0</v>
      </c>
      <c r="AV2236" s="1">
        <v>0</v>
      </c>
      <c r="AW2236" s="1">
        <v>0</v>
      </c>
      <c r="AX2236" s="1">
        <v>0</v>
      </c>
      <c r="AY2236" s="1">
        <v>0</v>
      </c>
      <c r="AZ2236" s="1">
        <v>0</v>
      </c>
      <c r="BA2236" s="1">
        <v>0</v>
      </c>
      <c r="BB2236" s="1">
        <v>0</v>
      </c>
      <c r="BC2236" s="1">
        <v>0</v>
      </c>
      <c r="BD2236" s="1">
        <v>0</v>
      </c>
      <c r="BE2236" s="1">
        <v>0</v>
      </c>
      <c r="BF2236" s="1">
        <v>0</v>
      </c>
      <c r="BG2236" s="1">
        <v>0</v>
      </c>
      <c r="BH2236" s="1">
        <v>0</v>
      </c>
      <c r="BI2236" s="1">
        <v>0</v>
      </c>
      <c r="BJ2236" s="1">
        <v>0</v>
      </c>
      <c r="BK2236" s="1">
        <v>0</v>
      </c>
      <c r="BL2236" s="1">
        <v>0</v>
      </c>
      <c r="BM2236" s="1">
        <v>0</v>
      </c>
      <c r="BN2236" s="1">
        <v>0</v>
      </c>
      <c r="BO2236" s="1">
        <v>0</v>
      </c>
      <c r="BP2236" s="1">
        <v>0</v>
      </c>
      <c r="BQ2236" s="1">
        <v>0</v>
      </c>
      <c r="BR2236" s="1">
        <v>0</v>
      </c>
      <c r="BS2236" s="1" t="s">
        <v>109</v>
      </c>
      <c r="BT2236" s="1">
        <v>2323</v>
      </c>
      <c r="BU2236" s="1" t="s">
        <v>109</v>
      </c>
      <c r="BV2236" s="1"/>
      <c r="BW2236" s="1"/>
      <c r="BX2236" s="1"/>
      <c r="BY2236" s="1"/>
      <c r="BZ2236" s="1">
        <v>0</v>
      </c>
      <c r="CA2236" s="1" t="s">
        <v>109</v>
      </c>
      <c r="CB2236" s="1" t="s">
        <v>109</v>
      </c>
      <c r="CC2236" s="1">
        <v>2</v>
      </c>
      <c r="CD2236" s="1" t="s">
        <v>109</v>
      </c>
      <c r="CE2236" s="1">
        <v>2</v>
      </c>
      <c r="CF2236" s="1" t="s">
        <v>109</v>
      </c>
      <c r="CG2236" s="1">
        <v>2</v>
      </c>
      <c r="CH2236" s="1" t="s">
        <v>109</v>
      </c>
      <c r="CI2236" s="1" t="s">
        <v>109</v>
      </c>
      <c r="CJ2236" s="1" t="s">
        <v>109</v>
      </c>
      <c r="CK2236" s="1"/>
      <c r="CL2236" s="1">
        <v>0</v>
      </c>
      <c r="CM2236" s="1">
        <v>0</v>
      </c>
      <c r="CN2236" s="1">
        <v>0</v>
      </c>
    </row>
    <row r="2237" spans="1:92" ht="14.25" customHeight="1" x14ac:dyDescent="0.15">
      <c r="A2237" s="1" t="s">
        <v>16108</v>
      </c>
      <c r="B2237" s="1" t="s">
        <v>156</v>
      </c>
      <c r="C2237" s="1"/>
      <c r="D2237" s="1" t="s">
        <v>158</v>
      </c>
      <c r="E2237" s="1" t="s">
        <v>16109</v>
      </c>
      <c r="F2237" s="1" t="s">
        <v>98</v>
      </c>
      <c r="G2237" s="1" t="s">
        <v>16110</v>
      </c>
      <c r="H2237" s="1">
        <v>0</v>
      </c>
      <c r="I2237" s="1" t="s">
        <v>235</v>
      </c>
      <c r="J2237" s="1"/>
      <c r="K2237" s="1"/>
      <c r="L2237" s="1" t="s">
        <v>236</v>
      </c>
      <c r="M2237" s="1" t="s">
        <v>16111</v>
      </c>
      <c r="N2237" s="1">
        <v>1</v>
      </c>
      <c r="O2237" s="1">
        <v>0</v>
      </c>
      <c r="P2237" s="1" t="s">
        <v>564</v>
      </c>
      <c r="Q2237" s="1" t="s">
        <v>4298</v>
      </c>
      <c r="R2237" s="1" t="s">
        <v>16112</v>
      </c>
      <c r="S2237" s="1" t="s">
        <v>16113</v>
      </c>
      <c r="T2237" s="1" t="s">
        <v>16034</v>
      </c>
      <c r="U2237" s="1" t="s">
        <v>16114</v>
      </c>
      <c r="V2237" s="1">
        <v>1</v>
      </c>
      <c r="W2237" s="1">
        <v>1</v>
      </c>
      <c r="X2237" s="1">
        <v>1</v>
      </c>
      <c r="Y2237" s="1">
        <v>0</v>
      </c>
      <c r="Z2237" s="1">
        <v>0</v>
      </c>
      <c r="AA2237" s="1" t="s">
        <v>109</v>
      </c>
      <c r="AB2237" s="1" t="s">
        <v>109</v>
      </c>
      <c r="AC2237" s="1" t="s">
        <v>109</v>
      </c>
      <c r="AD2237" s="1" t="s">
        <v>109</v>
      </c>
      <c r="AE2237" s="1" t="s">
        <v>109</v>
      </c>
      <c r="AF2237" s="1" t="s">
        <v>109</v>
      </c>
      <c r="AG2237" s="1" t="s">
        <v>109</v>
      </c>
      <c r="AH2237" s="1" t="s">
        <v>109</v>
      </c>
      <c r="AI2237" s="1" t="s">
        <v>109</v>
      </c>
      <c r="AJ2237" s="1" t="s">
        <v>109</v>
      </c>
      <c r="AK2237" s="1" t="s">
        <v>109</v>
      </c>
      <c r="AL2237" s="1" t="s">
        <v>109</v>
      </c>
      <c r="AM2237" s="1" t="s">
        <v>109</v>
      </c>
      <c r="AN2237" s="1" t="s">
        <v>109</v>
      </c>
      <c r="AO2237" s="1" t="s">
        <v>109</v>
      </c>
      <c r="AP2237" s="1"/>
      <c r="AQ2237" s="1" t="s">
        <v>109</v>
      </c>
      <c r="AR2237" s="1"/>
      <c r="AS2237" s="1"/>
      <c r="AT2237" s="1">
        <v>0</v>
      </c>
      <c r="AU2237" s="1">
        <v>0</v>
      </c>
      <c r="AV2237" s="1">
        <v>0</v>
      </c>
      <c r="AW2237" s="1">
        <v>0</v>
      </c>
      <c r="AX2237" s="1">
        <v>0</v>
      </c>
      <c r="AY2237" s="1">
        <v>0</v>
      </c>
      <c r="AZ2237" s="1">
        <v>0</v>
      </c>
      <c r="BA2237" s="1">
        <v>0</v>
      </c>
      <c r="BB2237" s="1">
        <v>0</v>
      </c>
      <c r="BC2237" s="1">
        <v>0</v>
      </c>
      <c r="BD2237" s="1">
        <v>0</v>
      </c>
      <c r="BE2237" s="1">
        <v>0</v>
      </c>
      <c r="BF2237" s="1">
        <v>0</v>
      </c>
      <c r="BG2237" s="1">
        <v>0</v>
      </c>
      <c r="BH2237" s="1">
        <v>0</v>
      </c>
      <c r="BI2237" s="1">
        <v>0</v>
      </c>
      <c r="BJ2237" s="1">
        <v>0</v>
      </c>
      <c r="BK2237" s="1">
        <v>0</v>
      </c>
      <c r="BL2237" s="1">
        <v>0</v>
      </c>
      <c r="BM2237" s="1">
        <v>1</v>
      </c>
      <c r="BN2237" s="1">
        <v>0</v>
      </c>
      <c r="BO2237" s="1">
        <v>0</v>
      </c>
      <c r="BP2237" s="1">
        <v>0</v>
      </c>
      <c r="BQ2237" s="1">
        <v>0</v>
      </c>
      <c r="BR2237" s="1">
        <v>0</v>
      </c>
      <c r="BS2237" s="1" t="s">
        <v>109</v>
      </c>
      <c r="BT2237" s="1">
        <v>2324</v>
      </c>
      <c r="BU2237" s="1" t="s">
        <v>109</v>
      </c>
      <c r="BV2237" s="1"/>
      <c r="BW2237" s="1"/>
      <c r="BX2237" s="1"/>
      <c r="BY2237" s="1"/>
      <c r="BZ2237" s="1">
        <v>0</v>
      </c>
      <c r="CA2237" s="1" t="s">
        <v>109</v>
      </c>
      <c r="CB2237" s="1" t="s">
        <v>109</v>
      </c>
      <c r="CC2237" s="1">
        <v>4</v>
      </c>
      <c r="CD2237" s="1">
        <v>3</v>
      </c>
      <c r="CE2237" s="1">
        <v>3</v>
      </c>
      <c r="CF2237" s="1" t="s">
        <v>109</v>
      </c>
      <c r="CG2237" s="1" t="s">
        <v>109</v>
      </c>
      <c r="CH2237" s="1" t="s">
        <v>109</v>
      </c>
      <c r="CI2237" s="1" t="s">
        <v>109</v>
      </c>
      <c r="CJ2237" s="1" t="s">
        <v>109</v>
      </c>
      <c r="CK2237" s="1"/>
      <c r="CL2237" s="1">
        <v>0</v>
      </c>
      <c r="CM2237" s="1">
        <v>0</v>
      </c>
      <c r="CN2237" s="1">
        <v>0</v>
      </c>
    </row>
    <row r="2238" spans="1:92" ht="14.25" customHeight="1" x14ac:dyDescent="0.15">
      <c r="A2238" s="1" t="s">
        <v>16115</v>
      </c>
      <c r="B2238" s="1" t="s">
        <v>308</v>
      </c>
      <c r="C2238" s="1"/>
      <c r="D2238" s="1"/>
      <c r="E2238" s="1" t="s">
        <v>15335</v>
      </c>
      <c r="F2238" s="1" t="s">
        <v>98</v>
      </c>
      <c r="G2238" s="1" t="s">
        <v>141</v>
      </c>
      <c r="H2238" s="1">
        <v>0</v>
      </c>
      <c r="I2238" s="1" t="s">
        <v>161</v>
      </c>
      <c r="J2238" s="1"/>
      <c r="K2238" s="1"/>
      <c r="L2238" s="1" t="s">
        <v>1391</v>
      </c>
      <c r="M2238" s="1" t="s">
        <v>1147</v>
      </c>
      <c r="N2238" s="1">
        <v>0</v>
      </c>
      <c r="O2238" s="1">
        <v>0</v>
      </c>
      <c r="P2238" s="1" t="s">
        <v>103</v>
      </c>
      <c r="Q2238" s="1" t="s">
        <v>268</v>
      </c>
      <c r="R2238" s="1" t="s">
        <v>16116</v>
      </c>
      <c r="S2238" s="1" t="s">
        <v>16117</v>
      </c>
      <c r="T2238" s="1" t="s">
        <v>16034</v>
      </c>
      <c r="U2238" s="1" t="s">
        <v>16118</v>
      </c>
      <c r="V2238" s="1">
        <v>1</v>
      </c>
      <c r="W2238" s="1">
        <v>1</v>
      </c>
      <c r="X2238" s="1">
        <v>0</v>
      </c>
      <c r="Y2238" s="1">
        <v>0</v>
      </c>
      <c r="Z2238" s="1">
        <v>0</v>
      </c>
      <c r="AA2238" s="1" t="s">
        <v>109</v>
      </c>
      <c r="AB2238" s="1" t="s">
        <v>109</v>
      </c>
      <c r="AC2238" s="1" t="s">
        <v>109</v>
      </c>
      <c r="AD2238" s="1" t="s">
        <v>109</v>
      </c>
      <c r="AE2238" s="1" t="s">
        <v>109</v>
      </c>
      <c r="AF2238" s="1" t="s">
        <v>109</v>
      </c>
      <c r="AG2238" s="1" t="s">
        <v>109</v>
      </c>
      <c r="AH2238" s="1" t="s">
        <v>109</v>
      </c>
      <c r="AI2238" s="1" t="s">
        <v>109</v>
      </c>
      <c r="AJ2238" s="1" t="s">
        <v>109</v>
      </c>
      <c r="AK2238" s="1" t="s">
        <v>109</v>
      </c>
      <c r="AL2238" s="1" t="s">
        <v>109</v>
      </c>
      <c r="AM2238" s="1" t="s">
        <v>109</v>
      </c>
      <c r="AN2238" s="1" t="s">
        <v>109</v>
      </c>
      <c r="AO2238" s="1" t="s">
        <v>109</v>
      </c>
      <c r="AP2238" s="1"/>
      <c r="AQ2238" s="1" t="s">
        <v>109</v>
      </c>
      <c r="AR2238" s="1"/>
      <c r="AS2238" s="1"/>
      <c r="AT2238" s="1">
        <v>0</v>
      </c>
      <c r="AU2238" s="1">
        <v>0</v>
      </c>
      <c r="AV2238" s="1">
        <v>0</v>
      </c>
      <c r="AW2238" s="1">
        <v>0</v>
      </c>
      <c r="AX2238" s="1">
        <v>0</v>
      </c>
      <c r="AY2238" s="1">
        <v>0</v>
      </c>
      <c r="AZ2238" s="1">
        <v>0</v>
      </c>
      <c r="BA2238" s="1">
        <v>0</v>
      </c>
      <c r="BB2238" s="1">
        <v>0</v>
      </c>
      <c r="BC2238" s="1">
        <v>0</v>
      </c>
      <c r="BD2238" s="1">
        <v>0</v>
      </c>
      <c r="BE2238" s="1">
        <v>0</v>
      </c>
      <c r="BF2238" s="1">
        <v>0</v>
      </c>
      <c r="BG2238" s="1">
        <v>0</v>
      </c>
      <c r="BH2238" s="1">
        <v>0</v>
      </c>
      <c r="BI2238" s="1">
        <v>0</v>
      </c>
      <c r="BJ2238" s="1">
        <v>0</v>
      </c>
      <c r="BK2238" s="1">
        <v>0</v>
      </c>
      <c r="BL2238" s="1">
        <v>0</v>
      </c>
      <c r="BM2238" s="1">
        <v>0</v>
      </c>
      <c r="BN2238" s="1">
        <v>0</v>
      </c>
      <c r="BO2238" s="1">
        <v>0</v>
      </c>
      <c r="BP2238" s="1">
        <v>0</v>
      </c>
      <c r="BQ2238" s="1">
        <v>0</v>
      </c>
      <c r="BR2238" s="1">
        <v>0</v>
      </c>
      <c r="BS2238" s="1" t="s">
        <v>109</v>
      </c>
      <c r="BT2238" s="1">
        <v>2325</v>
      </c>
      <c r="BU2238" s="1" t="s">
        <v>109</v>
      </c>
      <c r="BV2238" s="1"/>
      <c r="BW2238" s="1"/>
      <c r="BX2238" s="1"/>
      <c r="BY2238" s="1"/>
      <c r="BZ2238" s="1">
        <v>0</v>
      </c>
      <c r="CA2238" s="1" t="s">
        <v>109</v>
      </c>
      <c r="CB2238" s="1" t="s">
        <v>109</v>
      </c>
      <c r="CC2238" s="1">
        <v>6</v>
      </c>
      <c r="CD2238" s="1" t="s">
        <v>109</v>
      </c>
      <c r="CE2238" s="1" t="s">
        <v>109</v>
      </c>
      <c r="CF2238" s="1" t="s">
        <v>109</v>
      </c>
      <c r="CG2238" s="1">
        <v>5</v>
      </c>
      <c r="CH2238" s="1" t="s">
        <v>109</v>
      </c>
      <c r="CI2238" s="1" t="s">
        <v>109</v>
      </c>
      <c r="CJ2238" s="1" t="s">
        <v>109</v>
      </c>
      <c r="CK2238" s="1"/>
      <c r="CL2238" s="1">
        <v>0</v>
      </c>
      <c r="CM2238" s="1">
        <v>0</v>
      </c>
      <c r="CN2238" s="1">
        <v>0</v>
      </c>
    </row>
    <row r="2239" spans="1:92" ht="14.25" customHeight="1" x14ac:dyDescent="0.15">
      <c r="A2239" s="1" t="s">
        <v>16119</v>
      </c>
      <c r="B2239" s="1" t="s">
        <v>156</v>
      </c>
      <c r="C2239" s="1" t="s">
        <v>157</v>
      </c>
      <c r="D2239" s="1" t="s">
        <v>16043</v>
      </c>
      <c r="E2239" s="1" t="s">
        <v>15304</v>
      </c>
      <c r="F2239" s="1" t="s">
        <v>98</v>
      </c>
      <c r="G2239" s="1" t="s">
        <v>16120</v>
      </c>
      <c r="H2239" s="1">
        <v>0</v>
      </c>
      <c r="I2239" s="1" t="s">
        <v>235</v>
      </c>
      <c r="J2239" s="1"/>
      <c r="K2239" s="1"/>
      <c r="L2239" s="1" t="s">
        <v>236</v>
      </c>
      <c r="M2239" s="1" t="s">
        <v>574</v>
      </c>
      <c r="N2239" s="1">
        <v>1</v>
      </c>
      <c r="O2239" s="1">
        <v>0</v>
      </c>
      <c r="P2239" s="1" t="s">
        <v>211</v>
      </c>
      <c r="Q2239" s="1" t="s">
        <v>16121</v>
      </c>
      <c r="R2239" s="1" t="s">
        <v>16122</v>
      </c>
      <c r="S2239" s="1" t="s">
        <v>16123</v>
      </c>
      <c r="T2239" s="1" t="s">
        <v>16034</v>
      </c>
      <c r="U2239" s="1" t="s">
        <v>16124</v>
      </c>
      <c r="V2239" s="1">
        <v>1</v>
      </c>
      <c r="W2239" s="1">
        <v>1</v>
      </c>
      <c r="X2239" s="1">
        <v>1</v>
      </c>
      <c r="Y2239" s="1">
        <v>0</v>
      </c>
      <c r="Z2239" s="1">
        <v>0</v>
      </c>
      <c r="AA2239" s="1" t="s">
        <v>109</v>
      </c>
      <c r="AB2239" s="1" t="s">
        <v>109</v>
      </c>
      <c r="AC2239" s="1" t="s">
        <v>109</v>
      </c>
      <c r="AD2239" s="1" t="s">
        <v>109</v>
      </c>
      <c r="AE2239" s="1" t="s">
        <v>109</v>
      </c>
      <c r="AF2239" s="1" t="s">
        <v>109</v>
      </c>
      <c r="AG2239" s="1" t="s">
        <v>109</v>
      </c>
      <c r="AH2239" s="1" t="s">
        <v>109</v>
      </c>
      <c r="AI2239" s="1" t="s">
        <v>109</v>
      </c>
      <c r="AJ2239" s="1" t="s">
        <v>109</v>
      </c>
      <c r="AK2239" s="1" t="s">
        <v>109</v>
      </c>
      <c r="AL2239" s="1" t="s">
        <v>109</v>
      </c>
      <c r="AM2239" s="1" t="s">
        <v>109</v>
      </c>
      <c r="AN2239" s="1" t="s">
        <v>109</v>
      </c>
      <c r="AO2239" s="1" t="s">
        <v>109</v>
      </c>
      <c r="AP2239" s="1"/>
      <c r="AQ2239" s="1">
        <v>2</v>
      </c>
      <c r="AR2239" s="1"/>
      <c r="AS2239" s="1"/>
      <c r="AT2239" s="1">
        <v>0</v>
      </c>
      <c r="AU2239" s="1">
        <v>0</v>
      </c>
      <c r="AV2239" s="1">
        <v>0</v>
      </c>
      <c r="AW2239" s="1">
        <v>0</v>
      </c>
      <c r="AX2239" s="1">
        <v>0</v>
      </c>
      <c r="AY2239" s="1">
        <v>0</v>
      </c>
      <c r="AZ2239" s="1">
        <v>0</v>
      </c>
      <c r="BA2239" s="1">
        <v>0</v>
      </c>
      <c r="BB2239" s="1">
        <v>0</v>
      </c>
      <c r="BC2239" s="1">
        <v>0</v>
      </c>
      <c r="BD2239" s="1">
        <v>1</v>
      </c>
      <c r="BE2239" s="1">
        <v>0</v>
      </c>
      <c r="BF2239" s="1">
        <v>0</v>
      </c>
      <c r="BG2239" s="1">
        <v>0</v>
      </c>
      <c r="BH2239" s="1">
        <v>0</v>
      </c>
      <c r="BI2239" s="1">
        <v>0</v>
      </c>
      <c r="BJ2239" s="1">
        <v>0</v>
      </c>
      <c r="BK2239" s="1">
        <v>0</v>
      </c>
      <c r="BL2239" s="1">
        <v>0</v>
      </c>
      <c r="BM2239" s="1">
        <v>1</v>
      </c>
      <c r="BN2239" s="1">
        <v>0</v>
      </c>
      <c r="BO2239" s="1">
        <v>0</v>
      </c>
      <c r="BP2239" s="1">
        <v>0</v>
      </c>
      <c r="BQ2239" s="1">
        <v>0</v>
      </c>
      <c r="BR2239" s="1">
        <v>0</v>
      </c>
      <c r="BS2239" s="1" t="s">
        <v>109</v>
      </c>
      <c r="BT2239" s="1">
        <v>2326</v>
      </c>
      <c r="BU2239" s="1" t="s">
        <v>109</v>
      </c>
      <c r="BV2239" s="1"/>
      <c r="BW2239" s="1"/>
      <c r="BX2239" s="1"/>
      <c r="BY2239" s="1"/>
      <c r="BZ2239" s="1">
        <v>0</v>
      </c>
      <c r="CA2239" s="1" t="s">
        <v>109</v>
      </c>
      <c r="CB2239" s="1" t="s">
        <v>109</v>
      </c>
      <c r="CC2239" s="1">
        <v>2</v>
      </c>
      <c r="CD2239" s="1" t="s">
        <v>109</v>
      </c>
      <c r="CE2239" s="1" t="s">
        <v>109</v>
      </c>
      <c r="CF2239" s="1" t="s">
        <v>109</v>
      </c>
      <c r="CG2239" s="1" t="s">
        <v>109</v>
      </c>
      <c r="CH2239" s="1" t="s">
        <v>109</v>
      </c>
      <c r="CI2239" s="1" t="s">
        <v>109</v>
      </c>
      <c r="CJ2239" s="1" t="s">
        <v>109</v>
      </c>
      <c r="CK2239" s="1"/>
      <c r="CL2239" s="1">
        <v>0</v>
      </c>
      <c r="CM2239" s="1">
        <v>0</v>
      </c>
      <c r="CN2239" s="1">
        <v>0</v>
      </c>
    </row>
    <row r="2240" spans="1:92" ht="14.25" customHeight="1" x14ac:dyDescent="0.15">
      <c r="A2240" s="1" t="s">
        <v>16125</v>
      </c>
      <c r="B2240" s="1" t="s">
        <v>95</v>
      </c>
      <c r="C2240" s="1" t="s">
        <v>694</v>
      </c>
      <c r="D2240" s="1"/>
      <c r="E2240" s="1" t="s">
        <v>16126</v>
      </c>
      <c r="F2240" s="1" t="s">
        <v>98</v>
      </c>
      <c r="G2240" s="1" t="s">
        <v>160</v>
      </c>
      <c r="H2240" s="1">
        <v>0</v>
      </c>
      <c r="I2240" s="1" t="s">
        <v>161</v>
      </c>
      <c r="J2240" s="1"/>
      <c r="K2240" s="1"/>
      <c r="L2240" s="1" t="s">
        <v>506</v>
      </c>
      <c r="M2240" s="1" t="s">
        <v>289</v>
      </c>
      <c r="N2240" s="1">
        <v>0</v>
      </c>
      <c r="O2240" s="1">
        <v>0</v>
      </c>
      <c r="P2240" s="1" t="s">
        <v>1382</v>
      </c>
      <c r="Q2240" s="1" t="s">
        <v>167</v>
      </c>
      <c r="R2240" s="1" t="s">
        <v>16127</v>
      </c>
      <c r="S2240" s="1" t="s">
        <v>16128</v>
      </c>
      <c r="T2240" s="1" t="s">
        <v>16129</v>
      </c>
      <c r="U2240" s="1" t="s">
        <v>16130</v>
      </c>
      <c r="V2240" s="1">
        <v>1</v>
      </c>
      <c r="W2240" s="1">
        <v>1</v>
      </c>
      <c r="X2240" s="1">
        <v>0</v>
      </c>
      <c r="Y2240" s="1">
        <v>0</v>
      </c>
      <c r="Z2240" s="1">
        <v>1</v>
      </c>
      <c r="AA2240" s="1" t="s">
        <v>109</v>
      </c>
      <c r="AB2240" s="1" t="s">
        <v>109</v>
      </c>
      <c r="AC2240" s="1">
        <v>1</v>
      </c>
      <c r="AD2240" s="1">
        <v>1</v>
      </c>
      <c r="AE2240" s="1">
        <v>1</v>
      </c>
      <c r="AF2240" s="1" t="s">
        <v>109</v>
      </c>
      <c r="AG2240" s="1">
        <v>1</v>
      </c>
      <c r="AH2240" s="1">
        <v>1</v>
      </c>
      <c r="AI2240" s="1" t="s">
        <v>109</v>
      </c>
      <c r="AJ2240" s="1">
        <v>1</v>
      </c>
      <c r="AK2240" s="1" t="s">
        <v>109</v>
      </c>
      <c r="AL2240" s="1">
        <v>1</v>
      </c>
      <c r="AM2240" s="1" t="s">
        <v>109</v>
      </c>
      <c r="AN2240" s="1" t="s">
        <v>109</v>
      </c>
      <c r="AO2240" s="1" t="s">
        <v>109</v>
      </c>
      <c r="AP2240" s="1"/>
      <c r="AQ2240" s="1">
        <v>1</v>
      </c>
      <c r="AR2240" s="1"/>
      <c r="AS2240" s="1"/>
      <c r="AT2240" s="1">
        <v>0</v>
      </c>
      <c r="AU2240" s="1">
        <v>0</v>
      </c>
      <c r="AV2240" s="1">
        <v>0</v>
      </c>
      <c r="AW2240" s="1">
        <v>0</v>
      </c>
      <c r="AX2240" s="1">
        <v>0</v>
      </c>
      <c r="AY2240" s="1">
        <v>0</v>
      </c>
      <c r="AZ2240" s="1">
        <v>0</v>
      </c>
      <c r="BA2240" s="1">
        <v>0</v>
      </c>
      <c r="BB2240" s="1">
        <v>0</v>
      </c>
      <c r="BC2240" s="1">
        <v>0</v>
      </c>
      <c r="BD2240" s="1">
        <v>0</v>
      </c>
      <c r="BE2240" s="1">
        <v>0</v>
      </c>
      <c r="BF2240" s="1">
        <v>0</v>
      </c>
      <c r="BG2240" s="1">
        <v>0</v>
      </c>
      <c r="BH2240" s="1">
        <v>0</v>
      </c>
      <c r="BI2240" s="1">
        <v>0</v>
      </c>
      <c r="BJ2240" s="1">
        <v>0</v>
      </c>
      <c r="BK2240" s="1">
        <v>0</v>
      </c>
      <c r="BL2240" s="1">
        <v>0</v>
      </c>
      <c r="BM2240" s="1">
        <v>0</v>
      </c>
      <c r="BN2240" s="1">
        <v>0</v>
      </c>
      <c r="BO2240" s="1">
        <v>0</v>
      </c>
      <c r="BP2240" s="1">
        <v>0</v>
      </c>
      <c r="BQ2240" s="1">
        <v>0</v>
      </c>
      <c r="BR2240" s="1">
        <v>0</v>
      </c>
      <c r="BS2240" s="1" t="s">
        <v>109</v>
      </c>
      <c r="BT2240" s="1">
        <v>2327</v>
      </c>
      <c r="BU2240" s="1" t="s">
        <v>109</v>
      </c>
      <c r="BV2240" s="1"/>
      <c r="BW2240" s="1"/>
      <c r="BX2240" s="1"/>
      <c r="BY2240" s="1"/>
      <c r="BZ2240" s="1">
        <v>0</v>
      </c>
      <c r="CA2240" s="1" t="s">
        <v>109</v>
      </c>
      <c r="CB2240" s="1">
        <v>1</v>
      </c>
      <c r="CC2240" s="1" t="s">
        <v>109</v>
      </c>
      <c r="CD2240" s="1" t="s">
        <v>109</v>
      </c>
      <c r="CE2240" s="1" t="s">
        <v>109</v>
      </c>
      <c r="CF2240" s="1" t="s">
        <v>109</v>
      </c>
      <c r="CG2240" s="1" t="s">
        <v>109</v>
      </c>
      <c r="CH2240" s="1" t="s">
        <v>109</v>
      </c>
      <c r="CI2240" s="1" t="s">
        <v>109</v>
      </c>
      <c r="CJ2240" s="1">
        <v>1</v>
      </c>
      <c r="CK2240" s="1"/>
      <c r="CL2240" s="1">
        <v>0</v>
      </c>
      <c r="CM2240" s="1">
        <v>0</v>
      </c>
      <c r="CN2240" s="1">
        <v>0</v>
      </c>
    </row>
    <row r="2241" spans="1:92" ht="14.25" customHeight="1" x14ac:dyDescent="0.15">
      <c r="A2241" s="1" t="s">
        <v>16131</v>
      </c>
      <c r="B2241" s="1" t="s">
        <v>189</v>
      </c>
      <c r="C2241" s="1"/>
      <c r="D2241" s="1"/>
      <c r="E2241" s="1" t="s">
        <v>16132</v>
      </c>
      <c r="F2241" s="1" t="s">
        <v>98</v>
      </c>
      <c r="G2241" s="1" t="s">
        <v>141</v>
      </c>
      <c r="H2241" s="1">
        <v>0</v>
      </c>
      <c r="I2241" s="1" t="s">
        <v>161</v>
      </c>
      <c r="J2241" s="1"/>
      <c r="K2241" s="1"/>
      <c r="L2241" s="1" t="s">
        <v>16133</v>
      </c>
      <c r="M2241" s="1" t="s">
        <v>125</v>
      </c>
      <c r="N2241" s="1">
        <v>0</v>
      </c>
      <c r="O2241" s="1">
        <v>0</v>
      </c>
      <c r="P2241" s="1" t="s">
        <v>267</v>
      </c>
      <c r="Q2241" s="1" t="s">
        <v>268</v>
      </c>
      <c r="R2241" s="1" t="s">
        <v>16134</v>
      </c>
      <c r="S2241" s="1" t="s">
        <v>16135</v>
      </c>
      <c r="T2241" s="1" t="s">
        <v>16129</v>
      </c>
      <c r="U2241" s="1" t="s">
        <v>16136</v>
      </c>
      <c r="V2241" s="1">
        <v>1</v>
      </c>
      <c r="W2241" s="1">
        <v>1</v>
      </c>
      <c r="X2241" s="1">
        <v>0</v>
      </c>
      <c r="Y2241" s="1">
        <v>0</v>
      </c>
      <c r="Z2241" s="1">
        <v>0</v>
      </c>
      <c r="AA2241" s="1" t="s">
        <v>109</v>
      </c>
      <c r="AB2241" s="1" t="s">
        <v>109</v>
      </c>
      <c r="AC2241" s="1">
        <v>3</v>
      </c>
      <c r="AD2241" s="1" t="s">
        <v>109</v>
      </c>
      <c r="AE2241" s="1" t="s">
        <v>109</v>
      </c>
      <c r="AF2241" s="1">
        <v>2</v>
      </c>
      <c r="AG2241" s="1" t="s">
        <v>109</v>
      </c>
      <c r="AH2241" s="1">
        <v>2</v>
      </c>
      <c r="AI2241" s="1" t="s">
        <v>109</v>
      </c>
      <c r="AJ2241" s="1" t="s">
        <v>109</v>
      </c>
      <c r="AK2241" s="1" t="s">
        <v>109</v>
      </c>
      <c r="AL2241" s="1">
        <v>3</v>
      </c>
      <c r="AM2241" s="1" t="s">
        <v>109</v>
      </c>
      <c r="AN2241" s="1" t="s">
        <v>109</v>
      </c>
      <c r="AO2241" s="1" t="s">
        <v>109</v>
      </c>
      <c r="AP2241" s="1"/>
      <c r="AQ2241" s="1">
        <v>3</v>
      </c>
      <c r="AR2241" s="1"/>
      <c r="AS2241" s="1"/>
      <c r="AT2241" s="1">
        <v>0</v>
      </c>
      <c r="AU2241" s="1">
        <v>0</v>
      </c>
      <c r="AV2241" s="1">
        <v>0</v>
      </c>
      <c r="AW2241" s="1">
        <v>0</v>
      </c>
      <c r="AX2241" s="1">
        <v>0</v>
      </c>
      <c r="AY2241" s="1">
        <v>0</v>
      </c>
      <c r="AZ2241" s="1">
        <v>0</v>
      </c>
      <c r="BA2241" s="1">
        <v>0</v>
      </c>
      <c r="BB2241" s="1">
        <v>0</v>
      </c>
      <c r="BC2241" s="1">
        <v>0</v>
      </c>
      <c r="BD2241" s="1">
        <v>0</v>
      </c>
      <c r="BE2241" s="1">
        <v>0</v>
      </c>
      <c r="BF2241" s="1">
        <v>0</v>
      </c>
      <c r="BG2241" s="1">
        <v>0</v>
      </c>
      <c r="BH2241" s="1">
        <v>0</v>
      </c>
      <c r="BI2241" s="1">
        <v>0</v>
      </c>
      <c r="BJ2241" s="1">
        <v>0</v>
      </c>
      <c r="BK2241" s="1">
        <v>0</v>
      </c>
      <c r="BL2241" s="1">
        <v>0</v>
      </c>
      <c r="BM2241" s="1">
        <v>0</v>
      </c>
      <c r="BN2241" s="1">
        <v>0</v>
      </c>
      <c r="BO2241" s="1">
        <v>0</v>
      </c>
      <c r="BP2241" s="1">
        <v>0</v>
      </c>
      <c r="BQ2241" s="1">
        <v>0</v>
      </c>
      <c r="BR2241" s="1">
        <v>0</v>
      </c>
      <c r="BS2241" s="1" t="s">
        <v>109</v>
      </c>
      <c r="BT2241" s="1">
        <v>2328</v>
      </c>
      <c r="BU2241" s="1" t="s">
        <v>109</v>
      </c>
      <c r="BV2241" s="1"/>
      <c r="BW2241" s="1"/>
      <c r="BX2241" s="1"/>
      <c r="BY2241" s="1"/>
      <c r="BZ2241" s="1">
        <v>0</v>
      </c>
      <c r="CA2241" s="1" t="s">
        <v>109</v>
      </c>
      <c r="CB2241" s="1">
        <v>3</v>
      </c>
      <c r="CC2241" s="1" t="s">
        <v>109</v>
      </c>
      <c r="CD2241" s="1" t="s">
        <v>109</v>
      </c>
      <c r="CE2241" s="1">
        <v>3</v>
      </c>
      <c r="CF2241" s="1" t="s">
        <v>109</v>
      </c>
      <c r="CG2241" s="1" t="s">
        <v>109</v>
      </c>
      <c r="CH2241" s="1">
        <v>3</v>
      </c>
      <c r="CI2241" s="1" t="s">
        <v>109</v>
      </c>
      <c r="CJ2241" s="1" t="s">
        <v>109</v>
      </c>
      <c r="CK2241" s="1"/>
      <c r="CL2241" s="1">
        <v>0</v>
      </c>
      <c r="CM2241" s="1">
        <v>0</v>
      </c>
      <c r="CN2241" s="1">
        <v>0</v>
      </c>
    </row>
    <row r="2242" spans="1:92" ht="14.25" customHeight="1" x14ac:dyDescent="0.15">
      <c r="A2242" s="1" t="s">
        <v>16137</v>
      </c>
      <c r="B2242" s="1" t="s">
        <v>189</v>
      </c>
      <c r="C2242" s="1"/>
      <c r="D2242" s="1"/>
      <c r="E2242" s="1" t="s">
        <v>16138</v>
      </c>
      <c r="F2242" s="1" t="s">
        <v>98</v>
      </c>
      <c r="G2242" s="1" t="s">
        <v>16139</v>
      </c>
      <c r="H2242" s="1">
        <v>0</v>
      </c>
      <c r="I2242" s="1" t="s">
        <v>161</v>
      </c>
      <c r="J2242" s="1"/>
      <c r="K2242" s="1"/>
      <c r="L2242" s="1" t="s">
        <v>563</v>
      </c>
      <c r="M2242" s="1" t="s">
        <v>144</v>
      </c>
      <c r="N2242" s="1">
        <v>0</v>
      </c>
      <c r="O2242" s="1">
        <v>0</v>
      </c>
      <c r="P2242" s="1" t="s">
        <v>267</v>
      </c>
      <c r="Q2242" s="1" t="s">
        <v>268</v>
      </c>
      <c r="R2242" s="1" t="s">
        <v>16140</v>
      </c>
      <c r="S2242" s="1" t="s">
        <v>16141</v>
      </c>
      <c r="T2242" s="1" t="s">
        <v>16129</v>
      </c>
      <c r="U2242" s="1" t="s">
        <v>16142</v>
      </c>
      <c r="V2242" s="1">
        <v>1</v>
      </c>
      <c r="W2242" s="1">
        <v>1</v>
      </c>
      <c r="X2242" s="1">
        <v>1</v>
      </c>
      <c r="Y2242" s="1">
        <v>0</v>
      </c>
      <c r="Z2242" s="1">
        <v>0</v>
      </c>
      <c r="AA2242" s="1">
        <v>3</v>
      </c>
      <c r="AB2242" s="1">
        <v>3</v>
      </c>
      <c r="AC2242" s="1" t="s">
        <v>109</v>
      </c>
      <c r="AD2242" s="1" t="s">
        <v>109</v>
      </c>
      <c r="AE2242" s="1" t="s">
        <v>109</v>
      </c>
      <c r="AF2242" s="1" t="s">
        <v>109</v>
      </c>
      <c r="AG2242" s="1" t="s">
        <v>109</v>
      </c>
      <c r="AH2242" s="1">
        <v>2</v>
      </c>
      <c r="AI2242" s="1" t="s">
        <v>109</v>
      </c>
      <c r="AJ2242" s="1">
        <v>3</v>
      </c>
      <c r="AK2242" s="1" t="s">
        <v>109</v>
      </c>
      <c r="AL2242" s="1" t="s">
        <v>109</v>
      </c>
      <c r="AM2242" s="1" t="s">
        <v>109</v>
      </c>
      <c r="AN2242" s="1" t="s">
        <v>109</v>
      </c>
      <c r="AO2242" s="1" t="s">
        <v>109</v>
      </c>
      <c r="AP2242" s="1"/>
      <c r="AQ2242" s="1">
        <v>3</v>
      </c>
      <c r="AR2242" s="1"/>
      <c r="AS2242" s="1"/>
      <c r="AT2242" s="1">
        <v>0</v>
      </c>
      <c r="AU2242" s="1">
        <v>0</v>
      </c>
      <c r="AV2242" s="1">
        <v>0</v>
      </c>
      <c r="AW2242" s="1">
        <v>0</v>
      </c>
      <c r="AX2242" s="1">
        <v>0</v>
      </c>
      <c r="AY2242" s="1">
        <v>0</v>
      </c>
      <c r="AZ2242" s="1">
        <v>0</v>
      </c>
      <c r="BA2242" s="1">
        <v>0</v>
      </c>
      <c r="BB2242" s="1">
        <v>0</v>
      </c>
      <c r="BC2242" s="1">
        <v>0</v>
      </c>
      <c r="BD2242" s="1">
        <v>0</v>
      </c>
      <c r="BE2242" s="1">
        <v>0</v>
      </c>
      <c r="BF2242" s="1">
        <v>0</v>
      </c>
      <c r="BG2242" s="1">
        <v>0</v>
      </c>
      <c r="BH2242" s="1">
        <v>0</v>
      </c>
      <c r="BI2242" s="1">
        <v>0</v>
      </c>
      <c r="BJ2242" s="1">
        <v>0</v>
      </c>
      <c r="BK2242" s="1">
        <v>0</v>
      </c>
      <c r="BL2242" s="1">
        <v>0</v>
      </c>
      <c r="BM2242" s="1">
        <v>0</v>
      </c>
      <c r="BN2242" s="1">
        <v>0</v>
      </c>
      <c r="BO2242" s="1">
        <v>0</v>
      </c>
      <c r="BP2242" s="1">
        <v>0</v>
      </c>
      <c r="BQ2242" s="1">
        <v>0</v>
      </c>
      <c r="BR2242" s="1">
        <v>0</v>
      </c>
      <c r="BS2242" s="1" t="s">
        <v>109</v>
      </c>
      <c r="BT2242" s="1">
        <v>2329</v>
      </c>
      <c r="BU2242" s="1" t="s">
        <v>109</v>
      </c>
      <c r="BV2242" s="1"/>
      <c r="BW2242" s="1"/>
      <c r="BX2242" s="1"/>
      <c r="BY2242" s="1"/>
      <c r="BZ2242" s="1">
        <v>0</v>
      </c>
      <c r="CA2242" s="1" t="s">
        <v>109</v>
      </c>
      <c r="CB2242" s="1" t="s">
        <v>109</v>
      </c>
      <c r="CC2242" s="1" t="s">
        <v>109</v>
      </c>
      <c r="CD2242" s="1" t="s">
        <v>109</v>
      </c>
      <c r="CE2242" s="1">
        <v>3</v>
      </c>
      <c r="CF2242" s="1" t="s">
        <v>109</v>
      </c>
      <c r="CG2242" s="1" t="s">
        <v>109</v>
      </c>
      <c r="CH2242" s="1" t="s">
        <v>109</v>
      </c>
      <c r="CI2242" s="1" t="s">
        <v>109</v>
      </c>
      <c r="CJ2242" s="1" t="s">
        <v>109</v>
      </c>
      <c r="CK2242" s="1"/>
      <c r="CL2242" s="1">
        <v>0</v>
      </c>
      <c r="CM2242" s="1">
        <v>0</v>
      </c>
      <c r="CN2242" s="1">
        <v>0</v>
      </c>
    </row>
    <row r="2243" spans="1:92" ht="14.25" customHeight="1" x14ac:dyDescent="0.15">
      <c r="A2243" s="1" t="s">
        <v>16143</v>
      </c>
      <c r="B2243" s="1" t="s">
        <v>308</v>
      </c>
      <c r="C2243" s="1"/>
      <c r="D2243" s="1" t="s">
        <v>16074</v>
      </c>
      <c r="E2243" s="1" t="s">
        <v>16144</v>
      </c>
      <c r="F2243" s="1" t="s">
        <v>98</v>
      </c>
      <c r="G2243" s="1" t="s">
        <v>333</v>
      </c>
      <c r="H2243" s="1">
        <v>0</v>
      </c>
      <c r="I2243" s="1" t="s">
        <v>122</v>
      </c>
      <c r="J2243" s="1"/>
      <c r="K2243" s="1"/>
      <c r="L2243" s="1" t="s">
        <v>563</v>
      </c>
      <c r="M2243" s="1" t="s">
        <v>5811</v>
      </c>
      <c r="N2243" s="1">
        <v>1</v>
      </c>
      <c r="O2243" s="1">
        <v>0</v>
      </c>
      <c r="P2243" s="1" t="s">
        <v>507</v>
      </c>
      <c r="Q2243" s="1" t="s">
        <v>104</v>
      </c>
      <c r="R2243" s="1" t="s">
        <v>16145</v>
      </c>
      <c r="S2243" s="1" t="s">
        <v>16146</v>
      </c>
      <c r="T2243" s="1" t="s">
        <v>16129</v>
      </c>
      <c r="U2243" s="1" t="s">
        <v>16147</v>
      </c>
      <c r="V2243" s="1">
        <v>1</v>
      </c>
      <c r="W2243" s="1">
        <v>0</v>
      </c>
      <c r="X2243" s="1">
        <v>0</v>
      </c>
      <c r="Y2243" s="1">
        <v>0</v>
      </c>
      <c r="Z2243" s="1">
        <v>0</v>
      </c>
      <c r="AA2243" s="1">
        <v>1</v>
      </c>
      <c r="AB2243" s="1">
        <v>1</v>
      </c>
      <c r="AC2243" s="1">
        <v>2</v>
      </c>
      <c r="AD2243" s="1" t="s">
        <v>109</v>
      </c>
      <c r="AE2243" s="1" t="s">
        <v>109</v>
      </c>
      <c r="AF2243" s="1">
        <v>1</v>
      </c>
      <c r="AG2243" s="1" t="s">
        <v>109</v>
      </c>
      <c r="AH2243" s="1" t="s">
        <v>109</v>
      </c>
      <c r="AI2243" s="1" t="s">
        <v>109</v>
      </c>
      <c r="AJ2243" s="1">
        <v>1</v>
      </c>
      <c r="AK2243" s="1" t="s">
        <v>109</v>
      </c>
      <c r="AL2243" s="1">
        <v>2</v>
      </c>
      <c r="AM2243" s="1">
        <v>1</v>
      </c>
      <c r="AN2243" s="1" t="s">
        <v>109</v>
      </c>
      <c r="AO2243" s="1" t="s">
        <v>109</v>
      </c>
      <c r="AP2243" s="1"/>
      <c r="AQ2243" s="1">
        <v>1</v>
      </c>
      <c r="AR2243" s="1"/>
      <c r="AS2243" s="1"/>
      <c r="AT2243" s="1">
        <v>0</v>
      </c>
      <c r="AU2243" s="1">
        <v>0</v>
      </c>
      <c r="AV2243" s="1">
        <v>0</v>
      </c>
      <c r="AW2243" s="1">
        <v>0</v>
      </c>
      <c r="AX2243" s="1">
        <v>1</v>
      </c>
      <c r="AY2243" s="1">
        <v>0</v>
      </c>
      <c r="AZ2243" s="1">
        <v>0</v>
      </c>
      <c r="BA2243" s="1">
        <v>0</v>
      </c>
      <c r="BB2243" s="1">
        <v>0</v>
      </c>
      <c r="BC2243" s="1">
        <v>0</v>
      </c>
      <c r="BD2243" s="1">
        <v>0</v>
      </c>
      <c r="BE2243" s="1">
        <v>0</v>
      </c>
      <c r="BF2243" s="1">
        <v>0</v>
      </c>
      <c r="BG2243" s="1">
        <v>0</v>
      </c>
      <c r="BH2243" s="1">
        <v>0</v>
      </c>
      <c r="BI2243" s="1">
        <v>0</v>
      </c>
      <c r="BJ2243" s="1">
        <v>0</v>
      </c>
      <c r="BK2243" s="1">
        <v>0</v>
      </c>
      <c r="BL2243" s="1">
        <v>0</v>
      </c>
      <c r="BM2243" s="1">
        <v>0</v>
      </c>
      <c r="BN2243" s="1">
        <v>0</v>
      </c>
      <c r="BO2243" s="1">
        <v>0</v>
      </c>
      <c r="BP2243" s="1">
        <v>0</v>
      </c>
      <c r="BQ2243" s="1">
        <v>0</v>
      </c>
      <c r="BR2243" s="1">
        <v>0</v>
      </c>
      <c r="BS2243" s="1" t="s">
        <v>109</v>
      </c>
      <c r="BT2243" s="1">
        <v>2330</v>
      </c>
      <c r="BU2243" s="1" t="s">
        <v>109</v>
      </c>
      <c r="BV2243" s="1"/>
      <c r="BW2243" s="1"/>
      <c r="BX2243" s="1"/>
      <c r="BY2243" s="1"/>
      <c r="BZ2243" s="1">
        <v>0</v>
      </c>
      <c r="CA2243" s="1">
        <v>1</v>
      </c>
      <c r="CB2243" s="1">
        <v>2</v>
      </c>
      <c r="CC2243" s="1">
        <v>1</v>
      </c>
      <c r="CD2243" s="1" t="s">
        <v>109</v>
      </c>
      <c r="CE2243" s="1">
        <v>1</v>
      </c>
      <c r="CF2243" s="1" t="s">
        <v>109</v>
      </c>
      <c r="CG2243" s="1">
        <v>2</v>
      </c>
      <c r="CH2243" s="1" t="s">
        <v>109</v>
      </c>
      <c r="CI2243" s="1" t="s">
        <v>109</v>
      </c>
      <c r="CJ2243" s="1" t="s">
        <v>109</v>
      </c>
      <c r="CK2243" s="1"/>
      <c r="CL2243" s="1">
        <v>0</v>
      </c>
      <c r="CM2243" s="1">
        <v>0</v>
      </c>
      <c r="CN2243" s="1">
        <v>0</v>
      </c>
    </row>
    <row r="2244" spans="1:92" ht="14.25" customHeight="1" x14ac:dyDescent="0.15">
      <c r="A2244" s="1" t="s">
        <v>16148</v>
      </c>
      <c r="B2244" s="1" t="s">
        <v>189</v>
      </c>
      <c r="C2244" s="1"/>
      <c r="D2244" s="1"/>
      <c r="E2244" s="1" t="s">
        <v>16149</v>
      </c>
      <c r="F2244" s="1" t="s">
        <v>98</v>
      </c>
      <c r="G2244" s="1" t="s">
        <v>16150</v>
      </c>
      <c r="H2244" s="1">
        <v>1</v>
      </c>
      <c r="I2244" s="1" t="s">
        <v>161</v>
      </c>
      <c r="J2244" s="1"/>
      <c r="K2244" s="1"/>
      <c r="L2244" s="1" t="s">
        <v>162</v>
      </c>
      <c r="M2244" s="1" t="s">
        <v>9367</v>
      </c>
      <c r="N2244" s="1">
        <v>0</v>
      </c>
      <c r="O2244" s="1">
        <v>0</v>
      </c>
      <c r="P2244" s="1" t="s">
        <v>301</v>
      </c>
      <c r="Q2244" s="1" t="s">
        <v>268</v>
      </c>
      <c r="R2244" s="1" t="s">
        <v>16151</v>
      </c>
      <c r="S2244" s="1" t="s">
        <v>16152</v>
      </c>
      <c r="T2244" s="1" t="s">
        <v>16129</v>
      </c>
      <c r="U2244" s="1" t="s">
        <v>16153</v>
      </c>
      <c r="V2244" s="1">
        <v>1</v>
      </c>
      <c r="W2244" s="1">
        <v>1</v>
      </c>
      <c r="X2244" s="1">
        <v>1</v>
      </c>
      <c r="Y2244" s="1">
        <v>0</v>
      </c>
      <c r="Z2244" s="1">
        <v>0</v>
      </c>
      <c r="AA2244" s="1">
        <v>1</v>
      </c>
      <c r="AB2244" s="1">
        <v>1</v>
      </c>
      <c r="AC2244" s="1">
        <v>1</v>
      </c>
      <c r="AD2244" s="1">
        <v>1</v>
      </c>
      <c r="AE2244" s="1" t="s">
        <v>109</v>
      </c>
      <c r="AF2244" s="1" t="s">
        <v>109</v>
      </c>
      <c r="AG2244" s="1" t="s">
        <v>109</v>
      </c>
      <c r="AH2244" s="1">
        <v>1</v>
      </c>
      <c r="AI2244" s="1">
        <v>1</v>
      </c>
      <c r="AJ2244" s="1" t="s">
        <v>109</v>
      </c>
      <c r="AK2244" s="1" t="s">
        <v>109</v>
      </c>
      <c r="AL2244" s="1">
        <v>1</v>
      </c>
      <c r="AM2244" s="1">
        <v>1</v>
      </c>
      <c r="AN2244" s="1">
        <v>1</v>
      </c>
      <c r="AO2244" s="1" t="s">
        <v>109</v>
      </c>
      <c r="AP2244" s="1"/>
      <c r="AQ2244" s="1">
        <v>1</v>
      </c>
      <c r="AR2244" s="1"/>
      <c r="AS2244" s="1"/>
      <c r="AT2244" s="1">
        <v>0</v>
      </c>
      <c r="AU2244" s="1">
        <v>0</v>
      </c>
      <c r="AV2244" s="1">
        <v>0</v>
      </c>
      <c r="AW2244" s="1">
        <v>0</v>
      </c>
      <c r="AX2244" s="1">
        <v>0</v>
      </c>
      <c r="AY2244" s="1">
        <v>0</v>
      </c>
      <c r="AZ2244" s="1">
        <v>0</v>
      </c>
      <c r="BA2244" s="1">
        <v>0</v>
      </c>
      <c r="BB2244" s="1">
        <v>0</v>
      </c>
      <c r="BC2244" s="1">
        <v>0</v>
      </c>
      <c r="BD2244" s="1">
        <v>0</v>
      </c>
      <c r="BE2244" s="1">
        <v>0</v>
      </c>
      <c r="BF2244" s="1">
        <v>0</v>
      </c>
      <c r="BG2244" s="1">
        <v>0</v>
      </c>
      <c r="BH2244" s="1">
        <v>0</v>
      </c>
      <c r="BI2244" s="1">
        <v>0</v>
      </c>
      <c r="BJ2244" s="1">
        <v>0</v>
      </c>
      <c r="BK2244" s="1">
        <v>0</v>
      </c>
      <c r="BL2244" s="1">
        <v>0</v>
      </c>
      <c r="BM2244" s="1">
        <v>0</v>
      </c>
      <c r="BN2244" s="1">
        <v>0</v>
      </c>
      <c r="BO2244" s="1">
        <v>0</v>
      </c>
      <c r="BP2244" s="1">
        <v>0</v>
      </c>
      <c r="BQ2244" s="1">
        <v>0</v>
      </c>
      <c r="BR2244" s="1">
        <v>0</v>
      </c>
      <c r="BS2244" s="1" t="s">
        <v>109</v>
      </c>
      <c r="BT2244" s="1">
        <v>2331</v>
      </c>
      <c r="BU2244" s="1">
        <v>15</v>
      </c>
      <c r="BV2244" s="1"/>
      <c r="BW2244" s="1"/>
      <c r="BX2244" s="1"/>
      <c r="BY2244" s="1"/>
      <c r="BZ2244" s="1">
        <v>0</v>
      </c>
      <c r="CA2244" s="1">
        <v>1</v>
      </c>
      <c r="CB2244" s="1">
        <v>1</v>
      </c>
      <c r="CC2244" s="1">
        <v>1</v>
      </c>
      <c r="CD2244" s="1">
        <v>1</v>
      </c>
      <c r="CE2244" s="1" t="s">
        <v>109</v>
      </c>
      <c r="CF2244" s="1" t="s">
        <v>109</v>
      </c>
      <c r="CG2244" s="1" t="s">
        <v>109</v>
      </c>
      <c r="CH2244" s="1" t="s">
        <v>109</v>
      </c>
      <c r="CI2244" s="1" t="s">
        <v>109</v>
      </c>
      <c r="CJ2244" s="1">
        <v>1</v>
      </c>
      <c r="CK2244" s="1"/>
      <c r="CL2244" s="1">
        <v>0</v>
      </c>
      <c r="CM2244" s="1">
        <v>0</v>
      </c>
      <c r="CN2244" s="1">
        <v>0</v>
      </c>
    </row>
    <row r="2245" spans="1:92" ht="14.25" customHeight="1" x14ac:dyDescent="0.15">
      <c r="A2245" s="1" t="s">
        <v>16154</v>
      </c>
      <c r="B2245" s="1" t="s">
        <v>156</v>
      </c>
      <c r="C2245" s="1" t="s">
        <v>157</v>
      </c>
      <c r="D2245" s="1" t="s">
        <v>158</v>
      </c>
      <c r="E2245" s="1" t="s">
        <v>16155</v>
      </c>
      <c r="F2245" s="1" t="s">
        <v>98</v>
      </c>
      <c r="G2245" s="1" t="s">
        <v>16156</v>
      </c>
      <c r="H2245" s="1">
        <v>0</v>
      </c>
      <c r="I2245" s="1" t="s">
        <v>161</v>
      </c>
      <c r="J2245" s="1"/>
      <c r="K2245" s="1"/>
      <c r="L2245" s="1" t="s">
        <v>1391</v>
      </c>
      <c r="M2245" s="1" t="s">
        <v>815</v>
      </c>
      <c r="N2245" s="1">
        <v>1</v>
      </c>
      <c r="O2245" s="1">
        <v>0</v>
      </c>
      <c r="P2245" s="1" t="s">
        <v>301</v>
      </c>
      <c r="Q2245" s="1" t="s">
        <v>268</v>
      </c>
      <c r="R2245" s="1" t="s">
        <v>16157</v>
      </c>
      <c r="S2245" s="1" t="s">
        <v>16158</v>
      </c>
      <c r="T2245" s="1" t="s">
        <v>16129</v>
      </c>
      <c r="U2245" s="1" t="s">
        <v>16159</v>
      </c>
      <c r="V2245" s="1">
        <v>1</v>
      </c>
      <c r="W2245" s="1">
        <v>1</v>
      </c>
      <c r="X2245" s="1">
        <v>1</v>
      </c>
      <c r="Y2245" s="1">
        <v>0</v>
      </c>
      <c r="Z2245" s="1">
        <v>0</v>
      </c>
      <c r="AA2245" s="1">
        <v>2</v>
      </c>
      <c r="AB2245" s="1">
        <v>2</v>
      </c>
      <c r="AC2245" s="1">
        <v>2</v>
      </c>
      <c r="AD2245" s="1">
        <v>2</v>
      </c>
      <c r="AE2245" s="1" t="s">
        <v>109</v>
      </c>
      <c r="AF2245" s="1">
        <v>1</v>
      </c>
      <c r="AG2245" s="1" t="s">
        <v>109</v>
      </c>
      <c r="AH2245" s="1" t="s">
        <v>109</v>
      </c>
      <c r="AI2245" s="1" t="s">
        <v>109</v>
      </c>
      <c r="AJ2245" s="1">
        <v>2</v>
      </c>
      <c r="AK2245" s="1" t="s">
        <v>109</v>
      </c>
      <c r="AL2245" s="1">
        <v>2</v>
      </c>
      <c r="AM2245" s="1" t="s">
        <v>109</v>
      </c>
      <c r="AN2245" s="1" t="s">
        <v>109</v>
      </c>
      <c r="AO2245" s="1" t="s">
        <v>109</v>
      </c>
      <c r="AP2245" s="1"/>
      <c r="AQ2245" s="1">
        <v>2</v>
      </c>
      <c r="AR2245" s="1"/>
      <c r="AS2245" s="1"/>
      <c r="AT2245" s="1">
        <v>0</v>
      </c>
      <c r="AU2245" s="1">
        <v>0</v>
      </c>
      <c r="AV2245" s="1">
        <v>0</v>
      </c>
      <c r="AW2245" s="1">
        <v>0</v>
      </c>
      <c r="AX2245" s="1">
        <v>0</v>
      </c>
      <c r="AY2245" s="1">
        <v>0</v>
      </c>
      <c r="AZ2245" s="1">
        <v>0</v>
      </c>
      <c r="BA2245" s="1">
        <v>0</v>
      </c>
      <c r="BB2245" s="1">
        <v>0</v>
      </c>
      <c r="BC2245" s="1">
        <v>0</v>
      </c>
      <c r="BD2245" s="1">
        <v>0</v>
      </c>
      <c r="BE2245" s="1">
        <v>0</v>
      </c>
      <c r="BF2245" s="1">
        <v>0</v>
      </c>
      <c r="BG2245" s="1">
        <v>0</v>
      </c>
      <c r="BH2245" s="1">
        <v>0</v>
      </c>
      <c r="BI2245" s="1">
        <v>0</v>
      </c>
      <c r="BJ2245" s="1">
        <v>0</v>
      </c>
      <c r="BK2245" s="1">
        <v>0</v>
      </c>
      <c r="BL2245" s="1">
        <v>0</v>
      </c>
      <c r="BM2245" s="1">
        <v>1</v>
      </c>
      <c r="BN2245" s="1">
        <v>0</v>
      </c>
      <c r="BO2245" s="1">
        <v>0</v>
      </c>
      <c r="BP2245" s="1">
        <v>0</v>
      </c>
      <c r="BQ2245" s="1">
        <v>0</v>
      </c>
      <c r="BR2245" s="1">
        <v>0</v>
      </c>
      <c r="BS2245" s="1" t="s">
        <v>109</v>
      </c>
      <c r="BT2245" s="1">
        <v>2333</v>
      </c>
      <c r="BU2245" s="1" t="s">
        <v>109</v>
      </c>
      <c r="BV2245" s="1"/>
      <c r="BW2245" s="1"/>
      <c r="BX2245" s="1"/>
      <c r="BY2245" s="1"/>
      <c r="BZ2245" s="1">
        <v>0</v>
      </c>
      <c r="CA2245" s="1" t="s">
        <v>109</v>
      </c>
      <c r="CB2245" s="1" t="s">
        <v>109</v>
      </c>
      <c r="CC2245" s="1" t="s">
        <v>109</v>
      </c>
      <c r="CD2245" s="1">
        <v>2</v>
      </c>
      <c r="CE2245" s="1">
        <v>2</v>
      </c>
      <c r="CF2245" s="1" t="s">
        <v>109</v>
      </c>
      <c r="CG2245" s="1" t="s">
        <v>109</v>
      </c>
      <c r="CH2245" s="1" t="s">
        <v>109</v>
      </c>
      <c r="CI2245" s="1" t="s">
        <v>109</v>
      </c>
      <c r="CJ2245" s="1">
        <v>2</v>
      </c>
      <c r="CK2245" s="1"/>
      <c r="CL2245" s="1">
        <v>0</v>
      </c>
      <c r="CM2245" s="1">
        <v>0</v>
      </c>
      <c r="CN2245" s="1">
        <v>0</v>
      </c>
    </row>
    <row r="2246" spans="1:92" ht="14.25" customHeight="1" x14ac:dyDescent="0.15">
      <c r="A2246" s="1" t="s">
        <v>16160</v>
      </c>
      <c r="B2246" s="1" t="s">
        <v>156</v>
      </c>
      <c r="C2246" s="1" t="s">
        <v>157</v>
      </c>
      <c r="D2246" s="1" t="s">
        <v>158</v>
      </c>
      <c r="E2246" s="1" t="s">
        <v>16161</v>
      </c>
      <c r="F2246" s="1" t="s">
        <v>98</v>
      </c>
      <c r="G2246" s="1" t="s">
        <v>16156</v>
      </c>
      <c r="H2246" s="1">
        <v>0</v>
      </c>
      <c r="I2246" s="1" t="s">
        <v>161</v>
      </c>
      <c r="J2246" s="1"/>
      <c r="K2246" s="1"/>
      <c r="L2246" s="1" t="s">
        <v>716</v>
      </c>
      <c r="M2246" s="1" t="s">
        <v>815</v>
      </c>
      <c r="N2246" s="1">
        <v>1</v>
      </c>
      <c r="O2246" s="1">
        <v>0</v>
      </c>
      <c r="P2246" s="1" t="s">
        <v>301</v>
      </c>
      <c r="Q2246" s="1" t="s">
        <v>268</v>
      </c>
      <c r="R2246" s="1" t="s">
        <v>16162</v>
      </c>
      <c r="S2246" s="1" t="s">
        <v>16163</v>
      </c>
      <c r="T2246" s="1" t="s">
        <v>16129</v>
      </c>
      <c r="U2246" s="1" t="s">
        <v>16164</v>
      </c>
      <c r="V2246" s="1">
        <v>1</v>
      </c>
      <c r="W2246" s="1">
        <v>1</v>
      </c>
      <c r="X2246" s="1">
        <v>1</v>
      </c>
      <c r="Y2246" s="1">
        <v>0</v>
      </c>
      <c r="Z2246" s="1">
        <v>0</v>
      </c>
      <c r="AA2246" s="1">
        <v>5</v>
      </c>
      <c r="AB2246" s="1">
        <v>5</v>
      </c>
      <c r="AC2246" s="1">
        <v>5</v>
      </c>
      <c r="AD2246" s="1">
        <v>5</v>
      </c>
      <c r="AE2246" s="1" t="s">
        <v>109</v>
      </c>
      <c r="AF2246" s="1">
        <v>4</v>
      </c>
      <c r="AG2246" s="1" t="s">
        <v>109</v>
      </c>
      <c r="AH2246" s="1" t="s">
        <v>109</v>
      </c>
      <c r="AI2246" s="1" t="s">
        <v>109</v>
      </c>
      <c r="AJ2246" s="1">
        <v>5</v>
      </c>
      <c r="AK2246" s="1" t="s">
        <v>109</v>
      </c>
      <c r="AL2246" s="1">
        <v>5</v>
      </c>
      <c r="AM2246" s="1" t="s">
        <v>109</v>
      </c>
      <c r="AN2246" s="1" t="s">
        <v>109</v>
      </c>
      <c r="AO2246" s="1" t="s">
        <v>109</v>
      </c>
      <c r="AP2246" s="1"/>
      <c r="AQ2246" s="1">
        <v>5</v>
      </c>
      <c r="AR2246" s="1"/>
      <c r="AS2246" s="1"/>
      <c r="AT2246" s="1">
        <v>0</v>
      </c>
      <c r="AU2246" s="1">
        <v>0</v>
      </c>
      <c r="AV2246" s="1">
        <v>0</v>
      </c>
      <c r="AW2246" s="1">
        <v>0</v>
      </c>
      <c r="AX2246" s="1">
        <v>0</v>
      </c>
      <c r="AY2246" s="1">
        <v>0</v>
      </c>
      <c r="AZ2246" s="1">
        <v>0</v>
      </c>
      <c r="BA2246" s="1">
        <v>0</v>
      </c>
      <c r="BB2246" s="1">
        <v>0</v>
      </c>
      <c r="BC2246" s="1">
        <v>0</v>
      </c>
      <c r="BD2246" s="1">
        <v>0</v>
      </c>
      <c r="BE2246" s="1">
        <v>0</v>
      </c>
      <c r="BF2246" s="1">
        <v>0</v>
      </c>
      <c r="BG2246" s="1">
        <v>0</v>
      </c>
      <c r="BH2246" s="1">
        <v>0</v>
      </c>
      <c r="BI2246" s="1">
        <v>0</v>
      </c>
      <c r="BJ2246" s="1">
        <v>0</v>
      </c>
      <c r="BK2246" s="1">
        <v>0</v>
      </c>
      <c r="BL2246" s="1">
        <v>0</v>
      </c>
      <c r="BM2246" s="1">
        <v>1</v>
      </c>
      <c r="BN2246" s="1">
        <v>0</v>
      </c>
      <c r="BO2246" s="1">
        <v>0</v>
      </c>
      <c r="BP2246" s="1">
        <v>0</v>
      </c>
      <c r="BQ2246" s="1">
        <v>0</v>
      </c>
      <c r="BR2246" s="1">
        <v>0</v>
      </c>
      <c r="BS2246" s="1" t="s">
        <v>109</v>
      </c>
      <c r="BT2246" s="1">
        <v>2334</v>
      </c>
      <c r="BU2246" s="1" t="s">
        <v>109</v>
      </c>
      <c r="BV2246" s="1"/>
      <c r="BW2246" s="1"/>
      <c r="BX2246" s="1"/>
      <c r="BY2246" s="1"/>
      <c r="BZ2246" s="1">
        <v>0</v>
      </c>
      <c r="CA2246" s="1" t="s">
        <v>109</v>
      </c>
      <c r="CB2246" s="1" t="s">
        <v>109</v>
      </c>
      <c r="CC2246" s="1" t="s">
        <v>109</v>
      </c>
      <c r="CD2246" s="1">
        <v>4</v>
      </c>
      <c r="CE2246" s="1">
        <v>4</v>
      </c>
      <c r="CF2246" s="1" t="s">
        <v>109</v>
      </c>
      <c r="CG2246" s="1" t="s">
        <v>109</v>
      </c>
      <c r="CH2246" s="1" t="s">
        <v>109</v>
      </c>
      <c r="CI2246" s="1" t="s">
        <v>109</v>
      </c>
      <c r="CJ2246" s="1">
        <v>5</v>
      </c>
      <c r="CK2246" s="1"/>
      <c r="CL2246" s="1">
        <v>0</v>
      </c>
      <c r="CM2246" s="1">
        <v>0</v>
      </c>
      <c r="CN2246" s="1">
        <v>0</v>
      </c>
    </row>
    <row r="2247" spans="1:92" ht="14.25" customHeight="1" x14ac:dyDescent="0.15">
      <c r="A2247" s="1" t="s">
        <v>16165</v>
      </c>
      <c r="B2247" s="1" t="s">
        <v>156</v>
      </c>
      <c r="C2247" s="1" t="s">
        <v>157</v>
      </c>
      <c r="D2247" s="1" t="s">
        <v>158</v>
      </c>
      <c r="E2247" s="1" t="s">
        <v>16166</v>
      </c>
      <c r="F2247" s="1" t="s">
        <v>98</v>
      </c>
      <c r="G2247" s="1" t="s">
        <v>333</v>
      </c>
      <c r="H2247" s="1">
        <v>0</v>
      </c>
      <c r="I2247" s="1" t="s">
        <v>142</v>
      </c>
      <c r="J2247" s="1"/>
      <c r="K2247" s="1"/>
      <c r="L2247" s="1" t="s">
        <v>1391</v>
      </c>
      <c r="M2247" s="1" t="s">
        <v>574</v>
      </c>
      <c r="N2247" s="1">
        <v>1</v>
      </c>
      <c r="O2247" s="1">
        <v>0</v>
      </c>
      <c r="P2247" s="1" t="s">
        <v>380</v>
      </c>
      <c r="Q2247" s="1" t="s">
        <v>268</v>
      </c>
      <c r="R2247" s="1" t="s">
        <v>16167</v>
      </c>
      <c r="S2247" s="1" t="s">
        <v>16168</v>
      </c>
      <c r="T2247" s="1" t="s">
        <v>16129</v>
      </c>
      <c r="U2247" s="1" t="s">
        <v>16169</v>
      </c>
      <c r="V2247" s="1">
        <v>1</v>
      </c>
      <c r="W2247" s="1">
        <v>0</v>
      </c>
      <c r="X2247" s="1">
        <v>0</v>
      </c>
      <c r="Y2247" s="1">
        <v>0</v>
      </c>
      <c r="Z2247" s="1">
        <v>0</v>
      </c>
      <c r="AA2247" s="1">
        <v>4</v>
      </c>
      <c r="AB2247" s="1">
        <v>4</v>
      </c>
      <c r="AC2247" s="1" t="s">
        <v>109</v>
      </c>
      <c r="AD2247" s="1" t="s">
        <v>109</v>
      </c>
      <c r="AE2247" s="1" t="s">
        <v>109</v>
      </c>
      <c r="AF2247" s="1">
        <v>3</v>
      </c>
      <c r="AG2247" s="1" t="s">
        <v>109</v>
      </c>
      <c r="AH2247" s="1" t="s">
        <v>109</v>
      </c>
      <c r="AI2247" s="1" t="s">
        <v>109</v>
      </c>
      <c r="AJ2247" s="1" t="s">
        <v>109</v>
      </c>
      <c r="AK2247" s="1" t="s">
        <v>109</v>
      </c>
      <c r="AL2247" s="1" t="s">
        <v>109</v>
      </c>
      <c r="AM2247" s="1" t="s">
        <v>109</v>
      </c>
      <c r="AN2247" s="1" t="s">
        <v>109</v>
      </c>
      <c r="AO2247" s="1" t="s">
        <v>109</v>
      </c>
      <c r="AP2247" s="1"/>
      <c r="AQ2247" s="1">
        <v>4</v>
      </c>
      <c r="AR2247" s="1"/>
      <c r="AS2247" s="1"/>
      <c r="AT2247" s="1">
        <v>0</v>
      </c>
      <c r="AU2247" s="1">
        <v>0</v>
      </c>
      <c r="AV2247" s="1">
        <v>0</v>
      </c>
      <c r="AW2247" s="1">
        <v>0</v>
      </c>
      <c r="AX2247" s="1">
        <v>0</v>
      </c>
      <c r="AY2247" s="1">
        <v>0</v>
      </c>
      <c r="AZ2247" s="1">
        <v>0</v>
      </c>
      <c r="BA2247" s="1">
        <v>0</v>
      </c>
      <c r="BB2247" s="1">
        <v>0</v>
      </c>
      <c r="BC2247" s="1">
        <v>0</v>
      </c>
      <c r="BD2247" s="1">
        <v>0</v>
      </c>
      <c r="BE2247" s="1">
        <v>0</v>
      </c>
      <c r="BF2247" s="1">
        <v>0</v>
      </c>
      <c r="BG2247" s="1">
        <v>0</v>
      </c>
      <c r="BH2247" s="1">
        <v>0</v>
      </c>
      <c r="BI2247" s="1">
        <v>0</v>
      </c>
      <c r="BJ2247" s="1">
        <v>0</v>
      </c>
      <c r="BK2247" s="1">
        <v>0</v>
      </c>
      <c r="BL2247" s="1">
        <v>0</v>
      </c>
      <c r="BM2247" s="1">
        <v>1</v>
      </c>
      <c r="BN2247" s="1">
        <v>0</v>
      </c>
      <c r="BO2247" s="1">
        <v>0</v>
      </c>
      <c r="BP2247" s="1">
        <v>0</v>
      </c>
      <c r="BQ2247" s="1">
        <v>0</v>
      </c>
      <c r="BR2247" s="1">
        <v>0</v>
      </c>
      <c r="BS2247" s="1" t="s">
        <v>109</v>
      </c>
      <c r="BT2247" s="1">
        <v>2335</v>
      </c>
      <c r="BU2247" s="1" t="s">
        <v>109</v>
      </c>
      <c r="BV2247" s="1"/>
      <c r="BW2247" s="1"/>
      <c r="BX2247" s="1"/>
      <c r="BY2247" s="1"/>
      <c r="BZ2247" s="1">
        <v>0</v>
      </c>
      <c r="CA2247" s="1" t="s">
        <v>109</v>
      </c>
      <c r="CB2247" s="1" t="s">
        <v>109</v>
      </c>
      <c r="CC2247" s="1">
        <v>3</v>
      </c>
      <c r="CD2247" s="1" t="s">
        <v>109</v>
      </c>
      <c r="CE2247" s="1">
        <v>2</v>
      </c>
      <c r="CF2247" s="1">
        <v>3</v>
      </c>
      <c r="CG2247" s="1" t="s">
        <v>109</v>
      </c>
      <c r="CH2247" s="1" t="s">
        <v>109</v>
      </c>
      <c r="CI2247" s="1" t="s">
        <v>109</v>
      </c>
      <c r="CJ2247" s="1" t="s">
        <v>109</v>
      </c>
      <c r="CK2247" s="1"/>
      <c r="CL2247" s="1">
        <v>0</v>
      </c>
      <c r="CM2247" s="1">
        <v>0</v>
      </c>
      <c r="CN2247" s="1">
        <v>0</v>
      </c>
    </row>
    <row r="2248" spans="1:92" ht="14.25" customHeight="1" x14ac:dyDescent="0.15">
      <c r="A2248" s="1" t="s">
        <v>16170</v>
      </c>
      <c r="B2248" s="1" t="s">
        <v>156</v>
      </c>
      <c r="C2248" s="1" t="s">
        <v>157</v>
      </c>
      <c r="D2248" s="1" t="s">
        <v>158</v>
      </c>
      <c r="E2248" s="1" t="s">
        <v>16171</v>
      </c>
      <c r="F2248" s="1" t="s">
        <v>98</v>
      </c>
      <c r="G2248" s="1" t="s">
        <v>333</v>
      </c>
      <c r="H2248" s="1">
        <v>0</v>
      </c>
      <c r="I2248" s="1" t="s">
        <v>142</v>
      </c>
      <c r="J2248" s="1"/>
      <c r="K2248" s="1"/>
      <c r="L2248" s="1" t="s">
        <v>716</v>
      </c>
      <c r="M2248" s="1" t="s">
        <v>574</v>
      </c>
      <c r="N2248" s="1">
        <v>1</v>
      </c>
      <c r="O2248" s="1">
        <v>0</v>
      </c>
      <c r="P2248" s="1" t="s">
        <v>380</v>
      </c>
      <c r="Q2248" s="1" t="s">
        <v>268</v>
      </c>
      <c r="R2248" s="1" t="s">
        <v>16172</v>
      </c>
      <c r="S2248" s="1" t="s">
        <v>16173</v>
      </c>
      <c r="T2248" s="1" t="s">
        <v>16129</v>
      </c>
      <c r="U2248" s="1" t="s">
        <v>16174</v>
      </c>
      <c r="V2248" s="1">
        <v>1</v>
      </c>
      <c r="W2248" s="1">
        <v>0</v>
      </c>
      <c r="X2248" s="1">
        <v>0</v>
      </c>
      <c r="Y2248" s="1">
        <v>0</v>
      </c>
      <c r="Z2248" s="1">
        <v>0</v>
      </c>
      <c r="AA2248" s="1">
        <v>8</v>
      </c>
      <c r="AB2248" s="1">
        <v>8</v>
      </c>
      <c r="AC2248" s="1" t="s">
        <v>109</v>
      </c>
      <c r="AD2248" s="1" t="s">
        <v>109</v>
      </c>
      <c r="AE2248" s="1" t="s">
        <v>109</v>
      </c>
      <c r="AF2248" s="1">
        <v>6</v>
      </c>
      <c r="AG2248" s="1" t="s">
        <v>109</v>
      </c>
      <c r="AH2248" s="1" t="s">
        <v>109</v>
      </c>
      <c r="AI2248" s="1" t="s">
        <v>109</v>
      </c>
      <c r="AJ2248" s="1" t="s">
        <v>109</v>
      </c>
      <c r="AK2248" s="1" t="s">
        <v>109</v>
      </c>
      <c r="AL2248" s="1" t="s">
        <v>109</v>
      </c>
      <c r="AM2248" s="1" t="s">
        <v>109</v>
      </c>
      <c r="AN2248" s="1" t="s">
        <v>109</v>
      </c>
      <c r="AO2248" s="1" t="s">
        <v>109</v>
      </c>
      <c r="AP2248" s="1"/>
      <c r="AQ2248" s="1">
        <v>8</v>
      </c>
      <c r="AR2248" s="1"/>
      <c r="AS2248" s="1"/>
      <c r="AT2248" s="1">
        <v>0</v>
      </c>
      <c r="AU2248" s="1">
        <v>0</v>
      </c>
      <c r="AV2248" s="1">
        <v>0</v>
      </c>
      <c r="AW2248" s="1">
        <v>0</v>
      </c>
      <c r="AX2248" s="1">
        <v>0</v>
      </c>
      <c r="AY2248" s="1">
        <v>0</v>
      </c>
      <c r="AZ2248" s="1">
        <v>0</v>
      </c>
      <c r="BA2248" s="1">
        <v>0</v>
      </c>
      <c r="BB2248" s="1">
        <v>0</v>
      </c>
      <c r="BC2248" s="1">
        <v>0</v>
      </c>
      <c r="BD2248" s="1">
        <v>0</v>
      </c>
      <c r="BE2248" s="1">
        <v>0</v>
      </c>
      <c r="BF2248" s="1">
        <v>0</v>
      </c>
      <c r="BG2248" s="1">
        <v>0</v>
      </c>
      <c r="BH2248" s="1">
        <v>0</v>
      </c>
      <c r="BI2248" s="1">
        <v>0</v>
      </c>
      <c r="BJ2248" s="1">
        <v>0</v>
      </c>
      <c r="BK2248" s="1">
        <v>0</v>
      </c>
      <c r="BL2248" s="1">
        <v>0</v>
      </c>
      <c r="BM2248" s="1">
        <v>1</v>
      </c>
      <c r="BN2248" s="1">
        <v>0</v>
      </c>
      <c r="BO2248" s="1">
        <v>0</v>
      </c>
      <c r="BP2248" s="1">
        <v>0</v>
      </c>
      <c r="BQ2248" s="1">
        <v>0</v>
      </c>
      <c r="BR2248" s="1">
        <v>0</v>
      </c>
      <c r="BS2248" s="1" t="s">
        <v>109</v>
      </c>
      <c r="BT2248" s="1">
        <v>2336</v>
      </c>
      <c r="BU2248" s="1" t="s">
        <v>109</v>
      </c>
      <c r="BV2248" s="1"/>
      <c r="BW2248" s="1"/>
      <c r="BX2248" s="1"/>
      <c r="BY2248" s="1"/>
      <c r="BZ2248" s="1">
        <v>0</v>
      </c>
      <c r="CA2248" s="1" t="s">
        <v>109</v>
      </c>
      <c r="CB2248" s="1" t="s">
        <v>109</v>
      </c>
      <c r="CC2248" s="1">
        <v>7</v>
      </c>
      <c r="CD2248" s="1" t="s">
        <v>109</v>
      </c>
      <c r="CE2248" s="1">
        <v>5</v>
      </c>
      <c r="CF2248" s="1">
        <v>6</v>
      </c>
      <c r="CG2248" s="1" t="s">
        <v>109</v>
      </c>
      <c r="CH2248" s="1" t="s">
        <v>109</v>
      </c>
      <c r="CI2248" s="1" t="s">
        <v>109</v>
      </c>
      <c r="CJ2248" s="1" t="s">
        <v>109</v>
      </c>
      <c r="CK2248" s="1"/>
      <c r="CL2248" s="1">
        <v>0</v>
      </c>
      <c r="CM2248" s="1">
        <v>0</v>
      </c>
      <c r="CN2248" s="1">
        <v>0</v>
      </c>
    </row>
    <row r="2249" spans="1:92" ht="14.25" customHeight="1" x14ac:dyDescent="0.15">
      <c r="A2249" s="1" t="s">
        <v>16175</v>
      </c>
      <c r="B2249" s="1" t="s">
        <v>674</v>
      </c>
      <c r="C2249" s="1" t="s">
        <v>675</v>
      </c>
      <c r="D2249" s="1"/>
      <c r="E2249" s="1" t="s">
        <v>16176</v>
      </c>
      <c r="F2249" s="1" t="s">
        <v>98</v>
      </c>
      <c r="G2249" s="1" t="s">
        <v>16177</v>
      </c>
      <c r="H2249" s="1">
        <v>0</v>
      </c>
      <c r="I2249" s="1" t="s">
        <v>161</v>
      </c>
      <c r="J2249" s="1"/>
      <c r="K2249" s="1"/>
      <c r="L2249" s="1" t="s">
        <v>1548</v>
      </c>
      <c r="M2249" s="1" t="s">
        <v>280</v>
      </c>
      <c r="N2249" s="1">
        <v>0</v>
      </c>
      <c r="O2249" s="1">
        <v>0</v>
      </c>
      <c r="P2249" s="1" t="s">
        <v>629</v>
      </c>
      <c r="Q2249" s="1" t="s">
        <v>216</v>
      </c>
      <c r="R2249" s="1" t="s">
        <v>16178</v>
      </c>
      <c r="S2249" s="1" t="s">
        <v>16179</v>
      </c>
      <c r="T2249" s="1" t="s">
        <v>16129</v>
      </c>
      <c r="U2249" s="1" t="s">
        <v>16180</v>
      </c>
      <c r="V2249" s="1">
        <v>1</v>
      </c>
      <c r="W2249" s="1">
        <v>1</v>
      </c>
      <c r="X2249" s="1">
        <v>1</v>
      </c>
      <c r="Y2249" s="1">
        <v>0</v>
      </c>
      <c r="Z2249" s="1">
        <v>0</v>
      </c>
      <c r="AA2249" s="1">
        <v>2</v>
      </c>
      <c r="AB2249" s="1">
        <v>2</v>
      </c>
      <c r="AC2249" s="1" t="s">
        <v>109</v>
      </c>
      <c r="AD2249" s="1" t="s">
        <v>109</v>
      </c>
      <c r="AE2249" s="1" t="s">
        <v>109</v>
      </c>
      <c r="AF2249" s="1">
        <v>1</v>
      </c>
      <c r="AG2249" s="1" t="s">
        <v>109</v>
      </c>
      <c r="AH2249" s="1" t="s">
        <v>109</v>
      </c>
      <c r="AI2249" s="1" t="s">
        <v>109</v>
      </c>
      <c r="AJ2249" s="1">
        <v>2</v>
      </c>
      <c r="AK2249" s="1">
        <v>1</v>
      </c>
      <c r="AL2249" s="1" t="s">
        <v>109</v>
      </c>
      <c r="AM2249" s="1" t="s">
        <v>109</v>
      </c>
      <c r="AN2249" s="1" t="s">
        <v>109</v>
      </c>
      <c r="AO2249" s="1" t="s">
        <v>109</v>
      </c>
      <c r="AP2249" s="1"/>
      <c r="AQ2249" s="1">
        <v>2</v>
      </c>
      <c r="AR2249" s="1"/>
      <c r="AS2249" s="1"/>
      <c r="AT2249" s="1">
        <v>0</v>
      </c>
      <c r="AU2249" s="1">
        <v>0</v>
      </c>
      <c r="AV2249" s="1">
        <v>0</v>
      </c>
      <c r="AW2249" s="1">
        <v>0</v>
      </c>
      <c r="AX2249" s="1">
        <v>0</v>
      </c>
      <c r="AY2249" s="1">
        <v>0</v>
      </c>
      <c r="AZ2249" s="1">
        <v>0</v>
      </c>
      <c r="BA2249" s="1">
        <v>0</v>
      </c>
      <c r="BB2249" s="1">
        <v>0</v>
      </c>
      <c r="BC2249" s="1">
        <v>0</v>
      </c>
      <c r="BD2249" s="1">
        <v>0</v>
      </c>
      <c r="BE2249" s="1">
        <v>0</v>
      </c>
      <c r="BF2249" s="1">
        <v>0</v>
      </c>
      <c r="BG2249" s="1">
        <v>0</v>
      </c>
      <c r="BH2249" s="1">
        <v>0</v>
      </c>
      <c r="BI2249" s="1">
        <v>0</v>
      </c>
      <c r="BJ2249" s="1">
        <v>0</v>
      </c>
      <c r="BK2249" s="1">
        <v>0</v>
      </c>
      <c r="BL2249" s="1">
        <v>0</v>
      </c>
      <c r="BM2249" s="1">
        <v>0</v>
      </c>
      <c r="BN2249" s="1">
        <v>0</v>
      </c>
      <c r="BO2249" s="1">
        <v>0</v>
      </c>
      <c r="BP2249" s="1">
        <v>0</v>
      </c>
      <c r="BQ2249" s="1">
        <v>0</v>
      </c>
      <c r="BR2249" s="1">
        <v>0</v>
      </c>
      <c r="BS2249" s="1" t="s">
        <v>109</v>
      </c>
      <c r="BT2249" s="1">
        <v>2337</v>
      </c>
      <c r="BU2249" s="1" t="s">
        <v>109</v>
      </c>
      <c r="BV2249" s="1"/>
      <c r="BW2249" s="1"/>
      <c r="BX2249" s="1"/>
      <c r="BY2249" s="1"/>
      <c r="BZ2249" s="1">
        <v>0</v>
      </c>
      <c r="CA2249" s="1" t="s">
        <v>109</v>
      </c>
      <c r="CB2249" s="1">
        <v>1</v>
      </c>
      <c r="CC2249" s="1" t="s">
        <v>109</v>
      </c>
      <c r="CD2249" s="1" t="s">
        <v>109</v>
      </c>
      <c r="CE2249" s="1" t="s">
        <v>109</v>
      </c>
      <c r="CF2249" s="1" t="s">
        <v>109</v>
      </c>
      <c r="CG2249" s="1" t="s">
        <v>109</v>
      </c>
      <c r="CH2249" s="1" t="s">
        <v>109</v>
      </c>
      <c r="CI2249" s="1" t="s">
        <v>109</v>
      </c>
      <c r="CJ2249" s="1" t="s">
        <v>109</v>
      </c>
      <c r="CK2249" s="1"/>
      <c r="CL2249" s="1">
        <v>0</v>
      </c>
      <c r="CM2249" s="1">
        <v>0</v>
      </c>
      <c r="CN2249" s="1">
        <v>0</v>
      </c>
    </row>
    <row r="2250" spans="1:92" ht="14.25" customHeight="1" x14ac:dyDescent="0.15">
      <c r="A2250" s="1" t="s">
        <v>16181</v>
      </c>
      <c r="B2250" s="1" t="s">
        <v>189</v>
      </c>
      <c r="C2250" s="1"/>
      <c r="D2250" s="1" t="s">
        <v>16182</v>
      </c>
      <c r="E2250" s="1" t="s">
        <v>16183</v>
      </c>
      <c r="F2250" s="1" t="s">
        <v>98</v>
      </c>
      <c r="G2250" s="1" t="s">
        <v>16184</v>
      </c>
      <c r="H2250" s="1">
        <v>0</v>
      </c>
      <c r="I2250" s="1" t="s">
        <v>161</v>
      </c>
      <c r="J2250" s="1"/>
      <c r="K2250" s="1"/>
      <c r="L2250" s="1" t="s">
        <v>1391</v>
      </c>
      <c r="M2250" s="1" t="s">
        <v>16185</v>
      </c>
      <c r="N2250" s="1">
        <v>0</v>
      </c>
      <c r="O2250" s="1">
        <v>0</v>
      </c>
      <c r="P2250" s="1" t="s">
        <v>268</v>
      </c>
      <c r="Q2250" s="1" t="s">
        <v>268</v>
      </c>
      <c r="R2250" s="1" t="s">
        <v>16186</v>
      </c>
      <c r="S2250" s="1" t="s">
        <v>16187</v>
      </c>
      <c r="T2250" s="1" t="s">
        <v>16129</v>
      </c>
      <c r="U2250" s="1" t="s">
        <v>16188</v>
      </c>
      <c r="V2250" s="1">
        <v>0</v>
      </c>
      <c r="W2250" s="1">
        <v>1</v>
      </c>
      <c r="X2250" s="1">
        <v>1</v>
      </c>
      <c r="Y2250" s="1">
        <v>0</v>
      </c>
      <c r="Z2250" s="1">
        <v>0</v>
      </c>
      <c r="AA2250" s="1" t="s">
        <v>109</v>
      </c>
      <c r="AB2250" s="1" t="s">
        <v>109</v>
      </c>
      <c r="AC2250" s="1" t="s">
        <v>109</v>
      </c>
      <c r="AD2250" s="1" t="s">
        <v>109</v>
      </c>
      <c r="AE2250" s="1" t="s">
        <v>109</v>
      </c>
      <c r="AF2250" s="1">
        <v>3</v>
      </c>
      <c r="AG2250" s="1" t="s">
        <v>109</v>
      </c>
      <c r="AH2250" s="1" t="s">
        <v>109</v>
      </c>
      <c r="AI2250" s="1" t="s">
        <v>109</v>
      </c>
      <c r="AJ2250" s="1">
        <v>3</v>
      </c>
      <c r="AK2250" s="1" t="s">
        <v>109</v>
      </c>
      <c r="AL2250" s="1" t="s">
        <v>109</v>
      </c>
      <c r="AM2250" s="1">
        <v>3</v>
      </c>
      <c r="AN2250" s="1" t="s">
        <v>109</v>
      </c>
      <c r="AO2250" s="1" t="s">
        <v>109</v>
      </c>
      <c r="AP2250" s="1"/>
      <c r="AQ2250" s="1">
        <v>3</v>
      </c>
      <c r="AR2250" s="1"/>
      <c r="AS2250" s="1"/>
      <c r="AT2250" s="1">
        <v>0</v>
      </c>
      <c r="AU2250" s="1">
        <v>0</v>
      </c>
      <c r="AV2250" s="1">
        <v>0</v>
      </c>
      <c r="AW2250" s="1">
        <v>0</v>
      </c>
      <c r="AX2250" s="1">
        <v>0</v>
      </c>
      <c r="AY2250" s="1">
        <v>0</v>
      </c>
      <c r="AZ2250" s="1">
        <v>0</v>
      </c>
      <c r="BA2250" s="1">
        <v>0</v>
      </c>
      <c r="BB2250" s="1">
        <v>0</v>
      </c>
      <c r="BC2250" s="1">
        <v>0</v>
      </c>
      <c r="BD2250" s="1">
        <v>0</v>
      </c>
      <c r="BE2250" s="1">
        <v>0</v>
      </c>
      <c r="BF2250" s="1">
        <v>0</v>
      </c>
      <c r="BG2250" s="1">
        <v>0</v>
      </c>
      <c r="BH2250" s="1">
        <v>0</v>
      </c>
      <c r="BI2250" s="1">
        <v>0</v>
      </c>
      <c r="BJ2250" s="1">
        <v>1</v>
      </c>
      <c r="BK2250" s="1">
        <v>0</v>
      </c>
      <c r="BL2250" s="1">
        <v>0</v>
      </c>
      <c r="BM2250" s="1">
        <v>0</v>
      </c>
      <c r="BN2250" s="1">
        <v>0</v>
      </c>
      <c r="BO2250" s="1">
        <v>1</v>
      </c>
      <c r="BP2250" s="1">
        <v>0</v>
      </c>
      <c r="BQ2250" s="1">
        <v>0</v>
      </c>
      <c r="BR2250" s="1">
        <v>0</v>
      </c>
      <c r="BS2250" s="1" t="s">
        <v>109</v>
      </c>
      <c r="BT2250" s="1">
        <v>2338</v>
      </c>
      <c r="BU2250" s="1" t="s">
        <v>109</v>
      </c>
      <c r="BV2250" s="1"/>
      <c r="BW2250" s="1"/>
      <c r="BX2250" s="1"/>
      <c r="BY2250" s="1"/>
      <c r="BZ2250" s="1">
        <v>0</v>
      </c>
      <c r="CA2250" s="1" t="s">
        <v>109</v>
      </c>
      <c r="CB2250" s="1">
        <v>3</v>
      </c>
      <c r="CC2250" s="1" t="s">
        <v>109</v>
      </c>
      <c r="CD2250" s="1" t="s">
        <v>109</v>
      </c>
      <c r="CE2250" s="1">
        <v>3</v>
      </c>
      <c r="CF2250" s="1" t="s">
        <v>109</v>
      </c>
      <c r="CG2250" s="1" t="s">
        <v>109</v>
      </c>
      <c r="CH2250" s="1" t="s">
        <v>109</v>
      </c>
      <c r="CI2250" s="1" t="s">
        <v>109</v>
      </c>
      <c r="CJ2250" s="1" t="s">
        <v>109</v>
      </c>
      <c r="CK2250" s="1"/>
      <c r="CL2250" s="1">
        <v>0</v>
      </c>
      <c r="CM2250" s="1">
        <v>0</v>
      </c>
      <c r="CN2250" s="1">
        <v>0</v>
      </c>
    </row>
    <row r="2251" spans="1:92" ht="14.25" customHeight="1" x14ac:dyDescent="0.15">
      <c r="A2251" s="1" t="s">
        <v>16189</v>
      </c>
      <c r="B2251" s="1" t="s">
        <v>95</v>
      </c>
      <c r="C2251" s="1" t="s">
        <v>96</v>
      </c>
      <c r="D2251" s="1"/>
      <c r="E2251" s="1" t="s">
        <v>7382</v>
      </c>
      <c r="F2251" s="1" t="s">
        <v>98</v>
      </c>
      <c r="G2251" s="1" t="s">
        <v>16190</v>
      </c>
      <c r="H2251" s="1">
        <v>0</v>
      </c>
      <c r="I2251" s="1" t="s">
        <v>161</v>
      </c>
      <c r="J2251" s="1"/>
      <c r="K2251" s="1" t="s">
        <v>16191</v>
      </c>
      <c r="L2251" s="1"/>
      <c r="M2251" s="1" t="s">
        <v>289</v>
      </c>
      <c r="N2251" s="1">
        <v>0</v>
      </c>
      <c r="O2251" s="1">
        <v>0</v>
      </c>
      <c r="P2251" s="1" t="s">
        <v>103</v>
      </c>
      <c r="Q2251" s="1" t="s">
        <v>104</v>
      </c>
      <c r="R2251" s="1" t="s">
        <v>16192</v>
      </c>
      <c r="S2251" s="1" t="s">
        <v>16193</v>
      </c>
      <c r="T2251" s="1" t="s">
        <v>16129</v>
      </c>
      <c r="U2251" s="1" t="s">
        <v>16194</v>
      </c>
      <c r="V2251" s="1">
        <v>1</v>
      </c>
      <c r="W2251" s="1">
        <v>0</v>
      </c>
      <c r="X2251" s="1">
        <v>0</v>
      </c>
      <c r="Y2251" s="1">
        <v>0</v>
      </c>
      <c r="Z2251" s="1">
        <v>0</v>
      </c>
      <c r="AA2251" s="1">
        <v>1</v>
      </c>
      <c r="AB2251" s="1">
        <v>1</v>
      </c>
      <c r="AC2251" s="1" t="s">
        <v>109</v>
      </c>
      <c r="AD2251" s="1" t="s">
        <v>109</v>
      </c>
      <c r="AE2251" s="1" t="s">
        <v>109</v>
      </c>
      <c r="AF2251" s="1" t="s">
        <v>109</v>
      </c>
      <c r="AG2251" s="1" t="s">
        <v>109</v>
      </c>
      <c r="AH2251" s="1" t="s">
        <v>109</v>
      </c>
      <c r="AI2251" s="1" t="s">
        <v>109</v>
      </c>
      <c r="AJ2251" s="1" t="s">
        <v>109</v>
      </c>
      <c r="AK2251" s="1" t="s">
        <v>109</v>
      </c>
      <c r="AL2251" s="1" t="s">
        <v>109</v>
      </c>
      <c r="AM2251" s="1" t="s">
        <v>109</v>
      </c>
      <c r="AN2251" s="1" t="s">
        <v>109</v>
      </c>
      <c r="AO2251" s="1" t="s">
        <v>109</v>
      </c>
      <c r="AP2251" s="1"/>
      <c r="AQ2251" s="1">
        <v>1</v>
      </c>
      <c r="AR2251" s="1"/>
      <c r="AS2251" s="1"/>
      <c r="AT2251" s="1">
        <v>0</v>
      </c>
      <c r="AU2251" s="1">
        <v>0</v>
      </c>
      <c r="AV2251" s="1">
        <v>0</v>
      </c>
      <c r="AW2251" s="1">
        <v>0</v>
      </c>
      <c r="AX2251" s="1">
        <v>0</v>
      </c>
      <c r="AY2251" s="1">
        <v>0</v>
      </c>
      <c r="AZ2251" s="1">
        <v>0</v>
      </c>
      <c r="BA2251" s="1">
        <v>0</v>
      </c>
      <c r="BB2251" s="1">
        <v>0</v>
      </c>
      <c r="BC2251" s="1">
        <v>0</v>
      </c>
      <c r="BD2251" s="1">
        <v>0</v>
      </c>
      <c r="BE2251" s="1">
        <v>0</v>
      </c>
      <c r="BF2251" s="1">
        <v>0</v>
      </c>
      <c r="BG2251" s="1">
        <v>0</v>
      </c>
      <c r="BH2251" s="1">
        <v>0</v>
      </c>
      <c r="BI2251" s="1">
        <v>0</v>
      </c>
      <c r="BJ2251" s="1">
        <v>0</v>
      </c>
      <c r="BK2251" s="1">
        <v>0</v>
      </c>
      <c r="BL2251" s="1">
        <v>0</v>
      </c>
      <c r="BM2251" s="1">
        <v>0</v>
      </c>
      <c r="BN2251" s="1">
        <v>0</v>
      </c>
      <c r="BO2251" s="1">
        <v>0</v>
      </c>
      <c r="BP2251" s="1">
        <v>0</v>
      </c>
      <c r="BQ2251" s="1">
        <v>0</v>
      </c>
      <c r="BR2251" s="1">
        <v>0</v>
      </c>
      <c r="BS2251" s="1" t="s">
        <v>109</v>
      </c>
      <c r="BT2251" s="1">
        <v>2339</v>
      </c>
      <c r="BU2251" s="1" t="s">
        <v>109</v>
      </c>
      <c r="BV2251" s="1"/>
      <c r="BW2251" s="1"/>
      <c r="BX2251" s="1"/>
      <c r="BY2251" s="1"/>
      <c r="BZ2251" s="1">
        <v>0</v>
      </c>
      <c r="CA2251" s="1" t="s">
        <v>109</v>
      </c>
      <c r="CB2251" s="1" t="s">
        <v>109</v>
      </c>
      <c r="CC2251" s="1" t="s">
        <v>109</v>
      </c>
      <c r="CD2251" s="1" t="s">
        <v>109</v>
      </c>
      <c r="CE2251" s="1" t="s">
        <v>109</v>
      </c>
      <c r="CF2251" s="1" t="s">
        <v>109</v>
      </c>
      <c r="CG2251" s="1" t="s">
        <v>109</v>
      </c>
      <c r="CH2251" s="1" t="s">
        <v>109</v>
      </c>
      <c r="CI2251" s="1" t="s">
        <v>109</v>
      </c>
      <c r="CJ2251" s="1" t="s">
        <v>109</v>
      </c>
      <c r="CK2251" s="1"/>
      <c r="CL2251" s="1">
        <v>0</v>
      </c>
      <c r="CM2251" s="1">
        <v>0</v>
      </c>
      <c r="CN2251" s="1">
        <v>0</v>
      </c>
    </row>
    <row r="2252" spans="1:92" ht="14.25" customHeight="1" x14ac:dyDescent="0.15">
      <c r="A2252" s="1" t="s">
        <v>16195</v>
      </c>
      <c r="B2252" s="1" t="s">
        <v>674</v>
      </c>
      <c r="C2252" s="1" t="s">
        <v>675</v>
      </c>
      <c r="D2252" s="1"/>
      <c r="E2252" s="1" t="s">
        <v>16196</v>
      </c>
      <c r="F2252" s="1" t="s">
        <v>6545</v>
      </c>
      <c r="G2252" s="1" t="s">
        <v>333</v>
      </c>
      <c r="H2252" s="1">
        <v>0</v>
      </c>
      <c r="I2252" s="1" t="s">
        <v>161</v>
      </c>
      <c r="J2252" s="1"/>
      <c r="K2252" s="1"/>
      <c r="L2252" s="1" t="s">
        <v>16197</v>
      </c>
      <c r="M2252" s="1" t="s">
        <v>574</v>
      </c>
      <c r="N2252" s="1">
        <v>1</v>
      </c>
      <c r="O2252" s="1">
        <v>0</v>
      </c>
      <c r="P2252" s="1" t="s">
        <v>564</v>
      </c>
      <c r="Q2252" s="1" t="s">
        <v>4298</v>
      </c>
      <c r="R2252" s="1" t="s">
        <v>16198</v>
      </c>
      <c r="S2252" s="1" t="s">
        <v>16199</v>
      </c>
      <c r="T2252" s="1" t="s">
        <v>16129</v>
      </c>
      <c r="U2252" s="1" t="s">
        <v>16200</v>
      </c>
      <c r="V2252" s="1">
        <v>1</v>
      </c>
      <c r="W2252" s="1">
        <v>0</v>
      </c>
      <c r="X2252" s="1">
        <v>0</v>
      </c>
      <c r="Y2252" s="1">
        <v>0</v>
      </c>
      <c r="Z2252" s="1">
        <v>0</v>
      </c>
      <c r="AA2252" s="1">
        <v>0</v>
      </c>
      <c r="AB2252" s="1">
        <v>0</v>
      </c>
      <c r="AC2252" s="1" t="s">
        <v>109</v>
      </c>
      <c r="AD2252" s="1" t="s">
        <v>109</v>
      </c>
      <c r="AE2252" s="1" t="s">
        <v>109</v>
      </c>
      <c r="AF2252" s="1">
        <v>0</v>
      </c>
      <c r="AG2252" s="1" t="s">
        <v>109</v>
      </c>
      <c r="AH2252" s="1" t="s">
        <v>109</v>
      </c>
      <c r="AI2252" s="1" t="s">
        <v>109</v>
      </c>
      <c r="AJ2252" s="1" t="s">
        <v>109</v>
      </c>
      <c r="AK2252" s="1" t="s">
        <v>109</v>
      </c>
      <c r="AL2252" s="1" t="s">
        <v>109</v>
      </c>
      <c r="AM2252" s="1" t="s">
        <v>109</v>
      </c>
      <c r="AN2252" s="1" t="s">
        <v>109</v>
      </c>
      <c r="AO2252" s="1" t="s">
        <v>109</v>
      </c>
      <c r="AP2252" s="1"/>
      <c r="AQ2252" s="1">
        <v>0</v>
      </c>
      <c r="AR2252" s="1"/>
      <c r="AS2252" s="1"/>
      <c r="AT2252" s="1">
        <v>0</v>
      </c>
      <c r="AU2252" s="1">
        <v>0</v>
      </c>
      <c r="AV2252" s="1">
        <v>0</v>
      </c>
      <c r="AW2252" s="1">
        <v>0</v>
      </c>
      <c r="AX2252" s="1">
        <v>0</v>
      </c>
      <c r="AY2252" s="1">
        <v>0</v>
      </c>
      <c r="AZ2252" s="1">
        <v>0</v>
      </c>
      <c r="BA2252" s="1">
        <v>0</v>
      </c>
      <c r="BB2252" s="1">
        <v>0</v>
      </c>
      <c r="BC2252" s="1">
        <v>0</v>
      </c>
      <c r="BD2252" s="1">
        <v>0</v>
      </c>
      <c r="BE2252" s="1">
        <v>0</v>
      </c>
      <c r="BF2252" s="1">
        <v>0</v>
      </c>
      <c r="BG2252" s="1">
        <v>0</v>
      </c>
      <c r="BH2252" s="1">
        <v>0</v>
      </c>
      <c r="BI2252" s="1">
        <v>0</v>
      </c>
      <c r="BJ2252" s="1">
        <v>0</v>
      </c>
      <c r="BK2252" s="1">
        <v>0</v>
      </c>
      <c r="BL2252" s="1">
        <v>0</v>
      </c>
      <c r="BM2252" s="1">
        <v>0</v>
      </c>
      <c r="BN2252" s="1">
        <v>0</v>
      </c>
      <c r="BO2252" s="1">
        <v>0</v>
      </c>
      <c r="BP2252" s="1">
        <v>0</v>
      </c>
      <c r="BQ2252" s="1">
        <v>0</v>
      </c>
      <c r="BR2252" s="1">
        <v>0</v>
      </c>
      <c r="BS2252" s="1" t="s">
        <v>109</v>
      </c>
      <c r="BT2252" s="1">
        <v>2340</v>
      </c>
      <c r="BU2252" s="1" t="s">
        <v>109</v>
      </c>
      <c r="BV2252" s="1"/>
      <c r="BW2252" s="1"/>
      <c r="BX2252" s="1"/>
      <c r="BY2252" s="1"/>
      <c r="BZ2252" s="1">
        <v>0</v>
      </c>
      <c r="CA2252" s="1" t="s">
        <v>109</v>
      </c>
      <c r="CB2252" s="1" t="s">
        <v>109</v>
      </c>
      <c r="CC2252" s="1" t="s">
        <v>109</v>
      </c>
      <c r="CD2252" s="1" t="s">
        <v>109</v>
      </c>
      <c r="CE2252" s="1" t="s">
        <v>109</v>
      </c>
      <c r="CF2252" s="1" t="s">
        <v>109</v>
      </c>
      <c r="CG2252" s="1" t="s">
        <v>109</v>
      </c>
      <c r="CH2252" s="1" t="s">
        <v>109</v>
      </c>
      <c r="CI2252" s="1" t="s">
        <v>109</v>
      </c>
      <c r="CJ2252" s="1" t="s">
        <v>109</v>
      </c>
      <c r="CK2252" s="1"/>
      <c r="CL2252" s="1">
        <v>0</v>
      </c>
      <c r="CM2252" s="1">
        <v>0</v>
      </c>
      <c r="CN2252" s="1">
        <v>0</v>
      </c>
    </row>
    <row r="2253" spans="1:92" ht="14.25" customHeight="1" x14ac:dyDescent="0.15">
      <c r="A2253" s="1" t="s">
        <v>16201</v>
      </c>
      <c r="B2253" s="1" t="s">
        <v>189</v>
      </c>
      <c r="C2253" s="1"/>
      <c r="D2253" s="1"/>
      <c r="E2253" s="1" t="s">
        <v>16202</v>
      </c>
      <c r="F2253" s="1" t="s">
        <v>98</v>
      </c>
      <c r="G2253" s="1" t="s">
        <v>141</v>
      </c>
      <c r="H2253" s="1">
        <v>0</v>
      </c>
      <c r="I2253" s="1" t="s">
        <v>161</v>
      </c>
      <c r="J2253" s="1"/>
      <c r="K2253" s="1"/>
      <c r="L2253" s="1" t="s">
        <v>506</v>
      </c>
      <c r="M2253" s="1" t="s">
        <v>3042</v>
      </c>
      <c r="N2253" s="1">
        <v>0</v>
      </c>
      <c r="O2253" s="1">
        <v>0</v>
      </c>
      <c r="P2253" s="1" t="s">
        <v>507</v>
      </c>
      <c r="Q2253" s="1" t="s">
        <v>167</v>
      </c>
      <c r="R2253" s="1" t="s">
        <v>16203</v>
      </c>
      <c r="S2253" s="1" t="s">
        <v>16204</v>
      </c>
      <c r="T2253" s="1" t="s">
        <v>16129</v>
      </c>
      <c r="U2253" s="1" t="s">
        <v>16205</v>
      </c>
      <c r="V2253" s="1">
        <v>1</v>
      </c>
      <c r="W2253" s="1">
        <v>1</v>
      </c>
      <c r="X2253" s="1">
        <v>0</v>
      </c>
      <c r="Y2253" s="1">
        <v>0</v>
      </c>
      <c r="Z2253" s="1">
        <v>0</v>
      </c>
      <c r="AA2253" s="1">
        <v>3</v>
      </c>
      <c r="AB2253" s="1">
        <v>3</v>
      </c>
      <c r="AC2253" s="1" t="s">
        <v>109</v>
      </c>
      <c r="AD2253" s="1" t="s">
        <v>109</v>
      </c>
      <c r="AE2253" s="1" t="s">
        <v>109</v>
      </c>
      <c r="AF2253" s="1" t="s">
        <v>109</v>
      </c>
      <c r="AG2253" s="1" t="s">
        <v>109</v>
      </c>
      <c r="AH2253" s="1" t="s">
        <v>109</v>
      </c>
      <c r="AI2253" s="1" t="s">
        <v>109</v>
      </c>
      <c r="AJ2253" s="1" t="s">
        <v>109</v>
      </c>
      <c r="AK2253" s="1" t="s">
        <v>109</v>
      </c>
      <c r="AL2253" s="1" t="s">
        <v>109</v>
      </c>
      <c r="AM2253" s="1" t="s">
        <v>109</v>
      </c>
      <c r="AN2253" s="1" t="s">
        <v>109</v>
      </c>
      <c r="AO2253" s="1" t="s">
        <v>109</v>
      </c>
      <c r="AP2253" s="1"/>
      <c r="AQ2253" s="1">
        <v>3</v>
      </c>
      <c r="AR2253" s="1"/>
      <c r="AS2253" s="1"/>
      <c r="AT2253" s="1">
        <v>0</v>
      </c>
      <c r="AU2253" s="1">
        <v>0</v>
      </c>
      <c r="AV2253" s="1">
        <v>0</v>
      </c>
      <c r="AW2253" s="1">
        <v>0</v>
      </c>
      <c r="AX2253" s="1">
        <v>0</v>
      </c>
      <c r="AY2253" s="1">
        <v>0</v>
      </c>
      <c r="AZ2253" s="1">
        <v>0</v>
      </c>
      <c r="BA2253" s="1">
        <v>0</v>
      </c>
      <c r="BB2253" s="1">
        <v>0</v>
      </c>
      <c r="BC2253" s="1">
        <v>0</v>
      </c>
      <c r="BD2253" s="1">
        <v>0</v>
      </c>
      <c r="BE2253" s="1">
        <v>0</v>
      </c>
      <c r="BF2253" s="1">
        <v>0</v>
      </c>
      <c r="BG2253" s="1">
        <v>0</v>
      </c>
      <c r="BH2253" s="1">
        <v>0</v>
      </c>
      <c r="BI2253" s="1">
        <v>0</v>
      </c>
      <c r="BJ2253" s="1">
        <v>0</v>
      </c>
      <c r="BK2253" s="1">
        <v>0</v>
      </c>
      <c r="BL2253" s="1">
        <v>0</v>
      </c>
      <c r="BM2253" s="1">
        <v>0</v>
      </c>
      <c r="BN2253" s="1">
        <v>0</v>
      </c>
      <c r="BO2253" s="1">
        <v>0</v>
      </c>
      <c r="BP2253" s="1">
        <v>0</v>
      </c>
      <c r="BQ2253" s="1">
        <v>0</v>
      </c>
      <c r="BR2253" s="1">
        <v>0</v>
      </c>
      <c r="BS2253" s="1" t="s">
        <v>109</v>
      </c>
      <c r="BT2253" s="1">
        <v>2341</v>
      </c>
      <c r="BU2253" s="1" t="s">
        <v>109</v>
      </c>
      <c r="BV2253" s="1"/>
      <c r="BW2253" s="1"/>
      <c r="BX2253" s="1"/>
      <c r="BY2253" s="1"/>
      <c r="BZ2253" s="1">
        <v>0</v>
      </c>
      <c r="CA2253" s="1" t="s">
        <v>109</v>
      </c>
      <c r="CB2253" s="1" t="s">
        <v>109</v>
      </c>
      <c r="CC2253" s="1" t="s">
        <v>109</v>
      </c>
      <c r="CD2253" s="1" t="s">
        <v>109</v>
      </c>
      <c r="CE2253" s="1" t="s">
        <v>109</v>
      </c>
      <c r="CF2253" s="1">
        <v>3</v>
      </c>
      <c r="CG2253" s="1" t="s">
        <v>109</v>
      </c>
      <c r="CH2253" s="1" t="s">
        <v>109</v>
      </c>
      <c r="CI2253" s="1" t="s">
        <v>109</v>
      </c>
      <c r="CJ2253" s="1" t="s">
        <v>109</v>
      </c>
      <c r="CK2253" s="1"/>
      <c r="CL2253" s="1">
        <v>0</v>
      </c>
      <c r="CM2253" s="1">
        <v>0</v>
      </c>
      <c r="CN2253" s="1">
        <v>0</v>
      </c>
    </row>
    <row r="2254" spans="1:92" ht="14.25" customHeight="1" x14ac:dyDescent="0.15">
      <c r="A2254" s="1" t="s">
        <v>16206</v>
      </c>
      <c r="B2254" s="1" t="s">
        <v>254</v>
      </c>
      <c r="C2254" s="1"/>
      <c r="D2254" s="1"/>
      <c r="E2254" s="1" t="s">
        <v>16207</v>
      </c>
      <c r="F2254" s="1" t="s">
        <v>98</v>
      </c>
      <c r="G2254" s="1" t="s">
        <v>16208</v>
      </c>
      <c r="H2254" s="1">
        <v>0</v>
      </c>
      <c r="I2254" s="1" t="s">
        <v>235</v>
      </c>
      <c r="J2254" s="1"/>
      <c r="K2254" s="1"/>
      <c r="L2254" s="1"/>
      <c r="M2254" s="1" t="s">
        <v>3042</v>
      </c>
      <c r="N2254" s="1">
        <v>0</v>
      </c>
      <c r="O2254" s="1">
        <v>0</v>
      </c>
      <c r="P2254" s="1"/>
      <c r="Q2254" s="1"/>
      <c r="R2254" s="1" t="s">
        <v>16209</v>
      </c>
      <c r="S2254" s="1" t="s">
        <v>16210</v>
      </c>
      <c r="T2254" s="1" t="s">
        <v>16129</v>
      </c>
      <c r="U2254" s="1" t="s">
        <v>16211</v>
      </c>
      <c r="V2254" s="1">
        <v>1</v>
      </c>
      <c r="W2254" s="1">
        <v>1</v>
      </c>
      <c r="X2254" s="1">
        <v>1</v>
      </c>
      <c r="Y2254" s="1">
        <v>0</v>
      </c>
      <c r="Z2254" s="1">
        <v>1</v>
      </c>
      <c r="AA2254" s="1">
        <v>1</v>
      </c>
      <c r="AB2254" s="1">
        <v>1</v>
      </c>
      <c r="AC2254" s="1">
        <v>1</v>
      </c>
      <c r="AD2254" s="1" t="s">
        <v>109</v>
      </c>
      <c r="AE2254" s="1" t="s">
        <v>109</v>
      </c>
      <c r="AF2254" s="1" t="s">
        <v>109</v>
      </c>
      <c r="AG2254" s="1" t="s">
        <v>109</v>
      </c>
      <c r="AH2254" s="1">
        <v>1</v>
      </c>
      <c r="AI2254" s="1" t="s">
        <v>109</v>
      </c>
      <c r="AJ2254" s="1" t="s">
        <v>109</v>
      </c>
      <c r="AK2254" s="1">
        <v>1</v>
      </c>
      <c r="AL2254" s="1">
        <v>1</v>
      </c>
      <c r="AM2254" s="1" t="s">
        <v>109</v>
      </c>
      <c r="AN2254" s="1" t="s">
        <v>109</v>
      </c>
      <c r="AO2254" s="1" t="s">
        <v>109</v>
      </c>
      <c r="AP2254" s="1"/>
      <c r="AQ2254" s="1">
        <v>1</v>
      </c>
      <c r="AR2254" s="1"/>
      <c r="AS2254" s="1"/>
      <c r="AT2254" s="1">
        <v>0</v>
      </c>
      <c r="AU2254" s="1">
        <v>0</v>
      </c>
      <c r="AV2254" s="1">
        <v>0</v>
      </c>
      <c r="AW2254" s="1">
        <v>0</v>
      </c>
      <c r="AX2254" s="1">
        <v>0</v>
      </c>
      <c r="AY2254" s="1">
        <v>0</v>
      </c>
      <c r="AZ2254" s="1">
        <v>0</v>
      </c>
      <c r="BA2254" s="1">
        <v>0</v>
      </c>
      <c r="BB2254" s="1">
        <v>0</v>
      </c>
      <c r="BC2254" s="1">
        <v>0</v>
      </c>
      <c r="BD2254" s="1">
        <v>0</v>
      </c>
      <c r="BE2254" s="1">
        <v>0</v>
      </c>
      <c r="BF2254" s="1">
        <v>0</v>
      </c>
      <c r="BG2254" s="1">
        <v>0</v>
      </c>
      <c r="BH2254" s="1">
        <v>0</v>
      </c>
      <c r="BI2254" s="1">
        <v>0</v>
      </c>
      <c r="BJ2254" s="1">
        <v>0</v>
      </c>
      <c r="BK2254" s="1">
        <v>0</v>
      </c>
      <c r="BL2254" s="1">
        <v>0</v>
      </c>
      <c r="BM2254" s="1">
        <v>0</v>
      </c>
      <c r="BN2254" s="1">
        <v>0</v>
      </c>
      <c r="BO2254" s="1">
        <v>0</v>
      </c>
      <c r="BP2254" s="1">
        <v>0</v>
      </c>
      <c r="BQ2254" s="1">
        <v>0</v>
      </c>
      <c r="BR2254" s="1">
        <v>0</v>
      </c>
      <c r="BS2254" s="1" t="s">
        <v>109</v>
      </c>
      <c r="BT2254" s="1">
        <v>2342</v>
      </c>
      <c r="BU2254" s="1" t="s">
        <v>109</v>
      </c>
      <c r="BV2254" s="1"/>
      <c r="BW2254" s="1"/>
      <c r="BX2254" s="1"/>
      <c r="BY2254" s="1"/>
      <c r="BZ2254" s="1">
        <v>0</v>
      </c>
      <c r="CA2254" s="1" t="s">
        <v>109</v>
      </c>
      <c r="CB2254" s="1" t="s">
        <v>109</v>
      </c>
      <c r="CC2254" s="1" t="s">
        <v>109</v>
      </c>
      <c r="CD2254" s="1" t="s">
        <v>109</v>
      </c>
      <c r="CE2254" s="1" t="s">
        <v>109</v>
      </c>
      <c r="CF2254" s="1">
        <v>1</v>
      </c>
      <c r="CG2254" s="1" t="s">
        <v>109</v>
      </c>
      <c r="CH2254" s="1" t="s">
        <v>109</v>
      </c>
      <c r="CI2254" s="1" t="s">
        <v>109</v>
      </c>
      <c r="CJ2254" s="1" t="s">
        <v>109</v>
      </c>
      <c r="CK2254" s="1"/>
      <c r="CL2254" s="1">
        <v>0</v>
      </c>
      <c r="CM2254" s="1">
        <v>0</v>
      </c>
      <c r="CN2254" s="1">
        <v>0</v>
      </c>
    </row>
    <row r="2255" spans="1:92" ht="14.25" customHeight="1" x14ac:dyDescent="0.15">
      <c r="A2255" s="1" t="s">
        <v>16212</v>
      </c>
      <c r="B2255" s="1" t="s">
        <v>156</v>
      </c>
      <c r="C2255" s="1" t="s">
        <v>157</v>
      </c>
      <c r="D2255" s="1" t="s">
        <v>16074</v>
      </c>
      <c r="E2255" s="1" t="s">
        <v>16213</v>
      </c>
      <c r="F2255" s="1" t="s">
        <v>98</v>
      </c>
      <c r="G2255" s="1" t="s">
        <v>160</v>
      </c>
      <c r="H2255" s="1">
        <v>0</v>
      </c>
      <c r="I2255" s="1" t="s">
        <v>142</v>
      </c>
      <c r="J2255" s="1"/>
      <c r="K2255" s="1"/>
      <c r="L2255" s="1" t="s">
        <v>1391</v>
      </c>
      <c r="M2255" s="1" t="s">
        <v>280</v>
      </c>
      <c r="N2255" s="1">
        <v>0</v>
      </c>
      <c r="O2255" s="1">
        <v>0</v>
      </c>
      <c r="P2255" s="1" t="s">
        <v>301</v>
      </c>
      <c r="Q2255" s="1" t="s">
        <v>268</v>
      </c>
      <c r="R2255" s="1" t="s">
        <v>16214</v>
      </c>
      <c r="S2255" s="1" t="s">
        <v>16215</v>
      </c>
      <c r="T2255" s="1" t="s">
        <v>16129</v>
      </c>
      <c r="U2255" s="1" t="s">
        <v>16216</v>
      </c>
      <c r="V2255" s="1">
        <v>1</v>
      </c>
      <c r="W2255" s="1">
        <v>1</v>
      </c>
      <c r="X2255" s="1">
        <v>0</v>
      </c>
      <c r="Y2255" s="1">
        <v>0</v>
      </c>
      <c r="Z2255" s="1">
        <v>1</v>
      </c>
      <c r="AA2255" s="1" t="s">
        <v>109</v>
      </c>
      <c r="AB2255" s="1" t="s">
        <v>109</v>
      </c>
      <c r="AC2255" s="1" t="s">
        <v>109</v>
      </c>
      <c r="AD2255" s="1" t="s">
        <v>109</v>
      </c>
      <c r="AE2255" s="1" t="s">
        <v>109</v>
      </c>
      <c r="AF2255" s="1" t="s">
        <v>109</v>
      </c>
      <c r="AG2255" s="1" t="s">
        <v>109</v>
      </c>
      <c r="AH2255" s="1" t="s">
        <v>109</v>
      </c>
      <c r="AI2255" s="1" t="s">
        <v>109</v>
      </c>
      <c r="AJ2255" s="1">
        <v>2</v>
      </c>
      <c r="AK2255" s="1" t="s">
        <v>109</v>
      </c>
      <c r="AL2255" s="1" t="s">
        <v>109</v>
      </c>
      <c r="AM2255" s="1">
        <v>2</v>
      </c>
      <c r="AN2255" s="1" t="s">
        <v>109</v>
      </c>
      <c r="AO2255" s="1" t="s">
        <v>109</v>
      </c>
      <c r="AP2255" s="1"/>
      <c r="AQ2255" s="1">
        <v>2</v>
      </c>
      <c r="AR2255" s="1"/>
      <c r="AS2255" s="1"/>
      <c r="AT2255" s="1">
        <v>0</v>
      </c>
      <c r="AU2255" s="1">
        <v>0</v>
      </c>
      <c r="AV2255" s="1">
        <v>0</v>
      </c>
      <c r="AW2255" s="1">
        <v>0</v>
      </c>
      <c r="AX2255" s="1">
        <v>1</v>
      </c>
      <c r="AY2255" s="1">
        <v>0</v>
      </c>
      <c r="AZ2255" s="1">
        <v>0</v>
      </c>
      <c r="BA2255" s="1">
        <v>0</v>
      </c>
      <c r="BB2255" s="1">
        <v>0</v>
      </c>
      <c r="BC2255" s="1">
        <v>0</v>
      </c>
      <c r="BD2255" s="1">
        <v>0</v>
      </c>
      <c r="BE2255" s="1">
        <v>0</v>
      </c>
      <c r="BF2255" s="1">
        <v>0</v>
      </c>
      <c r="BG2255" s="1">
        <v>0</v>
      </c>
      <c r="BH2255" s="1">
        <v>0</v>
      </c>
      <c r="BI2255" s="1">
        <v>0</v>
      </c>
      <c r="BJ2255" s="1">
        <v>0</v>
      </c>
      <c r="BK2255" s="1">
        <v>0</v>
      </c>
      <c r="BL2255" s="1">
        <v>0</v>
      </c>
      <c r="BM2255" s="1">
        <v>0</v>
      </c>
      <c r="BN2255" s="1">
        <v>0</v>
      </c>
      <c r="BO2255" s="1">
        <v>0</v>
      </c>
      <c r="BP2255" s="1">
        <v>0</v>
      </c>
      <c r="BQ2255" s="1">
        <v>0</v>
      </c>
      <c r="BR2255" s="1">
        <v>0</v>
      </c>
      <c r="BS2255" s="1" t="s">
        <v>109</v>
      </c>
      <c r="BT2255" s="1">
        <v>2343</v>
      </c>
      <c r="BU2255" s="1" t="s">
        <v>109</v>
      </c>
      <c r="BV2255" s="1"/>
      <c r="BW2255" s="1"/>
      <c r="BX2255" s="1"/>
      <c r="BY2255" s="1"/>
      <c r="BZ2255" s="1">
        <v>0</v>
      </c>
      <c r="CA2255" s="1" t="s">
        <v>109</v>
      </c>
      <c r="CB2255" s="1">
        <v>2</v>
      </c>
      <c r="CC2255" s="1" t="s">
        <v>109</v>
      </c>
      <c r="CD2255" s="1" t="s">
        <v>109</v>
      </c>
      <c r="CE2255" s="1">
        <v>2</v>
      </c>
      <c r="CF2255" s="1" t="s">
        <v>109</v>
      </c>
      <c r="CG2255" s="1" t="s">
        <v>109</v>
      </c>
      <c r="CH2255" s="1" t="s">
        <v>109</v>
      </c>
      <c r="CI2255" s="1" t="s">
        <v>109</v>
      </c>
      <c r="CJ2255" s="1" t="s">
        <v>109</v>
      </c>
      <c r="CK2255" s="1"/>
      <c r="CL2255" s="1">
        <v>0</v>
      </c>
      <c r="CM2255" s="1">
        <v>0</v>
      </c>
      <c r="CN2255" s="1">
        <v>0</v>
      </c>
    </row>
    <row r="2256" spans="1:92" ht="14.25" customHeight="1" x14ac:dyDescent="0.15">
      <c r="A2256" s="1" t="s">
        <v>16217</v>
      </c>
      <c r="B2256" s="1" t="s">
        <v>95</v>
      </c>
      <c r="C2256" s="1" t="s">
        <v>96</v>
      </c>
      <c r="D2256" s="1"/>
      <c r="E2256" s="1" t="s">
        <v>16218</v>
      </c>
      <c r="F2256" s="1" t="s">
        <v>98</v>
      </c>
      <c r="G2256" s="1" t="s">
        <v>141</v>
      </c>
      <c r="H2256" s="1">
        <v>0</v>
      </c>
      <c r="I2256" s="1" t="s">
        <v>235</v>
      </c>
      <c r="J2256" s="1"/>
      <c r="K2256" s="1"/>
      <c r="L2256" s="1"/>
      <c r="M2256" s="1" t="s">
        <v>8243</v>
      </c>
      <c r="N2256" s="1">
        <v>0</v>
      </c>
      <c r="O2256" s="1">
        <v>0</v>
      </c>
      <c r="P2256" s="1"/>
      <c r="Q2256" s="1"/>
      <c r="R2256" s="1" t="s">
        <v>16219</v>
      </c>
      <c r="S2256" s="1" t="s">
        <v>16220</v>
      </c>
      <c r="T2256" s="1" t="s">
        <v>16129</v>
      </c>
      <c r="U2256" s="1" t="s">
        <v>16221</v>
      </c>
      <c r="V2256" s="1">
        <v>1</v>
      </c>
      <c r="W2256" s="1">
        <v>1</v>
      </c>
      <c r="X2256" s="1">
        <v>0</v>
      </c>
      <c r="Y2256" s="1">
        <v>0</v>
      </c>
      <c r="Z2256" s="1">
        <v>0</v>
      </c>
      <c r="AA2256" s="1">
        <v>3</v>
      </c>
      <c r="AB2256" s="1">
        <v>3</v>
      </c>
      <c r="AC2256" s="1" t="s">
        <v>109</v>
      </c>
      <c r="AD2256" s="1" t="s">
        <v>109</v>
      </c>
      <c r="AE2256" s="1" t="s">
        <v>109</v>
      </c>
      <c r="AF2256" s="1" t="s">
        <v>109</v>
      </c>
      <c r="AG2256" s="1" t="s">
        <v>109</v>
      </c>
      <c r="AH2256" s="1" t="s">
        <v>109</v>
      </c>
      <c r="AI2256" s="1">
        <v>2</v>
      </c>
      <c r="AJ2256" s="1">
        <v>3</v>
      </c>
      <c r="AK2256" s="1">
        <v>2</v>
      </c>
      <c r="AL2256" s="1" t="s">
        <v>109</v>
      </c>
      <c r="AM2256" s="1" t="s">
        <v>109</v>
      </c>
      <c r="AN2256" s="1" t="s">
        <v>109</v>
      </c>
      <c r="AO2256" s="1" t="s">
        <v>109</v>
      </c>
      <c r="AP2256" s="1"/>
      <c r="AQ2256" s="1">
        <v>3</v>
      </c>
      <c r="AR2256" s="1"/>
      <c r="AS2256" s="1"/>
      <c r="AT2256" s="1">
        <v>0</v>
      </c>
      <c r="AU2256" s="1">
        <v>0</v>
      </c>
      <c r="AV2256" s="1">
        <v>0</v>
      </c>
      <c r="AW2256" s="1">
        <v>0</v>
      </c>
      <c r="AX2256" s="1">
        <v>0</v>
      </c>
      <c r="AY2256" s="1">
        <v>0</v>
      </c>
      <c r="AZ2256" s="1">
        <v>0</v>
      </c>
      <c r="BA2256" s="1">
        <v>0</v>
      </c>
      <c r="BB2256" s="1">
        <v>0</v>
      </c>
      <c r="BC2256" s="1">
        <v>0</v>
      </c>
      <c r="BD2256" s="1">
        <v>0</v>
      </c>
      <c r="BE2256" s="1">
        <v>0</v>
      </c>
      <c r="BF2256" s="1">
        <v>0</v>
      </c>
      <c r="BG2256" s="1">
        <v>0</v>
      </c>
      <c r="BH2256" s="1">
        <v>0</v>
      </c>
      <c r="BI2256" s="1">
        <v>0</v>
      </c>
      <c r="BJ2256" s="1">
        <v>0</v>
      </c>
      <c r="BK2256" s="1">
        <v>0</v>
      </c>
      <c r="BL2256" s="1">
        <v>0</v>
      </c>
      <c r="BM2256" s="1">
        <v>0</v>
      </c>
      <c r="BN2256" s="1">
        <v>0</v>
      </c>
      <c r="BO2256" s="1">
        <v>0</v>
      </c>
      <c r="BP2256" s="1">
        <v>0</v>
      </c>
      <c r="BQ2256" s="1">
        <v>0</v>
      </c>
      <c r="BR2256" s="1">
        <v>0</v>
      </c>
      <c r="BS2256" s="1" t="s">
        <v>109</v>
      </c>
      <c r="BT2256" s="1">
        <v>2344</v>
      </c>
      <c r="BU2256" s="1" t="s">
        <v>109</v>
      </c>
      <c r="BV2256" s="1"/>
      <c r="BW2256" s="1"/>
      <c r="BX2256" s="1"/>
      <c r="BY2256" s="1"/>
      <c r="BZ2256" s="1">
        <v>0</v>
      </c>
      <c r="CA2256" s="1" t="s">
        <v>109</v>
      </c>
      <c r="CB2256" s="1" t="s">
        <v>109</v>
      </c>
      <c r="CC2256" s="1" t="s">
        <v>109</v>
      </c>
      <c r="CD2256" s="1" t="s">
        <v>109</v>
      </c>
      <c r="CE2256" s="1" t="s">
        <v>109</v>
      </c>
      <c r="CF2256" s="1">
        <v>3</v>
      </c>
      <c r="CG2256" s="1" t="s">
        <v>109</v>
      </c>
      <c r="CH2256" s="1" t="s">
        <v>109</v>
      </c>
      <c r="CI2256" s="1" t="s">
        <v>109</v>
      </c>
      <c r="CJ2256" s="1" t="s">
        <v>109</v>
      </c>
      <c r="CK2256" s="1"/>
      <c r="CL2256" s="1">
        <v>0</v>
      </c>
      <c r="CM2256" s="1">
        <v>0</v>
      </c>
      <c r="CN2256" s="1">
        <v>0</v>
      </c>
    </row>
    <row r="2257" spans="1:92" ht="14.25" customHeight="1" x14ac:dyDescent="0.15">
      <c r="A2257" s="1" t="s">
        <v>16222</v>
      </c>
      <c r="B2257" s="1" t="s">
        <v>189</v>
      </c>
      <c r="C2257" s="1"/>
      <c r="D2257" s="1"/>
      <c r="E2257" s="1" t="s">
        <v>14883</v>
      </c>
      <c r="F2257" s="1" t="s">
        <v>98</v>
      </c>
      <c r="G2257" s="1" t="s">
        <v>141</v>
      </c>
      <c r="H2257" s="1">
        <v>0</v>
      </c>
      <c r="I2257" s="1" t="s">
        <v>142</v>
      </c>
      <c r="J2257" s="1"/>
      <c r="K2257" s="1"/>
      <c r="L2257" s="1" t="s">
        <v>16223</v>
      </c>
      <c r="M2257" s="1" t="s">
        <v>6144</v>
      </c>
      <c r="N2257" s="1">
        <v>1</v>
      </c>
      <c r="O2257" s="1">
        <v>0</v>
      </c>
      <c r="P2257" s="1" t="s">
        <v>16224</v>
      </c>
      <c r="Q2257" s="1" t="s">
        <v>104</v>
      </c>
      <c r="R2257" s="1" t="s">
        <v>16225</v>
      </c>
      <c r="S2257" s="1" t="s">
        <v>16226</v>
      </c>
      <c r="T2257" s="1" t="s">
        <v>16129</v>
      </c>
      <c r="U2257" s="1" t="s">
        <v>16227</v>
      </c>
      <c r="V2257" s="1">
        <v>1</v>
      </c>
      <c r="W2257" s="1">
        <v>1</v>
      </c>
      <c r="X2257" s="1">
        <v>0</v>
      </c>
      <c r="Y2257" s="1">
        <v>0</v>
      </c>
      <c r="Z2257" s="1">
        <v>0</v>
      </c>
      <c r="AA2257" s="1">
        <v>2</v>
      </c>
      <c r="AB2257" s="1">
        <v>2</v>
      </c>
      <c r="AC2257" s="1" t="s">
        <v>109</v>
      </c>
      <c r="AD2257" s="1" t="s">
        <v>109</v>
      </c>
      <c r="AE2257" s="1" t="s">
        <v>109</v>
      </c>
      <c r="AF2257" s="1">
        <v>2</v>
      </c>
      <c r="AG2257" s="1" t="s">
        <v>109</v>
      </c>
      <c r="AH2257" s="1" t="s">
        <v>109</v>
      </c>
      <c r="AI2257" s="1" t="s">
        <v>109</v>
      </c>
      <c r="AJ2257" s="1" t="s">
        <v>109</v>
      </c>
      <c r="AK2257" s="1" t="s">
        <v>109</v>
      </c>
      <c r="AL2257" s="1" t="s">
        <v>109</v>
      </c>
      <c r="AM2257" s="1" t="s">
        <v>109</v>
      </c>
      <c r="AN2257" s="1">
        <v>2</v>
      </c>
      <c r="AO2257" s="1" t="s">
        <v>109</v>
      </c>
      <c r="AP2257" s="1"/>
      <c r="AQ2257" s="1">
        <v>2</v>
      </c>
      <c r="AR2257" s="1"/>
      <c r="AS2257" s="1"/>
      <c r="AT2257" s="1">
        <v>0</v>
      </c>
      <c r="AU2257" s="1">
        <v>0</v>
      </c>
      <c r="AV2257" s="1">
        <v>0</v>
      </c>
      <c r="AW2257" s="1">
        <v>0</v>
      </c>
      <c r="AX2257" s="1">
        <v>0</v>
      </c>
      <c r="AY2257" s="1">
        <v>0</v>
      </c>
      <c r="AZ2257" s="1">
        <v>0</v>
      </c>
      <c r="BA2257" s="1">
        <v>0</v>
      </c>
      <c r="BB2257" s="1">
        <v>0</v>
      </c>
      <c r="BC2257" s="1">
        <v>0</v>
      </c>
      <c r="BD2257" s="1">
        <v>0</v>
      </c>
      <c r="BE2257" s="1">
        <v>0</v>
      </c>
      <c r="BF2257" s="1">
        <v>0</v>
      </c>
      <c r="BG2257" s="1">
        <v>0</v>
      </c>
      <c r="BH2257" s="1">
        <v>0</v>
      </c>
      <c r="BI2257" s="1">
        <v>0</v>
      </c>
      <c r="BJ2257" s="1">
        <v>0</v>
      </c>
      <c r="BK2257" s="1">
        <v>0</v>
      </c>
      <c r="BL2257" s="1">
        <v>0</v>
      </c>
      <c r="BM2257" s="1">
        <v>0</v>
      </c>
      <c r="BN2257" s="1">
        <v>0</v>
      </c>
      <c r="BO2257" s="1">
        <v>0</v>
      </c>
      <c r="BP2257" s="1">
        <v>0</v>
      </c>
      <c r="BQ2257" s="1">
        <v>0</v>
      </c>
      <c r="BR2257" s="1">
        <v>0</v>
      </c>
      <c r="BS2257" s="1" t="s">
        <v>109</v>
      </c>
      <c r="BT2257" s="1">
        <v>2345</v>
      </c>
      <c r="BU2257" s="1" t="s">
        <v>109</v>
      </c>
      <c r="BV2257" s="1"/>
      <c r="BW2257" s="1"/>
      <c r="BX2257" s="1"/>
      <c r="BY2257" s="1"/>
      <c r="BZ2257" s="1">
        <v>0</v>
      </c>
      <c r="CA2257" s="1">
        <v>2</v>
      </c>
      <c r="CB2257" s="1" t="s">
        <v>109</v>
      </c>
      <c r="CC2257" s="1" t="s">
        <v>109</v>
      </c>
      <c r="CD2257" s="1" t="s">
        <v>109</v>
      </c>
      <c r="CE2257" s="1" t="s">
        <v>109</v>
      </c>
      <c r="CF2257" s="1" t="s">
        <v>109</v>
      </c>
      <c r="CG2257" s="1" t="s">
        <v>109</v>
      </c>
      <c r="CH2257" s="1" t="s">
        <v>109</v>
      </c>
      <c r="CI2257" s="1" t="s">
        <v>109</v>
      </c>
      <c r="CJ2257" s="1" t="s">
        <v>109</v>
      </c>
      <c r="CK2257" s="1"/>
      <c r="CL2257" s="1">
        <v>0</v>
      </c>
      <c r="CM2257" s="1">
        <v>0</v>
      </c>
      <c r="CN2257" s="1">
        <v>0</v>
      </c>
    </row>
    <row r="2258" spans="1:92" ht="14.25" customHeight="1" x14ac:dyDescent="0.15">
      <c r="A2258" s="1" t="s">
        <v>16228</v>
      </c>
      <c r="B2258" s="1" t="s">
        <v>242</v>
      </c>
      <c r="C2258" s="1"/>
      <c r="D2258" s="1" t="s">
        <v>59</v>
      </c>
      <c r="E2258" s="1" t="s">
        <v>16229</v>
      </c>
      <c r="F2258" s="1" t="s">
        <v>98</v>
      </c>
      <c r="G2258" s="1" t="s">
        <v>141</v>
      </c>
      <c r="H2258" s="1">
        <v>0</v>
      </c>
      <c r="I2258" s="1" t="s">
        <v>161</v>
      </c>
      <c r="J2258" s="1"/>
      <c r="K2258" s="1"/>
      <c r="L2258" s="1" t="s">
        <v>1905</v>
      </c>
      <c r="M2258" s="1" t="s">
        <v>2044</v>
      </c>
      <c r="N2258" s="1">
        <v>1</v>
      </c>
      <c r="O2258" s="1">
        <v>0</v>
      </c>
      <c r="P2258" s="1" t="s">
        <v>4647</v>
      </c>
      <c r="Q2258" s="1" t="s">
        <v>268</v>
      </c>
      <c r="R2258" s="1" t="s">
        <v>16230</v>
      </c>
      <c r="S2258" s="1" t="s">
        <v>16231</v>
      </c>
      <c r="T2258" s="1" t="s">
        <v>16129</v>
      </c>
      <c r="U2258" s="1" t="s">
        <v>16232</v>
      </c>
      <c r="V2258" s="1">
        <v>1</v>
      </c>
      <c r="W2258" s="1">
        <v>1</v>
      </c>
      <c r="X2258" s="1">
        <v>0</v>
      </c>
      <c r="Y2258" s="1">
        <v>0</v>
      </c>
      <c r="Z2258" s="1">
        <v>0</v>
      </c>
      <c r="AA2258" s="1">
        <v>1</v>
      </c>
      <c r="AB2258" s="1">
        <v>1</v>
      </c>
      <c r="AC2258" s="1" t="s">
        <v>109</v>
      </c>
      <c r="AD2258" s="1" t="s">
        <v>109</v>
      </c>
      <c r="AE2258" s="1" t="s">
        <v>109</v>
      </c>
      <c r="AF2258" s="1" t="s">
        <v>109</v>
      </c>
      <c r="AG2258" s="1" t="s">
        <v>109</v>
      </c>
      <c r="AH2258" s="1" t="s">
        <v>109</v>
      </c>
      <c r="AI2258" s="1" t="s">
        <v>109</v>
      </c>
      <c r="AJ2258" s="1" t="s">
        <v>109</v>
      </c>
      <c r="AK2258" s="1" t="s">
        <v>109</v>
      </c>
      <c r="AL2258" s="1" t="s">
        <v>109</v>
      </c>
      <c r="AM2258" s="1" t="s">
        <v>109</v>
      </c>
      <c r="AN2258" s="1" t="s">
        <v>109</v>
      </c>
      <c r="AO2258" s="1" t="s">
        <v>109</v>
      </c>
      <c r="AP2258" s="1"/>
      <c r="AQ2258" s="1">
        <v>1</v>
      </c>
      <c r="AR2258" s="1"/>
      <c r="AS2258" s="1"/>
      <c r="AT2258" s="1">
        <v>0</v>
      </c>
      <c r="AU2258" s="1">
        <v>0</v>
      </c>
      <c r="AV2258" s="1">
        <v>0</v>
      </c>
      <c r="AW2258" s="1">
        <v>0</v>
      </c>
      <c r="AX2258" s="1">
        <v>0</v>
      </c>
      <c r="AY2258" s="1">
        <v>0</v>
      </c>
      <c r="AZ2258" s="1">
        <v>0</v>
      </c>
      <c r="BA2258" s="1">
        <v>0</v>
      </c>
      <c r="BB2258" s="1">
        <v>0</v>
      </c>
      <c r="BC2258" s="1">
        <v>0</v>
      </c>
      <c r="BD2258" s="1">
        <v>0</v>
      </c>
      <c r="BE2258" s="1">
        <v>0</v>
      </c>
      <c r="BF2258" s="1">
        <v>0</v>
      </c>
      <c r="BG2258" s="1">
        <v>1</v>
      </c>
      <c r="BH2258" s="1">
        <v>0</v>
      </c>
      <c r="BI2258" s="1">
        <v>0</v>
      </c>
      <c r="BJ2258" s="1">
        <v>0</v>
      </c>
      <c r="BK2258" s="1">
        <v>0</v>
      </c>
      <c r="BL2258" s="1">
        <v>0</v>
      </c>
      <c r="BM2258" s="1">
        <v>0</v>
      </c>
      <c r="BN2258" s="1">
        <v>0</v>
      </c>
      <c r="BO2258" s="1">
        <v>0</v>
      </c>
      <c r="BP2258" s="1">
        <v>0</v>
      </c>
      <c r="BQ2258" s="1">
        <v>0</v>
      </c>
      <c r="BR2258" s="1">
        <v>0</v>
      </c>
      <c r="BS2258" s="1" t="s">
        <v>109</v>
      </c>
      <c r="BT2258" s="1">
        <v>2346</v>
      </c>
      <c r="BU2258" s="1" t="s">
        <v>109</v>
      </c>
      <c r="BV2258" s="1"/>
      <c r="BW2258" s="1"/>
      <c r="BX2258" s="1"/>
      <c r="BY2258" s="1"/>
      <c r="BZ2258" s="1">
        <v>0</v>
      </c>
      <c r="CA2258" s="1" t="s">
        <v>109</v>
      </c>
      <c r="CB2258" s="1" t="s">
        <v>109</v>
      </c>
      <c r="CC2258" s="1" t="s">
        <v>109</v>
      </c>
      <c r="CD2258" s="1" t="s">
        <v>109</v>
      </c>
      <c r="CE2258" s="1" t="s">
        <v>109</v>
      </c>
      <c r="CF2258" s="1">
        <v>1</v>
      </c>
      <c r="CG2258" s="1" t="s">
        <v>109</v>
      </c>
      <c r="CH2258" s="1" t="s">
        <v>109</v>
      </c>
      <c r="CI2258" s="1" t="s">
        <v>109</v>
      </c>
      <c r="CJ2258" s="1" t="s">
        <v>109</v>
      </c>
      <c r="CK2258" s="1"/>
      <c r="CL2258" s="1">
        <v>0</v>
      </c>
      <c r="CM2258" s="1">
        <v>0</v>
      </c>
      <c r="CN2258" s="1">
        <v>0</v>
      </c>
    </row>
    <row r="2259" spans="1:92" ht="14.25" customHeight="1" x14ac:dyDescent="0.15">
      <c r="A2259" s="1" t="s">
        <v>16233</v>
      </c>
      <c r="B2259" s="1" t="s">
        <v>674</v>
      </c>
      <c r="C2259" s="1" t="s">
        <v>675</v>
      </c>
      <c r="D2259" s="1"/>
      <c r="E2259" s="1" t="s">
        <v>16234</v>
      </c>
      <c r="F2259" s="1" t="s">
        <v>98</v>
      </c>
      <c r="G2259" s="1" t="s">
        <v>160</v>
      </c>
      <c r="H2259" s="1">
        <v>0</v>
      </c>
      <c r="I2259" s="1" t="s">
        <v>235</v>
      </c>
      <c r="J2259" s="1" t="s">
        <v>4038</v>
      </c>
      <c r="K2259" s="1"/>
      <c r="L2259" s="1"/>
      <c r="M2259" s="1" t="s">
        <v>5642</v>
      </c>
      <c r="N2259" s="1">
        <v>0</v>
      </c>
      <c r="O2259" s="1">
        <v>0</v>
      </c>
      <c r="P2259" s="1" t="s">
        <v>258</v>
      </c>
      <c r="Q2259" s="1" t="s">
        <v>103</v>
      </c>
      <c r="R2259" s="1" t="s">
        <v>16235</v>
      </c>
      <c r="S2259" s="1" t="s">
        <v>16236</v>
      </c>
      <c r="T2259" s="1" t="s">
        <v>16129</v>
      </c>
      <c r="U2259" s="1" t="s">
        <v>16237</v>
      </c>
      <c r="V2259" s="1">
        <v>1</v>
      </c>
      <c r="W2259" s="1">
        <v>1</v>
      </c>
      <c r="X2259" s="1">
        <v>0</v>
      </c>
      <c r="Y2259" s="1">
        <v>0</v>
      </c>
      <c r="Z2259" s="1">
        <v>1</v>
      </c>
      <c r="AA2259" s="1">
        <v>2</v>
      </c>
      <c r="AB2259" s="1">
        <v>2</v>
      </c>
      <c r="AC2259" s="1" t="s">
        <v>109</v>
      </c>
      <c r="AD2259" s="1" t="s">
        <v>109</v>
      </c>
      <c r="AE2259" s="1" t="s">
        <v>109</v>
      </c>
      <c r="AF2259" s="1">
        <v>2</v>
      </c>
      <c r="AG2259" s="1" t="s">
        <v>109</v>
      </c>
      <c r="AH2259" s="1" t="s">
        <v>109</v>
      </c>
      <c r="AI2259" s="1" t="s">
        <v>109</v>
      </c>
      <c r="AJ2259" s="1" t="s">
        <v>109</v>
      </c>
      <c r="AK2259" s="1" t="s">
        <v>109</v>
      </c>
      <c r="AL2259" s="1" t="s">
        <v>109</v>
      </c>
      <c r="AM2259" s="1">
        <v>2</v>
      </c>
      <c r="AN2259" s="1" t="s">
        <v>109</v>
      </c>
      <c r="AO2259" s="1" t="s">
        <v>109</v>
      </c>
      <c r="AP2259" s="1"/>
      <c r="AQ2259" s="1">
        <v>2</v>
      </c>
      <c r="AR2259" s="1"/>
      <c r="AS2259" s="1"/>
      <c r="AT2259" s="1">
        <v>0</v>
      </c>
      <c r="AU2259" s="1">
        <v>0</v>
      </c>
      <c r="AV2259" s="1">
        <v>0</v>
      </c>
      <c r="AW2259" s="1">
        <v>0</v>
      </c>
      <c r="AX2259" s="1">
        <v>0</v>
      </c>
      <c r="AY2259" s="1">
        <v>0</v>
      </c>
      <c r="AZ2259" s="1">
        <v>0</v>
      </c>
      <c r="BA2259" s="1">
        <v>0</v>
      </c>
      <c r="BB2259" s="1">
        <v>0</v>
      </c>
      <c r="BC2259" s="1">
        <v>0</v>
      </c>
      <c r="BD2259" s="1">
        <v>0</v>
      </c>
      <c r="BE2259" s="1">
        <v>0</v>
      </c>
      <c r="BF2259" s="1">
        <v>0</v>
      </c>
      <c r="BG2259" s="1">
        <v>0</v>
      </c>
      <c r="BH2259" s="1">
        <v>0</v>
      </c>
      <c r="BI2259" s="1">
        <v>0</v>
      </c>
      <c r="BJ2259" s="1">
        <v>0</v>
      </c>
      <c r="BK2259" s="1">
        <v>0</v>
      </c>
      <c r="BL2259" s="1">
        <v>0</v>
      </c>
      <c r="BM2259" s="1">
        <v>0</v>
      </c>
      <c r="BN2259" s="1">
        <v>0</v>
      </c>
      <c r="BO2259" s="1">
        <v>0</v>
      </c>
      <c r="BP2259" s="1">
        <v>0</v>
      </c>
      <c r="BQ2259" s="1">
        <v>0</v>
      </c>
      <c r="BR2259" s="1">
        <v>0</v>
      </c>
      <c r="BS2259" s="1" t="s">
        <v>109</v>
      </c>
      <c r="BT2259" s="1">
        <v>2347</v>
      </c>
      <c r="BU2259" s="1" t="s">
        <v>109</v>
      </c>
      <c r="BV2259" s="1"/>
      <c r="BW2259" s="1"/>
      <c r="BX2259" s="1"/>
      <c r="BY2259" s="1"/>
      <c r="BZ2259" s="1">
        <v>0</v>
      </c>
      <c r="CA2259" s="1" t="s">
        <v>109</v>
      </c>
      <c r="CB2259" s="1" t="s">
        <v>109</v>
      </c>
      <c r="CC2259" s="1">
        <v>2</v>
      </c>
      <c r="CD2259" s="1" t="s">
        <v>109</v>
      </c>
      <c r="CE2259" s="1">
        <v>2</v>
      </c>
      <c r="CF2259" s="1" t="s">
        <v>109</v>
      </c>
      <c r="CG2259" s="1" t="s">
        <v>109</v>
      </c>
      <c r="CH2259" s="1" t="s">
        <v>109</v>
      </c>
      <c r="CI2259" s="1" t="s">
        <v>109</v>
      </c>
      <c r="CJ2259" s="1" t="s">
        <v>109</v>
      </c>
      <c r="CK2259" s="1"/>
      <c r="CL2259" s="1">
        <v>0</v>
      </c>
      <c r="CM2259" s="1">
        <v>0</v>
      </c>
      <c r="CN2259" s="1">
        <v>0</v>
      </c>
    </row>
    <row r="2260" spans="1:92" ht="14.25" customHeight="1" x14ac:dyDescent="0.15">
      <c r="A2260" s="1" t="s">
        <v>16238</v>
      </c>
      <c r="B2260" s="1" t="s">
        <v>189</v>
      </c>
      <c r="C2260" s="1"/>
      <c r="D2260" s="1"/>
      <c r="E2260" s="1" t="s">
        <v>5699</v>
      </c>
      <c r="F2260" s="1" t="s">
        <v>98</v>
      </c>
      <c r="G2260" s="1" t="s">
        <v>141</v>
      </c>
      <c r="H2260" s="1">
        <v>0</v>
      </c>
      <c r="I2260" s="1" t="s">
        <v>235</v>
      </c>
      <c r="J2260" s="1"/>
      <c r="K2260" s="1"/>
      <c r="L2260" s="1" t="s">
        <v>236</v>
      </c>
      <c r="M2260" s="1" t="s">
        <v>6144</v>
      </c>
      <c r="N2260" s="1">
        <v>1</v>
      </c>
      <c r="O2260" s="1">
        <v>0</v>
      </c>
      <c r="P2260" s="1"/>
      <c r="Q2260" s="1"/>
      <c r="R2260" s="1" t="s">
        <v>16239</v>
      </c>
      <c r="S2260" s="1" t="s">
        <v>16240</v>
      </c>
      <c r="T2260" s="1" t="s">
        <v>16129</v>
      </c>
      <c r="U2260" s="1" t="s">
        <v>16241</v>
      </c>
      <c r="V2260" s="1">
        <v>1</v>
      </c>
      <c r="W2260" s="1">
        <v>1</v>
      </c>
      <c r="X2260" s="1">
        <v>0</v>
      </c>
      <c r="Y2260" s="1">
        <v>0</v>
      </c>
      <c r="Z2260" s="1">
        <v>0</v>
      </c>
      <c r="AA2260" s="1">
        <v>2</v>
      </c>
      <c r="AB2260" s="1">
        <v>2</v>
      </c>
      <c r="AC2260" s="1" t="s">
        <v>109</v>
      </c>
      <c r="AD2260" s="1" t="s">
        <v>109</v>
      </c>
      <c r="AE2260" s="1" t="s">
        <v>109</v>
      </c>
      <c r="AF2260" s="1">
        <v>2</v>
      </c>
      <c r="AG2260" s="1" t="s">
        <v>109</v>
      </c>
      <c r="AH2260" s="1" t="s">
        <v>109</v>
      </c>
      <c r="AI2260" s="1" t="s">
        <v>109</v>
      </c>
      <c r="AJ2260" s="1" t="s">
        <v>109</v>
      </c>
      <c r="AK2260" s="1" t="s">
        <v>109</v>
      </c>
      <c r="AL2260" s="1" t="s">
        <v>109</v>
      </c>
      <c r="AM2260" s="1" t="s">
        <v>109</v>
      </c>
      <c r="AN2260" s="1" t="s">
        <v>109</v>
      </c>
      <c r="AO2260" s="1" t="s">
        <v>109</v>
      </c>
      <c r="AP2260" s="1"/>
      <c r="AQ2260" s="1">
        <v>2</v>
      </c>
      <c r="AR2260" s="1"/>
      <c r="AS2260" s="1"/>
      <c r="AT2260" s="1">
        <v>0</v>
      </c>
      <c r="AU2260" s="1">
        <v>0</v>
      </c>
      <c r="AV2260" s="1">
        <v>0</v>
      </c>
      <c r="AW2260" s="1">
        <v>0</v>
      </c>
      <c r="AX2260" s="1">
        <v>0</v>
      </c>
      <c r="AY2260" s="1">
        <v>0</v>
      </c>
      <c r="AZ2260" s="1">
        <v>0</v>
      </c>
      <c r="BA2260" s="1">
        <v>0</v>
      </c>
      <c r="BB2260" s="1">
        <v>0</v>
      </c>
      <c r="BC2260" s="1">
        <v>0</v>
      </c>
      <c r="BD2260" s="1">
        <v>0</v>
      </c>
      <c r="BE2260" s="1">
        <v>0</v>
      </c>
      <c r="BF2260" s="1">
        <v>0</v>
      </c>
      <c r="BG2260" s="1">
        <v>0</v>
      </c>
      <c r="BH2260" s="1">
        <v>0</v>
      </c>
      <c r="BI2260" s="1">
        <v>0</v>
      </c>
      <c r="BJ2260" s="1">
        <v>0</v>
      </c>
      <c r="BK2260" s="1">
        <v>0</v>
      </c>
      <c r="BL2260" s="1">
        <v>0</v>
      </c>
      <c r="BM2260" s="1">
        <v>0</v>
      </c>
      <c r="BN2260" s="1">
        <v>0</v>
      </c>
      <c r="BO2260" s="1">
        <v>0</v>
      </c>
      <c r="BP2260" s="1">
        <v>0</v>
      </c>
      <c r="BQ2260" s="1">
        <v>0</v>
      </c>
      <c r="BR2260" s="1">
        <v>0</v>
      </c>
      <c r="BS2260" s="1" t="s">
        <v>109</v>
      </c>
      <c r="BT2260" s="1">
        <v>2348</v>
      </c>
      <c r="BU2260" s="1" t="s">
        <v>109</v>
      </c>
      <c r="BV2260" s="1"/>
      <c r="BW2260" s="1"/>
      <c r="BX2260" s="1"/>
      <c r="BY2260" s="1"/>
      <c r="BZ2260" s="1">
        <v>0</v>
      </c>
      <c r="CA2260" s="1" t="s">
        <v>109</v>
      </c>
      <c r="CB2260" s="1" t="s">
        <v>109</v>
      </c>
      <c r="CC2260" s="1" t="s">
        <v>109</v>
      </c>
      <c r="CD2260" s="1" t="s">
        <v>109</v>
      </c>
      <c r="CE2260" s="1" t="s">
        <v>109</v>
      </c>
      <c r="CF2260" s="1" t="s">
        <v>109</v>
      </c>
      <c r="CG2260" s="1" t="s">
        <v>109</v>
      </c>
      <c r="CH2260" s="1" t="s">
        <v>109</v>
      </c>
      <c r="CI2260" s="1" t="s">
        <v>109</v>
      </c>
      <c r="CJ2260" s="1" t="s">
        <v>109</v>
      </c>
      <c r="CK2260" s="1"/>
      <c r="CL2260" s="1">
        <v>0</v>
      </c>
      <c r="CM2260" s="1">
        <v>0</v>
      </c>
      <c r="CN2260" s="1">
        <v>0</v>
      </c>
    </row>
    <row r="2261" spans="1:92" ht="14.25" customHeight="1" x14ac:dyDescent="0.15">
      <c r="A2261" s="1" t="s">
        <v>16242</v>
      </c>
      <c r="B2261" s="1" t="s">
        <v>95</v>
      </c>
      <c r="C2261" s="1" t="s">
        <v>1179</v>
      </c>
      <c r="D2261" s="1"/>
      <c r="E2261" s="1" t="s">
        <v>10163</v>
      </c>
      <c r="F2261" s="1" t="s">
        <v>395</v>
      </c>
      <c r="G2261" s="1" t="s">
        <v>4230</v>
      </c>
      <c r="H2261" s="1">
        <v>0</v>
      </c>
      <c r="I2261" s="1" t="s">
        <v>211</v>
      </c>
      <c r="J2261" s="1"/>
      <c r="K2261" s="1"/>
      <c r="L2261" s="1" t="s">
        <v>16243</v>
      </c>
      <c r="M2261" s="1" t="s">
        <v>4232</v>
      </c>
      <c r="N2261" s="1">
        <v>0</v>
      </c>
      <c r="O2261" s="1">
        <v>0</v>
      </c>
      <c r="P2261" s="1" t="s">
        <v>103</v>
      </c>
      <c r="Q2261" s="1" t="s">
        <v>104</v>
      </c>
      <c r="R2261" s="1" t="s">
        <v>16244</v>
      </c>
      <c r="S2261" s="1" t="s">
        <v>16245</v>
      </c>
      <c r="T2261" s="1" t="s">
        <v>16129</v>
      </c>
      <c r="U2261" s="1" t="s">
        <v>16246</v>
      </c>
      <c r="V2261" s="1">
        <v>1</v>
      </c>
      <c r="W2261" s="1">
        <v>1</v>
      </c>
      <c r="X2261" s="1">
        <v>0</v>
      </c>
      <c r="Y2261" s="1">
        <v>0</v>
      </c>
      <c r="Z2261" s="1">
        <v>0</v>
      </c>
      <c r="AA2261" s="1">
        <v>3</v>
      </c>
      <c r="AB2261" s="1">
        <v>3</v>
      </c>
      <c r="AC2261" s="1" t="s">
        <v>109</v>
      </c>
      <c r="AD2261" s="1" t="s">
        <v>109</v>
      </c>
      <c r="AE2261" s="1" t="s">
        <v>109</v>
      </c>
      <c r="AF2261" s="1" t="s">
        <v>109</v>
      </c>
      <c r="AG2261" s="1" t="s">
        <v>109</v>
      </c>
      <c r="AH2261" s="1" t="s">
        <v>109</v>
      </c>
      <c r="AI2261" s="1" t="s">
        <v>109</v>
      </c>
      <c r="AJ2261" s="1">
        <v>3</v>
      </c>
      <c r="AK2261" s="1" t="s">
        <v>109</v>
      </c>
      <c r="AL2261" s="1" t="s">
        <v>109</v>
      </c>
      <c r="AM2261" s="1" t="s">
        <v>109</v>
      </c>
      <c r="AN2261" s="1" t="s">
        <v>109</v>
      </c>
      <c r="AO2261" s="1" t="s">
        <v>109</v>
      </c>
      <c r="AP2261" s="1"/>
      <c r="AQ2261" s="1">
        <v>3</v>
      </c>
      <c r="AR2261" s="1"/>
      <c r="AS2261" s="1"/>
      <c r="AT2261" s="1">
        <v>0</v>
      </c>
      <c r="AU2261" s="1">
        <v>0</v>
      </c>
      <c r="AV2261" s="1">
        <v>0</v>
      </c>
      <c r="AW2261" s="1">
        <v>0</v>
      </c>
      <c r="AX2261" s="1">
        <v>0</v>
      </c>
      <c r="AY2261" s="1">
        <v>0</v>
      </c>
      <c r="AZ2261" s="1">
        <v>0</v>
      </c>
      <c r="BA2261" s="1">
        <v>0</v>
      </c>
      <c r="BB2261" s="1">
        <v>0</v>
      </c>
      <c r="BC2261" s="1">
        <v>0</v>
      </c>
      <c r="BD2261" s="1">
        <v>0</v>
      </c>
      <c r="BE2261" s="1">
        <v>0</v>
      </c>
      <c r="BF2261" s="1">
        <v>0</v>
      </c>
      <c r="BG2261" s="1">
        <v>0</v>
      </c>
      <c r="BH2261" s="1">
        <v>0</v>
      </c>
      <c r="BI2261" s="1">
        <v>0</v>
      </c>
      <c r="BJ2261" s="1">
        <v>0</v>
      </c>
      <c r="BK2261" s="1">
        <v>0</v>
      </c>
      <c r="BL2261" s="1">
        <v>0</v>
      </c>
      <c r="BM2261" s="1">
        <v>0</v>
      </c>
      <c r="BN2261" s="1">
        <v>0</v>
      </c>
      <c r="BO2261" s="1">
        <v>0</v>
      </c>
      <c r="BP2261" s="1">
        <v>0</v>
      </c>
      <c r="BQ2261" s="1">
        <v>0</v>
      </c>
      <c r="BR2261" s="1">
        <v>0</v>
      </c>
      <c r="BS2261" s="1" t="s">
        <v>109</v>
      </c>
      <c r="BT2261" s="1">
        <v>2349</v>
      </c>
      <c r="BU2261" s="1" t="s">
        <v>109</v>
      </c>
      <c r="BV2261" s="1"/>
      <c r="BW2261" s="1"/>
      <c r="BX2261" s="1"/>
      <c r="BY2261" s="1"/>
      <c r="BZ2261" s="1">
        <v>0</v>
      </c>
      <c r="CA2261" s="1" t="s">
        <v>109</v>
      </c>
      <c r="CB2261" s="1" t="s">
        <v>109</v>
      </c>
      <c r="CC2261" s="1" t="s">
        <v>109</v>
      </c>
      <c r="CD2261" s="1" t="s">
        <v>109</v>
      </c>
      <c r="CE2261" s="1" t="s">
        <v>109</v>
      </c>
      <c r="CF2261" s="1" t="s">
        <v>109</v>
      </c>
      <c r="CG2261" s="1" t="s">
        <v>109</v>
      </c>
      <c r="CH2261" s="1" t="s">
        <v>109</v>
      </c>
      <c r="CI2261" s="1" t="s">
        <v>109</v>
      </c>
      <c r="CJ2261" s="1" t="s">
        <v>109</v>
      </c>
      <c r="CK2261" s="1"/>
      <c r="CL2261" s="1">
        <v>0</v>
      </c>
      <c r="CM2261" s="1">
        <v>0</v>
      </c>
      <c r="CN2261" s="1">
        <v>0</v>
      </c>
    </row>
    <row r="2262" spans="1:92" ht="14.25" customHeight="1" x14ac:dyDescent="0.15">
      <c r="A2262" s="1" t="s">
        <v>16247</v>
      </c>
      <c r="B2262" s="1" t="s">
        <v>95</v>
      </c>
      <c r="C2262" s="1" t="s">
        <v>1179</v>
      </c>
      <c r="D2262" s="1"/>
      <c r="E2262" s="1" t="s">
        <v>923</v>
      </c>
      <c r="F2262" s="1" t="s">
        <v>395</v>
      </c>
      <c r="G2262" s="1" t="s">
        <v>4230</v>
      </c>
      <c r="H2262" s="1">
        <v>0</v>
      </c>
      <c r="I2262" s="1" t="s">
        <v>211</v>
      </c>
      <c r="J2262" s="1"/>
      <c r="K2262" s="1"/>
      <c r="L2262" s="1" t="s">
        <v>16248</v>
      </c>
      <c r="M2262" s="1" t="s">
        <v>4232</v>
      </c>
      <c r="N2262" s="1">
        <v>0</v>
      </c>
      <c r="O2262" s="1">
        <v>0</v>
      </c>
      <c r="P2262" s="1" t="s">
        <v>103</v>
      </c>
      <c r="Q2262" s="1" t="s">
        <v>104</v>
      </c>
      <c r="R2262" s="1" t="s">
        <v>16249</v>
      </c>
      <c r="S2262" s="1" t="s">
        <v>16250</v>
      </c>
      <c r="T2262" s="1" t="s">
        <v>16129</v>
      </c>
      <c r="U2262" s="1" t="s">
        <v>16251</v>
      </c>
      <c r="V2262" s="1">
        <v>1</v>
      </c>
      <c r="W2262" s="1">
        <v>1</v>
      </c>
      <c r="X2262" s="1">
        <v>0</v>
      </c>
      <c r="Y2262" s="1">
        <v>0</v>
      </c>
      <c r="Z2262" s="1">
        <v>0</v>
      </c>
      <c r="AA2262" s="1">
        <v>8</v>
      </c>
      <c r="AB2262" s="1">
        <v>8</v>
      </c>
      <c r="AC2262" s="1" t="s">
        <v>109</v>
      </c>
      <c r="AD2262" s="1" t="s">
        <v>109</v>
      </c>
      <c r="AE2262" s="1" t="s">
        <v>109</v>
      </c>
      <c r="AF2262" s="1" t="s">
        <v>109</v>
      </c>
      <c r="AG2262" s="1" t="s">
        <v>109</v>
      </c>
      <c r="AH2262" s="1" t="s">
        <v>109</v>
      </c>
      <c r="AI2262" s="1" t="s">
        <v>109</v>
      </c>
      <c r="AJ2262" s="1">
        <v>8</v>
      </c>
      <c r="AK2262" s="1" t="s">
        <v>109</v>
      </c>
      <c r="AL2262" s="1" t="s">
        <v>109</v>
      </c>
      <c r="AM2262" s="1" t="s">
        <v>109</v>
      </c>
      <c r="AN2262" s="1" t="s">
        <v>109</v>
      </c>
      <c r="AO2262" s="1" t="s">
        <v>109</v>
      </c>
      <c r="AP2262" s="1"/>
      <c r="AQ2262" s="1">
        <v>8</v>
      </c>
      <c r="AR2262" s="1"/>
      <c r="AS2262" s="1"/>
      <c r="AT2262" s="1">
        <v>0</v>
      </c>
      <c r="AU2262" s="1">
        <v>0</v>
      </c>
      <c r="AV2262" s="1">
        <v>0</v>
      </c>
      <c r="AW2262" s="1">
        <v>0</v>
      </c>
      <c r="AX2262" s="1">
        <v>0</v>
      </c>
      <c r="AY2262" s="1">
        <v>0</v>
      </c>
      <c r="AZ2262" s="1">
        <v>0</v>
      </c>
      <c r="BA2262" s="1">
        <v>0</v>
      </c>
      <c r="BB2262" s="1">
        <v>0</v>
      </c>
      <c r="BC2262" s="1">
        <v>0</v>
      </c>
      <c r="BD2262" s="1">
        <v>0</v>
      </c>
      <c r="BE2262" s="1">
        <v>0</v>
      </c>
      <c r="BF2262" s="1">
        <v>0</v>
      </c>
      <c r="BG2262" s="1">
        <v>0</v>
      </c>
      <c r="BH2262" s="1">
        <v>0</v>
      </c>
      <c r="BI2262" s="1">
        <v>0</v>
      </c>
      <c r="BJ2262" s="1">
        <v>0</v>
      </c>
      <c r="BK2262" s="1">
        <v>0</v>
      </c>
      <c r="BL2262" s="1">
        <v>0</v>
      </c>
      <c r="BM2262" s="1">
        <v>0</v>
      </c>
      <c r="BN2262" s="1">
        <v>0</v>
      </c>
      <c r="BO2262" s="1">
        <v>0</v>
      </c>
      <c r="BP2262" s="1">
        <v>0</v>
      </c>
      <c r="BQ2262" s="1">
        <v>0</v>
      </c>
      <c r="BR2262" s="1">
        <v>0</v>
      </c>
      <c r="BS2262" s="1" t="s">
        <v>109</v>
      </c>
      <c r="BT2262" s="1">
        <v>2350</v>
      </c>
      <c r="BU2262" s="1" t="s">
        <v>109</v>
      </c>
      <c r="BV2262" s="1"/>
      <c r="BW2262" s="1"/>
      <c r="BX2262" s="1"/>
      <c r="BY2262" s="1"/>
      <c r="BZ2262" s="1">
        <v>0</v>
      </c>
      <c r="CA2262" s="1" t="s">
        <v>109</v>
      </c>
      <c r="CB2262" s="1" t="s">
        <v>109</v>
      </c>
      <c r="CC2262" s="1" t="s">
        <v>109</v>
      </c>
      <c r="CD2262" s="1" t="s">
        <v>109</v>
      </c>
      <c r="CE2262" s="1" t="s">
        <v>109</v>
      </c>
      <c r="CF2262" s="1" t="s">
        <v>109</v>
      </c>
      <c r="CG2262" s="1" t="s">
        <v>109</v>
      </c>
      <c r="CH2262" s="1" t="s">
        <v>109</v>
      </c>
      <c r="CI2262" s="1" t="s">
        <v>109</v>
      </c>
      <c r="CJ2262" s="1" t="s">
        <v>109</v>
      </c>
      <c r="CK2262" s="1"/>
      <c r="CL2262" s="1">
        <v>0</v>
      </c>
      <c r="CM2262" s="1">
        <v>0</v>
      </c>
      <c r="CN2262" s="1">
        <v>0</v>
      </c>
    </row>
    <row r="2263" spans="1:92" ht="14.25" customHeight="1" x14ac:dyDescent="0.15">
      <c r="A2263" s="1" t="s">
        <v>16252</v>
      </c>
      <c r="B2263" s="1" t="s">
        <v>674</v>
      </c>
      <c r="C2263" s="1" t="s">
        <v>68</v>
      </c>
      <c r="D2263" s="1" t="s">
        <v>16253</v>
      </c>
      <c r="E2263" s="1" t="s">
        <v>16254</v>
      </c>
      <c r="F2263" s="1" t="s">
        <v>98</v>
      </c>
      <c r="G2263" s="1" t="s">
        <v>141</v>
      </c>
      <c r="H2263" s="1">
        <v>0</v>
      </c>
      <c r="I2263" s="1" t="s">
        <v>211</v>
      </c>
      <c r="J2263" s="1"/>
      <c r="K2263" s="1" t="s">
        <v>211</v>
      </c>
      <c r="L2263" s="1"/>
      <c r="M2263" s="1" t="s">
        <v>211</v>
      </c>
      <c r="N2263" s="1">
        <v>0</v>
      </c>
      <c r="O2263" s="1">
        <v>0</v>
      </c>
      <c r="P2263" s="1" t="s">
        <v>15086</v>
      </c>
      <c r="Q2263" s="1" t="s">
        <v>268</v>
      </c>
      <c r="R2263" s="1" t="s">
        <v>16255</v>
      </c>
      <c r="S2263" s="1" t="s">
        <v>16256</v>
      </c>
      <c r="T2263" s="1" t="s">
        <v>16257</v>
      </c>
      <c r="U2263" s="1" t="s">
        <v>16258</v>
      </c>
      <c r="V2263" s="1">
        <v>1</v>
      </c>
      <c r="W2263" s="1">
        <v>1</v>
      </c>
      <c r="X2263" s="1">
        <v>0</v>
      </c>
      <c r="Y2263" s="1">
        <v>0</v>
      </c>
      <c r="Z2263" s="1">
        <v>0</v>
      </c>
      <c r="AA2263" s="1">
        <v>3</v>
      </c>
      <c r="AB2263" s="1">
        <v>3</v>
      </c>
      <c r="AC2263" s="1" t="s">
        <v>109</v>
      </c>
      <c r="AD2263" s="1" t="s">
        <v>109</v>
      </c>
      <c r="AE2263" s="1" t="s">
        <v>109</v>
      </c>
      <c r="AF2263" s="1">
        <v>3</v>
      </c>
      <c r="AG2263" s="1" t="s">
        <v>109</v>
      </c>
      <c r="AH2263" s="1" t="s">
        <v>109</v>
      </c>
      <c r="AI2263" s="1" t="s">
        <v>109</v>
      </c>
      <c r="AJ2263" s="1" t="s">
        <v>109</v>
      </c>
      <c r="AK2263" s="1" t="s">
        <v>109</v>
      </c>
      <c r="AL2263" s="1" t="s">
        <v>109</v>
      </c>
      <c r="AM2263" s="1" t="s">
        <v>109</v>
      </c>
      <c r="AN2263" s="1" t="s">
        <v>109</v>
      </c>
      <c r="AO2263" s="1" t="s">
        <v>109</v>
      </c>
      <c r="AP2263" s="1"/>
      <c r="AQ2263" s="1">
        <v>3</v>
      </c>
      <c r="AR2263" s="1"/>
      <c r="AS2263" s="1"/>
      <c r="AT2263" s="1">
        <v>0</v>
      </c>
      <c r="AU2263" s="1">
        <v>0</v>
      </c>
      <c r="AV2263" s="1">
        <v>0</v>
      </c>
      <c r="AW2263" s="1">
        <v>0</v>
      </c>
      <c r="AX2263" s="1">
        <v>0</v>
      </c>
      <c r="AY2263" s="1">
        <v>0</v>
      </c>
      <c r="AZ2263" s="1">
        <v>0</v>
      </c>
      <c r="BA2263" s="1">
        <v>0</v>
      </c>
      <c r="BB2263" s="1">
        <v>0</v>
      </c>
      <c r="BC2263" s="1">
        <v>0</v>
      </c>
      <c r="BD2263" s="1">
        <v>0</v>
      </c>
      <c r="BE2263" s="1">
        <v>0</v>
      </c>
      <c r="BF2263" s="1">
        <v>0</v>
      </c>
      <c r="BG2263" s="1">
        <v>0</v>
      </c>
      <c r="BH2263" s="1">
        <v>0</v>
      </c>
      <c r="BI2263" s="1">
        <v>0</v>
      </c>
      <c r="BJ2263" s="1">
        <v>0</v>
      </c>
      <c r="BK2263" s="1">
        <v>0</v>
      </c>
      <c r="BL2263" s="1">
        <v>0</v>
      </c>
      <c r="BM2263" s="1">
        <v>0</v>
      </c>
      <c r="BN2263" s="1">
        <v>0</v>
      </c>
      <c r="BO2263" s="1">
        <v>0</v>
      </c>
      <c r="BP2263" s="1">
        <v>1</v>
      </c>
      <c r="BQ2263" s="1">
        <v>0</v>
      </c>
      <c r="BR2263" s="1">
        <v>0</v>
      </c>
      <c r="BS2263" s="1" t="s">
        <v>109</v>
      </c>
      <c r="BT2263" s="1">
        <v>2351</v>
      </c>
      <c r="BU2263" s="1" t="s">
        <v>109</v>
      </c>
      <c r="BV2263" s="1"/>
      <c r="BW2263" s="1"/>
      <c r="BX2263" s="1"/>
      <c r="BY2263" s="1"/>
      <c r="BZ2263" s="1">
        <v>0</v>
      </c>
      <c r="CA2263" s="1" t="s">
        <v>109</v>
      </c>
      <c r="CB2263" s="1" t="s">
        <v>109</v>
      </c>
      <c r="CC2263" s="1">
        <v>3</v>
      </c>
      <c r="CD2263" s="1" t="s">
        <v>109</v>
      </c>
      <c r="CE2263" s="1">
        <v>3</v>
      </c>
      <c r="CF2263" s="1" t="s">
        <v>109</v>
      </c>
      <c r="CG2263" s="1" t="s">
        <v>109</v>
      </c>
      <c r="CH2263" s="1" t="s">
        <v>109</v>
      </c>
      <c r="CI2263" s="1" t="s">
        <v>109</v>
      </c>
      <c r="CJ2263" s="1" t="s">
        <v>109</v>
      </c>
      <c r="CK2263" s="1"/>
      <c r="CL2263" s="1">
        <v>0</v>
      </c>
      <c r="CM2263" s="1">
        <v>0</v>
      </c>
      <c r="CN2263" s="1">
        <v>0</v>
      </c>
    </row>
    <row r="2264" spans="1:92" ht="14.25" customHeight="1" x14ac:dyDescent="0.15">
      <c r="A2264" s="1" t="s">
        <v>16259</v>
      </c>
      <c r="B2264" s="1" t="s">
        <v>674</v>
      </c>
      <c r="C2264" s="1" t="s">
        <v>68</v>
      </c>
      <c r="D2264" s="1" t="s">
        <v>16253</v>
      </c>
      <c r="E2264" s="1" t="s">
        <v>16260</v>
      </c>
      <c r="F2264" s="1" t="s">
        <v>98</v>
      </c>
      <c r="G2264" s="1" t="s">
        <v>141</v>
      </c>
      <c r="H2264" s="1">
        <v>0</v>
      </c>
      <c r="I2264" s="1" t="s">
        <v>211</v>
      </c>
      <c r="J2264" s="1"/>
      <c r="K2264" s="1" t="s">
        <v>211</v>
      </c>
      <c r="L2264" s="1"/>
      <c r="M2264" s="1" t="s">
        <v>211</v>
      </c>
      <c r="N2264" s="1">
        <v>0</v>
      </c>
      <c r="O2264" s="1">
        <v>0</v>
      </c>
      <c r="P2264" s="1" t="s">
        <v>15086</v>
      </c>
      <c r="Q2264" s="1" t="s">
        <v>268</v>
      </c>
      <c r="R2264" s="1" t="s">
        <v>16261</v>
      </c>
      <c r="S2264" s="1" t="s">
        <v>16262</v>
      </c>
      <c r="T2264" s="1" t="s">
        <v>16257</v>
      </c>
      <c r="U2264" s="1" t="s">
        <v>16263</v>
      </c>
      <c r="V2264" s="1">
        <v>1</v>
      </c>
      <c r="W2264" s="1">
        <v>1</v>
      </c>
      <c r="X2264" s="1">
        <v>0</v>
      </c>
      <c r="Y2264" s="1">
        <v>0</v>
      </c>
      <c r="Z2264" s="1">
        <v>0</v>
      </c>
      <c r="AA2264" s="1">
        <v>6</v>
      </c>
      <c r="AB2264" s="1">
        <v>6</v>
      </c>
      <c r="AC2264" s="1" t="s">
        <v>109</v>
      </c>
      <c r="AD2264" s="1" t="s">
        <v>109</v>
      </c>
      <c r="AE2264" s="1" t="s">
        <v>109</v>
      </c>
      <c r="AF2264" s="1">
        <v>6</v>
      </c>
      <c r="AG2264" s="1" t="s">
        <v>109</v>
      </c>
      <c r="AH2264" s="1" t="s">
        <v>109</v>
      </c>
      <c r="AI2264" s="1" t="s">
        <v>109</v>
      </c>
      <c r="AJ2264" s="1" t="s">
        <v>109</v>
      </c>
      <c r="AK2264" s="1" t="s">
        <v>109</v>
      </c>
      <c r="AL2264" s="1" t="s">
        <v>109</v>
      </c>
      <c r="AM2264" s="1" t="s">
        <v>109</v>
      </c>
      <c r="AN2264" s="1" t="s">
        <v>109</v>
      </c>
      <c r="AO2264" s="1" t="s">
        <v>109</v>
      </c>
      <c r="AP2264" s="1"/>
      <c r="AQ2264" s="1">
        <v>6</v>
      </c>
      <c r="AR2264" s="1"/>
      <c r="AS2264" s="1"/>
      <c r="AT2264" s="1">
        <v>0</v>
      </c>
      <c r="AU2264" s="1">
        <v>0</v>
      </c>
      <c r="AV2264" s="1">
        <v>0</v>
      </c>
      <c r="AW2264" s="1">
        <v>0</v>
      </c>
      <c r="AX2264" s="1">
        <v>0</v>
      </c>
      <c r="AY2264" s="1">
        <v>0</v>
      </c>
      <c r="AZ2264" s="1">
        <v>0</v>
      </c>
      <c r="BA2264" s="1">
        <v>0</v>
      </c>
      <c r="BB2264" s="1">
        <v>0</v>
      </c>
      <c r="BC2264" s="1">
        <v>0</v>
      </c>
      <c r="BD2264" s="1">
        <v>0</v>
      </c>
      <c r="BE2264" s="1">
        <v>0</v>
      </c>
      <c r="BF2264" s="1">
        <v>0</v>
      </c>
      <c r="BG2264" s="1">
        <v>0</v>
      </c>
      <c r="BH2264" s="1">
        <v>0</v>
      </c>
      <c r="BI2264" s="1">
        <v>0</v>
      </c>
      <c r="BJ2264" s="1">
        <v>0</v>
      </c>
      <c r="BK2264" s="1">
        <v>0</v>
      </c>
      <c r="BL2264" s="1">
        <v>0</v>
      </c>
      <c r="BM2264" s="1">
        <v>0</v>
      </c>
      <c r="BN2264" s="1">
        <v>0</v>
      </c>
      <c r="BO2264" s="1">
        <v>0</v>
      </c>
      <c r="BP2264" s="1">
        <v>1</v>
      </c>
      <c r="BQ2264" s="1">
        <v>0</v>
      </c>
      <c r="BR2264" s="1">
        <v>0</v>
      </c>
      <c r="BS2264" s="1" t="s">
        <v>109</v>
      </c>
      <c r="BT2264" s="1">
        <v>2352</v>
      </c>
      <c r="BU2264" s="1" t="s">
        <v>109</v>
      </c>
      <c r="BV2264" s="1"/>
      <c r="BW2264" s="1"/>
      <c r="BX2264" s="1"/>
      <c r="BY2264" s="1"/>
      <c r="BZ2264" s="1">
        <v>0</v>
      </c>
      <c r="CA2264" s="1" t="s">
        <v>109</v>
      </c>
      <c r="CB2264" s="1" t="s">
        <v>109</v>
      </c>
      <c r="CC2264" s="1">
        <v>6</v>
      </c>
      <c r="CD2264" s="1" t="s">
        <v>109</v>
      </c>
      <c r="CE2264" s="1">
        <v>6</v>
      </c>
      <c r="CF2264" s="1" t="s">
        <v>109</v>
      </c>
      <c r="CG2264" s="1" t="s">
        <v>109</v>
      </c>
      <c r="CH2264" s="1" t="s">
        <v>109</v>
      </c>
      <c r="CI2264" s="1" t="s">
        <v>109</v>
      </c>
      <c r="CJ2264" s="1" t="s">
        <v>109</v>
      </c>
      <c r="CK2264" s="1"/>
      <c r="CL2264" s="1">
        <v>0</v>
      </c>
      <c r="CM2264" s="1">
        <v>0</v>
      </c>
      <c r="CN2264" s="1">
        <v>0</v>
      </c>
    </row>
    <row r="2265" spans="1:92" ht="14.25" customHeight="1" x14ac:dyDescent="0.15">
      <c r="A2265" s="1" t="s">
        <v>16264</v>
      </c>
      <c r="B2265" s="1" t="s">
        <v>254</v>
      </c>
      <c r="C2265" s="1"/>
      <c r="D2265" s="1"/>
      <c r="E2265" s="1" t="s">
        <v>16265</v>
      </c>
      <c r="F2265" s="1" t="s">
        <v>98</v>
      </c>
      <c r="G2265" s="1" t="s">
        <v>141</v>
      </c>
      <c r="H2265" s="1">
        <v>0</v>
      </c>
      <c r="I2265" s="1" t="s">
        <v>1016</v>
      </c>
      <c r="J2265" s="1" t="s">
        <v>1346</v>
      </c>
      <c r="K2265" s="1"/>
      <c r="L2265" s="1"/>
      <c r="M2265" s="1" t="s">
        <v>6317</v>
      </c>
      <c r="N2265" s="1">
        <v>1</v>
      </c>
      <c r="O2265" s="1">
        <v>0</v>
      </c>
      <c r="P2265" s="1" t="s">
        <v>103</v>
      </c>
      <c r="Q2265" s="1" t="s">
        <v>104</v>
      </c>
      <c r="R2265" s="1" t="s">
        <v>16266</v>
      </c>
      <c r="S2265" s="1" t="s">
        <v>16267</v>
      </c>
      <c r="T2265" s="1" t="s">
        <v>16268</v>
      </c>
      <c r="U2265" s="1" t="s">
        <v>16269</v>
      </c>
      <c r="V2265" s="1">
        <v>1</v>
      </c>
      <c r="W2265" s="1">
        <v>1</v>
      </c>
      <c r="X2265" s="1">
        <v>0</v>
      </c>
      <c r="Y2265" s="1">
        <v>0</v>
      </c>
      <c r="Z2265" s="1">
        <v>0</v>
      </c>
      <c r="AA2265" s="1">
        <v>0</v>
      </c>
      <c r="AB2265" s="1">
        <v>0</v>
      </c>
      <c r="AC2265" s="1">
        <v>0</v>
      </c>
      <c r="AD2265" s="1" t="s">
        <v>109</v>
      </c>
      <c r="AE2265" s="1" t="s">
        <v>109</v>
      </c>
      <c r="AF2265" s="1">
        <v>0</v>
      </c>
      <c r="AG2265" s="1" t="s">
        <v>109</v>
      </c>
      <c r="AH2265" s="1" t="s">
        <v>109</v>
      </c>
      <c r="AI2265" s="1" t="s">
        <v>109</v>
      </c>
      <c r="AJ2265" s="1">
        <v>0</v>
      </c>
      <c r="AK2265" s="1" t="s">
        <v>109</v>
      </c>
      <c r="AL2265" s="1">
        <v>0</v>
      </c>
      <c r="AM2265" s="1" t="s">
        <v>109</v>
      </c>
      <c r="AN2265" s="1">
        <v>0</v>
      </c>
      <c r="AO2265" s="1" t="s">
        <v>109</v>
      </c>
      <c r="AP2265" s="1"/>
      <c r="AQ2265" s="1">
        <v>0</v>
      </c>
      <c r="AR2265" s="1"/>
      <c r="AS2265" s="1"/>
      <c r="AT2265" s="1">
        <v>0</v>
      </c>
      <c r="AU2265" s="1">
        <v>0</v>
      </c>
      <c r="AV2265" s="1">
        <v>0</v>
      </c>
      <c r="AW2265" s="1">
        <v>0</v>
      </c>
      <c r="AX2265" s="1">
        <v>0</v>
      </c>
      <c r="AY2265" s="1">
        <v>0</v>
      </c>
      <c r="AZ2265" s="1">
        <v>0</v>
      </c>
      <c r="BA2265" s="1">
        <v>0</v>
      </c>
      <c r="BB2265" s="1">
        <v>0</v>
      </c>
      <c r="BC2265" s="1">
        <v>0</v>
      </c>
      <c r="BD2265" s="1">
        <v>0</v>
      </c>
      <c r="BE2265" s="1">
        <v>0</v>
      </c>
      <c r="BF2265" s="1">
        <v>0</v>
      </c>
      <c r="BG2265" s="1">
        <v>0</v>
      </c>
      <c r="BH2265" s="1">
        <v>0</v>
      </c>
      <c r="BI2265" s="1">
        <v>0</v>
      </c>
      <c r="BJ2265" s="1">
        <v>0</v>
      </c>
      <c r="BK2265" s="1">
        <v>0</v>
      </c>
      <c r="BL2265" s="1">
        <v>0</v>
      </c>
      <c r="BM2265" s="1">
        <v>0</v>
      </c>
      <c r="BN2265" s="1">
        <v>0</v>
      </c>
      <c r="BO2265" s="1">
        <v>0</v>
      </c>
      <c r="BP2265" s="1">
        <v>0</v>
      </c>
      <c r="BQ2265" s="1">
        <v>0</v>
      </c>
      <c r="BR2265" s="1">
        <v>0</v>
      </c>
      <c r="BS2265" s="1" t="s">
        <v>109</v>
      </c>
      <c r="BT2265" s="1">
        <v>2353</v>
      </c>
      <c r="BU2265" s="1" t="s">
        <v>109</v>
      </c>
      <c r="BV2265" s="1"/>
      <c r="BW2265" s="1"/>
      <c r="BX2265" s="1"/>
      <c r="BY2265" s="1"/>
      <c r="BZ2265" s="1">
        <v>0</v>
      </c>
      <c r="CA2265" s="1" t="s">
        <v>109</v>
      </c>
      <c r="CB2265" s="1" t="s">
        <v>109</v>
      </c>
      <c r="CC2265" s="1" t="s">
        <v>109</v>
      </c>
      <c r="CD2265" s="1" t="s">
        <v>109</v>
      </c>
      <c r="CE2265" s="1" t="s">
        <v>109</v>
      </c>
      <c r="CF2265" s="1" t="s">
        <v>109</v>
      </c>
      <c r="CG2265" s="1" t="s">
        <v>109</v>
      </c>
      <c r="CH2265" s="1" t="s">
        <v>109</v>
      </c>
      <c r="CI2265" s="1" t="s">
        <v>109</v>
      </c>
      <c r="CJ2265" s="1" t="s">
        <v>109</v>
      </c>
      <c r="CK2265" s="1"/>
      <c r="CL2265" s="1">
        <v>0</v>
      </c>
      <c r="CM2265" s="1">
        <v>0</v>
      </c>
      <c r="CN2265" s="1">
        <v>0</v>
      </c>
    </row>
    <row r="2266" spans="1:92" ht="14.25" customHeight="1" x14ac:dyDescent="0.15">
      <c r="A2266" s="1" t="s">
        <v>16270</v>
      </c>
      <c r="B2266" s="1" t="s">
        <v>242</v>
      </c>
      <c r="C2266" s="1"/>
      <c r="D2266" s="1" t="s">
        <v>61</v>
      </c>
      <c r="E2266" s="1" t="s">
        <v>14386</v>
      </c>
      <c r="F2266" s="1" t="s">
        <v>11103</v>
      </c>
      <c r="G2266" s="1" t="s">
        <v>16271</v>
      </c>
      <c r="H2266" s="1">
        <v>1</v>
      </c>
      <c r="I2266" s="1" t="s">
        <v>161</v>
      </c>
      <c r="J2266" s="1"/>
      <c r="K2266" s="1" t="s">
        <v>16272</v>
      </c>
      <c r="L2266" s="1"/>
      <c r="M2266" s="1" t="s">
        <v>125</v>
      </c>
      <c r="N2266" s="1">
        <v>0</v>
      </c>
      <c r="O2266" s="1">
        <v>0</v>
      </c>
      <c r="P2266" s="1" t="s">
        <v>564</v>
      </c>
      <c r="Q2266" s="1" t="s">
        <v>4298</v>
      </c>
      <c r="R2266" s="1" t="s">
        <v>16273</v>
      </c>
      <c r="S2266" s="1" t="s">
        <v>16274</v>
      </c>
      <c r="T2266" s="1" t="s">
        <v>16268</v>
      </c>
      <c r="U2266" s="1" t="s">
        <v>16275</v>
      </c>
      <c r="V2266" s="1">
        <v>1</v>
      </c>
      <c r="W2266" s="1">
        <v>1</v>
      </c>
      <c r="X2266" s="1">
        <v>1</v>
      </c>
      <c r="Y2266" s="1">
        <v>0</v>
      </c>
      <c r="Z2266" s="1">
        <v>0</v>
      </c>
      <c r="AA2266" s="1">
        <v>5</v>
      </c>
      <c r="AB2266" s="1">
        <v>5</v>
      </c>
      <c r="AC2266" s="1">
        <v>4</v>
      </c>
      <c r="AD2266" s="1" t="s">
        <v>109</v>
      </c>
      <c r="AE2266" s="1" t="s">
        <v>109</v>
      </c>
      <c r="AF2266" s="1" t="s">
        <v>109</v>
      </c>
      <c r="AG2266" s="1" t="s">
        <v>109</v>
      </c>
      <c r="AH2266" s="1" t="s">
        <v>109</v>
      </c>
      <c r="AI2266" s="1" t="s">
        <v>109</v>
      </c>
      <c r="AJ2266" s="1" t="s">
        <v>109</v>
      </c>
      <c r="AK2266" s="1" t="s">
        <v>109</v>
      </c>
      <c r="AL2266" s="1">
        <v>4</v>
      </c>
      <c r="AM2266" s="1" t="s">
        <v>109</v>
      </c>
      <c r="AN2266" s="1" t="s">
        <v>109</v>
      </c>
      <c r="AO2266" s="1" t="s">
        <v>109</v>
      </c>
      <c r="AP2266" s="1"/>
      <c r="AQ2266" s="1">
        <v>5</v>
      </c>
      <c r="AR2266" s="1"/>
      <c r="AS2266" s="1"/>
      <c r="AT2266" s="1">
        <v>0</v>
      </c>
      <c r="AU2266" s="1">
        <v>0</v>
      </c>
      <c r="AV2266" s="1">
        <v>0</v>
      </c>
      <c r="AW2266" s="1">
        <v>0</v>
      </c>
      <c r="AX2266" s="1">
        <v>0</v>
      </c>
      <c r="AY2266" s="1">
        <v>0</v>
      </c>
      <c r="AZ2266" s="1">
        <v>0</v>
      </c>
      <c r="BA2266" s="1">
        <v>0</v>
      </c>
      <c r="BB2266" s="1">
        <v>0</v>
      </c>
      <c r="BC2266" s="1">
        <v>0</v>
      </c>
      <c r="BD2266" s="1">
        <v>0</v>
      </c>
      <c r="BE2266" s="1">
        <v>0</v>
      </c>
      <c r="BF2266" s="1">
        <v>0</v>
      </c>
      <c r="BG2266" s="1">
        <v>0</v>
      </c>
      <c r="BH2266" s="1">
        <v>0</v>
      </c>
      <c r="BI2266" s="1">
        <v>1</v>
      </c>
      <c r="BJ2266" s="1">
        <v>0</v>
      </c>
      <c r="BK2266" s="1">
        <v>0</v>
      </c>
      <c r="BL2266" s="1">
        <v>0</v>
      </c>
      <c r="BM2266" s="1">
        <v>0</v>
      </c>
      <c r="BN2266" s="1">
        <v>0</v>
      </c>
      <c r="BO2266" s="1">
        <v>0</v>
      </c>
      <c r="BP2266" s="1">
        <v>0</v>
      </c>
      <c r="BQ2266" s="1">
        <v>0</v>
      </c>
      <c r="BR2266" s="1">
        <v>0</v>
      </c>
      <c r="BS2266" s="1" t="s">
        <v>109</v>
      </c>
      <c r="BT2266" s="1">
        <v>2354</v>
      </c>
      <c r="BU2266" s="1">
        <v>25</v>
      </c>
      <c r="BV2266" s="1"/>
      <c r="BW2266" s="1"/>
      <c r="BX2266" s="1"/>
      <c r="BY2266" s="1"/>
      <c r="BZ2266" s="1">
        <v>0</v>
      </c>
      <c r="CA2266" s="1" t="s">
        <v>109</v>
      </c>
      <c r="CB2266" s="1" t="s">
        <v>109</v>
      </c>
      <c r="CC2266" s="1" t="s">
        <v>109</v>
      </c>
      <c r="CD2266" s="1" t="s">
        <v>109</v>
      </c>
      <c r="CE2266" s="1" t="s">
        <v>109</v>
      </c>
      <c r="CF2266" s="1" t="s">
        <v>109</v>
      </c>
      <c r="CG2266" s="1" t="s">
        <v>109</v>
      </c>
      <c r="CH2266" s="1" t="s">
        <v>109</v>
      </c>
      <c r="CI2266" s="1" t="s">
        <v>109</v>
      </c>
      <c r="CJ2266" s="1" t="s">
        <v>109</v>
      </c>
      <c r="CK2266" s="1"/>
      <c r="CL2266" s="1">
        <v>0</v>
      </c>
      <c r="CM2266" s="1">
        <v>0</v>
      </c>
      <c r="CN2266" s="1">
        <v>0</v>
      </c>
    </row>
    <row r="2267" spans="1:92" ht="14.25" customHeight="1" x14ac:dyDescent="0.15">
      <c r="A2267" s="1" t="s">
        <v>16276</v>
      </c>
      <c r="B2267" s="1" t="s">
        <v>242</v>
      </c>
      <c r="C2267" s="1"/>
      <c r="D2267" s="1"/>
      <c r="E2267" s="1" t="s">
        <v>16277</v>
      </c>
      <c r="F2267" s="1" t="s">
        <v>98</v>
      </c>
      <c r="G2267" s="1" t="s">
        <v>141</v>
      </c>
      <c r="H2267" s="1">
        <v>0</v>
      </c>
      <c r="I2267" s="1" t="s">
        <v>235</v>
      </c>
      <c r="J2267" s="1"/>
      <c r="K2267" s="1"/>
      <c r="L2267" s="1" t="s">
        <v>236</v>
      </c>
      <c r="M2267" s="1" t="s">
        <v>6625</v>
      </c>
      <c r="N2267" s="1">
        <v>1</v>
      </c>
      <c r="O2267" s="1">
        <v>0</v>
      </c>
      <c r="P2267" s="1" t="s">
        <v>16278</v>
      </c>
      <c r="Q2267" s="1" t="s">
        <v>104</v>
      </c>
      <c r="R2267" s="1" t="s">
        <v>16279</v>
      </c>
      <c r="S2267" s="1" t="s">
        <v>16280</v>
      </c>
      <c r="T2267" s="1" t="s">
        <v>16268</v>
      </c>
      <c r="U2267" s="1" t="s">
        <v>16281</v>
      </c>
      <c r="V2267" s="1">
        <v>1</v>
      </c>
      <c r="W2267" s="1">
        <v>1</v>
      </c>
      <c r="X2267" s="1">
        <v>0</v>
      </c>
      <c r="Y2267" s="1">
        <v>0</v>
      </c>
      <c r="Z2267" s="1">
        <v>0</v>
      </c>
      <c r="AA2267" s="1">
        <v>1</v>
      </c>
      <c r="AB2267" s="1">
        <v>1</v>
      </c>
      <c r="AC2267" s="1" t="s">
        <v>109</v>
      </c>
      <c r="AD2267" s="1" t="s">
        <v>109</v>
      </c>
      <c r="AE2267" s="1" t="s">
        <v>109</v>
      </c>
      <c r="AF2267" s="1" t="s">
        <v>109</v>
      </c>
      <c r="AG2267" s="1" t="s">
        <v>109</v>
      </c>
      <c r="AH2267" s="1">
        <v>1</v>
      </c>
      <c r="AI2267" s="1">
        <v>1</v>
      </c>
      <c r="AJ2267" s="1" t="s">
        <v>109</v>
      </c>
      <c r="AK2267" s="1" t="s">
        <v>109</v>
      </c>
      <c r="AL2267" s="1" t="s">
        <v>109</v>
      </c>
      <c r="AM2267" s="1" t="s">
        <v>109</v>
      </c>
      <c r="AN2267" s="1">
        <v>1</v>
      </c>
      <c r="AO2267" s="1" t="s">
        <v>109</v>
      </c>
      <c r="AP2267" s="1"/>
      <c r="AQ2267" s="1">
        <v>1</v>
      </c>
      <c r="AR2267" s="1"/>
      <c r="AS2267" s="1"/>
      <c r="AT2267" s="1">
        <v>0</v>
      </c>
      <c r="AU2267" s="1">
        <v>0</v>
      </c>
      <c r="AV2267" s="1">
        <v>0</v>
      </c>
      <c r="AW2267" s="1">
        <v>0</v>
      </c>
      <c r="AX2267" s="1">
        <v>0</v>
      </c>
      <c r="AY2267" s="1">
        <v>0</v>
      </c>
      <c r="AZ2267" s="1">
        <v>0</v>
      </c>
      <c r="BA2267" s="1">
        <v>0</v>
      </c>
      <c r="BB2267" s="1">
        <v>0</v>
      </c>
      <c r="BC2267" s="1">
        <v>0</v>
      </c>
      <c r="BD2267" s="1">
        <v>0</v>
      </c>
      <c r="BE2267" s="1">
        <v>0</v>
      </c>
      <c r="BF2267" s="1">
        <v>0</v>
      </c>
      <c r="BG2267" s="1">
        <v>0</v>
      </c>
      <c r="BH2267" s="1">
        <v>0</v>
      </c>
      <c r="BI2267" s="1">
        <v>0</v>
      </c>
      <c r="BJ2267" s="1">
        <v>0</v>
      </c>
      <c r="BK2267" s="1">
        <v>0</v>
      </c>
      <c r="BL2267" s="1">
        <v>0</v>
      </c>
      <c r="BM2267" s="1">
        <v>0</v>
      </c>
      <c r="BN2267" s="1">
        <v>0</v>
      </c>
      <c r="BO2267" s="1">
        <v>0</v>
      </c>
      <c r="BP2267" s="1">
        <v>0</v>
      </c>
      <c r="BQ2267" s="1">
        <v>0</v>
      </c>
      <c r="BR2267" s="1">
        <v>0</v>
      </c>
      <c r="BS2267" s="1" t="s">
        <v>109</v>
      </c>
      <c r="BT2267" s="1">
        <v>2355</v>
      </c>
      <c r="BU2267" s="1" t="s">
        <v>109</v>
      </c>
      <c r="BV2267" s="1"/>
      <c r="BW2267" s="1"/>
      <c r="BX2267" s="1"/>
      <c r="BY2267" s="1"/>
      <c r="BZ2267" s="1">
        <v>0</v>
      </c>
      <c r="CA2267" s="1">
        <v>1</v>
      </c>
      <c r="CB2267" s="1">
        <v>1</v>
      </c>
      <c r="CC2267" s="1" t="s">
        <v>109</v>
      </c>
      <c r="CD2267" s="1" t="s">
        <v>109</v>
      </c>
      <c r="CE2267" s="1" t="s">
        <v>109</v>
      </c>
      <c r="CF2267" s="1" t="s">
        <v>109</v>
      </c>
      <c r="CG2267" s="1">
        <v>1</v>
      </c>
      <c r="CH2267" s="1" t="s">
        <v>109</v>
      </c>
      <c r="CI2267" s="1" t="s">
        <v>109</v>
      </c>
      <c r="CJ2267" s="1" t="s">
        <v>109</v>
      </c>
      <c r="CK2267" s="1"/>
      <c r="CL2267" s="1">
        <v>0</v>
      </c>
      <c r="CM2267" s="1">
        <v>0</v>
      </c>
      <c r="CN2267" s="1">
        <v>0</v>
      </c>
    </row>
    <row r="2268" spans="1:92" ht="14.25" customHeight="1" x14ac:dyDescent="0.15">
      <c r="A2268" s="1" t="s">
        <v>16282</v>
      </c>
      <c r="B2268" s="1" t="s">
        <v>242</v>
      </c>
      <c r="C2268" s="1"/>
      <c r="D2268" s="1" t="s">
        <v>57</v>
      </c>
      <c r="E2268" s="1" t="s">
        <v>16283</v>
      </c>
      <c r="F2268" s="1" t="s">
        <v>98</v>
      </c>
      <c r="G2268" s="1" t="s">
        <v>160</v>
      </c>
      <c r="H2268" s="1">
        <v>0</v>
      </c>
      <c r="I2268" s="1" t="s">
        <v>235</v>
      </c>
      <c r="J2268" s="1"/>
      <c r="K2268" s="1"/>
      <c r="L2268" s="1" t="s">
        <v>236</v>
      </c>
      <c r="M2268" s="1" t="s">
        <v>6625</v>
      </c>
      <c r="N2268" s="1">
        <v>1</v>
      </c>
      <c r="O2268" s="1">
        <v>0</v>
      </c>
      <c r="P2268" s="1" t="s">
        <v>14362</v>
      </c>
      <c r="Q2268" s="1" t="s">
        <v>167</v>
      </c>
      <c r="R2268" s="1" t="s">
        <v>16284</v>
      </c>
      <c r="S2268" s="1" t="s">
        <v>16285</v>
      </c>
      <c r="T2268" s="1" t="s">
        <v>16268</v>
      </c>
      <c r="U2268" s="1" t="s">
        <v>16286</v>
      </c>
      <c r="V2268" s="1">
        <v>1</v>
      </c>
      <c r="W2268" s="1">
        <v>1</v>
      </c>
      <c r="X2268" s="1">
        <v>0</v>
      </c>
      <c r="Y2268" s="1">
        <v>0</v>
      </c>
      <c r="Z2268" s="1">
        <v>1</v>
      </c>
      <c r="AA2268" s="1">
        <v>4</v>
      </c>
      <c r="AB2268" s="1">
        <v>4</v>
      </c>
      <c r="AC2268" s="1">
        <v>4</v>
      </c>
      <c r="AD2268" s="1" t="s">
        <v>109</v>
      </c>
      <c r="AE2268" s="1" t="s">
        <v>109</v>
      </c>
      <c r="AF2268" s="1" t="s">
        <v>109</v>
      </c>
      <c r="AG2268" s="1" t="s">
        <v>109</v>
      </c>
      <c r="AH2268" s="1" t="s">
        <v>109</v>
      </c>
      <c r="AI2268" s="1" t="s">
        <v>109</v>
      </c>
      <c r="AJ2268" s="1" t="s">
        <v>109</v>
      </c>
      <c r="AK2268" s="1">
        <v>3</v>
      </c>
      <c r="AL2268" s="1">
        <v>4</v>
      </c>
      <c r="AM2268" s="1">
        <v>3</v>
      </c>
      <c r="AN2268" s="1" t="s">
        <v>109</v>
      </c>
      <c r="AO2268" s="1" t="s">
        <v>109</v>
      </c>
      <c r="AP2268" s="1"/>
      <c r="AQ2268" s="1">
        <v>4</v>
      </c>
      <c r="AR2268" s="1"/>
      <c r="AS2268" s="1"/>
      <c r="AT2268" s="1">
        <v>0</v>
      </c>
      <c r="AU2268" s="1">
        <v>0</v>
      </c>
      <c r="AV2268" s="1">
        <v>0</v>
      </c>
      <c r="AW2268" s="1">
        <v>0</v>
      </c>
      <c r="AX2268" s="1">
        <v>0</v>
      </c>
      <c r="AY2268" s="1">
        <v>0</v>
      </c>
      <c r="AZ2268" s="1">
        <v>0</v>
      </c>
      <c r="BA2268" s="1">
        <v>0</v>
      </c>
      <c r="BB2268" s="1">
        <v>0</v>
      </c>
      <c r="BC2268" s="1">
        <v>0</v>
      </c>
      <c r="BD2268" s="1">
        <v>0</v>
      </c>
      <c r="BE2268" s="1">
        <v>1</v>
      </c>
      <c r="BF2268" s="1">
        <v>0</v>
      </c>
      <c r="BG2268" s="1">
        <v>0</v>
      </c>
      <c r="BH2268" s="1">
        <v>0</v>
      </c>
      <c r="BI2268" s="1">
        <v>0</v>
      </c>
      <c r="BJ2268" s="1">
        <v>0</v>
      </c>
      <c r="BK2268" s="1">
        <v>0</v>
      </c>
      <c r="BL2268" s="1">
        <v>0</v>
      </c>
      <c r="BM2268" s="1">
        <v>0</v>
      </c>
      <c r="BN2268" s="1">
        <v>0</v>
      </c>
      <c r="BO2268" s="1">
        <v>0</v>
      </c>
      <c r="BP2268" s="1">
        <v>0</v>
      </c>
      <c r="BQ2268" s="1">
        <v>0</v>
      </c>
      <c r="BR2268" s="1">
        <v>0</v>
      </c>
      <c r="BS2268" s="1" t="s">
        <v>109</v>
      </c>
      <c r="BT2268" s="1">
        <v>2356</v>
      </c>
      <c r="BU2268" s="1" t="s">
        <v>109</v>
      </c>
      <c r="BV2268" s="1"/>
      <c r="BW2268" s="1"/>
      <c r="BX2268" s="1"/>
      <c r="BY2268" s="1"/>
      <c r="BZ2268" s="1">
        <v>0</v>
      </c>
      <c r="CA2268" s="1" t="s">
        <v>109</v>
      </c>
      <c r="CB2268" s="1" t="s">
        <v>109</v>
      </c>
      <c r="CC2268" s="1" t="s">
        <v>109</v>
      </c>
      <c r="CD2268" s="1" t="s">
        <v>109</v>
      </c>
      <c r="CE2268" s="1" t="s">
        <v>109</v>
      </c>
      <c r="CF2268" s="1" t="s">
        <v>109</v>
      </c>
      <c r="CG2268" s="1" t="s">
        <v>109</v>
      </c>
      <c r="CH2268" s="1" t="s">
        <v>109</v>
      </c>
      <c r="CI2268" s="1" t="s">
        <v>109</v>
      </c>
      <c r="CJ2268" s="1" t="s">
        <v>109</v>
      </c>
      <c r="CK2268" s="1"/>
      <c r="CL2268" s="1">
        <v>0</v>
      </c>
      <c r="CM2268" s="1">
        <v>0</v>
      </c>
      <c r="CN2268" s="1">
        <v>0</v>
      </c>
    </row>
    <row r="2269" spans="1:92" ht="14.25" customHeight="1" x14ac:dyDescent="0.15">
      <c r="A2269" s="1" t="s">
        <v>16287</v>
      </c>
      <c r="B2269" s="1" t="s">
        <v>308</v>
      </c>
      <c r="C2269" s="1"/>
      <c r="D2269" s="1"/>
      <c r="E2269" s="1" t="s">
        <v>16288</v>
      </c>
      <c r="F2269" s="1" t="s">
        <v>98</v>
      </c>
      <c r="G2269" s="1" t="s">
        <v>16289</v>
      </c>
      <c r="H2269" s="1">
        <v>0</v>
      </c>
      <c r="I2269" s="1" t="s">
        <v>235</v>
      </c>
      <c r="J2269" s="1"/>
      <c r="K2269" s="1"/>
      <c r="L2269" s="1" t="s">
        <v>236</v>
      </c>
      <c r="M2269" s="1" t="s">
        <v>125</v>
      </c>
      <c r="N2269" s="1">
        <v>0</v>
      </c>
      <c r="O2269" s="1">
        <v>0</v>
      </c>
      <c r="P2269" s="1" t="s">
        <v>507</v>
      </c>
      <c r="Q2269" s="1" t="s">
        <v>104</v>
      </c>
      <c r="R2269" s="1" t="s">
        <v>16290</v>
      </c>
      <c r="S2269" s="1" t="s">
        <v>16291</v>
      </c>
      <c r="T2269" s="1" t="s">
        <v>16268</v>
      </c>
      <c r="U2269" s="1" t="s">
        <v>16292</v>
      </c>
      <c r="V2269" s="1">
        <v>1</v>
      </c>
      <c r="W2269" s="1">
        <v>1</v>
      </c>
      <c r="X2269" s="1">
        <v>1</v>
      </c>
      <c r="Y2269" s="1">
        <v>0</v>
      </c>
      <c r="Z2269" s="1">
        <v>0</v>
      </c>
      <c r="AA2269" s="1">
        <v>5</v>
      </c>
      <c r="AB2269" s="1">
        <v>5</v>
      </c>
      <c r="AC2269" s="1">
        <v>5</v>
      </c>
      <c r="AD2269" s="1" t="s">
        <v>109</v>
      </c>
      <c r="AE2269" s="1" t="s">
        <v>109</v>
      </c>
      <c r="AF2269" s="1" t="s">
        <v>109</v>
      </c>
      <c r="AG2269" s="1" t="s">
        <v>109</v>
      </c>
      <c r="AH2269" s="1" t="s">
        <v>109</v>
      </c>
      <c r="AI2269" s="1">
        <v>4</v>
      </c>
      <c r="AJ2269" s="1">
        <v>5</v>
      </c>
      <c r="AK2269" s="1" t="s">
        <v>109</v>
      </c>
      <c r="AL2269" s="1">
        <v>5</v>
      </c>
      <c r="AM2269" s="1">
        <v>4</v>
      </c>
      <c r="AN2269" s="1" t="s">
        <v>109</v>
      </c>
      <c r="AO2269" s="1" t="s">
        <v>109</v>
      </c>
      <c r="AP2269" s="1"/>
      <c r="AQ2269" s="1">
        <v>5</v>
      </c>
      <c r="AR2269" s="1"/>
      <c r="AS2269" s="1"/>
      <c r="AT2269" s="1">
        <v>0</v>
      </c>
      <c r="AU2269" s="1">
        <v>0</v>
      </c>
      <c r="AV2269" s="1">
        <v>0</v>
      </c>
      <c r="AW2269" s="1">
        <v>0</v>
      </c>
      <c r="AX2269" s="1">
        <v>0</v>
      </c>
      <c r="AY2269" s="1">
        <v>0</v>
      </c>
      <c r="AZ2269" s="1">
        <v>0</v>
      </c>
      <c r="BA2269" s="1">
        <v>0</v>
      </c>
      <c r="BB2269" s="1">
        <v>0</v>
      </c>
      <c r="BC2269" s="1">
        <v>0</v>
      </c>
      <c r="BD2269" s="1">
        <v>0</v>
      </c>
      <c r="BE2269" s="1">
        <v>0</v>
      </c>
      <c r="BF2269" s="1">
        <v>0</v>
      </c>
      <c r="BG2269" s="1">
        <v>0</v>
      </c>
      <c r="BH2269" s="1">
        <v>0</v>
      </c>
      <c r="BI2269" s="1">
        <v>0</v>
      </c>
      <c r="BJ2269" s="1">
        <v>0</v>
      </c>
      <c r="BK2269" s="1">
        <v>0</v>
      </c>
      <c r="BL2269" s="1">
        <v>0</v>
      </c>
      <c r="BM2269" s="1">
        <v>0</v>
      </c>
      <c r="BN2269" s="1">
        <v>0</v>
      </c>
      <c r="BO2269" s="1">
        <v>0</v>
      </c>
      <c r="BP2269" s="1">
        <v>0</v>
      </c>
      <c r="BQ2269" s="1">
        <v>0</v>
      </c>
      <c r="BR2269" s="1">
        <v>0</v>
      </c>
      <c r="BS2269" s="1" t="s">
        <v>109</v>
      </c>
      <c r="BT2269" s="1">
        <v>2357</v>
      </c>
      <c r="BU2269" s="1" t="s">
        <v>109</v>
      </c>
      <c r="BV2269" s="1"/>
      <c r="BW2269" s="1"/>
      <c r="BX2269" s="1"/>
      <c r="BY2269" s="1"/>
      <c r="BZ2269" s="1">
        <v>0</v>
      </c>
      <c r="CA2269" s="1" t="s">
        <v>109</v>
      </c>
      <c r="CB2269" s="1">
        <v>5</v>
      </c>
      <c r="CC2269" s="1" t="s">
        <v>109</v>
      </c>
      <c r="CD2269" s="1" t="s">
        <v>109</v>
      </c>
      <c r="CE2269" s="1" t="s">
        <v>109</v>
      </c>
      <c r="CF2269" s="1" t="s">
        <v>109</v>
      </c>
      <c r="CG2269" s="1" t="s">
        <v>109</v>
      </c>
      <c r="CH2269" s="1" t="s">
        <v>109</v>
      </c>
      <c r="CI2269" s="1" t="s">
        <v>109</v>
      </c>
      <c r="CJ2269" s="1" t="s">
        <v>109</v>
      </c>
      <c r="CK2269" s="1"/>
      <c r="CL2269" s="1">
        <v>0</v>
      </c>
      <c r="CM2269" s="1">
        <v>0</v>
      </c>
      <c r="CN2269" s="1">
        <v>0</v>
      </c>
    </row>
    <row r="2270" spans="1:92" ht="14.25" customHeight="1" x14ac:dyDescent="0.15">
      <c r="A2270" s="1" t="s">
        <v>16293</v>
      </c>
      <c r="B2270" s="1" t="s">
        <v>242</v>
      </c>
      <c r="C2270" s="1"/>
      <c r="D2270" s="1" t="s">
        <v>46</v>
      </c>
      <c r="E2270" s="1" t="s">
        <v>16294</v>
      </c>
      <c r="F2270" s="1" t="s">
        <v>355</v>
      </c>
      <c r="G2270" s="1" t="s">
        <v>16295</v>
      </c>
      <c r="H2270" s="1">
        <v>0</v>
      </c>
      <c r="I2270" s="1" t="s">
        <v>161</v>
      </c>
      <c r="J2270" s="1"/>
      <c r="K2270" s="1"/>
      <c r="L2270" s="1" t="s">
        <v>1285</v>
      </c>
      <c r="M2270" s="1" t="s">
        <v>815</v>
      </c>
      <c r="N2270" s="1">
        <v>1</v>
      </c>
      <c r="O2270" s="1">
        <v>0</v>
      </c>
      <c r="P2270" s="1" t="s">
        <v>8058</v>
      </c>
      <c r="Q2270" s="1" t="s">
        <v>104</v>
      </c>
      <c r="R2270" s="1" t="s">
        <v>16296</v>
      </c>
      <c r="S2270" s="1" t="s">
        <v>16297</v>
      </c>
      <c r="T2270" s="1" t="s">
        <v>16268</v>
      </c>
      <c r="U2270" s="1" t="s">
        <v>16298</v>
      </c>
      <c r="V2270" s="1">
        <v>1</v>
      </c>
      <c r="W2270" s="1">
        <v>1</v>
      </c>
      <c r="X2270" s="1">
        <v>1</v>
      </c>
      <c r="Y2270" s="1">
        <v>0</v>
      </c>
      <c r="Z2270" s="1">
        <v>0</v>
      </c>
      <c r="AA2270" s="1">
        <v>4</v>
      </c>
      <c r="AB2270" s="1">
        <v>4</v>
      </c>
      <c r="AC2270" s="1" t="s">
        <v>109</v>
      </c>
      <c r="AD2270" s="1" t="s">
        <v>109</v>
      </c>
      <c r="AE2270" s="1" t="s">
        <v>109</v>
      </c>
      <c r="AF2270" s="1" t="s">
        <v>109</v>
      </c>
      <c r="AG2270" s="1" t="s">
        <v>109</v>
      </c>
      <c r="AH2270" s="1">
        <v>3</v>
      </c>
      <c r="AI2270" s="1" t="s">
        <v>109</v>
      </c>
      <c r="AJ2270" s="1" t="s">
        <v>109</v>
      </c>
      <c r="AK2270" s="1" t="s">
        <v>109</v>
      </c>
      <c r="AL2270" s="1" t="s">
        <v>109</v>
      </c>
      <c r="AM2270" s="1" t="s">
        <v>109</v>
      </c>
      <c r="AN2270" s="1">
        <v>3</v>
      </c>
      <c r="AO2270" s="1" t="s">
        <v>109</v>
      </c>
      <c r="AP2270" s="1"/>
      <c r="AQ2270" s="1">
        <v>4</v>
      </c>
      <c r="AR2270" s="1"/>
      <c r="AS2270" s="1"/>
      <c r="AT2270" s="1">
        <v>1</v>
      </c>
      <c r="AU2270" s="1">
        <v>0</v>
      </c>
      <c r="AV2270" s="1">
        <v>0</v>
      </c>
      <c r="AW2270" s="1">
        <v>0</v>
      </c>
      <c r="AX2270" s="1">
        <v>0</v>
      </c>
      <c r="AY2270" s="1">
        <v>0</v>
      </c>
      <c r="AZ2270" s="1">
        <v>0</v>
      </c>
      <c r="BA2270" s="1">
        <v>0</v>
      </c>
      <c r="BB2270" s="1">
        <v>0</v>
      </c>
      <c r="BC2270" s="1">
        <v>0</v>
      </c>
      <c r="BD2270" s="1">
        <v>0</v>
      </c>
      <c r="BE2270" s="1">
        <v>0</v>
      </c>
      <c r="BF2270" s="1">
        <v>0</v>
      </c>
      <c r="BG2270" s="1">
        <v>0</v>
      </c>
      <c r="BH2270" s="1">
        <v>0</v>
      </c>
      <c r="BI2270" s="1">
        <v>0</v>
      </c>
      <c r="BJ2270" s="1">
        <v>0</v>
      </c>
      <c r="BK2270" s="1">
        <v>0</v>
      </c>
      <c r="BL2270" s="1">
        <v>0</v>
      </c>
      <c r="BM2270" s="1">
        <v>0</v>
      </c>
      <c r="BN2270" s="1">
        <v>0</v>
      </c>
      <c r="BO2270" s="1">
        <v>0</v>
      </c>
      <c r="BP2270" s="1">
        <v>0</v>
      </c>
      <c r="BQ2270" s="1">
        <v>0</v>
      </c>
      <c r="BR2270" s="1">
        <v>0</v>
      </c>
      <c r="BS2270" s="1" t="s">
        <v>109</v>
      </c>
      <c r="BT2270" s="1">
        <v>2358</v>
      </c>
      <c r="BU2270" s="1" t="s">
        <v>109</v>
      </c>
      <c r="BV2270" s="1"/>
      <c r="BW2270" s="1"/>
      <c r="BX2270" s="1"/>
      <c r="BY2270" s="1"/>
      <c r="BZ2270" s="1">
        <v>0</v>
      </c>
      <c r="CA2270" s="1">
        <v>3</v>
      </c>
      <c r="CB2270" s="1" t="s">
        <v>109</v>
      </c>
      <c r="CC2270" s="1" t="s">
        <v>109</v>
      </c>
      <c r="CD2270" s="1" t="s">
        <v>109</v>
      </c>
      <c r="CE2270" s="1" t="s">
        <v>109</v>
      </c>
      <c r="CF2270" s="1" t="s">
        <v>109</v>
      </c>
      <c r="CG2270" s="1" t="s">
        <v>109</v>
      </c>
      <c r="CH2270" s="1" t="s">
        <v>109</v>
      </c>
      <c r="CI2270" s="1" t="s">
        <v>109</v>
      </c>
      <c r="CJ2270" s="1" t="s">
        <v>109</v>
      </c>
      <c r="CK2270" s="1"/>
      <c r="CL2270" s="1">
        <v>0</v>
      </c>
      <c r="CM2270" s="1">
        <v>0</v>
      </c>
      <c r="CN2270" s="1">
        <v>0</v>
      </c>
    </row>
    <row r="2271" spans="1:92" ht="14.25" customHeight="1" x14ac:dyDescent="0.15">
      <c r="A2271" s="1" t="s">
        <v>16299</v>
      </c>
      <c r="B2271" s="1" t="s">
        <v>156</v>
      </c>
      <c r="C2271" s="1"/>
      <c r="D2271" s="1" t="s">
        <v>158</v>
      </c>
      <c r="E2271" s="1" t="s">
        <v>16300</v>
      </c>
      <c r="F2271" s="1" t="s">
        <v>98</v>
      </c>
      <c r="G2271" s="1" t="s">
        <v>141</v>
      </c>
      <c r="H2271" s="1">
        <v>0</v>
      </c>
      <c r="I2271" s="1" t="s">
        <v>142</v>
      </c>
      <c r="J2271" s="1"/>
      <c r="K2271" s="1"/>
      <c r="L2271" s="1" t="s">
        <v>1391</v>
      </c>
      <c r="M2271" s="1" t="s">
        <v>3042</v>
      </c>
      <c r="N2271" s="1">
        <v>0</v>
      </c>
      <c r="O2271" s="1">
        <v>0</v>
      </c>
      <c r="P2271" s="1" t="s">
        <v>507</v>
      </c>
      <c r="Q2271" s="1" t="s">
        <v>104</v>
      </c>
      <c r="R2271" s="1" t="s">
        <v>16301</v>
      </c>
      <c r="S2271" s="1" t="s">
        <v>16302</v>
      </c>
      <c r="T2271" s="1" t="s">
        <v>16268</v>
      </c>
      <c r="U2271" s="1" t="s">
        <v>16303</v>
      </c>
      <c r="V2271" s="1">
        <v>1</v>
      </c>
      <c r="W2271" s="1">
        <v>1</v>
      </c>
      <c r="X2271" s="1">
        <v>0</v>
      </c>
      <c r="Y2271" s="1">
        <v>0</v>
      </c>
      <c r="Z2271" s="1">
        <v>0</v>
      </c>
      <c r="AA2271" s="1">
        <v>1</v>
      </c>
      <c r="AB2271" s="1">
        <v>1</v>
      </c>
      <c r="AC2271" s="1">
        <v>1</v>
      </c>
      <c r="AD2271" s="1" t="s">
        <v>109</v>
      </c>
      <c r="AE2271" s="1" t="s">
        <v>109</v>
      </c>
      <c r="AF2271" s="1">
        <v>1</v>
      </c>
      <c r="AG2271" s="1" t="s">
        <v>109</v>
      </c>
      <c r="AH2271" s="1">
        <v>1</v>
      </c>
      <c r="AI2271" s="1" t="s">
        <v>109</v>
      </c>
      <c r="AJ2271" s="1">
        <v>1</v>
      </c>
      <c r="AK2271" s="1" t="s">
        <v>109</v>
      </c>
      <c r="AL2271" s="1">
        <v>1</v>
      </c>
      <c r="AM2271" s="1" t="s">
        <v>109</v>
      </c>
      <c r="AN2271" s="1" t="s">
        <v>109</v>
      </c>
      <c r="AO2271" s="1" t="s">
        <v>109</v>
      </c>
      <c r="AP2271" s="1"/>
      <c r="AQ2271" s="1">
        <v>1</v>
      </c>
      <c r="AR2271" s="1"/>
      <c r="AS2271" s="1"/>
      <c r="AT2271" s="1">
        <v>0</v>
      </c>
      <c r="AU2271" s="1">
        <v>0</v>
      </c>
      <c r="AV2271" s="1">
        <v>0</v>
      </c>
      <c r="AW2271" s="1">
        <v>0</v>
      </c>
      <c r="AX2271" s="1">
        <v>0</v>
      </c>
      <c r="AY2271" s="1">
        <v>0</v>
      </c>
      <c r="AZ2271" s="1">
        <v>0</v>
      </c>
      <c r="BA2271" s="1">
        <v>0</v>
      </c>
      <c r="BB2271" s="1">
        <v>0</v>
      </c>
      <c r="BC2271" s="1">
        <v>0</v>
      </c>
      <c r="BD2271" s="1">
        <v>0</v>
      </c>
      <c r="BE2271" s="1">
        <v>0</v>
      </c>
      <c r="BF2271" s="1">
        <v>0</v>
      </c>
      <c r="BG2271" s="1">
        <v>0</v>
      </c>
      <c r="BH2271" s="1">
        <v>0</v>
      </c>
      <c r="BI2271" s="1">
        <v>0</v>
      </c>
      <c r="BJ2271" s="1">
        <v>0</v>
      </c>
      <c r="BK2271" s="1">
        <v>0</v>
      </c>
      <c r="BL2271" s="1">
        <v>0</v>
      </c>
      <c r="BM2271" s="1">
        <v>1</v>
      </c>
      <c r="BN2271" s="1">
        <v>0</v>
      </c>
      <c r="BO2271" s="1">
        <v>0</v>
      </c>
      <c r="BP2271" s="1">
        <v>0</v>
      </c>
      <c r="BQ2271" s="1">
        <v>0</v>
      </c>
      <c r="BR2271" s="1">
        <v>0</v>
      </c>
      <c r="BS2271" s="1" t="s">
        <v>109</v>
      </c>
      <c r="BT2271" s="1">
        <v>2359</v>
      </c>
      <c r="BU2271" s="1" t="s">
        <v>109</v>
      </c>
      <c r="BV2271" s="1"/>
      <c r="BW2271" s="1"/>
      <c r="BX2271" s="1"/>
      <c r="BY2271" s="1"/>
      <c r="BZ2271" s="1">
        <v>0</v>
      </c>
      <c r="CA2271" s="1" t="s">
        <v>109</v>
      </c>
      <c r="CB2271" s="1">
        <v>1</v>
      </c>
      <c r="CC2271" s="1">
        <v>1</v>
      </c>
      <c r="CD2271" s="1" t="s">
        <v>109</v>
      </c>
      <c r="CE2271" s="1">
        <v>1</v>
      </c>
      <c r="CF2271" s="1" t="s">
        <v>109</v>
      </c>
      <c r="CG2271" s="1" t="s">
        <v>109</v>
      </c>
      <c r="CH2271" s="1" t="s">
        <v>109</v>
      </c>
      <c r="CI2271" s="1" t="s">
        <v>109</v>
      </c>
      <c r="CJ2271" s="1" t="s">
        <v>109</v>
      </c>
      <c r="CK2271" s="1"/>
      <c r="CL2271" s="1">
        <v>0</v>
      </c>
      <c r="CM2271" s="1">
        <v>0</v>
      </c>
      <c r="CN2271" s="1">
        <v>0</v>
      </c>
    </row>
    <row r="2272" spans="1:92" ht="14.25" customHeight="1" x14ac:dyDescent="0.15">
      <c r="A2272" s="1" t="s">
        <v>16304</v>
      </c>
      <c r="B2272" s="1" t="s">
        <v>674</v>
      </c>
      <c r="C2272" s="1" t="s">
        <v>1715</v>
      </c>
      <c r="D2272" s="1" t="s">
        <v>158</v>
      </c>
      <c r="E2272" s="1" t="s">
        <v>16037</v>
      </c>
      <c r="F2272" s="1" t="s">
        <v>355</v>
      </c>
      <c r="G2272" s="1" t="s">
        <v>141</v>
      </c>
      <c r="H2272" s="1">
        <v>0</v>
      </c>
      <c r="I2272" s="1" t="s">
        <v>122</v>
      </c>
      <c r="J2272" s="1"/>
      <c r="K2272" s="1"/>
      <c r="L2272" s="1" t="s">
        <v>1391</v>
      </c>
      <c r="M2272" s="1" t="s">
        <v>144</v>
      </c>
      <c r="N2272" s="1">
        <v>0</v>
      </c>
      <c r="O2272" s="1">
        <v>0</v>
      </c>
      <c r="P2272" s="1" t="s">
        <v>16305</v>
      </c>
      <c r="Q2272" s="1" t="s">
        <v>268</v>
      </c>
      <c r="R2272" s="1" t="s">
        <v>16306</v>
      </c>
      <c r="S2272" s="1" t="s">
        <v>16307</v>
      </c>
      <c r="T2272" s="1" t="s">
        <v>16268</v>
      </c>
      <c r="U2272" s="1" t="s">
        <v>16308</v>
      </c>
      <c r="V2272" s="1">
        <v>1</v>
      </c>
      <c r="W2272" s="1">
        <v>1</v>
      </c>
      <c r="X2272" s="1">
        <v>0</v>
      </c>
      <c r="Y2272" s="1">
        <v>0</v>
      </c>
      <c r="Z2272" s="1">
        <v>0</v>
      </c>
      <c r="AA2272" s="1">
        <v>4</v>
      </c>
      <c r="AB2272" s="1">
        <v>4</v>
      </c>
      <c r="AC2272" s="1" t="s">
        <v>109</v>
      </c>
      <c r="AD2272" s="1" t="s">
        <v>109</v>
      </c>
      <c r="AE2272" s="1" t="s">
        <v>109</v>
      </c>
      <c r="AF2272" s="1" t="s">
        <v>109</v>
      </c>
      <c r="AG2272" s="1" t="s">
        <v>109</v>
      </c>
      <c r="AH2272" s="1" t="s">
        <v>109</v>
      </c>
      <c r="AI2272" s="1" t="s">
        <v>109</v>
      </c>
      <c r="AJ2272" s="1" t="s">
        <v>109</v>
      </c>
      <c r="AK2272" s="1" t="s">
        <v>109</v>
      </c>
      <c r="AL2272" s="1" t="s">
        <v>109</v>
      </c>
      <c r="AM2272" s="1" t="s">
        <v>109</v>
      </c>
      <c r="AN2272" s="1" t="s">
        <v>109</v>
      </c>
      <c r="AO2272" s="1" t="s">
        <v>109</v>
      </c>
      <c r="AP2272" s="1"/>
      <c r="AQ2272" s="1">
        <v>4</v>
      </c>
      <c r="AR2272" s="1"/>
      <c r="AS2272" s="1"/>
      <c r="AT2272" s="1">
        <v>0</v>
      </c>
      <c r="AU2272" s="1">
        <v>0</v>
      </c>
      <c r="AV2272" s="1">
        <v>0</v>
      </c>
      <c r="AW2272" s="1">
        <v>0</v>
      </c>
      <c r="AX2272" s="1">
        <v>0</v>
      </c>
      <c r="AY2272" s="1">
        <v>0</v>
      </c>
      <c r="AZ2272" s="1">
        <v>0</v>
      </c>
      <c r="BA2272" s="1">
        <v>0</v>
      </c>
      <c r="BB2272" s="1">
        <v>0</v>
      </c>
      <c r="BC2272" s="1">
        <v>0</v>
      </c>
      <c r="BD2272" s="1">
        <v>0</v>
      </c>
      <c r="BE2272" s="1">
        <v>0</v>
      </c>
      <c r="BF2272" s="1">
        <v>0</v>
      </c>
      <c r="BG2272" s="1">
        <v>0</v>
      </c>
      <c r="BH2272" s="1">
        <v>0</v>
      </c>
      <c r="BI2272" s="1">
        <v>0</v>
      </c>
      <c r="BJ2272" s="1">
        <v>0</v>
      </c>
      <c r="BK2272" s="1">
        <v>0</v>
      </c>
      <c r="BL2272" s="1">
        <v>0</v>
      </c>
      <c r="BM2272" s="1">
        <v>1</v>
      </c>
      <c r="BN2272" s="1">
        <v>0</v>
      </c>
      <c r="BO2272" s="1">
        <v>0</v>
      </c>
      <c r="BP2272" s="1">
        <v>0</v>
      </c>
      <c r="BQ2272" s="1">
        <v>0</v>
      </c>
      <c r="BR2272" s="1">
        <v>0</v>
      </c>
      <c r="BS2272" s="1" t="s">
        <v>109</v>
      </c>
      <c r="BT2272" s="1">
        <v>2360</v>
      </c>
      <c r="BU2272" s="1" t="s">
        <v>109</v>
      </c>
      <c r="BV2272" s="1"/>
      <c r="BW2272" s="1"/>
      <c r="BX2272" s="1"/>
      <c r="BY2272" s="1"/>
      <c r="BZ2272" s="1">
        <v>0</v>
      </c>
      <c r="CA2272" s="1" t="s">
        <v>109</v>
      </c>
      <c r="CB2272" s="1" t="s">
        <v>109</v>
      </c>
      <c r="CC2272" s="1">
        <v>4</v>
      </c>
      <c r="CD2272" s="1" t="s">
        <v>109</v>
      </c>
      <c r="CE2272" s="1">
        <v>3</v>
      </c>
      <c r="CF2272" s="1" t="s">
        <v>109</v>
      </c>
      <c r="CG2272" s="1" t="s">
        <v>109</v>
      </c>
      <c r="CH2272" s="1" t="s">
        <v>109</v>
      </c>
      <c r="CI2272" s="1" t="s">
        <v>109</v>
      </c>
      <c r="CJ2272" s="1" t="s">
        <v>109</v>
      </c>
      <c r="CK2272" s="1"/>
      <c r="CL2272" s="1">
        <v>0</v>
      </c>
      <c r="CM2272" s="1">
        <v>0</v>
      </c>
      <c r="CN2272" s="1">
        <v>0</v>
      </c>
    </row>
    <row r="2273" spans="1:92" ht="14.25" customHeight="1" x14ac:dyDescent="0.15">
      <c r="A2273" s="1" t="s">
        <v>16309</v>
      </c>
      <c r="B2273" s="1" t="s">
        <v>156</v>
      </c>
      <c r="C2273" s="1"/>
      <c r="D2273" s="1" t="s">
        <v>158</v>
      </c>
      <c r="E2273" s="1" t="s">
        <v>16310</v>
      </c>
      <c r="F2273" s="1" t="s">
        <v>98</v>
      </c>
      <c r="G2273" s="1" t="s">
        <v>16311</v>
      </c>
      <c r="H2273" s="1">
        <v>0</v>
      </c>
      <c r="I2273" s="1" t="s">
        <v>142</v>
      </c>
      <c r="J2273" s="1"/>
      <c r="K2273" s="1"/>
      <c r="L2273" s="1" t="s">
        <v>1391</v>
      </c>
      <c r="M2273" s="1" t="s">
        <v>5642</v>
      </c>
      <c r="N2273" s="1">
        <v>0</v>
      </c>
      <c r="O2273" s="1">
        <v>0</v>
      </c>
      <c r="P2273" s="1" t="s">
        <v>301</v>
      </c>
      <c r="Q2273" s="1" t="s">
        <v>268</v>
      </c>
      <c r="R2273" s="1" t="s">
        <v>16312</v>
      </c>
      <c r="S2273" s="1" t="s">
        <v>16313</v>
      </c>
      <c r="T2273" s="1" t="s">
        <v>16268</v>
      </c>
      <c r="U2273" s="1" t="s">
        <v>16314</v>
      </c>
      <c r="V2273" s="1">
        <v>1</v>
      </c>
      <c r="W2273" s="1">
        <v>1</v>
      </c>
      <c r="X2273" s="1">
        <v>1</v>
      </c>
      <c r="Y2273" s="1">
        <v>0</v>
      </c>
      <c r="Z2273" s="1">
        <v>0</v>
      </c>
      <c r="AA2273" s="1">
        <v>4</v>
      </c>
      <c r="AB2273" s="1">
        <v>4</v>
      </c>
      <c r="AC2273" s="1" t="s">
        <v>109</v>
      </c>
      <c r="AD2273" s="1" t="s">
        <v>109</v>
      </c>
      <c r="AE2273" s="1" t="s">
        <v>109</v>
      </c>
      <c r="AF2273" s="1">
        <v>3</v>
      </c>
      <c r="AG2273" s="1" t="s">
        <v>109</v>
      </c>
      <c r="AH2273" s="1" t="s">
        <v>109</v>
      </c>
      <c r="AI2273" s="1" t="s">
        <v>109</v>
      </c>
      <c r="AJ2273" s="1">
        <v>4</v>
      </c>
      <c r="AK2273" s="1" t="s">
        <v>109</v>
      </c>
      <c r="AL2273" s="1" t="s">
        <v>109</v>
      </c>
      <c r="AM2273" s="1" t="s">
        <v>109</v>
      </c>
      <c r="AN2273" s="1" t="s">
        <v>109</v>
      </c>
      <c r="AO2273" s="1" t="s">
        <v>109</v>
      </c>
      <c r="AP2273" s="1"/>
      <c r="AQ2273" s="1">
        <v>4</v>
      </c>
      <c r="AR2273" s="1"/>
      <c r="AS2273" s="1"/>
      <c r="AT2273" s="1">
        <v>0</v>
      </c>
      <c r="AU2273" s="1">
        <v>0</v>
      </c>
      <c r="AV2273" s="1">
        <v>0</v>
      </c>
      <c r="AW2273" s="1">
        <v>0</v>
      </c>
      <c r="AX2273" s="1">
        <v>0</v>
      </c>
      <c r="AY2273" s="1">
        <v>0</v>
      </c>
      <c r="AZ2273" s="1">
        <v>0</v>
      </c>
      <c r="BA2273" s="1">
        <v>0</v>
      </c>
      <c r="BB2273" s="1">
        <v>0</v>
      </c>
      <c r="BC2273" s="1">
        <v>0</v>
      </c>
      <c r="BD2273" s="1">
        <v>0</v>
      </c>
      <c r="BE2273" s="1">
        <v>0</v>
      </c>
      <c r="BF2273" s="1">
        <v>0</v>
      </c>
      <c r="BG2273" s="1">
        <v>0</v>
      </c>
      <c r="BH2273" s="1">
        <v>0</v>
      </c>
      <c r="BI2273" s="1">
        <v>0</v>
      </c>
      <c r="BJ2273" s="1">
        <v>0</v>
      </c>
      <c r="BK2273" s="1">
        <v>0</v>
      </c>
      <c r="BL2273" s="1">
        <v>0</v>
      </c>
      <c r="BM2273" s="1">
        <v>1</v>
      </c>
      <c r="BN2273" s="1">
        <v>0</v>
      </c>
      <c r="BO2273" s="1">
        <v>0</v>
      </c>
      <c r="BP2273" s="1">
        <v>0</v>
      </c>
      <c r="BQ2273" s="1">
        <v>0</v>
      </c>
      <c r="BR2273" s="1">
        <v>0</v>
      </c>
      <c r="BS2273" s="1" t="s">
        <v>109</v>
      </c>
      <c r="BT2273" s="1">
        <v>2361</v>
      </c>
      <c r="BU2273" s="1" t="s">
        <v>109</v>
      </c>
      <c r="BV2273" s="1"/>
      <c r="BW2273" s="1"/>
      <c r="BX2273" s="1"/>
      <c r="BY2273" s="1"/>
      <c r="BZ2273" s="1">
        <v>0</v>
      </c>
      <c r="CA2273" s="1" t="s">
        <v>109</v>
      </c>
      <c r="CB2273" s="1" t="s">
        <v>109</v>
      </c>
      <c r="CC2273" s="1" t="s">
        <v>109</v>
      </c>
      <c r="CD2273" s="1" t="s">
        <v>109</v>
      </c>
      <c r="CE2273" s="1" t="s">
        <v>109</v>
      </c>
      <c r="CF2273" s="1" t="s">
        <v>109</v>
      </c>
      <c r="CG2273" s="1" t="s">
        <v>109</v>
      </c>
      <c r="CH2273" s="1" t="s">
        <v>109</v>
      </c>
      <c r="CI2273" s="1" t="s">
        <v>109</v>
      </c>
      <c r="CJ2273" s="1" t="s">
        <v>109</v>
      </c>
      <c r="CK2273" s="1"/>
      <c r="CL2273" s="1">
        <v>0</v>
      </c>
      <c r="CM2273" s="1">
        <v>0</v>
      </c>
      <c r="CN2273" s="1">
        <v>0</v>
      </c>
    </row>
    <row r="2274" spans="1:92" ht="14.25" customHeight="1" x14ac:dyDescent="0.15">
      <c r="A2274" s="1" t="s">
        <v>16315</v>
      </c>
      <c r="B2274" s="1" t="s">
        <v>584</v>
      </c>
      <c r="C2274" s="1"/>
      <c r="D2274" s="1" t="s">
        <v>59</v>
      </c>
      <c r="E2274" s="1" t="s">
        <v>16316</v>
      </c>
      <c r="F2274" s="1" t="s">
        <v>98</v>
      </c>
      <c r="G2274" s="1" t="s">
        <v>16317</v>
      </c>
      <c r="H2274" s="1">
        <v>0</v>
      </c>
      <c r="I2274" s="1" t="s">
        <v>235</v>
      </c>
      <c r="J2274" s="1"/>
      <c r="K2274" s="1"/>
      <c r="L2274" s="1"/>
      <c r="M2274" s="1" t="s">
        <v>9367</v>
      </c>
      <c r="N2274" s="1">
        <v>0</v>
      </c>
      <c r="O2274" s="1">
        <v>0</v>
      </c>
      <c r="P2274" s="1" t="s">
        <v>727</v>
      </c>
      <c r="Q2274" s="1" t="s">
        <v>268</v>
      </c>
      <c r="R2274" s="1" t="s">
        <v>16318</v>
      </c>
      <c r="S2274" s="1" t="s">
        <v>16319</v>
      </c>
      <c r="T2274" s="1" t="s">
        <v>16268</v>
      </c>
      <c r="U2274" s="1" t="s">
        <v>16320</v>
      </c>
      <c r="V2274" s="1">
        <v>1</v>
      </c>
      <c r="W2274" s="1">
        <v>1</v>
      </c>
      <c r="X2274" s="1">
        <v>1</v>
      </c>
      <c r="Y2274" s="1">
        <v>0</v>
      </c>
      <c r="Z2274" s="1">
        <v>0</v>
      </c>
      <c r="AA2274" s="1">
        <v>6</v>
      </c>
      <c r="AB2274" s="1">
        <v>6</v>
      </c>
      <c r="AC2274" s="1" t="s">
        <v>109</v>
      </c>
      <c r="AD2274" s="1" t="s">
        <v>109</v>
      </c>
      <c r="AE2274" s="1" t="s">
        <v>109</v>
      </c>
      <c r="AF2274" s="1" t="s">
        <v>109</v>
      </c>
      <c r="AG2274" s="1" t="s">
        <v>109</v>
      </c>
      <c r="AH2274" s="1" t="s">
        <v>109</v>
      </c>
      <c r="AI2274" s="1" t="s">
        <v>109</v>
      </c>
      <c r="AJ2274" s="1" t="s">
        <v>109</v>
      </c>
      <c r="AK2274" s="1" t="s">
        <v>109</v>
      </c>
      <c r="AL2274" s="1" t="s">
        <v>109</v>
      </c>
      <c r="AM2274" s="1" t="s">
        <v>109</v>
      </c>
      <c r="AN2274" s="1">
        <v>5</v>
      </c>
      <c r="AO2274" s="1" t="s">
        <v>109</v>
      </c>
      <c r="AP2274" s="1"/>
      <c r="AQ2274" s="1">
        <v>6</v>
      </c>
      <c r="AR2274" s="1"/>
      <c r="AS2274" s="1"/>
      <c r="AT2274" s="1">
        <v>0</v>
      </c>
      <c r="AU2274" s="1">
        <v>0</v>
      </c>
      <c r="AV2274" s="1">
        <v>0</v>
      </c>
      <c r="AW2274" s="1">
        <v>0</v>
      </c>
      <c r="AX2274" s="1">
        <v>0</v>
      </c>
      <c r="AY2274" s="1">
        <v>0</v>
      </c>
      <c r="AZ2274" s="1">
        <v>0</v>
      </c>
      <c r="BA2274" s="1">
        <v>0</v>
      </c>
      <c r="BB2274" s="1">
        <v>0</v>
      </c>
      <c r="BC2274" s="1">
        <v>0</v>
      </c>
      <c r="BD2274" s="1">
        <v>0</v>
      </c>
      <c r="BE2274" s="1">
        <v>0</v>
      </c>
      <c r="BF2274" s="1">
        <v>0</v>
      </c>
      <c r="BG2274" s="1">
        <v>1</v>
      </c>
      <c r="BH2274" s="1">
        <v>0</v>
      </c>
      <c r="BI2274" s="1">
        <v>0</v>
      </c>
      <c r="BJ2274" s="1">
        <v>0</v>
      </c>
      <c r="BK2274" s="1">
        <v>0</v>
      </c>
      <c r="BL2274" s="1">
        <v>0</v>
      </c>
      <c r="BM2274" s="1">
        <v>0</v>
      </c>
      <c r="BN2274" s="1">
        <v>0</v>
      </c>
      <c r="BO2274" s="1">
        <v>0</v>
      </c>
      <c r="BP2274" s="1">
        <v>0</v>
      </c>
      <c r="BQ2274" s="1">
        <v>0</v>
      </c>
      <c r="BR2274" s="1">
        <v>0</v>
      </c>
      <c r="BS2274" s="1" t="s">
        <v>109</v>
      </c>
      <c r="BT2274" s="1">
        <v>2362</v>
      </c>
      <c r="BU2274" s="1" t="s">
        <v>109</v>
      </c>
      <c r="BV2274" s="1"/>
      <c r="BW2274" s="1"/>
      <c r="BX2274" s="1"/>
      <c r="BY2274" s="1"/>
      <c r="BZ2274" s="1">
        <v>0</v>
      </c>
      <c r="CA2274" s="1">
        <v>4</v>
      </c>
      <c r="CB2274" s="1" t="s">
        <v>109</v>
      </c>
      <c r="CC2274" s="1" t="s">
        <v>109</v>
      </c>
      <c r="CD2274" s="1" t="s">
        <v>109</v>
      </c>
      <c r="CE2274" s="1" t="s">
        <v>109</v>
      </c>
      <c r="CF2274" s="1" t="s">
        <v>109</v>
      </c>
      <c r="CG2274" s="1" t="s">
        <v>109</v>
      </c>
      <c r="CH2274" s="1" t="s">
        <v>109</v>
      </c>
      <c r="CI2274" s="1" t="s">
        <v>109</v>
      </c>
      <c r="CJ2274" s="1" t="s">
        <v>109</v>
      </c>
      <c r="CK2274" s="1"/>
      <c r="CL2274" s="1">
        <v>0</v>
      </c>
      <c r="CM2274" s="1">
        <v>0</v>
      </c>
      <c r="CN2274" s="1">
        <v>0</v>
      </c>
    </row>
    <row r="2275" spans="1:92" ht="14.25" customHeight="1" x14ac:dyDescent="0.15">
      <c r="A2275" s="1" t="s">
        <v>16321</v>
      </c>
      <c r="B2275" s="1" t="s">
        <v>189</v>
      </c>
      <c r="C2275" s="1"/>
      <c r="D2275" s="1"/>
      <c r="E2275" s="1" t="s">
        <v>9794</v>
      </c>
      <c r="F2275" s="1" t="s">
        <v>98</v>
      </c>
      <c r="G2275" s="1" t="s">
        <v>16322</v>
      </c>
      <c r="H2275" s="1">
        <v>0</v>
      </c>
      <c r="I2275" s="1" t="s">
        <v>142</v>
      </c>
      <c r="J2275" s="1"/>
      <c r="K2275" s="1"/>
      <c r="L2275" s="1" t="s">
        <v>16323</v>
      </c>
      <c r="M2275" s="1" t="s">
        <v>3042</v>
      </c>
      <c r="N2275" s="1">
        <v>0</v>
      </c>
      <c r="O2275" s="1">
        <v>0</v>
      </c>
      <c r="P2275" s="1" t="s">
        <v>507</v>
      </c>
      <c r="Q2275" s="1" t="s">
        <v>268</v>
      </c>
      <c r="R2275" s="1" t="s">
        <v>16324</v>
      </c>
      <c r="S2275" s="1" t="s">
        <v>16325</v>
      </c>
      <c r="T2275" s="1" t="s">
        <v>16268</v>
      </c>
      <c r="U2275" s="1" t="s">
        <v>16326</v>
      </c>
      <c r="V2275" s="1">
        <v>1</v>
      </c>
      <c r="W2275" s="1">
        <v>1</v>
      </c>
      <c r="X2275" s="1">
        <v>1</v>
      </c>
      <c r="Y2275" s="1">
        <v>0</v>
      </c>
      <c r="Z2275" s="1">
        <v>0</v>
      </c>
      <c r="AA2275" s="1">
        <v>3</v>
      </c>
      <c r="AB2275" s="1">
        <v>3</v>
      </c>
      <c r="AC2275" s="1" t="s">
        <v>109</v>
      </c>
      <c r="AD2275" s="1" t="s">
        <v>109</v>
      </c>
      <c r="AE2275" s="1" t="s">
        <v>109</v>
      </c>
      <c r="AF2275" s="1">
        <v>2</v>
      </c>
      <c r="AG2275" s="1" t="s">
        <v>109</v>
      </c>
      <c r="AH2275" s="1" t="s">
        <v>109</v>
      </c>
      <c r="AI2275" s="1" t="s">
        <v>109</v>
      </c>
      <c r="AJ2275" s="1">
        <v>3</v>
      </c>
      <c r="AK2275" s="1" t="s">
        <v>109</v>
      </c>
      <c r="AL2275" s="1" t="s">
        <v>109</v>
      </c>
      <c r="AM2275" s="1" t="s">
        <v>109</v>
      </c>
      <c r="AN2275" s="1" t="s">
        <v>109</v>
      </c>
      <c r="AO2275" s="1" t="s">
        <v>109</v>
      </c>
      <c r="AP2275" s="1"/>
      <c r="AQ2275" s="1">
        <v>3</v>
      </c>
      <c r="AR2275" s="1"/>
      <c r="AS2275" s="1"/>
      <c r="AT2275" s="1">
        <v>0</v>
      </c>
      <c r="AU2275" s="1">
        <v>0</v>
      </c>
      <c r="AV2275" s="1">
        <v>0</v>
      </c>
      <c r="AW2275" s="1">
        <v>0</v>
      </c>
      <c r="AX2275" s="1">
        <v>0</v>
      </c>
      <c r="AY2275" s="1">
        <v>0</v>
      </c>
      <c r="AZ2275" s="1">
        <v>0</v>
      </c>
      <c r="BA2275" s="1">
        <v>0</v>
      </c>
      <c r="BB2275" s="1">
        <v>0</v>
      </c>
      <c r="BC2275" s="1">
        <v>0</v>
      </c>
      <c r="BD2275" s="1">
        <v>0</v>
      </c>
      <c r="BE2275" s="1">
        <v>0</v>
      </c>
      <c r="BF2275" s="1">
        <v>0</v>
      </c>
      <c r="BG2275" s="1">
        <v>0</v>
      </c>
      <c r="BH2275" s="1">
        <v>0</v>
      </c>
      <c r="BI2275" s="1">
        <v>0</v>
      </c>
      <c r="BJ2275" s="1">
        <v>0</v>
      </c>
      <c r="BK2275" s="1">
        <v>0</v>
      </c>
      <c r="BL2275" s="1">
        <v>0</v>
      </c>
      <c r="BM2275" s="1">
        <v>0</v>
      </c>
      <c r="BN2275" s="1">
        <v>0</v>
      </c>
      <c r="BO2275" s="1">
        <v>0</v>
      </c>
      <c r="BP2275" s="1">
        <v>0</v>
      </c>
      <c r="BQ2275" s="1">
        <v>0</v>
      </c>
      <c r="BR2275" s="1">
        <v>0</v>
      </c>
      <c r="BS2275" s="1" t="s">
        <v>109</v>
      </c>
      <c r="BT2275" s="1">
        <v>2363</v>
      </c>
      <c r="BU2275" s="1" t="s">
        <v>109</v>
      </c>
      <c r="BV2275" s="1"/>
      <c r="BW2275" s="1"/>
      <c r="BX2275" s="1"/>
      <c r="BY2275" s="1"/>
      <c r="BZ2275" s="1">
        <v>0</v>
      </c>
      <c r="CA2275" s="1" t="s">
        <v>109</v>
      </c>
      <c r="CB2275" s="1" t="s">
        <v>109</v>
      </c>
      <c r="CC2275" s="1" t="s">
        <v>109</v>
      </c>
      <c r="CD2275" s="1" t="s">
        <v>109</v>
      </c>
      <c r="CE2275" s="1" t="s">
        <v>109</v>
      </c>
      <c r="CF2275" s="1" t="s">
        <v>109</v>
      </c>
      <c r="CG2275" s="1" t="s">
        <v>109</v>
      </c>
      <c r="CH2275" s="1" t="s">
        <v>109</v>
      </c>
      <c r="CI2275" s="1" t="s">
        <v>109</v>
      </c>
      <c r="CJ2275" s="1" t="s">
        <v>109</v>
      </c>
      <c r="CK2275" s="1"/>
      <c r="CL2275" s="1">
        <v>0</v>
      </c>
      <c r="CM2275" s="1">
        <v>0</v>
      </c>
      <c r="CN2275" s="1">
        <v>0</v>
      </c>
    </row>
    <row r="2276" spans="1:92" ht="14.25" customHeight="1" x14ac:dyDescent="0.15">
      <c r="A2276" s="1" t="s">
        <v>16327</v>
      </c>
      <c r="B2276" s="1" t="s">
        <v>674</v>
      </c>
      <c r="C2276" s="1" t="s">
        <v>68</v>
      </c>
      <c r="D2276" s="1" t="s">
        <v>16253</v>
      </c>
      <c r="E2276" s="1" t="s">
        <v>16328</v>
      </c>
      <c r="F2276" s="1" t="s">
        <v>98</v>
      </c>
      <c r="G2276" s="1" t="s">
        <v>16329</v>
      </c>
      <c r="H2276" s="1">
        <v>0</v>
      </c>
      <c r="I2276" s="1" t="s">
        <v>235</v>
      </c>
      <c r="J2276" s="1"/>
      <c r="K2276" s="1"/>
      <c r="L2276" s="1"/>
      <c r="M2276" s="1" t="s">
        <v>16330</v>
      </c>
      <c r="N2276" s="1">
        <v>0</v>
      </c>
      <c r="O2276" s="1">
        <v>0</v>
      </c>
      <c r="P2276" s="1" t="s">
        <v>4297</v>
      </c>
      <c r="Q2276" s="1" t="s">
        <v>211</v>
      </c>
      <c r="R2276" s="1" t="s">
        <v>16331</v>
      </c>
      <c r="S2276" s="1" t="s">
        <v>16332</v>
      </c>
      <c r="T2276" s="1" t="s">
        <v>16268</v>
      </c>
      <c r="U2276" s="1" t="s">
        <v>16333</v>
      </c>
      <c r="V2276" s="1">
        <v>1</v>
      </c>
      <c r="W2276" s="1">
        <v>1</v>
      </c>
      <c r="X2276" s="1">
        <v>1</v>
      </c>
      <c r="Y2276" s="1">
        <v>0</v>
      </c>
      <c r="Z2276" s="1">
        <v>0</v>
      </c>
      <c r="AA2276" s="1">
        <v>6</v>
      </c>
      <c r="AB2276" s="1">
        <v>6</v>
      </c>
      <c r="AC2276" s="1" t="s">
        <v>109</v>
      </c>
      <c r="AD2276" s="1" t="s">
        <v>109</v>
      </c>
      <c r="AE2276" s="1" t="s">
        <v>109</v>
      </c>
      <c r="AF2276" s="1">
        <v>5</v>
      </c>
      <c r="AG2276" s="1" t="s">
        <v>109</v>
      </c>
      <c r="AH2276" s="1" t="s">
        <v>109</v>
      </c>
      <c r="AI2276" s="1" t="s">
        <v>109</v>
      </c>
      <c r="AJ2276" s="1" t="s">
        <v>109</v>
      </c>
      <c r="AK2276" s="1" t="s">
        <v>109</v>
      </c>
      <c r="AL2276" s="1" t="s">
        <v>109</v>
      </c>
      <c r="AM2276" s="1" t="s">
        <v>109</v>
      </c>
      <c r="AN2276" s="1" t="s">
        <v>109</v>
      </c>
      <c r="AO2276" s="1" t="s">
        <v>109</v>
      </c>
      <c r="AP2276" s="1"/>
      <c r="AQ2276" s="1">
        <v>6</v>
      </c>
      <c r="AR2276" s="1"/>
      <c r="AS2276" s="1"/>
      <c r="AT2276" s="1">
        <v>0</v>
      </c>
      <c r="AU2276" s="1">
        <v>0</v>
      </c>
      <c r="AV2276" s="1">
        <v>0</v>
      </c>
      <c r="AW2276" s="1">
        <v>0</v>
      </c>
      <c r="AX2276" s="1">
        <v>0</v>
      </c>
      <c r="AY2276" s="1">
        <v>0</v>
      </c>
      <c r="AZ2276" s="1">
        <v>0</v>
      </c>
      <c r="BA2276" s="1">
        <v>0</v>
      </c>
      <c r="BB2276" s="1">
        <v>0</v>
      </c>
      <c r="BC2276" s="1">
        <v>0</v>
      </c>
      <c r="BD2276" s="1">
        <v>0</v>
      </c>
      <c r="BE2276" s="1">
        <v>0</v>
      </c>
      <c r="BF2276" s="1">
        <v>0</v>
      </c>
      <c r="BG2276" s="1">
        <v>0</v>
      </c>
      <c r="BH2276" s="1">
        <v>0</v>
      </c>
      <c r="BI2276" s="1">
        <v>0</v>
      </c>
      <c r="BJ2276" s="1">
        <v>0</v>
      </c>
      <c r="BK2276" s="1">
        <v>0</v>
      </c>
      <c r="BL2276" s="1">
        <v>0</v>
      </c>
      <c r="BM2276" s="1">
        <v>0</v>
      </c>
      <c r="BN2276" s="1">
        <v>0</v>
      </c>
      <c r="BO2276" s="1">
        <v>0</v>
      </c>
      <c r="BP2276" s="1">
        <v>1</v>
      </c>
      <c r="BQ2276" s="1">
        <v>0</v>
      </c>
      <c r="BR2276" s="1">
        <v>0</v>
      </c>
      <c r="BS2276" s="1" t="s">
        <v>109</v>
      </c>
      <c r="BT2276" s="1">
        <v>2364</v>
      </c>
      <c r="BU2276" s="1" t="s">
        <v>109</v>
      </c>
      <c r="BV2276" s="1"/>
      <c r="BW2276" s="1"/>
      <c r="BX2276" s="1"/>
      <c r="BY2276" s="1"/>
      <c r="BZ2276" s="1">
        <v>0</v>
      </c>
      <c r="CA2276" s="1" t="s">
        <v>109</v>
      </c>
      <c r="CB2276" s="1">
        <v>5</v>
      </c>
      <c r="CC2276" s="1" t="s">
        <v>109</v>
      </c>
      <c r="CD2276" s="1" t="s">
        <v>109</v>
      </c>
      <c r="CE2276" s="1">
        <v>5</v>
      </c>
      <c r="CF2276" s="1" t="s">
        <v>109</v>
      </c>
      <c r="CG2276" s="1">
        <v>5</v>
      </c>
      <c r="CH2276" s="1" t="s">
        <v>109</v>
      </c>
      <c r="CI2276" s="1" t="s">
        <v>109</v>
      </c>
      <c r="CJ2276" s="1" t="s">
        <v>109</v>
      </c>
      <c r="CK2276" s="1"/>
      <c r="CL2276" s="1">
        <v>0</v>
      </c>
      <c r="CM2276" s="1">
        <v>0</v>
      </c>
      <c r="CN2276" s="1">
        <v>0</v>
      </c>
    </row>
    <row r="2277" spans="1:92" ht="14.25" customHeight="1" x14ac:dyDescent="0.15">
      <c r="A2277" s="1" t="s">
        <v>16334</v>
      </c>
      <c r="B2277" s="1" t="s">
        <v>242</v>
      </c>
      <c r="C2277" s="1"/>
      <c r="D2277" s="1"/>
      <c r="E2277" s="1" t="s">
        <v>16335</v>
      </c>
      <c r="F2277" s="1" t="s">
        <v>355</v>
      </c>
      <c r="G2277" s="1" t="s">
        <v>141</v>
      </c>
      <c r="H2277" s="1">
        <v>0</v>
      </c>
      <c r="I2277" s="1" t="s">
        <v>161</v>
      </c>
      <c r="J2277" s="1"/>
      <c r="K2277" s="1"/>
      <c r="L2277" s="1" t="s">
        <v>3434</v>
      </c>
      <c r="M2277" s="1" t="s">
        <v>289</v>
      </c>
      <c r="N2277" s="1">
        <v>0</v>
      </c>
      <c r="O2277" s="1">
        <v>0</v>
      </c>
      <c r="P2277" s="1" t="s">
        <v>215</v>
      </c>
      <c r="Q2277" s="1" t="s">
        <v>216</v>
      </c>
      <c r="R2277" s="1" t="s">
        <v>16336</v>
      </c>
      <c r="S2277" s="1" t="s">
        <v>16337</v>
      </c>
      <c r="T2277" s="1" t="s">
        <v>16338</v>
      </c>
      <c r="U2277" s="1" t="s">
        <v>16339</v>
      </c>
      <c r="V2277" s="1">
        <v>1</v>
      </c>
      <c r="W2277" s="1">
        <v>1</v>
      </c>
      <c r="X2277" s="1">
        <v>0</v>
      </c>
      <c r="Y2277" s="1">
        <v>0</v>
      </c>
      <c r="Z2277" s="1">
        <v>0</v>
      </c>
      <c r="AA2277" s="1">
        <v>6</v>
      </c>
      <c r="AB2277" s="1">
        <v>6</v>
      </c>
      <c r="AC2277" s="1">
        <v>6</v>
      </c>
      <c r="AD2277" s="1" t="s">
        <v>109</v>
      </c>
      <c r="AE2277" s="1" t="s">
        <v>109</v>
      </c>
      <c r="AF2277" s="1" t="s">
        <v>109</v>
      </c>
      <c r="AG2277" s="1" t="s">
        <v>109</v>
      </c>
      <c r="AH2277" s="1" t="s">
        <v>109</v>
      </c>
      <c r="AI2277" s="1" t="s">
        <v>109</v>
      </c>
      <c r="AJ2277" s="1" t="s">
        <v>109</v>
      </c>
      <c r="AK2277" s="1">
        <v>6</v>
      </c>
      <c r="AL2277" s="1">
        <v>6</v>
      </c>
      <c r="AM2277" s="1" t="s">
        <v>109</v>
      </c>
      <c r="AN2277" s="1" t="s">
        <v>109</v>
      </c>
      <c r="AO2277" s="1" t="s">
        <v>109</v>
      </c>
      <c r="AP2277" s="1"/>
      <c r="AQ2277" s="1">
        <v>6</v>
      </c>
      <c r="AR2277" s="1"/>
      <c r="AS2277" s="1"/>
      <c r="AT2277" s="1">
        <v>0</v>
      </c>
      <c r="AU2277" s="1">
        <v>0</v>
      </c>
      <c r="AV2277" s="1">
        <v>0</v>
      </c>
      <c r="AW2277" s="1">
        <v>0</v>
      </c>
      <c r="AX2277" s="1">
        <v>0</v>
      </c>
      <c r="AY2277" s="1">
        <v>0</v>
      </c>
      <c r="AZ2277" s="1">
        <v>0</v>
      </c>
      <c r="BA2277" s="1">
        <v>0</v>
      </c>
      <c r="BB2277" s="1">
        <v>0</v>
      </c>
      <c r="BC2277" s="1">
        <v>0</v>
      </c>
      <c r="BD2277" s="1">
        <v>0</v>
      </c>
      <c r="BE2277" s="1">
        <v>0</v>
      </c>
      <c r="BF2277" s="1">
        <v>0</v>
      </c>
      <c r="BG2277" s="1">
        <v>0</v>
      </c>
      <c r="BH2277" s="1">
        <v>0</v>
      </c>
      <c r="BI2277" s="1">
        <v>0</v>
      </c>
      <c r="BJ2277" s="1">
        <v>0</v>
      </c>
      <c r="BK2277" s="1">
        <v>0</v>
      </c>
      <c r="BL2277" s="1">
        <v>0</v>
      </c>
      <c r="BM2277" s="1">
        <v>0</v>
      </c>
      <c r="BN2277" s="1">
        <v>0</v>
      </c>
      <c r="BO2277" s="1">
        <v>0</v>
      </c>
      <c r="BP2277" s="1">
        <v>0</v>
      </c>
      <c r="BQ2277" s="1">
        <v>0</v>
      </c>
      <c r="BR2277" s="1">
        <v>0</v>
      </c>
      <c r="BS2277" s="1" t="s">
        <v>109</v>
      </c>
      <c r="BT2277" s="1">
        <v>2365</v>
      </c>
      <c r="BU2277" s="1" t="s">
        <v>109</v>
      </c>
      <c r="BV2277" s="1"/>
      <c r="BW2277" s="1"/>
      <c r="BX2277" s="1"/>
      <c r="BY2277" s="1"/>
      <c r="BZ2277" s="1">
        <v>0</v>
      </c>
      <c r="CA2277" s="1" t="s">
        <v>109</v>
      </c>
      <c r="CB2277" s="1" t="s">
        <v>109</v>
      </c>
      <c r="CC2277" s="1" t="s">
        <v>109</v>
      </c>
      <c r="CD2277" s="1" t="s">
        <v>109</v>
      </c>
      <c r="CE2277" s="1" t="s">
        <v>109</v>
      </c>
      <c r="CF2277" s="1" t="s">
        <v>109</v>
      </c>
      <c r="CG2277" s="1" t="s">
        <v>109</v>
      </c>
      <c r="CH2277" s="1" t="s">
        <v>109</v>
      </c>
      <c r="CI2277" s="1" t="s">
        <v>109</v>
      </c>
      <c r="CJ2277" s="1" t="s">
        <v>109</v>
      </c>
      <c r="CK2277" s="1"/>
      <c r="CL2277" s="1">
        <v>0</v>
      </c>
      <c r="CM2277" s="1">
        <v>0</v>
      </c>
      <c r="CN2277" s="1">
        <v>0</v>
      </c>
    </row>
    <row r="2278" spans="1:92" ht="14.25" customHeight="1" x14ac:dyDescent="0.15">
      <c r="A2278" s="1" t="s">
        <v>16340</v>
      </c>
      <c r="B2278" s="1" t="s">
        <v>189</v>
      </c>
      <c r="C2278" s="1"/>
      <c r="D2278" s="1"/>
      <c r="E2278" s="1" t="s">
        <v>16341</v>
      </c>
      <c r="F2278" s="1" t="s">
        <v>98</v>
      </c>
      <c r="G2278" s="1" t="s">
        <v>160</v>
      </c>
      <c r="H2278" s="1">
        <v>0</v>
      </c>
      <c r="I2278" s="1" t="s">
        <v>100</v>
      </c>
      <c r="J2278" s="1"/>
      <c r="K2278" s="1"/>
      <c r="L2278" s="1" t="s">
        <v>16342</v>
      </c>
      <c r="M2278" s="1" t="s">
        <v>289</v>
      </c>
      <c r="N2278" s="1">
        <v>0</v>
      </c>
      <c r="O2278" s="1">
        <v>0</v>
      </c>
      <c r="P2278" s="1" t="s">
        <v>215</v>
      </c>
      <c r="Q2278" s="1" t="s">
        <v>216</v>
      </c>
      <c r="R2278" s="1" t="s">
        <v>16343</v>
      </c>
      <c r="S2278" s="1" t="s">
        <v>16344</v>
      </c>
      <c r="T2278" s="1" t="s">
        <v>16345</v>
      </c>
      <c r="U2278" s="1" t="s">
        <v>16346</v>
      </c>
      <c r="V2278" s="1">
        <v>1</v>
      </c>
      <c r="W2278" s="1">
        <v>1</v>
      </c>
      <c r="X2278" s="1">
        <v>0</v>
      </c>
      <c r="Y2278" s="1">
        <v>0</v>
      </c>
      <c r="Z2278" s="1">
        <v>1</v>
      </c>
      <c r="AA2278" s="1">
        <v>7</v>
      </c>
      <c r="AB2278" s="1">
        <v>7</v>
      </c>
      <c r="AC2278" s="1" t="s">
        <v>109</v>
      </c>
      <c r="AD2278" s="1" t="s">
        <v>109</v>
      </c>
      <c r="AE2278" s="1" t="s">
        <v>109</v>
      </c>
      <c r="AF2278" s="1" t="s">
        <v>109</v>
      </c>
      <c r="AG2278" s="1" t="s">
        <v>109</v>
      </c>
      <c r="AH2278" s="1" t="s">
        <v>109</v>
      </c>
      <c r="AI2278" s="1" t="s">
        <v>109</v>
      </c>
      <c r="AJ2278" s="1" t="s">
        <v>109</v>
      </c>
      <c r="AK2278" s="1" t="s">
        <v>109</v>
      </c>
      <c r="AL2278" s="1" t="s">
        <v>109</v>
      </c>
      <c r="AM2278" s="1" t="s">
        <v>109</v>
      </c>
      <c r="AN2278" s="1" t="s">
        <v>109</v>
      </c>
      <c r="AO2278" s="1" t="s">
        <v>109</v>
      </c>
      <c r="AP2278" s="1"/>
      <c r="AQ2278" s="1">
        <v>7</v>
      </c>
      <c r="AR2278" s="1"/>
      <c r="AS2278" s="1"/>
      <c r="AT2278" s="1">
        <v>0</v>
      </c>
      <c r="AU2278" s="1">
        <v>0</v>
      </c>
      <c r="AV2278" s="1">
        <v>0</v>
      </c>
      <c r="AW2278" s="1">
        <v>0</v>
      </c>
      <c r="AX2278" s="1">
        <v>0</v>
      </c>
      <c r="AY2278" s="1">
        <v>0</v>
      </c>
      <c r="AZ2278" s="1">
        <v>0</v>
      </c>
      <c r="BA2278" s="1">
        <v>0</v>
      </c>
      <c r="BB2278" s="1">
        <v>0</v>
      </c>
      <c r="BC2278" s="1">
        <v>0</v>
      </c>
      <c r="BD2278" s="1">
        <v>0</v>
      </c>
      <c r="BE2278" s="1">
        <v>0</v>
      </c>
      <c r="BF2278" s="1">
        <v>0</v>
      </c>
      <c r="BG2278" s="1">
        <v>0</v>
      </c>
      <c r="BH2278" s="1">
        <v>0</v>
      </c>
      <c r="BI2278" s="1">
        <v>0</v>
      </c>
      <c r="BJ2278" s="1">
        <v>0</v>
      </c>
      <c r="BK2278" s="1">
        <v>0</v>
      </c>
      <c r="BL2278" s="1">
        <v>0</v>
      </c>
      <c r="BM2278" s="1">
        <v>0</v>
      </c>
      <c r="BN2278" s="1">
        <v>0</v>
      </c>
      <c r="BO2278" s="1">
        <v>0</v>
      </c>
      <c r="BP2278" s="1">
        <v>0</v>
      </c>
      <c r="BQ2278" s="1">
        <v>0</v>
      </c>
      <c r="BR2278" s="1">
        <v>0</v>
      </c>
      <c r="BS2278" s="1" t="s">
        <v>109</v>
      </c>
      <c r="BT2278" s="1">
        <v>2366</v>
      </c>
      <c r="BU2278" s="1" t="s">
        <v>109</v>
      </c>
      <c r="BV2278" s="1"/>
      <c r="BW2278" s="1"/>
      <c r="BX2278" s="1"/>
      <c r="BY2278" s="1"/>
      <c r="BZ2278" s="1">
        <v>0</v>
      </c>
      <c r="CA2278" s="1" t="s">
        <v>109</v>
      </c>
      <c r="CB2278" s="1">
        <v>8</v>
      </c>
      <c r="CC2278" s="1" t="s">
        <v>109</v>
      </c>
      <c r="CD2278" s="1" t="s">
        <v>109</v>
      </c>
      <c r="CE2278" s="1" t="s">
        <v>109</v>
      </c>
      <c r="CF2278" s="1" t="s">
        <v>109</v>
      </c>
      <c r="CG2278" s="1" t="s">
        <v>109</v>
      </c>
      <c r="CH2278" s="1" t="s">
        <v>109</v>
      </c>
      <c r="CI2278" s="1" t="s">
        <v>109</v>
      </c>
      <c r="CJ2278" s="1" t="s">
        <v>109</v>
      </c>
      <c r="CK2278" s="1"/>
      <c r="CL2278" s="1">
        <v>0</v>
      </c>
      <c r="CM2278" s="1">
        <v>0</v>
      </c>
      <c r="CN2278" s="1">
        <v>0</v>
      </c>
    </row>
    <row r="2279" spans="1:92" ht="14.25" customHeight="1" x14ac:dyDescent="0.15">
      <c r="A2279" s="1" t="s">
        <v>16347</v>
      </c>
      <c r="B2279" s="1" t="s">
        <v>189</v>
      </c>
      <c r="C2279" s="1"/>
      <c r="D2279" s="1"/>
      <c r="E2279" s="1" t="s">
        <v>16348</v>
      </c>
      <c r="F2279" s="1" t="s">
        <v>355</v>
      </c>
      <c r="G2279" s="1" t="s">
        <v>16349</v>
      </c>
      <c r="H2279" s="1">
        <v>0</v>
      </c>
      <c r="I2279" s="1" t="s">
        <v>161</v>
      </c>
      <c r="J2279" s="1"/>
      <c r="K2279" s="1" t="s">
        <v>16350</v>
      </c>
      <c r="L2279" s="1"/>
      <c r="M2279" s="1" t="s">
        <v>5642</v>
      </c>
      <c r="N2279" s="1">
        <v>0</v>
      </c>
      <c r="O2279" s="1">
        <v>0</v>
      </c>
      <c r="P2279" s="1" t="s">
        <v>215</v>
      </c>
      <c r="Q2279" s="1" t="s">
        <v>216</v>
      </c>
      <c r="R2279" s="1" t="s">
        <v>16351</v>
      </c>
      <c r="S2279" s="1" t="s">
        <v>16352</v>
      </c>
      <c r="T2279" s="1" t="s">
        <v>16345</v>
      </c>
      <c r="U2279" s="1" t="s">
        <v>16353</v>
      </c>
      <c r="V2279" s="1">
        <v>1</v>
      </c>
      <c r="W2279" s="1">
        <v>1</v>
      </c>
      <c r="X2279" s="1">
        <v>0</v>
      </c>
      <c r="Y2279" s="1">
        <v>0</v>
      </c>
      <c r="Z2279" s="1">
        <v>0</v>
      </c>
      <c r="AA2279" s="1">
        <v>3</v>
      </c>
      <c r="AB2279" s="1">
        <v>3</v>
      </c>
      <c r="AC2279" s="1" t="s">
        <v>109</v>
      </c>
      <c r="AD2279" s="1" t="s">
        <v>109</v>
      </c>
      <c r="AE2279" s="1" t="s">
        <v>109</v>
      </c>
      <c r="AF2279" s="1">
        <v>4</v>
      </c>
      <c r="AG2279" s="1" t="s">
        <v>109</v>
      </c>
      <c r="AH2279" s="1" t="s">
        <v>109</v>
      </c>
      <c r="AI2279" s="1" t="s">
        <v>109</v>
      </c>
      <c r="AJ2279" s="1">
        <v>4</v>
      </c>
      <c r="AK2279" s="1" t="s">
        <v>109</v>
      </c>
      <c r="AL2279" s="1" t="s">
        <v>109</v>
      </c>
      <c r="AM2279" s="1" t="s">
        <v>109</v>
      </c>
      <c r="AN2279" s="1">
        <v>3</v>
      </c>
      <c r="AO2279" s="1" t="s">
        <v>109</v>
      </c>
      <c r="AP2279" s="1"/>
      <c r="AQ2279" s="1">
        <v>3</v>
      </c>
      <c r="AR2279" s="1"/>
      <c r="AS2279" s="1"/>
      <c r="AT2279" s="1">
        <v>0</v>
      </c>
      <c r="AU2279" s="1">
        <v>0</v>
      </c>
      <c r="AV2279" s="1">
        <v>0</v>
      </c>
      <c r="AW2279" s="1">
        <v>0</v>
      </c>
      <c r="AX2279" s="1">
        <v>0</v>
      </c>
      <c r="AY2279" s="1">
        <v>0</v>
      </c>
      <c r="AZ2279" s="1">
        <v>0</v>
      </c>
      <c r="BA2279" s="1">
        <v>0</v>
      </c>
      <c r="BB2279" s="1">
        <v>0</v>
      </c>
      <c r="BC2279" s="1">
        <v>0</v>
      </c>
      <c r="BD2279" s="1">
        <v>0</v>
      </c>
      <c r="BE2279" s="1">
        <v>0</v>
      </c>
      <c r="BF2279" s="1">
        <v>0</v>
      </c>
      <c r="BG2279" s="1">
        <v>0</v>
      </c>
      <c r="BH2279" s="1">
        <v>0</v>
      </c>
      <c r="BI2279" s="1">
        <v>0</v>
      </c>
      <c r="BJ2279" s="1">
        <v>0</v>
      </c>
      <c r="BK2279" s="1">
        <v>0</v>
      </c>
      <c r="BL2279" s="1">
        <v>0</v>
      </c>
      <c r="BM2279" s="1">
        <v>0</v>
      </c>
      <c r="BN2279" s="1">
        <v>0</v>
      </c>
      <c r="BO2279" s="1">
        <v>0</v>
      </c>
      <c r="BP2279" s="1">
        <v>0</v>
      </c>
      <c r="BQ2279" s="1">
        <v>0</v>
      </c>
      <c r="BR2279" s="1">
        <v>0</v>
      </c>
      <c r="BS2279" s="1" t="s">
        <v>109</v>
      </c>
      <c r="BT2279" s="1">
        <v>2367</v>
      </c>
      <c r="BU2279" s="1" t="s">
        <v>109</v>
      </c>
      <c r="BV2279" s="1"/>
      <c r="BW2279" s="1"/>
      <c r="BX2279" s="1"/>
      <c r="BY2279" s="1"/>
      <c r="BZ2279" s="1">
        <v>0</v>
      </c>
      <c r="CA2279" s="1">
        <v>4</v>
      </c>
      <c r="CB2279" s="1" t="s">
        <v>109</v>
      </c>
      <c r="CC2279" s="1" t="s">
        <v>109</v>
      </c>
      <c r="CD2279" s="1" t="s">
        <v>109</v>
      </c>
      <c r="CE2279" s="1" t="s">
        <v>109</v>
      </c>
      <c r="CF2279" s="1">
        <v>4</v>
      </c>
      <c r="CG2279" s="1" t="s">
        <v>109</v>
      </c>
      <c r="CH2279" s="1" t="s">
        <v>109</v>
      </c>
      <c r="CI2279" s="1" t="s">
        <v>109</v>
      </c>
      <c r="CJ2279" s="1" t="s">
        <v>109</v>
      </c>
      <c r="CK2279" s="1"/>
      <c r="CL2279" s="1">
        <v>0</v>
      </c>
      <c r="CM2279" s="1">
        <v>0</v>
      </c>
      <c r="CN2279" s="1">
        <v>0</v>
      </c>
    </row>
    <row r="2280" spans="1:92" ht="14.25" customHeight="1" x14ac:dyDescent="0.15">
      <c r="A2280" s="1" t="s">
        <v>16354</v>
      </c>
      <c r="B2280" s="1" t="s">
        <v>242</v>
      </c>
      <c r="C2280" s="1"/>
      <c r="D2280" s="1"/>
      <c r="E2280" s="1" t="s">
        <v>16355</v>
      </c>
      <c r="F2280" s="1" t="s">
        <v>98</v>
      </c>
      <c r="G2280" s="1" t="s">
        <v>141</v>
      </c>
      <c r="H2280" s="1">
        <v>0</v>
      </c>
      <c r="I2280" s="1" t="s">
        <v>142</v>
      </c>
      <c r="J2280" s="1"/>
      <c r="K2280" s="1" t="s">
        <v>1643</v>
      </c>
      <c r="L2280" s="1"/>
      <c r="M2280" s="1" t="s">
        <v>6798</v>
      </c>
      <c r="N2280" s="1">
        <v>0</v>
      </c>
      <c r="O2280" s="1">
        <v>0</v>
      </c>
      <c r="P2280" s="1" t="s">
        <v>16356</v>
      </c>
      <c r="Q2280" s="1" t="s">
        <v>8631</v>
      </c>
      <c r="R2280" s="1" t="s">
        <v>16357</v>
      </c>
      <c r="S2280" s="1" t="s">
        <v>16358</v>
      </c>
      <c r="T2280" s="1" t="s">
        <v>16345</v>
      </c>
      <c r="U2280" s="1" t="s">
        <v>16359</v>
      </c>
      <c r="V2280" s="1">
        <v>1</v>
      </c>
      <c r="W2280" s="1">
        <v>1</v>
      </c>
      <c r="X2280" s="1">
        <v>0</v>
      </c>
      <c r="Y2280" s="1">
        <v>0</v>
      </c>
      <c r="Z2280" s="1">
        <v>0</v>
      </c>
      <c r="AA2280" s="1">
        <v>5</v>
      </c>
      <c r="AB2280" s="1">
        <v>5</v>
      </c>
      <c r="AC2280" s="1" t="s">
        <v>109</v>
      </c>
      <c r="AD2280" s="1" t="s">
        <v>109</v>
      </c>
      <c r="AE2280" s="1" t="s">
        <v>109</v>
      </c>
      <c r="AF2280" s="1" t="s">
        <v>109</v>
      </c>
      <c r="AG2280" s="1">
        <v>4</v>
      </c>
      <c r="AH2280" s="1" t="s">
        <v>109</v>
      </c>
      <c r="AI2280" s="1">
        <v>5</v>
      </c>
      <c r="AJ2280" s="1" t="s">
        <v>109</v>
      </c>
      <c r="AK2280" s="1">
        <v>5</v>
      </c>
      <c r="AL2280" s="1" t="s">
        <v>109</v>
      </c>
      <c r="AM2280" s="1">
        <v>4</v>
      </c>
      <c r="AN2280" s="1">
        <v>5</v>
      </c>
      <c r="AO2280" s="1" t="s">
        <v>109</v>
      </c>
      <c r="AP2280" s="1"/>
      <c r="AQ2280" s="1">
        <v>5</v>
      </c>
      <c r="AR2280" s="1"/>
      <c r="AS2280" s="1"/>
      <c r="AT2280" s="1">
        <v>0</v>
      </c>
      <c r="AU2280" s="1">
        <v>0</v>
      </c>
      <c r="AV2280" s="1">
        <v>0</v>
      </c>
      <c r="AW2280" s="1">
        <v>0</v>
      </c>
      <c r="AX2280" s="1">
        <v>0</v>
      </c>
      <c r="AY2280" s="1">
        <v>0</v>
      </c>
      <c r="AZ2280" s="1">
        <v>0</v>
      </c>
      <c r="BA2280" s="1">
        <v>0</v>
      </c>
      <c r="BB2280" s="1">
        <v>0</v>
      </c>
      <c r="BC2280" s="1">
        <v>0</v>
      </c>
      <c r="BD2280" s="1">
        <v>0</v>
      </c>
      <c r="BE2280" s="1">
        <v>0</v>
      </c>
      <c r="BF2280" s="1">
        <v>0</v>
      </c>
      <c r="BG2280" s="1">
        <v>0</v>
      </c>
      <c r="BH2280" s="1">
        <v>0</v>
      </c>
      <c r="BI2280" s="1">
        <v>0</v>
      </c>
      <c r="BJ2280" s="1">
        <v>0</v>
      </c>
      <c r="BK2280" s="1">
        <v>0</v>
      </c>
      <c r="BL2280" s="1">
        <v>0</v>
      </c>
      <c r="BM2280" s="1">
        <v>0</v>
      </c>
      <c r="BN2280" s="1">
        <v>0</v>
      </c>
      <c r="BO2280" s="1">
        <v>0</v>
      </c>
      <c r="BP2280" s="1">
        <v>0</v>
      </c>
      <c r="BQ2280" s="1">
        <v>0</v>
      </c>
      <c r="BR2280" s="1">
        <v>0</v>
      </c>
      <c r="BS2280" s="1" t="s">
        <v>109</v>
      </c>
      <c r="BT2280" s="1">
        <v>2368</v>
      </c>
      <c r="BU2280" s="1" t="s">
        <v>109</v>
      </c>
      <c r="BV2280" s="1"/>
      <c r="BW2280" s="1"/>
      <c r="BX2280" s="1"/>
      <c r="BY2280" s="1"/>
      <c r="BZ2280" s="1">
        <v>0</v>
      </c>
      <c r="CA2280" s="1">
        <v>4</v>
      </c>
      <c r="CB2280" s="1">
        <v>5</v>
      </c>
      <c r="CC2280" s="1" t="s">
        <v>109</v>
      </c>
      <c r="CD2280" s="1">
        <v>4</v>
      </c>
      <c r="CE2280" s="1" t="s">
        <v>109</v>
      </c>
      <c r="CF2280" s="1" t="s">
        <v>109</v>
      </c>
      <c r="CG2280" s="1">
        <v>5</v>
      </c>
      <c r="CH2280" s="1" t="s">
        <v>109</v>
      </c>
      <c r="CI2280" s="1" t="s">
        <v>109</v>
      </c>
      <c r="CJ2280" s="1" t="s">
        <v>109</v>
      </c>
      <c r="CK2280" s="1"/>
      <c r="CL2280" s="1">
        <v>0</v>
      </c>
      <c r="CM2280" s="1">
        <v>0</v>
      </c>
      <c r="CN2280" s="1">
        <v>0</v>
      </c>
    </row>
    <row r="2281" spans="1:92" ht="14.25" customHeight="1" x14ac:dyDescent="0.15">
      <c r="A2281" s="1" t="s">
        <v>16360</v>
      </c>
      <c r="B2281" s="1" t="s">
        <v>95</v>
      </c>
      <c r="C2281" s="1" t="s">
        <v>96</v>
      </c>
      <c r="D2281" s="1"/>
      <c r="E2281" s="1" t="s">
        <v>16361</v>
      </c>
      <c r="F2281" s="1" t="s">
        <v>277</v>
      </c>
      <c r="G2281" s="1" t="s">
        <v>16362</v>
      </c>
      <c r="H2281" s="1">
        <v>0</v>
      </c>
      <c r="I2281" s="1" t="s">
        <v>925</v>
      </c>
      <c r="J2281" s="1"/>
      <c r="K2281" s="1" t="s">
        <v>16363</v>
      </c>
      <c r="L2281" s="1"/>
      <c r="M2281" s="1" t="s">
        <v>144</v>
      </c>
      <c r="N2281" s="1">
        <v>0</v>
      </c>
      <c r="O2281" s="1">
        <v>0</v>
      </c>
      <c r="P2281" s="1" t="s">
        <v>103</v>
      </c>
      <c r="Q2281" s="1" t="s">
        <v>104</v>
      </c>
      <c r="R2281" s="1" t="s">
        <v>16364</v>
      </c>
      <c r="S2281" s="1" t="s">
        <v>16365</v>
      </c>
      <c r="T2281" s="1" t="s">
        <v>16345</v>
      </c>
      <c r="U2281" s="1" t="s">
        <v>16366</v>
      </c>
      <c r="V2281" s="1">
        <v>1</v>
      </c>
      <c r="W2281" s="1">
        <v>1</v>
      </c>
      <c r="X2281" s="1">
        <v>1</v>
      </c>
      <c r="Y2281" s="1">
        <v>0</v>
      </c>
      <c r="Z2281" s="1">
        <v>0</v>
      </c>
      <c r="AA2281" s="1">
        <v>4</v>
      </c>
      <c r="AB2281" s="1">
        <v>4</v>
      </c>
      <c r="AC2281" s="1" t="s">
        <v>109</v>
      </c>
      <c r="AD2281" s="1" t="s">
        <v>109</v>
      </c>
      <c r="AE2281" s="1" t="s">
        <v>109</v>
      </c>
      <c r="AF2281" s="1">
        <v>4</v>
      </c>
      <c r="AG2281" s="1" t="s">
        <v>109</v>
      </c>
      <c r="AH2281" s="1" t="s">
        <v>109</v>
      </c>
      <c r="AI2281" s="1" t="s">
        <v>109</v>
      </c>
      <c r="AJ2281" s="1">
        <v>4</v>
      </c>
      <c r="AK2281" s="1" t="s">
        <v>109</v>
      </c>
      <c r="AL2281" s="1" t="s">
        <v>109</v>
      </c>
      <c r="AM2281" s="1" t="s">
        <v>109</v>
      </c>
      <c r="AN2281" s="1" t="s">
        <v>109</v>
      </c>
      <c r="AO2281" s="1" t="s">
        <v>109</v>
      </c>
      <c r="AP2281" s="1"/>
      <c r="AQ2281" s="1">
        <v>4</v>
      </c>
      <c r="AR2281" s="1"/>
      <c r="AS2281" s="1"/>
      <c r="AT2281" s="1">
        <v>0</v>
      </c>
      <c r="AU2281" s="1">
        <v>0</v>
      </c>
      <c r="AV2281" s="1">
        <v>0</v>
      </c>
      <c r="AW2281" s="1">
        <v>0</v>
      </c>
      <c r="AX2281" s="1">
        <v>0</v>
      </c>
      <c r="AY2281" s="1">
        <v>0</v>
      </c>
      <c r="AZ2281" s="1">
        <v>0</v>
      </c>
      <c r="BA2281" s="1">
        <v>0</v>
      </c>
      <c r="BB2281" s="1">
        <v>0</v>
      </c>
      <c r="BC2281" s="1">
        <v>0</v>
      </c>
      <c r="BD2281" s="1">
        <v>0</v>
      </c>
      <c r="BE2281" s="1">
        <v>0</v>
      </c>
      <c r="BF2281" s="1">
        <v>0</v>
      </c>
      <c r="BG2281" s="1">
        <v>0</v>
      </c>
      <c r="BH2281" s="1">
        <v>0</v>
      </c>
      <c r="BI2281" s="1">
        <v>0</v>
      </c>
      <c r="BJ2281" s="1">
        <v>0</v>
      </c>
      <c r="BK2281" s="1">
        <v>0</v>
      </c>
      <c r="BL2281" s="1">
        <v>0</v>
      </c>
      <c r="BM2281" s="1">
        <v>0</v>
      </c>
      <c r="BN2281" s="1">
        <v>0</v>
      </c>
      <c r="BO2281" s="1">
        <v>0</v>
      </c>
      <c r="BP2281" s="1">
        <v>0</v>
      </c>
      <c r="BQ2281" s="1">
        <v>0</v>
      </c>
      <c r="BR2281" s="1">
        <v>0</v>
      </c>
      <c r="BS2281" s="1" t="s">
        <v>109</v>
      </c>
      <c r="BT2281" s="1">
        <v>2369</v>
      </c>
      <c r="BU2281" s="1" t="s">
        <v>109</v>
      </c>
      <c r="BV2281" s="1"/>
      <c r="BW2281" s="1"/>
      <c r="BX2281" s="1"/>
      <c r="BY2281" s="1"/>
      <c r="BZ2281" s="1">
        <v>0</v>
      </c>
      <c r="CA2281" s="1" t="s">
        <v>109</v>
      </c>
      <c r="CB2281" s="1" t="s">
        <v>109</v>
      </c>
      <c r="CC2281" s="1">
        <v>4</v>
      </c>
      <c r="CD2281" s="1">
        <v>4</v>
      </c>
      <c r="CE2281" s="1" t="s">
        <v>109</v>
      </c>
      <c r="CF2281" s="1" t="s">
        <v>109</v>
      </c>
      <c r="CG2281" s="1">
        <v>3</v>
      </c>
      <c r="CH2281" s="1" t="s">
        <v>109</v>
      </c>
      <c r="CI2281" s="1" t="s">
        <v>109</v>
      </c>
      <c r="CJ2281" s="1" t="s">
        <v>109</v>
      </c>
      <c r="CK2281" s="1"/>
      <c r="CL2281" s="1">
        <v>0</v>
      </c>
      <c r="CM2281" s="1">
        <v>0</v>
      </c>
      <c r="CN2281" s="1">
        <v>0</v>
      </c>
    </row>
    <row r="2282" spans="1:92" ht="14.25" customHeight="1" x14ac:dyDescent="0.15">
      <c r="A2282" s="1" t="s">
        <v>16367</v>
      </c>
      <c r="B2282" s="1" t="s">
        <v>95</v>
      </c>
      <c r="C2282" s="1" t="s">
        <v>96</v>
      </c>
      <c r="D2282" s="1" t="s">
        <v>54</v>
      </c>
      <c r="E2282" s="1" t="s">
        <v>6479</v>
      </c>
      <c r="F2282" s="1" t="s">
        <v>98</v>
      </c>
      <c r="G2282" s="1" t="s">
        <v>16368</v>
      </c>
      <c r="H2282" s="1">
        <v>0</v>
      </c>
      <c r="I2282" s="1" t="s">
        <v>142</v>
      </c>
      <c r="J2282" s="1"/>
      <c r="K2282" s="1" t="s">
        <v>16369</v>
      </c>
      <c r="L2282" s="1"/>
      <c r="M2282" s="1" t="s">
        <v>144</v>
      </c>
      <c r="N2282" s="1">
        <v>0</v>
      </c>
      <c r="O2282" s="1">
        <v>0</v>
      </c>
      <c r="P2282" s="1" t="s">
        <v>103</v>
      </c>
      <c r="Q2282" s="1" t="s">
        <v>104</v>
      </c>
      <c r="R2282" s="1" t="s">
        <v>16370</v>
      </c>
      <c r="S2282" s="1" t="s">
        <v>16371</v>
      </c>
      <c r="T2282" s="1" t="s">
        <v>16345</v>
      </c>
      <c r="U2282" s="1" t="s">
        <v>16372</v>
      </c>
      <c r="V2282" s="1">
        <v>1</v>
      </c>
      <c r="W2282" s="1">
        <v>1</v>
      </c>
      <c r="X2282" s="1">
        <v>1</v>
      </c>
      <c r="Y2282" s="1">
        <v>0</v>
      </c>
      <c r="Z2282" s="1">
        <v>0</v>
      </c>
      <c r="AA2282" s="1">
        <v>1</v>
      </c>
      <c r="AB2282" s="1">
        <v>1</v>
      </c>
      <c r="AC2282" s="1" t="s">
        <v>109</v>
      </c>
      <c r="AD2282" s="1">
        <v>1</v>
      </c>
      <c r="AE2282" s="1" t="s">
        <v>109</v>
      </c>
      <c r="AF2282" s="1" t="s">
        <v>109</v>
      </c>
      <c r="AG2282" s="1" t="s">
        <v>109</v>
      </c>
      <c r="AH2282" s="1" t="s">
        <v>109</v>
      </c>
      <c r="AI2282" s="1" t="s">
        <v>109</v>
      </c>
      <c r="AJ2282" s="1" t="s">
        <v>109</v>
      </c>
      <c r="AK2282" s="1" t="s">
        <v>109</v>
      </c>
      <c r="AL2282" s="1" t="s">
        <v>109</v>
      </c>
      <c r="AM2282" s="1" t="s">
        <v>109</v>
      </c>
      <c r="AN2282" s="1" t="s">
        <v>109</v>
      </c>
      <c r="AO2282" s="1" t="s">
        <v>109</v>
      </c>
      <c r="AP2282" s="1"/>
      <c r="AQ2282" s="1">
        <v>1</v>
      </c>
      <c r="AR2282" s="1"/>
      <c r="AS2282" s="1"/>
      <c r="AT2282" s="1">
        <v>0</v>
      </c>
      <c r="AU2282" s="1">
        <v>0</v>
      </c>
      <c r="AV2282" s="1">
        <v>0</v>
      </c>
      <c r="AW2282" s="1">
        <v>0</v>
      </c>
      <c r="AX2282" s="1">
        <v>0</v>
      </c>
      <c r="AY2282" s="1">
        <v>0</v>
      </c>
      <c r="AZ2282" s="1">
        <v>0</v>
      </c>
      <c r="BA2282" s="1">
        <v>0</v>
      </c>
      <c r="BB2282" s="1">
        <v>1</v>
      </c>
      <c r="BC2282" s="1">
        <v>0</v>
      </c>
      <c r="BD2282" s="1">
        <v>0</v>
      </c>
      <c r="BE2282" s="1">
        <v>0</v>
      </c>
      <c r="BF2282" s="1">
        <v>0</v>
      </c>
      <c r="BG2282" s="1">
        <v>0</v>
      </c>
      <c r="BH2282" s="1">
        <v>0</v>
      </c>
      <c r="BI2282" s="1">
        <v>0</v>
      </c>
      <c r="BJ2282" s="1">
        <v>0</v>
      </c>
      <c r="BK2282" s="1">
        <v>0</v>
      </c>
      <c r="BL2282" s="1">
        <v>0</v>
      </c>
      <c r="BM2282" s="1">
        <v>0</v>
      </c>
      <c r="BN2282" s="1">
        <v>0</v>
      </c>
      <c r="BO2282" s="1">
        <v>0</v>
      </c>
      <c r="BP2282" s="1">
        <v>0</v>
      </c>
      <c r="BQ2282" s="1">
        <v>0</v>
      </c>
      <c r="BR2282" s="1">
        <v>0</v>
      </c>
      <c r="BS2282" s="1" t="s">
        <v>109</v>
      </c>
      <c r="BT2282" s="1">
        <v>2370</v>
      </c>
      <c r="BU2282" s="1" t="s">
        <v>109</v>
      </c>
      <c r="BV2282" s="1"/>
      <c r="BW2282" s="1"/>
      <c r="BX2282" s="1"/>
      <c r="BY2282" s="1"/>
      <c r="BZ2282" s="1">
        <v>0</v>
      </c>
      <c r="CA2282" s="1" t="s">
        <v>109</v>
      </c>
      <c r="CB2282" s="1" t="s">
        <v>109</v>
      </c>
      <c r="CC2282" s="1" t="s">
        <v>109</v>
      </c>
      <c r="CD2282" s="1" t="s">
        <v>109</v>
      </c>
      <c r="CE2282" s="1" t="s">
        <v>109</v>
      </c>
      <c r="CF2282" s="1" t="s">
        <v>109</v>
      </c>
      <c r="CG2282" s="1" t="s">
        <v>109</v>
      </c>
      <c r="CH2282" s="1" t="s">
        <v>109</v>
      </c>
      <c r="CI2282" s="1" t="s">
        <v>109</v>
      </c>
      <c r="CJ2282" s="1">
        <v>1</v>
      </c>
      <c r="CK2282" s="1"/>
      <c r="CL2282" s="1">
        <v>0</v>
      </c>
      <c r="CM2282" s="1">
        <v>0</v>
      </c>
      <c r="CN2282" s="1">
        <v>0</v>
      </c>
    </row>
    <row r="2283" spans="1:92" ht="14.25" customHeight="1" x14ac:dyDescent="0.15">
      <c r="A2283" s="1" t="s">
        <v>16373</v>
      </c>
      <c r="B2283" s="1" t="s">
        <v>584</v>
      </c>
      <c r="C2283" s="1"/>
      <c r="D2283" s="1" t="s">
        <v>60</v>
      </c>
      <c r="E2283" s="1" t="s">
        <v>16374</v>
      </c>
      <c r="F2283" s="1" t="s">
        <v>98</v>
      </c>
      <c r="G2283" s="1" t="s">
        <v>141</v>
      </c>
      <c r="H2283" s="1">
        <v>0</v>
      </c>
      <c r="I2283" s="1" t="s">
        <v>925</v>
      </c>
      <c r="J2283" s="1"/>
      <c r="K2283" s="1" t="s">
        <v>16375</v>
      </c>
      <c r="L2283" s="1"/>
      <c r="M2283" s="1" t="s">
        <v>3042</v>
      </c>
      <c r="N2283" s="1">
        <v>0</v>
      </c>
      <c r="O2283" s="1">
        <v>0</v>
      </c>
      <c r="P2283" s="1" t="s">
        <v>103</v>
      </c>
      <c r="Q2283" s="1" t="s">
        <v>268</v>
      </c>
      <c r="R2283" s="1" t="s">
        <v>16376</v>
      </c>
      <c r="S2283" s="1" t="s">
        <v>16377</v>
      </c>
      <c r="T2283" s="1" t="s">
        <v>16345</v>
      </c>
      <c r="U2283" s="1" t="s">
        <v>16378</v>
      </c>
      <c r="V2283" s="1">
        <v>1</v>
      </c>
      <c r="W2283" s="1">
        <v>1</v>
      </c>
      <c r="X2283" s="1">
        <v>0</v>
      </c>
      <c r="Y2283" s="1">
        <v>0</v>
      </c>
      <c r="Z2283" s="1">
        <v>0</v>
      </c>
      <c r="AA2283" s="1">
        <v>2</v>
      </c>
      <c r="AB2283" s="1">
        <v>2</v>
      </c>
      <c r="AC2283" s="1" t="s">
        <v>109</v>
      </c>
      <c r="AD2283" s="1" t="s">
        <v>109</v>
      </c>
      <c r="AE2283" s="1" t="s">
        <v>109</v>
      </c>
      <c r="AF2283" s="1" t="s">
        <v>109</v>
      </c>
      <c r="AG2283" s="1" t="s">
        <v>109</v>
      </c>
      <c r="AH2283" s="1" t="s">
        <v>109</v>
      </c>
      <c r="AI2283" s="1" t="s">
        <v>109</v>
      </c>
      <c r="AJ2283" s="1">
        <v>2</v>
      </c>
      <c r="AK2283" s="1" t="s">
        <v>109</v>
      </c>
      <c r="AL2283" s="1" t="s">
        <v>109</v>
      </c>
      <c r="AM2283" s="1" t="s">
        <v>109</v>
      </c>
      <c r="AN2283" s="1">
        <v>2</v>
      </c>
      <c r="AO2283" s="1" t="s">
        <v>109</v>
      </c>
      <c r="AP2283" s="1"/>
      <c r="AQ2283" s="1">
        <v>2</v>
      </c>
      <c r="AR2283" s="1"/>
      <c r="AS2283" s="1"/>
      <c r="AT2283" s="1">
        <v>0</v>
      </c>
      <c r="AU2283" s="1">
        <v>0</v>
      </c>
      <c r="AV2283" s="1">
        <v>0</v>
      </c>
      <c r="AW2283" s="1">
        <v>0</v>
      </c>
      <c r="AX2283" s="1">
        <v>0</v>
      </c>
      <c r="AY2283" s="1">
        <v>0</v>
      </c>
      <c r="AZ2283" s="1">
        <v>0</v>
      </c>
      <c r="BA2283" s="1">
        <v>0</v>
      </c>
      <c r="BB2283" s="1">
        <v>0</v>
      </c>
      <c r="BC2283" s="1">
        <v>0</v>
      </c>
      <c r="BD2283" s="1">
        <v>0</v>
      </c>
      <c r="BE2283" s="1">
        <v>0</v>
      </c>
      <c r="BF2283" s="1">
        <v>0</v>
      </c>
      <c r="BG2283" s="1">
        <v>0</v>
      </c>
      <c r="BH2283" s="1">
        <v>1</v>
      </c>
      <c r="BI2283" s="1">
        <v>0</v>
      </c>
      <c r="BJ2283" s="1">
        <v>0</v>
      </c>
      <c r="BK2283" s="1">
        <v>0</v>
      </c>
      <c r="BL2283" s="1">
        <v>0</v>
      </c>
      <c r="BM2283" s="1">
        <v>0</v>
      </c>
      <c r="BN2283" s="1">
        <v>0</v>
      </c>
      <c r="BO2283" s="1">
        <v>0</v>
      </c>
      <c r="BP2283" s="1">
        <v>0</v>
      </c>
      <c r="BQ2283" s="1">
        <v>0</v>
      </c>
      <c r="BR2283" s="1">
        <v>0</v>
      </c>
      <c r="BS2283" s="1" t="s">
        <v>109</v>
      </c>
      <c r="BT2283" s="1">
        <v>2371</v>
      </c>
      <c r="BU2283" s="1" t="s">
        <v>109</v>
      </c>
      <c r="BV2283" s="1"/>
      <c r="BW2283" s="1"/>
      <c r="BX2283" s="1"/>
      <c r="BY2283" s="1"/>
      <c r="BZ2283" s="1">
        <v>0</v>
      </c>
      <c r="CA2283" s="1">
        <v>2</v>
      </c>
      <c r="CB2283" s="1" t="s">
        <v>109</v>
      </c>
      <c r="CC2283" s="1">
        <v>2</v>
      </c>
      <c r="CD2283" s="1" t="s">
        <v>109</v>
      </c>
      <c r="CE2283" s="1" t="s">
        <v>109</v>
      </c>
      <c r="CF2283" s="1">
        <v>2</v>
      </c>
      <c r="CG2283" s="1">
        <v>2</v>
      </c>
      <c r="CH2283" s="1" t="s">
        <v>109</v>
      </c>
      <c r="CI2283" s="1" t="s">
        <v>109</v>
      </c>
      <c r="CJ2283" s="1" t="s">
        <v>109</v>
      </c>
      <c r="CK2283" s="1"/>
      <c r="CL2283" s="1">
        <v>0</v>
      </c>
      <c r="CM2283" s="1">
        <v>0</v>
      </c>
      <c r="CN2283" s="1">
        <v>0</v>
      </c>
    </row>
    <row r="2284" spans="1:92" ht="14.25" customHeight="1" x14ac:dyDescent="0.15">
      <c r="A2284" s="1" t="s">
        <v>16379</v>
      </c>
      <c r="B2284" s="1" t="s">
        <v>156</v>
      </c>
      <c r="C2284" s="1" t="s">
        <v>157</v>
      </c>
      <c r="D2284" s="1" t="s">
        <v>158</v>
      </c>
      <c r="E2284" s="1" t="s">
        <v>16380</v>
      </c>
      <c r="F2284" s="1" t="s">
        <v>98</v>
      </c>
      <c r="G2284" s="1" t="s">
        <v>141</v>
      </c>
      <c r="H2284" s="1">
        <v>0</v>
      </c>
      <c r="I2284" s="1" t="s">
        <v>122</v>
      </c>
      <c r="J2284" s="1"/>
      <c r="K2284" s="1" t="s">
        <v>8687</v>
      </c>
      <c r="L2284" s="1"/>
      <c r="M2284" s="1" t="s">
        <v>9547</v>
      </c>
      <c r="N2284" s="1">
        <v>0</v>
      </c>
      <c r="O2284" s="1">
        <v>0</v>
      </c>
      <c r="P2284" s="1" t="s">
        <v>7979</v>
      </c>
      <c r="Q2284" s="1" t="s">
        <v>167</v>
      </c>
      <c r="R2284" s="1" t="s">
        <v>16381</v>
      </c>
      <c r="S2284" s="1" t="s">
        <v>16382</v>
      </c>
      <c r="T2284" s="1" t="s">
        <v>16345</v>
      </c>
      <c r="U2284" s="1" t="s">
        <v>16383</v>
      </c>
      <c r="V2284" s="1">
        <v>1</v>
      </c>
      <c r="W2284" s="1">
        <v>1</v>
      </c>
      <c r="X2284" s="1">
        <v>0</v>
      </c>
      <c r="Y2284" s="1">
        <v>0</v>
      </c>
      <c r="Z2284" s="1">
        <v>0</v>
      </c>
      <c r="AA2284" s="1">
        <v>5</v>
      </c>
      <c r="AB2284" s="1">
        <v>5</v>
      </c>
      <c r="AC2284" s="1" t="s">
        <v>109</v>
      </c>
      <c r="AD2284" s="1" t="s">
        <v>109</v>
      </c>
      <c r="AE2284" s="1" t="s">
        <v>109</v>
      </c>
      <c r="AF2284" s="1">
        <v>4</v>
      </c>
      <c r="AG2284" s="1" t="s">
        <v>109</v>
      </c>
      <c r="AH2284" s="1">
        <v>5</v>
      </c>
      <c r="AI2284" s="1">
        <v>5</v>
      </c>
      <c r="AJ2284" s="1" t="s">
        <v>109</v>
      </c>
      <c r="AK2284" s="1" t="s">
        <v>109</v>
      </c>
      <c r="AL2284" s="1" t="s">
        <v>109</v>
      </c>
      <c r="AM2284" s="1" t="s">
        <v>109</v>
      </c>
      <c r="AN2284" s="1" t="s">
        <v>109</v>
      </c>
      <c r="AO2284" s="1" t="s">
        <v>109</v>
      </c>
      <c r="AP2284" s="1"/>
      <c r="AQ2284" s="1">
        <v>5</v>
      </c>
      <c r="AR2284" s="1"/>
      <c r="AS2284" s="1"/>
      <c r="AT2284" s="1">
        <v>0</v>
      </c>
      <c r="AU2284" s="1">
        <v>0</v>
      </c>
      <c r="AV2284" s="1">
        <v>0</v>
      </c>
      <c r="AW2284" s="1">
        <v>0</v>
      </c>
      <c r="AX2284" s="1">
        <v>0</v>
      </c>
      <c r="AY2284" s="1">
        <v>0</v>
      </c>
      <c r="AZ2284" s="1">
        <v>0</v>
      </c>
      <c r="BA2284" s="1">
        <v>0</v>
      </c>
      <c r="BB2284" s="1">
        <v>0</v>
      </c>
      <c r="BC2284" s="1">
        <v>0</v>
      </c>
      <c r="BD2284" s="1">
        <v>0</v>
      </c>
      <c r="BE2284" s="1">
        <v>0</v>
      </c>
      <c r="BF2284" s="1">
        <v>0</v>
      </c>
      <c r="BG2284" s="1">
        <v>0</v>
      </c>
      <c r="BH2284" s="1">
        <v>0</v>
      </c>
      <c r="BI2284" s="1">
        <v>0</v>
      </c>
      <c r="BJ2284" s="1">
        <v>0</v>
      </c>
      <c r="BK2284" s="1">
        <v>0</v>
      </c>
      <c r="BL2284" s="1">
        <v>0</v>
      </c>
      <c r="BM2284" s="1">
        <v>1</v>
      </c>
      <c r="BN2284" s="1">
        <v>0</v>
      </c>
      <c r="BO2284" s="1">
        <v>0</v>
      </c>
      <c r="BP2284" s="1">
        <v>0</v>
      </c>
      <c r="BQ2284" s="1">
        <v>0</v>
      </c>
      <c r="BR2284" s="1">
        <v>0</v>
      </c>
      <c r="BS2284" s="1" t="s">
        <v>109</v>
      </c>
      <c r="BT2284" s="1">
        <v>2372</v>
      </c>
      <c r="BU2284" s="1" t="s">
        <v>109</v>
      </c>
      <c r="BV2284" s="1"/>
      <c r="BW2284" s="1"/>
      <c r="BX2284" s="1"/>
      <c r="BY2284" s="1"/>
      <c r="BZ2284" s="1">
        <v>0</v>
      </c>
      <c r="CA2284" s="1" t="s">
        <v>109</v>
      </c>
      <c r="CB2284" s="1" t="s">
        <v>109</v>
      </c>
      <c r="CC2284" s="1" t="s">
        <v>109</v>
      </c>
      <c r="CD2284" s="1">
        <v>4</v>
      </c>
      <c r="CE2284" s="1">
        <v>5</v>
      </c>
      <c r="CF2284" s="1" t="s">
        <v>109</v>
      </c>
      <c r="CG2284" s="1" t="s">
        <v>109</v>
      </c>
      <c r="CH2284" s="1" t="s">
        <v>109</v>
      </c>
      <c r="CI2284" s="1" t="s">
        <v>109</v>
      </c>
      <c r="CJ2284" s="1" t="s">
        <v>109</v>
      </c>
      <c r="CK2284" s="1"/>
      <c r="CL2284" s="1">
        <v>0</v>
      </c>
      <c r="CM2284" s="1">
        <v>0</v>
      </c>
      <c r="CN2284" s="1">
        <v>0</v>
      </c>
    </row>
    <row r="2285" spans="1:92" ht="14.25" customHeight="1" x14ac:dyDescent="0.15">
      <c r="A2285" s="1" t="s">
        <v>16384</v>
      </c>
      <c r="B2285" s="1" t="s">
        <v>242</v>
      </c>
      <c r="C2285" s="1"/>
      <c r="D2285" s="1"/>
      <c r="E2285" s="1" t="s">
        <v>16385</v>
      </c>
      <c r="F2285" s="1" t="s">
        <v>5503</v>
      </c>
      <c r="G2285" s="1" t="s">
        <v>16386</v>
      </c>
      <c r="H2285" s="1">
        <v>0</v>
      </c>
      <c r="I2285" s="1" t="s">
        <v>161</v>
      </c>
      <c r="J2285" s="1" t="s">
        <v>16387</v>
      </c>
      <c r="K2285" s="1"/>
      <c r="L2285" s="1"/>
      <c r="M2285" s="1" t="s">
        <v>289</v>
      </c>
      <c r="N2285" s="1">
        <v>0</v>
      </c>
      <c r="O2285" s="1">
        <v>0</v>
      </c>
      <c r="P2285" s="1" t="s">
        <v>507</v>
      </c>
      <c r="Q2285" s="1" t="s">
        <v>268</v>
      </c>
      <c r="R2285" s="1" t="s">
        <v>16388</v>
      </c>
      <c r="S2285" s="1" t="s">
        <v>16389</v>
      </c>
      <c r="T2285" s="1" t="s">
        <v>16345</v>
      </c>
      <c r="U2285" s="1" t="s">
        <v>16390</v>
      </c>
      <c r="V2285" s="1">
        <v>1</v>
      </c>
      <c r="W2285" s="1">
        <v>1</v>
      </c>
      <c r="X2285" s="1">
        <v>0</v>
      </c>
      <c r="Y2285" s="1">
        <v>0</v>
      </c>
      <c r="Z2285" s="1">
        <v>0</v>
      </c>
      <c r="AA2285" s="1">
        <v>3</v>
      </c>
      <c r="AB2285" s="1">
        <v>3</v>
      </c>
      <c r="AC2285" s="1" t="s">
        <v>109</v>
      </c>
      <c r="AD2285" s="1" t="s">
        <v>109</v>
      </c>
      <c r="AE2285" s="1" t="s">
        <v>109</v>
      </c>
      <c r="AF2285" s="1">
        <v>3</v>
      </c>
      <c r="AG2285" s="1">
        <v>3</v>
      </c>
      <c r="AH2285" s="1" t="s">
        <v>109</v>
      </c>
      <c r="AI2285" s="1" t="s">
        <v>109</v>
      </c>
      <c r="AJ2285" s="1">
        <v>3</v>
      </c>
      <c r="AK2285" s="1">
        <v>3</v>
      </c>
      <c r="AL2285" s="1" t="s">
        <v>109</v>
      </c>
      <c r="AM2285" s="1" t="s">
        <v>109</v>
      </c>
      <c r="AN2285" s="1">
        <v>3</v>
      </c>
      <c r="AO2285" s="1" t="s">
        <v>109</v>
      </c>
      <c r="AP2285" s="1"/>
      <c r="AQ2285" s="1">
        <v>3</v>
      </c>
      <c r="AR2285" s="1"/>
      <c r="AS2285" s="1"/>
      <c r="AT2285" s="1">
        <v>0</v>
      </c>
      <c r="AU2285" s="1">
        <v>0</v>
      </c>
      <c r="AV2285" s="1">
        <v>0</v>
      </c>
      <c r="AW2285" s="1">
        <v>0</v>
      </c>
      <c r="AX2285" s="1">
        <v>0</v>
      </c>
      <c r="AY2285" s="1">
        <v>0</v>
      </c>
      <c r="AZ2285" s="1">
        <v>0</v>
      </c>
      <c r="BA2285" s="1">
        <v>0</v>
      </c>
      <c r="BB2285" s="1">
        <v>0</v>
      </c>
      <c r="BC2285" s="1">
        <v>0</v>
      </c>
      <c r="BD2285" s="1">
        <v>0</v>
      </c>
      <c r="BE2285" s="1">
        <v>0</v>
      </c>
      <c r="BF2285" s="1">
        <v>0</v>
      </c>
      <c r="BG2285" s="1">
        <v>0</v>
      </c>
      <c r="BH2285" s="1">
        <v>0</v>
      </c>
      <c r="BI2285" s="1">
        <v>0</v>
      </c>
      <c r="BJ2285" s="1">
        <v>0</v>
      </c>
      <c r="BK2285" s="1">
        <v>0</v>
      </c>
      <c r="BL2285" s="1">
        <v>0</v>
      </c>
      <c r="BM2285" s="1">
        <v>0</v>
      </c>
      <c r="BN2285" s="1">
        <v>0</v>
      </c>
      <c r="BO2285" s="1">
        <v>0</v>
      </c>
      <c r="BP2285" s="1">
        <v>0</v>
      </c>
      <c r="BQ2285" s="1">
        <v>0</v>
      </c>
      <c r="BR2285" s="1">
        <v>0</v>
      </c>
      <c r="BS2285" s="1" t="s">
        <v>109</v>
      </c>
      <c r="BT2285" s="1">
        <v>2373</v>
      </c>
      <c r="BU2285" s="1" t="s">
        <v>109</v>
      </c>
      <c r="BV2285" s="1"/>
      <c r="BW2285" s="1"/>
      <c r="BX2285" s="1"/>
      <c r="BY2285" s="1"/>
      <c r="BZ2285" s="1">
        <v>0</v>
      </c>
      <c r="CA2285" s="1" t="s">
        <v>109</v>
      </c>
      <c r="CB2285" s="1">
        <v>4</v>
      </c>
      <c r="CC2285" s="1">
        <v>3</v>
      </c>
      <c r="CD2285" s="1" t="s">
        <v>109</v>
      </c>
      <c r="CE2285" s="1" t="s">
        <v>109</v>
      </c>
      <c r="CF2285" s="1">
        <v>3</v>
      </c>
      <c r="CG2285" s="1" t="s">
        <v>109</v>
      </c>
      <c r="CH2285" s="1" t="s">
        <v>109</v>
      </c>
      <c r="CI2285" s="1" t="s">
        <v>109</v>
      </c>
      <c r="CJ2285" s="1" t="s">
        <v>109</v>
      </c>
      <c r="CK2285" s="1"/>
      <c r="CL2285" s="1">
        <v>0</v>
      </c>
      <c r="CM2285" s="1">
        <v>0</v>
      </c>
      <c r="CN2285" s="1">
        <v>0</v>
      </c>
    </row>
    <row r="2286" spans="1:92" ht="14.25" customHeight="1" x14ac:dyDescent="0.15">
      <c r="A2286" s="1" t="s">
        <v>16391</v>
      </c>
      <c r="B2286" s="1" t="s">
        <v>242</v>
      </c>
      <c r="C2286" s="1"/>
      <c r="D2286" s="1"/>
      <c r="E2286" s="1" t="s">
        <v>16392</v>
      </c>
      <c r="F2286" s="1" t="s">
        <v>5503</v>
      </c>
      <c r="G2286" s="1" t="s">
        <v>16386</v>
      </c>
      <c r="H2286" s="1">
        <v>0</v>
      </c>
      <c r="I2286" s="1" t="s">
        <v>161</v>
      </c>
      <c r="J2286" s="1" t="s">
        <v>16387</v>
      </c>
      <c r="K2286" s="1"/>
      <c r="L2286" s="1"/>
      <c r="M2286" s="1" t="s">
        <v>289</v>
      </c>
      <c r="N2286" s="1">
        <v>0</v>
      </c>
      <c r="O2286" s="1">
        <v>0</v>
      </c>
      <c r="P2286" s="1" t="s">
        <v>507</v>
      </c>
      <c r="Q2286" s="1" t="s">
        <v>268</v>
      </c>
      <c r="R2286" s="1" t="s">
        <v>16393</v>
      </c>
      <c r="S2286" s="1" t="s">
        <v>16394</v>
      </c>
      <c r="T2286" s="1" t="s">
        <v>16345</v>
      </c>
      <c r="U2286" s="1" t="s">
        <v>16395</v>
      </c>
      <c r="V2286" s="1">
        <v>1</v>
      </c>
      <c r="W2286" s="1">
        <v>1</v>
      </c>
      <c r="X2286" s="1">
        <v>0</v>
      </c>
      <c r="Y2286" s="1">
        <v>0</v>
      </c>
      <c r="Z2286" s="1">
        <v>0</v>
      </c>
      <c r="AA2286" s="1">
        <v>5</v>
      </c>
      <c r="AB2286" s="1">
        <v>5</v>
      </c>
      <c r="AC2286" s="1" t="s">
        <v>109</v>
      </c>
      <c r="AD2286" s="1" t="s">
        <v>109</v>
      </c>
      <c r="AE2286" s="1" t="s">
        <v>109</v>
      </c>
      <c r="AF2286" s="1">
        <v>5</v>
      </c>
      <c r="AG2286" s="1" t="s">
        <v>109</v>
      </c>
      <c r="AH2286" s="1" t="s">
        <v>109</v>
      </c>
      <c r="AI2286" s="1" t="s">
        <v>109</v>
      </c>
      <c r="AJ2286" s="1">
        <v>5</v>
      </c>
      <c r="AK2286" s="1">
        <v>5</v>
      </c>
      <c r="AL2286" s="1" t="s">
        <v>109</v>
      </c>
      <c r="AM2286" s="1" t="s">
        <v>109</v>
      </c>
      <c r="AN2286" s="1" t="s">
        <v>109</v>
      </c>
      <c r="AO2286" s="1" t="s">
        <v>109</v>
      </c>
      <c r="AP2286" s="1"/>
      <c r="AQ2286" s="1">
        <v>5</v>
      </c>
      <c r="AR2286" s="1"/>
      <c r="AS2286" s="1"/>
      <c r="AT2286" s="1">
        <v>0</v>
      </c>
      <c r="AU2286" s="1">
        <v>0</v>
      </c>
      <c r="AV2286" s="1">
        <v>0</v>
      </c>
      <c r="AW2286" s="1">
        <v>0</v>
      </c>
      <c r="AX2286" s="1">
        <v>0</v>
      </c>
      <c r="AY2286" s="1">
        <v>0</v>
      </c>
      <c r="AZ2286" s="1">
        <v>0</v>
      </c>
      <c r="BA2286" s="1">
        <v>0</v>
      </c>
      <c r="BB2286" s="1">
        <v>0</v>
      </c>
      <c r="BC2286" s="1">
        <v>0</v>
      </c>
      <c r="BD2286" s="1">
        <v>0</v>
      </c>
      <c r="BE2286" s="1">
        <v>0</v>
      </c>
      <c r="BF2286" s="1">
        <v>0</v>
      </c>
      <c r="BG2286" s="1">
        <v>0</v>
      </c>
      <c r="BH2286" s="1">
        <v>0</v>
      </c>
      <c r="BI2286" s="1">
        <v>0</v>
      </c>
      <c r="BJ2286" s="1">
        <v>0</v>
      </c>
      <c r="BK2286" s="1">
        <v>0</v>
      </c>
      <c r="BL2286" s="1">
        <v>0</v>
      </c>
      <c r="BM2286" s="1">
        <v>0</v>
      </c>
      <c r="BN2286" s="1">
        <v>0</v>
      </c>
      <c r="BO2286" s="1">
        <v>0</v>
      </c>
      <c r="BP2286" s="1">
        <v>0</v>
      </c>
      <c r="BQ2286" s="1">
        <v>0</v>
      </c>
      <c r="BR2286" s="1">
        <v>0</v>
      </c>
      <c r="BS2286" s="1" t="s">
        <v>109</v>
      </c>
      <c r="BT2286" s="1">
        <v>2374</v>
      </c>
      <c r="BU2286" s="1" t="s">
        <v>109</v>
      </c>
      <c r="BV2286" s="1"/>
      <c r="BW2286" s="1"/>
      <c r="BX2286" s="1"/>
      <c r="BY2286" s="1"/>
      <c r="BZ2286" s="1">
        <v>0</v>
      </c>
      <c r="CA2286" s="1" t="s">
        <v>109</v>
      </c>
      <c r="CB2286" s="1" t="s">
        <v>109</v>
      </c>
      <c r="CC2286" s="1">
        <v>5</v>
      </c>
      <c r="CD2286" s="1" t="s">
        <v>109</v>
      </c>
      <c r="CE2286" s="1" t="s">
        <v>109</v>
      </c>
      <c r="CF2286" s="1">
        <v>5</v>
      </c>
      <c r="CG2286" s="1" t="s">
        <v>109</v>
      </c>
      <c r="CH2286" s="1" t="s">
        <v>109</v>
      </c>
      <c r="CI2286" s="1" t="s">
        <v>109</v>
      </c>
      <c r="CJ2286" s="1" t="s">
        <v>109</v>
      </c>
      <c r="CK2286" s="1"/>
      <c r="CL2286" s="1">
        <v>0</v>
      </c>
      <c r="CM2286" s="1">
        <v>0</v>
      </c>
      <c r="CN2286" s="1">
        <v>0</v>
      </c>
    </row>
    <row r="2287" spans="1:92" ht="14.25" customHeight="1" x14ac:dyDescent="0.15">
      <c r="A2287" s="1" t="s">
        <v>16396</v>
      </c>
      <c r="B2287" s="1" t="s">
        <v>189</v>
      </c>
      <c r="C2287" s="1"/>
      <c r="D2287" s="1"/>
      <c r="E2287" s="1" t="s">
        <v>16397</v>
      </c>
      <c r="F2287" s="1" t="s">
        <v>98</v>
      </c>
      <c r="G2287" s="1" t="s">
        <v>16398</v>
      </c>
      <c r="H2287" s="1">
        <v>0</v>
      </c>
      <c r="I2287" s="1" t="s">
        <v>161</v>
      </c>
      <c r="J2287" s="1"/>
      <c r="K2287" s="1"/>
      <c r="L2287" s="1" t="s">
        <v>506</v>
      </c>
      <c r="M2287" s="1" t="s">
        <v>3042</v>
      </c>
      <c r="N2287" s="1">
        <v>0</v>
      </c>
      <c r="O2287" s="1">
        <v>0</v>
      </c>
      <c r="P2287" s="1" t="s">
        <v>507</v>
      </c>
      <c r="Q2287" s="1" t="s">
        <v>268</v>
      </c>
      <c r="R2287" s="1" t="s">
        <v>16399</v>
      </c>
      <c r="S2287" s="1" t="s">
        <v>16400</v>
      </c>
      <c r="T2287" s="1" t="s">
        <v>16345</v>
      </c>
      <c r="U2287" s="1" t="s">
        <v>16401</v>
      </c>
      <c r="V2287" s="1">
        <v>1</v>
      </c>
      <c r="W2287" s="1">
        <v>1</v>
      </c>
      <c r="X2287" s="1">
        <v>1</v>
      </c>
      <c r="Y2287" s="1">
        <v>0</v>
      </c>
      <c r="Z2287" s="1">
        <v>0</v>
      </c>
      <c r="AA2287" s="1">
        <v>2</v>
      </c>
      <c r="AB2287" s="1">
        <v>2</v>
      </c>
      <c r="AC2287" s="1" t="s">
        <v>109</v>
      </c>
      <c r="AD2287" s="1" t="s">
        <v>109</v>
      </c>
      <c r="AE2287" s="1" t="s">
        <v>109</v>
      </c>
      <c r="AF2287" s="1">
        <v>2</v>
      </c>
      <c r="AG2287" s="1" t="s">
        <v>109</v>
      </c>
      <c r="AH2287" s="1">
        <v>2</v>
      </c>
      <c r="AI2287" s="1" t="s">
        <v>109</v>
      </c>
      <c r="AJ2287" s="1" t="s">
        <v>109</v>
      </c>
      <c r="AK2287" s="1" t="s">
        <v>109</v>
      </c>
      <c r="AL2287" s="1" t="s">
        <v>109</v>
      </c>
      <c r="AM2287" s="1" t="s">
        <v>109</v>
      </c>
      <c r="AN2287" s="1" t="s">
        <v>109</v>
      </c>
      <c r="AO2287" s="1" t="s">
        <v>109</v>
      </c>
      <c r="AP2287" s="1"/>
      <c r="AQ2287" s="1">
        <v>2</v>
      </c>
      <c r="AR2287" s="1"/>
      <c r="AS2287" s="1"/>
      <c r="AT2287" s="1">
        <v>0</v>
      </c>
      <c r="AU2287" s="1">
        <v>0</v>
      </c>
      <c r="AV2287" s="1">
        <v>0</v>
      </c>
      <c r="AW2287" s="1">
        <v>0</v>
      </c>
      <c r="AX2287" s="1">
        <v>0</v>
      </c>
      <c r="AY2287" s="1">
        <v>0</v>
      </c>
      <c r="AZ2287" s="1">
        <v>0</v>
      </c>
      <c r="BA2287" s="1">
        <v>0</v>
      </c>
      <c r="BB2287" s="1">
        <v>0</v>
      </c>
      <c r="BC2287" s="1">
        <v>0</v>
      </c>
      <c r="BD2287" s="1">
        <v>0</v>
      </c>
      <c r="BE2287" s="1">
        <v>0</v>
      </c>
      <c r="BF2287" s="1">
        <v>0</v>
      </c>
      <c r="BG2287" s="1">
        <v>0</v>
      </c>
      <c r="BH2287" s="1">
        <v>0</v>
      </c>
      <c r="BI2287" s="1">
        <v>0</v>
      </c>
      <c r="BJ2287" s="1">
        <v>0</v>
      </c>
      <c r="BK2287" s="1">
        <v>0</v>
      </c>
      <c r="BL2287" s="1">
        <v>0</v>
      </c>
      <c r="BM2287" s="1">
        <v>0</v>
      </c>
      <c r="BN2287" s="1">
        <v>0</v>
      </c>
      <c r="BO2287" s="1">
        <v>0</v>
      </c>
      <c r="BP2287" s="1">
        <v>0</v>
      </c>
      <c r="BQ2287" s="1">
        <v>0</v>
      </c>
      <c r="BR2287" s="1">
        <v>0</v>
      </c>
      <c r="BS2287" s="1" t="s">
        <v>109</v>
      </c>
      <c r="BT2287" s="1">
        <v>2375</v>
      </c>
      <c r="BU2287" s="1" t="s">
        <v>109</v>
      </c>
      <c r="BV2287" s="1"/>
      <c r="BW2287" s="1"/>
      <c r="BX2287" s="1"/>
      <c r="BY2287" s="1"/>
      <c r="BZ2287" s="1">
        <v>0</v>
      </c>
      <c r="CA2287" s="1" t="s">
        <v>109</v>
      </c>
      <c r="CB2287" s="1" t="s">
        <v>109</v>
      </c>
      <c r="CC2287" s="1">
        <v>2</v>
      </c>
      <c r="CD2287" s="1">
        <v>2</v>
      </c>
      <c r="CE2287" s="1" t="s">
        <v>109</v>
      </c>
      <c r="CF2287" s="1" t="s">
        <v>109</v>
      </c>
      <c r="CG2287" s="1" t="s">
        <v>109</v>
      </c>
      <c r="CH2287" s="1" t="s">
        <v>109</v>
      </c>
      <c r="CI2287" s="1" t="s">
        <v>109</v>
      </c>
      <c r="CJ2287" s="1" t="s">
        <v>109</v>
      </c>
      <c r="CK2287" s="1"/>
      <c r="CL2287" s="1">
        <v>0</v>
      </c>
      <c r="CM2287" s="1">
        <v>0</v>
      </c>
      <c r="CN2287" s="1">
        <v>0</v>
      </c>
    </row>
    <row r="2288" spans="1:92" ht="14.25" customHeight="1" x14ac:dyDescent="0.15">
      <c r="A2288" s="1" t="s">
        <v>16402</v>
      </c>
      <c r="B2288" s="1" t="s">
        <v>189</v>
      </c>
      <c r="C2288" s="1"/>
      <c r="D2288" s="1"/>
      <c r="E2288" s="1" t="s">
        <v>16403</v>
      </c>
      <c r="F2288" s="1" t="s">
        <v>98</v>
      </c>
      <c r="G2288" s="1" t="s">
        <v>16398</v>
      </c>
      <c r="H2288" s="1">
        <v>0</v>
      </c>
      <c r="I2288" s="1" t="s">
        <v>142</v>
      </c>
      <c r="J2288" s="1"/>
      <c r="K2288" s="1"/>
      <c r="L2288" s="1" t="s">
        <v>716</v>
      </c>
      <c r="M2288" s="1" t="s">
        <v>3042</v>
      </c>
      <c r="N2288" s="1">
        <v>0</v>
      </c>
      <c r="O2288" s="1">
        <v>0</v>
      </c>
      <c r="P2288" s="1" t="s">
        <v>507</v>
      </c>
      <c r="Q2288" s="1" t="s">
        <v>268</v>
      </c>
      <c r="R2288" s="1" t="s">
        <v>16404</v>
      </c>
      <c r="S2288" s="1" t="s">
        <v>16405</v>
      </c>
      <c r="T2288" s="1" t="s">
        <v>16345</v>
      </c>
      <c r="U2288" s="1" t="s">
        <v>16406</v>
      </c>
      <c r="V2288" s="1">
        <v>1</v>
      </c>
      <c r="W2288" s="1">
        <v>1</v>
      </c>
      <c r="X2288" s="1">
        <v>1</v>
      </c>
      <c r="Y2288" s="1">
        <v>0</v>
      </c>
      <c r="Z2288" s="1">
        <v>0</v>
      </c>
      <c r="AA2288" s="1">
        <v>6</v>
      </c>
      <c r="AB2288" s="1">
        <v>6</v>
      </c>
      <c r="AC2288" s="1" t="s">
        <v>109</v>
      </c>
      <c r="AD2288" s="1" t="s">
        <v>109</v>
      </c>
      <c r="AE2288" s="1" t="s">
        <v>109</v>
      </c>
      <c r="AF2288" s="1">
        <v>6</v>
      </c>
      <c r="AG2288" s="1" t="s">
        <v>109</v>
      </c>
      <c r="AH2288" s="1" t="s">
        <v>109</v>
      </c>
      <c r="AI2288" s="1">
        <v>6</v>
      </c>
      <c r="AJ2288" s="1" t="s">
        <v>109</v>
      </c>
      <c r="AK2288" s="1" t="s">
        <v>109</v>
      </c>
      <c r="AL2288" s="1" t="s">
        <v>109</v>
      </c>
      <c r="AM2288" s="1" t="s">
        <v>109</v>
      </c>
      <c r="AN2288" s="1" t="s">
        <v>109</v>
      </c>
      <c r="AO2288" s="1" t="s">
        <v>109</v>
      </c>
      <c r="AP2288" s="1"/>
      <c r="AQ2288" s="1">
        <v>6</v>
      </c>
      <c r="AR2288" s="1"/>
      <c r="AS2288" s="1"/>
      <c r="AT2288" s="1">
        <v>0</v>
      </c>
      <c r="AU2288" s="1">
        <v>0</v>
      </c>
      <c r="AV2288" s="1">
        <v>0</v>
      </c>
      <c r="AW2288" s="1">
        <v>0</v>
      </c>
      <c r="AX2288" s="1">
        <v>0</v>
      </c>
      <c r="AY2288" s="1">
        <v>0</v>
      </c>
      <c r="AZ2288" s="1">
        <v>0</v>
      </c>
      <c r="BA2288" s="1">
        <v>0</v>
      </c>
      <c r="BB2288" s="1">
        <v>0</v>
      </c>
      <c r="BC2288" s="1">
        <v>0</v>
      </c>
      <c r="BD2288" s="1">
        <v>0</v>
      </c>
      <c r="BE2288" s="1">
        <v>0</v>
      </c>
      <c r="BF2288" s="1">
        <v>0</v>
      </c>
      <c r="BG2288" s="1">
        <v>0</v>
      </c>
      <c r="BH2288" s="1">
        <v>0</v>
      </c>
      <c r="BI2288" s="1">
        <v>0</v>
      </c>
      <c r="BJ2288" s="1">
        <v>0</v>
      </c>
      <c r="BK2288" s="1">
        <v>0</v>
      </c>
      <c r="BL2288" s="1">
        <v>0</v>
      </c>
      <c r="BM2288" s="1">
        <v>0</v>
      </c>
      <c r="BN2288" s="1">
        <v>0</v>
      </c>
      <c r="BO2288" s="1">
        <v>0</v>
      </c>
      <c r="BP2288" s="1">
        <v>0</v>
      </c>
      <c r="BQ2288" s="1">
        <v>0</v>
      </c>
      <c r="BR2288" s="1">
        <v>0</v>
      </c>
      <c r="BS2288" s="1" t="s">
        <v>109</v>
      </c>
      <c r="BT2288" s="1">
        <v>2376</v>
      </c>
      <c r="BU2288" s="1" t="s">
        <v>109</v>
      </c>
      <c r="BV2288" s="1"/>
      <c r="BW2288" s="1"/>
      <c r="BX2288" s="1"/>
      <c r="BY2288" s="1"/>
      <c r="BZ2288" s="1">
        <v>0</v>
      </c>
      <c r="CA2288" s="1" t="s">
        <v>109</v>
      </c>
      <c r="CB2288" s="1" t="s">
        <v>109</v>
      </c>
      <c r="CC2288" s="1">
        <v>6</v>
      </c>
      <c r="CD2288" s="1" t="s">
        <v>109</v>
      </c>
      <c r="CE2288" s="1" t="s">
        <v>109</v>
      </c>
      <c r="CF2288" s="1" t="s">
        <v>109</v>
      </c>
      <c r="CG2288" s="1" t="s">
        <v>109</v>
      </c>
      <c r="CH2288" s="1" t="s">
        <v>109</v>
      </c>
      <c r="CI2288" s="1" t="s">
        <v>109</v>
      </c>
      <c r="CJ2288" s="1" t="s">
        <v>109</v>
      </c>
      <c r="CK2288" s="1"/>
      <c r="CL2288" s="1">
        <v>0</v>
      </c>
      <c r="CM2288" s="1">
        <v>0</v>
      </c>
      <c r="CN2288" s="1">
        <v>0</v>
      </c>
    </row>
    <row r="2289" spans="1:92" ht="14.25" customHeight="1" x14ac:dyDescent="0.15">
      <c r="A2289" s="1" t="s">
        <v>16407</v>
      </c>
      <c r="B2289" s="1" t="s">
        <v>584</v>
      </c>
      <c r="C2289" s="1"/>
      <c r="D2289" s="1" t="s">
        <v>60</v>
      </c>
      <c r="E2289" s="1" t="s">
        <v>16408</v>
      </c>
      <c r="F2289" s="1" t="s">
        <v>98</v>
      </c>
      <c r="G2289" s="1" t="s">
        <v>3082</v>
      </c>
      <c r="H2289" s="1">
        <v>1</v>
      </c>
      <c r="I2289" s="1" t="s">
        <v>142</v>
      </c>
      <c r="J2289" s="1"/>
      <c r="K2289" s="1" t="s">
        <v>3083</v>
      </c>
      <c r="L2289" s="1"/>
      <c r="M2289" s="1" t="s">
        <v>574</v>
      </c>
      <c r="N2289" s="1">
        <v>1</v>
      </c>
      <c r="O2289" s="1">
        <v>0</v>
      </c>
      <c r="P2289" s="1" t="s">
        <v>103</v>
      </c>
      <c r="Q2289" s="1" t="s">
        <v>268</v>
      </c>
      <c r="R2289" s="1" t="s">
        <v>16409</v>
      </c>
      <c r="S2289" s="1" t="s">
        <v>16410</v>
      </c>
      <c r="T2289" s="1" t="s">
        <v>16345</v>
      </c>
      <c r="U2289" s="1" t="s">
        <v>16411</v>
      </c>
      <c r="V2289" s="1">
        <v>1</v>
      </c>
      <c r="W2289" s="1">
        <v>1</v>
      </c>
      <c r="X2289" s="1">
        <v>0</v>
      </c>
      <c r="Y2289" s="1">
        <v>0</v>
      </c>
      <c r="Z2289" s="1">
        <v>0</v>
      </c>
      <c r="AA2289" s="1">
        <v>6</v>
      </c>
      <c r="AB2289" s="1">
        <v>6</v>
      </c>
      <c r="AC2289" s="1" t="s">
        <v>109</v>
      </c>
      <c r="AD2289" s="1" t="s">
        <v>109</v>
      </c>
      <c r="AE2289" s="1" t="s">
        <v>109</v>
      </c>
      <c r="AF2289" s="1" t="s">
        <v>109</v>
      </c>
      <c r="AG2289" s="1" t="s">
        <v>109</v>
      </c>
      <c r="AH2289" s="1" t="s">
        <v>109</v>
      </c>
      <c r="AI2289" s="1" t="s">
        <v>109</v>
      </c>
      <c r="AJ2289" s="1" t="s">
        <v>109</v>
      </c>
      <c r="AK2289" s="1" t="s">
        <v>109</v>
      </c>
      <c r="AL2289" s="1" t="s">
        <v>109</v>
      </c>
      <c r="AM2289" s="1" t="s">
        <v>109</v>
      </c>
      <c r="AN2289" s="1">
        <v>6</v>
      </c>
      <c r="AO2289" s="1" t="s">
        <v>109</v>
      </c>
      <c r="AP2289" s="1"/>
      <c r="AQ2289" s="1">
        <v>6</v>
      </c>
      <c r="AR2289" s="1"/>
      <c r="AS2289" s="1"/>
      <c r="AT2289" s="1">
        <v>0</v>
      </c>
      <c r="AU2289" s="1">
        <v>0</v>
      </c>
      <c r="AV2289" s="1">
        <v>0</v>
      </c>
      <c r="AW2289" s="1">
        <v>0</v>
      </c>
      <c r="AX2289" s="1">
        <v>0</v>
      </c>
      <c r="AY2289" s="1">
        <v>0</v>
      </c>
      <c r="AZ2289" s="1">
        <v>0</v>
      </c>
      <c r="BA2289" s="1">
        <v>0</v>
      </c>
      <c r="BB2289" s="1">
        <v>0</v>
      </c>
      <c r="BC2289" s="1">
        <v>0</v>
      </c>
      <c r="BD2289" s="1">
        <v>0</v>
      </c>
      <c r="BE2289" s="1">
        <v>0</v>
      </c>
      <c r="BF2289" s="1">
        <v>0</v>
      </c>
      <c r="BG2289" s="1">
        <v>0</v>
      </c>
      <c r="BH2289" s="1">
        <v>1</v>
      </c>
      <c r="BI2289" s="1">
        <v>0</v>
      </c>
      <c r="BJ2289" s="1">
        <v>0</v>
      </c>
      <c r="BK2289" s="1">
        <v>0</v>
      </c>
      <c r="BL2289" s="1">
        <v>0</v>
      </c>
      <c r="BM2289" s="1">
        <v>0</v>
      </c>
      <c r="BN2289" s="1">
        <v>0</v>
      </c>
      <c r="BO2289" s="1">
        <v>0</v>
      </c>
      <c r="BP2289" s="1">
        <v>0</v>
      </c>
      <c r="BQ2289" s="1">
        <v>0</v>
      </c>
      <c r="BR2289" s="1">
        <v>0</v>
      </c>
      <c r="BS2289" s="1" t="s">
        <v>109</v>
      </c>
      <c r="BT2289" s="1">
        <v>2377</v>
      </c>
      <c r="BU2289" s="1">
        <v>250</v>
      </c>
      <c r="BV2289" s="1"/>
      <c r="BW2289" s="1"/>
      <c r="BX2289" s="1"/>
      <c r="BY2289" s="1"/>
      <c r="BZ2289" s="1">
        <v>0</v>
      </c>
      <c r="CA2289" s="1" t="s">
        <v>109</v>
      </c>
      <c r="CB2289" s="1" t="s">
        <v>109</v>
      </c>
      <c r="CC2289" s="1">
        <v>7</v>
      </c>
      <c r="CD2289" s="1" t="s">
        <v>109</v>
      </c>
      <c r="CE2289" s="1" t="s">
        <v>109</v>
      </c>
      <c r="CF2289" s="1">
        <v>6</v>
      </c>
      <c r="CG2289" s="1" t="s">
        <v>109</v>
      </c>
      <c r="CH2289" s="1" t="s">
        <v>109</v>
      </c>
      <c r="CI2289" s="1" t="s">
        <v>109</v>
      </c>
      <c r="CJ2289" s="1" t="s">
        <v>109</v>
      </c>
      <c r="CK2289" s="1"/>
      <c r="CL2289" s="1">
        <v>0</v>
      </c>
      <c r="CM2289" s="1">
        <v>0</v>
      </c>
      <c r="CN2289" s="1">
        <v>0</v>
      </c>
    </row>
    <row r="2290" spans="1:92" ht="14.25" customHeight="1" x14ac:dyDescent="0.15">
      <c r="A2290" s="1" t="s">
        <v>16412</v>
      </c>
      <c r="B2290" s="1" t="s">
        <v>584</v>
      </c>
      <c r="C2290" s="1"/>
      <c r="D2290" s="1" t="s">
        <v>60</v>
      </c>
      <c r="E2290" s="1" t="s">
        <v>3283</v>
      </c>
      <c r="F2290" s="1" t="s">
        <v>98</v>
      </c>
      <c r="G2290" s="1" t="s">
        <v>3082</v>
      </c>
      <c r="H2290" s="1">
        <v>1</v>
      </c>
      <c r="I2290" s="1" t="s">
        <v>142</v>
      </c>
      <c r="J2290" s="1"/>
      <c r="K2290" s="1" t="s">
        <v>16413</v>
      </c>
      <c r="L2290" s="1"/>
      <c r="M2290" s="1" t="s">
        <v>574</v>
      </c>
      <c r="N2290" s="1">
        <v>1</v>
      </c>
      <c r="O2290" s="1">
        <v>0</v>
      </c>
      <c r="P2290" s="1" t="s">
        <v>103</v>
      </c>
      <c r="Q2290" s="1" t="s">
        <v>268</v>
      </c>
      <c r="R2290" s="1" t="s">
        <v>16414</v>
      </c>
      <c r="S2290" s="1" t="s">
        <v>16415</v>
      </c>
      <c r="T2290" s="1" t="s">
        <v>16345</v>
      </c>
      <c r="U2290" s="1" t="s">
        <v>16416</v>
      </c>
      <c r="V2290" s="1">
        <v>1</v>
      </c>
      <c r="W2290" s="1">
        <v>1</v>
      </c>
      <c r="X2290" s="1">
        <v>0</v>
      </c>
      <c r="Y2290" s="1">
        <v>0</v>
      </c>
      <c r="Z2290" s="1">
        <v>0</v>
      </c>
      <c r="AA2290" s="1">
        <v>9</v>
      </c>
      <c r="AB2290" s="1">
        <v>9</v>
      </c>
      <c r="AC2290" s="1" t="s">
        <v>109</v>
      </c>
      <c r="AD2290" s="1" t="s">
        <v>109</v>
      </c>
      <c r="AE2290" s="1" t="s">
        <v>109</v>
      </c>
      <c r="AF2290" s="1" t="s">
        <v>109</v>
      </c>
      <c r="AG2290" s="1" t="s">
        <v>109</v>
      </c>
      <c r="AH2290" s="1" t="s">
        <v>109</v>
      </c>
      <c r="AI2290" s="1" t="s">
        <v>109</v>
      </c>
      <c r="AJ2290" s="1" t="s">
        <v>109</v>
      </c>
      <c r="AK2290" s="1" t="s">
        <v>109</v>
      </c>
      <c r="AL2290" s="1" t="s">
        <v>109</v>
      </c>
      <c r="AM2290" s="1" t="s">
        <v>109</v>
      </c>
      <c r="AN2290" s="1" t="s">
        <v>109</v>
      </c>
      <c r="AO2290" s="1" t="s">
        <v>109</v>
      </c>
      <c r="AP2290" s="1"/>
      <c r="AQ2290" s="1">
        <v>9</v>
      </c>
      <c r="AR2290" s="1"/>
      <c r="AS2290" s="1"/>
      <c r="AT2290" s="1">
        <v>0</v>
      </c>
      <c r="AU2290" s="1">
        <v>0</v>
      </c>
      <c r="AV2290" s="1">
        <v>0</v>
      </c>
      <c r="AW2290" s="1">
        <v>0</v>
      </c>
      <c r="AX2290" s="1">
        <v>0</v>
      </c>
      <c r="AY2290" s="1">
        <v>0</v>
      </c>
      <c r="AZ2290" s="1">
        <v>0</v>
      </c>
      <c r="BA2290" s="1">
        <v>0</v>
      </c>
      <c r="BB2290" s="1">
        <v>0</v>
      </c>
      <c r="BC2290" s="1">
        <v>0</v>
      </c>
      <c r="BD2290" s="1">
        <v>0</v>
      </c>
      <c r="BE2290" s="1">
        <v>0</v>
      </c>
      <c r="BF2290" s="1">
        <v>0</v>
      </c>
      <c r="BG2290" s="1">
        <v>0</v>
      </c>
      <c r="BH2290" s="1">
        <v>1</v>
      </c>
      <c r="BI2290" s="1">
        <v>0</v>
      </c>
      <c r="BJ2290" s="1">
        <v>0</v>
      </c>
      <c r="BK2290" s="1">
        <v>0</v>
      </c>
      <c r="BL2290" s="1">
        <v>0</v>
      </c>
      <c r="BM2290" s="1">
        <v>0</v>
      </c>
      <c r="BN2290" s="1">
        <v>0</v>
      </c>
      <c r="BO2290" s="1">
        <v>0</v>
      </c>
      <c r="BP2290" s="1">
        <v>0</v>
      </c>
      <c r="BQ2290" s="1">
        <v>0</v>
      </c>
      <c r="BR2290" s="1">
        <v>0</v>
      </c>
      <c r="BS2290" s="1" t="s">
        <v>109</v>
      </c>
      <c r="BT2290" s="1">
        <v>2378</v>
      </c>
      <c r="BU2290" s="1">
        <v>250</v>
      </c>
      <c r="BV2290" s="1"/>
      <c r="BW2290" s="1"/>
      <c r="BX2290" s="1"/>
      <c r="BY2290" s="1"/>
      <c r="BZ2290" s="1">
        <v>0</v>
      </c>
      <c r="CA2290" s="1" t="s">
        <v>109</v>
      </c>
      <c r="CB2290" s="1" t="s">
        <v>109</v>
      </c>
      <c r="CC2290" s="1" t="s">
        <v>109</v>
      </c>
      <c r="CD2290" s="1" t="s">
        <v>109</v>
      </c>
      <c r="CE2290" s="1" t="s">
        <v>109</v>
      </c>
      <c r="CF2290" s="1" t="s">
        <v>109</v>
      </c>
      <c r="CG2290" s="1" t="s">
        <v>109</v>
      </c>
      <c r="CH2290" s="1" t="s">
        <v>109</v>
      </c>
      <c r="CI2290" s="1" t="s">
        <v>109</v>
      </c>
      <c r="CJ2290" s="1" t="s">
        <v>109</v>
      </c>
      <c r="CK2290" s="1"/>
      <c r="CL2290" s="1">
        <v>0</v>
      </c>
      <c r="CM2290" s="1">
        <v>0</v>
      </c>
      <c r="CN2290" s="1">
        <v>0</v>
      </c>
    </row>
    <row r="2291" spans="1:92" ht="14.25" customHeight="1" x14ac:dyDescent="0.15">
      <c r="A2291" s="1" t="s">
        <v>16417</v>
      </c>
      <c r="B2291" s="1" t="s">
        <v>254</v>
      </c>
      <c r="C2291" s="1"/>
      <c r="D2291" s="1"/>
      <c r="E2291" s="1" t="s">
        <v>16418</v>
      </c>
      <c r="F2291" s="1" t="s">
        <v>355</v>
      </c>
      <c r="G2291" s="1" t="s">
        <v>141</v>
      </c>
      <c r="H2291" s="1">
        <v>0</v>
      </c>
      <c r="I2291" s="1" t="s">
        <v>142</v>
      </c>
      <c r="J2291" s="1"/>
      <c r="K2291" s="1"/>
      <c r="L2291" s="1" t="s">
        <v>16419</v>
      </c>
      <c r="M2291" s="1" t="s">
        <v>5642</v>
      </c>
      <c r="N2291" s="1">
        <v>0</v>
      </c>
      <c r="O2291" s="1">
        <v>0</v>
      </c>
      <c r="P2291" s="1" t="s">
        <v>103</v>
      </c>
      <c r="Q2291" s="1" t="s">
        <v>268</v>
      </c>
      <c r="R2291" s="1" t="s">
        <v>16420</v>
      </c>
      <c r="S2291" s="1" t="s">
        <v>16421</v>
      </c>
      <c r="T2291" s="1" t="s">
        <v>16345</v>
      </c>
      <c r="U2291" s="1" t="s">
        <v>16422</v>
      </c>
      <c r="V2291" s="1">
        <v>1</v>
      </c>
      <c r="W2291" s="1">
        <v>1</v>
      </c>
      <c r="X2291" s="1">
        <v>0</v>
      </c>
      <c r="Y2291" s="1">
        <v>0</v>
      </c>
      <c r="Z2291" s="1">
        <v>0</v>
      </c>
      <c r="AA2291" s="1">
        <v>1</v>
      </c>
      <c r="AB2291" s="1">
        <v>1</v>
      </c>
      <c r="AC2291" s="1" t="s">
        <v>109</v>
      </c>
      <c r="AD2291" s="1" t="s">
        <v>109</v>
      </c>
      <c r="AE2291" s="1" t="s">
        <v>109</v>
      </c>
      <c r="AF2291" s="1">
        <v>1</v>
      </c>
      <c r="AG2291" s="1" t="s">
        <v>109</v>
      </c>
      <c r="AH2291" s="1" t="s">
        <v>109</v>
      </c>
      <c r="AI2291" s="1" t="s">
        <v>109</v>
      </c>
      <c r="AJ2291" s="1">
        <v>1</v>
      </c>
      <c r="AK2291" s="1" t="s">
        <v>109</v>
      </c>
      <c r="AL2291" s="1" t="s">
        <v>109</v>
      </c>
      <c r="AM2291" s="1" t="s">
        <v>109</v>
      </c>
      <c r="AN2291" s="1" t="s">
        <v>109</v>
      </c>
      <c r="AO2291" s="1" t="s">
        <v>109</v>
      </c>
      <c r="AP2291" s="1"/>
      <c r="AQ2291" s="1">
        <v>1</v>
      </c>
      <c r="AR2291" s="1"/>
      <c r="AS2291" s="1"/>
      <c r="AT2291" s="1">
        <v>0</v>
      </c>
      <c r="AU2291" s="1">
        <v>0</v>
      </c>
      <c r="AV2291" s="1">
        <v>0</v>
      </c>
      <c r="AW2291" s="1">
        <v>0</v>
      </c>
      <c r="AX2291" s="1">
        <v>0</v>
      </c>
      <c r="AY2291" s="1">
        <v>0</v>
      </c>
      <c r="AZ2291" s="1">
        <v>0</v>
      </c>
      <c r="BA2291" s="1">
        <v>0</v>
      </c>
      <c r="BB2291" s="1">
        <v>0</v>
      </c>
      <c r="BC2291" s="1">
        <v>0</v>
      </c>
      <c r="BD2291" s="1">
        <v>0</v>
      </c>
      <c r="BE2291" s="1">
        <v>0</v>
      </c>
      <c r="BF2291" s="1">
        <v>0</v>
      </c>
      <c r="BG2291" s="1">
        <v>0</v>
      </c>
      <c r="BH2291" s="1">
        <v>0</v>
      </c>
      <c r="BI2291" s="1">
        <v>0</v>
      </c>
      <c r="BJ2291" s="1">
        <v>0</v>
      </c>
      <c r="BK2291" s="1">
        <v>0</v>
      </c>
      <c r="BL2291" s="1">
        <v>0</v>
      </c>
      <c r="BM2291" s="1">
        <v>0</v>
      </c>
      <c r="BN2291" s="1">
        <v>0</v>
      </c>
      <c r="BO2291" s="1">
        <v>0</v>
      </c>
      <c r="BP2291" s="1">
        <v>0</v>
      </c>
      <c r="BQ2291" s="1">
        <v>0</v>
      </c>
      <c r="BR2291" s="1">
        <v>0</v>
      </c>
      <c r="BS2291" s="1" t="s">
        <v>109</v>
      </c>
      <c r="BT2291" s="1">
        <v>2379</v>
      </c>
      <c r="BU2291" s="1" t="s">
        <v>109</v>
      </c>
      <c r="BV2291" s="1"/>
      <c r="BW2291" s="1"/>
      <c r="BX2291" s="1"/>
      <c r="BY2291" s="1"/>
      <c r="BZ2291" s="1">
        <v>0</v>
      </c>
      <c r="CA2291" s="1" t="s">
        <v>109</v>
      </c>
      <c r="CB2291" s="1">
        <v>1</v>
      </c>
      <c r="CC2291" s="1">
        <v>1</v>
      </c>
      <c r="CD2291" s="1">
        <v>1</v>
      </c>
      <c r="CE2291" s="1">
        <v>1</v>
      </c>
      <c r="CF2291" s="1">
        <v>1</v>
      </c>
      <c r="CG2291" s="1" t="s">
        <v>109</v>
      </c>
      <c r="CH2291" s="1" t="s">
        <v>109</v>
      </c>
      <c r="CI2291" s="1" t="s">
        <v>109</v>
      </c>
      <c r="CJ2291" s="1" t="s">
        <v>109</v>
      </c>
      <c r="CK2291" s="1"/>
      <c r="CL2291" s="1">
        <v>0</v>
      </c>
      <c r="CM2291" s="1">
        <v>0</v>
      </c>
      <c r="CN2291" s="1">
        <v>0</v>
      </c>
    </row>
    <row r="2292" spans="1:92" ht="14.25" customHeight="1" x14ac:dyDescent="0.15">
      <c r="A2292" s="1" t="s">
        <v>16423</v>
      </c>
      <c r="B2292" s="1" t="s">
        <v>189</v>
      </c>
      <c r="C2292" s="1"/>
      <c r="D2292" s="1"/>
      <c r="E2292" s="1" t="s">
        <v>16424</v>
      </c>
      <c r="F2292" s="1" t="s">
        <v>98</v>
      </c>
      <c r="G2292" s="1" t="s">
        <v>141</v>
      </c>
      <c r="H2292" s="1">
        <v>0</v>
      </c>
      <c r="I2292" s="1" t="s">
        <v>161</v>
      </c>
      <c r="J2292" s="1"/>
      <c r="K2292" s="1"/>
      <c r="L2292" s="1" t="s">
        <v>16425</v>
      </c>
      <c r="M2292" s="1" t="s">
        <v>3042</v>
      </c>
      <c r="N2292" s="1">
        <v>0</v>
      </c>
      <c r="O2292" s="1">
        <v>0</v>
      </c>
      <c r="P2292" s="1" t="s">
        <v>267</v>
      </c>
      <c r="Q2292" s="1" t="s">
        <v>104</v>
      </c>
      <c r="R2292" s="1" t="s">
        <v>16426</v>
      </c>
      <c r="S2292" s="1" t="s">
        <v>16427</v>
      </c>
      <c r="T2292" s="1" t="s">
        <v>16345</v>
      </c>
      <c r="U2292" s="1" t="s">
        <v>16428</v>
      </c>
      <c r="V2292" s="1">
        <v>1</v>
      </c>
      <c r="W2292" s="1">
        <v>1</v>
      </c>
      <c r="X2292" s="1">
        <v>0</v>
      </c>
      <c r="Y2292" s="1">
        <v>0</v>
      </c>
      <c r="Z2292" s="1">
        <v>0</v>
      </c>
      <c r="AA2292" s="1">
        <v>2</v>
      </c>
      <c r="AB2292" s="1">
        <v>2</v>
      </c>
      <c r="AC2292" s="1" t="s">
        <v>109</v>
      </c>
      <c r="AD2292" s="1" t="s">
        <v>109</v>
      </c>
      <c r="AE2292" s="1" t="s">
        <v>109</v>
      </c>
      <c r="AF2292" s="1" t="s">
        <v>109</v>
      </c>
      <c r="AG2292" s="1" t="s">
        <v>109</v>
      </c>
      <c r="AH2292" s="1" t="s">
        <v>109</v>
      </c>
      <c r="AI2292" s="1" t="s">
        <v>109</v>
      </c>
      <c r="AJ2292" s="1">
        <v>2</v>
      </c>
      <c r="AK2292" s="1" t="s">
        <v>109</v>
      </c>
      <c r="AL2292" s="1" t="s">
        <v>109</v>
      </c>
      <c r="AM2292" s="1" t="s">
        <v>109</v>
      </c>
      <c r="AN2292" s="1">
        <v>2</v>
      </c>
      <c r="AO2292" s="1" t="s">
        <v>109</v>
      </c>
      <c r="AP2292" s="1"/>
      <c r="AQ2292" s="1">
        <v>2</v>
      </c>
      <c r="AR2292" s="1"/>
      <c r="AS2292" s="1"/>
      <c r="AT2292" s="1">
        <v>0</v>
      </c>
      <c r="AU2292" s="1">
        <v>0</v>
      </c>
      <c r="AV2292" s="1">
        <v>0</v>
      </c>
      <c r="AW2292" s="1">
        <v>0</v>
      </c>
      <c r="AX2292" s="1">
        <v>0</v>
      </c>
      <c r="AY2292" s="1">
        <v>0</v>
      </c>
      <c r="AZ2292" s="1">
        <v>0</v>
      </c>
      <c r="BA2292" s="1">
        <v>0</v>
      </c>
      <c r="BB2292" s="1">
        <v>0</v>
      </c>
      <c r="BC2292" s="1">
        <v>0</v>
      </c>
      <c r="BD2292" s="1">
        <v>0</v>
      </c>
      <c r="BE2292" s="1">
        <v>0</v>
      </c>
      <c r="BF2292" s="1">
        <v>0</v>
      </c>
      <c r="BG2292" s="1">
        <v>0</v>
      </c>
      <c r="BH2292" s="1">
        <v>0</v>
      </c>
      <c r="BI2292" s="1">
        <v>0</v>
      </c>
      <c r="BJ2292" s="1">
        <v>0</v>
      </c>
      <c r="BK2292" s="1">
        <v>0</v>
      </c>
      <c r="BL2292" s="1">
        <v>0</v>
      </c>
      <c r="BM2292" s="1">
        <v>0</v>
      </c>
      <c r="BN2292" s="1">
        <v>0</v>
      </c>
      <c r="BO2292" s="1">
        <v>0</v>
      </c>
      <c r="BP2292" s="1">
        <v>0</v>
      </c>
      <c r="BQ2292" s="1">
        <v>0</v>
      </c>
      <c r="BR2292" s="1">
        <v>0</v>
      </c>
      <c r="BS2292" s="1" t="s">
        <v>109</v>
      </c>
      <c r="BT2292" s="1">
        <v>2380</v>
      </c>
      <c r="BU2292" s="1" t="s">
        <v>109</v>
      </c>
      <c r="BV2292" s="1"/>
      <c r="BW2292" s="1"/>
      <c r="BX2292" s="1"/>
      <c r="BY2292" s="1"/>
      <c r="BZ2292" s="1">
        <v>0</v>
      </c>
      <c r="CA2292" s="1">
        <v>2</v>
      </c>
      <c r="CB2292" s="1">
        <v>2</v>
      </c>
      <c r="CC2292" s="1">
        <v>2</v>
      </c>
      <c r="CD2292" s="1" t="s">
        <v>109</v>
      </c>
      <c r="CE2292" s="1" t="s">
        <v>109</v>
      </c>
      <c r="CF2292" s="1">
        <v>2</v>
      </c>
      <c r="CG2292" s="1" t="s">
        <v>109</v>
      </c>
      <c r="CH2292" s="1" t="s">
        <v>109</v>
      </c>
      <c r="CI2292" s="1" t="s">
        <v>109</v>
      </c>
      <c r="CJ2292" s="1" t="s">
        <v>109</v>
      </c>
      <c r="CK2292" s="1"/>
      <c r="CL2292" s="1">
        <v>0</v>
      </c>
      <c r="CM2292" s="1">
        <v>0</v>
      </c>
      <c r="CN2292" s="1">
        <v>0</v>
      </c>
    </row>
    <row r="2293" spans="1:92" ht="14.25" customHeight="1" x14ac:dyDescent="0.15">
      <c r="A2293" s="1" t="s">
        <v>16429</v>
      </c>
      <c r="B2293" s="1" t="s">
        <v>189</v>
      </c>
      <c r="C2293" s="1"/>
      <c r="D2293" s="1"/>
      <c r="E2293" s="1" t="s">
        <v>16430</v>
      </c>
      <c r="F2293" s="1" t="s">
        <v>98</v>
      </c>
      <c r="G2293" s="1" t="s">
        <v>141</v>
      </c>
      <c r="H2293" s="1">
        <v>0</v>
      </c>
      <c r="I2293" s="1" t="s">
        <v>142</v>
      </c>
      <c r="J2293" s="1"/>
      <c r="K2293" s="1"/>
      <c r="L2293" s="1" t="s">
        <v>1643</v>
      </c>
      <c r="M2293" s="1" t="s">
        <v>5642</v>
      </c>
      <c r="N2293" s="1">
        <v>0</v>
      </c>
      <c r="O2293" s="1">
        <v>0</v>
      </c>
      <c r="P2293" s="1" t="s">
        <v>215</v>
      </c>
      <c r="Q2293" s="1" t="s">
        <v>216</v>
      </c>
      <c r="R2293" s="1" t="s">
        <v>16431</v>
      </c>
      <c r="S2293" s="1" t="s">
        <v>16432</v>
      </c>
      <c r="T2293" s="1" t="s">
        <v>16345</v>
      </c>
      <c r="U2293" s="1" t="s">
        <v>16433</v>
      </c>
      <c r="V2293" s="1">
        <v>1</v>
      </c>
      <c r="W2293" s="1">
        <v>1</v>
      </c>
      <c r="X2293" s="1">
        <v>0</v>
      </c>
      <c r="Y2293" s="1">
        <v>0</v>
      </c>
      <c r="Z2293" s="1">
        <v>0</v>
      </c>
      <c r="AA2293" s="1">
        <v>2</v>
      </c>
      <c r="AB2293" s="1">
        <v>2</v>
      </c>
      <c r="AC2293" s="1" t="s">
        <v>109</v>
      </c>
      <c r="AD2293" s="1" t="s">
        <v>109</v>
      </c>
      <c r="AE2293" s="1" t="s">
        <v>109</v>
      </c>
      <c r="AF2293" s="1" t="s">
        <v>109</v>
      </c>
      <c r="AG2293" s="1">
        <v>2</v>
      </c>
      <c r="AH2293" s="1" t="s">
        <v>109</v>
      </c>
      <c r="AI2293" s="1" t="s">
        <v>109</v>
      </c>
      <c r="AJ2293" s="1" t="s">
        <v>109</v>
      </c>
      <c r="AK2293" s="1">
        <v>3</v>
      </c>
      <c r="AL2293" s="1" t="s">
        <v>109</v>
      </c>
      <c r="AM2293" s="1" t="s">
        <v>109</v>
      </c>
      <c r="AN2293" s="1">
        <v>2</v>
      </c>
      <c r="AO2293" s="1" t="s">
        <v>109</v>
      </c>
      <c r="AP2293" s="1"/>
      <c r="AQ2293" s="1">
        <v>2</v>
      </c>
      <c r="AR2293" s="1"/>
      <c r="AS2293" s="1"/>
      <c r="AT2293" s="1">
        <v>0</v>
      </c>
      <c r="AU2293" s="1">
        <v>0</v>
      </c>
      <c r="AV2293" s="1">
        <v>0</v>
      </c>
      <c r="AW2293" s="1">
        <v>0</v>
      </c>
      <c r="AX2293" s="1">
        <v>0</v>
      </c>
      <c r="AY2293" s="1">
        <v>0</v>
      </c>
      <c r="AZ2293" s="1">
        <v>0</v>
      </c>
      <c r="BA2293" s="1">
        <v>0</v>
      </c>
      <c r="BB2293" s="1">
        <v>0</v>
      </c>
      <c r="BC2293" s="1">
        <v>0</v>
      </c>
      <c r="BD2293" s="1">
        <v>0</v>
      </c>
      <c r="BE2293" s="1">
        <v>0</v>
      </c>
      <c r="BF2293" s="1">
        <v>0</v>
      </c>
      <c r="BG2293" s="1">
        <v>0</v>
      </c>
      <c r="BH2293" s="1">
        <v>0</v>
      </c>
      <c r="BI2293" s="1">
        <v>0</v>
      </c>
      <c r="BJ2293" s="1">
        <v>0</v>
      </c>
      <c r="BK2293" s="1">
        <v>0</v>
      </c>
      <c r="BL2293" s="1">
        <v>0</v>
      </c>
      <c r="BM2293" s="1">
        <v>0</v>
      </c>
      <c r="BN2293" s="1">
        <v>0</v>
      </c>
      <c r="BO2293" s="1">
        <v>0</v>
      </c>
      <c r="BP2293" s="1">
        <v>0</v>
      </c>
      <c r="BQ2293" s="1">
        <v>0</v>
      </c>
      <c r="BR2293" s="1">
        <v>0</v>
      </c>
      <c r="BS2293" s="1" t="s">
        <v>109</v>
      </c>
      <c r="BT2293" s="1">
        <v>2381</v>
      </c>
      <c r="BU2293" s="1" t="s">
        <v>109</v>
      </c>
      <c r="BV2293" s="1"/>
      <c r="BW2293" s="1"/>
      <c r="BX2293" s="1"/>
      <c r="BY2293" s="1"/>
      <c r="BZ2293" s="1">
        <v>0</v>
      </c>
      <c r="CA2293" s="1">
        <v>2</v>
      </c>
      <c r="CB2293" s="1" t="s">
        <v>109</v>
      </c>
      <c r="CC2293" s="1" t="s">
        <v>109</v>
      </c>
      <c r="CD2293" s="1" t="s">
        <v>109</v>
      </c>
      <c r="CE2293" s="1" t="s">
        <v>109</v>
      </c>
      <c r="CF2293" s="1">
        <v>2</v>
      </c>
      <c r="CG2293" s="1" t="s">
        <v>109</v>
      </c>
      <c r="CH2293" s="1" t="s">
        <v>109</v>
      </c>
      <c r="CI2293" s="1" t="s">
        <v>109</v>
      </c>
      <c r="CJ2293" s="1" t="s">
        <v>109</v>
      </c>
      <c r="CK2293" s="1"/>
      <c r="CL2293" s="1">
        <v>0</v>
      </c>
      <c r="CM2293" s="1">
        <v>0</v>
      </c>
      <c r="CN2293" s="1">
        <v>0</v>
      </c>
    </row>
    <row r="2294" spans="1:92" ht="14.25" customHeight="1" x14ac:dyDescent="0.15">
      <c r="A2294" s="1" t="s">
        <v>16434</v>
      </c>
      <c r="B2294" s="1" t="s">
        <v>95</v>
      </c>
      <c r="C2294" s="1" t="s">
        <v>694</v>
      </c>
      <c r="D2294" s="1" t="s">
        <v>61</v>
      </c>
      <c r="E2294" s="1" t="s">
        <v>16435</v>
      </c>
      <c r="F2294" s="1" t="s">
        <v>355</v>
      </c>
      <c r="G2294" s="1" t="s">
        <v>16436</v>
      </c>
      <c r="H2294" s="1">
        <v>0</v>
      </c>
      <c r="I2294" s="1" t="s">
        <v>161</v>
      </c>
      <c r="J2294" s="1"/>
      <c r="K2294" s="1"/>
      <c r="L2294" s="1" t="s">
        <v>506</v>
      </c>
      <c r="M2294" s="1" t="s">
        <v>10188</v>
      </c>
      <c r="N2294" s="1">
        <v>0</v>
      </c>
      <c r="O2294" s="1">
        <v>0</v>
      </c>
      <c r="P2294" s="1" t="s">
        <v>507</v>
      </c>
      <c r="Q2294" s="1" t="s">
        <v>167</v>
      </c>
      <c r="R2294" s="1" t="s">
        <v>16437</v>
      </c>
      <c r="S2294" s="1" t="s">
        <v>16438</v>
      </c>
      <c r="T2294" s="1" t="s">
        <v>16345</v>
      </c>
      <c r="U2294" s="1" t="s">
        <v>16439</v>
      </c>
      <c r="V2294" s="1">
        <v>1</v>
      </c>
      <c r="W2294" s="1">
        <v>1</v>
      </c>
      <c r="X2294" s="1">
        <v>1</v>
      </c>
      <c r="Y2294" s="1">
        <v>0</v>
      </c>
      <c r="Z2294" s="1">
        <v>0</v>
      </c>
      <c r="AA2294" s="1">
        <v>1</v>
      </c>
      <c r="AB2294" s="1">
        <v>1</v>
      </c>
      <c r="AC2294" s="1">
        <v>1</v>
      </c>
      <c r="AD2294" s="1" t="s">
        <v>109</v>
      </c>
      <c r="AE2294" s="1" t="s">
        <v>109</v>
      </c>
      <c r="AF2294" s="1" t="s">
        <v>109</v>
      </c>
      <c r="AG2294" s="1" t="s">
        <v>109</v>
      </c>
      <c r="AH2294" s="1" t="s">
        <v>109</v>
      </c>
      <c r="AI2294" s="1">
        <v>1</v>
      </c>
      <c r="AJ2294" s="1">
        <v>1</v>
      </c>
      <c r="AK2294" s="1" t="s">
        <v>109</v>
      </c>
      <c r="AL2294" s="1">
        <v>1</v>
      </c>
      <c r="AM2294" s="1" t="s">
        <v>109</v>
      </c>
      <c r="AN2294" s="1">
        <v>1</v>
      </c>
      <c r="AO2294" s="1" t="s">
        <v>109</v>
      </c>
      <c r="AP2294" s="1"/>
      <c r="AQ2294" s="1">
        <v>1</v>
      </c>
      <c r="AR2294" s="1"/>
      <c r="AS2294" s="1"/>
      <c r="AT2294" s="1">
        <v>0</v>
      </c>
      <c r="AU2294" s="1">
        <v>0</v>
      </c>
      <c r="AV2294" s="1">
        <v>0</v>
      </c>
      <c r="AW2294" s="1">
        <v>0</v>
      </c>
      <c r="AX2294" s="1">
        <v>0</v>
      </c>
      <c r="AY2294" s="1">
        <v>0</v>
      </c>
      <c r="AZ2294" s="1">
        <v>0</v>
      </c>
      <c r="BA2294" s="1">
        <v>0</v>
      </c>
      <c r="BB2294" s="1">
        <v>0</v>
      </c>
      <c r="BC2294" s="1">
        <v>0</v>
      </c>
      <c r="BD2294" s="1">
        <v>0</v>
      </c>
      <c r="BE2294" s="1">
        <v>0</v>
      </c>
      <c r="BF2294" s="1">
        <v>0</v>
      </c>
      <c r="BG2294" s="1">
        <v>0</v>
      </c>
      <c r="BH2294" s="1">
        <v>0</v>
      </c>
      <c r="BI2294" s="1">
        <v>1</v>
      </c>
      <c r="BJ2294" s="1">
        <v>0</v>
      </c>
      <c r="BK2294" s="1">
        <v>0</v>
      </c>
      <c r="BL2294" s="1">
        <v>0</v>
      </c>
      <c r="BM2294" s="1">
        <v>0</v>
      </c>
      <c r="BN2294" s="1">
        <v>0</v>
      </c>
      <c r="BO2294" s="1">
        <v>0</v>
      </c>
      <c r="BP2294" s="1">
        <v>0</v>
      </c>
      <c r="BQ2294" s="1">
        <v>0</v>
      </c>
      <c r="BR2294" s="1">
        <v>0</v>
      </c>
      <c r="BS2294" s="1" t="s">
        <v>109</v>
      </c>
      <c r="BT2294" s="1">
        <v>2382</v>
      </c>
      <c r="BU2294" s="1" t="s">
        <v>109</v>
      </c>
      <c r="BV2294" s="1"/>
      <c r="BW2294" s="1"/>
      <c r="BX2294" s="1"/>
      <c r="BY2294" s="1"/>
      <c r="BZ2294" s="1">
        <v>0</v>
      </c>
      <c r="CA2294" s="1">
        <v>1</v>
      </c>
      <c r="CB2294" s="1" t="s">
        <v>109</v>
      </c>
      <c r="CC2294" s="1" t="s">
        <v>109</v>
      </c>
      <c r="CD2294" s="1" t="s">
        <v>109</v>
      </c>
      <c r="CE2294" s="1" t="s">
        <v>109</v>
      </c>
      <c r="CF2294" s="1" t="s">
        <v>109</v>
      </c>
      <c r="CG2294" s="1" t="s">
        <v>109</v>
      </c>
      <c r="CH2294" s="1" t="s">
        <v>109</v>
      </c>
      <c r="CI2294" s="1" t="s">
        <v>109</v>
      </c>
      <c r="CJ2294" s="1" t="s">
        <v>109</v>
      </c>
      <c r="CK2294" s="1"/>
      <c r="CL2294" s="1">
        <v>0</v>
      </c>
      <c r="CM2294" s="1">
        <v>0</v>
      </c>
      <c r="CN2294" s="1">
        <v>0</v>
      </c>
    </row>
    <row r="2295" spans="1:92" ht="14.25" customHeight="1" x14ac:dyDescent="0.15">
      <c r="A2295" s="1" t="s">
        <v>16440</v>
      </c>
      <c r="B2295" s="1" t="s">
        <v>95</v>
      </c>
      <c r="C2295" s="1" t="s">
        <v>694</v>
      </c>
      <c r="D2295" s="1" t="s">
        <v>61</v>
      </c>
      <c r="E2295" s="1" t="s">
        <v>16441</v>
      </c>
      <c r="F2295" s="1" t="s">
        <v>355</v>
      </c>
      <c r="G2295" s="1" t="s">
        <v>16436</v>
      </c>
      <c r="H2295" s="1">
        <v>0</v>
      </c>
      <c r="I2295" s="1" t="s">
        <v>161</v>
      </c>
      <c r="J2295" s="1"/>
      <c r="K2295" s="1"/>
      <c r="L2295" s="1" t="s">
        <v>506</v>
      </c>
      <c r="M2295" s="1" t="s">
        <v>10188</v>
      </c>
      <c r="N2295" s="1">
        <v>0</v>
      </c>
      <c r="O2295" s="1">
        <v>0</v>
      </c>
      <c r="P2295" s="1" t="s">
        <v>507</v>
      </c>
      <c r="Q2295" s="1" t="s">
        <v>167</v>
      </c>
      <c r="R2295" s="1" t="s">
        <v>16442</v>
      </c>
      <c r="S2295" s="1" t="s">
        <v>16443</v>
      </c>
      <c r="T2295" s="1" t="s">
        <v>16345</v>
      </c>
      <c r="U2295" s="1" t="s">
        <v>16444</v>
      </c>
      <c r="V2295" s="1">
        <v>1</v>
      </c>
      <c r="W2295" s="1">
        <v>1</v>
      </c>
      <c r="X2295" s="1">
        <v>1</v>
      </c>
      <c r="Y2295" s="1">
        <v>0</v>
      </c>
      <c r="Z2295" s="1">
        <v>0</v>
      </c>
      <c r="AA2295" s="1">
        <v>4</v>
      </c>
      <c r="AB2295" s="1">
        <v>4</v>
      </c>
      <c r="AC2295" s="1">
        <v>4</v>
      </c>
      <c r="AD2295" s="1" t="s">
        <v>109</v>
      </c>
      <c r="AE2295" s="1" t="s">
        <v>109</v>
      </c>
      <c r="AF2295" s="1" t="s">
        <v>109</v>
      </c>
      <c r="AG2295" s="1" t="s">
        <v>109</v>
      </c>
      <c r="AH2295" s="1" t="s">
        <v>109</v>
      </c>
      <c r="AI2295" s="1">
        <v>4</v>
      </c>
      <c r="AJ2295" s="1">
        <v>4</v>
      </c>
      <c r="AK2295" s="1" t="s">
        <v>109</v>
      </c>
      <c r="AL2295" s="1">
        <v>4</v>
      </c>
      <c r="AM2295" s="1" t="s">
        <v>109</v>
      </c>
      <c r="AN2295" s="1">
        <v>4</v>
      </c>
      <c r="AO2295" s="1" t="s">
        <v>109</v>
      </c>
      <c r="AP2295" s="1"/>
      <c r="AQ2295" s="1">
        <v>4</v>
      </c>
      <c r="AR2295" s="1"/>
      <c r="AS2295" s="1"/>
      <c r="AT2295" s="1">
        <v>0</v>
      </c>
      <c r="AU2295" s="1">
        <v>0</v>
      </c>
      <c r="AV2295" s="1">
        <v>0</v>
      </c>
      <c r="AW2295" s="1">
        <v>0</v>
      </c>
      <c r="AX2295" s="1">
        <v>0</v>
      </c>
      <c r="AY2295" s="1">
        <v>0</v>
      </c>
      <c r="AZ2295" s="1">
        <v>0</v>
      </c>
      <c r="BA2295" s="1">
        <v>0</v>
      </c>
      <c r="BB2295" s="1">
        <v>0</v>
      </c>
      <c r="BC2295" s="1">
        <v>0</v>
      </c>
      <c r="BD2295" s="1">
        <v>0</v>
      </c>
      <c r="BE2295" s="1">
        <v>0</v>
      </c>
      <c r="BF2295" s="1">
        <v>0</v>
      </c>
      <c r="BG2295" s="1">
        <v>0</v>
      </c>
      <c r="BH2295" s="1">
        <v>0</v>
      </c>
      <c r="BI2295" s="1">
        <v>1</v>
      </c>
      <c r="BJ2295" s="1">
        <v>0</v>
      </c>
      <c r="BK2295" s="1">
        <v>0</v>
      </c>
      <c r="BL2295" s="1">
        <v>0</v>
      </c>
      <c r="BM2295" s="1">
        <v>0</v>
      </c>
      <c r="BN2295" s="1">
        <v>0</v>
      </c>
      <c r="BO2295" s="1">
        <v>0</v>
      </c>
      <c r="BP2295" s="1">
        <v>0</v>
      </c>
      <c r="BQ2295" s="1">
        <v>0</v>
      </c>
      <c r="BR2295" s="1">
        <v>0</v>
      </c>
      <c r="BS2295" s="1" t="s">
        <v>109</v>
      </c>
      <c r="BT2295" s="1">
        <v>2383</v>
      </c>
      <c r="BU2295" s="1" t="s">
        <v>109</v>
      </c>
      <c r="BV2295" s="1"/>
      <c r="BW2295" s="1"/>
      <c r="BX2295" s="1"/>
      <c r="BY2295" s="1"/>
      <c r="BZ2295" s="1">
        <v>0</v>
      </c>
      <c r="CA2295" s="1">
        <v>4</v>
      </c>
      <c r="CB2295" s="1" t="s">
        <v>109</v>
      </c>
      <c r="CC2295" s="1" t="s">
        <v>109</v>
      </c>
      <c r="CD2295" s="1" t="s">
        <v>109</v>
      </c>
      <c r="CE2295" s="1" t="s">
        <v>109</v>
      </c>
      <c r="CF2295" s="1" t="s">
        <v>109</v>
      </c>
      <c r="CG2295" s="1" t="s">
        <v>109</v>
      </c>
      <c r="CH2295" s="1" t="s">
        <v>109</v>
      </c>
      <c r="CI2295" s="1" t="s">
        <v>109</v>
      </c>
      <c r="CJ2295" s="1" t="s">
        <v>109</v>
      </c>
      <c r="CK2295" s="1"/>
      <c r="CL2295" s="1">
        <v>0</v>
      </c>
      <c r="CM2295" s="1">
        <v>0</v>
      </c>
      <c r="CN2295" s="1">
        <v>0</v>
      </c>
    </row>
    <row r="2296" spans="1:92" ht="14.25" customHeight="1" x14ac:dyDescent="0.15">
      <c r="A2296" s="1" t="s">
        <v>16445</v>
      </c>
      <c r="B2296" s="1" t="s">
        <v>189</v>
      </c>
      <c r="C2296" s="1"/>
      <c r="D2296" s="1"/>
      <c r="E2296" s="1" t="s">
        <v>4045</v>
      </c>
      <c r="F2296" s="1" t="s">
        <v>395</v>
      </c>
      <c r="G2296" s="1" t="s">
        <v>16446</v>
      </c>
      <c r="H2296" s="1">
        <v>1</v>
      </c>
      <c r="I2296" s="1" t="s">
        <v>161</v>
      </c>
      <c r="J2296" s="1"/>
      <c r="K2296" s="1"/>
      <c r="L2296" s="1" t="s">
        <v>3910</v>
      </c>
      <c r="M2296" s="1" t="s">
        <v>144</v>
      </c>
      <c r="N2296" s="1">
        <v>0</v>
      </c>
      <c r="O2296" s="1">
        <v>0</v>
      </c>
      <c r="P2296" s="1" t="s">
        <v>2975</v>
      </c>
      <c r="Q2296" s="1" t="s">
        <v>167</v>
      </c>
      <c r="R2296" s="1" t="s">
        <v>16447</v>
      </c>
      <c r="S2296" s="1" t="s">
        <v>16448</v>
      </c>
      <c r="T2296" s="1" t="s">
        <v>16345</v>
      </c>
      <c r="U2296" s="1" t="s">
        <v>16449</v>
      </c>
      <c r="V2296" s="1">
        <v>1</v>
      </c>
      <c r="W2296" s="1">
        <v>1</v>
      </c>
      <c r="X2296" s="1">
        <v>1</v>
      </c>
      <c r="Y2296" s="1">
        <v>0</v>
      </c>
      <c r="Z2296" s="1">
        <v>1</v>
      </c>
      <c r="AA2296" s="1" t="s">
        <v>109</v>
      </c>
      <c r="AB2296" s="1" t="s">
        <v>109</v>
      </c>
      <c r="AC2296" s="1" t="s">
        <v>109</v>
      </c>
      <c r="AD2296" s="1">
        <v>6</v>
      </c>
      <c r="AE2296" s="1" t="s">
        <v>109</v>
      </c>
      <c r="AF2296" s="1" t="s">
        <v>109</v>
      </c>
      <c r="AG2296" s="1" t="s">
        <v>109</v>
      </c>
      <c r="AH2296" s="1" t="s">
        <v>109</v>
      </c>
      <c r="AI2296" s="1" t="s">
        <v>109</v>
      </c>
      <c r="AJ2296" s="1" t="s">
        <v>109</v>
      </c>
      <c r="AK2296" s="1" t="s">
        <v>109</v>
      </c>
      <c r="AL2296" s="1" t="s">
        <v>109</v>
      </c>
      <c r="AM2296" s="1" t="s">
        <v>109</v>
      </c>
      <c r="AN2296" s="1" t="s">
        <v>109</v>
      </c>
      <c r="AO2296" s="1" t="s">
        <v>109</v>
      </c>
      <c r="AP2296" s="1"/>
      <c r="AQ2296" s="1">
        <v>6</v>
      </c>
      <c r="AR2296" s="1"/>
      <c r="AS2296" s="1"/>
      <c r="AT2296" s="1">
        <v>0</v>
      </c>
      <c r="AU2296" s="1">
        <v>0</v>
      </c>
      <c r="AV2296" s="1">
        <v>0</v>
      </c>
      <c r="AW2296" s="1">
        <v>0</v>
      </c>
      <c r="AX2296" s="1">
        <v>0</v>
      </c>
      <c r="AY2296" s="1">
        <v>0</v>
      </c>
      <c r="AZ2296" s="1">
        <v>0</v>
      </c>
      <c r="BA2296" s="1">
        <v>0</v>
      </c>
      <c r="BB2296" s="1">
        <v>0</v>
      </c>
      <c r="BC2296" s="1">
        <v>0</v>
      </c>
      <c r="BD2296" s="1">
        <v>0</v>
      </c>
      <c r="BE2296" s="1">
        <v>0</v>
      </c>
      <c r="BF2296" s="1">
        <v>0</v>
      </c>
      <c r="BG2296" s="1">
        <v>0</v>
      </c>
      <c r="BH2296" s="1">
        <v>0</v>
      </c>
      <c r="BI2296" s="1">
        <v>0</v>
      </c>
      <c r="BJ2296" s="1">
        <v>0</v>
      </c>
      <c r="BK2296" s="1">
        <v>0</v>
      </c>
      <c r="BL2296" s="1">
        <v>0</v>
      </c>
      <c r="BM2296" s="1">
        <v>0</v>
      </c>
      <c r="BN2296" s="1">
        <v>0</v>
      </c>
      <c r="BO2296" s="1">
        <v>0</v>
      </c>
      <c r="BP2296" s="1">
        <v>0</v>
      </c>
      <c r="BQ2296" s="1">
        <v>0</v>
      </c>
      <c r="BR2296" s="1">
        <v>0</v>
      </c>
      <c r="BS2296" s="1" t="s">
        <v>109</v>
      </c>
      <c r="BT2296" s="1">
        <v>2384</v>
      </c>
      <c r="BU2296" s="1">
        <v>5000</v>
      </c>
      <c r="BV2296" s="1"/>
      <c r="BW2296" s="1"/>
      <c r="BX2296" s="1"/>
      <c r="BY2296" s="1"/>
      <c r="BZ2296" s="1">
        <v>0</v>
      </c>
      <c r="CA2296" s="1" t="s">
        <v>109</v>
      </c>
      <c r="CB2296" s="1" t="s">
        <v>109</v>
      </c>
      <c r="CC2296" s="1" t="s">
        <v>109</v>
      </c>
      <c r="CD2296" s="1" t="s">
        <v>109</v>
      </c>
      <c r="CE2296" s="1" t="s">
        <v>109</v>
      </c>
      <c r="CF2296" s="1" t="s">
        <v>109</v>
      </c>
      <c r="CG2296" s="1" t="s">
        <v>109</v>
      </c>
      <c r="CH2296" s="1" t="s">
        <v>109</v>
      </c>
      <c r="CI2296" s="1" t="s">
        <v>109</v>
      </c>
      <c r="CJ2296" s="1">
        <v>6</v>
      </c>
      <c r="CK2296" s="1"/>
      <c r="CL2296" s="1">
        <v>0</v>
      </c>
      <c r="CM2296" s="1">
        <v>0</v>
      </c>
      <c r="CN2296" s="1">
        <v>0</v>
      </c>
    </row>
    <row r="2297" spans="1:92" ht="14.25" customHeight="1" x14ac:dyDescent="0.15">
      <c r="A2297" s="1" t="s">
        <v>16450</v>
      </c>
      <c r="B2297" s="1" t="s">
        <v>189</v>
      </c>
      <c r="C2297" s="1"/>
      <c r="D2297" s="1" t="s">
        <v>61</v>
      </c>
      <c r="E2297" s="1" t="s">
        <v>3402</v>
      </c>
      <c r="F2297" s="1" t="s">
        <v>98</v>
      </c>
      <c r="G2297" s="1" t="s">
        <v>572</v>
      </c>
      <c r="H2297" s="1">
        <v>0</v>
      </c>
      <c r="I2297" s="1" t="s">
        <v>122</v>
      </c>
      <c r="J2297" s="1" t="s">
        <v>16451</v>
      </c>
      <c r="K2297" s="1"/>
      <c r="L2297" s="1"/>
      <c r="M2297" s="1" t="s">
        <v>574</v>
      </c>
      <c r="N2297" s="1">
        <v>1</v>
      </c>
      <c r="O2297" s="1">
        <v>0</v>
      </c>
      <c r="P2297" s="1" t="s">
        <v>103</v>
      </c>
      <c r="Q2297" s="1" t="s">
        <v>104</v>
      </c>
      <c r="R2297" s="1" t="s">
        <v>16452</v>
      </c>
      <c r="S2297" s="1" t="s">
        <v>16453</v>
      </c>
      <c r="T2297" s="1" t="s">
        <v>16345</v>
      </c>
      <c r="U2297" s="1" t="s">
        <v>16454</v>
      </c>
      <c r="V2297" s="1">
        <v>1</v>
      </c>
      <c r="W2297" s="1">
        <v>1</v>
      </c>
      <c r="X2297" s="1">
        <v>1</v>
      </c>
      <c r="Y2297" s="1">
        <v>0</v>
      </c>
      <c r="Z2297" s="1">
        <v>0</v>
      </c>
      <c r="AA2297" s="1">
        <v>6</v>
      </c>
      <c r="AB2297" s="1">
        <v>6</v>
      </c>
      <c r="AC2297" s="1" t="s">
        <v>109</v>
      </c>
      <c r="AD2297" s="1">
        <v>6</v>
      </c>
      <c r="AE2297" s="1" t="s">
        <v>109</v>
      </c>
      <c r="AF2297" s="1" t="s">
        <v>109</v>
      </c>
      <c r="AG2297" s="1" t="s">
        <v>109</v>
      </c>
      <c r="AH2297" s="1" t="s">
        <v>109</v>
      </c>
      <c r="AI2297" s="1" t="s">
        <v>109</v>
      </c>
      <c r="AJ2297" s="1" t="s">
        <v>109</v>
      </c>
      <c r="AK2297" s="1" t="s">
        <v>109</v>
      </c>
      <c r="AL2297" s="1" t="s">
        <v>109</v>
      </c>
      <c r="AM2297" s="1" t="s">
        <v>109</v>
      </c>
      <c r="AN2297" s="1" t="s">
        <v>109</v>
      </c>
      <c r="AO2297" s="1" t="s">
        <v>109</v>
      </c>
      <c r="AP2297" s="1"/>
      <c r="AQ2297" s="1">
        <v>6</v>
      </c>
      <c r="AR2297" s="1"/>
      <c r="AS2297" s="1"/>
      <c r="AT2297" s="1">
        <v>0</v>
      </c>
      <c r="AU2297" s="1">
        <v>0</v>
      </c>
      <c r="AV2297" s="1">
        <v>0</v>
      </c>
      <c r="AW2297" s="1">
        <v>0</v>
      </c>
      <c r="AX2297" s="1">
        <v>0</v>
      </c>
      <c r="AY2297" s="1">
        <v>0</v>
      </c>
      <c r="AZ2297" s="1">
        <v>0</v>
      </c>
      <c r="BA2297" s="1">
        <v>0</v>
      </c>
      <c r="BB2297" s="1">
        <v>0</v>
      </c>
      <c r="BC2297" s="1">
        <v>0</v>
      </c>
      <c r="BD2297" s="1">
        <v>0</v>
      </c>
      <c r="BE2297" s="1">
        <v>0</v>
      </c>
      <c r="BF2297" s="1">
        <v>0</v>
      </c>
      <c r="BG2297" s="1">
        <v>0</v>
      </c>
      <c r="BH2297" s="1">
        <v>0</v>
      </c>
      <c r="BI2297" s="1">
        <v>1</v>
      </c>
      <c r="BJ2297" s="1">
        <v>0</v>
      </c>
      <c r="BK2297" s="1">
        <v>0</v>
      </c>
      <c r="BL2297" s="1">
        <v>0</v>
      </c>
      <c r="BM2297" s="1">
        <v>0</v>
      </c>
      <c r="BN2297" s="1">
        <v>0</v>
      </c>
      <c r="BO2297" s="1">
        <v>0</v>
      </c>
      <c r="BP2297" s="1">
        <v>0</v>
      </c>
      <c r="BQ2297" s="1">
        <v>0</v>
      </c>
      <c r="BR2297" s="1">
        <v>0</v>
      </c>
      <c r="BS2297" s="1" t="s">
        <v>109</v>
      </c>
      <c r="BT2297" s="1">
        <v>2385</v>
      </c>
      <c r="BU2297" s="1" t="s">
        <v>109</v>
      </c>
      <c r="BV2297" s="1"/>
      <c r="BW2297" s="1"/>
      <c r="BX2297" s="1"/>
      <c r="BY2297" s="1"/>
      <c r="BZ2297" s="1">
        <v>0</v>
      </c>
      <c r="CA2297" s="1" t="s">
        <v>109</v>
      </c>
      <c r="CB2297" s="1" t="s">
        <v>109</v>
      </c>
      <c r="CC2297" s="1" t="s">
        <v>109</v>
      </c>
      <c r="CD2297" s="1" t="s">
        <v>109</v>
      </c>
      <c r="CE2297" s="1" t="s">
        <v>109</v>
      </c>
      <c r="CF2297" s="1" t="s">
        <v>109</v>
      </c>
      <c r="CG2297" s="1" t="s">
        <v>109</v>
      </c>
      <c r="CH2297" s="1" t="s">
        <v>109</v>
      </c>
      <c r="CI2297" s="1" t="s">
        <v>109</v>
      </c>
      <c r="CJ2297" s="1">
        <v>6</v>
      </c>
      <c r="CK2297" s="1"/>
      <c r="CL2297" s="1">
        <v>0</v>
      </c>
      <c r="CM2297" s="1">
        <v>0</v>
      </c>
      <c r="CN2297" s="1">
        <v>0</v>
      </c>
    </row>
    <row r="2298" spans="1:92" ht="14.25" customHeight="1" x14ac:dyDescent="0.15">
      <c r="A2298" s="1" t="s">
        <v>16455</v>
      </c>
      <c r="B2298" s="1" t="s">
        <v>189</v>
      </c>
      <c r="C2298" s="1"/>
      <c r="D2298" s="1"/>
      <c r="E2298" s="1" t="s">
        <v>16456</v>
      </c>
      <c r="F2298" s="1" t="s">
        <v>98</v>
      </c>
      <c r="G2298" s="1" t="s">
        <v>16457</v>
      </c>
      <c r="H2298" s="1">
        <v>0</v>
      </c>
      <c r="I2298" s="1" t="s">
        <v>142</v>
      </c>
      <c r="J2298" s="1"/>
      <c r="K2298" s="1"/>
      <c r="L2298" s="1" t="s">
        <v>16458</v>
      </c>
      <c r="M2298" s="1" t="s">
        <v>6144</v>
      </c>
      <c r="N2298" s="1">
        <v>1</v>
      </c>
      <c r="O2298" s="1">
        <v>0</v>
      </c>
      <c r="P2298" s="1" t="s">
        <v>629</v>
      </c>
      <c r="Q2298" s="1" t="s">
        <v>268</v>
      </c>
      <c r="R2298" s="1" t="s">
        <v>16459</v>
      </c>
      <c r="S2298" s="1" t="s">
        <v>16460</v>
      </c>
      <c r="T2298" s="1" t="s">
        <v>16345</v>
      </c>
      <c r="U2298" s="1" t="s">
        <v>16461</v>
      </c>
      <c r="V2298" s="1">
        <v>1</v>
      </c>
      <c r="W2298" s="1">
        <v>1</v>
      </c>
      <c r="X2298" s="1">
        <v>1</v>
      </c>
      <c r="Y2298" s="1">
        <v>0</v>
      </c>
      <c r="Z2298" s="1">
        <v>0</v>
      </c>
      <c r="AA2298" s="1">
        <v>7</v>
      </c>
      <c r="AB2298" s="1">
        <v>7</v>
      </c>
      <c r="AC2298" s="1">
        <v>7</v>
      </c>
      <c r="AD2298" s="1" t="s">
        <v>109</v>
      </c>
      <c r="AE2298" s="1" t="s">
        <v>109</v>
      </c>
      <c r="AF2298" s="1">
        <v>6</v>
      </c>
      <c r="AG2298" s="1" t="s">
        <v>109</v>
      </c>
      <c r="AH2298" s="1" t="s">
        <v>109</v>
      </c>
      <c r="AI2298" s="1" t="s">
        <v>109</v>
      </c>
      <c r="AJ2298" s="1">
        <v>7</v>
      </c>
      <c r="AK2298" s="1">
        <v>6</v>
      </c>
      <c r="AL2298" s="1">
        <v>7</v>
      </c>
      <c r="AM2298" s="1" t="s">
        <v>109</v>
      </c>
      <c r="AN2298" s="1" t="s">
        <v>109</v>
      </c>
      <c r="AO2298" s="1" t="s">
        <v>109</v>
      </c>
      <c r="AP2298" s="1"/>
      <c r="AQ2298" s="1">
        <v>7</v>
      </c>
      <c r="AR2298" s="1"/>
      <c r="AS2298" s="1"/>
      <c r="AT2298" s="1">
        <v>0</v>
      </c>
      <c r="AU2298" s="1">
        <v>0</v>
      </c>
      <c r="AV2298" s="1">
        <v>0</v>
      </c>
      <c r="AW2298" s="1">
        <v>0</v>
      </c>
      <c r="AX2298" s="1">
        <v>0</v>
      </c>
      <c r="AY2298" s="1">
        <v>0</v>
      </c>
      <c r="AZ2298" s="1">
        <v>0</v>
      </c>
      <c r="BA2298" s="1">
        <v>0</v>
      </c>
      <c r="BB2298" s="1">
        <v>0</v>
      </c>
      <c r="BC2298" s="1">
        <v>0</v>
      </c>
      <c r="BD2298" s="1">
        <v>0</v>
      </c>
      <c r="BE2298" s="1">
        <v>0</v>
      </c>
      <c r="BF2298" s="1">
        <v>0</v>
      </c>
      <c r="BG2298" s="1">
        <v>0</v>
      </c>
      <c r="BH2298" s="1">
        <v>0</v>
      </c>
      <c r="BI2298" s="1">
        <v>0</v>
      </c>
      <c r="BJ2298" s="1">
        <v>0</v>
      </c>
      <c r="BK2298" s="1">
        <v>0</v>
      </c>
      <c r="BL2298" s="1">
        <v>0</v>
      </c>
      <c r="BM2298" s="1">
        <v>0</v>
      </c>
      <c r="BN2298" s="1">
        <v>0</v>
      </c>
      <c r="BO2298" s="1">
        <v>0</v>
      </c>
      <c r="BP2298" s="1">
        <v>0</v>
      </c>
      <c r="BQ2298" s="1">
        <v>0</v>
      </c>
      <c r="BR2298" s="1">
        <v>0</v>
      </c>
      <c r="BS2298" s="1" t="s">
        <v>109</v>
      </c>
      <c r="BT2298" s="1">
        <v>2388</v>
      </c>
      <c r="BU2298" s="1" t="s">
        <v>109</v>
      </c>
      <c r="BV2298" s="1"/>
      <c r="BW2298" s="1"/>
      <c r="BX2298" s="1"/>
      <c r="BY2298" s="1"/>
      <c r="BZ2298" s="1">
        <v>0</v>
      </c>
      <c r="CA2298" s="1" t="s">
        <v>109</v>
      </c>
      <c r="CB2298" s="1">
        <v>7</v>
      </c>
      <c r="CC2298" s="1" t="s">
        <v>109</v>
      </c>
      <c r="CD2298" s="1" t="s">
        <v>109</v>
      </c>
      <c r="CE2298" s="1" t="s">
        <v>109</v>
      </c>
      <c r="CF2298" s="1">
        <v>6</v>
      </c>
      <c r="CG2298" s="1" t="s">
        <v>109</v>
      </c>
      <c r="CH2298" s="1" t="s">
        <v>109</v>
      </c>
      <c r="CI2298" s="1" t="s">
        <v>109</v>
      </c>
      <c r="CJ2298" s="1" t="s">
        <v>109</v>
      </c>
      <c r="CK2298" s="1"/>
      <c r="CL2298" s="1">
        <v>0</v>
      </c>
      <c r="CM2298" s="1">
        <v>0</v>
      </c>
      <c r="CN2298" s="1">
        <v>0</v>
      </c>
    </row>
    <row r="2299" spans="1:92" ht="14.25" customHeight="1" x14ac:dyDescent="0.15">
      <c r="A2299" s="1" t="s">
        <v>16462</v>
      </c>
      <c r="B2299" s="1" t="s">
        <v>189</v>
      </c>
      <c r="C2299" s="1"/>
      <c r="D2299" s="1"/>
      <c r="E2299" s="1" t="s">
        <v>16463</v>
      </c>
      <c r="F2299" s="1" t="s">
        <v>98</v>
      </c>
      <c r="G2299" s="1" t="s">
        <v>141</v>
      </c>
      <c r="H2299" s="1">
        <v>0</v>
      </c>
      <c r="I2299" s="1" t="s">
        <v>11928</v>
      </c>
      <c r="J2299" s="1"/>
      <c r="K2299" s="1"/>
      <c r="L2299" s="1" t="s">
        <v>16464</v>
      </c>
      <c r="M2299" s="1" t="s">
        <v>5642</v>
      </c>
      <c r="N2299" s="1">
        <v>0</v>
      </c>
      <c r="O2299" s="1">
        <v>0</v>
      </c>
      <c r="P2299" s="1" t="s">
        <v>16465</v>
      </c>
      <c r="Q2299" s="1" t="s">
        <v>104</v>
      </c>
      <c r="R2299" s="1" t="s">
        <v>16466</v>
      </c>
      <c r="S2299" s="1" t="s">
        <v>16467</v>
      </c>
      <c r="T2299" s="1" t="s">
        <v>16345</v>
      </c>
      <c r="U2299" s="1" t="s">
        <v>16468</v>
      </c>
      <c r="V2299" s="1">
        <v>1</v>
      </c>
      <c r="W2299" s="1">
        <v>1</v>
      </c>
      <c r="X2299" s="1">
        <v>0</v>
      </c>
      <c r="Y2299" s="1">
        <v>0</v>
      </c>
      <c r="Z2299" s="1">
        <v>0</v>
      </c>
      <c r="AA2299" s="1">
        <v>3</v>
      </c>
      <c r="AB2299" s="1">
        <v>3</v>
      </c>
      <c r="AC2299" s="1" t="s">
        <v>109</v>
      </c>
      <c r="AD2299" s="1" t="s">
        <v>109</v>
      </c>
      <c r="AE2299" s="1" t="s">
        <v>109</v>
      </c>
      <c r="AF2299" s="1">
        <v>3</v>
      </c>
      <c r="AG2299" s="1" t="s">
        <v>109</v>
      </c>
      <c r="AH2299" s="1" t="s">
        <v>109</v>
      </c>
      <c r="AI2299" s="1">
        <v>3</v>
      </c>
      <c r="AJ2299" s="1" t="s">
        <v>109</v>
      </c>
      <c r="AK2299" s="1" t="s">
        <v>109</v>
      </c>
      <c r="AL2299" s="1" t="s">
        <v>109</v>
      </c>
      <c r="AM2299" s="1" t="s">
        <v>109</v>
      </c>
      <c r="AN2299" s="1" t="s">
        <v>109</v>
      </c>
      <c r="AO2299" s="1" t="s">
        <v>109</v>
      </c>
      <c r="AP2299" s="1"/>
      <c r="AQ2299" s="1">
        <v>3</v>
      </c>
      <c r="AR2299" s="1"/>
      <c r="AS2299" s="1"/>
      <c r="AT2299" s="1">
        <v>0</v>
      </c>
      <c r="AU2299" s="1">
        <v>0</v>
      </c>
      <c r="AV2299" s="1">
        <v>0</v>
      </c>
      <c r="AW2299" s="1">
        <v>0</v>
      </c>
      <c r="AX2299" s="1">
        <v>0</v>
      </c>
      <c r="AY2299" s="1">
        <v>0</v>
      </c>
      <c r="AZ2299" s="1">
        <v>0</v>
      </c>
      <c r="BA2299" s="1">
        <v>0</v>
      </c>
      <c r="BB2299" s="1">
        <v>0</v>
      </c>
      <c r="BC2299" s="1">
        <v>0</v>
      </c>
      <c r="BD2299" s="1">
        <v>0</v>
      </c>
      <c r="BE2299" s="1">
        <v>0</v>
      </c>
      <c r="BF2299" s="1">
        <v>0</v>
      </c>
      <c r="BG2299" s="1">
        <v>0</v>
      </c>
      <c r="BH2299" s="1">
        <v>0</v>
      </c>
      <c r="BI2299" s="1">
        <v>0</v>
      </c>
      <c r="BJ2299" s="1">
        <v>0</v>
      </c>
      <c r="BK2299" s="1">
        <v>0</v>
      </c>
      <c r="BL2299" s="1">
        <v>0</v>
      </c>
      <c r="BM2299" s="1">
        <v>0</v>
      </c>
      <c r="BN2299" s="1">
        <v>0</v>
      </c>
      <c r="BO2299" s="1">
        <v>0</v>
      </c>
      <c r="BP2299" s="1">
        <v>0</v>
      </c>
      <c r="BQ2299" s="1">
        <v>0</v>
      </c>
      <c r="BR2299" s="1">
        <v>0</v>
      </c>
      <c r="BS2299" s="1" t="s">
        <v>109</v>
      </c>
      <c r="BT2299" s="1">
        <v>2389</v>
      </c>
      <c r="BU2299" s="1" t="s">
        <v>109</v>
      </c>
      <c r="BV2299" s="1"/>
      <c r="BW2299" s="1"/>
      <c r="BX2299" s="1"/>
      <c r="BY2299" s="1"/>
      <c r="BZ2299" s="1">
        <v>0</v>
      </c>
      <c r="CA2299" s="1" t="s">
        <v>109</v>
      </c>
      <c r="CB2299" s="1" t="s">
        <v>109</v>
      </c>
      <c r="CC2299" s="1">
        <v>3</v>
      </c>
      <c r="CD2299" s="1">
        <v>3</v>
      </c>
      <c r="CE2299" s="1" t="s">
        <v>109</v>
      </c>
      <c r="CF2299" s="1">
        <v>3</v>
      </c>
      <c r="CG2299" s="1">
        <v>3</v>
      </c>
      <c r="CH2299" s="1" t="s">
        <v>109</v>
      </c>
      <c r="CI2299" s="1" t="s">
        <v>109</v>
      </c>
      <c r="CJ2299" s="1" t="s">
        <v>109</v>
      </c>
      <c r="CK2299" s="1"/>
      <c r="CL2299" s="1">
        <v>0</v>
      </c>
      <c r="CM2299" s="1">
        <v>0</v>
      </c>
      <c r="CN2299" s="1">
        <v>0</v>
      </c>
    </row>
    <row r="2300" spans="1:92" ht="14.25" customHeight="1" x14ac:dyDescent="0.15">
      <c r="A2300" s="1" t="s">
        <v>16469</v>
      </c>
      <c r="B2300" s="1" t="s">
        <v>189</v>
      </c>
      <c r="C2300" s="1"/>
      <c r="D2300" s="1"/>
      <c r="E2300" s="1" t="s">
        <v>16470</v>
      </c>
      <c r="F2300" s="1" t="s">
        <v>98</v>
      </c>
      <c r="G2300" s="1" t="s">
        <v>16471</v>
      </c>
      <c r="H2300" s="1">
        <v>1</v>
      </c>
      <c r="I2300" s="1" t="s">
        <v>161</v>
      </c>
      <c r="J2300" s="1"/>
      <c r="K2300" s="1"/>
      <c r="L2300" s="1" t="s">
        <v>16472</v>
      </c>
      <c r="M2300" s="1" t="s">
        <v>6625</v>
      </c>
      <c r="N2300" s="1">
        <v>1</v>
      </c>
      <c r="O2300" s="1">
        <v>0</v>
      </c>
      <c r="P2300" s="1" t="s">
        <v>5812</v>
      </c>
      <c r="Q2300" s="1" t="s">
        <v>104</v>
      </c>
      <c r="R2300" s="1" t="s">
        <v>16473</v>
      </c>
      <c r="S2300" s="1" t="s">
        <v>16474</v>
      </c>
      <c r="T2300" s="1" t="s">
        <v>16345</v>
      </c>
      <c r="U2300" s="1" t="s">
        <v>16475</v>
      </c>
      <c r="V2300" s="1">
        <v>1</v>
      </c>
      <c r="W2300" s="1">
        <v>1</v>
      </c>
      <c r="X2300" s="1">
        <v>1</v>
      </c>
      <c r="Y2300" s="1">
        <v>0</v>
      </c>
      <c r="Z2300" s="1">
        <v>0</v>
      </c>
      <c r="AA2300" s="1">
        <v>5</v>
      </c>
      <c r="AB2300" s="1">
        <v>5</v>
      </c>
      <c r="AC2300" s="1" t="s">
        <v>109</v>
      </c>
      <c r="AD2300" s="1" t="s">
        <v>109</v>
      </c>
      <c r="AE2300" s="1" t="s">
        <v>109</v>
      </c>
      <c r="AF2300" s="1" t="s">
        <v>109</v>
      </c>
      <c r="AG2300" s="1" t="s">
        <v>109</v>
      </c>
      <c r="AH2300" s="1">
        <v>4</v>
      </c>
      <c r="AI2300" s="1">
        <v>6</v>
      </c>
      <c r="AJ2300" s="1" t="s">
        <v>109</v>
      </c>
      <c r="AK2300" s="1" t="s">
        <v>109</v>
      </c>
      <c r="AL2300" s="1" t="s">
        <v>109</v>
      </c>
      <c r="AM2300" s="1" t="s">
        <v>109</v>
      </c>
      <c r="AN2300" s="1" t="s">
        <v>109</v>
      </c>
      <c r="AO2300" s="1" t="s">
        <v>109</v>
      </c>
      <c r="AP2300" s="1"/>
      <c r="AQ2300" s="1">
        <v>5</v>
      </c>
      <c r="AR2300" s="1"/>
      <c r="AS2300" s="1"/>
      <c r="AT2300" s="1">
        <v>0</v>
      </c>
      <c r="AU2300" s="1">
        <v>0</v>
      </c>
      <c r="AV2300" s="1">
        <v>0</v>
      </c>
      <c r="AW2300" s="1">
        <v>0</v>
      </c>
      <c r="AX2300" s="1">
        <v>0</v>
      </c>
      <c r="AY2300" s="1">
        <v>0</v>
      </c>
      <c r="AZ2300" s="1">
        <v>0</v>
      </c>
      <c r="BA2300" s="1">
        <v>0</v>
      </c>
      <c r="BB2300" s="1">
        <v>0</v>
      </c>
      <c r="BC2300" s="1">
        <v>0</v>
      </c>
      <c r="BD2300" s="1">
        <v>0</v>
      </c>
      <c r="BE2300" s="1">
        <v>0</v>
      </c>
      <c r="BF2300" s="1">
        <v>0</v>
      </c>
      <c r="BG2300" s="1">
        <v>0</v>
      </c>
      <c r="BH2300" s="1">
        <v>0</v>
      </c>
      <c r="BI2300" s="1">
        <v>0</v>
      </c>
      <c r="BJ2300" s="1">
        <v>0</v>
      </c>
      <c r="BK2300" s="1">
        <v>0</v>
      </c>
      <c r="BL2300" s="1">
        <v>0</v>
      </c>
      <c r="BM2300" s="1">
        <v>0</v>
      </c>
      <c r="BN2300" s="1">
        <v>0</v>
      </c>
      <c r="BO2300" s="1">
        <v>0</v>
      </c>
      <c r="BP2300" s="1">
        <v>0</v>
      </c>
      <c r="BQ2300" s="1">
        <v>0</v>
      </c>
      <c r="BR2300" s="1">
        <v>0</v>
      </c>
      <c r="BS2300" s="1" t="s">
        <v>109</v>
      </c>
      <c r="BT2300" s="1">
        <v>2390</v>
      </c>
      <c r="BU2300" s="1">
        <v>50</v>
      </c>
      <c r="BV2300" s="1"/>
      <c r="BW2300" s="1"/>
      <c r="BX2300" s="1"/>
      <c r="BY2300" s="1"/>
      <c r="BZ2300" s="1">
        <v>0</v>
      </c>
      <c r="CA2300" s="1" t="s">
        <v>109</v>
      </c>
      <c r="CB2300" s="1" t="s">
        <v>109</v>
      </c>
      <c r="CC2300" s="1" t="s">
        <v>109</v>
      </c>
      <c r="CD2300" s="1" t="s">
        <v>109</v>
      </c>
      <c r="CE2300" s="1" t="s">
        <v>109</v>
      </c>
      <c r="CF2300" s="1" t="s">
        <v>109</v>
      </c>
      <c r="CG2300" s="1">
        <v>6</v>
      </c>
      <c r="CH2300" s="1" t="s">
        <v>109</v>
      </c>
      <c r="CI2300" s="1" t="s">
        <v>109</v>
      </c>
      <c r="CJ2300" s="1" t="s">
        <v>109</v>
      </c>
      <c r="CK2300" s="1"/>
      <c r="CL2300" s="1">
        <v>0</v>
      </c>
      <c r="CM2300" s="1">
        <v>0</v>
      </c>
      <c r="CN2300" s="1">
        <v>0</v>
      </c>
    </row>
    <row r="2301" spans="1:92" ht="14.25" customHeight="1" x14ac:dyDescent="0.15">
      <c r="A2301" s="1" t="s">
        <v>16476</v>
      </c>
      <c r="B2301" s="1" t="s">
        <v>189</v>
      </c>
      <c r="C2301" s="1" t="s">
        <v>231</v>
      </c>
      <c r="D2301" s="1"/>
      <c r="E2301" s="1" t="s">
        <v>16477</v>
      </c>
      <c r="F2301" s="1" t="s">
        <v>98</v>
      </c>
      <c r="G2301" s="1" t="s">
        <v>16478</v>
      </c>
      <c r="H2301" s="1">
        <v>0</v>
      </c>
      <c r="I2301" s="1" t="s">
        <v>161</v>
      </c>
      <c r="J2301" s="1"/>
      <c r="K2301" s="1"/>
      <c r="L2301" s="1" t="s">
        <v>16479</v>
      </c>
      <c r="M2301" s="1" t="s">
        <v>3042</v>
      </c>
      <c r="N2301" s="1">
        <v>0</v>
      </c>
      <c r="O2301" s="1">
        <v>0</v>
      </c>
      <c r="P2301" s="1" t="s">
        <v>11630</v>
      </c>
      <c r="Q2301" s="1" t="s">
        <v>104</v>
      </c>
      <c r="R2301" s="1" t="s">
        <v>16480</v>
      </c>
      <c r="S2301" s="1" t="s">
        <v>16481</v>
      </c>
      <c r="T2301" s="1" t="s">
        <v>16345</v>
      </c>
      <c r="U2301" s="1" t="s">
        <v>16482</v>
      </c>
      <c r="V2301" s="1">
        <v>1</v>
      </c>
      <c r="W2301" s="1">
        <v>1</v>
      </c>
      <c r="X2301" s="1">
        <v>1</v>
      </c>
      <c r="Y2301" s="1">
        <v>0</v>
      </c>
      <c r="Z2301" s="1">
        <v>0</v>
      </c>
      <c r="AA2301" s="1">
        <v>6</v>
      </c>
      <c r="AB2301" s="1">
        <v>6</v>
      </c>
      <c r="AC2301" s="1">
        <v>6</v>
      </c>
      <c r="AD2301" s="1" t="s">
        <v>109</v>
      </c>
      <c r="AE2301" s="1" t="s">
        <v>109</v>
      </c>
      <c r="AF2301" s="1" t="s">
        <v>109</v>
      </c>
      <c r="AG2301" s="1" t="s">
        <v>109</v>
      </c>
      <c r="AH2301" s="1" t="s">
        <v>109</v>
      </c>
      <c r="AI2301" s="1" t="s">
        <v>109</v>
      </c>
      <c r="AJ2301" s="1" t="s">
        <v>109</v>
      </c>
      <c r="AK2301" s="1">
        <v>6</v>
      </c>
      <c r="AL2301" s="1">
        <v>6</v>
      </c>
      <c r="AM2301" s="1" t="s">
        <v>109</v>
      </c>
      <c r="AN2301" s="1">
        <v>6</v>
      </c>
      <c r="AO2301" s="1" t="s">
        <v>109</v>
      </c>
      <c r="AP2301" s="1"/>
      <c r="AQ2301" s="1">
        <v>6</v>
      </c>
      <c r="AR2301" s="1"/>
      <c r="AS2301" s="1"/>
      <c r="AT2301" s="1">
        <v>0</v>
      </c>
      <c r="AU2301" s="1">
        <v>0</v>
      </c>
      <c r="AV2301" s="1">
        <v>0</v>
      </c>
      <c r="AW2301" s="1">
        <v>0</v>
      </c>
      <c r="AX2301" s="1">
        <v>0</v>
      </c>
      <c r="AY2301" s="1">
        <v>0</v>
      </c>
      <c r="AZ2301" s="1">
        <v>0</v>
      </c>
      <c r="BA2301" s="1">
        <v>0</v>
      </c>
      <c r="BB2301" s="1">
        <v>0</v>
      </c>
      <c r="BC2301" s="1">
        <v>0</v>
      </c>
      <c r="BD2301" s="1">
        <v>0</v>
      </c>
      <c r="BE2301" s="1">
        <v>0</v>
      </c>
      <c r="BF2301" s="1">
        <v>0</v>
      </c>
      <c r="BG2301" s="1">
        <v>0</v>
      </c>
      <c r="BH2301" s="1">
        <v>0</v>
      </c>
      <c r="BI2301" s="1">
        <v>0</v>
      </c>
      <c r="BJ2301" s="1">
        <v>0</v>
      </c>
      <c r="BK2301" s="1">
        <v>0</v>
      </c>
      <c r="BL2301" s="1">
        <v>0</v>
      </c>
      <c r="BM2301" s="1">
        <v>0</v>
      </c>
      <c r="BN2301" s="1">
        <v>0</v>
      </c>
      <c r="BO2301" s="1">
        <v>0</v>
      </c>
      <c r="BP2301" s="1">
        <v>0</v>
      </c>
      <c r="BQ2301" s="1">
        <v>0</v>
      </c>
      <c r="BR2301" s="1">
        <v>0</v>
      </c>
      <c r="BS2301" s="1" t="s">
        <v>109</v>
      </c>
      <c r="BT2301" s="1">
        <v>2391</v>
      </c>
      <c r="BU2301" s="1" t="s">
        <v>109</v>
      </c>
      <c r="BV2301" s="1"/>
      <c r="BW2301" s="1"/>
      <c r="BX2301" s="1"/>
      <c r="BY2301" s="1"/>
      <c r="BZ2301" s="1">
        <v>0</v>
      </c>
      <c r="CA2301" s="1" t="s">
        <v>109</v>
      </c>
      <c r="CB2301" s="1">
        <v>7</v>
      </c>
      <c r="CC2301" s="1" t="s">
        <v>109</v>
      </c>
      <c r="CD2301" s="1">
        <v>6</v>
      </c>
      <c r="CE2301" s="1" t="s">
        <v>109</v>
      </c>
      <c r="CF2301" s="1" t="s">
        <v>109</v>
      </c>
      <c r="CG2301" s="1" t="s">
        <v>109</v>
      </c>
      <c r="CH2301" s="1" t="s">
        <v>109</v>
      </c>
      <c r="CI2301" s="1" t="s">
        <v>109</v>
      </c>
      <c r="CJ2301" s="1" t="s">
        <v>109</v>
      </c>
      <c r="CK2301" s="1"/>
      <c r="CL2301" s="1">
        <v>0</v>
      </c>
      <c r="CM2301" s="1">
        <v>0</v>
      </c>
      <c r="CN2301" s="1">
        <v>0</v>
      </c>
    </row>
    <row r="2302" spans="1:92" ht="14.25" customHeight="1" x14ac:dyDescent="0.15">
      <c r="A2302" s="1" t="s">
        <v>16483</v>
      </c>
      <c r="B2302" s="1" t="s">
        <v>189</v>
      </c>
      <c r="C2302" s="1"/>
      <c r="D2302" s="1"/>
      <c r="E2302" s="1" t="s">
        <v>16484</v>
      </c>
      <c r="F2302" s="1" t="s">
        <v>6545</v>
      </c>
      <c r="G2302" s="1" t="s">
        <v>16485</v>
      </c>
      <c r="H2302" s="1">
        <v>1</v>
      </c>
      <c r="I2302" s="1" t="s">
        <v>161</v>
      </c>
      <c r="J2302" s="1"/>
      <c r="K2302" s="1"/>
      <c r="L2302" s="1" t="s">
        <v>16486</v>
      </c>
      <c r="M2302" s="1" t="s">
        <v>144</v>
      </c>
      <c r="N2302" s="1">
        <v>0</v>
      </c>
      <c r="O2302" s="1">
        <v>0</v>
      </c>
      <c r="P2302" s="1" t="s">
        <v>5812</v>
      </c>
      <c r="Q2302" s="1" t="s">
        <v>104</v>
      </c>
      <c r="R2302" s="1" t="s">
        <v>16487</v>
      </c>
      <c r="S2302" s="1" t="s">
        <v>16488</v>
      </c>
      <c r="T2302" s="1" t="s">
        <v>16345</v>
      </c>
      <c r="U2302" s="1" t="s">
        <v>16489</v>
      </c>
      <c r="V2302" s="1">
        <v>1</v>
      </c>
      <c r="W2302" s="1">
        <v>1</v>
      </c>
      <c r="X2302" s="1">
        <v>1</v>
      </c>
      <c r="Y2302" s="1">
        <v>0</v>
      </c>
      <c r="Z2302" s="1">
        <v>0</v>
      </c>
      <c r="AA2302" s="1">
        <v>2</v>
      </c>
      <c r="AB2302" s="1">
        <v>2</v>
      </c>
      <c r="AC2302" s="1" t="s">
        <v>109</v>
      </c>
      <c r="AD2302" s="1">
        <v>2</v>
      </c>
      <c r="AE2302" s="1">
        <v>3</v>
      </c>
      <c r="AF2302" s="1">
        <v>2</v>
      </c>
      <c r="AG2302" s="1" t="s">
        <v>109</v>
      </c>
      <c r="AH2302" s="1">
        <v>2</v>
      </c>
      <c r="AI2302" s="1" t="s">
        <v>109</v>
      </c>
      <c r="AJ2302" s="1" t="s">
        <v>109</v>
      </c>
      <c r="AK2302" s="1">
        <v>3</v>
      </c>
      <c r="AL2302" s="1" t="s">
        <v>109</v>
      </c>
      <c r="AM2302" s="1" t="s">
        <v>109</v>
      </c>
      <c r="AN2302" s="1" t="s">
        <v>109</v>
      </c>
      <c r="AO2302" s="1" t="s">
        <v>109</v>
      </c>
      <c r="AP2302" s="1"/>
      <c r="AQ2302" s="1">
        <v>2</v>
      </c>
      <c r="AR2302" s="1"/>
      <c r="AS2302" s="1"/>
      <c r="AT2302" s="1">
        <v>0</v>
      </c>
      <c r="AU2302" s="1">
        <v>0</v>
      </c>
      <c r="AV2302" s="1">
        <v>0</v>
      </c>
      <c r="AW2302" s="1">
        <v>0</v>
      </c>
      <c r="AX2302" s="1">
        <v>0</v>
      </c>
      <c r="AY2302" s="1">
        <v>0</v>
      </c>
      <c r="AZ2302" s="1">
        <v>0</v>
      </c>
      <c r="BA2302" s="1">
        <v>0</v>
      </c>
      <c r="BB2302" s="1">
        <v>0</v>
      </c>
      <c r="BC2302" s="1">
        <v>0</v>
      </c>
      <c r="BD2302" s="1">
        <v>0</v>
      </c>
      <c r="BE2302" s="1">
        <v>0</v>
      </c>
      <c r="BF2302" s="1">
        <v>0</v>
      </c>
      <c r="BG2302" s="1">
        <v>0</v>
      </c>
      <c r="BH2302" s="1">
        <v>0</v>
      </c>
      <c r="BI2302" s="1">
        <v>0</v>
      </c>
      <c r="BJ2302" s="1">
        <v>0</v>
      </c>
      <c r="BK2302" s="1">
        <v>0</v>
      </c>
      <c r="BL2302" s="1">
        <v>0</v>
      </c>
      <c r="BM2302" s="1">
        <v>0</v>
      </c>
      <c r="BN2302" s="1">
        <v>0</v>
      </c>
      <c r="BO2302" s="1">
        <v>0</v>
      </c>
      <c r="BP2302" s="1">
        <v>0</v>
      </c>
      <c r="BQ2302" s="1">
        <v>0</v>
      </c>
      <c r="BR2302" s="1">
        <v>0</v>
      </c>
      <c r="BS2302" s="1" t="s">
        <v>109</v>
      </c>
      <c r="BT2302" s="1">
        <v>2393</v>
      </c>
      <c r="BU2302" s="1">
        <v>1</v>
      </c>
      <c r="BV2302" s="1"/>
      <c r="BW2302" s="1"/>
      <c r="BX2302" s="1"/>
      <c r="BY2302" s="1"/>
      <c r="BZ2302" s="1">
        <v>0</v>
      </c>
      <c r="CA2302" s="1" t="s">
        <v>109</v>
      </c>
      <c r="CB2302" s="1" t="s">
        <v>109</v>
      </c>
      <c r="CC2302" s="1" t="s">
        <v>109</v>
      </c>
      <c r="CD2302" s="1" t="s">
        <v>109</v>
      </c>
      <c r="CE2302" s="1" t="s">
        <v>109</v>
      </c>
      <c r="CF2302" s="1">
        <v>3</v>
      </c>
      <c r="CG2302" s="1" t="s">
        <v>109</v>
      </c>
      <c r="CH2302" s="1" t="s">
        <v>109</v>
      </c>
      <c r="CI2302" s="1" t="s">
        <v>109</v>
      </c>
      <c r="CJ2302" s="1">
        <v>2</v>
      </c>
      <c r="CK2302" s="1"/>
      <c r="CL2302" s="1">
        <v>0</v>
      </c>
      <c r="CM2302" s="1">
        <v>0</v>
      </c>
      <c r="CN2302" s="1">
        <v>0</v>
      </c>
    </row>
    <row r="2303" spans="1:92" ht="14.25" customHeight="1" x14ac:dyDescent="0.15">
      <c r="A2303" s="1" t="s">
        <v>16490</v>
      </c>
      <c r="B2303" s="1" t="s">
        <v>189</v>
      </c>
      <c r="C2303" s="1"/>
      <c r="D2303" s="1"/>
      <c r="E2303" s="1" t="s">
        <v>16491</v>
      </c>
      <c r="F2303" s="1" t="s">
        <v>98</v>
      </c>
      <c r="G2303" s="1" t="s">
        <v>16492</v>
      </c>
      <c r="H2303" s="1">
        <v>1</v>
      </c>
      <c r="I2303" s="1" t="s">
        <v>142</v>
      </c>
      <c r="J2303" s="1"/>
      <c r="K2303" s="1"/>
      <c r="L2303" s="1" t="s">
        <v>16493</v>
      </c>
      <c r="M2303" s="1" t="s">
        <v>3042</v>
      </c>
      <c r="N2303" s="1">
        <v>0</v>
      </c>
      <c r="O2303" s="1">
        <v>0</v>
      </c>
      <c r="P2303" s="1" t="s">
        <v>1382</v>
      </c>
      <c r="Q2303" s="1" t="s">
        <v>104</v>
      </c>
      <c r="R2303" s="1" t="s">
        <v>16494</v>
      </c>
      <c r="S2303" s="1" t="s">
        <v>16495</v>
      </c>
      <c r="T2303" s="1" t="s">
        <v>16345</v>
      </c>
      <c r="U2303" s="1" t="s">
        <v>16496</v>
      </c>
      <c r="V2303" s="1">
        <v>1</v>
      </c>
      <c r="W2303" s="1">
        <v>1</v>
      </c>
      <c r="X2303" s="1">
        <v>1</v>
      </c>
      <c r="Y2303" s="1">
        <v>0</v>
      </c>
      <c r="Z2303" s="1">
        <v>0</v>
      </c>
      <c r="AA2303" s="1">
        <v>7</v>
      </c>
      <c r="AB2303" s="1">
        <v>7</v>
      </c>
      <c r="AC2303" s="1" t="s">
        <v>109</v>
      </c>
      <c r="AD2303" s="1">
        <v>7</v>
      </c>
      <c r="AE2303" s="1" t="s">
        <v>109</v>
      </c>
      <c r="AF2303" s="1" t="s">
        <v>109</v>
      </c>
      <c r="AG2303" s="1" t="s">
        <v>109</v>
      </c>
      <c r="AH2303" s="1">
        <v>6</v>
      </c>
      <c r="AI2303" s="1" t="s">
        <v>109</v>
      </c>
      <c r="AJ2303" s="1">
        <v>7</v>
      </c>
      <c r="AK2303" s="1" t="s">
        <v>109</v>
      </c>
      <c r="AL2303" s="1" t="s">
        <v>109</v>
      </c>
      <c r="AM2303" s="1" t="s">
        <v>109</v>
      </c>
      <c r="AN2303" s="1" t="s">
        <v>109</v>
      </c>
      <c r="AO2303" s="1" t="s">
        <v>109</v>
      </c>
      <c r="AP2303" s="1"/>
      <c r="AQ2303" s="1">
        <v>7</v>
      </c>
      <c r="AR2303" s="1"/>
      <c r="AS2303" s="1"/>
      <c r="AT2303" s="1">
        <v>0</v>
      </c>
      <c r="AU2303" s="1">
        <v>0</v>
      </c>
      <c r="AV2303" s="1">
        <v>0</v>
      </c>
      <c r="AW2303" s="1">
        <v>0</v>
      </c>
      <c r="AX2303" s="1">
        <v>0</v>
      </c>
      <c r="AY2303" s="1">
        <v>0</v>
      </c>
      <c r="AZ2303" s="1">
        <v>0</v>
      </c>
      <c r="BA2303" s="1">
        <v>0</v>
      </c>
      <c r="BB2303" s="1">
        <v>0</v>
      </c>
      <c r="BC2303" s="1">
        <v>0</v>
      </c>
      <c r="BD2303" s="1">
        <v>0</v>
      </c>
      <c r="BE2303" s="1">
        <v>0</v>
      </c>
      <c r="BF2303" s="1">
        <v>0</v>
      </c>
      <c r="BG2303" s="1">
        <v>0</v>
      </c>
      <c r="BH2303" s="1">
        <v>0</v>
      </c>
      <c r="BI2303" s="1">
        <v>0</v>
      </c>
      <c r="BJ2303" s="1">
        <v>0</v>
      </c>
      <c r="BK2303" s="1">
        <v>0</v>
      </c>
      <c r="BL2303" s="1">
        <v>0</v>
      </c>
      <c r="BM2303" s="1">
        <v>0</v>
      </c>
      <c r="BN2303" s="1">
        <v>0</v>
      </c>
      <c r="BO2303" s="1">
        <v>0</v>
      </c>
      <c r="BP2303" s="1">
        <v>0</v>
      </c>
      <c r="BQ2303" s="1">
        <v>0</v>
      </c>
      <c r="BR2303" s="1">
        <v>0</v>
      </c>
      <c r="BS2303" s="1" t="s">
        <v>109</v>
      </c>
      <c r="BT2303" s="1">
        <v>2394</v>
      </c>
      <c r="BU2303" s="1">
        <v>200</v>
      </c>
      <c r="BV2303" s="1"/>
      <c r="BW2303" s="1"/>
      <c r="BX2303" s="1"/>
      <c r="BY2303" s="1"/>
      <c r="BZ2303" s="1">
        <v>0</v>
      </c>
      <c r="CA2303" s="1" t="s">
        <v>109</v>
      </c>
      <c r="CB2303" s="1">
        <v>7</v>
      </c>
      <c r="CC2303" s="1" t="s">
        <v>109</v>
      </c>
      <c r="CD2303" s="1" t="s">
        <v>109</v>
      </c>
      <c r="CE2303" s="1" t="s">
        <v>109</v>
      </c>
      <c r="CF2303" s="1" t="s">
        <v>109</v>
      </c>
      <c r="CG2303" s="1" t="s">
        <v>109</v>
      </c>
      <c r="CH2303" s="1" t="s">
        <v>109</v>
      </c>
      <c r="CI2303" s="1" t="s">
        <v>109</v>
      </c>
      <c r="CJ2303" s="1" t="s">
        <v>109</v>
      </c>
      <c r="CK2303" s="1"/>
      <c r="CL2303" s="1">
        <v>0</v>
      </c>
      <c r="CM2303" s="1">
        <v>0</v>
      </c>
      <c r="CN2303" s="1">
        <v>0</v>
      </c>
    </row>
    <row r="2304" spans="1:92" ht="14.25" customHeight="1" x14ac:dyDescent="0.15">
      <c r="A2304" s="1" t="s">
        <v>16497</v>
      </c>
      <c r="B2304" s="1" t="s">
        <v>189</v>
      </c>
      <c r="C2304" s="1"/>
      <c r="D2304" s="1"/>
      <c r="E2304" s="1" t="s">
        <v>16498</v>
      </c>
      <c r="F2304" s="1" t="s">
        <v>98</v>
      </c>
      <c r="G2304" s="1" t="s">
        <v>16499</v>
      </c>
      <c r="H2304" s="1">
        <v>0</v>
      </c>
      <c r="I2304" s="1" t="s">
        <v>142</v>
      </c>
      <c r="J2304" s="1"/>
      <c r="K2304" s="1"/>
      <c r="L2304" s="1" t="s">
        <v>16500</v>
      </c>
      <c r="M2304" s="1" t="s">
        <v>574</v>
      </c>
      <c r="N2304" s="1">
        <v>1</v>
      </c>
      <c r="O2304" s="1">
        <v>0</v>
      </c>
      <c r="P2304" s="1" t="s">
        <v>5812</v>
      </c>
      <c r="Q2304" s="1" t="s">
        <v>104</v>
      </c>
      <c r="R2304" s="1" t="s">
        <v>16501</v>
      </c>
      <c r="S2304" s="1" t="s">
        <v>16502</v>
      </c>
      <c r="T2304" s="1" t="s">
        <v>16345</v>
      </c>
      <c r="U2304" s="1" t="s">
        <v>16503</v>
      </c>
      <c r="V2304" s="1">
        <v>1</v>
      </c>
      <c r="W2304" s="1">
        <v>1</v>
      </c>
      <c r="X2304" s="1">
        <v>1</v>
      </c>
      <c r="Y2304" s="1">
        <v>0</v>
      </c>
      <c r="Z2304" s="1">
        <v>0</v>
      </c>
      <c r="AA2304" s="1">
        <v>4</v>
      </c>
      <c r="AB2304" s="1">
        <v>4</v>
      </c>
      <c r="AC2304" s="1" t="s">
        <v>109</v>
      </c>
      <c r="AD2304" s="1">
        <v>4</v>
      </c>
      <c r="AE2304" s="1" t="s">
        <v>109</v>
      </c>
      <c r="AF2304" s="1">
        <v>3</v>
      </c>
      <c r="AG2304" s="1" t="s">
        <v>109</v>
      </c>
      <c r="AH2304" s="1">
        <v>3</v>
      </c>
      <c r="AI2304" s="1" t="s">
        <v>109</v>
      </c>
      <c r="AJ2304" s="1" t="s">
        <v>109</v>
      </c>
      <c r="AK2304" s="1" t="s">
        <v>109</v>
      </c>
      <c r="AL2304" s="1" t="s">
        <v>109</v>
      </c>
      <c r="AM2304" s="1" t="s">
        <v>109</v>
      </c>
      <c r="AN2304" s="1" t="s">
        <v>109</v>
      </c>
      <c r="AO2304" s="1" t="s">
        <v>109</v>
      </c>
      <c r="AP2304" s="1"/>
      <c r="AQ2304" s="1">
        <v>4</v>
      </c>
      <c r="AR2304" s="1"/>
      <c r="AS2304" s="1"/>
      <c r="AT2304" s="1">
        <v>0</v>
      </c>
      <c r="AU2304" s="1">
        <v>0</v>
      </c>
      <c r="AV2304" s="1">
        <v>0</v>
      </c>
      <c r="AW2304" s="1">
        <v>0</v>
      </c>
      <c r="AX2304" s="1">
        <v>0</v>
      </c>
      <c r="AY2304" s="1">
        <v>0</v>
      </c>
      <c r="AZ2304" s="1">
        <v>0</v>
      </c>
      <c r="BA2304" s="1">
        <v>0</v>
      </c>
      <c r="BB2304" s="1">
        <v>0</v>
      </c>
      <c r="BC2304" s="1">
        <v>0</v>
      </c>
      <c r="BD2304" s="1">
        <v>0</v>
      </c>
      <c r="BE2304" s="1">
        <v>0</v>
      </c>
      <c r="BF2304" s="1">
        <v>0</v>
      </c>
      <c r="BG2304" s="1">
        <v>0</v>
      </c>
      <c r="BH2304" s="1">
        <v>0</v>
      </c>
      <c r="BI2304" s="1">
        <v>0</v>
      </c>
      <c r="BJ2304" s="1">
        <v>0</v>
      </c>
      <c r="BK2304" s="1">
        <v>0</v>
      </c>
      <c r="BL2304" s="1">
        <v>0</v>
      </c>
      <c r="BM2304" s="1">
        <v>0</v>
      </c>
      <c r="BN2304" s="1">
        <v>0</v>
      </c>
      <c r="BO2304" s="1">
        <v>0</v>
      </c>
      <c r="BP2304" s="1">
        <v>0</v>
      </c>
      <c r="BQ2304" s="1">
        <v>0</v>
      </c>
      <c r="BR2304" s="1">
        <v>0</v>
      </c>
      <c r="BS2304" s="1" t="s">
        <v>109</v>
      </c>
      <c r="BT2304" s="1">
        <v>2395</v>
      </c>
      <c r="BU2304" s="1" t="s">
        <v>109</v>
      </c>
      <c r="BV2304" s="1"/>
      <c r="BW2304" s="1"/>
      <c r="BX2304" s="1"/>
      <c r="BY2304" s="1"/>
      <c r="BZ2304" s="1">
        <v>0</v>
      </c>
      <c r="CA2304" s="1" t="s">
        <v>109</v>
      </c>
      <c r="CB2304" s="1" t="s">
        <v>109</v>
      </c>
      <c r="CC2304" s="1" t="s">
        <v>109</v>
      </c>
      <c r="CD2304" s="1" t="s">
        <v>109</v>
      </c>
      <c r="CE2304" s="1" t="s">
        <v>109</v>
      </c>
      <c r="CF2304" s="1" t="s">
        <v>109</v>
      </c>
      <c r="CG2304" s="1" t="s">
        <v>109</v>
      </c>
      <c r="CH2304" s="1" t="s">
        <v>109</v>
      </c>
      <c r="CI2304" s="1" t="s">
        <v>109</v>
      </c>
      <c r="CJ2304" s="1">
        <v>4</v>
      </c>
      <c r="CK2304" s="1"/>
      <c r="CL2304" s="1">
        <v>0</v>
      </c>
      <c r="CM2304" s="1">
        <v>0</v>
      </c>
      <c r="CN2304" s="1">
        <v>0</v>
      </c>
    </row>
    <row r="2305" spans="1:92" ht="14.25" customHeight="1" x14ac:dyDescent="0.15">
      <c r="A2305" s="1" t="s">
        <v>16504</v>
      </c>
      <c r="B2305" s="1" t="s">
        <v>189</v>
      </c>
      <c r="C2305" s="1"/>
      <c r="D2305" s="1"/>
      <c r="E2305" s="1" t="s">
        <v>8537</v>
      </c>
      <c r="F2305" s="1" t="s">
        <v>1963</v>
      </c>
      <c r="G2305" s="1" t="s">
        <v>16505</v>
      </c>
      <c r="H2305" s="1">
        <v>0</v>
      </c>
      <c r="I2305" s="1" t="s">
        <v>161</v>
      </c>
      <c r="J2305" s="1"/>
      <c r="K2305" s="1"/>
      <c r="L2305" s="1" t="s">
        <v>2653</v>
      </c>
      <c r="M2305" s="1" t="s">
        <v>3042</v>
      </c>
      <c r="N2305" s="1">
        <v>0</v>
      </c>
      <c r="O2305" s="1">
        <v>0</v>
      </c>
      <c r="P2305" s="1" t="s">
        <v>103</v>
      </c>
      <c r="Q2305" s="1" t="s">
        <v>104</v>
      </c>
      <c r="R2305" s="1" t="s">
        <v>16506</v>
      </c>
      <c r="S2305" s="1" t="s">
        <v>16507</v>
      </c>
      <c r="T2305" s="1" t="s">
        <v>16345</v>
      </c>
      <c r="U2305" s="1" t="s">
        <v>16508</v>
      </c>
      <c r="V2305" s="1">
        <v>1</v>
      </c>
      <c r="W2305" s="1">
        <v>1</v>
      </c>
      <c r="X2305" s="1">
        <v>0</v>
      </c>
      <c r="Y2305" s="1">
        <v>0</v>
      </c>
      <c r="Z2305" s="1">
        <v>0</v>
      </c>
      <c r="AA2305" s="1">
        <v>5</v>
      </c>
      <c r="AB2305" s="1">
        <v>5</v>
      </c>
      <c r="AC2305" s="1" t="s">
        <v>109</v>
      </c>
      <c r="AD2305" s="1" t="s">
        <v>109</v>
      </c>
      <c r="AE2305" s="1" t="s">
        <v>109</v>
      </c>
      <c r="AF2305" s="1" t="s">
        <v>109</v>
      </c>
      <c r="AG2305" s="1" t="s">
        <v>109</v>
      </c>
      <c r="AH2305" s="1" t="s">
        <v>109</v>
      </c>
      <c r="AI2305" s="1" t="s">
        <v>109</v>
      </c>
      <c r="AJ2305" s="1" t="s">
        <v>109</v>
      </c>
      <c r="AK2305" s="1" t="s">
        <v>109</v>
      </c>
      <c r="AL2305" s="1" t="s">
        <v>109</v>
      </c>
      <c r="AM2305" s="1" t="s">
        <v>109</v>
      </c>
      <c r="AN2305" s="1" t="s">
        <v>109</v>
      </c>
      <c r="AO2305" s="1" t="s">
        <v>109</v>
      </c>
      <c r="AP2305" s="1"/>
      <c r="AQ2305" s="1">
        <v>5</v>
      </c>
      <c r="AR2305" s="1"/>
      <c r="AS2305" s="1"/>
      <c r="AT2305" s="1">
        <v>0</v>
      </c>
      <c r="AU2305" s="1">
        <v>0</v>
      </c>
      <c r="AV2305" s="1">
        <v>0</v>
      </c>
      <c r="AW2305" s="1">
        <v>0</v>
      </c>
      <c r="AX2305" s="1">
        <v>0</v>
      </c>
      <c r="AY2305" s="1">
        <v>0</v>
      </c>
      <c r="AZ2305" s="1">
        <v>0</v>
      </c>
      <c r="BA2305" s="1">
        <v>0</v>
      </c>
      <c r="BB2305" s="1">
        <v>0</v>
      </c>
      <c r="BC2305" s="1">
        <v>0</v>
      </c>
      <c r="BD2305" s="1">
        <v>0</v>
      </c>
      <c r="BE2305" s="1">
        <v>0</v>
      </c>
      <c r="BF2305" s="1">
        <v>0</v>
      </c>
      <c r="BG2305" s="1">
        <v>0</v>
      </c>
      <c r="BH2305" s="1">
        <v>0</v>
      </c>
      <c r="BI2305" s="1">
        <v>0</v>
      </c>
      <c r="BJ2305" s="1">
        <v>0</v>
      </c>
      <c r="BK2305" s="1">
        <v>0</v>
      </c>
      <c r="BL2305" s="1">
        <v>0</v>
      </c>
      <c r="BM2305" s="1">
        <v>0</v>
      </c>
      <c r="BN2305" s="1">
        <v>0</v>
      </c>
      <c r="BO2305" s="1">
        <v>0</v>
      </c>
      <c r="BP2305" s="1">
        <v>0</v>
      </c>
      <c r="BQ2305" s="1">
        <v>0</v>
      </c>
      <c r="BR2305" s="1">
        <v>0</v>
      </c>
      <c r="BS2305" s="1" t="s">
        <v>109</v>
      </c>
      <c r="BT2305" s="1">
        <v>2396</v>
      </c>
      <c r="BU2305" s="1" t="s">
        <v>109</v>
      </c>
      <c r="BV2305" s="1"/>
      <c r="BW2305" s="1"/>
      <c r="BX2305" s="1"/>
      <c r="BY2305" s="1"/>
      <c r="BZ2305" s="1">
        <v>0</v>
      </c>
      <c r="CA2305" s="1" t="s">
        <v>109</v>
      </c>
      <c r="CB2305" s="1" t="s">
        <v>109</v>
      </c>
      <c r="CC2305" s="1" t="s">
        <v>109</v>
      </c>
      <c r="CD2305" s="1" t="s">
        <v>109</v>
      </c>
      <c r="CE2305" s="1" t="s">
        <v>109</v>
      </c>
      <c r="CF2305" s="1" t="s">
        <v>109</v>
      </c>
      <c r="CG2305" s="1" t="s">
        <v>109</v>
      </c>
      <c r="CH2305" s="1" t="s">
        <v>109</v>
      </c>
      <c r="CI2305" s="1" t="s">
        <v>109</v>
      </c>
      <c r="CJ2305" s="1" t="s">
        <v>109</v>
      </c>
      <c r="CK2305" s="1"/>
      <c r="CL2305" s="1">
        <v>0</v>
      </c>
      <c r="CM2305" s="1">
        <v>0</v>
      </c>
      <c r="CN2305" s="1">
        <v>0</v>
      </c>
    </row>
    <row r="2306" spans="1:92" ht="14.25" customHeight="1" x14ac:dyDescent="0.15">
      <c r="A2306" s="1" t="s">
        <v>16509</v>
      </c>
      <c r="B2306" s="1" t="s">
        <v>189</v>
      </c>
      <c r="C2306" s="1"/>
      <c r="D2306" s="1"/>
      <c r="E2306" s="1" t="s">
        <v>16510</v>
      </c>
      <c r="F2306" s="1" t="s">
        <v>98</v>
      </c>
      <c r="G2306" s="1" t="s">
        <v>16511</v>
      </c>
      <c r="H2306" s="1">
        <v>0</v>
      </c>
      <c r="I2306" s="1" t="s">
        <v>161</v>
      </c>
      <c r="J2306" s="1"/>
      <c r="K2306" s="1"/>
      <c r="L2306" s="1" t="s">
        <v>16512</v>
      </c>
      <c r="M2306" s="1" t="s">
        <v>5642</v>
      </c>
      <c r="N2306" s="1">
        <v>0</v>
      </c>
      <c r="O2306" s="1">
        <v>0</v>
      </c>
      <c r="P2306" s="1" t="s">
        <v>5812</v>
      </c>
      <c r="Q2306" s="1" t="s">
        <v>104</v>
      </c>
      <c r="R2306" s="1" t="s">
        <v>16513</v>
      </c>
      <c r="S2306" s="1" t="s">
        <v>16514</v>
      </c>
      <c r="T2306" s="1" t="s">
        <v>16345</v>
      </c>
      <c r="U2306" s="1" t="s">
        <v>16515</v>
      </c>
      <c r="V2306" s="1">
        <v>1</v>
      </c>
      <c r="W2306" s="1">
        <v>1</v>
      </c>
      <c r="X2306" s="1">
        <v>1</v>
      </c>
      <c r="Y2306" s="1">
        <v>0</v>
      </c>
      <c r="Z2306" s="1">
        <v>0</v>
      </c>
      <c r="AA2306" s="1">
        <v>4</v>
      </c>
      <c r="AB2306" s="1">
        <v>4</v>
      </c>
      <c r="AC2306" s="1">
        <v>4</v>
      </c>
      <c r="AD2306" s="1" t="s">
        <v>109</v>
      </c>
      <c r="AE2306" s="1" t="s">
        <v>109</v>
      </c>
      <c r="AF2306" s="1">
        <v>3</v>
      </c>
      <c r="AG2306" s="1" t="s">
        <v>109</v>
      </c>
      <c r="AH2306" s="1">
        <v>3</v>
      </c>
      <c r="AI2306" s="1" t="s">
        <v>109</v>
      </c>
      <c r="AJ2306" s="1">
        <v>4</v>
      </c>
      <c r="AK2306" s="1" t="s">
        <v>109</v>
      </c>
      <c r="AL2306" s="1">
        <v>4</v>
      </c>
      <c r="AM2306" s="1" t="s">
        <v>109</v>
      </c>
      <c r="AN2306" s="1" t="s">
        <v>109</v>
      </c>
      <c r="AO2306" s="1" t="s">
        <v>109</v>
      </c>
      <c r="AP2306" s="1"/>
      <c r="AQ2306" s="1">
        <v>4</v>
      </c>
      <c r="AR2306" s="1"/>
      <c r="AS2306" s="1"/>
      <c r="AT2306" s="1">
        <v>0</v>
      </c>
      <c r="AU2306" s="1">
        <v>0</v>
      </c>
      <c r="AV2306" s="1">
        <v>0</v>
      </c>
      <c r="AW2306" s="1">
        <v>0</v>
      </c>
      <c r="AX2306" s="1">
        <v>0</v>
      </c>
      <c r="AY2306" s="1">
        <v>0</v>
      </c>
      <c r="AZ2306" s="1">
        <v>0</v>
      </c>
      <c r="BA2306" s="1">
        <v>0</v>
      </c>
      <c r="BB2306" s="1">
        <v>0</v>
      </c>
      <c r="BC2306" s="1">
        <v>0</v>
      </c>
      <c r="BD2306" s="1">
        <v>0</v>
      </c>
      <c r="BE2306" s="1">
        <v>0</v>
      </c>
      <c r="BF2306" s="1">
        <v>0</v>
      </c>
      <c r="BG2306" s="1">
        <v>0</v>
      </c>
      <c r="BH2306" s="1">
        <v>0</v>
      </c>
      <c r="BI2306" s="1">
        <v>0</v>
      </c>
      <c r="BJ2306" s="1">
        <v>0</v>
      </c>
      <c r="BK2306" s="1">
        <v>0</v>
      </c>
      <c r="BL2306" s="1">
        <v>0</v>
      </c>
      <c r="BM2306" s="1">
        <v>0</v>
      </c>
      <c r="BN2306" s="1">
        <v>0</v>
      </c>
      <c r="BO2306" s="1">
        <v>0</v>
      </c>
      <c r="BP2306" s="1">
        <v>0</v>
      </c>
      <c r="BQ2306" s="1">
        <v>0</v>
      </c>
      <c r="BR2306" s="1">
        <v>0</v>
      </c>
      <c r="BS2306" s="1" t="s">
        <v>109</v>
      </c>
      <c r="BT2306" s="1">
        <v>2397</v>
      </c>
      <c r="BU2306" s="1" t="s">
        <v>109</v>
      </c>
      <c r="BV2306" s="1"/>
      <c r="BW2306" s="1"/>
      <c r="BX2306" s="1"/>
      <c r="BY2306" s="1"/>
      <c r="BZ2306" s="1">
        <v>0</v>
      </c>
      <c r="CA2306" s="1" t="s">
        <v>109</v>
      </c>
      <c r="CB2306" s="1" t="s">
        <v>109</v>
      </c>
      <c r="CC2306" s="1" t="s">
        <v>109</v>
      </c>
      <c r="CD2306" s="1">
        <v>3</v>
      </c>
      <c r="CE2306" s="1" t="s">
        <v>109</v>
      </c>
      <c r="CF2306" s="1">
        <v>3</v>
      </c>
      <c r="CG2306" s="1" t="s">
        <v>109</v>
      </c>
      <c r="CH2306" s="1" t="s">
        <v>109</v>
      </c>
      <c r="CI2306" s="1" t="s">
        <v>109</v>
      </c>
      <c r="CJ2306" s="1" t="s">
        <v>109</v>
      </c>
      <c r="CK2306" s="1"/>
      <c r="CL2306" s="1">
        <v>0</v>
      </c>
      <c r="CM2306" s="1">
        <v>0</v>
      </c>
      <c r="CN2306" s="1">
        <v>0</v>
      </c>
    </row>
    <row r="2307" spans="1:92" ht="14.25" customHeight="1" x14ac:dyDescent="0.15">
      <c r="A2307" s="1" t="s">
        <v>16516</v>
      </c>
      <c r="B2307" s="1" t="s">
        <v>189</v>
      </c>
      <c r="C2307" s="1"/>
      <c r="D2307" s="1" t="s">
        <v>16074</v>
      </c>
      <c r="E2307" s="1" t="s">
        <v>16517</v>
      </c>
      <c r="F2307" s="1" t="s">
        <v>98</v>
      </c>
      <c r="G2307" s="1" t="s">
        <v>16518</v>
      </c>
      <c r="H2307" s="1">
        <v>0</v>
      </c>
      <c r="I2307" s="1" t="s">
        <v>16519</v>
      </c>
      <c r="J2307" s="1"/>
      <c r="K2307" s="1"/>
      <c r="L2307" s="1" t="s">
        <v>16520</v>
      </c>
      <c r="M2307" s="1" t="s">
        <v>144</v>
      </c>
      <c r="N2307" s="1">
        <v>0</v>
      </c>
      <c r="O2307" s="1">
        <v>0</v>
      </c>
      <c r="P2307" s="1" t="s">
        <v>5812</v>
      </c>
      <c r="Q2307" s="1" t="s">
        <v>104</v>
      </c>
      <c r="R2307" s="1" t="s">
        <v>16521</v>
      </c>
      <c r="S2307" s="1" t="s">
        <v>16522</v>
      </c>
      <c r="T2307" s="1" t="s">
        <v>16345</v>
      </c>
      <c r="U2307" s="1" t="s">
        <v>16523</v>
      </c>
      <c r="V2307" s="1">
        <v>1</v>
      </c>
      <c r="W2307" s="1">
        <v>1</v>
      </c>
      <c r="X2307" s="1">
        <v>1</v>
      </c>
      <c r="Y2307" s="1">
        <v>0</v>
      </c>
      <c r="Z2307" s="1">
        <v>0</v>
      </c>
      <c r="AA2307" s="1">
        <v>5</v>
      </c>
      <c r="AB2307" s="1">
        <v>5</v>
      </c>
      <c r="AC2307" s="1" t="s">
        <v>109</v>
      </c>
      <c r="AD2307" s="1" t="s">
        <v>109</v>
      </c>
      <c r="AE2307" s="1" t="s">
        <v>109</v>
      </c>
      <c r="AF2307" s="1">
        <v>4</v>
      </c>
      <c r="AG2307" s="1" t="s">
        <v>109</v>
      </c>
      <c r="AH2307" s="1">
        <v>4</v>
      </c>
      <c r="AI2307" s="1" t="s">
        <v>109</v>
      </c>
      <c r="AJ2307" s="1">
        <v>5</v>
      </c>
      <c r="AK2307" s="1">
        <v>4</v>
      </c>
      <c r="AL2307" s="1" t="s">
        <v>109</v>
      </c>
      <c r="AM2307" s="1" t="s">
        <v>109</v>
      </c>
      <c r="AN2307" s="1" t="s">
        <v>109</v>
      </c>
      <c r="AO2307" s="1" t="s">
        <v>109</v>
      </c>
      <c r="AP2307" s="1"/>
      <c r="AQ2307" s="1">
        <v>5</v>
      </c>
      <c r="AR2307" s="1"/>
      <c r="AS2307" s="1"/>
      <c r="AT2307" s="1">
        <v>0</v>
      </c>
      <c r="AU2307" s="1">
        <v>0</v>
      </c>
      <c r="AV2307" s="1">
        <v>0</v>
      </c>
      <c r="AW2307" s="1">
        <v>0</v>
      </c>
      <c r="AX2307" s="1">
        <v>1</v>
      </c>
      <c r="AY2307" s="1">
        <v>0</v>
      </c>
      <c r="AZ2307" s="1">
        <v>0</v>
      </c>
      <c r="BA2307" s="1">
        <v>0</v>
      </c>
      <c r="BB2307" s="1">
        <v>0</v>
      </c>
      <c r="BC2307" s="1">
        <v>0</v>
      </c>
      <c r="BD2307" s="1">
        <v>0</v>
      </c>
      <c r="BE2307" s="1">
        <v>0</v>
      </c>
      <c r="BF2307" s="1">
        <v>0</v>
      </c>
      <c r="BG2307" s="1">
        <v>0</v>
      </c>
      <c r="BH2307" s="1">
        <v>0</v>
      </c>
      <c r="BI2307" s="1">
        <v>0</v>
      </c>
      <c r="BJ2307" s="1">
        <v>0</v>
      </c>
      <c r="BK2307" s="1">
        <v>0</v>
      </c>
      <c r="BL2307" s="1">
        <v>0</v>
      </c>
      <c r="BM2307" s="1">
        <v>0</v>
      </c>
      <c r="BN2307" s="1">
        <v>0</v>
      </c>
      <c r="BO2307" s="1">
        <v>0</v>
      </c>
      <c r="BP2307" s="1">
        <v>0</v>
      </c>
      <c r="BQ2307" s="1">
        <v>0</v>
      </c>
      <c r="BR2307" s="1">
        <v>0</v>
      </c>
      <c r="BS2307" s="1" t="s">
        <v>109</v>
      </c>
      <c r="BT2307" s="1">
        <v>2398</v>
      </c>
      <c r="BU2307" s="1" t="s">
        <v>109</v>
      </c>
      <c r="BV2307" s="1"/>
      <c r="BW2307" s="1"/>
      <c r="BX2307" s="1"/>
      <c r="BY2307" s="1"/>
      <c r="BZ2307" s="1">
        <v>0</v>
      </c>
      <c r="CA2307" s="1" t="s">
        <v>109</v>
      </c>
      <c r="CB2307" s="1" t="s">
        <v>109</v>
      </c>
      <c r="CC2307" s="1" t="s">
        <v>109</v>
      </c>
      <c r="CD2307" s="1" t="s">
        <v>109</v>
      </c>
      <c r="CE2307" s="1" t="s">
        <v>109</v>
      </c>
      <c r="CF2307" s="1" t="s">
        <v>109</v>
      </c>
      <c r="CG2307" s="1" t="s">
        <v>109</v>
      </c>
      <c r="CH2307" s="1" t="s">
        <v>109</v>
      </c>
      <c r="CI2307" s="1" t="s">
        <v>109</v>
      </c>
      <c r="CJ2307" s="1" t="s">
        <v>109</v>
      </c>
      <c r="CK2307" s="1"/>
      <c r="CL2307" s="1">
        <v>0</v>
      </c>
      <c r="CM2307" s="1">
        <v>0</v>
      </c>
      <c r="CN2307" s="1">
        <v>0</v>
      </c>
    </row>
    <row r="2308" spans="1:92" ht="14.25" customHeight="1" x14ac:dyDescent="0.15">
      <c r="A2308" s="1" t="s">
        <v>16524</v>
      </c>
      <c r="B2308" s="1" t="s">
        <v>189</v>
      </c>
      <c r="C2308" s="1"/>
      <c r="D2308" s="1"/>
      <c r="E2308" s="1" t="s">
        <v>16525</v>
      </c>
      <c r="F2308" s="1" t="s">
        <v>98</v>
      </c>
      <c r="G2308" s="1" t="s">
        <v>16526</v>
      </c>
      <c r="H2308" s="1">
        <v>0</v>
      </c>
      <c r="I2308" s="1" t="s">
        <v>356</v>
      </c>
      <c r="J2308" s="1"/>
      <c r="K2308" s="1"/>
      <c r="L2308" s="1" t="s">
        <v>16527</v>
      </c>
      <c r="M2308" s="1" t="s">
        <v>5642</v>
      </c>
      <c r="N2308" s="1">
        <v>0</v>
      </c>
      <c r="O2308" s="1">
        <v>0</v>
      </c>
      <c r="P2308" s="1" t="s">
        <v>629</v>
      </c>
      <c r="Q2308" s="1" t="s">
        <v>630</v>
      </c>
      <c r="R2308" s="1" t="s">
        <v>16528</v>
      </c>
      <c r="S2308" s="1" t="s">
        <v>16529</v>
      </c>
      <c r="T2308" s="1" t="s">
        <v>16345</v>
      </c>
      <c r="U2308" s="1" t="s">
        <v>16530</v>
      </c>
      <c r="V2308" s="1">
        <v>1</v>
      </c>
      <c r="W2308" s="1">
        <v>1</v>
      </c>
      <c r="X2308" s="1">
        <v>1</v>
      </c>
      <c r="Y2308" s="1">
        <v>0</v>
      </c>
      <c r="Z2308" s="1">
        <v>0</v>
      </c>
      <c r="AA2308" s="1">
        <v>2</v>
      </c>
      <c r="AB2308" s="1">
        <v>2</v>
      </c>
      <c r="AC2308" s="1">
        <v>2</v>
      </c>
      <c r="AD2308" s="1">
        <v>1</v>
      </c>
      <c r="AE2308" s="1" t="s">
        <v>109</v>
      </c>
      <c r="AF2308" s="1">
        <v>1</v>
      </c>
      <c r="AG2308" s="1" t="s">
        <v>109</v>
      </c>
      <c r="AH2308" s="1">
        <v>1</v>
      </c>
      <c r="AI2308" s="1" t="s">
        <v>109</v>
      </c>
      <c r="AJ2308" s="1">
        <v>2</v>
      </c>
      <c r="AK2308" s="1" t="s">
        <v>109</v>
      </c>
      <c r="AL2308" s="1">
        <v>2</v>
      </c>
      <c r="AM2308" s="1" t="s">
        <v>109</v>
      </c>
      <c r="AN2308" s="1" t="s">
        <v>109</v>
      </c>
      <c r="AO2308" s="1" t="s">
        <v>109</v>
      </c>
      <c r="AP2308" s="1"/>
      <c r="AQ2308" s="1">
        <v>2</v>
      </c>
      <c r="AR2308" s="1"/>
      <c r="AS2308" s="1"/>
      <c r="AT2308" s="1">
        <v>0</v>
      </c>
      <c r="AU2308" s="1">
        <v>0</v>
      </c>
      <c r="AV2308" s="1">
        <v>0</v>
      </c>
      <c r="AW2308" s="1">
        <v>0</v>
      </c>
      <c r="AX2308" s="1">
        <v>0</v>
      </c>
      <c r="AY2308" s="1">
        <v>0</v>
      </c>
      <c r="AZ2308" s="1">
        <v>0</v>
      </c>
      <c r="BA2308" s="1">
        <v>0</v>
      </c>
      <c r="BB2308" s="1">
        <v>0</v>
      </c>
      <c r="BC2308" s="1">
        <v>0</v>
      </c>
      <c r="BD2308" s="1">
        <v>0</v>
      </c>
      <c r="BE2308" s="1">
        <v>0</v>
      </c>
      <c r="BF2308" s="1">
        <v>0</v>
      </c>
      <c r="BG2308" s="1">
        <v>0</v>
      </c>
      <c r="BH2308" s="1">
        <v>0</v>
      </c>
      <c r="BI2308" s="1">
        <v>0</v>
      </c>
      <c r="BJ2308" s="1">
        <v>0</v>
      </c>
      <c r="BK2308" s="1">
        <v>0</v>
      </c>
      <c r="BL2308" s="1">
        <v>0</v>
      </c>
      <c r="BM2308" s="1">
        <v>0</v>
      </c>
      <c r="BN2308" s="1">
        <v>0</v>
      </c>
      <c r="BO2308" s="1">
        <v>0</v>
      </c>
      <c r="BP2308" s="1">
        <v>0</v>
      </c>
      <c r="BQ2308" s="1">
        <v>0</v>
      </c>
      <c r="BR2308" s="1">
        <v>0</v>
      </c>
      <c r="BS2308" s="1" t="s">
        <v>109</v>
      </c>
      <c r="BT2308" s="1">
        <v>2399</v>
      </c>
      <c r="BU2308" s="1" t="s">
        <v>109</v>
      </c>
      <c r="BV2308" s="1"/>
      <c r="BW2308" s="1"/>
      <c r="BX2308" s="1"/>
      <c r="BY2308" s="1"/>
      <c r="BZ2308" s="1">
        <v>0</v>
      </c>
      <c r="CA2308" s="1" t="s">
        <v>109</v>
      </c>
      <c r="CB2308" s="1">
        <v>1</v>
      </c>
      <c r="CC2308" s="1" t="s">
        <v>109</v>
      </c>
      <c r="CD2308" s="1">
        <v>1</v>
      </c>
      <c r="CE2308" s="1" t="s">
        <v>109</v>
      </c>
      <c r="CF2308" s="1">
        <v>1</v>
      </c>
      <c r="CG2308" s="1" t="s">
        <v>109</v>
      </c>
      <c r="CH2308" s="1" t="s">
        <v>109</v>
      </c>
      <c r="CI2308" s="1" t="s">
        <v>109</v>
      </c>
      <c r="CJ2308" s="1">
        <v>1</v>
      </c>
      <c r="CK2308" s="1"/>
      <c r="CL2308" s="1">
        <v>0</v>
      </c>
      <c r="CM2308" s="1">
        <v>0</v>
      </c>
      <c r="CN2308" s="1">
        <v>0</v>
      </c>
    </row>
    <row r="2309" spans="1:92" ht="14.25" customHeight="1" x14ac:dyDescent="0.15">
      <c r="A2309" s="1" t="s">
        <v>16531</v>
      </c>
      <c r="B2309" s="1" t="s">
        <v>189</v>
      </c>
      <c r="C2309" s="1" t="s">
        <v>231</v>
      </c>
      <c r="D2309" s="1"/>
      <c r="E2309" s="1" t="s">
        <v>16532</v>
      </c>
      <c r="F2309" s="1" t="s">
        <v>3444</v>
      </c>
      <c r="G2309" s="1" t="s">
        <v>16533</v>
      </c>
      <c r="H2309" s="1">
        <v>0</v>
      </c>
      <c r="I2309" s="1" t="s">
        <v>161</v>
      </c>
      <c r="J2309" s="1"/>
      <c r="K2309" s="1"/>
      <c r="L2309" s="1" t="s">
        <v>16534</v>
      </c>
      <c r="M2309" s="1" t="s">
        <v>144</v>
      </c>
      <c r="N2309" s="1">
        <v>0</v>
      </c>
      <c r="O2309" s="1">
        <v>0</v>
      </c>
      <c r="P2309" s="1" t="s">
        <v>103</v>
      </c>
      <c r="Q2309" s="1" t="s">
        <v>104</v>
      </c>
      <c r="R2309" s="1" t="s">
        <v>16535</v>
      </c>
      <c r="S2309" s="1" t="s">
        <v>16536</v>
      </c>
      <c r="T2309" s="1" t="s">
        <v>16345</v>
      </c>
      <c r="U2309" s="1" t="s">
        <v>16537</v>
      </c>
      <c r="V2309" s="1">
        <v>1</v>
      </c>
      <c r="W2309" s="1">
        <v>1</v>
      </c>
      <c r="X2309" s="1">
        <v>1</v>
      </c>
      <c r="Y2309" s="1">
        <v>0</v>
      </c>
      <c r="Z2309" s="1">
        <v>0</v>
      </c>
      <c r="AA2309" s="1">
        <v>9</v>
      </c>
      <c r="AB2309" s="1">
        <v>9</v>
      </c>
      <c r="AC2309" s="1" t="s">
        <v>109</v>
      </c>
      <c r="AD2309" s="1" t="s">
        <v>109</v>
      </c>
      <c r="AE2309" s="1" t="s">
        <v>109</v>
      </c>
      <c r="AF2309" s="1" t="s">
        <v>109</v>
      </c>
      <c r="AG2309" s="1" t="s">
        <v>109</v>
      </c>
      <c r="AH2309" s="1">
        <v>6</v>
      </c>
      <c r="AI2309" s="1" t="s">
        <v>109</v>
      </c>
      <c r="AJ2309" s="1" t="s">
        <v>109</v>
      </c>
      <c r="AK2309" s="1" t="s">
        <v>109</v>
      </c>
      <c r="AL2309" s="1" t="s">
        <v>109</v>
      </c>
      <c r="AM2309" s="1" t="s">
        <v>109</v>
      </c>
      <c r="AN2309" s="1" t="s">
        <v>109</v>
      </c>
      <c r="AO2309" s="1" t="s">
        <v>109</v>
      </c>
      <c r="AP2309" s="1"/>
      <c r="AQ2309" s="1">
        <v>9</v>
      </c>
      <c r="AR2309" s="1"/>
      <c r="AS2309" s="1"/>
      <c r="AT2309" s="1">
        <v>0</v>
      </c>
      <c r="AU2309" s="1">
        <v>0</v>
      </c>
      <c r="AV2309" s="1">
        <v>0</v>
      </c>
      <c r="AW2309" s="1">
        <v>0</v>
      </c>
      <c r="AX2309" s="1">
        <v>0</v>
      </c>
      <c r="AY2309" s="1">
        <v>0</v>
      </c>
      <c r="AZ2309" s="1">
        <v>0</v>
      </c>
      <c r="BA2309" s="1">
        <v>0</v>
      </c>
      <c r="BB2309" s="1">
        <v>0</v>
      </c>
      <c r="BC2309" s="1">
        <v>0</v>
      </c>
      <c r="BD2309" s="1">
        <v>0</v>
      </c>
      <c r="BE2309" s="1">
        <v>0</v>
      </c>
      <c r="BF2309" s="1">
        <v>0</v>
      </c>
      <c r="BG2309" s="1">
        <v>0</v>
      </c>
      <c r="BH2309" s="1">
        <v>0</v>
      </c>
      <c r="BI2309" s="1">
        <v>0</v>
      </c>
      <c r="BJ2309" s="1">
        <v>0</v>
      </c>
      <c r="BK2309" s="1">
        <v>0</v>
      </c>
      <c r="BL2309" s="1">
        <v>0</v>
      </c>
      <c r="BM2309" s="1">
        <v>0</v>
      </c>
      <c r="BN2309" s="1">
        <v>0</v>
      </c>
      <c r="BO2309" s="1">
        <v>0</v>
      </c>
      <c r="BP2309" s="1">
        <v>0</v>
      </c>
      <c r="BQ2309" s="1">
        <v>0</v>
      </c>
      <c r="BR2309" s="1">
        <v>0</v>
      </c>
      <c r="BS2309" s="1" t="s">
        <v>109</v>
      </c>
      <c r="BT2309" s="1">
        <v>2400</v>
      </c>
      <c r="BU2309" s="1" t="s">
        <v>109</v>
      </c>
      <c r="BV2309" s="1"/>
      <c r="BW2309" s="1"/>
      <c r="BX2309" s="1"/>
      <c r="BY2309" s="1"/>
      <c r="BZ2309" s="1">
        <v>0</v>
      </c>
      <c r="CA2309" s="1" t="s">
        <v>109</v>
      </c>
      <c r="CB2309" s="1" t="s">
        <v>109</v>
      </c>
      <c r="CC2309" s="1" t="s">
        <v>109</v>
      </c>
      <c r="CD2309" s="1" t="s">
        <v>109</v>
      </c>
      <c r="CE2309" s="1" t="s">
        <v>109</v>
      </c>
      <c r="CF2309" s="1" t="s">
        <v>109</v>
      </c>
      <c r="CG2309" s="1" t="s">
        <v>109</v>
      </c>
      <c r="CH2309" s="1" t="s">
        <v>109</v>
      </c>
      <c r="CI2309" s="1" t="s">
        <v>109</v>
      </c>
      <c r="CJ2309" s="1" t="s">
        <v>109</v>
      </c>
      <c r="CK2309" s="1"/>
      <c r="CL2309" s="1">
        <v>0</v>
      </c>
      <c r="CM2309" s="1">
        <v>0</v>
      </c>
      <c r="CN2309" s="1">
        <v>0</v>
      </c>
    </row>
    <row r="2310" spans="1:92" ht="14.25" customHeight="1" x14ac:dyDescent="0.15">
      <c r="A2310" s="1" t="s">
        <v>16538</v>
      </c>
      <c r="B2310" s="1" t="s">
        <v>254</v>
      </c>
      <c r="C2310" s="1"/>
      <c r="D2310" s="1"/>
      <c r="E2310" s="1" t="s">
        <v>16539</v>
      </c>
      <c r="F2310" s="1" t="s">
        <v>98</v>
      </c>
      <c r="G2310" s="1" t="s">
        <v>141</v>
      </c>
      <c r="H2310" s="1">
        <v>0</v>
      </c>
      <c r="I2310" s="1" t="s">
        <v>16540</v>
      </c>
      <c r="J2310" s="1"/>
      <c r="K2310" s="1"/>
      <c r="L2310" s="1" t="s">
        <v>7789</v>
      </c>
      <c r="M2310" s="1" t="s">
        <v>144</v>
      </c>
      <c r="N2310" s="1">
        <v>0</v>
      </c>
      <c r="O2310" s="1">
        <v>0</v>
      </c>
      <c r="P2310" s="1" t="s">
        <v>103</v>
      </c>
      <c r="Q2310" s="1" t="s">
        <v>268</v>
      </c>
      <c r="R2310" s="1" t="s">
        <v>16541</v>
      </c>
      <c r="S2310" s="1" t="s">
        <v>16542</v>
      </c>
      <c r="T2310" s="1" t="s">
        <v>16345</v>
      </c>
      <c r="U2310" s="1" t="s">
        <v>16543</v>
      </c>
      <c r="V2310" s="1">
        <v>1</v>
      </c>
      <c r="W2310" s="1">
        <v>1</v>
      </c>
      <c r="X2310" s="1">
        <v>0</v>
      </c>
      <c r="Y2310" s="1">
        <v>0</v>
      </c>
      <c r="Z2310" s="1">
        <v>0</v>
      </c>
      <c r="AA2310" s="1">
        <v>3</v>
      </c>
      <c r="AB2310" s="1">
        <v>3</v>
      </c>
      <c r="AC2310" s="1" t="s">
        <v>109</v>
      </c>
      <c r="AD2310" s="1" t="s">
        <v>109</v>
      </c>
      <c r="AE2310" s="1" t="s">
        <v>109</v>
      </c>
      <c r="AF2310" s="1">
        <v>3</v>
      </c>
      <c r="AG2310" s="1" t="s">
        <v>109</v>
      </c>
      <c r="AH2310" s="1" t="s">
        <v>109</v>
      </c>
      <c r="AI2310" s="1" t="s">
        <v>109</v>
      </c>
      <c r="AJ2310" s="1">
        <v>3</v>
      </c>
      <c r="AK2310" s="1">
        <v>3</v>
      </c>
      <c r="AL2310" s="1">
        <v>3</v>
      </c>
      <c r="AM2310" s="1" t="s">
        <v>109</v>
      </c>
      <c r="AN2310" s="1">
        <v>3</v>
      </c>
      <c r="AO2310" s="1" t="s">
        <v>109</v>
      </c>
      <c r="AP2310" s="1"/>
      <c r="AQ2310" s="1">
        <v>3</v>
      </c>
      <c r="AR2310" s="1"/>
      <c r="AS2310" s="1"/>
      <c r="AT2310" s="1">
        <v>0</v>
      </c>
      <c r="AU2310" s="1">
        <v>0</v>
      </c>
      <c r="AV2310" s="1">
        <v>0</v>
      </c>
      <c r="AW2310" s="1">
        <v>0</v>
      </c>
      <c r="AX2310" s="1">
        <v>0</v>
      </c>
      <c r="AY2310" s="1">
        <v>0</v>
      </c>
      <c r="AZ2310" s="1">
        <v>0</v>
      </c>
      <c r="BA2310" s="1">
        <v>0</v>
      </c>
      <c r="BB2310" s="1">
        <v>0</v>
      </c>
      <c r="BC2310" s="1">
        <v>0</v>
      </c>
      <c r="BD2310" s="1">
        <v>0</v>
      </c>
      <c r="BE2310" s="1">
        <v>0</v>
      </c>
      <c r="BF2310" s="1">
        <v>0</v>
      </c>
      <c r="BG2310" s="1">
        <v>0</v>
      </c>
      <c r="BH2310" s="1">
        <v>0</v>
      </c>
      <c r="BI2310" s="1">
        <v>0</v>
      </c>
      <c r="BJ2310" s="1">
        <v>0</v>
      </c>
      <c r="BK2310" s="1">
        <v>0</v>
      </c>
      <c r="BL2310" s="1">
        <v>0</v>
      </c>
      <c r="BM2310" s="1">
        <v>0</v>
      </c>
      <c r="BN2310" s="1">
        <v>0</v>
      </c>
      <c r="BO2310" s="1">
        <v>0</v>
      </c>
      <c r="BP2310" s="1">
        <v>0</v>
      </c>
      <c r="BQ2310" s="1">
        <v>0</v>
      </c>
      <c r="BR2310" s="1">
        <v>0</v>
      </c>
      <c r="BS2310" s="1" t="s">
        <v>109</v>
      </c>
      <c r="BT2310" s="1">
        <v>2401</v>
      </c>
      <c r="BU2310" s="1" t="s">
        <v>109</v>
      </c>
      <c r="BV2310" s="1"/>
      <c r="BW2310" s="1"/>
      <c r="BX2310" s="1"/>
      <c r="BY2310" s="1"/>
      <c r="BZ2310" s="1">
        <v>0</v>
      </c>
      <c r="CA2310" s="1">
        <v>3</v>
      </c>
      <c r="CB2310" s="1">
        <v>3</v>
      </c>
      <c r="CC2310" s="1">
        <v>3</v>
      </c>
      <c r="CD2310" s="1">
        <v>3</v>
      </c>
      <c r="CE2310" s="1" t="s">
        <v>109</v>
      </c>
      <c r="CF2310" s="1" t="s">
        <v>109</v>
      </c>
      <c r="CG2310" s="1" t="s">
        <v>109</v>
      </c>
      <c r="CH2310" s="1" t="s">
        <v>109</v>
      </c>
      <c r="CI2310" s="1" t="s">
        <v>109</v>
      </c>
      <c r="CJ2310" s="1" t="s">
        <v>109</v>
      </c>
      <c r="CK2310" s="1"/>
      <c r="CL2310" s="1">
        <v>0</v>
      </c>
      <c r="CM2310" s="1">
        <v>0</v>
      </c>
      <c r="CN2310" s="1">
        <v>0</v>
      </c>
    </row>
    <row r="2311" spans="1:92" ht="14.25" customHeight="1" x14ac:dyDescent="0.15">
      <c r="A2311" s="1" t="s">
        <v>16544</v>
      </c>
      <c r="B2311" s="1" t="s">
        <v>254</v>
      </c>
      <c r="C2311" s="1"/>
      <c r="D2311" s="1"/>
      <c r="E2311" s="1" t="s">
        <v>16545</v>
      </c>
      <c r="F2311" s="1" t="s">
        <v>6545</v>
      </c>
      <c r="G2311" s="1" t="s">
        <v>141</v>
      </c>
      <c r="H2311" s="1">
        <v>0</v>
      </c>
      <c r="I2311" s="1" t="s">
        <v>235</v>
      </c>
      <c r="J2311" s="1"/>
      <c r="K2311" s="1"/>
      <c r="L2311" s="1" t="s">
        <v>236</v>
      </c>
      <c r="M2311" s="1" t="s">
        <v>144</v>
      </c>
      <c r="N2311" s="1">
        <v>0</v>
      </c>
      <c r="O2311" s="1">
        <v>0</v>
      </c>
      <c r="P2311" s="1"/>
      <c r="Q2311" s="1"/>
      <c r="R2311" s="1" t="s">
        <v>16546</v>
      </c>
      <c r="S2311" s="1" t="s">
        <v>16547</v>
      </c>
      <c r="T2311" s="1" t="s">
        <v>16345</v>
      </c>
      <c r="U2311" s="1" t="s">
        <v>16548</v>
      </c>
      <c r="V2311" s="1">
        <v>1</v>
      </c>
      <c r="W2311" s="1">
        <v>1</v>
      </c>
      <c r="X2311" s="1">
        <v>0</v>
      </c>
      <c r="Y2311" s="1">
        <v>0</v>
      </c>
      <c r="Z2311" s="1">
        <v>0</v>
      </c>
      <c r="AA2311" s="1">
        <v>5</v>
      </c>
      <c r="AB2311" s="1">
        <v>5</v>
      </c>
      <c r="AC2311" s="1" t="s">
        <v>109</v>
      </c>
      <c r="AD2311" s="1" t="s">
        <v>109</v>
      </c>
      <c r="AE2311" s="1" t="s">
        <v>109</v>
      </c>
      <c r="AF2311" s="1">
        <v>4</v>
      </c>
      <c r="AG2311" s="1" t="s">
        <v>109</v>
      </c>
      <c r="AH2311" s="1" t="s">
        <v>109</v>
      </c>
      <c r="AI2311" s="1" t="s">
        <v>109</v>
      </c>
      <c r="AJ2311" s="1">
        <v>4</v>
      </c>
      <c r="AK2311" s="1" t="s">
        <v>109</v>
      </c>
      <c r="AL2311" s="1">
        <v>4</v>
      </c>
      <c r="AM2311" s="1" t="s">
        <v>109</v>
      </c>
      <c r="AN2311" s="1" t="s">
        <v>109</v>
      </c>
      <c r="AO2311" s="1" t="s">
        <v>109</v>
      </c>
      <c r="AP2311" s="1"/>
      <c r="AQ2311" s="1">
        <v>5</v>
      </c>
      <c r="AR2311" s="1"/>
      <c r="AS2311" s="1"/>
      <c r="AT2311" s="1">
        <v>0</v>
      </c>
      <c r="AU2311" s="1">
        <v>0</v>
      </c>
      <c r="AV2311" s="1">
        <v>0</v>
      </c>
      <c r="AW2311" s="1">
        <v>0</v>
      </c>
      <c r="AX2311" s="1">
        <v>0</v>
      </c>
      <c r="AY2311" s="1">
        <v>0</v>
      </c>
      <c r="AZ2311" s="1">
        <v>0</v>
      </c>
      <c r="BA2311" s="1">
        <v>0</v>
      </c>
      <c r="BB2311" s="1">
        <v>0</v>
      </c>
      <c r="BC2311" s="1">
        <v>0</v>
      </c>
      <c r="BD2311" s="1">
        <v>0</v>
      </c>
      <c r="BE2311" s="1">
        <v>0</v>
      </c>
      <c r="BF2311" s="1">
        <v>0</v>
      </c>
      <c r="BG2311" s="1">
        <v>0</v>
      </c>
      <c r="BH2311" s="1">
        <v>0</v>
      </c>
      <c r="BI2311" s="1">
        <v>0</v>
      </c>
      <c r="BJ2311" s="1">
        <v>0</v>
      </c>
      <c r="BK2311" s="1">
        <v>0</v>
      </c>
      <c r="BL2311" s="1">
        <v>0</v>
      </c>
      <c r="BM2311" s="1">
        <v>0</v>
      </c>
      <c r="BN2311" s="1">
        <v>0</v>
      </c>
      <c r="BO2311" s="1">
        <v>0</v>
      </c>
      <c r="BP2311" s="1">
        <v>0</v>
      </c>
      <c r="BQ2311" s="1">
        <v>0</v>
      </c>
      <c r="BR2311" s="1">
        <v>0</v>
      </c>
      <c r="BS2311" s="1" t="s">
        <v>109</v>
      </c>
      <c r="BT2311" s="1">
        <v>2402</v>
      </c>
      <c r="BU2311" s="1" t="s">
        <v>109</v>
      </c>
      <c r="BV2311" s="1"/>
      <c r="BW2311" s="1"/>
      <c r="BX2311" s="1"/>
      <c r="BY2311" s="1"/>
      <c r="BZ2311" s="1">
        <v>0</v>
      </c>
      <c r="CA2311" s="1" t="s">
        <v>109</v>
      </c>
      <c r="CB2311" s="1" t="s">
        <v>109</v>
      </c>
      <c r="CC2311" s="1">
        <v>4</v>
      </c>
      <c r="CD2311" s="1" t="s">
        <v>109</v>
      </c>
      <c r="CE2311" s="1" t="s">
        <v>109</v>
      </c>
      <c r="CF2311" s="1">
        <v>5</v>
      </c>
      <c r="CG2311" s="1" t="s">
        <v>109</v>
      </c>
      <c r="CH2311" s="1" t="s">
        <v>109</v>
      </c>
      <c r="CI2311" s="1" t="s">
        <v>109</v>
      </c>
      <c r="CJ2311" s="1" t="s">
        <v>109</v>
      </c>
      <c r="CK2311" s="1"/>
      <c r="CL2311" s="1">
        <v>0</v>
      </c>
      <c r="CM2311" s="1">
        <v>0</v>
      </c>
      <c r="CN2311" s="1">
        <v>0</v>
      </c>
    </row>
    <row r="2312" spans="1:92" ht="14.25" customHeight="1" x14ac:dyDescent="0.15">
      <c r="A2312" s="1" t="s">
        <v>16549</v>
      </c>
      <c r="B2312" s="1" t="s">
        <v>254</v>
      </c>
      <c r="C2312" s="1"/>
      <c r="D2312" s="1"/>
      <c r="E2312" s="1" t="s">
        <v>16550</v>
      </c>
      <c r="F2312" s="1" t="s">
        <v>98</v>
      </c>
      <c r="G2312" s="1" t="s">
        <v>16551</v>
      </c>
      <c r="H2312" s="1">
        <v>0</v>
      </c>
      <c r="I2312" s="1" t="s">
        <v>16552</v>
      </c>
      <c r="J2312" s="1"/>
      <c r="K2312" s="1"/>
      <c r="L2312" s="1" t="s">
        <v>716</v>
      </c>
      <c r="M2312" s="1" t="s">
        <v>125</v>
      </c>
      <c r="N2312" s="1">
        <v>0</v>
      </c>
      <c r="O2312" s="1">
        <v>0</v>
      </c>
      <c r="P2312" s="1" t="s">
        <v>507</v>
      </c>
      <c r="Q2312" s="1" t="s">
        <v>167</v>
      </c>
      <c r="R2312" s="1" t="s">
        <v>16553</v>
      </c>
      <c r="S2312" s="1" t="s">
        <v>16554</v>
      </c>
      <c r="T2312" s="1" t="s">
        <v>16345</v>
      </c>
      <c r="U2312" s="1" t="s">
        <v>16555</v>
      </c>
      <c r="V2312" s="1">
        <v>1</v>
      </c>
      <c r="W2312" s="1">
        <v>1</v>
      </c>
      <c r="X2312" s="1">
        <v>1</v>
      </c>
      <c r="Y2312" s="1">
        <v>0</v>
      </c>
      <c r="Z2312" s="1">
        <v>0</v>
      </c>
      <c r="AA2312" s="1">
        <v>3</v>
      </c>
      <c r="AB2312" s="1">
        <v>3</v>
      </c>
      <c r="AC2312" s="1" t="s">
        <v>109</v>
      </c>
      <c r="AD2312" s="1" t="s">
        <v>109</v>
      </c>
      <c r="AE2312" s="1" t="s">
        <v>109</v>
      </c>
      <c r="AF2312" s="1">
        <v>2</v>
      </c>
      <c r="AG2312" s="1" t="s">
        <v>109</v>
      </c>
      <c r="AH2312" s="1" t="s">
        <v>109</v>
      </c>
      <c r="AI2312" s="1" t="s">
        <v>109</v>
      </c>
      <c r="AJ2312" s="1">
        <v>3</v>
      </c>
      <c r="AK2312" s="1" t="s">
        <v>109</v>
      </c>
      <c r="AL2312" s="1" t="s">
        <v>109</v>
      </c>
      <c r="AM2312" s="1" t="s">
        <v>109</v>
      </c>
      <c r="AN2312" s="1">
        <v>3</v>
      </c>
      <c r="AO2312" s="1" t="s">
        <v>109</v>
      </c>
      <c r="AP2312" s="1"/>
      <c r="AQ2312" s="1">
        <v>3</v>
      </c>
      <c r="AR2312" s="1"/>
      <c r="AS2312" s="1"/>
      <c r="AT2312" s="1">
        <v>0</v>
      </c>
      <c r="AU2312" s="1">
        <v>0</v>
      </c>
      <c r="AV2312" s="1">
        <v>0</v>
      </c>
      <c r="AW2312" s="1">
        <v>0</v>
      </c>
      <c r="AX2312" s="1">
        <v>0</v>
      </c>
      <c r="AY2312" s="1">
        <v>0</v>
      </c>
      <c r="AZ2312" s="1">
        <v>0</v>
      </c>
      <c r="BA2312" s="1">
        <v>0</v>
      </c>
      <c r="BB2312" s="1">
        <v>0</v>
      </c>
      <c r="BC2312" s="1">
        <v>0</v>
      </c>
      <c r="BD2312" s="1">
        <v>0</v>
      </c>
      <c r="BE2312" s="1">
        <v>0</v>
      </c>
      <c r="BF2312" s="1">
        <v>0</v>
      </c>
      <c r="BG2312" s="1">
        <v>0</v>
      </c>
      <c r="BH2312" s="1">
        <v>0</v>
      </c>
      <c r="BI2312" s="1">
        <v>0</v>
      </c>
      <c r="BJ2312" s="1">
        <v>0</v>
      </c>
      <c r="BK2312" s="1">
        <v>0</v>
      </c>
      <c r="BL2312" s="1">
        <v>0</v>
      </c>
      <c r="BM2312" s="1">
        <v>0</v>
      </c>
      <c r="BN2312" s="1">
        <v>0</v>
      </c>
      <c r="BO2312" s="1">
        <v>0</v>
      </c>
      <c r="BP2312" s="1">
        <v>0</v>
      </c>
      <c r="BQ2312" s="1">
        <v>0</v>
      </c>
      <c r="BR2312" s="1">
        <v>0</v>
      </c>
      <c r="BS2312" s="1" t="s">
        <v>109</v>
      </c>
      <c r="BT2312" s="1">
        <v>2403</v>
      </c>
      <c r="BU2312" s="1" t="s">
        <v>109</v>
      </c>
      <c r="BV2312" s="1"/>
      <c r="BW2312" s="1"/>
      <c r="BX2312" s="1"/>
      <c r="BY2312" s="1"/>
      <c r="BZ2312" s="1">
        <v>0</v>
      </c>
      <c r="CA2312" s="1">
        <v>2</v>
      </c>
      <c r="CB2312" s="1" t="s">
        <v>109</v>
      </c>
      <c r="CC2312" s="1">
        <v>3</v>
      </c>
      <c r="CD2312" s="1" t="s">
        <v>109</v>
      </c>
      <c r="CE2312" s="1" t="s">
        <v>109</v>
      </c>
      <c r="CF2312" s="1" t="s">
        <v>109</v>
      </c>
      <c r="CG2312" s="1" t="s">
        <v>109</v>
      </c>
      <c r="CH2312" s="1" t="s">
        <v>109</v>
      </c>
      <c r="CI2312" s="1" t="s">
        <v>109</v>
      </c>
      <c r="CJ2312" s="1" t="s">
        <v>109</v>
      </c>
      <c r="CK2312" s="1"/>
      <c r="CL2312" s="1">
        <v>0</v>
      </c>
      <c r="CM2312" s="1">
        <v>0</v>
      </c>
      <c r="CN2312" s="1">
        <v>0</v>
      </c>
    </row>
    <row r="2313" spans="1:92" ht="14.25" customHeight="1" x14ac:dyDescent="0.15">
      <c r="A2313" s="1" t="s">
        <v>16556</v>
      </c>
      <c r="B2313" s="1" t="s">
        <v>156</v>
      </c>
      <c r="C2313" s="1" t="s">
        <v>157</v>
      </c>
      <c r="D2313" s="1" t="s">
        <v>16043</v>
      </c>
      <c r="E2313" s="1" t="s">
        <v>16557</v>
      </c>
      <c r="F2313" s="1" t="s">
        <v>98</v>
      </c>
      <c r="G2313" s="1" t="s">
        <v>16558</v>
      </c>
      <c r="H2313" s="1">
        <v>0</v>
      </c>
      <c r="I2313" s="1" t="s">
        <v>122</v>
      </c>
      <c r="J2313" s="1"/>
      <c r="K2313" s="1"/>
      <c r="L2313" s="1" t="s">
        <v>7789</v>
      </c>
      <c r="M2313" s="1" t="s">
        <v>3042</v>
      </c>
      <c r="N2313" s="1">
        <v>0</v>
      </c>
      <c r="O2313" s="1">
        <v>0</v>
      </c>
      <c r="P2313" s="1" t="s">
        <v>301</v>
      </c>
      <c r="Q2313" s="1" t="s">
        <v>268</v>
      </c>
      <c r="R2313" s="1" t="s">
        <v>16559</v>
      </c>
      <c r="S2313" s="1" t="s">
        <v>16560</v>
      </c>
      <c r="T2313" s="1" t="s">
        <v>16345</v>
      </c>
      <c r="U2313" s="1" t="s">
        <v>16561</v>
      </c>
      <c r="V2313" s="1">
        <v>1</v>
      </c>
      <c r="W2313" s="1">
        <v>1</v>
      </c>
      <c r="X2313" s="1">
        <v>1</v>
      </c>
      <c r="Y2313" s="1">
        <v>0</v>
      </c>
      <c r="Z2313" s="1">
        <v>0</v>
      </c>
      <c r="AA2313" s="1">
        <v>2</v>
      </c>
      <c r="AB2313" s="1">
        <v>2</v>
      </c>
      <c r="AC2313" s="1" t="s">
        <v>109</v>
      </c>
      <c r="AD2313" s="1" t="s">
        <v>109</v>
      </c>
      <c r="AE2313" s="1" t="s">
        <v>109</v>
      </c>
      <c r="AF2313" s="1">
        <v>2</v>
      </c>
      <c r="AG2313" s="1" t="s">
        <v>109</v>
      </c>
      <c r="AH2313" s="1" t="s">
        <v>109</v>
      </c>
      <c r="AI2313" s="1" t="s">
        <v>109</v>
      </c>
      <c r="AJ2313" s="1" t="s">
        <v>109</v>
      </c>
      <c r="AK2313" s="1" t="s">
        <v>109</v>
      </c>
      <c r="AL2313" s="1" t="s">
        <v>109</v>
      </c>
      <c r="AM2313" s="1" t="s">
        <v>109</v>
      </c>
      <c r="AN2313" s="1">
        <v>3</v>
      </c>
      <c r="AO2313" s="1" t="s">
        <v>109</v>
      </c>
      <c r="AP2313" s="1"/>
      <c r="AQ2313" s="1">
        <v>2</v>
      </c>
      <c r="AR2313" s="1"/>
      <c r="AS2313" s="1"/>
      <c r="AT2313" s="1">
        <v>0</v>
      </c>
      <c r="AU2313" s="1">
        <v>0</v>
      </c>
      <c r="AV2313" s="1">
        <v>0</v>
      </c>
      <c r="AW2313" s="1">
        <v>0</v>
      </c>
      <c r="AX2313" s="1">
        <v>0</v>
      </c>
      <c r="AY2313" s="1">
        <v>0</v>
      </c>
      <c r="AZ2313" s="1">
        <v>0</v>
      </c>
      <c r="BA2313" s="1">
        <v>0</v>
      </c>
      <c r="BB2313" s="1">
        <v>0</v>
      </c>
      <c r="BC2313" s="1">
        <v>0</v>
      </c>
      <c r="BD2313" s="1">
        <v>1</v>
      </c>
      <c r="BE2313" s="1">
        <v>0</v>
      </c>
      <c r="BF2313" s="1">
        <v>0</v>
      </c>
      <c r="BG2313" s="1">
        <v>0</v>
      </c>
      <c r="BH2313" s="1">
        <v>0</v>
      </c>
      <c r="BI2313" s="1">
        <v>0</v>
      </c>
      <c r="BJ2313" s="1">
        <v>0</v>
      </c>
      <c r="BK2313" s="1">
        <v>0</v>
      </c>
      <c r="BL2313" s="1">
        <v>0</v>
      </c>
      <c r="BM2313" s="1">
        <v>1</v>
      </c>
      <c r="BN2313" s="1">
        <v>0</v>
      </c>
      <c r="BO2313" s="1">
        <v>0</v>
      </c>
      <c r="BP2313" s="1">
        <v>0</v>
      </c>
      <c r="BQ2313" s="1">
        <v>0</v>
      </c>
      <c r="BR2313" s="1">
        <v>0</v>
      </c>
      <c r="BS2313" s="1" t="s">
        <v>109</v>
      </c>
      <c r="BT2313" s="1">
        <v>2404</v>
      </c>
      <c r="BU2313" s="1" t="s">
        <v>109</v>
      </c>
      <c r="BV2313" s="1"/>
      <c r="BW2313" s="1"/>
      <c r="BX2313" s="1"/>
      <c r="BY2313" s="1"/>
      <c r="BZ2313" s="1">
        <v>0</v>
      </c>
      <c r="CA2313" s="1">
        <v>2</v>
      </c>
      <c r="CB2313" s="1" t="s">
        <v>109</v>
      </c>
      <c r="CC2313" s="1">
        <v>2</v>
      </c>
      <c r="CD2313" s="1" t="s">
        <v>109</v>
      </c>
      <c r="CE2313" s="1">
        <v>2</v>
      </c>
      <c r="CF2313" s="1" t="s">
        <v>109</v>
      </c>
      <c r="CG2313" s="1" t="s">
        <v>109</v>
      </c>
      <c r="CH2313" s="1" t="s">
        <v>109</v>
      </c>
      <c r="CI2313" s="1" t="s">
        <v>109</v>
      </c>
      <c r="CJ2313" s="1" t="s">
        <v>109</v>
      </c>
      <c r="CK2313" s="1"/>
      <c r="CL2313" s="1">
        <v>0</v>
      </c>
      <c r="CM2313" s="1">
        <v>0</v>
      </c>
      <c r="CN2313" s="1">
        <v>0</v>
      </c>
    </row>
    <row r="2314" spans="1:92" ht="14.25" customHeight="1" x14ac:dyDescent="0.15">
      <c r="A2314" s="1" t="s">
        <v>16562</v>
      </c>
      <c r="B2314" s="1" t="s">
        <v>156</v>
      </c>
      <c r="C2314" s="1" t="s">
        <v>157</v>
      </c>
      <c r="D2314" s="1" t="s">
        <v>16098</v>
      </c>
      <c r="E2314" s="1" t="s">
        <v>16563</v>
      </c>
      <c r="F2314" s="1" t="s">
        <v>98</v>
      </c>
      <c r="G2314" s="1" t="s">
        <v>141</v>
      </c>
      <c r="H2314" s="1">
        <v>0</v>
      </c>
      <c r="I2314" s="1" t="s">
        <v>122</v>
      </c>
      <c r="J2314" s="1"/>
      <c r="K2314" s="1"/>
      <c r="L2314" s="1" t="s">
        <v>16564</v>
      </c>
      <c r="M2314" s="1" t="s">
        <v>125</v>
      </c>
      <c r="N2314" s="1">
        <v>0</v>
      </c>
      <c r="O2314" s="1">
        <v>0</v>
      </c>
      <c r="P2314" s="1" t="s">
        <v>301</v>
      </c>
      <c r="Q2314" s="1" t="s">
        <v>268</v>
      </c>
      <c r="R2314" s="1" t="s">
        <v>16565</v>
      </c>
      <c r="S2314" s="1" t="s">
        <v>16566</v>
      </c>
      <c r="T2314" s="1" t="s">
        <v>16345</v>
      </c>
      <c r="U2314" s="1" t="s">
        <v>16567</v>
      </c>
      <c r="V2314" s="1">
        <v>1</v>
      </c>
      <c r="W2314" s="1">
        <v>1</v>
      </c>
      <c r="X2314" s="1">
        <v>0</v>
      </c>
      <c r="Y2314" s="1">
        <v>0</v>
      </c>
      <c r="Z2314" s="1">
        <v>0</v>
      </c>
      <c r="AA2314" s="1">
        <v>3</v>
      </c>
      <c r="AB2314" s="1">
        <v>3</v>
      </c>
      <c r="AC2314" s="1" t="s">
        <v>109</v>
      </c>
      <c r="AD2314" s="1" t="s">
        <v>109</v>
      </c>
      <c r="AE2314" s="1" t="s">
        <v>109</v>
      </c>
      <c r="AF2314" s="1">
        <v>3</v>
      </c>
      <c r="AG2314" s="1" t="s">
        <v>109</v>
      </c>
      <c r="AH2314" s="1" t="s">
        <v>109</v>
      </c>
      <c r="AI2314" s="1" t="s">
        <v>109</v>
      </c>
      <c r="AJ2314" s="1">
        <v>3</v>
      </c>
      <c r="AK2314" s="1">
        <v>3</v>
      </c>
      <c r="AL2314" s="1" t="s">
        <v>109</v>
      </c>
      <c r="AM2314" s="1">
        <v>3</v>
      </c>
      <c r="AN2314" s="1" t="s">
        <v>109</v>
      </c>
      <c r="AO2314" s="1" t="s">
        <v>109</v>
      </c>
      <c r="AP2314" s="1"/>
      <c r="AQ2314" s="1">
        <v>3</v>
      </c>
      <c r="AR2314" s="1"/>
      <c r="AS2314" s="1"/>
      <c r="AT2314" s="1">
        <v>0</v>
      </c>
      <c r="AU2314" s="1">
        <v>0</v>
      </c>
      <c r="AV2314" s="1">
        <v>0</v>
      </c>
      <c r="AW2314" s="1">
        <v>0</v>
      </c>
      <c r="AX2314" s="1">
        <v>0</v>
      </c>
      <c r="AY2314" s="1">
        <v>0</v>
      </c>
      <c r="AZ2314" s="1">
        <v>0</v>
      </c>
      <c r="BA2314" s="1">
        <v>0</v>
      </c>
      <c r="BB2314" s="1">
        <v>0</v>
      </c>
      <c r="BC2314" s="1">
        <v>0</v>
      </c>
      <c r="BD2314" s="1">
        <v>1</v>
      </c>
      <c r="BE2314" s="1">
        <v>0</v>
      </c>
      <c r="BF2314" s="1">
        <v>1</v>
      </c>
      <c r="BG2314" s="1">
        <v>0</v>
      </c>
      <c r="BH2314" s="1">
        <v>0</v>
      </c>
      <c r="BI2314" s="1">
        <v>0</v>
      </c>
      <c r="BJ2314" s="1">
        <v>0</v>
      </c>
      <c r="BK2314" s="1">
        <v>0</v>
      </c>
      <c r="BL2314" s="1">
        <v>0</v>
      </c>
      <c r="BM2314" s="1">
        <v>1</v>
      </c>
      <c r="BN2314" s="1">
        <v>0</v>
      </c>
      <c r="BO2314" s="1">
        <v>0</v>
      </c>
      <c r="BP2314" s="1">
        <v>0</v>
      </c>
      <c r="BQ2314" s="1">
        <v>0</v>
      </c>
      <c r="BR2314" s="1">
        <v>0</v>
      </c>
      <c r="BS2314" s="1" t="s">
        <v>109</v>
      </c>
      <c r="BT2314" s="1">
        <v>2405</v>
      </c>
      <c r="BU2314" s="1" t="s">
        <v>109</v>
      </c>
      <c r="BV2314" s="1"/>
      <c r="BW2314" s="1"/>
      <c r="BX2314" s="1"/>
      <c r="BY2314" s="1"/>
      <c r="BZ2314" s="1">
        <v>0</v>
      </c>
      <c r="CA2314" s="1" t="s">
        <v>109</v>
      </c>
      <c r="CB2314" s="1" t="s">
        <v>109</v>
      </c>
      <c r="CC2314" s="1">
        <v>3</v>
      </c>
      <c r="CD2314" s="1" t="s">
        <v>109</v>
      </c>
      <c r="CE2314" s="1">
        <v>3</v>
      </c>
      <c r="CF2314" s="1" t="s">
        <v>109</v>
      </c>
      <c r="CG2314" s="1" t="s">
        <v>109</v>
      </c>
      <c r="CH2314" s="1" t="s">
        <v>109</v>
      </c>
      <c r="CI2314" s="1" t="s">
        <v>109</v>
      </c>
      <c r="CJ2314" s="1" t="s">
        <v>109</v>
      </c>
      <c r="CK2314" s="1"/>
      <c r="CL2314" s="1">
        <v>0</v>
      </c>
      <c r="CM2314" s="1">
        <v>0</v>
      </c>
      <c r="CN2314" s="1">
        <v>0</v>
      </c>
    </row>
    <row r="2315" spans="1:92" ht="14.25" customHeight="1" x14ac:dyDescent="0.15">
      <c r="A2315" s="1" t="s">
        <v>16568</v>
      </c>
      <c r="B2315" s="1" t="s">
        <v>242</v>
      </c>
      <c r="C2315" s="1"/>
      <c r="D2315" s="1"/>
      <c r="E2315" s="1" t="s">
        <v>16569</v>
      </c>
      <c r="F2315" s="1" t="s">
        <v>98</v>
      </c>
      <c r="G2315" s="1" t="s">
        <v>141</v>
      </c>
      <c r="H2315" s="1">
        <v>0</v>
      </c>
      <c r="I2315" s="1" t="s">
        <v>122</v>
      </c>
      <c r="J2315" s="1"/>
      <c r="K2315" s="1"/>
      <c r="L2315" s="1" t="s">
        <v>7978</v>
      </c>
      <c r="M2315" s="1" t="s">
        <v>5642</v>
      </c>
      <c r="N2315" s="1">
        <v>0</v>
      </c>
      <c r="O2315" s="1">
        <v>0</v>
      </c>
      <c r="P2315" s="1" t="s">
        <v>507</v>
      </c>
      <c r="Q2315" s="1" t="s">
        <v>167</v>
      </c>
      <c r="R2315" s="1" t="s">
        <v>16570</v>
      </c>
      <c r="S2315" s="1" t="s">
        <v>16571</v>
      </c>
      <c r="T2315" s="1" t="s">
        <v>16345</v>
      </c>
      <c r="U2315" s="1" t="s">
        <v>16572</v>
      </c>
      <c r="V2315" s="1">
        <v>1</v>
      </c>
      <c r="W2315" s="1">
        <v>1</v>
      </c>
      <c r="X2315" s="1">
        <v>0</v>
      </c>
      <c r="Y2315" s="1">
        <v>0</v>
      </c>
      <c r="Z2315" s="1">
        <v>0</v>
      </c>
      <c r="AA2315" s="1">
        <v>4</v>
      </c>
      <c r="AB2315" s="1">
        <v>4</v>
      </c>
      <c r="AC2315" s="1" t="s">
        <v>109</v>
      </c>
      <c r="AD2315" s="1" t="s">
        <v>109</v>
      </c>
      <c r="AE2315" s="1" t="s">
        <v>109</v>
      </c>
      <c r="AF2315" s="1">
        <v>4</v>
      </c>
      <c r="AG2315" s="1" t="s">
        <v>109</v>
      </c>
      <c r="AH2315" s="1" t="s">
        <v>109</v>
      </c>
      <c r="AI2315" s="1" t="s">
        <v>109</v>
      </c>
      <c r="AJ2315" s="1">
        <v>3</v>
      </c>
      <c r="AK2315" s="1">
        <v>4</v>
      </c>
      <c r="AL2315" s="1" t="s">
        <v>109</v>
      </c>
      <c r="AM2315" s="1" t="s">
        <v>109</v>
      </c>
      <c r="AN2315" s="1" t="s">
        <v>109</v>
      </c>
      <c r="AO2315" s="1" t="s">
        <v>109</v>
      </c>
      <c r="AP2315" s="1"/>
      <c r="AQ2315" s="1">
        <v>4</v>
      </c>
      <c r="AR2315" s="1"/>
      <c r="AS2315" s="1"/>
      <c r="AT2315" s="1">
        <v>0</v>
      </c>
      <c r="AU2315" s="1">
        <v>0</v>
      </c>
      <c r="AV2315" s="1">
        <v>0</v>
      </c>
      <c r="AW2315" s="1">
        <v>0</v>
      </c>
      <c r="AX2315" s="1">
        <v>0</v>
      </c>
      <c r="AY2315" s="1">
        <v>0</v>
      </c>
      <c r="AZ2315" s="1">
        <v>0</v>
      </c>
      <c r="BA2315" s="1">
        <v>0</v>
      </c>
      <c r="BB2315" s="1">
        <v>0</v>
      </c>
      <c r="BC2315" s="1">
        <v>0</v>
      </c>
      <c r="BD2315" s="1">
        <v>0</v>
      </c>
      <c r="BE2315" s="1">
        <v>0</v>
      </c>
      <c r="BF2315" s="1">
        <v>0</v>
      </c>
      <c r="BG2315" s="1">
        <v>0</v>
      </c>
      <c r="BH2315" s="1">
        <v>0</v>
      </c>
      <c r="BI2315" s="1">
        <v>0</v>
      </c>
      <c r="BJ2315" s="1">
        <v>0</v>
      </c>
      <c r="BK2315" s="1">
        <v>0</v>
      </c>
      <c r="BL2315" s="1">
        <v>0</v>
      </c>
      <c r="BM2315" s="1">
        <v>0</v>
      </c>
      <c r="BN2315" s="1">
        <v>0</v>
      </c>
      <c r="BO2315" s="1">
        <v>0</v>
      </c>
      <c r="BP2315" s="1">
        <v>0</v>
      </c>
      <c r="BQ2315" s="1">
        <v>0</v>
      </c>
      <c r="BR2315" s="1">
        <v>0</v>
      </c>
      <c r="BS2315" s="1" t="s">
        <v>109</v>
      </c>
      <c r="BT2315" s="1">
        <v>2406</v>
      </c>
      <c r="BU2315" s="1" t="s">
        <v>109</v>
      </c>
      <c r="BV2315" s="1"/>
      <c r="BW2315" s="1"/>
      <c r="BX2315" s="1"/>
      <c r="BY2315" s="1"/>
      <c r="BZ2315" s="1">
        <v>0</v>
      </c>
      <c r="CA2315" s="1" t="s">
        <v>109</v>
      </c>
      <c r="CB2315" s="1" t="s">
        <v>109</v>
      </c>
      <c r="CC2315" s="1">
        <v>3</v>
      </c>
      <c r="CD2315" s="1" t="s">
        <v>109</v>
      </c>
      <c r="CE2315" s="1">
        <v>4</v>
      </c>
      <c r="CF2315" s="1" t="s">
        <v>109</v>
      </c>
      <c r="CG2315" s="1" t="s">
        <v>109</v>
      </c>
      <c r="CH2315" s="1" t="s">
        <v>109</v>
      </c>
      <c r="CI2315" s="1" t="s">
        <v>109</v>
      </c>
      <c r="CJ2315" s="1" t="s">
        <v>109</v>
      </c>
      <c r="CK2315" s="1"/>
      <c r="CL2315" s="1">
        <v>0</v>
      </c>
      <c r="CM2315" s="1">
        <v>0</v>
      </c>
      <c r="CN2315" s="1">
        <v>0</v>
      </c>
    </row>
    <row r="2316" spans="1:92" ht="14.25" customHeight="1" x14ac:dyDescent="0.15">
      <c r="A2316" s="1" t="s">
        <v>16573</v>
      </c>
      <c r="B2316" s="1" t="s">
        <v>189</v>
      </c>
      <c r="C2316" s="1" t="s">
        <v>231</v>
      </c>
      <c r="D2316" s="1"/>
      <c r="E2316" s="1" t="s">
        <v>16574</v>
      </c>
      <c r="F2316" s="1" t="s">
        <v>98</v>
      </c>
      <c r="G2316" s="1" t="s">
        <v>141</v>
      </c>
      <c r="H2316" s="1">
        <v>0</v>
      </c>
      <c r="I2316" s="1" t="s">
        <v>161</v>
      </c>
      <c r="J2316" s="1"/>
      <c r="K2316" s="1"/>
      <c r="L2316" s="1" t="s">
        <v>16575</v>
      </c>
      <c r="M2316" s="1" t="s">
        <v>7432</v>
      </c>
      <c r="N2316" s="1">
        <v>1</v>
      </c>
      <c r="O2316" s="1">
        <v>0</v>
      </c>
      <c r="P2316" s="1" t="s">
        <v>507</v>
      </c>
      <c r="Q2316" s="1" t="s">
        <v>167</v>
      </c>
      <c r="R2316" s="1" t="s">
        <v>16576</v>
      </c>
      <c r="S2316" s="1" t="s">
        <v>16577</v>
      </c>
      <c r="T2316" s="1" t="s">
        <v>16578</v>
      </c>
      <c r="U2316" s="1" t="s">
        <v>16579</v>
      </c>
      <c r="V2316" s="1">
        <v>1</v>
      </c>
      <c r="W2316" s="1">
        <v>1</v>
      </c>
      <c r="X2316" s="1">
        <v>0</v>
      </c>
      <c r="Y2316" s="1">
        <v>0</v>
      </c>
      <c r="Z2316" s="1">
        <v>0</v>
      </c>
      <c r="AA2316" s="1">
        <v>3</v>
      </c>
      <c r="AB2316" s="1">
        <v>3</v>
      </c>
      <c r="AC2316" s="1">
        <v>2</v>
      </c>
      <c r="AD2316" s="1" t="s">
        <v>109</v>
      </c>
      <c r="AE2316" s="1" t="s">
        <v>109</v>
      </c>
      <c r="AF2316" s="1" t="s">
        <v>109</v>
      </c>
      <c r="AG2316" s="1" t="s">
        <v>109</v>
      </c>
      <c r="AH2316" s="1">
        <v>2</v>
      </c>
      <c r="AI2316" s="1" t="s">
        <v>109</v>
      </c>
      <c r="AJ2316" s="1">
        <v>2</v>
      </c>
      <c r="AK2316" s="1" t="s">
        <v>109</v>
      </c>
      <c r="AL2316" s="1">
        <v>2</v>
      </c>
      <c r="AM2316" s="1">
        <v>3</v>
      </c>
      <c r="AN2316" s="1" t="s">
        <v>109</v>
      </c>
      <c r="AO2316" s="1" t="s">
        <v>109</v>
      </c>
      <c r="AP2316" s="1"/>
      <c r="AQ2316" s="1">
        <v>3</v>
      </c>
      <c r="AR2316" s="1"/>
      <c r="AS2316" s="1"/>
      <c r="AT2316" s="1">
        <v>0</v>
      </c>
      <c r="AU2316" s="1">
        <v>0</v>
      </c>
      <c r="AV2316" s="1">
        <v>0</v>
      </c>
      <c r="AW2316" s="1">
        <v>0</v>
      </c>
      <c r="AX2316" s="1">
        <v>0</v>
      </c>
      <c r="AY2316" s="1">
        <v>0</v>
      </c>
      <c r="AZ2316" s="1">
        <v>0</v>
      </c>
      <c r="BA2316" s="1">
        <v>0</v>
      </c>
      <c r="BB2316" s="1">
        <v>0</v>
      </c>
      <c r="BC2316" s="1">
        <v>0</v>
      </c>
      <c r="BD2316" s="1">
        <v>0</v>
      </c>
      <c r="BE2316" s="1">
        <v>0</v>
      </c>
      <c r="BF2316" s="1">
        <v>0</v>
      </c>
      <c r="BG2316" s="1">
        <v>0</v>
      </c>
      <c r="BH2316" s="1">
        <v>0</v>
      </c>
      <c r="BI2316" s="1">
        <v>0</v>
      </c>
      <c r="BJ2316" s="1">
        <v>0</v>
      </c>
      <c r="BK2316" s="1">
        <v>0</v>
      </c>
      <c r="BL2316" s="1">
        <v>0</v>
      </c>
      <c r="BM2316" s="1">
        <v>0</v>
      </c>
      <c r="BN2316" s="1">
        <v>0</v>
      </c>
      <c r="BO2316" s="1">
        <v>0</v>
      </c>
      <c r="BP2316" s="1">
        <v>0</v>
      </c>
      <c r="BQ2316" s="1">
        <v>0</v>
      </c>
      <c r="BR2316" s="1">
        <v>0</v>
      </c>
      <c r="BS2316" s="1" t="s">
        <v>109</v>
      </c>
      <c r="BT2316" s="1">
        <v>2407</v>
      </c>
      <c r="BU2316" s="1" t="s">
        <v>109</v>
      </c>
      <c r="BV2316" s="1"/>
      <c r="BW2316" s="1"/>
      <c r="BX2316" s="1"/>
      <c r="BY2316" s="1"/>
      <c r="BZ2316" s="1">
        <v>0</v>
      </c>
      <c r="CA2316" s="1" t="s">
        <v>109</v>
      </c>
      <c r="CB2316" s="1" t="s">
        <v>109</v>
      </c>
      <c r="CC2316" s="1">
        <v>2</v>
      </c>
      <c r="CD2316" s="1">
        <v>2</v>
      </c>
      <c r="CE2316" s="1" t="s">
        <v>109</v>
      </c>
      <c r="CF2316" s="1" t="s">
        <v>109</v>
      </c>
      <c r="CG2316" s="1" t="s">
        <v>109</v>
      </c>
      <c r="CH2316" s="1" t="s">
        <v>109</v>
      </c>
      <c r="CI2316" s="1" t="s">
        <v>109</v>
      </c>
      <c r="CJ2316" s="1" t="s">
        <v>109</v>
      </c>
      <c r="CK2316" s="1"/>
      <c r="CL2316" s="1">
        <v>0</v>
      </c>
      <c r="CM2316" s="1">
        <v>0</v>
      </c>
      <c r="CN2316" s="1">
        <v>0</v>
      </c>
    </row>
    <row r="2317" spans="1:92" ht="14.25" customHeight="1" x14ac:dyDescent="0.15">
      <c r="A2317" s="1" t="s">
        <v>16580</v>
      </c>
      <c r="B2317" s="1" t="s">
        <v>242</v>
      </c>
      <c r="C2317" s="1"/>
      <c r="D2317" s="1"/>
      <c r="E2317" s="1" t="s">
        <v>16581</v>
      </c>
      <c r="F2317" s="1" t="s">
        <v>98</v>
      </c>
      <c r="G2317" s="1" t="s">
        <v>16582</v>
      </c>
      <c r="H2317" s="1">
        <v>0</v>
      </c>
      <c r="I2317" s="1" t="s">
        <v>142</v>
      </c>
      <c r="J2317" s="1" t="s">
        <v>6927</v>
      </c>
      <c r="K2317" s="1"/>
      <c r="L2317" s="1"/>
      <c r="M2317" s="1" t="s">
        <v>465</v>
      </c>
      <c r="N2317" s="1">
        <v>0</v>
      </c>
      <c r="O2317" s="1">
        <v>0</v>
      </c>
      <c r="P2317" s="1" t="s">
        <v>103</v>
      </c>
      <c r="Q2317" s="1" t="s">
        <v>104</v>
      </c>
      <c r="R2317" s="1" t="s">
        <v>16583</v>
      </c>
      <c r="S2317" s="1" t="s">
        <v>16584</v>
      </c>
      <c r="T2317" s="1" t="s">
        <v>16578</v>
      </c>
      <c r="U2317" s="1" t="s">
        <v>16585</v>
      </c>
      <c r="V2317" s="1">
        <v>1</v>
      </c>
      <c r="W2317" s="1">
        <v>1</v>
      </c>
      <c r="X2317" s="1">
        <v>1</v>
      </c>
      <c r="Y2317" s="1">
        <v>0</v>
      </c>
      <c r="Z2317" s="1">
        <v>0</v>
      </c>
      <c r="AA2317" s="1">
        <v>5</v>
      </c>
      <c r="AB2317" s="1">
        <v>5</v>
      </c>
      <c r="AC2317" s="1">
        <v>5</v>
      </c>
      <c r="AD2317" s="1">
        <v>5</v>
      </c>
      <c r="AE2317" s="1" t="s">
        <v>109</v>
      </c>
      <c r="AF2317" s="1" t="s">
        <v>109</v>
      </c>
      <c r="AG2317" s="1" t="s">
        <v>109</v>
      </c>
      <c r="AH2317" s="1">
        <v>3</v>
      </c>
      <c r="AI2317" s="1" t="s">
        <v>109</v>
      </c>
      <c r="AJ2317" s="1">
        <v>5</v>
      </c>
      <c r="AK2317" s="1" t="s">
        <v>109</v>
      </c>
      <c r="AL2317" s="1">
        <v>5</v>
      </c>
      <c r="AM2317" s="1" t="s">
        <v>109</v>
      </c>
      <c r="AN2317" s="1" t="s">
        <v>109</v>
      </c>
      <c r="AO2317" s="1" t="s">
        <v>109</v>
      </c>
      <c r="AP2317" s="1"/>
      <c r="AQ2317" s="1">
        <v>5</v>
      </c>
      <c r="AR2317" s="1"/>
      <c r="AS2317" s="1"/>
      <c r="AT2317" s="1">
        <v>0</v>
      </c>
      <c r="AU2317" s="1">
        <v>0</v>
      </c>
      <c r="AV2317" s="1">
        <v>0</v>
      </c>
      <c r="AW2317" s="1">
        <v>0</v>
      </c>
      <c r="AX2317" s="1">
        <v>0</v>
      </c>
      <c r="AY2317" s="1">
        <v>0</v>
      </c>
      <c r="AZ2317" s="1">
        <v>0</v>
      </c>
      <c r="BA2317" s="1">
        <v>0</v>
      </c>
      <c r="BB2317" s="1">
        <v>0</v>
      </c>
      <c r="BC2317" s="1">
        <v>0</v>
      </c>
      <c r="BD2317" s="1">
        <v>0</v>
      </c>
      <c r="BE2317" s="1">
        <v>0</v>
      </c>
      <c r="BF2317" s="1">
        <v>0</v>
      </c>
      <c r="BG2317" s="1">
        <v>0</v>
      </c>
      <c r="BH2317" s="1">
        <v>0</v>
      </c>
      <c r="BI2317" s="1">
        <v>0</v>
      </c>
      <c r="BJ2317" s="1">
        <v>0</v>
      </c>
      <c r="BK2317" s="1">
        <v>0</v>
      </c>
      <c r="BL2317" s="1">
        <v>0</v>
      </c>
      <c r="BM2317" s="1">
        <v>0</v>
      </c>
      <c r="BN2317" s="1">
        <v>0</v>
      </c>
      <c r="BO2317" s="1">
        <v>0</v>
      </c>
      <c r="BP2317" s="1">
        <v>0</v>
      </c>
      <c r="BQ2317" s="1">
        <v>0</v>
      </c>
      <c r="BR2317" s="1">
        <v>0</v>
      </c>
      <c r="BS2317" s="1" t="s">
        <v>109</v>
      </c>
      <c r="BT2317" s="1">
        <v>2408</v>
      </c>
      <c r="BU2317" s="1" t="s">
        <v>109</v>
      </c>
      <c r="BV2317" s="1"/>
      <c r="BW2317" s="1"/>
      <c r="BX2317" s="1"/>
      <c r="BY2317" s="1"/>
      <c r="BZ2317" s="1">
        <v>0</v>
      </c>
      <c r="CA2317" s="1" t="s">
        <v>109</v>
      </c>
      <c r="CB2317" s="1">
        <v>5</v>
      </c>
      <c r="CC2317" s="1">
        <v>5</v>
      </c>
      <c r="CD2317" s="1" t="s">
        <v>109</v>
      </c>
      <c r="CE2317" s="1" t="s">
        <v>109</v>
      </c>
      <c r="CF2317" s="1" t="s">
        <v>109</v>
      </c>
      <c r="CG2317" s="1" t="s">
        <v>109</v>
      </c>
      <c r="CH2317" s="1" t="s">
        <v>109</v>
      </c>
      <c r="CI2317" s="1" t="s">
        <v>109</v>
      </c>
      <c r="CJ2317" s="1">
        <v>5</v>
      </c>
      <c r="CK2317" s="1"/>
      <c r="CL2317" s="1">
        <v>0</v>
      </c>
      <c r="CM2317" s="1">
        <v>0</v>
      </c>
      <c r="CN2317" s="1">
        <v>0</v>
      </c>
    </row>
    <row r="2318" spans="1:92" ht="14.25" customHeight="1" x14ac:dyDescent="0.15">
      <c r="A2318" s="1" t="s">
        <v>16586</v>
      </c>
      <c r="B2318" s="1" t="s">
        <v>189</v>
      </c>
      <c r="C2318" s="1"/>
      <c r="D2318" s="1"/>
      <c r="E2318" s="1" t="s">
        <v>16587</v>
      </c>
      <c r="F2318" s="1" t="s">
        <v>98</v>
      </c>
      <c r="G2318" s="1" t="s">
        <v>16588</v>
      </c>
      <c r="H2318" s="1">
        <v>0</v>
      </c>
      <c r="I2318" s="1" t="s">
        <v>122</v>
      </c>
      <c r="J2318" s="1"/>
      <c r="K2318" s="1"/>
      <c r="L2318" s="1" t="s">
        <v>7260</v>
      </c>
      <c r="M2318" s="1" t="s">
        <v>125</v>
      </c>
      <c r="N2318" s="1">
        <v>0</v>
      </c>
      <c r="O2318" s="1">
        <v>0</v>
      </c>
      <c r="P2318" s="1" t="s">
        <v>267</v>
      </c>
      <c r="Q2318" s="1" t="s">
        <v>268</v>
      </c>
      <c r="R2318" s="1" t="s">
        <v>16589</v>
      </c>
      <c r="S2318" s="1" t="s">
        <v>16590</v>
      </c>
      <c r="T2318" s="1" t="s">
        <v>16578</v>
      </c>
      <c r="U2318" s="1" t="s">
        <v>16591</v>
      </c>
      <c r="V2318" s="1">
        <v>1</v>
      </c>
      <c r="W2318" s="1">
        <v>1</v>
      </c>
      <c r="X2318" s="1">
        <v>1</v>
      </c>
      <c r="Y2318" s="1">
        <v>0</v>
      </c>
      <c r="Z2318" s="1">
        <v>0</v>
      </c>
      <c r="AA2318" s="1">
        <v>2</v>
      </c>
      <c r="AB2318" s="1">
        <v>2</v>
      </c>
      <c r="AC2318" s="1">
        <v>2</v>
      </c>
      <c r="AD2318" s="1">
        <v>2</v>
      </c>
      <c r="AE2318" s="1" t="s">
        <v>109</v>
      </c>
      <c r="AF2318" s="1" t="s">
        <v>109</v>
      </c>
      <c r="AG2318" s="1" t="s">
        <v>109</v>
      </c>
      <c r="AH2318" s="1" t="s">
        <v>109</v>
      </c>
      <c r="AI2318" s="1" t="s">
        <v>109</v>
      </c>
      <c r="AJ2318" s="1">
        <v>2</v>
      </c>
      <c r="AK2318" s="1">
        <v>2</v>
      </c>
      <c r="AL2318" s="1">
        <v>2</v>
      </c>
      <c r="AM2318" s="1">
        <v>1</v>
      </c>
      <c r="AN2318" s="1" t="s">
        <v>109</v>
      </c>
      <c r="AO2318" s="1" t="s">
        <v>109</v>
      </c>
      <c r="AP2318" s="1"/>
      <c r="AQ2318" s="1">
        <v>2</v>
      </c>
      <c r="AR2318" s="1"/>
      <c r="AS2318" s="1"/>
      <c r="AT2318" s="1">
        <v>0</v>
      </c>
      <c r="AU2318" s="1">
        <v>0</v>
      </c>
      <c r="AV2318" s="1">
        <v>0</v>
      </c>
      <c r="AW2318" s="1">
        <v>0</v>
      </c>
      <c r="AX2318" s="1">
        <v>0</v>
      </c>
      <c r="AY2318" s="1">
        <v>0</v>
      </c>
      <c r="AZ2318" s="1">
        <v>0</v>
      </c>
      <c r="BA2318" s="1">
        <v>0</v>
      </c>
      <c r="BB2318" s="1">
        <v>0</v>
      </c>
      <c r="BC2318" s="1">
        <v>0</v>
      </c>
      <c r="BD2318" s="1">
        <v>0</v>
      </c>
      <c r="BE2318" s="1">
        <v>0</v>
      </c>
      <c r="BF2318" s="1">
        <v>0</v>
      </c>
      <c r="BG2318" s="1">
        <v>0</v>
      </c>
      <c r="BH2318" s="1">
        <v>0</v>
      </c>
      <c r="BI2318" s="1">
        <v>0</v>
      </c>
      <c r="BJ2318" s="1">
        <v>0</v>
      </c>
      <c r="BK2318" s="1">
        <v>0</v>
      </c>
      <c r="BL2318" s="1">
        <v>0</v>
      </c>
      <c r="BM2318" s="1">
        <v>0</v>
      </c>
      <c r="BN2318" s="1">
        <v>0</v>
      </c>
      <c r="BO2318" s="1">
        <v>0</v>
      </c>
      <c r="BP2318" s="1">
        <v>0</v>
      </c>
      <c r="BQ2318" s="1">
        <v>0</v>
      </c>
      <c r="BR2318" s="1">
        <v>0</v>
      </c>
      <c r="BS2318" s="1" t="s">
        <v>109</v>
      </c>
      <c r="BT2318" s="1">
        <v>2409</v>
      </c>
      <c r="BU2318" s="1" t="s">
        <v>109</v>
      </c>
      <c r="BV2318" s="1"/>
      <c r="BW2318" s="1"/>
      <c r="BX2318" s="1"/>
      <c r="BY2318" s="1"/>
      <c r="BZ2318" s="1">
        <v>0</v>
      </c>
      <c r="CA2318" s="1">
        <v>1</v>
      </c>
      <c r="CB2318" s="1">
        <v>2</v>
      </c>
      <c r="CC2318" s="1">
        <v>2</v>
      </c>
      <c r="CD2318" s="1" t="s">
        <v>109</v>
      </c>
      <c r="CE2318" s="1" t="s">
        <v>109</v>
      </c>
      <c r="CF2318" s="1">
        <v>2</v>
      </c>
      <c r="CG2318" s="1" t="s">
        <v>109</v>
      </c>
      <c r="CH2318" s="1" t="s">
        <v>109</v>
      </c>
      <c r="CI2318" s="1" t="s">
        <v>109</v>
      </c>
      <c r="CJ2318" s="1">
        <v>2</v>
      </c>
      <c r="CK2318" s="1"/>
      <c r="CL2318" s="1">
        <v>0</v>
      </c>
      <c r="CM2318" s="1">
        <v>0</v>
      </c>
      <c r="CN2318" s="1">
        <v>0</v>
      </c>
    </row>
    <row r="2319" spans="1:92" ht="14.25" customHeight="1" x14ac:dyDescent="0.15">
      <c r="A2319" s="1" t="s">
        <v>16592</v>
      </c>
      <c r="B2319" s="1" t="s">
        <v>189</v>
      </c>
      <c r="C2319" s="1" t="s">
        <v>231</v>
      </c>
      <c r="D2319" s="1"/>
      <c r="E2319" s="1" t="s">
        <v>16593</v>
      </c>
      <c r="F2319" s="1" t="s">
        <v>98</v>
      </c>
      <c r="G2319" s="1" t="s">
        <v>16594</v>
      </c>
      <c r="H2319" s="1">
        <v>0</v>
      </c>
      <c r="I2319" s="1" t="s">
        <v>161</v>
      </c>
      <c r="J2319" s="1"/>
      <c r="K2319" s="1"/>
      <c r="L2319" s="1" t="s">
        <v>16595</v>
      </c>
      <c r="M2319" s="1" t="s">
        <v>465</v>
      </c>
      <c r="N2319" s="1">
        <v>0</v>
      </c>
      <c r="O2319" s="1">
        <v>0</v>
      </c>
      <c r="P2319" s="1" t="s">
        <v>1382</v>
      </c>
      <c r="Q2319" s="1" t="s">
        <v>104</v>
      </c>
      <c r="R2319" s="1" t="s">
        <v>16596</v>
      </c>
      <c r="S2319" s="1" t="s">
        <v>16597</v>
      </c>
      <c r="T2319" s="1" t="s">
        <v>16578</v>
      </c>
      <c r="U2319" s="1" t="s">
        <v>16598</v>
      </c>
      <c r="V2319" s="1">
        <v>1</v>
      </c>
      <c r="W2319" s="1">
        <v>1</v>
      </c>
      <c r="X2319" s="1">
        <v>1</v>
      </c>
      <c r="Y2319" s="1">
        <v>0</v>
      </c>
      <c r="Z2319" s="1">
        <v>0</v>
      </c>
      <c r="AA2319" s="1">
        <v>4</v>
      </c>
      <c r="AB2319" s="1">
        <v>4</v>
      </c>
      <c r="AC2319" s="1" t="s">
        <v>109</v>
      </c>
      <c r="AD2319" s="1">
        <v>3</v>
      </c>
      <c r="AE2319" s="1">
        <v>2</v>
      </c>
      <c r="AF2319" s="1">
        <v>2</v>
      </c>
      <c r="AG2319" s="1" t="s">
        <v>109</v>
      </c>
      <c r="AH2319" s="1">
        <v>2</v>
      </c>
      <c r="AI2319" s="1" t="s">
        <v>109</v>
      </c>
      <c r="AJ2319" s="1">
        <v>4</v>
      </c>
      <c r="AK2319" s="1" t="s">
        <v>109</v>
      </c>
      <c r="AL2319" s="1" t="s">
        <v>109</v>
      </c>
      <c r="AM2319" s="1">
        <v>2</v>
      </c>
      <c r="AN2319" s="1" t="s">
        <v>109</v>
      </c>
      <c r="AO2319" s="1" t="s">
        <v>109</v>
      </c>
      <c r="AP2319" s="1"/>
      <c r="AQ2319" s="1">
        <v>4</v>
      </c>
      <c r="AR2319" s="1"/>
      <c r="AS2319" s="1"/>
      <c r="AT2319" s="1">
        <v>0</v>
      </c>
      <c r="AU2319" s="1">
        <v>0</v>
      </c>
      <c r="AV2319" s="1">
        <v>0</v>
      </c>
      <c r="AW2319" s="1">
        <v>0</v>
      </c>
      <c r="AX2319" s="1">
        <v>0</v>
      </c>
      <c r="AY2319" s="1">
        <v>0</v>
      </c>
      <c r="AZ2319" s="1">
        <v>0</v>
      </c>
      <c r="BA2319" s="1">
        <v>0</v>
      </c>
      <c r="BB2319" s="1">
        <v>0</v>
      </c>
      <c r="BC2319" s="1">
        <v>0</v>
      </c>
      <c r="BD2319" s="1">
        <v>0</v>
      </c>
      <c r="BE2319" s="1">
        <v>0</v>
      </c>
      <c r="BF2319" s="1">
        <v>0</v>
      </c>
      <c r="BG2319" s="1">
        <v>0</v>
      </c>
      <c r="BH2319" s="1">
        <v>0</v>
      </c>
      <c r="BI2319" s="1">
        <v>0</v>
      </c>
      <c r="BJ2319" s="1">
        <v>0</v>
      </c>
      <c r="BK2319" s="1">
        <v>0</v>
      </c>
      <c r="BL2319" s="1">
        <v>0</v>
      </c>
      <c r="BM2319" s="1">
        <v>0</v>
      </c>
      <c r="BN2319" s="1">
        <v>0</v>
      </c>
      <c r="BO2319" s="1">
        <v>0</v>
      </c>
      <c r="BP2319" s="1">
        <v>0</v>
      </c>
      <c r="BQ2319" s="1">
        <v>0</v>
      </c>
      <c r="BR2319" s="1">
        <v>0</v>
      </c>
      <c r="BS2319" s="1" t="s">
        <v>109</v>
      </c>
      <c r="BT2319" s="1">
        <v>2410</v>
      </c>
      <c r="BU2319" s="1" t="s">
        <v>109</v>
      </c>
      <c r="BV2319" s="1"/>
      <c r="BW2319" s="1"/>
      <c r="BX2319" s="1"/>
      <c r="BY2319" s="1"/>
      <c r="BZ2319" s="1">
        <v>0</v>
      </c>
      <c r="CA2319" s="1" t="s">
        <v>109</v>
      </c>
      <c r="CB2319" s="1" t="s">
        <v>109</v>
      </c>
      <c r="CC2319" s="1" t="s">
        <v>109</v>
      </c>
      <c r="CD2319" s="1">
        <v>2</v>
      </c>
      <c r="CE2319" s="1" t="s">
        <v>109</v>
      </c>
      <c r="CF2319" s="1" t="s">
        <v>109</v>
      </c>
      <c r="CG2319" s="1" t="s">
        <v>109</v>
      </c>
      <c r="CH2319" s="1" t="s">
        <v>109</v>
      </c>
      <c r="CI2319" s="1" t="s">
        <v>109</v>
      </c>
      <c r="CJ2319" s="1">
        <v>2</v>
      </c>
      <c r="CK2319" s="1"/>
      <c r="CL2319" s="1">
        <v>0</v>
      </c>
      <c r="CM2319" s="1">
        <v>0</v>
      </c>
      <c r="CN2319" s="1">
        <v>0</v>
      </c>
    </row>
    <row r="2320" spans="1:92" ht="14.25" customHeight="1" x14ac:dyDescent="0.15">
      <c r="A2320" s="1" t="s">
        <v>16599</v>
      </c>
      <c r="B2320" s="1" t="s">
        <v>674</v>
      </c>
      <c r="C2320" s="1"/>
      <c r="D2320" s="1" t="s">
        <v>1715</v>
      </c>
      <c r="E2320" s="1" t="s">
        <v>16600</v>
      </c>
      <c r="F2320" s="1" t="s">
        <v>98</v>
      </c>
      <c r="G2320" s="1" t="s">
        <v>16601</v>
      </c>
      <c r="H2320" s="1">
        <v>0</v>
      </c>
      <c r="I2320" s="1" t="s">
        <v>122</v>
      </c>
      <c r="J2320" s="1"/>
      <c r="K2320" s="1"/>
      <c r="L2320" s="1" t="s">
        <v>7260</v>
      </c>
      <c r="M2320" s="1" t="s">
        <v>3042</v>
      </c>
      <c r="N2320" s="1">
        <v>0</v>
      </c>
      <c r="O2320" s="1">
        <v>0</v>
      </c>
      <c r="P2320" s="1" t="s">
        <v>301</v>
      </c>
      <c r="Q2320" s="1" t="s">
        <v>268</v>
      </c>
      <c r="R2320" s="1" t="s">
        <v>16602</v>
      </c>
      <c r="S2320" s="1" t="s">
        <v>16603</v>
      </c>
      <c r="T2320" s="1" t="s">
        <v>16578</v>
      </c>
      <c r="U2320" s="1" t="s">
        <v>16604</v>
      </c>
      <c r="V2320" s="1">
        <v>1</v>
      </c>
      <c r="W2320" s="1">
        <v>1</v>
      </c>
      <c r="X2320" s="1">
        <v>1</v>
      </c>
      <c r="Y2320" s="1">
        <v>0</v>
      </c>
      <c r="Z2320" s="1">
        <v>0</v>
      </c>
      <c r="AA2320" s="1">
        <v>3</v>
      </c>
      <c r="AB2320" s="1">
        <v>3</v>
      </c>
      <c r="AC2320" s="1">
        <v>3</v>
      </c>
      <c r="AD2320" s="1">
        <v>3</v>
      </c>
      <c r="AE2320" s="1" t="s">
        <v>109</v>
      </c>
      <c r="AF2320" s="1" t="s">
        <v>109</v>
      </c>
      <c r="AG2320" s="1" t="s">
        <v>109</v>
      </c>
      <c r="AH2320" s="1" t="s">
        <v>109</v>
      </c>
      <c r="AI2320" s="1" t="s">
        <v>109</v>
      </c>
      <c r="AJ2320" s="1">
        <v>2</v>
      </c>
      <c r="AK2320" s="1">
        <v>2</v>
      </c>
      <c r="AL2320" s="1">
        <v>3</v>
      </c>
      <c r="AM2320" s="1">
        <v>2</v>
      </c>
      <c r="AN2320" s="1" t="s">
        <v>109</v>
      </c>
      <c r="AO2320" s="1" t="s">
        <v>109</v>
      </c>
      <c r="AP2320" s="1"/>
      <c r="AQ2320" s="1">
        <v>3</v>
      </c>
      <c r="AR2320" s="1"/>
      <c r="AS2320" s="1"/>
      <c r="AT2320" s="1">
        <v>0</v>
      </c>
      <c r="AU2320" s="1">
        <v>0</v>
      </c>
      <c r="AV2320" s="1">
        <v>0</v>
      </c>
      <c r="AW2320" s="1">
        <v>0</v>
      </c>
      <c r="AX2320" s="1">
        <v>0</v>
      </c>
      <c r="AY2320" s="1">
        <v>0</v>
      </c>
      <c r="AZ2320" s="1">
        <v>0</v>
      </c>
      <c r="BA2320" s="1">
        <v>0</v>
      </c>
      <c r="BB2320" s="1">
        <v>0</v>
      </c>
      <c r="BC2320" s="1">
        <v>0</v>
      </c>
      <c r="BD2320" s="1">
        <v>0</v>
      </c>
      <c r="BE2320" s="1">
        <v>0</v>
      </c>
      <c r="BF2320" s="1">
        <v>0</v>
      </c>
      <c r="BG2320" s="1">
        <v>0</v>
      </c>
      <c r="BH2320" s="1">
        <v>0</v>
      </c>
      <c r="BI2320" s="1">
        <v>0</v>
      </c>
      <c r="BJ2320" s="1">
        <v>0</v>
      </c>
      <c r="BK2320" s="1">
        <v>0</v>
      </c>
      <c r="BL2320" s="1">
        <v>0</v>
      </c>
      <c r="BM2320" s="1">
        <v>0</v>
      </c>
      <c r="BN2320" s="1">
        <v>0</v>
      </c>
      <c r="BO2320" s="1">
        <v>0</v>
      </c>
      <c r="BP2320" s="1">
        <v>0</v>
      </c>
      <c r="BQ2320" s="1">
        <v>0</v>
      </c>
      <c r="BR2320" s="1">
        <v>0</v>
      </c>
      <c r="BS2320" s="1" t="s">
        <v>109</v>
      </c>
      <c r="BT2320" s="1">
        <v>2411</v>
      </c>
      <c r="BU2320" s="1" t="s">
        <v>109</v>
      </c>
      <c r="BV2320" s="1"/>
      <c r="BW2320" s="1"/>
      <c r="BX2320" s="1"/>
      <c r="BY2320" s="1"/>
      <c r="BZ2320" s="1">
        <v>0</v>
      </c>
      <c r="CA2320" s="1" t="s">
        <v>109</v>
      </c>
      <c r="CB2320" s="1">
        <v>3</v>
      </c>
      <c r="CC2320" s="1">
        <v>3</v>
      </c>
      <c r="CD2320" s="1" t="s">
        <v>109</v>
      </c>
      <c r="CE2320" s="1">
        <v>3</v>
      </c>
      <c r="CF2320" s="1">
        <v>3</v>
      </c>
      <c r="CG2320" s="1" t="s">
        <v>109</v>
      </c>
      <c r="CH2320" s="1" t="s">
        <v>109</v>
      </c>
      <c r="CI2320" s="1" t="s">
        <v>109</v>
      </c>
      <c r="CJ2320" s="1">
        <v>3</v>
      </c>
      <c r="CK2320" s="1"/>
      <c r="CL2320" s="1">
        <v>0</v>
      </c>
      <c r="CM2320" s="1">
        <v>0</v>
      </c>
      <c r="CN2320" s="1">
        <v>0</v>
      </c>
    </row>
    <row r="2321" spans="1:92" ht="14.25" customHeight="1" x14ac:dyDescent="0.15">
      <c r="A2321" s="1" t="s">
        <v>16605</v>
      </c>
      <c r="B2321" s="1" t="s">
        <v>308</v>
      </c>
      <c r="C2321" s="1" t="s">
        <v>68</v>
      </c>
      <c r="D2321" s="1" t="s">
        <v>51</v>
      </c>
      <c r="E2321" s="1" t="s">
        <v>16606</v>
      </c>
      <c r="F2321" s="1" t="s">
        <v>98</v>
      </c>
      <c r="G2321" s="1" t="s">
        <v>16607</v>
      </c>
      <c r="H2321" s="1">
        <v>0</v>
      </c>
      <c r="I2321" s="1" t="s">
        <v>122</v>
      </c>
      <c r="J2321" s="1"/>
      <c r="K2321" s="1"/>
      <c r="L2321" s="1" t="s">
        <v>7789</v>
      </c>
      <c r="M2321" s="1" t="s">
        <v>125</v>
      </c>
      <c r="N2321" s="1">
        <v>0</v>
      </c>
      <c r="O2321" s="1">
        <v>0</v>
      </c>
      <c r="P2321" s="1" t="s">
        <v>1410</v>
      </c>
      <c r="Q2321" s="1" t="s">
        <v>268</v>
      </c>
      <c r="R2321" s="1" t="s">
        <v>16608</v>
      </c>
      <c r="S2321" s="1" t="s">
        <v>16609</v>
      </c>
      <c r="T2321" s="1" t="s">
        <v>16578</v>
      </c>
      <c r="U2321" s="1" t="s">
        <v>16610</v>
      </c>
      <c r="V2321" s="1">
        <v>1</v>
      </c>
      <c r="W2321" s="1">
        <v>1</v>
      </c>
      <c r="X2321" s="1">
        <v>1</v>
      </c>
      <c r="Y2321" s="1">
        <v>0</v>
      </c>
      <c r="Z2321" s="1">
        <v>0</v>
      </c>
      <c r="AA2321" s="1">
        <v>7</v>
      </c>
      <c r="AB2321" s="1">
        <v>7</v>
      </c>
      <c r="AC2321" s="1">
        <v>7</v>
      </c>
      <c r="AD2321" s="1">
        <v>7</v>
      </c>
      <c r="AE2321" s="1" t="s">
        <v>109</v>
      </c>
      <c r="AF2321" s="1" t="s">
        <v>109</v>
      </c>
      <c r="AG2321" s="1" t="s">
        <v>109</v>
      </c>
      <c r="AH2321" s="1" t="s">
        <v>109</v>
      </c>
      <c r="AI2321" s="1" t="s">
        <v>109</v>
      </c>
      <c r="AJ2321" s="1">
        <v>7</v>
      </c>
      <c r="AK2321" s="1">
        <v>6</v>
      </c>
      <c r="AL2321" s="1">
        <v>7</v>
      </c>
      <c r="AM2321" s="1" t="s">
        <v>109</v>
      </c>
      <c r="AN2321" s="1">
        <v>6</v>
      </c>
      <c r="AO2321" s="1" t="s">
        <v>109</v>
      </c>
      <c r="AP2321" s="1"/>
      <c r="AQ2321" s="1">
        <v>7</v>
      </c>
      <c r="AR2321" s="1"/>
      <c r="AS2321" s="1"/>
      <c r="AT2321" s="1">
        <v>0</v>
      </c>
      <c r="AU2321" s="1">
        <v>0</v>
      </c>
      <c r="AV2321" s="1">
        <v>0</v>
      </c>
      <c r="AW2321" s="1">
        <v>0</v>
      </c>
      <c r="AX2321" s="1">
        <v>0</v>
      </c>
      <c r="AY2321" s="1">
        <v>1</v>
      </c>
      <c r="AZ2321" s="1">
        <v>0</v>
      </c>
      <c r="BA2321" s="1">
        <v>0</v>
      </c>
      <c r="BB2321" s="1">
        <v>0</v>
      </c>
      <c r="BC2321" s="1">
        <v>0</v>
      </c>
      <c r="BD2321" s="1">
        <v>0</v>
      </c>
      <c r="BE2321" s="1">
        <v>0</v>
      </c>
      <c r="BF2321" s="1">
        <v>0</v>
      </c>
      <c r="BG2321" s="1">
        <v>0</v>
      </c>
      <c r="BH2321" s="1">
        <v>0</v>
      </c>
      <c r="BI2321" s="1">
        <v>0</v>
      </c>
      <c r="BJ2321" s="1">
        <v>0</v>
      </c>
      <c r="BK2321" s="1">
        <v>0</v>
      </c>
      <c r="BL2321" s="1">
        <v>0</v>
      </c>
      <c r="BM2321" s="1">
        <v>0</v>
      </c>
      <c r="BN2321" s="1">
        <v>0</v>
      </c>
      <c r="BO2321" s="1">
        <v>0</v>
      </c>
      <c r="BP2321" s="1">
        <v>0</v>
      </c>
      <c r="BQ2321" s="1">
        <v>0</v>
      </c>
      <c r="BR2321" s="1">
        <v>0</v>
      </c>
      <c r="BS2321" s="1" t="s">
        <v>109</v>
      </c>
      <c r="BT2321" s="1">
        <v>2412</v>
      </c>
      <c r="BU2321" s="1" t="s">
        <v>109</v>
      </c>
      <c r="BV2321" s="1"/>
      <c r="BW2321" s="1"/>
      <c r="BX2321" s="1"/>
      <c r="BY2321" s="1"/>
      <c r="BZ2321" s="1">
        <v>0</v>
      </c>
      <c r="CA2321" s="1" t="s">
        <v>109</v>
      </c>
      <c r="CB2321" s="1">
        <v>7</v>
      </c>
      <c r="CC2321" s="1">
        <v>7</v>
      </c>
      <c r="CD2321" s="1" t="s">
        <v>109</v>
      </c>
      <c r="CE2321" s="1" t="s">
        <v>109</v>
      </c>
      <c r="CF2321" s="1">
        <v>6</v>
      </c>
      <c r="CG2321" s="1">
        <v>6</v>
      </c>
      <c r="CH2321" s="1" t="s">
        <v>109</v>
      </c>
      <c r="CI2321" s="1" t="s">
        <v>109</v>
      </c>
      <c r="CJ2321" s="1" t="s">
        <v>109</v>
      </c>
      <c r="CK2321" s="1"/>
      <c r="CL2321" s="1">
        <v>0</v>
      </c>
      <c r="CM2321" s="1">
        <v>0</v>
      </c>
      <c r="CN2321" s="1">
        <v>0</v>
      </c>
    </row>
    <row r="2322" spans="1:92" ht="14.25" customHeight="1" x14ac:dyDescent="0.15">
      <c r="A2322" s="1" t="s">
        <v>16611</v>
      </c>
      <c r="B2322" s="1" t="s">
        <v>584</v>
      </c>
      <c r="C2322" s="1"/>
      <c r="D2322" s="1" t="s">
        <v>16612</v>
      </c>
      <c r="E2322" s="1" t="s">
        <v>16613</v>
      </c>
      <c r="F2322" s="1" t="s">
        <v>98</v>
      </c>
      <c r="G2322" s="1" t="s">
        <v>141</v>
      </c>
      <c r="H2322" s="1">
        <v>0</v>
      </c>
      <c r="I2322" s="1" t="s">
        <v>122</v>
      </c>
      <c r="J2322" s="1"/>
      <c r="K2322" s="1" t="s">
        <v>16614</v>
      </c>
      <c r="L2322" s="1"/>
      <c r="M2322" s="1" t="s">
        <v>6144</v>
      </c>
      <c r="N2322" s="1">
        <v>1</v>
      </c>
      <c r="O2322" s="1">
        <v>0</v>
      </c>
      <c r="P2322" s="1" t="s">
        <v>103</v>
      </c>
      <c r="Q2322" s="1" t="s">
        <v>104</v>
      </c>
      <c r="R2322" s="1" t="s">
        <v>16615</v>
      </c>
      <c r="S2322" s="1" t="s">
        <v>16616</v>
      </c>
      <c r="T2322" s="1" t="s">
        <v>16578</v>
      </c>
      <c r="U2322" s="1" t="s">
        <v>16617</v>
      </c>
      <c r="V2322" s="1">
        <v>1</v>
      </c>
      <c r="W2322" s="1">
        <v>1</v>
      </c>
      <c r="X2322" s="1">
        <v>0</v>
      </c>
      <c r="Y2322" s="1">
        <v>0</v>
      </c>
      <c r="Z2322" s="1">
        <v>0</v>
      </c>
      <c r="AA2322" s="1">
        <v>1</v>
      </c>
      <c r="AB2322" s="1">
        <v>1</v>
      </c>
      <c r="AC2322" s="1" t="s">
        <v>109</v>
      </c>
      <c r="AD2322" s="1" t="s">
        <v>109</v>
      </c>
      <c r="AE2322" s="1" t="s">
        <v>109</v>
      </c>
      <c r="AF2322" s="1">
        <v>1</v>
      </c>
      <c r="AG2322" s="1" t="s">
        <v>109</v>
      </c>
      <c r="AH2322" s="1" t="s">
        <v>109</v>
      </c>
      <c r="AI2322" s="1" t="s">
        <v>109</v>
      </c>
      <c r="AJ2322" s="1">
        <v>1</v>
      </c>
      <c r="AK2322" s="1" t="s">
        <v>109</v>
      </c>
      <c r="AL2322" s="1" t="s">
        <v>109</v>
      </c>
      <c r="AM2322" s="1">
        <v>1</v>
      </c>
      <c r="AN2322" s="1">
        <v>1</v>
      </c>
      <c r="AO2322" s="1" t="s">
        <v>109</v>
      </c>
      <c r="AP2322" s="1"/>
      <c r="AQ2322" s="1">
        <v>1</v>
      </c>
      <c r="AR2322" s="1"/>
      <c r="AS2322" s="1"/>
      <c r="AT2322" s="1">
        <v>0</v>
      </c>
      <c r="AU2322" s="1">
        <v>0</v>
      </c>
      <c r="AV2322" s="1">
        <v>0</v>
      </c>
      <c r="AW2322" s="1">
        <v>0</v>
      </c>
      <c r="AX2322" s="1">
        <v>0</v>
      </c>
      <c r="AY2322" s="1">
        <v>1</v>
      </c>
      <c r="AZ2322" s="1">
        <v>0</v>
      </c>
      <c r="BA2322" s="1">
        <v>0</v>
      </c>
      <c r="BB2322" s="1">
        <v>0</v>
      </c>
      <c r="BC2322" s="1">
        <v>0</v>
      </c>
      <c r="BD2322" s="1">
        <v>0</v>
      </c>
      <c r="BE2322" s="1">
        <v>0</v>
      </c>
      <c r="BF2322" s="1">
        <v>0</v>
      </c>
      <c r="BG2322" s="1">
        <v>0</v>
      </c>
      <c r="BH2322" s="1">
        <v>0</v>
      </c>
      <c r="BI2322" s="1">
        <v>0</v>
      </c>
      <c r="BJ2322" s="1">
        <v>0</v>
      </c>
      <c r="BK2322" s="1">
        <v>0</v>
      </c>
      <c r="BL2322" s="1">
        <v>0</v>
      </c>
      <c r="BM2322" s="1">
        <v>0</v>
      </c>
      <c r="BN2322" s="1">
        <v>0</v>
      </c>
      <c r="BO2322" s="1">
        <v>0</v>
      </c>
      <c r="BP2322" s="1">
        <v>1</v>
      </c>
      <c r="BQ2322" s="1">
        <v>0</v>
      </c>
      <c r="BR2322" s="1">
        <v>0</v>
      </c>
      <c r="BS2322" s="1" t="s">
        <v>109</v>
      </c>
      <c r="BT2322" s="1">
        <v>2413</v>
      </c>
      <c r="BU2322" s="1" t="s">
        <v>109</v>
      </c>
      <c r="BV2322" s="1"/>
      <c r="BW2322" s="1"/>
      <c r="BX2322" s="1"/>
      <c r="BY2322" s="1"/>
      <c r="BZ2322" s="1">
        <v>0</v>
      </c>
      <c r="CA2322" s="1" t="s">
        <v>109</v>
      </c>
      <c r="CB2322" s="1">
        <v>1</v>
      </c>
      <c r="CC2322" s="1">
        <v>1</v>
      </c>
      <c r="CD2322" s="1" t="s">
        <v>109</v>
      </c>
      <c r="CE2322" s="1" t="s">
        <v>109</v>
      </c>
      <c r="CF2322" s="1" t="s">
        <v>109</v>
      </c>
      <c r="CG2322" s="1">
        <v>1</v>
      </c>
      <c r="CH2322" s="1" t="s">
        <v>109</v>
      </c>
      <c r="CI2322" s="1" t="s">
        <v>109</v>
      </c>
      <c r="CJ2322" s="1" t="s">
        <v>109</v>
      </c>
      <c r="CK2322" s="1"/>
      <c r="CL2322" s="1">
        <v>0</v>
      </c>
      <c r="CM2322" s="1">
        <v>0</v>
      </c>
      <c r="CN2322" s="1">
        <v>0</v>
      </c>
    </row>
    <row r="2323" spans="1:92" ht="14.25" customHeight="1" x14ac:dyDescent="0.15">
      <c r="A2323" s="1" t="s">
        <v>16618</v>
      </c>
      <c r="B2323" s="1" t="s">
        <v>584</v>
      </c>
      <c r="C2323" s="1"/>
      <c r="D2323" s="1" t="s">
        <v>16619</v>
      </c>
      <c r="E2323" s="1" t="s">
        <v>16620</v>
      </c>
      <c r="F2323" s="1" t="s">
        <v>98</v>
      </c>
      <c r="G2323" s="1" t="s">
        <v>141</v>
      </c>
      <c r="H2323" s="1">
        <v>0</v>
      </c>
      <c r="I2323" s="1" t="s">
        <v>122</v>
      </c>
      <c r="J2323" s="1"/>
      <c r="K2323" s="1" t="s">
        <v>16621</v>
      </c>
      <c r="L2323" s="1"/>
      <c r="M2323" s="1" t="s">
        <v>9450</v>
      </c>
      <c r="N2323" s="1">
        <v>1</v>
      </c>
      <c r="O2323" s="1">
        <v>0</v>
      </c>
      <c r="P2323" s="1" t="s">
        <v>103</v>
      </c>
      <c r="Q2323" s="1" t="s">
        <v>104</v>
      </c>
      <c r="R2323" s="1" t="s">
        <v>16622</v>
      </c>
      <c r="S2323" s="1" t="s">
        <v>16623</v>
      </c>
      <c r="T2323" s="1" t="s">
        <v>16578</v>
      </c>
      <c r="U2323" s="1" t="s">
        <v>16624</v>
      </c>
      <c r="V2323" s="1">
        <v>1</v>
      </c>
      <c r="W2323" s="1">
        <v>1</v>
      </c>
      <c r="X2323" s="1">
        <v>0</v>
      </c>
      <c r="Y2323" s="1">
        <v>0</v>
      </c>
      <c r="Z2323" s="1">
        <v>0</v>
      </c>
      <c r="AA2323" s="1">
        <v>3</v>
      </c>
      <c r="AB2323" s="1">
        <v>3</v>
      </c>
      <c r="AC2323" s="1" t="s">
        <v>109</v>
      </c>
      <c r="AD2323" s="1" t="s">
        <v>109</v>
      </c>
      <c r="AE2323" s="1" t="s">
        <v>109</v>
      </c>
      <c r="AF2323" s="1">
        <v>3</v>
      </c>
      <c r="AG2323" s="1" t="s">
        <v>109</v>
      </c>
      <c r="AH2323" s="1" t="s">
        <v>109</v>
      </c>
      <c r="AI2323" s="1" t="s">
        <v>109</v>
      </c>
      <c r="AJ2323" s="1">
        <v>3</v>
      </c>
      <c r="AK2323" s="1" t="s">
        <v>109</v>
      </c>
      <c r="AL2323" s="1" t="s">
        <v>109</v>
      </c>
      <c r="AM2323" s="1" t="s">
        <v>109</v>
      </c>
      <c r="AN2323" s="1">
        <v>3</v>
      </c>
      <c r="AO2323" s="1" t="s">
        <v>109</v>
      </c>
      <c r="AP2323" s="1"/>
      <c r="AQ2323" s="1">
        <v>3</v>
      </c>
      <c r="AR2323" s="1"/>
      <c r="AS2323" s="1"/>
      <c r="AT2323" s="1">
        <v>0</v>
      </c>
      <c r="AU2323" s="1">
        <v>0</v>
      </c>
      <c r="AV2323" s="1">
        <v>0</v>
      </c>
      <c r="AW2323" s="1">
        <v>0</v>
      </c>
      <c r="AX2323" s="1">
        <v>0</v>
      </c>
      <c r="AY2323" s="1">
        <v>1</v>
      </c>
      <c r="AZ2323" s="1">
        <v>0</v>
      </c>
      <c r="BA2323" s="1">
        <v>0</v>
      </c>
      <c r="BB2323" s="1">
        <v>0</v>
      </c>
      <c r="BC2323" s="1">
        <v>0</v>
      </c>
      <c r="BD2323" s="1">
        <v>0</v>
      </c>
      <c r="BE2323" s="1">
        <v>0</v>
      </c>
      <c r="BF2323" s="1">
        <v>0</v>
      </c>
      <c r="BG2323" s="1">
        <v>0</v>
      </c>
      <c r="BH2323" s="1">
        <v>0</v>
      </c>
      <c r="BI2323" s="1">
        <v>0</v>
      </c>
      <c r="BJ2323" s="1">
        <v>0</v>
      </c>
      <c r="BK2323" s="1">
        <v>0</v>
      </c>
      <c r="BL2323" s="1">
        <v>1</v>
      </c>
      <c r="BM2323" s="1">
        <v>0</v>
      </c>
      <c r="BN2323" s="1">
        <v>0</v>
      </c>
      <c r="BO2323" s="1">
        <v>0</v>
      </c>
      <c r="BP2323" s="1">
        <v>0</v>
      </c>
      <c r="BQ2323" s="1">
        <v>0</v>
      </c>
      <c r="BR2323" s="1">
        <v>0</v>
      </c>
      <c r="BS2323" s="1" t="s">
        <v>109</v>
      </c>
      <c r="BT2323" s="1">
        <v>2414</v>
      </c>
      <c r="BU2323" s="1" t="s">
        <v>109</v>
      </c>
      <c r="BV2323" s="1"/>
      <c r="BW2323" s="1"/>
      <c r="BX2323" s="1"/>
      <c r="BY2323" s="1"/>
      <c r="BZ2323" s="1">
        <v>0</v>
      </c>
      <c r="CA2323" s="1" t="s">
        <v>109</v>
      </c>
      <c r="CB2323" s="1">
        <v>3</v>
      </c>
      <c r="CC2323" s="1">
        <v>3</v>
      </c>
      <c r="CD2323" s="1">
        <v>3</v>
      </c>
      <c r="CE2323" s="1">
        <v>3</v>
      </c>
      <c r="CF2323" s="1">
        <v>3</v>
      </c>
      <c r="CG2323" s="1" t="s">
        <v>109</v>
      </c>
      <c r="CH2323" s="1" t="s">
        <v>109</v>
      </c>
      <c r="CI2323" s="1" t="s">
        <v>109</v>
      </c>
      <c r="CJ2323" s="1" t="s">
        <v>109</v>
      </c>
      <c r="CK2323" s="1"/>
      <c r="CL2323" s="1">
        <v>0</v>
      </c>
      <c r="CM2323" s="1">
        <v>0</v>
      </c>
      <c r="CN2323" s="1">
        <v>0</v>
      </c>
    </row>
    <row r="2324" spans="1:92" ht="14.25" customHeight="1" x14ac:dyDescent="0.15">
      <c r="A2324" s="1" t="s">
        <v>16625</v>
      </c>
      <c r="B2324" s="1" t="s">
        <v>584</v>
      </c>
      <c r="C2324" s="1"/>
      <c r="D2324" s="1" t="s">
        <v>16619</v>
      </c>
      <c r="E2324" s="1" t="s">
        <v>16626</v>
      </c>
      <c r="F2324" s="1" t="s">
        <v>98</v>
      </c>
      <c r="G2324" s="1" t="s">
        <v>141</v>
      </c>
      <c r="H2324" s="1">
        <v>0</v>
      </c>
      <c r="I2324" s="1" t="s">
        <v>142</v>
      </c>
      <c r="J2324" s="1"/>
      <c r="K2324" s="1"/>
      <c r="L2324" s="1" t="s">
        <v>563</v>
      </c>
      <c r="M2324" s="1" t="s">
        <v>125</v>
      </c>
      <c r="N2324" s="1">
        <v>0</v>
      </c>
      <c r="O2324" s="1">
        <v>0</v>
      </c>
      <c r="P2324" s="1" t="s">
        <v>301</v>
      </c>
      <c r="Q2324" s="1" t="s">
        <v>268</v>
      </c>
      <c r="R2324" s="1" t="s">
        <v>16627</v>
      </c>
      <c r="S2324" s="1" t="s">
        <v>16628</v>
      </c>
      <c r="T2324" s="1" t="s">
        <v>16578</v>
      </c>
      <c r="U2324" s="1" t="s">
        <v>16629</v>
      </c>
      <c r="V2324" s="1">
        <v>1</v>
      </c>
      <c r="W2324" s="1">
        <v>1</v>
      </c>
      <c r="X2324" s="1">
        <v>0</v>
      </c>
      <c r="Y2324" s="1">
        <v>0</v>
      </c>
      <c r="Z2324" s="1">
        <v>0</v>
      </c>
      <c r="AA2324" s="1">
        <v>4</v>
      </c>
      <c r="AB2324" s="1">
        <v>4</v>
      </c>
      <c r="AC2324" s="1" t="s">
        <v>109</v>
      </c>
      <c r="AD2324" s="1" t="s">
        <v>109</v>
      </c>
      <c r="AE2324" s="1" t="s">
        <v>109</v>
      </c>
      <c r="AF2324" s="1">
        <v>3</v>
      </c>
      <c r="AG2324" s="1" t="s">
        <v>109</v>
      </c>
      <c r="AH2324" s="1" t="s">
        <v>109</v>
      </c>
      <c r="AI2324" s="1" t="s">
        <v>109</v>
      </c>
      <c r="AJ2324" s="1">
        <v>4</v>
      </c>
      <c r="AK2324" s="1" t="s">
        <v>109</v>
      </c>
      <c r="AL2324" s="1" t="s">
        <v>109</v>
      </c>
      <c r="AM2324" s="1" t="s">
        <v>109</v>
      </c>
      <c r="AN2324" s="1" t="s">
        <v>109</v>
      </c>
      <c r="AO2324" s="1" t="s">
        <v>109</v>
      </c>
      <c r="AP2324" s="1"/>
      <c r="AQ2324" s="1">
        <v>4</v>
      </c>
      <c r="AR2324" s="1"/>
      <c r="AS2324" s="1"/>
      <c r="AT2324" s="1">
        <v>0</v>
      </c>
      <c r="AU2324" s="1">
        <v>0</v>
      </c>
      <c r="AV2324" s="1">
        <v>0</v>
      </c>
      <c r="AW2324" s="1">
        <v>0</v>
      </c>
      <c r="AX2324" s="1">
        <v>0</v>
      </c>
      <c r="AY2324" s="1">
        <v>1</v>
      </c>
      <c r="AZ2324" s="1">
        <v>0</v>
      </c>
      <c r="BA2324" s="1">
        <v>0</v>
      </c>
      <c r="BB2324" s="1">
        <v>0</v>
      </c>
      <c r="BC2324" s="1">
        <v>0</v>
      </c>
      <c r="BD2324" s="1">
        <v>0</v>
      </c>
      <c r="BE2324" s="1">
        <v>0</v>
      </c>
      <c r="BF2324" s="1">
        <v>0</v>
      </c>
      <c r="BG2324" s="1">
        <v>0</v>
      </c>
      <c r="BH2324" s="1">
        <v>0</v>
      </c>
      <c r="BI2324" s="1">
        <v>0</v>
      </c>
      <c r="BJ2324" s="1">
        <v>0</v>
      </c>
      <c r="BK2324" s="1">
        <v>0</v>
      </c>
      <c r="BL2324" s="1">
        <v>1</v>
      </c>
      <c r="BM2324" s="1">
        <v>0</v>
      </c>
      <c r="BN2324" s="1">
        <v>0</v>
      </c>
      <c r="BO2324" s="1">
        <v>0</v>
      </c>
      <c r="BP2324" s="1">
        <v>0</v>
      </c>
      <c r="BQ2324" s="1">
        <v>0</v>
      </c>
      <c r="BR2324" s="1">
        <v>0</v>
      </c>
      <c r="BS2324" s="1" t="s">
        <v>109</v>
      </c>
      <c r="BT2324" s="1">
        <v>2415</v>
      </c>
      <c r="BU2324" s="1" t="s">
        <v>109</v>
      </c>
      <c r="BV2324" s="1"/>
      <c r="BW2324" s="1"/>
      <c r="BX2324" s="1"/>
      <c r="BY2324" s="1"/>
      <c r="BZ2324" s="1">
        <v>0</v>
      </c>
      <c r="CA2324" s="1" t="s">
        <v>109</v>
      </c>
      <c r="CB2324" s="1" t="s">
        <v>109</v>
      </c>
      <c r="CC2324" s="1">
        <v>3</v>
      </c>
      <c r="CD2324" s="1" t="s">
        <v>109</v>
      </c>
      <c r="CE2324" s="1">
        <v>3</v>
      </c>
      <c r="CF2324" s="1" t="s">
        <v>109</v>
      </c>
      <c r="CG2324" s="1" t="s">
        <v>109</v>
      </c>
      <c r="CH2324" s="1" t="s">
        <v>109</v>
      </c>
      <c r="CI2324" s="1" t="s">
        <v>109</v>
      </c>
      <c r="CJ2324" s="1" t="s">
        <v>109</v>
      </c>
      <c r="CK2324" s="1"/>
      <c r="CL2324" s="1">
        <v>0</v>
      </c>
      <c r="CM2324" s="1">
        <v>0</v>
      </c>
      <c r="CN2324" s="1">
        <v>0</v>
      </c>
    </row>
    <row r="2325" spans="1:92" ht="14.25" customHeight="1" x14ac:dyDescent="0.15">
      <c r="A2325" s="1" t="s">
        <v>16630</v>
      </c>
      <c r="B2325" s="1" t="s">
        <v>584</v>
      </c>
      <c r="C2325" s="1"/>
      <c r="D2325" s="1" t="s">
        <v>16619</v>
      </c>
      <c r="E2325" s="1" t="s">
        <v>16631</v>
      </c>
      <c r="F2325" s="1" t="s">
        <v>98</v>
      </c>
      <c r="G2325" s="1" t="s">
        <v>141</v>
      </c>
      <c r="H2325" s="1">
        <v>0</v>
      </c>
      <c r="I2325" s="1" t="s">
        <v>142</v>
      </c>
      <c r="J2325" s="1"/>
      <c r="K2325" s="1"/>
      <c r="L2325" s="1" t="s">
        <v>15731</v>
      </c>
      <c r="M2325" s="1" t="s">
        <v>125</v>
      </c>
      <c r="N2325" s="1">
        <v>0</v>
      </c>
      <c r="O2325" s="1">
        <v>0</v>
      </c>
      <c r="P2325" s="1" t="s">
        <v>301</v>
      </c>
      <c r="Q2325" s="1" t="s">
        <v>268</v>
      </c>
      <c r="R2325" s="1" t="s">
        <v>16632</v>
      </c>
      <c r="S2325" s="1" t="s">
        <v>16633</v>
      </c>
      <c r="T2325" s="1" t="s">
        <v>16578</v>
      </c>
      <c r="U2325" s="1" t="s">
        <v>16634</v>
      </c>
      <c r="V2325" s="1">
        <v>1</v>
      </c>
      <c r="W2325" s="1">
        <v>1</v>
      </c>
      <c r="X2325" s="1">
        <v>0</v>
      </c>
      <c r="Y2325" s="1">
        <v>0</v>
      </c>
      <c r="Z2325" s="1">
        <v>0</v>
      </c>
      <c r="AA2325" s="1">
        <v>7</v>
      </c>
      <c r="AB2325" s="1">
        <v>7</v>
      </c>
      <c r="AC2325" s="1" t="s">
        <v>109</v>
      </c>
      <c r="AD2325" s="1" t="s">
        <v>109</v>
      </c>
      <c r="AE2325" s="1" t="s">
        <v>109</v>
      </c>
      <c r="AF2325" s="1">
        <v>5</v>
      </c>
      <c r="AG2325" s="1" t="s">
        <v>109</v>
      </c>
      <c r="AH2325" s="1" t="s">
        <v>109</v>
      </c>
      <c r="AI2325" s="1" t="s">
        <v>109</v>
      </c>
      <c r="AJ2325" s="1">
        <v>7</v>
      </c>
      <c r="AK2325" s="1" t="s">
        <v>109</v>
      </c>
      <c r="AL2325" s="1" t="s">
        <v>109</v>
      </c>
      <c r="AM2325" s="1" t="s">
        <v>109</v>
      </c>
      <c r="AN2325" s="1" t="s">
        <v>109</v>
      </c>
      <c r="AO2325" s="1" t="s">
        <v>109</v>
      </c>
      <c r="AP2325" s="1"/>
      <c r="AQ2325" s="1">
        <v>7</v>
      </c>
      <c r="AR2325" s="1"/>
      <c r="AS2325" s="1"/>
      <c r="AT2325" s="1">
        <v>0</v>
      </c>
      <c r="AU2325" s="1">
        <v>0</v>
      </c>
      <c r="AV2325" s="1">
        <v>0</v>
      </c>
      <c r="AW2325" s="1">
        <v>0</v>
      </c>
      <c r="AX2325" s="1">
        <v>0</v>
      </c>
      <c r="AY2325" s="1">
        <v>1</v>
      </c>
      <c r="AZ2325" s="1">
        <v>0</v>
      </c>
      <c r="BA2325" s="1">
        <v>0</v>
      </c>
      <c r="BB2325" s="1">
        <v>0</v>
      </c>
      <c r="BC2325" s="1">
        <v>0</v>
      </c>
      <c r="BD2325" s="1">
        <v>0</v>
      </c>
      <c r="BE2325" s="1">
        <v>0</v>
      </c>
      <c r="BF2325" s="1">
        <v>0</v>
      </c>
      <c r="BG2325" s="1">
        <v>0</v>
      </c>
      <c r="BH2325" s="1">
        <v>0</v>
      </c>
      <c r="BI2325" s="1">
        <v>0</v>
      </c>
      <c r="BJ2325" s="1">
        <v>0</v>
      </c>
      <c r="BK2325" s="1">
        <v>0</v>
      </c>
      <c r="BL2325" s="1">
        <v>1</v>
      </c>
      <c r="BM2325" s="1">
        <v>0</v>
      </c>
      <c r="BN2325" s="1">
        <v>0</v>
      </c>
      <c r="BO2325" s="1">
        <v>0</v>
      </c>
      <c r="BP2325" s="1">
        <v>0</v>
      </c>
      <c r="BQ2325" s="1">
        <v>0</v>
      </c>
      <c r="BR2325" s="1">
        <v>0</v>
      </c>
      <c r="BS2325" s="1" t="s">
        <v>109</v>
      </c>
      <c r="BT2325" s="1">
        <v>2416</v>
      </c>
      <c r="BU2325" s="1" t="s">
        <v>109</v>
      </c>
      <c r="BV2325" s="1"/>
      <c r="BW2325" s="1"/>
      <c r="BX2325" s="1"/>
      <c r="BY2325" s="1"/>
      <c r="BZ2325" s="1">
        <v>0</v>
      </c>
      <c r="CA2325" s="1" t="s">
        <v>109</v>
      </c>
      <c r="CB2325" s="1" t="s">
        <v>109</v>
      </c>
      <c r="CC2325" s="1">
        <v>6</v>
      </c>
      <c r="CD2325" s="1" t="s">
        <v>109</v>
      </c>
      <c r="CE2325" s="1">
        <v>5</v>
      </c>
      <c r="CF2325" s="1" t="s">
        <v>109</v>
      </c>
      <c r="CG2325" s="1" t="s">
        <v>109</v>
      </c>
      <c r="CH2325" s="1" t="s">
        <v>109</v>
      </c>
      <c r="CI2325" s="1" t="s">
        <v>109</v>
      </c>
      <c r="CJ2325" s="1" t="s">
        <v>109</v>
      </c>
      <c r="CK2325" s="1"/>
      <c r="CL2325" s="1">
        <v>0</v>
      </c>
      <c r="CM2325" s="1">
        <v>0</v>
      </c>
      <c r="CN2325" s="1">
        <v>0</v>
      </c>
    </row>
    <row r="2326" spans="1:92" ht="14.25" customHeight="1" x14ac:dyDescent="0.15">
      <c r="A2326" s="1" t="s">
        <v>16635</v>
      </c>
      <c r="B2326" s="1" t="s">
        <v>95</v>
      </c>
      <c r="C2326" s="1"/>
      <c r="D2326" s="1" t="s">
        <v>16253</v>
      </c>
      <c r="E2326" s="1" t="s">
        <v>16636</v>
      </c>
      <c r="F2326" s="1" t="s">
        <v>98</v>
      </c>
      <c r="G2326" s="1" t="s">
        <v>141</v>
      </c>
      <c r="H2326" s="1">
        <v>0</v>
      </c>
      <c r="I2326" s="1" t="s">
        <v>161</v>
      </c>
      <c r="J2326" s="1"/>
      <c r="K2326" s="1"/>
      <c r="L2326" s="1" t="s">
        <v>506</v>
      </c>
      <c r="M2326" s="1" t="s">
        <v>6625</v>
      </c>
      <c r="N2326" s="1">
        <v>1</v>
      </c>
      <c r="O2326" s="1">
        <v>0</v>
      </c>
      <c r="P2326" s="1" t="s">
        <v>103</v>
      </c>
      <c r="Q2326" s="1" t="s">
        <v>104</v>
      </c>
      <c r="R2326" s="1" t="s">
        <v>16637</v>
      </c>
      <c r="S2326" s="1" t="s">
        <v>16638</v>
      </c>
      <c r="T2326" s="1" t="s">
        <v>16578</v>
      </c>
      <c r="U2326" s="1" t="s">
        <v>16639</v>
      </c>
      <c r="V2326" s="1">
        <v>1</v>
      </c>
      <c r="W2326" s="1">
        <v>1</v>
      </c>
      <c r="X2326" s="1">
        <v>0</v>
      </c>
      <c r="Y2326" s="1">
        <v>0</v>
      </c>
      <c r="Z2326" s="1">
        <v>0</v>
      </c>
      <c r="AA2326" s="1">
        <v>3</v>
      </c>
      <c r="AB2326" s="1">
        <v>3</v>
      </c>
      <c r="AC2326" s="1" t="s">
        <v>109</v>
      </c>
      <c r="AD2326" s="1" t="s">
        <v>109</v>
      </c>
      <c r="AE2326" s="1" t="s">
        <v>109</v>
      </c>
      <c r="AF2326" s="1">
        <v>3</v>
      </c>
      <c r="AG2326" s="1" t="s">
        <v>109</v>
      </c>
      <c r="AH2326" s="1">
        <v>3</v>
      </c>
      <c r="AI2326" s="1" t="s">
        <v>109</v>
      </c>
      <c r="AJ2326" s="1">
        <v>3</v>
      </c>
      <c r="AK2326" s="1">
        <v>3</v>
      </c>
      <c r="AL2326" s="1" t="s">
        <v>109</v>
      </c>
      <c r="AM2326" s="1" t="s">
        <v>109</v>
      </c>
      <c r="AN2326" s="1" t="s">
        <v>109</v>
      </c>
      <c r="AO2326" s="1" t="s">
        <v>109</v>
      </c>
      <c r="AP2326" s="1"/>
      <c r="AQ2326" s="1">
        <v>3</v>
      </c>
      <c r="AR2326" s="1"/>
      <c r="AS2326" s="1"/>
      <c r="AT2326" s="1">
        <v>0</v>
      </c>
      <c r="AU2326" s="1">
        <v>0</v>
      </c>
      <c r="AV2326" s="1">
        <v>0</v>
      </c>
      <c r="AW2326" s="1">
        <v>0</v>
      </c>
      <c r="AX2326" s="1">
        <v>0</v>
      </c>
      <c r="AY2326" s="1">
        <v>0</v>
      </c>
      <c r="AZ2326" s="1">
        <v>0</v>
      </c>
      <c r="BA2326" s="1">
        <v>0</v>
      </c>
      <c r="BB2326" s="1">
        <v>0</v>
      </c>
      <c r="BC2326" s="1">
        <v>0</v>
      </c>
      <c r="BD2326" s="1">
        <v>0</v>
      </c>
      <c r="BE2326" s="1">
        <v>0</v>
      </c>
      <c r="BF2326" s="1">
        <v>0</v>
      </c>
      <c r="BG2326" s="1">
        <v>0</v>
      </c>
      <c r="BH2326" s="1">
        <v>0</v>
      </c>
      <c r="BI2326" s="1">
        <v>0</v>
      </c>
      <c r="BJ2326" s="1">
        <v>0</v>
      </c>
      <c r="BK2326" s="1">
        <v>0</v>
      </c>
      <c r="BL2326" s="1">
        <v>0</v>
      </c>
      <c r="BM2326" s="1">
        <v>0</v>
      </c>
      <c r="BN2326" s="1">
        <v>0</v>
      </c>
      <c r="BO2326" s="1">
        <v>0</v>
      </c>
      <c r="BP2326" s="1">
        <v>1</v>
      </c>
      <c r="BQ2326" s="1">
        <v>0</v>
      </c>
      <c r="BR2326" s="1">
        <v>0</v>
      </c>
      <c r="BS2326" s="1" t="s">
        <v>109</v>
      </c>
      <c r="BT2326" s="1">
        <v>2417</v>
      </c>
      <c r="BU2326" s="1" t="s">
        <v>109</v>
      </c>
      <c r="BV2326" s="1"/>
      <c r="BW2326" s="1"/>
      <c r="BX2326" s="1"/>
      <c r="BY2326" s="1"/>
      <c r="BZ2326" s="1">
        <v>0</v>
      </c>
      <c r="CA2326" s="1" t="s">
        <v>109</v>
      </c>
      <c r="CB2326" s="1" t="s">
        <v>109</v>
      </c>
      <c r="CC2326" s="1" t="s">
        <v>109</v>
      </c>
      <c r="CD2326" s="1" t="s">
        <v>109</v>
      </c>
      <c r="CE2326" s="1">
        <v>3</v>
      </c>
      <c r="CF2326" s="1">
        <v>3</v>
      </c>
      <c r="CG2326" s="1" t="s">
        <v>109</v>
      </c>
      <c r="CH2326" s="1" t="s">
        <v>109</v>
      </c>
      <c r="CI2326" s="1" t="s">
        <v>109</v>
      </c>
      <c r="CJ2326" s="1" t="s">
        <v>109</v>
      </c>
      <c r="CK2326" s="1"/>
      <c r="CL2326" s="1">
        <v>0</v>
      </c>
      <c r="CM2326" s="1">
        <v>0</v>
      </c>
      <c r="CN2326" s="1">
        <v>0</v>
      </c>
    </row>
    <row r="2327" spans="1:92" ht="14.25" customHeight="1" x14ac:dyDescent="0.15">
      <c r="A2327" s="1" t="s">
        <v>16640</v>
      </c>
      <c r="B2327" s="1" t="s">
        <v>584</v>
      </c>
      <c r="C2327" s="1"/>
      <c r="D2327" s="1" t="s">
        <v>16612</v>
      </c>
      <c r="E2327" s="1" t="s">
        <v>16641</v>
      </c>
      <c r="F2327" s="1" t="s">
        <v>98</v>
      </c>
      <c r="G2327" s="1" t="s">
        <v>333</v>
      </c>
      <c r="H2327" s="1">
        <v>0</v>
      </c>
      <c r="I2327" s="1" t="s">
        <v>235</v>
      </c>
      <c r="J2327" s="1"/>
      <c r="K2327" s="1"/>
      <c r="L2327" s="1" t="s">
        <v>236</v>
      </c>
      <c r="M2327" s="1" t="s">
        <v>574</v>
      </c>
      <c r="N2327" s="1">
        <v>1</v>
      </c>
      <c r="O2327" s="1">
        <v>0</v>
      </c>
      <c r="P2327" s="1" t="s">
        <v>103</v>
      </c>
      <c r="Q2327" s="1" t="s">
        <v>104</v>
      </c>
      <c r="R2327" s="1" t="s">
        <v>16642</v>
      </c>
      <c r="S2327" s="1" t="s">
        <v>16643</v>
      </c>
      <c r="T2327" s="1" t="s">
        <v>16578</v>
      </c>
      <c r="U2327" s="1" t="s">
        <v>16644</v>
      </c>
      <c r="V2327" s="1">
        <v>1</v>
      </c>
      <c r="W2327" s="1">
        <v>0</v>
      </c>
      <c r="X2327" s="1">
        <v>0</v>
      </c>
      <c r="Y2327" s="1">
        <v>0</v>
      </c>
      <c r="Z2327" s="1">
        <v>0</v>
      </c>
      <c r="AA2327" s="1" t="s">
        <v>109</v>
      </c>
      <c r="AB2327" s="1" t="s">
        <v>109</v>
      </c>
      <c r="AC2327" s="1">
        <v>3</v>
      </c>
      <c r="AD2327" s="1" t="s">
        <v>109</v>
      </c>
      <c r="AE2327" s="1" t="s">
        <v>109</v>
      </c>
      <c r="AF2327" s="1" t="s">
        <v>109</v>
      </c>
      <c r="AG2327" s="1" t="s">
        <v>109</v>
      </c>
      <c r="AH2327" s="1" t="s">
        <v>109</v>
      </c>
      <c r="AI2327" s="1" t="s">
        <v>109</v>
      </c>
      <c r="AJ2327" s="1" t="s">
        <v>109</v>
      </c>
      <c r="AK2327" s="1">
        <v>3</v>
      </c>
      <c r="AL2327" s="1">
        <v>3</v>
      </c>
      <c r="AM2327" s="1">
        <v>3</v>
      </c>
      <c r="AN2327" s="1" t="s">
        <v>109</v>
      </c>
      <c r="AO2327" s="1" t="s">
        <v>109</v>
      </c>
      <c r="AP2327" s="1"/>
      <c r="AQ2327" s="1">
        <v>3</v>
      </c>
      <c r="AR2327" s="1"/>
      <c r="AS2327" s="1"/>
      <c r="AT2327" s="1">
        <v>0</v>
      </c>
      <c r="AU2327" s="1">
        <v>0</v>
      </c>
      <c r="AV2327" s="1">
        <v>0</v>
      </c>
      <c r="AW2327" s="1">
        <v>0</v>
      </c>
      <c r="AX2327" s="1">
        <v>0</v>
      </c>
      <c r="AY2327" s="1">
        <v>1</v>
      </c>
      <c r="AZ2327" s="1">
        <v>0</v>
      </c>
      <c r="BA2327" s="1">
        <v>0</v>
      </c>
      <c r="BB2327" s="1">
        <v>0</v>
      </c>
      <c r="BC2327" s="1">
        <v>0</v>
      </c>
      <c r="BD2327" s="1">
        <v>0</v>
      </c>
      <c r="BE2327" s="1">
        <v>0</v>
      </c>
      <c r="BF2327" s="1">
        <v>0</v>
      </c>
      <c r="BG2327" s="1">
        <v>0</v>
      </c>
      <c r="BH2327" s="1">
        <v>0</v>
      </c>
      <c r="BI2327" s="1">
        <v>0</v>
      </c>
      <c r="BJ2327" s="1">
        <v>0</v>
      </c>
      <c r="BK2327" s="1">
        <v>0</v>
      </c>
      <c r="BL2327" s="1">
        <v>0</v>
      </c>
      <c r="BM2327" s="1">
        <v>0</v>
      </c>
      <c r="BN2327" s="1">
        <v>0</v>
      </c>
      <c r="BO2327" s="1">
        <v>0</v>
      </c>
      <c r="BP2327" s="1">
        <v>1</v>
      </c>
      <c r="BQ2327" s="1">
        <v>0</v>
      </c>
      <c r="BR2327" s="1">
        <v>0</v>
      </c>
      <c r="BS2327" s="1" t="s">
        <v>109</v>
      </c>
      <c r="BT2327" s="1">
        <v>2418</v>
      </c>
      <c r="BU2327" s="1" t="s">
        <v>109</v>
      </c>
      <c r="BV2327" s="1"/>
      <c r="BW2327" s="1"/>
      <c r="BX2327" s="1"/>
      <c r="BY2327" s="1"/>
      <c r="BZ2327" s="1">
        <v>0</v>
      </c>
      <c r="CA2327" s="1" t="s">
        <v>109</v>
      </c>
      <c r="CB2327" s="1">
        <v>3</v>
      </c>
      <c r="CC2327" s="1" t="s">
        <v>109</v>
      </c>
      <c r="CD2327" s="1" t="s">
        <v>109</v>
      </c>
      <c r="CE2327" s="1" t="s">
        <v>109</v>
      </c>
      <c r="CF2327" s="1" t="s">
        <v>109</v>
      </c>
      <c r="CG2327" s="1">
        <v>3</v>
      </c>
      <c r="CH2327" s="1" t="s">
        <v>109</v>
      </c>
      <c r="CI2327" s="1" t="s">
        <v>109</v>
      </c>
      <c r="CJ2327" s="1" t="s">
        <v>109</v>
      </c>
      <c r="CK2327" s="1"/>
      <c r="CL2327" s="1">
        <v>0</v>
      </c>
      <c r="CM2327" s="1">
        <v>0</v>
      </c>
      <c r="CN2327" s="1">
        <v>0</v>
      </c>
    </row>
    <row r="2328" spans="1:92" ht="14.25" customHeight="1" x14ac:dyDescent="0.15">
      <c r="A2328" s="1" t="s">
        <v>16645</v>
      </c>
      <c r="B2328" s="1" t="s">
        <v>584</v>
      </c>
      <c r="C2328" s="1"/>
      <c r="D2328" s="1" t="s">
        <v>16619</v>
      </c>
      <c r="E2328" s="1" t="s">
        <v>16646</v>
      </c>
      <c r="F2328" s="1" t="s">
        <v>98</v>
      </c>
      <c r="G2328" s="1" t="s">
        <v>141</v>
      </c>
      <c r="H2328" s="1">
        <v>0</v>
      </c>
      <c r="I2328" s="1" t="s">
        <v>100</v>
      </c>
      <c r="J2328" s="1"/>
      <c r="K2328" s="1"/>
      <c r="L2328" s="1" t="s">
        <v>1391</v>
      </c>
      <c r="M2328" s="1" t="s">
        <v>6144</v>
      </c>
      <c r="N2328" s="1">
        <v>1</v>
      </c>
      <c r="O2328" s="1">
        <v>0</v>
      </c>
      <c r="P2328" s="1" t="s">
        <v>4647</v>
      </c>
      <c r="Q2328" s="1" t="s">
        <v>268</v>
      </c>
      <c r="R2328" s="1" t="s">
        <v>16647</v>
      </c>
      <c r="S2328" s="1" t="s">
        <v>16648</v>
      </c>
      <c r="T2328" s="1" t="s">
        <v>16578</v>
      </c>
      <c r="U2328" s="1" t="s">
        <v>16649</v>
      </c>
      <c r="V2328" s="1">
        <v>1</v>
      </c>
      <c r="W2328" s="1">
        <v>1</v>
      </c>
      <c r="X2328" s="1">
        <v>0</v>
      </c>
      <c r="Y2328" s="1">
        <v>0</v>
      </c>
      <c r="Z2328" s="1">
        <v>0</v>
      </c>
      <c r="AA2328" s="1">
        <v>3</v>
      </c>
      <c r="AB2328" s="1">
        <v>3</v>
      </c>
      <c r="AC2328" s="1">
        <v>3</v>
      </c>
      <c r="AD2328" s="1">
        <v>3</v>
      </c>
      <c r="AE2328" s="1" t="s">
        <v>109</v>
      </c>
      <c r="AF2328" s="1">
        <v>3</v>
      </c>
      <c r="AG2328" s="1">
        <v>3</v>
      </c>
      <c r="AH2328" s="1" t="s">
        <v>109</v>
      </c>
      <c r="AI2328" s="1" t="s">
        <v>109</v>
      </c>
      <c r="AJ2328" s="1">
        <v>3</v>
      </c>
      <c r="AK2328" s="1">
        <v>3</v>
      </c>
      <c r="AL2328" s="1">
        <v>3</v>
      </c>
      <c r="AM2328" s="1" t="s">
        <v>109</v>
      </c>
      <c r="AN2328" s="1">
        <v>3</v>
      </c>
      <c r="AO2328" s="1" t="s">
        <v>109</v>
      </c>
      <c r="AP2328" s="1"/>
      <c r="AQ2328" s="1">
        <v>3</v>
      </c>
      <c r="AR2328" s="1"/>
      <c r="AS2328" s="1"/>
      <c r="AT2328" s="1">
        <v>0</v>
      </c>
      <c r="AU2328" s="1">
        <v>0</v>
      </c>
      <c r="AV2328" s="1">
        <v>0</v>
      </c>
      <c r="AW2328" s="1">
        <v>0</v>
      </c>
      <c r="AX2328" s="1">
        <v>0</v>
      </c>
      <c r="AY2328" s="1">
        <v>1</v>
      </c>
      <c r="AZ2328" s="1">
        <v>0</v>
      </c>
      <c r="BA2328" s="1">
        <v>0</v>
      </c>
      <c r="BB2328" s="1">
        <v>0</v>
      </c>
      <c r="BC2328" s="1">
        <v>0</v>
      </c>
      <c r="BD2328" s="1">
        <v>0</v>
      </c>
      <c r="BE2328" s="1">
        <v>0</v>
      </c>
      <c r="BF2328" s="1">
        <v>0</v>
      </c>
      <c r="BG2328" s="1">
        <v>0</v>
      </c>
      <c r="BH2328" s="1">
        <v>0</v>
      </c>
      <c r="BI2328" s="1">
        <v>0</v>
      </c>
      <c r="BJ2328" s="1">
        <v>0</v>
      </c>
      <c r="BK2328" s="1">
        <v>0</v>
      </c>
      <c r="BL2328" s="1">
        <v>1</v>
      </c>
      <c r="BM2328" s="1">
        <v>0</v>
      </c>
      <c r="BN2328" s="1">
        <v>0</v>
      </c>
      <c r="BO2328" s="1">
        <v>0</v>
      </c>
      <c r="BP2328" s="1">
        <v>0</v>
      </c>
      <c r="BQ2328" s="1">
        <v>0</v>
      </c>
      <c r="BR2328" s="1">
        <v>0</v>
      </c>
      <c r="BS2328" s="1" t="s">
        <v>109</v>
      </c>
      <c r="BT2328" s="1">
        <v>2419</v>
      </c>
      <c r="BU2328" s="1" t="s">
        <v>109</v>
      </c>
      <c r="BV2328" s="1"/>
      <c r="BW2328" s="1"/>
      <c r="BX2328" s="1"/>
      <c r="BY2328" s="1"/>
      <c r="BZ2328" s="1">
        <v>0</v>
      </c>
      <c r="CA2328" s="1" t="s">
        <v>109</v>
      </c>
      <c r="CB2328" s="1">
        <v>3</v>
      </c>
      <c r="CC2328" s="1" t="s">
        <v>109</v>
      </c>
      <c r="CD2328" s="1" t="s">
        <v>109</v>
      </c>
      <c r="CE2328" s="1" t="s">
        <v>109</v>
      </c>
      <c r="CF2328" s="1">
        <v>3</v>
      </c>
      <c r="CG2328" s="1" t="s">
        <v>109</v>
      </c>
      <c r="CH2328" s="1" t="s">
        <v>109</v>
      </c>
      <c r="CI2328" s="1" t="s">
        <v>109</v>
      </c>
      <c r="CJ2328" s="1">
        <v>3</v>
      </c>
      <c r="CK2328" s="1"/>
      <c r="CL2328" s="1">
        <v>0</v>
      </c>
      <c r="CM2328" s="1">
        <v>0</v>
      </c>
      <c r="CN2328" s="1">
        <v>0</v>
      </c>
    </row>
    <row r="2329" spans="1:92" ht="14.25" customHeight="1" x14ac:dyDescent="0.15">
      <c r="A2329" s="1" t="s">
        <v>16650</v>
      </c>
      <c r="B2329" s="1" t="s">
        <v>308</v>
      </c>
      <c r="C2329" s="1"/>
      <c r="D2329" s="1" t="s">
        <v>16612</v>
      </c>
      <c r="E2329" s="1" t="s">
        <v>16651</v>
      </c>
      <c r="F2329" s="1" t="s">
        <v>98</v>
      </c>
      <c r="G2329" s="1" t="s">
        <v>333</v>
      </c>
      <c r="H2329" s="1">
        <v>0</v>
      </c>
      <c r="I2329" s="1" t="s">
        <v>161</v>
      </c>
      <c r="J2329" s="1"/>
      <c r="K2329" s="1"/>
      <c r="L2329" s="1" t="s">
        <v>877</v>
      </c>
      <c r="M2329" s="1" t="s">
        <v>7718</v>
      </c>
      <c r="N2329" s="1">
        <v>0</v>
      </c>
      <c r="O2329" s="1">
        <v>0</v>
      </c>
      <c r="P2329" s="1" t="s">
        <v>267</v>
      </c>
      <c r="Q2329" s="1" t="s">
        <v>9440</v>
      </c>
      <c r="R2329" s="1" t="s">
        <v>16652</v>
      </c>
      <c r="S2329" s="1" t="s">
        <v>16653</v>
      </c>
      <c r="T2329" s="1" t="s">
        <v>16578</v>
      </c>
      <c r="U2329" s="1" t="s">
        <v>16654</v>
      </c>
      <c r="V2329" s="1">
        <v>1</v>
      </c>
      <c r="W2329" s="1">
        <v>0</v>
      </c>
      <c r="X2329" s="1">
        <v>0</v>
      </c>
      <c r="Y2329" s="1">
        <v>0</v>
      </c>
      <c r="Z2329" s="1">
        <v>0</v>
      </c>
      <c r="AA2329" s="1">
        <v>1</v>
      </c>
      <c r="AB2329" s="1">
        <v>1</v>
      </c>
      <c r="AC2329" s="1">
        <v>1</v>
      </c>
      <c r="AD2329" s="1" t="s">
        <v>109</v>
      </c>
      <c r="AE2329" s="1" t="s">
        <v>109</v>
      </c>
      <c r="AF2329" s="1">
        <v>1</v>
      </c>
      <c r="AG2329" s="1" t="s">
        <v>109</v>
      </c>
      <c r="AH2329" s="1" t="s">
        <v>109</v>
      </c>
      <c r="AI2329" s="1" t="s">
        <v>109</v>
      </c>
      <c r="AJ2329" s="1">
        <v>1</v>
      </c>
      <c r="AK2329" s="1" t="s">
        <v>109</v>
      </c>
      <c r="AL2329" s="1">
        <v>1</v>
      </c>
      <c r="AM2329" s="1">
        <v>1</v>
      </c>
      <c r="AN2329" s="1" t="s">
        <v>109</v>
      </c>
      <c r="AO2329" s="1" t="s">
        <v>109</v>
      </c>
      <c r="AP2329" s="1"/>
      <c r="AQ2329" s="1">
        <v>1</v>
      </c>
      <c r="AR2329" s="1"/>
      <c r="AS2329" s="1"/>
      <c r="AT2329" s="1">
        <v>0</v>
      </c>
      <c r="AU2329" s="1">
        <v>0</v>
      </c>
      <c r="AV2329" s="1">
        <v>0</v>
      </c>
      <c r="AW2329" s="1">
        <v>0</v>
      </c>
      <c r="AX2329" s="1">
        <v>0</v>
      </c>
      <c r="AY2329" s="1">
        <v>1</v>
      </c>
      <c r="AZ2329" s="1">
        <v>0</v>
      </c>
      <c r="BA2329" s="1">
        <v>0</v>
      </c>
      <c r="BB2329" s="1">
        <v>0</v>
      </c>
      <c r="BC2329" s="1">
        <v>0</v>
      </c>
      <c r="BD2329" s="1">
        <v>0</v>
      </c>
      <c r="BE2329" s="1">
        <v>0</v>
      </c>
      <c r="BF2329" s="1">
        <v>0</v>
      </c>
      <c r="BG2329" s="1">
        <v>0</v>
      </c>
      <c r="BH2329" s="1">
        <v>0</v>
      </c>
      <c r="BI2329" s="1">
        <v>0</v>
      </c>
      <c r="BJ2329" s="1">
        <v>0</v>
      </c>
      <c r="BK2329" s="1">
        <v>0</v>
      </c>
      <c r="BL2329" s="1">
        <v>0</v>
      </c>
      <c r="BM2329" s="1">
        <v>0</v>
      </c>
      <c r="BN2329" s="1">
        <v>0</v>
      </c>
      <c r="BO2329" s="1">
        <v>0</v>
      </c>
      <c r="BP2329" s="1">
        <v>1</v>
      </c>
      <c r="BQ2329" s="1">
        <v>0</v>
      </c>
      <c r="BR2329" s="1">
        <v>0</v>
      </c>
      <c r="BS2329" s="1" t="s">
        <v>109</v>
      </c>
      <c r="BT2329" s="1">
        <v>2420</v>
      </c>
      <c r="BU2329" s="1" t="s">
        <v>109</v>
      </c>
      <c r="BV2329" s="1"/>
      <c r="BW2329" s="1"/>
      <c r="BX2329" s="1"/>
      <c r="BY2329" s="1"/>
      <c r="BZ2329" s="1">
        <v>0</v>
      </c>
      <c r="CA2329" s="1" t="s">
        <v>109</v>
      </c>
      <c r="CB2329" s="1">
        <v>1</v>
      </c>
      <c r="CC2329" s="1" t="s">
        <v>109</v>
      </c>
      <c r="CD2329" s="1" t="s">
        <v>109</v>
      </c>
      <c r="CE2329" s="1" t="s">
        <v>109</v>
      </c>
      <c r="CF2329" s="1" t="s">
        <v>109</v>
      </c>
      <c r="CG2329" s="1" t="s">
        <v>109</v>
      </c>
      <c r="CH2329" s="1" t="s">
        <v>109</v>
      </c>
      <c r="CI2329" s="1" t="s">
        <v>109</v>
      </c>
      <c r="CJ2329" s="1" t="s">
        <v>109</v>
      </c>
      <c r="CK2329" s="1"/>
      <c r="CL2329" s="1">
        <v>0</v>
      </c>
      <c r="CM2329" s="1">
        <v>0</v>
      </c>
      <c r="CN2329" s="1">
        <v>0</v>
      </c>
    </row>
    <row r="2330" spans="1:92" ht="14.25" customHeight="1" x14ac:dyDescent="0.15">
      <c r="A2330" s="1" t="s">
        <v>16655</v>
      </c>
      <c r="B2330" s="1" t="s">
        <v>584</v>
      </c>
      <c r="C2330" s="1"/>
      <c r="D2330" s="1" t="s">
        <v>16619</v>
      </c>
      <c r="E2330" s="1" t="s">
        <v>16656</v>
      </c>
      <c r="F2330" s="1" t="s">
        <v>98</v>
      </c>
      <c r="G2330" s="1" t="s">
        <v>141</v>
      </c>
      <c r="H2330" s="1">
        <v>0</v>
      </c>
      <c r="I2330" s="1" t="s">
        <v>122</v>
      </c>
      <c r="J2330" s="1"/>
      <c r="K2330" s="1" t="s">
        <v>16657</v>
      </c>
      <c r="L2330" s="1"/>
      <c r="M2330" s="1" t="s">
        <v>6144</v>
      </c>
      <c r="N2330" s="1">
        <v>1</v>
      </c>
      <c r="O2330" s="1">
        <v>0</v>
      </c>
      <c r="P2330" s="1" t="s">
        <v>103</v>
      </c>
      <c r="Q2330" s="1" t="s">
        <v>104</v>
      </c>
      <c r="R2330" s="1" t="s">
        <v>16658</v>
      </c>
      <c r="S2330" s="1" t="s">
        <v>16659</v>
      </c>
      <c r="T2330" s="1" t="s">
        <v>16578</v>
      </c>
      <c r="U2330" s="1" t="s">
        <v>16660</v>
      </c>
      <c r="V2330" s="1">
        <v>1</v>
      </c>
      <c r="W2330" s="1">
        <v>1</v>
      </c>
      <c r="X2330" s="1">
        <v>0</v>
      </c>
      <c r="Y2330" s="1">
        <v>0</v>
      </c>
      <c r="Z2330" s="1">
        <v>0</v>
      </c>
      <c r="AA2330" s="1">
        <v>3</v>
      </c>
      <c r="AB2330" s="1">
        <v>3</v>
      </c>
      <c r="AC2330" s="1">
        <v>3</v>
      </c>
      <c r="AD2330" s="1" t="s">
        <v>109</v>
      </c>
      <c r="AE2330" s="1" t="s">
        <v>109</v>
      </c>
      <c r="AF2330" s="1">
        <v>3</v>
      </c>
      <c r="AG2330" s="1" t="s">
        <v>109</v>
      </c>
      <c r="AH2330" s="1" t="s">
        <v>109</v>
      </c>
      <c r="AI2330" s="1" t="s">
        <v>109</v>
      </c>
      <c r="AJ2330" s="1" t="s">
        <v>109</v>
      </c>
      <c r="AK2330" s="1">
        <v>3</v>
      </c>
      <c r="AL2330" s="1">
        <v>3</v>
      </c>
      <c r="AM2330" s="1" t="s">
        <v>109</v>
      </c>
      <c r="AN2330" s="1">
        <v>3</v>
      </c>
      <c r="AO2330" s="1" t="s">
        <v>109</v>
      </c>
      <c r="AP2330" s="1"/>
      <c r="AQ2330" s="1">
        <v>3</v>
      </c>
      <c r="AR2330" s="1"/>
      <c r="AS2330" s="1"/>
      <c r="AT2330" s="1">
        <v>0</v>
      </c>
      <c r="AU2330" s="1">
        <v>0</v>
      </c>
      <c r="AV2330" s="1">
        <v>0</v>
      </c>
      <c r="AW2330" s="1">
        <v>0</v>
      </c>
      <c r="AX2330" s="1">
        <v>0</v>
      </c>
      <c r="AY2330" s="1">
        <v>1</v>
      </c>
      <c r="AZ2330" s="1">
        <v>0</v>
      </c>
      <c r="BA2330" s="1">
        <v>0</v>
      </c>
      <c r="BB2330" s="1">
        <v>0</v>
      </c>
      <c r="BC2330" s="1">
        <v>0</v>
      </c>
      <c r="BD2330" s="1">
        <v>0</v>
      </c>
      <c r="BE2330" s="1">
        <v>0</v>
      </c>
      <c r="BF2330" s="1">
        <v>0</v>
      </c>
      <c r="BG2330" s="1">
        <v>0</v>
      </c>
      <c r="BH2330" s="1">
        <v>0</v>
      </c>
      <c r="BI2330" s="1">
        <v>0</v>
      </c>
      <c r="BJ2330" s="1">
        <v>0</v>
      </c>
      <c r="BK2330" s="1">
        <v>0</v>
      </c>
      <c r="BL2330" s="1">
        <v>1</v>
      </c>
      <c r="BM2330" s="1">
        <v>0</v>
      </c>
      <c r="BN2330" s="1">
        <v>0</v>
      </c>
      <c r="BO2330" s="1">
        <v>0</v>
      </c>
      <c r="BP2330" s="1">
        <v>0</v>
      </c>
      <c r="BQ2330" s="1">
        <v>0</v>
      </c>
      <c r="BR2330" s="1">
        <v>0</v>
      </c>
      <c r="BS2330" s="1" t="s">
        <v>109</v>
      </c>
      <c r="BT2330" s="1">
        <v>2421</v>
      </c>
      <c r="BU2330" s="1" t="s">
        <v>109</v>
      </c>
      <c r="BV2330" s="1"/>
      <c r="BW2330" s="1"/>
      <c r="BX2330" s="1"/>
      <c r="BY2330" s="1"/>
      <c r="BZ2330" s="1">
        <v>0</v>
      </c>
      <c r="CA2330" s="1" t="s">
        <v>109</v>
      </c>
      <c r="CB2330" s="1">
        <v>3</v>
      </c>
      <c r="CC2330" s="1" t="s">
        <v>109</v>
      </c>
      <c r="CD2330" s="1" t="s">
        <v>109</v>
      </c>
      <c r="CE2330" s="1" t="s">
        <v>109</v>
      </c>
      <c r="CF2330" s="1">
        <v>3</v>
      </c>
      <c r="CG2330" s="1" t="s">
        <v>109</v>
      </c>
      <c r="CH2330" s="1" t="s">
        <v>109</v>
      </c>
      <c r="CI2330" s="1" t="s">
        <v>109</v>
      </c>
      <c r="CJ2330" s="1" t="s">
        <v>109</v>
      </c>
      <c r="CK2330" s="1"/>
      <c r="CL2330" s="1">
        <v>0</v>
      </c>
      <c r="CM2330" s="1">
        <v>0</v>
      </c>
      <c r="CN2330" s="1">
        <v>0</v>
      </c>
    </row>
    <row r="2331" spans="1:92" ht="14.25" customHeight="1" x14ac:dyDescent="0.15">
      <c r="A2331" s="1" t="s">
        <v>16661</v>
      </c>
      <c r="B2331" s="1" t="s">
        <v>674</v>
      </c>
      <c r="C2331" s="1" t="s">
        <v>68</v>
      </c>
      <c r="D2331" s="1" t="s">
        <v>16253</v>
      </c>
      <c r="E2331" s="1" t="s">
        <v>16662</v>
      </c>
      <c r="F2331" s="1" t="s">
        <v>98</v>
      </c>
      <c r="G2331" s="1" t="s">
        <v>141</v>
      </c>
      <c r="H2331" s="1">
        <v>0</v>
      </c>
      <c r="I2331" s="1" t="s">
        <v>142</v>
      </c>
      <c r="J2331" s="1"/>
      <c r="K2331" s="1"/>
      <c r="L2331" s="1" t="s">
        <v>1391</v>
      </c>
      <c r="M2331" s="1" t="s">
        <v>408</v>
      </c>
      <c r="N2331" s="1">
        <v>0</v>
      </c>
      <c r="O2331" s="1">
        <v>0</v>
      </c>
      <c r="P2331" s="1" t="s">
        <v>16663</v>
      </c>
      <c r="Q2331" s="1" t="s">
        <v>268</v>
      </c>
      <c r="R2331" s="1" t="s">
        <v>16664</v>
      </c>
      <c r="S2331" s="1" t="s">
        <v>16665</v>
      </c>
      <c r="T2331" s="1" t="s">
        <v>16578</v>
      </c>
      <c r="U2331" s="1" t="s">
        <v>16666</v>
      </c>
      <c r="V2331" s="1">
        <v>1</v>
      </c>
      <c r="W2331" s="1">
        <v>1</v>
      </c>
      <c r="X2331" s="1">
        <v>0</v>
      </c>
      <c r="Y2331" s="1">
        <v>0</v>
      </c>
      <c r="Z2331" s="1">
        <v>0</v>
      </c>
      <c r="AA2331" s="1">
        <v>6</v>
      </c>
      <c r="AB2331" s="1">
        <v>6</v>
      </c>
      <c r="AC2331" s="1" t="s">
        <v>109</v>
      </c>
      <c r="AD2331" s="1">
        <v>7</v>
      </c>
      <c r="AE2331" s="1" t="s">
        <v>109</v>
      </c>
      <c r="AF2331" s="1">
        <v>6</v>
      </c>
      <c r="AG2331" s="1" t="s">
        <v>109</v>
      </c>
      <c r="AH2331" s="1">
        <v>6</v>
      </c>
      <c r="AI2331" s="1">
        <v>6</v>
      </c>
      <c r="AJ2331" s="1">
        <v>6</v>
      </c>
      <c r="AK2331" s="1" t="s">
        <v>109</v>
      </c>
      <c r="AL2331" s="1" t="s">
        <v>109</v>
      </c>
      <c r="AM2331" s="1" t="s">
        <v>109</v>
      </c>
      <c r="AN2331" s="1" t="s">
        <v>109</v>
      </c>
      <c r="AO2331" s="1" t="s">
        <v>109</v>
      </c>
      <c r="AP2331" s="1"/>
      <c r="AQ2331" s="1">
        <v>6</v>
      </c>
      <c r="AR2331" s="1"/>
      <c r="AS2331" s="1"/>
      <c r="AT2331" s="1">
        <v>0</v>
      </c>
      <c r="AU2331" s="1">
        <v>0</v>
      </c>
      <c r="AV2331" s="1">
        <v>0</v>
      </c>
      <c r="AW2331" s="1">
        <v>0</v>
      </c>
      <c r="AX2331" s="1">
        <v>0</v>
      </c>
      <c r="AY2331" s="1">
        <v>0</v>
      </c>
      <c r="AZ2331" s="1">
        <v>0</v>
      </c>
      <c r="BA2331" s="1">
        <v>0</v>
      </c>
      <c r="BB2331" s="1">
        <v>0</v>
      </c>
      <c r="BC2331" s="1">
        <v>0</v>
      </c>
      <c r="BD2331" s="1">
        <v>0</v>
      </c>
      <c r="BE2331" s="1">
        <v>0</v>
      </c>
      <c r="BF2331" s="1">
        <v>0</v>
      </c>
      <c r="BG2331" s="1">
        <v>0</v>
      </c>
      <c r="BH2331" s="1">
        <v>0</v>
      </c>
      <c r="BI2331" s="1">
        <v>0</v>
      </c>
      <c r="BJ2331" s="1">
        <v>0</v>
      </c>
      <c r="BK2331" s="1">
        <v>0</v>
      </c>
      <c r="BL2331" s="1">
        <v>0</v>
      </c>
      <c r="BM2331" s="1">
        <v>0</v>
      </c>
      <c r="BN2331" s="1">
        <v>0</v>
      </c>
      <c r="BO2331" s="1">
        <v>0</v>
      </c>
      <c r="BP2331" s="1">
        <v>1</v>
      </c>
      <c r="BQ2331" s="1">
        <v>0</v>
      </c>
      <c r="BR2331" s="1">
        <v>0</v>
      </c>
      <c r="BS2331" s="1" t="s">
        <v>109</v>
      </c>
      <c r="BT2331" s="1">
        <v>2422</v>
      </c>
      <c r="BU2331" s="1" t="s">
        <v>109</v>
      </c>
      <c r="BV2331" s="1"/>
      <c r="BW2331" s="1"/>
      <c r="BX2331" s="1"/>
      <c r="BY2331" s="1"/>
      <c r="BZ2331" s="1">
        <v>0</v>
      </c>
      <c r="CA2331" s="1" t="s">
        <v>109</v>
      </c>
      <c r="CB2331" s="1">
        <v>6</v>
      </c>
      <c r="CC2331" s="1" t="s">
        <v>109</v>
      </c>
      <c r="CD2331" s="1">
        <v>6</v>
      </c>
      <c r="CE2331" s="1" t="s">
        <v>109</v>
      </c>
      <c r="CF2331" s="1" t="s">
        <v>109</v>
      </c>
      <c r="CG2331" s="1">
        <v>6</v>
      </c>
      <c r="CH2331" s="1" t="s">
        <v>109</v>
      </c>
      <c r="CI2331" s="1" t="s">
        <v>109</v>
      </c>
      <c r="CJ2331" s="1" t="s">
        <v>109</v>
      </c>
      <c r="CK2331" s="1"/>
      <c r="CL2331" s="1">
        <v>0</v>
      </c>
      <c r="CM2331" s="1">
        <v>0</v>
      </c>
      <c r="CN2331" s="1">
        <v>0</v>
      </c>
    </row>
    <row r="2332" spans="1:92" ht="14.25" customHeight="1" x14ac:dyDescent="0.15">
      <c r="A2332" s="1" t="s">
        <v>16667</v>
      </c>
      <c r="B2332" s="1" t="s">
        <v>308</v>
      </c>
      <c r="C2332" s="1"/>
      <c r="D2332" s="1" t="s">
        <v>16668</v>
      </c>
      <c r="E2332" s="1" t="s">
        <v>16669</v>
      </c>
      <c r="F2332" s="1" t="s">
        <v>98</v>
      </c>
      <c r="G2332" s="1" t="s">
        <v>141</v>
      </c>
      <c r="H2332" s="1">
        <v>0</v>
      </c>
      <c r="I2332" s="1" t="s">
        <v>5737</v>
      </c>
      <c r="J2332" s="1"/>
      <c r="K2332" s="1"/>
      <c r="L2332" s="1" t="s">
        <v>1391</v>
      </c>
      <c r="M2332" s="1" t="s">
        <v>574</v>
      </c>
      <c r="N2332" s="1">
        <v>1</v>
      </c>
      <c r="O2332" s="1">
        <v>0</v>
      </c>
      <c r="P2332" s="1" t="s">
        <v>16670</v>
      </c>
      <c r="Q2332" s="1" t="s">
        <v>268</v>
      </c>
      <c r="R2332" s="1" t="s">
        <v>16671</v>
      </c>
      <c r="S2332" s="1" t="s">
        <v>16672</v>
      </c>
      <c r="T2332" s="1" t="s">
        <v>16578</v>
      </c>
      <c r="U2332" s="1" t="s">
        <v>16673</v>
      </c>
      <c r="V2332" s="1">
        <v>1</v>
      </c>
      <c r="W2332" s="1">
        <v>1</v>
      </c>
      <c r="X2332" s="1">
        <v>0</v>
      </c>
      <c r="Y2332" s="1">
        <v>0</v>
      </c>
      <c r="Z2332" s="1">
        <v>0</v>
      </c>
      <c r="AA2332" s="1">
        <v>4</v>
      </c>
      <c r="AB2332" s="1">
        <v>4</v>
      </c>
      <c r="AC2332" s="1" t="s">
        <v>109</v>
      </c>
      <c r="AD2332" s="1" t="s">
        <v>109</v>
      </c>
      <c r="AE2332" s="1" t="s">
        <v>109</v>
      </c>
      <c r="AF2332" s="1" t="s">
        <v>109</v>
      </c>
      <c r="AG2332" s="1" t="s">
        <v>109</v>
      </c>
      <c r="AH2332" s="1" t="s">
        <v>109</v>
      </c>
      <c r="AI2332" s="1" t="s">
        <v>109</v>
      </c>
      <c r="AJ2332" s="1">
        <v>4</v>
      </c>
      <c r="AK2332" s="1" t="s">
        <v>109</v>
      </c>
      <c r="AL2332" s="1" t="s">
        <v>109</v>
      </c>
      <c r="AM2332" s="1">
        <v>4</v>
      </c>
      <c r="AN2332" s="1">
        <v>4</v>
      </c>
      <c r="AO2332" s="1" t="s">
        <v>109</v>
      </c>
      <c r="AP2332" s="1"/>
      <c r="AQ2332" s="1">
        <v>4</v>
      </c>
      <c r="AR2332" s="1"/>
      <c r="AS2332" s="1"/>
      <c r="AT2332" s="1">
        <v>0</v>
      </c>
      <c r="AU2332" s="1">
        <v>0</v>
      </c>
      <c r="AV2332" s="1">
        <v>0</v>
      </c>
      <c r="AW2332" s="1">
        <v>0</v>
      </c>
      <c r="AX2332" s="1">
        <v>0</v>
      </c>
      <c r="AY2332" s="1">
        <v>0</v>
      </c>
      <c r="AZ2332" s="1">
        <v>0</v>
      </c>
      <c r="BA2332" s="1">
        <v>0</v>
      </c>
      <c r="BB2332" s="1">
        <v>0</v>
      </c>
      <c r="BC2332" s="1">
        <v>0</v>
      </c>
      <c r="BD2332" s="1">
        <v>0</v>
      </c>
      <c r="BE2332" s="1">
        <v>1</v>
      </c>
      <c r="BF2332" s="1">
        <v>0</v>
      </c>
      <c r="BG2332" s="1">
        <v>0</v>
      </c>
      <c r="BH2332" s="1">
        <v>0</v>
      </c>
      <c r="BI2332" s="1">
        <v>0</v>
      </c>
      <c r="BJ2332" s="1">
        <v>0</v>
      </c>
      <c r="BK2332" s="1">
        <v>0</v>
      </c>
      <c r="BL2332" s="1">
        <v>0</v>
      </c>
      <c r="BM2332" s="1">
        <v>0</v>
      </c>
      <c r="BN2332" s="1">
        <v>0</v>
      </c>
      <c r="BO2332" s="1">
        <v>0</v>
      </c>
      <c r="BP2332" s="1">
        <v>1</v>
      </c>
      <c r="BQ2332" s="1">
        <v>0</v>
      </c>
      <c r="BR2332" s="1">
        <v>0</v>
      </c>
      <c r="BS2332" s="1" t="s">
        <v>109</v>
      </c>
      <c r="BT2332" s="1">
        <v>2423</v>
      </c>
      <c r="BU2332" s="1" t="s">
        <v>109</v>
      </c>
      <c r="BV2332" s="1"/>
      <c r="BW2332" s="1"/>
      <c r="BX2332" s="1"/>
      <c r="BY2332" s="1"/>
      <c r="BZ2332" s="1">
        <v>0</v>
      </c>
      <c r="CA2332" s="1">
        <v>4</v>
      </c>
      <c r="CB2332" s="1">
        <v>4</v>
      </c>
      <c r="CC2332" s="1" t="s">
        <v>109</v>
      </c>
      <c r="CD2332" s="1" t="s">
        <v>109</v>
      </c>
      <c r="CE2332" s="1" t="s">
        <v>109</v>
      </c>
      <c r="CF2332" s="1">
        <v>4</v>
      </c>
      <c r="CG2332" s="1" t="s">
        <v>109</v>
      </c>
      <c r="CH2332" s="1" t="s">
        <v>109</v>
      </c>
      <c r="CI2332" s="1" t="s">
        <v>109</v>
      </c>
      <c r="CJ2332" s="1" t="s">
        <v>109</v>
      </c>
      <c r="CK2332" s="1"/>
      <c r="CL2332" s="1">
        <v>0</v>
      </c>
      <c r="CM2332" s="1">
        <v>0</v>
      </c>
      <c r="CN2332" s="1">
        <v>0</v>
      </c>
    </row>
    <row r="2333" spans="1:92" ht="14.25" customHeight="1" x14ac:dyDescent="0.15">
      <c r="A2333" s="1" t="s">
        <v>16674</v>
      </c>
      <c r="B2333" s="1" t="s">
        <v>674</v>
      </c>
      <c r="C2333" s="1" t="s">
        <v>68</v>
      </c>
      <c r="D2333" s="1" t="s">
        <v>16253</v>
      </c>
      <c r="E2333" s="1" t="s">
        <v>16675</v>
      </c>
      <c r="F2333" s="1" t="s">
        <v>98</v>
      </c>
      <c r="G2333" s="1" t="s">
        <v>141</v>
      </c>
      <c r="H2333" s="1">
        <v>0</v>
      </c>
      <c r="I2333" s="1" t="s">
        <v>211</v>
      </c>
      <c r="J2333" s="1"/>
      <c r="K2333" s="1"/>
      <c r="L2333" s="1" t="s">
        <v>211</v>
      </c>
      <c r="M2333" s="1" t="s">
        <v>211</v>
      </c>
      <c r="N2333" s="1">
        <v>0</v>
      </c>
      <c r="O2333" s="1">
        <v>0</v>
      </c>
      <c r="P2333" s="1" t="s">
        <v>4297</v>
      </c>
      <c r="Q2333" s="1" t="s">
        <v>4298</v>
      </c>
      <c r="R2333" s="1" t="s">
        <v>16676</v>
      </c>
      <c r="S2333" s="1" t="s">
        <v>16677</v>
      </c>
      <c r="T2333" s="1" t="s">
        <v>16578</v>
      </c>
      <c r="U2333" s="1" t="s">
        <v>16678</v>
      </c>
      <c r="V2333" s="1">
        <v>1</v>
      </c>
      <c r="W2333" s="1">
        <v>1</v>
      </c>
      <c r="X2333" s="1">
        <v>0</v>
      </c>
      <c r="Y2333" s="1">
        <v>0</v>
      </c>
      <c r="Z2333" s="1">
        <v>0</v>
      </c>
      <c r="AA2333" s="1">
        <v>6</v>
      </c>
      <c r="AB2333" s="1">
        <v>6</v>
      </c>
      <c r="AC2333" s="1" t="s">
        <v>109</v>
      </c>
      <c r="AD2333" s="1" t="s">
        <v>109</v>
      </c>
      <c r="AE2333" s="1" t="s">
        <v>109</v>
      </c>
      <c r="AF2333" s="1">
        <v>6</v>
      </c>
      <c r="AG2333" s="1" t="s">
        <v>109</v>
      </c>
      <c r="AH2333" s="1" t="s">
        <v>109</v>
      </c>
      <c r="AI2333" s="1">
        <v>6</v>
      </c>
      <c r="AJ2333" s="1">
        <v>6</v>
      </c>
      <c r="AK2333" s="1" t="s">
        <v>109</v>
      </c>
      <c r="AL2333" s="1" t="s">
        <v>109</v>
      </c>
      <c r="AM2333" s="1" t="s">
        <v>109</v>
      </c>
      <c r="AN2333" s="1" t="s">
        <v>109</v>
      </c>
      <c r="AO2333" s="1" t="s">
        <v>109</v>
      </c>
      <c r="AP2333" s="1"/>
      <c r="AQ2333" s="1">
        <v>6</v>
      </c>
      <c r="AR2333" s="1"/>
      <c r="AS2333" s="1"/>
      <c r="AT2333" s="1">
        <v>0</v>
      </c>
      <c r="AU2333" s="1">
        <v>0</v>
      </c>
      <c r="AV2333" s="1">
        <v>0</v>
      </c>
      <c r="AW2333" s="1">
        <v>0</v>
      </c>
      <c r="AX2333" s="1">
        <v>0</v>
      </c>
      <c r="AY2333" s="1">
        <v>0</v>
      </c>
      <c r="AZ2333" s="1">
        <v>0</v>
      </c>
      <c r="BA2333" s="1">
        <v>0</v>
      </c>
      <c r="BB2333" s="1">
        <v>0</v>
      </c>
      <c r="BC2333" s="1">
        <v>0</v>
      </c>
      <c r="BD2333" s="1">
        <v>0</v>
      </c>
      <c r="BE2333" s="1">
        <v>0</v>
      </c>
      <c r="BF2333" s="1">
        <v>0</v>
      </c>
      <c r="BG2333" s="1">
        <v>0</v>
      </c>
      <c r="BH2333" s="1">
        <v>0</v>
      </c>
      <c r="BI2333" s="1">
        <v>0</v>
      </c>
      <c r="BJ2333" s="1">
        <v>0</v>
      </c>
      <c r="BK2333" s="1">
        <v>0</v>
      </c>
      <c r="BL2333" s="1">
        <v>0</v>
      </c>
      <c r="BM2333" s="1">
        <v>0</v>
      </c>
      <c r="BN2333" s="1">
        <v>0</v>
      </c>
      <c r="BO2333" s="1">
        <v>0</v>
      </c>
      <c r="BP2333" s="1">
        <v>1</v>
      </c>
      <c r="BQ2333" s="1">
        <v>0</v>
      </c>
      <c r="BR2333" s="1">
        <v>0</v>
      </c>
      <c r="BS2333" s="1" t="s">
        <v>109</v>
      </c>
      <c r="BT2333" s="1">
        <v>2424</v>
      </c>
      <c r="BU2333" s="1" t="s">
        <v>109</v>
      </c>
      <c r="BV2333" s="1"/>
      <c r="BW2333" s="1"/>
      <c r="BX2333" s="1"/>
      <c r="BY2333" s="1"/>
      <c r="BZ2333" s="1">
        <v>0</v>
      </c>
      <c r="CA2333" s="1" t="s">
        <v>109</v>
      </c>
      <c r="CB2333" s="1">
        <v>6</v>
      </c>
      <c r="CC2333" s="1" t="s">
        <v>109</v>
      </c>
      <c r="CD2333" s="1">
        <v>6</v>
      </c>
      <c r="CE2333" s="1" t="s">
        <v>109</v>
      </c>
      <c r="CF2333" s="1" t="s">
        <v>109</v>
      </c>
      <c r="CG2333" s="1">
        <v>6</v>
      </c>
      <c r="CH2333" s="1" t="s">
        <v>109</v>
      </c>
      <c r="CI2333" s="1" t="s">
        <v>109</v>
      </c>
      <c r="CJ2333" s="1" t="s">
        <v>109</v>
      </c>
      <c r="CK2333" s="1"/>
      <c r="CL2333" s="1">
        <v>0</v>
      </c>
      <c r="CM2333" s="1">
        <v>0</v>
      </c>
      <c r="CN2333" s="1">
        <v>0</v>
      </c>
    </row>
    <row r="2334" spans="1:92" ht="14.25" customHeight="1" x14ac:dyDescent="0.15">
      <c r="A2334" s="1" t="s">
        <v>16679</v>
      </c>
      <c r="B2334" s="1" t="s">
        <v>674</v>
      </c>
      <c r="C2334" s="1" t="s">
        <v>68</v>
      </c>
      <c r="D2334" s="1" t="s">
        <v>16253</v>
      </c>
      <c r="E2334" s="1" t="s">
        <v>16680</v>
      </c>
      <c r="F2334" s="1" t="s">
        <v>98</v>
      </c>
      <c r="G2334" s="1" t="s">
        <v>141</v>
      </c>
      <c r="H2334" s="1">
        <v>0</v>
      </c>
      <c r="I2334" s="1" t="s">
        <v>211</v>
      </c>
      <c r="J2334" s="1"/>
      <c r="K2334" s="1"/>
      <c r="L2334" s="1" t="s">
        <v>211</v>
      </c>
      <c r="M2334" s="1" t="s">
        <v>211</v>
      </c>
      <c r="N2334" s="1">
        <v>0</v>
      </c>
      <c r="O2334" s="1">
        <v>0</v>
      </c>
      <c r="P2334" s="1" t="s">
        <v>4297</v>
      </c>
      <c r="Q2334" s="1" t="s">
        <v>4298</v>
      </c>
      <c r="R2334" s="1" t="s">
        <v>16681</v>
      </c>
      <c r="S2334" s="1" t="s">
        <v>16682</v>
      </c>
      <c r="T2334" s="1" t="s">
        <v>16578</v>
      </c>
      <c r="U2334" s="1" t="s">
        <v>16683</v>
      </c>
      <c r="V2334" s="1">
        <v>1</v>
      </c>
      <c r="W2334" s="1">
        <v>1</v>
      </c>
      <c r="X2334" s="1">
        <v>0</v>
      </c>
      <c r="Y2334" s="1">
        <v>0</v>
      </c>
      <c r="Z2334" s="1">
        <v>0</v>
      </c>
      <c r="AA2334" s="1">
        <v>9</v>
      </c>
      <c r="AB2334" s="1">
        <v>9</v>
      </c>
      <c r="AC2334" s="1" t="s">
        <v>109</v>
      </c>
      <c r="AD2334" s="1" t="s">
        <v>109</v>
      </c>
      <c r="AE2334" s="1" t="s">
        <v>109</v>
      </c>
      <c r="AF2334" s="1" t="s">
        <v>109</v>
      </c>
      <c r="AG2334" s="1" t="s">
        <v>109</v>
      </c>
      <c r="AH2334" s="1" t="s">
        <v>109</v>
      </c>
      <c r="AI2334" s="1" t="s">
        <v>109</v>
      </c>
      <c r="AJ2334" s="1">
        <v>9</v>
      </c>
      <c r="AK2334" s="1" t="s">
        <v>109</v>
      </c>
      <c r="AL2334" s="1" t="s">
        <v>109</v>
      </c>
      <c r="AM2334" s="1" t="s">
        <v>109</v>
      </c>
      <c r="AN2334" s="1" t="s">
        <v>109</v>
      </c>
      <c r="AO2334" s="1" t="s">
        <v>109</v>
      </c>
      <c r="AP2334" s="1"/>
      <c r="AQ2334" s="1">
        <v>9</v>
      </c>
      <c r="AR2334" s="1"/>
      <c r="AS2334" s="1"/>
      <c r="AT2334" s="1">
        <v>0</v>
      </c>
      <c r="AU2334" s="1">
        <v>0</v>
      </c>
      <c r="AV2334" s="1">
        <v>0</v>
      </c>
      <c r="AW2334" s="1">
        <v>0</v>
      </c>
      <c r="AX2334" s="1">
        <v>0</v>
      </c>
      <c r="AY2334" s="1">
        <v>0</v>
      </c>
      <c r="AZ2334" s="1">
        <v>0</v>
      </c>
      <c r="BA2334" s="1">
        <v>0</v>
      </c>
      <c r="BB2334" s="1">
        <v>0</v>
      </c>
      <c r="BC2334" s="1">
        <v>0</v>
      </c>
      <c r="BD2334" s="1">
        <v>0</v>
      </c>
      <c r="BE2334" s="1">
        <v>0</v>
      </c>
      <c r="BF2334" s="1">
        <v>0</v>
      </c>
      <c r="BG2334" s="1">
        <v>0</v>
      </c>
      <c r="BH2334" s="1">
        <v>0</v>
      </c>
      <c r="BI2334" s="1">
        <v>0</v>
      </c>
      <c r="BJ2334" s="1">
        <v>0</v>
      </c>
      <c r="BK2334" s="1">
        <v>0</v>
      </c>
      <c r="BL2334" s="1">
        <v>0</v>
      </c>
      <c r="BM2334" s="1">
        <v>0</v>
      </c>
      <c r="BN2334" s="1">
        <v>0</v>
      </c>
      <c r="BO2334" s="1">
        <v>0</v>
      </c>
      <c r="BP2334" s="1">
        <v>1</v>
      </c>
      <c r="BQ2334" s="1">
        <v>0</v>
      </c>
      <c r="BR2334" s="1">
        <v>0</v>
      </c>
      <c r="BS2334" s="1" t="s">
        <v>109</v>
      </c>
      <c r="BT2334" s="1">
        <v>2425</v>
      </c>
      <c r="BU2334" s="1" t="s">
        <v>109</v>
      </c>
      <c r="BV2334" s="1"/>
      <c r="BW2334" s="1"/>
      <c r="BX2334" s="1"/>
      <c r="BY2334" s="1"/>
      <c r="BZ2334" s="1">
        <v>0</v>
      </c>
      <c r="CA2334" s="1" t="s">
        <v>109</v>
      </c>
      <c r="CB2334" s="1">
        <v>9</v>
      </c>
      <c r="CC2334" s="1" t="s">
        <v>109</v>
      </c>
      <c r="CD2334" s="1" t="s">
        <v>109</v>
      </c>
      <c r="CE2334" s="1" t="s">
        <v>109</v>
      </c>
      <c r="CF2334" s="1" t="s">
        <v>109</v>
      </c>
      <c r="CG2334" s="1" t="s">
        <v>109</v>
      </c>
      <c r="CH2334" s="1" t="s">
        <v>109</v>
      </c>
      <c r="CI2334" s="1" t="s">
        <v>109</v>
      </c>
      <c r="CJ2334" s="1" t="s">
        <v>109</v>
      </c>
      <c r="CK2334" s="1"/>
      <c r="CL2334" s="1">
        <v>0</v>
      </c>
      <c r="CM2334" s="1">
        <v>0</v>
      </c>
      <c r="CN2334" s="1">
        <v>0</v>
      </c>
    </row>
    <row r="2335" spans="1:92" ht="14.25" customHeight="1" x14ac:dyDescent="0.15">
      <c r="A2335" s="1" t="s">
        <v>16684</v>
      </c>
      <c r="B2335" s="1" t="s">
        <v>674</v>
      </c>
      <c r="C2335" s="1" t="s">
        <v>68</v>
      </c>
      <c r="D2335" s="1"/>
      <c r="E2335" s="1" t="s">
        <v>16685</v>
      </c>
      <c r="F2335" s="1" t="s">
        <v>98</v>
      </c>
      <c r="G2335" s="1" t="s">
        <v>141</v>
      </c>
      <c r="H2335" s="1">
        <v>0</v>
      </c>
      <c r="I2335" s="1" t="s">
        <v>5737</v>
      </c>
      <c r="J2335" s="1"/>
      <c r="K2335" s="1"/>
      <c r="L2335" s="1" t="s">
        <v>1391</v>
      </c>
      <c r="M2335" s="1" t="s">
        <v>574</v>
      </c>
      <c r="N2335" s="1">
        <v>1</v>
      </c>
      <c r="O2335" s="1">
        <v>0</v>
      </c>
      <c r="P2335" s="1" t="s">
        <v>301</v>
      </c>
      <c r="Q2335" s="1" t="s">
        <v>268</v>
      </c>
      <c r="R2335" s="1" t="s">
        <v>16686</v>
      </c>
      <c r="S2335" s="1" t="s">
        <v>16687</v>
      </c>
      <c r="T2335" s="1" t="s">
        <v>16578</v>
      </c>
      <c r="U2335" s="1" t="s">
        <v>16688</v>
      </c>
      <c r="V2335" s="1">
        <v>1</v>
      </c>
      <c r="W2335" s="1">
        <v>1</v>
      </c>
      <c r="X2335" s="1">
        <v>0</v>
      </c>
      <c r="Y2335" s="1">
        <v>0</v>
      </c>
      <c r="Z2335" s="1">
        <v>0</v>
      </c>
      <c r="AA2335" s="1">
        <v>1</v>
      </c>
      <c r="AB2335" s="1">
        <v>1</v>
      </c>
      <c r="AC2335" s="1">
        <v>1</v>
      </c>
      <c r="AD2335" s="1" t="s">
        <v>109</v>
      </c>
      <c r="AE2335" s="1" t="s">
        <v>109</v>
      </c>
      <c r="AF2335" s="1">
        <v>1</v>
      </c>
      <c r="AG2335" s="1" t="s">
        <v>109</v>
      </c>
      <c r="AH2335" s="1" t="s">
        <v>109</v>
      </c>
      <c r="AI2335" s="1" t="s">
        <v>109</v>
      </c>
      <c r="AJ2335" s="1">
        <v>1</v>
      </c>
      <c r="AK2335" s="1" t="s">
        <v>109</v>
      </c>
      <c r="AL2335" s="1">
        <v>1</v>
      </c>
      <c r="AM2335" s="1">
        <v>1</v>
      </c>
      <c r="AN2335" s="1" t="s">
        <v>109</v>
      </c>
      <c r="AO2335" s="1" t="s">
        <v>109</v>
      </c>
      <c r="AP2335" s="1"/>
      <c r="AQ2335" s="1">
        <v>1</v>
      </c>
      <c r="AR2335" s="1"/>
      <c r="AS2335" s="1"/>
      <c r="AT2335" s="1">
        <v>0</v>
      </c>
      <c r="AU2335" s="1">
        <v>0</v>
      </c>
      <c r="AV2335" s="1">
        <v>0</v>
      </c>
      <c r="AW2335" s="1">
        <v>0</v>
      </c>
      <c r="AX2335" s="1">
        <v>0</v>
      </c>
      <c r="AY2335" s="1">
        <v>0</v>
      </c>
      <c r="AZ2335" s="1">
        <v>0</v>
      </c>
      <c r="BA2335" s="1">
        <v>0</v>
      </c>
      <c r="BB2335" s="1">
        <v>0</v>
      </c>
      <c r="BC2335" s="1">
        <v>0</v>
      </c>
      <c r="BD2335" s="1">
        <v>0</v>
      </c>
      <c r="BE2335" s="1">
        <v>0</v>
      </c>
      <c r="BF2335" s="1">
        <v>0</v>
      </c>
      <c r="BG2335" s="1">
        <v>0</v>
      </c>
      <c r="BH2335" s="1">
        <v>0</v>
      </c>
      <c r="BI2335" s="1">
        <v>0</v>
      </c>
      <c r="BJ2335" s="1">
        <v>0</v>
      </c>
      <c r="BK2335" s="1">
        <v>0</v>
      </c>
      <c r="BL2335" s="1">
        <v>0</v>
      </c>
      <c r="BM2335" s="1">
        <v>0</v>
      </c>
      <c r="BN2335" s="1">
        <v>0</v>
      </c>
      <c r="BO2335" s="1">
        <v>0</v>
      </c>
      <c r="BP2335" s="1">
        <v>0</v>
      </c>
      <c r="BQ2335" s="1">
        <v>0</v>
      </c>
      <c r="BR2335" s="1">
        <v>0</v>
      </c>
      <c r="BS2335" s="1" t="s">
        <v>109</v>
      </c>
      <c r="BT2335" s="1">
        <v>2426</v>
      </c>
      <c r="BU2335" s="1" t="s">
        <v>109</v>
      </c>
      <c r="BV2335" s="1"/>
      <c r="BW2335" s="1"/>
      <c r="BX2335" s="1"/>
      <c r="BY2335" s="1"/>
      <c r="BZ2335" s="1">
        <v>0</v>
      </c>
      <c r="CA2335" s="1">
        <v>1</v>
      </c>
      <c r="CB2335" s="1">
        <v>1</v>
      </c>
      <c r="CC2335" s="1">
        <v>1</v>
      </c>
      <c r="CD2335" s="1" t="s">
        <v>109</v>
      </c>
      <c r="CE2335" s="1">
        <v>1</v>
      </c>
      <c r="CF2335" s="1">
        <v>1</v>
      </c>
      <c r="CG2335" s="1" t="s">
        <v>109</v>
      </c>
      <c r="CH2335" s="1" t="s">
        <v>109</v>
      </c>
      <c r="CI2335" s="1" t="s">
        <v>109</v>
      </c>
      <c r="CJ2335" s="1" t="s">
        <v>109</v>
      </c>
      <c r="CK2335" s="1"/>
      <c r="CL2335" s="1">
        <v>0</v>
      </c>
      <c r="CM2335" s="1">
        <v>0</v>
      </c>
      <c r="CN2335" s="1">
        <v>0</v>
      </c>
    </row>
    <row r="2336" spans="1:92" ht="14.25" customHeight="1" x14ac:dyDescent="0.15">
      <c r="A2336" s="1" t="s">
        <v>16689</v>
      </c>
      <c r="B2336" s="1" t="s">
        <v>674</v>
      </c>
      <c r="C2336" s="1" t="s">
        <v>68</v>
      </c>
      <c r="D2336" s="1" t="s">
        <v>16253</v>
      </c>
      <c r="E2336" s="1" t="s">
        <v>16690</v>
      </c>
      <c r="F2336" s="1" t="s">
        <v>98</v>
      </c>
      <c r="G2336" s="1" t="s">
        <v>141</v>
      </c>
      <c r="H2336" s="1">
        <v>0</v>
      </c>
      <c r="I2336" s="1" t="s">
        <v>161</v>
      </c>
      <c r="J2336" s="1"/>
      <c r="K2336" s="1"/>
      <c r="L2336" s="1" t="s">
        <v>506</v>
      </c>
      <c r="M2336" s="1" t="s">
        <v>574</v>
      </c>
      <c r="N2336" s="1">
        <v>1</v>
      </c>
      <c r="O2336" s="1">
        <v>0</v>
      </c>
      <c r="P2336" s="1" t="s">
        <v>2475</v>
      </c>
      <c r="Q2336" s="1" t="s">
        <v>268</v>
      </c>
      <c r="R2336" s="1" t="s">
        <v>16691</v>
      </c>
      <c r="S2336" s="1" t="s">
        <v>16692</v>
      </c>
      <c r="T2336" s="1" t="s">
        <v>16578</v>
      </c>
      <c r="U2336" s="1" t="s">
        <v>16693</v>
      </c>
      <c r="V2336" s="1">
        <v>1</v>
      </c>
      <c r="W2336" s="1">
        <v>1</v>
      </c>
      <c r="X2336" s="1">
        <v>0</v>
      </c>
      <c r="Y2336" s="1">
        <v>0</v>
      </c>
      <c r="Z2336" s="1">
        <v>0</v>
      </c>
      <c r="AA2336" s="1">
        <v>4</v>
      </c>
      <c r="AB2336" s="1">
        <v>4</v>
      </c>
      <c r="AC2336" s="1" t="s">
        <v>109</v>
      </c>
      <c r="AD2336" s="1" t="s">
        <v>109</v>
      </c>
      <c r="AE2336" s="1" t="s">
        <v>109</v>
      </c>
      <c r="AF2336" s="1">
        <v>4</v>
      </c>
      <c r="AG2336" s="1" t="s">
        <v>109</v>
      </c>
      <c r="AH2336" s="1" t="s">
        <v>109</v>
      </c>
      <c r="AI2336" s="1" t="s">
        <v>109</v>
      </c>
      <c r="AJ2336" s="1">
        <v>4</v>
      </c>
      <c r="AK2336" s="1" t="s">
        <v>109</v>
      </c>
      <c r="AL2336" s="1" t="s">
        <v>109</v>
      </c>
      <c r="AM2336" s="1">
        <v>4</v>
      </c>
      <c r="AN2336" s="1" t="s">
        <v>109</v>
      </c>
      <c r="AO2336" s="1" t="s">
        <v>109</v>
      </c>
      <c r="AP2336" s="1"/>
      <c r="AQ2336" s="1">
        <v>4</v>
      </c>
      <c r="AR2336" s="1"/>
      <c r="AS2336" s="1"/>
      <c r="AT2336" s="1">
        <v>0</v>
      </c>
      <c r="AU2336" s="1">
        <v>0</v>
      </c>
      <c r="AV2336" s="1">
        <v>0</v>
      </c>
      <c r="AW2336" s="1">
        <v>0</v>
      </c>
      <c r="AX2336" s="1">
        <v>0</v>
      </c>
      <c r="AY2336" s="1">
        <v>0</v>
      </c>
      <c r="AZ2336" s="1">
        <v>0</v>
      </c>
      <c r="BA2336" s="1">
        <v>0</v>
      </c>
      <c r="BB2336" s="1">
        <v>0</v>
      </c>
      <c r="BC2336" s="1">
        <v>0</v>
      </c>
      <c r="BD2336" s="1">
        <v>0</v>
      </c>
      <c r="BE2336" s="1">
        <v>0</v>
      </c>
      <c r="BF2336" s="1">
        <v>0</v>
      </c>
      <c r="BG2336" s="1">
        <v>0</v>
      </c>
      <c r="BH2336" s="1">
        <v>0</v>
      </c>
      <c r="BI2336" s="1">
        <v>0</v>
      </c>
      <c r="BJ2336" s="1">
        <v>0</v>
      </c>
      <c r="BK2336" s="1">
        <v>0</v>
      </c>
      <c r="BL2336" s="1">
        <v>0</v>
      </c>
      <c r="BM2336" s="1">
        <v>0</v>
      </c>
      <c r="BN2336" s="1">
        <v>0</v>
      </c>
      <c r="BO2336" s="1">
        <v>0</v>
      </c>
      <c r="BP2336" s="1">
        <v>1</v>
      </c>
      <c r="BQ2336" s="1">
        <v>0</v>
      </c>
      <c r="BR2336" s="1">
        <v>0</v>
      </c>
      <c r="BS2336" s="1" t="s">
        <v>109</v>
      </c>
      <c r="BT2336" s="1">
        <v>2427</v>
      </c>
      <c r="BU2336" s="1" t="s">
        <v>109</v>
      </c>
      <c r="BV2336" s="1"/>
      <c r="BW2336" s="1"/>
      <c r="BX2336" s="1"/>
      <c r="BY2336" s="1"/>
      <c r="BZ2336" s="1">
        <v>0</v>
      </c>
      <c r="CA2336" s="1" t="s">
        <v>109</v>
      </c>
      <c r="CB2336" s="1" t="s">
        <v>109</v>
      </c>
      <c r="CC2336" s="1">
        <v>4</v>
      </c>
      <c r="CD2336" s="1" t="s">
        <v>109</v>
      </c>
      <c r="CE2336" s="1">
        <v>4</v>
      </c>
      <c r="CF2336" s="1" t="s">
        <v>109</v>
      </c>
      <c r="CG2336" s="1">
        <v>4</v>
      </c>
      <c r="CH2336" s="1" t="s">
        <v>109</v>
      </c>
      <c r="CI2336" s="1" t="s">
        <v>109</v>
      </c>
      <c r="CJ2336" s="1" t="s">
        <v>109</v>
      </c>
      <c r="CK2336" s="1"/>
      <c r="CL2336" s="1">
        <v>0</v>
      </c>
      <c r="CM2336" s="1">
        <v>0</v>
      </c>
      <c r="CN2336" s="1">
        <v>0</v>
      </c>
    </row>
    <row r="2337" spans="1:92" ht="14.25" customHeight="1" x14ac:dyDescent="0.15">
      <c r="A2337" s="1" t="s">
        <v>16694</v>
      </c>
      <c r="B2337" s="1" t="s">
        <v>308</v>
      </c>
      <c r="C2337" s="1"/>
      <c r="D2337" s="1" t="s">
        <v>16253</v>
      </c>
      <c r="E2337" s="1" t="s">
        <v>16695</v>
      </c>
      <c r="F2337" s="1" t="s">
        <v>98</v>
      </c>
      <c r="G2337" s="1" t="s">
        <v>141</v>
      </c>
      <c r="H2337" s="1">
        <v>0</v>
      </c>
      <c r="I2337" s="1" t="s">
        <v>142</v>
      </c>
      <c r="J2337" s="1"/>
      <c r="K2337" s="1"/>
      <c r="L2337" s="1" t="s">
        <v>16696</v>
      </c>
      <c r="M2337" s="1" t="s">
        <v>3042</v>
      </c>
      <c r="N2337" s="1">
        <v>0</v>
      </c>
      <c r="O2337" s="1">
        <v>0</v>
      </c>
      <c r="P2337" s="1" t="s">
        <v>301</v>
      </c>
      <c r="Q2337" s="1" t="s">
        <v>268</v>
      </c>
      <c r="R2337" s="1" t="s">
        <v>16697</v>
      </c>
      <c r="S2337" s="1" t="s">
        <v>16698</v>
      </c>
      <c r="T2337" s="1" t="s">
        <v>16578</v>
      </c>
      <c r="U2337" s="1" t="s">
        <v>16699</v>
      </c>
      <c r="V2337" s="1">
        <v>1</v>
      </c>
      <c r="W2337" s="1">
        <v>1</v>
      </c>
      <c r="X2337" s="1">
        <v>0</v>
      </c>
      <c r="Y2337" s="1">
        <v>0</v>
      </c>
      <c r="Z2337" s="1">
        <v>0</v>
      </c>
      <c r="AA2337" s="1">
        <v>4</v>
      </c>
      <c r="AB2337" s="1">
        <v>4</v>
      </c>
      <c r="AC2337" s="1">
        <v>4</v>
      </c>
      <c r="AD2337" s="1" t="s">
        <v>109</v>
      </c>
      <c r="AE2337" s="1" t="s">
        <v>109</v>
      </c>
      <c r="AF2337" s="1" t="s">
        <v>109</v>
      </c>
      <c r="AG2337" s="1" t="s">
        <v>109</v>
      </c>
      <c r="AH2337" s="1">
        <v>4</v>
      </c>
      <c r="AI2337" s="1" t="s">
        <v>109</v>
      </c>
      <c r="AJ2337" s="1">
        <v>4</v>
      </c>
      <c r="AK2337" s="1" t="s">
        <v>109</v>
      </c>
      <c r="AL2337" s="1">
        <v>4</v>
      </c>
      <c r="AM2337" s="1">
        <v>4</v>
      </c>
      <c r="AN2337" s="1" t="s">
        <v>109</v>
      </c>
      <c r="AO2337" s="1" t="s">
        <v>109</v>
      </c>
      <c r="AP2337" s="1"/>
      <c r="AQ2337" s="1">
        <v>4</v>
      </c>
      <c r="AR2337" s="1"/>
      <c r="AS2337" s="1"/>
      <c r="AT2337" s="1">
        <v>0</v>
      </c>
      <c r="AU2337" s="1">
        <v>0</v>
      </c>
      <c r="AV2337" s="1">
        <v>0</v>
      </c>
      <c r="AW2337" s="1">
        <v>0</v>
      </c>
      <c r="AX2337" s="1">
        <v>0</v>
      </c>
      <c r="AY2337" s="1">
        <v>0</v>
      </c>
      <c r="AZ2337" s="1">
        <v>0</v>
      </c>
      <c r="BA2337" s="1">
        <v>0</v>
      </c>
      <c r="BB2337" s="1">
        <v>0</v>
      </c>
      <c r="BC2337" s="1">
        <v>0</v>
      </c>
      <c r="BD2337" s="1">
        <v>0</v>
      </c>
      <c r="BE2337" s="1">
        <v>0</v>
      </c>
      <c r="BF2337" s="1">
        <v>0</v>
      </c>
      <c r="BG2337" s="1">
        <v>0</v>
      </c>
      <c r="BH2337" s="1">
        <v>0</v>
      </c>
      <c r="BI2337" s="1">
        <v>0</v>
      </c>
      <c r="BJ2337" s="1">
        <v>0</v>
      </c>
      <c r="BK2337" s="1">
        <v>0</v>
      </c>
      <c r="BL2337" s="1">
        <v>0</v>
      </c>
      <c r="BM2337" s="1">
        <v>0</v>
      </c>
      <c r="BN2337" s="1">
        <v>0</v>
      </c>
      <c r="BO2337" s="1">
        <v>0</v>
      </c>
      <c r="BP2337" s="1">
        <v>1</v>
      </c>
      <c r="BQ2337" s="1">
        <v>0</v>
      </c>
      <c r="BR2337" s="1">
        <v>0</v>
      </c>
      <c r="BS2337" s="1" t="s">
        <v>109</v>
      </c>
      <c r="BT2337" s="1">
        <v>2428</v>
      </c>
      <c r="BU2337" s="1" t="s">
        <v>109</v>
      </c>
      <c r="BV2337" s="1"/>
      <c r="BW2337" s="1"/>
      <c r="BX2337" s="1"/>
      <c r="BY2337" s="1"/>
      <c r="BZ2337" s="1">
        <v>0</v>
      </c>
      <c r="CA2337" s="1" t="s">
        <v>109</v>
      </c>
      <c r="CB2337" s="1">
        <v>4</v>
      </c>
      <c r="CC2337" s="1">
        <v>4</v>
      </c>
      <c r="CD2337" s="1" t="s">
        <v>109</v>
      </c>
      <c r="CE2337" s="1" t="s">
        <v>109</v>
      </c>
      <c r="CF2337" s="1">
        <v>4</v>
      </c>
      <c r="CG2337" s="1" t="s">
        <v>109</v>
      </c>
      <c r="CH2337" s="1" t="s">
        <v>109</v>
      </c>
      <c r="CI2337" s="1" t="s">
        <v>109</v>
      </c>
      <c r="CJ2337" s="1" t="s">
        <v>109</v>
      </c>
      <c r="CK2337" s="1"/>
      <c r="CL2337" s="1">
        <v>0</v>
      </c>
      <c r="CM2337" s="1">
        <v>0</v>
      </c>
      <c r="CN2337" s="1">
        <v>0</v>
      </c>
    </row>
    <row r="2338" spans="1:92" ht="14.25" customHeight="1" x14ac:dyDescent="0.15">
      <c r="A2338" s="1" t="s">
        <v>16700</v>
      </c>
      <c r="B2338" s="1" t="s">
        <v>308</v>
      </c>
      <c r="C2338" s="1"/>
      <c r="D2338" s="1" t="s">
        <v>16253</v>
      </c>
      <c r="E2338" s="1" t="s">
        <v>12447</v>
      </c>
      <c r="F2338" s="1" t="s">
        <v>98</v>
      </c>
      <c r="G2338" s="1" t="s">
        <v>141</v>
      </c>
      <c r="H2338" s="1">
        <v>0</v>
      </c>
      <c r="I2338" s="1" t="s">
        <v>142</v>
      </c>
      <c r="J2338" s="1"/>
      <c r="K2338" s="1"/>
      <c r="L2338" s="1" t="s">
        <v>16701</v>
      </c>
      <c r="M2338" s="1" t="s">
        <v>3042</v>
      </c>
      <c r="N2338" s="1">
        <v>0</v>
      </c>
      <c r="O2338" s="1">
        <v>0</v>
      </c>
      <c r="P2338" s="1" t="s">
        <v>301</v>
      </c>
      <c r="Q2338" s="1" t="s">
        <v>268</v>
      </c>
      <c r="R2338" s="1" t="s">
        <v>16702</v>
      </c>
      <c r="S2338" s="1" t="s">
        <v>16703</v>
      </c>
      <c r="T2338" s="1" t="s">
        <v>16578</v>
      </c>
      <c r="U2338" s="1" t="s">
        <v>16704</v>
      </c>
      <c r="V2338" s="1">
        <v>1</v>
      </c>
      <c r="W2338" s="1">
        <v>1</v>
      </c>
      <c r="X2338" s="1">
        <v>0</v>
      </c>
      <c r="Y2338" s="1">
        <v>0</v>
      </c>
      <c r="Z2338" s="1">
        <v>0</v>
      </c>
      <c r="AA2338" s="1">
        <v>8</v>
      </c>
      <c r="AB2338" s="1">
        <v>8</v>
      </c>
      <c r="AC2338" s="1">
        <v>8</v>
      </c>
      <c r="AD2338" s="1" t="s">
        <v>109</v>
      </c>
      <c r="AE2338" s="1" t="s">
        <v>109</v>
      </c>
      <c r="AF2338" s="1" t="s">
        <v>109</v>
      </c>
      <c r="AG2338" s="1" t="s">
        <v>109</v>
      </c>
      <c r="AH2338" s="1" t="s">
        <v>109</v>
      </c>
      <c r="AI2338" s="1" t="s">
        <v>109</v>
      </c>
      <c r="AJ2338" s="1">
        <v>8</v>
      </c>
      <c r="AK2338" s="1" t="s">
        <v>109</v>
      </c>
      <c r="AL2338" s="1">
        <v>8</v>
      </c>
      <c r="AM2338" s="1" t="s">
        <v>109</v>
      </c>
      <c r="AN2338" s="1" t="s">
        <v>109</v>
      </c>
      <c r="AO2338" s="1" t="s">
        <v>109</v>
      </c>
      <c r="AP2338" s="1"/>
      <c r="AQ2338" s="1">
        <v>8</v>
      </c>
      <c r="AR2338" s="1"/>
      <c r="AS2338" s="1"/>
      <c r="AT2338" s="1">
        <v>0</v>
      </c>
      <c r="AU2338" s="1">
        <v>0</v>
      </c>
      <c r="AV2338" s="1">
        <v>0</v>
      </c>
      <c r="AW2338" s="1">
        <v>0</v>
      </c>
      <c r="AX2338" s="1">
        <v>0</v>
      </c>
      <c r="AY2338" s="1">
        <v>0</v>
      </c>
      <c r="AZ2338" s="1">
        <v>0</v>
      </c>
      <c r="BA2338" s="1">
        <v>0</v>
      </c>
      <c r="BB2338" s="1">
        <v>0</v>
      </c>
      <c r="BC2338" s="1">
        <v>0</v>
      </c>
      <c r="BD2338" s="1">
        <v>0</v>
      </c>
      <c r="BE2338" s="1">
        <v>0</v>
      </c>
      <c r="BF2338" s="1">
        <v>0</v>
      </c>
      <c r="BG2338" s="1">
        <v>0</v>
      </c>
      <c r="BH2338" s="1">
        <v>0</v>
      </c>
      <c r="BI2338" s="1">
        <v>0</v>
      </c>
      <c r="BJ2338" s="1">
        <v>0</v>
      </c>
      <c r="BK2338" s="1">
        <v>0</v>
      </c>
      <c r="BL2338" s="1">
        <v>0</v>
      </c>
      <c r="BM2338" s="1">
        <v>0</v>
      </c>
      <c r="BN2338" s="1">
        <v>0</v>
      </c>
      <c r="BO2338" s="1">
        <v>0</v>
      </c>
      <c r="BP2338" s="1">
        <v>1</v>
      </c>
      <c r="BQ2338" s="1">
        <v>0</v>
      </c>
      <c r="BR2338" s="1">
        <v>0</v>
      </c>
      <c r="BS2338" s="1" t="s">
        <v>109</v>
      </c>
      <c r="BT2338" s="1">
        <v>2429</v>
      </c>
      <c r="BU2338" s="1" t="s">
        <v>109</v>
      </c>
      <c r="BV2338" s="1"/>
      <c r="BW2338" s="1"/>
      <c r="BX2338" s="1"/>
      <c r="BY2338" s="1"/>
      <c r="BZ2338" s="1">
        <v>0</v>
      </c>
      <c r="CA2338" s="1" t="s">
        <v>109</v>
      </c>
      <c r="CB2338" s="1" t="s">
        <v>109</v>
      </c>
      <c r="CC2338" s="1" t="s">
        <v>109</v>
      </c>
      <c r="CD2338" s="1" t="s">
        <v>109</v>
      </c>
      <c r="CE2338" s="1" t="s">
        <v>109</v>
      </c>
      <c r="CF2338" s="1" t="s">
        <v>109</v>
      </c>
      <c r="CG2338" s="1" t="s">
        <v>109</v>
      </c>
      <c r="CH2338" s="1" t="s">
        <v>109</v>
      </c>
      <c r="CI2338" s="1" t="s">
        <v>109</v>
      </c>
      <c r="CJ2338" s="1" t="s">
        <v>109</v>
      </c>
      <c r="CK2338" s="1"/>
      <c r="CL2338" s="1">
        <v>0</v>
      </c>
      <c r="CM2338" s="1">
        <v>0</v>
      </c>
      <c r="CN2338" s="1">
        <v>0</v>
      </c>
    </row>
    <row r="2339" spans="1:92" ht="14.25" customHeight="1" x14ac:dyDescent="0.15">
      <c r="A2339" s="1" t="s">
        <v>16705</v>
      </c>
      <c r="B2339" s="1" t="s">
        <v>242</v>
      </c>
      <c r="C2339" s="1"/>
      <c r="D2339" s="1"/>
      <c r="E2339" s="1" t="s">
        <v>12289</v>
      </c>
      <c r="F2339" s="1" t="s">
        <v>355</v>
      </c>
      <c r="G2339" s="1" t="s">
        <v>16706</v>
      </c>
      <c r="H2339" s="1">
        <v>0</v>
      </c>
      <c r="I2339" s="1" t="s">
        <v>161</v>
      </c>
      <c r="J2339" s="1"/>
      <c r="K2339" s="1"/>
      <c r="L2339" s="1" t="s">
        <v>162</v>
      </c>
      <c r="M2339" s="1" t="s">
        <v>144</v>
      </c>
      <c r="N2339" s="1">
        <v>0</v>
      </c>
      <c r="O2339" s="1">
        <v>0</v>
      </c>
      <c r="P2339" s="1" t="s">
        <v>103</v>
      </c>
      <c r="Q2339" s="1" t="s">
        <v>104</v>
      </c>
      <c r="R2339" s="1" t="s">
        <v>16707</v>
      </c>
      <c r="S2339" s="1" t="s">
        <v>16708</v>
      </c>
      <c r="T2339" s="1" t="s">
        <v>16709</v>
      </c>
      <c r="U2339" s="1" t="s">
        <v>16710</v>
      </c>
      <c r="V2339" s="1">
        <v>1</v>
      </c>
      <c r="W2339" s="1">
        <v>1</v>
      </c>
      <c r="X2339" s="1">
        <v>1</v>
      </c>
      <c r="Y2339" s="1">
        <v>0</v>
      </c>
      <c r="Z2339" s="1">
        <v>1</v>
      </c>
      <c r="AA2339" s="1" t="s">
        <v>109</v>
      </c>
      <c r="AB2339" s="1" t="s">
        <v>109</v>
      </c>
      <c r="AC2339" s="1">
        <v>4</v>
      </c>
      <c r="AD2339" s="1" t="s">
        <v>109</v>
      </c>
      <c r="AE2339" s="1" t="s">
        <v>109</v>
      </c>
      <c r="AF2339" s="1" t="s">
        <v>109</v>
      </c>
      <c r="AG2339" s="1">
        <v>4</v>
      </c>
      <c r="AH2339" s="1" t="s">
        <v>109</v>
      </c>
      <c r="AI2339" s="1" t="s">
        <v>109</v>
      </c>
      <c r="AJ2339" s="1" t="s">
        <v>109</v>
      </c>
      <c r="AK2339" s="1" t="s">
        <v>109</v>
      </c>
      <c r="AL2339" s="1">
        <v>4</v>
      </c>
      <c r="AM2339" s="1" t="s">
        <v>109</v>
      </c>
      <c r="AN2339" s="1" t="s">
        <v>109</v>
      </c>
      <c r="AO2339" s="1" t="s">
        <v>109</v>
      </c>
      <c r="AP2339" s="1"/>
      <c r="AQ2339" s="1">
        <v>4</v>
      </c>
      <c r="AR2339" s="1"/>
      <c r="AS2339" s="1" t="s">
        <v>16711</v>
      </c>
      <c r="AT2339" s="1">
        <v>0</v>
      </c>
      <c r="AU2339" s="1">
        <v>0</v>
      </c>
      <c r="AV2339" s="1">
        <v>0</v>
      </c>
      <c r="AW2339" s="1">
        <v>0</v>
      </c>
      <c r="AX2339" s="1">
        <v>0</v>
      </c>
      <c r="AY2339" s="1">
        <v>0</v>
      </c>
      <c r="AZ2339" s="1">
        <v>0</v>
      </c>
      <c r="BA2339" s="1">
        <v>0</v>
      </c>
      <c r="BB2339" s="1">
        <v>0</v>
      </c>
      <c r="BC2339" s="1">
        <v>0</v>
      </c>
      <c r="BD2339" s="1">
        <v>0</v>
      </c>
      <c r="BE2339" s="1">
        <v>0</v>
      </c>
      <c r="BF2339" s="1">
        <v>0</v>
      </c>
      <c r="BG2339" s="1">
        <v>0</v>
      </c>
      <c r="BH2339" s="1">
        <v>0</v>
      </c>
      <c r="BI2339" s="1">
        <v>0</v>
      </c>
      <c r="BJ2339" s="1">
        <v>0</v>
      </c>
      <c r="BK2339" s="1">
        <v>0</v>
      </c>
      <c r="BL2339" s="1">
        <v>0</v>
      </c>
      <c r="BM2339" s="1">
        <v>0</v>
      </c>
      <c r="BN2339" s="1">
        <v>0</v>
      </c>
      <c r="BO2339" s="1">
        <v>0</v>
      </c>
      <c r="BP2339" s="1">
        <v>0</v>
      </c>
      <c r="BQ2339" s="1">
        <v>0</v>
      </c>
      <c r="BR2339" s="1">
        <v>0</v>
      </c>
      <c r="BS2339" s="1" t="s">
        <v>109</v>
      </c>
      <c r="BT2339" s="1">
        <v>2430</v>
      </c>
      <c r="BU2339" s="1" t="s">
        <v>109</v>
      </c>
      <c r="BV2339" s="1"/>
      <c r="BW2339" s="1"/>
      <c r="BX2339" s="1"/>
      <c r="BY2339" s="1"/>
      <c r="BZ2339" s="1">
        <v>0</v>
      </c>
      <c r="CA2339" s="1" t="s">
        <v>109</v>
      </c>
      <c r="CB2339" s="1" t="s">
        <v>109</v>
      </c>
      <c r="CC2339" s="1" t="s">
        <v>109</v>
      </c>
      <c r="CD2339" s="1" t="s">
        <v>109</v>
      </c>
      <c r="CE2339" s="1" t="s">
        <v>109</v>
      </c>
      <c r="CF2339" s="1" t="s">
        <v>109</v>
      </c>
      <c r="CG2339" s="1" t="s">
        <v>109</v>
      </c>
      <c r="CH2339" s="1" t="s">
        <v>109</v>
      </c>
      <c r="CI2339" s="1" t="s">
        <v>109</v>
      </c>
      <c r="CJ2339" s="1" t="s">
        <v>109</v>
      </c>
      <c r="CK2339" s="1"/>
      <c r="CL2339" s="1">
        <v>0</v>
      </c>
      <c r="CM2339" s="1">
        <v>0</v>
      </c>
      <c r="CN2339" s="1">
        <v>0</v>
      </c>
    </row>
    <row r="2340" spans="1:92" ht="14.25" customHeight="1" x14ac:dyDescent="0.15">
      <c r="A2340" s="1" t="s">
        <v>16712</v>
      </c>
      <c r="B2340" s="1" t="s">
        <v>254</v>
      </c>
      <c r="C2340" s="1"/>
      <c r="D2340" s="1" t="s">
        <v>47</v>
      </c>
      <c r="E2340" s="1" t="s">
        <v>16713</v>
      </c>
      <c r="F2340" s="1" t="s">
        <v>98</v>
      </c>
      <c r="G2340" s="1" t="s">
        <v>141</v>
      </c>
      <c r="H2340" s="1">
        <v>0</v>
      </c>
      <c r="I2340" s="1" t="s">
        <v>122</v>
      </c>
      <c r="J2340" s="1" t="s">
        <v>16714</v>
      </c>
      <c r="K2340" s="1"/>
      <c r="L2340" s="1"/>
      <c r="M2340" s="1" t="s">
        <v>289</v>
      </c>
      <c r="N2340" s="1">
        <v>0</v>
      </c>
      <c r="O2340" s="1">
        <v>0</v>
      </c>
      <c r="P2340" s="1" t="s">
        <v>103</v>
      </c>
      <c r="Q2340" s="1" t="s">
        <v>104</v>
      </c>
      <c r="R2340" s="1" t="s">
        <v>16715</v>
      </c>
      <c r="S2340" s="1" t="s">
        <v>16716</v>
      </c>
      <c r="T2340" s="1" t="s">
        <v>16709</v>
      </c>
      <c r="U2340" s="1" t="s">
        <v>16717</v>
      </c>
      <c r="V2340" s="1">
        <v>1</v>
      </c>
      <c r="W2340" s="1">
        <v>1</v>
      </c>
      <c r="X2340" s="1">
        <v>0</v>
      </c>
      <c r="Y2340" s="1">
        <v>0</v>
      </c>
      <c r="Z2340" s="1">
        <v>0</v>
      </c>
      <c r="AA2340" s="1" t="s">
        <v>109</v>
      </c>
      <c r="AB2340" s="1" t="s">
        <v>109</v>
      </c>
      <c r="AC2340" s="1" t="s">
        <v>109</v>
      </c>
      <c r="AD2340" s="1">
        <v>4</v>
      </c>
      <c r="AE2340" s="1">
        <v>3</v>
      </c>
      <c r="AF2340" s="1" t="s">
        <v>109</v>
      </c>
      <c r="AG2340" s="1" t="s">
        <v>109</v>
      </c>
      <c r="AH2340" s="1" t="s">
        <v>109</v>
      </c>
      <c r="AI2340" s="1" t="s">
        <v>109</v>
      </c>
      <c r="AJ2340" s="1" t="s">
        <v>109</v>
      </c>
      <c r="AK2340" s="1">
        <v>4</v>
      </c>
      <c r="AL2340" s="1" t="s">
        <v>109</v>
      </c>
      <c r="AM2340" s="1" t="s">
        <v>109</v>
      </c>
      <c r="AN2340" s="1" t="s">
        <v>109</v>
      </c>
      <c r="AO2340" s="1" t="s">
        <v>109</v>
      </c>
      <c r="AP2340" s="1"/>
      <c r="AQ2340" s="1">
        <v>4</v>
      </c>
      <c r="AR2340" s="1"/>
      <c r="AS2340" s="1" t="s">
        <v>16718</v>
      </c>
      <c r="AT2340" s="1">
        <v>0</v>
      </c>
      <c r="AU2340" s="1">
        <v>1</v>
      </c>
      <c r="AV2340" s="1">
        <v>0</v>
      </c>
      <c r="AW2340" s="1">
        <v>0</v>
      </c>
      <c r="AX2340" s="1">
        <v>0</v>
      </c>
      <c r="AY2340" s="1">
        <v>0</v>
      </c>
      <c r="AZ2340" s="1">
        <v>0</v>
      </c>
      <c r="BA2340" s="1">
        <v>0</v>
      </c>
      <c r="BB2340" s="1">
        <v>0</v>
      </c>
      <c r="BC2340" s="1">
        <v>0</v>
      </c>
      <c r="BD2340" s="1">
        <v>0</v>
      </c>
      <c r="BE2340" s="1">
        <v>0</v>
      </c>
      <c r="BF2340" s="1">
        <v>0</v>
      </c>
      <c r="BG2340" s="1">
        <v>0</v>
      </c>
      <c r="BH2340" s="1">
        <v>0</v>
      </c>
      <c r="BI2340" s="1">
        <v>0</v>
      </c>
      <c r="BJ2340" s="1">
        <v>0</v>
      </c>
      <c r="BK2340" s="1">
        <v>0</v>
      </c>
      <c r="BL2340" s="1">
        <v>0</v>
      </c>
      <c r="BM2340" s="1">
        <v>0</v>
      </c>
      <c r="BN2340" s="1">
        <v>0</v>
      </c>
      <c r="BO2340" s="1">
        <v>0</v>
      </c>
      <c r="BP2340" s="1">
        <v>0</v>
      </c>
      <c r="BQ2340" s="1">
        <v>0</v>
      </c>
      <c r="BR2340" s="1">
        <v>0</v>
      </c>
      <c r="BS2340" s="1" t="s">
        <v>109</v>
      </c>
      <c r="BT2340" s="1">
        <v>2431</v>
      </c>
      <c r="BU2340" s="1" t="s">
        <v>109</v>
      </c>
      <c r="BV2340" s="1"/>
      <c r="BW2340" s="1"/>
      <c r="BX2340" s="1"/>
      <c r="BY2340" s="1"/>
      <c r="BZ2340" s="1">
        <v>0</v>
      </c>
      <c r="CA2340" s="1" t="s">
        <v>109</v>
      </c>
      <c r="CB2340" s="1">
        <v>4</v>
      </c>
      <c r="CC2340" s="1" t="s">
        <v>109</v>
      </c>
      <c r="CD2340" s="1" t="s">
        <v>109</v>
      </c>
      <c r="CE2340" s="1" t="s">
        <v>109</v>
      </c>
      <c r="CF2340" s="1" t="s">
        <v>109</v>
      </c>
      <c r="CG2340" s="1" t="s">
        <v>109</v>
      </c>
      <c r="CH2340" s="1" t="s">
        <v>109</v>
      </c>
      <c r="CI2340" s="1" t="s">
        <v>109</v>
      </c>
      <c r="CJ2340" s="1">
        <v>3</v>
      </c>
      <c r="CK2340" s="1"/>
      <c r="CL2340" s="1">
        <v>0</v>
      </c>
      <c r="CM2340" s="1">
        <v>0</v>
      </c>
      <c r="CN2340" s="1">
        <v>0</v>
      </c>
    </row>
    <row r="2341" spans="1:92" ht="14.25" customHeight="1" x14ac:dyDescent="0.15">
      <c r="A2341" s="1" t="s">
        <v>16719</v>
      </c>
      <c r="B2341" s="1" t="s">
        <v>156</v>
      </c>
      <c r="C2341" s="1" t="s">
        <v>157</v>
      </c>
      <c r="D2341" s="1" t="s">
        <v>158</v>
      </c>
      <c r="E2341" s="1" t="s">
        <v>16720</v>
      </c>
      <c r="F2341" s="1" t="s">
        <v>395</v>
      </c>
      <c r="G2341" s="1" t="s">
        <v>278</v>
      </c>
      <c r="H2341" s="1">
        <v>0</v>
      </c>
      <c r="I2341" s="1" t="s">
        <v>142</v>
      </c>
      <c r="J2341" s="1"/>
      <c r="K2341" s="1"/>
      <c r="L2341" s="1" t="s">
        <v>16721</v>
      </c>
      <c r="M2341" s="1" t="s">
        <v>16722</v>
      </c>
      <c r="N2341" s="1">
        <v>0</v>
      </c>
      <c r="O2341" s="1">
        <v>0</v>
      </c>
      <c r="P2341" s="1" t="s">
        <v>8111</v>
      </c>
      <c r="Q2341" s="1" t="s">
        <v>104</v>
      </c>
      <c r="R2341" s="1" t="s">
        <v>16723</v>
      </c>
      <c r="S2341" s="1" t="s">
        <v>16724</v>
      </c>
      <c r="T2341" s="1" t="s">
        <v>16709</v>
      </c>
      <c r="U2341" s="1" t="s">
        <v>16725</v>
      </c>
      <c r="V2341" s="1">
        <v>1</v>
      </c>
      <c r="W2341" s="1">
        <v>1</v>
      </c>
      <c r="X2341" s="1">
        <v>1</v>
      </c>
      <c r="Y2341" s="1">
        <v>0</v>
      </c>
      <c r="Z2341" s="1">
        <v>0</v>
      </c>
      <c r="AA2341" s="1" t="s">
        <v>109</v>
      </c>
      <c r="AB2341" s="1" t="s">
        <v>109</v>
      </c>
      <c r="AC2341" s="1" t="s">
        <v>109</v>
      </c>
      <c r="AD2341" s="1">
        <v>4</v>
      </c>
      <c r="AE2341" s="1">
        <v>3</v>
      </c>
      <c r="AF2341" s="1">
        <v>4</v>
      </c>
      <c r="AG2341" s="1" t="s">
        <v>109</v>
      </c>
      <c r="AH2341" s="1" t="s">
        <v>109</v>
      </c>
      <c r="AI2341" s="1" t="s">
        <v>109</v>
      </c>
      <c r="AJ2341" s="1" t="s">
        <v>109</v>
      </c>
      <c r="AK2341" s="1" t="s">
        <v>109</v>
      </c>
      <c r="AL2341" s="1" t="s">
        <v>109</v>
      </c>
      <c r="AM2341" s="1" t="s">
        <v>109</v>
      </c>
      <c r="AN2341" s="1" t="s">
        <v>109</v>
      </c>
      <c r="AO2341" s="1" t="s">
        <v>109</v>
      </c>
      <c r="AP2341" s="1"/>
      <c r="AQ2341" s="1">
        <v>4</v>
      </c>
      <c r="AR2341" s="1"/>
      <c r="AS2341" s="1" t="s">
        <v>16726</v>
      </c>
      <c r="AT2341" s="1">
        <v>0</v>
      </c>
      <c r="AU2341" s="1">
        <v>0</v>
      </c>
      <c r="AV2341" s="1">
        <v>0</v>
      </c>
      <c r="AW2341" s="1">
        <v>0</v>
      </c>
      <c r="AX2341" s="1">
        <v>0</v>
      </c>
      <c r="AY2341" s="1">
        <v>0</v>
      </c>
      <c r="AZ2341" s="1">
        <v>0</v>
      </c>
      <c r="BA2341" s="1">
        <v>0</v>
      </c>
      <c r="BB2341" s="1">
        <v>0</v>
      </c>
      <c r="BC2341" s="1">
        <v>0</v>
      </c>
      <c r="BD2341" s="1">
        <v>0</v>
      </c>
      <c r="BE2341" s="1">
        <v>0</v>
      </c>
      <c r="BF2341" s="1">
        <v>0</v>
      </c>
      <c r="BG2341" s="1">
        <v>0</v>
      </c>
      <c r="BH2341" s="1">
        <v>0</v>
      </c>
      <c r="BI2341" s="1">
        <v>0</v>
      </c>
      <c r="BJ2341" s="1">
        <v>0</v>
      </c>
      <c r="BK2341" s="1">
        <v>0</v>
      </c>
      <c r="BL2341" s="1">
        <v>0</v>
      </c>
      <c r="BM2341" s="1">
        <v>1</v>
      </c>
      <c r="BN2341" s="1">
        <v>0</v>
      </c>
      <c r="BO2341" s="1">
        <v>0</v>
      </c>
      <c r="BP2341" s="1">
        <v>0</v>
      </c>
      <c r="BQ2341" s="1">
        <v>0</v>
      </c>
      <c r="BR2341" s="1">
        <v>0</v>
      </c>
      <c r="BS2341" s="1" t="s">
        <v>109</v>
      </c>
      <c r="BT2341" s="1">
        <v>2432</v>
      </c>
      <c r="BU2341" s="1" t="s">
        <v>109</v>
      </c>
      <c r="BV2341" s="1"/>
      <c r="BW2341" s="1"/>
      <c r="BX2341" s="1"/>
      <c r="BY2341" s="1"/>
      <c r="BZ2341" s="1">
        <v>0</v>
      </c>
      <c r="CA2341" s="1" t="s">
        <v>109</v>
      </c>
      <c r="CB2341" s="1">
        <v>4</v>
      </c>
      <c r="CC2341" s="1" t="s">
        <v>109</v>
      </c>
      <c r="CD2341" s="1" t="s">
        <v>109</v>
      </c>
      <c r="CE2341" s="1" t="s">
        <v>109</v>
      </c>
      <c r="CF2341" s="1" t="s">
        <v>109</v>
      </c>
      <c r="CG2341" s="1" t="s">
        <v>109</v>
      </c>
      <c r="CH2341" s="1" t="s">
        <v>109</v>
      </c>
      <c r="CI2341" s="1" t="s">
        <v>109</v>
      </c>
      <c r="CJ2341" s="1">
        <v>3</v>
      </c>
      <c r="CK2341" s="1"/>
      <c r="CL2341" s="1">
        <v>0</v>
      </c>
      <c r="CM2341" s="1">
        <v>0</v>
      </c>
      <c r="CN2341" s="1">
        <v>0</v>
      </c>
    </row>
    <row r="2342" spans="1:92" ht="14.25" customHeight="1" x14ac:dyDescent="0.15">
      <c r="A2342" s="1" t="s">
        <v>16727</v>
      </c>
      <c r="B2342" s="1" t="s">
        <v>156</v>
      </c>
      <c r="C2342" s="1" t="s">
        <v>157</v>
      </c>
      <c r="D2342" s="1" t="s">
        <v>158</v>
      </c>
      <c r="E2342" s="1" t="s">
        <v>16728</v>
      </c>
      <c r="F2342" s="1" t="s">
        <v>98</v>
      </c>
      <c r="G2342" s="1" t="s">
        <v>141</v>
      </c>
      <c r="H2342" s="1">
        <v>0</v>
      </c>
      <c r="I2342" s="1" t="s">
        <v>16729</v>
      </c>
      <c r="J2342" s="1"/>
      <c r="K2342" s="1"/>
      <c r="L2342" s="1" t="s">
        <v>1391</v>
      </c>
      <c r="M2342" s="1" t="s">
        <v>125</v>
      </c>
      <c r="N2342" s="1">
        <v>0</v>
      </c>
      <c r="O2342" s="1">
        <v>0</v>
      </c>
      <c r="P2342" s="1" t="s">
        <v>2475</v>
      </c>
      <c r="Q2342" s="1" t="s">
        <v>268</v>
      </c>
      <c r="R2342" s="1" t="s">
        <v>16730</v>
      </c>
      <c r="S2342" s="1" t="s">
        <v>16731</v>
      </c>
      <c r="T2342" s="1" t="s">
        <v>16709</v>
      </c>
      <c r="U2342" s="1" t="s">
        <v>16732</v>
      </c>
      <c r="V2342" s="1">
        <v>1</v>
      </c>
      <c r="W2342" s="1">
        <v>1</v>
      </c>
      <c r="X2342" s="1">
        <v>0</v>
      </c>
      <c r="Y2342" s="1">
        <v>0</v>
      </c>
      <c r="Z2342" s="1">
        <v>0</v>
      </c>
      <c r="AA2342" s="1">
        <v>1</v>
      </c>
      <c r="AB2342" s="1">
        <v>1</v>
      </c>
      <c r="AC2342" s="1" t="s">
        <v>109</v>
      </c>
      <c r="AD2342" s="1" t="s">
        <v>109</v>
      </c>
      <c r="AE2342" s="1" t="s">
        <v>109</v>
      </c>
      <c r="AF2342" s="1">
        <v>1</v>
      </c>
      <c r="AG2342" s="1" t="s">
        <v>109</v>
      </c>
      <c r="AH2342" s="1" t="s">
        <v>109</v>
      </c>
      <c r="AI2342" s="1" t="s">
        <v>109</v>
      </c>
      <c r="AJ2342" s="1">
        <v>1</v>
      </c>
      <c r="AK2342" s="1" t="s">
        <v>109</v>
      </c>
      <c r="AL2342" s="1" t="s">
        <v>109</v>
      </c>
      <c r="AM2342" s="1" t="s">
        <v>109</v>
      </c>
      <c r="AN2342" s="1" t="s">
        <v>109</v>
      </c>
      <c r="AO2342" s="1" t="s">
        <v>109</v>
      </c>
      <c r="AP2342" s="1"/>
      <c r="AQ2342" s="1">
        <v>1</v>
      </c>
      <c r="AR2342" s="1"/>
      <c r="AS2342" s="1" t="s">
        <v>16733</v>
      </c>
      <c r="AT2342" s="1">
        <v>0</v>
      </c>
      <c r="AU2342" s="1">
        <v>0</v>
      </c>
      <c r="AV2342" s="1">
        <v>0</v>
      </c>
      <c r="AW2342" s="1">
        <v>0</v>
      </c>
      <c r="AX2342" s="1">
        <v>0</v>
      </c>
      <c r="AY2342" s="1">
        <v>0</v>
      </c>
      <c r="AZ2342" s="1">
        <v>0</v>
      </c>
      <c r="BA2342" s="1">
        <v>0</v>
      </c>
      <c r="BB2342" s="1">
        <v>0</v>
      </c>
      <c r="BC2342" s="1">
        <v>0</v>
      </c>
      <c r="BD2342" s="1">
        <v>0</v>
      </c>
      <c r="BE2342" s="1">
        <v>0</v>
      </c>
      <c r="BF2342" s="1">
        <v>0</v>
      </c>
      <c r="BG2342" s="1">
        <v>0</v>
      </c>
      <c r="BH2342" s="1">
        <v>0</v>
      </c>
      <c r="BI2342" s="1">
        <v>0</v>
      </c>
      <c r="BJ2342" s="1">
        <v>0</v>
      </c>
      <c r="BK2342" s="1">
        <v>0</v>
      </c>
      <c r="BL2342" s="1">
        <v>0</v>
      </c>
      <c r="BM2342" s="1">
        <v>1</v>
      </c>
      <c r="BN2342" s="1">
        <v>0</v>
      </c>
      <c r="BO2342" s="1">
        <v>0</v>
      </c>
      <c r="BP2342" s="1">
        <v>0</v>
      </c>
      <c r="BQ2342" s="1">
        <v>0</v>
      </c>
      <c r="BR2342" s="1">
        <v>0</v>
      </c>
      <c r="BS2342" s="1" t="s">
        <v>109</v>
      </c>
      <c r="BT2342" s="1">
        <v>2433</v>
      </c>
      <c r="BU2342" s="1" t="s">
        <v>109</v>
      </c>
      <c r="BV2342" s="1"/>
      <c r="BW2342" s="1"/>
      <c r="BX2342" s="1"/>
      <c r="BY2342" s="1"/>
      <c r="BZ2342" s="1">
        <v>0</v>
      </c>
      <c r="CA2342" s="1" t="s">
        <v>109</v>
      </c>
      <c r="CB2342" s="1" t="s">
        <v>109</v>
      </c>
      <c r="CC2342" s="1">
        <v>1</v>
      </c>
      <c r="CD2342" s="1" t="s">
        <v>109</v>
      </c>
      <c r="CE2342" s="1">
        <v>1</v>
      </c>
      <c r="CF2342" s="1" t="s">
        <v>109</v>
      </c>
      <c r="CG2342" s="1" t="s">
        <v>109</v>
      </c>
      <c r="CH2342" s="1" t="s">
        <v>109</v>
      </c>
      <c r="CI2342" s="1" t="s">
        <v>109</v>
      </c>
      <c r="CJ2342" s="1" t="s">
        <v>109</v>
      </c>
      <c r="CK2342" s="1"/>
      <c r="CL2342" s="1">
        <v>0</v>
      </c>
      <c r="CM2342" s="1">
        <v>0</v>
      </c>
      <c r="CN2342" s="1">
        <v>0</v>
      </c>
    </row>
    <row r="2343" spans="1:92" ht="14.25" customHeight="1" x14ac:dyDescent="0.15">
      <c r="A2343" s="1" t="s">
        <v>16734</v>
      </c>
      <c r="B2343" s="1" t="s">
        <v>674</v>
      </c>
      <c r="C2343" s="1" t="s">
        <v>1715</v>
      </c>
      <c r="D2343" s="1" t="s">
        <v>158</v>
      </c>
      <c r="E2343" s="1" t="s">
        <v>16735</v>
      </c>
      <c r="F2343" s="1" t="s">
        <v>98</v>
      </c>
      <c r="G2343" s="1" t="s">
        <v>2345</v>
      </c>
      <c r="H2343" s="1">
        <v>0</v>
      </c>
      <c r="I2343" s="1" t="s">
        <v>100</v>
      </c>
      <c r="J2343" s="1"/>
      <c r="K2343" s="1"/>
      <c r="L2343" s="1" t="s">
        <v>716</v>
      </c>
      <c r="M2343" s="1" t="s">
        <v>300</v>
      </c>
      <c r="N2343" s="1">
        <v>0</v>
      </c>
      <c r="O2343" s="1">
        <v>0</v>
      </c>
      <c r="P2343" s="1" t="s">
        <v>2304</v>
      </c>
      <c r="Q2343" s="1" t="s">
        <v>268</v>
      </c>
      <c r="R2343" s="1" t="s">
        <v>16736</v>
      </c>
      <c r="S2343" s="1" t="s">
        <v>16737</v>
      </c>
      <c r="T2343" s="1" t="s">
        <v>16709</v>
      </c>
      <c r="U2343" s="1" t="s">
        <v>16738</v>
      </c>
      <c r="V2343" s="1">
        <v>0</v>
      </c>
      <c r="W2343" s="1">
        <v>1</v>
      </c>
      <c r="X2343" s="1">
        <v>0</v>
      </c>
      <c r="Y2343" s="1">
        <v>0</v>
      </c>
      <c r="Z2343" s="1">
        <v>0</v>
      </c>
      <c r="AA2343" s="1">
        <v>1</v>
      </c>
      <c r="AB2343" s="1">
        <v>1</v>
      </c>
      <c r="AC2343" s="1" t="s">
        <v>109</v>
      </c>
      <c r="AD2343" s="1" t="s">
        <v>109</v>
      </c>
      <c r="AE2343" s="1" t="s">
        <v>109</v>
      </c>
      <c r="AF2343" s="1">
        <v>1</v>
      </c>
      <c r="AG2343" s="1" t="s">
        <v>109</v>
      </c>
      <c r="AH2343" s="1" t="s">
        <v>109</v>
      </c>
      <c r="AI2343" s="1" t="s">
        <v>109</v>
      </c>
      <c r="AJ2343" s="1" t="s">
        <v>109</v>
      </c>
      <c r="AK2343" s="1" t="s">
        <v>109</v>
      </c>
      <c r="AL2343" s="1" t="s">
        <v>109</v>
      </c>
      <c r="AM2343" s="1" t="s">
        <v>109</v>
      </c>
      <c r="AN2343" s="1">
        <v>1</v>
      </c>
      <c r="AO2343" s="1" t="s">
        <v>109</v>
      </c>
      <c r="AP2343" s="1"/>
      <c r="AQ2343" s="1">
        <v>1</v>
      </c>
      <c r="AR2343" s="1"/>
      <c r="AS2343" s="1" t="s">
        <v>16739</v>
      </c>
      <c r="AT2343" s="1">
        <v>0</v>
      </c>
      <c r="AU2343" s="1">
        <v>0</v>
      </c>
      <c r="AV2343" s="1">
        <v>0</v>
      </c>
      <c r="AW2343" s="1">
        <v>0</v>
      </c>
      <c r="AX2343" s="1">
        <v>0</v>
      </c>
      <c r="AY2343" s="1">
        <v>0</v>
      </c>
      <c r="AZ2343" s="1">
        <v>0</v>
      </c>
      <c r="BA2343" s="1">
        <v>0</v>
      </c>
      <c r="BB2343" s="1">
        <v>0</v>
      </c>
      <c r="BC2343" s="1">
        <v>0</v>
      </c>
      <c r="BD2343" s="1">
        <v>0</v>
      </c>
      <c r="BE2343" s="1">
        <v>0</v>
      </c>
      <c r="BF2343" s="1">
        <v>0</v>
      </c>
      <c r="BG2343" s="1">
        <v>0</v>
      </c>
      <c r="BH2343" s="1">
        <v>0</v>
      </c>
      <c r="BI2343" s="1">
        <v>0</v>
      </c>
      <c r="BJ2343" s="1">
        <v>0</v>
      </c>
      <c r="BK2343" s="1">
        <v>0</v>
      </c>
      <c r="BL2343" s="1">
        <v>0</v>
      </c>
      <c r="BM2343" s="1">
        <v>1</v>
      </c>
      <c r="BN2343" s="1">
        <v>0</v>
      </c>
      <c r="BO2343" s="1">
        <v>0</v>
      </c>
      <c r="BP2343" s="1">
        <v>0</v>
      </c>
      <c r="BQ2343" s="1">
        <v>0</v>
      </c>
      <c r="BR2343" s="1">
        <v>0</v>
      </c>
      <c r="BS2343" s="1" t="s">
        <v>109</v>
      </c>
      <c r="BT2343" s="1">
        <v>2434</v>
      </c>
      <c r="BU2343" s="1" t="s">
        <v>109</v>
      </c>
      <c r="BV2343" s="1"/>
      <c r="BW2343" s="1"/>
      <c r="BX2343" s="1"/>
      <c r="BY2343" s="1"/>
      <c r="BZ2343" s="1">
        <v>0</v>
      </c>
      <c r="CA2343" s="1" t="s">
        <v>109</v>
      </c>
      <c r="CB2343" s="1" t="s">
        <v>109</v>
      </c>
      <c r="CC2343" s="1">
        <v>1</v>
      </c>
      <c r="CD2343" s="1">
        <v>1</v>
      </c>
      <c r="CE2343" s="1">
        <v>1</v>
      </c>
      <c r="CF2343" s="1">
        <v>1</v>
      </c>
      <c r="CG2343" s="1" t="s">
        <v>109</v>
      </c>
      <c r="CH2343" s="1" t="s">
        <v>109</v>
      </c>
      <c r="CI2343" s="1" t="s">
        <v>109</v>
      </c>
      <c r="CJ2343" s="1" t="s">
        <v>109</v>
      </c>
      <c r="CK2343" s="1"/>
      <c r="CL2343" s="1">
        <v>0</v>
      </c>
      <c r="CM2343" s="1">
        <v>0</v>
      </c>
      <c r="CN2343" s="1">
        <v>0</v>
      </c>
    </row>
    <row r="2344" spans="1:92" ht="14.25" customHeight="1" x14ac:dyDescent="0.15">
      <c r="A2344" s="1" t="s">
        <v>16740</v>
      </c>
      <c r="B2344" s="1" t="s">
        <v>674</v>
      </c>
      <c r="C2344" s="1" t="s">
        <v>1715</v>
      </c>
      <c r="D2344" s="1" t="s">
        <v>158</v>
      </c>
      <c r="E2344" s="1" t="s">
        <v>16741</v>
      </c>
      <c r="F2344" s="1" t="s">
        <v>98</v>
      </c>
      <c r="G2344" s="1" t="s">
        <v>2345</v>
      </c>
      <c r="H2344" s="1">
        <v>0</v>
      </c>
      <c r="I2344" s="1" t="s">
        <v>100</v>
      </c>
      <c r="J2344" s="1"/>
      <c r="K2344" s="1"/>
      <c r="L2344" s="1" t="s">
        <v>716</v>
      </c>
      <c r="M2344" s="1" t="s">
        <v>16742</v>
      </c>
      <c r="N2344" s="1">
        <v>1</v>
      </c>
      <c r="O2344" s="1">
        <v>0</v>
      </c>
      <c r="P2344" s="1" t="s">
        <v>2304</v>
      </c>
      <c r="Q2344" s="1" t="s">
        <v>268</v>
      </c>
      <c r="R2344" s="1" t="s">
        <v>16743</v>
      </c>
      <c r="S2344" s="1" t="s">
        <v>16744</v>
      </c>
      <c r="T2344" s="1" t="s">
        <v>16709</v>
      </c>
      <c r="U2344" s="1" t="s">
        <v>16745</v>
      </c>
      <c r="V2344" s="1">
        <v>0</v>
      </c>
      <c r="W2344" s="1">
        <v>1</v>
      </c>
      <c r="X2344" s="1">
        <v>0</v>
      </c>
      <c r="Y2344" s="1">
        <v>0</v>
      </c>
      <c r="Z2344" s="1">
        <v>0</v>
      </c>
      <c r="AA2344" s="1">
        <v>3</v>
      </c>
      <c r="AB2344" s="1">
        <v>3</v>
      </c>
      <c r="AC2344" s="1" t="s">
        <v>109</v>
      </c>
      <c r="AD2344" s="1" t="s">
        <v>109</v>
      </c>
      <c r="AE2344" s="1" t="s">
        <v>109</v>
      </c>
      <c r="AF2344" s="1">
        <v>3</v>
      </c>
      <c r="AG2344" s="1" t="s">
        <v>109</v>
      </c>
      <c r="AH2344" s="1" t="s">
        <v>109</v>
      </c>
      <c r="AI2344" s="1" t="s">
        <v>109</v>
      </c>
      <c r="AJ2344" s="1" t="s">
        <v>109</v>
      </c>
      <c r="AK2344" s="1" t="s">
        <v>109</v>
      </c>
      <c r="AL2344" s="1" t="s">
        <v>109</v>
      </c>
      <c r="AM2344" s="1" t="s">
        <v>109</v>
      </c>
      <c r="AN2344" s="1">
        <v>3</v>
      </c>
      <c r="AO2344" s="1" t="s">
        <v>109</v>
      </c>
      <c r="AP2344" s="1"/>
      <c r="AQ2344" s="1">
        <v>3</v>
      </c>
      <c r="AR2344" s="1"/>
      <c r="AS2344" s="1" t="s">
        <v>16746</v>
      </c>
      <c r="AT2344" s="1">
        <v>0</v>
      </c>
      <c r="AU2344" s="1">
        <v>0</v>
      </c>
      <c r="AV2344" s="1">
        <v>0</v>
      </c>
      <c r="AW2344" s="1">
        <v>0</v>
      </c>
      <c r="AX2344" s="1">
        <v>0</v>
      </c>
      <c r="AY2344" s="1">
        <v>0</v>
      </c>
      <c r="AZ2344" s="1">
        <v>0</v>
      </c>
      <c r="BA2344" s="1">
        <v>0</v>
      </c>
      <c r="BB2344" s="1">
        <v>0</v>
      </c>
      <c r="BC2344" s="1">
        <v>0</v>
      </c>
      <c r="BD2344" s="1">
        <v>0</v>
      </c>
      <c r="BE2344" s="1">
        <v>0</v>
      </c>
      <c r="BF2344" s="1">
        <v>0</v>
      </c>
      <c r="BG2344" s="1">
        <v>0</v>
      </c>
      <c r="BH2344" s="1">
        <v>0</v>
      </c>
      <c r="BI2344" s="1">
        <v>0</v>
      </c>
      <c r="BJ2344" s="1">
        <v>0</v>
      </c>
      <c r="BK2344" s="1">
        <v>0</v>
      </c>
      <c r="BL2344" s="1">
        <v>0</v>
      </c>
      <c r="BM2344" s="1">
        <v>1</v>
      </c>
      <c r="BN2344" s="1">
        <v>0</v>
      </c>
      <c r="BO2344" s="1">
        <v>0</v>
      </c>
      <c r="BP2344" s="1">
        <v>0</v>
      </c>
      <c r="BQ2344" s="1">
        <v>0</v>
      </c>
      <c r="BR2344" s="1">
        <v>0</v>
      </c>
      <c r="BS2344" s="1" t="s">
        <v>109</v>
      </c>
      <c r="BT2344" s="1">
        <v>2435</v>
      </c>
      <c r="BU2344" s="1" t="s">
        <v>109</v>
      </c>
      <c r="BV2344" s="1"/>
      <c r="BW2344" s="1"/>
      <c r="BX2344" s="1"/>
      <c r="BY2344" s="1"/>
      <c r="BZ2344" s="1">
        <v>0</v>
      </c>
      <c r="CA2344" s="1" t="s">
        <v>109</v>
      </c>
      <c r="CB2344" s="1" t="s">
        <v>109</v>
      </c>
      <c r="CC2344" s="1">
        <v>3</v>
      </c>
      <c r="CD2344" s="1">
        <v>2</v>
      </c>
      <c r="CE2344" s="1">
        <v>3</v>
      </c>
      <c r="CF2344" s="1">
        <v>3</v>
      </c>
      <c r="CG2344" s="1" t="s">
        <v>109</v>
      </c>
      <c r="CH2344" s="1" t="s">
        <v>109</v>
      </c>
      <c r="CI2344" s="1" t="s">
        <v>109</v>
      </c>
      <c r="CJ2344" s="1" t="s">
        <v>109</v>
      </c>
      <c r="CK2344" s="1"/>
      <c r="CL2344" s="1">
        <v>0</v>
      </c>
      <c r="CM2344" s="1">
        <v>0</v>
      </c>
      <c r="CN2344" s="1">
        <v>0</v>
      </c>
    </row>
    <row r="2345" spans="1:92" ht="14.25" customHeight="1" x14ac:dyDescent="0.15">
      <c r="A2345" s="1" t="s">
        <v>16747</v>
      </c>
      <c r="B2345" s="1" t="s">
        <v>156</v>
      </c>
      <c r="C2345" s="1" t="s">
        <v>157</v>
      </c>
      <c r="D2345" s="1" t="s">
        <v>158</v>
      </c>
      <c r="E2345" s="1" t="s">
        <v>16748</v>
      </c>
      <c r="F2345" s="1" t="s">
        <v>98</v>
      </c>
      <c r="G2345" s="1" t="s">
        <v>16749</v>
      </c>
      <c r="H2345" s="1">
        <v>0</v>
      </c>
      <c r="I2345" s="1" t="s">
        <v>1192</v>
      </c>
      <c r="J2345" s="1"/>
      <c r="K2345" s="1"/>
      <c r="L2345" s="1" t="s">
        <v>16750</v>
      </c>
      <c r="M2345" s="1" t="s">
        <v>16751</v>
      </c>
      <c r="N2345" s="1">
        <v>1</v>
      </c>
      <c r="O2345" s="1">
        <v>0</v>
      </c>
      <c r="P2345" s="1" t="s">
        <v>301</v>
      </c>
      <c r="Q2345" s="1" t="s">
        <v>268</v>
      </c>
      <c r="R2345" s="1" t="s">
        <v>16752</v>
      </c>
      <c r="S2345" s="1" t="s">
        <v>16753</v>
      </c>
      <c r="T2345" s="1" t="s">
        <v>16709</v>
      </c>
      <c r="U2345" s="1" t="s">
        <v>16754</v>
      </c>
      <c r="V2345" s="1">
        <v>1</v>
      </c>
      <c r="W2345" s="1">
        <v>1</v>
      </c>
      <c r="X2345" s="1">
        <v>1</v>
      </c>
      <c r="Y2345" s="1">
        <v>0</v>
      </c>
      <c r="Z2345" s="1">
        <v>0</v>
      </c>
      <c r="AA2345" s="1">
        <v>4</v>
      </c>
      <c r="AB2345" s="1">
        <v>4</v>
      </c>
      <c r="AC2345" s="1" t="s">
        <v>109</v>
      </c>
      <c r="AD2345" s="1" t="s">
        <v>109</v>
      </c>
      <c r="AE2345" s="1" t="s">
        <v>109</v>
      </c>
      <c r="AF2345" s="1">
        <v>3</v>
      </c>
      <c r="AG2345" s="1" t="s">
        <v>109</v>
      </c>
      <c r="AH2345" s="1" t="s">
        <v>109</v>
      </c>
      <c r="AI2345" s="1" t="s">
        <v>109</v>
      </c>
      <c r="AJ2345" s="1" t="s">
        <v>109</v>
      </c>
      <c r="AK2345" s="1" t="s">
        <v>109</v>
      </c>
      <c r="AL2345" s="1" t="s">
        <v>109</v>
      </c>
      <c r="AM2345" s="1" t="s">
        <v>109</v>
      </c>
      <c r="AN2345" s="1" t="s">
        <v>109</v>
      </c>
      <c r="AO2345" s="1" t="s">
        <v>109</v>
      </c>
      <c r="AP2345" s="1"/>
      <c r="AQ2345" s="1">
        <v>4</v>
      </c>
      <c r="AR2345" s="1"/>
      <c r="AS2345" s="1" t="s">
        <v>16755</v>
      </c>
      <c r="AT2345" s="1">
        <v>0</v>
      </c>
      <c r="AU2345" s="1">
        <v>0</v>
      </c>
      <c r="AV2345" s="1">
        <v>0</v>
      </c>
      <c r="AW2345" s="1">
        <v>0</v>
      </c>
      <c r="AX2345" s="1">
        <v>0</v>
      </c>
      <c r="AY2345" s="1">
        <v>0</v>
      </c>
      <c r="AZ2345" s="1">
        <v>0</v>
      </c>
      <c r="BA2345" s="1">
        <v>0</v>
      </c>
      <c r="BB2345" s="1">
        <v>0</v>
      </c>
      <c r="BC2345" s="1">
        <v>0</v>
      </c>
      <c r="BD2345" s="1">
        <v>0</v>
      </c>
      <c r="BE2345" s="1">
        <v>0</v>
      </c>
      <c r="BF2345" s="1">
        <v>0</v>
      </c>
      <c r="BG2345" s="1">
        <v>0</v>
      </c>
      <c r="BH2345" s="1">
        <v>0</v>
      </c>
      <c r="BI2345" s="1">
        <v>0</v>
      </c>
      <c r="BJ2345" s="1">
        <v>0</v>
      </c>
      <c r="BK2345" s="1">
        <v>0</v>
      </c>
      <c r="BL2345" s="1">
        <v>0</v>
      </c>
      <c r="BM2345" s="1">
        <v>1</v>
      </c>
      <c r="BN2345" s="1">
        <v>0</v>
      </c>
      <c r="BO2345" s="1">
        <v>0</v>
      </c>
      <c r="BP2345" s="1">
        <v>0</v>
      </c>
      <c r="BQ2345" s="1">
        <v>0</v>
      </c>
      <c r="BR2345" s="1">
        <v>0</v>
      </c>
      <c r="BS2345" s="1" t="s">
        <v>109</v>
      </c>
      <c r="BT2345" s="1">
        <v>2436</v>
      </c>
      <c r="BU2345" s="1" t="s">
        <v>109</v>
      </c>
      <c r="BV2345" s="1"/>
      <c r="BW2345" s="1"/>
      <c r="BX2345" s="1"/>
      <c r="BY2345" s="1"/>
      <c r="BZ2345" s="1">
        <v>0</v>
      </c>
      <c r="CA2345" s="1" t="s">
        <v>109</v>
      </c>
      <c r="CB2345" s="1" t="s">
        <v>109</v>
      </c>
      <c r="CC2345" s="1">
        <v>3</v>
      </c>
      <c r="CD2345" s="1">
        <v>2</v>
      </c>
      <c r="CE2345" s="1">
        <v>3</v>
      </c>
      <c r="CF2345" s="1" t="s">
        <v>109</v>
      </c>
      <c r="CG2345" s="1" t="s">
        <v>109</v>
      </c>
      <c r="CH2345" s="1" t="s">
        <v>109</v>
      </c>
      <c r="CI2345" s="1" t="s">
        <v>109</v>
      </c>
      <c r="CJ2345" s="1" t="s">
        <v>109</v>
      </c>
      <c r="CK2345" s="1"/>
      <c r="CL2345" s="1">
        <v>0</v>
      </c>
      <c r="CM2345" s="1">
        <v>0</v>
      </c>
      <c r="CN2345" s="1">
        <v>0</v>
      </c>
    </row>
    <row r="2346" spans="1:92" ht="14.25" customHeight="1" x14ac:dyDescent="0.15">
      <c r="A2346" s="1" t="s">
        <v>16756</v>
      </c>
      <c r="B2346" s="1" t="s">
        <v>95</v>
      </c>
      <c r="C2346" s="1" t="s">
        <v>96</v>
      </c>
      <c r="D2346" s="1"/>
      <c r="E2346" s="1" t="s">
        <v>16757</v>
      </c>
      <c r="F2346" s="1" t="s">
        <v>395</v>
      </c>
      <c r="G2346" s="1" t="s">
        <v>16758</v>
      </c>
      <c r="H2346" s="1">
        <v>0</v>
      </c>
      <c r="I2346" s="1" t="s">
        <v>142</v>
      </c>
      <c r="J2346" s="1"/>
      <c r="K2346" s="1" t="s">
        <v>16759</v>
      </c>
      <c r="L2346" s="1"/>
      <c r="M2346" s="1" t="s">
        <v>16760</v>
      </c>
      <c r="N2346" s="1">
        <v>0</v>
      </c>
      <c r="O2346" s="1">
        <v>0</v>
      </c>
      <c r="P2346" s="1" t="s">
        <v>103</v>
      </c>
      <c r="Q2346" s="1" t="s">
        <v>104</v>
      </c>
      <c r="R2346" s="1" t="s">
        <v>16761</v>
      </c>
      <c r="S2346" s="1" t="s">
        <v>16762</v>
      </c>
      <c r="T2346" s="1" t="s">
        <v>16709</v>
      </c>
      <c r="U2346" s="1" t="s">
        <v>16763</v>
      </c>
      <c r="V2346" s="1">
        <v>1</v>
      </c>
      <c r="W2346" s="1">
        <v>1</v>
      </c>
      <c r="X2346" s="1">
        <v>1</v>
      </c>
      <c r="Y2346" s="1">
        <v>0</v>
      </c>
      <c r="Z2346" s="1">
        <v>0</v>
      </c>
      <c r="AA2346" s="1" t="s">
        <v>109</v>
      </c>
      <c r="AB2346" s="1" t="s">
        <v>109</v>
      </c>
      <c r="AC2346" s="1">
        <v>4</v>
      </c>
      <c r="AD2346" s="1">
        <v>4</v>
      </c>
      <c r="AE2346" s="1" t="s">
        <v>109</v>
      </c>
      <c r="AF2346" s="1">
        <v>4</v>
      </c>
      <c r="AG2346" s="1" t="s">
        <v>109</v>
      </c>
      <c r="AH2346" s="1" t="s">
        <v>109</v>
      </c>
      <c r="AI2346" s="1" t="s">
        <v>109</v>
      </c>
      <c r="AJ2346" s="1" t="s">
        <v>109</v>
      </c>
      <c r="AK2346" s="1" t="s">
        <v>109</v>
      </c>
      <c r="AL2346" s="1">
        <v>4</v>
      </c>
      <c r="AM2346" s="1" t="s">
        <v>109</v>
      </c>
      <c r="AN2346" s="1" t="s">
        <v>109</v>
      </c>
      <c r="AO2346" s="1" t="s">
        <v>109</v>
      </c>
      <c r="AP2346" s="1"/>
      <c r="AQ2346" s="1">
        <v>4</v>
      </c>
      <c r="AR2346" s="1"/>
      <c r="AS2346" s="1" t="s">
        <v>16764</v>
      </c>
      <c r="AT2346" s="1">
        <v>0</v>
      </c>
      <c r="AU2346" s="1">
        <v>0</v>
      </c>
      <c r="AV2346" s="1">
        <v>0</v>
      </c>
      <c r="AW2346" s="1">
        <v>0</v>
      </c>
      <c r="AX2346" s="1">
        <v>0</v>
      </c>
      <c r="AY2346" s="1">
        <v>0</v>
      </c>
      <c r="AZ2346" s="1">
        <v>0</v>
      </c>
      <c r="BA2346" s="1">
        <v>0</v>
      </c>
      <c r="BB2346" s="1">
        <v>0</v>
      </c>
      <c r="BC2346" s="1">
        <v>0</v>
      </c>
      <c r="BD2346" s="1">
        <v>0</v>
      </c>
      <c r="BE2346" s="1">
        <v>0</v>
      </c>
      <c r="BF2346" s="1">
        <v>0</v>
      </c>
      <c r="BG2346" s="1">
        <v>0</v>
      </c>
      <c r="BH2346" s="1">
        <v>0</v>
      </c>
      <c r="BI2346" s="1">
        <v>0</v>
      </c>
      <c r="BJ2346" s="1">
        <v>0</v>
      </c>
      <c r="BK2346" s="1">
        <v>0</v>
      </c>
      <c r="BL2346" s="1">
        <v>0</v>
      </c>
      <c r="BM2346" s="1">
        <v>0</v>
      </c>
      <c r="BN2346" s="1">
        <v>0</v>
      </c>
      <c r="BO2346" s="1">
        <v>0</v>
      </c>
      <c r="BP2346" s="1">
        <v>0</v>
      </c>
      <c r="BQ2346" s="1">
        <v>0</v>
      </c>
      <c r="BR2346" s="1">
        <v>0</v>
      </c>
      <c r="BS2346" s="1" t="s">
        <v>109</v>
      </c>
      <c r="BT2346" s="1">
        <v>2437</v>
      </c>
      <c r="BU2346" s="1" t="s">
        <v>109</v>
      </c>
      <c r="BV2346" s="1"/>
      <c r="BW2346" s="1"/>
      <c r="BX2346" s="1"/>
      <c r="BY2346" s="1"/>
      <c r="BZ2346" s="1">
        <v>0</v>
      </c>
      <c r="CA2346" s="1" t="s">
        <v>109</v>
      </c>
      <c r="CB2346" s="1">
        <v>4</v>
      </c>
      <c r="CC2346" s="1" t="s">
        <v>109</v>
      </c>
      <c r="CD2346" s="1" t="s">
        <v>109</v>
      </c>
      <c r="CE2346" s="1" t="s">
        <v>109</v>
      </c>
      <c r="CF2346" s="1" t="s">
        <v>109</v>
      </c>
      <c r="CG2346" s="1" t="s">
        <v>109</v>
      </c>
      <c r="CH2346" s="1" t="s">
        <v>109</v>
      </c>
      <c r="CI2346" s="1" t="s">
        <v>109</v>
      </c>
      <c r="CJ2346" s="1">
        <v>4</v>
      </c>
      <c r="CK2346" s="1"/>
      <c r="CL2346" s="1">
        <v>0</v>
      </c>
      <c r="CM2346" s="1">
        <v>0</v>
      </c>
      <c r="CN2346" s="1">
        <v>0</v>
      </c>
    </row>
    <row r="2347" spans="1:92" ht="14.25" customHeight="1" x14ac:dyDescent="0.15">
      <c r="A2347" s="1" t="s">
        <v>16765</v>
      </c>
      <c r="B2347" s="1" t="s">
        <v>189</v>
      </c>
      <c r="C2347" s="1"/>
      <c r="D2347" s="1"/>
      <c r="E2347" s="1" t="s">
        <v>16766</v>
      </c>
      <c r="F2347" s="1" t="s">
        <v>355</v>
      </c>
      <c r="G2347" s="1" t="s">
        <v>16767</v>
      </c>
      <c r="H2347" s="1">
        <v>1</v>
      </c>
      <c r="I2347" s="1" t="s">
        <v>1192</v>
      </c>
      <c r="J2347" s="1"/>
      <c r="K2347" s="1"/>
      <c r="L2347" s="1" t="s">
        <v>16768</v>
      </c>
      <c r="M2347" s="1" t="s">
        <v>144</v>
      </c>
      <c r="N2347" s="1">
        <v>0</v>
      </c>
      <c r="O2347" s="1">
        <v>0</v>
      </c>
      <c r="P2347" s="1" t="s">
        <v>103</v>
      </c>
      <c r="Q2347" s="1" t="s">
        <v>630</v>
      </c>
      <c r="R2347" s="1" t="s">
        <v>16769</v>
      </c>
      <c r="S2347" s="1" t="s">
        <v>16770</v>
      </c>
      <c r="T2347" s="1" t="s">
        <v>16709</v>
      </c>
      <c r="U2347" s="1" t="s">
        <v>16771</v>
      </c>
      <c r="V2347" s="1">
        <v>1</v>
      </c>
      <c r="W2347" s="1">
        <v>1</v>
      </c>
      <c r="X2347" s="1">
        <v>1</v>
      </c>
      <c r="Y2347" s="1">
        <v>0</v>
      </c>
      <c r="Z2347" s="1">
        <v>0</v>
      </c>
      <c r="AA2347" s="1">
        <v>6</v>
      </c>
      <c r="AB2347" s="1">
        <v>6</v>
      </c>
      <c r="AC2347" s="1" t="s">
        <v>109</v>
      </c>
      <c r="AD2347" s="1" t="s">
        <v>109</v>
      </c>
      <c r="AE2347" s="1" t="s">
        <v>109</v>
      </c>
      <c r="AF2347" s="1" t="s">
        <v>109</v>
      </c>
      <c r="AG2347" s="1" t="s">
        <v>109</v>
      </c>
      <c r="AH2347" s="1" t="s">
        <v>109</v>
      </c>
      <c r="AI2347" s="1" t="s">
        <v>109</v>
      </c>
      <c r="AJ2347" s="1" t="s">
        <v>109</v>
      </c>
      <c r="AK2347" s="1" t="s">
        <v>109</v>
      </c>
      <c r="AL2347" s="1" t="s">
        <v>109</v>
      </c>
      <c r="AM2347" s="1" t="s">
        <v>109</v>
      </c>
      <c r="AN2347" s="1" t="s">
        <v>109</v>
      </c>
      <c r="AO2347" s="1" t="s">
        <v>109</v>
      </c>
      <c r="AP2347" s="1"/>
      <c r="AQ2347" s="1">
        <v>6</v>
      </c>
      <c r="AR2347" s="1"/>
      <c r="AS2347" s="1" t="s">
        <v>16772</v>
      </c>
      <c r="AT2347" s="1">
        <v>0</v>
      </c>
      <c r="AU2347" s="1">
        <v>0</v>
      </c>
      <c r="AV2347" s="1">
        <v>0</v>
      </c>
      <c r="AW2347" s="1">
        <v>0</v>
      </c>
      <c r="AX2347" s="1">
        <v>0</v>
      </c>
      <c r="AY2347" s="1">
        <v>0</v>
      </c>
      <c r="AZ2347" s="1">
        <v>0</v>
      </c>
      <c r="BA2347" s="1">
        <v>0</v>
      </c>
      <c r="BB2347" s="1">
        <v>0</v>
      </c>
      <c r="BC2347" s="1">
        <v>0</v>
      </c>
      <c r="BD2347" s="1">
        <v>0</v>
      </c>
      <c r="BE2347" s="1">
        <v>0</v>
      </c>
      <c r="BF2347" s="1">
        <v>0</v>
      </c>
      <c r="BG2347" s="1">
        <v>0</v>
      </c>
      <c r="BH2347" s="1">
        <v>0</v>
      </c>
      <c r="BI2347" s="1">
        <v>0</v>
      </c>
      <c r="BJ2347" s="1">
        <v>0</v>
      </c>
      <c r="BK2347" s="1">
        <v>0</v>
      </c>
      <c r="BL2347" s="1">
        <v>0</v>
      </c>
      <c r="BM2347" s="1">
        <v>0</v>
      </c>
      <c r="BN2347" s="1">
        <v>0</v>
      </c>
      <c r="BO2347" s="1">
        <v>0</v>
      </c>
      <c r="BP2347" s="1">
        <v>0</v>
      </c>
      <c r="BQ2347" s="1">
        <v>0</v>
      </c>
      <c r="BR2347" s="1">
        <v>0</v>
      </c>
      <c r="BS2347" s="1" t="s">
        <v>109</v>
      </c>
      <c r="BT2347" s="1">
        <v>2438</v>
      </c>
      <c r="BU2347" s="1">
        <v>100</v>
      </c>
      <c r="BV2347" s="1"/>
      <c r="BW2347" s="1"/>
      <c r="BX2347" s="1"/>
      <c r="BY2347" s="1"/>
      <c r="BZ2347" s="1">
        <v>0</v>
      </c>
      <c r="CA2347" s="1">
        <v>4</v>
      </c>
      <c r="CB2347" s="1" t="s">
        <v>109</v>
      </c>
      <c r="CC2347" s="1">
        <v>6</v>
      </c>
      <c r="CD2347" s="1" t="s">
        <v>109</v>
      </c>
      <c r="CE2347" s="1" t="s">
        <v>109</v>
      </c>
      <c r="CF2347" s="1">
        <v>6</v>
      </c>
      <c r="CG2347" s="1" t="s">
        <v>109</v>
      </c>
      <c r="CH2347" s="1" t="s">
        <v>109</v>
      </c>
      <c r="CI2347" s="1" t="s">
        <v>109</v>
      </c>
      <c r="CJ2347" s="1" t="s">
        <v>109</v>
      </c>
      <c r="CK2347" s="1"/>
      <c r="CL2347" s="1">
        <v>0</v>
      </c>
      <c r="CM2347" s="1">
        <v>0</v>
      </c>
      <c r="CN2347" s="1">
        <v>0</v>
      </c>
    </row>
    <row r="2348" spans="1:92" ht="14.25" customHeight="1" x14ac:dyDescent="0.15">
      <c r="A2348" s="1" t="s">
        <v>16773</v>
      </c>
      <c r="B2348" s="1" t="s">
        <v>254</v>
      </c>
      <c r="C2348" s="1"/>
      <c r="D2348" s="1"/>
      <c r="E2348" s="1" t="s">
        <v>16774</v>
      </c>
      <c r="F2348" s="1" t="s">
        <v>98</v>
      </c>
      <c r="G2348" s="1" t="s">
        <v>16775</v>
      </c>
      <c r="H2348" s="1">
        <v>0</v>
      </c>
      <c r="I2348" s="1" t="s">
        <v>142</v>
      </c>
      <c r="J2348" s="1"/>
      <c r="K2348" s="1"/>
      <c r="L2348" s="1" t="s">
        <v>1391</v>
      </c>
      <c r="M2348" s="1" t="s">
        <v>4420</v>
      </c>
      <c r="N2348" s="1">
        <v>0</v>
      </c>
      <c r="O2348" s="1">
        <v>0</v>
      </c>
      <c r="P2348" s="1" t="s">
        <v>301</v>
      </c>
      <c r="Q2348" s="1" t="s">
        <v>268</v>
      </c>
      <c r="R2348" s="1" t="s">
        <v>16776</v>
      </c>
      <c r="S2348" s="1" t="s">
        <v>16777</v>
      </c>
      <c r="T2348" s="1" t="s">
        <v>16709</v>
      </c>
      <c r="U2348" s="1" t="s">
        <v>16778</v>
      </c>
      <c r="V2348" s="1">
        <v>1</v>
      </c>
      <c r="W2348" s="1">
        <v>1</v>
      </c>
      <c r="X2348" s="1">
        <v>1</v>
      </c>
      <c r="Y2348" s="1">
        <v>0</v>
      </c>
      <c r="Z2348" s="1">
        <v>0</v>
      </c>
      <c r="AA2348" s="1" t="s">
        <v>109</v>
      </c>
      <c r="AB2348" s="1" t="s">
        <v>109</v>
      </c>
      <c r="AC2348" s="1">
        <v>2</v>
      </c>
      <c r="AD2348" s="1" t="s">
        <v>109</v>
      </c>
      <c r="AE2348" s="1" t="s">
        <v>109</v>
      </c>
      <c r="AF2348" s="1">
        <v>2</v>
      </c>
      <c r="AG2348" s="1">
        <v>1</v>
      </c>
      <c r="AH2348" s="1" t="s">
        <v>109</v>
      </c>
      <c r="AI2348" s="1" t="s">
        <v>109</v>
      </c>
      <c r="AJ2348" s="1" t="s">
        <v>109</v>
      </c>
      <c r="AK2348" s="1">
        <v>2</v>
      </c>
      <c r="AL2348" s="1">
        <v>2</v>
      </c>
      <c r="AM2348" s="1" t="s">
        <v>109</v>
      </c>
      <c r="AN2348" s="1" t="s">
        <v>109</v>
      </c>
      <c r="AO2348" s="1" t="s">
        <v>109</v>
      </c>
      <c r="AP2348" s="1"/>
      <c r="AQ2348" s="1">
        <v>2</v>
      </c>
      <c r="AR2348" s="1"/>
      <c r="AS2348" s="1" t="s">
        <v>16779</v>
      </c>
      <c r="AT2348" s="1">
        <v>0</v>
      </c>
      <c r="AU2348" s="1">
        <v>0</v>
      </c>
      <c r="AV2348" s="1">
        <v>0</v>
      </c>
      <c r="AW2348" s="1">
        <v>0</v>
      </c>
      <c r="AX2348" s="1">
        <v>0</v>
      </c>
      <c r="AY2348" s="1">
        <v>0</v>
      </c>
      <c r="AZ2348" s="1">
        <v>0</v>
      </c>
      <c r="BA2348" s="1">
        <v>0</v>
      </c>
      <c r="BB2348" s="1">
        <v>0</v>
      </c>
      <c r="BC2348" s="1">
        <v>0</v>
      </c>
      <c r="BD2348" s="1">
        <v>0</v>
      </c>
      <c r="BE2348" s="1">
        <v>0</v>
      </c>
      <c r="BF2348" s="1">
        <v>0</v>
      </c>
      <c r="BG2348" s="1">
        <v>0</v>
      </c>
      <c r="BH2348" s="1">
        <v>0</v>
      </c>
      <c r="BI2348" s="1">
        <v>0</v>
      </c>
      <c r="BJ2348" s="1">
        <v>0</v>
      </c>
      <c r="BK2348" s="1">
        <v>0</v>
      </c>
      <c r="BL2348" s="1">
        <v>0</v>
      </c>
      <c r="BM2348" s="1">
        <v>0</v>
      </c>
      <c r="BN2348" s="1">
        <v>0</v>
      </c>
      <c r="BO2348" s="1">
        <v>0</v>
      </c>
      <c r="BP2348" s="1">
        <v>0</v>
      </c>
      <c r="BQ2348" s="1">
        <v>0</v>
      </c>
      <c r="BR2348" s="1">
        <v>0</v>
      </c>
      <c r="BS2348" s="1" t="s">
        <v>109</v>
      </c>
      <c r="BT2348" s="1">
        <v>2439</v>
      </c>
      <c r="BU2348" s="1" t="s">
        <v>109</v>
      </c>
      <c r="BV2348" s="1"/>
      <c r="BW2348" s="1"/>
      <c r="BX2348" s="1"/>
      <c r="BY2348" s="1"/>
      <c r="BZ2348" s="1">
        <v>0</v>
      </c>
      <c r="CA2348" s="1" t="s">
        <v>109</v>
      </c>
      <c r="CB2348" s="1" t="s">
        <v>109</v>
      </c>
      <c r="CC2348" s="1">
        <v>2</v>
      </c>
      <c r="CD2348" s="1" t="s">
        <v>109</v>
      </c>
      <c r="CE2348" s="1">
        <v>2</v>
      </c>
      <c r="CF2348" s="1" t="s">
        <v>109</v>
      </c>
      <c r="CG2348" s="1" t="s">
        <v>109</v>
      </c>
      <c r="CH2348" s="1" t="s">
        <v>109</v>
      </c>
      <c r="CI2348" s="1" t="s">
        <v>109</v>
      </c>
      <c r="CJ2348" s="1" t="s">
        <v>109</v>
      </c>
      <c r="CK2348" s="1"/>
      <c r="CL2348" s="1">
        <v>0</v>
      </c>
      <c r="CM2348" s="1">
        <v>0</v>
      </c>
      <c r="CN2348" s="1">
        <v>0</v>
      </c>
    </row>
    <row r="2349" spans="1:92" ht="14.25" customHeight="1" x14ac:dyDescent="0.15">
      <c r="A2349" s="1" t="s">
        <v>16780</v>
      </c>
      <c r="B2349" s="1" t="s">
        <v>156</v>
      </c>
      <c r="C2349" s="1" t="s">
        <v>834</v>
      </c>
      <c r="D2349" s="1" t="s">
        <v>158</v>
      </c>
      <c r="E2349" s="1" t="s">
        <v>16781</v>
      </c>
      <c r="F2349" s="1" t="s">
        <v>98</v>
      </c>
      <c r="G2349" s="1" t="s">
        <v>141</v>
      </c>
      <c r="H2349" s="1">
        <v>0</v>
      </c>
      <c r="I2349" s="1" t="s">
        <v>142</v>
      </c>
      <c r="J2349" s="1"/>
      <c r="K2349" s="1"/>
      <c r="L2349" s="1" t="s">
        <v>2621</v>
      </c>
      <c r="M2349" s="1" t="s">
        <v>289</v>
      </c>
      <c r="N2349" s="1">
        <v>0</v>
      </c>
      <c r="O2349" s="1">
        <v>0</v>
      </c>
      <c r="P2349" s="1" t="s">
        <v>301</v>
      </c>
      <c r="Q2349" s="1" t="s">
        <v>268</v>
      </c>
      <c r="R2349" s="1" t="s">
        <v>16782</v>
      </c>
      <c r="S2349" s="1" t="s">
        <v>16783</v>
      </c>
      <c r="T2349" s="1" t="s">
        <v>16709</v>
      </c>
      <c r="U2349" s="1" t="s">
        <v>16784</v>
      </c>
      <c r="V2349" s="1">
        <v>1</v>
      </c>
      <c r="W2349" s="1">
        <v>1</v>
      </c>
      <c r="X2349" s="1">
        <v>0</v>
      </c>
      <c r="Y2349" s="1">
        <v>0</v>
      </c>
      <c r="Z2349" s="1">
        <v>0</v>
      </c>
      <c r="AA2349" s="1">
        <v>5</v>
      </c>
      <c r="AB2349" s="1">
        <v>5</v>
      </c>
      <c r="AC2349" s="1" t="s">
        <v>109</v>
      </c>
      <c r="AD2349" s="1" t="s">
        <v>109</v>
      </c>
      <c r="AE2349" s="1" t="s">
        <v>109</v>
      </c>
      <c r="AF2349" s="1">
        <v>4</v>
      </c>
      <c r="AG2349" s="1" t="s">
        <v>109</v>
      </c>
      <c r="AH2349" s="1" t="s">
        <v>109</v>
      </c>
      <c r="AI2349" s="1" t="s">
        <v>109</v>
      </c>
      <c r="AJ2349" s="1">
        <v>5</v>
      </c>
      <c r="AK2349" s="1" t="s">
        <v>109</v>
      </c>
      <c r="AL2349" s="1" t="s">
        <v>109</v>
      </c>
      <c r="AM2349" s="1" t="s">
        <v>109</v>
      </c>
      <c r="AN2349" s="1" t="s">
        <v>109</v>
      </c>
      <c r="AO2349" s="1" t="s">
        <v>109</v>
      </c>
      <c r="AP2349" s="1"/>
      <c r="AQ2349" s="1">
        <v>5</v>
      </c>
      <c r="AR2349" s="1"/>
      <c r="AS2349" s="1" t="s">
        <v>16785</v>
      </c>
      <c r="AT2349" s="1">
        <v>0</v>
      </c>
      <c r="AU2349" s="1">
        <v>0</v>
      </c>
      <c r="AV2349" s="1">
        <v>0</v>
      </c>
      <c r="AW2349" s="1">
        <v>0</v>
      </c>
      <c r="AX2349" s="1">
        <v>0</v>
      </c>
      <c r="AY2349" s="1">
        <v>0</v>
      </c>
      <c r="AZ2349" s="1">
        <v>0</v>
      </c>
      <c r="BA2349" s="1">
        <v>0</v>
      </c>
      <c r="BB2349" s="1">
        <v>0</v>
      </c>
      <c r="BC2349" s="1">
        <v>0</v>
      </c>
      <c r="BD2349" s="1">
        <v>0</v>
      </c>
      <c r="BE2349" s="1">
        <v>0</v>
      </c>
      <c r="BF2349" s="1">
        <v>0</v>
      </c>
      <c r="BG2349" s="1">
        <v>0</v>
      </c>
      <c r="BH2349" s="1">
        <v>0</v>
      </c>
      <c r="BI2349" s="1">
        <v>0</v>
      </c>
      <c r="BJ2349" s="1">
        <v>0</v>
      </c>
      <c r="BK2349" s="1">
        <v>0</v>
      </c>
      <c r="BL2349" s="1">
        <v>0</v>
      </c>
      <c r="BM2349" s="1">
        <v>1</v>
      </c>
      <c r="BN2349" s="1">
        <v>0</v>
      </c>
      <c r="BO2349" s="1">
        <v>0</v>
      </c>
      <c r="BP2349" s="1">
        <v>0</v>
      </c>
      <c r="BQ2349" s="1">
        <v>0</v>
      </c>
      <c r="BR2349" s="1">
        <v>0</v>
      </c>
      <c r="BS2349" s="1" t="s">
        <v>109</v>
      </c>
      <c r="BT2349" s="1">
        <v>2440</v>
      </c>
      <c r="BU2349" s="1" t="s">
        <v>109</v>
      </c>
      <c r="BV2349" s="1"/>
      <c r="BW2349" s="1"/>
      <c r="BX2349" s="1"/>
      <c r="BY2349" s="1"/>
      <c r="BZ2349" s="1">
        <v>0</v>
      </c>
      <c r="CA2349" s="1" t="s">
        <v>109</v>
      </c>
      <c r="CB2349" s="1">
        <v>5</v>
      </c>
      <c r="CC2349" s="1">
        <v>5</v>
      </c>
      <c r="CD2349" s="1" t="s">
        <v>109</v>
      </c>
      <c r="CE2349" s="1">
        <v>4</v>
      </c>
      <c r="CF2349" s="1">
        <v>4</v>
      </c>
      <c r="CG2349" s="1" t="s">
        <v>109</v>
      </c>
      <c r="CH2349" s="1" t="s">
        <v>109</v>
      </c>
      <c r="CI2349" s="1" t="s">
        <v>109</v>
      </c>
      <c r="CJ2349" s="1" t="s">
        <v>109</v>
      </c>
      <c r="CK2349" s="1"/>
      <c r="CL2349" s="1">
        <v>0</v>
      </c>
      <c r="CM2349" s="1">
        <v>0</v>
      </c>
      <c r="CN2349" s="1">
        <v>0</v>
      </c>
    </row>
    <row r="2350" spans="1:92" ht="14.25" customHeight="1" x14ac:dyDescent="0.15">
      <c r="A2350" s="1" t="s">
        <v>16786</v>
      </c>
      <c r="B2350" s="1" t="s">
        <v>189</v>
      </c>
      <c r="C2350" s="1"/>
      <c r="D2350" s="1"/>
      <c r="E2350" s="1" t="s">
        <v>16787</v>
      </c>
      <c r="F2350" s="1" t="s">
        <v>98</v>
      </c>
      <c r="G2350" s="1" t="s">
        <v>16788</v>
      </c>
      <c r="H2350" s="1">
        <v>0</v>
      </c>
      <c r="I2350" s="1" t="s">
        <v>142</v>
      </c>
      <c r="J2350" s="1"/>
      <c r="K2350" s="1"/>
      <c r="L2350" s="1" t="s">
        <v>16789</v>
      </c>
      <c r="M2350" s="1" t="s">
        <v>367</v>
      </c>
      <c r="N2350" s="1">
        <v>1</v>
      </c>
      <c r="O2350" s="1">
        <v>0</v>
      </c>
      <c r="P2350" s="1" t="s">
        <v>103</v>
      </c>
      <c r="Q2350" s="1" t="s">
        <v>104</v>
      </c>
      <c r="R2350" s="1" t="s">
        <v>16790</v>
      </c>
      <c r="S2350" s="1" t="s">
        <v>16791</v>
      </c>
      <c r="T2350" s="1" t="s">
        <v>16709</v>
      </c>
      <c r="U2350" s="1" t="s">
        <v>16792</v>
      </c>
      <c r="V2350" s="1">
        <v>1</v>
      </c>
      <c r="W2350" s="1">
        <v>1</v>
      </c>
      <c r="X2350" s="1">
        <v>1</v>
      </c>
      <c r="Y2350" s="1">
        <v>0</v>
      </c>
      <c r="Z2350" s="1">
        <v>0</v>
      </c>
      <c r="AA2350" s="1">
        <v>2</v>
      </c>
      <c r="AB2350" s="1">
        <v>2</v>
      </c>
      <c r="AC2350" s="1" t="s">
        <v>109</v>
      </c>
      <c r="AD2350" s="1" t="s">
        <v>109</v>
      </c>
      <c r="AE2350" s="1" t="s">
        <v>109</v>
      </c>
      <c r="AF2350" s="1">
        <v>2</v>
      </c>
      <c r="AG2350" s="1" t="s">
        <v>109</v>
      </c>
      <c r="AH2350" s="1" t="s">
        <v>109</v>
      </c>
      <c r="AI2350" s="1" t="s">
        <v>109</v>
      </c>
      <c r="AJ2350" s="1" t="s">
        <v>109</v>
      </c>
      <c r="AK2350" s="1" t="s">
        <v>109</v>
      </c>
      <c r="AL2350" s="1" t="s">
        <v>109</v>
      </c>
      <c r="AM2350" s="1" t="s">
        <v>109</v>
      </c>
      <c r="AN2350" s="1" t="s">
        <v>109</v>
      </c>
      <c r="AO2350" s="1" t="s">
        <v>109</v>
      </c>
      <c r="AP2350" s="1"/>
      <c r="AQ2350" s="1">
        <v>2</v>
      </c>
      <c r="AR2350" s="1"/>
      <c r="AS2350" s="1" t="s">
        <v>16793</v>
      </c>
      <c r="AT2350" s="1">
        <v>0</v>
      </c>
      <c r="AU2350" s="1">
        <v>0</v>
      </c>
      <c r="AV2350" s="1">
        <v>0</v>
      </c>
      <c r="AW2350" s="1">
        <v>0</v>
      </c>
      <c r="AX2350" s="1">
        <v>0</v>
      </c>
      <c r="AY2350" s="1">
        <v>0</v>
      </c>
      <c r="AZ2350" s="1">
        <v>0</v>
      </c>
      <c r="BA2350" s="1">
        <v>0</v>
      </c>
      <c r="BB2350" s="1">
        <v>0</v>
      </c>
      <c r="BC2350" s="1">
        <v>0</v>
      </c>
      <c r="BD2350" s="1">
        <v>0</v>
      </c>
      <c r="BE2350" s="1">
        <v>0</v>
      </c>
      <c r="BF2350" s="1">
        <v>0</v>
      </c>
      <c r="BG2350" s="1">
        <v>0</v>
      </c>
      <c r="BH2350" s="1">
        <v>0</v>
      </c>
      <c r="BI2350" s="1">
        <v>0</v>
      </c>
      <c r="BJ2350" s="1">
        <v>0</v>
      </c>
      <c r="BK2350" s="1">
        <v>0</v>
      </c>
      <c r="BL2350" s="1">
        <v>0</v>
      </c>
      <c r="BM2350" s="1">
        <v>0</v>
      </c>
      <c r="BN2350" s="1">
        <v>0</v>
      </c>
      <c r="BO2350" s="1">
        <v>0</v>
      </c>
      <c r="BP2350" s="1">
        <v>0</v>
      </c>
      <c r="BQ2350" s="1">
        <v>0</v>
      </c>
      <c r="BR2350" s="1">
        <v>0</v>
      </c>
      <c r="BS2350" s="1" t="s">
        <v>109</v>
      </c>
      <c r="BT2350" s="1">
        <v>2441</v>
      </c>
      <c r="BU2350" s="1" t="s">
        <v>109</v>
      </c>
      <c r="BV2350" s="1"/>
      <c r="BW2350" s="1"/>
      <c r="BX2350" s="1"/>
      <c r="BY2350" s="1"/>
      <c r="BZ2350" s="1">
        <v>0</v>
      </c>
      <c r="CA2350" s="1" t="s">
        <v>109</v>
      </c>
      <c r="CB2350" s="1" t="s">
        <v>109</v>
      </c>
      <c r="CC2350" s="1">
        <v>2</v>
      </c>
      <c r="CD2350" s="1">
        <v>2</v>
      </c>
      <c r="CE2350" s="1">
        <v>2</v>
      </c>
      <c r="CF2350" s="1">
        <v>2</v>
      </c>
      <c r="CG2350" s="1" t="s">
        <v>109</v>
      </c>
      <c r="CH2350" s="1" t="s">
        <v>109</v>
      </c>
      <c r="CI2350" s="1" t="s">
        <v>109</v>
      </c>
      <c r="CJ2350" s="1" t="s">
        <v>109</v>
      </c>
      <c r="CK2350" s="1"/>
      <c r="CL2350" s="1">
        <v>0</v>
      </c>
      <c r="CM2350" s="1">
        <v>0</v>
      </c>
      <c r="CN2350" s="1">
        <v>0</v>
      </c>
    </row>
    <row r="2351" spans="1:92" ht="14.25" customHeight="1" x14ac:dyDescent="0.15">
      <c r="A2351" s="1" t="s">
        <v>16794</v>
      </c>
      <c r="B2351" s="1" t="s">
        <v>674</v>
      </c>
      <c r="C2351" s="1" t="s">
        <v>1715</v>
      </c>
      <c r="D2351" s="1" t="s">
        <v>158</v>
      </c>
      <c r="E2351" s="1" t="s">
        <v>16795</v>
      </c>
      <c r="F2351" s="1" t="s">
        <v>98</v>
      </c>
      <c r="G2351" s="1" t="s">
        <v>2345</v>
      </c>
      <c r="H2351" s="1">
        <v>0</v>
      </c>
      <c r="I2351" s="1" t="s">
        <v>100</v>
      </c>
      <c r="J2351" s="1"/>
      <c r="K2351" s="1"/>
      <c r="L2351" s="1" t="s">
        <v>716</v>
      </c>
      <c r="M2351" s="1" t="s">
        <v>13276</v>
      </c>
      <c r="N2351" s="1">
        <v>0</v>
      </c>
      <c r="O2351" s="1">
        <v>0</v>
      </c>
      <c r="P2351" s="1" t="s">
        <v>2304</v>
      </c>
      <c r="Q2351" s="1" t="s">
        <v>268</v>
      </c>
      <c r="R2351" s="1" t="s">
        <v>16796</v>
      </c>
      <c r="S2351" s="1" t="s">
        <v>16797</v>
      </c>
      <c r="T2351" s="1" t="s">
        <v>16709</v>
      </c>
      <c r="U2351" s="1" t="s">
        <v>16798</v>
      </c>
      <c r="V2351" s="1">
        <v>0</v>
      </c>
      <c r="W2351" s="1">
        <v>1</v>
      </c>
      <c r="X2351" s="1">
        <v>0</v>
      </c>
      <c r="Y2351" s="1">
        <v>0</v>
      </c>
      <c r="Z2351" s="1">
        <v>0</v>
      </c>
      <c r="AA2351" s="1">
        <v>4</v>
      </c>
      <c r="AB2351" s="1">
        <v>4</v>
      </c>
      <c r="AC2351" s="1" t="s">
        <v>109</v>
      </c>
      <c r="AD2351" s="1" t="s">
        <v>109</v>
      </c>
      <c r="AE2351" s="1" t="s">
        <v>109</v>
      </c>
      <c r="AF2351" s="1">
        <v>4</v>
      </c>
      <c r="AG2351" s="1" t="s">
        <v>109</v>
      </c>
      <c r="AH2351" s="1" t="s">
        <v>109</v>
      </c>
      <c r="AI2351" s="1" t="s">
        <v>109</v>
      </c>
      <c r="AJ2351" s="1">
        <v>4</v>
      </c>
      <c r="AK2351" s="1" t="s">
        <v>109</v>
      </c>
      <c r="AL2351" s="1" t="s">
        <v>109</v>
      </c>
      <c r="AM2351" s="1" t="s">
        <v>109</v>
      </c>
      <c r="AN2351" s="1">
        <v>4</v>
      </c>
      <c r="AO2351" s="1" t="s">
        <v>109</v>
      </c>
      <c r="AP2351" s="1"/>
      <c r="AQ2351" s="1">
        <v>4</v>
      </c>
      <c r="AR2351" s="1"/>
      <c r="AS2351" s="1" t="s">
        <v>16799</v>
      </c>
      <c r="AT2351" s="1">
        <v>0</v>
      </c>
      <c r="AU2351" s="1">
        <v>0</v>
      </c>
      <c r="AV2351" s="1">
        <v>0</v>
      </c>
      <c r="AW2351" s="1">
        <v>0</v>
      </c>
      <c r="AX2351" s="1">
        <v>0</v>
      </c>
      <c r="AY2351" s="1">
        <v>0</v>
      </c>
      <c r="AZ2351" s="1">
        <v>0</v>
      </c>
      <c r="BA2351" s="1">
        <v>0</v>
      </c>
      <c r="BB2351" s="1">
        <v>0</v>
      </c>
      <c r="BC2351" s="1">
        <v>0</v>
      </c>
      <c r="BD2351" s="1">
        <v>0</v>
      </c>
      <c r="BE2351" s="1">
        <v>0</v>
      </c>
      <c r="BF2351" s="1">
        <v>0</v>
      </c>
      <c r="BG2351" s="1">
        <v>0</v>
      </c>
      <c r="BH2351" s="1">
        <v>0</v>
      </c>
      <c r="BI2351" s="1">
        <v>0</v>
      </c>
      <c r="BJ2351" s="1">
        <v>0</v>
      </c>
      <c r="BK2351" s="1">
        <v>0</v>
      </c>
      <c r="BL2351" s="1">
        <v>0</v>
      </c>
      <c r="BM2351" s="1">
        <v>1</v>
      </c>
      <c r="BN2351" s="1">
        <v>0</v>
      </c>
      <c r="BO2351" s="1">
        <v>0</v>
      </c>
      <c r="BP2351" s="1">
        <v>0</v>
      </c>
      <c r="BQ2351" s="1">
        <v>0</v>
      </c>
      <c r="BR2351" s="1">
        <v>0</v>
      </c>
      <c r="BS2351" s="1" t="s">
        <v>109</v>
      </c>
      <c r="BT2351" s="1">
        <v>2442</v>
      </c>
      <c r="BU2351" s="1" t="s">
        <v>109</v>
      </c>
      <c r="BV2351" s="1"/>
      <c r="BW2351" s="1"/>
      <c r="BX2351" s="1"/>
      <c r="BY2351" s="1"/>
      <c r="BZ2351" s="1">
        <v>0</v>
      </c>
      <c r="CA2351" s="1" t="s">
        <v>109</v>
      </c>
      <c r="CB2351" s="1" t="s">
        <v>109</v>
      </c>
      <c r="CC2351" s="1">
        <v>4</v>
      </c>
      <c r="CD2351" s="1">
        <v>3</v>
      </c>
      <c r="CE2351" s="1">
        <v>4</v>
      </c>
      <c r="CF2351" s="1">
        <v>4</v>
      </c>
      <c r="CG2351" s="1" t="s">
        <v>109</v>
      </c>
      <c r="CH2351" s="1" t="s">
        <v>109</v>
      </c>
      <c r="CI2351" s="1" t="s">
        <v>109</v>
      </c>
      <c r="CJ2351" s="1" t="s">
        <v>109</v>
      </c>
      <c r="CK2351" s="1"/>
      <c r="CL2351" s="1">
        <v>0</v>
      </c>
      <c r="CM2351" s="1">
        <v>0</v>
      </c>
      <c r="CN2351" s="1">
        <v>0</v>
      </c>
    </row>
    <row r="2352" spans="1:92" ht="14.25" customHeight="1" x14ac:dyDescent="0.15">
      <c r="A2352" s="1" t="s">
        <v>16800</v>
      </c>
      <c r="B2352" s="1" t="s">
        <v>156</v>
      </c>
      <c r="C2352" s="1" t="s">
        <v>157</v>
      </c>
      <c r="D2352" s="1" t="s">
        <v>158</v>
      </c>
      <c r="E2352" s="1" t="s">
        <v>16801</v>
      </c>
      <c r="F2352" s="1" t="s">
        <v>98</v>
      </c>
      <c r="G2352" s="1" t="s">
        <v>141</v>
      </c>
      <c r="H2352" s="1">
        <v>0</v>
      </c>
      <c r="I2352" s="1" t="s">
        <v>161</v>
      </c>
      <c r="J2352" s="1"/>
      <c r="K2352" s="1"/>
      <c r="L2352" s="1" t="s">
        <v>506</v>
      </c>
      <c r="M2352" s="1" t="s">
        <v>815</v>
      </c>
      <c r="N2352" s="1">
        <v>1</v>
      </c>
      <c r="O2352" s="1">
        <v>0</v>
      </c>
      <c r="P2352" s="1" t="s">
        <v>301</v>
      </c>
      <c r="Q2352" s="1" t="s">
        <v>268</v>
      </c>
      <c r="R2352" s="1" t="s">
        <v>16802</v>
      </c>
      <c r="S2352" s="1" t="s">
        <v>16803</v>
      </c>
      <c r="T2352" s="1" t="s">
        <v>16709</v>
      </c>
      <c r="U2352" s="1" t="s">
        <v>16804</v>
      </c>
      <c r="V2352" s="1">
        <v>1</v>
      </c>
      <c r="W2352" s="1">
        <v>1</v>
      </c>
      <c r="X2352" s="1">
        <v>0</v>
      </c>
      <c r="Y2352" s="1">
        <v>0</v>
      </c>
      <c r="Z2352" s="1">
        <v>0</v>
      </c>
      <c r="AA2352" s="1">
        <v>2</v>
      </c>
      <c r="AB2352" s="1">
        <v>2</v>
      </c>
      <c r="AC2352" s="1" t="s">
        <v>109</v>
      </c>
      <c r="AD2352" s="1" t="s">
        <v>109</v>
      </c>
      <c r="AE2352" s="1" t="s">
        <v>109</v>
      </c>
      <c r="AF2352" s="1">
        <v>1</v>
      </c>
      <c r="AG2352" s="1" t="s">
        <v>109</v>
      </c>
      <c r="AH2352" s="1" t="s">
        <v>109</v>
      </c>
      <c r="AI2352" s="1" t="s">
        <v>109</v>
      </c>
      <c r="AJ2352" s="1">
        <v>2</v>
      </c>
      <c r="AK2352" s="1" t="s">
        <v>109</v>
      </c>
      <c r="AL2352" s="1" t="s">
        <v>109</v>
      </c>
      <c r="AM2352" s="1" t="s">
        <v>109</v>
      </c>
      <c r="AN2352" s="1" t="s">
        <v>109</v>
      </c>
      <c r="AO2352" s="1" t="s">
        <v>109</v>
      </c>
      <c r="AP2352" s="1"/>
      <c r="AQ2352" s="1">
        <v>2</v>
      </c>
      <c r="AR2352" s="1"/>
      <c r="AS2352" s="1" t="s">
        <v>16805</v>
      </c>
      <c r="AT2352" s="1">
        <v>0</v>
      </c>
      <c r="AU2352" s="1">
        <v>0</v>
      </c>
      <c r="AV2352" s="1">
        <v>0</v>
      </c>
      <c r="AW2352" s="1">
        <v>0</v>
      </c>
      <c r="AX2352" s="1">
        <v>0</v>
      </c>
      <c r="AY2352" s="1">
        <v>0</v>
      </c>
      <c r="AZ2352" s="1">
        <v>0</v>
      </c>
      <c r="BA2352" s="1">
        <v>0</v>
      </c>
      <c r="BB2352" s="1">
        <v>0</v>
      </c>
      <c r="BC2352" s="1">
        <v>0</v>
      </c>
      <c r="BD2352" s="1">
        <v>0</v>
      </c>
      <c r="BE2352" s="1">
        <v>0</v>
      </c>
      <c r="BF2352" s="1">
        <v>0</v>
      </c>
      <c r="BG2352" s="1">
        <v>0</v>
      </c>
      <c r="BH2352" s="1">
        <v>0</v>
      </c>
      <c r="BI2352" s="1">
        <v>0</v>
      </c>
      <c r="BJ2352" s="1">
        <v>0</v>
      </c>
      <c r="BK2352" s="1">
        <v>0</v>
      </c>
      <c r="BL2352" s="1">
        <v>0</v>
      </c>
      <c r="BM2352" s="1">
        <v>1</v>
      </c>
      <c r="BN2352" s="1">
        <v>0</v>
      </c>
      <c r="BO2352" s="1">
        <v>0</v>
      </c>
      <c r="BP2352" s="1">
        <v>0</v>
      </c>
      <c r="BQ2352" s="1">
        <v>0</v>
      </c>
      <c r="BR2352" s="1">
        <v>0</v>
      </c>
      <c r="BS2352" s="1" t="s">
        <v>109</v>
      </c>
      <c r="BT2352" s="1">
        <v>2443</v>
      </c>
      <c r="BU2352" s="1" t="s">
        <v>109</v>
      </c>
      <c r="BV2352" s="1"/>
      <c r="BW2352" s="1"/>
      <c r="BX2352" s="1"/>
      <c r="BY2352" s="1"/>
      <c r="BZ2352" s="1">
        <v>0</v>
      </c>
      <c r="CA2352" s="1" t="s">
        <v>109</v>
      </c>
      <c r="CB2352" s="1" t="s">
        <v>109</v>
      </c>
      <c r="CC2352" s="1">
        <v>2</v>
      </c>
      <c r="CD2352" s="1" t="s">
        <v>109</v>
      </c>
      <c r="CE2352" s="1">
        <v>1</v>
      </c>
      <c r="CF2352" s="1" t="s">
        <v>109</v>
      </c>
      <c r="CG2352" s="1" t="s">
        <v>109</v>
      </c>
      <c r="CH2352" s="1" t="s">
        <v>109</v>
      </c>
      <c r="CI2352" s="1" t="s">
        <v>109</v>
      </c>
      <c r="CJ2352" s="1" t="s">
        <v>109</v>
      </c>
      <c r="CK2352" s="1"/>
      <c r="CL2352" s="1">
        <v>0</v>
      </c>
      <c r="CM2352" s="1">
        <v>0</v>
      </c>
      <c r="CN2352" s="1">
        <v>0</v>
      </c>
    </row>
    <row r="2353" spans="1:92" ht="14.25" customHeight="1" x14ac:dyDescent="0.15">
      <c r="A2353" s="1" t="s">
        <v>16806</v>
      </c>
      <c r="B2353" s="1" t="s">
        <v>308</v>
      </c>
      <c r="C2353" s="1"/>
      <c r="D2353" s="1" t="s">
        <v>16074</v>
      </c>
      <c r="E2353" s="1" t="s">
        <v>16807</v>
      </c>
      <c r="F2353" s="1" t="s">
        <v>98</v>
      </c>
      <c r="G2353" s="1" t="s">
        <v>141</v>
      </c>
      <c r="H2353" s="1">
        <v>0</v>
      </c>
      <c r="I2353" s="1" t="s">
        <v>142</v>
      </c>
      <c r="J2353" s="1"/>
      <c r="K2353" s="1"/>
      <c r="L2353" s="1" t="s">
        <v>1391</v>
      </c>
      <c r="M2353" s="1" t="s">
        <v>11909</v>
      </c>
      <c r="N2353" s="1">
        <v>0</v>
      </c>
      <c r="O2353" s="1">
        <v>0</v>
      </c>
      <c r="P2353" s="1" t="s">
        <v>301</v>
      </c>
      <c r="Q2353" s="1" t="s">
        <v>268</v>
      </c>
      <c r="R2353" s="1" t="s">
        <v>16808</v>
      </c>
      <c r="S2353" s="1" t="s">
        <v>16809</v>
      </c>
      <c r="T2353" s="1" t="s">
        <v>16709</v>
      </c>
      <c r="U2353" s="1" t="s">
        <v>16810</v>
      </c>
      <c r="V2353" s="1">
        <v>1</v>
      </c>
      <c r="W2353" s="1">
        <v>1</v>
      </c>
      <c r="X2353" s="1">
        <v>0</v>
      </c>
      <c r="Y2353" s="1">
        <v>0</v>
      </c>
      <c r="Z2353" s="1">
        <v>0</v>
      </c>
      <c r="AA2353" s="1">
        <v>5</v>
      </c>
      <c r="AB2353" s="1">
        <v>5</v>
      </c>
      <c r="AC2353" s="1">
        <v>4</v>
      </c>
      <c r="AD2353" s="1" t="s">
        <v>109</v>
      </c>
      <c r="AE2353" s="1" t="s">
        <v>109</v>
      </c>
      <c r="AF2353" s="1" t="s">
        <v>109</v>
      </c>
      <c r="AG2353" s="1" t="s">
        <v>109</v>
      </c>
      <c r="AH2353" s="1" t="s">
        <v>109</v>
      </c>
      <c r="AI2353" s="1" t="s">
        <v>109</v>
      </c>
      <c r="AJ2353" s="1">
        <v>4</v>
      </c>
      <c r="AK2353" s="1">
        <v>4</v>
      </c>
      <c r="AL2353" s="1">
        <v>4</v>
      </c>
      <c r="AM2353" s="1">
        <v>4</v>
      </c>
      <c r="AN2353" s="1" t="s">
        <v>109</v>
      </c>
      <c r="AO2353" s="1" t="s">
        <v>109</v>
      </c>
      <c r="AP2353" s="1"/>
      <c r="AQ2353" s="1">
        <v>5</v>
      </c>
      <c r="AR2353" s="1"/>
      <c r="AS2353" s="1" t="s">
        <v>16811</v>
      </c>
      <c r="AT2353" s="1">
        <v>0</v>
      </c>
      <c r="AU2353" s="1">
        <v>0</v>
      </c>
      <c r="AV2353" s="1">
        <v>0</v>
      </c>
      <c r="AW2353" s="1">
        <v>0</v>
      </c>
      <c r="AX2353" s="1">
        <v>1</v>
      </c>
      <c r="AY2353" s="1">
        <v>0</v>
      </c>
      <c r="AZ2353" s="1">
        <v>0</v>
      </c>
      <c r="BA2353" s="1">
        <v>0</v>
      </c>
      <c r="BB2353" s="1">
        <v>0</v>
      </c>
      <c r="BC2353" s="1">
        <v>0</v>
      </c>
      <c r="BD2353" s="1">
        <v>0</v>
      </c>
      <c r="BE2353" s="1">
        <v>0</v>
      </c>
      <c r="BF2353" s="1">
        <v>0</v>
      </c>
      <c r="BG2353" s="1">
        <v>0</v>
      </c>
      <c r="BH2353" s="1">
        <v>0</v>
      </c>
      <c r="BI2353" s="1">
        <v>0</v>
      </c>
      <c r="BJ2353" s="1">
        <v>0</v>
      </c>
      <c r="BK2353" s="1">
        <v>0</v>
      </c>
      <c r="BL2353" s="1">
        <v>0</v>
      </c>
      <c r="BM2353" s="1">
        <v>0</v>
      </c>
      <c r="BN2353" s="1">
        <v>0</v>
      </c>
      <c r="BO2353" s="1">
        <v>0</v>
      </c>
      <c r="BP2353" s="1">
        <v>0</v>
      </c>
      <c r="BQ2353" s="1">
        <v>0</v>
      </c>
      <c r="BR2353" s="1">
        <v>0</v>
      </c>
      <c r="BS2353" s="1" t="s">
        <v>109</v>
      </c>
      <c r="BT2353" s="1">
        <v>2444</v>
      </c>
      <c r="BU2353" s="1" t="s">
        <v>109</v>
      </c>
      <c r="BV2353" s="1"/>
      <c r="BW2353" s="1"/>
      <c r="BX2353" s="1"/>
      <c r="BY2353" s="1"/>
      <c r="BZ2353" s="1">
        <v>0</v>
      </c>
      <c r="CA2353" s="1" t="s">
        <v>109</v>
      </c>
      <c r="CB2353" s="1">
        <v>4</v>
      </c>
      <c r="CC2353" s="1">
        <v>5</v>
      </c>
      <c r="CD2353" s="1">
        <v>3</v>
      </c>
      <c r="CE2353" s="1">
        <v>3</v>
      </c>
      <c r="CF2353" s="1">
        <v>4</v>
      </c>
      <c r="CG2353" s="1">
        <v>5</v>
      </c>
      <c r="CH2353" s="1" t="s">
        <v>109</v>
      </c>
      <c r="CI2353" s="1" t="s">
        <v>109</v>
      </c>
      <c r="CJ2353" s="1" t="s">
        <v>109</v>
      </c>
      <c r="CK2353" s="1"/>
      <c r="CL2353" s="1">
        <v>0</v>
      </c>
      <c r="CM2353" s="1">
        <v>0</v>
      </c>
      <c r="CN2353" s="1">
        <v>0</v>
      </c>
    </row>
    <row r="2354" spans="1:92" ht="14.25" customHeight="1" x14ac:dyDescent="0.15">
      <c r="A2354" s="1" t="s">
        <v>16812</v>
      </c>
      <c r="B2354" s="1" t="s">
        <v>242</v>
      </c>
      <c r="C2354" s="1"/>
      <c r="D2354" s="1"/>
      <c r="E2354" s="1" t="s">
        <v>16813</v>
      </c>
      <c r="F2354" s="1" t="s">
        <v>6545</v>
      </c>
      <c r="G2354" s="1" t="s">
        <v>333</v>
      </c>
      <c r="H2354" s="1">
        <v>0</v>
      </c>
      <c r="I2354" s="1"/>
      <c r="J2354" s="1"/>
      <c r="K2354" s="1"/>
      <c r="L2354" s="1" t="s">
        <v>7789</v>
      </c>
      <c r="M2354" s="1" t="s">
        <v>5811</v>
      </c>
      <c r="N2354" s="1">
        <v>1</v>
      </c>
      <c r="O2354" s="1">
        <v>0</v>
      </c>
      <c r="P2354" s="1" t="s">
        <v>11157</v>
      </c>
      <c r="Q2354" s="1" t="s">
        <v>268</v>
      </c>
      <c r="R2354" s="1" t="s">
        <v>16814</v>
      </c>
      <c r="S2354" s="1" t="s">
        <v>16815</v>
      </c>
      <c r="T2354" s="1" t="s">
        <v>16709</v>
      </c>
      <c r="U2354" s="1" t="s">
        <v>16816</v>
      </c>
      <c r="V2354" s="1">
        <v>1</v>
      </c>
      <c r="W2354" s="1">
        <v>0</v>
      </c>
      <c r="X2354" s="1">
        <v>0</v>
      </c>
      <c r="Y2354" s="1">
        <v>0</v>
      </c>
      <c r="Z2354" s="1">
        <v>0</v>
      </c>
      <c r="AA2354" s="1" t="s">
        <v>109</v>
      </c>
      <c r="AB2354" s="1" t="s">
        <v>109</v>
      </c>
      <c r="AC2354" s="1">
        <v>2</v>
      </c>
      <c r="AD2354" s="1" t="s">
        <v>109</v>
      </c>
      <c r="AE2354" s="1" t="s">
        <v>109</v>
      </c>
      <c r="AF2354" s="1">
        <v>2</v>
      </c>
      <c r="AG2354" s="1">
        <v>1</v>
      </c>
      <c r="AH2354" s="1" t="s">
        <v>109</v>
      </c>
      <c r="AI2354" s="1" t="s">
        <v>109</v>
      </c>
      <c r="AJ2354" s="1">
        <v>2</v>
      </c>
      <c r="AK2354" s="1">
        <v>2</v>
      </c>
      <c r="AL2354" s="1">
        <v>2</v>
      </c>
      <c r="AM2354" s="1">
        <v>1</v>
      </c>
      <c r="AN2354" s="1" t="s">
        <v>109</v>
      </c>
      <c r="AO2354" s="1" t="s">
        <v>109</v>
      </c>
      <c r="AP2354" s="1"/>
      <c r="AQ2354" s="1">
        <v>2</v>
      </c>
      <c r="AR2354" s="1"/>
      <c r="AS2354" s="1" t="s">
        <v>16817</v>
      </c>
      <c r="AT2354" s="1">
        <v>0</v>
      </c>
      <c r="AU2354" s="1">
        <v>0</v>
      </c>
      <c r="AV2354" s="1">
        <v>0</v>
      </c>
      <c r="AW2354" s="1">
        <v>0</v>
      </c>
      <c r="AX2354" s="1">
        <v>0</v>
      </c>
      <c r="AY2354" s="1">
        <v>0</v>
      </c>
      <c r="AZ2354" s="1">
        <v>0</v>
      </c>
      <c r="BA2354" s="1">
        <v>0</v>
      </c>
      <c r="BB2354" s="1">
        <v>0</v>
      </c>
      <c r="BC2354" s="1">
        <v>0</v>
      </c>
      <c r="BD2354" s="1">
        <v>0</v>
      </c>
      <c r="BE2354" s="1">
        <v>0</v>
      </c>
      <c r="BF2354" s="1">
        <v>0</v>
      </c>
      <c r="BG2354" s="1">
        <v>0</v>
      </c>
      <c r="BH2354" s="1">
        <v>0</v>
      </c>
      <c r="BI2354" s="1">
        <v>0</v>
      </c>
      <c r="BJ2354" s="1">
        <v>0</v>
      </c>
      <c r="BK2354" s="1">
        <v>0</v>
      </c>
      <c r="BL2354" s="1">
        <v>0</v>
      </c>
      <c r="BM2354" s="1">
        <v>0</v>
      </c>
      <c r="BN2354" s="1">
        <v>0</v>
      </c>
      <c r="BO2354" s="1">
        <v>0</v>
      </c>
      <c r="BP2354" s="1">
        <v>0</v>
      </c>
      <c r="BQ2354" s="1">
        <v>0</v>
      </c>
      <c r="BR2354" s="1">
        <v>0</v>
      </c>
      <c r="BS2354" s="1" t="s">
        <v>109</v>
      </c>
      <c r="BT2354" s="1">
        <v>2445</v>
      </c>
      <c r="BU2354" s="1" t="s">
        <v>109</v>
      </c>
      <c r="BV2354" s="1"/>
      <c r="BW2354" s="1"/>
      <c r="BX2354" s="1"/>
      <c r="BY2354" s="1"/>
      <c r="BZ2354" s="1">
        <v>0</v>
      </c>
      <c r="CA2354" s="1" t="s">
        <v>109</v>
      </c>
      <c r="CB2354" s="1" t="s">
        <v>109</v>
      </c>
      <c r="CC2354" s="1" t="s">
        <v>109</v>
      </c>
      <c r="CD2354" s="1" t="s">
        <v>109</v>
      </c>
      <c r="CE2354" s="1">
        <v>2</v>
      </c>
      <c r="CF2354" s="1">
        <v>2</v>
      </c>
      <c r="CG2354" s="1" t="s">
        <v>109</v>
      </c>
      <c r="CH2354" s="1" t="s">
        <v>109</v>
      </c>
      <c r="CI2354" s="1" t="s">
        <v>109</v>
      </c>
      <c r="CJ2354" s="1" t="s">
        <v>109</v>
      </c>
      <c r="CK2354" s="1"/>
      <c r="CL2354" s="1">
        <v>0</v>
      </c>
      <c r="CM2354" s="1">
        <v>0</v>
      </c>
      <c r="CN2354" s="1">
        <v>0</v>
      </c>
    </row>
    <row r="2355" spans="1:92" ht="14.25" customHeight="1" x14ac:dyDescent="0.15">
      <c r="A2355" s="1" t="s">
        <v>16818</v>
      </c>
      <c r="B2355" s="1" t="s">
        <v>242</v>
      </c>
      <c r="C2355" s="1"/>
      <c r="D2355" s="1"/>
      <c r="E2355" s="1" t="s">
        <v>16819</v>
      </c>
      <c r="F2355" s="1" t="s">
        <v>1963</v>
      </c>
      <c r="G2355" s="1" t="s">
        <v>2345</v>
      </c>
      <c r="H2355" s="1">
        <v>0</v>
      </c>
      <c r="I2355" s="1" t="s">
        <v>122</v>
      </c>
      <c r="J2355" s="1" t="s">
        <v>16820</v>
      </c>
      <c r="K2355" s="1"/>
      <c r="L2355" s="1"/>
      <c r="M2355" s="1" t="s">
        <v>355</v>
      </c>
      <c r="N2355" s="1">
        <v>0</v>
      </c>
      <c r="O2355" s="1">
        <v>0</v>
      </c>
      <c r="P2355" s="1" t="s">
        <v>7902</v>
      </c>
      <c r="Q2355" s="1" t="s">
        <v>630</v>
      </c>
      <c r="R2355" s="1" t="s">
        <v>16821</v>
      </c>
      <c r="S2355" s="1" t="s">
        <v>16822</v>
      </c>
      <c r="T2355" s="1" t="s">
        <v>16709</v>
      </c>
      <c r="U2355" s="1" t="s">
        <v>16823</v>
      </c>
      <c r="V2355" s="1">
        <v>0</v>
      </c>
      <c r="W2355" s="1">
        <v>1</v>
      </c>
      <c r="X2355" s="1">
        <v>0</v>
      </c>
      <c r="Y2355" s="1">
        <v>0</v>
      </c>
      <c r="Z2355" s="1">
        <v>0</v>
      </c>
      <c r="AA2355" s="1">
        <v>4</v>
      </c>
      <c r="AB2355" s="1">
        <v>4</v>
      </c>
      <c r="AC2355" s="1" t="s">
        <v>109</v>
      </c>
      <c r="AD2355" s="1" t="s">
        <v>109</v>
      </c>
      <c r="AE2355" s="1" t="s">
        <v>109</v>
      </c>
      <c r="AF2355" s="1">
        <v>4</v>
      </c>
      <c r="AG2355" s="1" t="s">
        <v>109</v>
      </c>
      <c r="AH2355" s="1" t="s">
        <v>109</v>
      </c>
      <c r="AI2355" s="1">
        <v>3</v>
      </c>
      <c r="AJ2355" s="1">
        <v>4</v>
      </c>
      <c r="AK2355" s="1" t="s">
        <v>109</v>
      </c>
      <c r="AL2355" s="1" t="s">
        <v>109</v>
      </c>
      <c r="AM2355" s="1" t="s">
        <v>109</v>
      </c>
      <c r="AN2355" s="1">
        <v>3</v>
      </c>
      <c r="AO2355" s="1" t="s">
        <v>109</v>
      </c>
      <c r="AP2355" s="1"/>
      <c r="AQ2355" s="1">
        <v>4</v>
      </c>
      <c r="AR2355" s="1"/>
      <c r="AS2355" s="1" t="s">
        <v>16824</v>
      </c>
      <c r="AT2355" s="1">
        <v>0</v>
      </c>
      <c r="AU2355" s="1">
        <v>0</v>
      </c>
      <c r="AV2355" s="1">
        <v>0</v>
      </c>
      <c r="AW2355" s="1">
        <v>0</v>
      </c>
      <c r="AX2355" s="1">
        <v>0</v>
      </c>
      <c r="AY2355" s="1">
        <v>0</v>
      </c>
      <c r="AZ2355" s="1">
        <v>0</v>
      </c>
      <c r="BA2355" s="1">
        <v>0</v>
      </c>
      <c r="BB2355" s="1">
        <v>0</v>
      </c>
      <c r="BC2355" s="1">
        <v>0</v>
      </c>
      <c r="BD2355" s="1">
        <v>0</v>
      </c>
      <c r="BE2355" s="1">
        <v>0</v>
      </c>
      <c r="BF2355" s="1">
        <v>0</v>
      </c>
      <c r="BG2355" s="1">
        <v>0</v>
      </c>
      <c r="BH2355" s="1">
        <v>0</v>
      </c>
      <c r="BI2355" s="1">
        <v>0</v>
      </c>
      <c r="BJ2355" s="1">
        <v>0</v>
      </c>
      <c r="BK2355" s="1">
        <v>0</v>
      </c>
      <c r="BL2355" s="1">
        <v>0</v>
      </c>
      <c r="BM2355" s="1">
        <v>0</v>
      </c>
      <c r="BN2355" s="1">
        <v>0</v>
      </c>
      <c r="BO2355" s="1">
        <v>0</v>
      </c>
      <c r="BP2355" s="1">
        <v>0</v>
      </c>
      <c r="BQ2355" s="1">
        <v>0</v>
      </c>
      <c r="BR2355" s="1">
        <v>0</v>
      </c>
      <c r="BS2355" s="1" t="s">
        <v>109</v>
      </c>
      <c r="BT2355" s="1">
        <v>2446</v>
      </c>
      <c r="BU2355" s="1" t="s">
        <v>109</v>
      </c>
      <c r="BV2355" s="1"/>
      <c r="BW2355" s="1"/>
      <c r="BX2355" s="1"/>
      <c r="BY2355" s="1"/>
      <c r="BZ2355" s="1">
        <v>0</v>
      </c>
      <c r="CA2355" s="1" t="s">
        <v>109</v>
      </c>
      <c r="CB2355" s="1" t="s">
        <v>109</v>
      </c>
      <c r="CC2355" s="1">
        <v>4</v>
      </c>
      <c r="CD2355" s="1">
        <v>4</v>
      </c>
      <c r="CE2355" s="1" t="s">
        <v>109</v>
      </c>
      <c r="CF2355" s="1">
        <v>4</v>
      </c>
      <c r="CG2355" s="1">
        <v>4</v>
      </c>
      <c r="CH2355" s="1" t="s">
        <v>109</v>
      </c>
      <c r="CI2355" s="1" t="s">
        <v>109</v>
      </c>
      <c r="CJ2355" s="1" t="s">
        <v>109</v>
      </c>
      <c r="CK2355" s="1"/>
      <c r="CL2355" s="1">
        <v>0</v>
      </c>
      <c r="CM2355" s="1">
        <v>0</v>
      </c>
      <c r="CN2355" s="1">
        <v>0</v>
      </c>
    </row>
    <row r="2356" spans="1:92" ht="14.25" customHeight="1" x14ac:dyDescent="0.15">
      <c r="A2356" s="1" t="s">
        <v>16825</v>
      </c>
      <c r="B2356" s="1" t="s">
        <v>95</v>
      </c>
      <c r="C2356" s="1" t="s">
        <v>96</v>
      </c>
      <c r="D2356" s="1"/>
      <c r="E2356" s="1" t="s">
        <v>16826</v>
      </c>
      <c r="F2356" s="1" t="s">
        <v>355</v>
      </c>
      <c r="G2356" s="1" t="s">
        <v>16827</v>
      </c>
      <c r="H2356" s="1">
        <v>0</v>
      </c>
      <c r="I2356" s="1" t="s">
        <v>142</v>
      </c>
      <c r="J2356" s="1"/>
      <c r="K2356" s="1" t="s">
        <v>16828</v>
      </c>
      <c r="L2356" s="1"/>
      <c r="M2356" s="1" t="s">
        <v>815</v>
      </c>
      <c r="N2356" s="1">
        <v>1</v>
      </c>
      <c r="O2356" s="1">
        <v>0</v>
      </c>
      <c r="P2356" s="1" t="s">
        <v>103</v>
      </c>
      <c r="Q2356" s="1" t="s">
        <v>104</v>
      </c>
      <c r="R2356" s="1" t="s">
        <v>16829</v>
      </c>
      <c r="S2356" s="1" t="s">
        <v>16830</v>
      </c>
      <c r="T2356" s="1" t="s">
        <v>16709</v>
      </c>
      <c r="U2356" s="1" t="s">
        <v>16831</v>
      </c>
      <c r="V2356" s="1">
        <v>1</v>
      </c>
      <c r="W2356" s="1">
        <v>1</v>
      </c>
      <c r="X2356" s="1">
        <v>1</v>
      </c>
      <c r="Y2356" s="1">
        <v>0</v>
      </c>
      <c r="Z2356" s="1">
        <v>0</v>
      </c>
      <c r="AA2356" s="1">
        <v>3</v>
      </c>
      <c r="AB2356" s="1">
        <v>3</v>
      </c>
      <c r="AC2356" s="1" t="s">
        <v>109</v>
      </c>
      <c r="AD2356" s="1" t="s">
        <v>109</v>
      </c>
      <c r="AE2356" s="1" t="s">
        <v>109</v>
      </c>
      <c r="AF2356" s="1">
        <v>3</v>
      </c>
      <c r="AG2356" s="1" t="s">
        <v>109</v>
      </c>
      <c r="AH2356" s="1" t="s">
        <v>109</v>
      </c>
      <c r="AI2356" s="1">
        <v>3</v>
      </c>
      <c r="AJ2356" s="1">
        <v>3</v>
      </c>
      <c r="AK2356" s="1" t="s">
        <v>109</v>
      </c>
      <c r="AL2356" s="1" t="s">
        <v>109</v>
      </c>
      <c r="AM2356" s="1" t="s">
        <v>109</v>
      </c>
      <c r="AN2356" s="1">
        <v>3</v>
      </c>
      <c r="AO2356" s="1" t="s">
        <v>109</v>
      </c>
      <c r="AP2356" s="1"/>
      <c r="AQ2356" s="1">
        <v>3</v>
      </c>
      <c r="AR2356" s="1"/>
      <c r="AS2356" s="1" t="s">
        <v>16832</v>
      </c>
      <c r="AT2356" s="1">
        <v>0</v>
      </c>
      <c r="AU2356" s="1">
        <v>0</v>
      </c>
      <c r="AV2356" s="1">
        <v>0</v>
      </c>
      <c r="AW2356" s="1">
        <v>0</v>
      </c>
      <c r="AX2356" s="1">
        <v>0</v>
      </c>
      <c r="AY2356" s="1">
        <v>0</v>
      </c>
      <c r="AZ2356" s="1">
        <v>0</v>
      </c>
      <c r="BA2356" s="1">
        <v>0</v>
      </c>
      <c r="BB2356" s="1">
        <v>0</v>
      </c>
      <c r="BC2356" s="1">
        <v>0</v>
      </c>
      <c r="BD2356" s="1">
        <v>0</v>
      </c>
      <c r="BE2356" s="1">
        <v>0</v>
      </c>
      <c r="BF2356" s="1">
        <v>0</v>
      </c>
      <c r="BG2356" s="1">
        <v>0</v>
      </c>
      <c r="BH2356" s="1">
        <v>0</v>
      </c>
      <c r="BI2356" s="1">
        <v>0</v>
      </c>
      <c r="BJ2356" s="1">
        <v>0</v>
      </c>
      <c r="BK2356" s="1">
        <v>0</v>
      </c>
      <c r="BL2356" s="1">
        <v>0</v>
      </c>
      <c r="BM2356" s="1">
        <v>0</v>
      </c>
      <c r="BN2356" s="1">
        <v>0</v>
      </c>
      <c r="BO2356" s="1">
        <v>0</v>
      </c>
      <c r="BP2356" s="1">
        <v>0</v>
      </c>
      <c r="BQ2356" s="1">
        <v>0</v>
      </c>
      <c r="BR2356" s="1">
        <v>0</v>
      </c>
      <c r="BS2356" s="1" t="s">
        <v>109</v>
      </c>
      <c r="BT2356" s="1">
        <v>2447</v>
      </c>
      <c r="BU2356" s="1" t="s">
        <v>109</v>
      </c>
      <c r="BV2356" s="1"/>
      <c r="BW2356" s="1"/>
      <c r="BX2356" s="1"/>
      <c r="BY2356" s="1"/>
      <c r="BZ2356" s="1">
        <v>0</v>
      </c>
      <c r="CA2356" s="1" t="s">
        <v>109</v>
      </c>
      <c r="CB2356" s="1" t="s">
        <v>109</v>
      </c>
      <c r="CC2356" s="1" t="s">
        <v>109</v>
      </c>
      <c r="CD2356" s="1" t="s">
        <v>109</v>
      </c>
      <c r="CE2356" s="1" t="s">
        <v>109</v>
      </c>
      <c r="CF2356" s="1" t="s">
        <v>109</v>
      </c>
      <c r="CG2356" s="1" t="s">
        <v>109</v>
      </c>
      <c r="CH2356" s="1" t="s">
        <v>109</v>
      </c>
      <c r="CI2356" s="1" t="s">
        <v>109</v>
      </c>
      <c r="CJ2356" s="1" t="s">
        <v>109</v>
      </c>
      <c r="CK2356" s="1"/>
      <c r="CL2356" s="1">
        <v>0</v>
      </c>
      <c r="CM2356" s="1">
        <v>0</v>
      </c>
      <c r="CN2356" s="1">
        <v>0</v>
      </c>
    </row>
    <row r="2357" spans="1:92" ht="14.25" customHeight="1" x14ac:dyDescent="0.15">
      <c r="A2357" s="1" t="s">
        <v>16833</v>
      </c>
      <c r="B2357" s="1" t="s">
        <v>308</v>
      </c>
      <c r="C2357" s="1"/>
      <c r="D2357" s="1" t="s">
        <v>14697</v>
      </c>
      <c r="E2357" s="1" t="s">
        <v>16834</v>
      </c>
      <c r="F2357" s="1" t="s">
        <v>98</v>
      </c>
      <c r="G2357" s="1" t="s">
        <v>16835</v>
      </c>
      <c r="H2357" s="1">
        <v>1</v>
      </c>
      <c r="I2357" s="1" t="s">
        <v>161</v>
      </c>
      <c r="J2357" s="1"/>
      <c r="K2357" s="1"/>
      <c r="L2357" s="1" t="s">
        <v>16836</v>
      </c>
      <c r="M2357" s="1" t="s">
        <v>2044</v>
      </c>
      <c r="N2357" s="1">
        <v>1</v>
      </c>
      <c r="O2357" s="1">
        <v>0</v>
      </c>
      <c r="P2357" s="1" t="s">
        <v>267</v>
      </c>
      <c r="Q2357" s="1" t="s">
        <v>268</v>
      </c>
      <c r="R2357" s="1" t="s">
        <v>16837</v>
      </c>
      <c r="S2357" s="1" t="s">
        <v>16838</v>
      </c>
      <c r="T2357" s="1" t="s">
        <v>16709</v>
      </c>
      <c r="U2357" s="1" t="s">
        <v>16839</v>
      </c>
      <c r="V2357" s="1">
        <v>1</v>
      </c>
      <c r="W2357" s="1">
        <v>1</v>
      </c>
      <c r="X2357" s="1">
        <v>1</v>
      </c>
      <c r="Y2357" s="1">
        <v>0</v>
      </c>
      <c r="Z2357" s="1">
        <v>0</v>
      </c>
      <c r="AA2357" s="1">
        <v>4</v>
      </c>
      <c r="AB2357" s="1">
        <v>4</v>
      </c>
      <c r="AC2357" s="1" t="s">
        <v>109</v>
      </c>
      <c r="AD2357" s="1" t="s">
        <v>109</v>
      </c>
      <c r="AE2357" s="1" t="s">
        <v>109</v>
      </c>
      <c r="AF2357" s="1" t="s">
        <v>109</v>
      </c>
      <c r="AG2357" s="1" t="s">
        <v>109</v>
      </c>
      <c r="AH2357" s="1" t="s">
        <v>109</v>
      </c>
      <c r="AI2357" s="1" t="s">
        <v>109</v>
      </c>
      <c r="AJ2357" s="1" t="s">
        <v>109</v>
      </c>
      <c r="AK2357" s="1" t="s">
        <v>109</v>
      </c>
      <c r="AL2357" s="1" t="s">
        <v>109</v>
      </c>
      <c r="AM2357" s="1" t="s">
        <v>109</v>
      </c>
      <c r="AN2357" s="1" t="s">
        <v>109</v>
      </c>
      <c r="AO2357" s="1" t="s">
        <v>109</v>
      </c>
      <c r="AP2357" s="1"/>
      <c r="AQ2357" s="1">
        <v>4</v>
      </c>
      <c r="AR2357" s="1"/>
      <c r="AS2357" s="1" t="s">
        <v>16840</v>
      </c>
      <c r="AT2357" s="1">
        <v>0</v>
      </c>
      <c r="AU2357" s="1">
        <v>0</v>
      </c>
      <c r="AV2357" s="1">
        <v>0</v>
      </c>
      <c r="AW2357" s="1">
        <v>0</v>
      </c>
      <c r="AX2357" s="1">
        <v>0</v>
      </c>
      <c r="AY2357" s="1">
        <v>0</v>
      </c>
      <c r="AZ2357" s="1">
        <v>0</v>
      </c>
      <c r="BA2357" s="1">
        <v>0</v>
      </c>
      <c r="BB2357" s="1">
        <v>0</v>
      </c>
      <c r="BC2357" s="1">
        <v>0</v>
      </c>
      <c r="BD2357" s="1">
        <v>0</v>
      </c>
      <c r="BE2357" s="1">
        <v>0</v>
      </c>
      <c r="BF2357" s="1">
        <v>0</v>
      </c>
      <c r="BG2357" s="1">
        <v>0</v>
      </c>
      <c r="BH2357" s="1">
        <v>0</v>
      </c>
      <c r="BI2357" s="1">
        <v>0</v>
      </c>
      <c r="BJ2357" s="1">
        <v>0</v>
      </c>
      <c r="BK2357" s="1">
        <v>0</v>
      </c>
      <c r="BL2357" s="1">
        <v>0</v>
      </c>
      <c r="BM2357" s="1">
        <v>0</v>
      </c>
      <c r="BN2357" s="1">
        <v>0</v>
      </c>
      <c r="BO2357" s="1">
        <v>1</v>
      </c>
      <c r="BP2357" s="1">
        <v>0</v>
      </c>
      <c r="BQ2357" s="1">
        <v>0</v>
      </c>
      <c r="BR2357" s="1">
        <v>0</v>
      </c>
      <c r="BS2357" s="1" t="s">
        <v>109</v>
      </c>
      <c r="BT2357" s="1">
        <v>2448</v>
      </c>
      <c r="BU2357" s="1">
        <v>100</v>
      </c>
      <c r="BV2357" s="1"/>
      <c r="BW2357" s="1"/>
      <c r="BX2357" s="1"/>
      <c r="BY2357" s="1"/>
      <c r="BZ2357" s="1">
        <v>0</v>
      </c>
      <c r="CA2357" s="1" t="s">
        <v>109</v>
      </c>
      <c r="CB2357" s="1">
        <v>4</v>
      </c>
      <c r="CC2357" s="1" t="s">
        <v>109</v>
      </c>
      <c r="CD2357" s="1" t="s">
        <v>109</v>
      </c>
      <c r="CE2357" s="1" t="s">
        <v>109</v>
      </c>
      <c r="CF2357" s="1" t="s">
        <v>109</v>
      </c>
      <c r="CG2357" s="1" t="s">
        <v>109</v>
      </c>
      <c r="CH2357" s="1" t="s">
        <v>109</v>
      </c>
      <c r="CI2357" s="1" t="s">
        <v>109</v>
      </c>
      <c r="CJ2357" s="1" t="s">
        <v>109</v>
      </c>
      <c r="CK2357" s="1"/>
      <c r="CL2357" s="1">
        <v>0</v>
      </c>
      <c r="CM2357" s="1">
        <v>0</v>
      </c>
      <c r="CN2357" s="1">
        <v>0</v>
      </c>
    </row>
    <row r="2358" spans="1:92" ht="14.25" customHeight="1" x14ac:dyDescent="0.15">
      <c r="A2358" s="1" t="s">
        <v>16841</v>
      </c>
      <c r="B2358" s="1" t="s">
        <v>584</v>
      </c>
      <c r="C2358" s="1"/>
      <c r="D2358" s="1" t="s">
        <v>16842</v>
      </c>
      <c r="E2358" s="1" t="s">
        <v>16843</v>
      </c>
      <c r="F2358" s="1" t="s">
        <v>98</v>
      </c>
      <c r="G2358" s="1" t="s">
        <v>1372</v>
      </c>
      <c r="H2358" s="1">
        <v>0</v>
      </c>
      <c r="I2358" s="1" t="s">
        <v>100</v>
      </c>
      <c r="J2358" s="1" t="s">
        <v>12391</v>
      </c>
      <c r="K2358" s="1"/>
      <c r="L2358" s="1"/>
      <c r="M2358" s="1" t="s">
        <v>144</v>
      </c>
      <c r="N2358" s="1">
        <v>0</v>
      </c>
      <c r="O2358" s="1">
        <v>0</v>
      </c>
      <c r="P2358" s="1" t="s">
        <v>727</v>
      </c>
      <c r="Q2358" s="1" t="s">
        <v>268</v>
      </c>
      <c r="R2358" s="1" t="s">
        <v>16844</v>
      </c>
      <c r="S2358" s="1" t="s">
        <v>16845</v>
      </c>
      <c r="T2358" s="1" t="s">
        <v>16709</v>
      </c>
      <c r="U2358" s="1" t="s">
        <v>16846</v>
      </c>
      <c r="V2358" s="1">
        <v>1</v>
      </c>
      <c r="W2358" s="1">
        <v>1</v>
      </c>
      <c r="X2358" s="1">
        <v>1</v>
      </c>
      <c r="Y2358" s="1">
        <v>0</v>
      </c>
      <c r="Z2358" s="1">
        <v>0</v>
      </c>
      <c r="AA2358" s="1">
        <v>4</v>
      </c>
      <c r="AB2358" s="1">
        <v>4</v>
      </c>
      <c r="AC2358" s="1" t="s">
        <v>109</v>
      </c>
      <c r="AD2358" s="1" t="s">
        <v>109</v>
      </c>
      <c r="AE2358" s="1" t="s">
        <v>109</v>
      </c>
      <c r="AF2358" s="1" t="s">
        <v>109</v>
      </c>
      <c r="AG2358" s="1" t="s">
        <v>109</v>
      </c>
      <c r="AH2358" s="1" t="s">
        <v>109</v>
      </c>
      <c r="AI2358" s="1" t="s">
        <v>109</v>
      </c>
      <c r="AJ2358" s="1" t="s">
        <v>109</v>
      </c>
      <c r="AK2358" s="1" t="s">
        <v>109</v>
      </c>
      <c r="AL2358" s="1" t="s">
        <v>109</v>
      </c>
      <c r="AM2358" s="1" t="s">
        <v>109</v>
      </c>
      <c r="AN2358" s="1">
        <v>4</v>
      </c>
      <c r="AO2358" s="1" t="s">
        <v>109</v>
      </c>
      <c r="AP2358" s="1"/>
      <c r="AQ2358" s="1">
        <v>4</v>
      </c>
      <c r="AR2358" s="1"/>
      <c r="AS2358" s="1" t="s">
        <v>16847</v>
      </c>
      <c r="AT2358" s="1">
        <v>0</v>
      </c>
      <c r="AU2358" s="1">
        <v>0</v>
      </c>
      <c r="AV2358" s="1">
        <v>0</v>
      </c>
      <c r="AW2358" s="1">
        <v>0</v>
      </c>
      <c r="AX2358" s="1">
        <v>0</v>
      </c>
      <c r="AY2358" s="1">
        <v>0</v>
      </c>
      <c r="AZ2358" s="1">
        <v>0</v>
      </c>
      <c r="BA2358" s="1">
        <v>0</v>
      </c>
      <c r="BB2358" s="1">
        <v>0</v>
      </c>
      <c r="BC2358" s="1">
        <v>0</v>
      </c>
      <c r="BD2358" s="1">
        <v>0</v>
      </c>
      <c r="BE2358" s="1">
        <v>0</v>
      </c>
      <c r="BF2358" s="1">
        <v>0</v>
      </c>
      <c r="BG2358" s="1">
        <v>1</v>
      </c>
      <c r="BH2358" s="1">
        <v>0</v>
      </c>
      <c r="BI2358" s="1">
        <v>0</v>
      </c>
      <c r="BJ2358" s="1">
        <v>0</v>
      </c>
      <c r="BK2358" s="1">
        <v>0</v>
      </c>
      <c r="BL2358" s="1">
        <v>0</v>
      </c>
      <c r="BM2358" s="1">
        <v>0</v>
      </c>
      <c r="BN2358" s="1">
        <v>0</v>
      </c>
      <c r="BO2358" s="1">
        <v>0</v>
      </c>
      <c r="BP2358" s="1">
        <v>0</v>
      </c>
      <c r="BQ2358" s="1">
        <v>0</v>
      </c>
      <c r="BR2358" s="1">
        <v>0</v>
      </c>
      <c r="BS2358" s="1" t="s">
        <v>109</v>
      </c>
      <c r="BT2358" s="1">
        <v>2449</v>
      </c>
      <c r="BU2358" s="1" t="s">
        <v>109</v>
      </c>
      <c r="BV2358" s="1"/>
      <c r="BW2358" s="1"/>
      <c r="BX2358" s="1"/>
      <c r="BY2358" s="1"/>
      <c r="BZ2358" s="1">
        <v>0</v>
      </c>
      <c r="CA2358" s="1">
        <v>4</v>
      </c>
      <c r="CB2358" s="1" t="s">
        <v>109</v>
      </c>
      <c r="CC2358" s="1" t="s">
        <v>109</v>
      </c>
      <c r="CD2358" s="1" t="s">
        <v>109</v>
      </c>
      <c r="CE2358" s="1" t="s">
        <v>109</v>
      </c>
      <c r="CF2358" s="1">
        <v>4</v>
      </c>
      <c r="CG2358" s="1" t="s">
        <v>109</v>
      </c>
      <c r="CH2358" s="1" t="s">
        <v>109</v>
      </c>
      <c r="CI2358" s="1" t="s">
        <v>109</v>
      </c>
      <c r="CJ2358" s="1" t="s">
        <v>109</v>
      </c>
      <c r="CK2358" s="1"/>
      <c r="CL2358" s="1">
        <v>1</v>
      </c>
      <c r="CM2358" s="1">
        <v>0</v>
      </c>
      <c r="CN2358" s="1">
        <v>0</v>
      </c>
    </row>
    <row r="2359" spans="1:92" ht="14.25" customHeight="1" x14ac:dyDescent="0.15">
      <c r="A2359" s="1" t="s">
        <v>16848</v>
      </c>
      <c r="B2359" s="1" t="s">
        <v>156</v>
      </c>
      <c r="C2359" s="1" t="s">
        <v>157</v>
      </c>
      <c r="D2359" s="1" t="s">
        <v>158</v>
      </c>
      <c r="E2359" s="1" t="s">
        <v>16849</v>
      </c>
      <c r="F2359" s="1" t="s">
        <v>98</v>
      </c>
      <c r="G2359" s="1" t="s">
        <v>16850</v>
      </c>
      <c r="H2359" s="1">
        <v>0</v>
      </c>
      <c r="I2359" s="1" t="s">
        <v>142</v>
      </c>
      <c r="J2359" s="1"/>
      <c r="K2359" s="1"/>
      <c r="L2359" s="1" t="s">
        <v>1391</v>
      </c>
      <c r="M2359" s="1" t="s">
        <v>355</v>
      </c>
      <c r="N2359" s="1">
        <v>0</v>
      </c>
      <c r="O2359" s="1">
        <v>0</v>
      </c>
      <c r="P2359" s="1" t="s">
        <v>301</v>
      </c>
      <c r="Q2359" s="1" t="s">
        <v>268</v>
      </c>
      <c r="R2359" s="1" t="s">
        <v>16851</v>
      </c>
      <c r="S2359" s="1" t="s">
        <v>16852</v>
      </c>
      <c r="T2359" s="1" t="s">
        <v>16709</v>
      </c>
      <c r="U2359" s="1" t="s">
        <v>16853</v>
      </c>
      <c r="V2359" s="1">
        <v>1</v>
      </c>
      <c r="W2359" s="1">
        <v>1</v>
      </c>
      <c r="X2359" s="1">
        <v>1</v>
      </c>
      <c r="Y2359" s="1">
        <v>0</v>
      </c>
      <c r="Z2359" s="1">
        <v>0</v>
      </c>
      <c r="AA2359" s="1" t="s">
        <v>109</v>
      </c>
      <c r="AB2359" s="1" t="s">
        <v>109</v>
      </c>
      <c r="AC2359" s="1" t="s">
        <v>109</v>
      </c>
      <c r="AD2359" s="1" t="s">
        <v>109</v>
      </c>
      <c r="AE2359" s="1" t="s">
        <v>109</v>
      </c>
      <c r="AF2359" s="1" t="s">
        <v>109</v>
      </c>
      <c r="AG2359" s="1" t="s">
        <v>109</v>
      </c>
      <c r="AH2359" s="1" t="s">
        <v>109</v>
      </c>
      <c r="AI2359" s="1" t="s">
        <v>109</v>
      </c>
      <c r="AJ2359" s="1" t="s">
        <v>109</v>
      </c>
      <c r="AK2359" s="1" t="s">
        <v>109</v>
      </c>
      <c r="AL2359" s="1" t="s">
        <v>109</v>
      </c>
      <c r="AM2359" s="1">
        <v>1</v>
      </c>
      <c r="AN2359" s="1" t="s">
        <v>109</v>
      </c>
      <c r="AO2359" s="1" t="s">
        <v>109</v>
      </c>
      <c r="AP2359" s="1"/>
      <c r="AQ2359" s="1">
        <v>1</v>
      </c>
      <c r="AR2359" s="1"/>
      <c r="AS2359" s="1" t="s">
        <v>16854</v>
      </c>
      <c r="AT2359" s="1">
        <v>0</v>
      </c>
      <c r="AU2359" s="1">
        <v>0</v>
      </c>
      <c r="AV2359" s="1">
        <v>0</v>
      </c>
      <c r="AW2359" s="1">
        <v>0</v>
      </c>
      <c r="AX2359" s="1">
        <v>0</v>
      </c>
      <c r="AY2359" s="1">
        <v>0</v>
      </c>
      <c r="AZ2359" s="1">
        <v>0</v>
      </c>
      <c r="BA2359" s="1">
        <v>0</v>
      </c>
      <c r="BB2359" s="1">
        <v>0</v>
      </c>
      <c r="BC2359" s="1">
        <v>0</v>
      </c>
      <c r="BD2359" s="1">
        <v>0</v>
      </c>
      <c r="BE2359" s="1">
        <v>0</v>
      </c>
      <c r="BF2359" s="1">
        <v>0</v>
      </c>
      <c r="BG2359" s="1">
        <v>0</v>
      </c>
      <c r="BH2359" s="1">
        <v>0</v>
      </c>
      <c r="BI2359" s="1">
        <v>0</v>
      </c>
      <c r="BJ2359" s="1">
        <v>0</v>
      </c>
      <c r="BK2359" s="1">
        <v>0</v>
      </c>
      <c r="BL2359" s="1">
        <v>0</v>
      </c>
      <c r="BM2359" s="1">
        <v>1</v>
      </c>
      <c r="BN2359" s="1">
        <v>0</v>
      </c>
      <c r="BO2359" s="1">
        <v>0</v>
      </c>
      <c r="BP2359" s="1">
        <v>0</v>
      </c>
      <c r="BQ2359" s="1">
        <v>0</v>
      </c>
      <c r="BR2359" s="1">
        <v>0</v>
      </c>
      <c r="BS2359" s="1" t="s">
        <v>109</v>
      </c>
      <c r="BT2359" s="1">
        <v>2450</v>
      </c>
      <c r="BU2359" s="1" t="s">
        <v>109</v>
      </c>
      <c r="BV2359" s="1"/>
      <c r="BW2359" s="1"/>
      <c r="BX2359" s="1"/>
      <c r="BY2359" s="1"/>
      <c r="BZ2359" s="1">
        <v>0</v>
      </c>
      <c r="CA2359" s="1" t="s">
        <v>109</v>
      </c>
      <c r="CB2359" s="1" t="s">
        <v>109</v>
      </c>
      <c r="CC2359" s="1" t="s">
        <v>109</v>
      </c>
      <c r="CD2359" s="1" t="s">
        <v>109</v>
      </c>
      <c r="CE2359" s="1">
        <v>1</v>
      </c>
      <c r="CF2359" s="1" t="s">
        <v>109</v>
      </c>
      <c r="CG2359" s="1" t="s">
        <v>109</v>
      </c>
      <c r="CH2359" s="1" t="s">
        <v>109</v>
      </c>
      <c r="CI2359" s="1" t="s">
        <v>109</v>
      </c>
      <c r="CJ2359" s="1" t="s">
        <v>109</v>
      </c>
      <c r="CK2359" s="1"/>
      <c r="CL2359" s="1">
        <v>0</v>
      </c>
      <c r="CM2359" s="1">
        <v>0</v>
      </c>
      <c r="CN2359" s="1">
        <v>0</v>
      </c>
    </row>
    <row r="2360" spans="1:92" ht="14.25" customHeight="1" x14ac:dyDescent="0.15">
      <c r="A2360" s="1" t="s">
        <v>16855</v>
      </c>
      <c r="B2360" s="1" t="s">
        <v>156</v>
      </c>
      <c r="C2360" s="1" t="s">
        <v>157</v>
      </c>
      <c r="D2360" s="1" t="s">
        <v>158</v>
      </c>
      <c r="E2360" s="1" t="s">
        <v>16856</v>
      </c>
      <c r="F2360" s="1" t="s">
        <v>98</v>
      </c>
      <c r="G2360" s="1" t="s">
        <v>16857</v>
      </c>
      <c r="H2360" s="1">
        <v>0</v>
      </c>
      <c r="I2360" s="1" t="s">
        <v>122</v>
      </c>
      <c r="J2360" s="1"/>
      <c r="K2360" s="1"/>
      <c r="L2360" s="1" t="s">
        <v>716</v>
      </c>
      <c r="M2360" s="1" t="s">
        <v>574</v>
      </c>
      <c r="N2360" s="1">
        <v>1</v>
      </c>
      <c r="O2360" s="1">
        <v>0</v>
      </c>
      <c r="P2360" s="1" t="s">
        <v>301</v>
      </c>
      <c r="Q2360" s="1" t="s">
        <v>268</v>
      </c>
      <c r="R2360" s="1" t="s">
        <v>16858</v>
      </c>
      <c r="S2360" s="1" t="s">
        <v>16859</v>
      </c>
      <c r="T2360" s="1" t="s">
        <v>16709</v>
      </c>
      <c r="U2360" s="1" t="s">
        <v>16860</v>
      </c>
      <c r="V2360" s="1">
        <v>1</v>
      </c>
      <c r="W2360" s="1">
        <v>1</v>
      </c>
      <c r="X2360" s="1">
        <v>1</v>
      </c>
      <c r="Y2360" s="1">
        <v>0</v>
      </c>
      <c r="Z2360" s="1">
        <v>0</v>
      </c>
      <c r="AA2360" s="1">
        <v>7</v>
      </c>
      <c r="AB2360" s="1">
        <v>7</v>
      </c>
      <c r="AC2360" s="1" t="s">
        <v>109</v>
      </c>
      <c r="AD2360" s="1" t="s">
        <v>109</v>
      </c>
      <c r="AE2360" s="1" t="s">
        <v>109</v>
      </c>
      <c r="AF2360" s="1">
        <v>5</v>
      </c>
      <c r="AG2360" s="1" t="s">
        <v>109</v>
      </c>
      <c r="AH2360" s="1" t="s">
        <v>109</v>
      </c>
      <c r="AI2360" s="1" t="s">
        <v>109</v>
      </c>
      <c r="AJ2360" s="1" t="s">
        <v>109</v>
      </c>
      <c r="AK2360" s="1" t="s">
        <v>109</v>
      </c>
      <c r="AL2360" s="1" t="s">
        <v>109</v>
      </c>
      <c r="AM2360" s="1">
        <v>4</v>
      </c>
      <c r="AN2360" s="1" t="s">
        <v>109</v>
      </c>
      <c r="AO2360" s="1" t="s">
        <v>109</v>
      </c>
      <c r="AP2360" s="1"/>
      <c r="AQ2360" s="1">
        <v>7</v>
      </c>
      <c r="AR2360" s="1"/>
      <c r="AS2360" s="1" t="s">
        <v>16861</v>
      </c>
      <c r="AT2360" s="1">
        <v>0</v>
      </c>
      <c r="AU2360" s="1">
        <v>0</v>
      </c>
      <c r="AV2360" s="1">
        <v>0</v>
      </c>
      <c r="AW2360" s="1">
        <v>0</v>
      </c>
      <c r="AX2360" s="1">
        <v>0</v>
      </c>
      <c r="AY2360" s="1">
        <v>0</v>
      </c>
      <c r="AZ2360" s="1">
        <v>0</v>
      </c>
      <c r="BA2360" s="1">
        <v>0</v>
      </c>
      <c r="BB2360" s="1">
        <v>0</v>
      </c>
      <c r="BC2360" s="1">
        <v>0</v>
      </c>
      <c r="BD2360" s="1">
        <v>0</v>
      </c>
      <c r="BE2360" s="1">
        <v>0</v>
      </c>
      <c r="BF2360" s="1">
        <v>0</v>
      </c>
      <c r="BG2360" s="1">
        <v>0</v>
      </c>
      <c r="BH2360" s="1">
        <v>0</v>
      </c>
      <c r="BI2360" s="1">
        <v>0</v>
      </c>
      <c r="BJ2360" s="1">
        <v>0</v>
      </c>
      <c r="BK2360" s="1">
        <v>0</v>
      </c>
      <c r="BL2360" s="1">
        <v>0</v>
      </c>
      <c r="BM2360" s="1">
        <v>1</v>
      </c>
      <c r="BN2360" s="1">
        <v>0</v>
      </c>
      <c r="BO2360" s="1">
        <v>0</v>
      </c>
      <c r="BP2360" s="1">
        <v>0</v>
      </c>
      <c r="BQ2360" s="1">
        <v>0</v>
      </c>
      <c r="BR2360" s="1">
        <v>0</v>
      </c>
      <c r="BS2360" s="1" t="s">
        <v>109</v>
      </c>
      <c r="BT2360" s="1">
        <v>2451</v>
      </c>
      <c r="BU2360" s="1" t="s">
        <v>109</v>
      </c>
      <c r="BV2360" s="1"/>
      <c r="BW2360" s="1"/>
      <c r="BX2360" s="1"/>
      <c r="BY2360" s="1"/>
      <c r="BZ2360" s="1">
        <v>0</v>
      </c>
      <c r="CA2360" s="1" t="s">
        <v>109</v>
      </c>
      <c r="CB2360" s="1" t="s">
        <v>109</v>
      </c>
      <c r="CC2360" s="1">
        <v>7</v>
      </c>
      <c r="CD2360" s="1" t="s">
        <v>109</v>
      </c>
      <c r="CE2360" s="1">
        <v>5</v>
      </c>
      <c r="CF2360" s="1" t="s">
        <v>109</v>
      </c>
      <c r="CG2360" s="1" t="s">
        <v>109</v>
      </c>
      <c r="CH2360" s="1" t="s">
        <v>109</v>
      </c>
      <c r="CI2360" s="1" t="s">
        <v>109</v>
      </c>
      <c r="CJ2360" s="1" t="s">
        <v>109</v>
      </c>
      <c r="CK2360" s="1"/>
      <c r="CL2360" s="1">
        <v>0</v>
      </c>
      <c r="CM2360" s="1">
        <v>0</v>
      </c>
      <c r="CN2360" s="1">
        <v>0</v>
      </c>
    </row>
    <row r="2361" spans="1:92" ht="14.25" customHeight="1" x14ac:dyDescent="0.15">
      <c r="A2361" s="1" t="s">
        <v>16862</v>
      </c>
      <c r="B2361" s="1" t="s">
        <v>254</v>
      </c>
      <c r="C2361" s="1"/>
      <c r="D2361" s="1"/>
      <c r="E2361" s="1" t="s">
        <v>16863</v>
      </c>
      <c r="F2361" s="1" t="s">
        <v>98</v>
      </c>
      <c r="G2361" s="1" t="s">
        <v>16864</v>
      </c>
      <c r="H2361" s="1">
        <v>0</v>
      </c>
      <c r="I2361" s="1" t="s">
        <v>235</v>
      </c>
      <c r="J2361" s="1"/>
      <c r="K2361" s="1"/>
      <c r="L2361" s="1" t="s">
        <v>236</v>
      </c>
      <c r="M2361" s="1" t="s">
        <v>5642</v>
      </c>
      <c r="N2361" s="1">
        <v>0</v>
      </c>
      <c r="O2361" s="1">
        <v>0</v>
      </c>
      <c r="P2361" s="1"/>
      <c r="Q2361" s="1"/>
      <c r="R2361" s="1" t="s">
        <v>16865</v>
      </c>
      <c r="S2361" s="1" t="s">
        <v>16866</v>
      </c>
      <c r="T2361" s="1" t="s">
        <v>16709</v>
      </c>
      <c r="U2361" s="1" t="s">
        <v>16867</v>
      </c>
      <c r="V2361" s="1">
        <v>1</v>
      </c>
      <c r="W2361" s="1">
        <v>1</v>
      </c>
      <c r="X2361" s="1">
        <v>1</v>
      </c>
      <c r="Y2361" s="1">
        <v>0</v>
      </c>
      <c r="Z2361" s="1">
        <v>1</v>
      </c>
      <c r="AA2361" s="1">
        <v>1</v>
      </c>
      <c r="AB2361" s="1">
        <v>1</v>
      </c>
      <c r="AC2361" s="1">
        <v>1</v>
      </c>
      <c r="AD2361" s="1" t="s">
        <v>109</v>
      </c>
      <c r="AE2361" s="1" t="s">
        <v>109</v>
      </c>
      <c r="AF2361" s="1">
        <v>1</v>
      </c>
      <c r="AG2361" s="1" t="s">
        <v>109</v>
      </c>
      <c r="AH2361" s="1" t="s">
        <v>109</v>
      </c>
      <c r="AI2361" s="1" t="s">
        <v>109</v>
      </c>
      <c r="AJ2361" s="1" t="s">
        <v>109</v>
      </c>
      <c r="AK2361" s="1" t="s">
        <v>109</v>
      </c>
      <c r="AL2361" s="1">
        <v>1</v>
      </c>
      <c r="AM2361" s="1" t="s">
        <v>109</v>
      </c>
      <c r="AN2361" s="1" t="s">
        <v>109</v>
      </c>
      <c r="AO2361" s="1" t="s">
        <v>109</v>
      </c>
      <c r="AP2361" s="1"/>
      <c r="AQ2361" s="1">
        <v>1</v>
      </c>
      <c r="AR2361" s="1"/>
      <c r="AS2361" s="1" t="s">
        <v>16868</v>
      </c>
      <c r="AT2361" s="1">
        <v>0</v>
      </c>
      <c r="AU2361" s="1">
        <v>0</v>
      </c>
      <c r="AV2361" s="1">
        <v>0</v>
      </c>
      <c r="AW2361" s="1">
        <v>0</v>
      </c>
      <c r="AX2361" s="1">
        <v>0</v>
      </c>
      <c r="AY2361" s="1">
        <v>0</v>
      </c>
      <c r="AZ2361" s="1">
        <v>0</v>
      </c>
      <c r="BA2361" s="1">
        <v>0</v>
      </c>
      <c r="BB2361" s="1">
        <v>0</v>
      </c>
      <c r="BC2361" s="1">
        <v>0</v>
      </c>
      <c r="BD2361" s="1">
        <v>0</v>
      </c>
      <c r="BE2361" s="1">
        <v>0</v>
      </c>
      <c r="BF2361" s="1">
        <v>0</v>
      </c>
      <c r="BG2361" s="1">
        <v>0</v>
      </c>
      <c r="BH2361" s="1">
        <v>0</v>
      </c>
      <c r="BI2361" s="1">
        <v>0</v>
      </c>
      <c r="BJ2361" s="1">
        <v>0</v>
      </c>
      <c r="BK2361" s="1">
        <v>0</v>
      </c>
      <c r="BL2361" s="1">
        <v>0</v>
      </c>
      <c r="BM2361" s="1">
        <v>0</v>
      </c>
      <c r="BN2361" s="1">
        <v>0</v>
      </c>
      <c r="BO2361" s="1">
        <v>0</v>
      </c>
      <c r="BP2361" s="1">
        <v>0</v>
      </c>
      <c r="BQ2361" s="1">
        <v>0</v>
      </c>
      <c r="BR2361" s="1">
        <v>0</v>
      </c>
      <c r="BS2361" s="1" t="s">
        <v>109</v>
      </c>
      <c r="BT2361" s="1">
        <v>2452</v>
      </c>
      <c r="BU2361" s="1" t="s">
        <v>109</v>
      </c>
      <c r="BV2361" s="1"/>
      <c r="BW2361" s="1"/>
      <c r="BX2361" s="1"/>
      <c r="BY2361" s="1"/>
      <c r="BZ2361" s="1">
        <v>0</v>
      </c>
      <c r="CA2361" s="1" t="s">
        <v>109</v>
      </c>
      <c r="CB2361" s="1" t="s">
        <v>109</v>
      </c>
      <c r="CC2361" s="1">
        <v>1</v>
      </c>
      <c r="CD2361" s="1">
        <v>1</v>
      </c>
      <c r="CE2361" s="1" t="s">
        <v>109</v>
      </c>
      <c r="CF2361" s="1">
        <v>1</v>
      </c>
      <c r="CG2361" s="1" t="s">
        <v>109</v>
      </c>
      <c r="CH2361" s="1" t="s">
        <v>109</v>
      </c>
      <c r="CI2361" s="1" t="s">
        <v>109</v>
      </c>
      <c r="CJ2361" s="1" t="s">
        <v>109</v>
      </c>
      <c r="CK2361" s="1"/>
      <c r="CL2361" s="1">
        <v>0</v>
      </c>
      <c r="CM2361" s="1">
        <v>0</v>
      </c>
      <c r="CN2361" s="1">
        <v>0</v>
      </c>
    </row>
    <row r="2362" spans="1:92" ht="14.25" customHeight="1" x14ac:dyDescent="0.15">
      <c r="A2362" s="1" t="s">
        <v>16869</v>
      </c>
      <c r="B2362" s="1" t="s">
        <v>156</v>
      </c>
      <c r="C2362" s="1" t="s">
        <v>157</v>
      </c>
      <c r="D2362" s="1" t="s">
        <v>16870</v>
      </c>
      <c r="E2362" s="1" t="s">
        <v>16871</v>
      </c>
      <c r="F2362" s="1" t="s">
        <v>98</v>
      </c>
      <c r="G2362" s="1" t="s">
        <v>16872</v>
      </c>
      <c r="H2362" s="1">
        <v>0</v>
      </c>
      <c r="I2362" s="1" t="s">
        <v>142</v>
      </c>
      <c r="J2362" s="1"/>
      <c r="K2362" s="1"/>
      <c r="L2362" s="1" t="s">
        <v>1391</v>
      </c>
      <c r="M2362" s="1" t="s">
        <v>408</v>
      </c>
      <c r="N2362" s="1">
        <v>0</v>
      </c>
      <c r="O2362" s="1">
        <v>0</v>
      </c>
      <c r="P2362" s="1" t="s">
        <v>301</v>
      </c>
      <c r="Q2362" s="1" t="s">
        <v>268</v>
      </c>
      <c r="R2362" s="1" t="s">
        <v>16873</v>
      </c>
      <c r="S2362" s="1" t="s">
        <v>16874</v>
      </c>
      <c r="T2362" s="1" t="s">
        <v>16709</v>
      </c>
      <c r="U2362" s="1" t="s">
        <v>16875</v>
      </c>
      <c r="V2362" s="1">
        <v>1</v>
      </c>
      <c r="W2362" s="1">
        <v>1</v>
      </c>
      <c r="X2362" s="1">
        <v>1</v>
      </c>
      <c r="Y2362" s="1">
        <v>0</v>
      </c>
      <c r="Z2362" s="1">
        <v>0</v>
      </c>
      <c r="AA2362" s="1" t="s">
        <v>109</v>
      </c>
      <c r="AB2362" s="1" t="s">
        <v>109</v>
      </c>
      <c r="AC2362" s="1">
        <v>6</v>
      </c>
      <c r="AD2362" s="1" t="s">
        <v>109</v>
      </c>
      <c r="AE2362" s="1" t="s">
        <v>109</v>
      </c>
      <c r="AF2362" s="1">
        <v>4</v>
      </c>
      <c r="AG2362" s="1" t="s">
        <v>109</v>
      </c>
      <c r="AH2362" s="1" t="s">
        <v>109</v>
      </c>
      <c r="AI2362" s="1" t="s">
        <v>109</v>
      </c>
      <c r="AJ2362" s="1">
        <v>6</v>
      </c>
      <c r="AK2362" s="1">
        <v>4</v>
      </c>
      <c r="AL2362" s="1">
        <v>6</v>
      </c>
      <c r="AM2362" s="1" t="s">
        <v>109</v>
      </c>
      <c r="AN2362" s="1" t="s">
        <v>109</v>
      </c>
      <c r="AO2362" s="1" t="s">
        <v>109</v>
      </c>
      <c r="AP2362" s="1"/>
      <c r="AQ2362" s="1">
        <v>6</v>
      </c>
      <c r="AR2362" s="1"/>
      <c r="AS2362" s="1" t="s">
        <v>16876</v>
      </c>
      <c r="AT2362" s="1">
        <v>0</v>
      </c>
      <c r="AU2362" s="1">
        <v>0</v>
      </c>
      <c r="AV2362" s="1">
        <v>0</v>
      </c>
      <c r="AW2362" s="1">
        <v>0</v>
      </c>
      <c r="AX2362" s="1">
        <v>1</v>
      </c>
      <c r="AY2362" s="1">
        <v>0</v>
      </c>
      <c r="AZ2362" s="1">
        <v>0</v>
      </c>
      <c r="BA2362" s="1">
        <v>0</v>
      </c>
      <c r="BB2362" s="1">
        <v>0</v>
      </c>
      <c r="BC2362" s="1">
        <v>0</v>
      </c>
      <c r="BD2362" s="1">
        <v>1</v>
      </c>
      <c r="BE2362" s="1">
        <v>0</v>
      </c>
      <c r="BF2362" s="1">
        <v>0</v>
      </c>
      <c r="BG2362" s="1">
        <v>0</v>
      </c>
      <c r="BH2362" s="1">
        <v>0</v>
      </c>
      <c r="BI2362" s="1">
        <v>0</v>
      </c>
      <c r="BJ2362" s="1">
        <v>0</v>
      </c>
      <c r="BK2362" s="1">
        <v>0</v>
      </c>
      <c r="BL2362" s="1">
        <v>0</v>
      </c>
      <c r="BM2362" s="1">
        <v>1</v>
      </c>
      <c r="BN2362" s="1">
        <v>0</v>
      </c>
      <c r="BO2362" s="1">
        <v>0</v>
      </c>
      <c r="BP2362" s="1">
        <v>0</v>
      </c>
      <c r="BQ2362" s="1">
        <v>0</v>
      </c>
      <c r="BR2362" s="1">
        <v>0</v>
      </c>
      <c r="BS2362" s="1" t="s">
        <v>109</v>
      </c>
      <c r="BT2362" s="1">
        <v>2453</v>
      </c>
      <c r="BU2362" s="1" t="s">
        <v>109</v>
      </c>
      <c r="BV2362" s="1"/>
      <c r="BW2362" s="1"/>
      <c r="BX2362" s="1"/>
      <c r="BY2362" s="1"/>
      <c r="BZ2362" s="1">
        <v>0</v>
      </c>
      <c r="CA2362" s="1" t="s">
        <v>109</v>
      </c>
      <c r="CB2362" s="1">
        <v>6</v>
      </c>
      <c r="CC2362" s="1" t="s">
        <v>109</v>
      </c>
      <c r="CD2362" s="1" t="s">
        <v>109</v>
      </c>
      <c r="CE2362" s="1">
        <v>4</v>
      </c>
      <c r="CF2362" s="1" t="s">
        <v>109</v>
      </c>
      <c r="CG2362" s="1" t="s">
        <v>109</v>
      </c>
      <c r="CH2362" s="1" t="s">
        <v>109</v>
      </c>
      <c r="CI2362" s="1" t="s">
        <v>109</v>
      </c>
      <c r="CJ2362" s="1" t="s">
        <v>109</v>
      </c>
      <c r="CK2362" s="1"/>
      <c r="CL2362" s="1">
        <v>0</v>
      </c>
      <c r="CM2362" s="1">
        <v>0</v>
      </c>
      <c r="CN2362" s="1">
        <v>0</v>
      </c>
    </row>
    <row r="2363" spans="1:92" ht="14.25" customHeight="1" x14ac:dyDescent="0.15">
      <c r="A2363" s="1" t="s">
        <v>16877</v>
      </c>
      <c r="B2363" s="1" t="s">
        <v>674</v>
      </c>
      <c r="C2363" s="1" t="s">
        <v>68</v>
      </c>
      <c r="D2363" s="1" t="s">
        <v>16878</v>
      </c>
      <c r="E2363" s="1" t="s">
        <v>16879</v>
      </c>
      <c r="F2363" s="1" t="s">
        <v>98</v>
      </c>
      <c r="G2363" s="1" t="s">
        <v>16880</v>
      </c>
      <c r="H2363" s="1">
        <v>0</v>
      </c>
      <c r="I2363" s="1" t="s">
        <v>16881</v>
      </c>
      <c r="J2363" s="1"/>
      <c r="K2363" s="1"/>
      <c r="L2363" s="1" t="s">
        <v>3277</v>
      </c>
      <c r="M2363" s="1" t="s">
        <v>6625</v>
      </c>
      <c r="N2363" s="1">
        <v>1</v>
      </c>
      <c r="O2363" s="1">
        <v>0</v>
      </c>
      <c r="P2363" s="1" t="s">
        <v>103</v>
      </c>
      <c r="Q2363" s="1" t="s">
        <v>268</v>
      </c>
      <c r="R2363" s="1" t="s">
        <v>16882</v>
      </c>
      <c r="S2363" s="1" t="s">
        <v>16883</v>
      </c>
      <c r="T2363" s="1" t="s">
        <v>16709</v>
      </c>
      <c r="U2363" s="1" t="s">
        <v>16884</v>
      </c>
      <c r="V2363" s="1">
        <v>1</v>
      </c>
      <c r="W2363" s="1">
        <v>1</v>
      </c>
      <c r="X2363" s="1">
        <v>0</v>
      </c>
      <c r="Y2363" s="1">
        <v>0</v>
      </c>
      <c r="Z2363" s="1">
        <v>1</v>
      </c>
      <c r="AA2363" s="1">
        <v>2</v>
      </c>
      <c r="AB2363" s="1">
        <v>2</v>
      </c>
      <c r="AC2363" s="1">
        <v>2</v>
      </c>
      <c r="AD2363" s="1" t="s">
        <v>109</v>
      </c>
      <c r="AE2363" s="1" t="s">
        <v>109</v>
      </c>
      <c r="AF2363" s="1">
        <v>2</v>
      </c>
      <c r="AG2363" s="1" t="s">
        <v>109</v>
      </c>
      <c r="AH2363" s="1" t="s">
        <v>109</v>
      </c>
      <c r="AI2363" s="1">
        <v>2</v>
      </c>
      <c r="AJ2363" s="1">
        <v>2</v>
      </c>
      <c r="AK2363" s="1" t="s">
        <v>109</v>
      </c>
      <c r="AL2363" s="1">
        <v>2</v>
      </c>
      <c r="AM2363" s="1">
        <v>1</v>
      </c>
      <c r="AN2363" s="1" t="s">
        <v>109</v>
      </c>
      <c r="AO2363" s="1" t="s">
        <v>109</v>
      </c>
      <c r="AP2363" s="1"/>
      <c r="AQ2363" s="1">
        <v>2</v>
      </c>
      <c r="AR2363" s="1"/>
      <c r="AS2363" s="1" t="s">
        <v>16885</v>
      </c>
      <c r="AT2363" s="1">
        <v>0</v>
      </c>
      <c r="AU2363" s="1">
        <v>0</v>
      </c>
      <c r="AV2363" s="1">
        <v>0</v>
      </c>
      <c r="AW2363" s="1">
        <v>0</v>
      </c>
      <c r="AX2363" s="1">
        <v>0</v>
      </c>
      <c r="AY2363" s="1">
        <v>0</v>
      </c>
      <c r="AZ2363" s="1">
        <v>0</v>
      </c>
      <c r="BA2363" s="1">
        <v>0</v>
      </c>
      <c r="BB2363" s="1">
        <v>0</v>
      </c>
      <c r="BC2363" s="1">
        <v>0</v>
      </c>
      <c r="BD2363" s="1">
        <v>0</v>
      </c>
      <c r="BE2363" s="1">
        <v>0</v>
      </c>
      <c r="BF2363" s="1">
        <v>0</v>
      </c>
      <c r="BG2363" s="1">
        <v>0</v>
      </c>
      <c r="BH2363" s="1">
        <v>0</v>
      </c>
      <c r="BI2363" s="1">
        <v>0</v>
      </c>
      <c r="BJ2363" s="1">
        <v>1</v>
      </c>
      <c r="BK2363" s="1">
        <v>0</v>
      </c>
      <c r="BL2363" s="1">
        <v>0</v>
      </c>
      <c r="BM2363" s="1">
        <v>0</v>
      </c>
      <c r="BN2363" s="1">
        <v>0</v>
      </c>
      <c r="BO2363" s="1">
        <v>0</v>
      </c>
      <c r="BP2363" s="1">
        <v>1</v>
      </c>
      <c r="BQ2363" s="1">
        <v>0</v>
      </c>
      <c r="BR2363" s="1">
        <v>0</v>
      </c>
      <c r="BS2363" s="1" t="s">
        <v>109</v>
      </c>
      <c r="BT2363" s="1">
        <v>2454</v>
      </c>
      <c r="BU2363" s="1" t="s">
        <v>109</v>
      </c>
      <c r="BV2363" s="1"/>
      <c r="BW2363" s="1"/>
      <c r="BX2363" s="1"/>
      <c r="BY2363" s="1"/>
      <c r="BZ2363" s="1">
        <v>0</v>
      </c>
      <c r="CA2363" s="1" t="s">
        <v>109</v>
      </c>
      <c r="CB2363" s="1" t="s">
        <v>109</v>
      </c>
      <c r="CC2363" s="1" t="s">
        <v>109</v>
      </c>
      <c r="CD2363" s="1" t="s">
        <v>109</v>
      </c>
      <c r="CE2363" s="1" t="s">
        <v>109</v>
      </c>
      <c r="CF2363" s="1" t="s">
        <v>109</v>
      </c>
      <c r="CG2363" s="1" t="s">
        <v>109</v>
      </c>
      <c r="CH2363" s="1" t="s">
        <v>109</v>
      </c>
      <c r="CI2363" s="1" t="s">
        <v>109</v>
      </c>
      <c r="CJ2363" s="1" t="s">
        <v>109</v>
      </c>
      <c r="CK2363" s="1"/>
      <c r="CL2363" s="1">
        <v>0</v>
      </c>
      <c r="CM2363" s="1">
        <v>0</v>
      </c>
      <c r="CN2363" s="1">
        <v>0</v>
      </c>
    </row>
    <row r="2364" spans="1:92" ht="14.25" customHeight="1" x14ac:dyDescent="0.15">
      <c r="A2364" s="1" t="s">
        <v>16886</v>
      </c>
      <c r="B2364" s="1" t="s">
        <v>584</v>
      </c>
      <c r="C2364" s="1"/>
      <c r="D2364" s="1"/>
      <c r="E2364" s="1" t="s">
        <v>16887</v>
      </c>
      <c r="F2364" s="1" t="s">
        <v>16888</v>
      </c>
      <c r="G2364" s="1" t="s">
        <v>16889</v>
      </c>
      <c r="H2364" s="1">
        <v>1</v>
      </c>
      <c r="I2364" s="1" t="s">
        <v>235</v>
      </c>
      <c r="J2364" s="1"/>
      <c r="K2364" s="1"/>
      <c r="L2364" s="1" t="s">
        <v>236</v>
      </c>
      <c r="M2364" s="1" t="s">
        <v>16890</v>
      </c>
      <c r="N2364" s="1">
        <v>1</v>
      </c>
      <c r="O2364" s="1">
        <v>0</v>
      </c>
      <c r="P2364" s="1"/>
      <c r="Q2364" s="1"/>
      <c r="R2364" s="1" t="s">
        <v>16891</v>
      </c>
      <c r="S2364" s="1" t="s">
        <v>16892</v>
      </c>
      <c r="T2364" s="1" t="s">
        <v>16709</v>
      </c>
      <c r="U2364" s="1" t="s">
        <v>16893</v>
      </c>
      <c r="V2364" s="1">
        <v>1</v>
      </c>
      <c r="W2364" s="1">
        <v>1</v>
      </c>
      <c r="X2364" s="1">
        <v>1</v>
      </c>
      <c r="Y2364" s="1">
        <v>0</v>
      </c>
      <c r="Z2364" s="1">
        <v>0</v>
      </c>
      <c r="AA2364" s="1">
        <v>4</v>
      </c>
      <c r="AB2364" s="1">
        <v>4</v>
      </c>
      <c r="AC2364" s="1">
        <v>4</v>
      </c>
      <c r="AD2364" s="1" t="s">
        <v>109</v>
      </c>
      <c r="AE2364" s="1" t="s">
        <v>109</v>
      </c>
      <c r="AF2364" s="1">
        <v>4</v>
      </c>
      <c r="AG2364" s="1" t="s">
        <v>109</v>
      </c>
      <c r="AH2364" s="1" t="s">
        <v>109</v>
      </c>
      <c r="AI2364" s="1" t="s">
        <v>109</v>
      </c>
      <c r="AJ2364" s="1">
        <v>4</v>
      </c>
      <c r="AK2364" s="1" t="s">
        <v>109</v>
      </c>
      <c r="AL2364" s="1">
        <v>4</v>
      </c>
      <c r="AM2364" s="1" t="s">
        <v>109</v>
      </c>
      <c r="AN2364" s="1" t="s">
        <v>109</v>
      </c>
      <c r="AO2364" s="1" t="s">
        <v>109</v>
      </c>
      <c r="AP2364" s="1"/>
      <c r="AQ2364" s="1">
        <v>4</v>
      </c>
      <c r="AR2364" s="1"/>
      <c r="AS2364" s="1" t="s">
        <v>16894</v>
      </c>
      <c r="AT2364" s="1">
        <v>0</v>
      </c>
      <c r="AU2364" s="1">
        <v>0</v>
      </c>
      <c r="AV2364" s="1">
        <v>0</v>
      </c>
      <c r="AW2364" s="1">
        <v>0</v>
      </c>
      <c r="AX2364" s="1">
        <v>0</v>
      </c>
      <c r="AY2364" s="1">
        <v>0</v>
      </c>
      <c r="AZ2364" s="1">
        <v>0</v>
      </c>
      <c r="BA2364" s="1">
        <v>0</v>
      </c>
      <c r="BB2364" s="1">
        <v>0</v>
      </c>
      <c r="BC2364" s="1">
        <v>0</v>
      </c>
      <c r="BD2364" s="1">
        <v>0</v>
      </c>
      <c r="BE2364" s="1">
        <v>0</v>
      </c>
      <c r="BF2364" s="1">
        <v>0</v>
      </c>
      <c r="BG2364" s="1">
        <v>0</v>
      </c>
      <c r="BH2364" s="1">
        <v>0</v>
      </c>
      <c r="BI2364" s="1">
        <v>0</v>
      </c>
      <c r="BJ2364" s="1">
        <v>0</v>
      </c>
      <c r="BK2364" s="1">
        <v>0</v>
      </c>
      <c r="BL2364" s="1">
        <v>0</v>
      </c>
      <c r="BM2364" s="1">
        <v>0</v>
      </c>
      <c r="BN2364" s="1">
        <v>0</v>
      </c>
      <c r="BO2364" s="1">
        <v>0</v>
      </c>
      <c r="BP2364" s="1">
        <v>0</v>
      </c>
      <c r="BQ2364" s="1">
        <v>0</v>
      </c>
      <c r="BR2364" s="1">
        <v>0</v>
      </c>
      <c r="BS2364" s="1" t="s">
        <v>109</v>
      </c>
      <c r="BT2364" s="1">
        <v>2455</v>
      </c>
      <c r="BU2364" s="1">
        <v>1500</v>
      </c>
      <c r="BV2364" s="1"/>
      <c r="BW2364" s="1"/>
      <c r="BX2364" s="1"/>
      <c r="BY2364" s="1"/>
      <c r="BZ2364" s="1">
        <v>0</v>
      </c>
      <c r="CA2364" s="1" t="s">
        <v>109</v>
      </c>
      <c r="CB2364" s="1" t="s">
        <v>109</v>
      </c>
      <c r="CC2364" s="1">
        <v>4</v>
      </c>
      <c r="CD2364" s="1" t="s">
        <v>109</v>
      </c>
      <c r="CE2364" s="1" t="s">
        <v>109</v>
      </c>
      <c r="CF2364" s="1" t="s">
        <v>109</v>
      </c>
      <c r="CG2364" s="1" t="s">
        <v>109</v>
      </c>
      <c r="CH2364" s="1" t="s">
        <v>109</v>
      </c>
      <c r="CI2364" s="1" t="s">
        <v>109</v>
      </c>
      <c r="CJ2364" s="1" t="s">
        <v>109</v>
      </c>
      <c r="CK2364" s="1"/>
      <c r="CL2364" s="1">
        <v>0</v>
      </c>
      <c r="CM2364" s="1">
        <v>0</v>
      </c>
      <c r="CN2364" s="1">
        <v>0</v>
      </c>
    </row>
    <row r="2365" spans="1:92" ht="14.25" customHeight="1" x14ac:dyDescent="0.15">
      <c r="A2365" s="1" t="s">
        <v>16895</v>
      </c>
      <c r="B2365" s="1" t="s">
        <v>674</v>
      </c>
      <c r="C2365" s="1" t="s">
        <v>675</v>
      </c>
      <c r="D2365" s="1"/>
      <c r="E2365" s="1" t="s">
        <v>16896</v>
      </c>
      <c r="F2365" s="1" t="s">
        <v>98</v>
      </c>
      <c r="G2365" s="1" t="s">
        <v>141</v>
      </c>
      <c r="H2365" s="1">
        <v>0</v>
      </c>
      <c r="I2365" s="1" t="s">
        <v>142</v>
      </c>
      <c r="J2365" s="1"/>
      <c r="K2365" s="1"/>
      <c r="L2365" s="1" t="s">
        <v>1391</v>
      </c>
      <c r="M2365" s="1" t="s">
        <v>6625</v>
      </c>
      <c r="N2365" s="1">
        <v>1</v>
      </c>
      <c r="O2365" s="1">
        <v>0</v>
      </c>
      <c r="P2365" s="1" t="s">
        <v>301</v>
      </c>
      <c r="Q2365" s="1" t="s">
        <v>268</v>
      </c>
      <c r="R2365" s="1" t="s">
        <v>16897</v>
      </c>
      <c r="S2365" s="1" t="s">
        <v>16898</v>
      </c>
      <c r="T2365" s="1" t="s">
        <v>16709</v>
      </c>
      <c r="U2365" s="1" t="s">
        <v>16899</v>
      </c>
      <c r="V2365" s="1">
        <v>1</v>
      </c>
      <c r="W2365" s="1">
        <v>1</v>
      </c>
      <c r="X2365" s="1">
        <v>0</v>
      </c>
      <c r="Y2365" s="1">
        <v>0</v>
      </c>
      <c r="Z2365" s="1">
        <v>0</v>
      </c>
      <c r="AA2365" s="1" t="s">
        <v>109</v>
      </c>
      <c r="AB2365" s="1" t="s">
        <v>109</v>
      </c>
      <c r="AC2365" s="1" t="s">
        <v>109</v>
      </c>
      <c r="AD2365" s="1" t="s">
        <v>109</v>
      </c>
      <c r="AE2365" s="1" t="s">
        <v>109</v>
      </c>
      <c r="AF2365" s="1">
        <v>4</v>
      </c>
      <c r="AG2365" s="1" t="s">
        <v>109</v>
      </c>
      <c r="AH2365" s="1" t="s">
        <v>109</v>
      </c>
      <c r="AI2365" s="1" t="s">
        <v>109</v>
      </c>
      <c r="AJ2365" s="1">
        <v>5</v>
      </c>
      <c r="AK2365" s="1">
        <v>4</v>
      </c>
      <c r="AL2365" s="1" t="s">
        <v>109</v>
      </c>
      <c r="AM2365" s="1">
        <v>3</v>
      </c>
      <c r="AN2365" s="1" t="s">
        <v>109</v>
      </c>
      <c r="AO2365" s="1" t="s">
        <v>109</v>
      </c>
      <c r="AP2365" s="1"/>
      <c r="AQ2365" s="1">
        <v>4</v>
      </c>
      <c r="AR2365" s="1"/>
      <c r="AS2365" s="1" t="s">
        <v>16900</v>
      </c>
      <c r="AT2365" s="1">
        <v>0</v>
      </c>
      <c r="AU2365" s="1">
        <v>0</v>
      </c>
      <c r="AV2365" s="1">
        <v>0</v>
      </c>
      <c r="AW2365" s="1">
        <v>0</v>
      </c>
      <c r="AX2365" s="1">
        <v>0</v>
      </c>
      <c r="AY2365" s="1">
        <v>0</v>
      </c>
      <c r="AZ2365" s="1">
        <v>0</v>
      </c>
      <c r="BA2365" s="1">
        <v>0</v>
      </c>
      <c r="BB2365" s="1">
        <v>0</v>
      </c>
      <c r="BC2365" s="1">
        <v>0</v>
      </c>
      <c r="BD2365" s="1">
        <v>0</v>
      </c>
      <c r="BE2365" s="1">
        <v>0</v>
      </c>
      <c r="BF2365" s="1">
        <v>0</v>
      </c>
      <c r="BG2365" s="1">
        <v>0</v>
      </c>
      <c r="BH2365" s="1">
        <v>0</v>
      </c>
      <c r="BI2365" s="1">
        <v>0</v>
      </c>
      <c r="BJ2365" s="1">
        <v>0</v>
      </c>
      <c r="BK2365" s="1">
        <v>0</v>
      </c>
      <c r="BL2365" s="1">
        <v>0</v>
      </c>
      <c r="BM2365" s="1">
        <v>0</v>
      </c>
      <c r="BN2365" s="1">
        <v>0</v>
      </c>
      <c r="BO2365" s="1">
        <v>0</v>
      </c>
      <c r="BP2365" s="1">
        <v>0</v>
      </c>
      <c r="BQ2365" s="1">
        <v>0</v>
      </c>
      <c r="BR2365" s="1">
        <v>0</v>
      </c>
      <c r="BS2365" s="1" t="s">
        <v>109</v>
      </c>
      <c r="BT2365" s="1">
        <v>2456</v>
      </c>
      <c r="BU2365" s="1" t="s">
        <v>109</v>
      </c>
      <c r="BV2365" s="1"/>
      <c r="BW2365" s="1"/>
      <c r="BX2365" s="1"/>
      <c r="BY2365" s="1"/>
      <c r="BZ2365" s="1">
        <v>0</v>
      </c>
      <c r="CA2365" s="1" t="s">
        <v>109</v>
      </c>
      <c r="CB2365" s="1" t="s">
        <v>109</v>
      </c>
      <c r="CC2365" s="1">
        <v>4</v>
      </c>
      <c r="CD2365" s="1">
        <v>3</v>
      </c>
      <c r="CE2365" s="1">
        <v>4</v>
      </c>
      <c r="CF2365" s="1" t="s">
        <v>109</v>
      </c>
      <c r="CG2365" s="1" t="s">
        <v>109</v>
      </c>
      <c r="CH2365" s="1" t="s">
        <v>109</v>
      </c>
      <c r="CI2365" s="1" t="s">
        <v>109</v>
      </c>
      <c r="CJ2365" s="1" t="s">
        <v>109</v>
      </c>
      <c r="CK2365" s="1"/>
      <c r="CL2365" s="1">
        <v>0</v>
      </c>
      <c r="CM2365" s="1">
        <v>0</v>
      </c>
      <c r="CN2365" s="1">
        <v>0</v>
      </c>
    </row>
    <row r="2366" spans="1:92" ht="14.25" customHeight="1" x14ac:dyDescent="0.15">
      <c r="A2366" s="1" t="s">
        <v>16901</v>
      </c>
      <c r="B2366" s="1" t="s">
        <v>156</v>
      </c>
      <c r="C2366" s="1" t="s">
        <v>157</v>
      </c>
      <c r="D2366" s="1" t="s">
        <v>158</v>
      </c>
      <c r="E2366" s="1" t="s">
        <v>16902</v>
      </c>
      <c r="F2366" s="1" t="s">
        <v>1963</v>
      </c>
      <c r="G2366" s="1" t="s">
        <v>141</v>
      </c>
      <c r="H2366" s="1">
        <v>0</v>
      </c>
      <c r="I2366" s="1" t="s">
        <v>142</v>
      </c>
      <c r="J2366" s="1"/>
      <c r="K2366" s="1"/>
      <c r="L2366" s="1" t="s">
        <v>1391</v>
      </c>
      <c r="M2366" s="1" t="s">
        <v>144</v>
      </c>
      <c r="N2366" s="1">
        <v>0</v>
      </c>
      <c r="O2366" s="1">
        <v>0</v>
      </c>
      <c r="P2366" s="1" t="s">
        <v>301</v>
      </c>
      <c r="Q2366" s="1" t="s">
        <v>268</v>
      </c>
      <c r="R2366" s="1" t="s">
        <v>16903</v>
      </c>
      <c r="S2366" s="1" t="s">
        <v>16904</v>
      </c>
      <c r="T2366" s="1" t="s">
        <v>16709</v>
      </c>
      <c r="U2366" s="1" t="s">
        <v>16905</v>
      </c>
      <c r="V2366" s="1">
        <v>1</v>
      </c>
      <c r="W2366" s="1">
        <v>1</v>
      </c>
      <c r="X2366" s="1">
        <v>0</v>
      </c>
      <c r="Y2366" s="1">
        <v>0</v>
      </c>
      <c r="Z2366" s="1">
        <v>0</v>
      </c>
      <c r="AA2366" s="1">
        <v>3</v>
      </c>
      <c r="AB2366" s="1">
        <v>3</v>
      </c>
      <c r="AC2366" s="1" t="s">
        <v>109</v>
      </c>
      <c r="AD2366" s="1" t="s">
        <v>109</v>
      </c>
      <c r="AE2366" s="1" t="s">
        <v>109</v>
      </c>
      <c r="AF2366" s="1">
        <v>2</v>
      </c>
      <c r="AG2366" s="1" t="s">
        <v>109</v>
      </c>
      <c r="AH2366" s="1" t="s">
        <v>109</v>
      </c>
      <c r="AI2366" s="1" t="s">
        <v>109</v>
      </c>
      <c r="AJ2366" s="1" t="s">
        <v>109</v>
      </c>
      <c r="AK2366" s="1" t="s">
        <v>109</v>
      </c>
      <c r="AL2366" s="1" t="s">
        <v>109</v>
      </c>
      <c r="AM2366" s="1" t="s">
        <v>109</v>
      </c>
      <c r="AN2366" s="1" t="s">
        <v>109</v>
      </c>
      <c r="AO2366" s="1" t="s">
        <v>109</v>
      </c>
      <c r="AP2366" s="1"/>
      <c r="AQ2366" s="1">
        <v>3</v>
      </c>
      <c r="AR2366" s="1"/>
      <c r="AS2366" s="1" t="s">
        <v>16906</v>
      </c>
      <c r="AT2366" s="1">
        <v>0</v>
      </c>
      <c r="AU2366" s="1">
        <v>0</v>
      </c>
      <c r="AV2366" s="1">
        <v>0</v>
      </c>
      <c r="AW2366" s="1">
        <v>0</v>
      </c>
      <c r="AX2366" s="1">
        <v>0</v>
      </c>
      <c r="AY2366" s="1">
        <v>0</v>
      </c>
      <c r="AZ2366" s="1">
        <v>0</v>
      </c>
      <c r="BA2366" s="1">
        <v>0</v>
      </c>
      <c r="BB2366" s="1">
        <v>0</v>
      </c>
      <c r="BC2366" s="1">
        <v>0</v>
      </c>
      <c r="BD2366" s="1">
        <v>0</v>
      </c>
      <c r="BE2366" s="1">
        <v>0</v>
      </c>
      <c r="BF2366" s="1">
        <v>0</v>
      </c>
      <c r="BG2366" s="1">
        <v>0</v>
      </c>
      <c r="BH2366" s="1">
        <v>0</v>
      </c>
      <c r="BI2366" s="1">
        <v>0</v>
      </c>
      <c r="BJ2366" s="1">
        <v>0</v>
      </c>
      <c r="BK2366" s="1">
        <v>0</v>
      </c>
      <c r="BL2366" s="1">
        <v>0</v>
      </c>
      <c r="BM2366" s="1">
        <v>1</v>
      </c>
      <c r="BN2366" s="1">
        <v>0</v>
      </c>
      <c r="BO2366" s="1">
        <v>0</v>
      </c>
      <c r="BP2366" s="1">
        <v>0</v>
      </c>
      <c r="BQ2366" s="1">
        <v>0</v>
      </c>
      <c r="BR2366" s="1">
        <v>0</v>
      </c>
      <c r="BS2366" s="1" t="s">
        <v>109</v>
      </c>
      <c r="BT2366" s="1">
        <v>2457</v>
      </c>
      <c r="BU2366" s="1" t="s">
        <v>109</v>
      </c>
      <c r="BV2366" s="1"/>
      <c r="BW2366" s="1"/>
      <c r="BX2366" s="1"/>
      <c r="BY2366" s="1"/>
      <c r="BZ2366" s="1">
        <v>0</v>
      </c>
      <c r="CA2366" s="1" t="s">
        <v>109</v>
      </c>
      <c r="CB2366" s="1" t="s">
        <v>109</v>
      </c>
      <c r="CC2366" s="1">
        <v>2</v>
      </c>
      <c r="CD2366" s="1" t="s">
        <v>109</v>
      </c>
      <c r="CE2366" s="1">
        <v>2</v>
      </c>
      <c r="CF2366" s="1" t="s">
        <v>109</v>
      </c>
      <c r="CG2366" s="1" t="s">
        <v>109</v>
      </c>
      <c r="CH2366" s="1" t="s">
        <v>109</v>
      </c>
      <c r="CI2366" s="1" t="s">
        <v>109</v>
      </c>
      <c r="CJ2366" s="1" t="s">
        <v>109</v>
      </c>
      <c r="CK2366" s="1"/>
      <c r="CL2366" s="1">
        <v>0</v>
      </c>
      <c r="CM2366" s="1">
        <v>0</v>
      </c>
      <c r="CN2366" s="1">
        <v>0</v>
      </c>
    </row>
    <row r="2367" spans="1:92" ht="14.25" customHeight="1" x14ac:dyDescent="0.15">
      <c r="A2367" s="1" t="s">
        <v>16907</v>
      </c>
      <c r="B2367" s="1" t="s">
        <v>156</v>
      </c>
      <c r="C2367" s="1" t="s">
        <v>157</v>
      </c>
      <c r="D2367" s="1" t="s">
        <v>954</v>
      </c>
      <c r="E2367" s="1" t="s">
        <v>16908</v>
      </c>
      <c r="F2367" s="1" t="s">
        <v>98</v>
      </c>
      <c r="G2367" s="1" t="s">
        <v>3276</v>
      </c>
      <c r="H2367" s="1">
        <v>0</v>
      </c>
      <c r="I2367" s="1" t="s">
        <v>122</v>
      </c>
      <c r="J2367" s="1"/>
      <c r="K2367" s="1"/>
      <c r="L2367" s="1" t="s">
        <v>3277</v>
      </c>
      <c r="M2367" s="1" t="s">
        <v>16909</v>
      </c>
      <c r="N2367" s="1">
        <v>1</v>
      </c>
      <c r="O2367" s="1">
        <v>0</v>
      </c>
      <c r="P2367" s="1" t="s">
        <v>2475</v>
      </c>
      <c r="Q2367" s="1" t="s">
        <v>4298</v>
      </c>
      <c r="R2367" s="1" t="s">
        <v>16910</v>
      </c>
      <c r="S2367" s="1" t="s">
        <v>16911</v>
      </c>
      <c r="T2367" s="1" t="s">
        <v>16709</v>
      </c>
      <c r="U2367" s="1" t="s">
        <v>16912</v>
      </c>
      <c r="V2367" s="1">
        <v>1</v>
      </c>
      <c r="W2367" s="1">
        <v>1</v>
      </c>
      <c r="X2367" s="1">
        <v>0</v>
      </c>
      <c r="Y2367" s="1">
        <v>0</v>
      </c>
      <c r="Z2367" s="1">
        <v>0</v>
      </c>
      <c r="AA2367" s="1">
        <v>4</v>
      </c>
      <c r="AB2367" s="1">
        <v>4</v>
      </c>
      <c r="AC2367" s="1" t="s">
        <v>109</v>
      </c>
      <c r="AD2367" s="1" t="s">
        <v>109</v>
      </c>
      <c r="AE2367" s="1" t="s">
        <v>109</v>
      </c>
      <c r="AF2367" s="1">
        <v>3</v>
      </c>
      <c r="AG2367" s="1" t="s">
        <v>109</v>
      </c>
      <c r="AH2367" s="1" t="s">
        <v>109</v>
      </c>
      <c r="AI2367" s="1" t="s">
        <v>109</v>
      </c>
      <c r="AJ2367" s="1">
        <v>4</v>
      </c>
      <c r="AK2367" s="1" t="s">
        <v>109</v>
      </c>
      <c r="AL2367" s="1" t="s">
        <v>109</v>
      </c>
      <c r="AM2367" s="1" t="s">
        <v>109</v>
      </c>
      <c r="AN2367" s="1" t="s">
        <v>109</v>
      </c>
      <c r="AO2367" s="1" t="s">
        <v>109</v>
      </c>
      <c r="AP2367" s="1"/>
      <c r="AQ2367" s="1">
        <v>4</v>
      </c>
      <c r="AR2367" s="1"/>
      <c r="AS2367" s="1" t="s">
        <v>16913</v>
      </c>
      <c r="AT2367" s="1">
        <v>0</v>
      </c>
      <c r="AU2367" s="1">
        <v>0</v>
      </c>
      <c r="AV2367" s="1">
        <v>0</v>
      </c>
      <c r="AW2367" s="1">
        <v>0</v>
      </c>
      <c r="AX2367" s="1">
        <v>0</v>
      </c>
      <c r="AY2367" s="1">
        <v>0</v>
      </c>
      <c r="AZ2367" s="1">
        <v>0</v>
      </c>
      <c r="BA2367" s="1">
        <v>0</v>
      </c>
      <c r="BB2367" s="1">
        <v>0</v>
      </c>
      <c r="BC2367" s="1">
        <v>0</v>
      </c>
      <c r="BD2367" s="1">
        <v>0</v>
      </c>
      <c r="BE2367" s="1">
        <v>0</v>
      </c>
      <c r="BF2367" s="1">
        <v>0</v>
      </c>
      <c r="BG2367" s="1">
        <v>0</v>
      </c>
      <c r="BH2367" s="1">
        <v>0</v>
      </c>
      <c r="BI2367" s="1">
        <v>0</v>
      </c>
      <c r="BJ2367" s="1">
        <v>1</v>
      </c>
      <c r="BK2367" s="1">
        <v>0</v>
      </c>
      <c r="BL2367" s="1">
        <v>0</v>
      </c>
      <c r="BM2367" s="1">
        <v>1</v>
      </c>
      <c r="BN2367" s="1">
        <v>0</v>
      </c>
      <c r="BO2367" s="1">
        <v>0</v>
      </c>
      <c r="BP2367" s="1">
        <v>0</v>
      </c>
      <c r="BQ2367" s="1">
        <v>0</v>
      </c>
      <c r="BR2367" s="1">
        <v>0</v>
      </c>
      <c r="BS2367" s="1" t="s">
        <v>109</v>
      </c>
      <c r="BT2367" s="1">
        <v>2458</v>
      </c>
      <c r="BU2367" s="1" t="s">
        <v>109</v>
      </c>
      <c r="BV2367" s="1"/>
      <c r="BW2367" s="1"/>
      <c r="BX2367" s="1"/>
      <c r="BY2367" s="1"/>
      <c r="BZ2367" s="1">
        <v>0</v>
      </c>
      <c r="CA2367" s="1" t="s">
        <v>109</v>
      </c>
      <c r="CB2367" s="1" t="s">
        <v>109</v>
      </c>
      <c r="CC2367" s="1">
        <v>3</v>
      </c>
      <c r="CD2367" s="1">
        <v>3</v>
      </c>
      <c r="CE2367" s="1">
        <v>3</v>
      </c>
      <c r="CF2367" s="1">
        <v>4</v>
      </c>
      <c r="CG2367" s="1" t="s">
        <v>109</v>
      </c>
      <c r="CH2367" s="1" t="s">
        <v>109</v>
      </c>
      <c r="CI2367" s="1" t="s">
        <v>109</v>
      </c>
      <c r="CJ2367" s="1" t="s">
        <v>109</v>
      </c>
      <c r="CK2367" s="1"/>
      <c r="CL2367" s="1">
        <v>0</v>
      </c>
      <c r="CM2367" s="1">
        <v>0</v>
      </c>
      <c r="CN2367" s="1">
        <v>0</v>
      </c>
    </row>
    <row r="2368" spans="1:92" ht="14.25" customHeight="1" x14ac:dyDescent="0.15">
      <c r="A2368" s="1" t="s">
        <v>16914</v>
      </c>
      <c r="B2368" s="1" t="s">
        <v>156</v>
      </c>
      <c r="C2368" s="1" t="s">
        <v>157</v>
      </c>
      <c r="D2368" s="1" t="s">
        <v>954</v>
      </c>
      <c r="E2368" s="1" t="s">
        <v>16915</v>
      </c>
      <c r="F2368" s="1" t="s">
        <v>98</v>
      </c>
      <c r="G2368" s="1" t="s">
        <v>3276</v>
      </c>
      <c r="H2368" s="1">
        <v>0</v>
      </c>
      <c r="I2368" s="1" t="s">
        <v>122</v>
      </c>
      <c r="J2368" s="1"/>
      <c r="K2368" s="1"/>
      <c r="L2368" s="1" t="s">
        <v>3277</v>
      </c>
      <c r="M2368" s="1" t="s">
        <v>16909</v>
      </c>
      <c r="N2368" s="1">
        <v>1</v>
      </c>
      <c r="O2368" s="1">
        <v>0</v>
      </c>
      <c r="P2368" s="1" t="s">
        <v>2475</v>
      </c>
      <c r="Q2368" s="1" t="s">
        <v>4298</v>
      </c>
      <c r="R2368" s="1" t="s">
        <v>16916</v>
      </c>
      <c r="S2368" s="1" t="s">
        <v>16917</v>
      </c>
      <c r="T2368" s="1" t="s">
        <v>16709</v>
      </c>
      <c r="U2368" s="1" t="s">
        <v>16918</v>
      </c>
      <c r="V2368" s="1">
        <v>1</v>
      </c>
      <c r="W2368" s="1">
        <v>1</v>
      </c>
      <c r="X2368" s="1">
        <v>0</v>
      </c>
      <c r="Y2368" s="1">
        <v>0</v>
      </c>
      <c r="Z2368" s="1">
        <v>0</v>
      </c>
      <c r="AA2368" s="1">
        <v>7</v>
      </c>
      <c r="AB2368" s="1">
        <v>7</v>
      </c>
      <c r="AC2368" s="1" t="s">
        <v>109</v>
      </c>
      <c r="AD2368" s="1" t="s">
        <v>109</v>
      </c>
      <c r="AE2368" s="1" t="s">
        <v>109</v>
      </c>
      <c r="AF2368" s="1">
        <v>6</v>
      </c>
      <c r="AG2368" s="1" t="s">
        <v>109</v>
      </c>
      <c r="AH2368" s="1" t="s">
        <v>109</v>
      </c>
      <c r="AI2368" s="1" t="s">
        <v>109</v>
      </c>
      <c r="AJ2368" s="1">
        <v>7</v>
      </c>
      <c r="AK2368" s="1" t="s">
        <v>109</v>
      </c>
      <c r="AL2368" s="1" t="s">
        <v>109</v>
      </c>
      <c r="AM2368" s="1" t="s">
        <v>109</v>
      </c>
      <c r="AN2368" s="1" t="s">
        <v>109</v>
      </c>
      <c r="AO2368" s="1" t="s">
        <v>109</v>
      </c>
      <c r="AP2368" s="1"/>
      <c r="AQ2368" s="1">
        <v>7</v>
      </c>
      <c r="AR2368" s="1"/>
      <c r="AS2368" s="1" t="s">
        <v>16919</v>
      </c>
      <c r="AT2368" s="1">
        <v>0</v>
      </c>
      <c r="AU2368" s="1">
        <v>0</v>
      </c>
      <c r="AV2368" s="1">
        <v>0</v>
      </c>
      <c r="AW2368" s="1">
        <v>0</v>
      </c>
      <c r="AX2368" s="1">
        <v>0</v>
      </c>
      <c r="AY2368" s="1">
        <v>0</v>
      </c>
      <c r="AZ2368" s="1">
        <v>0</v>
      </c>
      <c r="BA2368" s="1">
        <v>0</v>
      </c>
      <c r="BB2368" s="1">
        <v>0</v>
      </c>
      <c r="BC2368" s="1">
        <v>0</v>
      </c>
      <c r="BD2368" s="1">
        <v>0</v>
      </c>
      <c r="BE2368" s="1">
        <v>0</v>
      </c>
      <c r="BF2368" s="1">
        <v>0</v>
      </c>
      <c r="BG2368" s="1">
        <v>0</v>
      </c>
      <c r="BH2368" s="1">
        <v>0</v>
      </c>
      <c r="BI2368" s="1">
        <v>0</v>
      </c>
      <c r="BJ2368" s="1">
        <v>1</v>
      </c>
      <c r="BK2368" s="1">
        <v>0</v>
      </c>
      <c r="BL2368" s="1">
        <v>0</v>
      </c>
      <c r="BM2368" s="1">
        <v>1</v>
      </c>
      <c r="BN2368" s="1">
        <v>0</v>
      </c>
      <c r="BO2368" s="1">
        <v>0</v>
      </c>
      <c r="BP2368" s="1">
        <v>0</v>
      </c>
      <c r="BQ2368" s="1">
        <v>0</v>
      </c>
      <c r="BR2368" s="1">
        <v>0</v>
      </c>
      <c r="BS2368" s="1" t="s">
        <v>109</v>
      </c>
      <c r="BT2368" s="1">
        <v>2459</v>
      </c>
      <c r="BU2368" s="1" t="s">
        <v>109</v>
      </c>
      <c r="BV2368" s="1"/>
      <c r="BW2368" s="1"/>
      <c r="BX2368" s="1"/>
      <c r="BY2368" s="1"/>
      <c r="BZ2368" s="1">
        <v>0</v>
      </c>
      <c r="CA2368" s="1" t="s">
        <v>109</v>
      </c>
      <c r="CB2368" s="1" t="s">
        <v>109</v>
      </c>
      <c r="CC2368" s="1">
        <v>6</v>
      </c>
      <c r="CD2368" s="1" t="s">
        <v>109</v>
      </c>
      <c r="CE2368" s="1">
        <v>6</v>
      </c>
      <c r="CF2368" s="1">
        <v>6</v>
      </c>
      <c r="CG2368" s="1" t="s">
        <v>109</v>
      </c>
      <c r="CH2368" s="1" t="s">
        <v>109</v>
      </c>
      <c r="CI2368" s="1" t="s">
        <v>109</v>
      </c>
      <c r="CJ2368" s="1" t="s">
        <v>109</v>
      </c>
      <c r="CK2368" s="1"/>
      <c r="CL2368" s="1">
        <v>0</v>
      </c>
      <c r="CM2368" s="1">
        <v>0</v>
      </c>
      <c r="CN2368" s="1">
        <v>0</v>
      </c>
    </row>
    <row r="2369" spans="1:92" ht="14.25" customHeight="1" x14ac:dyDescent="0.15">
      <c r="A2369" s="1" t="s">
        <v>16920</v>
      </c>
      <c r="B2369" s="1" t="s">
        <v>95</v>
      </c>
      <c r="C2369" s="1" t="s">
        <v>96</v>
      </c>
      <c r="D2369" s="1"/>
      <c r="E2369" s="1" t="s">
        <v>16921</v>
      </c>
      <c r="F2369" s="1" t="s">
        <v>6545</v>
      </c>
      <c r="G2369" s="1" t="s">
        <v>333</v>
      </c>
      <c r="H2369" s="1">
        <v>0</v>
      </c>
      <c r="I2369" s="1" t="s">
        <v>235</v>
      </c>
      <c r="J2369" s="1"/>
      <c r="K2369" s="1" t="s">
        <v>16922</v>
      </c>
      <c r="L2369" s="1"/>
      <c r="M2369" s="1" t="s">
        <v>3042</v>
      </c>
      <c r="N2369" s="1">
        <v>0</v>
      </c>
      <c r="O2369" s="1">
        <v>0</v>
      </c>
      <c r="P2369" s="1" t="s">
        <v>103</v>
      </c>
      <c r="Q2369" s="1" t="s">
        <v>104</v>
      </c>
      <c r="R2369" s="1" t="s">
        <v>16923</v>
      </c>
      <c r="S2369" s="1" t="s">
        <v>16924</v>
      </c>
      <c r="T2369" s="1" t="s">
        <v>16709</v>
      </c>
      <c r="U2369" s="1" t="s">
        <v>16925</v>
      </c>
      <c r="V2369" s="1">
        <v>1</v>
      </c>
      <c r="W2369" s="1">
        <v>0</v>
      </c>
      <c r="X2369" s="1">
        <v>0</v>
      </c>
      <c r="Y2369" s="1">
        <v>0</v>
      </c>
      <c r="Z2369" s="1">
        <v>0</v>
      </c>
      <c r="AA2369" s="1">
        <v>1</v>
      </c>
      <c r="AB2369" s="1">
        <v>1</v>
      </c>
      <c r="AC2369" s="1">
        <v>1</v>
      </c>
      <c r="AD2369" s="1" t="s">
        <v>109</v>
      </c>
      <c r="AE2369" s="1">
        <v>1</v>
      </c>
      <c r="AF2369" s="1">
        <v>1</v>
      </c>
      <c r="AG2369" s="1" t="s">
        <v>109</v>
      </c>
      <c r="AH2369" s="1" t="s">
        <v>109</v>
      </c>
      <c r="AI2369" s="1" t="s">
        <v>109</v>
      </c>
      <c r="AJ2369" s="1" t="s">
        <v>109</v>
      </c>
      <c r="AK2369" s="1">
        <v>1</v>
      </c>
      <c r="AL2369" s="1">
        <v>1</v>
      </c>
      <c r="AM2369" s="1">
        <v>1</v>
      </c>
      <c r="AN2369" s="1">
        <v>1</v>
      </c>
      <c r="AO2369" s="1" t="s">
        <v>109</v>
      </c>
      <c r="AP2369" s="1"/>
      <c r="AQ2369" s="1">
        <v>1</v>
      </c>
      <c r="AR2369" s="1"/>
      <c r="AS2369" s="1" t="s">
        <v>16926</v>
      </c>
      <c r="AT2369" s="1">
        <v>0</v>
      </c>
      <c r="AU2369" s="1">
        <v>0</v>
      </c>
      <c r="AV2369" s="1">
        <v>0</v>
      </c>
      <c r="AW2369" s="1">
        <v>0</v>
      </c>
      <c r="AX2369" s="1">
        <v>0</v>
      </c>
      <c r="AY2369" s="1">
        <v>0</v>
      </c>
      <c r="AZ2369" s="1">
        <v>0</v>
      </c>
      <c r="BA2369" s="1">
        <v>0</v>
      </c>
      <c r="BB2369" s="1">
        <v>0</v>
      </c>
      <c r="BC2369" s="1">
        <v>0</v>
      </c>
      <c r="BD2369" s="1">
        <v>0</v>
      </c>
      <c r="BE2369" s="1">
        <v>0</v>
      </c>
      <c r="BF2369" s="1">
        <v>0</v>
      </c>
      <c r="BG2369" s="1">
        <v>0</v>
      </c>
      <c r="BH2369" s="1">
        <v>0</v>
      </c>
      <c r="BI2369" s="1">
        <v>0</v>
      </c>
      <c r="BJ2369" s="1">
        <v>0</v>
      </c>
      <c r="BK2369" s="1">
        <v>0</v>
      </c>
      <c r="BL2369" s="1">
        <v>0</v>
      </c>
      <c r="BM2369" s="1">
        <v>0</v>
      </c>
      <c r="BN2369" s="1">
        <v>0</v>
      </c>
      <c r="BO2369" s="1">
        <v>0</v>
      </c>
      <c r="BP2369" s="1">
        <v>0</v>
      </c>
      <c r="BQ2369" s="1">
        <v>0</v>
      </c>
      <c r="BR2369" s="1">
        <v>0</v>
      </c>
      <c r="BS2369" s="1" t="s">
        <v>109</v>
      </c>
      <c r="BT2369" s="1">
        <v>2460</v>
      </c>
      <c r="BU2369" s="1" t="s">
        <v>109</v>
      </c>
      <c r="BV2369" s="1"/>
      <c r="BW2369" s="1"/>
      <c r="BX2369" s="1"/>
      <c r="BY2369" s="1"/>
      <c r="BZ2369" s="1">
        <v>0</v>
      </c>
      <c r="CA2369" s="1">
        <v>1</v>
      </c>
      <c r="CB2369" s="1" t="s">
        <v>109</v>
      </c>
      <c r="CC2369" s="1" t="s">
        <v>109</v>
      </c>
      <c r="CD2369" s="1" t="s">
        <v>109</v>
      </c>
      <c r="CE2369" s="1" t="s">
        <v>109</v>
      </c>
      <c r="CF2369" s="1">
        <v>1</v>
      </c>
      <c r="CG2369" s="1" t="s">
        <v>109</v>
      </c>
      <c r="CH2369" s="1" t="s">
        <v>109</v>
      </c>
      <c r="CI2369" s="1" t="s">
        <v>109</v>
      </c>
      <c r="CJ2369" s="1">
        <v>1</v>
      </c>
      <c r="CK2369" s="1"/>
      <c r="CL2369" s="1">
        <v>0</v>
      </c>
      <c r="CM2369" s="1">
        <v>0</v>
      </c>
      <c r="CN2369" s="1">
        <v>0</v>
      </c>
    </row>
    <row r="2370" spans="1:92" ht="14.25" customHeight="1" x14ac:dyDescent="0.15">
      <c r="A2370" s="1" t="s">
        <v>16927</v>
      </c>
      <c r="B2370" s="1" t="s">
        <v>254</v>
      </c>
      <c r="C2370" s="1"/>
      <c r="D2370" s="1" t="s">
        <v>158</v>
      </c>
      <c r="E2370" s="1" t="s">
        <v>16928</v>
      </c>
      <c r="F2370" s="1" t="s">
        <v>98</v>
      </c>
      <c r="G2370" s="1" t="s">
        <v>16929</v>
      </c>
      <c r="H2370" s="1">
        <v>0</v>
      </c>
      <c r="I2370" s="1" t="s">
        <v>1016</v>
      </c>
      <c r="J2370" s="1" t="s">
        <v>1346</v>
      </c>
      <c r="K2370" s="1"/>
      <c r="L2370" s="1"/>
      <c r="M2370" s="1" t="s">
        <v>11884</v>
      </c>
      <c r="N2370" s="1">
        <v>1</v>
      </c>
      <c r="O2370" s="1">
        <v>0</v>
      </c>
      <c r="P2370" s="1" t="s">
        <v>2475</v>
      </c>
      <c r="Q2370" s="1" t="s">
        <v>104</v>
      </c>
      <c r="R2370" s="1" t="s">
        <v>16930</v>
      </c>
      <c r="S2370" s="1" t="s">
        <v>16931</v>
      </c>
      <c r="T2370" s="1" t="s">
        <v>16709</v>
      </c>
      <c r="U2370" s="1" t="s">
        <v>16932</v>
      </c>
      <c r="V2370" s="1">
        <v>1</v>
      </c>
      <c r="W2370" s="1">
        <v>1</v>
      </c>
      <c r="X2370" s="1">
        <v>0</v>
      </c>
      <c r="Y2370" s="1">
        <v>0</v>
      </c>
      <c r="Z2370" s="1">
        <v>1</v>
      </c>
      <c r="AA2370" s="1">
        <v>3</v>
      </c>
      <c r="AB2370" s="1">
        <v>3</v>
      </c>
      <c r="AC2370" s="1">
        <v>3</v>
      </c>
      <c r="AD2370" s="1" t="s">
        <v>109</v>
      </c>
      <c r="AE2370" s="1" t="s">
        <v>109</v>
      </c>
      <c r="AF2370" s="1">
        <v>3</v>
      </c>
      <c r="AG2370" s="1">
        <v>3</v>
      </c>
      <c r="AH2370" s="1" t="s">
        <v>109</v>
      </c>
      <c r="AI2370" s="1" t="s">
        <v>109</v>
      </c>
      <c r="AJ2370" s="1">
        <v>3</v>
      </c>
      <c r="AK2370" s="1">
        <v>3</v>
      </c>
      <c r="AL2370" s="1">
        <v>3</v>
      </c>
      <c r="AM2370" s="1">
        <v>2</v>
      </c>
      <c r="AN2370" s="1" t="s">
        <v>109</v>
      </c>
      <c r="AO2370" s="1" t="s">
        <v>109</v>
      </c>
      <c r="AP2370" s="1"/>
      <c r="AQ2370" s="1">
        <v>3</v>
      </c>
      <c r="AR2370" s="1"/>
      <c r="AS2370" s="1" t="s">
        <v>16933</v>
      </c>
      <c r="AT2370" s="1">
        <v>0</v>
      </c>
      <c r="AU2370" s="1">
        <v>0</v>
      </c>
      <c r="AV2370" s="1">
        <v>0</v>
      </c>
      <c r="AW2370" s="1">
        <v>0</v>
      </c>
      <c r="AX2370" s="1">
        <v>0</v>
      </c>
      <c r="AY2370" s="1">
        <v>0</v>
      </c>
      <c r="AZ2370" s="1">
        <v>0</v>
      </c>
      <c r="BA2370" s="1">
        <v>0</v>
      </c>
      <c r="BB2370" s="1">
        <v>0</v>
      </c>
      <c r="BC2370" s="1">
        <v>0</v>
      </c>
      <c r="BD2370" s="1">
        <v>0</v>
      </c>
      <c r="BE2370" s="1">
        <v>0</v>
      </c>
      <c r="BF2370" s="1">
        <v>0</v>
      </c>
      <c r="BG2370" s="1">
        <v>0</v>
      </c>
      <c r="BH2370" s="1">
        <v>0</v>
      </c>
      <c r="BI2370" s="1">
        <v>0</v>
      </c>
      <c r="BJ2370" s="1">
        <v>0</v>
      </c>
      <c r="BK2370" s="1">
        <v>0</v>
      </c>
      <c r="BL2370" s="1">
        <v>0</v>
      </c>
      <c r="BM2370" s="1">
        <v>1</v>
      </c>
      <c r="BN2370" s="1">
        <v>0</v>
      </c>
      <c r="BO2370" s="1">
        <v>0</v>
      </c>
      <c r="BP2370" s="1">
        <v>0</v>
      </c>
      <c r="BQ2370" s="1">
        <v>0</v>
      </c>
      <c r="BR2370" s="1">
        <v>0</v>
      </c>
      <c r="BS2370" s="1" t="s">
        <v>109</v>
      </c>
      <c r="BT2370" s="1">
        <v>2461</v>
      </c>
      <c r="BU2370" s="1" t="s">
        <v>109</v>
      </c>
      <c r="BV2370" s="1"/>
      <c r="BW2370" s="1"/>
      <c r="BX2370" s="1"/>
      <c r="BY2370" s="1"/>
      <c r="BZ2370" s="1">
        <v>0</v>
      </c>
      <c r="CA2370" s="1" t="s">
        <v>109</v>
      </c>
      <c r="CB2370" s="1" t="s">
        <v>109</v>
      </c>
      <c r="CC2370" s="1">
        <v>2</v>
      </c>
      <c r="CD2370" s="1">
        <v>2</v>
      </c>
      <c r="CE2370" s="1">
        <v>2</v>
      </c>
      <c r="CF2370" s="1" t="s">
        <v>109</v>
      </c>
      <c r="CG2370" s="1">
        <v>3</v>
      </c>
      <c r="CH2370" s="1" t="s">
        <v>109</v>
      </c>
      <c r="CI2370" s="1" t="s">
        <v>109</v>
      </c>
      <c r="CJ2370" s="1" t="s">
        <v>109</v>
      </c>
      <c r="CK2370" s="1"/>
      <c r="CL2370" s="1">
        <v>0</v>
      </c>
      <c r="CM2370" s="1">
        <v>0</v>
      </c>
      <c r="CN2370" s="1">
        <v>0</v>
      </c>
    </row>
    <row r="2371" spans="1:92" ht="14.25" customHeight="1" x14ac:dyDescent="0.15">
      <c r="A2371" s="1" t="s">
        <v>16934</v>
      </c>
      <c r="B2371" s="1" t="s">
        <v>254</v>
      </c>
      <c r="C2371" s="1"/>
      <c r="D2371" s="1" t="s">
        <v>158</v>
      </c>
      <c r="E2371" s="1" t="s">
        <v>16935</v>
      </c>
      <c r="F2371" s="1" t="s">
        <v>98</v>
      </c>
      <c r="G2371" s="1" t="s">
        <v>16929</v>
      </c>
      <c r="H2371" s="1">
        <v>0</v>
      </c>
      <c r="I2371" s="1" t="s">
        <v>1016</v>
      </c>
      <c r="J2371" s="1" t="s">
        <v>1346</v>
      </c>
      <c r="K2371" s="1"/>
      <c r="L2371" s="1"/>
      <c r="M2371" s="1" t="s">
        <v>11884</v>
      </c>
      <c r="N2371" s="1">
        <v>1</v>
      </c>
      <c r="O2371" s="1">
        <v>0</v>
      </c>
      <c r="P2371" s="1" t="s">
        <v>2475</v>
      </c>
      <c r="Q2371" s="1" t="s">
        <v>104</v>
      </c>
      <c r="R2371" s="1" t="s">
        <v>16936</v>
      </c>
      <c r="S2371" s="1" t="s">
        <v>16937</v>
      </c>
      <c r="T2371" s="1" t="s">
        <v>16709</v>
      </c>
      <c r="U2371" s="1" t="s">
        <v>16938</v>
      </c>
      <c r="V2371" s="1">
        <v>1</v>
      </c>
      <c r="W2371" s="1">
        <v>1</v>
      </c>
      <c r="X2371" s="1">
        <v>0</v>
      </c>
      <c r="Y2371" s="1">
        <v>0</v>
      </c>
      <c r="Z2371" s="1">
        <v>1</v>
      </c>
      <c r="AA2371" s="1">
        <v>3</v>
      </c>
      <c r="AB2371" s="1">
        <v>3</v>
      </c>
      <c r="AC2371" s="1">
        <v>3</v>
      </c>
      <c r="AD2371" s="1" t="s">
        <v>109</v>
      </c>
      <c r="AE2371" s="1" t="s">
        <v>109</v>
      </c>
      <c r="AF2371" s="1">
        <v>2</v>
      </c>
      <c r="AG2371" s="1">
        <v>3</v>
      </c>
      <c r="AH2371" s="1" t="s">
        <v>109</v>
      </c>
      <c r="AI2371" s="1" t="s">
        <v>109</v>
      </c>
      <c r="AJ2371" s="1">
        <v>3</v>
      </c>
      <c r="AK2371" s="1">
        <v>3</v>
      </c>
      <c r="AL2371" s="1">
        <v>3</v>
      </c>
      <c r="AM2371" s="1">
        <v>2</v>
      </c>
      <c r="AN2371" s="1" t="s">
        <v>109</v>
      </c>
      <c r="AO2371" s="1" t="s">
        <v>109</v>
      </c>
      <c r="AP2371" s="1"/>
      <c r="AQ2371" s="1">
        <v>3</v>
      </c>
      <c r="AR2371" s="1"/>
      <c r="AS2371" s="1" t="s">
        <v>16939</v>
      </c>
      <c r="AT2371" s="1">
        <v>0</v>
      </c>
      <c r="AU2371" s="1">
        <v>0</v>
      </c>
      <c r="AV2371" s="1">
        <v>0</v>
      </c>
      <c r="AW2371" s="1">
        <v>0</v>
      </c>
      <c r="AX2371" s="1">
        <v>0</v>
      </c>
      <c r="AY2371" s="1">
        <v>0</v>
      </c>
      <c r="AZ2371" s="1">
        <v>0</v>
      </c>
      <c r="BA2371" s="1">
        <v>0</v>
      </c>
      <c r="BB2371" s="1">
        <v>0</v>
      </c>
      <c r="BC2371" s="1">
        <v>0</v>
      </c>
      <c r="BD2371" s="1">
        <v>0</v>
      </c>
      <c r="BE2371" s="1">
        <v>0</v>
      </c>
      <c r="BF2371" s="1">
        <v>0</v>
      </c>
      <c r="BG2371" s="1">
        <v>0</v>
      </c>
      <c r="BH2371" s="1">
        <v>0</v>
      </c>
      <c r="BI2371" s="1">
        <v>0</v>
      </c>
      <c r="BJ2371" s="1">
        <v>0</v>
      </c>
      <c r="BK2371" s="1">
        <v>0</v>
      </c>
      <c r="BL2371" s="1">
        <v>0</v>
      </c>
      <c r="BM2371" s="1">
        <v>1</v>
      </c>
      <c r="BN2371" s="1">
        <v>0</v>
      </c>
      <c r="BO2371" s="1">
        <v>0</v>
      </c>
      <c r="BP2371" s="1">
        <v>0</v>
      </c>
      <c r="BQ2371" s="1">
        <v>0</v>
      </c>
      <c r="BR2371" s="1">
        <v>0</v>
      </c>
      <c r="BS2371" s="1" t="s">
        <v>109</v>
      </c>
      <c r="BT2371" s="1">
        <v>2462</v>
      </c>
      <c r="BU2371" s="1" t="s">
        <v>109</v>
      </c>
      <c r="BV2371" s="1"/>
      <c r="BW2371" s="1"/>
      <c r="BX2371" s="1"/>
      <c r="BY2371" s="1"/>
      <c r="BZ2371" s="1">
        <v>0</v>
      </c>
      <c r="CA2371" s="1" t="s">
        <v>109</v>
      </c>
      <c r="CB2371" s="1" t="s">
        <v>109</v>
      </c>
      <c r="CC2371" s="1">
        <v>2</v>
      </c>
      <c r="CD2371" s="1">
        <v>2</v>
      </c>
      <c r="CE2371" s="1">
        <v>3</v>
      </c>
      <c r="CF2371" s="1" t="s">
        <v>109</v>
      </c>
      <c r="CG2371" s="1">
        <v>3</v>
      </c>
      <c r="CH2371" s="1" t="s">
        <v>109</v>
      </c>
      <c r="CI2371" s="1" t="s">
        <v>109</v>
      </c>
      <c r="CJ2371" s="1" t="s">
        <v>109</v>
      </c>
      <c r="CK2371" s="1"/>
      <c r="CL2371" s="1">
        <v>0</v>
      </c>
      <c r="CM2371" s="1">
        <v>0</v>
      </c>
      <c r="CN2371" s="1">
        <v>0</v>
      </c>
    </row>
    <row r="2372" spans="1:92" ht="14.25" customHeight="1" x14ac:dyDescent="0.15">
      <c r="A2372" s="1" t="s">
        <v>16940</v>
      </c>
      <c r="B2372" s="1" t="s">
        <v>254</v>
      </c>
      <c r="C2372" s="1"/>
      <c r="D2372" s="1"/>
      <c r="E2372" s="1" t="s">
        <v>16941</v>
      </c>
      <c r="F2372" s="1" t="s">
        <v>98</v>
      </c>
      <c r="G2372" s="1" t="s">
        <v>141</v>
      </c>
      <c r="H2372" s="1">
        <v>0</v>
      </c>
      <c r="I2372" s="1" t="s">
        <v>1016</v>
      </c>
      <c r="J2372" s="1" t="s">
        <v>1346</v>
      </c>
      <c r="K2372" s="1"/>
      <c r="L2372" s="1"/>
      <c r="M2372" s="1" t="s">
        <v>11884</v>
      </c>
      <c r="N2372" s="1">
        <v>1</v>
      </c>
      <c r="O2372" s="1">
        <v>0</v>
      </c>
      <c r="P2372" s="1" t="s">
        <v>103</v>
      </c>
      <c r="Q2372" s="1" t="s">
        <v>104</v>
      </c>
      <c r="R2372" s="1" t="s">
        <v>16942</v>
      </c>
      <c r="S2372" s="1" t="s">
        <v>16943</v>
      </c>
      <c r="T2372" s="1" t="s">
        <v>16709</v>
      </c>
      <c r="U2372" s="1" t="s">
        <v>16944</v>
      </c>
      <c r="V2372" s="1">
        <v>1</v>
      </c>
      <c r="W2372" s="1">
        <v>1</v>
      </c>
      <c r="X2372" s="1">
        <v>0</v>
      </c>
      <c r="Y2372" s="1">
        <v>0</v>
      </c>
      <c r="Z2372" s="1">
        <v>0</v>
      </c>
      <c r="AA2372" s="1">
        <v>2</v>
      </c>
      <c r="AB2372" s="1">
        <v>2</v>
      </c>
      <c r="AC2372" s="1">
        <v>2</v>
      </c>
      <c r="AD2372" s="1">
        <v>2</v>
      </c>
      <c r="AE2372" s="1" t="s">
        <v>109</v>
      </c>
      <c r="AF2372" s="1">
        <v>2</v>
      </c>
      <c r="AG2372" s="1" t="s">
        <v>109</v>
      </c>
      <c r="AH2372" s="1" t="s">
        <v>109</v>
      </c>
      <c r="AI2372" s="1">
        <v>2</v>
      </c>
      <c r="AJ2372" s="1">
        <v>2</v>
      </c>
      <c r="AK2372" s="1">
        <v>2</v>
      </c>
      <c r="AL2372" s="1">
        <v>2</v>
      </c>
      <c r="AM2372" s="1" t="s">
        <v>109</v>
      </c>
      <c r="AN2372" s="1">
        <v>2</v>
      </c>
      <c r="AO2372" s="1" t="s">
        <v>109</v>
      </c>
      <c r="AP2372" s="1"/>
      <c r="AQ2372" s="1">
        <v>2</v>
      </c>
      <c r="AR2372" s="1"/>
      <c r="AS2372" s="1" t="s">
        <v>16945</v>
      </c>
      <c r="AT2372" s="1">
        <v>0</v>
      </c>
      <c r="AU2372" s="1">
        <v>0</v>
      </c>
      <c r="AV2372" s="1">
        <v>0</v>
      </c>
      <c r="AW2372" s="1">
        <v>0</v>
      </c>
      <c r="AX2372" s="1">
        <v>0</v>
      </c>
      <c r="AY2372" s="1">
        <v>0</v>
      </c>
      <c r="AZ2372" s="1">
        <v>0</v>
      </c>
      <c r="BA2372" s="1">
        <v>0</v>
      </c>
      <c r="BB2372" s="1">
        <v>0</v>
      </c>
      <c r="BC2372" s="1">
        <v>0</v>
      </c>
      <c r="BD2372" s="1">
        <v>0</v>
      </c>
      <c r="BE2372" s="1">
        <v>0</v>
      </c>
      <c r="BF2372" s="1">
        <v>0</v>
      </c>
      <c r="BG2372" s="1">
        <v>0</v>
      </c>
      <c r="BH2372" s="1">
        <v>0</v>
      </c>
      <c r="BI2372" s="1">
        <v>0</v>
      </c>
      <c r="BJ2372" s="1">
        <v>0</v>
      </c>
      <c r="BK2372" s="1">
        <v>0</v>
      </c>
      <c r="BL2372" s="1">
        <v>0</v>
      </c>
      <c r="BM2372" s="1">
        <v>0</v>
      </c>
      <c r="BN2372" s="1">
        <v>0</v>
      </c>
      <c r="BO2372" s="1">
        <v>0</v>
      </c>
      <c r="BP2372" s="1">
        <v>0</v>
      </c>
      <c r="BQ2372" s="1">
        <v>0</v>
      </c>
      <c r="BR2372" s="1">
        <v>0</v>
      </c>
      <c r="BS2372" s="1" t="s">
        <v>109</v>
      </c>
      <c r="BT2372" s="1">
        <v>2463</v>
      </c>
      <c r="BU2372" s="1" t="s">
        <v>109</v>
      </c>
      <c r="BV2372" s="1"/>
      <c r="BW2372" s="1"/>
      <c r="BX2372" s="1"/>
      <c r="BY2372" s="1"/>
      <c r="BZ2372" s="1">
        <v>0</v>
      </c>
      <c r="CA2372" s="1" t="s">
        <v>109</v>
      </c>
      <c r="CB2372" s="1">
        <v>2</v>
      </c>
      <c r="CC2372" s="1">
        <v>2</v>
      </c>
      <c r="CD2372" s="1">
        <v>2</v>
      </c>
      <c r="CE2372" s="1">
        <v>2</v>
      </c>
      <c r="CF2372" s="1">
        <v>2</v>
      </c>
      <c r="CG2372" s="1">
        <v>2</v>
      </c>
      <c r="CH2372" s="1" t="s">
        <v>109</v>
      </c>
      <c r="CI2372" s="1" t="s">
        <v>109</v>
      </c>
      <c r="CJ2372" s="1">
        <v>2</v>
      </c>
      <c r="CK2372" s="1"/>
      <c r="CL2372" s="1">
        <v>0</v>
      </c>
      <c r="CM2372" s="1">
        <v>0</v>
      </c>
      <c r="CN2372" s="1">
        <v>0</v>
      </c>
    </row>
    <row r="2373" spans="1:92" ht="14.25" customHeight="1" x14ac:dyDescent="0.15">
      <c r="A2373" s="1" t="s">
        <v>16946</v>
      </c>
      <c r="B2373" s="1" t="s">
        <v>254</v>
      </c>
      <c r="C2373" s="1"/>
      <c r="D2373" s="1"/>
      <c r="E2373" s="1" t="s">
        <v>16947</v>
      </c>
      <c r="F2373" s="1" t="s">
        <v>98</v>
      </c>
      <c r="G2373" s="1" t="s">
        <v>160</v>
      </c>
      <c r="H2373" s="1">
        <v>0</v>
      </c>
      <c r="I2373" s="1" t="s">
        <v>1016</v>
      </c>
      <c r="J2373" s="1" t="s">
        <v>1346</v>
      </c>
      <c r="K2373" s="1"/>
      <c r="L2373" s="1"/>
      <c r="M2373" s="1" t="s">
        <v>11884</v>
      </c>
      <c r="N2373" s="1">
        <v>1</v>
      </c>
      <c r="O2373" s="1">
        <v>0</v>
      </c>
      <c r="P2373" s="1" t="s">
        <v>103</v>
      </c>
      <c r="Q2373" s="1" t="s">
        <v>104</v>
      </c>
      <c r="R2373" s="1" t="s">
        <v>16948</v>
      </c>
      <c r="S2373" s="1" t="s">
        <v>16949</v>
      </c>
      <c r="T2373" s="1" t="s">
        <v>16709</v>
      </c>
      <c r="U2373" s="1" t="s">
        <v>16950</v>
      </c>
      <c r="V2373" s="1">
        <v>1</v>
      </c>
      <c r="W2373" s="1">
        <v>1</v>
      </c>
      <c r="X2373" s="1">
        <v>0</v>
      </c>
      <c r="Y2373" s="1">
        <v>0</v>
      </c>
      <c r="Z2373" s="1">
        <v>1</v>
      </c>
      <c r="AA2373" s="1" t="s">
        <v>109</v>
      </c>
      <c r="AB2373" s="1" t="s">
        <v>109</v>
      </c>
      <c r="AC2373" s="1">
        <v>1</v>
      </c>
      <c r="AD2373" s="1">
        <v>1</v>
      </c>
      <c r="AE2373" s="1">
        <v>1</v>
      </c>
      <c r="AF2373" s="1" t="s">
        <v>109</v>
      </c>
      <c r="AG2373" s="1">
        <v>1</v>
      </c>
      <c r="AH2373" s="1" t="s">
        <v>109</v>
      </c>
      <c r="AI2373" s="1" t="s">
        <v>109</v>
      </c>
      <c r="AJ2373" s="1" t="s">
        <v>109</v>
      </c>
      <c r="AK2373" s="1">
        <v>1</v>
      </c>
      <c r="AL2373" s="1">
        <v>1</v>
      </c>
      <c r="AM2373" s="1">
        <v>1</v>
      </c>
      <c r="AN2373" s="1" t="s">
        <v>109</v>
      </c>
      <c r="AO2373" s="1" t="s">
        <v>109</v>
      </c>
      <c r="AP2373" s="1"/>
      <c r="AQ2373" s="1">
        <v>1</v>
      </c>
      <c r="AR2373" s="1"/>
      <c r="AS2373" s="1" t="s">
        <v>16951</v>
      </c>
      <c r="AT2373" s="1">
        <v>0</v>
      </c>
      <c r="AU2373" s="1">
        <v>0</v>
      </c>
      <c r="AV2373" s="1">
        <v>0</v>
      </c>
      <c r="AW2373" s="1">
        <v>0</v>
      </c>
      <c r="AX2373" s="1">
        <v>0</v>
      </c>
      <c r="AY2373" s="1">
        <v>0</v>
      </c>
      <c r="AZ2373" s="1">
        <v>0</v>
      </c>
      <c r="BA2373" s="1">
        <v>0</v>
      </c>
      <c r="BB2373" s="1">
        <v>0</v>
      </c>
      <c r="BC2373" s="1">
        <v>0</v>
      </c>
      <c r="BD2373" s="1">
        <v>0</v>
      </c>
      <c r="BE2373" s="1">
        <v>0</v>
      </c>
      <c r="BF2373" s="1">
        <v>0</v>
      </c>
      <c r="BG2373" s="1">
        <v>0</v>
      </c>
      <c r="BH2373" s="1">
        <v>0</v>
      </c>
      <c r="BI2373" s="1">
        <v>0</v>
      </c>
      <c r="BJ2373" s="1">
        <v>0</v>
      </c>
      <c r="BK2373" s="1">
        <v>0</v>
      </c>
      <c r="BL2373" s="1">
        <v>0</v>
      </c>
      <c r="BM2373" s="1">
        <v>0</v>
      </c>
      <c r="BN2373" s="1">
        <v>0</v>
      </c>
      <c r="BO2373" s="1">
        <v>0</v>
      </c>
      <c r="BP2373" s="1">
        <v>0</v>
      </c>
      <c r="BQ2373" s="1">
        <v>0</v>
      </c>
      <c r="BR2373" s="1">
        <v>0</v>
      </c>
      <c r="BS2373" s="1" t="s">
        <v>109</v>
      </c>
      <c r="BT2373" s="1">
        <v>2464</v>
      </c>
      <c r="BU2373" s="1" t="s">
        <v>109</v>
      </c>
      <c r="BV2373" s="1"/>
      <c r="BW2373" s="1"/>
      <c r="BX2373" s="1"/>
      <c r="BY2373" s="1"/>
      <c r="BZ2373" s="1">
        <v>0</v>
      </c>
      <c r="CA2373" s="1" t="s">
        <v>109</v>
      </c>
      <c r="CB2373" s="1">
        <v>1</v>
      </c>
      <c r="CC2373" s="1" t="s">
        <v>109</v>
      </c>
      <c r="CD2373" s="1" t="s">
        <v>109</v>
      </c>
      <c r="CE2373" s="1" t="s">
        <v>109</v>
      </c>
      <c r="CF2373" s="1" t="s">
        <v>109</v>
      </c>
      <c r="CG2373" s="1" t="s">
        <v>109</v>
      </c>
      <c r="CH2373" s="1" t="s">
        <v>109</v>
      </c>
      <c r="CI2373" s="1" t="s">
        <v>109</v>
      </c>
      <c r="CJ2373" s="1">
        <v>1</v>
      </c>
      <c r="CK2373" s="1"/>
      <c r="CL2373" s="1">
        <v>0</v>
      </c>
      <c r="CM2373" s="1">
        <v>0</v>
      </c>
      <c r="CN2373" s="1">
        <v>0</v>
      </c>
    </row>
    <row r="2374" spans="1:92" ht="14.25" customHeight="1" x14ac:dyDescent="0.15">
      <c r="A2374" s="1" t="s">
        <v>16952</v>
      </c>
      <c r="B2374" s="1" t="s">
        <v>242</v>
      </c>
      <c r="C2374" s="1"/>
      <c r="D2374" s="1"/>
      <c r="E2374" s="1" t="s">
        <v>16953</v>
      </c>
      <c r="F2374" s="1" t="s">
        <v>98</v>
      </c>
      <c r="G2374" s="1" t="s">
        <v>16954</v>
      </c>
      <c r="H2374" s="1">
        <v>0</v>
      </c>
      <c r="I2374" s="1" t="s">
        <v>161</v>
      </c>
      <c r="J2374" s="1" t="s">
        <v>16955</v>
      </c>
      <c r="K2374" s="1"/>
      <c r="L2374" s="1"/>
      <c r="M2374" s="1" t="s">
        <v>574</v>
      </c>
      <c r="N2374" s="1">
        <v>1</v>
      </c>
      <c r="O2374" s="1">
        <v>0</v>
      </c>
      <c r="P2374" s="1" t="s">
        <v>301</v>
      </c>
      <c r="Q2374" s="1" t="s">
        <v>268</v>
      </c>
      <c r="R2374" s="1" t="s">
        <v>16956</v>
      </c>
      <c r="S2374" s="1" t="s">
        <v>16957</v>
      </c>
      <c r="T2374" s="1" t="s">
        <v>16709</v>
      </c>
      <c r="U2374" s="1" t="s">
        <v>16958</v>
      </c>
      <c r="V2374" s="1">
        <v>0</v>
      </c>
      <c r="W2374" s="1">
        <v>1</v>
      </c>
      <c r="X2374" s="1">
        <v>1</v>
      </c>
      <c r="Y2374" s="1">
        <v>0</v>
      </c>
      <c r="Z2374" s="1">
        <v>0</v>
      </c>
      <c r="AA2374" s="1" t="s">
        <v>109</v>
      </c>
      <c r="AB2374" s="1" t="s">
        <v>109</v>
      </c>
      <c r="AC2374" s="1">
        <v>3</v>
      </c>
      <c r="AD2374" s="1" t="s">
        <v>109</v>
      </c>
      <c r="AE2374" s="1" t="s">
        <v>109</v>
      </c>
      <c r="AF2374" s="1">
        <v>2</v>
      </c>
      <c r="AG2374" s="1" t="s">
        <v>109</v>
      </c>
      <c r="AH2374" s="1" t="s">
        <v>109</v>
      </c>
      <c r="AI2374" s="1" t="s">
        <v>109</v>
      </c>
      <c r="AJ2374" s="1" t="s">
        <v>109</v>
      </c>
      <c r="AK2374" s="1">
        <v>3</v>
      </c>
      <c r="AL2374" s="1">
        <v>3</v>
      </c>
      <c r="AM2374" s="1" t="s">
        <v>109</v>
      </c>
      <c r="AN2374" s="1" t="s">
        <v>109</v>
      </c>
      <c r="AO2374" s="1" t="s">
        <v>109</v>
      </c>
      <c r="AP2374" s="1"/>
      <c r="AQ2374" s="1">
        <v>3</v>
      </c>
      <c r="AR2374" s="1"/>
      <c r="AS2374" s="1" t="s">
        <v>16959</v>
      </c>
      <c r="AT2374" s="1">
        <v>0</v>
      </c>
      <c r="AU2374" s="1">
        <v>0</v>
      </c>
      <c r="AV2374" s="1">
        <v>0</v>
      </c>
      <c r="AW2374" s="1">
        <v>0</v>
      </c>
      <c r="AX2374" s="1">
        <v>0</v>
      </c>
      <c r="AY2374" s="1">
        <v>0</v>
      </c>
      <c r="AZ2374" s="1">
        <v>0</v>
      </c>
      <c r="BA2374" s="1">
        <v>0</v>
      </c>
      <c r="BB2374" s="1">
        <v>0</v>
      </c>
      <c r="BC2374" s="1">
        <v>0</v>
      </c>
      <c r="BD2374" s="1">
        <v>0</v>
      </c>
      <c r="BE2374" s="1">
        <v>0</v>
      </c>
      <c r="BF2374" s="1">
        <v>0</v>
      </c>
      <c r="BG2374" s="1">
        <v>0</v>
      </c>
      <c r="BH2374" s="1">
        <v>0</v>
      </c>
      <c r="BI2374" s="1">
        <v>0</v>
      </c>
      <c r="BJ2374" s="1">
        <v>0</v>
      </c>
      <c r="BK2374" s="1">
        <v>0</v>
      </c>
      <c r="BL2374" s="1">
        <v>0</v>
      </c>
      <c r="BM2374" s="1">
        <v>0</v>
      </c>
      <c r="BN2374" s="1">
        <v>0</v>
      </c>
      <c r="BO2374" s="1">
        <v>0</v>
      </c>
      <c r="BP2374" s="1">
        <v>0</v>
      </c>
      <c r="BQ2374" s="1">
        <v>0</v>
      </c>
      <c r="BR2374" s="1">
        <v>0</v>
      </c>
      <c r="BS2374" s="1" t="s">
        <v>109</v>
      </c>
      <c r="BT2374" s="1">
        <v>2465</v>
      </c>
      <c r="BU2374" s="1" t="s">
        <v>109</v>
      </c>
      <c r="BV2374" s="1"/>
      <c r="BW2374" s="1"/>
      <c r="BX2374" s="1"/>
      <c r="BY2374" s="1"/>
      <c r="BZ2374" s="1">
        <v>0</v>
      </c>
      <c r="CA2374" s="1" t="s">
        <v>109</v>
      </c>
      <c r="CB2374" s="1" t="s">
        <v>109</v>
      </c>
      <c r="CC2374" s="1">
        <v>3</v>
      </c>
      <c r="CD2374" s="1" t="s">
        <v>109</v>
      </c>
      <c r="CE2374" s="1" t="s">
        <v>109</v>
      </c>
      <c r="CF2374" s="1" t="s">
        <v>109</v>
      </c>
      <c r="CG2374" s="1" t="s">
        <v>109</v>
      </c>
      <c r="CH2374" s="1" t="s">
        <v>109</v>
      </c>
      <c r="CI2374" s="1" t="s">
        <v>109</v>
      </c>
      <c r="CJ2374" s="1" t="s">
        <v>109</v>
      </c>
      <c r="CK2374" s="1"/>
      <c r="CL2374" s="1">
        <v>0</v>
      </c>
      <c r="CM2374" s="1">
        <v>0</v>
      </c>
      <c r="CN2374" s="1">
        <v>0</v>
      </c>
    </row>
    <row r="2375" spans="1:92" ht="14.25" customHeight="1" x14ac:dyDescent="0.15">
      <c r="A2375" s="1" t="s">
        <v>16960</v>
      </c>
      <c r="B2375" s="1" t="s">
        <v>308</v>
      </c>
      <c r="C2375" s="1"/>
      <c r="D2375" s="1"/>
      <c r="E2375" s="1" t="s">
        <v>9407</v>
      </c>
      <c r="F2375" s="1" t="s">
        <v>98</v>
      </c>
      <c r="G2375" s="1" t="s">
        <v>16961</v>
      </c>
      <c r="H2375" s="1">
        <v>0</v>
      </c>
      <c r="I2375" s="1" t="s">
        <v>161</v>
      </c>
      <c r="J2375" s="1"/>
      <c r="K2375" s="1"/>
      <c r="L2375" s="1" t="s">
        <v>2293</v>
      </c>
      <c r="M2375" s="1" t="s">
        <v>144</v>
      </c>
      <c r="N2375" s="1">
        <v>0</v>
      </c>
      <c r="O2375" s="1">
        <v>0</v>
      </c>
      <c r="P2375" s="1" t="s">
        <v>103</v>
      </c>
      <c r="Q2375" s="1" t="s">
        <v>104</v>
      </c>
      <c r="R2375" s="1" t="s">
        <v>16962</v>
      </c>
      <c r="S2375" s="1" t="s">
        <v>16963</v>
      </c>
      <c r="T2375" s="1" t="s">
        <v>16709</v>
      </c>
      <c r="U2375" s="1" t="s">
        <v>16964</v>
      </c>
      <c r="V2375" s="1">
        <v>1</v>
      </c>
      <c r="W2375" s="1">
        <v>1</v>
      </c>
      <c r="X2375" s="1">
        <v>1</v>
      </c>
      <c r="Y2375" s="1">
        <v>0</v>
      </c>
      <c r="Z2375" s="1">
        <v>0</v>
      </c>
      <c r="AA2375" s="1">
        <v>2</v>
      </c>
      <c r="AB2375" s="1">
        <v>2</v>
      </c>
      <c r="AC2375" s="1">
        <v>2</v>
      </c>
      <c r="AD2375" s="1" t="s">
        <v>109</v>
      </c>
      <c r="AE2375" s="1" t="s">
        <v>109</v>
      </c>
      <c r="AF2375" s="1" t="s">
        <v>109</v>
      </c>
      <c r="AG2375" s="1" t="s">
        <v>109</v>
      </c>
      <c r="AH2375" s="1" t="s">
        <v>109</v>
      </c>
      <c r="AI2375" s="1" t="s">
        <v>109</v>
      </c>
      <c r="AJ2375" s="1">
        <v>2</v>
      </c>
      <c r="AK2375" s="1" t="s">
        <v>109</v>
      </c>
      <c r="AL2375" s="1">
        <v>2</v>
      </c>
      <c r="AM2375" s="1" t="s">
        <v>109</v>
      </c>
      <c r="AN2375" s="1" t="s">
        <v>109</v>
      </c>
      <c r="AO2375" s="1" t="s">
        <v>109</v>
      </c>
      <c r="AP2375" s="1"/>
      <c r="AQ2375" s="1">
        <v>2</v>
      </c>
      <c r="AR2375" s="1"/>
      <c r="AS2375" s="1" t="s">
        <v>16965</v>
      </c>
      <c r="AT2375" s="1">
        <v>0</v>
      </c>
      <c r="AU2375" s="1">
        <v>0</v>
      </c>
      <c r="AV2375" s="1">
        <v>0</v>
      </c>
      <c r="AW2375" s="1">
        <v>0</v>
      </c>
      <c r="AX2375" s="1">
        <v>0</v>
      </c>
      <c r="AY2375" s="1">
        <v>0</v>
      </c>
      <c r="AZ2375" s="1">
        <v>0</v>
      </c>
      <c r="BA2375" s="1">
        <v>0</v>
      </c>
      <c r="BB2375" s="1">
        <v>0</v>
      </c>
      <c r="BC2375" s="1">
        <v>0</v>
      </c>
      <c r="BD2375" s="1">
        <v>0</v>
      </c>
      <c r="BE2375" s="1">
        <v>0</v>
      </c>
      <c r="BF2375" s="1">
        <v>0</v>
      </c>
      <c r="BG2375" s="1">
        <v>0</v>
      </c>
      <c r="BH2375" s="1">
        <v>0</v>
      </c>
      <c r="BI2375" s="1">
        <v>0</v>
      </c>
      <c r="BJ2375" s="1">
        <v>0</v>
      </c>
      <c r="BK2375" s="1">
        <v>0</v>
      </c>
      <c r="BL2375" s="1">
        <v>0</v>
      </c>
      <c r="BM2375" s="1">
        <v>0</v>
      </c>
      <c r="BN2375" s="1">
        <v>0</v>
      </c>
      <c r="BO2375" s="1">
        <v>0</v>
      </c>
      <c r="BP2375" s="1">
        <v>0</v>
      </c>
      <c r="BQ2375" s="1">
        <v>0</v>
      </c>
      <c r="BR2375" s="1">
        <v>0</v>
      </c>
      <c r="BS2375" s="1" t="s">
        <v>109</v>
      </c>
      <c r="BT2375" s="1">
        <v>2466</v>
      </c>
      <c r="BU2375" s="1" t="s">
        <v>109</v>
      </c>
      <c r="BV2375" s="1"/>
      <c r="BW2375" s="1"/>
      <c r="BX2375" s="1"/>
      <c r="BY2375" s="1"/>
      <c r="BZ2375" s="1">
        <v>0</v>
      </c>
      <c r="CA2375" s="1" t="s">
        <v>109</v>
      </c>
      <c r="CB2375" s="1" t="s">
        <v>109</v>
      </c>
      <c r="CC2375" s="1" t="s">
        <v>109</v>
      </c>
      <c r="CD2375" s="1" t="s">
        <v>109</v>
      </c>
      <c r="CE2375" s="1" t="s">
        <v>109</v>
      </c>
      <c r="CF2375" s="1" t="s">
        <v>109</v>
      </c>
      <c r="CG2375" s="1" t="s">
        <v>109</v>
      </c>
      <c r="CH2375" s="1" t="s">
        <v>109</v>
      </c>
      <c r="CI2375" s="1" t="s">
        <v>109</v>
      </c>
      <c r="CJ2375" s="1" t="s">
        <v>109</v>
      </c>
      <c r="CK2375" s="1"/>
      <c r="CL2375" s="1">
        <v>0</v>
      </c>
      <c r="CM2375" s="1">
        <v>0</v>
      </c>
      <c r="CN2375" s="1">
        <v>0</v>
      </c>
    </row>
    <row r="2376" spans="1:92" ht="14.25" customHeight="1" x14ac:dyDescent="0.15">
      <c r="A2376" s="1" t="s">
        <v>16966</v>
      </c>
      <c r="B2376" s="1" t="s">
        <v>95</v>
      </c>
      <c r="C2376" s="1" t="s">
        <v>3570</v>
      </c>
      <c r="D2376" s="1"/>
      <c r="E2376" s="1" t="s">
        <v>16967</v>
      </c>
      <c r="F2376" s="1" t="s">
        <v>395</v>
      </c>
      <c r="G2376" s="1" t="s">
        <v>3581</v>
      </c>
      <c r="H2376" s="1">
        <v>1</v>
      </c>
      <c r="I2376" s="1" t="s">
        <v>142</v>
      </c>
      <c r="J2376" s="1"/>
      <c r="K2376" s="1" t="s">
        <v>16968</v>
      </c>
      <c r="L2376" s="1"/>
      <c r="M2376" s="1" t="s">
        <v>144</v>
      </c>
      <c r="N2376" s="1">
        <v>0</v>
      </c>
      <c r="O2376" s="1">
        <v>0</v>
      </c>
      <c r="P2376" s="1" t="s">
        <v>103</v>
      </c>
      <c r="Q2376" s="1" t="s">
        <v>104</v>
      </c>
      <c r="R2376" s="1" t="s">
        <v>16969</v>
      </c>
      <c r="S2376" s="1" t="s">
        <v>16970</v>
      </c>
      <c r="T2376" s="1" t="s">
        <v>16709</v>
      </c>
      <c r="U2376" s="1" t="s">
        <v>16971</v>
      </c>
      <c r="V2376" s="1">
        <v>1</v>
      </c>
      <c r="W2376" s="1">
        <v>1</v>
      </c>
      <c r="X2376" s="1">
        <v>1</v>
      </c>
      <c r="Y2376" s="1">
        <v>0</v>
      </c>
      <c r="Z2376" s="1">
        <v>1</v>
      </c>
      <c r="AA2376" s="1" t="s">
        <v>109</v>
      </c>
      <c r="AB2376" s="1" t="s">
        <v>109</v>
      </c>
      <c r="AC2376" s="1" t="s">
        <v>109</v>
      </c>
      <c r="AD2376" s="1">
        <v>7</v>
      </c>
      <c r="AE2376" s="1" t="s">
        <v>109</v>
      </c>
      <c r="AF2376" s="1">
        <v>6</v>
      </c>
      <c r="AG2376" s="1" t="s">
        <v>109</v>
      </c>
      <c r="AH2376" s="1" t="s">
        <v>109</v>
      </c>
      <c r="AI2376" s="1" t="s">
        <v>109</v>
      </c>
      <c r="AJ2376" s="1" t="s">
        <v>109</v>
      </c>
      <c r="AK2376" s="1" t="s">
        <v>109</v>
      </c>
      <c r="AL2376" s="1" t="s">
        <v>109</v>
      </c>
      <c r="AM2376" s="1" t="s">
        <v>109</v>
      </c>
      <c r="AN2376" s="1" t="s">
        <v>109</v>
      </c>
      <c r="AO2376" s="1" t="s">
        <v>109</v>
      </c>
      <c r="AP2376" s="1"/>
      <c r="AQ2376" s="1">
        <v>7</v>
      </c>
      <c r="AR2376" s="1"/>
      <c r="AS2376" s="1" t="s">
        <v>16972</v>
      </c>
      <c r="AT2376" s="1">
        <v>0</v>
      </c>
      <c r="AU2376" s="1">
        <v>0</v>
      </c>
      <c r="AV2376" s="1">
        <v>0</v>
      </c>
      <c r="AW2376" s="1">
        <v>0</v>
      </c>
      <c r="AX2376" s="1">
        <v>0</v>
      </c>
      <c r="AY2376" s="1">
        <v>0</v>
      </c>
      <c r="AZ2376" s="1">
        <v>0</v>
      </c>
      <c r="BA2376" s="1">
        <v>0</v>
      </c>
      <c r="BB2376" s="1">
        <v>0</v>
      </c>
      <c r="BC2376" s="1">
        <v>0</v>
      </c>
      <c r="BD2376" s="1">
        <v>0</v>
      </c>
      <c r="BE2376" s="1">
        <v>0</v>
      </c>
      <c r="BF2376" s="1">
        <v>0</v>
      </c>
      <c r="BG2376" s="1">
        <v>0</v>
      </c>
      <c r="BH2376" s="1">
        <v>0</v>
      </c>
      <c r="BI2376" s="1">
        <v>0</v>
      </c>
      <c r="BJ2376" s="1">
        <v>0</v>
      </c>
      <c r="BK2376" s="1">
        <v>0</v>
      </c>
      <c r="BL2376" s="1">
        <v>0</v>
      </c>
      <c r="BM2376" s="1">
        <v>0</v>
      </c>
      <c r="BN2376" s="1">
        <v>0</v>
      </c>
      <c r="BO2376" s="1">
        <v>0</v>
      </c>
      <c r="BP2376" s="1">
        <v>0</v>
      </c>
      <c r="BQ2376" s="1">
        <v>0</v>
      </c>
      <c r="BR2376" s="1">
        <v>0</v>
      </c>
      <c r="BS2376" s="1" t="s">
        <v>109</v>
      </c>
      <c r="BT2376" s="1">
        <v>2467</v>
      </c>
      <c r="BU2376" s="1">
        <v>1250</v>
      </c>
      <c r="BV2376" s="1"/>
      <c r="BW2376" s="1"/>
      <c r="BX2376" s="1"/>
      <c r="BY2376" s="1"/>
      <c r="BZ2376" s="1">
        <v>0</v>
      </c>
      <c r="CA2376" s="1" t="s">
        <v>109</v>
      </c>
      <c r="CB2376" s="1">
        <v>7</v>
      </c>
      <c r="CC2376" s="1" t="s">
        <v>109</v>
      </c>
      <c r="CD2376" s="1" t="s">
        <v>109</v>
      </c>
      <c r="CE2376" s="1" t="s">
        <v>109</v>
      </c>
      <c r="CF2376" s="1" t="s">
        <v>109</v>
      </c>
      <c r="CG2376" s="1" t="s">
        <v>109</v>
      </c>
      <c r="CH2376" s="1" t="s">
        <v>109</v>
      </c>
      <c r="CI2376" s="1" t="s">
        <v>109</v>
      </c>
      <c r="CJ2376" s="1" t="s">
        <v>109</v>
      </c>
      <c r="CK2376" s="1"/>
      <c r="CL2376" s="1">
        <v>0</v>
      </c>
      <c r="CM2376" s="1">
        <v>0</v>
      </c>
      <c r="CN2376" s="1">
        <v>0</v>
      </c>
    </row>
    <row r="2377" spans="1:92" ht="14.25" customHeight="1" x14ac:dyDescent="0.15">
      <c r="A2377" s="1" t="s">
        <v>16973</v>
      </c>
      <c r="B2377" s="1" t="s">
        <v>95</v>
      </c>
      <c r="C2377" s="1" t="s">
        <v>3570</v>
      </c>
      <c r="D2377" s="1"/>
      <c r="E2377" s="1" t="s">
        <v>4347</v>
      </c>
      <c r="F2377" s="1" t="s">
        <v>395</v>
      </c>
      <c r="G2377" s="1" t="s">
        <v>3591</v>
      </c>
      <c r="H2377" s="1">
        <v>1</v>
      </c>
      <c r="I2377" s="1" t="s">
        <v>142</v>
      </c>
      <c r="J2377" s="1"/>
      <c r="K2377" s="1" t="s">
        <v>16974</v>
      </c>
      <c r="L2377" s="1"/>
      <c r="M2377" s="1" t="s">
        <v>144</v>
      </c>
      <c r="N2377" s="1">
        <v>0</v>
      </c>
      <c r="O2377" s="1">
        <v>0</v>
      </c>
      <c r="P2377" s="1" t="s">
        <v>103</v>
      </c>
      <c r="Q2377" s="1" t="s">
        <v>104</v>
      </c>
      <c r="R2377" s="1" t="s">
        <v>16975</v>
      </c>
      <c r="S2377" s="1" t="s">
        <v>16976</v>
      </c>
      <c r="T2377" s="1" t="s">
        <v>16709</v>
      </c>
      <c r="U2377" s="1" t="s">
        <v>16977</v>
      </c>
      <c r="V2377" s="1">
        <v>1</v>
      </c>
      <c r="W2377" s="1">
        <v>1</v>
      </c>
      <c r="X2377" s="1">
        <v>1</v>
      </c>
      <c r="Y2377" s="1">
        <v>0</v>
      </c>
      <c r="Z2377" s="1">
        <v>1</v>
      </c>
      <c r="AA2377" s="1" t="s">
        <v>109</v>
      </c>
      <c r="AB2377" s="1" t="s">
        <v>109</v>
      </c>
      <c r="AC2377" s="1" t="s">
        <v>109</v>
      </c>
      <c r="AD2377" s="1">
        <v>9</v>
      </c>
      <c r="AE2377" s="1" t="s">
        <v>109</v>
      </c>
      <c r="AF2377" s="1" t="s">
        <v>109</v>
      </c>
      <c r="AG2377" s="1" t="s">
        <v>109</v>
      </c>
      <c r="AH2377" s="1" t="s">
        <v>109</v>
      </c>
      <c r="AI2377" s="1" t="s">
        <v>109</v>
      </c>
      <c r="AJ2377" s="1" t="s">
        <v>109</v>
      </c>
      <c r="AK2377" s="1" t="s">
        <v>109</v>
      </c>
      <c r="AL2377" s="1" t="s">
        <v>109</v>
      </c>
      <c r="AM2377" s="1" t="s">
        <v>109</v>
      </c>
      <c r="AN2377" s="1" t="s">
        <v>109</v>
      </c>
      <c r="AO2377" s="1" t="s">
        <v>109</v>
      </c>
      <c r="AP2377" s="1"/>
      <c r="AQ2377" s="1">
        <v>9</v>
      </c>
      <c r="AR2377" s="1"/>
      <c r="AS2377" s="1" t="s">
        <v>16978</v>
      </c>
      <c r="AT2377" s="1">
        <v>0</v>
      </c>
      <c r="AU2377" s="1">
        <v>0</v>
      </c>
      <c r="AV2377" s="1">
        <v>0</v>
      </c>
      <c r="AW2377" s="1">
        <v>0</v>
      </c>
      <c r="AX2377" s="1">
        <v>0</v>
      </c>
      <c r="AY2377" s="1">
        <v>0</v>
      </c>
      <c r="AZ2377" s="1">
        <v>0</v>
      </c>
      <c r="BA2377" s="1">
        <v>0</v>
      </c>
      <c r="BB2377" s="1">
        <v>0</v>
      </c>
      <c r="BC2377" s="1">
        <v>0</v>
      </c>
      <c r="BD2377" s="1">
        <v>0</v>
      </c>
      <c r="BE2377" s="1">
        <v>0</v>
      </c>
      <c r="BF2377" s="1">
        <v>0</v>
      </c>
      <c r="BG2377" s="1">
        <v>0</v>
      </c>
      <c r="BH2377" s="1">
        <v>0</v>
      </c>
      <c r="BI2377" s="1">
        <v>0</v>
      </c>
      <c r="BJ2377" s="1">
        <v>0</v>
      </c>
      <c r="BK2377" s="1">
        <v>0</v>
      </c>
      <c r="BL2377" s="1">
        <v>0</v>
      </c>
      <c r="BM2377" s="1">
        <v>0</v>
      </c>
      <c r="BN2377" s="1">
        <v>0</v>
      </c>
      <c r="BO2377" s="1">
        <v>0</v>
      </c>
      <c r="BP2377" s="1">
        <v>0</v>
      </c>
      <c r="BQ2377" s="1">
        <v>0</v>
      </c>
      <c r="BR2377" s="1">
        <v>0</v>
      </c>
      <c r="BS2377" s="1" t="s">
        <v>109</v>
      </c>
      <c r="BT2377" s="1">
        <v>2468</v>
      </c>
      <c r="BU2377" s="1">
        <v>2500</v>
      </c>
      <c r="BV2377" s="1"/>
      <c r="BW2377" s="1"/>
      <c r="BX2377" s="1"/>
      <c r="BY2377" s="1"/>
      <c r="BZ2377" s="1">
        <v>0</v>
      </c>
      <c r="CA2377" s="1" t="s">
        <v>109</v>
      </c>
      <c r="CB2377" s="1">
        <v>9</v>
      </c>
      <c r="CC2377" s="1" t="s">
        <v>109</v>
      </c>
      <c r="CD2377" s="1" t="s">
        <v>109</v>
      </c>
      <c r="CE2377" s="1" t="s">
        <v>109</v>
      </c>
      <c r="CF2377" s="1" t="s">
        <v>109</v>
      </c>
      <c r="CG2377" s="1" t="s">
        <v>109</v>
      </c>
      <c r="CH2377" s="1" t="s">
        <v>109</v>
      </c>
      <c r="CI2377" s="1" t="s">
        <v>109</v>
      </c>
      <c r="CJ2377" s="1" t="s">
        <v>109</v>
      </c>
      <c r="CK2377" s="1"/>
      <c r="CL2377" s="1">
        <v>0</v>
      </c>
      <c r="CM2377" s="1">
        <v>0</v>
      </c>
      <c r="CN2377" s="1">
        <v>0</v>
      </c>
    </row>
    <row r="2378" spans="1:92" ht="14.25" customHeight="1" x14ac:dyDescent="0.15">
      <c r="A2378" s="1" t="s">
        <v>16979</v>
      </c>
      <c r="B2378" s="1" t="s">
        <v>95</v>
      </c>
      <c r="C2378" s="1" t="s">
        <v>3570</v>
      </c>
      <c r="D2378" s="1"/>
      <c r="E2378" s="1" t="s">
        <v>16980</v>
      </c>
      <c r="F2378" s="1" t="s">
        <v>395</v>
      </c>
      <c r="G2378" s="1" t="s">
        <v>3572</v>
      </c>
      <c r="H2378" s="1">
        <v>1</v>
      </c>
      <c r="I2378" s="1" t="s">
        <v>142</v>
      </c>
      <c r="J2378" s="1"/>
      <c r="K2378" s="1" t="s">
        <v>16981</v>
      </c>
      <c r="L2378" s="1"/>
      <c r="M2378" s="1" t="s">
        <v>144</v>
      </c>
      <c r="N2378" s="1">
        <v>0</v>
      </c>
      <c r="O2378" s="1">
        <v>0</v>
      </c>
      <c r="P2378" s="1" t="s">
        <v>103</v>
      </c>
      <c r="Q2378" s="1" t="s">
        <v>104</v>
      </c>
      <c r="R2378" s="1" t="s">
        <v>16982</v>
      </c>
      <c r="S2378" s="1" t="s">
        <v>16983</v>
      </c>
      <c r="T2378" s="1" t="s">
        <v>16709</v>
      </c>
      <c r="U2378" s="1" t="s">
        <v>16984</v>
      </c>
      <c r="V2378" s="1">
        <v>1</v>
      </c>
      <c r="W2378" s="1">
        <v>1</v>
      </c>
      <c r="X2378" s="1">
        <v>1</v>
      </c>
      <c r="Y2378" s="1">
        <v>0</v>
      </c>
      <c r="Z2378" s="1">
        <v>1</v>
      </c>
      <c r="AA2378" s="1" t="s">
        <v>109</v>
      </c>
      <c r="AB2378" s="1" t="s">
        <v>109</v>
      </c>
      <c r="AC2378" s="1" t="s">
        <v>109</v>
      </c>
      <c r="AD2378" s="1">
        <v>5</v>
      </c>
      <c r="AE2378" s="1">
        <v>4</v>
      </c>
      <c r="AF2378" s="1">
        <v>4</v>
      </c>
      <c r="AG2378" s="1" t="s">
        <v>109</v>
      </c>
      <c r="AH2378" s="1" t="s">
        <v>109</v>
      </c>
      <c r="AI2378" s="1" t="s">
        <v>109</v>
      </c>
      <c r="AJ2378" s="1" t="s">
        <v>109</v>
      </c>
      <c r="AK2378" s="1" t="s">
        <v>109</v>
      </c>
      <c r="AL2378" s="1" t="s">
        <v>109</v>
      </c>
      <c r="AM2378" s="1" t="s">
        <v>109</v>
      </c>
      <c r="AN2378" s="1" t="s">
        <v>109</v>
      </c>
      <c r="AO2378" s="1" t="s">
        <v>109</v>
      </c>
      <c r="AP2378" s="1"/>
      <c r="AQ2378" s="1">
        <v>5</v>
      </c>
      <c r="AR2378" s="1"/>
      <c r="AS2378" s="1" t="s">
        <v>16985</v>
      </c>
      <c r="AT2378" s="1">
        <v>0</v>
      </c>
      <c r="AU2378" s="1">
        <v>0</v>
      </c>
      <c r="AV2378" s="1">
        <v>0</v>
      </c>
      <c r="AW2378" s="1">
        <v>0</v>
      </c>
      <c r="AX2378" s="1">
        <v>0</v>
      </c>
      <c r="AY2378" s="1">
        <v>0</v>
      </c>
      <c r="AZ2378" s="1">
        <v>0</v>
      </c>
      <c r="BA2378" s="1">
        <v>0</v>
      </c>
      <c r="BB2378" s="1">
        <v>0</v>
      </c>
      <c r="BC2378" s="1">
        <v>0</v>
      </c>
      <c r="BD2378" s="1">
        <v>0</v>
      </c>
      <c r="BE2378" s="1">
        <v>0</v>
      </c>
      <c r="BF2378" s="1">
        <v>0</v>
      </c>
      <c r="BG2378" s="1">
        <v>0</v>
      </c>
      <c r="BH2378" s="1">
        <v>0</v>
      </c>
      <c r="BI2378" s="1">
        <v>0</v>
      </c>
      <c r="BJ2378" s="1">
        <v>0</v>
      </c>
      <c r="BK2378" s="1">
        <v>0</v>
      </c>
      <c r="BL2378" s="1">
        <v>0</v>
      </c>
      <c r="BM2378" s="1">
        <v>0</v>
      </c>
      <c r="BN2378" s="1">
        <v>0</v>
      </c>
      <c r="BO2378" s="1">
        <v>0</v>
      </c>
      <c r="BP2378" s="1">
        <v>0</v>
      </c>
      <c r="BQ2378" s="1">
        <v>0</v>
      </c>
      <c r="BR2378" s="1">
        <v>0</v>
      </c>
      <c r="BS2378" s="1" t="s">
        <v>109</v>
      </c>
      <c r="BT2378" s="1">
        <v>2469</v>
      </c>
      <c r="BU2378" s="1">
        <v>500</v>
      </c>
      <c r="BV2378" s="1"/>
      <c r="BW2378" s="1"/>
      <c r="BX2378" s="1"/>
      <c r="BY2378" s="1"/>
      <c r="BZ2378" s="1">
        <v>0</v>
      </c>
      <c r="CA2378" s="1" t="s">
        <v>109</v>
      </c>
      <c r="CB2378" s="1">
        <v>5</v>
      </c>
      <c r="CC2378" s="1" t="s">
        <v>109</v>
      </c>
      <c r="CD2378" s="1">
        <v>3</v>
      </c>
      <c r="CE2378" s="1" t="s">
        <v>109</v>
      </c>
      <c r="CF2378" s="1" t="s">
        <v>109</v>
      </c>
      <c r="CG2378" s="1" t="s">
        <v>109</v>
      </c>
      <c r="CH2378" s="1" t="s">
        <v>109</v>
      </c>
      <c r="CI2378" s="1" t="s">
        <v>109</v>
      </c>
      <c r="CJ2378" s="1">
        <v>4</v>
      </c>
      <c r="CK2378" s="1"/>
      <c r="CL2378" s="1">
        <v>0</v>
      </c>
      <c r="CM2378" s="1">
        <v>0</v>
      </c>
      <c r="CN2378" s="1">
        <v>0</v>
      </c>
    </row>
    <row r="2379" spans="1:92" ht="14.25" customHeight="1" x14ac:dyDescent="0.15">
      <c r="A2379" s="1" t="s">
        <v>16986</v>
      </c>
      <c r="B2379" s="1" t="s">
        <v>189</v>
      </c>
      <c r="C2379" s="1"/>
      <c r="D2379" s="1"/>
      <c r="E2379" s="1" t="s">
        <v>16987</v>
      </c>
      <c r="F2379" s="1" t="s">
        <v>98</v>
      </c>
      <c r="G2379" s="1" t="s">
        <v>2345</v>
      </c>
      <c r="H2379" s="1">
        <v>0</v>
      </c>
      <c r="I2379" s="1" t="s">
        <v>235</v>
      </c>
      <c r="J2379" s="1"/>
      <c r="K2379" s="1"/>
      <c r="L2379" s="1" t="s">
        <v>236</v>
      </c>
      <c r="M2379" s="1" t="s">
        <v>144</v>
      </c>
      <c r="N2379" s="1">
        <v>0</v>
      </c>
      <c r="O2379" s="1">
        <v>0</v>
      </c>
      <c r="P2379" s="1"/>
      <c r="Q2379" s="1"/>
      <c r="R2379" s="1" t="s">
        <v>16988</v>
      </c>
      <c r="S2379" s="1" t="s">
        <v>16989</v>
      </c>
      <c r="T2379" s="1" t="s">
        <v>16709</v>
      </c>
      <c r="U2379" s="1" t="s">
        <v>16990</v>
      </c>
      <c r="V2379" s="1">
        <v>0</v>
      </c>
      <c r="W2379" s="1">
        <v>1</v>
      </c>
      <c r="X2379" s="1">
        <v>0</v>
      </c>
      <c r="Y2379" s="1">
        <v>0</v>
      </c>
      <c r="Z2379" s="1">
        <v>0</v>
      </c>
      <c r="AA2379" s="1">
        <v>1</v>
      </c>
      <c r="AB2379" s="1">
        <v>1</v>
      </c>
      <c r="AC2379" s="1" t="s">
        <v>109</v>
      </c>
      <c r="AD2379" s="1" t="s">
        <v>109</v>
      </c>
      <c r="AE2379" s="1" t="s">
        <v>109</v>
      </c>
      <c r="AF2379" s="1">
        <v>1</v>
      </c>
      <c r="AG2379" s="1" t="s">
        <v>109</v>
      </c>
      <c r="AH2379" s="1">
        <v>1</v>
      </c>
      <c r="AI2379" s="1" t="s">
        <v>109</v>
      </c>
      <c r="AJ2379" s="1">
        <v>1</v>
      </c>
      <c r="AK2379" s="1">
        <v>1</v>
      </c>
      <c r="AL2379" s="1" t="s">
        <v>109</v>
      </c>
      <c r="AM2379" s="1">
        <v>1</v>
      </c>
      <c r="AN2379" s="1" t="s">
        <v>109</v>
      </c>
      <c r="AO2379" s="1" t="s">
        <v>109</v>
      </c>
      <c r="AP2379" s="1"/>
      <c r="AQ2379" s="1">
        <v>1</v>
      </c>
      <c r="AR2379" s="1"/>
      <c r="AS2379" s="1" t="s">
        <v>16991</v>
      </c>
      <c r="AT2379" s="1">
        <v>0</v>
      </c>
      <c r="AU2379" s="1">
        <v>0</v>
      </c>
      <c r="AV2379" s="1">
        <v>0</v>
      </c>
      <c r="AW2379" s="1">
        <v>0</v>
      </c>
      <c r="AX2379" s="1">
        <v>0</v>
      </c>
      <c r="AY2379" s="1">
        <v>0</v>
      </c>
      <c r="AZ2379" s="1">
        <v>0</v>
      </c>
      <c r="BA2379" s="1">
        <v>0</v>
      </c>
      <c r="BB2379" s="1">
        <v>0</v>
      </c>
      <c r="BC2379" s="1">
        <v>0</v>
      </c>
      <c r="BD2379" s="1">
        <v>0</v>
      </c>
      <c r="BE2379" s="1">
        <v>0</v>
      </c>
      <c r="BF2379" s="1">
        <v>0</v>
      </c>
      <c r="BG2379" s="1">
        <v>0</v>
      </c>
      <c r="BH2379" s="1">
        <v>0</v>
      </c>
      <c r="BI2379" s="1">
        <v>0</v>
      </c>
      <c r="BJ2379" s="1">
        <v>0</v>
      </c>
      <c r="BK2379" s="1">
        <v>0</v>
      </c>
      <c r="BL2379" s="1">
        <v>0</v>
      </c>
      <c r="BM2379" s="1">
        <v>0</v>
      </c>
      <c r="BN2379" s="1">
        <v>0</v>
      </c>
      <c r="BO2379" s="1">
        <v>0</v>
      </c>
      <c r="BP2379" s="1">
        <v>0</v>
      </c>
      <c r="BQ2379" s="1">
        <v>0</v>
      </c>
      <c r="BR2379" s="1">
        <v>0</v>
      </c>
      <c r="BS2379" s="1" t="s">
        <v>109</v>
      </c>
      <c r="BT2379" s="1">
        <v>2470</v>
      </c>
      <c r="BU2379" s="1" t="s">
        <v>109</v>
      </c>
      <c r="BV2379" s="1"/>
      <c r="BW2379" s="1"/>
      <c r="BX2379" s="1"/>
      <c r="BY2379" s="1"/>
      <c r="BZ2379" s="1">
        <v>0</v>
      </c>
      <c r="CA2379" s="1" t="s">
        <v>109</v>
      </c>
      <c r="CB2379" s="1" t="s">
        <v>109</v>
      </c>
      <c r="CC2379" s="1">
        <v>1</v>
      </c>
      <c r="CD2379" s="1" t="s">
        <v>109</v>
      </c>
      <c r="CE2379" s="1" t="s">
        <v>109</v>
      </c>
      <c r="CF2379" s="1" t="s">
        <v>109</v>
      </c>
      <c r="CG2379" s="1" t="s">
        <v>109</v>
      </c>
      <c r="CH2379" s="1" t="s">
        <v>109</v>
      </c>
      <c r="CI2379" s="1" t="s">
        <v>109</v>
      </c>
      <c r="CJ2379" s="1" t="s">
        <v>109</v>
      </c>
      <c r="CK2379" s="1"/>
      <c r="CL2379" s="1">
        <v>0</v>
      </c>
      <c r="CM2379" s="1">
        <v>0</v>
      </c>
      <c r="CN2379" s="1">
        <v>0</v>
      </c>
    </row>
    <row r="2380" spans="1:92" ht="14.25" customHeight="1" x14ac:dyDescent="0.15">
      <c r="A2380" s="1" t="s">
        <v>16992</v>
      </c>
      <c r="B2380" s="1" t="s">
        <v>156</v>
      </c>
      <c r="C2380" s="1" t="s">
        <v>157</v>
      </c>
      <c r="D2380" s="1" t="s">
        <v>158</v>
      </c>
      <c r="E2380" s="1" t="s">
        <v>16993</v>
      </c>
      <c r="F2380" s="1" t="s">
        <v>16994</v>
      </c>
      <c r="G2380" s="1" t="s">
        <v>16995</v>
      </c>
      <c r="H2380" s="1">
        <v>0</v>
      </c>
      <c r="I2380" s="1" t="s">
        <v>161</v>
      </c>
      <c r="J2380" s="1"/>
      <c r="K2380" s="1"/>
      <c r="L2380" s="1" t="s">
        <v>5616</v>
      </c>
      <c r="M2380" s="1" t="s">
        <v>289</v>
      </c>
      <c r="N2380" s="1">
        <v>0</v>
      </c>
      <c r="O2380" s="1">
        <v>0</v>
      </c>
      <c r="P2380" s="1" t="s">
        <v>103</v>
      </c>
      <c r="Q2380" s="1" t="s">
        <v>268</v>
      </c>
      <c r="R2380" s="1" t="s">
        <v>16996</v>
      </c>
      <c r="S2380" s="1" t="s">
        <v>16997</v>
      </c>
      <c r="T2380" s="1" t="s">
        <v>16709</v>
      </c>
      <c r="U2380" s="1" t="s">
        <v>16998</v>
      </c>
      <c r="V2380" s="1">
        <v>1</v>
      </c>
      <c r="W2380" s="1">
        <v>1</v>
      </c>
      <c r="X2380" s="1">
        <v>1</v>
      </c>
      <c r="Y2380" s="1">
        <v>0</v>
      </c>
      <c r="Z2380" s="1">
        <v>0</v>
      </c>
      <c r="AA2380" s="1" t="s">
        <v>109</v>
      </c>
      <c r="AB2380" s="1" t="s">
        <v>109</v>
      </c>
      <c r="AC2380" s="1" t="s">
        <v>109</v>
      </c>
      <c r="AD2380" s="1" t="s">
        <v>109</v>
      </c>
      <c r="AE2380" s="1" t="s">
        <v>109</v>
      </c>
      <c r="AF2380" s="1">
        <v>2</v>
      </c>
      <c r="AG2380" s="1" t="s">
        <v>109</v>
      </c>
      <c r="AH2380" s="1" t="s">
        <v>109</v>
      </c>
      <c r="AI2380" s="1" t="s">
        <v>109</v>
      </c>
      <c r="AJ2380" s="1" t="s">
        <v>109</v>
      </c>
      <c r="AK2380" s="1" t="s">
        <v>109</v>
      </c>
      <c r="AL2380" s="1" t="s">
        <v>109</v>
      </c>
      <c r="AM2380" s="1" t="s">
        <v>109</v>
      </c>
      <c r="AN2380" s="1" t="s">
        <v>109</v>
      </c>
      <c r="AO2380" s="1" t="s">
        <v>109</v>
      </c>
      <c r="AP2380" s="1"/>
      <c r="AQ2380" s="1">
        <v>2</v>
      </c>
      <c r="AR2380" s="1"/>
      <c r="AS2380" s="1" t="s">
        <v>16999</v>
      </c>
      <c r="AT2380" s="1">
        <v>0</v>
      </c>
      <c r="AU2380" s="1">
        <v>0</v>
      </c>
      <c r="AV2380" s="1">
        <v>0</v>
      </c>
      <c r="AW2380" s="1">
        <v>0</v>
      </c>
      <c r="AX2380" s="1">
        <v>0</v>
      </c>
      <c r="AY2380" s="1">
        <v>0</v>
      </c>
      <c r="AZ2380" s="1">
        <v>0</v>
      </c>
      <c r="BA2380" s="1">
        <v>0</v>
      </c>
      <c r="BB2380" s="1">
        <v>0</v>
      </c>
      <c r="BC2380" s="1">
        <v>0</v>
      </c>
      <c r="BD2380" s="1">
        <v>0</v>
      </c>
      <c r="BE2380" s="1">
        <v>0</v>
      </c>
      <c r="BF2380" s="1">
        <v>0</v>
      </c>
      <c r="BG2380" s="1">
        <v>0</v>
      </c>
      <c r="BH2380" s="1">
        <v>0</v>
      </c>
      <c r="BI2380" s="1">
        <v>0</v>
      </c>
      <c r="BJ2380" s="1">
        <v>0</v>
      </c>
      <c r="BK2380" s="1">
        <v>0</v>
      </c>
      <c r="BL2380" s="1">
        <v>0</v>
      </c>
      <c r="BM2380" s="1">
        <v>1</v>
      </c>
      <c r="BN2380" s="1">
        <v>0</v>
      </c>
      <c r="BO2380" s="1">
        <v>0</v>
      </c>
      <c r="BP2380" s="1">
        <v>0</v>
      </c>
      <c r="BQ2380" s="1">
        <v>0</v>
      </c>
      <c r="BR2380" s="1">
        <v>0</v>
      </c>
      <c r="BS2380" s="1" t="s">
        <v>109</v>
      </c>
      <c r="BT2380" s="1">
        <v>2471</v>
      </c>
      <c r="BU2380" s="1" t="s">
        <v>109</v>
      </c>
      <c r="BV2380" s="1"/>
      <c r="BW2380" s="1"/>
      <c r="BX2380" s="1"/>
      <c r="BY2380" s="1"/>
      <c r="BZ2380" s="1">
        <v>0</v>
      </c>
      <c r="CA2380" s="1" t="s">
        <v>109</v>
      </c>
      <c r="CB2380" s="1" t="s">
        <v>109</v>
      </c>
      <c r="CC2380" s="1">
        <v>2</v>
      </c>
      <c r="CD2380" s="1" t="s">
        <v>109</v>
      </c>
      <c r="CE2380" s="1">
        <v>2</v>
      </c>
      <c r="CF2380" s="1" t="s">
        <v>109</v>
      </c>
      <c r="CG2380" s="1" t="s">
        <v>109</v>
      </c>
      <c r="CH2380" s="1" t="s">
        <v>109</v>
      </c>
      <c r="CI2380" s="1" t="s">
        <v>109</v>
      </c>
      <c r="CJ2380" s="1" t="s">
        <v>109</v>
      </c>
      <c r="CK2380" s="1"/>
      <c r="CL2380" s="1">
        <v>0</v>
      </c>
      <c r="CM2380" s="1">
        <v>0</v>
      </c>
      <c r="CN2380" s="1">
        <v>0</v>
      </c>
    </row>
    <row r="2381" spans="1:92" ht="14.25" customHeight="1" x14ac:dyDescent="0.15">
      <c r="A2381" s="1" t="s">
        <v>17000</v>
      </c>
      <c r="B2381" s="1" t="s">
        <v>674</v>
      </c>
      <c r="C2381" s="1" t="s">
        <v>675</v>
      </c>
      <c r="D2381" s="1"/>
      <c r="E2381" s="1" t="s">
        <v>17001</v>
      </c>
      <c r="F2381" s="1" t="s">
        <v>98</v>
      </c>
      <c r="G2381" s="1" t="s">
        <v>17002</v>
      </c>
      <c r="H2381" s="1">
        <v>1</v>
      </c>
      <c r="I2381" s="1" t="s">
        <v>161</v>
      </c>
      <c r="J2381" s="1"/>
      <c r="K2381" s="1"/>
      <c r="L2381" s="1" t="s">
        <v>3434</v>
      </c>
      <c r="M2381" s="1" t="s">
        <v>815</v>
      </c>
      <c r="N2381" s="1">
        <v>1</v>
      </c>
      <c r="O2381" s="1">
        <v>0</v>
      </c>
      <c r="P2381" s="1" t="s">
        <v>17003</v>
      </c>
      <c r="Q2381" s="1" t="s">
        <v>268</v>
      </c>
      <c r="R2381" s="1" t="s">
        <v>17004</v>
      </c>
      <c r="S2381" s="1" t="s">
        <v>17005</v>
      </c>
      <c r="T2381" s="1" t="s">
        <v>16709</v>
      </c>
      <c r="U2381" s="1" t="s">
        <v>17006</v>
      </c>
      <c r="V2381" s="1">
        <v>1</v>
      </c>
      <c r="W2381" s="1">
        <v>1</v>
      </c>
      <c r="X2381" s="1">
        <v>1</v>
      </c>
      <c r="Y2381" s="1">
        <v>0</v>
      </c>
      <c r="Z2381" s="1">
        <v>0</v>
      </c>
      <c r="AA2381" s="1">
        <v>5</v>
      </c>
      <c r="AB2381" s="1">
        <v>5</v>
      </c>
      <c r="AC2381" s="1">
        <v>4</v>
      </c>
      <c r="AD2381" s="1" t="s">
        <v>109</v>
      </c>
      <c r="AE2381" s="1" t="s">
        <v>109</v>
      </c>
      <c r="AF2381" s="1">
        <v>3</v>
      </c>
      <c r="AG2381" s="1" t="s">
        <v>109</v>
      </c>
      <c r="AH2381" s="1" t="s">
        <v>109</v>
      </c>
      <c r="AI2381" s="1" t="s">
        <v>109</v>
      </c>
      <c r="AJ2381" s="1">
        <v>4</v>
      </c>
      <c r="AK2381" s="1" t="s">
        <v>109</v>
      </c>
      <c r="AL2381" s="1">
        <v>4</v>
      </c>
      <c r="AM2381" s="1" t="s">
        <v>109</v>
      </c>
      <c r="AN2381" s="1" t="s">
        <v>109</v>
      </c>
      <c r="AO2381" s="1" t="s">
        <v>109</v>
      </c>
      <c r="AP2381" s="1"/>
      <c r="AQ2381" s="1">
        <v>5</v>
      </c>
      <c r="AR2381" s="1"/>
      <c r="AS2381" s="1" t="s">
        <v>17007</v>
      </c>
      <c r="AT2381" s="1">
        <v>0</v>
      </c>
      <c r="AU2381" s="1">
        <v>0</v>
      </c>
      <c r="AV2381" s="1">
        <v>0</v>
      </c>
      <c r="AW2381" s="1">
        <v>0</v>
      </c>
      <c r="AX2381" s="1">
        <v>0</v>
      </c>
      <c r="AY2381" s="1">
        <v>0</v>
      </c>
      <c r="AZ2381" s="1">
        <v>0</v>
      </c>
      <c r="BA2381" s="1">
        <v>0</v>
      </c>
      <c r="BB2381" s="1">
        <v>0</v>
      </c>
      <c r="BC2381" s="1">
        <v>0</v>
      </c>
      <c r="BD2381" s="1">
        <v>0</v>
      </c>
      <c r="BE2381" s="1">
        <v>0</v>
      </c>
      <c r="BF2381" s="1">
        <v>0</v>
      </c>
      <c r="BG2381" s="1">
        <v>0</v>
      </c>
      <c r="BH2381" s="1">
        <v>0</v>
      </c>
      <c r="BI2381" s="1">
        <v>0</v>
      </c>
      <c r="BJ2381" s="1">
        <v>0</v>
      </c>
      <c r="BK2381" s="1">
        <v>0</v>
      </c>
      <c r="BL2381" s="1">
        <v>0</v>
      </c>
      <c r="BM2381" s="1">
        <v>0</v>
      </c>
      <c r="BN2381" s="1">
        <v>0</v>
      </c>
      <c r="BO2381" s="1">
        <v>0</v>
      </c>
      <c r="BP2381" s="1">
        <v>0</v>
      </c>
      <c r="BQ2381" s="1">
        <v>0</v>
      </c>
      <c r="BR2381" s="1">
        <v>0</v>
      </c>
      <c r="BS2381" s="1" t="s">
        <v>109</v>
      </c>
      <c r="BT2381" s="1">
        <v>2472</v>
      </c>
      <c r="BU2381" s="1">
        <v>100</v>
      </c>
      <c r="BV2381" s="1"/>
      <c r="BW2381" s="1"/>
      <c r="BX2381" s="1"/>
      <c r="BY2381" s="1"/>
      <c r="BZ2381" s="1">
        <v>0</v>
      </c>
      <c r="CA2381" s="1" t="s">
        <v>109</v>
      </c>
      <c r="CB2381" s="1">
        <v>4</v>
      </c>
      <c r="CC2381" s="1">
        <v>4</v>
      </c>
      <c r="CD2381" s="1">
        <v>3</v>
      </c>
      <c r="CE2381" s="1">
        <v>3</v>
      </c>
      <c r="CF2381" s="1" t="s">
        <v>109</v>
      </c>
      <c r="CG2381" s="1">
        <v>4</v>
      </c>
      <c r="CH2381" s="1" t="s">
        <v>109</v>
      </c>
      <c r="CI2381" s="1" t="s">
        <v>109</v>
      </c>
      <c r="CJ2381" s="1" t="s">
        <v>109</v>
      </c>
      <c r="CK2381" s="1"/>
      <c r="CL2381" s="1">
        <v>0</v>
      </c>
      <c r="CM2381" s="1">
        <v>0</v>
      </c>
      <c r="CN2381" s="1">
        <v>0</v>
      </c>
    </row>
    <row r="2382" spans="1:92" ht="14.25" customHeight="1" x14ac:dyDescent="0.15">
      <c r="A2382" s="1" t="s">
        <v>17008</v>
      </c>
      <c r="B2382" s="1" t="s">
        <v>95</v>
      </c>
      <c r="C2382" s="1" t="s">
        <v>3570</v>
      </c>
      <c r="D2382" s="1" t="s">
        <v>17009</v>
      </c>
      <c r="E2382" s="1" t="s">
        <v>17010</v>
      </c>
      <c r="F2382" s="1" t="s">
        <v>277</v>
      </c>
      <c r="G2382" s="1" t="s">
        <v>4113</v>
      </c>
      <c r="H2382" s="1">
        <v>1</v>
      </c>
      <c r="I2382" s="1" t="s">
        <v>161</v>
      </c>
      <c r="J2382" s="1"/>
      <c r="K2382" s="1"/>
      <c r="L2382" s="1" t="s">
        <v>3910</v>
      </c>
      <c r="M2382" s="1" t="s">
        <v>280</v>
      </c>
      <c r="N2382" s="1">
        <v>0</v>
      </c>
      <c r="O2382" s="1">
        <v>0</v>
      </c>
      <c r="P2382" s="1" t="s">
        <v>103</v>
      </c>
      <c r="Q2382" s="1" t="s">
        <v>167</v>
      </c>
      <c r="R2382" s="1" t="s">
        <v>17011</v>
      </c>
      <c r="S2382" s="1" t="s">
        <v>17012</v>
      </c>
      <c r="T2382" s="1" t="s">
        <v>16709</v>
      </c>
      <c r="U2382" s="1" t="s">
        <v>17013</v>
      </c>
      <c r="V2382" s="1">
        <v>1</v>
      </c>
      <c r="W2382" s="1">
        <v>1</v>
      </c>
      <c r="X2382" s="1">
        <v>1</v>
      </c>
      <c r="Y2382" s="1">
        <v>0</v>
      </c>
      <c r="Z2382" s="1">
        <v>1</v>
      </c>
      <c r="AA2382" s="1" t="s">
        <v>109</v>
      </c>
      <c r="AB2382" s="1" t="s">
        <v>109</v>
      </c>
      <c r="AC2382" s="1">
        <v>7</v>
      </c>
      <c r="AD2382" s="1" t="s">
        <v>109</v>
      </c>
      <c r="AE2382" s="1" t="s">
        <v>109</v>
      </c>
      <c r="AF2382" s="1" t="s">
        <v>109</v>
      </c>
      <c r="AG2382" s="1" t="s">
        <v>109</v>
      </c>
      <c r="AH2382" s="1" t="s">
        <v>109</v>
      </c>
      <c r="AI2382" s="1" t="s">
        <v>109</v>
      </c>
      <c r="AJ2382" s="1">
        <v>8</v>
      </c>
      <c r="AK2382" s="1" t="s">
        <v>109</v>
      </c>
      <c r="AL2382" s="1">
        <v>7</v>
      </c>
      <c r="AM2382" s="1" t="s">
        <v>109</v>
      </c>
      <c r="AN2382" s="1" t="s">
        <v>109</v>
      </c>
      <c r="AO2382" s="1" t="s">
        <v>109</v>
      </c>
      <c r="AP2382" s="1"/>
      <c r="AQ2382" s="1">
        <v>7</v>
      </c>
      <c r="AR2382" s="1"/>
      <c r="AS2382" s="1" t="s">
        <v>17014</v>
      </c>
      <c r="AT2382" s="1">
        <v>0</v>
      </c>
      <c r="AU2382" s="1">
        <v>0</v>
      </c>
      <c r="AV2382" s="1">
        <v>1</v>
      </c>
      <c r="AW2382" s="1">
        <v>0</v>
      </c>
      <c r="AX2382" s="1">
        <v>0</v>
      </c>
      <c r="AY2382" s="1">
        <v>0</v>
      </c>
      <c r="AZ2382" s="1">
        <v>0</v>
      </c>
      <c r="BA2382" s="1">
        <v>0</v>
      </c>
      <c r="BB2382" s="1">
        <v>0</v>
      </c>
      <c r="BC2382" s="1">
        <v>0</v>
      </c>
      <c r="BD2382" s="1">
        <v>0</v>
      </c>
      <c r="BE2382" s="1">
        <v>1</v>
      </c>
      <c r="BF2382" s="1">
        <v>0</v>
      </c>
      <c r="BG2382" s="1">
        <v>0</v>
      </c>
      <c r="BH2382" s="1">
        <v>0</v>
      </c>
      <c r="BI2382" s="1">
        <v>0</v>
      </c>
      <c r="BJ2382" s="1">
        <v>0</v>
      </c>
      <c r="BK2382" s="1">
        <v>0</v>
      </c>
      <c r="BL2382" s="1">
        <v>0</v>
      </c>
      <c r="BM2382" s="1">
        <v>0</v>
      </c>
      <c r="BN2382" s="1">
        <v>0</v>
      </c>
      <c r="BO2382" s="1">
        <v>0</v>
      </c>
      <c r="BP2382" s="1">
        <v>0</v>
      </c>
      <c r="BQ2382" s="1">
        <v>0</v>
      </c>
      <c r="BR2382" s="1">
        <v>0</v>
      </c>
      <c r="BS2382" s="1" t="s">
        <v>109</v>
      </c>
      <c r="BT2382" s="1">
        <v>2473</v>
      </c>
      <c r="BU2382" s="1">
        <v>10000</v>
      </c>
      <c r="BV2382" s="1"/>
      <c r="BW2382" s="1"/>
      <c r="BX2382" s="1"/>
      <c r="BY2382" s="1"/>
      <c r="BZ2382" s="1">
        <v>0</v>
      </c>
      <c r="CA2382" s="1" t="s">
        <v>109</v>
      </c>
      <c r="CB2382" s="1">
        <v>8</v>
      </c>
      <c r="CC2382" s="1" t="s">
        <v>109</v>
      </c>
      <c r="CD2382" s="1" t="s">
        <v>109</v>
      </c>
      <c r="CE2382" s="1" t="s">
        <v>109</v>
      </c>
      <c r="CF2382" s="1" t="s">
        <v>109</v>
      </c>
      <c r="CG2382" s="1" t="s">
        <v>109</v>
      </c>
      <c r="CH2382" s="1" t="s">
        <v>109</v>
      </c>
      <c r="CI2382" s="1" t="s">
        <v>109</v>
      </c>
      <c r="CJ2382" s="1" t="s">
        <v>109</v>
      </c>
      <c r="CK2382" s="1"/>
      <c r="CL2382" s="1">
        <v>1</v>
      </c>
      <c r="CM2382" s="1">
        <v>0</v>
      </c>
      <c r="CN2382" s="1">
        <v>0</v>
      </c>
    </row>
    <row r="2383" spans="1:92" ht="14.25" customHeight="1" x14ac:dyDescent="0.15">
      <c r="A2383" s="1" t="s">
        <v>17015</v>
      </c>
      <c r="B2383" s="1" t="s">
        <v>95</v>
      </c>
      <c r="C2383" s="1" t="s">
        <v>3570</v>
      </c>
      <c r="D2383" s="1" t="s">
        <v>17016</v>
      </c>
      <c r="E2383" s="1" t="s">
        <v>3320</v>
      </c>
      <c r="F2383" s="1" t="s">
        <v>277</v>
      </c>
      <c r="G2383" s="1" t="s">
        <v>17017</v>
      </c>
      <c r="H2383" s="1">
        <v>1</v>
      </c>
      <c r="I2383" s="1" t="s">
        <v>161</v>
      </c>
      <c r="J2383" s="1"/>
      <c r="K2383" s="1"/>
      <c r="L2383" s="1" t="s">
        <v>3910</v>
      </c>
      <c r="M2383" s="1" t="s">
        <v>408</v>
      </c>
      <c r="N2383" s="1">
        <v>0</v>
      </c>
      <c r="O2383" s="1">
        <v>0</v>
      </c>
      <c r="P2383" s="1" t="s">
        <v>103</v>
      </c>
      <c r="Q2383" s="1" t="s">
        <v>167</v>
      </c>
      <c r="R2383" s="1" t="s">
        <v>17018</v>
      </c>
      <c r="S2383" s="1" t="s">
        <v>17019</v>
      </c>
      <c r="T2383" s="1" t="s">
        <v>16709</v>
      </c>
      <c r="U2383" s="1" t="s">
        <v>17020</v>
      </c>
      <c r="V2383" s="1">
        <v>1</v>
      </c>
      <c r="W2383" s="1">
        <v>1</v>
      </c>
      <c r="X2383" s="1">
        <v>1</v>
      </c>
      <c r="Y2383" s="1">
        <v>0</v>
      </c>
      <c r="Z2383" s="1">
        <v>1</v>
      </c>
      <c r="AA2383" s="1" t="s">
        <v>109</v>
      </c>
      <c r="AB2383" s="1" t="s">
        <v>109</v>
      </c>
      <c r="AC2383" s="1">
        <v>9</v>
      </c>
      <c r="AD2383" s="1" t="s">
        <v>109</v>
      </c>
      <c r="AE2383" s="1" t="s">
        <v>109</v>
      </c>
      <c r="AF2383" s="1" t="s">
        <v>109</v>
      </c>
      <c r="AG2383" s="1" t="s">
        <v>109</v>
      </c>
      <c r="AH2383" s="1" t="s">
        <v>109</v>
      </c>
      <c r="AI2383" s="1" t="s">
        <v>109</v>
      </c>
      <c r="AJ2383" s="1" t="s">
        <v>109</v>
      </c>
      <c r="AK2383" s="1" t="s">
        <v>109</v>
      </c>
      <c r="AL2383" s="1">
        <v>9</v>
      </c>
      <c r="AM2383" s="1" t="s">
        <v>109</v>
      </c>
      <c r="AN2383" s="1" t="s">
        <v>109</v>
      </c>
      <c r="AO2383" s="1" t="s">
        <v>109</v>
      </c>
      <c r="AP2383" s="1"/>
      <c r="AQ2383" s="1">
        <v>9</v>
      </c>
      <c r="AR2383" s="1"/>
      <c r="AS2383" s="1" t="s">
        <v>17021</v>
      </c>
      <c r="AT2383" s="1">
        <v>0</v>
      </c>
      <c r="AU2383" s="1">
        <v>0</v>
      </c>
      <c r="AV2383" s="1">
        <v>0</v>
      </c>
      <c r="AW2383" s="1">
        <v>0</v>
      </c>
      <c r="AX2383" s="1">
        <v>0</v>
      </c>
      <c r="AY2383" s="1">
        <v>0</v>
      </c>
      <c r="AZ2383" s="1">
        <v>0</v>
      </c>
      <c r="BA2383" s="1">
        <v>0</v>
      </c>
      <c r="BB2383" s="1">
        <v>0</v>
      </c>
      <c r="BC2383" s="1">
        <v>0</v>
      </c>
      <c r="BD2383" s="1">
        <v>0</v>
      </c>
      <c r="BE2383" s="1">
        <v>1</v>
      </c>
      <c r="BF2383" s="1">
        <v>0</v>
      </c>
      <c r="BG2383" s="1">
        <v>0</v>
      </c>
      <c r="BH2383" s="1">
        <v>0</v>
      </c>
      <c r="BI2383" s="1">
        <v>0</v>
      </c>
      <c r="BJ2383" s="1">
        <v>0</v>
      </c>
      <c r="BK2383" s="1">
        <v>1</v>
      </c>
      <c r="BL2383" s="1">
        <v>0</v>
      </c>
      <c r="BM2383" s="1">
        <v>0</v>
      </c>
      <c r="BN2383" s="1">
        <v>0</v>
      </c>
      <c r="BO2383" s="1">
        <v>0</v>
      </c>
      <c r="BP2383" s="1">
        <v>0</v>
      </c>
      <c r="BQ2383" s="1">
        <v>0</v>
      </c>
      <c r="BR2383" s="1">
        <v>0</v>
      </c>
      <c r="BS2383" s="1" t="s">
        <v>109</v>
      </c>
      <c r="BT2383" s="1">
        <v>2474</v>
      </c>
      <c r="BU2383" s="1">
        <v>25000</v>
      </c>
      <c r="BV2383" s="1"/>
      <c r="BW2383" s="1"/>
      <c r="BX2383" s="1"/>
      <c r="BY2383" s="1"/>
      <c r="BZ2383" s="1">
        <v>0</v>
      </c>
      <c r="CA2383" s="1" t="s">
        <v>109</v>
      </c>
      <c r="CB2383" s="1" t="s">
        <v>109</v>
      </c>
      <c r="CC2383" s="1" t="s">
        <v>109</v>
      </c>
      <c r="CD2383" s="1" t="s">
        <v>109</v>
      </c>
      <c r="CE2383" s="1" t="s">
        <v>109</v>
      </c>
      <c r="CF2383" s="1" t="s">
        <v>109</v>
      </c>
      <c r="CG2383" s="1" t="s">
        <v>109</v>
      </c>
      <c r="CH2383" s="1" t="s">
        <v>109</v>
      </c>
      <c r="CI2383" s="1" t="s">
        <v>109</v>
      </c>
      <c r="CJ2383" s="1" t="s">
        <v>109</v>
      </c>
      <c r="CK2383" s="1"/>
      <c r="CL2383" s="1">
        <v>1</v>
      </c>
      <c r="CM2383" s="1">
        <v>0</v>
      </c>
      <c r="CN2383" s="1">
        <v>0</v>
      </c>
    </row>
    <row r="2384" spans="1:92" ht="14.25" customHeight="1" x14ac:dyDescent="0.15">
      <c r="A2384" s="1" t="s">
        <v>17022</v>
      </c>
      <c r="B2384" s="1" t="s">
        <v>674</v>
      </c>
      <c r="C2384" s="1" t="s">
        <v>675</v>
      </c>
      <c r="D2384" s="1"/>
      <c r="E2384" s="1" t="s">
        <v>17023</v>
      </c>
      <c r="F2384" s="1" t="s">
        <v>98</v>
      </c>
      <c r="G2384" s="1" t="s">
        <v>17024</v>
      </c>
      <c r="H2384" s="1">
        <v>1</v>
      </c>
      <c r="I2384" s="1" t="s">
        <v>211</v>
      </c>
      <c r="J2384" s="1"/>
      <c r="K2384" s="1"/>
      <c r="L2384" s="1" t="s">
        <v>1391</v>
      </c>
      <c r="M2384" s="1" t="s">
        <v>815</v>
      </c>
      <c r="N2384" s="1">
        <v>1</v>
      </c>
      <c r="O2384" s="1">
        <v>0</v>
      </c>
      <c r="P2384" s="1" t="s">
        <v>301</v>
      </c>
      <c r="Q2384" s="1" t="s">
        <v>104</v>
      </c>
      <c r="R2384" s="1" t="s">
        <v>17025</v>
      </c>
      <c r="S2384" s="1" t="s">
        <v>17026</v>
      </c>
      <c r="T2384" s="1" t="s">
        <v>16709</v>
      </c>
      <c r="U2384" s="1" t="s">
        <v>17027</v>
      </c>
      <c r="V2384" s="1">
        <v>1</v>
      </c>
      <c r="W2384" s="1">
        <v>1</v>
      </c>
      <c r="X2384" s="1">
        <v>1</v>
      </c>
      <c r="Y2384" s="1">
        <v>0</v>
      </c>
      <c r="Z2384" s="1">
        <v>0</v>
      </c>
      <c r="AA2384" s="1">
        <v>7</v>
      </c>
      <c r="AB2384" s="1">
        <v>7</v>
      </c>
      <c r="AC2384" s="1" t="s">
        <v>109</v>
      </c>
      <c r="AD2384" s="1" t="s">
        <v>109</v>
      </c>
      <c r="AE2384" s="1" t="s">
        <v>109</v>
      </c>
      <c r="AF2384" s="1">
        <v>6</v>
      </c>
      <c r="AG2384" s="1" t="s">
        <v>109</v>
      </c>
      <c r="AH2384" s="1" t="s">
        <v>109</v>
      </c>
      <c r="AI2384" s="1" t="s">
        <v>109</v>
      </c>
      <c r="AJ2384" s="1" t="s">
        <v>109</v>
      </c>
      <c r="AK2384" s="1" t="s">
        <v>109</v>
      </c>
      <c r="AL2384" s="1" t="s">
        <v>109</v>
      </c>
      <c r="AM2384" s="1" t="s">
        <v>109</v>
      </c>
      <c r="AN2384" s="1" t="s">
        <v>109</v>
      </c>
      <c r="AO2384" s="1" t="s">
        <v>109</v>
      </c>
      <c r="AP2384" s="1"/>
      <c r="AQ2384" s="1">
        <v>7</v>
      </c>
      <c r="AR2384" s="1"/>
      <c r="AS2384" s="1" t="s">
        <v>17028</v>
      </c>
      <c r="AT2384" s="1">
        <v>0</v>
      </c>
      <c r="AU2384" s="1">
        <v>0</v>
      </c>
      <c r="AV2384" s="1">
        <v>0</v>
      </c>
      <c r="AW2384" s="1">
        <v>0</v>
      </c>
      <c r="AX2384" s="1">
        <v>0</v>
      </c>
      <c r="AY2384" s="1">
        <v>0</v>
      </c>
      <c r="AZ2384" s="1">
        <v>0</v>
      </c>
      <c r="BA2384" s="1">
        <v>0</v>
      </c>
      <c r="BB2384" s="1">
        <v>0</v>
      </c>
      <c r="BC2384" s="1">
        <v>0</v>
      </c>
      <c r="BD2384" s="1">
        <v>0</v>
      </c>
      <c r="BE2384" s="1">
        <v>0</v>
      </c>
      <c r="BF2384" s="1">
        <v>0</v>
      </c>
      <c r="BG2384" s="1">
        <v>0</v>
      </c>
      <c r="BH2384" s="1">
        <v>0</v>
      </c>
      <c r="BI2384" s="1">
        <v>0</v>
      </c>
      <c r="BJ2384" s="1">
        <v>0</v>
      </c>
      <c r="BK2384" s="1">
        <v>0</v>
      </c>
      <c r="BL2384" s="1">
        <v>0</v>
      </c>
      <c r="BM2384" s="1">
        <v>0</v>
      </c>
      <c r="BN2384" s="1">
        <v>0</v>
      </c>
      <c r="BO2384" s="1">
        <v>0</v>
      </c>
      <c r="BP2384" s="1">
        <v>0</v>
      </c>
      <c r="BQ2384" s="1">
        <v>0</v>
      </c>
      <c r="BR2384" s="1">
        <v>0</v>
      </c>
      <c r="BS2384" s="1" t="s">
        <v>109</v>
      </c>
      <c r="BT2384" s="1">
        <v>2475</v>
      </c>
      <c r="BU2384" s="1">
        <v>500</v>
      </c>
      <c r="BV2384" s="1"/>
      <c r="BW2384" s="1"/>
      <c r="BX2384" s="1"/>
      <c r="BY2384" s="1"/>
      <c r="BZ2384" s="1">
        <v>0</v>
      </c>
      <c r="CA2384" s="1" t="s">
        <v>109</v>
      </c>
      <c r="CB2384" s="1" t="s">
        <v>109</v>
      </c>
      <c r="CC2384" s="1">
        <v>7</v>
      </c>
      <c r="CD2384" s="1" t="s">
        <v>109</v>
      </c>
      <c r="CE2384" s="1">
        <v>6</v>
      </c>
      <c r="CF2384" s="1" t="s">
        <v>109</v>
      </c>
      <c r="CG2384" s="1" t="s">
        <v>109</v>
      </c>
      <c r="CH2384" s="1" t="s">
        <v>109</v>
      </c>
      <c r="CI2384" s="1" t="s">
        <v>109</v>
      </c>
      <c r="CJ2384" s="1" t="s">
        <v>109</v>
      </c>
      <c r="CK2384" s="1"/>
      <c r="CL2384" s="1">
        <v>0</v>
      </c>
      <c r="CM2384" s="1">
        <v>0</v>
      </c>
      <c r="CN2384" s="1">
        <v>0</v>
      </c>
    </row>
    <row r="2385" spans="1:92" ht="14.25" customHeight="1" x14ac:dyDescent="0.15">
      <c r="A2385" s="1" t="s">
        <v>17029</v>
      </c>
      <c r="B2385" s="1" t="s">
        <v>189</v>
      </c>
      <c r="C2385" s="1"/>
      <c r="D2385" s="1" t="s">
        <v>16253</v>
      </c>
      <c r="E2385" s="1" t="s">
        <v>17030</v>
      </c>
      <c r="F2385" s="1" t="s">
        <v>395</v>
      </c>
      <c r="G2385" s="1" t="s">
        <v>17031</v>
      </c>
      <c r="H2385" s="1">
        <v>1</v>
      </c>
      <c r="I2385" s="1" t="s">
        <v>161</v>
      </c>
      <c r="J2385" s="1"/>
      <c r="K2385" s="1"/>
      <c r="L2385" s="1" t="s">
        <v>17032</v>
      </c>
      <c r="M2385" s="1" t="s">
        <v>5811</v>
      </c>
      <c r="N2385" s="1">
        <v>1</v>
      </c>
      <c r="O2385" s="1">
        <v>0</v>
      </c>
      <c r="P2385" s="1" t="s">
        <v>103</v>
      </c>
      <c r="Q2385" s="1" t="s">
        <v>104</v>
      </c>
      <c r="R2385" s="1" t="s">
        <v>17033</v>
      </c>
      <c r="S2385" s="1" t="s">
        <v>17034</v>
      </c>
      <c r="T2385" s="1" t="s">
        <v>16709</v>
      </c>
      <c r="U2385" s="1" t="s">
        <v>17035</v>
      </c>
      <c r="V2385" s="1">
        <v>1</v>
      </c>
      <c r="W2385" s="1">
        <v>1</v>
      </c>
      <c r="X2385" s="1">
        <v>1</v>
      </c>
      <c r="Y2385" s="1">
        <v>0</v>
      </c>
      <c r="Z2385" s="1">
        <v>0</v>
      </c>
      <c r="AA2385" s="1" t="s">
        <v>109</v>
      </c>
      <c r="AB2385" s="1" t="s">
        <v>109</v>
      </c>
      <c r="AC2385" s="1" t="s">
        <v>109</v>
      </c>
      <c r="AD2385" s="1" t="s">
        <v>109</v>
      </c>
      <c r="AE2385" s="1" t="s">
        <v>109</v>
      </c>
      <c r="AF2385" s="1">
        <v>4</v>
      </c>
      <c r="AG2385" s="1" t="s">
        <v>109</v>
      </c>
      <c r="AH2385" s="1" t="s">
        <v>109</v>
      </c>
      <c r="AI2385" s="1" t="s">
        <v>109</v>
      </c>
      <c r="AJ2385" s="1">
        <v>4</v>
      </c>
      <c r="AK2385" s="1" t="s">
        <v>109</v>
      </c>
      <c r="AL2385" s="1" t="s">
        <v>109</v>
      </c>
      <c r="AM2385" s="1" t="s">
        <v>109</v>
      </c>
      <c r="AN2385" s="1" t="s">
        <v>109</v>
      </c>
      <c r="AO2385" s="1" t="s">
        <v>109</v>
      </c>
      <c r="AP2385" s="1"/>
      <c r="AQ2385" s="1">
        <v>4</v>
      </c>
      <c r="AR2385" s="1"/>
      <c r="AS2385" s="1" t="s">
        <v>17036</v>
      </c>
      <c r="AT2385" s="1">
        <v>0</v>
      </c>
      <c r="AU2385" s="1">
        <v>0</v>
      </c>
      <c r="AV2385" s="1">
        <v>0</v>
      </c>
      <c r="AW2385" s="1">
        <v>0</v>
      </c>
      <c r="AX2385" s="1">
        <v>0</v>
      </c>
      <c r="AY2385" s="1">
        <v>0</v>
      </c>
      <c r="AZ2385" s="1">
        <v>0</v>
      </c>
      <c r="BA2385" s="1">
        <v>0</v>
      </c>
      <c r="BB2385" s="1">
        <v>0</v>
      </c>
      <c r="BC2385" s="1">
        <v>0</v>
      </c>
      <c r="BD2385" s="1">
        <v>0</v>
      </c>
      <c r="BE2385" s="1">
        <v>0</v>
      </c>
      <c r="BF2385" s="1">
        <v>0</v>
      </c>
      <c r="BG2385" s="1">
        <v>0</v>
      </c>
      <c r="BH2385" s="1">
        <v>0</v>
      </c>
      <c r="BI2385" s="1">
        <v>0</v>
      </c>
      <c r="BJ2385" s="1">
        <v>0</v>
      </c>
      <c r="BK2385" s="1">
        <v>0</v>
      </c>
      <c r="BL2385" s="1">
        <v>0</v>
      </c>
      <c r="BM2385" s="1">
        <v>0</v>
      </c>
      <c r="BN2385" s="1">
        <v>0</v>
      </c>
      <c r="BO2385" s="1">
        <v>0</v>
      </c>
      <c r="BP2385" s="1">
        <v>1</v>
      </c>
      <c r="BQ2385" s="1">
        <v>0</v>
      </c>
      <c r="BR2385" s="1">
        <v>0</v>
      </c>
      <c r="BS2385" s="1" t="s">
        <v>109</v>
      </c>
      <c r="BT2385" s="1">
        <v>2476</v>
      </c>
      <c r="BU2385" s="1">
        <v>10</v>
      </c>
      <c r="BV2385" s="1"/>
      <c r="BW2385" s="1"/>
      <c r="BX2385" s="1"/>
      <c r="BY2385" s="1"/>
      <c r="BZ2385" s="1">
        <v>0</v>
      </c>
      <c r="CA2385" s="1" t="s">
        <v>109</v>
      </c>
      <c r="CB2385" s="1" t="s">
        <v>109</v>
      </c>
      <c r="CC2385" s="1" t="s">
        <v>109</v>
      </c>
      <c r="CD2385" s="1" t="s">
        <v>109</v>
      </c>
      <c r="CE2385" s="1" t="s">
        <v>109</v>
      </c>
      <c r="CF2385" s="1">
        <v>3</v>
      </c>
      <c r="CG2385" s="1">
        <v>4</v>
      </c>
      <c r="CH2385" s="1" t="s">
        <v>109</v>
      </c>
      <c r="CI2385" s="1" t="s">
        <v>109</v>
      </c>
      <c r="CJ2385" s="1" t="s">
        <v>109</v>
      </c>
      <c r="CK2385" s="1"/>
      <c r="CL2385" s="1">
        <v>0</v>
      </c>
      <c r="CM2385" s="1">
        <v>0</v>
      </c>
      <c r="CN2385" s="1">
        <v>0</v>
      </c>
    </row>
    <row r="2386" spans="1:92" ht="14.25" customHeight="1" x14ac:dyDescent="0.15">
      <c r="A2386" s="1" t="s">
        <v>17037</v>
      </c>
      <c r="B2386" s="1" t="s">
        <v>254</v>
      </c>
      <c r="C2386" s="1"/>
      <c r="D2386" s="1"/>
      <c r="E2386" s="1" t="s">
        <v>17038</v>
      </c>
      <c r="F2386" s="1" t="s">
        <v>98</v>
      </c>
      <c r="G2386" s="1" t="s">
        <v>17039</v>
      </c>
      <c r="H2386" s="1">
        <v>1</v>
      </c>
      <c r="I2386" s="1" t="s">
        <v>235</v>
      </c>
      <c r="J2386" s="1"/>
      <c r="K2386" s="1"/>
      <c r="L2386" s="1" t="s">
        <v>236</v>
      </c>
      <c r="M2386" s="1" t="s">
        <v>355</v>
      </c>
      <c r="N2386" s="1">
        <v>0</v>
      </c>
      <c r="O2386" s="1">
        <v>0</v>
      </c>
      <c r="P2386" s="1" t="s">
        <v>507</v>
      </c>
      <c r="Q2386" s="1" t="s">
        <v>167</v>
      </c>
      <c r="R2386" s="1" t="s">
        <v>17040</v>
      </c>
      <c r="S2386" s="1" t="s">
        <v>17041</v>
      </c>
      <c r="T2386" s="1" t="s">
        <v>16709</v>
      </c>
      <c r="U2386" s="1" t="s">
        <v>17042</v>
      </c>
      <c r="V2386" s="1">
        <v>1</v>
      </c>
      <c r="W2386" s="1">
        <v>1</v>
      </c>
      <c r="X2386" s="1">
        <v>1</v>
      </c>
      <c r="Y2386" s="1">
        <v>0</v>
      </c>
      <c r="Z2386" s="1">
        <v>0</v>
      </c>
      <c r="AA2386" s="1">
        <v>5</v>
      </c>
      <c r="AB2386" s="1">
        <v>5</v>
      </c>
      <c r="AC2386" s="1">
        <v>4</v>
      </c>
      <c r="AD2386" s="1">
        <v>5</v>
      </c>
      <c r="AE2386" s="1" t="s">
        <v>109</v>
      </c>
      <c r="AF2386" s="1" t="s">
        <v>109</v>
      </c>
      <c r="AG2386" s="1" t="s">
        <v>109</v>
      </c>
      <c r="AH2386" s="1">
        <v>5</v>
      </c>
      <c r="AI2386" s="1" t="s">
        <v>109</v>
      </c>
      <c r="AJ2386" s="1">
        <v>5</v>
      </c>
      <c r="AK2386" s="1">
        <v>4</v>
      </c>
      <c r="AL2386" s="1">
        <v>4</v>
      </c>
      <c r="AM2386" s="1" t="s">
        <v>109</v>
      </c>
      <c r="AN2386" s="1">
        <v>5</v>
      </c>
      <c r="AO2386" s="1" t="s">
        <v>109</v>
      </c>
      <c r="AP2386" s="1"/>
      <c r="AQ2386" s="1">
        <v>5</v>
      </c>
      <c r="AR2386" s="1"/>
      <c r="AS2386" s="1" t="s">
        <v>17043</v>
      </c>
      <c r="AT2386" s="1">
        <v>0</v>
      </c>
      <c r="AU2386" s="1">
        <v>0</v>
      </c>
      <c r="AV2386" s="1">
        <v>0</v>
      </c>
      <c r="AW2386" s="1">
        <v>0</v>
      </c>
      <c r="AX2386" s="1">
        <v>0</v>
      </c>
      <c r="AY2386" s="1">
        <v>0</v>
      </c>
      <c r="AZ2386" s="1">
        <v>0</v>
      </c>
      <c r="BA2386" s="1">
        <v>0</v>
      </c>
      <c r="BB2386" s="1">
        <v>0</v>
      </c>
      <c r="BC2386" s="1">
        <v>0</v>
      </c>
      <c r="BD2386" s="1">
        <v>0</v>
      </c>
      <c r="BE2386" s="1">
        <v>0</v>
      </c>
      <c r="BF2386" s="1">
        <v>0</v>
      </c>
      <c r="BG2386" s="1">
        <v>0</v>
      </c>
      <c r="BH2386" s="1">
        <v>0</v>
      </c>
      <c r="BI2386" s="1">
        <v>0</v>
      </c>
      <c r="BJ2386" s="1">
        <v>0</v>
      </c>
      <c r="BK2386" s="1">
        <v>0</v>
      </c>
      <c r="BL2386" s="1">
        <v>0</v>
      </c>
      <c r="BM2386" s="1">
        <v>0</v>
      </c>
      <c r="BN2386" s="1">
        <v>0</v>
      </c>
      <c r="BO2386" s="1">
        <v>0</v>
      </c>
      <c r="BP2386" s="1">
        <v>0</v>
      </c>
      <c r="BQ2386" s="1">
        <v>0</v>
      </c>
      <c r="BR2386" s="1">
        <v>0</v>
      </c>
      <c r="BS2386" s="1" t="s">
        <v>109</v>
      </c>
      <c r="BT2386" s="1">
        <v>2477</v>
      </c>
      <c r="BU2386" s="1">
        <v>50</v>
      </c>
      <c r="BV2386" s="1"/>
      <c r="BW2386" s="1"/>
      <c r="BX2386" s="1"/>
      <c r="BY2386" s="1"/>
      <c r="BZ2386" s="1">
        <v>0</v>
      </c>
      <c r="CA2386" s="1" t="s">
        <v>109</v>
      </c>
      <c r="CB2386" s="1">
        <v>4</v>
      </c>
      <c r="CC2386" s="1">
        <v>4</v>
      </c>
      <c r="CD2386" s="1">
        <v>3</v>
      </c>
      <c r="CE2386" s="1" t="s">
        <v>109</v>
      </c>
      <c r="CF2386" s="1">
        <v>4</v>
      </c>
      <c r="CG2386" s="1">
        <v>5</v>
      </c>
      <c r="CH2386" s="1" t="s">
        <v>109</v>
      </c>
      <c r="CI2386" s="1" t="s">
        <v>109</v>
      </c>
      <c r="CJ2386" s="1">
        <v>5</v>
      </c>
      <c r="CK2386" s="1"/>
      <c r="CL2386" s="1">
        <v>0</v>
      </c>
      <c r="CM2386" s="1">
        <v>0</v>
      </c>
      <c r="CN2386" s="1">
        <v>0</v>
      </c>
    </row>
    <row r="2387" spans="1:92" ht="14.25" customHeight="1" x14ac:dyDescent="0.15">
      <c r="A2387" s="1" t="s">
        <v>17044</v>
      </c>
      <c r="B2387" s="1" t="s">
        <v>189</v>
      </c>
      <c r="C2387" s="1"/>
      <c r="D2387" s="1"/>
      <c r="E2387" s="1" t="s">
        <v>17045</v>
      </c>
      <c r="F2387" s="1" t="s">
        <v>98</v>
      </c>
      <c r="G2387" s="1" t="s">
        <v>17046</v>
      </c>
      <c r="H2387" s="1">
        <v>0</v>
      </c>
      <c r="I2387" s="1" t="s">
        <v>161</v>
      </c>
      <c r="J2387" s="1"/>
      <c r="K2387" s="1"/>
      <c r="L2387" s="1" t="s">
        <v>17047</v>
      </c>
      <c r="M2387" s="1" t="s">
        <v>6144</v>
      </c>
      <c r="N2387" s="1">
        <v>1</v>
      </c>
      <c r="O2387" s="1">
        <v>0</v>
      </c>
      <c r="P2387" s="1" t="s">
        <v>5812</v>
      </c>
      <c r="Q2387" s="1" t="s">
        <v>104</v>
      </c>
      <c r="R2387" s="1" t="s">
        <v>17048</v>
      </c>
      <c r="S2387" s="1" t="s">
        <v>17049</v>
      </c>
      <c r="T2387" s="1" t="s">
        <v>16709</v>
      </c>
      <c r="U2387" s="1" t="s">
        <v>17050</v>
      </c>
      <c r="V2387" s="1">
        <v>1</v>
      </c>
      <c r="W2387" s="1">
        <v>1</v>
      </c>
      <c r="X2387" s="1">
        <v>1</v>
      </c>
      <c r="Y2387" s="1">
        <v>0</v>
      </c>
      <c r="Z2387" s="1">
        <v>0</v>
      </c>
      <c r="AA2387" s="1">
        <v>1</v>
      </c>
      <c r="AB2387" s="1">
        <v>1</v>
      </c>
      <c r="AC2387" s="1" t="s">
        <v>109</v>
      </c>
      <c r="AD2387" s="1" t="s">
        <v>109</v>
      </c>
      <c r="AE2387" s="1">
        <v>1</v>
      </c>
      <c r="AF2387" s="1" t="s">
        <v>109</v>
      </c>
      <c r="AG2387" s="1" t="s">
        <v>109</v>
      </c>
      <c r="AH2387" s="1" t="s">
        <v>109</v>
      </c>
      <c r="AI2387" s="1" t="s">
        <v>109</v>
      </c>
      <c r="AJ2387" s="1" t="s">
        <v>109</v>
      </c>
      <c r="AK2387" s="1">
        <v>1</v>
      </c>
      <c r="AL2387" s="1" t="s">
        <v>109</v>
      </c>
      <c r="AM2387" s="1" t="s">
        <v>109</v>
      </c>
      <c r="AN2387" s="1" t="s">
        <v>109</v>
      </c>
      <c r="AO2387" s="1" t="s">
        <v>109</v>
      </c>
      <c r="AP2387" s="1"/>
      <c r="AQ2387" s="1">
        <v>1</v>
      </c>
      <c r="AR2387" s="1"/>
      <c r="AS2387" s="1" t="s">
        <v>17051</v>
      </c>
      <c r="AT2387" s="1">
        <v>0</v>
      </c>
      <c r="AU2387" s="1">
        <v>0</v>
      </c>
      <c r="AV2387" s="1">
        <v>0</v>
      </c>
      <c r="AW2387" s="1">
        <v>0</v>
      </c>
      <c r="AX2387" s="1">
        <v>0</v>
      </c>
      <c r="AY2387" s="1">
        <v>0</v>
      </c>
      <c r="AZ2387" s="1">
        <v>0</v>
      </c>
      <c r="BA2387" s="1">
        <v>0</v>
      </c>
      <c r="BB2387" s="1">
        <v>0</v>
      </c>
      <c r="BC2387" s="1">
        <v>0</v>
      </c>
      <c r="BD2387" s="1">
        <v>0</v>
      </c>
      <c r="BE2387" s="1">
        <v>0</v>
      </c>
      <c r="BF2387" s="1">
        <v>0</v>
      </c>
      <c r="BG2387" s="1">
        <v>0</v>
      </c>
      <c r="BH2387" s="1">
        <v>0</v>
      </c>
      <c r="BI2387" s="1">
        <v>0</v>
      </c>
      <c r="BJ2387" s="1">
        <v>0</v>
      </c>
      <c r="BK2387" s="1">
        <v>0</v>
      </c>
      <c r="BL2387" s="1">
        <v>0</v>
      </c>
      <c r="BM2387" s="1">
        <v>0</v>
      </c>
      <c r="BN2387" s="1">
        <v>0</v>
      </c>
      <c r="BO2387" s="1">
        <v>0</v>
      </c>
      <c r="BP2387" s="1">
        <v>0</v>
      </c>
      <c r="BQ2387" s="1">
        <v>0</v>
      </c>
      <c r="BR2387" s="1">
        <v>0</v>
      </c>
      <c r="BS2387" s="1" t="s">
        <v>109</v>
      </c>
      <c r="BT2387" s="1">
        <v>2478</v>
      </c>
      <c r="BU2387" s="1" t="s">
        <v>109</v>
      </c>
      <c r="BV2387" s="1"/>
      <c r="BW2387" s="1"/>
      <c r="BX2387" s="1"/>
      <c r="BY2387" s="1"/>
      <c r="BZ2387" s="1">
        <v>0</v>
      </c>
      <c r="CA2387" s="1" t="s">
        <v>109</v>
      </c>
      <c r="CB2387" s="1" t="s">
        <v>109</v>
      </c>
      <c r="CC2387" s="1" t="s">
        <v>109</v>
      </c>
      <c r="CD2387" s="1" t="s">
        <v>109</v>
      </c>
      <c r="CE2387" s="1" t="s">
        <v>109</v>
      </c>
      <c r="CF2387" s="1" t="s">
        <v>109</v>
      </c>
      <c r="CG2387" s="1" t="s">
        <v>109</v>
      </c>
      <c r="CH2387" s="1" t="s">
        <v>109</v>
      </c>
      <c r="CI2387" s="1" t="s">
        <v>109</v>
      </c>
      <c r="CJ2387" s="1">
        <v>1</v>
      </c>
      <c r="CK2387" s="1"/>
      <c r="CL2387" s="1">
        <v>0</v>
      </c>
      <c r="CM2387" s="1">
        <v>0</v>
      </c>
      <c r="CN2387" s="1">
        <v>0</v>
      </c>
    </row>
    <row r="2388" spans="1:92" ht="14.25" customHeight="1" x14ac:dyDescent="0.15">
      <c r="A2388" s="1" t="s">
        <v>17052</v>
      </c>
      <c r="B2388" s="1" t="s">
        <v>156</v>
      </c>
      <c r="C2388" s="1" t="s">
        <v>157</v>
      </c>
      <c r="D2388" s="1" t="s">
        <v>158</v>
      </c>
      <c r="E2388" s="1" t="s">
        <v>17053</v>
      </c>
      <c r="F2388" s="1" t="s">
        <v>98</v>
      </c>
      <c r="G2388" s="1" t="s">
        <v>17054</v>
      </c>
      <c r="H2388" s="1">
        <v>0</v>
      </c>
      <c r="I2388" s="1" t="s">
        <v>142</v>
      </c>
      <c r="J2388" s="1"/>
      <c r="K2388" s="1"/>
      <c r="L2388" s="1" t="s">
        <v>17055</v>
      </c>
      <c r="M2388" s="1" t="s">
        <v>6144</v>
      </c>
      <c r="N2388" s="1">
        <v>1</v>
      </c>
      <c r="O2388" s="1">
        <v>0</v>
      </c>
      <c r="P2388" s="1" t="s">
        <v>301</v>
      </c>
      <c r="Q2388" s="1" t="s">
        <v>268</v>
      </c>
      <c r="R2388" s="1" t="s">
        <v>17056</v>
      </c>
      <c r="S2388" s="1" t="s">
        <v>17057</v>
      </c>
      <c r="T2388" s="1" t="s">
        <v>16709</v>
      </c>
      <c r="U2388" s="1" t="s">
        <v>17058</v>
      </c>
      <c r="V2388" s="1">
        <v>1</v>
      </c>
      <c r="W2388" s="1">
        <v>1</v>
      </c>
      <c r="X2388" s="1">
        <v>1</v>
      </c>
      <c r="Y2388" s="1">
        <v>0</v>
      </c>
      <c r="Z2388" s="1">
        <v>0</v>
      </c>
      <c r="AA2388" s="1">
        <v>2</v>
      </c>
      <c r="AB2388" s="1">
        <v>2</v>
      </c>
      <c r="AC2388" s="1" t="s">
        <v>109</v>
      </c>
      <c r="AD2388" s="1" t="s">
        <v>109</v>
      </c>
      <c r="AE2388" s="1" t="s">
        <v>109</v>
      </c>
      <c r="AF2388" s="1">
        <v>2</v>
      </c>
      <c r="AG2388" s="1" t="s">
        <v>109</v>
      </c>
      <c r="AH2388" s="1" t="s">
        <v>109</v>
      </c>
      <c r="AI2388" s="1" t="s">
        <v>109</v>
      </c>
      <c r="AJ2388" s="1">
        <v>2</v>
      </c>
      <c r="AK2388" s="1">
        <v>2</v>
      </c>
      <c r="AL2388" s="1" t="s">
        <v>109</v>
      </c>
      <c r="AM2388" s="1" t="s">
        <v>109</v>
      </c>
      <c r="AN2388" s="1" t="s">
        <v>109</v>
      </c>
      <c r="AO2388" s="1" t="s">
        <v>109</v>
      </c>
      <c r="AP2388" s="1"/>
      <c r="AQ2388" s="1">
        <v>2</v>
      </c>
      <c r="AR2388" s="1"/>
      <c r="AS2388" s="1" t="s">
        <v>17059</v>
      </c>
      <c r="AT2388" s="1">
        <v>0</v>
      </c>
      <c r="AU2388" s="1">
        <v>0</v>
      </c>
      <c r="AV2388" s="1">
        <v>0</v>
      </c>
      <c r="AW2388" s="1">
        <v>0</v>
      </c>
      <c r="AX2388" s="1">
        <v>0</v>
      </c>
      <c r="AY2388" s="1">
        <v>0</v>
      </c>
      <c r="AZ2388" s="1">
        <v>0</v>
      </c>
      <c r="BA2388" s="1">
        <v>0</v>
      </c>
      <c r="BB2388" s="1">
        <v>0</v>
      </c>
      <c r="BC2388" s="1">
        <v>0</v>
      </c>
      <c r="BD2388" s="1">
        <v>0</v>
      </c>
      <c r="BE2388" s="1">
        <v>0</v>
      </c>
      <c r="BF2388" s="1">
        <v>0</v>
      </c>
      <c r="BG2388" s="1">
        <v>0</v>
      </c>
      <c r="BH2388" s="1">
        <v>0</v>
      </c>
      <c r="BI2388" s="1">
        <v>0</v>
      </c>
      <c r="BJ2388" s="1">
        <v>0</v>
      </c>
      <c r="BK2388" s="1">
        <v>0</v>
      </c>
      <c r="BL2388" s="1">
        <v>0</v>
      </c>
      <c r="BM2388" s="1">
        <v>1</v>
      </c>
      <c r="BN2388" s="1">
        <v>0</v>
      </c>
      <c r="BO2388" s="1">
        <v>0</v>
      </c>
      <c r="BP2388" s="1">
        <v>0</v>
      </c>
      <c r="BQ2388" s="1">
        <v>0</v>
      </c>
      <c r="BR2388" s="1">
        <v>0</v>
      </c>
      <c r="BS2388" s="1" t="s">
        <v>109</v>
      </c>
      <c r="BT2388" s="1">
        <v>2479</v>
      </c>
      <c r="BU2388" s="1" t="s">
        <v>109</v>
      </c>
      <c r="BV2388" s="1"/>
      <c r="BW2388" s="1"/>
      <c r="BX2388" s="1"/>
      <c r="BY2388" s="1"/>
      <c r="BZ2388" s="1">
        <v>0</v>
      </c>
      <c r="CA2388" s="1" t="s">
        <v>109</v>
      </c>
      <c r="CB2388" s="1" t="s">
        <v>109</v>
      </c>
      <c r="CC2388" s="1">
        <v>2</v>
      </c>
      <c r="CD2388" s="1" t="s">
        <v>109</v>
      </c>
      <c r="CE2388" s="1">
        <v>2</v>
      </c>
      <c r="CF2388" s="1" t="s">
        <v>109</v>
      </c>
      <c r="CG2388" s="1" t="s">
        <v>109</v>
      </c>
      <c r="CH2388" s="1" t="s">
        <v>109</v>
      </c>
      <c r="CI2388" s="1" t="s">
        <v>109</v>
      </c>
      <c r="CJ2388" s="1" t="s">
        <v>109</v>
      </c>
      <c r="CK2388" s="1"/>
      <c r="CL2388" s="1">
        <v>0</v>
      </c>
      <c r="CM2388" s="1">
        <v>0</v>
      </c>
      <c r="CN2388" s="1">
        <v>0</v>
      </c>
    </row>
    <row r="2389" spans="1:92" ht="14.25" customHeight="1" x14ac:dyDescent="0.15">
      <c r="A2389" s="1" t="s">
        <v>17060</v>
      </c>
      <c r="B2389" s="1" t="s">
        <v>156</v>
      </c>
      <c r="C2389" s="1" t="s">
        <v>157</v>
      </c>
      <c r="D2389" s="1" t="s">
        <v>17061</v>
      </c>
      <c r="E2389" s="1" t="s">
        <v>17062</v>
      </c>
      <c r="F2389" s="1" t="s">
        <v>98</v>
      </c>
      <c r="G2389" s="1" t="s">
        <v>141</v>
      </c>
      <c r="H2389" s="1">
        <v>0</v>
      </c>
      <c r="I2389" s="1" t="s">
        <v>161</v>
      </c>
      <c r="J2389" s="1"/>
      <c r="K2389" s="1"/>
      <c r="L2389" s="1" t="s">
        <v>506</v>
      </c>
      <c r="M2389" s="1" t="s">
        <v>6625</v>
      </c>
      <c r="N2389" s="1">
        <v>1</v>
      </c>
      <c r="O2389" s="1">
        <v>0</v>
      </c>
      <c r="P2389" s="1" t="s">
        <v>507</v>
      </c>
      <c r="Q2389" s="1" t="s">
        <v>167</v>
      </c>
      <c r="R2389" s="1" t="s">
        <v>17063</v>
      </c>
      <c r="S2389" s="1" t="s">
        <v>17064</v>
      </c>
      <c r="T2389" s="1" t="s">
        <v>16709</v>
      </c>
      <c r="U2389" s="1" t="s">
        <v>17065</v>
      </c>
      <c r="V2389" s="1">
        <v>1</v>
      </c>
      <c r="W2389" s="1">
        <v>1</v>
      </c>
      <c r="X2389" s="1">
        <v>0</v>
      </c>
      <c r="Y2389" s="1">
        <v>0</v>
      </c>
      <c r="Z2389" s="1">
        <v>0</v>
      </c>
      <c r="AA2389" s="1">
        <v>4</v>
      </c>
      <c r="AB2389" s="1">
        <v>4</v>
      </c>
      <c r="AC2389" s="1" t="s">
        <v>109</v>
      </c>
      <c r="AD2389" s="1" t="s">
        <v>109</v>
      </c>
      <c r="AE2389" s="1" t="s">
        <v>109</v>
      </c>
      <c r="AF2389" s="1">
        <v>3</v>
      </c>
      <c r="AG2389" s="1" t="s">
        <v>109</v>
      </c>
      <c r="AH2389" s="1" t="s">
        <v>109</v>
      </c>
      <c r="AI2389" s="1">
        <v>4</v>
      </c>
      <c r="AJ2389" s="1">
        <v>4</v>
      </c>
      <c r="AK2389" s="1">
        <v>4</v>
      </c>
      <c r="AL2389" s="1" t="s">
        <v>109</v>
      </c>
      <c r="AM2389" s="1" t="s">
        <v>109</v>
      </c>
      <c r="AN2389" s="1" t="s">
        <v>109</v>
      </c>
      <c r="AO2389" s="1" t="s">
        <v>109</v>
      </c>
      <c r="AP2389" s="1"/>
      <c r="AQ2389" s="1">
        <v>4</v>
      </c>
      <c r="AR2389" s="1"/>
      <c r="AS2389" s="1" t="s">
        <v>17066</v>
      </c>
      <c r="AT2389" s="1">
        <v>0</v>
      </c>
      <c r="AU2389" s="1">
        <v>0</v>
      </c>
      <c r="AV2389" s="1">
        <v>0</v>
      </c>
      <c r="AW2389" s="1">
        <v>0</v>
      </c>
      <c r="AX2389" s="1">
        <v>0</v>
      </c>
      <c r="AY2389" s="1">
        <v>0</v>
      </c>
      <c r="AZ2389" s="1">
        <v>0</v>
      </c>
      <c r="BA2389" s="1">
        <v>0</v>
      </c>
      <c r="BB2389" s="1">
        <v>0</v>
      </c>
      <c r="BC2389" s="1">
        <v>0</v>
      </c>
      <c r="BD2389" s="1">
        <v>0</v>
      </c>
      <c r="BE2389" s="1">
        <v>0</v>
      </c>
      <c r="BF2389" s="1">
        <v>0</v>
      </c>
      <c r="BG2389" s="1">
        <v>0</v>
      </c>
      <c r="BH2389" s="1">
        <v>0</v>
      </c>
      <c r="BI2389" s="1">
        <v>0</v>
      </c>
      <c r="BJ2389" s="1">
        <v>0</v>
      </c>
      <c r="BK2389" s="1">
        <v>0</v>
      </c>
      <c r="BL2389" s="1">
        <v>0</v>
      </c>
      <c r="BM2389" s="1">
        <v>1</v>
      </c>
      <c r="BN2389" s="1">
        <v>0</v>
      </c>
      <c r="BO2389" s="1">
        <v>0</v>
      </c>
      <c r="BP2389" s="1">
        <v>0</v>
      </c>
      <c r="BQ2389" s="1">
        <v>0</v>
      </c>
      <c r="BR2389" s="1">
        <v>0</v>
      </c>
      <c r="BS2389" s="1" t="s">
        <v>109</v>
      </c>
      <c r="BT2389" s="1">
        <v>2480</v>
      </c>
      <c r="BU2389" s="1" t="s">
        <v>109</v>
      </c>
      <c r="BV2389" s="1"/>
      <c r="BW2389" s="1"/>
      <c r="BX2389" s="1"/>
      <c r="BY2389" s="1"/>
      <c r="BZ2389" s="1">
        <v>0</v>
      </c>
      <c r="CA2389" s="1">
        <v>4</v>
      </c>
      <c r="CB2389" s="1" t="s">
        <v>109</v>
      </c>
      <c r="CC2389" s="1">
        <v>4</v>
      </c>
      <c r="CD2389" s="1">
        <v>3</v>
      </c>
      <c r="CE2389" s="1" t="s">
        <v>109</v>
      </c>
      <c r="CF2389" s="1" t="s">
        <v>109</v>
      </c>
      <c r="CG2389" s="1">
        <v>4</v>
      </c>
      <c r="CH2389" s="1" t="s">
        <v>109</v>
      </c>
      <c r="CI2389" s="1" t="s">
        <v>109</v>
      </c>
      <c r="CJ2389" s="1" t="s">
        <v>109</v>
      </c>
      <c r="CK2389" s="1"/>
      <c r="CL2389" s="1">
        <v>1</v>
      </c>
      <c r="CM2389" s="1">
        <v>0</v>
      </c>
      <c r="CN2389" s="1">
        <v>0</v>
      </c>
    </row>
    <row r="2390" spans="1:92" ht="14.25" customHeight="1" x14ac:dyDescent="0.15">
      <c r="A2390" s="1" t="s">
        <v>17067</v>
      </c>
      <c r="B2390" s="1" t="s">
        <v>156</v>
      </c>
      <c r="C2390" s="1" t="s">
        <v>157</v>
      </c>
      <c r="D2390" s="1" t="s">
        <v>17061</v>
      </c>
      <c r="E2390" s="1" t="s">
        <v>17068</v>
      </c>
      <c r="F2390" s="1" t="s">
        <v>98</v>
      </c>
      <c r="G2390" s="1" t="s">
        <v>141</v>
      </c>
      <c r="H2390" s="1">
        <v>0</v>
      </c>
      <c r="I2390" s="1" t="s">
        <v>161</v>
      </c>
      <c r="J2390" s="1"/>
      <c r="K2390" s="1"/>
      <c r="L2390" s="1" t="s">
        <v>506</v>
      </c>
      <c r="M2390" s="1" t="s">
        <v>6144</v>
      </c>
      <c r="N2390" s="1">
        <v>1</v>
      </c>
      <c r="O2390" s="1">
        <v>0</v>
      </c>
      <c r="P2390" s="1" t="s">
        <v>507</v>
      </c>
      <c r="Q2390" s="1" t="s">
        <v>167</v>
      </c>
      <c r="R2390" s="1" t="s">
        <v>17069</v>
      </c>
      <c r="S2390" s="1" t="s">
        <v>17070</v>
      </c>
      <c r="T2390" s="1" t="s">
        <v>16709</v>
      </c>
      <c r="U2390" s="1" t="s">
        <v>17071</v>
      </c>
      <c r="V2390" s="1">
        <v>1</v>
      </c>
      <c r="W2390" s="1">
        <v>1</v>
      </c>
      <c r="X2390" s="1">
        <v>0</v>
      </c>
      <c r="Y2390" s="1">
        <v>0</v>
      </c>
      <c r="Z2390" s="1">
        <v>0</v>
      </c>
      <c r="AA2390" s="1">
        <v>7</v>
      </c>
      <c r="AB2390" s="1">
        <v>7</v>
      </c>
      <c r="AC2390" s="1" t="s">
        <v>109</v>
      </c>
      <c r="AD2390" s="1" t="s">
        <v>109</v>
      </c>
      <c r="AE2390" s="1" t="s">
        <v>109</v>
      </c>
      <c r="AF2390" s="1">
        <v>6</v>
      </c>
      <c r="AG2390" s="1" t="s">
        <v>109</v>
      </c>
      <c r="AH2390" s="1" t="s">
        <v>109</v>
      </c>
      <c r="AI2390" s="1" t="s">
        <v>109</v>
      </c>
      <c r="AJ2390" s="1">
        <v>7</v>
      </c>
      <c r="AK2390" s="1" t="s">
        <v>109</v>
      </c>
      <c r="AL2390" s="1" t="s">
        <v>109</v>
      </c>
      <c r="AM2390" s="1" t="s">
        <v>109</v>
      </c>
      <c r="AN2390" s="1" t="s">
        <v>109</v>
      </c>
      <c r="AO2390" s="1" t="s">
        <v>109</v>
      </c>
      <c r="AP2390" s="1"/>
      <c r="AQ2390" s="1">
        <v>7</v>
      </c>
      <c r="AR2390" s="1"/>
      <c r="AS2390" s="1" t="s">
        <v>17072</v>
      </c>
      <c r="AT2390" s="1">
        <v>0</v>
      </c>
      <c r="AU2390" s="1">
        <v>0</v>
      </c>
      <c r="AV2390" s="1">
        <v>0</v>
      </c>
      <c r="AW2390" s="1">
        <v>0</v>
      </c>
      <c r="AX2390" s="1">
        <v>0</v>
      </c>
      <c r="AY2390" s="1">
        <v>0</v>
      </c>
      <c r="AZ2390" s="1">
        <v>0</v>
      </c>
      <c r="BA2390" s="1">
        <v>0</v>
      </c>
      <c r="BB2390" s="1">
        <v>0</v>
      </c>
      <c r="BC2390" s="1">
        <v>0</v>
      </c>
      <c r="BD2390" s="1">
        <v>0</v>
      </c>
      <c r="BE2390" s="1">
        <v>0</v>
      </c>
      <c r="BF2390" s="1">
        <v>0</v>
      </c>
      <c r="BG2390" s="1">
        <v>0</v>
      </c>
      <c r="BH2390" s="1">
        <v>0</v>
      </c>
      <c r="BI2390" s="1">
        <v>0</v>
      </c>
      <c r="BJ2390" s="1">
        <v>0</v>
      </c>
      <c r="BK2390" s="1">
        <v>0</v>
      </c>
      <c r="BL2390" s="1">
        <v>0</v>
      </c>
      <c r="BM2390" s="1">
        <v>1</v>
      </c>
      <c r="BN2390" s="1">
        <v>0</v>
      </c>
      <c r="BO2390" s="1">
        <v>0</v>
      </c>
      <c r="BP2390" s="1">
        <v>0</v>
      </c>
      <c r="BQ2390" s="1">
        <v>0</v>
      </c>
      <c r="BR2390" s="1">
        <v>0</v>
      </c>
      <c r="BS2390" s="1" t="s">
        <v>109</v>
      </c>
      <c r="BT2390" s="1">
        <v>2481</v>
      </c>
      <c r="BU2390" s="1" t="s">
        <v>109</v>
      </c>
      <c r="BV2390" s="1"/>
      <c r="BW2390" s="1"/>
      <c r="BX2390" s="1"/>
      <c r="BY2390" s="1"/>
      <c r="BZ2390" s="1">
        <v>0</v>
      </c>
      <c r="CA2390" s="1" t="s">
        <v>109</v>
      </c>
      <c r="CB2390" s="1" t="s">
        <v>109</v>
      </c>
      <c r="CC2390" s="1">
        <v>7</v>
      </c>
      <c r="CD2390" s="1" t="s">
        <v>109</v>
      </c>
      <c r="CE2390" s="1" t="s">
        <v>109</v>
      </c>
      <c r="CF2390" s="1" t="s">
        <v>109</v>
      </c>
      <c r="CG2390" s="1" t="s">
        <v>109</v>
      </c>
      <c r="CH2390" s="1" t="s">
        <v>109</v>
      </c>
      <c r="CI2390" s="1" t="s">
        <v>109</v>
      </c>
      <c r="CJ2390" s="1" t="s">
        <v>109</v>
      </c>
      <c r="CK2390" s="1"/>
      <c r="CL2390" s="1">
        <v>1</v>
      </c>
      <c r="CM2390" s="1">
        <v>0</v>
      </c>
      <c r="CN2390" s="1">
        <v>0</v>
      </c>
    </row>
    <row r="2391" spans="1:92" ht="14.25" customHeight="1" x14ac:dyDescent="0.15">
      <c r="A2391" s="1" t="s">
        <v>17073</v>
      </c>
      <c r="B2391" s="1" t="s">
        <v>674</v>
      </c>
      <c r="C2391" s="1" t="s">
        <v>2300</v>
      </c>
      <c r="D2391" s="1"/>
      <c r="E2391" s="1" t="s">
        <v>17074</v>
      </c>
      <c r="F2391" s="1" t="s">
        <v>98</v>
      </c>
      <c r="G2391" s="1" t="s">
        <v>17075</v>
      </c>
      <c r="H2391" s="1">
        <v>0</v>
      </c>
      <c r="I2391" s="1" t="s">
        <v>142</v>
      </c>
      <c r="J2391" s="1"/>
      <c r="K2391" s="1"/>
      <c r="L2391" s="1" t="s">
        <v>1391</v>
      </c>
      <c r="M2391" s="1" t="s">
        <v>574</v>
      </c>
      <c r="N2391" s="1">
        <v>1</v>
      </c>
      <c r="O2391" s="1">
        <v>0</v>
      </c>
      <c r="P2391" s="1" t="s">
        <v>2304</v>
      </c>
      <c r="Q2391" s="1" t="s">
        <v>268</v>
      </c>
      <c r="R2391" s="1" t="s">
        <v>17076</v>
      </c>
      <c r="S2391" s="1" t="s">
        <v>17077</v>
      </c>
      <c r="T2391" s="1" t="s">
        <v>16709</v>
      </c>
      <c r="U2391" s="1" t="s">
        <v>17078</v>
      </c>
      <c r="V2391" s="1">
        <v>0</v>
      </c>
      <c r="W2391" s="1">
        <v>1</v>
      </c>
      <c r="X2391" s="1">
        <v>0</v>
      </c>
      <c r="Y2391" s="1">
        <v>0</v>
      </c>
      <c r="Z2391" s="1">
        <v>0</v>
      </c>
      <c r="AA2391" s="1">
        <v>4</v>
      </c>
      <c r="AB2391" s="1">
        <v>4</v>
      </c>
      <c r="AC2391" s="1" t="s">
        <v>109</v>
      </c>
      <c r="AD2391" s="1" t="s">
        <v>109</v>
      </c>
      <c r="AE2391" s="1" t="s">
        <v>109</v>
      </c>
      <c r="AF2391" s="1" t="s">
        <v>109</v>
      </c>
      <c r="AG2391" s="1" t="s">
        <v>109</v>
      </c>
      <c r="AH2391" s="1" t="s">
        <v>109</v>
      </c>
      <c r="AI2391" s="1" t="s">
        <v>109</v>
      </c>
      <c r="AJ2391" s="1" t="s">
        <v>109</v>
      </c>
      <c r="AK2391" s="1" t="s">
        <v>109</v>
      </c>
      <c r="AL2391" s="1" t="s">
        <v>109</v>
      </c>
      <c r="AM2391" s="1">
        <v>3</v>
      </c>
      <c r="AN2391" s="1">
        <v>4</v>
      </c>
      <c r="AO2391" s="1" t="s">
        <v>109</v>
      </c>
      <c r="AP2391" s="1"/>
      <c r="AQ2391" s="1">
        <v>4</v>
      </c>
      <c r="AR2391" s="1"/>
      <c r="AS2391" s="1" t="s">
        <v>17079</v>
      </c>
      <c r="AT2391" s="1">
        <v>0</v>
      </c>
      <c r="AU2391" s="1">
        <v>0</v>
      </c>
      <c r="AV2391" s="1">
        <v>0</v>
      </c>
      <c r="AW2391" s="1">
        <v>0</v>
      </c>
      <c r="AX2391" s="1">
        <v>0</v>
      </c>
      <c r="AY2391" s="1">
        <v>0</v>
      </c>
      <c r="AZ2391" s="1">
        <v>0</v>
      </c>
      <c r="BA2391" s="1">
        <v>0</v>
      </c>
      <c r="BB2391" s="1">
        <v>0</v>
      </c>
      <c r="BC2391" s="1">
        <v>0</v>
      </c>
      <c r="BD2391" s="1">
        <v>0</v>
      </c>
      <c r="BE2391" s="1">
        <v>0</v>
      </c>
      <c r="BF2391" s="1">
        <v>0</v>
      </c>
      <c r="BG2391" s="1">
        <v>0</v>
      </c>
      <c r="BH2391" s="1">
        <v>0</v>
      </c>
      <c r="BI2391" s="1">
        <v>0</v>
      </c>
      <c r="BJ2391" s="1">
        <v>0</v>
      </c>
      <c r="BK2391" s="1">
        <v>0</v>
      </c>
      <c r="BL2391" s="1">
        <v>0</v>
      </c>
      <c r="BM2391" s="1">
        <v>0</v>
      </c>
      <c r="BN2391" s="1">
        <v>0</v>
      </c>
      <c r="BO2391" s="1">
        <v>0</v>
      </c>
      <c r="BP2391" s="1">
        <v>0</v>
      </c>
      <c r="BQ2391" s="1">
        <v>0</v>
      </c>
      <c r="BR2391" s="1">
        <v>0</v>
      </c>
      <c r="BS2391" s="1" t="s">
        <v>109</v>
      </c>
      <c r="BT2391" s="1">
        <v>2482</v>
      </c>
      <c r="BU2391" s="1" t="s">
        <v>109</v>
      </c>
      <c r="BV2391" s="1"/>
      <c r="BW2391" s="1"/>
      <c r="BX2391" s="1"/>
      <c r="BY2391" s="1"/>
      <c r="BZ2391" s="1">
        <v>0</v>
      </c>
      <c r="CA2391" s="1" t="s">
        <v>109</v>
      </c>
      <c r="CB2391" s="1" t="s">
        <v>109</v>
      </c>
      <c r="CC2391" s="1">
        <v>4</v>
      </c>
      <c r="CD2391" s="1" t="s">
        <v>109</v>
      </c>
      <c r="CE2391" s="1">
        <v>3</v>
      </c>
      <c r="CF2391" s="1">
        <v>4</v>
      </c>
      <c r="CG2391" s="1" t="s">
        <v>109</v>
      </c>
      <c r="CH2391" s="1" t="s">
        <v>109</v>
      </c>
      <c r="CI2391" s="1" t="s">
        <v>109</v>
      </c>
      <c r="CJ2391" s="1" t="s">
        <v>109</v>
      </c>
      <c r="CK2391" s="1"/>
      <c r="CL2391" s="1">
        <v>0</v>
      </c>
      <c r="CM2391" s="1">
        <v>0</v>
      </c>
      <c r="CN2391" s="1">
        <v>0</v>
      </c>
    </row>
    <row r="2392" spans="1:92" ht="14.25" customHeight="1" x14ac:dyDescent="0.15">
      <c r="A2392" s="1" t="s">
        <v>17080</v>
      </c>
      <c r="B2392" s="1" t="s">
        <v>674</v>
      </c>
      <c r="C2392" s="1" t="s">
        <v>2300</v>
      </c>
      <c r="D2392" s="1"/>
      <c r="E2392" s="1" t="s">
        <v>17081</v>
      </c>
      <c r="F2392" s="1" t="s">
        <v>98</v>
      </c>
      <c r="G2392" s="1" t="s">
        <v>17075</v>
      </c>
      <c r="H2392" s="1">
        <v>0</v>
      </c>
      <c r="I2392" s="1" t="s">
        <v>142</v>
      </c>
      <c r="J2392" s="1"/>
      <c r="K2392" s="1"/>
      <c r="L2392" s="1" t="s">
        <v>17082</v>
      </c>
      <c r="M2392" s="1" t="s">
        <v>574</v>
      </c>
      <c r="N2392" s="1">
        <v>1</v>
      </c>
      <c r="O2392" s="1">
        <v>0</v>
      </c>
      <c r="P2392" s="1" t="s">
        <v>2304</v>
      </c>
      <c r="Q2392" s="1" t="s">
        <v>268</v>
      </c>
      <c r="R2392" s="1" t="s">
        <v>17083</v>
      </c>
      <c r="S2392" s="1" t="s">
        <v>17084</v>
      </c>
      <c r="T2392" s="1" t="s">
        <v>16709</v>
      </c>
      <c r="U2392" s="1" t="s">
        <v>17085</v>
      </c>
      <c r="V2392" s="1">
        <v>0</v>
      </c>
      <c r="W2392" s="1">
        <v>1</v>
      </c>
      <c r="X2392" s="1">
        <v>0</v>
      </c>
      <c r="Y2392" s="1">
        <v>0</v>
      </c>
      <c r="Z2392" s="1">
        <v>0</v>
      </c>
      <c r="AA2392" s="1">
        <v>6</v>
      </c>
      <c r="AB2392" s="1">
        <v>6</v>
      </c>
      <c r="AC2392" s="1" t="s">
        <v>109</v>
      </c>
      <c r="AD2392" s="1" t="s">
        <v>109</v>
      </c>
      <c r="AE2392" s="1" t="s">
        <v>109</v>
      </c>
      <c r="AF2392" s="1" t="s">
        <v>109</v>
      </c>
      <c r="AG2392" s="1" t="s">
        <v>109</v>
      </c>
      <c r="AH2392" s="1" t="s">
        <v>109</v>
      </c>
      <c r="AI2392" s="1" t="s">
        <v>109</v>
      </c>
      <c r="AJ2392" s="1" t="s">
        <v>109</v>
      </c>
      <c r="AK2392" s="1" t="s">
        <v>109</v>
      </c>
      <c r="AL2392" s="1" t="s">
        <v>109</v>
      </c>
      <c r="AM2392" s="1">
        <v>4</v>
      </c>
      <c r="AN2392" s="1">
        <v>6</v>
      </c>
      <c r="AO2392" s="1" t="s">
        <v>109</v>
      </c>
      <c r="AP2392" s="1"/>
      <c r="AQ2392" s="1">
        <v>6</v>
      </c>
      <c r="AR2392" s="1"/>
      <c r="AS2392" s="1" t="s">
        <v>17086</v>
      </c>
      <c r="AT2392" s="1">
        <v>0</v>
      </c>
      <c r="AU2392" s="1">
        <v>0</v>
      </c>
      <c r="AV2392" s="1">
        <v>0</v>
      </c>
      <c r="AW2392" s="1">
        <v>0</v>
      </c>
      <c r="AX2392" s="1">
        <v>0</v>
      </c>
      <c r="AY2392" s="1">
        <v>0</v>
      </c>
      <c r="AZ2392" s="1">
        <v>0</v>
      </c>
      <c r="BA2392" s="1">
        <v>0</v>
      </c>
      <c r="BB2392" s="1">
        <v>0</v>
      </c>
      <c r="BC2392" s="1">
        <v>0</v>
      </c>
      <c r="BD2392" s="1">
        <v>0</v>
      </c>
      <c r="BE2392" s="1">
        <v>0</v>
      </c>
      <c r="BF2392" s="1">
        <v>0</v>
      </c>
      <c r="BG2392" s="1">
        <v>0</v>
      </c>
      <c r="BH2392" s="1">
        <v>0</v>
      </c>
      <c r="BI2392" s="1">
        <v>0</v>
      </c>
      <c r="BJ2392" s="1">
        <v>0</v>
      </c>
      <c r="BK2392" s="1">
        <v>0</v>
      </c>
      <c r="BL2392" s="1">
        <v>0</v>
      </c>
      <c r="BM2392" s="1">
        <v>0</v>
      </c>
      <c r="BN2392" s="1">
        <v>0</v>
      </c>
      <c r="BO2392" s="1">
        <v>0</v>
      </c>
      <c r="BP2392" s="1">
        <v>0</v>
      </c>
      <c r="BQ2392" s="1">
        <v>0</v>
      </c>
      <c r="BR2392" s="1">
        <v>0</v>
      </c>
      <c r="BS2392" s="1" t="s">
        <v>109</v>
      </c>
      <c r="BT2392" s="1">
        <v>2483</v>
      </c>
      <c r="BU2392" s="1" t="s">
        <v>109</v>
      </c>
      <c r="BV2392" s="1"/>
      <c r="BW2392" s="1"/>
      <c r="BX2392" s="1"/>
      <c r="BY2392" s="1"/>
      <c r="BZ2392" s="1">
        <v>0</v>
      </c>
      <c r="CA2392" s="1" t="s">
        <v>109</v>
      </c>
      <c r="CB2392" s="1" t="s">
        <v>109</v>
      </c>
      <c r="CC2392" s="1">
        <v>5</v>
      </c>
      <c r="CD2392" s="1" t="s">
        <v>109</v>
      </c>
      <c r="CE2392" s="1">
        <v>4</v>
      </c>
      <c r="CF2392" s="1">
        <v>5</v>
      </c>
      <c r="CG2392" s="1" t="s">
        <v>109</v>
      </c>
      <c r="CH2392" s="1" t="s">
        <v>109</v>
      </c>
      <c r="CI2392" s="1" t="s">
        <v>109</v>
      </c>
      <c r="CJ2392" s="1" t="s">
        <v>109</v>
      </c>
      <c r="CK2392" s="1"/>
      <c r="CL2392" s="1">
        <v>0</v>
      </c>
      <c r="CM2392" s="1">
        <v>0</v>
      </c>
      <c r="CN2392" s="1">
        <v>0</v>
      </c>
    </row>
    <row r="2393" spans="1:92" ht="14.25" customHeight="1" x14ac:dyDescent="0.15">
      <c r="A2393" s="1" t="s">
        <v>17087</v>
      </c>
      <c r="B2393" s="1" t="s">
        <v>254</v>
      </c>
      <c r="C2393" s="1"/>
      <c r="D2393" s="1"/>
      <c r="E2393" s="1" t="s">
        <v>17088</v>
      </c>
      <c r="F2393" s="1" t="s">
        <v>355</v>
      </c>
      <c r="G2393" s="1" t="s">
        <v>17089</v>
      </c>
      <c r="H2393" s="1">
        <v>0</v>
      </c>
      <c r="I2393" s="1" t="s">
        <v>142</v>
      </c>
      <c r="J2393" s="1"/>
      <c r="K2393" s="1" t="s">
        <v>17090</v>
      </c>
      <c r="L2393" s="1"/>
      <c r="M2393" s="1" t="s">
        <v>6625</v>
      </c>
      <c r="N2393" s="1">
        <v>1</v>
      </c>
      <c r="O2393" s="1">
        <v>0</v>
      </c>
      <c r="P2393" s="1" t="s">
        <v>103</v>
      </c>
      <c r="Q2393" s="1" t="s">
        <v>104</v>
      </c>
      <c r="R2393" s="1" t="s">
        <v>17091</v>
      </c>
      <c r="S2393" s="1" t="s">
        <v>17092</v>
      </c>
      <c r="T2393" s="1" t="s">
        <v>16709</v>
      </c>
      <c r="U2393" s="1" t="s">
        <v>17093</v>
      </c>
      <c r="V2393" s="1">
        <v>1</v>
      </c>
      <c r="W2393" s="1">
        <v>1</v>
      </c>
      <c r="X2393" s="1">
        <v>1</v>
      </c>
      <c r="Y2393" s="1">
        <v>0</v>
      </c>
      <c r="Z2393" s="1">
        <v>0</v>
      </c>
      <c r="AA2393" s="1">
        <v>4</v>
      </c>
      <c r="AB2393" s="1">
        <v>4</v>
      </c>
      <c r="AC2393" s="1" t="s">
        <v>109</v>
      </c>
      <c r="AD2393" s="1">
        <v>3</v>
      </c>
      <c r="AE2393" s="1">
        <v>3</v>
      </c>
      <c r="AF2393" s="1" t="s">
        <v>109</v>
      </c>
      <c r="AG2393" s="1" t="s">
        <v>109</v>
      </c>
      <c r="AH2393" s="1" t="s">
        <v>109</v>
      </c>
      <c r="AI2393" s="1">
        <v>3</v>
      </c>
      <c r="AJ2393" s="1">
        <v>4</v>
      </c>
      <c r="AK2393" s="1" t="s">
        <v>109</v>
      </c>
      <c r="AL2393" s="1" t="s">
        <v>109</v>
      </c>
      <c r="AM2393" s="1" t="s">
        <v>109</v>
      </c>
      <c r="AN2393" s="1" t="s">
        <v>109</v>
      </c>
      <c r="AO2393" s="1" t="s">
        <v>109</v>
      </c>
      <c r="AP2393" s="1"/>
      <c r="AQ2393" s="1">
        <v>4</v>
      </c>
      <c r="AR2393" s="1"/>
      <c r="AS2393" s="1" t="s">
        <v>17094</v>
      </c>
      <c r="AT2393" s="1">
        <v>0</v>
      </c>
      <c r="AU2393" s="1">
        <v>0</v>
      </c>
      <c r="AV2393" s="1">
        <v>0</v>
      </c>
      <c r="AW2393" s="1">
        <v>0</v>
      </c>
      <c r="AX2393" s="1">
        <v>0</v>
      </c>
      <c r="AY2393" s="1">
        <v>0</v>
      </c>
      <c r="AZ2393" s="1">
        <v>0</v>
      </c>
      <c r="BA2393" s="1">
        <v>0</v>
      </c>
      <c r="BB2393" s="1">
        <v>0</v>
      </c>
      <c r="BC2393" s="1">
        <v>0</v>
      </c>
      <c r="BD2393" s="1">
        <v>0</v>
      </c>
      <c r="BE2393" s="1">
        <v>0</v>
      </c>
      <c r="BF2393" s="1">
        <v>0</v>
      </c>
      <c r="BG2393" s="1">
        <v>0</v>
      </c>
      <c r="BH2393" s="1">
        <v>0</v>
      </c>
      <c r="BI2393" s="1">
        <v>0</v>
      </c>
      <c r="BJ2393" s="1">
        <v>0</v>
      </c>
      <c r="BK2393" s="1">
        <v>0</v>
      </c>
      <c r="BL2393" s="1">
        <v>0</v>
      </c>
      <c r="BM2393" s="1">
        <v>0</v>
      </c>
      <c r="BN2393" s="1">
        <v>0</v>
      </c>
      <c r="BO2393" s="1">
        <v>0</v>
      </c>
      <c r="BP2393" s="1">
        <v>0</v>
      </c>
      <c r="BQ2393" s="1">
        <v>0</v>
      </c>
      <c r="BR2393" s="1">
        <v>0</v>
      </c>
      <c r="BS2393" s="1" t="s">
        <v>109</v>
      </c>
      <c r="BT2393" s="1">
        <v>2484</v>
      </c>
      <c r="BU2393" s="1" t="s">
        <v>109</v>
      </c>
      <c r="BV2393" s="1"/>
      <c r="BW2393" s="1"/>
      <c r="BX2393" s="1"/>
      <c r="BY2393" s="1"/>
      <c r="BZ2393" s="1">
        <v>0</v>
      </c>
      <c r="CA2393" s="1" t="s">
        <v>109</v>
      </c>
      <c r="CB2393" s="1" t="s">
        <v>109</v>
      </c>
      <c r="CC2393" s="1" t="s">
        <v>109</v>
      </c>
      <c r="CD2393" s="1" t="s">
        <v>109</v>
      </c>
      <c r="CE2393" s="1" t="s">
        <v>109</v>
      </c>
      <c r="CF2393" s="1" t="s">
        <v>109</v>
      </c>
      <c r="CG2393" s="1" t="s">
        <v>109</v>
      </c>
      <c r="CH2393" s="1" t="s">
        <v>109</v>
      </c>
      <c r="CI2393" s="1" t="s">
        <v>109</v>
      </c>
      <c r="CJ2393" s="1">
        <v>3</v>
      </c>
      <c r="CK2393" s="1"/>
      <c r="CL2393" s="1">
        <v>0</v>
      </c>
      <c r="CM2393" s="1">
        <v>0</v>
      </c>
      <c r="CN2393" s="1">
        <v>0</v>
      </c>
    </row>
    <row r="2394" spans="1:92" ht="14.25" customHeight="1" x14ac:dyDescent="0.15">
      <c r="A2394" s="1" t="s">
        <v>17095</v>
      </c>
      <c r="B2394" s="1" t="s">
        <v>254</v>
      </c>
      <c r="C2394" s="1"/>
      <c r="D2394" s="1"/>
      <c r="E2394" s="1" t="s">
        <v>17096</v>
      </c>
      <c r="F2394" s="1" t="s">
        <v>355</v>
      </c>
      <c r="G2394" s="1" t="s">
        <v>17089</v>
      </c>
      <c r="H2394" s="1">
        <v>0</v>
      </c>
      <c r="I2394" s="1" t="s">
        <v>142</v>
      </c>
      <c r="J2394" s="1"/>
      <c r="K2394" s="1" t="s">
        <v>17090</v>
      </c>
      <c r="L2394" s="1"/>
      <c r="M2394" s="1" t="s">
        <v>6625</v>
      </c>
      <c r="N2394" s="1">
        <v>1</v>
      </c>
      <c r="O2394" s="1">
        <v>0</v>
      </c>
      <c r="P2394" s="1" t="s">
        <v>103</v>
      </c>
      <c r="Q2394" s="1" t="s">
        <v>104</v>
      </c>
      <c r="R2394" s="1" t="s">
        <v>17097</v>
      </c>
      <c r="S2394" s="1" t="s">
        <v>17098</v>
      </c>
      <c r="T2394" s="1" t="s">
        <v>16709</v>
      </c>
      <c r="U2394" s="1" t="s">
        <v>17099</v>
      </c>
      <c r="V2394" s="1">
        <v>1</v>
      </c>
      <c r="W2394" s="1">
        <v>1</v>
      </c>
      <c r="X2394" s="1">
        <v>1</v>
      </c>
      <c r="Y2394" s="1">
        <v>0</v>
      </c>
      <c r="Z2394" s="1">
        <v>0</v>
      </c>
      <c r="AA2394" s="1">
        <v>7</v>
      </c>
      <c r="AB2394" s="1">
        <v>7</v>
      </c>
      <c r="AC2394" s="1" t="s">
        <v>109</v>
      </c>
      <c r="AD2394" s="1">
        <v>6</v>
      </c>
      <c r="AE2394" s="1" t="s">
        <v>109</v>
      </c>
      <c r="AF2394" s="1" t="s">
        <v>109</v>
      </c>
      <c r="AG2394" s="1" t="s">
        <v>109</v>
      </c>
      <c r="AH2394" s="1" t="s">
        <v>109</v>
      </c>
      <c r="AI2394" s="1">
        <v>6</v>
      </c>
      <c r="AJ2394" s="1">
        <v>7</v>
      </c>
      <c r="AK2394" s="1" t="s">
        <v>109</v>
      </c>
      <c r="AL2394" s="1" t="s">
        <v>109</v>
      </c>
      <c r="AM2394" s="1" t="s">
        <v>109</v>
      </c>
      <c r="AN2394" s="1" t="s">
        <v>109</v>
      </c>
      <c r="AO2394" s="1" t="s">
        <v>109</v>
      </c>
      <c r="AP2394" s="1"/>
      <c r="AQ2394" s="1">
        <v>7</v>
      </c>
      <c r="AR2394" s="1"/>
      <c r="AS2394" s="1" t="s">
        <v>17100</v>
      </c>
      <c r="AT2394" s="1">
        <v>0</v>
      </c>
      <c r="AU2394" s="1">
        <v>0</v>
      </c>
      <c r="AV2394" s="1">
        <v>0</v>
      </c>
      <c r="AW2394" s="1">
        <v>0</v>
      </c>
      <c r="AX2394" s="1">
        <v>0</v>
      </c>
      <c r="AY2394" s="1">
        <v>0</v>
      </c>
      <c r="AZ2394" s="1">
        <v>0</v>
      </c>
      <c r="BA2394" s="1">
        <v>0</v>
      </c>
      <c r="BB2394" s="1">
        <v>0</v>
      </c>
      <c r="BC2394" s="1">
        <v>0</v>
      </c>
      <c r="BD2394" s="1">
        <v>0</v>
      </c>
      <c r="BE2394" s="1">
        <v>0</v>
      </c>
      <c r="BF2394" s="1">
        <v>0</v>
      </c>
      <c r="BG2394" s="1">
        <v>0</v>
      </c>
      <c r="BH2394" s="1">
        <v>0</v>
      </c>
      <c r="BI2394" s="1">
        <v>0</v>
      </c>
      <c r="BJ2394" s="1">
        <v>0</v>
      </c>
      <c r="BK2394" s="1">
        <v>0</v>
      </c>
      <c r="BL2394" s="1">
        <v>0</v>
      </c>
      <c r="BM2394" s="1">
        <v>0</v>
      </c>
      <c r="BN2394" s="1">
        <v>0</v>
      </c>
      <c r="BO2394" s="1">
        <v>0</v>
      </c>
      <c r="BP2394" s="1">
        <v>0</v>
      </c>
      <c r="BQ2394" s="1">
        <v>0</v>
      </c>
      <c r="BR2394" s="1">
        <v>0</v>
      </c>
      <c r="BS2394" s="1" t="s">
        <v>109</v>
      </c>
      <c r="BT2394" s="1">
        <v>2485</v>
      </c>
      <c r="BU2394" s="1" t="s">
        <v>109</v>
      </c>
      <c r="BV2394" s="1"/>
      <c r="BW2394" s="1"/>
      <c r="BX2394" s="1"/>
      <c r="BY2394" s="1"/>
      <c r="BZ2394" s="1">
        <v>0</v>
      </c>
      <c r="CA2394" s="1" t="s">
        <v>109</v>
      </c>
      <c r="CB2394" s="1" t="s">
        <v>109</v>
      </c>
      <c r="CC2394" s="1" t="s">
        <v>109</v>
      </c>
      <c r="CD2394" s="1" t="s">
        <v>109</v>
      </c>
      <c r="CE2394" s="1" t="s">
        <v>109</v>
      </c>
      <c r="CF2394" s="1" t="s">
        <v>109</v>
      </c>
      <c r="CG2394" s="1" t="s">
        <v>109</v>
      </c>
      <c r="CH2394" s="1" t="s">
        <v>109</v>
      </c>
      <c r="CI2394" s="1" t="s">
        <v>109</v>
      </c>
      <c r="CJ2394" s="1">
        <v>6</v>
      </c>
      <c r="CK2394" s="1"/>
      <c r="CL2394" s="1">
        <v>0</v>
      </c>
      <c r="CM2394" s="1">
        <v>0</v>
      </c>
      <c r="CN2394" s="1">
        <v>0</v>
      </c>
    </row>
    <row r="2395" spans="1:92" ht="14.25" customHeight="1" x14ac:dyDescent="0.15">
      <c r="A2395" s="1" t="s">
        <v>17101</v>
      </c>
      <c r="B2395" s="1" t="s">
        <v>674</v>
      </c>
      <c r="C2395" s="1" t="s">
        <v>2300</v>
      </c>
      <c r="D2395" s="1"/>
      <c r="E2395" s="1" t="s">
        <v>17102</v>
      </c>
      <c r="F2395" s="1" t="s">
        <v>98</v>
      </c>
      <c r="G2395" s="1" t="s">
        <v>17103</v>
      </c>
      <c r="H2395" s="1">
        <v>0</v>
      </c>
      <c r="I2395" s="1" t="s">
        <v>16486</v>
      </c>
      <c r="J2395" s="1"/>
      <c r="K2395" s="1"/>
      <c r="L2395" s="1" t="s">
        <v>17104</v>
      </c>
      <c r="M2395" s="1" t="s">
        <v>3042</v>
      </c>
      <c r="N2395" s="1">
        <v>0</v>
      </c>
      <c r="O2395" s="1">
        <v>0</v>
      </c>
      <c r="P2395" s="1" t="s">
        <v>2465</v>
      </c>
      <c r="Q2395" s="1" t="s">
        <v>104</v>
      </c>
      <c r="R2395" s="1" t="s">
        <v>17105</v>
      </c>
      <c r="S2395" s="1" t="s">
        <v>17106</v>
      </c>
      <c r="T2395" s="1" t="s">
        <v>16709</v>
      </c>
      <c r="U2395" s="1" t="s">
        <v>17107</v>
      </c>
      <c r="V2395" s="1">
        <v>1</v>
      </c>
      <c r="W2395" s="1">
        <v>1</v>
      </c>
      <c r="X2395" s="1">
        <v>1</v>
      </c>
      <c r="Y2395" s="1">
        <v>0</v>
      </c>
      <c r="Z2395" s="1">
        <v>0</v>
      </c>
      <c r="AA2395" s="1">
        <v>4</v>
      </c>
      <c r="AB2395" s="1">
        <v>4</v>
      </c>
      <c r="AC2395" s="1" t="s">
        <v>109</v>
      </c>
      <c r="AD2395" s="1" t="s">
        <v>109</v>
      </c>
      <c r="AE2395" s="1">
        <v>3</v>
      </c>
      <c r="AF2395" s="1">
        <v>3</v>
      </c>
      <c r="AG2395" s="1" t="s">
        <v>109</v>
      </c>
      <c r="AH2395" s="1" t="s">
        <v>109</v>
      </c>
      <c r="AI2395" s="1" t="s">
        <v>109</v>
      </c>
      <c r="AJ2395" s="1" t="s">
        <v>109</v>
      </c>
      <c r="AK2395" s="1">
        <v>3</v>
      </c>
      <c r="AL2395" s="1" t="s">
        <v>109</v>
      </c>
      <c r="AM2395" s="1" t="s">
        <v>109</v>
      </c>
      <c r="AN2395" s="1">
        <v>4</v>
      </c>
      <c r="AO2395" s="1" t="s">
        <v>109</v>
      </c>
      <c r="AP2395" s="1"/>
      <c r="AQ2395" s="1">
        <v>4</v>
      </c>
      <c r="AR2395" s="1"/>
      <c r="AS2395" s="1" t="s">
        <v>17108</v>
      </c>
      <c r="AT2395" s="1">
        <v>0</v>
      </c>
      <c r="AU2395" s="1">
        <v>0</v>
      </c>
      <c r="AV2395" s="1">
        <v>0</v>
      </c>
      <c r="AW2395" s="1">
        <v>0</v>
      </c>
      <c r="AX2395" s="1">
        <v>0</v>
      </c>
      <c r="AY2395" s="1">
        <v>0</v>
      </c>
      <c r="AZ2395" s="1">
        <v>0</v>
      </c>
      <c r="BA2395" s="1">
        <v>0</v>
      </c>
      <c r="BB2395" s="1">
        <v>0</v>
      </c>
      <c r="BC2395" s="1">
        <v>0</v>
      </c>
      <c r="BD2395" s="1">
        <v>0</v>
      </c>
      <c r="BE2395" s="1">
        <v>0</v>
      </c>
      <c r="BF2395" s="1">
        <v>0</v>
      </c>
      <c r="BG2395" s="1">
        <v>0</v>
      </c>
      <c r="BH2395" s="1">
        <v>0</v>
      </c>
      <c r="BI2395" s="1">
        <v>0</v>
      </c>
      <c r="BJ2395" s="1">
        <v>0</v>
      </c>
      <c r="BK2395" s="1">
        <v>0</v>
      </c>
      <c r="BL2395" s="1">
        <v>0</v>
      </c>
      <c r="BM2395" s="1">
        <v>0</v>
      </c>
      <c r="BN2395" s="1">
        <v>0</v>
      </c>
      <c r="BO2395" s="1">
        <v>0</v>
      </c>
      <c r="BP2395" s="1">
        <v>0</v>
      </c>
      <c r="BQ2395" s="1">
        <v>0</v>
      </c>
      <c r="BR2395" s="1">
        <v>0</v>
      </c>
      <c r="BS2395" s="1" t="s">
        <v>109</v>
      </c>
      <c r="BT2395" s="1">
        <v>2486</v>
      </c>
      <c r="BU2395" s="1" t="s">
        <v>109</v>
      </c>
      <c r="BV2395" s="1"/>
      <c r="BW2395" s="1"/>
      <c r="BX2395" s="1"/>
      <c r="BY2395" s="1"/>
      <c r="BZ2395" s="1">
        <v>0</v>
      </c>
      <c r="CA2395" s="1" t="s">
        <v>109</v>
      </c>
      <c r="CB2395" s="1" t="s">
        <v>109</v>
      </c>
      <c r="CC2395" s="1" t="s">
        <v>109</v>
      </c>
      <c r="CD2395" s="1" t="s">
        <v>109</v>
      </c>
      <c r="CE2395" s="1">
        <v>3</v>
      </c>
      <c r="CF2395" s="1">
        <v>3</v>
      </c>
      <c r="CG2395" s="1" t="s">
        <v>109</v>
      </c>
      <c r="CH2395" s="1" t="s">
        <v>109</v>
      </c>
      <c r="CI2395" s="1" t="s">
        <v>109</v>
      </c>
      <c r="CJ2395" s="1">
        <v>3</v>
      </c>
      <c r="CK2395" s="1"/>
      <c r="CL2395" s="1">
        <v>0</v>
      </c>
      <c r="CM2395" s="1">
        <v>0</v>
      </c>
      <c r="CN2395" s="1">
        <v>0</v>
      </c>
    </row>
    <row r="2396" spans="1:92" ht="14.25" customHeight="1" x14ac:dyDescent="0.15">
      <c r="A2396" s="1" t="s">
        <v>17109</v>
      </c>
      <c r="B2396" s="1" t="s">
        <v>95</v>
      </c>
      <c r="C2396" s="1" t="s">
        <v>1179</v>
      </c>
      <c r="D2396" s="1"/>
      <c r="E2396" s="1" t="s">
        <v>17110</v>
      </c>
      <c r="F2396" s="1" t="s">
        <v>98</v>
      </c>
      <c r="G2396" s="1" t="s">
        <v>17111</v>
      </c>
      <c r="H2396" s="1">
        <v>1</v>
      </c>
      <c r="I2396" s="1" t="s">
        <v>211</v>
      </c>
      <c r="J2396" s="1"/>
      <c r="K2396" s="1"/>
      <c r="L2396" s="1" t="s">
        <v>17112</v>
      </c>
      <c r="M2396" s="1" t="s">
        <v>14230</v>
      </c>
      <c r="N2396" s="1">
        <v>0</v>
      </c>
      <c r="O2396" s="1">
        <v>0</v>
      </c>
      <c r="P2396" s="1" t="s">
        <v>103</v>
      </c>
      <c r="Q2396" s="1" t="s">
        <v>104</v>
      </c>
      <c r="R2396" s="1" t="s">
        <v>17113</v>
      </c>
      <c r="S2396" s="1" t="s">
        <v>17114</v>
      </c>
      <c r="T2396" s="1" t="s">
        <v>16709</v>
      </c>
      <c r="U2396" s="1" t="s">
        <v>17115</v>
      </c>
      <c r="V2396" s="1">
        <v>1</v>
      </c>
      <c r="W2396" s="1">
        <v>1</v>
      </c>
      <c r="X2396" s="1">
        <v>1</v>
      </c>
      <c r="Y2396" s="1">
        <v>0</v>
      </c>
      <c r="Z2396" s="1">
        <v>0</v>
      </c>
      <c r="AA2396" s="1">
        <v>8</v>
      </c>
      <c r="AB2396" s="1">
        <v>8</v>
      </c>
      <c r="AC2396" s="1" t="s">
        <v>109</v>
      </c>
      <c r="AD2396" s="1" t="s">
        <v>109</v>
      </c>
      <c r="AE2396" s="1" t="s">
        <v>109</v>
      </c>
      <c r="AF2396" s="1" t="s">
        <v>109</v>
      </c>
      <c r="AG2396" s="1" t="s">
        <v>109</v>
      </c>
      <c r="AH2396" s="1" t="s">
        <v>109</v>
      </c>
      <c r="AI2396" s="1" t="s">
        <v>109</v>
      </c>
      <c r="AJ2396" s="1">
        <v>8</v>
      </c>
      <c r="AK2396" s="1" t="s">
        <v>109</v>
      </c>
      <c r="AL2396" s="1" t="s">
        <v>109</v>
      </c>
      <c r="AM2396" s="1" t="s">
        <v>109</v>
      </c>
      <c r="AN2396" s="1" t="s">
        <v>109</v>
      </c>
      <c r="AO2396" s="1" t="s">
        <v>109</v>
      </c>
      <c r="AP2396" s="1"/>
      <c r="AQ2396" s="1">
        <v>8</v>
      </c>
      <c r="AR2396" s="1"/>
      <c r="AS2396" s="1" t="s">
        <v>17116</v>
      </c>
      <c r="AT2396" s="1">
        <v>0</v>
      </c>
      <c r="AU2396" s="1">
        <v>0</v>
      </c>
      <c r="AV2396" s="1">
        <v>0</v>
      </c>
      <c r="AW2396" s="1">
        <v>0</v>
      </c>
      <c r="AX2396" s="1">
        <v>0</v>
      </c>
      <c r="AY2396" s="1">
        <v>0</v>
      </c>
      <c r="AZ2396" s="1">
        <v>0</v>
      </c>
      <c r="BA2396" s="1">
        <v>0</v>
      </c>
      <c r="BB2396" s="1">
        <v>0</v>
      </c>
      <c r="BC2396" s="1">
        <v>0</v>
      </c>
      <c r="BD2396" s="1">
        <v>0</v>
      </c>
      <c r="BE2396" s="1">
        <v>0</v>
      </c>
      <c r="BF2396" s="1">
        <v>0</v>
      </c>
      <c r="BG2396" s="1">
        <v>0</v>
      </c>
      <c r="BH2396" s="1">
        <v>0</v>
      </c>
      <c r="BI2396" s="1">
        <v>0</v>
      </c>
      <c r="BJ2396" s="1">
        <v>0</v>
      </c>
      <c r="BK2396" s="1">
        <v>0</v>
      </c>
      <c r="BL2396" s="1">
        <v>0</v>
      </c>
      <c r="BM2396" s="1">
        <v>0</v>
      </c>
      <c r="BN2396" s="1">
        <v>0</v>
      </c>
      <c r="BO2396" s="1">
        <v>0</v>
      </c>
      <c r="BP2396" s="1">
        <v>0</v>
      </c>
      <c r="BQ2396" s="1">
        <v>0</v>
      </c>
      <c r="BR2396" s="1">
        <v>0</v>
      </c>
      <c r="BS2396" s="1" t="s">
        <v>109</v>
      </c>
      <c r="BT2396" s="1">
        <v>2487</v>
      </c>
      <c r="BU2396" s="1">
        <v>1000</v>
      </c>
      <c r="BV2396" s="1"/>
      <c r="BW2396" s="1"/>
      <c r="BX2396" s="1"/>
      <c r="BY2396" s="1"/>
      <c r="BZ2396" s="1">
        <v>0</v>
      </c>
      <c r="CA2396" s="1" t="s">
        <v>109</v>
      </c>
      <c r="CB2396" s="1" t="s">
        <v>109</v>
      </c>
      <c r="CC2396" s="1">
        <v>8</v>
      </c>
      <c r="CD2396" s="1" t="s">
        <v>109</v>
      </c>
      <c r="CE2396" s="1" t="s">
        <v>109</v>
      </c>
      <c r="CF2396" s="1" t="s">
        <v>109</v>
      </c>
      <c r="CG2396" s="1" t="s">
        <v>109</v>
      </c>
      <c r="CH2396" s="1" t="s">
        <v>109</v>
      </c>
      <c r="CI2396" s="1" t="s">
        <v>109</v>
      </c>
      <c r="CJ2396" s="1" t="s">
        <v>109</v>
      </c>
      <c r="CK2396" s="1"/>
      <c r="CL2396" s="1">
        <v>0</v>
      </c>
      <c r="CM2396" s="1">
        <v>0</v>
      </c>
      <c r="CN2396" s="1">
        <v>0</v>
      </c>
    </row>
    <row r="2397" spans="1:92" ht="14.25" customHeight="1" x14ac:dyDescent="0.15">
      <c r="A2397" s="1" t="s">
        <v>17117</v>
      </c>
      <c r="B2397" s="1" t="s">
        <v>254</v>
      </c>
      <c r="C2397" s="1"/>
      <c r="D2397" s="1" t="s">
        <v>158</v>
      </c>
      <c r="E2397" s="1" t="s">
        <v>17118</v>
      </c>
      <c r="F2397" s="1" t="s">
        <v>98</v>
      </c>
      <c r="G2397" s="1" t="s">
        <v>17119</v>
      </c>
      <c r="H2397" s="1">
        <v>0</v>
      </c>
      <c r="I2397" s="1" t="s">
        <v>161</v>
      </c>
      <c r="J2397" s="1"/>
      <c r="K2397" s="1"/>
      <c r="L2397" s="1" t="s">
        <v>506</v>
      </c>
      <c r="M2397" s="1" t="s">
        <v>5642</v>
      </c>
      <c r="N2397" s="1">
        <v>0</v>
      </c>
      <c r="O2397" s="1">
        <v>0</v>
      </c>
      <c r="P2397" s="1" t="s">
        <v>507</v>
      </c>
      <c r="Q2397" s="1" t="s">
        <v>167</v>
      </c>
      <c r="R2397" s="1" t="s">
        <v>17120</v>
      </c>
      <c r="S2397" s="1" t="s">
        <v>17121</v>
      </c>
      <c r="T2397" s="1" t="s">
        <v>16709</v>
      </c>
      <c r="U2397" s="1" t="s">
        <v>17122</v>
      </c>
      <c r="V2397" s="1">
        <v>1</v>
      </c>
      <c r="W2397" s="1">
        <v>1</v>
      </c>
      <c r="X2397" s="1">
        <v>1</v>
      </c>
      <c r="Y2397" s="1">
        <v>0</v>
      </c>
      <c r="Z2397" s="1">
        <v>0</v>
      </c>
      <c r="AA2397" s="1">
        <v>2</v>
      </c>
      <c r="AB2397" s="1">
        <v>2</v>
      </c>
      <c r="AC2397" s="1">
        <v>2</v>
      </c>
      <c r="AD2397" s="1" t="s">
        <v>109</v>
      </c>
      <c r="AE2397" s="1" t="s">
        <v>109</v>
      </c>
      <c r="AF2397" s="1">
        <v>1</v>
      </c>
      <c r="AG2397" s="1">
        <v>1</v>
      </c>
      <c r="AH2397" s="1" t="s">
        <v>109</v>
      </c>
      <c r="AI2397" s="1" t="s">
        <v>109</v>
      </c>
      <c r="AJ2397" s="1" t="s">
        <v>109</v>
      </c>
      <c r="AK2397" s="1">
        <v>2</v>
      </c>
      <c r="AL2397" s="1">
        <v>2</v>
      </c>
      <c r="AM2397" s="1" t="s">
        <v>109</v>
      </c>
      <c r="AN2397" s="1" t="s">
        <v>109</v>
      </c>
      <c r="AO2397" s="1" t="s">
        <v>109</v>
      </c>
      <c r="AP2397" s="1"/>
      <c r="AQ2397" s="1">
        <v>2</v>
      </c>
      <c r="AR2397" s="1"/>
      <c r="AS2397" s="1" t="s">
        <v>17123</v>
      </c>
      <c r="AT2397" s="1">
        <v>0</v>
      </c>
      <c r="AU2397" s="1">
        <v>0</v>
      </c>
      <c r="AV2397" s="1">
        <v>0</v>
      </c>
      <c r="AW2397" s="1">
        <v>0</v>
      </c>
      <c r="AX2397" s="1">
        <v>0</v>
      </c>
      <c r="AY2397" s="1">
        <v>0</v>
      </c>
      <c r="AZ2397" s="1">
        <v>0</v>
      </c>
      <c r="BA2397" s="1">
        <v>0</v>
      </c>
      <c r="BB2397" s="1">
        <v>0</v>
      </c>
      <c r="BC2397" s="1">
        <v>0</v>
      </c>
      <c r="BD2397" s="1">
        <v>0</v>
      </c>
      <c r="BE2397" s="1">
        <v>0</v>
      </c>
      <c r="BF2397" s="1">
        <v>0</v>
      </c>
      <c r="BG2397" s="1">
        <v>0</v>
      </c>
      <c r="BH2397" s="1">
        <v>0</v>
      </c>
      <c r="BI2397" s="1">
        <v>0</v>
      </c>
      <c r="BJ2397" s="1">
        <v>0</v>
      </c>
      <c r="BK2397" s="1">
        <v>0</v>
      </c>
      <c r="BL2397" s="1">
        <v>0</v>
      </c>
      <c r="BM2397" s="1">
        <v>1</v>
      </c>
      <c r="BN2397" s="1">
        <v>0</v>
      </c>
      <c r="BO2397" s="1">
        <v>0</v>
      </c>
      <c r="BP2397" s="1">
        <v>0</v>
      </c>
      <c r="BQ2397" s="1">
        <v>0</v>
      </c>
      <c r="BR2397" s="1">
        <v>0</v>
      </c>
      <c r="BS2397" s="1" t="s">
        <v>109</v>
      </c>
      <c r="BT2397" s="1">
        <v>2488</v>
      </c>
      <c r="BU2397" s="1" t="s">
        <v>109</v>
      </c>
      <c r="BV2397" s="1"/>
      <c r="BW2397" s="1"/>
      <c r="BX2397" s="1"/>
      <c r="BY2397" s="1"/>
      <c r="BZ2397" s="1">
        <v>0</v>
      </c>
      <c r="CA2397" s="1" t="s">
        <v>109</v>
      </c>
      <c r="CB2397" s="1" t="s">
        <v>109</v>
      </c>
      <c r="CC2397" s="1">
        <v>2</v>
      </c>
      <c r="CD2397" s="1">
        <v>1</v>
      </c>
      <c r="CE2397" s="1">
        <v>2</v>
      </c>
      <c r="CF2397" s="1">
        <v>2</v>
      </c>
      <c r="CG2397" s="1" t="s">
        <v>109</v>
      </c>
      <c r="CH2397" s="1" t="s">
        <v>109</v>
      </c>
      <c r="CI2397" s="1" t="s">
        <v>109</v>
      </c>
      <c r="CJ2397" s="1" t="s">
        <v>109</v>
      </c>
      <c r="CK2397" s="1"/>
      <c r="CL2397" s="1">
        <v>0</v>
      </c>
      <c r="CM2397" s="1">
        <v>0</v>
      </c>
      <c r="CN2397" s="1">
        <v>0</v>
      </c>
    </row>
    <row r="2398" spans="1:92" ht="14.25" customHeight="1" x14ac:dyDescent="0.15">
      <c r="A2398" s="1" t="s">
        <v>17124</v>
      </c>
      <c r="B2398" s="1" t="s">
        <v>308</v>
      </c>
      <c r="C2398" s="1"/>
      <c r="D2398" s="1" t="s">
        <v>67</v>
      </c>
      <c r="E2398" s="1" t="s">
        <v>17125</v>
      </c>
      <c r="F2398" s="1" t="s">
        <v>98</v>
      </c>
      <c r="G2398" s="1" t="s">
        <v>17126</v>
      </c>
      <c r="H2398" s="1">
        <v>1</v>
      </c>
      <c r="I2398" s="1" t="s">
        <v>161</v>
      </c>
      <c r="J2398" s="1"/>
      <c r="K2398" s="1"/>
      <c r="L2398" s="1" t="s">
        <v>16836</v>
      </c>
      <c r="M2398" s="1" t="s">
        <v>2044</v>
      </c>
      <c r="N2398" s="1">
        <v>1</v>
      </c>
      <c r="O2398" s="1">
        <v>0</v>
      </c>
      <c r="P2398" s="1" t="s">
        <v>267</v>
      </c>
      <c r="Q2398" s="1" t="s">
        <v>268</v>
      </c>
      <c r="R2398" s="1" t="s">
        <v>17127</v>
      </c>
      <c r="S2398" s="1" t="s">
        <v>17128</v>
      </c>
      <c r="T2398" s="1" t="s">
        <v>16709</v>
      </c>
      <c r="U2398" s="1" t="s">
        <v>17129</v>
      </c>
      <c r="V2398" s="1">
        <v>1</v>
      </c>
      <c r="W2398" s="1">
        <v>1</v>
      </c>
      <c r="X2398" s="1">
        <v>1</v>
      </c>
      <c r="Y2398" s="1">
        <v>0</v>
      </c>
      <c r="Z2398" s="1">
        <v>0</v>
      </c>
      <c r="AA2398" s="1">
        <v>2</v>
      </c>
      <c r="AB2398" s="1">
        <v>2</v>
      </c>
      <c r="AC2398" s="1" t="s">
        <v>109</v>
      </c>
      <c r="AD2398" s="1" t="s">
        <v>109</v>
      </c>
      <c r="AE2398" s="1" t="s">
        <v>109</v>
      </c>
      <c r="AF2398" s="1" t="s">
        <v>109</v>
      </c>
      <c r="AG2398" s="1" t="s">
        <v>109</v>
      </c>
      <c r="AH2398" s="1">
        <v>2</v>
      </c>
      <c r="AI2398" s="1" t="s">
        <v>109</v>
      </c>
      <c r="AJ2398" s="1" t="s">
        <v>109</v>
      </c>
      <c r="AK2398" s="1" t="s">
        <v>109</v>
      </c>
      <c r="AL2398" s="1" t="s">
        <v>109</v>
      </c>
      <c r="AM2398" s="1" t="s">
        <v>109</v>
      </c>
      <c r="AN2398" s="1" t="s">
        <v>109</v>
      </c>
      <c r="AO2398" s="1" t="s">
        <v>109</v>
      </c>
      <c r="AP2398" s="1"/>
      <c r="AQ2398" s="1">
        <v>2</v>
      </c>
      <c r="AR2398" s="1"/>
      <c r="AS2398" s="1" t="s">
        <v>17130</v>
      </c>
      <c r="AT2398" s="1">
        <v>0</v>
      </c>
      <c r="AU2398" s="1">
        <v>0</v>
      </c>
      <c r="AV2398" s="1">
        <v>0</v>
      </c>
      <c r="AW2398" s="1">
        <v>0</v>
      </c>
      <c r="AX2398" s="1">
        <v>0</v>
      </c>
      <c r="AY2398" s="1">
        <v>0</v>
      </c>
      <c r="AZ2398" s="1">
        <v>0</v>
      </c>
      <c r="BA2398" s="1">
        <v>0</v>
      </c>
      <c r="BB2398" s="1">
        <v>0</v>
      </c>
      <c r="BC2398" s="1">
        <v>0</v>
      </c>
      <c r="BD2398" s="1">
        <v>0</v>
      </c>
      <c r="BE2398" s="1">
        <v>0</v>
      </c>
      <c r="BF2398" s="1">
        <v>0</v>
      </c>
      <c r="BG2398" s="1">
        <v>0</v>
      </c>
      <c r="BH2398" s="1">
        <v>0</v>
      </c>
      <c r="BI2398" s="1">
        <v>0</v>
      </c>
      <c r="BJ2398" s="1">
        <v>0</v>
      </c>
      <c r="BK2398" s="1">
        <v>0</v>
      </c>
      <c r="BL2398" s="1">
        <v>0</v>
      </c>
      <c r="BM2398" s="1">
        <v>0</v>
      </c>
      <c r="BN2398" s="1">
        <v>0</v>
      </c>
      <c r="BO2398" s="1">
        <v>1</v>
      </c>
      <c r="BP2398" s="1">
        <v>0</v>
      </c>
      <c r="BQ2398" s="1">
        <v>0</v>
      </c>
      <c r="BR2398" s="1">
        <v>0</v>
      </c>
      <c r="BS2398" s="1" t="s">
        <v>109</v>
      </c>
      <c r="BT2398" s="1">
        <v>2489</v>
      </c>
      <c r="BU2398" s="1">
        <v>25</v>
      </c>
      <c r="BV2398" s="1"/>
      <c r="BW2398" s="1"/>
      <c r="BX2398" s="1"/>
      <c r="BY2398" s="1"/>
      <c r="BZ2398" s="1">
        <v>0</v>
      </c>
      <c r="CA2398" s="1" t="s">
        <v>109</v>
      </c>
      <c r="CB2398" s="1">
        <v>2</v>
      </c>
      <c r="CC2398" s="1" t="s">
        <v>109</v>
      </c>
      <c r="CD2398" s="1" t="s">
        <v>109</v>
      </c>
      <c r="CE2398" s="1" t="s">
        <v>109</v>
      </c>
      <c r="CF2398" s="1" t="s">
        <v>109</v>
      </c>
      <c r="CG2398" s="1" t="s">
        <v>109</v>
      </c>
      <c r="CH2398" s="1" t="s">
        <v>109</v>
      </c>
      <c r="CI2398" s="1" t="s">
        <v>109</v>
      </c>
      <c r="CJ2398" s="1" t="s">
        <v>109</v>
      </c>
      <c r="CK2398" s="1"/>
      <c r="CL2398" s="1">
        <v>0</v>
      </c>
      <c r="CM2398" s="1">
        <v>0</v>
      </c>
      <c r="CN2398" s="1">
        <v>0</v>
      </c>
    </row>
    <row r="2399" spans="1:92" ht="14.25" customHeight="1" x14ac:dyDescent="0.15">
      <c r="A2399" s="1" t="s">
        <v>17131</v>
      </c>
      <c r="B2399" s="1" t="s">
        <v>156</v>
      </c>
      <c r="C2399" s="1" t="s">
        <v>157</v>
      </c>
      <c r="D2399" s="1" t="s">
        <v>14766</v>
      </c>
      <c r="E2399" s="1" t="s">
        <v>17132</v>
      </c>
      <c r="F2399" s="1" t="s">
        <v>98</v>
      </c>
      <c r="G2399" s="1" t="s">
        <v>17133</v>
      </c>
      <c r="H2399" s="1">
        <v>0</v>
      </c>
      <c r="I2399" s="1" t="s">
        <v>142</v>
      </c>
      <c r="J2399" s="1"/>
      <c r="K2399" s="1"/>
      <c r="L2399" s="1" t="s">
        <v>563</v>
      </c>
      <c r="M2399" s="1" t="s">
        <v>408</v>
      </c>
      <c r="N2399" s="1">
        <v>0</v>
      </c>
      <c r="O2399" s="1">
        <v>0</v>
      </c>
      <c r="P2399" s="1" t="s">
        <v>301</v>
      </c>
      <c r="Q2399" s="1" t="s">
        <v>268</v>
      </c>
      <c r="R2399" s="1" t="s">
        <v>17134</v>
      </c>
      <c r="S2399" s="1" t="s">
        <v>17135</v>
      </c>
      <c r="T2399" s="1" t="s">
        <v>16709</v>
      </c>
      <c r="U2399" s="1" t="s">
        <v>17136</v>
      </c>
      <c r="V2399" s="1">
        <v>1</v>
      </c>
      <c r="W2399" s="1">
        <v>1</v>
      </c>
      <c r="X2399" s="1">
        <v>1</v>
      </c>
      <c r="Y2399" s="1">
        <v>0</v>
      </c>
      <c r="Z2399" s="1">
        <v>0</v>
      </c>
      <c r="AA2399" s="1">
        <v>8</v>
      </c>
      <c r="AB2399" s="1">
        <v>8</v>
      </c>
      <c r="AC2399" s="1" t="s">
        <v>109</v>
      </c>
      <c r="AD2399" s="1" t="s">
        <v>109</v>
      </c>
      <c r="AE2399" s="1" t="s">
        <v>109</v>
      </c>
      <c r="AF2399" s="1">
        <v>6</v>
      </c>
      <c r="AG2399" s="1" t="s">
        <v>109</v>
      </c>
      <c r="AH2399" s="1" t="s">
        <v>109</v>
      </c>
      <c r="AI2399" s="1" t="s">
        <v>109</v>
      </c>
      <c r="AJ2399" s="1" t="s">
        <v>109</v>
      </c>
      <c r="AK2399" s="1" t="s">
        <v>109</v>
      </c>
      <c r="AL2399" s="1" t="s">
        <v>109</v>
      </c>
      <c r="AM2399" s="1">
        <v>4</v>
      </c>
      <c r="AN2399" s="1" t="s">
        <v>109</v>
      </c>
      <c r="AO2399" s="1" t="s">
        <v>109</v>
      </c>
      <c r="AP2399" s="1"/>
      <c r="AQ2399" s="1">
        <v>8</v>
      </c>
      <c r="AR2399" s="1"/>
      <c r="AS2399" s="1" t="s">
        <v>17137</v>
      </c>
      <c r="AT2399" s="1">
        <v>0</v>
      </c>
      <c r="AU2399" s="1">
        <v>0</v>
      </c>
      <c r="AV2399" s="1">
        <v>0</v>
      </c>
      <c r="AW2399" s="1">
        <v>0</v>
      </c>
      <c r="AX2399" s="1">
        <v>1</v>
      </c>
      <c r="AY2399" s="1">
        <v>0</v>
      </c>
      <c r="AZ2399" s="1">
        <v>0</v>
      </c>
      <c r="BA2399" s="1">
        <v>0</v>
      </c>
      <c r="BB2399" s="1">
        <v>0</v>
      </c>
      <c r="BC2399" s="1">
        <v>0</v>
      </c>
      <c r="BD2399" s="1">
        <v>0</v>
      </c>
      <c r="BE2399" s="1">
        <v>0</v>
      </c>
      <c r="BF2399" s="1">
        <v>0</v>
      </c>
      <c r="BG2399" s="1">
        <v>0</v>
      </c>
      <c r="BH2399" s="1">
        <v>0</v>
      </c>
      <c r="BI2399" s="1">
        <v>0</v>
      </c>
      <c r="BJ2399" s="1">
        <v>0</v>
      </c>
      <c r="BK2399" s="1">
        <v>0</v>
      </c>
      <c r="BL2399" s="1">
        <v>0</v>
      </c>
      <c r="BM2399" s="1">
        <v>1</v>
      </c>
      <c r="BN2399" s="1">
        <v>0</v>
      </c>
      <c r="BO2399" s="1">
        <v>0</v>
      </c>
      <c r="BP2399" s="1">
        <v>0</v>
      </c>
      <c r="BQ2399" s="1">
        <v>0</v>
      </c>
      <c r="BR2399" s="1">
        <v>0</v>
      </c>
      <c r="BS2399" s="1" t="s">
        <v>109</v>
      </c>
      <c r="BT2399" s="1">
        <v>2490</v>
      </c>
      <c r="BU2399" s="1" t="s">
        <v>109</v>
      </c>
      <c r="BV2399" s="1"/>
      <c r="BW2399" s="1"/>
      <c r="BX2399" s="1"/>
      <c r="BY2399" s="1"/>
      <c r="BZ2399" s="1">
        <v>0</v>
      </c>
      <c r="CA2399" s="1" t="s">
        <v>109</v>
      </c>
      <c r="CB2399" s="1" t="s">
        <v>109</v>
      </c>
      <c r="CC2399" s="1">
        <v>8</v>
      </c>
      <c r="CD2399" s="1" t="s">
        <v>109</v>
      </c>
      <c r="CE2399" s="1">
        <v>6</v>
      </c>
      <c r="CF2399" s="1" t="s">
        <v>109</v>
      </c>
      <c r="CG2399" s="1" t="s">
        <v>109</v>
      </c>
      <c r="CH2399" s="1" t="s">
        <v>109</v>
      </c>
      <c r="CI2399" s="1" t="s">
        <v>109</v>
      </c>
      <c r="CJ2399" s="1" t="s">
        <v>109</v>
      </c>
      <c r="CK2399" s="1"/>
      <c r="CL2399" s="1">
        <v>0</v>
      </c>
      <c r="CM2399" s="1">
        <v>0</v>
      </c>
      <c r="CN2399" s="1">
        <v>0</v>
      </c>
    </row>
    <row r="2400" spans="1:92" ht="14.25" customHeight="1" x14ac:dyDescent="0.15">
      <c r="A2400" s="1" t="s">
        <v>17138</v>
      </c>
      <c r="B2400" s="1" t="s">
        <v>584</v>
      </c>
      <c r="C2400" s="1"/>
      <c r="D2400" s="1"/>
      <c r="E2400" s="1" t="s">
        <v>17139</v>
      </c>
      <c r="F2400" s="1" t="s">
        <v>98</v>
      </c>
      <c r="G2400" s="1" t="s">
        <v>17140</v>
      </c>
      <c r="H2400" s="1">
        <v>0</v>
      </c>
      <c r="I2400" s="1" t="s">
        <v>17141</v>
      </c>
      <c r="J2400" s="1"/>
      <c r="K2400" s="1"/>
      <c r="L2400" s="1" t="s">
        <v>211</v>
      </c>
      <c r="M2400" s="1" t="s">
        <v>144</v>
      </c>
      <c r="N2400" s="1">
        <v>0</v>
      </c>
      <c r="O2400" s="1">
        <v>0</v>
      </c>
      <c r="P2400" s="1" t="s">
        <v>103</v>
      </c>
      <c r="Q2400" s="1" t="s">
        <v>104</v>
      </c>
      <c r="R2400" s="1" t="s">
        <v>17142</v>
      </c>
      <c r="S2400" s="1" t="s">
        <v>17143</v>
      </c>
      <c r="T2400" s="1" t="s">
        <v>16709</v>
      </c>
      <c r="U2400" s="1" t="s">
        <v>17144</v>
      </c>
      <c r="V2400" s="1">
        <v>1</v>
      </c>
      <c r="W2400" s="1">
        <v>1</v>
      </c>
      <c r="X2400" s="1">
        <v>0</v>
      </c>
      <c r="Y2400" s="1">
        <v>0</v>
      </c>
      <c r="Z2400" s="1">
        <v>0</v>
      </c>
      <c r="AA2400" s="1">
        <v>6</v>
      </c>
      <c r="AB2400" s="1">
        <v>6</v>
      </c>
      <c r="AC2400" s="1">
        <v>6</v>
      </c>
      <c r="AD2400" s="1" t="s">
        <v>109</v>
      </c>
      <c r="AE2400" s="1" t="s">
        <v>109</v>
      </c>
      <c r="AF2400" s="1">
        <v>5</v>
      </c>
      <c r="AG2400" s="1" t="s">
        <v>109</v>
      </c>
      <c r="AH2400" s="1" t="s">
        <v>109</v>
      </c>
      <c r="AI2400" s="1">
        <v>5</v>
      </c>
      <c r="AJ2400" s="1">
        <v>6</v>
      </c>
      <c r="AK2400" s="1">
        <v>5</v>
      </c>
      <c r="AL2400" s="1">
        <v>6</v>
      </c>
      <c r="AM2400" s="1" t="s">
        <v>109</v>
      </c>
      <c r="AN2400" s="1" t="s">
        <v>109</v>
      </c>
      <c r="AO2400" s="1" t="s">
        <v>109</v>
      </c>
      <c r="AP2400" s="1"/>
      <c r="AQ2400" s="1">
        <v>6</v>
      </c>
      <c r="AR2400" s="1"/>
      <c r="AS2400" s="1" t="s">
        <v>17145</v>
      </c>
      <c r="AT2400" s="1">
        <v>0</v>
      </c>
      <c r="AU2400" s="1">
        <v>0</v>
      </c>
      <c r="AV2400" s="1">
        <v>0</v>
      </c>
      <c r="AW2400" s="1">
        <v>0</v>
      </c>
      <c r="AX2400" s="1">
        <v>0</v>
      </c>
      <c r="AY2400" s="1">
        <v>0</v>
      </c>
      <c r="AZ2400" s="1">
        <v>0</v>
      </c>
      <c r="BA2400" s="1">
        <v>0</v>
      </c>
      <c r="BB2400" s="1">
        <v>0</v>
      </c>
      <c r="BC2400" s="1">
        <v>0</v>
      </c>
      <c r="BD2400" s="1">
        <v>0</v>
      </c>
      <c r="BE2400" s="1">
        <v>0</v>
      </c>
      <c r="BF2400" s="1">
        <v>0</v>
      </c>
      <c r="BG2400" s="1">
        <v>0</v>
      </c>
      <c r="BH2400" s="1">
        <v>0</v>
      </c>
      <c r="BI2400" s="1">
        <v>0</v>
      </c>
      <c r="BJ2400" s="1">
        <v>0</v>
      </c>
      <c r="BK2400" s="1">
        <v>0</v>
      </c>
      <c r="BL2400" s="1">
        <v>0</v>
      </c>
      <c r="BM2400" s="1">
        <v>0</v>
      </c>
      <c r="BN2400" s="1">
        <v>0</v>
      </c>
      <c r="BO2400" s="1">
        <v>0</v>
      </c>
      <c r="BP2400" s="1">
        <v>0</v>
      </c>
      <c r="BQ2400" s="1">
        <v>0</v>
      </c>
      <c r="BR2400" s="1">
        <v>0</v>
      </c>
      <c r="BS2400" s="1" t="s">
        <v>109</v>
      </c>
      <c r="BT2400" s="1">
        <v>2491</v>
      </c>
      <c r="BU2400" s="1" t="s">
        <v>109</v>
      </c>
      <c r="BV2400" s="1"/>
      <c r="BW2400" s="1"/>
      <c r="BX2400" s="1"/>
      <c r="BY2400" s="1"/>
      <c r="BZ2400" s="1">
        <v>0</v>
      </c>
      <c r="CA2400" s="1" t="s">
        <v>109</v>
      </c>
      <c r="CB2400" s="1" t="s">
        <v>109</v>
      </c>
      <c r="CC2400" s="1">
        <v>6</v>
      </c>
      <c r="CD2400" s="1" t="s">
        <v>109</v>
      </c>
      <c r="CE2400" s="1">
        <v>5</v>
      </c>
      <c r="CF2400" s="1" t="s">
        <v>109</v>
      </c>
      <c r="CG2400" s="1" t="s">
        <v>109</v>
      </c>
      <c r="CH2400" s="1" t="s">
        <v>109</v>
      </c>
      <c r="CI2400" s="1" t="s">
        <v>109</v>
      </c>
      <c r="CJ2400" s="1" t="s">
        <v>109</v>
      </c>
      <c r="CK2400" s="1"/>
      <c r="CL2400" s="1">
        <v>0</v>
      </c>
      <c r="CM2400" s="1">
        <v>0</v>
      </c>
      <c r="CN2400" s="1">
        <v>0</v>
      </c>
    </row>
    <row r="2401" spans="1:92" ht="14.25" customHeight="1" x14ac:dyDescent="0.15">
      <c r="A2401" s="1" t="s">
        <v>17146</v>
      </c>
      <c r="B2401" s="1" t="s">
        <v>674</v>
      </c>
      <c r="C2401" s="1" t="s">
        <v>675</v>
      </c>
      <c r="D2401" s="1"/>
      <c r="E2401" s="1" t="s">
        <v>17147</v>
      </c>
      <c r="F2401" s="1" t="s">
        <v>98</v>
      </c>
      <c r="G2401" s="1" t="s">
        <v>17148</v>
      </c>
      <c r="H2401" s="1">
        <v>0</v>
      </c>
      <c r="I2401" s="1" t="s">
        <v>142</v>
      </c>
      <c r="J2401" s="1"/>
      <c r="K2401" s="1"/>
      <c r="L2401" s="1" t="s">
        <v>17149</v>
      </c>
      <c r="M2401" s="1" t="s">
        <v>5811</v>
      </c>
      <c r="N2401" s="1">
        <v>1</v>
      </c>
      <c r="O2401" s="1">
        <v>0</v>
      </c>
      <c r="P2401" s="1" t="s">
        <v>8111</v>
      </c>
      <c r="Q2401" s="1" t="s">
        <v>104</v>
      </c>
      <c r="R2401" s="1" t="s">
        <v>17150</v>
      </c>
      <c r="S2401" s="1" t="s">
        <v>17151</v>
      </c>
      <c r="T2401" s="1" t="s">
        <v>16709</v>
      </c>
      <c r="U2401" s="1" t="s">
        <v>17152</v>
      </c>
      <c r="V2401" s="1">
        <v>1</v>
      </c>
      <c r="W2401" s="1">
        <v>1</v>
      </c>
      <c r="X2401" s="1">
        <v>0</v>
      </c>
      <c r="Y2401" s="1">
        <v>0</v>
      </c>
      <c r="Z2401" s="1">
        <v>0</v>
      </c>
      <c r="AA2401" s="1">
        <v>4</v>
      </c>
      <c r="AB2401" s="1">
        <v>4</v>
      </c>
      <c r="AC2401" s="1" t="s">
        <v>109</v>
      </c>
      <c r="AD2401" s="1" t="s">
        <v>109</v>
      </c>
      <c r="AE2401" s="1" t="s">
        <v>109</v>
      </c>
      <c r="AF2401" s="1">
        <v>3</v>
      </c>
      <c r="AG2401" s="1" t="s">
        <v>109</v>
      </c>
      <c r="AH2401" s="1" t="s">
        <v>109</v>
      </c>
      <c r="AI2401" s="1" t="s">
        <v>109</v>
      </c>
      <c r="AJ2401" s="1" t="s">
        <v>109</v>
      </c>
      <c r="AK2401" s="1" t="s">
        <v>109</v>
      </c>
      <c r="AL2401" s="1" t="s">
        <v>109</v>
      </c>
      <c r="AM2401" s="1" t="s">
        <v>109</v>
      </c>
      <c r="AN2401" s="1" t="s">
        <v>109</v>
      </c>
      <c r="AO2401" s="1" t="s">
        <v>109</v>
      </c>
      <c r="AP2401" s="1"/>
      <c r="AQ2401" s="1">
        <v>4</v>
      </c>
      <c r="AR2401" s="1"/>
      <c r="AS2401" s="1" t="s">
        <v>17153</v>
      </c>
      <c r="AT2401" s="1">
        <v>0</v>
      </c>
      <c r="AU2401" s="1">
        <v>0</v>
      </c>
      <c r="AV2401" s="1">
        <v>0</v>
      </c>
      <c r="AW2401" s="1">
        <v>0</v>
      </c>
      <c r="AX2401" s="1">
        <v>0</v>
      </c>
      <c r="AY2401" s="1">
        <v>0</v>
      </c>
      <c r="AZ2401" s="1">
        <v>0</v>
      </c>
      <c r="BA2401" s="1">
        <v>0</v>
      </c>
      <c r="BB2401" s="1">
        <v>0</v>
      </c>
      <c r="BC2401" s="1">
        <v>0</v>
      </c>
      <c r="BD2401" s="1">
        <v>0</v>
      </c>
      <c r="BE2401" s="1">
        <v>0</v>
      </c>
      <c r="BF2401" s="1">
        <v>0</v>
      </c>
      <c r="BG2401" s="1">
        <v>0</v>
      </c>
      <c r="BH2401" s="1">
        <v>0</v>
      </c>
      <c r="BI2401" s="1">
        <v>0</v>
      </c>
      <c r="BJ2401" s="1">
        <v>0</v>
      </c>
      <c r="BK2401" s="1">
        <v>0</v>
      </c>
      <c r="BL2401" s="1">
        <v>0</v>
      </c>
      <c r="BM2401" s="1">
        <v>0</v>
      </c>
      <c r="BN2401" s="1">
        <v>0</v>
      </c>
      <c r="BO2401" s="1">
        <v>0</v>
      </c>
      <c r="BP2401" s="1">
        <v>0</v>
      </c>
      <c r="BQ2401" s="1">
        <v>0</v>
      </c>
      <c r="BR2401" s="1">
        <v>0</v>
      </c>
      <c r="BS2401" s="1" t="s">
        <v>109</v>
      </c>
      <c r="BT2401" s="1">
        <v>2492</v>
      </c>
      <c r="BU2401" s="1" t="s">
        <v>109</v>
      </c>
      <c r="BV2401" s="1"/>
      <c r="BW2401" s="1"/>
      <c r="BX2401" s="1"/>
      <c r="BY2401" s="1"/>
      <c r="BZ2401" s="1">
        <v>0</v>
      </c>
      <c r="CA2401" s="1" t="s">
        <v>109</v>
      </c>
      <c r="CB2401" s="1" t="s">
        <v>109</v>
      </c>
      <c r="CC2401" s="1">
        <v>4</v>
      </c>
      <c r="CD2401" s="1" t="s">
        <v>109</v>
      </c>
      <c r="CE2401" s="1">
        <v>3</v>
      </c>
      <c r="CF2401" s="1">
        <v>3</v>
      </c>
      <c r="CG2401" s="1" t="s">
        <v>109</v>
      </c>
      <c r="CH2401" s="1" t="s">
        <v>109</v>
      </c>
      <c r="CI2401" s="1" t="s">
        <v>109</v>
      </c>
      <c r="CJ2401" s="1" t="s">
        <v>109</v>
      </c>
      <c r="CK2401" s="1"/>
      <c r="CL2401" s="1">
        <v>0</v>
      </c>
      <c r="CM2401" s="1">
        <v>0</v>
      </c>
      <c r="CN2401" s="1">
        <v>0</v>
      </c>
    </row>
    <row r="2402" spans="1:92" ht="14.25" customHeight="1" x14ac:dyDescent="0.15">
      <c r="A2402" s="1" t="s">
        <v>17154</v>
      </c>
      <c r="B2402" s="1" t="s">
        <v>189</v>
      </c>
      <c r="C2402" s="1"/>
      <c r="D2402" s="1"/>
      <c r="E2402" s="1" t="s">
        <v>17155</v>
      </c>
      <c r="F2402" s="1" t="s">
        <v>98</v>
      </c>
      <c r="G2402" s="1" t="s">
        <v>17156</v>
      </c>
      <c r="H2402" s="1">
        <v>0</v>
      </c>
      <c r="I2402" s="1" t="s">
        <v>17157</v>
      </c>
      <c r="J2402" s="1"/>
      <c r="K2402" s="1" t="s">
        <v>17158</v>
      </c>
      <c r="L2402" s="1"/>
      <c r="M2402" s="1" t="s">
        <v>300</v>
      </c>
      <c r="N2402" s="1">
        <v>0</v>
      </c>
      <c r="O2402" s="1">
        <v>0</v>
      </c>
      <c r="P2402" s="1" t="s">
        <v>2475</v>
      </c>
      <c r="Q2402" s="1" t="s">
        <v>268</v>
      </c>
      <c r="R2402" s="1" t="s">
        <v>17159</v>
      </c>
      <c r="S2402" s="1" t="s">
        <v>17160</v>
      </c>
      <c r="T2402" s="1" t="s">
        <v>16709</v>
      </c>
      <c r="U2402" s="1" t="s">
        <v>17161</v>
      </c>
      <c r="V2402" s="1">
        <v>1</v>
      </c>
      <c r="W2402" s="1">
        <v>1</v>
      </c>
      <c r="X2402" s="1">
        <v>1</v>
      </c>
      <c r="Y2402" s="1">
        <v>0</v>
      </c>
      <c r="Z2402" s="1">
        <v>0</v>
      </c>
      <c r="AA2402" s="1">
        <v>4</v>
      </c>
      <c r="AB2402" s="1">
        <v>4</v>
      </c>
      <c r="AC2402" s="1">
        <v>4</v>
      </c>
      <c r="AD2402" s="1" t="s">
        <v>109</v>
      </c>
      <c r="AE2402" s="1" t="s">
        <v>109</v>
      </c>
      <c r="AF2402" s="1">
        <v>4</v>
      </c>
      <c r="AG2402" s="1" t="s">
        <v>109</v>
      </c>
      <c r="AH2402" s="1" t="s">
        <v>109</v>
      </c>
      <c r="AI2402" s="1" t="s">
        <v>109</v>
      </c>
      <c r="AJ2402" s="1" t="s">
        <v>109</v>
      </c>
      <c r="AK2402" s="1" t="s">
        <v>109</v>
      </c>
      <c r="AL2402" s="1">
        <v>4</v>
      </c>
      <c r="AM2402" s="1" t="s">
        <v>109</v>
      </c>
      <c r="AN2402" s="1" t="s">
        <v>109</v>
      </c>
      <c r="AO2402" s="1" t="s">
        <v>109</v>
      </c>
      <c r="AP2402" s="1"/>
      <c r="AQ2402" s="1">
        <v>4</v>
      </c>
      <c r="AR2402" s="1"/>
      <c r="AS2402" s="1" t="s">
        <v>17162</v>
      </c>
      <c r="AT2402" s="1">
        <v>0</v>
      </c>
      <c r="AU2402" s="1">
        <v>0</v>
      </c>
      <c r="AV2402" s="1">
        <v>0</v>
      </c>
      <c r="AW2402" s="1">
        <v>0</v>
      </c>
      <c r="AX2402" s="1">
        <v>0</v>
      </c>
      <c r="AY2402" s="1">
        <v>0</v>
      </c>
      <c r="AZ2402" s="1">
        <v>0</v>
      </c>
      <c r="BA2402" s="1">
        <v>0</v>
      </c>
      <c r="BB2402" s="1">
        <v>0</v>
      </c>
      <c r="BC2402" s="1">
        <v>0</v>
      </c>
      <c r="BD2402" s="1">
        <v>0</v>
      </c>
      <c r="BE2402" s="1">
        <v>0</v>
      </c>
      <c r="BF2402" s="1">
        <v>0</v>
      </c>
      <c r="BG2402" s="1">
        <v>0</v>
      </c>
      <c r="BH2402" s="1">
        <v>0</v>
      </c>
      <c r="BI2402" s="1">
        <v>0</v>
      </c>
      <c r="BJ2402" s="1">
        <v>0</v>
      </c>
      <c r="BK2402" s="1">
        <v>0</v>
      </c>
      <c r="BL2402" s="1">
        <v>0</v>
      </c>
      <c r="BM2402" s="1">
        <v>0</v>
      </c>
      <c r="BN2402" s="1">
        <v>0</v>
      </c>
      <c r="BO2402" s="1">
        <v>0</v>
      </c>
      <c r="BP2402" s="1">
        <v>0</v>
      </c>
      <c r="BQ2402" s="1">
        <v>0</v>
      </c>
      <c r="BR2402" s="1">
        <v>0</v>
      </c>
      <c r="BS2402" s="1" t="s">
        <v>109</v>
      </c>
      <c r="BT2402" s="1">
        <v>2493</v>
      </c>
      <c r="BU2402" s="1" t="s">
        <v>109</v>
      </c>
      <c r="BV2402" s="1"/>
      <c r="BW2402" s="1"/>
      <c r="BX2402" s="1"/>
      <c r="BY2402" s="1"/>
      <c r="BZ2402" s="1">
        <v>0</v>
      </c>
      <c r="CA2402" s="1" t="s">
        <v>109</v>
      </c>
      <c r="CB2402" s="1" t="s">
        <v>109</v>
      </c>
      <c r="CC2402" s="1" t="s">
        <v>109</v>
      </c>
      <c r="CD2402" s="1">
        <v>4</v>
      </c>
      <c r="CE2402" s="1">
        <v>4</v>
      </c>
      <c r="CF2402" s="1">
        <v>4</v>
      </c>
      <c r="CG2402" s="1">
        <v>4</v>
      </c>
      <c r="CH2402" s="1" t="s">
        <v>109</v>
      </c>
      <c r="CI2402" s="1" t="s">
        <v>109</v>
      </c>
      <c r="CJ2402" s="1" t="s">
        <v>109</v>
      </c>
      <c r="CK2402" s="1"/>
      <c r="CL2402" s="1">
        <v>0</v>
      </c>
      <c r="CM2402" s="1">
        <v>0</v>
      </c>
      <c r="CN2402" s="1">
        <v>0</v>
      </c>
    </row>
    <row r="2403" spans="1:92" ht="14.25" customHeight="1" x14ac:dyDescent="0.15">
      <c r="A2403" s="1" t="s">
        <v>17163</v>
      </c>
      <c r="B2403" s="1" t="s">
        <v>156</v>
      </c>
      <c r="C2403" s="1" t="s">
        <v>834</v>
      </c>
      <c r="D2403" s="1" t="s">
        <v>158</v>
      </c>
      <c r="E2403" s="1" t="s">
        <v>17164</v>
      </c>
      <c r="F2403" s="1" t="s">
        <v>98</v>
      </c>
      <c r="G2403" s="1" t="s">
        <v>17165</v>
      </c>
      <c r="H2403" s="1">
        <v>0</v>
      </c>
      <c r="I2403" s="1" t="s">
        <v>122</v>
      </c>
      <c r="J2403" s="1"/>
      <c r="K2403" s="1"/>
      <c r="L2403" s="1" t="s">
        <v>17166</v>
      </c>
      <c r="M2403" s="1" t="s">
        <v>289</v>
      </c>
      <c r="N2403" s="1">
        <v>0</v>
      </c>
      <c r="O2403" s="1">
        <v>0</v>
      </c>
      <c r="P2403" s="1" t="s">
        <v>17167</v>
      </c>
      <c r="Q2403" s="1" t="s">
        <v>268</v>
      </c>
      <c r="R2403" s="1" t="s">
        <v>17168</v>
      </c>
      <c r="S2403" s="1" t="s">
        <v>17169</v>
      </c>
      <c r="T2403" s="1" t="s">
        <v>16709</v>
      </c>
      <c r="U2403" s="1" t="s">
        <v>17170</v>
      </c>
      <c r="V2403" s="1">
        <v>0</v>
      </c>
      <c r="W2403" s="1">
        <v>1</v>
      </c>
      <c r="X2403" s="1">
        <v>1</v>
      </c>
      <c r="Y2403" s="1">
        <v>0</v>
      </c>
      <c r="Z2403" s="1">
        <v>0</v>
      </c>
      <c r="AA2403" s="1">
        <v>3</v>
      </c>
      <c r="AB2403" s="1">
        <v>3</v>
      </c>
      <c r="AC2403" s="1" t="s">
        <v>109</v>
      </c>
      <c r="AD2403" s="1" t="s">
        <v>109</v>
      </c>
      <c r="AE2403" s="1" t="s">
        <v>109</v>
      </c>
      <c r="AF2403" s="1">
        <v>2</v>
      </c>
      <c r="AG2403" s="1" t="s">
        <v>109</v>
      </c>
      <c r="AH2403" s="1" t="s">
        <v>109</v>
      </c>
      <c r="AI2403" s="1" t="s">
        <v>109</v>
      </c>
      <c r="AJ2403" s="1">
        <v>3</v>
      </c>
      <c r="AK2403" s="1" t="s">
        <v>109</v>
      </c>
      <c r="AL2403" s="1" t="s">
        <v>109</v>
      </c>
      <c r="AM2403" s="1" t="s">
        <v>109</v>
      </c>
      <c r="AN2403" s="1" t="s">
        <v>109</v>
      </c>
      <c r="AO2403" s="1" t="s">
        <v>109</v>
      </c>
      <c r="AP2403" s="1"/>
      <c r="AQ2403" s="1">
        <v>3</v>
      </c>
      <c r="AR2403" s="1"/>
      <c r="AS2403" s="1" t="s">
        <v>17171</v>
      </c>
      <c r="AT2403" s="1">
        <v>0</v>
      </c>
      <c r="AU2403" s="1">
        <v>0</v>
      </c>
      <c r="AV2403" s="1">
        <v>0</v>
      </c>
      <c r="AW2403" s="1">
        <v>0</v>
      </c>
      <c r="AX2403" s="1">
        <v>0</v>
      </c>
      <c r="AY2403" s="1">
        <v>0</v>
      </c>
      <c r="AZ2403" s="1">
        <v>0</v>
      </c>
      <c r="BA2403" s="1">
        <v>0</v>
      </c>
      <c r="BB2403" s="1">
        <v>0</v>
      </c>
      <c r="BC2403" s="1">
        <v>0</v>
      </c>
      <c r="BD2403" s="1">
        <v>0</v>
      </c>
      <c r="BE2403" s="1">
        <v>0</v>
      </c>
      <c r="BF2403" s="1">
        <v>0</v>
      </c>
      <c r="BG2403" s="1">
        <v>0</v>
      </c>
      <c r="BH2403" s="1">
        <v>0</v>
      </c>
      <c r="BI2403" s="1">
        <v>0</v>
      </c>
      <c r="BJ2403" s="1">
        <v>0</v>
      </c>
      <c r="BK2403" s="1">
        <v>0</v>
      </c>
      <c r="BL2403" s="1">
        <v>0</v>
      </c>
      <c r="BM2403" s="1">
        <v>1</v>
      </c>
      <c r="BN2403" s="1">
        <v>0</v>
      </c>
      <c r="BO2403" s="1">
        <v>0</v>
      </c>
      <c r="BP2403" s="1">
        <v>0</v>
      </c>
      <c r="BQ2403" s="1">
        <v>0</v>
      </c>
      <c r="BR2403" s="1">
        <v>0</v>
      </c>
      <c r="BS2403" s="1" t="s">
        <v>109</v>
      </c>
      <c r="BT2403" s="1">
        <v>2494</v>
      </c>
      <c r="BU2403" s="1" t="s">
        <v>109</v>
      </c>
      <c r="BV2403" s="1"/>
      <c r="BW2403" s="1"/>
      <c r="BX2403" s="1"/>
      <c r="BY2403" s="1"/>
      <c r="BZ2403" s="1">
        <v>0</v>
      </c>
      <c r="CA2403" s="1" t="s">
        <v>109</v>
      </c>
      <c r="CB2403" s="1" t="s">
        <v>109</v>
      </c>
      <c r="CC2403" s="1" t="s">
        <v>109</v>
      </c>
      <c r="CD2403" s="1" t="s">
        <v>109</v>
      </c>
      <c r="CE2403" s="1">
        <v>2</v>
      </c>
      <c r="CF2403" s="1" t="s">
        <v>109</v>
      </c>
      <c r="CG2403" s="1" t="s">
        <v>109</v>
      </c>
      <c r="CH2403" s="1" t="s">
        <v>109</v>
      </c>
      <c r="CI2403" s="1" t="s">
        <v>109</v>
      </c>
      <c r="CJ2403" s="1" t="s">
        <v>109</v>
      </c>
      <c r="CK2403" s="1"/>
      <c r="CL2403" s="1">
        <v>0</v>
      </c>
      <c r="CM2403" s="1">
        <v>0</v>
      </c>
      <c r="CN2403" s="1">
        <v>0</v>
      </c>
    </row>
    <row r="2404" spans="1:92" ht="14.25" customHeight="1" x14ac:dyDescent="0.15">
      <c r="A2404" s="1" t="s">
        <v>17172</v>
      </c>
      <c r="B2404" s="1" t="s">
        <v>254</v>
      </c>
      <c r="C2404" s="1"/>
      <c r="D2404" s="1"/>
      <c r="E2404" s="1" t="s">
        <v>17173</v>
      </c>
      <c r="F2404" s="1" t="s">
        <v>395</v>
      </c>
      <c r="G2404" s="1" t="s">
        <v>141</v>
      </c>
      <c r="H2404" s="1">
        <v>0</v>
      </c>
      <c r="I2404" s="1" t="s">
        <v>161</v>
      </c>
      <c r="J2404" s="1"/>
      <c r="K2404" s="1"/>
      <c r="L2404" s="1" t="s">
        <v>17174</v>
      </c>
      <c r="M2404" s="1" t="s">
        <v>16121</v>
      </c>
      <c r="N2404" s="1">
        <v>0</v>
      </c>
      <c r="O2404" s="1">
        <v>0</v>
      </c>
      <c r="P2404" s="1" t="s">
        <v>17175</v>
      </c>
      <c r="Q2404" s="1" t="s">
        <v>630</v>
      </c>
      <c r="R2404" s="1" t="s">
        <v>17176</v>
      </c>
      <c r="S2404" s="1" t="s">
        <v>17177</v>
      </c>
      <c r="T2404" s="1" t="s">
        <v>16709</v>
      </c>
      <c r="U2404" s="1" t="s">
        <v>17178</v>
      </c>
      <c r="V2404" s="1">
        <v>1</v>
      </c>
      <c r="W2404" s="1">
        <v>1</v>
      </c>
      <c r="X2404" s="1">
        <v>0</v>
      </c>
      <c r="Y2404" s="1">
        <v>0</v>
      </c>
      <c r="Z2404" s="1">
        <v>0</v>
      </c>
      <c r="AA2404" s="1">
        <v>4</v>
      </c>
      <c r="AB2404" s="1">
        <v>4</v>
      </c>
      <c r="AC2404" s="1" t="s">
        <v>109</v>
      </c>
      <c r="AD2404" s="1" t="s">
        <v>109</v>
      </c>
      <c r="AE2404" s="1">
        <v>3</v>
      </c>
      <c r="AF2404" s="1">
        <v>3</v>
      </c>
      <c r="AG2404" s="1" t="s">
        <v>109</v>
      </c>
      <c r="AH2404" s="1" t="s">
        <v>109</v>
      </c>
      <c r="AI2404" s="1" t="s">
        <v>109</v>
      </c>
      <c r="AJ2404" s="1">
        <v>4</v>
      </c>
      <c r="AK2404" s="1">
        <v>3</v>
      </c>
      <c r="AL2404" s="1" t="s">
        <v>109</v>
      </c>
      <c r="AM2404" s="1" t="s">
        <v>109</v>
      </c>
      <c r="AN2404" s="1" t="s">
        <v>109</v>
      </c>
      <c r="AO2404" s="1" t="s">
        <v>109</v>
      </c>
      <c r="AP2404" s="1"/>
      <c r="AQ2404" s="1">
        <v>4</v>
      </c>
      <c r="AR2404" s="1"/>
      <c r="AS2404" s="1" t="s">
        <v>17179</v>
      </c>
      <c r="AT2404" s="1">
        <v>0</v>
      </c>
      <c r="AU2404" s="1">
        <v>0</v>
      </c>
      <c r="AV2404" s="1">
        <v>0</v>
      </c>
      <c r="AW2404" s="1">
        <v>0</v>
      </c>
      <c r="AX2404" s="1">
        <v>0</v>
      </c>
      <c r="AY2404" s="1">
        <v>0</v>
      </c>
      <c r="AZ2404" s="1">
        <v>0</v>
      </c>
      <c r="BA2404" s="1">
        <v>0</v>
      </c>
      <c r="BB2404" s="1">
        <v>0</v>
      </c>
      <c r="BC2404" s="1">
        <v>0</v>
      </c>
      <c r="BD2404" s="1">
        <v>0</v>
      </c>
      <c r="BE2404" s="1">
        <v>0</v>
      </c>
      <c r="BF2404" s="1">
        <v>0</v>
      </c>
      <c r="BG2404" s="1">
        <v>0</v>
      </c>
      <c r="BH2404" s="1">
        <v>0</v>
      </c>
      <c r="BI2404" s="1">
        <v>0</v>
      </c>
      <c r="BJ2404" s="1">
        <v>0</v>
      </c>
      <c r="BK2404" s="1">
        <v>0</v>
      </c>
      <c r="BL2404" s="1">
        <v>0</v>
      </c>
      <c r="BM2404" s="1">
        <v>0</v>
      </c>
      <c r="BN2404" s="1">
        <v>0</v>
      </c>
      <c r="BO2404" s="1">
        <v>0</v>
      </c>
      <c r="BP2404" s="1">
        <v>0</v>
      </c>
      <c r="BQ2404" s="1">
        <v>0</v>
      </c>
      <c r="BR2404" s="1">
        <v>0</v>
      </c>
      <c r="BS2404" s="1" t="s">
        <v>109</v>
      </c>
      <c r="BT2404" s="1">
        <v>2495</v>
      </c>
      <c r="BU2404" s="1" t="s">
        <v>109</v>
      </c>
      <c r="BV2404" s="1"/>
      <c r="BW2404" s="1"/>
      <c r="BX2404" s="1"/>
      <c r="BY2404" s="1"/>
      <c r="BZ2404" s="1">
        <v>0</v>
      </c>
      <c r="CA2404" s="1" t="s">
        <v>109</v>
      </c>
      <c r="CB2404" s="1" t="s">
        <v>109</v>
      </c>
      <c r="CC2404" s="1" t="s">
        <v>109</v>
      </c>
      <c r="CD2404" s="1" t="s">
        <v>109</v>
      </c>
      <c r="CE2404" s="1" t="s">
        <v>109</v>
      </c>
      <c r="CF2404" s="1">
        <v>3</v>
      </c>
      <c r="CG2404" s="1" t="s">
        <v>109</v>
      </c>
      <c r="CH2404" s="1" t="s">
        <v>109</v>
      </c>
      <c r="CI2404" s="1" t="s">
        <v>109</v>
      </c>
      <c r="CJ2404" s="1">
        <v>3</v>
      </c>
      <c r="CK2404" s="1"/>
      <c r="CL2404" s="1">
        <v>0</v>
      </c>
      <c r="CM2404" s="1">
        <v>0</v>
      </c>
      <c r="CN2404" s="1">
        <v>0</v>
      </c>
    </row>
    <row r="2405" spans="1:92" ht="14.25" customHeight="1" x14ac:dyDescent="0.15">
      <c r="A2405" s="1" t="s">
        <v>17180</v>
      </c>
      <c r="B2405" s="1" t="s">
        <v>242</v>
      </c>
      <c r="C2405" s="1"/>
      <c r="D2405" s="1"/>
      <c r="E2405" s="1" t="s">
        <v>17181</v>
      </c>
      <c r="F2405" s="1" t="s">
        <v>98</v>
      </c>
      <c r="G2405" s="1" t="s">
        <v>17182</v>
      </c>
      <c r="H2405" s="1">
        <v>1</v>
      </c>
      <c r="I2405" s="1" t="s">
        <v>161</v>
      </c>
      <c r="J2405" s="1"/>
      <c r="K2405" s="1"/>
      <c r="L2405" s="1" t="s">
        <v>17183</v>
      </c>
      <c r="M2405" s="1" t="s">
        <v>289</v>
      </c>
      <c r="N2405" s="1">
        <v>0</v>
      </c>
      <c r="O2405" s="1">
        <v>0</v>
      </c>
      <c r="P2405" s="1" t="s">
        <v>103</v>
      </c>
      <c r="Q2405" s="1" t="s">
        <v>104</v>
      </c>
      <c r="R2405" s="1" t="s">
        <v>17184</v>
      </c>
      <c r="S2405" s="1" t="s">
        <v>17185</v>
      </c>
      <c r="T2405" s="1" t="s">
        <v>16709</v>
      </c>
      <c r="U2405" s="1" t="s">
        <v>17186</v>
      </c>
      <c r="V2405" s="1">
        <v>0</v>
      </c>
      <c r="W2405" s="1">
        <v>1</v>
      </c>
      <c r="X2405" s="1">
        <v>1</v>
      </c>
      <c r="Y2405" s="1">
        <v>0</v>
      </c>
      <c r="Z2405" s="1">
        <v>0</v>
      </c>
      <c r="AA2405" s="1">
        <v>1</v>
      </c>
      <c r="AB2405" s="1">
        <v>1</v>
      </c>
      <c r="AC2405" s="1">
        <v>1</v>
      </c>
      <c r="AD2405" s="1">
        <v>1</v>
      </c>
      <c r="AE2405" s="1" t="s">
        <v>109</v>
      </c>
      <c r="AF2405" s="1">
        <v>1</v>
      </c>
      <c r="AG2405" s="1" t="s">
        <v>109</v>
      </c>
      <c r="AH2405" s="1">
        <v>1</v>
      </c>
      <c r="AI2405" s="1" t="s">
        <v>109</v>
      </c>
      <c r="AJ2405" s="1">
        <v>1</v>
      </c>
      <c r="AK2405" s="1" t="s">
        <v>109</v>
      </c>
      <c r="AL2405" s="1">
        <v>1</v>
      </c>
      <c r="AM2405" s="1">
        <v>1</v>
      </c>
      <c r="AN2405" s="1" t="s">
        <v>109</v>
      </c>
      <c r="AO2405" s="1" t="s">
        <v>109</v>
      </c>
      <c r="AP2405" s="1"/>
      <c r="AQ2405" s="1">
        <v>1</v>
      </c>
      <c r="AR2405" s="1"/>
      <c r="AS2405" s="1" t="s">
        <v>17187</v>
      </c>
      <c r="AT2405" s="1">
        <v>0</v>
      </c>
      <c r="AU2405" s="1">
        <v>0</v>
      </c>
      <c r="AV2405" s="1">
        <v>0</v>
      </c>
      <c r="AW2405" s="1">
        <v>0</v>
      </c>
      <c r="AX2405" s="1">
        <v>0</v>
      </c>
      <c r="AY2405" s="1">
        <v>0</v>
      </c>
      <c r="AZ2405" s="1">
        <v>0</v>
      </c>
      <c r="BA2405" s="1">
        <v>0</v>
      </c>
      <c r="BB2405" s="1">
        <v>0</v>
      </c>
      <c r="BC2405" s="1">
        <v>0</v>
      </c>
      <c r="BD2405" s="1">
        <v>0</v>
      </c>
      <c r="BE2405" s="1">
        <v>0</v>
      </c>
      <c r="BF2405" s="1">
        <v>0</v>
      </c>
      <c r="BG2405" s="1">
        <v>0</v>
      </c>
      <c r="BH2405" s="1">
        <v>0</v>
      </c>
      <c r="BI2405" s="1">
        <v>0</v>
      </c>
      <c r="BJ2405" s="1">
        <v>0</v>
      </c>
      <c r="BK2405" s="1">
        <v>0</v>
      </c>
      <c r="BL2405" s="1">
        <v>0</v>
      </c>
      <c r="BM2405" s="1">
        <v>0</v>
      </c>
      <c r="BN2405" s="1">
        <v>0</v>
      </c>
      <c r="BO2405" s="1">
        <v>0</v>
      </c>
      <c r="BP2405" s="1">
        <v>0</v>
      </c>
      <c r="BQ2405" s="1">
        <v>0</v>
      </c>
      <c r="BR2405" s="1">
        <v>0</v>
      </c>
      <c r="BS2405" s="1" t="s">
        <v>109</v>
      </c>
      <c r="BT2405" s="1">
        <v>2496</v>
      </c>
      <c r="BU2405" s="1">
        <v>10</v>
      </c>
      <c r="BV2405" s="1"/>
      <c r="BW2405" s="1"/>
      <c r="BX2405" s="1"/>
      <c r="BY2405" s="1"/>
      <c r="BZ2405" s="1">
        <v>0</v>
      </c>
      <c r="CA2405" s="1" t="s">
        <v>109</v>
      </c>
      <c r="CB2405" s="1">
        <v>1</v>
      </c>
      <c r="CC2405" s="1" t="s">
        <v>109</v>
      </c>
      <c r="CD2405" s="1" t="s">
        <v>109</v>
      </c>
      <c r="CE2405" s="1">
        <v>1</v>
      </c>
      <c r="CF2405" s="1" t="s">
        <v>109</v>
      </c>
      <c r="CG2405" s="1" t="s">
        <v>109</v>
      </c>
      <c r="CH2405" s="1" t="s">
        <v>109</v>
      </c>
      <c r="CI2405" s="1" t="s">
        <v>109</v>
      </c>
      <c r="CJ2405" s="1">
        <v>1</v>
      </c>
      <c r="CK2405" s="1"/>
      <c r="CL2405" s="1">
        <v>0</v>
      </c>
      <c r="CM2405" s="1">
        <v>0</v>
      </c>
      <c r="CN2405" s="1">
        <v>0</v>
      </c>
    </row>
    <row r="2406" spans="1:92" ht="14.25" customHeight="1" x14ac:dyDescent="0.15">
      <c r="A2406" s="1" t="s">
        <v>17188</v>
      </c>
      <c r="B2406" s="1" t="s">
        <v>674</v>
      </c>
      <c r="C2406" s="1" t="s">
        <v>675</v>
      </c>
      <c r="D2406" s="1"/>
      <c r="E2406" s="1" t="s">
        <v>17189</v>
      </c>
      <c r="F2406" s="1" t="s">
        <v>6545</v>
      </c>
      <c r="G2406" s="1" t="s">
        <v>17190</v>
      </c>
      <c r="H2406" s="1">
        <v>0</v>
      </c>
      <c r="I2406" s="1" t="s">
        <v>161</v>
      </c>
      <c r="J2406" s="1"/>
      <c r="K2406" s="1"/>
      <c r="L2406" s="1" t="s">
        <v>17191</v>
      </c>
      <c r="M2406" s="1" t="s">
        <v>574</v>
      </c>
      <c r="N2406" s="1">
        <v>1</v>
      </c>
      <c r="O2406" s="1">
        <v>0</v>
      </c>
      <c r="P2406" s="1" t="s">
        <v>2304</v>
      </c>
      <c r="Q2406" s="1" t="s">
        <v>104</v>
      </c>
      <c r="R2406" s="1" t="s">
        <v>17192</v>
      </c>
      <c r="S2406" s="1" t="s">
        <v>17193</v>
      </c>
      <c r="T2406" s="1" t="s">
        <v>16709</v>
      </c>
      <c r="U2406" s="1" t="s">
        <v>17194</v>
      </c>
      <c r="V2406" s="1">
        <v>1</v>
      </c>
      <c r="W2406" s="1">
        <v>1</v>
      </c>
      <c r="X2406" s="1">
        <v>0</v>
      </c>
      <c r="Y2406" s="1">
        <v>0</v>
      </c>
      <c r="Z2406" s="1">
        <v>0</v>
      </c>
      <c r="AA2406" s="1">
        <v>1</v>
      </c>
      <c r="AB2406" s="1">
        <v>1</v>
      </c>
      <c r="AC2406" s="1" t="s">
        <v>109</v>
      </c>
      <c r="AD2406" s="1" t="s">
        <v>109</v>
      </c>
      <c r="AE2406" s="1" t="s">
        <v>109</v>
      </c>
      <c r="AF2406" s="1">
        <v>1</v>
      </c>
      <c r="AG2406" s="1" t="s">
        <v>109</v>
      </c>
      <c r="AH2406" s="1" t="s">
        <v>109</v>
      </c>
      <c r="AI2406" s="1" t="s">
        <v>109</v>
      </c>
      <c r="AJ2406" s="1">
        <v>1</v>
      </c>
      <c r="AK2406" s="1">
        <v>1</v>
      </c>
      <c r="AL2406" s="1" t="s">
        <v>109</v>
      </c>
      <c r="AM2406" s="1" t="s">
        <v>109</v>
      </c>
      <c r="AN2406" s="1" t="s">
        <v>109</v>
      </c>
      <c r="AO2406" s="1" t="s">
        <v>109</v>
      </c>
      <c r="AP2406" s="1"/>
      <c r="AQ2406" s="1">
        <v>1</v>
      </c>
      <c r="AR2406" s="1"/>
      <c r="AS2406" s="1" t="s">
        <v>17195</v>
      </c>
      <c r="AT2406" s="1">
        <v>0</v>
      </c>
      <c r="AU2406" s="1">
        <v>0</v>
      </c>
      <c r="AV2406" s="1">
        <v>0</v>
      </c>
      <c r="AW2406" s="1">
        <v>0</v>
      </c>
      <c r="AX2406" s="1">
        <v>0</v>
      </c>
      <c r="AY2406" s="1">
        <v>0</v>
      </c>
      <c r="AZ2406" s="1">
        <v>0</v>
      </c>
      <c r="BA2406" s="1">
        <v>0</v>
      </c>
      <c r="BB2406" s="1">
        <v>0</v>
      </c>
      <c r="BC2406" s="1">
        <v>0</v>
      </c>
      <c r="BD2406" s="1">
        <v>0</v>
      </c>
      <c r="BE2406" s="1">
        <v>0</v>
      </c>
      <c r="BF2406" s="1">
        <v>0</v>
      </c>
      <c r="BG2406" s="1">
        <v>0</v>
      </c>
      <c r="BH2406" s="1">
        <v>0</v>
      </c>
      <c r="BI2406" s="1">
        <v>0</v>
      </c>
      <c r="BJ2406" s="1">
        <v>0</v>
      </c>
      <c r="BK2406" s="1">
        <v>0</v>
      </c>
      <c r="BL2406" s="1">
        <v>0</v>
      </c>
      <c r="BM2406" s="1">
        <v>0</v>
      </c>
      <c r="BN2406" s="1">
        <v>0</v>
      </c>
      <c r="BO2406" s="1">
        <v>0</v>
      </c>
      <c r="BP2406" s="1">
        <v>0</v>
      </c>
      <c r="BQ2406" s="1">
        <v>0</v>
      </c>
      <c r="BR2406" s="1">
        <v>0</v>
      </c>
      <c r="BS2406" s="1" t="s">
        <v>109</v>
      </c>
      <c r="BT2406" s="1">
        <v>2497</v>
      </c>
      <c r="BU2406" s="1" t="s">
        <v>109</v>
      </c>
      <c r="BV2406" s="1"/>
      <c r="BW2406" s="1"/>
      <c r="BX2406" s="1"/>
      <c r="BY2406" s="1"/>
      <c r="BZ2406" s="1">
        <v>0</v>
      </c>
      <c r="CA2406" s="1" t="s">
        <v>109</v>
      </c>
      <c r="CB2406" s="1" t="s">
        <v>109</v>
      </c>
      <c r="CC2406" s="1" t="s">
        <v>109</v>
      </c>
      <c r="CD2406" s="1" t="s">
        <v>109</v>
      </c>
      <c r="CE2406" s="1" t="s">
        <v>109</v>
      </c>
      <c r="CF2406" s="1" t="s">
        <v>109</v>
      </c>
      <c r="CG2406" s="1" t="s">
        <v>109</v>
      </c>
      <c r="CH2406" s="1" t="s">
        <v>109</v>
      </c>
      <c r="CI2406" s="1" t="s">
        <v>109</v>
      </c>
      <c r="CJ2406" s="1" t="s">
        <v>109</v>
      </c>
      <c r="CK2406" s="1"/>
      <c r="CL2406" s="1">
        <v>0</v>
      </c>
      <c r="CM2406" s="1">
        <v>0</v>
      </c>
      <c r="CN2406" s="1">
        <v>0</v>
      </c>
    </row>
    <row r="2407" spans="1:92" ht="14.25" customHeight="1" x14ac:dyDescent="0.15">
      <c r="A2407" s="1" t="s">
        <v>17196</v>
      </c>
      <c r="B2407" s="1" t="s">
        <v>254</v>
      </c>
      <c r="C2407" s="1"/>
      <c r="D2407" s="1" t="s">
        <v>16074</v>
      </c>
      <c r="E2407" s="1" t="s">
        <v>17197</v>
      </c>
      <c r="F2407" s="1" t="s">
        <v>98</v>
      </c>
      <c r="G2407" s="1" t="s">
        <v>17198</v>
      </c>
      <c r="H2407" s="1">
        <v>0</v>
      </c>
      <c r="I2407" s="1" t="s">
        <v>142</v>
      </c>
      <c r="J2407" s="1"/>
      <c r="K2407" s="1"/>
      <c r="L2407" s="1" t="s">
        <v>1391</v>
      </c>
      <c r="M2407" s="1" t="s">
        <v>408</v>
      </c>
      <c r="N2407" s="1">
        <v>0</v>
      </c>
      <c r="O2407" s="1">
        <v>0</v>
      </c>
      <c r="P2407" s="1" t="s">
        <v>301</v>
      </c>
      <c r="Q2407" s="1" t="s">
        <v>268</v>
      </c>
      <c r="R2407" s="1" t="s">
        <v>17199</v>
      </c>
      <c r="S2407" s="1" t="s">
        <v>17200</v>
      </c>
      <c r="T2407" s="1" t="s">
        <v>16709</v>
      </c>
      <c r="U2407" s="1" t="s">
        <v>17201</v>
      </c>
      <c r="V2407" s="1">
        <v>1</v>
      </c>
      <c r="W2407" s="1">
        <v>1</v>
      </c>
      <c r="X2407" s="1">
        <v>1</v>
      </c>
      <c r="Y2407" s="1">
        <v>0</v>
      </c>
      <c r="Z2407" s="1">
        <v>0</v>
      </c>
      <c r="AA2407" s="1">
        <v>3</v>
      </c>
      <c r="AB2407" s="1">
        <v>3</v>
      </c>
      <c r="AC2407" s="1" t="s">
        <v>109</v>
      </c>
      <c r="AD2407" s="1" t="s">
        <v>109</v>
      </c>
      <c r="AE2407" s="1" t="s">
        <v>109</v>
      </c>
      <c r="AF2407" s="1">
        <v>2</v>
      </c>
      <c r="AG2407" s="1" t="s">
        <v>109</v>
      </c>
      <c r="AH2407" s="1" t="s">
        <v>109</v>
      </c>
      <c r="AI2407" s="1" t="s">
        <v>109</v>
      </c>
      <c r="AJ2407" s="1">
        <v>3</v>
      </c>
      <c r="AK2407" s="1">
        <v>2</v>
      </c>
      <c r="AL2407" s="1" t="s">
        <v>109</v>
      </c>
      <c r="AM2407" s="1">
        <v>2</v>
      </c>
      <c r="AN2407" s="1" t="s">
        <v>109</v>
      </c>
      <c r="AO2407" s="1" t="s">
        <v>109</v>
      </c>
      <c r="AP2407" s="1"/>
      <c r="AQ2407" s="1">
        <v>3</v>
      </c>
      <c r="AR2407" s="1"/>
      <c r="AS2407" s="1" t="s">
        <v>17202</v>
      </c>
      <c r="AT2407" s="1">
        <v>0</v>
      </c>
      <c r="AU2407" s="1">
        <v>0</v>
      </c>
      <c r="AV2407" s="1">
        <v>0</v>
      </c>
      <c r="AW2407" s="1">
        <v>0</v>
      </c>
      <c r="AX2407" s="1">
        <v>1</v>
      </c>
      <c r="AY2407" s="1">
        <v>0</v>
      </c>
      <c r="AZ2407" s="1">
        <v>0</v>
      </c>
      <c r="BA2407" s="1">
        <v>0</v>
      </c>
      <c r="BB2407" s="1">
        <v>0</v>
      </c>
      <c r="BC2407" s="1">
        <v>0</v>
      </c>
      <c r="BD2407" s="1">
        <v>0</v>
      </c>
      <c r="BE2407" s="1">
        <v>0</v>
      </c>
      <c r="BF2407" s="1">
        <v>0</v>
      </c>
      <c r="BG2407" s="1">
        <v>0</v>
      </c>
      <c r="BH2407" s="1">
        <v>0</v>
      </c>
      <c r="BI2407" s="1">
        <v>0</v>
      </c>
      <c r="BJ2407" s="1">
        <v>0</v>
      </c>
      <c r="BK2407" s="1">
        <v>0</v>
      </c>
      <c r="BL2407" s="1">
        <v>0</v>
      </c>
      <c r="BM2407" s="1">
        <v>0</v>
      </c>
      <c r="BN2407" s="1">
        <v>0</v>
      </c>
      <c r="BO2407" s="1">
        <v>0</v>
      </c>
      <c r="BP2407" s="1">
        <v>0</v>
      </c>
      <c r="BQ2407" s="1">
        <v>0</v>
      </c>
      <c r="BR2407" s="1">
        <v>0</v>
      </c>
      <c r="BS2407" s="1" t="s">
        <v>109</v>
      </c>
      <c r="BT2407" s="1">
        <v>2498</v>
      </c>
      <c r="BU2407" s="1" t="s">
        <v>109</v>
      </c>
      <c r="BV2407" s="1"/>
      <c r="BW2407" s="1"/>
      <c r="BX2407" s="1"/>
      <c r="BY2407" s="1"/>
      <c r="BZ2407" s="1">
        <v>0</v>
      </c>
      <c r="CA2407" s="1" t="s">
        <v>109</v>
      </c>
      <c r="CB2407" s="1" t="s">
        <v>109</v>
      </c>
      <c r="CC2407" s="1">
        <v>2</v>
      </c>
      <c r="CD2407" s="1" t="s">
        <v>109</v>
      </c>
      <c r="CE2407" s="1">
        <v>2</v>
      </c>
      <c r="CF2407" s="1" t="s">
        <v>109</v>
      </c>
      <c r="CG2407" s="1" t="s">
        <v>109</v>
      </c>
      <c r="CH2407" s="1" t="s">
        <v>109</v>
      </c>
      <c r="CI2407" s="1" t="s">
        <v>109</v>
      </c>
      <c r="CJ2407" s="1" t="s">
        <v>109</v>
      </c>
      <c r="CK2407" s="1"/>
      <c r="CL2407" s="1">
        <v>0</v>
      </c>
      <c r="CM2407" s="1">
        <v>0</v>
      </c>
      <c r="CN2407" s="1">
        <v>0</v>
      </c>
    </row>
    <row r="2408" spans="1:92" ht="14.25" customHeight="1" x14ac:dyDescent="0.15">
      <c r="A2408" s="1" t="s">
        <v>17203</v>
      </c>
      <c r="B2408" s="1" t="s">
        <v>308</v>
      </c>
      <c r="C2408" s="1"/>
      <c r="D2408" s="1" t="s">
        <v>67</v>
      </c>
      <c r="E2408" s="1" t="s">
        <v>17204</v>
      </c>
      <c r="F2408" s="1" t="s">
        <v>98</v>
      </c>
      <c r="G2408" s="1" t="s">
        <v>17205</v>
      </c>
      <c r="H2408" s="1">
        <v>0</v>
      </c>
      <c r="I2408" s="1" t="s">
        <v>142</v>
      </c>
      <c r="J2408" s="1"/>
      <c r="K2408" s="1"/>
      <c r="L2408" s="1" t="s">
        <v>17206</v>
      </c>
      <c r="M2408" s="1" t="s">
        <v>5642</v>
      </c>
      <c r="N2408" s="1">
        <v>0</v>
      </c>
      <c r="O2408" s="1">
        <v>0</v>
      </c>
      <c r="P2408" s="1" t="s">
        <v>103</v>
      </c>
      <c r="Q2408" s="1" t="s">
        <v>104</v>
      </c>
      <c r="R2408" s="1" t="s">
        <v>17207</v>
      </c>
      <c r="S2408" s="1" t="s">
        <v>17208</v>
      </c>
      <c r="T2408" s="1" t="s">
        <v>16709</v>
      </c>
      <c r="U2408" s="1" t="s">
        <v>17209</v>
      </c>
      <c r="V2408" s="1">
        <v>1</v>
      </c>
      <c r="W2408" s="1">
        <v>1</v>
      </c>
      <c r="X2408" s="1">
        <v>1</v>
      </c>
      <c r="Y2408" s="1">
        <v>0</v>
      </c>
      <c r="Z2408" s="1">
        <v>0</v>
      </c>
      <c r="AA2408" s="1" t="s">
        <v>109</v>
      </c>
      <c r="AB2408" s="1" t="s">
        <v>109</v>
      </c>
      <c r="AC2408" s="1">
        <v>6</v>
      </c>
      <c r="AD2408" s="1">
        <v>6</v>
      </c>
      <c r="AE2408" s="1">
        <v>4</v>
      </c>
      <c r="AF2408" s="1" t="s">
        <v>109</v>
      </c>
      <c r="AG2408" s="1" t="s">
        <v>109</v>
      </c>
      <c r="AH2408" s="1" t="s">
        <v>109</v>
      </c>
      <c r="AI2408" s="1" t="s">
        <v>109</v>
      </c>
      <c r="AJ2408" s="1">
        <v>6</v>
      </c>
      <c r="AK2408" s="1" t="s">
        <v>109</v>
      </c>
      <c r="AL2408" s="1">
        <v>6</v>
      </c>
      <c r="AM2408" s="1">
        <v>4</v>
      </c>
      <c r="AN2408" s="1" t="s">
        <v>109</v>
      </c>
      <c r="AO2408" s="1" t="s">
        <v>109</v>
      </c>
      <c r="AP2408" s="1"/>
      <c r="AQ2408" s="1">
        <v>6</v>
      </c>
      <c r="AR2408" s="1"/>
      <c r="AS2408" s="1" t="s">
        <v>17210</v>
      </c>
      <c r="AT2408" s="1">
        <v>0</v>
      </c>
      <c r="AU2408" s="1">
        <v>0</v>
      </c>
      <c r="AV2408" s="1">
        <v>0</v>
      </c>
      <c r="AW2408" s="1">
        <v>0</v>
      </c>
      <c r="AX2408" s="1">
        <v>0</v>
      </c>
      <c r="AY2408" s="1">
        <v>0</v>
      </c>
      <c r="AZ2408" s="1">
        <v>0</v>
      </c>
      <c r="BA2408" s="1">
        <v>0</v>
      </c>
      <c r="BB2408" s="1">
        <v>0</v>
      </c>
      <c r="BC2408" s="1">
        <v>0</v>
      </c>
      <c r="BD2408" s="1">
        <v>0</v>
      </c>
      <c r="BE2408" s="1">
        <v>0</v>
      </c>
      <c r="BF2408" s="1">
        <v>0</v>
      </c>
      <c r="BG2408" s="1">
        <v>0</v>
      </c>
      <c r="BH2408" s="1">
        <v>0</v>
      </c>
      <c r="BI2408" s="1">
        <v>0</v>
      </c>
      <c r="BJ2408" s="1">
        <v>0</v>
      </c>
      <c r="BK2408" s="1">
        <v>0</v>
      </c>
      <c r="BL2408" s="1">
        <v>0</v>
      </c>
      <c r="BM2408" s="1">
        <v>0</v>
      </c>
      <c r="BN2408" s="1">
        <v>0</v>
      </c>
      <c r="BO2408" s="1">
        <v>1</v>
      </c>
      <c r="BP2408" s="1">
        <v>0</v>
      </c>
      <c r="BQ2408" s="1">
        <v>0</v>
      </c>
      <c r="BR2408" s="1">
        <v>0</v>
      </c>
      <c r="BS2408" s="1" t="s">
        <v>109</v>
      </c>
      <c r="BT2408" s="1">
        <v>2499</v>
      </c>
      <c r="BU2408" s="1" t="s">
        <v>109</v>
      </c>
      <c r="BV2408" s="1"/>
      <c r="BW2408" s="1"/>
      <c r="BX2408" s="1"/>
      <c r="BY2408" s="1"/>
      <c r="BZ2408" s="1">
        <v>0</v>
      </c>
      <c r="CA2408" s="1" t="s">
        <v>109</v>
      </c>
      <c r="CB2408" s="1">
        <v>6</v>
      </c>
      <c r="CC2408" s="1" t="s">
        <v>109</v>
      </c>
      <c r="CD2408" s="1" t="s">
        <v>109</v>
      </c>
      <c r="CE2408" s="1" t="s">
        <v>109</v>
      </c>
      <c r="CF2408" s="1" t="s">
        <v>109</v>
      </c>
      <c r="CG2408" s="1" t="s">
        <v>109</v>
      </c>
      <c r="CH2408" s="1" t="s">
        <v>109</v>
      </c>
      <c r="CI2408" s="1" t="s">
        <v>109</v>
      </c>
      <c r="CJ2408" s="1">
        <v>4</v>
      </c>
      <c r="CK2408" s="1"/>
      <c r="CL2408" s="1">
        <v>0</v>
      </c>
      <c r="CM2408" s="1">
        <v>0</v>
      </c>
      <c r="CN2408" s="1">
        <v>0</v>
      </c>
    </row>
    <row r="2409" spans="1:92" ht="14.25" customHeight="1" x14ac:dyDescent="0.15">
      <c r="A2409" s="1" t="s">
        <v>17211</v>
      </c>
      <c r="B2409" s="1" t="s">
        <v>254</v>
      </c>
      <c r="C2409" s="1"/>
      <c r="D2409" s="1"/>
      <c r="E2409" s="1" t="s">
        <v>17212</v>
      </c>
      <c r="F2409" s="1" t="s">
        <v>98</v>
      </c>
      <c r="G2409" s="1" t="s">
        <v>141</v>
      </c>
      <c r="H2409" s="1">
        <v>0</v>
      </c>
      <c r="I2409" s="1" t="s">
        <v>142</v>
      </c>
      <c r="J2409" s="1"/>
      <c r="K2409" s="1"/>
      <c r="L2409" s="1" t="s">
        <v>17213</v>
      </c>
      <c r="M2409" s="1" t="s">
        <v>815</v>
      </c>
      <c r="N2409" s="1">
        <v>1</v>
      </c>
      <c r="O2409" s="1">
        <v>0</v>
      </c>
      <c r="P2409" s="1" t="s">
        <v>103</v>
      </c>
      <c r="Q2409" s="1" t="s">
        <v>104</v>
      </c>
      <c r="R2409" s="1" t="s">
        <v>17214</v>
      </c>
      <c r="S2409" s="1" t="s">
        <v>17215</v>
      </c>
      <c r="T2409" s="1" t="s">
        <v>16709</v>
      </c>
      <c r="U2409" s="1" t="s">
        <v>17216</v>
      </c>
      <c r="V2409" s="1">
        <v>1</v>
      </c>
      <c r="W2409" s="1">
        <v>1</v>
      </c>
      <c r="X2409" s="1">
        <v>0</v>
      </c>
      <c r="Y2409" s="1">
        <v>0</v>
      </c>
      <c r="Z2409" s="1">
        <v>0</v>
      </c>
      <c r="AA2409" s="1">
        <v>3</v>
      </c>
      <c r="AB2409" s="1">
        <v>3</v>
      </c>
      <c r="AC2409" s="1" t="s">
        <v>109</v>
      </c>
      <c r="AD2409" s="1">
        <v>3</v>
      </c>
      <c r="AE2409" s="1">
        <v>2</v>
      </c>
      <c r="AF2409" s="1" t="s">
        <v>109</v>
      </c>
      <c r="AG2409" s="1" t="s">
        <v>109</v>
      </c>
      <c r="AH2409" s="1" t="s">
        <v>109</v>
      </c>
      <c r="AI2409" s="1">
        <v>3</v>
      </c>
      <c r="AJ2409" s="1">
        <v>3</v>
      </c>
      <c r="AK2409" s="1">
        <v>3</v>
      </c>
      <c r="AL2409" s="1" t="s">
        <v>109</v>
      </c>
      <c r="AM2409" s="1" t="s">
        <v>109</v>
      </c>
      <c r="AN2409" s="1" t="s">
        <v>109</v>
      </c>
      <c r="AO2409" s="1" t="s">
        <v>109</v>
      </c>
      <c r="AP2409" s="1"/>
      <c r="AQ2409" s="1">
        <v>3</v>
      </c>
      <c r="AR2409" s="1"/>
      <c r="AS2409" s="1" t="s">
        <v>17217</v>
      </c>
      <c r="AT2409" s="1">
        <v>0</v>
      </c>
      <c r="AU2409" s="1">
        <v>0</v>
      </c>
      <c r="AV2409" s="1">
        <v>0</v>
      </c>
      <c r="AW2409" s="1">
        <v>0</v>
      </c>
      <c r="AX2409" s="1">
        <v>0</v>
      </c>
      <c r="AY2409" s="1">
        <v>0</v>
      </c>
      <c r="AZ2409" s="1">
        <v>0</v>
      </c>
      <c r="BA2409" s="1">
        <v>0</v>
      </c>
      <c r="BB2409" s="1">
        <v>0</v>
      </c>
      <c r="BC2409" s="1">
        <v>0</v>
      </c>
      <c r="BD2409" s="1">
        <v>0</v>
      </c>
      <c r="BE2409" s="1">
        <v>0</v>
      </c>
      <c r="BF2409" s="1">
        <v>0</v>
      </c>
      <c r="BG2409" s="1">
        <v>0</v>
      </c>
      <c r="BH2409" s="1">
        <v>0</v>
      </c>
      <c r="BI2409" s="1">
        <v>0</v>
      </c>
      <c r="BJ2409" s="1">
        <v>0</v>
      </c>
      <c r="BK2409" s="1">
        <v>0</v>
      </c>
      <c r="BL2409" s="1">
        <v>0</v>
      </c>
      <c r="BM2409" s="1">
        <v>0</v>
      </c>
      <c r="BN2409" s="1">
        <v>0</v>
      </c>
      <c r="BO2409" s="1">
        <v>0</v>
      </c>
      <c r="BP2409" s="1">
        <v>0</v>
      </c>
      <c r="BQ2409" s="1">
        <v>0</v>
      </c>
      <c r="BR2409" s="1">
        <v>0</v>
      </c>
      <c r="BS2409" s="1" t="s">
        <v>109</v>
      </c>
      <c r="BT2409" s="1">
        <v>2500</v>
      </c>
      <c r="BU2409" s="1" t="s">
        <v>109</v>
      </c>
      <c r="BV2409" s="1"/>
      <c r="BW2409" s="1"/>
      <c r="BX2409" s="1"/>
      <c r="BY2409" s="1"/>
      <c r="BZ2409" s="1">
        <v>0</v>
      </c>
      <c r="CA2409" s="1">
        <v>3</v>
      </c>
      <c r="CB2409" s="1" t="s">
        <v>109</v>
      </c>
      <c r="CC2409" s="1" t="s">
        <v>109</v>
      </c>
      <c r="CD2409" s="1">
        <v>2</v>
      </c>
      <c r="CE2409" s="1" t="s">
        <v>109</v>
      </c>
      <c r="CF2409" s="1" t="s">
        <v>109</v>
      </c>
      <c r="CG2409" s="1">
        <v>3</v>
      </c>
      <c r="CH2409" s="1" t="s">
        <v>109</v>
      </c>
      <c r="CI2409" s="1" t="s">
        <v>109</v>
      </c>
      <c r="CJ2409" s="1">
        <v>2</v>
      </c>
      <c r="CK2409" s="1"/>
      <c r="CL2409" s="1">
        <v>0</v>
      </c>
      <c r="CM2409" s="1">
        <v>0</v>
      </c>
      <c r="CN2409" s="1">
        <v>0</v>
      </c>
    </row>
    <row r="2410" spans="1:92" ht="14.25" customHeight="1" x14ac:dyDescent="0.15">
      <c r="A2410" s="1" t="s">
        <v>17218</v>
      </c>
      <c r="B2410" s="1" t="s">
        <v>242</v>
      </c>
      <c r="C2410" s="1"/>
      <c r="D2410" s="1"/>
      <c r="E2410" s="1" t="s">
        <v>17219</v>
      </c>
      <c r="F2410" s="1" t="s">
        <v>98</v>
      </c>
      <c r="G2410" s="1" t="s">
        <v>2345</v>
      </c>
      <c r="H2410" s="1">
        <v>0</v>
      </c>
      <c r="I2410" s="1" t="s">
        <v>122</v>
      </c>
      <c r="J2410" s="1"/>
      <c r="K2410" s="1"/>
      <c r="L2410" s="1" t="s">
        <v>17220</v>
      </c>
      <c r="M2410" s="1" t="s">
        <v>3042</v>
      </c>
      <c r="N2410" s="1">
        <v>0</v>
      </c>
      <c r="O2410" s="1">
        <v>0</v>
      </c>
      <c r="P2410" s="1" t="s">
        <v>629</v>
      </c>
      <c r="Q2410" s="1" t="s">
        <v>630</v>
      </c>
      <c r="R2410" s="1" t="s">
        <v>17221</v>
      </c>
      <c r="S2410" s="1" t="s">
        <v>17222</v>
      </c>
      <c r="T2410" s="1" t="s">
        <v>16709</v>
      </c>
      <c r="U2410" s="1" t="s">
        <v>17223</v>
      </c>
      <c r="V2410" s="1">
        <v>0</v>
      </c>
      <c r="W2410" s="1">
        <v>1</v>
      </c>
      <c r="X2410" s="1">
        <v>0</v>
      </c>
      <c r="Y2410" s="1">
        <v>0</v>
      </c>
      <c r="Z2410" s="1">
        <v>0</v>
      </c>
      <c r="AA2410" s="1">
        <v>5</v>
      </c>
      <c r="AB2410" s="1">
        <v>5</v>
      </c>
      <c r="AC2410" s="1" t="s">
        <v>109</v>
      </c>
      <c r="AD2410" s="1" t="s">
        <v>109</v>
      </c>
      <c r="AE2410" s="1" t="s">
        <v>109</v>
      </c>
      <c r="AF2410" s="1" t="s">
        <v>109</v>
      </c>
      <c r="AG2410" s="1" t="s">
        <v>109</v>
      </c>
      <c r="AH2410" s="1" t="s">
        <v>109</v>
      </c>
      <c r="AI2410" s="1" t="s">
        <v>109</v>
      </c>
      <c r="AJ2410" s="1">
        <v>5</v>
      </c>
      <c r="AK2410" s="1">
        <v>4</v>
      </c>
      <c r="AL2410" s="1" t="s">
        <v>109</v>
      </c>
      <c r="AM2410" s="1" t="s">
        <v>109</v>
      </c>
      <c r="AN2410" s="1" t="s">
        <v>109</v>
      </c>
      <c r="AO2410" s="1" t="s">
        <v>109</v>
      </c>
      <c r="AP2410" s="1"/>
      <c r="AQ2410" s="1">
        <v>5</v>
      </c>
      <c r="AR2410" s="1"/>
      <c r="AS2410" s="1" t="s">
        <v>17224</v>
      </c>
      <c r="AT2410" s="1">
        <v>0</v>
      </c>
      <c r="AU2410" s="1">
        <v>0</v>
      </c>
      <c r="AV2410" s="1">
        <v>0</v>
      </c>
      <c r="AW2410" s="1">
        <v>0</v>
      </c>
      <c r="AX2410" s="1">
        <v>0</v>
      </c>
      <c r="AY2410" s="1">
        <v>0</v>
      </c>
      <c r="AZ2410" s="1">
        <v>0</v>
      </c>
      <c r="BA2410" s="1">
        <v>0</v>
      </c>
      <c r="BB2410" s="1">
        <v>0</v>
      </c>
      <c r="BC2410" s="1">
        <v>0</v>
      </c>
      <c r="BD2410" s="1">
        <v>0</v>
      </c>
      <c r="BE2410" s="1">
        <v>0</v>
      </c>
      <c r="BF2410" s="1">
        <v>0</v>
      </c>
      <c r="BG2410" s="1">
        <v>0</v>
      </c>
      <c r="BH2410" s="1">
        <v>0</v>
      </c>
      <c r="BI2410" s="1">
        <v>0</v>
      </c>
      <c r="BJ2410" s="1">
        <v>0</v>
      </c>
      <c r="BK2410" s="1">
        <v>0</v>
      </c>
      <c r="BL2410" s="1">
        <v>0</v>
      </c>
      <c r="BM2410" s="1">
        <v>0</v>
      </c>
      <c r="BN2410" s="1">
        <v>0</v>
      </c>
      <c r="BO2410" s="1">
        <v>0</v>
      </c>
      <c r="BP2410" s="1">
        <v>0</v>
      </c>
      <c r="BQ2410" s="1">
        <v>0</v>
      </c>
      <c r="BR2410" s="1">
        <v>0</v>
      </c>
      <c r="BS2410" s="1" t="s">
        <v>109</v>
      </c>
      <c r="BT2410" s="1">
        <v>2501</v>
      </c>
      <c r="BU2410" s="1" t="s">
        <v>109</v>
      </c>
      <c r="BV2410" s="1"/>
      <c r="BW2410" s="1"/>
      <c r="BX2410" s="1"/>
      <c r="BY2410" s="1"/>
      <c r="BZ2410" s="1">
        <v>0</v>
      </c>
      <c r="CA2410" s="1" t="s">
        <v>109</v>
      </c>
      <c r="CB2410" s="1" t="s">
        <v>109</v>
      </c>
      <c r="CC2410" s="1">
        <v>5</v>
      </c>
      <c r="CD2410" s="1" t="s">
        <v>109</v>
      </c>
      <c r="CE2410" s="1" t="s">
        <v>109</v>
      </c>
      <c r="CF2410" s="1">
        <v>4</v>
      </c>
      <c r="CG2410" s="1" t="s">
        <v>109</v>
      </c>
      <c r="CH2410" s="1" t="s">
        <v>109</v>
      </c>
      <c r="CI2410" s="1" t="s">
        <v>109</v>
      </c>
      <c r="CJ2410" s="1" t="s">
        <v>109</v>
      </c>
      <c r="CK2410" s="1"/>
      <c r="CL2410" s="1">
        <v>0</v>
      </c>
      <c r="CM2410" s="1">
        <v>0</v>
      </c>
      <c r="CN2410" s="1">
        <v>0</v>
      </c>
    </row>
    <row r="2411" spans="1:92" ht="14.25" customHeight="1" x14ac:dyDescent="0.15">
      <c r="A2411" s="1" t="s">
        <v>17225</v>
      </c>
      <c r="B2411" s="1" t="s">
        <v>674</v>
      </c>
      <c r="C2411" s="1" t="s">
        <v>1715</v>
      </c>
      <c r="D2411" s="1" t="s">
        <v>158</v>
      </c>
      <c r="E2411" s="1" t="s">
        <v>17226</v>
      </c>
      <c r="F2411" s="1" t="s">
        <v>98</v>
      </c>
      <c r="G2411" s="1" t="s">
        <v>2345</v>
      </c>
      <c r="H2411" s="1">
        <v>0</v>
      </c>
      <c r="I2411" s="1" t="s">
        <v>100</v>
      </c>
      <c r="J2411" s="1"/>
      <c r="K2411" s="1"/>
      <c r="L2411" s="1" t="s">
        <v>1391</v>
      </c>
      <c r="M2411" s="1" t="s">
        <v>656</v>
      </c>
      <c r="N2411" s="1">
        <v>1</v>
      </c>
      <c r="O2411" s="1">
        <v>0</v>
      </c>
      <c r="P2411" s="1" t="s">
        <v>2304</v>
      </c>
      <c r="Q2411" s="1" t="s">
        <v>268</v>
      </c>
      <c r="R2411" s="1" t="s">
        <v>17227</v>
      </c>
      <c r="S2411" s="1" t="s">
        <v>17228</v>
      </c>
      <c r="T2411" s="1" t="s">
        <v>16709</v>
      </c>
      <c r="U2411" s="1" t="s">
        <v>17229</v>
      </c>
      <c r="V2411" s="1">
        <v>0</v>
      </c>
      <c r="W2411" s="1">
        <v>1</v>
      </c>
      <c r="X2411" s="1">
        <v>0</v>
      </c>
      <c r="Y2411" s="1">
        <v>0</v>
      </c>
      <c r="Z2411" s="1">
        <v>0</v>
      </c>
      <c r="AA2411" s="1">
        <v>7</v>
      </c>
      <c r="AB2411" s="1">
        <v>7</v>
      </c>
      <c r="AC2411" s="1" t="s">
        <v>109</v>
      </c>
      <c r="AD2411" s="1" t="s">
        <v>109</v>
      </c>
      <c r="AE2411" s="1" t="s">
        <v>109</v>
      </c>
      <c r="AF2411" s="1" t="s">
        <v>109</v>
      </c>
      <c r="AG2411" s="1" t="s">
        <v>109</v>
      </c>
      <c r="AH2411" s="1" t="s">
        <v>109</v>
      </c>
      <c r="AI2411" s="1" t="s">
        <v>109</v>
      </c>
      <c r="AJ2411" s="1" t="s">
        <v>109</v>
      </c>
      <c r="AK2411" s="1" t="s">
        <v>109</v>
      </c>
      <c r="AL2411" s="1" t="s">
        <v>109</v>
      </c>
      <c r="AM2411" s="1" t="s">
        <v>109</v>
      </c>
      <c r="AN2411" s="1" t="s">
        <v>109</v>
      </c>
      <c r="AO2411" s="1" t="s">
        <v>109</v>
      </c>
      <c r="AP2411" s="1"/>
      <c r="AQ2411" s="1">
        <v>7</v>
      </c>
      <c r="AR2411" s="1"/>
      <c r="AS2411" s="1" t="s">
        <v>17230</v>
      </c>
      <c r="AT2411" s="1">
        <v>0</v>
      </c>
      <c r="AU2411" s="1">
        <v>0</v>
      </c>
      <c r="AV2411" s="1">
        <v>0</v>
      </c>
      <c r="AW2411" s="1">
        <v>0</v>
      </c>
      <c r="AX2411" s="1">
        <v>0</v>
      </c>
      <c r="AY2411" s="1">
        <v>0</v>
      </c>
      <c r="AZ2411" s="1">
        <v>0</v>
      </c>
      <c r="BA2411" s="1">
        <v>0</v>
      </c>
      <c r="BB2411" s="1">
        <v>0</v>
      </c>
      <c r="BC2411" s="1">
        <v>0</v>
      </c>
      <c r="BD2411" s="1">
        <v>0</v>
      </c>
      <c r="BE2411" s="1">
        <v>0</v>
      </c>
      <c r="BF2411" s="1">
        <v>0</v>
      </c>
      <c r="BG2411" s="1">
        <v>0</v>
      </c>
      <c r="BH2411" s="1">
        <v>0</v>
      </c>
      <c r="BI2411" s="1">
        <v>0</v>
      </c>
      <c r="BJ2411" s="1">
        <v>0</v>
      </c>
      <c r="BK2411" s="1">
        <v>0</v>
      </c>
      <c r="BL2411" s="1">
        <v>0</v>
      </c>
      <c r="BM2411" s="1">
        <v>1</v>
      </c>
      <c r="BN2411" s="1">
        <v>0</v>
      </c>
      <c r="BO2411" s="1">
        <v>0</v>
      </c>
      <c r="BP2411" s="1">
        <v>0</v>
      </c>
      <c r="BQ2411" s="1">
        <v>0</v>
      </c>
      <c r="BR2411" s="1">
        <v>0</v>
      </c>
      <c r="BS2411" s="1" t="s">
        <v>109</v>
      </c>
      <c r="BT2411" s="1">
        <v>2502</v>
      </c>
      <c r="BU2411" s="1" t="s">
        <v>109</v>
      </c>
      <c r="BV2411" s="1"/>
      <c r="BW2411" s="1"/>
      <c r="BX2411" s="1"/>
      <c r="BY2411" s="1"/>
      <c r="BZ2411" s="1">
        <v>0</v>
      </c>
      <c r="CA2411" s="1" t="s">
        <v>109</v>
      </c>
      <c r="CB2411" s="1" t="s">
        <v>109</v>
      </c>
      <c r="CC2411" s="1">
        <v>7</v>
      </c>
      <c r="CD2411" s="1" t="s">
        <v>109</v>
      </c>
      <c r="CE2411" s="1" t="s">
        <v>109</v>
      </c>
      <c r="CF2411" s="1" t="s">
        <v>109</v>
      </c>
      <c r="CG2411" s="1" t="s">
        <v>109</v>
      </c>
      <c r="CH2411" s="1" t="s">
        <v>109</v>
      </c>
      <c r="CI2411" s="1" t="s">
        <v>109</v>
      </c>
      <c r="CJ2411" s="1" t="s">
        <v>109</v>
      </c>
      <c r="CK2411" s="1"/>
      <c r="CL2411" s="1">
        <v>0</v>
      </c>
      <c r="CM2411" s="1">
        <v>0</v>
      </c>
      <c r="CN2411" s="1">
        <v>0</v>
      </c>
    </row>
    <row r="2412" spans="1:92" ht="14.25" customHeight="1" x14ac:dyDescent="0.15">
      <c r="A2412" s="1" t="s">
        <v>17231</v>
      </c>
      <c r="B2412" s="1" t="s">
        <v>674</v>
      </c>
      <c r="C2412" s="1" t="s">
        <v>1715</v>
      </c>
      <c r="D2412" s="1" t="s">
        <v>158</v>
      </c>
      <c r="E2412" s="1" t="s">
        <v>17232</v>
      </c>
      <c r="F2412" s="1" t="s">
        <v>98</v>
      </c>
      <c r="G2412" s="1" t="s">
        <v>17233</v>
      </c>
      <c r="H2412" s="1">
        <v>0</v>
      </c>
      <c r="I2412" s="1" t="s">
        <v>142</v>
      </c>
      <c r="J2412" s="1"/>
      <c r="K2412" s="1"/>
      <c r="L2412" s="1" t="s">
        <v>8352</v>
      </c>
      <c r="M2412" s="1" t="s">
        <v>211</v>
      </c>
      <c r="N2412" s="1">
        <v>0</v>
      </c>
      <c r="O2412" s="1">
        <v>0</v>
      </c>
      <c r="P2412" s="1" t="s">
        <v>17234</v>
      </c>
      <c r="Q2412" s="1" t="s">
        <v>268</v>
      </c>
      <c r="R2412" s="1" t="s">
        <v>17235</v>
      </c>
      <c r="S2412" s="1" t="s">
        <v>17236</v>
      </c>
      <c r="T2412" s="1" t="s">
        <v>16709</v>
      </c>
      <c r="U2412" s="1" t="s">
        <v>17237</v>
      </c>
      <c r="V2412" s="1">
        <v>1</v>
      </c>
      <c r="W2412" s="1">
        <v>1</v>
      </c>
      <c r="X2412" s="1">
        <v>1</v>
      </c>
      <c r="Y2412" s="1">
        <v>0</v>
      </c>
      <c r="Z2412" s="1">
        <v>0</v>
      </c>
      <c r="AA2412" s="1">
        <v>3</v>
      </c>
      <c r="AB2412" s="1">
        <v>3</v>
      </c>
      <c r="AC2412" s="1" t="s">
        <v>109</v>
      </c>
      <c r="AD2412" s="1" t="s">
        <v>109</v>
      </c>
      <c r="AE2412" s="1" t="s">
        <v>109</v>
      </c>
      <c r="AF2412" s="1" t="s">
        <v>109</v>
      </c>
      <c r="AG2412" s="1" t="s">
        <v>109</v>
      </c>
      <c r="AH2412" s="1" t="s">
        <v>109</v>
      </c>
      <c r="AI2412" s="1" t="s">
        <v>109</v>
      </c>
      <c r="AJ2412" s="1">
        <v>3</v>
      </c>
      <c r="AK2412" s="1" t="s">
        <v>109</v>
      </c>
      <c r="AL2412" s="1" t="s">
        <v>109</v>
      </c>
      <c r="AM2412" s="1" t="s">
        <v>109</v>
      </c>
      <c r="AN2412" s="1" t="s">
        <v>109</v>
      </c>
      <c r="AO2412" s="1" t="s">
        <v>109</v>
      </c>
      <c r="AP2412" s="1"/>
      <c r="AQ2412" s="1">
        <v>3</v>
      </c>
      <c r="AR2412" s="1"/>
      <c r="AS2412" s="1" t="s">
        <v>17238</v>
      </c>
      <c r="AT2412" s="1">
        <v>0</v>
      </c>
      <c r="AU2412" s="1">
        <v>0</v>
      </c>
      <c r="AV2412" s="1">
        <v>0</v>
      </c>
      <c r="AW2412" s="1">
        <v>0</v>
      </c>
      <c r="AX2412" s="1">
        <v>0</v>
      </c>
      <c r="AY2412" s="1">
        <v>0</v>
      </c>
      <c r="AZ2412" s="1">
        <v>0</v>
      </c>
      <c r="BA2412" s="1">
        <v>0</v>
      </c>
      <c r="BB2412" s="1">
        <v>0</v>
      </c>
      <c r="BC2412" s="1">
        <v>0</v>
      </c>
      <c r="BD2412" s="1">
        <v>0</v>
      </c>
      <c r="BE2412" s="1">
        <v>0</v>
      </c>
      <c r="BF2412" s="1">
        <v>0</v>
      </c>
      <c r="BG2412" s="1">
        <v>0</v>
      </c>
      <c r="BH2412" s="1">
        <v>0</v>
      </c>
      <c r="BI2412" s="1">
        <v>0</v>
      </c>
      <c r="BJ2412" s="1">
        <v>0</v>
      </c>
      <c r="BK2412" s="1">
        <v>0</v>
      </c>
      <c r="BL2412" s="1">
        <v>0</v>
      </c>
      <c r="BM2412" s="1">
        <v>1</v>
      </c>
      <c r="BN2412" s="1">
        <v>0</v>
      </c>
      <c r="BO2412" s="1">
        <v>0</v>
      </c>
      <c r="BP2412" s="1">
        <v>0</v>
      </c>
      <c r="BQ2412" s="1">
        <v>0</v>
      </c>
      <c r="BR2412" s="1">
        <v>0</v>
      </c>
      <c r="BS2412" s="1" t="s">
        <v>109</v>
      </c>
      <c r="BT2412" s="1">
        <v>2503</v>
      </c>
      <c r="BU2412" s="1" t="s">
        <v>109</v>
      </c>
      <c r="BV2412" s="1"/>
      <c r="BW2412" s="1"/>
      <c r="BX2412" s="1"/>
      <c r="BY2412" s="1"/>
      <c r="BZ2412" s="1">
        <v>0</v>
      </c>
      <c r="CA2412" s="1" t="s">
        <v>109</v>
      </c>
      <c r="CB2412" s="1" t="s">
        <v>109</v>
      </c>
      <c r="CC2412" s="1">
        <v>3</v>
      </c>
      <c r="CD2412" s="1" t="s">
        <v>109</v>
      </c>
      <c r="CE2412" s="1">
        <v>2</v>
      </c>
      <c r="CF2412" s="1" t="s">
        <v>109</v>
      </c>
      <c r="CG2412" s="1" t="s">
        <v>109</v>
      </c>
      <c r="CH2412" s="1" t="s">
        <v>109</v>
      </c>
      <c r="CI2412" s="1" t="s">
        <v>109</v>
      </c>
      <c r="CJ2412" s="1" t="s">
        <v>109</v>
      </c>
      <c r="CK2412" s="1"/>
      <c r="CL2412" s="1">
        <v>0</v>
      </c>
      <c r="CM2412" s="1">
        <v>0</v>
      </c>
      <c r="CN2412" s="1">
        <v>0</v>
      </c>
    </row>
    <row r="2413" spans="1:92" ht="14.25" customHeight="1" x14ac:dyDescent="0.15">
      <c r="A2413" s="1" t="s">
        <v>17239</v>
      </c>
      <c r="B2413" s="1" t="s">
        <v>95</v>
      </c>
      <c r="C2413" s="1" t="s">
        <v>1179</v>
      </c>
      <c r="D2413" s="1"/>
      <c r="E2413" s="1" t="s">
        <v>17240</v>
      </c>
      <c r="F2413" s="1" t="s">
        <v>355</v>
      </c>
      <c r="G2413" s="1" t="s">
        <v>17241</v>
      </c>
      <c r="H2413" s="1">
        <v>0</v>
      </c>
      <c r="I2413" s="1" t="s">
        <v>161</v>
      </c>
      <c r="J2413" s="1"/>
      <c r="K2413" s="1"/>
      <c r="L2413" s="1" t="s">
        <v>1285</v>
      </c>
      <c r="M2413" s="1" t="s">
        <v>8201</v>
      </c>
      <c r="N2413" s="1">
        <v>1</v>
      </c>
      <c r="O2413" s="1">
        <v>0</v>
      </c>
      <c r="P2413" s="1" t="s">
        <v>5812</v>
      </c>
      <c r="Q2413" s="1" t="s">
        <v>104</v>
      </c>
      <c r="R2413" s="1" t="s">
        <v>17242</v>
      </c>
      <c r="S2413" s="1" t="s">
        <v>17243</v>
      </c>
      <c r="T2413" s="1" t="s">
        <v>16709</v>
      </c>
      <c r="U2413" s="1" t="s">
        <v>17244</v>
      </c>
      <c r="V2413" s="1">
        <v>1</v>
      </c>
      <c r="W2413" s="1">
        <v>1</v>
      </c>
      <c r="X2413" s="1">
        <v>1</v>
      </c>
      <c r="Y2413" s="1">
        <v>0</v>
      </c>
      <c r="Z2413" s="1">
        <v>0</v>
      </c>
      <c r="AA2413" s="1" t="s">
        <v>109</v>
      </c>
      <c r="AB2413" s="1" t="s">
        <v>109</v>
      </c>
      <c r="AC2413" s="1" t="s">
        <v>109</v>
      </c>
      <c r="AD2413" s="1">
        <v>3</v>
      </c>
      <c r="AE2413" s="1">
        <v>3</v>
      </c>
      <c r="AF2413" s="1" t="s">
        <v>109</v>
      </c>
      <c r="AG2413" s="1" t="s">
        <v>109</v>
      </c>
      <c r="AH2413" s="1" t="s">
        <v>109</v>
      </c>
      <c r="AI2413" s="1" t="s">
        <v>109</v>
      </c>
      <c r="AJ2413" s="1">
        <v>3</v>
      </c>
      <c r="AK2413" s="1" t="s">
        <v>109</v>
      </c>
      <c r="AL2413" s="1" t="s">
        <v>109</v>
      </c>
      <c r="AM2413" s="1" t="s">
        <v>109</v>
      </c>
      <c r="AN2413" s="1" t="s">
        <v>109</v>
      </c>
      <c r="AO2413" s="1" t="s">
        <v>109</v>
      </c>
      <c r="AP2413" s="1"/>
      <c r="AQ2413" s="1">
        <v>3</v>
      </c>
      <c r="AR2413" s="1"/>
      <c r="AS2413" s="1" t="s">
        <v>17245</v>
      </c>
      <c r="AT2413" s="1">
        <v>0</v>
      </c>
      <c r="AU2413" s="1">
        <v>0</v>
      </c>
      <c r="AV2413" s="1">
        <v>0</v>
      </c>
      <c r="AW2413" s="1">
        <v>0</v>
      </c>
      <c r="AX2413" s="1">
        <v>0</v>
      </c>
      <c r="AY2413" s="1">
        <v>0</v>
      </c>
      <c r="AZ2413" s="1">
        <v>0</v>
      </c>
      <c r="BA2413" s="1">
        <v>0</v>
      </c>
      <c r="BB2413" s="1">
        <v>0</v>
      </c>
      <c r="BC2413" s="1">
        <v>0</v>
      </c>
      <c r="BD2413" s="1">
        <v>0</v>
      </c>
      <c r="BE2413" s="1">
        <v>0</v>
      </c>
      <c r="BF2413" s="1">
        <v>0</v>
      </c>
      <c r="BG2413" s="1">
        <v>0</v>
      </c>
      <c r="BH2413" s="1">
        <v>0</v>
      </c>
      <c r="BI2413" s="1">
        <v>0</v>
      </c>
      <c r="BJ2413" s="1">
        <v>0</v>
      </c>
      <c r="BK2413" s="1">
        <v>0</v>
      </c>
      <c r="BL2413" s="1">
        <v>0</v>
      </c>
      <c r="BM2413" s="1">
        <v>0</v>
      </c>
      <c r="BN2413" s="1">
        <v>0</v>
      </c>
      <c r="BO2413" s="1">
        <v>0</v>
      </c>
      <c r="BP2413" s="1">
        <v>0</v>
      </c>
      <c r="BQ2413" s="1">
        <v>0</v>
      </c>
      <c r="BR2413" s="1">
        <v>0</v>
      </c>
      <c r="BS2413" s="1" t="s">
        <v>109</v>
      </c>
      <c r="BT2413" s="1">
        <v>2504</v>
      </c>
      <c r="BU2413" s="1" t="s">
        <v>109</v>
      </c>
      <c r="BV2413" s="1"/>
      <c r="BW2413" s="1"/>
      <c r="BX2413" s="1"/>
      <c r="BY2413" s="1"/>
      <c r="BZ2413" s="1">
        <v>0</v>
      </c>
      <c r="CA2413" s="1" t="s">
        <v>109</v>
      </c>
      <c r="CB2413" s="1">
        <v>3</v>
      </c>
      <c r="CC2413" s="1" t="s">
        <v>109</v>
      </c>
      <c r="CD2413" s="1" t="s">
        <v>109</v>
      </c>
      <c r="CE2413" s="1" t="s">
        <v>109</v>
      </c>
      <c r="CF2413" s="1">
        <v>3</v>
      </c>
      <c r="CG2413" s="1" t="s">
        <v>109</v>
      </c>
      <c r="CH2413" s="1" t="s">
        <v>109</v>
      </c>
      <c r="CI2413" s="1" t="s">
        <v>109</v>
      </c>
      <c r="CJ2413" s="1">
        <v>3</v>
      </c>
      <c r="CK2413" s="1"/>
      <c r="CL2413" s="1">
        <v>0</v>
      </c>
      <c r="CM2413" s="1">
        <v>0</v>
      </c>
      <c r="CN2413" s="1">
        <v>0</v>
      </c>
    </row>
    <row r="2414" spans="1:92" ht="14.25" customHeight="1" x14ac:dyDescent="0.15">
      <c r="A2414" s="1" t="s">
        <v>17246</v>
      </c>
      <c r="B2414" s="1" t="s">
        <v>95</v>
      </c>
      <c r="C2414" s="1" t="s">
        <v>694</v>
      </c>
      <c r="D2414" s="1" t="s">
        <v>17247</v>
      </c>
      <c r="E2414" s="1" t="s">
        <v>17248</v>
      </c>
      <c r="F2414" s="1" t="s">
        <v>98</v>
      </c>
      <c r="G2414" s="1" t="s">
        <v>141</v>
      </c>
      <c r="H2414" s="1">
        <v>0</v>
      </c>
      <c r="I2414" s="1" t="s">
        <v>142</v>
      </c>
      <c r="J2414" s="1"/>
      <c r="K2414" s="1"/>
      <c r="L2414" s="1" t="s">
        <v>1391</v>
      </c>
      <c r="M2414" s="1" t="s">
        <v>17249</v>
      </c>
      <c r="N2414" s="1">
        <v>0</v>
      </c>
      <c r="O2414" s="1">
        <v>0</v>
      </c>
      <c r="P2414" s="1" t="s">
        <v>17250</v>
      </c>
      <c r="Q2414" s="1" t="s">
        <v>268</v>
      </c>
      <c r="R2414" s="1" t="s">
        <v>17251</v>
      </c>
      <c r="S2414" s="1" t="s">
        <v>17252</v>
      </c>
      <c r="T2414" s="1" t="s">
        <v>16709</v>
      </c>
      <c r="U2414" s="1" t="s">
        <v>17253</v>
      </c>
      <c r="V2414" s="1">
        <v>1</v>
      </c>
      <c r="W2414" s="1">
        <v>1</v>
      </c>
      <c r="X2414" s="1">
        <v>0</v>
      </c>
      <c r="Y2414" s="1">
        <v>0</v>
      </c>
      <c r="Z2414" s="1">
        <v>0</v>
      </c>
      <c r="AA2414" s="1" t="s">
        <v>109</v>
      </c>
      <c r="AB2414" s="1" t="s">
        <v>109</v>
      </c>
      <c r="AC2414" s="1">
        <v>4</v>
      </c>
      <c r="AD2414" s="1">
        <v>5</v>
      </c>
      <c r="AE2414" s="1" t="s">
        <v>109</v>
      </c>
      <c r="AF2414" s="1" t="s">
        <v>109</v>
      </c>
      <c r="AG2414" s="1" t="s">
        <v>109</v>
      </c>
      <c r="AH2414" s="1" t="s">
        <v>109</v>
      </c>
      <c r="AI2414" s="1" t="s">
        <v>109</v>
      </c>
      <c r="AJ2414" s="1">
        <v>5</v>
      </c>
      <c r="AK2414" s="1" t="s">
        <v>109</v>
      </c>
      <c r="AL2414" s="1">
        <v>4</v>
      </c>
      <c r="AM2414" s="1" t="s">
        <v>109</v>
      </c>
      <c r="AN2414" s="1" t="s">
        <v>109</v>
      </c>
      <c r="AO2414" s="1" t="s">
        <v>109</v>
      </c>
      <c r="AP2414" s="1"/>
      <c r="AQ2414" s="1">
        <v>4</v>
      </c>
      <c r="AR2414" s="1"/>
      <c r="AS2414" s="1" t="s">
        <v>17254</v>
      </c>
      <c r="AT2414" s="1">
        <v>0</v>
      </c>
      <c r="AU2414" s="1">
        <v>0</v>
      </c>
      <c r="AV2414" s="1">
        <v>0</v>
      </c>
      <c r="AW2414" s="1">
        <v>0</v>
      </c>
      <c r="AX2414" s="1">
        <v>0</v>
      </c>
      <c r="AY2414" s="1">
        <v>0</v>
      </c>
      <c r="AZ2414" s="1">
        <v>0</v>
      </c>
      <c r="BA2414" s="1">
        <v>0</v>
      </c>
      <c r="BB2414" s="1">
        <v>0</v>
      </c>
      <c r="BC2414" s="1">
        <v>0</v>
      </c>
      <c r="BD2414" s="1">
        <v>0</v>
      </c>
      <c r="BE2414" s="1">
        <v>0</v>
      </c>
      <c r="BF2414" s="1">
        <v>0</v>
      </c>
      <c r="BG2414" s="1">
        <v>0</v>
      </c>
      <c r="BH2414" s="1">
        <v>0</v>
      </c>
      <c r="BI2414" s="1">
        <v>0</v>
      </c>
      <c r="BJ2414" s="1">
        <v>0</v>
      </c>
      <c r="BK2414" s="1">
        <v>0</v>
      </c>
      <c r="BL2414" s="1">
        <v>0</v>
      </c>
      <c r="BM2414" s="1">
        <v>0</v>
      </c>
      <c r="BN2414" s="1">
        <v>0</v>
      </c>
      <c r="BO2414" s="1">
        <v>1</v>
      </c>
      <c r="BP2414" s="1">
        <v>0</v>
      </c>
      <c r="BQ2414" s="1">
        <v>0</v>
      </c>
      <c r="BR2414" s="1">
        <v>0</v>
      </c>
      <c r="BS2414" s="1" t="s">
        <v>109</v>
      </c>
      <c r="BT2414" s="1">
        <v>2505</v>
      </c>
      <c r="BU2414" s="1" t="s">
        <v>109</v>
      </c>
      <c r="BV2414" s="1"/>
      <c r="BW2414" s="1"/>
      <c r="BX2414" s="1"/>
      <c r="BY2414" s="1"/>
      <c r="BZ2414" s="1">
        <v>0</v>
      </c>
      <c r="CA2414" s="1" t="s">
        <v>109</v>
      </c>
      <c r="CB2414" s="1">
        <v>4</v>
      </c>
      <c r="CC2414" s="1" t="s">
        <v>109</v>
      </c>
      <c r="CD2414" s="1" t="s">
        <v>109</v>
      </c>
      <c r="CE2414" s="1" t="s">
        <v>109</v>
      </c>
      <c r="CF2414" s="1">
        <v>4</v>
      </c>
      <c r="CG2414" s="1" t="s">
        <v>109</v>
      </c>
      <c r="CH2414" s="1" t="s">
        <v>109</v>
      </c>
      <c r="CI2414" s="1" t="s">
        <v>109</v>
      </c>
      <c r="CJ2414" s="1">
        <v>5</v>
      </c>
      <c r="CK2414" s="1"/>
      <c r="CL2414" s="1">
        <v>1</v>
      </c>
      <c r="CM2414" s="1">
        <v>0</v>
      </c>
      <c r="CN2414" s="1">
        <v>0</v>
      </c>
    </row>
    <row r="2415" spans="1:92" ht="14.25" customHeight="1" x14ac:dyDescent="0.15">
      <c r="A2415" s="1" t="s">
        <v>17255</v>
      </c>
      <c r="B2415" s="1" t="s">
        <v>156</v>
      </c>
      <c r="C2415" s="1" t="s">
        <v>157</v>
      </c>
      <c r="D2415" s="1" t="s">
        <v>14766</v>
      </c>
      <c r="E2415" s="1" t="s">
        <v>17256</v>
      </c>
      <c r="F2415" s="1" t="s">
        <v>3444</v>
      </c>
      <c r="G2415" s="1" t="s">
        <v>17257</v>
      </c>
      <c r="H2415" s="1">
        <v>0</v>
      </c>
      <c r="I2415" s="1" t="s">
        <v>211</v>
      </c>
      <c r="J2415" s="1"/>
      <c r="K2415" s="1"/>
      <c r="L2415" s="1" t="s">
        <v>1391</v>
      </c>
      <c r="M2415" s="1" t="s">
        <v>280</v>
      </c>
      <c r="N2415" s="1">
        <v>0</v>
      </c>
      <c r="O2415" s="1">
        <v>0</v>
      </c>
      <c r="P2415" s="1" t="s">
        <v>17258</v>
      </c>
      <c r="Q2415" s="1" t="s">
        <v>268</v>
      </c>
      <c r="R2415" s="1" t="s">
        <v>17259</v>
      </c>
      <c r="S2415" s="1" t="s">
        <v>17260</v>
      </c>
      <c r="T2415" s="1" t="s">
        <v>16709</v>
      </c>
      <c r="U2415" s="1" t="s">
        <v>17261</v>
      </c>
      <c r="V2415" s="1">
        <v>1</v>
      </c>
      <c r="W2415" s="1">
        <v>1</v>
      </c>
      <c r="X2415" s="1">
        <v>1</v>
      </c>
      <c r="Y2415" s="1">
        <v>0</v>
      </c>
      <c r="Z2415" s="1">
        <v>0</v>
      </c>
      <c r="AA2415" s="1">
        <v>7</v>
      </c>
      <c r="AB2415" s="1">
        <v>7</v>
      </c>
      <c r="AC2415" s="1">
        <v>7</v>
      </c>
      <c r="AD2415" s="1" t="s">
        <v>109</v>
      </c>
      <c r="AE2415" s="1" t="s">
        <v>109</v>
      </c>
      <c r="AF2415" s="1">
        <v>5</v>
      </c>
      <c r="AG2415" s="1" t="s">
        <v>109</v>
      </c>
      <c r="AH2415" s="1" t="s">
        <v>109</v>
      </c>
      <c r="AI2415" s="1" t="s">
        <v>109</v>
      </c>
      <c r="AJ2415" s="1">
        <v>7</v>
      </c>
      <c r="AK2415" s="1" t="s">
        <v>109</v>
      </c>
      <c r="AL2415" s="1">
        <v>7</v>
      </c>
      <c r="AM2415" s="1" t="s">
        <v>109</v>
      </c>
      <c r="AN2415" s="1" t="s">
        <v>109</v>
      </c>
      <c r="AO2415" s="1" t="s">
        <v>109</v>
      </c>
      <c r="AP2415" s="1"/>
      <c r="AQ2415" s="1">
        <v>7</v>
      </c>
      <c r="AR2415" s="1"/>
      <c r="AS2415" s="1" t="s">
        <v>17262</v>
      </c>
      <c r="AT2415" s="1">
        <v>0</v>
      </c>
      <c r="AU2415" s="1">
        <v>0</v>
      </c>
      <c r="AV2415" s="1">
        <v>0</v>
      </c>
      <c r="AW2415" s="1">
        <v>0</v>
      </c>
      <c r="AX2415" s="1">
        <v>1</v>
      </c>
      <c r="AY2415" s="1">
        <v>0</v>
      </c>
      <c r="AZ2415" s="1">
        <v>0</v>
      </c>
      <c r="BA2415" s="1">
        <v>0</v>
      </c>
      <c r="BB2415" s="1">
        <v>0</v>
      </c>
      <c r="BC2415" s="1">
        <v>0</v>
      </c>
      <c r="BD2415" s="1">
        <v>0</v>
      </c>
      <c r="BE2415" s="1">
        <v>0</v>
      </c>
      <c r="BF2415" s="1">
        <v>0</v>
      </c>
      <c r="BG2415" s="1">
        <v>0</v>
      </c>
      <c r="BH2415" s="1">
        <v>0</v>
      </c>
      <c r="BI2415" s="1">
        <v>0</v>
      </c>
      <c r="BJ2415" s="1">
        <v>0</v>
      </c>
      <c r="BK2415" s="1">
        <v>0</v>
      </c>
      <c r="BL2415" s="1">
        <v>0</v>
      </c>
      <c r="BM2415" s="1">
        <v>1</v>
      </c>
      <c r="BN2415" s="1">
        <v>0</v>
      </c>
      <c r="BO2415" s="1">
        <v>0</v>
      </c>
      <c r="BP2415" s="1">
        <v>0</v>
      </c>
      <c r="BQ2415" s="1">
        <v>0</v>
      </c>
      <c r="BR2415" s="1">
        <v>0</v>
      </c>
      <c r="BS2415" s="1" t="s">
        <v>109</v>
      </c>
      <c r="BT2415" s="1">
        <v>2506</v>
      </c>
      <c r="BU2415" s="1" t="s">
        <v>109</v>
      </c>
      <c r="BV2415" s="1"/>
      <c r="BW2415" s="1"/>
      <c r="BX2415" s="1"/>
      <c r="BY2415" s="1"/>
      <c r="BZ2415" s="1">
        <v>0</v>
      </c>
      <c r="CA2415" s="1" t="s">
        <v>109</v>
      </c>
      <c r="CB2415" s="1" t="s">
        <v>109</v>
      </c>
      <c r="CC2415" s="1">
        <v>7</v>
      </c>
      <c r="CD2415" s="1" t="s">
        <v>109</v>
      </c>
      <c r="CE2415" s="1">
        <v>5</v>
      </c>
      <c r="CF2415" s="1" t="s">
        <v>109</v>
      </c>
      <c r="CG2415" s="1">
        <v>5</v>
      </c>
      <c r="CH2415" s="1" t="s">
        <v>109</v>
      </c>
      <c r="CI2415" s="1" t="s">
        <v>109</v>
      </c>
      <c r="CJ2415" s="1" t="s">
        <v>109</v>
      </c>
      <c r="CK2415" s="1"/>
      <c r="CL2415" s="1">
        <v>0</v>
      </c>
      <c r="CM2415" s="1">
        <v>0</v>
      </c>
      <c r="CN2415" s="1">
        <v>0</v>
      </c>
    </row>
    <row r="2416" spans="1:92" ht="14.25" customHeight="1" x14ac:dyDescent="0.15">
      <c r="A2416" s="1" t="s">
        <v>17263</v>
      </c>
      <c r="B2416" s="1" t="s">
        <v>254</v>
      </c>
      <c r="C2416" s="1"/>
      <c r="D2416" s="1"/>
      <c r="E2416" s="1" t="s">
        <v>17264</v>
      </c>
      <c r="F2416" s="1" t="s">
        <v>3444</v>
      </c>
      <c r="G2416" s="1" t="s">
        <v>17265</v>
      </c>
      <c r="H2416" s="1">
        <v>1</v>
      </c>
      <c r="I2416" s="1" t="s">
        <v>235</v>
      </c>
      <c r="J2416" s="1"/>
      <c r="K2416" s="1"/>
      <c r="L2416" s="1" t="s">
        <v>236</v>
      </c>
      <c r="M2416" s="1" t="s">
        <v>144</v>
      </c>
      <c r="N2416" s="1">
        <v>0</v>
      </c>
      <c r="O2416" s="1">
        <v>0</v>
      </c>
      <c r="P2416" s="1"/>
      <c r="Q2416" s="1"/>
      <c r="R2416" s="1" t="s">
        <v>17266</v>
      </c>
      <c r="S2416" s="1" t="s">
        <v>17267</v>
      </c>
      <c r="T2416" s="1" t="s">
        <v>16709</v>
      </c>
      <c r="U2416" s="1" t="s">
        <v>17268</v>
      </c>
      <c r="V2416" s="1">
        <v>1</v>
      </c>
      <c r="W2416" s="1">
        <v>1</v>
      </c>
      <c r="X2416" s="1">
        <v>1</v>
      </c>
      <c r="Y2416" s="1">
        <v>0</v>
      </c>
      <c r="Z2416" s="1">
        <v>0</v>
      </c>
      <c r="AA2416" s="1" t="s">
        <v>109</v>
      </c>
      <c r="AB2416" s="1" t="s">
        <v>109</v>
      </c>
      <c r="AC2416" s="1">
        <v>6</v>
      </c>
      <c r="AD2416" s="1" t="s">
        <v>109</v>
      </c>
      <c r="AE2416" s="1" t="s">
        <v>109</v>
      </c>
      <c r="AF2416" s="1" t="s">
        <v>109</v>
      </c>
      <c r="AG2416" s="1" t="s">
        <v>109</v>
      </c>
      <c r="AH2416" s="1" t="s">
        <v>109</v>
      </c>
      <c r="AI2416" s="1" t="s">
        <v>109</v>
      </c>
      <c r="AJ2416" s="1">
        <v>6</v>
      </c>
      <c r="AK2416" s="1">
        <v>6</v>
      </c>
      <c r="AL2416" s="1">
        <v>6</v>
      </c>
      <c r="AM2416" s="1" t="s">
        <v>109</v>
      </c>
      <c r="AN2416" s="1" t="s">
        <v>109</v>
      </c>
      <c r="AO2416" s="1" t="s">
        <v>109</v>
      </c>
      <c r="AP2416" s="1"/>
      <c r="AQ2416" s="1">
        <v>6</v>
      </c>
      <c r="AR2416" s="1"/>
      <c r="AS2416" s="1" t="s">
        <v>17269</v>
      </c>
      <c r="AT2416" s="1">
        <v>0</v>
      </c>
      <c r="AU2416" s="1">
        <v>0</v>
      </c>
      <c r="AV2416" s="1">
        <v>0</v>
      </c>
      <c r="AW2416" s="1">
        <v>0</v>
      </c>
      <c r="AX2416" s="1">
        <v>0</v>
      </c>
      <c r="AY2416" s="1">
        <v>0</v>
      </c>
      <c r="AZ2416" s="1">
        <v>0</v>
      </c>
      <c r="BA2416" s="1">
        <v>0</v>
      </c>
      <c r="BB2416" s="1">
        <v>0</v>
      </c>
      <c r="BC2416" s="1">
        <v>0</v>
      </c>
      <c r="BD2416" s="1">
        <v>0</v>
      </c>
      <c r="BE2416" s="1">
        <v>0</v>
      </c>
      <c r="BF2416" s="1">
        <v>0</v>
      </c>
      <c r="BG2416" s="1">
        <v>0</v>
      </c>
      <c r="BH2416" s="1">
        <v>0</v>
      </c>
      <c r="BI2416" s="1">
        <v>0</v>
      </c>
      <c r="BJ2416" s="1">
        <v>0</v>
      </c>
      <c r="BK2416" s="1">
        <v>0</v>
      </c>
      <c r="BL2416" s="1">
        <v>0</v>
      </c>
      <c r="BM2416" s="1">
        <v>0</v>
      </c>
      <c r="BN2416" s="1">
        <v>0</v>
      </c>
      <c r="BO2416" s="1">
        <v>0</v>
      </c>
      <c r="BP2416" s="1">
        <v>0</v>
      </c>
      <c r="BQ2416" s="1">
        <v>0</v>
      </c>
      <c r="BR2416" s="1">
        <v>0</v>
      </c>
      <c r="BS2416" s="1" t="s">
        <v>109</v>
      </c>
      <c r="BT2416" s="1">
        <v>2507</v>
      </c>
      <c r="BU2416" s="1">
        <v>250</v>
      </c>
      <c r="BV2416" s="1"/>
      <c r="BW2416" s="1"/>
      <c r="BX2416" s="1"/>
      <c r="BY2416" s="1"/>
      <c r="BZ2416" s="1">
        <v>0</v>
      </c>
      <c r="CA2416" s="1" t="s">
        <v>109</v>
      </c>
      <c r="CB2416" s="1">
        <v>6</v>
      </c>
      <c r="CC2416" s="1">
        <v>6</v>
      </c>
      <c r="CD2416" s="1">
        <v>4</v>
      </c>
      <c r="CE2416" s="1" t="s">
        <v>109</v>
      </c>
      <c r="CF2416" s="1" t="s">
        <v>109</v>
      </c>
      <c r="CG2416" s="1">
        <v>6</v>
      </c>
      <c r="CH2416" s="1" t="s">
        <v>109</v>
      </c>
      <c r="CI2416" s="1" t="s">
        <v>109</v>
      </c>
      <c r="CJ2416" s="1" t="s">
        <v>109</v>
      </c>
      <c r="CK2416" s="1"/>
      <c r="CL2416" s="1">
        <v>0</v>
      </c>
      <c r="CM2416" s="1">
        <v>0</v>
      </c>
      <c r="CN2416" s="1">
        <v>0</v>
      </c>
    </row>
    <row r="2417" spans="1:92" ht="14.25" customHeight="1" x14ac:dyDescent="0.15">
      <c r="A2417" s="1" t="s">
        <v>17270</v>
      </c>
      <c r="B2417" s="1" t="s">
        <v>674</v>
      </c>
      <c r="C2417" s="1" t="s">
        <v>675</v>
      </c>
      <c r="D2417" s="1"/>
      <c r="E2417" s="1" t="s">
        <v>17271</v>
      </c>
      <c r="F2417" s="1" t="s">
        <v>98</v>
      </c>
      <c r="G2417" s="1" t="s">
        <v>2345</v>
      </c>
      <c r="H2417" s="1">
        <v>0</v>
      </c>
      <c r="I2417" s="1" t="s">
        <v>142</v>
      </c>
      <c r="J2417" s="1"/>
      <c r="K2417" s="1"/>
      <c r="L2417" s="1" t="s">
        <v>17272</v>
      </c>
      <c r="M2417" s="1" t="s">
        <v>5642</v>
      </c>
      <c r="N2417" s="1">
        <v>0</v>
      </c>
      <c r="O2417" s="1">
        <v>0</v>
      </c>
      <c r="P2417" s="1" t="s">
        <v>629</v>
      </c>
      <c r="Q2417" s="1" t="s">
        <v>630</v>
      </c>
      <c r="R2417" s="1" t="s">
        <v>17273</v>
      </c>
      <c r="S2417" s="1" t="s">
        <v>17274</v>
      </c>
      <c r="T2417" s="1" t="s">
        <v>16709</v>
      </c>
      <c r="U2417" s="1" t="s">
        <v>17275</v>
      </c>
      <c r="V2417" s="1">
        <v>0</v>
      </c>
      <c r="W2417" s="1">
        <v>1</v>
      </c>
      <c r="X2417" s="1">
        <v>0</v>
      </c>
      <c r="Y2417" s="1">
        <v>0</v>
      </c>
      <c r="Z2417" s="1">
        <v>0</v>
      </c>
      <c r="AA2417" s="1">
        <v>4</v>
      </c>
      <c r="AB2417" s="1">
        <v>4</v>
      </c>
      <c r="AC2417" s="1">
        <v>4</v>
      </c>
      <c r="AD2417" s="1" t="s">
        <v>109</v>
      </c>
      <c r="AE2417" s="1">
        <v>3</v>
      </c>
      <c r="AF2417" s="1">
        <v>4</v>
      </c>
      <c r="AG2417" s="1" t="s">
        <v>109</v>
      </c>
      <c r="AH2417" s="1" t="s">
        <v>109</v>
      </c>
      <c r="AI2417" s="1" t="s">
        <v>109</v>
      </c>
      <c r="AJ2417" s="1" t="s">
        <v>109</v>
      </c>
      <c r="AK2417" s="1">
        <v>4</v>
      </c>
      <c r="AL2417" s="1">
        <v>4</v>
      </c>
      <c r="AM2417" s="1" t="s">
        <v>109</v>
      </c>
      <c r="AN2417" s="1">
        <v>4</v>
      </c>
      <c r="AO2417" s="1" t="s">
        <v>109</v>
      </c>
      <c r="AP2417" s="1"/>
      <c r="AQ2417" s="1">
        <v>4</v>
      </c>
      <c r="AR2417" s="1"/>
      <c r="AS2417" s="1" t="s">
        <v>17276</v>
      </c>
      <c r="AT2417" s="1">
        <v>0</v>
      </c>
      <c r="AU2417" s="1">
        <v>0</v>
      </c>
      <c r="AV2417" s="1">
        <v>0</v>
      </c>
      <c r="AW2417" s="1">
        <v>0</v>
      </c>
      <c r="AX2417" s="1">
        <v>0</v>
      </c>
      <c r="AY2417" s="1">
        <v>0</v>
      </c>
      <c r="AZ2417" s="1">
        <v>0</v>
      </c>
      <c r="BA2417" s="1">
        <v>0</v>
      </c>
      <c r="BB2417" s="1">
        <v>0</v>
      </c>
      <c r="BC2417" s="1">
        <v>0</v>
      </c>
      <c r="BD2417" s="1">
        <v>0</v>
      </c>
      <c r="BE2417" s="1">
        <v>0</v>
      </c>
      <c r="BF2417" s="1">
        <v>0</v>
      </c>
      <c r="BG2417" s="1">
        <v>0</v>
      </c>
      <c r="BH2417" s="1">
        <v>0</v>
      </c>
      <c r="BI2417" s="1">
        <v>0</v>
      </c>
      <c r="BJ2417" s="1">
        <v>0</v>
      </c>
      <c r="BK2417" s="1">
        <v>0</v>
      </c>
      <c r="BL2417" s="1">
        <v>0</v>
      </c>
      <c r="BM2417" s="1">
        <v>0</v>
      </c>
      <c r="BN2417" s="1">
        <v>0</v>
      </c>
      <c r="BO2417" s="1">
        <v>0</v>
      </c>
      <c r="BP2417" s="1">
        <v>0</v>
      </c>
      <c r="BQ2417" s="1">
        <v>0</v>
      </c>
      <c r="BR2417" s="1">
        <v>0</v>
      </c>
      <c r="BS2417" s="1" t="s">
        <v>109</v>
      </c>
      <c r="BT2417" s="1">
        <v>2508</v>
      </c>
      <c r="BU2417" s="1" t="s">
        <v>109</v>
      </c>
      <c r="BV2417" s="1"/>
      <c r="BW2417" s="1"/>
      <c r="BX2417" s="1"/>
      <c r="BY2417" s="1"/>
      <c r="BZ2417" s="1">
        <v>0</v>
      </c>
      <c r="CA2417" s="1" t="s">
        <v>109</v>
      </c>
      <c r="CB2417" s="1" t="s">
        <v>109</v>
      </c>
      <c r="CC2417" s="1">
        <v>4</v>
      </c>
      <c r="CD2417" s="1" t="s">
        <v>109</v>
      </c>
      <c r="CE2417" s="1" t="s">
        <v>109</v>
      </c>
      <c r="CF2417" s="1">
        <v>4</v>
      </c>
      <c r="CG2417" s="1">
        <v>4</v>
      </c>
      <c r="CH2417" s="1" t="s">
        <v>109</v>
      </c>
      <c r="CI2417" s="1" t="s">
        <v>109</v>
      </c>
      <c r="CJ2417" s="1">
        <v>3</v>
      </c>
      <c r="CK2417" s="1"/>
      <c r="CL2417" s="1">
        <v>0</v>
      </c>
      <c r="CM2417" s="1">
        <v>0</v>
      </c>
      <c r="CN2417" s="1">
        <v>0</v>
      </c>
    </row>
    <row r="2418" spans="1:92" ht="14.25" customHeight="1" x14ac:dyDescent="0.15">
      <c r="A2418" s="1" t="s">
        <v>17277</v>
      </c>
      <c r="B2418" s="1" t="s">
        <v>308</v>
      </c>
      <c r="C2418" s="1"/>
      <c r="D2418" s="1"/>
      <c r="E2418" s="1" t="s">
        <v>17278</v>
      </c>
      <c r="F2418" s="1" t="s">
        <v>98</v>
      </c>
      <c r="G2418" s="1" t="s">
        <v>17279</v>
      </c>
      <c r="H2418" s="1">
        <v>0</v>
      </c>
      <c r="I2418" s="1" t="s">
        <v>211</v>
      </c>
      <c r="J2418" s="1"/>
      <c r="K2418" s="1"/>
      <c r="L2418" s="1" t="s">
        <v>1391</v>
      </c>
      <c r="M2418" s="1" t="s">
        <v>5811</v>
      </c>
      <c r="N2418" s="1">
        <v>1</v>
      </c>
      <c r="O2418" s="1">
        <v>0</v>
      </c>
      <c r="P2418" s="1" t="s">
        <v>301</v>
      </c>
      <c r="Q2418" s="1" t="s">
        <v>268</v>
      </c>
      <c r="R2418" s="1" t="s">
        <v>17280</v>
      </c>
      <c r="S2418" s="1" t="s">
        <v>17281</v>
      </c>
      <c r="T2418" s="1" t="s">
        <v>16709</v>
      </c>
      <c r="U2418" s="1" t="s">
        <v>17282</v>
      </c>
      <c r="V2418" s="1">
        <v>1</v>
      </c>
      <c r="W2418" s="1">
        <v>1</v>
      </c>
      <c r="X2418" s="1">
        <v>1</v>
      </c>
      <c r="Y2418" s="1">
        <v>0</v>
      </c>
      <c r="Z2418" s="1">
        <v>0</v>
      </c>
      <c r="AA2418" s="1">
        <v>5</v>
      </c>
      <c r="AB2418" s="1">
        <v>5</v>
      </c>
      <c r="AC2418" s="1">
        <v>4</v>
      </c>
      <c r="AD2418" s="1" t="s">
        <v>109</v>
      </c>
      <c r="AE2418" s="1" t="s">
        <v>109</v>
      </c>
      <c r="AF2418" s="1">
        <v>4</v>
      </c>
      <c r="AG2418" s="1">
        <v>4</v>
      </c>
      <c r="AH2418" s="1" t="s">
        <v>109</v>
      </c>
      <c r="AI2418" s="1" t="s">
        <v>109</v>
      </c>
      <c r="AJ2418" s="1">
        <v>5</v>
      </c>
      <c r="AK2418" s="1">
        <v>4</v>
      </c>
      <c r="AL2418" s="1">
        <v>4</v>
      </c>
      <c r="AM2418" s="1" t="s">
        <v>109</v>
      </c>
      <c r="AN2418" s="1" t="s">
        <v>109</v>
      </c>
      <c r="AO2418" s="1" t="s">
        <v>109</v>
      </c>
      <c r="AP2418" s="1"/>
      <c r="AQ2418" s="1">
        <v>5</v>
      </c>
      <c r="AR2418" s="1"/>
      <c r="AS2418" s="1" t="s">
        <v>17283</v>
      </c>
      <c r="AT2418" s="1">
        <v>0</v>
      </c>
      <c r="AU2418" s="1">
        <v>0</v>
      </c>
      <c r="AV2418" s="1">
        <v>0</v>
      </c>
      <c r="AW2418" s="1">
        <v>0</v>
      </c>
      <c r="AX2418" s="1">
        <v>0</v>
      </c>
      <c r="AY2418" s="1">
        <v>0</v>
      </c>
      <c r="AZ2418" s="1">
        <v>0</v>
      </c>
      <c r="BA2418" s="1">
        <v>0</v>
      </c>
      <c r="BB2418" s="1">
        <v>0</v>
      </c>
      <c r="BC2418" s="1">
        <v>0</v>
      </c>
      <c r="BD2418" s="1">
        <v>0</v>
      </c>
      <c r="BE2418" s="1">
        <v>0</v>
      </c>
      <c r="BF2418" s="1">
        <v>0</v>
      </c>
      <c r="BG2418" s="1">
        <v>0</v>
      </c>
      <c r="BH2418" s="1">
        <v>0</v>
      </c>
      <c r="BI2418" s="1">
        <v>0</v>
      </c>
      <c r="BJ2418" s="1">
        <v>0</v>
      </c>
      <c r="BK2418" s="1">
        <v>0</v>
      </c>
      <c r="BL2418" s="1">
        <v>0</v>
      </c>
      <c r="BM2418" s="1">
        <v>0</v>
      </c>
      <c r="BN2418" s="1">
        <v>0</v>
      </c>
      <c r="BO2418" s="1">
        <v>0</v>
      </c>
      <c r="BP2418" s="1">
        <v>0</v>
      </c>
      <c r="BQ2418" s="1">
        <v>0</v>
      </c>
      <c r="BR2418" s="1">
        <v>0</v>
      </c>
      <c r="BS2418" s="1" t="s">
        <v>109</v>
      </c>
      <c r="BT2418" s="1">
        <v>2509</v>
      </c>
      <c r="BU2418" s="1" t="s">
        <v>109</v>
      </c>
      <c r="BV2418" s="1"/>
      <c r="BW2418" s="1"/>
      <c r="BX2418" s="1"/>
      <c r="BY2418" s="1"/>
      <c r="BZ2418" s="1">
        <v>0</v>
      </c>
      <c r="CA2418" s="1" t="s">
        <v>109</v>
      </c>
      <c r="CB2418" s="1" t="s">
        <v>109</v>
      </c>
      <c r="CC2418" s="1">
        <v>5</v>
      </c>
      <c r="CD2418" s="1">
        <v>3</v>
      </c>
      <c r="CE2418" s="1" t="s">
        <v>109</v>
      </c>
      <c r="CF2418" s="1">
        <v>4</v>
      </c>
      <c r="CG2418" s="1">
        <v>4</v>
      </c>
      <c r="CH2418" s="1" t="s">
        <v>109</v>
      </c>
      <c r="CI2418" s="1" t="s">
        <v>109</v>
      </c>
      <c r="CJ2418" s="1" t="s">
        <v>109</v>
      </c>
      <c r="CK2418" s="1"/>
      <c r="CL2418" s="1">
        <v>0</v>
      </c>
      <c r="CM2418" s="1">
        <v>0</v>
      </c>
      <c r="CN2418" s="1">
        <v>0</v>
      </c>
    </row>
    <row r="2419" spans="1:92" ht="14.25" customHeight="1" x14ac:dyDescent="0.15">
      <c r="A2419" s="1" t="s">
        <v>17284</v>
      </c>
      <c r="B2419" s="1" t="s">
        <v>95</v>
      </c>
      <c r="C2419" s="1" t="s">
        <v>694</v>
      </c>
      <c r="D2419" s="1"/>
      <c r="E2419" s="1" t="s">
        <v>17285</v>
      </c>
      <c r="F2419" s="1" t="s">
        <v>395</v>
      </c>
      <c r="G2419" s="1" t="s">
        <v>17286</v>
      </c>
      <c r="H2419" s="1">
        <v>1</v>
      </c>
      <c r="I2419" s="1" t="s">
        <v>161</v>
      </c>
      <c r="J2419" s="1"/>
      <c r="K2419" s="1"/>
      <c r="L2419" s="1" t="s">
        <v>3910</v>
      </c>
      <c r="M2419" s="1" t="s">
        <v>144</v>
      </c>
      <c r="N2419" s="1">
        <v>0</v>
      </c>
      <c r="O2419" s="1">
        <v>0</v>
      </c>
      <c r="P2419" s="1" t="s">
        <v>8111</v>
      </c>
      <c r="Q2419" s="1" t="s">
        <v>268</v>
      </c>
      <c r="R2419" s="1" t="s">
        <v>17287</v>
      </c>
      <c r="S2419" s="1" t="s">
        <v>17288</v>
      </c>
      <c r="T2419" s="1" t="s">
        <v>16709</v>
      </c>
      <c r="U2419" s="1" t="s">
        <v>17289</v>
      </c>
      <c r="V2419" s="1">
        <v>1</v>
      </c>
      <c r="W2419" s="1">
        <v>1</v>
      </c>
      <c r="X2419" s="1">
        <v>1</v>
      </c>
      <c r="Y2419" s="1">
        <v>0</v>
      </c>
      <c r="Z2419" s="1">
        <v>1</v>
      </c>
      <c r="AA2419" s="1" t="s">
        <v>109</v>
      </c>
      <c r="AB2419" s="1" t="s">
        <v>109</v>
      </c>
      <c r="AC2419" s="1" t="s">
        <v>109</v>
      </c>
      <c r="AD2419" s="1">
        <v>6</v>
      </c>
      <c r="AE2419" s="1" t="s">
        <v>109</v>
      </c>
      <c r="AF2419" s="1" t="s">
        <v>109</v>
      </c>
      <c r="AG2419" s="1" t="s">
        <v>109</v>
      </c>
      <c r="AH2419" s="1" t="s">
        <v>109</v>
      </c>
      <c r="AI2419" s="1" t="s">
        <v>109</v>
      </c>
      <c r="AJ2419" s="1">
        <v>7</v>
      </c>
      <c r="AK2419" s="1" t="s">
        <v>109</v>
      </c>
      <c r="AL2419" s="1" t="s">
        <v>109</v>
      </c>
      <c r="AM2419" s="1" t="s">
        <v>109</v>
      </c>
      <c r="AN2419" s="1" t="s">
        <v>109</v>
      </c>
      <c r="AO2419" s="1" t="s">
        <v>109</v>
      </c>
      <c r="AP2419" s="1"/>
      <c r="AQ2419" s="1">
        <v>6</v>
      </c>
      <c r="AR2419" s="1"/>
      <c r="AS2419" s="1" t="s">
        <v>17290</v>
      </c>
      <c r="AT2419" s="1">
        <v>0</v>
      </c>
      <c r="AU2419" s="1">
        <v>0</v>
      </c>
      <c r="AV2419" s="1">
        <v>0</v>
      </c>
      <c r="AW2419" s="1">
        <v>0</v>
      </c>
      <c r="AX2419" s="1">
        <v>0</v>
      </c>
      <c r="AY2419" s="1">
        <v>0</v>
      </c>
      <c r="AZ2419" s="1">
        <v>0</v>
      </c>
      <c r="BA2419" s="1">
        <v>0</v>
      </c>
      <c r="BB2419" s="1">
        <v>0</v>
      </c>
      <c r="BC2419" s="1">
        <v>0</v>
      </c>
      <c r="BD2419" s="1">
        <v>0</v>
      </c>
      <c r="BE2419" s="1">
        <v>0</v>
      </c>
      <c r="BF2419" s="1">
        <v>0</v>
      </c>
      <c r="BG2419" s="1">
        <v>0</v>
      </c>
      <c r="BH2419" s="1">
        <v>0</v>
      </c>
      <c r="BI2419" s="1">
        <v>0</v>
      </c>
      <c r="BJ2419" s="1">
        <v>0</v>
      </c>
      <c r="BK2419" s="1">
        <v>0</v>
      </c>
      <c r="BL2419" s="1">
        <v>0</v>
      </c>
      <c r="BM2419" s="1">
        <v>0</v>
      </c>
      <c r="BN2419" s="1">
        <v>0</v>
      </c>
      <c r="BO2419" s="1">
        <v>0</v>
      </c>
      <c r="BP2419" s="1">
        <v>0</v>
      </c>
      <c r="BQ2419" s="1">
        <v>0</v>
      </c>
      <c r="BR2419" s="1">
        <v>0</v>
      </c>
      <c r="BS2419" s="1" t="s">
        <v>109</v>
      </c>
      <c r="BT2419" s="1">
        <v>2510</v>
      </c>
      <c r="BU2419" s="1">
        <v>2500</v>
      </c>
      <c r="BV2419" s="1"/>
      <c r="BW2419" s="1"/>
      <c r="BX2419" s="1"/>
      <c r="BY2419" s="1"/>
      <c r="BZ2419" s="1">
        <v>0</v>
      </c>
      <c r="CA2419" s="1" t="s">
        <v>109</v>
      </c>
      <c r="CB2419" s="1">
        <v>6</v>
      </c>
      <c r="CC2419" s="1" t="s">
        <v>109</v>
      </c>
      <c r="CD2419" s="1" t="s">
        <v>109</v>
      </c>
      <c r="CE2419" s="1" t="s">
        <v>109</v>
      </c>
      <c r="CF2419" s="1" t="s">
        <v>109</v>
      </c>
      <c r="CG2419" s="1" t="s">
        <v>109</v>
      </c>
      <c r="CH2419" s="1" t="s">
        <v>109</v>
      </c>
      <c r="CI2419" s="1" t="s">
        <v>109</v>
      </c>
      <c r="CJ2419" s="1">
        <v>6</v>
      </c>
      <c r="CK2419" s="1"/>
      <c r="CL2419" s="1">
        <v>0</v>
      </c>
      <c r="CM2419" s="1">
        <v>0</v>
      </c>
      <c r="CN2419" s="1">
        <v>0</v>
      </c>
    </row>
    <row r="2420" spans="1:92" ht="14.25" customHeight="1" x14ac:dyDescent="0.15">
      <c r="A2420" s="1" t="s">
        <v>17291</v>
      </c>
      <c r="B2420" s="1" t="s">
        <v>95</v>
      </c>
      <c r="C2420" s="1" t="s">
        <v>96</v>
      </c>
      <c r="D2420" s="1"/>
      <c r="E2420" s="1" t="s">
        <v>15928</v>
      </c>
      <c r="F2420" s="1" t="s">
        <v>277</v>
      </c>
      <c r="G2420" s="1" t="s">
        <v>17292</v>
      </c>
      <c r="H2420" s="1">
        <v>1</v>
      </c>
      <c r="I2420" s="1" t="s">
        <v>100</v>
      </c>
      <c r="J2420" s="1"/>
      <c r="K2420" s="1" t="s">
        <v>17293</v>
      </c>
      <c r="L2420" s="1"/>
      <c r="M2420" s="1" t="s">
        <v>5811</v>
      </c>
      <c r="N2420" s="1">
        <v>1</v>
      </c>
      <c r="O2420" s="1">
        <v>0</v>
      </c>
      <c r="P2420" s="1" t="s">
        <v>103</v>
      </c>
      <c r="Q2420" s="1" t="s">
        <v>104</v>
      </c>
      <c r="R2420" s="1" t="s">
        <v>17294</v>
      </c>
      <c r="S2420" s="1" t="s">
        <v>17295</v>
      </c>
      <c r="T2420" s="1" t="s">
        <v>16709</v>
      </c>
      <c r="U2420" s="1" t="s">
        <v>17296</v>
      </c>
      <c r="V2420" s="1">
        <v>1</v>
      </c>
      <c r="W2420" s="1">
        <v>1</v>
      </c>
      <c r="X2420" s="1">
        <v>0</v>
      </c>
      <c r="Y2420" s="1">
        <v>0</v>
      </c>
      <c r="Z2420" s="1">
        <v>0</v>
      </c>
      <c r="AA2420" s="1">
        <v>9</v>
      </c>
      <c r="AB2420" s="1">
        <v>9</v>
      </c>
      <c r="AC2420" s="1" t="s">
        <v>109</v>
      </c>
      <c r="AD2420" s="1" t="s">
        <v>109</v>
      </c>
      <c r="AE2420" s="1" t="s">
        <v>109</v>
      </c>
      <c r="AF2420" s="1" t="s">
        <v>109</v>
      </c>
      <c r="AG2420" s="1" t="s">
        <v>109</v>
      </c>
      <c r="AH2420" s="1" t="s">
        <v>109</v>
      </c>
      <c r="AI2420" s="1" t="s">
        <v>109</v>
      </c>
      <c r="AJ2420" s="1" t="s">
        <v>109</v>
      </c>
      <c r="AK2420" s="1" t="s">
        <v>109</v>
      </c>
      <c r="AL2420" s="1" t="s">
        <v>109</v>
      </c>
      <c r="AM2420" s="1" t="s">
        <v>109</v>
      </c>
      <c r="AN2420" s="1" t="s">
        <v>109</v>
      </c>
      <c r="AO2420" s="1" t="s">
        <v>109</v>
      </c>
      <c r="AP2420" s="1"/>
      <c r="AQ2420" s="1">
        <v>9</v>
      </c>
      <c r="AR2420" s="1"/>
      <c r="AS2420" s="1" t="s">
        <v>17297</v>
      </c>
      <c r="AT2420" s="1">
        <v>0</v>
      </c>
      <c r="AU2420" s="1">
        <v>0</v>
      </c>
      <c r="AV2420" s="1">
        <v>0</v>
      </c>
      <c r="AW2420" s="1">
        <v>0</v>
      </c>
      <c r="AX2420" s="1">
        <v>0</v>
      </c>
      <c r="AY2420" s="1">
        <v>0</v>
      </c>
      <c r="AZ2420" s="1">
        <v>0</v>
      </c>
      <c r="BA2420" s="1">
        <v>0</v>
      </c>
      <c r="BB2420" s="1">
        <v>0</v>
      </c>
      <c r="BC2420" s="1">
        <v>0</v>
      </c>
      <c r="BD2420" s="1">
        <v>0</v>
      </c>
      <c r="BE2420" s="1">
        <v>0</v>
      </c>
      <c r="BF2420" s="1">
        <v>0</v>
      </c>
      <c r="BG2420" s="1">
        <v>0</v>
      </c>
      <c r="BH2420" s="1">
        <v>0</v>
      </c>
      <c r="BI2420" s="1">
        <v>0</v>
      </c>
      <c r="BJ2420" s="1">
        <v>0</v>
      </c>
      <c r="BK2420" s="1">
        <v>0</v>
      </c>
      <c r="BL2420" s="1">
        <v>0</v>
      </c>
      <c r="BM2420" s="1">
        <v>0</v>
      </c>
      <c r="BN2420" s="1">
        <v>0</v>
      </c>
      <c r="BO2420" s="1">
        <v>0</v>
      </c>
      <c r="BP2420" s="1">
        <v>0</v>
      </c>
      <c r="BQ2420" s="1">
        <v>0</v>
      </c>
      <c r="BR2420" s="1">
        <v>0</v>
      </c>
      <c r="BS2420" s="1" t="s">
        <v>109</v>
      </c>
      <c r="BT2420" s="1">
        <v>2511</v>
      </c>
      <c r="BU2420" s="1">
        <v>500</v>
      </c>
      <c r="BV2420" s="1"/>
      <c r="BW2420" s="1"/>
      <c r="BX2420" s="1"/>
      <c r="BY2420" s="1"/>
      <c r="BZ2420" s="1">
        <v>0</v>
      </c>
      <c r="CA2420" s="1" t="s">
        <v>109</v>
      </c>
      <c r="CB2420" s="1" t="s">
        <v>109</v>
      </c>
      <c r="CC2420" s="1">
        <v>9</v>
      </c>
      <c r="CD2420" s="1" t="s">
        <v>109</v>
      </c>
      <c r="CE2420" s="1" t="s">
        <v>109</v>
      </c>
      <c r="CF2420" s="1" t="s">
        <v>109</v>
      </c>
      <c r="CG2420" s="1" t="s">
        <v>109</v>
      </c>
      <c r="CH2420" s="1" t="s">
        <v>109</v>
      </c>
      <c r="CI2420" s="1" t="s">
        <v>109</v>
      </c>
      <c r="CJ2420" s="1" t="s">
        <v>109</v>
      </c>
      <c r="CK2420" s="1"/>
      <c r="CL2420" s="1">
        <v>0</v>
      </c>
      <c r="CM2420" s="1">
        <v>0</v>
      </c>
      <c r="CN2420" s="1">
        <v>0</v>
      </c>
    </row>
    <row r="2421" spans="1:92" ht="14.25" customHeight="1" x14ac:dyDescent="0.15">
      <c r="A2421" s="1" t="s">
        <v>17298</v>
      </c>
      <c r="B2421" s="1" t="s">
        <v>254</v>
      </c>
      <c r="C2421" s="1"/>
      <c r="D2421" s="1"/>
      <c r="E2421" s="1" t="s">
        <v>17299</v>
      </c>
      <c r="F2421" s="1" t="s">
        <v>98</v>
      </c>
      <c r="G2421" s="1" t="s">
        <v>333</v>
      </c>
      <c r="H2421" s="1">
        <v>0</v>
      </c>
      <c r="I2421" s="1" t="s">
        <v>100</v>
      </c>
      <c r="J2421" s="1"/>
      <c r="K2421" s="1" t="s">
        <v>17300</v>
      </c>
      <c r="L2421" s="1"/>
      <c r="M2421" s="1" t="s">
        <v>5811</v>
      </c>
      <c r="N2421" s="1">
        <v>1</v>
      </c>
      <c r="O2421" s="1">
        <v>0</v>
      </c>
      <c r="P2421" s="1" t="s">
        <v>2475</v>
      </c>
      <c r="Q2421" s="1" t="s">
        <v>268</v>
      </c>
      <c r="R2421" s="1" t="s">
        <v>17301</v>
      </c>
      <c r="S2421" s="1" t="s">
        <v>17302</v>
      </c>
      <c r="T2421" s="1" t="s">
        <v>16709</v>
      </c>
      <c r="U2421" s="1" t="s">
        <v>17303</v>
      </c>
      <c r="V2421" s="1">
        <v>1</v>
      </c>
      <c r="W2421" s="1">
        <v>0</v>
      </c>
      <c r="X2421" s="1">
        <v>0</v>
      </c>
      <c r="Y2421" s="1">
        <v>0</v>
      </c>
      <c r="Z2421" s="1">
        <v>0</v>
      </c>
      <c r="AA2421" s="1" t="s">
        <v>109</v>
      </c>
      <c r="AB2421" s="1" t="s">
        <v>109</v>
      </c>
      <c r="AC2421" s="1" t="s">
        <v>109</v>
      </c>
      <c r="AD2421" s="1" t="s">
        <v>109</v>
      </c>
      <c r="AE2421" s="1" t="s">
        <v>109</v>
      </c>
      <c r="AF2421" s="1">
        <v>2</v>
      </c>
      <c r="AG2421" s="1" t="s">
        <v>109</v>
      </c>
      <c r="AH2421" s="1" t="s">
        <v>109</v>
      </c>
      <c r="AI2421" s="1" t="s">
        <v>109</v>
      </c>
      <c r="AJ2421" s="1" t="s">
        <v>109</v>
      </c>
      <c r="AK2421" s="1">
        <v>2</v>
      </c>
      <c r="AL2421" s="1" t="s">
        <v>109</v>
      </c>
      <c r="AM2421" s="1" t="s">
        <v>109</v>
      </c>
      <c r="AN2421" s="1" t="s">
        <v>109</v>
      </c>
      <c r="AO2421" s="1" t="s">
        <v>109</v>
      </c>
      <c r="AP2421" s="1"/>
      <c r="AQ2421" s="1">
        <v>2</v>
      </c>
      <c r="AR2421" s="1"/>
      <c r="AS2421" s="1" t="s">
        <v>17304</v>
      </c>
      <c r="AT2421" s="1">
        <v>0</v>
      </c>
      <c r="AU2421" s="1">
        <v>0</v>
      </c>
      <c r="AV2421" s="1">
        <v>0</v>
      </c>
      <c r="AW2421" s="1">
        <v>0</v>
      </c>
      <c r="AX2421" s="1">
        <v>0</v>
      </c>
      <c r="AY2421" s="1">
        <v>0</v>
      </c>
      <c r="AZ2421" s="1">
        <v>0</v>
      </c>
      <c r="BA2421" s="1">
        <v>0</v>
      </c>
      <c r="BB2421" s="1">
        <v>0</v>
      </c>
      <c r="BC2421" s="1">
        <v>0</v>
      </c>
      <c r="BD2421" s="1">
        <v>0</v>
      </c>
      <c r="BE2421" s="1">
        <v>0</v>
      </c>
      <c r="BF2421" s="1">
        <v>0</v>
      </c>
      <c r="BG2421" s="1">
        <v>0</v>
      </c>
      <c r="BH2421" s="1">
        <v>0</v>
      </c>
      <c r="BI2421" s="1">
        <v>0</v>
      </c>
      <c r="BJ2421" s="1">
        <v>0</v>
      </c>
      <c r="BK2421" s="1">
        <v>0</v>
      </c>
      <c r="BL2421" s="1">
        <v>0</v>
      </c>
      <c r="BM2421" s="1">
        <v>0</v>
      </c>
      <c r="BN2421" s="1">
        <v>0</v>
      </c>
      <c r="BO2421" s="1">
        <v>0</v>
      </c>
      <c r="BP2421" s="1">
        <v>0</v>
      </c>
      <c r="BQ2421" s="1">
        <v>0</v>
      </c>
      <c r="BR2421" s="1">
        <v>0</v>
      </c>
      <c r="BS2421" s="1" t="s">
        <v>109</v>
      </c>
      <c r="BT2421" s="1">
        <v>2512</v>
      </c>
      <c r="BU2421" s="1" t="s">
        <v>109</v>
      </c>
      <c r="BV2421" s="1"/>
      <c r="BW2421" s="1"/>
      <c r="BX2421" s="1"/>
      <c r="BY2421" s="1"/>
      <c r="BZ2421" s="1">
        <v>0</v>
      </c>
      <c r="CA2421" s="1" t="s">
        <v>109</v>
      </c>
      <c r="CB2421" s="1" t="s">
        <v>109</v>
      </c>
      <c r="CC2421" s="1">
        <v>3</v>
      </c>
      <c r="CD2421" s="1">
        <v>1</v>
      </c>
      <c r="CE2421" s="1">
        <v>2</v>
      </c>
      <c r="CF2421" s="1" t="s">
        <v>109</v>
      </c>
      <c r="CG2421" s="1" t="s">
        <v>109</v>
      </c>
      <c r="CH2421" s="1" t="s">
        <v>109</v>
      </c>
      <c r="CI2421" s="1" t="s">
        <v>109</v>
      </c>
      <c r="CJ2421" s="1" t="s">
        <v>109</v>
      </c>
      <c r="CK2421" s="1"/>
      <c r="CL2421" s="1">
        <v>0</v>
      </c>
      <c r="CM2421" s="1">
        <v>0</v>
      </c>
      <c r="CN2421" s="1">
        <v>0</v>
      </c>
    </row>
    <row r="2422" spans="1:92" ht="14.25" customHeight="1" x14ac:dyDescent="0.15">
      <c r="A2422" s="1" t="s">
        <v>17305</v>
      </c>
      <c r="B2422" s="1" t="s">
        <v>674</v>
      </c>
      <c r="C2422" s="1" t="s">
        <v>1715</v>
      </c>
      <c r="D2422" s="1" t="s">
        <v>158</v>
      </c>
      <c r="E2422" s="1" t="s">
        <v>17306</v>
      </c>
      <c r="F2422" s="1" t="s">
        <v>98</v>
      </c>
      <c r="G2422" s="1" t="s">
        <v>2345</v>
      </c>
      <c r="H2422" s="1">
        <v>0</v>
      </c>
      <c r="I2422" s="1" t="s">
        <v>100</v>
      </c>
      <c r="J2422" s="1"/>
      <c r="K2422" s="1"/>
      <c r="L2422" s="1" t="s">
        <v>716</v>
      </c>
      <c r="M2422" s="1" t="s">
        <v>6144</v>
      </c>
      <c r="N2422" s="1">
        <v>1</v>
      </c>
      <c r="O2422" s="1">
        <v>0</v>
      </c>
      <c r="P2422" s="1" t="s">
        <v>2304</v>
      </c>
      <c r="Q2422" s="1" t="s">
        <v>268</v>
      </c>
      <c r="R2422" s="1" t="s">
        <v>17307</v>
      </c>
      <c r="S2422" s="1" t="s">
        <v>17308</v>
      </c>
      <c r="T2422" s="1" t="s">
        <v>16709</v>
      </c>
      <c r="U2422" s="1" t="s">
        <v>17309</v>
      </c>
      <c r="V2422" s="1">
        <v>0</v>
      </c>
      <c r="W2422" s="1">
        <v>1</v>
      </c>
      <c r="X2422" s="1">
        <v>0</v>
      </c>
      <c r="Y2422" s="1">
        <v>0</v>
      </c>
      <c r="Z2422" s="1">
        <v>0</v>
      </c>
      <c r="AA2422" s="1">
        <v>5</v>
      </c>
      <c r="AB2422" s="1">
        <v>5</v>
      </c>
      <c r="AC2422" s="1" t="s">
        <v>109</v>
      </c>
      <c r="AD2422" s="1" t="s">
        <v>109</v>
      </c>
      <c r="AE2422" s="1" t="s">
        <v>109</v>
      </c>
      <c r="AF2422" s="1">
        <v>5</v>
      </c>
      <c r="AG2422" s="1" t="s">
        <v>109</v>
      </c>
      <c r="AH2422" s="1" t="s">
        <v>109</v>
      </c>
      <c r="AI2422" s="1" t="s">
        <v>109</v>
      </c>
      <c r="AJ2422" s="1" t="s">
        <v>109</v>
      </c>
      <c r="AK2422" s="1" t="s">
        <v>109</v>
      </c>
      <c r="AL2422" s="1" t="s">
        <v>109</v>
      </c>
      <c r="AM2422" s="1" t="s">
        <v>109</v>
      </c>
      <c r="AN2422" s="1">
        <v>5</v>
      </c>
      <c r="AO2422" s="1" t="s">
        <v>109</v>
      </c>
      <c r="AP2422" s="1"/>
      <c r="AQ2422" s="1">
        <v>5</v>
      </c>
      <c r="AR2422" s="1"/>
      <c r="AS2422" s="1" t="s">
        <v>17310</v>
      </c>
      <c r="AT2422" s="1">
        <v>0</v>
      </c>
      <c r="AU2422" s="1">
        <v>0</v>
      </c>
      <c r="AV2422" s="1">
        <v>0</v>
      </c>
      <c r="AW2422" s="1">
        <v>0</v>
      </c>
      <c r="AX2422" s="1">
        <v>0</v>
      </c>
      <c r="AY2422" s="1">
        <v>0</v>
      </c>
      <c r="AZ2422" s="1">
        <v>0</v>
      </c>
      <c r="BA2422" s="1">
        <v>0</v>
      </c>
      <c r="BB2422" s="1">
        <v>0</v>
      </c>
      <c r="BC2422" s="1">
        <v>0</v>
      </c>
      <c r="BD2422" s="1">
        <v>0</v>
      </c>
      <c r="BE2422" s="1">
        <v>0</v>
      </c>
      <c r="BF2422" s="1">
        <v>0</v>
      </c>
      <c r="BG2422" s="1">
        <v>0</v>
      </c>
      <c r="BH2422" s="1">
        <v>0</v>
      </c>
      <c r="BI2422" s="1">
        <v>0</v>
      </c>
      <c r="BJ2422" s="1">
        <v>0</v>
      </c>
      <c r="BK2422" s="1">
        <v>0</v>
      </c>
      <c r="BL2422" s="1">
        <v>0</v>
      </c>
      <c r="BM2422" s="1">
        <v>1</v>
      </c>
      <c r="BN2422" s="1">
        <v>0</v>
      </c>
      <c r="BO2422" s="1">
        <v>0</v>
      </c>
      <c r="BP2422" s="1">
        <v>0</v>
      </c>
      <c r="BQ2422" s="1">
        <v>0</v>
      </c>
      <c r="BR2422" s="1">
        <v>0</v>
      </c>
      <c r="BS2422" s="1" t="s">
        <v>109</v>
      </c>
      <c r="BT2422" s="1">
        <v>2513</v>
      </c>
      <c r="BU2422" s="1" t="s">
        <v>109</v>
      </c>
      <c r="BV2422" s="1"/>
      <c r="BW2422" s="1"/>
      <c r="BX2422" s="1"/>
      <c r="BY2422" s="1"/>
      <c r="BZ2422" s="1">
        <v>0</v>
      </c>
      <c r="CA2422" s="1" t="s">
        <v>109</v>
      </c>
      <c r="CB2422" s="1" t="s">
        <v>109</v>
      </c>
      <c r="CC2422" s="1">
        <v>5</v>
      </c>
      <c r="CD2422" s="1">
        <v>4</v>
      </c>
      <c r="CE2422" s="1">
        <v>5</v>
      </c>
      <c r="CF2422" s="1">
        <v>5</v>
      </c>
      <c r="CG2422" s="1" t="s">
        <v>109</v>
      </c>
      <c r="CH2422" s="1" t="s">
        <v>109</v>
      </c>
      <c r="CI2422" s="1" t="s">
        <v>109</v>
      </c>
      <c r="CJ2422" s="1" t="s">
        <v>109</v>
      </c>
      <c r="CK2422" s="1"/>
      <c r="CL2422" s="1">
        <v>0</v>
      </c>
      <c r="CM2422" s="1">
        <v>0</v>
      </c>
      <c r="CN2422" s="1">
        <v>0</v>
      </c>
    </row>
    <row r="2423" spans="1:92" ht="14.25" customHeight="1" x14ac:dyDescent="0.15">
      <c r="A2423" s="1" t="s">
        <v>17311</v>
      </c>
      <c r="B2423" s="1" t="s">
        <v>242</v>
      </c>
      <c r="C2423" s="1"/>
      <c r="D2423" s="1"/>
      <c r="E2423" s="1" t="s">
        <v>17312</v>
      </c>
      <c r="F2423" s="1" t="s">
        <v>98</v>
      </c>
      <c r="G2423" s="1" t="s">
        <v>17313</v>
      </c>
      <c r="H2423" s="1">
        <v>0</v>
      </c>
      <c r="I2423" s="1" t="s">
        <v>142</v>
      </c>
      <c r="J2423" s="1" t="s">
        <v>17314</v>
      </c>
      <c r="K2423" s="1"/>
      <c r="L2423" s="1"/>
      <c r="M2423" s="1" t="s">
        <v>6719</v>
      </c>
      <c r="N2423" s="1">
        <v>1</v>
      </c>
      <c r="O2423" s="1">
        <v>0</v>
      </c>
      <c r="P2423" s="1" t="s">
        <v>103</v>
      </c>
      <c r="Q2423" s="1" t="s">
        <v>104</v>
      </c>
      <c r="R2423" s="1" t="s">
        <v>17315</v>
      </c>
      <c r="S2423" s="1" t="s">
        <v>17316</v>
      </c>
      <c r="T2423" s="1" t="s">
        <v>16709</v>
      </c>
      <c r="U2423" s="1" t="s">
        <v>17317</v>
      </c>
      <c r="V2423" s="1">
        <v>1</v>
      </c>
      <c r="W2423" s="1">
        <v>1</v>
      </c>
      <c r="X2423" s="1">
        <v>0</v>
      </c>
      <c r="Y2423" s="1">
        <v>0</v>
      </c>
      <c r="Z2423" s="1">
        <v>1</v>
      </c>
      <c r="AA2423" s="1">
        <v>3</v>
      </c>
      <c r="AB2423" s="1">
        <v>3</v>
      </c>
      <c r="AC2423" s="1" t="s">
        <v>109</v>
      </c>
      <c r="AD2423" s="1" t="s">
        <v>109</v>
      </c>
      <c r="AE2423" s="1">
        <v>2</v>
      </c>
      <c r="AF2423" s="1">
        <v>3</v>
      </c>
      <c r="AG2423" s="1" t="s">
        <v>109</v>
      </c>
      <c r="AH2423" s="1" t="s">
        <v>109</v>
      </c>
      <c r="AI2423" s="1">
        <v>3</v>
      </c>
      <c r="AJ2423" s="1" t="s">
        <v>109</v>
      </c>
      <c r="AK2423" s="1">
        <v>3</v>
      </c>
      <c r="AL2423" s="1" t="s">
        <v>109</v>
      </c>
      <c r="AM2423" s="1" t="s">
        <v>109</v>
      </c>
      <c r="AN2423" s="1" t="s">
        <v>109</v>
      </c>
      <c r="AO2423" s="1" t="s">
        <v>109</v>
      </c>
      <c r="AP2423" s="1"/>
      <c r="AQ2423" s="1">
        <v>3</v>
      </c>
      <c r="AR2423" s="1"/>
      <c r="AS2423" s="1" t="s">
        <v>17318</v>
      </c>
      <c r="AT2423" s="1">
        <v>0</v>
      </c>
      <c r="AU2423" s="1">
        <v>0</v>
      </c>
      <c r="AV2423" s="1">
        <v>0</v>
      </c>
      <c r="AW2423" s="1">
        <v>0</v>
      </c>
      <c r="AX2423" s="1">
        <v>0</v>
      </c>
      <c r="AY2423" s="1">
        <v>0</v>
      </c>
      <c r="AZ2423" s="1">
        <v>0</v>
      </c>
      <c r="BA2423" s="1">
        <v>0</v>
      </c>
      <c r="BB2423" s="1">
        <v>0</v>
      </c>
      <c r="BC2423" s="1">
        <v>0</v>
      </c>
      <c r="BD2423" s="1">
        <v>0</v>
      </c>
      <c r="BE2423" s="1">
        <v>0</v>
      </c>
      <c r="BF2423" s="1">
        <v>0</v>
      </c>
      <c r="BG2423" s="1">
        <v>0</v>
      </c>
      <c r="BH2423" s="1">
        <v>0</v>
      </c>
      <c r="BI2423" s="1">
        <v>0</v>
      </c>
      <c r="BJ2423" s="1">
        <v>0</v>
      </c>
      <c r="BK2423" s="1">
        <v>0</v>
      </c>
      <c r="BL2423" s="1">
        <v>0</v>
      </c>
      <c r="BM2423" s="1">
        <v>0</v>
      </c>
      <c r="BN2423" s="1">
        <v>0</v>
      </c>
      <c r="BO2423" s="1">
        <v>0</v>
      </c>
      <c r="BP2423" s="1">
        <v>0</v>
      </c>
      <c r="BQ2423" s="1">
        <v>0</v>
      </c>
      <c r="BR2423" s="1">
        <v>0</v>
      </c>
      <c r="BS2423" s="1" t="s">
        <v>109</v>
      </c>
      <c r="BT2423" s="1">
        <v>2514</v>
      </c>
      <c r="BU2423" s="1" t="s">
        <v>109</v>
      </c>
      <c r="BV2423" s="1"/>
      <c r="BW2423" s="1"/>
      <c r="BX2423" s="1"/>
      <c r="BY2423" s="1"/>
      <c r="BZ2423" s="1">
        <v>0</v>
      </c>
      <c r="CA2423" s="1" t="s">
        <v>109</v>
      </c>
      <c r="CB2423" s="1" t="s">
        <v>109</v>
      </c>
      <c r="CC2423" s="1">
        <v>3</v>
      </c>
      <c r="CD2423" s="1" t="s">
        <v>109</v>
      </c>
      <c r="CE2423" s="1" t="s">
        <v>109</v>
      </c>
      <c r="CF2423" s="1">
        <v>3</v>
      </c>
      <c r="CG2423" s="1">
        <v>3</v>
      </c>
      <c r="CH2423" s="1" t="s">
        <v>109</v>
      </c>
      <c r="CI2423" s="1" t="s">
        <v>109</v>
      </c>
      <c r="CJ2423" s="1">
        <v>2</v>
      </c>
      <c r="CK2423" s="1"/>
      <c r="CL2423" s="1">
        <v>0</v>
      </c>
      <c r="CM2423" s="1">
        <v>0</v>
      </c>
      <c r="CN2423" s="1">
        <v>0</v>
      </c>
    </row>
    <row r="2424" spans="1:92" ht="14.25" customHeight="1" x14ac:dyDescent="0.15">
      <c r="A2424" s="1" t="s">
        <v>17319</v>
      </c>
      <c r="B2424" s="1" t="s">
        <v>156</v>
      </c>
      <c r="C2424" s="1" t="s">
        <v>157</v>
      </c>
      <c r="D2424" s="1" t="s">
        <v>158</v>
      </c>
      <c r="E2424" s="1" t="s">
        <v>17320</v>
      </c>
      <c r="F2424" s="1" t="s">
        <v>98</v>
      </c>
      <c r="G2424" s="1" t="s">
        <v>141</v>
      </c>
      <c r="H2424" s="1">
        <v>0</v>
      </c>
      <c r="I2424" s="1" t="s">
        <v>142</v>
      </c>
      <c r="J2424" s="1"/>
      <c r="K2424" s="1"/>
      <c r="L2424" s="1" t="s">
        <v>506</v>
      </c>
      <c r="M2424" s="1" t="s">
        <v>574</v>
      </c>
      <c r="N2424" s="1">
        <v>1</v>
      </c>
      <c r="O2424" s="1">
        <v>0</v>
      </c>
      <c r="P2424" s="1" t="s">
        <v>301</v>
      </c>
      <c r="Q2424" s="1" t="s">
        <v>268</v>
      </c>
      <c r="R2424" s="1" t="s">
        <v>17321</v>
      </c>
      <c r="S2424" s="1" t="s">
        <v>17322</v>
      </c>
      <c r="T2424" s="1" t="s">
        <v>16709</v>
      </c>
      <c r="U2424" s="1" t="s">
        <v>17323</v>
      </c>
      <c r="V2424" s="1">
        <v>1</v>
      </c>
      <c r="W2424" s="1">
        <v>1</v>
      </c>
      <c r="X2424" s="1">
        <v>0</v>
      </c>
      <c r="Y2424" s="1">
        <v>0</v>
      </c>
      <c r="Z2424" s="1">
        <v>0</v>
      </c>
      <c r="AA2424" s="1" t="s">
        <v>109</v>
      </c>
      <c r="AB2424" s="1" t="s">
        <v>109</v>
      </c>
      <c r="AC2424" s="1" t="s">
        <v>109</v>
      </c>
      <c r="AD2424" s="1" t="s">
        <v>109</v>
      </c>
      <c r="AE2424" s="1" t="s">
        <v>109</v>
      </c>
      <c r="AF2424" s="1">
        <v>2</v>
      </c>
      <c r="AG2424" s="1" t="s">
        <v>109</v>
      </c>
      <c r="AH2424" s="1" t="s">
        <v>109</v>
      </c>
      <c r="AI2424" s="1" t="s">
        <v>109</v>
      </c>
      <c r="AJ2424" s="1" t="s">
        <v>109</v>
      </c>
      <c r="AK2424" s="1">
        <v>2</v>
      </c>
      <c r="AL2424" s="1" t="s">
        <v>109</v>
      </c>
      <c r="AM2424" s="1" t="s">
        <v>109</v>
      </c>
      <c r="AN2424" s="1" t="s">
        <v>109</v>
      </c>
      <c r="AO2424" s="1" t="s">
        <v>109</v>
      </c>
      <c r="AP2424" s="1"/>
      <c r="AQ2424" s="1">
        <v>2</v>
      </c>
      <c r="AR2424" s="1"/>
      <c r="AS2424" s="1" t="s">
        <v>17324</v>
      </c>
      <c r="AT2424" s="1">
        <v>0</v>
      </c>
      <c r="AU2424" s="1">
        <v>0</v>
      </c>
      <c r="AV2424" s="1">
        <v>0</v>
      </c>
      <c r="AW2424" s="1">
        <v>0</v>
      </c>
      <c r="AX2424" s="1">
        <v>0</v>
      </c>
      <c r="AY2424" s="1">
        <v>0</v>
      </c>
      <c r="AZ2424" s="1">
        <v>0</v>
      </c>
      <c r="BA2424" s="1">
        <v>0</v>
      </c>
      <c r="BB2424" s="1">
        <v>0</v>
      </c>
      <c r="BC2424" s="1">
        <v>0</v>
      </c>
      <c r="BD2424" s="1">
        <v>0</v>
      </c>
      <c r="BE2424" s="1">
        <v>0</v>
      </c>
      <c r="BF2424" s="1">
        <v>0</v>
      </c>
      <c r="BG2424" s="1">
        <v>0</v>
      </c>
      <c r="BH2424" s="1">
        <v>0</v>
      </c>
      <c r="BI2424" s="1">
        <v>0</v>
      </c>
      <c r="BJ2424" s="1">
        <v>0</v>
      </c>
      <c r="BK2424" s="1">
        <v>0</v>
      </c>
      <c r="BL2424" s="1">
        <v>0</v>
      </c>
      <c r="BM2424" s="1">
        <v>1</v>
      </c>
      <c r="BN2424" s="1">
        <v>0</v>
      </c>
      <c r="BO2424" s="1">
        <v>0</v>
      </c>
      <c r="BP2424" s="1">
        <v>0</v>
      </c>
      <c r="BQ2424" s="1">
        <v>0</v>
      </c>
      <c r="BR2424" s="1">
        <v>0</v>
      </c>
      <c r="BS2424" s="1" t="s">
        <v>109</v>
      </c>
      <c r="BT2424" s="1">
        <v>2515</v>
      </c>
      <c r="BU2424" s="1" t="s">
        <v>109</v>
      </c>
      <c r="BV2424" s="1"/>
      <c r="BW2424" s="1"/>
      <c r="BX2424" s="1"/>
      <c r="BY2424" s="1"/>
      <c r="BZ2424" s="1">
        <v>0</v>
      </c>
      <c r="CA2424" s="1" t="s">
        <v>109</v>
      </c>
      <c r="CB2424" s="1" t="s">
        <v>109</v>
      </c>
      <c r="CC2424" s="1">
        <v>3</v>
      </c>
      <c r="CD2424" s="1" t="s">
        <v>109</v>
      </c>
      <c r="CE2424" s="1">
        <v>2</v>
      </c>
      <c r="CF2424" s="1" t="s">
        <v>109</v>
      </c>
      <c r="CG2424" s="1" t="s">
        <v>109</v>
      </c>
      <c r="CH2424" s="1" t="s">
        <v>109</v>
      </c>
      <c r="CI2424" s="1" t="s">
        <v>109</v>
      </c>
      <c r="CJ2424" s="1" t="s">
        <v>109</v>
      </c>
      <c r="CK2424" s="1"/>
      <c r="CL2424" s="1">
        <v>0</v>
      </c>
      <c r="CM2424" s="1">
        <v>0</v>
      </c>
      <c r="CN2424" s="1">
        <v>0</v>
      </c>
    </row>
    <row r="2425" spans="1:92" ht="14.25" customHeight="1" x14ac:dyDescent="0.15">
      <c r="A2425" s="1" t="s">
        <v>17325</v>
      </c>
      <c r="B2425" s="1" t="s">
        <v>674</v>
      </c>
      <c r="C2425" s="1" t="s">
        <v>675</v>
      </c>
      <c r="D2425" s="1" t="s">
        <v>69</v>
      </c>
      <c r="E2425" s="1" t="s">
        <v>17326</v>
      </c>
      <c r="F2425" s="1" t="s">
        <v>98</v>
      </c>
      <c r="G2425" s="1" t="s">
        <v>141</v>
      </c>
      <c r="H2425" s="1">
        <v>0</v>
      </c>
      <c r="I2425" s="1" t="s">
        <v>142</v>
      </c>
      <c r="J2425" s="1"/>
      <c r="K2425" s="1"/>
      <c r="L2425" s="1" t="s">
        <v>17327</v>
      </c>
      <c r="M2425" s="1" t="s">
        <v>8008</v>
      </c>
      <c r="N2425" s="1">
        <v>1</v>
      </c>
      <c r="O2425" s="1">
        <v>0</v>
      </c>
      <c r="P2425" s="1" t="s">
        <v>17328</v>
      </c>
      <c r="Q2425" s="1" t="s">
        <v>104</v>
      </c>
      <c r="R2425" s="1" t="s">
        <v>17329</v>
      </c>
      <c r="S2425" s="1" t="s">
        <v>17330</v>
      </c>
      <c r="T2425" s="1" t="s">
        <v>16709</v>
      </c>
      <c r="U2425" s="1" t="s">
        <v>17331</v>
      </c>
      <c r="V2425" s="1">
        <v>1</v>
      </c>
      <c r="W2425" s="1">
        <v>1</v>
      </c>
      <c r="X2425" s="1">
        <v>0</v>
      </c>
      <c r="Y2425" s="1">
        <v>0</v>
      </c>
      <c r="Z2425" s="1">
        <v>0</v>
      </c>
      <c r="AA2425" s="1">
        <v>2</v>
      </c>
      <c r="AB2425" s="1">
        <v>2</v>
      </c>
      <c r="AC2425" s="1" t="s">
        <v>109</v>
      </c>
      <c r="AD2425" s="1" t="s">
        <v>109</v>
      </c>
      <c r="AE2425" s="1" t="s">
        <v>109</v>
      </c>
      <c r="AF2425" s="1">
        <v>2</v>
      </c>
      <c r="AG2425" s="1" t="s">
        <v>109</v>
      </c>
      <c r="AH2425" s="1">
        <v>2</v>
      </c>
      <c r="AI2425" s="1" t="s">
        <v>109</v>
      </c>
      <c r="AJ2425" s="1" t="s">
        <v>109</v>
      </c>
      <c r="AK2425" s="1">
        <v>2</v>
      </c>
      <c r="AL2425" s="1" t="s">
        <v>109</v>
      </c>
      <c r="AM2425" s="1">
        <v>2</v>
      </c>
      <c r="AN2425" s="1">
        <v>2</v>
      </c>
      <c r="AO2425" s="1" t="s">
        <v>109</v>
      </c>
      <c r="AP2425" s="1"/>
      <c r="AQ2425" s="1">
        <v>2</v>
      </c>
      <c r="AR2425" s="1"/>
      <c r="AS2425" s="1" t="s">
        <v>17332</v>
      </c>
      <c r="AT2425" s="1">
        <v>0</v>
      </c>
      <c r="AU2425" s="1">
        <v>0</v>
      </c>
      <c r="AV2425" s="1">
        <v>0</v>
      </c>
      <c r="AW2425" s="1">
        <v>0</v>
      </c>
      <c r="AX2425" s="1">
        <v>0</v>
      </c>
      <c r="AY2425" s="1">
        <v>0</v>
      </c>
      <c r="AZ2425" s="1">
        <v>0</v>
      </c>
      <c r="BA2425" s="1">
        <v>0</v>
      </c>
      <c r="BB2425" s="1">
        <v>0</v>
      </c>
      <c r="BC2425" s="1">
        <v>0</v>
      </c>
      <c r="BD2425" s="1">
        <v>0</v>
      </c>
      <c r="BE2425" s="1">
        <v>0</v>
      </c>
      <c r="BF2425" s="1">
        <v>0</v>
      </c>
      <c r="BG2425" s="1">
        <v>0</v>
      </c>
      <c r="BH2425" s="1">
        <v>0</v>
      </c>
      <c r="BI2425" s="1">
        <v>0</v>
      </c>
      <c r="BJ2425" s="1">
        <v>0</v>
      </c>
      <c r="BK2425" s="1">
        <v>0</v>
      </c>
      <c r="BL2425" s="1">
        <v>0</v>
      </c>
      <c r="BM2425" s="1">
        <v>0</v>
      </c>
      <c r="BN2425" s="1">
        <v>0</v>
      </c>
      <c r="BO2425" s="1">
        <v>0</v>
      </c>
      <c r="BP2425" s="1">
        <v>0</v>
      </c>
      <c r="BQ2425" s="1">
        <v>1</v>
      </c>
      <c r="BR2425" s="1">
        <v>0</v>
      </c>
      <c r="BS2425" s="1" t="s">
        <v>109</v>
      </c>
      <c r="BT2425" s="1">
        <v>2516</v>
      </c>
      <c r="BU2425" s="1" t="s">
        <v>109</v>
      </c>
      <c r="BV2425" s="1"/>
      <c r="BW2425" s="1"/>
      <c r="BX2425" s="1"/>
      <c r="BY2425" s="1"/>
      <c r="BZ2425" s="1">
        <v>0</v>
      </c>
      <c r="CA2425" s="1" t="s">
        <v>109</v>
      </c>
      <c r="CB2425" s="1" t="s">
        <v>109</v>
      </c>
      <c r="CC2425" s="1">
        <v>2</v>
      </c>
      <c r="CD2425" s="1">
        <v>2</v>
      </c>
      <c r="CE2425" s="1">
        <v>2</v>
      </c>
      <c r="CF2425" s="1">
        <v>2</v>
      </c>
      <c r="CG2425" s="1">
        <v>2</v>
      </c>
      <c r="CH2425" s="1" t="s">
        <v>109</v>
      </c>
      <c r="CI2425" s="1" t="s">
        <v>109</v>
      </c>
      <c r="CJ2425" s="1" t="s">
        <v>109</v>
      </c>
      <c r="CK2425" s="1"/>
      <c r="CL2425" s="1">
        <v>0</v>
      </c>
      <c r="CM2425" s="1">
        <v>0</v>
      </c>
      <c r="CN2425" s="1">
        <v>0</v>
      </c>
    </row>
    <row r="2426" spans="1:92" ht="14.25" customHeight="1" x14ac:dyDescent="0.15">
      <c r="A2426" s="1" t="s">
        <v>17333</v>
      </c>
      <c r="B2426" s="1" t="s">
        <v>189</v>
      </c>
      <c r="C2426" s="1"/>
      <c r="D2426" s="1"/>
      <c r="E2426" s="1" t="s">
        <v>17334</v>
      </c>
      <c r="F2426" s="1" t="s">
        <v>98</v>
      </c>
      <c r="G2426" s="1" t="s">
        <v>160</v>
      </c>
      <c r="H2426" s="1">
        <v>0</v>
      </c>
      <c r="I2426" s="1" t="s">
        <v>235</v>
      </c>
      <c r="J2426" s="1"/>
      <c r="K2426" s="1"/>
      <c r="L2426" s="1" t="s">
        <v>236</v>
      </c>
      <c r="M2426" s="1" t="s">
        <v>3385</v>
      </c>
      <c r="N2426" s="1">
        <v>0</v>
      </c>
      <c r="O2426" s="1">
        <v>0</v>
      </c>
      <c r="P2426" s="1"/>
      <c r="Q2426" s="1"/>
      <c r="R2426" s="1" t="s">
        <v>17335</v>
      </c>
      <c r="S2426" s="1" t="s">
        <v>17336</v>
      </c>
      <c r="T2426" s="1" t="s">
        <v>16709</v>
      </c>
      <c r="U2426" s="1" t="s">
        <v>17337</v>
      </c>
      <c r="V2426" s="1">
        <v>1</v>
      </c>
      <c r="W2426" s="1">
        <v>1</v>
      </c>
      <c r="X2426" s="1">
        <v>0</v>
      </c>
      <c r="Y2426" s="1">
        <v>0</v>
      </c>
      <c r="Z2426" s="1">
        <v>1</v>
      </c>
      <c r="AA2426" s="1" t="s">
        <v>109</v>
      </c>
      <c r="AB2426" s="1" t="s">
        <v>109</v>
      </c>
      <c r="AC2426" s="1" t="s">
        <v>109</v>
      </c>
      <c r="AD2426" s="1">
        <v>5</v>
      </c>
      <c r="AE2426" s="1" t="s">
        <v>109</v>
      </c>
      <c r="AF2426" s="1" t="s">
        <v>109</v>
      </c>
      <c r="AG2426" s="1" t="s">
        <v>109</v>
      </c>
      <c r="AH2426" s="1">
        <v>5</v>
      </c>
      <c r="AI2426" s="1" t="s">
        <v>109</v>
      </c>
      <c r="AJ2426" s="1">
        <v>5</v>
      </c>
      <c r="AK2426" s="1" t="s">
        <v>109</v>
      </c>
      <c r="AL2426" s="1" t="s">
        <v>109</v>
      </c>
      <c r="AM2426" s="1" t="s">
        <v>109</v>
      </c>
      <c r="AN2426" s="1" t="s">
        <v>109</v>
      </c>
      <c r="AO2426" s="1" t="s">
        <v>109</v>
      </c>
      <c r="AP2426" s="1"/>
      <c r="AQ2426" s="1">
        <v>5</v>
      </c>
      <c r="AR2426" s="1"/>
      <c r="AS2426" s="1" t="s">
        <v>17338</v>
      </c>
      <c r="AT2426" s="1">
        <v>0</v>
      </c>
      <c r="AU2426" s="1">
        <v>0</v>
      </c>
      <c r="AV2426" s="1">
        <v>0</v>
      </c>
      <c r="AW2426" s="1">
        <v>0</v>
      </c>
      <c r="AX2426" s="1">
        <v>0</v>
      </c>
      <c r="AY2426" s="1">
        <v>0</v>
      </c>
      <c r="AZ2426" s="1">
        <v>0</v>
      </c>
      <c r="BA2426" s="1">
        <v>0</v>
      </c>
      <c r="BB2426" s="1">
        <v>0</v>
      </c>
      <c r="BC2426" s="1">
        <v>0</v>
      </c>
      <c r="BD2426" s="1">
        <v>0</v>
      </c>
      <c r="BE2426" s="1">
        <v>0</v>
      </c>
      <c r="BF2426" s="1">
        <v>0</v>
      </c>
      <c r="BG2426" s="1">
        <v>0</v>
      </c>
      <c r="BH2426" s="1">
        <v>0</v>
      </c>
      <c r="BI2426" s="1">
        <v>0</v>
      </c>
      <c r="BJ2426" s="1">
        <v>0</v>
      </c>
      <c r="BK2426" s="1">
        <v>0</v>
      </c>
      <c r="BL2426" s="1">
        <v>0</v>
      </c>
      <c r="BM2426" s="1">
        <v>0</v>
      </c>
      <c r="BN2426" s="1">
        <v>0</v>
      </c>
      <c r="BO2426" s="1">
        <v>0</v>
      </c>
      <c r="BP2426" s="1">
        <v>0</v>
      </c>
      <c r="BQ2426" s="1">
        <v>0</v>
      </c>
      <c r="BR2426" s="1">
        <v>0</v>
      </c>
      <c r="BS2426" s="1" t="s">
        <v>109</v>
      </c>
      <c r="BT2426" s="1">
        <v>2517</v>
      </c>
      <c r="BU2426" s="1" t="s">
        <v>109</v>
      </c>
      <c r="BV2426" s="1"/>
      <c r="BW2426" s="1"/>
      <c r="BX2426" s="1"/>
      <c r="BY2426" s="1"/>
      <c r="BZ2426" s="1">
        <v>0</v>
      </c>
      <c r="CA2426" s="1" t="s">
        <v>109</v>
      </c>
      <c r="CB2426" s="1">
        <v>5</v>
      </c>
      <c r="CC2426" s="1" t="s">
        <v>109</v>
      </c>
      <c r="CD2426" s="1" t="s">
        <v>109</v>
      </c>
      <c r="CE2426" s="1" t="s">
        <v>109</v>
      </c>
      <c r="CF2426" s="1" t="s">
        <v>109</v>
      </c>
      <c r="CG2426" s="1" t="s">
        <v>109</v>
      </c>
      <c r="CH2426" s="1" t="s">
        <v>109</v>
      </c>
      <c r="CI2426" s="1" t="s">
        <v>109</v>
      </c>
      <c r="CJ2426" s="1">
        <v>5</v>
      </c>
      <c r="CK2426" s="1"/>
      <c r="CL2426" s="1">
        <v>0</v>
      </c>
      <c r="CM2426" s="1">
        <v>0</v>
      </c>
      <c r="CN2426" s="1">
        <v>0</v>
      </c>
    </row>
    <row r="2427" spans="1:92" ht="14.25" customHeight="1" x14ac:dyDescent="0.15">
      <c r="A2427" s="1" t="s">
        <v>17339</v>
      </c>
      <c r="B2427" s="1" t="s">
        <v>156</v>
      </c>
      <c r="C2427" s="1" t="s">
        <v>157</v>
      </c>
      <c r="D2427" s="1" t="s">
        <v>17340</v>
      </c>
      <c r="E2427" s="1" t="s">
        <v>17341</v>
      </c>
      <c r="F2427" s="1" t="s">
        <v>98</v>
      </c>
      <c r="G2427" s="1" t="s">
        <v>17342</v>
      </c>
      <c r="H2427" s="1">
        <v>0</v>
      </c>
      <c r="I2427" s="1" t="s">
        <v>16540</v>
      </c>
      <c r="J2427" s="1"/>
      <c r="K2427" s="1"/>
      <c r="L2427" s="1" t="s">
        <v>17343</v>
      </c>
      <c r="M2427" s="1" t="s">
        <v>6144</v>
      </c>
      <c r="N2427" s="1">
        <v>1</v>
      </c>
      <c r="O2427" s="1">
        <v>0</v>
      </c>
      <c r="P2427" s="1" t="s">
        <v>301</v>
      </c>
      <c r="Q2427" s="1" t="s">
        <v>268</v>
      </c>
      <c r="R2427" s="1" t="s">
        <v>17344</v>
      </c>
      <c r="S2427" s="1" t="s">
        <v>17345</v>
      </c>
      <c r="T2427" s="1" t="s">
        <v>16709</v>
      </c>
      <c r="U2427" s="1" t="s">
        <v>17346</v>
      </c>
      <c r="V2427" s="1">
        <v>1</v>
      </c>
      <c r="W2427" s="1">
        <v>1</v>
      </c>
      <c r="X2427" s="1">
        <v>1</v>
      </c>
      <c r="Y2427" s="1">
        <v>0</v>
      </c>
      <c r="Z2427" s="1">
        <v>1</v>
      </c>
      <c r="AA2427" s="1" t="s">
        <v>109</v>
      </c>
      <c r="AB2427" s="1" t="s">
        <v>109</v>
      </c>
      <c r="AC2427" s="1" t="s">
        <v>109</v>
      </c>
      <c r="AD2427" s="1" t="s">
        <v>109</v>
      </c>
      <c r="AE2427" s="1" t="s">
        <v>109</v>
      </c>
      <c r="AF2427" s="1">
        <v>3</v>
      </c>
      <c r="AG2427" s="1">
        <v>3</v>
      </c>
      <c r="AH2427" s="1" t="s">
        <v>109</v>
      </c>
      <c r="AI2427" s="1" t="s">
        <v>109</v>
      </c>
      <c r="AJ2427" s="1">
        <v>4</v>
      </c>
      <c r="AK2427" s="1">
        <v>3</v>
      </c>
      <c r="AL2427" s="1" t="s">
        <v>109</v>
      </c>
      <c r="AM2427" s="1" t="s">
        <v>109</v>
      </c>
      <c r="AN2427" s="1" t="s">
        <v>109</v>
      </c>
      <c r="AO2427" s="1" t="s">
        <v>109</v>
      </c>
      <c r="AP2427" s="1"/>
      <c r="AQ2427" s="1">
        <v>3</v>
      </c>
      <c r="AR2427" s="1"/>
      <c r="AS2427" s="1" t="s">
        <v>17347</v>
      </c>
      <c r="AT2427" s="1">
        <v>0</v>
      </c>
      <c r="AU2427" s="1">
        <v>0</v>
      </c>
      <c r="AV2427" s="1">
        <v>0</v>
      </c>
      <c r="AW2427" s="1">
        <v>0</v>
      </c>
      <c r="AX2427" s="1">
        <v>0</v>
      </c>
      <c r="AY2427" s="1">
        <v>0</v>
      </c>
      <c r="AZ2427" s="1">
        <v>0</v>
      </c>
      <c r="BA2427" s="1">
        <v>0</v>
      </c>
      <c r="BB2427" s="1">
        <v>0</v>
      </c>
      <c r="BC2427" s="1">
        <v>0</v>
      </c>
      <c r="BD2427" s="1">
        <v>1</v>
      </c>
      <c r="BE2427" s="1">
        <v>0</v>
      </c>
      <c r="BF2427" s="1">
        <v>1</v>
      </c>
      <c r="BG2427" s="1">
        <v>0</v>
      </c>
      <c r="BH2427" s="1">
        <v>0</v>
      </c>
      <c r="BI2427" s="1">
        <v>0</v>
      </c>
      <c r="BJ2427" s="1">
        <v>0</v>
      </c>
      <c r="BK2427" s="1">
        <v>0</v>
      </c>
      <c r="BL2427" s="1">
        <v>0</v>
      </c>
      <c r="BM2427" s="1">
        <v>0</v>
      </c>
      <c r="BN2427" s="1">
        <v>0</v>
      </c>
      <c r="BO2427" s="1">
        <v>0</v>
      </c>
      <c r="BP2427" s="1">
        <v>0</v>
      </c>
      <c r="BQ2427" s="1">
        <v>0</v>
      </c>
      <c r="BR2427" s="1">
        <v>0</v>
      </c>
      <c r="BS2427" s="1" t="s">
        <v>109</v>
      </c>
      <c r="BT2427" s="1">
        <v>2518</v>
      </c>
      <c r="BU2427" s="1" t="s">
        <v>109</v>
      </c>
      <c r="BV2427" s="1"/>
      <c r="BW2427" s="1"/>
      <c r="BX2427" s="1"/>
      <c r="BY2427" s="1"/>
      <c r="BZ2427" s="1">
        <v>0</v>
      </c>
      <c r="CA2427" s="1" t="s">
        <v>109</v>
      </c>
      <c r="CB2427" s="1">
        <v>4</v>
      </c>
      <c r="CC2427" s="1">
        <v>4</v>
      </c>
      <c r="CD2427" s="1" t="s">
        <v>109</v>
      </c>
      <c r="CE2427" s="1">
        <v>3</v>
      </c>
      <c r="CF2427" s="1" t="s">
        <v>109</v>
      </c>
      <c r="CG2427" s="1" t="s">
        <v>109</v>
      </c>
      <c r="CH2427" s="1" t="s">
        <v>109</v>
      </c>
      <c r="CI2427" s="1" t="s">
        <v>109</v>
      </c>
      <c r="CJ2427" s="1" t="s">
        <v>109</v>
      </c>
      <c r="CK2427" s="1"/>
      <c r="CL2427" s="1">
        <v>0</v>
      </c>
      <c r="CM2427" s="1">
        <v>0</v>
      </c>
      <c r="CN2427" s="1">
        <v>0</v>
      </c>
    </row>
    <row r="2428" spans="1:92" ht="14.25" customHeight="1" x14ac:dyDescent="0.15">
      <c r="A2428" s="1" t="s">
        <v>17348</v>
      </c>
      <c r="B2428" s="1" t="s">
        <v>254</v>
      </c>
      <c r="C2428" s="1"/>
      <c r="D2428" s="1"/>
      <c r="E2428" s="1" t="s">
        <v>17349</v>
      </c>
      <c r="F2428" s="1" t="s">
        <v>98</v>
      </c>
      <c r="G2428" s="1" t="s">
        <v>17350</v>
      </c>
      <c r="H2428" s="1">
        <v>0</v>
      </c>
      <c r="I2428" s="1" t="s">
        <v>17351</v>
      </c>
      <c r="J2428" s="1" t="s">
        <v>1458</v>
      </c>
      <c r="K2428" s="1"/>
      <c r="L2428" s="1"/>
      <c r="M2428" s="1" t="s">
        <v>3042</v>
      </c>
      <c r="N2428" s="1">
        <v>0</v>
      </c>
      <c r="O2428" s="1">
        <v>0</v>
      </c>
      <c r="P2428" s="1" t="s">
        <v>103</v>
      </c>
      <c r="Q2428" s="1" t="s">
        <v>104</v>
      </c>
      <c r="R2428" s="1" t="s">
        <v>17352</v>
      </c>
      <c r="S2428" s="1" t="s">
        <v>17353</v>
      </c>
      <c r="T2428" s="1" t="s">
        <v>16709</v>
      </c>
      <c r="U2428" s="1" t="s">
        <v>17354</v>
      </c>
      <c r="V2428" s="1">
        <v>1</v>
      </c>
      <c r="W2428" s="1">
        <v>1</v>
      </c>
      <c r="X2428" s="1">
        <v>0</v>
      </c>
      <c r="Y2428" s="1">
        <v>0</v>
      </c>
      <c r="Z2428" s="1">
        <v>0</v>
      </c>
      <c r="AA2428" s="1">
        <v>5</v>
      </c>
      <c r="AB2428" s="1">
        <v>5</v>
      </c>
      <c r="AC2428" s="1" t="s">
        <v>109</v>
      </c>
      <c r="AD2428" s="1" t="s">
        <v>109</v>
      </c>
      <c r="AE2428" s="1" t="s">
        <v>109</v>
      </c>
      <c r="AF2428" s="1" t="s">
        <v>109</v>
      </c>
      <c r="AG2428" s="1" t="s">
        <v>109</v>
      </c>
      <c r="AH2428" s="1" t="s">
        <v>109</v>
      </c>
      <c r="AI2428" s="1" t="s">
        <v>109</v>
      </c>
      <c r="AJ2428" s="1" t="s">
        <v>109</v>
      </c>
      <c r="AK2428" s="1" t="s">
        <v>109</v>
      </c>
      <c r="AL2428" s="1" t="s">
        <v>109</v>
      </c>
      <c r="AM2428" s="1" t="s">
        <v>109</v>
      </c>
      <c r="AN2428" s="1" t="s">
        <v>109</v>
      </c>
      <c r="AO2428" s="1" t="s">
        <v>109</v>
      </c>
      <c r="AP2428" s="1"/>
      <c r="AQ2428" s="1">
        <v>5</v>
      </c>
      <c r="AR2428" s="1"/>
      <c r="AS2428" s="1" t="s">
        <v>17355</v>
      </c>
      <c r="AT2428" s="1">
        <v>0</v>
      </c>
      <c r="AU2428" s="1">
        <v>0</v>
      </c>
      <c r="AV2428" s="1">
        <v>0</v>
      </c>
      <c r="AW2428" s="1">
        <v>0</v>
      </c>
      <c r="AX2428" s="1">
        <v>0</v>
      </c>
      <c r="AY2428" s="1">
        <v>0</v>
      </c>
      <c r="AZ2428" s="1">
        <v>0</v>
      </c>
      <c r="BA2428" s="1">
        <v>0</v>
      </c>
      <c r="BB2428" s="1">
        <v>0</v>
      </c>
      <c r="BC2428" s="1">
        <v>0</v>
      </c>
      <c r="BD2428" s="1">
        <v>0</v>
      </c>
      <c r="BE2428" s="1">
        <v>0</v>
      </c>
      <c r="BF2428" s="1">
        <v>0</v>
      </c>
      <c r="BG2428" s="1">
        <v>0</v>
      </c>
      <c r="BH2428" s="1">
        <v>0</v>
      </c>
      <c r="BI2428" s="1">
        <v>0</v>
      </c>
      <c r="BJ2428" s="1">
        <v>0</v>
      </c>
      <c r="BK2428" s="1">
        <v>0</v>
      </c>
      <c r="BL2428" s="1">
        <v>0</v>
      </c>
      <c r="BM2428" s="1">
        <v>0</v>
      </c>
      <c r="BN2428" s="1">
        <v>0</v>
      </c>
      <c r="BO2428" s="1">
        <v>0</v>
      </c>
      <c r="BP2428" s="1">
        <v>0</v>
      </c>
      <c r="BQ2428" s="1">
        <v>0</v>
      </c>
      <c r="BR2428" s="1">
        <v>0</v>
      </c>
      <c r="BS2428" s="1" t="s">
        <v>109</v>
      </c>
      <c r="BT2428" s="1">
        <v>2519</v>
      </c>
      <c r="BU2428" s="1" t="s">
        <v>109</v>
      </c>
      <c r="BV2428" s="1"/>
      <c r="BW2428" s="1"/>
      <c r="BX2428" s="1"/>
      <c r="BY2428" s="1"/>
      <c r="BZ2428" s="1">
        <v>0</v>
      </c>
      <c r="CA2428" s="1" t="s">
        <v>109</v>
      </c>
      <c r="CB2428" s="1" t="s">
        <v>109</v>
      </c>
      <c r="CC2428" s="1">
        <v>4</v>
      </c>
      <c r="CD2428" s="1" t="s">
        <v>109</v>
      </c>
      <c r="CE2428" s="1" t="s">
        <v>109</v>
      </c>
      <c r="CF2428" s="1" t="s">
        <v>109</v>
      </c>
      <c r="CG2428" s="1" t="s">
        <v>109</v>
      </c>
      <c r="CH2428" s="1" t="s">
        <v>109</v>
      </c>
      <c r="CI2428" s="1" t="s">
        <v>109</v>
      </c>
      <c r="CJ2428" s="1" t="s">
        <v>109</v>
      </c>
      <c r="CK2428" s="1"/>
      <c r="CL2428" s="1">
        <v>0</v>
      </c>
      <c r="CM2428" s="1">
        <v>0</v>
      </c>
      <c r="CN2428" s="1">
        <v>0</v>
      </c>
    </row>
    <row r="2429" spans="1:92" ht="14.25" customHeight="1" x14ac:dyDescent="0.15">
      <c r="A2429" s="1" t="s">
        <v>17356</v>
      </c>
      <c r="B2429" s="1" t="s">
        <v>95</v>
      </c>
      <c r="C2429" s="1" t="s">
        <v>1522</v>
      </c>
      <c r="D2429" s="1"/>
      <c r="E2429" s="1" t="s">
        <v>17357</v>
      </c>
      <c r="F2429" s="1" t="s">
        <v>98</v>
      </c>
      <c r="G2429" s="1" t="s">
        <v>17358</v>
      </c>
      <c r="H2429" s="1">
        <v>0</v>
      </c>
      <c r="I2429" s="1" t="s">
        <v>142</v>
      </c>
      <c r="J2429" s="1"/>
      <c r="K2429" s="1"/>
      <c r="L2429" s="1" t="s">
        <v>16323</v>
      </c>
      <c r="M2429" s="1" t="s">
        <v>144</v>
      </c>
      <c r="N2429" s="1">
        <v>0</v>
      </c>
      <c r="O2429" s="1">
        <v>0</v>
      </c>
      <c r="P2429" s="1" t="s">
        <v>629</v>
      </c>
      <c r="Q2429" s="1" t="s">
        <v>630</v>
      </c>
      <c r="R2429" s="1" t="s">
        <v>17359</v>
      </c>
      <c r="S2429" s="1" t="s">
        <v>17360</v>
      </c>
      <c r="T2429" s="1" t="s">
        <v>16709</v>
      </c>
      <c r="U2429" s="1" t="s">
        <v>17361</v>
      </c>
      <c r="V2429" s="1">
        <v>1</v>
      </c>
      <c r="W2429" s="1">
        <v>1</v>
      </c>
      <c r="X2429" s="1">
        <v>0</v>
      </c>
      <c r="Y2429" s="1">
        <v>0</v>
      </c>
      <c r="Z2429" s="1">
        <v>0</v>
      </c>
      <c r="AA2429" s="1">
        <v>4</v>
      </c>
      <c r="AB2429" s="1">
        <v>4</v>
      </c>
      <c r="AC2429" s="1" t="s">
        <v>109</v>
      </c>
      <c r="AD2429" s="1" t="s">
        <v>109</v>
      </c>
      <c r="AE2429" s="1" t="s">
        <v>109</v>
      </c>
      <c r="AF2429" s="1">
        <v>3</v>
      </c>
      <c r="AG2429" s="1" t="s">
        <v>109</v>
      </c>
      <c r="AH2429" s="1" t="s">
        <v>109</v>
      </c>
      <c r="AI2429" s="1">
        <v>3</v>
      </c>
      <c r="AJ2429" s="1" t="s">
        <v>109</v>
      </c>
      <c r="AK2429" s="1" t="s">
        <v>109</v>
      </c>
      <c r="AL2429" s="1" t="s">
        <v>109</v>
      </c>
      <c r="AM2429" s="1" t="s">
        <v>109</v>
      </c>
      <c r="AN2429" s="1" t="s">
        <v>109</v>
      </c>
      <c r="AO2429" s="1" t="s">
        <v>109</v>
      </c>
      <c r="AP2429" s="1"/>
      <c r="AQ2429" s="1">
        <v>4</v>
      </c>
      <c r="AR2429" s="1"/>
      <c r="AS2429" s="1" t="s">
        <v>17362</v>
      </c>
      <c r="AT2429" s="1">
        <v>0</v>
      </c>
      <c r="AU2429" s="1">
        <v>0</v>
      </c>
      <c r="AV2429" s="1">
        <v>0</v>
      </c>
      <c r="AW2429" s="1">
        <v>0</v>
      </c>
      <c r="AX2429" s="1">
        <v>0</v>
      </c>
      <c r="AY2429" s="1">
        <v>0</v>
      </c>
      <c r="AZ2429" s="1">
        <v>0</v>
      </c>
      <c r="BA2429" s="1">
        <v>0</v>
      </c>
      <c r="BB2429" s="1">
        <v>0</v>
      </c>
      <c r="BC2429" s="1">
        <v>0</v>
      </c>
      <c r="BD2429" s="1">
        <v>0</v>
      </c>
      <c r="BE2429" s="1">
        <v>0</v>
      </c>
      <c r="BF2429" s="1">
        <v>0</v>
      </c>
      <c r="BG2429" s="1">
        <v>0</v>
      </c>
      <c r="BH2429" s="1">
        <v>0</v>
      </c>
      <c r="BI2429" s="1">
        <v>0</v>
      </c>
      <c r="BJ2429" s="1">
        <v>0</v>
      </c>
      <c r="BK2429" s="1">
        <v>0</v>
      </c>
      <c r="BL2429" s="1">
        <v>0</v>
      </c>
      <c r="BM2429" s="1">
        <v>0</v>
      </c>
      <c r="BN2429" s="1">
        <v>0</v>
      </c>
      <c r="BO2429" s="1">
        <v>0</v>
      </c>
      <c r="BP2429" s="1">
        <v>0</v>
      </c>
      <c r="BQ2429" s="1">
        <v>0</v>
      </c>
      <c r="BR2429" s="1">
        <v>0</v>
      </c>
      <c r="BS2429" s="1" t="s">
        <v>109</v>
      </c>
      <c r="BT2429" s="1">
        <v>2520</v>
      </c>
      <c r="BU2429" s="1" t="s">
        <v>109</v>
      </c>
      <c r="BV2429" s="1"/>
      <c r="BW2429" s="1"/>
      <c r="BX2429" s="1"/>
      <c r="BY2429" s="1"/>
      <c r="BZ2429" s="1">
        <v>0</v>
      </c>
      <c r="CA2429" s="1" t="s">
        <v>109</v>
      </c>
      <c r="CB2429" s="1" t="s">
        <v>109</v>
      </c>
      <c r="CC2429" s="1" t="s">
        <v>109</v>
      </c>
      <c r="CD2429" s="1" t="s">
        <v>109</v>
      </c>
      <c r="CE2429" s="1">
        <v>3</v>
      </c>
      <c r="CF2429" s="1" t="s">
        <v>109</v>
      </c>
      <c r="CG2429" s="1" t="s">
        <v>109</v>
      </c>
      <c r="CH2429" s="1" t="s">
        <v>109</v>
      </c>
      <c r="CI2429" s="1" t="s">
        <v>109</v>
      </c>
      <c r="CJ2429" s="1" t="s">
        <v>109</v>
      </c>
      <c r="CK2429" s="1"/>
      <c r="CL2429" s="1">
        <v>0</v>
      </c>
      <c r="CM2429" s="1">
        <v>0</v>
      </c>
      <c r="CN2429" s="1">
        <v>0</v>
      </c>
    </row>
    <row r="2430" spans="1:92" ht="14.25" customHeight="1" x14ac:dyDescent="0.15">
      <c r="A2430" s="1" t="s">
        <v>17363</v>
      </c>
      <c r="B2430" s="1" t="s">
        <v>95</v>
      </c>
      <c r="C2430" s="1" t="s">
        <v>1522</v>
      </c>
      <c r="D2430" s="1" t="s">
        <v>91</v>
      </c>
      <c r="E2430" s="1" t="s">
        <v>17364</v>
      </c>
      <c r="F2430" s="1" t="s">
        <v>98</v>
      </c>
      <c r="G2430" s="1" t="s">
        <v>333</v>
      </c>
      <c r="H2430" s="1">
        <v>0</v>
      </c>
      <c r="I2430" s="1" t="s">
        <v>5018</v>
      </c>
      <c r="J2430" s="1"/>
      <c r="K2430" s="1"/>
      <c r="L2430" s="1" t="s">
        <v>1524</v>
      </c>
      <c r="M2430" s="1" t="s">
        <v>144</v>
      </c>
      <c r="N2430" s="1">
        <v>0</v>
      </c>
      <c r="O2430" s="1">
        <v>0</v>
      </c>
      <c r="P2430" s="1" t="s">
        <v>1525</v>
      </c>
      <c r="Q2430" s="1" t="s">
        <v>1526</v>
      </c>
      <c r="R2430" s="1" t="s">
        <v>17365</v>
      </c>
      <c r="S2430" s="1" t="s">
        <v>17366</v>
      </c>
      <c r="T2430" s="1" t="s">
        <v>16709</v>
      </c>
      <c r="U2430" s="1" t="s">
        <v>17367</v>
      </c>
      <c r="V2430" s="1">
        <v>1</v>
      </c>
      <c r="W2430" s="1">
        <v>0</v>
      </c>
      <c r="X2430" s="1">
        <v>0</v>
      </c>
      <c r="Y2430" s="1">
        <v>0</v>
      </c>
      <c r="Z2430" s="1">
        <v>0</v>
      </c>
      <c r="AA2430" s="1">
        <v>6</v>
      </c>
      <c r="AB2430" s="1">
        <v>6</v>
      </c>
      <c r="AC2430" s="1" t="s">
        <v>109</v>
      </c>
      <c r="AD2430" s="1" t="s">
        <v>109</v>
      </c>
      <c r="AE2430" s="1" t="s">
        <v>109</v>
      </c>
      <c r="AF2430" s="1" t="s">
        <v>109</v>
      </c>
      <c r="AG2430" s="1" t="s">
        <v>109</v>
      </c>
      <c r="AH2430" s="1" t="s">
        <v>109</v>
      </c>
      <c r="AI2430" s="1">
        <v>6</v>
      </c>
      <c r="AJ2430" s="1">
        <v>6</v>
      </c>
      <c r="AK2430" s="1" t="s">
        <v>109</v>
      </c>
      <c r="AL2430" s="1" t="s">
        <v>109</v>
      </c>
      <c r="AM2430" s="1" t="s">
        <v>109</v>
      </c>
      <c r="AN2430" s="1">
        <v>6</v>
      </c>
      <c r="AO2430" s="1" t="s">
        <v>109</v>
      </c>
      <c r="AP2430" s="1"/>
      <c r="AQ2430" s="1">
        <v>6</v>
      </c>
      <c r="AR2430" s="1"/>
      <c r="AS2430" s="1" t="s">
        <v>17368</v>
      </c>
      <c r="AT2430" s="1">
        <v>0</v>
      </c>
      <c r="AU2430" s="1">
        <v>0</v>
      </c>
      <c r="AV2430" s="1">
        <v>0</v>
      </c>
      <c r="AW2430" s="1">
        <v>0</v>
      </c>
      <c r="AX2430" s="1">
        <v>0</v>
      </c>
      <c r="AY2430" s="1">
        <v>0</v>
      </c>
      <c r="AZ2430" s="1">
        <v>0</v>
      </c>
      <c r="BA2430" s="1">
        <v>0</v>
      </c>
      <c r="BB2430" s="1">
        <v>0</v>
      </c>
      <c r="BC2430" s="1">
        <v>0</v>
      </c>
      <c r="BD2430" s="1">
        <v>0</v>
      </c>
      <c r="BE2430" s="1">
        <v>0</v>
      </c>
      <c r="BF2430" s="1">
        <v>0</v>
      </c>
      <c r="BG2430" s="1">
        <v>0</v>
      </c>
      <c r="BH2430" s="1">
        <v>0</v>
      </c>
      <c r="BI2430" s="1">
        <v>0</v>
      </c>
      <c r="BJ2430" s="1">
        <v>0</v>
      </c>
      <c r="BK2430" s="1">
        <v>0</v>
      </c>
      <c r="BL2430" s="1">
        <v>0</v>
      </c>
      <c r="BM2430" s="1">
        <v>0</v>
      </c>
      <c r="BN2430" s="1">
        <v>0</v>
      </c>
      <c r="BO2430" s="1">
        <v>0</v>
      </c>
      <c r="BP2430" s="1">
        <v>0</v>
      </c>
      <c r="BQ2430" s="1">
        <v>0</v>
      </c>
      <c r="BR2430" s="1">
        <v>0</v>
      </c>
      <c r="BS2430" s="1" t="s">
        <v>109</v>
      </c>
      <c r="BT2430" s="1">
        <v>2521</v>
      </c>
      <c r="BU2430" s="1" t="s">
        <v>109</v>
      </c>
      <c r="BV2430" s="1"/>
      <c r="BW2430" s="1"/>
      <c r="BX2430" s="1"/>
      <c r="BY2430" s="1"/>
      <c r="BZ2430" s="1">
        <v>0</v>
      </c>
      <c r="CA2430" s="1" t="s">
        <v>109</v>
      </c>
      <c r="CB2430" s="1" t="s">
        <v>109</v>
      </c>
      <c r="CC2430" s="1">
        <v>6</v>
      </c>
      <c r="CD2430" s="1" t="s">
        <v>109</v>
      </c>
      <c r="CE2430" s="1" t="s">
        <v>109</v>
      </c>
      <c r="CF2430" s="1">
        <v>6</v>
      </c>
      <c r="CG2430" s="1">
        <v>6</v>
      </c>
      <c r="CH2430" s="1" t="s">
        <v>109</v>
      </c>
      <c r="CI2430" s="1" t="s">
        <v>109</v>
      </c>
      <c r="CJ2430" s="1" t="s">
        <v>109</v>
      </c>
      <c r="CK2430" s="1"/>
      <c r="CL2430" s="1">
        <v>1</v>
      </c>
      <c r="CM2430" s="1">
        <v>0</v>
      </c>
      <c r="CN2430" s="1">
        <v>0</v>
      </c>
    </row>
    <row r="2431" spans="1:92" ht="14.25" customHeight="1" x14ac:dyDescent="0.15">
      <c r="A2431" s="1" t="s">
        <v>17369</v>
      </c>
      <c r="B2431" s="1" t="s">
        <v>674</v>
      </c>
      <c r="C2431" s="1" t="s">
        <v>1715</v>
      </c>
      <c r="D2431" s="1" t="s">
        <v>158</v>
      </c>
      <c r="E2431" s="1" t="s">
        <v>17370</v>
      </c>
      <c r="F2431" s="1" t="s">
        <v>98</v>
      </c>
      <c r="G2431" s="1" t="s">
        <v>17371</v>
      </c>
      <c r="H2431" s="1">
        <v>1</v>
      </c>
      <c r="I2431" s="1" t="s">
        <v>100</v>
      </c>
      <c r="J2431" s="1"/>
      <c r="K2431" s="1"/>
      <c r="L2431" s="1" t="s">
        <v>1391</v>
      </c>
      <c r="M2431" s="1" t="s">
        <v>17372</v>
      </c>
      <c r="N2431" s="1">
        <v>0</v>
      </c>
      <c r="O2431" s="1">
        <v>0</v>
      </c>
      <c r="P2431" s="1" t="s">
        <v>2304</v>
      </c>
      <c r="Q2431" s="1" t="s">
        <v>268</v>
      </c>
      <c r="R2431" s="1" t="s">
        <v>17373</v>
      </c>
      <c r="S2431" s="1" t="s">
        <v>17374</v>
      </c>
      <c r="T2431" s="1" t="s">
        <v>16709</v>
      </c>
      <c r="U2431" s="1" t="s">
        <v>17375</v>
      </c>
      <c r="V2431" s="1">
        <v>1</v>
      </c>
      <c r="W2431" s="1">
        <v>1</v>
      </c>
      <c r="X2431" s="1">
        <v>1</v>
      </c>
      <c r="Y2431" s="1">
        <v>0</v>
      </c>
      <c r="Z2431" s="1">
        <v>0</v>
      </c>
      <c r="AA2431" s="1">
        <v>6</v>
      </c>
      <c r="AB2431" s="1">
        <v>6</v>
      </c>
      <c r="AC2431" s="1" t="s">
        <v>109</v>
      </c>
      <c r="AD2431" s="1" t="s">
        <v>109</v>
      </c>
      <c r="AE2431" s="1" t="s">
        <v>109</v>
      </c>
      <c r="AF2431" s="1">
        <v>6</v>
      </c>
      <c r="AG2431" s="1" t="s">
        <v>109</v>
      </c>
      <c r="AH2431" s="1" t="s">
        <v>109</v>
      </c>
      <c r="AI2431" s="1" t="s">
        <v>109</v>
      </c>
      <c r="AJ2431" s="1" t="s">
        <v>109</v>
      </c>
      <c r="AK2431" s="1" t="s">
        <v>109</v>
      </c>
      <c r="AL2431" s="1" t="s">
        <v>109</v>
      </c>
      <c r="AM2431" s="1" t="s">
        <v>109</v>
      </c>
      <c r="AN2431" s="1">
        <v>6</v>
      </c>
      <c r="AO2431" s="1" t="s">
        <v>109</v>
      </c>
      <c r="AP2431" s="1"/>
      <c r="AQ2431" s="1">
        <v>6</v>
      </c>
      <c r="AR2431" s="1"/>
      <c r="AS2431" s="1" t="s">
        <v>17376</v>
      </c>
      <c r="AT2431" s="1">
        <v>0</v>
      </c>
      <c r="AU2431" s="1">
        <v>0</v>
      </c>
      <c r="AV2431" s="1">
        <v>0</v>
      </c>
      <c r="AW2431" s="1">
        <v>0</v>
      </c>
      <c r="AX2431" s="1">
        <v>0</v>
      </c>
      <c r="AY2431" s="1">
        <v>0</v>
      </c>
      <c r="AZ2431" s="1">
        <v>0</v>
      </c>
      <c r="BA2431" s="1">
        <v>0</v>
      </c>
      <c r="BB2431" s="1">
        <v>0</v>
      </c>
      <c r="BC2431" s="1">
        <v>0</v>
      </c>
      <c r="BD2431" s="1">
        <v>0</v>
      </c>
      <c r="BE2431" s="1">
        <v>0</v>
      </c>
      <c r="BF2431" s="1">
        <v>0</v>
      </c>
      <c r="BG2431" s="1">
        <v>0</v>
      </c>
      <c r="BH2431" s="1">
        <v>0</v>
      </c>
      <c r="BI2431" s="1">
        <v>0</v>
      </c>
      <c r="BJ2431" s="1">
        <v>0</v>
      </c>
      <c r="BK2431" s="1">
        <v>0</v>
      </c>
      <c r="BL2431" s="1">
        <v>0</v>
      </c>
      <c r="BM2431" s="1">
        <v>1</v>
      </c>
      <c r="BN2431" s="1">
        <v>0</v>
      </c>
      <c r="BO2431" s="1">
        <v>0</v>
      </c>
      <c r="BP2431" s="1">
        <v>0</v>
      </c>
      <c r="BQ2431" s="1">
        <v>0</v>
      </c>
      <c r="BR2431" s="1">
        <v>0</v>
      </c>
      <c r="BS2431" s="1" t="s">
        <v>109</v>
      </c>
      <c r="BT2431" s="1">
        <v>2522</v>
      </c>
      <c r="BU2431" s="1">
        <v>25</v>
      </c>
      <c r="BV2431" s="1"/>
      <c r="BW2431" s="1"/>
      <c r="BX2431" s="1"/>
      <c r="BY2431" s="1"/>
      <c r="BZ2431" s="1">
        <v>0</v>
      </c>
      <c r="CA2431" s="1" t="s">
        <v>109</v>
      </c>
      <c r="CB2431" s="1" t="s">
        <v>109</v>
      </c>
      <c r="CC2431" s="1">
        <v>6</v>
      </c>
      <c r="CD2431" s="1" t="s">
        <v>109</v>
      </c>
      <c r="CE2431" s="1">
        <v>6</v>
      </c>
      <c r="CF2431" s="1">
        <v>6</v>
      </c>
      <c r="CG2431" s="1" t="s">
        <v>109</v>
      </c>
      <c r="CH2431" s="1" t="s">
        <v>109</v>
      </c>
      <c r="CI2431" s="1" t="s">
        <v>109</v>
      </c>
      <c r="CJ2431" s="1" t="s">
        <v>109</v>
      </c>
      <c r="CK2431" s="1"/>
      <c r="CL2431" s="1">
        <v>0</v>
      </c>
      <c r="CM2431" s="1">
        <v>0</v>
      </c>
      <c r="CN2431" s="1">
        <v>0</v>
      </c>
    </row>
    <row r="2432" spans="1:92" ht="14.25" customHeight="1" x14ac:dyDescent="0.15">
      <c r="A2432" s="1" t="s">
        <v>17377</v>
      </c>
      <c r="B2432" s="1" t="s">
        <v>254</v>
      </c>
      <c r="C2432" s="1"/>
      <c r="D2432" s="1"/>
      <c r="E2432" s="1" t="s">
        <v>17378</v>
      </c>
      <c r="F2432" s="1" t="s">
        <v>12951</v>
      </c>
      <c r="G2432" s="1" t="s">
        <v>17379</v>
      </c>
      <c r="H2432" s="1">
        <v>1</v>
      </c>
      <c r="I2432" s="1" t="s">
        <v>235</v>
      </c>
      <c r="J2432" s="1"/>
      <c r="K2432" s="1"/>
      <c r="L2432" s="1" t="s">
        <v>236</v>
      </c>
      <c r="M2432" s="1" t="s">
        <v>144</v>
      </c>
      <c r="N2432" s="1">
        <v>0</v>
      </c>
      <c r="O2432" s="1">
        <v>0</v>
      </c>
      <c r="P2432" s="1"/>
      <c r="Q2432" s="1"/>
      <c r="R2432" s="1" t="s">
        <v>17380</v>
      </c>
      <c r="S2432" s="1" t="s">
        <v>17381</v>
      </c>
      <c r="T2432" s="1" t="s">
        <v>16709</v>
      </c>
      <c r="U2432" s="1" t="s">
        <v>17382</v>
      </c>
      <c r="V2432" s="1">
        <v>1</v>
      </c>
      <c r="W2432" s="1">
        <v>1</v>
      </c>
      <c r="X2432" s="1">
        <v>1</v>
      </c>
      <c r="Y2432" s="1">
        <v>0</v>
      </c>
      <c r="Z2432" s="1">
        <v>0</v>
      </c>
      <c r="AA2432" s="1" t="s">
        <v>109</v>
      </c>
      <c r="AB2432" s="1" t="s">
        <v>109</v>
      </c>
      <c r="AC2432" s="1">
        <v>8</v>
      </c>
      <c r="AD2432" s="1" t="s">
        <v>109</v>
      </c>
      <c r="AE2432" s="1" t="s">
        <v>109</v>
      </c>
      <c r="AF2432" s="1" t="s">
        <v>109</v>
      </c>
      <c r="AG2432" s="1" t="s">
        <v>109</v>
      </c>
      <c r="AH2432" s="1" t="s">
        <v>109</v>
      </c>
      <c r="AI2432" s="1" t="s">
        <v>109</v>
      </c>
      <c r="AJ2432" s="1">
        <v>8</v>
      </c>
      <c r="AK2432" s="1" t="s">
        <v>109</v>
      </c>
      <c r="AL2432" s="1">
        <v>8</v>
      </c>
      <c r="AM2432" s="1" t="s">
        <v>109</v>
      </c>
      <c r="AN2432" s="1" t="s">
        <v>109</v>
      </c>
      <c r="AO2432" s="1" t="s">
        <v>109</v>
      </c>
      <c r="AP2432" s="1"/>
      <c r="AQ2432" s="1">
        <v>8</v>
      </c>
      <c r="AR2432" s="1"/>
      <c r="AS2432" s="1" t="s">
        <v>17383</v>
      </c>
      <c r="AT2432" s="1">
        <v>0</v>
      </c>
      <c r="AU2432" s="1">
        <v>0</v>
      </c>
      <c r="AV2432" s="1">
        <v>0</v>
      </c>
      <c r="AW2432" s="1">
        <v>0</v>
      </c>
      <c r="AX2432" s="1">
        <v>0</v>
      </c>
      <c r="AY2432" s="1">
        <v>0</v>
      </c>
      <c r="AZ2432" s="1">
        <v>0</v>
      </c>
      <c r="BA2432" s="1">
        <v>0</v>
      </c>
      <c r="BB2432" s="1">
        <v>0</v>
      </c>
      <c r="BC2432" s="1">
        <v>0</v>
      </c>
      <c r="BD2432" s="1">
        <v>0</v>
      </c>
      <c r="BE2432" s="1">
        <v>0</v>
      </c>
      <c r="BF2432" s="1">
        <v>0</v>
      </c>
      <c r="BG2432" s="1">
        <v>0</v>
      </c>
      <c r="BH2432" s="1">
        <v>0</v>
      </c>
      <c r="BI2432" s="1">
        <v>0</v>
      </c>
      <c r="BJ2432" s="1">
        <v>0</v>
      </c>
      <c r="BK2432" s="1">
        <v>0</v>
      </c>
      <c r="BL2432" s="1">
        <v>0</v>
      </c>
      <c r="BM2432" s="1">
        <v>0</v>
      </c>
      <c r="BN2432" s="1">
        <v>0</v>
      </c>
      <c r="BO2432" s="1">
        <v>0</v>
      </c>
      <c r="BP2432" s="1">
        <v>0</v>
      </c>
      <c r="BQ2432" s="1">
        <v>0</v>
      </c>
      <c r="BR2432" s="1">
        <v>0</v>
      </c>
      <c r="BS2432" s="1" t="s">
        <v>109</v>
      </c>
      <c r="BT2432" s="1">
        <v>2523</v>
      </c>
      <c r="BU2432" s="1">
        <v>1000</v>
      </c>
      <c r="BV2432" s="1"/>
      <c r="BW2432" s="1"/>
      <c r="BX2432" s="1"/>
      <c r="BY2432" s="1"/>
      <c r="BZ2432" s="1">
        <v>0</v>
      </c>
      <c r="CA2432" s="1" t="s">
        <v>109</v>
      </c>
      <c r="CB2432" s="1">
        <v>8</v>
      </c>
      <c r="CC2432" s="1">
        <v>8</v>
      </c>
      <c r="CD2432" s="1" t="s">
        <v>109</v>
      </c>
      <c r="CE2432" s="1" t="s">
        <v>109</v>
      </c>
      <c r="CF2432" s="1" t="s">
        <v>109</v>
      </c>
      <c r="CG2432" s="1" t="s">
        <v>109</v>
      </c>
      <c r="CH2432" s="1" t="s">
        <v>109</v>
      </c>
      <c r="CI2432" s="1" t="s">
        <v>109</v>
      </c>
      <c r="CJ2432" s="1" t="s">
        <v>109</v>
      </c>
      <c r="CK2432" s="1"/>
      <c r="CL2432" s="1">
        <v>0</v>
      </c>
      <c r="CM2432" s="1">
        <v>0</v>
      </c>
      <c r="CN2432" s="1">
        <v>0</v>
      </c>
    </row>
    <row r="2433" spans="1:92" ht="14.25" customHeight="1" x14ac:dyDescent="0.15">
      <c r="A2433" s="1" t="s">
        <v>17384</v>
      </c>
      <c r="B2433" s="1" t="s">
        <v>189</v>
      </c>
      <c r="C2433" s="1"/>
      <c r="D2433" s="1"/>
      <c r="E2433" s="1" t="s">
        <v>1839</v>
      </c>
      <c r="F2433" s="1" t="s">
        <v>6545</v>
      </c>
      <c r="G2433" s="1" t="s">
        <v>2345</v>
      </c>
      <c r="H2433" s="1">
        <v>0</v>
      </c>
      <c r="I2433" s="1" t="s">
        <v>142</v>
      </c>
      <c r="J2433" s="1"/>
      <c r="K2433" s="1"/>
      <c r="L2433" s="1" t="s">
        <v>17385</v>
      </c>
      <c r="M2433" s="1" t="s">
        <v>355</v>
      </c>
      <c r="N2433" s="1">
        <v>0</v>
      </c>
      <c r="O2433" s="1">
        <v>0</v>
      </c>
      <c r="P2433" s="1" t="s">
        <v>629</v>
      </c>
      <c r="Q2433" s="1" t="s">
        <v>630</v>
      </c>
      <c r="R2433" s="1" t="s">
        <v>17386</v>
      </c>
      <c r="S2433" s="1" t="s">
        <v>17387</v>
      </c>
      <c r="T2433" s="1" t="s">
        <v>16709</v>
      </c>
      <c r="U2433" s="1" t="s">
        <v>17388</v>
      </c>
      <c r="V2433" s="1">
        <v>0</v>
      </c>
      <c r="W2433" s="1">
        <v>1</v>
      </c>
      <c r="X2433" s="1">
        <v>0</v>
      </c>
      <c r="Y2433" s="1">
        <v>0</v>
      </c>
      <c r="Z2433" s="1">
        <v>0</v>
      </c>
      <c r="AA2433" s="1" t="s">
        <v>109</v>
      </c>
      <c r="AB2433" s="1" t="s">
        <v>109</v>
      </c>
      <c r="AC2433" s="1" t="s">
        <v>109</v>
      </c>
      <c r="AD2433" s="1">
        <v>1</v>
      </c>
      <c r="AE2433" s="1">
        <v>1</v>
      </c>
      <c r="AF2433" s="1" t="s">
        <v>109</v>
      </c>
      <c r="AG2433" s="1" t="s">
        <v>109</v>
      </c>
      <c r="AH2433" s="1" t="s">
        <v>109</v>
      </c>
      <c r="AI2433" s="1" t="s">
        <v>109</v>
      </c>
      <c r="AJ2433" s="1" t="s">
        <v>109</v>
      </c>
      <c r="AK2433" s="1" t="s">
        <v>109</v>
      </c>
      <c r="AL2433" s="1" t="s">
        <v>109</v>
      </c>
      <c r="AM2433" s="1" t="s">
        <v>109</v>
      </c>
      <c r="AN2433" s="1" t="s">
        <v>109</v>
      </c>
      <c r="AO2433" s="1" t="s">
        <v>109</v>
      </c>
      <c r="AP2433" s="1"/>
      <c r="AQ2433" s="1">
        <v>1</v>
      </c>
      <c r="AR2433" s="1"/>
      <c r="AS2433" s="1" t="s">
        <v>17389</v>
      </c>
      <c r="AT2433" s="1">
        <v>0</v>
      </c>
      <c r="AU2433" s="1">
        <v>0</v>
      </c>
      <c r="AV2433" s="1">
        <v>0</v>
      </c>
      <c r="AW2433" s="1">
        <v>0</v>
      </c>
      <c r="AX2433" s="1">
        <v>0</v>
      </c>
      <c r="AY2433" s="1">
        <v>0</v>
      </c>
      <c r="AZ2433" s="1">
        <v>0</v>
      </c>
      <c r="BA2433" s="1">
        <v>0</v>
      </c>
      <c r="BB2433" s="1">
        <v>0</v>
      </c>
      <c r="BC2433" s="1">
        <v>0</v>
      </c>
      <c r="BD2433" s="1">
        <v>0</v>
      </c>
      <c r="BE2433" s="1">
        <v>0</v>
      </c>
      <c r="BF2433" s="1">
        <v>0</v>
      </c>
      <c r="BG2433" s="1">
        <v>0</v>
      </c>
      <c r="BH2433" s="1">
        <v>0</v>
      </c>
      <c r="BI2433" s="1">
        <v>0</v>
      </c>
      <c r="BJ2433" s="1">
        <v>0</v>
      </c>
      <c r="BK2433" s="1">
        <v>0</v>
      </c>
      <c r="BL2433" s="1">
        <v>0</v>
      </c>
      <c r="BM2433" s="1">
        <v>0</v>
      </c>
      <c r="BN2433" s="1">
        <v>0</v>
      </c>
      <c r="BO2433" s="1">
        <v>0</v>
      </c>
      <c r="BP2433" s="1">
        <v>0</v>
      </c>
      <c r="BQ2433" s="1">
        <v>0</v>
      </c>
      <c r="BR2433" s="1">
        <v>0</v>
      </c>
      <c r="BS2433" s="1" t="s">
        <v>109</v>
      </c>
      <c r="BT2433" s="1">
        <v>2524</v>
      </c>
      <c r="BU2433" s="1" t="s">
        <v>109</v>
      </c>
      <c r="BV2433" s="1"/>
      <c r="BW2433" s="1"/>
      <c r="BX2433" s="1"/>
      <c r="BY2433" s="1"/>
      <c r="BZ2433" s="1">
        <v>0</v>
      </c>
      <c r="CA2433" s="1" t="s">
        <v>109</v>
      </c>
      <c r="CB2433" s="1">
        <v>1</v>
      </c>
      <c r="CC2433" s="1" t="s">
        <v>109</v>
      </c>
      <c r="CD2433" s="1" t="s">
        <v>109</v>
      </c>
      <c r="CE2433" s="1" t="s">
        <v>109</v>
      </c>
      <c r="CF2433" s="1" t="s">
        <v>109</v>
      </c>
      <c r="CG2433" s="1" t="s">
        <v>109</v>
      </c>
      <c r="CH2433" s="1" t="s">
        <v>109</v>
      </c>
      <c r="CI2433" s="1" t="s">
        <v>109</v>
      </c>
      <c r="CJ2433" s="1">
        <v>1</v>
      </c>
      <c r="CK2433" s="1"/>
      <c r="CL2433" s="1">
        <v>0</v>
      </c>
      <c r="CM2433" s="1">
        <v>0</v>
      </c>
      <c r="CN2433" s="1">
        <v>0</v>
      </c>
    </row>
    <row r="2434" spans="1:92" ht="14.25" customHeight="1" x14ac:dyDescent="0.15">
      <c r="A2434" s="1" t="s">
        <v>17390</v>
      </c>
      <c r="B2434" s="1" t="s">
        <v>674</v>
      </c>
      <c r="C2434" s="1" t="s">
        <v>675</v>
      </c>
      <c r="D2434" s="1"/>
      <c r="E2434" s="1" t="s">
        <v>17391</v>
      </c>
      <c r="F2434" s="1" t="s">
        <v>7795</v>
      </c>
      <c r="G2434" s="1" t="s">
        <v>17392</v>
      </c>
      <c r="H2434" s="1">
        <v>1</v>
      </c>
      <c r="I2434" s="1" t="s">
        <v>161</v>
      </c>
      <c r="J2434" s="1"/>
      <c r="K2434" s="1"/>
      <c r="L2434" s="1" t="s">
        <v>17393</v>
      </c>
      <c r="M2434" s="1" t="s">
        <v>5811</v>
      </c>
      <c r="N2434" s="1">
        <v>1</v>
      </c>
      <c r="O2434" s="1">
        <v>0</v>
      </c>
      <c r="P2434" s="1" t="s">
        <v>103</v>
      </c>
      <c r="Q2434" s="1" t="s">
        <v>104</v>
      </c>
      <c r="R2434" s="1" t="s">
        <v>17394</v>
      </c>
      <c r="S2434" s="1" t="s">
        <v>17395</v>
      </c>
      <c r="T2434" s="1" t="s">
        <v>16709</v>
      </c>
      <c r="U2434" s="1" t="s">
        <v>17396</v>
      </c>
      <c r="V2434" s="1">
        <v>1</v>
      </c>
      <c r="W2434" s="1">
        <v>1</v>
      </c>
      <c r="X2434" s="1">
        <v>1</v>
      </c>
      <c r="Y2434" s="1">
        <v>0</v>
      </c>
      <c r="Z2434" s="1">
        <v>0</v>
      </c>
      <c r="AA2434" s="1" t="s">
        <v>109</v>
      </c>
      <c r="AB2434" s="1" t="s">
        <v>109</v>
      </c>
      <c r="AC2434" s="1" t="s">
        <v>109</v>
      </c>
      <c r="AD2434" s="1" t="s">
        <v>109</v>
      </c>
      <c r="AE2434" s="1">
        <v>2</v>
      </c>
      <c r="AF2434" s="1" t="s">
        <v>109</v>
      </c>
      <c r="AG2434" s="1" t="s">
        <v>109</v>
      </c>
      <c r="AH2434" s="1" t="s">
        <v>109</v>
      </c>
      <c r="AI2434" s="1" t="s">
        <v>109</v>
      </c>
      <c r="AJ2434" s="1" t="s">
        <v>109</v>
      </c>
      <c r="AK2434" s="1" t="s">
        <v>109</v>
      </c>
      <c r="AL2434" s="1" t="s">
        <v>109</v>
      </c>
      <c r="AM2434" s="1">
        <v>2</v>
      </c>
      <c r="AN2434" s="1" t="s">
        <v>109</v>
      </c>
      <c r="AO2434" s="1" t="s">
        <v>109</v>
      </c>
      <c r="AP2434" s="1"/>
      <c r="AQ2434" s="1">
        <v>2</v>
      </c>
      <c r="AR2434" s="1"/>
      <c r="AS2434" s="1" t="s">
        <v>17397</v>
      </c>
      <c r="AT2434" s="1">
        <v>0</v>
      </c>
      <c r="AU2434" s="1">
        <v>0</v>
      </c>
      <c r="AV2434" s="1">
        <v>0</v>
      </c>
      <c r="AW2434" s="1">
        <v>0</v>
      </c>
      <c r="AX2434" s="1">
        <v>0</v>
      </c>
      <c r="AY2434" s="1">
        <v>0</v>
      </c>
      <c r="AZ2434" s="1">
        <v>0</v>
      </c>
      <c r="BA2434" s="1">
        <v>0</v>
      </c>
      <c r="BB2434" s="1">
        <v>0</v>
      </c>
      <c r="BC2434" s="1">
        <v>0</v>
      </c>
      <c r="BD2434" s="1">
        <v>0</v>
      </c>
      <c r="BE2434" s="1">
        <v>0</v>
      </c>
      <c r="BF2434" s="1">
        <v>0</v>
      </c>
      <c r="BG2434" s="1">
        <v>0</v>
      </c>
      <c r="BH2434" s="1">
        <v>0</v>
      </c>
      <c r="BI2434" s="1">
        <v>0</v>
      </c>
      <c r="BJ2434" s="1">
        <v>0</v>
      </c>
      <c r="BK2434" s="1">
        <v>0</v>
      </c>
      <c r="BL2434" s="1">
        <v>0</v>
      </c>
      <c r="BM2434" s="1">
        <v>0</v>
      </c>
      <c r="BN2434" s="1">
        <v>0</v>
      </c>
      <c r="BO2434" s="1">
        <v>0</v>
      </c>
      <c r="BP2434" s="1">
        <v>0</v>
      </c>
      <c r="BQ2434" s="1">
        <v>0</v>
      </c>
      <c r="BR2434" s="1">
        <v>0</v>
      </c>
      <c r="BS2434" s="1" t="s">
        <v>109</v>
      </c>
      <c r="BT2434" s="1">
        <v>2525</v>
      </c>
      <c r="BU2434" s="1">
        <v>50</v>
      </c>
      <c r="BV2434" s="1"/>
      <c r="BW2434" s="1"/>
      <c r="BX2434" s="1"/>
      <c r="BY2434" s="1"/>
      <c r="BZ2434" s="1">
        <v>0</v>
      </c>
      <c r="CA2434" s="1" t="s">
        <v>109</v>
      </c>
      <c r="CB2434" s="1" t="s">
        <v>109</v>
      </c>
      <c r="CC2434" s="1" t="s">
        <v>109</v>
      </c>
      <c r="CD2434" s="1" t="s">
        <v>109</v>
      </c>
      <c r="CE2434" s="1" t="s">
        <v>109</v>
      </c>
      <c r="CF2434" s="1">
        <v>3</v>
      </c>
      <c r="CG2434" s="1" t="s">
        <v>109</v>
      </c>
      <c r="CH2434" s="1" t="s">
        <v>109</v>
      </c>
      <c r="CI2434" s="1" t="s">
        <v>109</v>
      </c>
      <c r="CJ2434" s="1">
        <v>2</v>
      </c>
      <c r="CK2434" s="1"/>
      <c r="CL2434" s="1">
        <v>0</v>
      </c>
      <c r="CM2434" s="1">
        <v>0</v>
      </c>
      <c r="CN2434" s="1">
        <v>0</v>
      </c>
    </row>
    <row r="2435" spans="1:92" ht="14.25" customHeight="1" x14ac:dyDescent="0.15">
      <c r="A2435" s="1" t="s">
        <v>17398</v>
      </c>
      <c r="B2435" s="1" t="s">
        <v>254</v>
      </c>
      <c r="C2435" s="1"/>
      <c r="D2435" s="1"/>
      <c r="E2435" s="1" t="s">
        <v>17399</v>
      </c>
      <c r="F2435" s="1" t="s">
        <v>395</v>
      </c>
      <c r="G2435" s="1" t="s">
        <v>160</v>
      </c>
      <c r="H2435" s="1">
        <v>0</v>
      </c>
      <c r="I2435" s="1" t="s">
        <v>235</v>
      </c>
      <c r="J2435" s="1"/>
      <c r="K2435" s="1"/>
      <c r="L2435" s="1" t="s">
        <v>236</v>
      </c>
      <c r="M2435" s="1" t="s">
        <v>5642</v>
      </c>
      <c r="N2435" s="1">
        <v>0</v>
      </c>
      <c r="O2435" s="1">
        <v>0</v>
      </c>
      <c r="P2435" s="1" t="s">
        <v>103</v>
      </c>
      <c r="Q2435" s="1" t="s">
        <v>104</v>
      </c>
      <c r="R2435" s="1" t="s">
        <v>17400</v>
      </c>
      <c r="S2435" s="1" t="s">
        <v>17401</v>
      </c>
      <c r="T2435" s="1" t="s">
        <v>16709</v>
      </c>
      <c r="U2435" s="1" t="s">
        <v>17402</v>
      </c>
      <c r="V2435" s="1">
        <v>1</v>
      </c>
      <c r="W2435" s="1">
        <v>1</v>
      </c>
      <c r="X2435" s="1">
        <v>0</v>
      </c>
      <c r="Y2435" s="1">
        <v>0</v>
      </c>
      <c r="Z2435" s="1">
        <v>1</v>
      </c>
      <c r="AA2435" s="1" t="s">
        <v>109</v>
      </c>
      <c r="AB2435" s="1" t="s">
        <v>109</v>
      </c>
      <c r="AC2435" s="1" t="s">
        <v>109</v>
      </c>
      <c r="AD2435" s="1">
        <v>6</v>
      </c>
      <c r="AE2435" s="1">
        <v>4</v>
      </c>
      <c r="AF2435" s="1" t="s">
        <v>109</v>
      </c>
      <c r="AG2435" s="1" t="s">
        <v>109</v>
      </c>
      <c r="AH2435" s="1">
        <v>5</v>
      </c>
      <c r="AI2435" s="1" t="s">
        <v>109</v>
      </c>
      <c r="AJ2435" s="1" t="s">
        <v>109</v>
      </c>
      <c r="AK2435" s="1" t="s">
        <v>109</v>
      </c>
      <c r="AL2435" s="1" t="s">
        <v>109</v>
      </c>
      <c r="AM2435" s="1" t="s">
        <v>109</v>
      </c>
      <c r="AN2435" s="1" t="s">
        <v>109</v>
      </c>
      <c r="AO2435" s="1" t="s">
        <v>109</v>
      </c>
      <c r="AP2435" s="1"/>
      <c r="AQ2435" s="1">
        <v>6</v>
      </c>
      <c r="AR2435" s="1"/>
      <c r="AS2435" s="1" t="s">
        <v>17403</v>
      </c>
      <c r="AT2435" s="1">
        <v>0</v>
      </c>
      <c r="AU2435" s="1">
        <v>0</v>
      </c>
      <c r="AV2435" s="1">
        <v>0</v>
      </c>
      <c r="AW2435" s="1">
        <v>0</v>
      </c>
      <c r="AX2435" s="1">
        <v>0</v>
      </c>
      <c r="AY2435" s="1">
        <v>0</v>
      </c>
      <c r="AZ2435" s="1">
        <v>0</v>
      </c>
      <c r="BA2435" s="1">
        <v>0</v>
      </c>
      <c r="BB2435" s="1">
        <v>0</v>
      </c>
      <c r="BC2435" s="1">
        <v>0</v>
      </c>
      <c r="BD2435" s="1">
        <v>0</v>
      </c>
      <c r="BE2435" s="1">
        <v>0</v>
      </c>
      <c r="BF2435" s="1">
        <v>0</v>
      </c>
      <c r="BG2435" s="1">
        <v>0</v>
      </c>
      <c r="BH2435" s="1">
        <v>0</v>
      </c>
      <c r="BI2435" s="1">
        <v>0</v>
      </c>
      <c r="BJ2435" s="1">
        <v>0</v>
      </c>
      <c r="BK2435" s="1">
        <v>0</v>
      </c>
      <c r="BL2435" s="1">
        <v>0</v>
      </c>
      <c r="BM2435" s="1">
        <v>0</v>
      </c>
      <c r="BN2435" s="1">
        <v>0</v>
      </c>
      <c r="BO2435" s="1">
        <v>0</v>
      </c>
      <c r="BP2435" s="1">
        <v>0</v>
      </c>
      <c r="BQ2435" s="1">
        <v>0</v>
      </c>
      <c r="BR2435" s="1">
        <v>0</v>
      </c>
      <c r="BS2435" s="1" t="s">
        <v>109</v>
      </c>
      <c r="BT2435" s="1">
        <v>2526</v>
      </c>
      <c r="BU2435" s="1" t="s">
        <v>109</v>
      </c>
      <c r="BV2435" s="1"/>
      <c r="BW2435" s="1"/>
      <c r="BX2435" s="1"/>
      <c r="BY2435" s="1"/>
      <c r="BZ2435" s="1">
        <v>0</v>
      </c>
      <c r="CA2435" s="1" t="s">
        <v>109</v>
      </c>
      <c r="CB2435" s="1" t="s">
        <v>109</v>
      </c>
      <c r="CC2435" s="1" t="s">
        <v>109</v>
      </c>
      <c r="CD2435" s="1" t="s">
        <v>109</v>
      </c>
      <c r="CE2435" s="1" t="s">
        <v>109</v>
      </c>
      <c r="CF2435" s="1">
        <v>4</v>
      </c>
      <c r="CG2435" s="1" t="s">
        <v>109</v>
      </c>
      <c r="CH2435" s="1" t="s">
        <v>109</v>
      </c>
      <c r="CI2435" s="1" t="s">
        <v>109</v>
      </c>
      <c r="CJ2435" s="1">
        <v>4</v>
      </c>
      <c r="CK2435" s="1"/>
      <c r="CL2435" s="1">
        <v>0</v>
      </c>
      <c r="CM2435" s="1">
        <v>0</v>
      </c>
      <c r="CN2435" s="1">
        <v>0</v>
      </c>
    </row>
    <row r="2436" spans="1:92" ht="14.25" customHeight="1" x14ac:dyDescent="0.15">
      <c r="A2436" s="1" t="s">
        <v>17404</v>
      </c>
      <c r="B2436" s="1" t="s">
        <v>95</v>
      </c>
      <c r="C2436" s="1" t="s">
        <v>1522</v>
      </c>
      <c r="D2436" s="1"/>
      <c r="E2436" s="1" t="s">
        <v>17405</v>
      </c>
      <c r="F2436" s="1" t="s">
        <v>98</v>
      </c>
      <c r="G2436" s="1" t="s">
        <v>17406</v>
      </c>
      <c r="H2436" s="1">
        <v>0</v>
      </c>
      <c r="I2436" s="1" t="s">
        <v>122</v>
      </c>
      <c r="J2436" s="1"/>
      <c r="K2436" s="1"/>
      <c r="L2436" s="1" t="s">
        <v>17407</v>
      </c>
      <c r="M2436" s="1" t="s">
        <v>355</v>
      </c>
      <c r="N2436" s="1">
        <v>0</v>
      </c>
      <c r="O2436" s="1">
        <v>0</v>
      </c>
      <c r="P2436" s="1"/>
      <c r="Q2436" s="1"/>
      <c r="R2436" s="1" t="s">
        <v>17408</v>
      </c>
      <c r="S2436" s="1" t="s">
        <v>17409</v>
      </c>
      <c r="T2436" s="1" t="s">
        <v>16709</v>
      </c>
      <c r="U2436" s="1" t="s">
        <v>17410</v>
      </c>
      <c r="V2436" s="1">
        <v>1</v>
      </c>
      <c r="W2436" s="1">
        <v>1</v>
      </c>
      <c r="X2436" s="1">
        <v>1</v>
      </c>
      <c r="Y2436" s="1">
        <v>0</v>
      </c>
      <c r="Z2436" s="1">
        <v>0</v>
      </c>
      <c r="AA2436" s="1">
        <v>3</v>
      </c>
      <c r="AB2436" s="1">
        <v>3</v>
      </c>
      <c r="AC2436" s="1" t="s">
        <v>109</v>
      </c>
      <c r="AD2436" s="1" t="s">
        <v>109</v>
      </c>
      <c r="AE2436" s="1" t="s">
        <v>109</v>
      </c>
      <c r="AF2436" s="1">
        <v>2</v>
      </c>
      <c r="AG2436" s="1" t="s">
        <v>109</v>
      </c>
      <c r="AH2436" s="1" t="s">
        <v>109</v>
      </c>
      <c r="AI2436" s="1">
        <v>3</v>
      </c>
      <c r="AJ2436" s="1" t="s">
        <v>109</v>
      </c>
      <c r="AK2436" s="1" t="s">
        <v>109</v>
      </c>
      <c r="AL2436" s="1" t="s">
        <v>109</v>
      </c>
      <c r="AM2436" s="1" t="s">
        <v>109</v>
      </c>
      <c r="AN2436" s="1">
        <v>3</v>
      </c>
      <c r="AO2436" s="1" t="s">
        <v>109</v>
      </c>
      <c r="AP2436" s="1"/>
      <c r="AQ2436" s="1">
        <v>3</v>
      </c>
      <c r="AR2436" s="1"/>
      <c r="AS2436" s="1" t="s">
        <v>17411</v>
      </c>
      <c r="AT2436" s="1">
        <v>0</v>
      </c>
      <c r="AU2436" s="1">
        <v>0</v>
      </c>
      <c r="AV2436" s="1">
        <v>0</v>
      </c>
      <c r="AW2436" s="1">
        <v>0</v>
      </c>
      <c r="AX2436" s="1">
        <v>0</v>
      </c>
      <c r="AY2436" s="1">
        <v>0</v>
      </c>
      <c r="AZ2436" s="1">
        <v>0</v>
      </c>
      <c r="BA2436" s="1">
        <v>0</v>
      </c>
      <c r="BB2436" s="1">
        <v>0</v>
      </c>
      <c r="BC2436" s="1">
        <v>0</v>
      </c>
      <c r="BD2436" s="1">
        <v>0</v>
      </c>
      <c r="BE2436" s="1">
        <v>0</v>
      </c>
      <c r="BF2436" s="1">
        <v>0</v>
      </c>
      <c r="BG2436" s="1">
        <v>0</v>
      </c>
      <c r="BH2436" s="1">
        <v>0</v>
      </c>
      <c r="BI2436" s="1">
        <v>0</v>
      </c>
      <c r="BJ2436" s="1">
        <v>0</v>
      </c>
      <c r="BK2436" s="1">
        <v>0</v>
      </c>
      <c r="BL2436" s="1">
        <v>0</v>
      </c>
      <c r="BM2436" s="1">
        <v>0</v>
      </c>
      <c r="BN2436" s="1">
        <v>0</v>
      </c>
      <c r="BO2436" s="1">
        <v>0</v>
      </c>
      <c r="BP2436" s="1">
        <v>0</v>
      </c>
      <c r="BQ2436" s="1">
        <v>0</v>
      </c>
      <c r="BR2436" s="1">
        <v>0</v>
      </c>
      <c r="BS2436" s="1" t="s">
        <v>109</v>
      </c>
      <c r="BT2436" s="1">
        <v>2527</v>
      </c>
      <c r="BU2436" s="1" t="s">
        <v>109</v>
      </c>
      <c r="BV2436" s="1"/>
      <c r="BW2436" s="1"/>
      <c r="BX2436" s="1"/>
      <c r="BY2436" s="1"/>
      <c r="BZ2436" s="1">
        <v>0</v>
      </c>
      <c r="CA2436" s="1" t="s">
        <v>109</v>
      </c>
      <c r="CB2436" s="1" t="s">
        <v>109</v>
      </c>
      <c r="CC2436" s="1" t="s">
        <v>109</v>
      </c>
      <c r="CD2436" s="1" t="s">
        <v>109</v>
      </c>
      <c r="CE2436" s="1" t="s">
        <v>109</v>
      </c>
      <c r="CF2436" s="1">
        <v>3</v>
      </c>
      <c r="CG2436" s="1" t="s">
        <v>109</v>
      </c>
      <c r="CH2436" s="1" t="s">
        <v>109</v>
      </c>
      <c r="CI2436" s="1" t="s">
        <v>109</v>
      </c>
      <c r="CJ2436" s="1" t="s">
        <v>109</v>
      </c>
      <c r="CK2436" s="1"/>
      <c r="CL2436" s="1">
        <v>0</v>
      </c>
      <c r="CM2436" s="1">
        <v>0</v>
      </c>
      <c r="CN2436" s="1">
        <v>0</v>
      </c>
    </row>
    <row r="2437" spans="1:92" ht="14.25" customHeight="1" x14ac:dyDescent="0.15">
      <c r="A2437" s="1" t="s">
        <v>17412</v>
      </c>
      <c r="B2437" s="1" t="s">
        <v>254</v>
      </c>
      <c r="C2437" s="1" t="s">
        <v>393</v>
      </c>
      <c r="D2437" s="1"/>
      <c r="E2437" s="1" t="s">
        <v>17413</v>
      </c>
      <c r="F2437" s="1" t="s">
        <v>98</v>
      </c>
      <c r="G2437" s="1" t="s">
        <v>141</v>
      </c>
      <c r="H2437" s="1">
        <v>0</v>
      </c>
      <c r="I2437" s="1" t="s">
        <v>161</v>
      </c>
      <c r="J2437" s="1"/>
      <c r="K2437" s="1" t="s">
        <v>398</v>
      </c>
      <c r="L2437" s="1"/>
      <c r="M2437" s="1" t="s">
        <v>6144</v>
      </c>
      <c r="N2437" s="1">
        <v>1</v>
      </c>
      <c r="O2437" s="1">
        <v>0</v>
      </c>
      <c r="P2437" s="1" t="s">
        <v>629</v>
      </c>
      <c r="Q2437" s="1" t="s">
        <v>630</v>
      </c>
      <c r="R2437" s="1" t="s">
        <v>17414</v>
      </c>
      <c r="S2437" s="1" t="s">
        <v>17415</v>
      </c>
      <c r="T2437" s="1" t="s">
        <v>16709</v>
      </c>
      <c r="U2437" s="1" t="s">
        <v>17416</v>
      </c>
      <c r="V2437" s="1">
        <v>1</v>
      </c>
      <c r="W2437" s="1">
        <v>1</v>
      </c>
      <c r="X2437" s="1">
        <v>0</v>
      </c>
      <c r="Y2437" s="1">
        <v>0</v>
      </c>
      <c r="Z2437" s="1">
        <v>0</v>
      </c>
      <c r="AA2437" s="1">
        <v>4</v>
      </c>
      <c r="AB2437" s="1">
        <v>4</v>
      </c>
      <c r="AC2437" s="1" t="s">
        <v>109</v>
      </c>
      <c r="AD2437" s="1" t="s">
        <v>109</v>
      </c>
      <c r="AE2437" s="1" t="s">
        <v>109</v>
      </c>
      <c r="AF2437" s="1">
        <v>4</v>
      </c>
      <c r="AG2437" s="1" t="s">
        <v>109</v>
      </c>
      <c r="AH2437" s="1" t="s">
        <v>109</v>
      </c>
      <c r="AI2437" s="1" t="s">
        <v>109</v>
      </c>
      <c r="AJ2437" s="1">
        <v>4</v>
      </c>
      <c r="AK2437" s="1" t="s">
        <v>109</v>
      </c>
      <c r="AL2437" s="1" t="s">
        <v>109</v>
      </c>
      <c r="AM2437" s="1" t="s">
        <v>109</v>
      </c>
      <c r="AN2437" s="1" t="s">
        <v>109</v>
      </c>
      <c r="AO2437" s="1" t="s">
        <v>109</v>
      </c>
      <c r="AP2437" s="1"/>
      <c r="AQ2437" s="1">
        <v>4</v>
      </c>
      <c r="AR2437" s="1"/>
      <c r="AS2437" s="1" t="s">
        <v>17417</v>
      </c>
      <c r="AT2437" s="1">
        <v>0</v>
      </c>
      <c r="AU2437" s="1">
        <v>0</v>
      </c>
      <c r="AV2437" s="1">
        <v>0</v>
      </c>
      <c r="AW2437" s="1">
        <v>0</v>
      </c>
      <c r="AX2437" s="1">
        <v>0</v>
      </c>
      <c r="AY2437" s="1">
        <v>0</v>
      </c>
      <c r="AZ2437" s="1">
        <v>0</v>
      </c>
      <c r="BA2437" s="1">
        <v>0</v>
      </c>
      <c r="BB2437" s="1">
        <v>0</v>
      </c>
      <c r="BC2437" s="1">
        <v>0</v>
      </c>
      <c r="BD2437" s="1">
        <v>0</v>
      </c>
      <c r="BE2437" s="1">
        <v>0</v>
      </c>
      <c r="BF2437" s="1">
        <v>0</v>
      </c>
      <c r="BG2437" s="1">
        <v>0</v>
      </c>
      <c r="BH2437" s="1">
        <v>0</v>
      </c>
      <c r="BI2437" s="1">
        <v>0</v>
      </c>
      <c r="BJ2437" s="1">
        <v>0</v>
      </c>
      <c r="BK2437" s="1">
        <v>0</v>
      </c>
      <c r="BL2437" s="1">
        <v>0</v>
      </c>
      <c r="BM2437" s="1">
        <v>0</v>
      </c>
      <c r="BN2437" s="1">
        <v>0</v>
      </c>
      <c r="BO2437" s="1">
        <v>0</v>
      </c>
      <c r="BP2437" s="1">
        <v>0</v>
      </c>
      <c r="BQ2437" s="1">
        <v>0</v>
      </c>
      <c r="BR2437" s="1">
        <v>0</v>
      </c>
      <c r="BS2437" s="1" t="s">
        <v>109</v>
      </c>
      <c r="BT2437" s="1">
        <v>2528</v>
      </c>
      <c r="BU2437" s="1" t="s">
        <v>109</v>
      </c>
      <c r="BV2437" s="1"/>
      <c r="BW2437" s="1"/>
      <c r="BX2437" s="1"/>
      <c r="BY2437" s="1"/>
      <c r="BZ2437" s="1">
        <v>0</v>
      </c>
      <c r="CA2437" s="1" t="s">
        <v>109</v>
      </c>
      <c r="CB2437" s="1">
        <v>4</v>
      </c>
      <c r="CC2437" s="1">
        <v>4</v>
      </c>
      <c r="CD2437" s="1">
        <v>3</v>
      </c>
      <c r="CE2437" s="1">
        <v>4</v>
      </c>
      <c r="CF2437" s="1">
        <v>4</v>
      </c>
      <c r="CG2437" s="1">
        <v>4</v>
      </c>
      <c r="CH2437" s="1" t="s">
        <v>109</v>
      </c>
      <c r="CI2437" s="1" t="s">
        <v>109</v>
      </c>
      <c r="CJ2437" s="1" t="s">
        <v>109</v>
      </c>
      <c r="CK2437" s="1"/>
      <c r="CL2437" s="1">
        <v>0</v>
      </c>
      <c r="CM2437" s="1">
        <v>0</v>
      </c>
      <c r="CN2437" s="1">
        <v>0</v>
      </c>
    </row>
    <row r="2438" spans="1:92" ht="14.25" customHeight="1" x14ac:dyDescent="0.15">
      <c r="A2438" s="1" t="s">
        <v>17418</v>
      </c>
      <c r="B2438" s="1" t="s">
        <v>254</v>
      </c>
      <c r="C2438" s="1"/>
      <c r="D2438" s="1"/>
      <c r="E2438" s="1" t="s">
        <v>17419</v>
      </c>
      <c r="F2438" s="1" t="s">
        <v>98</v>
      </c>
      <c r="G2438" s="1" t="s">
        <v>17420</v>
      </c>
      <c r="H2438" s="1">
        <v>0</v>
      </c>
      <c r="I2438" s="1" t="s">
        <v>161</v>
      </c>
      <c r="J2438" s="1"/>
      <c r="K2438" s="1"/>
      <c r="L2438" s="1" t="s">
        <v>506</v>
      </c>
      <c r="M2438" s="1" t="s">
        <v>14745</v>
      </c>
      <c r="N2438" s="1">
        <v>1</v>
      </c>
      <c r="O2438" s="1">
        <v>0</v>
      </c>
      <c r="P2438" s="1" t="s">
        <v>507</v>
      </c>
      <c r="Q2438" s="1" t="s">
        <v>167</v>
      </c>
      <c r="R2438" s="1" t="s">
        <v>17421</v>
      </c>
      <c r="S2438" s="1" t="s">
        <v>17422</v>
      </c>
      <c r="T2438" s="1" t="s">
        <v>16709</v>
      </c>
      <c r="U2438" s="1" t="s">
        <v>17423</v>
      </c>
      <c r="V2438" s="1">
        <v>1</v>
      </c>
      <c r="W2438" s="1">
        <v>1</v>
      </c>
      <c r="X2438" s="1">
        <v>1</v>
      </c>
      <c r="Y2438" s="1">
        <v>0</v>
      </c>
      <c r="Z2438" s="1">
        <v>0</v>
      </c>
      <c r="AA2438" s="1">
        <v>3</v>
      </c>
      <c r="AB2438" s="1">
        <v>3</v>
      </c>
      <c r="AC2438" s="1">
        <v>3</v>
      </c>
      <c r="AD2438" s="1" t="s">
        <v>109</v>
      </c>
      <c r="AE2438" s="1" t="s">
        <v>109</v>
      </c>
      <c r="AF2438" s="1">
        <v>2</v>
      </c>
      <c r="AG2438" s="1" t="s">
        <v>109</v>
      </c>
      <c r="AH2438" s="1">
        <v>3</v>
      </c>
      <c r="AI2438" s="1" t="s">
        <v>109</v>
      </c>
      <c r="AJ2438" s="1">
        <v>3</v>
      </c>
      <c r="AK2438" s="1">
        <v>2</v>
      </c>
      <c r="AL2438" s="1">
        <v>3</v>
      </c>
      <c r="AM2438" s="1" t="s">
        <v>109</v>
      </c>
      <c r="AN2438" s="1" t="s">
        <v>109</v>
      </c>
      <c r="AO2438" s="1" t="s">
        <v>109</v>
      </c>
      <c r="AP2438" s="1"/>
      <c r="AQ2438" s="1">
        <v>3</v>
      </c>
      <c r="AR2438" s="1"/>
      <c r="AS2438" s="1" t="s">
        <v>17424</v>
      </c>
      <c r="AT2438" s="1">
        <v>0</v>
      </c>
      <c r="AU2438" s="1">
        <v>0</v>
      </c>
      <c r="AV2438" s="1">
        <v>0</v>
      </c>
      <c r="AW2438" s="1">
        <v>0</v>
      </c>
      <c r="AX2438" s="1">
        <v>0</v>
      </c>
      <c r="AY2438" s="1">
        <v>0</v>
      </c>
      <c r="AZ2438" s="1">
        <v>0</v>
      </c>
      <c r="BA2438" s="1">
        <v>0</v>
      </c>
      <c r="BB2438" s="1">
        <v>0</v>
      </c>
      <c r="BC2438" s="1">
        <v>0</v>
      </c>
      <c r="BD2438" s="1">
        <v>0</v>
      </c>
      <c r="BE2438" s="1">
        <v>0</v>
      </c>
      <c r="BF2438" s="1">
        <v>0</v>
      </c>
      <c r="BG2438" s="1">
        <v>0</v>
      </c>
      <c r="BH2438" s="1">
        <v>0</v>
      </c>
      <c r="BI2438" s="1">
        <v>0</v>
      </c>
      <c r="BJ2438" s="1">
        <v>0</v>
      </c>
      <c r="BK2438" s="1">
        <v>0</v>
      </c>
      <c r="BL2438" s="1">
        <v>0</v>
      </c>
      <c r="BM2438" s="1">
        <v>0</v>
      </c>
      <c r="BN2438" s="1">
        <v>0</v>
      </c>
      <c r="BO2438" s="1">
        <v>0</v>
      </c>
      <c r="BP2438" s="1">
        <v>0</v>
      </c>
      <c r="BQ2438" s="1">
        <v>0</v>
      </c>
      <c r="BR2438" s="1">
        <v>0</v>
      </c>
      <c r="BS2438" s="1" t="s">
        <v>109</v>
      </c>
      <c r="BT2438" s="1">
        <v>2529</v>
      </c>
      <c r="BU2438" s="1" t="s">
        <v>109</v>
      </c>
      <c r="BV2438" s="1"/>
      <c r="BW2438" s="1"/>
      <c r="BX2438" s="1"/>
      <c r="BY2438" s="1"/>
      <c r="BZ2438" s="1">
        <v>0</v>
      </c>
      <c r="CA2438" s="1" t="s">
        <v>109</v>
      </c>
      <c r="CB2438" s="1">
        <v>4</v>
      </c>
      <c r="CC2438" s="1">
        <v>3</v>
      </c>
      <c r="CD2438" s="1">
        <v>2</v>
      </c>
      <c r="CE2438" s="1">
        <v>2</v>
      </c>
      <c r="CF2438" s="1">
        <v>2</v>
      </c>
      <c r="CG2438" s="1">
        <v>3</v>
      </c>
      <c r="CH2438" s="1" t="s">
        <v>109</v>
      </c>
      <c r="CI2438" s="1" t="s">
        <v>109</v>
      </c>
      <c r="CJ2438" s="1" t="s">
        <v>109</v>
      </c>
      <c r="CK2438" s="1"/>
      <c r="CL2438" s="1">
        <v>0</v>
      </c>
      <c r="CM2438" s="1">
        <v>0</v>
      </c>
      <c r="CN2438" s="1">
        <v>0</v>
      </c>
    </row>
    <row r="2439" spans="1:92" ht="14.25" customHeight="1" x14ac:dyDescent="0.15">
      <c r="A2439" s="1" t="s">
        <v>17425</v>
      </c>
      <c r="B2439" s="1" t="s">
        <v>189</v>
      </c>
      <c r="C2439" s="1" t="s">
        <v>231</v>
      </c>
      <c r="D2439" s="1"/>
      <c r="E2439" s="1" t="s">
        <v>17426</v>
      </c>
      <c r="F2439" s="1" t="s">
        <v>98</v>
      </c>
      <c r="G2439" s="1" t="s">
        <v>141</v>
      </c>
      <c r="H2439" s="1">
        <v>0</v>
      </c>
      <c r="I2439" s="1" t="s">
        <v>161</v>
      </c>
      <c r="J2439" s="1"/>
      <c r="K2439" s="1"/>
      <c r="L2439" s="1" t="s">
        <v>506</v>
      </c>
      <c r="M2439" s="1" t="s">
        <v>289</v>
      </c>
      <c r="N2439" s="1">
        <v>0</v>
      </c>
      <c r="O2439" s="1">
        <v>0</v>
      </c>
      <c r="P2439" s="1" t="s">
        <v>267</v>
      </c>
      <c r="Q2439" s="1" t="s">
        <v>268</v>
      </c>
      <c r="R2439" s="1" t="s">
        <v>17427</v>
      </c>
      <c r="S2439" s="1" t="s">
        <v>17428</v>
      </c>
      <c r="T2439" s="1" t="s">
        <v>16709</v>
      </c>
      <c r="U2439" s="1" t="s">
        <v>17429</v>
      </c>
      <c r="V2439" s="1">
        <v>1</v>
      </c>
      <c r="W2439" s="1">
        <v>1</v>
      </c>
      <c r="X2439" s="1">
        <v>0</v>
      </c>
      <c r="Y2439" s="1">
        <v>0</v>
      </c>
      <c r="Z2439" s="1">
        <v>0</v>
      </c>
      <c r="AA2439" s="1">
        <v>1</v>
      </c>
      <c r="AB2439" s="1">
        <v>1</v>
      </c>
      <c r="AC2439" s="1" t="s">
        <v>109</v>
      </c>
      <c r="AD2439" s="1" t="s">
        <v>109</v>
      </c>
      <c r="AE2439" s="1" t="s">
        <v>109</v>
      </c>
      <c r="AF2439" s="1">
        <v>1</v>
      </c>
      <c r="AG2439" s="1" t="s">
        <v>109</v>
      </c>
      <c r="AH2439" s="1">
        <v>1</v>
      </c>
      <c r="AI2439" s="1" t="s">
        <v>109</v>
      </c>
      <c r="AJ2439" s="1">
        <v>1</v>
      </c>
      <c r="AK2439" s="1" t="s">
        <v>109</v>
      </c>
      <c r="AL2439" s="1" t="s">
        <v>109</v>
      </c>
      <c r="AM2439" s="1" t="s">
        <v>109</v>
      </c>
      <c r="AN2439" s="1" t="s">
        <v>109</v>
      </c>
      <c r="AO2439" s="1" t="s">
        <v>109</v>
      </c>
      <c r="AP2439" s="1"/>
      <c r="AQ2439" s="1">
        <v>1</v>
      </c>
      <c r="AR2439" s="1"/>
      <c r="AS2439" s="1" t="s">
        <v>17430</v>
      </c>
      <c r="AT2439" s="1">
        <v>0</v>
      </c>
      <c r="AU2439" s="1">
        <v>0</v>
      </c>
      <c r="AV2439" s="1">
        <v>0</v>
      </c>
      <c r="AW2439" s="1">
        <v>0</v>
      </c>
      <c r="AX2439" s="1">
        <v>0</v>
      </c>
      <c r="AY2439" s="1">
        <v>0</v>
      </c>
      <c r="AZ2439" s="1">
        <v>0</v>
      </c>
      <c r="BA2439" s="1">
        <v>0</v>
      </c>
      <c r="BB2439" s="1">
        <v>0</v>
      </c>
      <c r="BC2439" s="1">
        <v>0</v>
      </c>
      <c r="BD2439" s="1">
        <v>0</v>
      </c>
      <c r="BE2439" s="1">
        <v>0</v>
      </c>
      <c r="BF2439" s="1">
        <v>0</v>
      </c>
      <c r="BG2439" s="1">
        <v>0</v>
      </c>
      <c r="BH2439" s="1">
        <v>0</v>
      </c>
      <c r="BI2439" s="1">
        <v>0</v>
      </c>
      <c r="BJ2439" s="1">
        <v>0</v>
      </c>
      <c r="BK2439" s="1">
        <v>0</v>
      </c>
      <c r="BL2439" s="1">
        <v>0</v>
      </c>
      <c r="BM2439" s="1">
        <v>0</v>
      </c>
      <c r="BN2439" s="1">
        <v>0</v>
      </c>
      <c r="BO2439" s="1">
        <v>0</v>
      </c>
      <c r="BP2439" s="1">
        <v>0</v>
      </c>
      <c r="BQ2439" s="1">
        <v>0</v>
      </c>
      <c r="BR2439" s="1">
        <v>0</v>
      </c>
      <c r="BS2439" s="1" t="s">
        <v>109</v>
      </c>
      <c r="BT2439" s="1">
        <v>2530</v>
      </c>
      <c r="BU2439" s="1" t="s">
        <v>109</v>
      </c>
      <c r="BV2439" s="1"/>
      <c r="BW2439" s="1"/>
      <c r="BX2439" s="1"/>
      <c r="BY2439" s="1"/>
      <c r="BZ2439" s="1">
        <v>0</v>
      </c>
      <c r="CA2439" s="1" t="s">
        <v>109</v>
      </c>
      <c r="CB2439" s="1" t="s">
        <v>109</v>
      </c>
      <c r="CC2439" s="1">
        <v>1</v>
      </c>
      <c r="CD2439" s="1">
        <v>1</v>
      </c>
      <c r="CE2439" s="1">
        <v>1</v>
      </c>
      <c r="CF2439" s="1">
        <v>1</v>
      </c>
      <c r="CG2439" s="1" t="s">
        <v>109</v>
      </c>
      <c r="CH2439" s="1" t="s">
        <v>109</v>
      </c>
      <c r="CI2439" s="1" t="s">
        <v>109</v>
      </c>
      <c r="CJ2439" s="1" t="s">
        <v>109</v>
      </c>
      <c r="CK2439" s="1"/>
      <c r="CL2439" s="1">
        <v>0</v>
      </c>
      <c r="CM2439" s="1">
        <v>0</v>
      </c>
      <c r="CN2439" s="1">
        <v>0</v>
      </c>
    </row>
    <row r="2440" spans="1:92" ht="14.25" customHeight="1" x14ac:dyDescent="0.15">
      <c r="A2440" s="1" t="s">
        <v>17431</v>
      </c>
      <c r="B2440" s="1" t="s">
        <v>95</v>
      </c>
      <c r="C2440" s="1" t="s">
        <v>1522</v>
      </c>
      <c r="D2440" s="1"/>
      <c r="E2440" s="1" t="s">
        <v>17432</v>
      </c>
      <c r="F2440" s="1" t="s">
        <v>1963</v>
      </c>
      <c r="G2440" s="1" t="s">
        <v>17433</v>
      </c>
      <c r="H2440" s="1">
        <v>0</v>
      </c>
      <c r="I2440" s="1" t="s">
        <v>142</v>
      </c>
      <c r="J2440" s="1"/>
      <c r="K2440" s="1"/>
      <c r="L2440" s="1" t="s">
        <v>17434</v>
      </c>
      <c r="M2440" s="1" t="s">
        <v>144</v>
      </c>
      <c r="N2440" s="1">
        <v>0</v>
      </c>
      <c r="O2440" s="1">
        <v>0</v>
      </c>
      <c r="P2440" s="1" t="s">
        <v>103</v>
      </c>
      <c r="Q2440" s="1" t="s">
        <v>268</v>
      </c>
      <c r="R2440" s="1" t="s">
        <v>17435</v>
      </c>
      <c r="S2440" s="1" t="s">
        <v>17436</v>
      </c>
      <c r="T2440" s="1" t="s">
        <v>17437</v>
      </c>
      <c r="U2440" s="1" t="s">
        <v>17438</v>
      </c>
      <c r="V2440" s="1">
        <v>1</v>
      </c>
      <c r="W2440" s="1">
        <v>1</v>
      </c>
      <c r="X2440" s="1">
        <v>0</v>
      </c>
      <c r="Y2440" s="1">
        <v>0</v>
      </c>
      <c r="Z2440" s="1">
        <v>0</v>
      </c>
      <c r="AA2440" s="1">
        <v>1</v>
      </c>
      <c r="AB2440" s="1">
        <v>1</v>
      </c>
      <c r="AC2440" s="1">
        <v>1</v>
      </c>
      <c r="AD2440" s="1" t="s">
        <v>109</v>
      </c>
      <c r="AE2440" s="1" t="s">
        <v>109</v>
      </c>
      <c r="AF2440" s="1" t="s">
        <v>109</v>
      </c>
      <c r="AG2440" s="1">
        <v>1</v>
      </c>
      <c r="AH2440" s="1" t="s">
        <v>109</v>
      </c>
      <c r="AI2440" s="1" t="s">
        <v>109</v>
      </c>
      <c r="AJ2440" s="1" t="s">
        <v>109</v>
      </c>
      <c r="AK2440" s="1">
        <v>1</v>
      </c>
      <c r="AL2440" s="1">
        <v>1</v>
      </c>
      <c r="AM2440" s="1">
        <v>1</v>
      </c>
      <c r="AN2440" s="1">
        <v>1</v>
      </c>
      <c r="AO2440" s="1" t="s">
        <v>109</v>
      </c>
      <c r="AP2440" s="1"/>
      <c r="AQ2440" s="1">
        <v>1</v>
      </c>
      <c r="AR2440" s="1"/>
      <c r="AS2440" s="1"/>
      <c r="AT2440" s="1">
        <v>0</v>
      </c>
      <c r="AU2440" s="1">
        <v>0</v>
      </c>
      <c r="AV2440" s="1">
        <v>0</v>
      </c>
      <c r="AW2440" s="1">
        <v>0</v>
      </c>
      <c r="AX2440" s="1">
        <v>0</v>
      </c>
      <c r="AY2440" s="1">
        <v>0</v>
      </c>
      <c r="AZ2440" s="1">
        <v>0</v>
      </c>
      <c r="BA2440" s="1">
        <v>0</v>
      </c>
      <c r="BB2440" s="1">
        <v>0</v>
      </c>
      <c r="BC2440" s="1">
        <v>0</v>
      </c>
      <c r="BD2440" s="1">
        <v>0</v>
      </c>
      <c r="BE2440" s="1">
        <v>0</v>
      </c>
      <c r="BF2440" s="1">
        <v>0</v>
      </c>
      <c r="BG2440" s="1">
        <v>0</v>
      </c>
      <c r="BH2440" s="1">
        <v>0</v>
      </c>
      <c r="BI2440" s="1">
        <v>0</v>
      </c>
      <c r="BJ2440" s="1">
        <v>0</v>
      </c>
      <c r="BK2440" s="1">
        <v>0</v>
      </c>
      <c r="BL2440" s="1">
        <v>0</v>
      </c>
      <c r="BM2440" s="1">
        <v>0</v>
      </c>
      <c r="BN2440" s="1">
        <v>0</v>
      </c>
      <c r="BO2440" s="1">
        <v>0</v>
      </c>
      <c r="BP2440" s="1">
        <v>0</v>
      </c>
      <c r="BQ2440" s="1">
        <v>0</v>
      </c>
      <c r="BR2440" s="1">
        <v>0</v>
      </c>
      <c r="BS2440" s="1" t="s">
        <v>109</v>
      </c>
      <c r="BT2440" s="1">
        <v>2531</v>
      </c>
      <c r="BU2440" s="1" t="s">
        <v>109</v>
      </c>
      <c r="BV2440" s="1"/>
      <c r="BW2440" s="1"/>
      <c r="BX2440" s="1"/>
      <c r="BY2440" s="1"/>
      <c r="BZ2440" s="1">
        <v>0</v>
      </c>
      <c r="CA2440" s="1">
        <v>1</v>
      </c>
      <c r="CB2440" s="1" t="s">
        <v>109</v>
      </c>
      <c r="CC2440" s="1" t="s">
        <v>109</v>
      </c>
      <c r="CD2440" s="1" t="s">
        <v>109</v>
      </c>
      <c r="CE2440" s="1" t="s">
        <v>109</v>
      </c>
      <c r="CF2440" s="1">
        <v>1</v>
      </c>
      <c r="CG2440" s="1" t="s">
        <v>109</v>
      </c>
      <c r="CH2440" s="1" t="s">
        <v>109</v>
      </c>
      <c r="CI2440" s="1" t="s">
        <v>109</v>
      </c>
      <c r="CJ2440" s="1" t="s">
        <v>109</v>
      </c>
      <c r="CK2440" s="1"/>
      <c r="CL2440" s="1">
        <v>0</v>
      </c>
      <c r="CM2440" s="1">
        <v>0</v>
      </c>
      <c r="CN2440" s="1">
        <v>0</v>
      </c>
    </row>
    <row r="2441" spans="1:92" ht="14.25" customHeight="1" x14ac:dyDescent="0.15">
      <c r="A2441" s="1" t="s">
        <v>17439</v>
      </c>
      <c r="B2441" s="1" t="s">
        <v>189</v>
      </c>
      <c r="C2441" s="1"/>
      <c r="D2441" s="1"/>
      <c r="E2441" s="1" t="s">
        <v>17440</v>
      </c>
      <c r="F2441" s="1" t="s">
        <v>98</v>
      </c>
      <c r="G2441" s="1" t="s">
        <v>17441</v>
      </c>
      <c r="H2441" s="1">
        <v>0</v>
      </c>
      <c r="I2441" s="1" t="s">
        <v>142</v>
      </c>
      <c r="J2441" s="1"/>
      <c r="K2441" s="1"/>
      <c r="L2441" s="1" t="s">
        <v>17442</v>
      </c>
      <c r="M2441" s="1" t="s">
        <v>17443</v>
      </c>
      <c r="N2441" s="1">
        <v>0</v>
      </c>
      <c r="O2441" s="1">
        <v>0</v>
      </c>
      <c r="P2441" s="1" t="s">
        <v>103</v>
      </c>
      <c r="Q2441" s="1" t="s">
        <v>104</v>
      </c>
      <c r="R2441" s="1" t="s">
        <v>17444</v>
      </c>
      <c r="S2441" s="1" t="s">
        <v>17445</v>
      </c>
      <c r="T2441" s="1" t="s">
        <v>17437</v>
      </c>
      <c r="U2441" s="1" t="s">
        <v>17446</v>
      </c>
      <c r="V2441" s="1">
        <v>1</v>
      </c>
      <c r="W2441" s="1">
        <v>1</v>
      </c>
      <c r="X2441" s="1">
        <v>0</v>
      </c>
      <c r="Y2441" s="1">
        <v>0</v>
      </c>
      <c r="Z2441" s="1">
        <v>0</v>
      </c>
      <c r="AA2441" s="1">
        <v>4</v>
      </c>
      <c r="AB2441" s="1">
        <v>4</v>
      </c>
      <c r="AC2441" s="1">
        <v>4</v>
      </c>
      <c r="AD2441" s="1" t="s">
        <v>109</v>
      </c>
      <c r="AE2441" s="1" t="s">
        <v>109</v>
      </c>
      <c r="AF2441" s="1" t="s">
        <v>109</v>
      </c>
      <c r="AG2441" s="1">
        <v>3</v>
      </c>
      <c r="AH2441" s="1" t="s">
        <v>109</v>
      </c>
      <c r="AI2441" s="1" t="s">
        <v>109</v>
      </c>
      <c r="AJ2441" s="1">
        <v>3</v>
      </c>
      <c r="AK2441" s="1" t="s">
        <v>109</v>
      </c>
      <c r="AL2441" s="1">
        <v>4</v>
      </c>
      <c r="AM2441" s="1">
        <v>3</v>
      </c>
      <c r="AN2441" s="1">
        <v>4</v>
      </c>
      <c r="AO2441" s="1" t="s">
        <v>109</v>
      </c>
      <c r="AP2441" s="1"/>
      <c r="AQ2441" s="1">
        <v>4</v>
      </c>
      <c r="AR2441" s="1"/>
      <c r="AS2441" s="1"/>
      <c r="AT2441" s="1">
        <v>0</v>
      </c>
      <c r="AU2441" s="1">
        <v>0</v>
      </c>
      <c r="AV2441" s="1">
        <v>0</v>
      </c>
      <c r="AW2441" s="1">
        <v>0</v>
      </c>
      <c r="AX2441" s="1">
        <v>0</v>
      </c>
      <c r="AY2441" s="1">
        <v>0</v>
      </c>
      <c r="AZ2441" s="1">
        <v>0</v>
      </c>
      <c r="BA2441" s="1">
        <v>0</v>
      </c>
      <c r="BB2441" s="1">
        <v>0</v>
      </c>
      <c r="BC2441" s="1">
        <v>0</v>
      </c>
      <c r="BD2441" s="1">
        <v>0</v>
      </c>
      <c r="BE2441" s="1">
        <v>0</v>
      </c>
      <c r="BF2441" s="1">
        <v>0</v>
      </c>
      <c r="BG2441" s="1">
        <v>0</v>
      </c>
      <c r="BH2441" s="1">
        <v>0</v>
      </c>
      <c r="BI2441" s="1">
        <v>0</v>
      </c>
      <c r="BJ2441" s="1">
        <v>0</v>
      </c>
      <c r="BK2441" s="1">
        <v>0</v>
      </c>
      <c r="BL2441" s="1">
        <v>0</v>
      </c>
      <c r="BM2441" s="1">
        <v>0</v>
      </c>
      <c r="BN2441" s="1">
        <v>0</v>
      </c>
      <c r="BO2441" s="1">
        <v>0</v>
      </c>
      <c r="BP2441" s="1">
        <v>0</v>
      </c>
      <c r="BQ2441" s="1">
        <v>0</v>
      </c>
      <c r="BR2441" s="1">
        <v>0</v>
      </c>
      <c r="BS2441" s="1" t="s">
        <v>109</v>
      </c>
      <c r="BT2441" s="1">
        <v>2532</v>
      </c>
      <c r="BU2441" s="1" t="s">
        <v>109</v>
      </c>
      <c r="BV2441" s="1"/>
      <c r="BW2441" s="1"/>
      <c r="BX2441" s="1"/>
      <c r="BY2441" s="1"/>
      <c r="BZ2441" s="1">
        <v>0</v>
      </c>
      <c r="CA2441" s="1" t="s">
        <v>109</v>
      </c>
      <c r="CB2441" s="1">
        <v>3</v>
      </c>
      <c r="CC2441" s="1" t="s">
        <v>109</v>
      </c>
      <c r="CD2441" s="1">
        <v>4</v>
      </c>
      <c r="CE2441" s="1" t="s">
        <v>109</v>
      </c>
      <c r="CF2441" s="1">
        <v>4</v>
      </c>
      <c r="CG2441" s="1">
        <v>3</v>
      </c>
      <c r="CH2441" s="1" t="s">
        <v>109</v>
      </c>
      <c r="CI2441" s="1" t="s">
        <v>109</v>
      </c>
      <c r="CJ2441" s="1" t="s">
        <v>109</v>
      </c>
      <c r="CK2441" s="1"/>
      <c r="CL2441" s="1">
        <v>0</v>
      </c>
      <c r="CM2441" s="1">
        <v>0</v>
      </c>
      <c r="CN2441" s="1">
        <v>0</v>
      </c>
    </row>
    <row r="2442" spans="1:92" ht="14.25" customHeight="1" x14ac:dyDescent="0.15">
      <c r="A2442" s="1" t="s">
        <v>17447</v>
      </c>
      <c r="B2442" s="1" t="s">
        <v>189</v>
      </c>
      <c r="C2442" s="1"/>
      <c r="D2442" s="1"/>
      <c r="E2442" s="1" t="s">
        <v>17448</v>
      </c>
      <c r="F2442" s="1" t="s">
        <v>98</v>
      </c>
      <c r="G2442" s="1" t="s">
        <v>17449</v>
      </c>
      <c r="H2442" s="1">
        <v>0</v>
      </c>
      <c r="I2442" s="1" t="s">
        <v>235</v>
      </c>
      <c r="J2442" s="1"/>
      <c r="K2442" s="1"/>
      <c r="L2442" s="1" t="s">
        <v>17450</v>
      </c>
      <c r="M2442" s="1" t="s">
        <v>125</v>
      </c>
      <c r="N2442" s="1">
        <v>0</v>
      </c>
      <c r="O2442" s="1">
        <v>0</v>
      </c>
      <c r="P2442" s="1" t="s">
        <v>103</v>
      </c>
      <c r="Q2442" s="1" t="s">
        <v>104</v>
      </c>
      <c r="R2442" s="1" t="s">
        <v>17451</v>
      </c>
      <c r="S2442" s="1" t="s">
        <v>17452</v>
      </c>
      <c r="T2442" s="1" t="s">
        <v>17437</v>
      </c>
      <c r="U2442" s="1" t="s">
        <v>17453</v>
      </c>
      <c r="V2442" s="1">
        <v>1</v>
      </c>
      <c r="W2442" s="1">
        <v>1</v>
      </c>
      <c r="X2442" s="1">
        <v>0</v>
      </c>
      <c r="Y2442" s="1">
        <v>0</v>
      </c>
      <c r="Z2442" s="1">
        <v>0</v>
      </c>
      <c r="AA2442" s="1" t="s">
        <v>109</v>
      </c>
      <c r="AB2442" s="1" t="s">
        <v>109</v>
      </c>
      <c r="AC2442" s="1">
        <v>2</v>
      </c>
      <c r="AD2442" s="1" t="s">
        <v>109</v>
      </c>
      <c r="AE2442" s="1" t="s">
        <v>109</v>
      </c>
      <c r="AF2442" s="1" t="s">
        <v>109</v>
      </c>
      <c r="AG2442" s="1">
        <v>1</v>
      </c>
      <c r="AH2442" s="1" t="s">
        <v>109</v>
      </c>
      <c r="AI2442" s="1" t="s">
        <v>109</v>
      </c>
      <c r="AJ2442" s="1" t="s">
        <v>109</v>
      </c>
      <c r="AK2442" s="1">
        <v>2</v>
      </c>
      <c r="AL2442" s="1">
        <v>2</v>
      </c>
      <c r="AM2442" s="1" t="s">
        <v>109</v>
      </c>
      <c r="AN2442" s="1">
        <v>2</v>
      </c>
      <c r="AO2442" s="1" t="s">
        <v>109</v>
      </c>
      <c r="AP2442" s="1"/>
      <c r="AQ2442" s="1">
        <v>2</v>
      </c>
      <c r="AR2442" s="1"/>
      <c r="AS2442" s="1"/>
      <c r="AT2442" s="1">
        <v>0</v>
      </c>
      <c r="AU2442" s="1">
        <v>0</v>
      </c>
      <c r="AV2442" s="1">
        <v>0</v>
      </c>
      <c r="AW2442" s="1">
        <v>0</v>
      </c>
      <c r="AX2442" s="1">
        <v>0</v>
      </c>
      <c r="AY2442" s="1">
        <v>0</v>
      </c>
      <c r="AZ2442" s="1">
        <v>0</v>
      </c>
      <c r="BA2442" s="1">
        <v>0</v>
      </c>
      <c r="BB2442" s="1">
        <v>0</v>
      </c>
      <c r="BC2442" s="1">
        <v>0</v>
      </c>
      <c r="BD2442" s="1">
        <v>0</v>
      </c>
      <c r="BE2442" s="1">
        <v>0</v>
      </c>
      <c r="BF2442" s="1">
        <v>0</v>
      </c>
      <c r="BG2442" s="1">
        <v>0</v>
      </c>
      <c r="BH2442" s="1">
        <v>0</v>
      </c>
      <c r="BI2442" s="1">
        <v>0</v>
      </c>
      <c r="BJ2442" s="1">
        <v>0</v>
      </c>
      <c r="BK2442" s="1">
        <v>0</v>
      </c>
      <c r="BL2442" s="1">
        <v>0</v>
      </c>
      <c r="BM2442" s="1">
        <v>0</v>
      </c>
      <c r="BN2442" s="1">
        <v>0</v>
      </c>
      <c r="BO2442" s="1">
        <v>0</v>
      </c>
      <c r="BP2442" s="1">
        <v>0</v>
      </c>
      <c r="BQ2442" s="1">
        <v>0</v>
      </c>
      <c r="BR2442" s="1">
        <v>0</v>
      </c>
      <c r="BS2442" s="1" t="s">
        <v>109</v>
      </c>
      <c r="BT2442" s="1">
        <v>2533</v>
      </c>
      <c r="BU2442" s="1" t="s">
        <v>109</v>
      </c>
      <c r="BV2442" s="1"/>
      <c r="BW2442" s="1"/>
      <c r="BX2442" s="1"/>
      <c r="BY2442" s="1"/>
      <c r="BZ2442" s="1">
        <v>0</v>
      </c>
      <c r="CA2442" s="1">
        <v>1</v>
      </c>
      <c r="CB2442" s="1">
        <v>2</v>
      </c>
      <c r="CC2442" s="1" t="s">
        <v>109</v>
      </c>
      <c r="CD2442" s="1">
        <v>2</v>
      </c>
      <c r="CE2442" s="1" t="s">
        <v>109</v>
      </c>
      <c r="CF2442" s="1" t="s">
        <v>109</v>
      </c>
      <c r="CG2442" s="1" t="s">
        <v>109</v>
      </c>
      <c r="CH2442" s="1" t="s">
        <v>109</v>
      </c>
      <c r="CI2442" s="1" t="s">
        <v>109</v>
      </c>
      <c r="CJ2442" s="1" t="s">
        <v>109</v>
      </c>
      <c r="CK2442" s="1"/>
      <c r="CL2442" s="1">
        <v>0</v>
      </c>
      <c r="CM2442" s="1">
        <v>0</v>
      </c>
      <c r="CN2442" s="1">
        <v>0</v>
      </c>
    </row>
    <row r="2443" spans="1:92" ht="14.25" customHeight="1" x14ac:dyDescent="0.15">
      <c r="A2443" s="1" t="s">
        <v>17454</v>
      </c>
      <c r="B2443" s="1" t="s">
        <v>584</v>
      </c>
      <c r="C2443" s="1"/>
      <c r="D2443" s="1" t="s">
        <v>60</v>
      </c>
      <c r="E2443" s="1" t="s">
        <v>17455</v>
      </c>
      <c r="F2443" s="1" t="s">
        <v>98</v>
      </c>
      <c r="G2443" s="1" t="s">
        <v>160</v>
      </c>
      <c r="H2443" s="1">
        <v>0</v>
      </c>
      <c r="I2443" s="1" t="s">
        <v>122</v>
      </c>
      <c r="J2443" s="1"/>
      <c r="K2443" s="1"/>
      <c r="L2443" s="1"/>
      <c r="M2443" s="1" t="s">
        <v>6144</v>
      </c>
      <c r="N2443" s="1">
        <v>1</v>
      </c>
      <c r="O2443" s="1">
        <v>0</v>
      </c>
      <c r="P2443" s="1" t="s">
        <v>103</v>
      </c>
      <c r="Q2443" s="1" t="s">
        <v>104</v>
      </c>
      <c r="R2443" s="1" t="s">
        <v>17456</v>
      </c>
      <c r="S2443" s="1" t="s">
        <v>17457</v>
      </c>
      <c r="T2443" s="1" t="s">
        <v>17437</v>
      </c>
      <c r="U2443" s="1" t="s">
        <v>17458</v>
      </c>
      <c r="V2443" s="1">
        <v>1</v>
      </c>
      <c r="W2443" s="1">
        <v>1</v>
      </c>
      <c r="X2443" s="1">
        <v>0</v>
      </c>
      <c r="Y2443" s="1">
        <v>0</v>
      </c>
      <c r="Z2443" s="1">
        <v>1</v>
      </c>
      <c r="AA2443" s="1" t="s">
        <v>109</v>
      </c>
      <c r="AB2443" s="1" t="s">
        <v>109</v>
      </c>
      <c r="AC2443" s="1">
        <v>2</v>
      </c>
      <c r="AD2443" s="1" t="s">
        <v>109</v>
      </c>
      <c r="AE2443" s="1" t="s">
        <v>109</v>
      </c>
      <c r="AF2443" s="1" t="s">
        <v>109</v>
      </c>
      <c r="AG2443" s="1">
        <v>2</v>
      </c>
      <c r="AH2443" s="1" t="s">
        <v>109</v>
      </c>
      <c r="AI2443" s="1" t="s">
        <v>109</v>
      </c>
      <c r="AJ2443" s="1" t="s">
        <v>109</v>
      </c>
      <c r="AK2443" s="1">
        <v>2</v>
      </c>
      <c r="AL2443" s="1">
        <v>2</v>
      </c>
      <c r="AM2443" s="1">
        <v>2</v>
      </c>
      <c r="AN2443" s="1" t="s">
        <v>109</v>
      </c>
      <c r="AO2443" s="1" t="s">
        <v>109</v>
      </c>
      <c r="AP2443" s="1"/>
      <c r="AQ2443" s="1">
        <v>2</v>
      </c>
      <c r="AR2443" s="1"/>
      <c r="AS2443" s="1"/>
      <c r="AT2443" s="1">
        <v>0</v>
      </c>
      <c r="AU2443" s="1">
        <v>0</v>
      </c>
      <c r="AV2443" s="1">
        <v>0</v>
      </c>
      <c r="AW2443" s="1">
        <v>0</v>
      </c>
      <c r="AX2443" s="1">
        <v>0</v>
      </c>
      <c r="AY2443" s="1">
        <v>0</v>
      </c>
      <c r="AZ2443" s="1">
        <v>0</v>
      </c>
      <c r="BA2443" s="1">
        <v>0</v>
      </c>
      <c r="BB2443" s="1">
        <v>0</v>
      </c>
      <c r="BC2443" s="1">
        <v>0</v>
      </c>
      <c r="BD2443" s="1">
        <v>0</v>
      </c>
      <c r="BE2443" s="1">
        <v>0</v>
      </c>
      <c r="BF2443" s="1">
        <v>0</v>
      </c>
      <c r="BG2443" s="1">
        <v>0</v>
      </c>
      <c r="BH2443" s="1">
        <v>1</v>
      </c>
      <c r="BI2443" s="1">
        <v>0</v>
      </c>
      <c r="BJ2443" s="1">
        <v>0</v>
      </c>
      <c r="BK2443" s="1">
        <v>0</v>
      </c>
      <c r="BL2443" s="1">
        <v>0</v>
      </c>
      <c r="BM2443" s="1">
        <v>0</v>
      </c>
      <c r="BN2443" s="1">
        <v>0</v>
      </c>
      <c r="BO2443" s="1">
        <v>0</v>
      </c>
      <c r="BP2443" s="1">
        <v>0</v>
      </c>
      <c r="BQ2443" s="1">
        <v>0</v>
      </c>
      <c r="BR2443" s="1">
        <v>0</v>
      </c>
      <c r="BS2443" s="1" t="s">
        <v>109</v>
      </c>
      <c r="BT2443" s="1">
        <v>2534</v>
      </c>
      <c r="BU2443" s="1" t="s">
        <v>109</v>
      </c>
      <c r="BV2443" s="1"/>
      <c r="BW2443" s="1"/>
      <c r="BX2443" s="1"/>
      <c r="BY2443" s="1"/>
      <c r="BZ2443" s="1">
        <v>0</v>
      </c>
      <c r="CA2443" s="1" t="s">
        <v>109</v>
      </c>
      <c r="CB2443" s="1">
        <v>2</v>
      </c>
      <c r="CC2443" s="1" t="s">
        <v>109</v>
      </c>
      <c r="CD2443" s="1" t="s">
        <v>109</v>
      </c>
      <c r="CE2443" s="1" t="s">
        <v>109</v>
      </c>
      <c r="CF2443" s="1" t="s">
        <v>109</v>
      </c>
      <c r="CG2443" s="1">
        <v>2</v>
      </c>
      <c r="CH2443" s="1" t="s">
        <v>109</v>
      </c>
      <c r="CI2443" s="1" t="s">
        <v>109</v>
      </c>
      <c r="CJ2443" s="1" t="s">
        <v>109</v>
      </c>
      <c r="CK2443" s="1"/>
      <c r="CL2443" s="1">
        <v>0</v>
      </c>
      <c r="CM2443" s="1">
        <v>0</v>
      </c>
      <c r="CN2443" s="1">
        <v>0</v>
      </c>
    </row>
    <row r="2444" spans="1:92" ht="14.25" customHeight="1" x14ac:dyDescent="0.15">
      <c r="A2444" s="1" t="s">
        <v>17459</v>
      </c>
      <c r="B2444" s="1" t="s">
        <v>308</v>
      </c>
      <c r="C2444" s="1"/>
      <c r="D2444" s="1"/>
      <c r="E2444" s="1" t="s">
        <v>17460</v>
      </c>
      <c r="F2444" s="1" t="s">
        <v>98</v>
      </c>
      <c r="G2444" s="1" t="s">
        <v>17461</v>
      </c>
      <c r="H2444" s="1">
        <v>0</v>
      </c>
      <c r="I2444" s="1" t="s">
        <v>142</v>
      </c>
      <c r="J2444" s="1"/>
      <c r="K2444" s="1"/>
      <c r="L2444" s="1" t="s">
        <v>17462</v>
      </c>
      <c r="M2444" s="1" t="s">
        <v>3042</v>
      </c>
      <c r="N2444" s="1">
        <v>0</v>
      </c>
      <c r="O2444" s="1">
        <v>0</v>
      </c>
      <c r="P2444" s="1" t="s">
        <v>7979</v>
      </c>
      <c r="Q2444" s="1" t="s">
        <v>104</v>
      </c>
      <c r="R2444" s="1" t="s">
        <v>17463</v>
      </c>
      <c r="S2444" s="1" t="s">
        <v>17464</v>
      </c>
      <c r="T2444" s="1" t="s">
        <v>17465</v>
      </c>
      <c r="U2444" s="1" t="s">
        <v>17466</v>
      </c>
      <c r="V2444" s="1">
        <v>1</v>
      </c>
      <c r="W2444" s="1">
        <v>1</v>
      </c>
      <c r="X2444" s="1">
        <v>1</v>
      </c>
      <c r="Y2444" s="1">
        <v>0</v>
      </c>
      <c r="Z2444" s="1">
        <v>0</v>
      </c>
      <c r="AA2444" s="1">
        <v>2</v>
      </c>
      <c r="AB2444" s="1">
        <v>2</v>
      </c>
      <c r="AC2444" s="1">
        <v>2</v>
      </c>
      <c r="AD2444" s="1">
        <v>2</v>
      </c>
      <c r="AE2444" s="1" t="s">
        <v>109</v>
      </c>
      <c r="AF2444" s="1" t="s">
        <v>109</v>
      </c>
      <c r="AG2444" s="1" t="s">
        <v>109</v>
      </c>
      <c r="AH2444" s="1" t="s">
        <v>109</v>
      </c>
      <c r="AI2444" s="1" t="s">
        <v>109</v>
      </c>
      <c r="AJ2444" s="1">
        <v>2</v>
      </c>
      <c r="AK2444" s="1" t="s">
        <v>109</v>
      </c>
      <c r="AL2444" s="1">
        <v>2</v>
      </c>
      <c r="AM2444" s="1" t="s">
        <v>109</v>
      </c>
      <c r="AN2444" s="1" t="s">
        <v>109</v>
      </c>
      <c r="AO2444" s="1" t="s">
        <v>109</v>
      </c>
      <c r="AP2444" s="1"/>
      <c r="AQ2444" s="1">
        <v>2</v>
      </c>
      <c r="AR2444" s="1"/>
      <c r="AS2444" s="1"/>
      <c r="AT2444" s="1">
        <v>0</v>
      </c>
      <c r="AU2444" s="1">
        <v>0</v>
      </c>
      <c r="AV2444" s="1">
        <v>0</v>
      </c>
      <c r="AW2444" s="1">
        <v>0</v>
      </c>
      <c r="AX2444" s="1">
        <v>0</v>
      </c>
      <c r="AY2444" s="1">
        <v>0</v>
      </c>
      <c r="AZ2444" s="1">
        <v>0</v>
      </c>
      <c r="BA2444" s="1">
        <v>0</v>
      </c>
      <c r="BB2444" s="1">
        <v>0</v>
      </c>
      <c r="BC2444" s="1">
        <v>0</v>
      </c>
      <c r="BD2444" s="1">
        <v>0</v>
      </c>
      <c r="BE2444" s="1">
        <v>0</v>
      </c>
      <c r="BF2444" s="1">
        <v>0</v>
      </c>
      <c r="BG2444" s="1">
        <v>0</v>
      </c>
      <c r="BH2444" s="1">
        <v>0</v>
      </c>
      <c r="BI2444" s="1">
        <v>0</v>
      </c>
      <c r="BJ2444" s="1">
        <v>0</v>
      </c>
      <c r="BK2444" s="1">
        <v>0</v>
      </c>
      <c r="BL2444" s="1">
        <v>0</v>
      </c>
      <c r="BM2444" s="1">
        <v>0</v>
      </c>
      <c r="BN2444" s="1">
        <v>0</v>
      </c>
      <c r="BO2444" s="1">
        <v>0</v>
      </c>
      <c r="BP2444" s="1">
        <v>0</v>
      </c>
      <c r="BQ2444" s="1">
        <v>0</v>
      </c>
      <c r="BR2444" s="1">
        <v>0</v>
      </c>
      <c r="BS2444" s="1" t="s">
        <v>109</v>
      </c>
      <c r="BT2444" s="1">
        <v>2535</v>
      </c>
      <c r="BU2444" s="1" t="s">
        <v>109</v>
      </c>
      <c r="BV2444" s="1"/>
      <c r="BW2444" s="1"/>
      <c r="BX2444" s="1"/>
      <c r="BY2444" s="1"/>
      <c r="BZ2444" s="1">
        <v>0</v>
      </c>
      <c r="CA2444" s="1">
        <v>2</v>
      </c>
      <c r="CB2444" s="1">
        <v>2</v>
      </c>
      <c r="CC2444" s="1">
        <v>2</v>
      </c>
      <c r="CD2444" s="1" t="s">
        <v>109</v>
      </c>
      <c r="CE2444" s="1" t="s">
        <v>109</v>
      </c>
      <c r="CF2444" s="1" t="s">
        <v>109</v>
      </c>
      <c r="CG2444" s="1" t="s">
        <v>109</v>
      </c>
      <c r="CH2444" s="1" t="s">
        <v>109</v>
      </c>
      <c r="CI2444" s="1" t="s">
        <v>109</v>
      </c>
      <c r="CJ2444" s="1">
        <v>2</v>
      </c>
      <c r="CK2444" s="1"/>
      <c r="CL2444" s="1">
        <v>0</v>
      </c>
      <c r="CM2444" s="1">
        <v>0</v>
      </c>
      <c r="CN2444" s="1">
        <v>0</v>
      </c>
    </row>
    <row r="2445" spans="1:92" ht="14.25" customHeight="1" x14ac:dyDescent="0.15">
      <c r="A2445" s="1" t="s">
        <v>17467</v>
      </c>
      <c r="B2445" s="1" t="s">
        <v>95</v>
      </c>
      <c r="C2445" s="1" t="s">
        <v>1522</v>
      </c>
      <c r="D2445" s="1"/>
      <c r="E2445" s="1" t="s">
        <v>17468</v>
      </c>
      <c r="F2445" s="1" t="s">
        <v>98</v>
      </c>
      <c r="G2445" s="1" t="s">
        <v>17469</v>
      </c>
      <c r="H2445" s="1">
        <v>0</v>
      </c>
      <c r="I2445" s="1" t="s">
        <v>235</v>
      </c>
      <c r="J2445" s="1"/>
      <c r="K2445" s="1"/>
      <c r="L2445" s="1" t="s">
        <v>236</v>
      </c>
      <c r="M2445" s="1" t="s">
        <v>144</v>
      </c>
      <c r="N2445" s="1">
        <v>0</v>
      </c>
      <c r="O2445" s="1">
        <v>0</v>
      </c>
      <c r="P2445" s="1" t="s">
        <v>7979</v>
      </c>
      <c r="Q2445" s="1" t="s">
        <v>104</v>
      </c>
      <c r="R2445" s="1" t="s">
        <v>17470</v>
      </c>
      <c r="S2445" s="1" t="s">
        <v>17471</v>
      </c>
      <c r="T2445" s="1" t="s">
        <v>17465</v>
      </c>
      <c r="U2445" s="1" t="s">
        <v>17472</v>
      </c>
      <c r="V2445" s="1">
        <v>1</v>
      </c>
      <c r="W2445" s="1">
        <v>1</v>
      </c>
      <c r="X2445" s="1">
        <v>0</v>
      </c>
      <c r="Y2445" s="1">
        <v>0</v>
      </c>
      <c r="Z2445" s="1">
        <v>0</v>
      </c>
      <c r="AA2445" s="1">
        <v>5</v>
      </c>
      <c r="AB2445" s="1">
        <v>5</v>
      </c>
      <c r="AC2445" s="1" t="s">
        <v>109</v>
      </c>
      <c r="AD2445" s="1" t="s">
        <v>109</v>
      </c>
      <c r="AE2445" s="1" t="s">
        <v>109</v>
      </c>
      <c r="AF2445" s="1">
        <v>4</v>
      </c>
      <c r="AG2445" s="1">
        <v>4</v>
      </c>
      <c r="AH2445" s="1">
        <v>4</v>
      </c>
      <c r="AI2445" s="1" t="s">
        <v>109</v>
      </c>
      <c r="AJ2445" s="1" t="s">
        <v>109</v>
      </c>
      <c r="AK2445" s="1">
        <v>4</v>
      </c>
      <c r="AL2445" s="1" t="s">
        <v>109</v>
      </c>
      <c r="AM2445" s="1">
        <v>4</v>
      </c>
      <c r="AN2445" s="1">
        <v>4</v>
      </c>
      <c r="AO2445" s="1" t="s">
        <v>109</v>
      </c>
      <c r="AP2445" s="1"/>
      <c r="AQ2445" s="1">
        <v>5</v>
      </c>
      <c r="AR2445" s="1"/>
      <c r="AS2445" s="1"/>
      <c r="AT2445" s="1">
        <v>0</v>
      </c>
      <c r="AU2445" s="1">
        <v>0</v>
      </c>
      <c r="AV2445" s="1">
        <v>0</v>
      </c>
      <c r="AW2445" s="1">
        <v>0</v>
      </c>
      <c r="AX2445" s="1">
        <v>0</v>
      </c>
      <c r="AY2445" s="1">
        <v>0</v>
      </c>
      <c r="AZ2445" s="1">
        <v>0</v>
      </c>
      <c r="BA2445" s="1">
        <v>0</v>
      </c>
      <c r="BB2445" s="1">
        <v>0</v>
      </c>
      <c r="BC2445" s="1">
        <v>0</v>
      </c>
      <c r="BD2445" s="1">
        <v>0</v>
      </c>
      <c r="BE2445" s="1">
        <v>0</v>
      </c>
      <c r="BF2445" s="1">
        <v>0</v>
      </c>
      <c r="BG2445" s="1">
        <v>0</v>
      </c>
      <c r="BH2445" s="1">
        <v>0</v>
      </c>
      <c r="BI2445" s="1">
        <v>0</v>
      </c>
      <c r="BJ2445" s="1">
        <v>0</v>
      </c>
      <c r="BK2445" s="1">
        <v>0</v>
      </c>
      <c r="BL2445" s="1">
        <v>0</v>
      </c>
      <c r="BM2445" s="1">
        <v>0</v>
      </c>
      <c r="BN2445" s="1">
        <v>0</v>
      </c>
      <c r="BO2445" s="1">
        <v>0</v>
      </c>
      <c r="BP2445" s="1">
        <v>0</v>
      </c>
      <c r="BQ2445" s="1">
        <v>0</v>
      </c>
      <c r="BR2445" s="1">
        <v>0</v>
      </c>
      <c r="BS2445" s="1" t="s">
        <v>109</v>
      </c>
      <c r="BT2445" s="1">
        <v>2536</v>
      </c>
      <c r="BU2445" s="1" t="s">
        <v>109</v>
      </c>
      <c r="BV2445" s="1"/>
      <c r="BW2445" s="1"/>
      <c r="BX2445" s="1"/>
      <c r="BY2445" s="1"/>
      <c r="BZ2445" s="1">
        <v>0</v>
      </c>
      <c r="CA2445" s="1">
        <v>4</v>
      </c>
      <c r="CB2445" s="1" t="s">
        <v>109</v>
      </c>
      <c r="CC2445" s="1">
        <v>5</v>
      </c>
      <c r="CD2445" s="1">
        <v>4</v>
      </c>
      <c r="CE2445" s="1" t="s">
        <v>109</v>
      </c>
      <c r="CF2445" s="1">
        <v>4</v>
      </c>
      <c r="CG2445" s="1" t="s">
        <v>109</v>
      </c>
      <c r="CH2445" s="1" t="s">
        <v>109</v>
      </c>
      <c r="CI2445" s="1" t="s">
        <v>109</v>
      </c>
      <c r="CJ2445" s="1" t="s">
        <v>109</v>
      </c>
      <c r="CK2445" s="1"/>
      <c r="CL2445" s="1">
        <v>0</v>
      </c>
      <c r="CM2445" s="1">
        <v>0</v>
      </c>
      <c r="CN2445" s="1">
        <v>0</v>
      </c>
    </row>
    <row r="2446" spans="1:92" ht="14.25" customHeight="1" x14ac:dyDescent="0.15">
      <c r="A2446" s="1" t="s">
        <v>17473</v>
      </c>
      <c r="B2446" s="1" t="s">
        <v>189</v>
      </c>
      <c r="C2446" s="1"/>
      <c r="D2446" s="1"/>
      <c r="E2446" s="1" t="s">
        <v>17474</v>
      </c>
      <c r="F2446" s="1" t="s">
        <v>98</v>
      </c>
      <c r="G2446" s="1" t="s">
        <v>17475</v>
      </c>
      <c r="H2446" s="1">
        <v>0</v>
      </c>
      <c r="I2446" s="1" t="s">
        <v>142</v>
      </c>
      <c r="J2446" s="1"/>
      <c r="K2446" s="1"/>
      <c r="L2446" s="1" t="s">
        <v>17462</v>
      </c>
      <c r="M2446" s="1" t="s">
        <v>574</v>
      </c>
      <c r="N2446" s="1">
        <v>1</v>
      </c>
      <c r="O2446" s="1">
        <v>0</v>
      </c>
      <c r="P2446" s="1" t="s">
        <v>7979</v>
      </c>
      <c r="Q2446" s="1" t="s">
        <v>104</v>
      </c>
      <c r="R2446" s="1" t="s">
        <v>17476</v>
      </c>
      <c r="S2446" s="1" t="s">
        <v>17477</v>
      </c>
      <c r="T2446" s="1" t="s">
        <v>17465</v>
      </c>
      <c r="U2446" s="1" t="s">
        <v>17478</v>
      </c>
      <c r="V2446" s="1">
        <v>1</v>
      </c>
      <c r="W2446" s="1">
        <v>1</v>
      </c>
      <c r="X2446" s="1">
        <v>1</v>
      </c>
      <c r="Y2446" s="1">
        <v>0</v>
      </c>
      <c r="Z2446" s="1">
        <v>0</v>
      </c>
      <c r="AA2446" s="1">
        <v>7</v>
      </c>
      <c r="AB2446" s="1">
        <v>7</v>
      </c>
      <c r="AC2446" s="1">
        <v>7</v>
      </c>
      <c r="AD2446" s="1" t="s">
        <v>109</v>
      </c>
      <c r="AE2446" s="1" t="s">
        <v>109</v>
      </c>
      <c r="AF2446" s="1" t="s">
        <v>109</v>
      </c>
      <c r="AG2446" s="1" t="s">
        <v>109</v>
      </c>
      <c r="AH2446" s="1" t="s">
        <v>109</v>
      </c>
      <c r="AI2446" s="1" t="s">
        <v>109</v>
      </c>
      <c r="AJ2446" s="1">
        <v>7</v>
      </c>
      <c r="AK2446" s="1" t="s">
        <v>109</v>
      </c>
      <c r="AL2446" s="1">
        <v>7</v>
      </c>
      <c r="AM2446" s="1" t="s">
        <v>109</v>
      </c>
      <c r="AN2446" s="1" t="s">
        <v>109</v>
      </c>
      <c r="AO2446" s="1" t="s">
        <v>109</v>
      </c>
      <c r="AP2446" s="1"/>
      <c r="AQ2446" s="1">
        <v>7</v>
      </c>
      <c r="AR2446" s="1"/>
      <c r="AS2446" s="1"/>
      <c r="AT2446" s="1">
        <v>0</v>
      </c>
      <c r="AU2446" s="1">
        <v>0</v>
      </c>
      <c r="AV2446" s="1">
        <v>0</v>
      </c>
      <c r="AW2446" s="1">
        <v>0</v>
      </c>
      <c r="AX2446" s="1">
        <v>0</v>
      </c>
      <c r="AY2446" s="1">
        <v>0</v>
      </c>
      <c r="AZ2446" s="1">
        <v>0</v>
      </c>
      <c r="BA2446" s="1">
        <v>0</v>
      </c>
      <c r="BB2446" s="1">
        <v>0</v>
      </c>
      <c r="BC2446" s="1">
        <v>0</v>
      </c>
      <c r="BD2446" s="1">
        <v>0</v>
      </c>
      <c r="BE2446" s="1">
        <v>0</v>
      </c>
      <c r="BF2446" s="1">
        <v>0</v>
      </c>
      <c r="BG2446" s="1">
        <v>0</v>
      </c>
      <c r="BH2446" s="1">
        <v>0</v>
      </c>
      <c r="BI2446" s="1">
        <v>0</v>
      </c>
      <c r="BJ2446" s="1">
        <v>0</v>
      </c>
      <c r="BK2446" s="1">
        <v>0</v>
      </c>
      <c r="BL2446" s="1">
        <v>0</v>
      </c>
      <c r="BM2446" s="1">
        <v>0</v>
      </c>
      <c r="BN2446" s="1">
        <v>0</v>
      </c>
      <c r="BO2446" s="1">
        <v>0</v>
      </c>
      <c r="BP2446" s="1">
        <v>0</v>
      </c>
      <c r="BQ2446" s="1">
        <v>0</v>
      </c>
      <c r="BR2446" s="1">
        <v>0</v>
      </c>
      <c r="BS2446" s="1" t="s">
        <v>109</v>
      </c>
      <c r="BT2446" s="1">
        <v>2537</v>
      </c>
      <c r="BU2446" s="1" t="s">
        <v>109</v>
      </c>
      <c r="BV2446" s="1"/>
      <c r="BW2446" s="1"/>
      <c r="BX2446" s="1"/>
      <c r="BY2446" s="1"/>
      <c r="BZ2446" s="1">
        <v>0</v>
      </c>
      <c r="CA2446" s="1" t="s">
        <v>109</v>
      </c>
      <c r="CB2446" s="1" t="s">
        <v>109</v>
      </c>
      <c r="CC2446" s="1">
        <v>7</v>
      </c>
      <c r="CD2446" s="1" t="s">
        <v>109</v>
      </c>
      <c r="CE2446" s="1" t="s">
        <v>109</v>
      </c>
      <c r="CF2446" s="1">
        <v>5</v>
      </c>
      <c r="CG2446" s="1" t="s">
        <v>109</v>
      </c>
      <c r="CH2446" s="1" t="s">
        <v>109</v>
      </c>
      <c r="CI2446" s="1" t="s">
        <v>109</v>
      </c>
      <c r="CJ2446" s="1" t="s">
        <v>109</v>
      </c>
      <c r="CK2446" s="1"/>
      <c r="CL2446" s="1">
        <v>0</v>
      </c>
      <c r="CM2446" s="1">
        <v>0</v>
      </c>
      <c r="CN2446" s="1">
        <v>0</v>
      </c>
    </row>
    <row r="2447" spans="1:92" ht="14.25" customHeight="1" x14ac:dyDescent="0.15">
      <c r="A2447" s="1" t="s">
        <v>17479</v>
      </c>
      <c r="B2447" s="1" t="s">
        <v>189</v>
      </c>
      <c r="C2447" s="1"/>
      <c r="D2447" s="1"/>
      <c r="E2447" s="1" t="s">
        <v>17480</v>
      </c>
      <c r="F2447" s="1" t="s">
        <v>98</v>
      </c>
      <c r="G2447" s="1" t="s">
        <v>17481</v>
      </c>
      <c r="H2447" s="1">
        <v>0</v>
      </c>
      <c r="I2447" s="1" t="s">
        <v>9796</v>
      </c>
      <c r="J2447" s="1"/>
      <c r="K2447" s="1"/>
      <c r="L2447" s="1" t="s">
        <v>17482</v>
      </c>
      <c r="M2447" s="1" t="s">
        <v>574</v>
      </c>
      <c r="N2447" s="1">
        <v>1</v>
      </c>
      <c r="O2447" s="1">
        <v>0</v>
      </c>
      <c r="P2447" s="1" t="s">
        <v>17483</v>
      </c>
      <c r="Q2447" s="1" t="s">
        <v>268</v>
      </c>
      <c r="R2447" s="1" t="s">
        <v>17484</v>
      </c>
      <c r="S2447" s="1" t="s">
        <v>17485</v>
      </c>
      <c r="T2447" s="1" t="s">
        <v>17465</v>
      </c>
      <c r="U2447" s="1" t="s">
        <v>17486</v>
      </c>
      <c r="V2447" s="1">
        <v>1</v>
      </c>
      <c r="W2447" s="1">
        <v>1</v>
      </c>
      <c r="X2447" s="1">
        <v>1</v>
      </c>
      <c r="Y2447" s="1">
        <v>0</v>
      </c>
      <c r="Z2447" s="1">
        <v>0</v>
      </c>
      <c r="AA2447" s="1">
        <v>8</v>
      </c>
      <c r="AB2447" s="1">
        <v>8</v>
      </c>
      <c r="AC2447" s="1">
        <v>8</v>
      </c>
      <c r="AD2447" s="1" t="s">
        <v>109</v>
      </c>
      <c r="AE2447" s="1" t="s">
        <v>109</v>
      </c>
      <c r="AF2447" s="1" t="s">
        <v>109</v>
      </c>
      <c r="AG2447" s="1" t="s">
        <v>109</v>
      </c>
      <c r="AH2447" s="1" t="s">
        <v>109</v>
      </c>
      <c r="AI2447" s="1" t="s">
        <v>109</v>
      </c>
      <c r="AJ2447" s="1">
        <v>7</v>
      </c>
      <c r="AK2447" s="1" t="s">
        <v>109</v>
      </c>
      <c r="AL2447" s="1">
        <v>8</v>
      </c>
      <c r="AM2447" s="1" t="s">
        <v>109</v>
      </c>
      <c r="AN2447" s="1" t="s">
        <v>109</v>
      </c>
      <c r="AO2447" s="1" t="s">
        <v>109</v>
      </c>
      <c r="AP2447" s="1"/>
      <c r="AQ2447" s="1">
        <v>8</v>
      </c>
      <c r="AR2447" s="1"/>
      <c r="AS2447" s="1"/>
      <c r="AT2447" s="1">
        <v>0</v>
      </c>
      <c r="AU2447" s="1">
        <v>0</v>
      </c>
      <c r="AV2447" s="1">
        <v>0</v>
      </c>
      <c r="AW2447" s="1">
        <v>0</v>
      </c>
      <c r="AX2447" s="1">
        <v>0</v>
      </c>
      <c r="AY2447" s="1">
        <v>0</v>
      </c>
      <c r="AZ2447" s="1">
        <v>0</v>
      </c>
      <c r="BA2447" s="1">
        <v>0</v>
      </c>
      <c r="BB2447" s="1">
        <v>0</v>
      </c>
      <c r="BC2447" s="1">
        <v>0</v>
      </c>
      <c r="BD2447" s="1">
        <v>0</v>
      </c>
      <c r="BE2447" s="1">
        <v>0</v>
      </c>
      <c r="BF2447" s="1">
        <v>0</v>
      </c>
      <c r="BG2447" s="1">
        <v>0</v>
      </c>
      <c r="BH2447" s="1">
        <v>0</v>
      </c>
      <c r="BI2447" s="1">
        <v>0</v>
      </c>
      <c r="BJ2447" s="1">
        <v>0</v>
      </c>
      <c r="BK2447" s="1">
        <v>0</v>
      </c>
      <c r="BL2447" s="1">
        <v>0</v>
      </c>
      <c r="BM2447" s="1">
        <v>0</v>
      </c>
      <c r="BN2447" s="1">
        <v>0</v>
      </c>
      <c r="BO2447" s="1">
        <v>0</v>
      </c>
      <c r="BP2447" s="1">
        <v>0</v>
      </c>
      <c r="BQ2447" s="1">
        <v>0</v>
      </c>
      <c r="BR2447" s="1">
        <v>0</v>
      </c>
      <c r="BS2447" s="1" t="s">
        <v>109</v>
      </c>
      <c r="BT2447" s="1">
        <v>2538</v>
      </c>
      <c r="BU2447" s="1" t="s">
        <v>109</v>
      </c>
      <c r="BV2447" s="1"/>
      <c r="BW2447" s="1"/>
      <c r="BX2447" s="1"/>
      <c r="BY2447" s="1"/>
      <c r="BZ2447" s="1">
        <v>0</v>
      </c>
      <c r="CA2447" s="1" t="s">
        <v>109</v>
      </c>
      <c r="CB2447" s="1">
        <v>8</v>
      </c>
      <c r="CC2447" s="1">
        <v>8</v>
      </c>
      <c r="CD2447" s="1" t="s">
        <v>109</v>
      </c>
      <c r="CE2447" s="1" t="s">
        <v>109</v>
      </c>
      <c r="CF2447" s="1" t="s">
        <v>109</v>
      </c>
      <c r="CG2447" s="1">
        <v>6</v>
      </c>
      <c r="CH2447" s="1" t="s">
        <v>109</v>
      </c>
      <c r="CI2447" s="1" t="s">
        <v>109</v>
      </c>
      <c r="CJ2447" s="1" t="s">
        <v>109</v>
      </c>
      <c r="CK2447" s="1"/>
      <c r="CL2447" s="1">
        <v>0</v>
      </c>
      <c r="CM2447" s="1">
        <v>0</v>
      </c>
      <c r="CN2447" s="1">
        <v>0</v>
      </c>
    </row>
    <row r="2448" spans="1:92" ht="14.25" customHeight="1" x14ac:dyDescent="0.15">
      <c r="A2448" s="1" t="s">
        <v>17487</v>
      </c>
      <c r="B2448" s="1" t="s">
        <v>308</v>
      </c>
      <c r="C2448" s="1"/>
      <c r="D2448" s="1" t="s">
        <v>16074</v>
      </c>
      <c r="E2448" s="1" t="s">
        <v>17488</v>
      </c>
      <c r="F2448" s="1" t="s">
        <v>98</v>
      </c>
      <c r="G2448" s="1" t="s">
        <v>17489</v>
      </c>
      <c r="H2448" s="1">
        <v>0</v>
      </c>
      <c r="I2448" s="1" t="s">
        <v>122</v>
      </c>
      <c r="J2448" s="1"/>
      <c r="K2448" s="1"/>
      <c r="L2448" s="1" t="s">
        <v>1391</v>
      </c>
      <c r="M2448" s="1" t="s">
        <v>144</v>
      </c>
      <c r="N2448" s="1">
        <v>0</v>
      </c>
      <c r="O2448" s="1">
        <v>0</v>
      </c>
      <c r="P2448" s="1" t="s">
        <v>2770</v>
      </c>
      <c r="Q2448" s="1" t="s">
        <v>268</v>
      </c>
      <c r="R2448" s="1" t="s">
        <v>17490</v>
      </c>
      <c r="S2448" s="1" t="s">
        <v>17491</v>
      </c>
      <c r="T2448" s="1" t="s">
        <v>17465</v>
      </c>
      <c r="U2448" s="1" t="s">
        <v>17492</v>
      </c>
      <c r="V2448" s="1">
        <v>1</v>
      </c>
      <c r="W2448" s="1">
        <v>1</v>
      </c>
      <c r="X2448" s="1">
        <v>1</v>
      </c>
      <c r="Y2448" s="1">
        <v>0</v>
      </c>
      <c r="Z2448" s="1">
        <v>0</v>
      </c>
      <c r="AA2448" s="1" t="s">
        <v>109</v>
      </c>
      <c r="AB2448" s="1" t="s">
        <v>109</v>
      </c>
      <c r="AC2448" s="1">
        <v>3</v>
      </c>
      <c r="AD2448" s="1" t="s">
        <v>109</v>
      </c>
      <c r="AE2448" s="1" t="s">
        <v>109</v>
      </c>
      <c r="AF2448" s="1" t="s">
        <v>109</v>
      </c>
      <c r="AG2448" s="1" t="s">
        <v>109</v>
      </c>
      <c r="AH2448" s="1" t="s">
        <v>109</v>
      </c>
      <c r="AI2448" s="1" t="s">
        <v>109</v>
      </c>
      <c r="AJ2448" s="1">
        <v>3</v>
      </c>
      <c r="AK2448" s="1">
        <v>2</v>
      </c>
      <c r="AL2448" s="1">
        <v>3</v>
      </c>
      <c r="AM2448" s="1">
        <v>2</v>
      </c>
      <c r="AN2448" s="1" t="s">
        <v>109</v>
      </c>
      <c r="AO2448" s="1" t="s">
        <v>109</v>
      </c>
      <c r="AP2448" s="1"/>
      <c r="AQ2448" s="1">
        <v>3</v>
      </c>
      <c r="AR2448" s="1"/>
      <c r="AS2448" s="1"/>
      <c r="AT2448" s="1">
        <v>0</v>
      </c>
      <c r="AU2448" s="1">
        <v>0</v>
      </c>
      <c r="AV2448" s="1">
        <v>0</v>
      </c>
      <c r="AW2448" s="1">
        <v>0</v>
      </c>
      <c r="AX2448" s="1">
        <v>1</v>
      </c>
      <c r="AY2448" s="1">
        <v>0</v>
      </c>
      <c r="AZ2448" s="1">
        <v>0</v>
      </c>
      <c r="BA2448" s="1">
        <v>0</v>
      </c>
      <c r="BB2448" s="1">
        <v>0</v>
      </c>
      <c r="BC2448" s="1">
        <v>0</v>
      </c>
      <c r="BD2448" s="1">
        <v>0</v>
      </c>
      <c r="BE2448" s="1">
        <v>0</v>
      </c>
      <c r="BF2448" s="1">
        <v>0</v>
      </c>
      <c r="BG2448" s="1">
        <v>0</v>
      </c>
      <c r="BH2448" s="1">
        <v>0</v>
      </c>
      <c r="BI2448" s="1">
        <v>0</v>
      </c>
      <c r="BJ2448" s="1">
        <v>0</v>
      </c>
      <c r="BK2448" s="1">
        <v>0</v>
      </c>
      <c r="BL2448" s="1">
        <v>0</v>
      </c>
      <c r="BM2448" s="1">
        <v>0</v>
      </c>
      <c r="BN2448" s="1">
        <v>0</v>
      </c>
      <c r="BO2448" s="1">
        <v>0</v>
      </c>
      <c r="BP2448" s="1">
        <v>0</v>
      </c>
      <c r="BQ2448" s="1">
        <v>0</v>
      </c>
      <c r="BR2448" s="1">
        <v>0</v>
      </c>
      <c r="BS2448" s="1" t="s">
        <v>109</v>
      </c>
      <c r="BT2448" s="1">
        <v>2539</v>
      </c>
      <c r="BU2448" s="1" t="s">
        <v>109</v>
      </c>
      <c r="BV2448" s="1"/>
      <c r="BW2448" s="1"/>
      <c r="BX2448" s="1"/>
      <c r="BY2448" s="1"/>
      <c r="BZ2448" s="1">
        <v>0</v>
      </c>
      <c r="CA2448" s="1" t="s">
        <v>109</v>
      </c>
      <c r="CB2448" s="1">
        <v>4</v>
      </c>
      <c r="CC2448" s="1">
        <v>3</v>
      </c>
      <c r="CD2448" s="1" t="s">
        <v>109</v>
      </c>
      <c r="CE2448" s="1" t="s">
        <v>109</v>
      </c>
      <c r="CF2448" s="1">
        <v>4</v>
      </c>
      <c r="CG2448" s="1" t="s">
        <v>109</v>
      </c>
      <c r="CH2448" s="1" t="s">
        <v>109</v>
      </c>
      <c r="CI2448" s="1" t="s">
        <v>109</v>
      </c>
      <c r="CJ2448" s="1" t="s">
        <v>109</v>
      </c>
      <c r="CK2448" s="1"/>
      <c r="CL2448" s="1">
        <v>0</v>
      </c>
      <c r="CM2448" s="1">
        <v>0</v>
      </c>
      <c r="CN2448" s="1">
        <v>0</v>
      </c>
    </row>
    <row r="2449" spans="1:92" ht="14.25" customHeight="1" x14ac:dyDescent="0.15">
      <c r="A2449" s="1" t="s">
        <v>17493</v>
      </c>
      <c r="B2449" s="1" t="s">
        <v>189</v>
      </c>
      <c r="C2449" s="1"/>
      <c r="D2449" s="1" t="s">
        <v>54</v>
      </c>
      <c r="E2449" s="1" t="s">
        <v>17494</v>
      </c>
      <c r="F2449" s="1" t="s">
        <v>98</v>
      </c>
      <c r="G2449" s="1" t="s">
        <v>17495</v>
      </c>
      <c r="H2449" s="1">
        <v>0</v>
      </c>
      <c r="I2449" s="1" t="s">
        <v>16552</v>
      </c>
      <c r="J2449" s="1"/>
      <c r="K2449" s="1"/>
      <c r="L2449" s="1" t="s">
        <v>17496</v>
      </c>
      <c r="M2449" s="1" t="s">
        <v>144</v>
      </c>
      <c r="N2449" s="1">
        <v>0</v>
      </c>
      <c r="O2449" s="1">
        <v>0</v>
      </c>
      <c r="P2449" s="1" t="s">
        <v>629</v>
      </c>
      <c r="Q2449" s="1" t="s">
        <v>630</v>
      </c>
      <c r="R2449" s="1" t="s">
        <v>17497</v>
      </c>
      <c r="S2449" s="1" t="s">
        <v>17498</v>
      </c>
      <c r="T2449" s="1" t="s">
        <v>17465</v>
      </c>
      <c r="U2449" s="1" t="s">
        <v>17499</v>
      </c>
      <c r="V2449" s="1">
        <v>1</v>
      </c>
      <c r="W2449" s="1">
        <v>1</v>
      </c>
      <c r="X2449" s="1">
        <v>1</v>
      </c>
      <c r="Y2449" s="1">
        <v>0</v>
      </c>
      <c r="Z2449" s="1">
        <v>0</v>
      </c>
      <c r="AA2449" s="1">
        <v>4</v>
      </c>
      <c r="AB2449" s="1">
        <v>4</v>
      </c>
      <c r="AC2449" s="1">
        <v>4</v>
      </c>
      <c r="AD2449" s="1">
        <v>4</v>
      </c>
      <c r="AE2449" s="1" t="s">
        <v>109</v>
      </c>
      <c r="AF2449" s="1" t="s">
        <v>109</v>
      </c>
      <c r="AG2449" s="1" t="s">
        <v>109</v>
      </c>
      <c r="AH2449" s="1" t="s">
        <v>109</v>
      </c>
      <c r="AI2449" s="1" t="s">
        <v>109</v>
      </c>
      <c r="AJ2449" s="1" t="s">
        <v>109</v>
      </c>
      <c r="AK2449" s="1" t="s">
        <v>109</v>
      </c>
      <c r="AL2449" s="1">
        <v>4</v>
      </c>
      <c r="AM2449" s="1" t="s">
        <v>109</v>
      </c>
      <c r="AN2449" s="1" t="s">
        <v>109</v>
      </c>
      <c r="AO2449" s="1" t="s">
        <v>109</v>
      </c>
      <c r="AP2449" s="1"/>
      <c r="AQ2449" s="1">
        <v>4</v>
      </c>
      <c r="AR2449" s="1"/>
      <c r="AS2449" s="1"/>
      <c r="AT2449" s="1">
        <v>0</v>
      </c>
      <c r="AU2449" s="1">
        <v>0</v>
      </c>
      <c r="AV2449" s="1">
        <v>0</v>
      </c>
      <c r="AW2449" s="1">
        <v>0</v>
      </c>
      <c r="AX2449" s="1">
        <v>0</v>
      </c>
      <c r="AY2449" s="1">
        <v>0</v>
      </c>
      <c r="AZ2449" s="1">
        <v>0</v>
      </c>
      <c r="BA2449" s="1">
        <v>0</v>
      </c>
      <c r="BB2449" s="1">
        <v>1</v>
      </c>
      <c r="BC2449" s="1">
        <v>0</v>
      </c>
      <c r="BD2449" s="1">
        <v>0</v>
      </c>
      <c r="BE2449" s="1">
        <v>0</v>
      </c>
      <c r="BF2449" s="1">
        <v>0</v>
      </c>
      <c r="BG2449" s="1">
        <v>0</v>
      </c>
      <c r="BH2449" s="1">
        <v>0</v>
      </c>
      <c r="BI2449" s="1">
        <v>0</v>
      </c>
      <c r="BJ2449" s="1">
        <v>0</v>
      </c>
      <c r="BK2449" s="1">
        <v>0</v>
      </c>
      <c r="BL2449" s="1">
        <v>0</v>
      </c>
      <c r="BM2449" s="1">
        <v>0</v>
      </c>
      <c r="BN2449" s="1">
        <v>0</v>
      </c>
      <c r="BO2449" s="1">
        <v>0</v>
      </c>
      <c r="BP2449" s="1">
        <v>0</v>
      </c>
      <c r="BQ2449" s="1">
        <v>0</v>
      </c>
      <c r="BR2449" s="1">
        <v>0</v>
      </c>
      <c r="BS2449" s="1" t="s">
        <v>109</v>
      </c>
      <c r="BT2449" s="1">
        <v>2540</v>
      </c>
      <c r="BU2449" s="1" t="s">
        <v>109</v>
      </c>
      <c r="BV2449" s="1"/>
      <c r="BW2449" s="1"/>
      <c r="BX2449" s="1"/>
      <c r="BY2449" s="1"/>
      <c r="BZ2449" s="1">
        <v>0</v>
      </c>
      <c r="CA2449" s="1">
        <v>4</v>
      </c>
      <c r="CB2449" s="1" t="s">
        <v>109</v>
      </c>
      <c r="CC2449" s="1">
        <v>4</v>
      </c>
      <c r="CD2449" s="1">
        <v>4</v>
      </c>
      <c r="CE2449" s="1" t="s">
        <v>109</v>
      </c>
      <c r="CF2449" s="1">
        <v>4</v>
      </c>
      <c r="CG2449" s="1" t="s">
        <v>109</v>
      </c>
      <c r="CH2449" s="1" t="s">
        <v>109</v>
      </c>
      <c r="CI2449" s="1" t="s">
        <v>109</v>
      </c>
      <c r="CJ2449" s="1">
        <v>4</v>
      </c>
      <c r="CK2449" s="1"/>
      <c r="CL2449" s="1">
        <v>0</v>
      </c>
      <c r="CM2449" s="1">
        <v>0</v>
      </c>
      <c r="CN2449" s="1">
        <v>0</v>
      </c>
    </row>
    <row r="2450" spans="1:92" ht="14.25" customHeight="1" x14ac:dyDescent="0.15">
      <c r="A2450" s="1" t="s">
        <v>17500</v>
      </c>
      <c r="B2450" s="1" t="s">
        <v>584</v>
      </c>
      <c r="C2450" s="1"/>
      <c r="D2450" s="1" t="s">
        <v>10360</v>
      </c>
      <c r="E2450" s="1" t="s">
        <v>17501</v>
      </c>
      <c r="F2450" s="1" t="s">
        <v>98</v>
      </c>
      <c r="G2450" s="1" t="s">
        <v>141</v>
      </c>
      <c r="H2450" s="1">
        <v>0</v>
      </c>
      <c r="I2450" s="1" t="s">
        <v>235</v>
      </c>
      <c r="J2450" s="1"/>
      <c r="K2450" s="1"/>
      <c r="L2450" s="1" t="s">
        <v>236</v>
      </c>
      <c r="M2450" s="1" t="s">
        <v>3042</v>
      </c>
      <c r="N2450" s="1">
        <v>0</v>
      </c>
      <c r="O2450" s="1">
        <v>0</v>
      </c>
      <c r="P2450" s="1" t="s">
        <v>507</v>
      </c>
      <c r="Q2450" s="1" t="s">
        <v>104</v>
      </c>
      <c r="R2450" s="1" t="s">
        <v>17502</v>
      </c>
      <c r="S2450" s="1" t="s">
        <v>17503</v>
      </c>
      <c r="T2450" s="1" t="s">
        <v>17465</v>
      </c>
      <c r="U2450" s="1" t="s">
        <v>17504</v>
      </c>
      <c r="V2450" s="1">
        <v>1</v>
      </c>
      <c r="W2450" s="1">
        <v>1</v>
      </c>
      <c r="X2450" s="1">
        <v>0</v>
      </c>
      <c r="Y2450" s="1">
        <v>0</v>
      </c>
      <c r="Z2450" s="1">
        <v>0</v>
      </c>
      <c r="AA2450" s="1" t="s">
        <v>109</v>
      </c>
      <c r="AB2450" s="1" t="s">
        <v>109</v>
      </c>
      <c r="AC2450" s="1" t="s">
        <v>109</v>
      </c>
      <c r="AD2450" s="1" t="s">
        <v>109</v>
      </c>
      <c r="AE2450" s="1" t="s">
        <v>109</v>
      </c>
      <c r="AF2450" s="1">
        <v>1</v>
      </c>
      <c r="AG2450" s="1" t="s">
        <v>109</v>
      </c>
      <c r="AH2450" s="1" t="s">
        <v>109</v>
      </c>
      <c r="AI2450" s="1" t="s">
        <v>109</v>
      </c>
      <c r="AJ2450" s="1" t="s">
        <v>109</v>
      </c>
      <c r="AK2450" s="1" t="s">
        <v>109</v>
      </c>
      <c r="AL2450" s="1" t="s">
        <v>109</v>
      </c>
      <c r="AM2450" s="1" t="s">
        <v>109</v>
      </c>
      <c r="AN2450" s="1" t="s">
        <v>109</v>
      </c>
      <c r="AO2450" s="1" t="s">
        <v>109</v>
      </c>
      <c r="AP2450" s="1"/>
      <c r="AQ2450" s="1">
        <v>1</v>
      </c>
      <c r="AR2450" s="1"/>
      <c r="AS2450" s="1"/>
      <c r="AT2450" s="1">
        <v>0</v>
      </c>
      <c r="AU2450" s="1">
        <v>0</v>
      </c>
      <c r="AV2450" s="1">
        <v>0</v>
      </c>
      <c r="AW2450" s="1">
        <v>0</v>
      </c>
      <c r="AX2450" s="1">
        <v>0</v>
      </c>
      <c r="AY2450" s="1">
        <v>0</v>
      </c>
      <c r="AZ2450" s="1">
        <v>0</v>
      </c>
      <c r="BA2450" s="1">
        <v>0</v>
      </c>
      <c r="BB2450" s="1">
        <v>0</v>
      </c>
      <c r="BC2450" s="1">
        <v>0</v>
      </c>
      <c r="BD2450" s="1">
        <v>0</v>
      </c>
      <c r="BE2450" s="1">
        <v>0</v>
      </c>
      <c r="BF2450" s="1">
        <v>0</v>
      </c>
      <c r="BG2450" s="1">
        <v>0</v>
      </c>
      <c r="BH2450" s="1">
        <v>0</v>
      </c>
      <c r="BI2450" s="1">
        <v>0</v>
      </c>
      <c r="BJ2450" s="1">
        <v>1</v>
      </c>
      <c r="BK2450" s="1">
        <v>0</v>
      </c>
      <c r="BL2450" s="1">
        <v>0</v>
      </c>
      <c r="BM2450" s="1">
        <v>0</v>
      </c>
      <c r="BN2450" s="1">
        <v>0</v>
      </c>
      <c r="BO2450" s="1">
        <v>0</v>
      </c>
      <c r="BP2450" s="1">
        <v>0</v>
      </c>
      <c r="BQ2450" s="1">
        <v>1</v>
      </c>
      <c r="BR2450" s="1">
        <v>0</v>
      </c>
      <c r="BS2450" s="1" t="s">
        <v>109</v>
      </c>
      <c r="BT2450" s="1">
        <v>2541</v>
      </c>
      <c r="BU2450" s="1" t="s">
        <v>109</v>
      </c>
      <c r="BV2450" s="1"/>
      <c r="BW2450" s="1"/>
      <c r="BX2450" s="1"/>
      <c r="BY2450" s="1"/>
      <c r="BZ2450" s="1">
        <v>0</v>
      </c>
      <c r="CA2450" s="1">
        <v>1</v>
      </c>
      <c r="CB2450" s="1" t="s">
        <v>109</v>
      </c>
      <c r="CC2450" s="1" t="s">
        <v>109</v>
      </c>
      <c r="CD2450" s="1" t="s">
        <v>109</v>
      </c>
      <c r="CE2450" s="1" t="s">
        <v>109</v>
      </c>
      <c r="CF2450" s="1" t="s">
        <v>109</v>
      </c>
      <c r="CG2450" s="1" t="s">
        <v>109</v>
      </c>
      <c r="CH2450" s="1" t="s">
        <v>109</v>
      </c>
      <c r="CI2450" s="1" t="s">
        <v>109</v>
      </c>
      <c r="CJ2450" s="1" t="s">
        <v>109</v>
      </c>
      <c r="CK2450" s="1"/>
      <c r="CL2450" s="1">
        <v>0</v>
      </c>
      <c r="CM2450" s="1">
        <v>0</v>
      </c>
      <c r="CN2450" s="1">
        <v>0</v>
      </c>
    </row>
    <row r="2451" spans="1:92" ht="14.25" customHeight="1" x14ac:dyDescent="0.15">
      <c r="A2451" s="1" t="s">
        <v>17505</v>
      </c>
      <c r="B2451" s="1" t="s">
        <v>189</v>
      </c>
      <c r="C2451" s="1"/>
      <c r="D2451" s="1"/>
      <c r="E2451" s="1" t="s">
        <v>5810</v>
      </c>
      <c r="F2451" s="1" t="s">
        <v>6545</v>
      </c>
      <c r="G2451" s="1" t="s">
        <v>141</v>
      </c>
      <c r="H2451" s="1">
        <v>0</v>
      </c>
      <c r="I2451" s="1" t="s">
        <v>235</v>
      </c>
      <c r="J2451" s="1"/>
      <c r="K2451" s="1"/>
      <c r="L2451" s="1" t="s">
        <v>236</v>
      </c>
      <c r="M2451" s="1" t="s">
        <v>355</v>
      </c>
      <c r="N2451" s="1">
        <v>0</v>
      </c>
      <c r="O2451" s="1">
        <v>0</v>
      </c>
      <c r="P2451" s="1" t="s">
        <v>507</v>
      </c>
      <c r="Q2451" s="1" t="s">
        <v>104</v>
      </c>
      <c r="R2451" s="1" t="s">
        <v>17506</v>
      </c>
      <c r="S2451" s="1" t="s">
        <v>17507</v>
      </c>
      <c r="T2451" s="1" t="s">
        <v>17465</v>
      </c>
      <c r="U2451" s="1" t="s">
        <v>17508</v>
      </c>
      <c r="V2451" s="1">
        <v>1</v>
      </c>
      <c r="W2451" s="1">
        <v>1</v>
      </c>
      <c r="X2451" s="1">
        <v>0</v>
      </c>
      <c r="Y2451" s="1">
        <v>0</v>
      </c>
      <c r="Z2451" s="1">
        <v>0</v>
      </c>
      <c r="AA2451" s="1" t="s">
        <v>109</v>
      </c>
      <c r="AB2451" s="1" t="s">
        <v>109</v>
      </c>
      <c r="AC2451" s="1" t="s">
        <v>109</v>
      </c>
      <c r="AD2451" s="1" t="s">
        <v>109</v>
      </c>
      <c r="AE2451" s="1" t="s">
        <v>109</v>
      </c>
      <c r="AF2451" s="1" t="s">
        <v>109</v>
      </c>
      <c r="AG2451" s="1" t="s">
        <v>109</v>
      </c>
      <c r="AH2451" s="1">
        <v>3</v>
      </c>
      <c r="AI2451" s="1" t="s">
        <v>109</v>
      </c>
      <c r="AJ2451" s="1" t="s">
        <v>109</v>
      </c>
      <c r="AK2451" s="1" t="s">
        <v>109</v>
      </c>
      <c r="AL2451" s="1" t="s">
        <v>109</v>
      </c>
      <c r="AM2451" s="1" t="s">
        <v>109</v>
      </c>
      <c r="AN2451" s="1" t="s">
        <v>109</v>
      </c>
      <c r="AO2451" s="1" t="s">
        <v>109</v>
      </c>
      <c r="AP2451" s="1"/>
      <c r="AQ2451" s="1">
        <v>3</v>
      </c>
      <c r="AR2451" s="1"/>
      <c r="AS2451" s="1"/>
      <c r="AT2451" s="1">
        <v>0</v>
      </c>
      <c r="AU2451" s="1">
        <v>0</v>
      </c>
      <c r="AV2451" s="1">
        <v>0</v>
      </c>
      <c r="AW2451" s="1">
        <v>0</v>
      </c>
      <c r="AX2451" s="1">
        <v>0</v>
      </c>
      <c r="AY2451" s="1">
        <v>0</v>
      </c>
      <c r="AZ2451" s="1">
        <v>0</v>
      </c>
      <c r="BA2451" s="1">
        <v>0</v>
      </c>
      <c r="BB2451" s="1">
        <v>0</v>
      </c>
      <c r="BC2451" s="1">
        <v>0</v>
      </c>
      <c r="BD2451" s="1">
        <v>0</v>
      </c>
      <c r="BE2451" s="1">
        <v>0</v>
      </c>
      <c r="BF2451" s="1">
        <v>0</v>
      </c>
      <c r="BG2451" s="1">
        <v>0</v>
      </c>
      <c r="BH2451" s="1">
        <v>0</v>
      </c>
      <c r="BI2451" s="1">
        <v>0</v>
      </c>
      <c r="BJ2451" s="1">
        <v>0</v>
      </c>
      <c r="BK2451" s="1">
        <v>0</v>
      </c>
      <c r="BL2451" s="1">
        <v>0</v>
      </c>
      <c r="BM2451" s="1">
        <v>0</v>
      </c>
      <c r="BN2451" s="1">
        <v>0</v>
      </c>
      <c r="BO2451" s="1">
        <v>0</v>
      </c>
      <c r="BP2451" s="1">
        <v>0</v>
      </c>
      <c r="BQ2451" s="1">
        <v>0</v>
      </c>
      <c r="BR2451" s="1">
        <v>0</v>
      </c>
      <c r="BS2451" s="1" t="s">
        <v>109</v>
      </c>
      <c r="BT2451" s="1">
        <v>2542</v>
      </c>
      <c r="BU2451" s="1" t="s">
        <v>109</v>
      </c>
      <c r="BV2451" s="1"/>
      <c r="BW2451" s="1"/>
      <c r="BX2451" s="1"/>
      <c r="BY2451" s="1"/>
      <c r="BZ2451" s="1">
        <v>0</v>
      </c>
      <c r="CA2451" s="1" t="s">
        <v>109</v>
      </c>
      <c r="CB2451" s="1" t="s">
        <v>109</v>
      </c>
      <c r="CC2451" s="1" t="s">
        <v>109</v>
      </c>
      <c r="CD2451" s="1" t="s">
        <v>109</v>
      </c>
      <c r="CE2451" s="1" t="s">
        <v>109</v>
      </c>
      <c r="CF2451" s="1" t="s">
        <v>109</v>
      </c>
      <c r="CG2451" s="1" t="s">
        <v>109</v>
      </c>
      <c r="CH2451" s="1" t="s">
        <v>109</v>
      </c>
      <c r="CI2451" s="1" t="s">
        <v>109</v>
      </c>
      <c r="CJ2451" s="1" t="s">
        <v>109</v>
      </c>
      <c r="CK2451" s="1"/>
      <c r="CL2451" s="1">
        <v>0</v>
      </c>
      <c r="CM2451" s="1">
        <v>0</v>
      </c>
      <c r="CN2451" s="1">
        <v>0</v>
      </c>
    </row>
    <row r="2452" spans="1:92" ht="14.25" customHeight="1" x14ac:dyDescent="0.15">
      <c r="A2452" s="1" t="s">
        <v>17509</v>
      </c>
      <c r="B2452" s="1" t="s">
        <v>95</v>
      </c>
      <c r="C2452" s="1" t="s">
        <v>1179</v>
      </c>
      <c r="D2452" s="1"/>
      <c r="E2452" s="1" t="s">
        <v>17510</v>
      </c>
      <c r="F2452" s="1" t="s">
        <v>98</v>
      </c>
      <c r="G2452" s="1" t="s">
        <v>17511</v>
      </c>
      <c r="H2452" s="1">
        <v>0</v>
      </c>
      <c r="I2452" s="1" t="s">
        <v>142</v>
      </c>
      <c r="J2452" s="1"/>
      <c r="K2452" s="1" t="s">
        <v>17512</v>
      </c>
      <c r="L2452" s="1"/>
      <c r="M2452" s="1" t="s">
        <v>574</v>
      </c>
      <c r="N2452" s="1">
        <v>1</v>
      </c>
      <c r="O2452" s="1">
        <v>0</v>
      </c>
      <c r="P2452" s="1" t="s">
        <v>103</v>
      </c>
      <c r="Q2452" s="1" t="s">
        <v>104</v>
      </c>
      <c r="R2452" s="1" t="s">
        <v>17513</v>
      </c>
      <c r="S2452" s="1" t="s">
        <v>17514</v>
      </c>
      <c r="T2452" s="1" t="s">
        <v>17465</v>
      </c>
      <c r="U2452" s="1" t="s">
        <v>17515</v>
      </c>
      <c r="V2452" s="1">
        <v>1</v>
      </c>
      <c r="W2452" s="1">
        <v>1</v>
      </c>
      <c r="X2452" s="1">
        <v>1</v>
      </c>
      <c r="Y2452" s="1">
        <v>0</v>
      </c>
      <c r="Z2452" s="1">
        <v>1</v>
      </c>
      <c r="AA2452" s="1">
        <v>5</v>
      </c>
      <c r="AB2452" s="1">
        <v>5</v>
      </c>
      <c r="AC2452" s="1" t="s">
        <v>109</v>
      </c>
      <c r="AD2452" s="1">
        <v>5</v>
      </c>
      <c r="AE2452" s="1" t="s">
        <v>109</v>
      </c>
      <c r="AF2452" s="1">
        <v>5</v>
      </c>
      <c r="AG2452" s="1" t="s">
        <v>109</v>
      </c>
      <c r="AH2452" s="1" t="s">
        <v>109</v>
      </c>
      <c r="AI2452" s="1">
        <v>5</v>
      </c>
      <c r="AJ2452" s="1">
        <v>5</v>
      </c>
      <c r="AK2452" s="1" t="s">
        <v>109</v>
      </c>
      <c r="AL2452" s="1" t="s">
        <v>109</v>
      </c>
      <c r="AM2452" s="1" t="s">
        <v>109</v>
      </c>
      <c r="AN2452" s="1" t="s">
        <v>109</v>
      </c>
      <c r="AO2452" s="1" t="s">
        <v>109</v>
      </c>
      <c r="AP2452" s="1"/>
      <c r="AQ2452" s="1">
        <v>5</v>
      </c>
      <c r="AR2452" s="1"/>
      <c r="AS2452" s="1"/>
      <c r="AT2452" s="1">
        <v>0</v>
      </c>
      <c r="AU2452" s="1">
        <v>0</v>
      </c>
      <c r="AV2452" s="1">
        <v>0</v>
      </c>
      <c r="AW2452" s="1">
        <v>0</v>
      </c>
      <c r="AX2452" s="1">
        <v>0</v>
      </c>
      <c r="AY2452" s="1">
        <v>0</v>
      </c>
      <c r="AZ2452" s="1">
        <v>0</v>
      </c>
      <c r="BA2452" s="1">
        <v>0</v>
      </c>
      <c r="BB2452" s="1">
        <v>0</v>
      </c>
      <c r="BC2452" s="1">
        <v>0</v>
      </c>
      <c r="BD2452" s="1">
        <v>0</v>
      </c>
      <c r="BE2452" s="1">
        <v>0</v>
      </c>
      <c r="BF2452" s="1">
        <v>0</v>
      </c>
      <c r="BG2452" s="1">
        <v>0</v>
      </c>
      <c r="BH2452" s="1">
        <v>0</v>
      </c>
      <c r="BI2452" s="1">
        <v>0</v>
      </c>
      <c r="BJ2452" s="1">
        <v>0</v>
      </c>
      <c r="BK2452" s="1">
        <v>0</v>
      </c>
      <c r="BL2452" s="1">
        <v>0</v>
      </c>
      <c r="BM2452" s="1">
        <v>0</v>
      </c>
      <c r="BN2452" s="1">
        <v>0</v>
      </c>
      <c r="BO2452" s="1">
        <v>0</v>
      </c>
      <c r="BP2452" s="1">
        <v>0</v>
      </c>
      <c r="BQ2452" s="1">
        <v>0</v>
      </c>
      <c r="BR2452" s="1">
        <v>0</v>
      </c>
      <c r="BS2452" s="1" t="s">
        <v>109</v>
      </c>
      <c r="BT2452" s="1">
        <v>2543</v>
      </c>
      <c r="BU2452" s="1" t="s">
        <v>109</v>
      </c>
      <c r="BV2452" s="1"/>
      <c r="BW2452" s="1"/>
      <c r="BX2452" s="1"/>
      <c r="BY2452" s="1"/>
      <c r="BZ2452" s="1">
        <v>0</v>
      </c>
      <c r="CA2452" s="1" t="s">
        <v>109</v>
      </c>
      <c r="CB2452" s="1">
        <v>5</v>
      </c>
      <c r="CC2452" s="1" t="s">
        <v>109</v>
      </c>
      <c r="CD2452" s="1" t="s">
        <v>109</v>
      </c>
      <c r="CE2452" s="1" t="s">
        <v>109</v>
      </c>
      <c r="CF2452" s="1" t="s">
        <v>109</v>
      </c>
      <c r="CG2452" s="1" t="s">
        <v>109</v>
      </c>
      <c r="CH2452" s="1" t="s">
        <v>109</v>
      </c>
      <c r="CI2452" s="1" t="s">
        <v>109</v>
      </c>
      <c r="CJ2452" s="1">
        <v>5</v>
      </c>
      <c r="CK2452" s="1"/>
      <c r="CL2452" s="1">
        <v>0</v>
      </c>
      <c r="CM2452" s="1">
        <v>0</v>
      </c>
      <c r="CN2452" s="1">
        <v>0</v>
      </c>
    </row>
    <row r="2453" spans="1:92" ht="14.25" customHeight="1" x14ac:dyDescent="0.15">
      <c r="A2453" s="1" t="s">
        <v>17516</v>
      </c>
      <c r="B2453" s="1" t="s">
        <v>95</v>
      </c>
      <c r="C2453" s="1" t="s">
        <v>96</v>
      </c>
      <c r="D2453" s="1"/>
      <c r="E2453" s="1" t="s">
        <v>17517</v>
      </c>
      <c r="F2453" s="1" t="s">
        <v>98</v>
      </c>
      <c r="G2453" s="1" t="s">
        <v>17518</v>
      </c>
      <c r="H2453" s="1">
        <v>1</v>
      </c>
      <c r="I2453" s="1" t="s">
        <v>122</v>
      </c>
      <c r="J2453" s="1"/>
      <c r="K2453" s="1" t="s">
        <v>17519</v>
      </c>
      <c r="L2453" s="1"/>
      <c r="M2453" s="1" t="s">
        <v>125</v>
      </c>
      <c r="N2453" s="1">
        <v>0</v>
      </c>
      <c r="O2453" s="1">
        <v>0</v>
      </c>
      <c r="P2453" s="1" t="s">
        <v>2092</v>
      </c>
      <c r="Q2453" s="1" t="s">
        <v>104</v>
      </c>
      <c r="R2453" s="1" t="s">
        <v>17520</v>
      </c>
      <c r="S2453" s="1" t="s">
        <v>17521</v>
      </c>
      <c r="T2453" s="1" t="s">
        <v>17465</v>
      </c>
      <c r="U2453" s="1" t="s">
        <v>17522</v>
      </c>
      <c r="V2453" s="1">
        <v>1</v>
      </c>
      <c r="W2453" s="1">
        <v>1</v>
      </c>
      <c r="X2453" s="1">
        <v>1</v>
      </c>
      <c r="Y2453" s="1">
        <v>0</v>
      </c>
      <c r="Z2453" s="1">
        <v>0</v>
      </c>
      <c r="AA2453" s="1">
        <v>5</v>
      </c>
      <c r="AB2453" s="1">
        <v>5</v>
      </c>
      <c r="AC2453" s="1">
        <v>6</v>
      </c>
      <c r="AD2453" s="1">
        <v>6</v>
      </c>
      <c r="AE2453" s="1" t="s">
        <v>109</v>
      </c>
      <c r="AF2453" s="1" t="s">
        <v>109</v>
      </c>
      <c r="AG2453" s="1" t="s">
        <v>109</v>
      </c>
      <c r="AH2453" s="1" t="s">
        <v>109</v>
      </c>
      <c r="AI2453" s="1">
        <v>5</v>
      </c>
      <c r="AJ2453" s="1" t="s">
        <v>109</v>
      </c>
      <c r="AK2453" s="1" t="s">
        <v>109</v>
      </c>
      <c r="AL2453" s="1">
        <v>6</v>
      </c>
      <c r="AM2453" s="1" t="s">
        <v>109</v>
      </c>
      <c r="AN2453" s="1" t="s">
        <v>109</v>
      </c>
      <c r="AO2453" s="1" t="s">
        <v>109</v>
      </c>
      <c r="AP2453" s="1"/>
      <c r="AQ2453" s="1">
        <v>5</v>
      </c>
      <c r="AR2453" s="1"/>
      <c r="AS2453" s="1"/>
      <c r="AT2453" s="1">
        <v>0</v>
      </c>
      <c r="AU2453" s="1">
        <v>0</v>
      </c>
      <c r="AV2453" s="1">
        <v>0</v>
      </c>
      <c r="AW2453" s="1">
        <v>0</v>
      </c>
      <c r="AX2453" s="1">
        <v>0</v>
      </c>
      <c r="AY2453" s="1">
        <v>0</v>
      </c>
      <c r="AZ2453" s="1">
        <v>0</v>
      </c>
      <c r="BA2453" s="1">
        <v>0</v>
      </c>
      <c r="BB2453" s="1">
        <v>0</v>
      </c>
      <c r="BC2453" s="1">
        <v>0</v>
      </c>
      <c r="BD2453" s="1">
        <v>0</v>
      </c>
      <c r="BE2453" s="1">
        <v>0</v>
      </c>
      <c r="BF2453" s="1">
        <v>0</v>
      </c>
      <c r="BG2453" s="1">
        <v>0</v>
      </c>
      <c r="BH2453" s="1">
        <v>0</v>
      </c>
      <c r="BI2453" s="1">
        <v>0</v>
      </c>
      <c r="BJ2453" s="1">
        <v>0</v>
      </c>
      <c r="BK2453" s="1">
        <v>0</v>
      </c>
      <c r="BL2453" s="1">
        <v>0</v>
      </c>
      <c r="BM2453" s="1">
        <v>0</v>
      </c>
      <c r="BN2453" s="1">
        <v>0</v>
      </c>
      <c r="BO2453" s="1">
        <v>0</v>
      </c>
      <c r="BP2453" s="1">
        <v>0</v>
      </c>
      <c r="BQ2453" s="1">
        <v>0</v>
      </c>
      <c r="BR2453" s="1">
        <v>0</v>
      </c>
      <c r="BS2453" s="1" t="s">
        <v>109</v>
      </c>
      <c r="BT2453" s="1">
        <v>2544</v>
      </c>
      <c r="BU2453" s="1">
        <v>10</v>
      </c>
      <c r="BV2453" s="1"/>
      <c r="BW2453" s="1"/>
      <c r="BX2453" s="1"/>
      <c r="BY2453" s="1"/>
      <c r="BZ2453" s="1">
        <v>0</v>
      </c>
      <c r="CA2453" s="1" t="s">
        <v>109</v>
      </c>
      <c r="CB2453" s="1" t="s">
        <v>109</v>
      </c>
      <c r="CC2453" s="1">
        <v>6</v>
      </c>
      <c r="CD2453" s="1" t="s">
        <v>109</v>
      </c>
      <c r="CE2453" s="1" t="s">
        <v>109</v>
      </c>
      <c r="CF2453" s="1" t="s">
        <v>109</v>
      </c>
      <c r="CG2453" s="1" t="s">
        <v>109</v>
      </c>
      <c r="CH2453" s="1" t="s">
        <v>109</v>
      </c>
      <c r="CI2453" s="1" t="s">
        <v>109</v>
      </c>
      <c r="CJ2453" s="1">
        <v>6</v>
      </c>
      <c r="CK2453" s="1"/>
      <c r="CL2453" s="1">
        <v>0</v>
      </c>
      <c r="CM2453" s="1">
        <v>0</v>
      </c>
      <c r="CN2453" s="1">
        <v>0</v>
      </c>
    </row>
    <row r="2454" spans="1:92" ht="14.25" customHeight="1" x14ac:dyDescent="0.15">
      <c r="A2454" s="1" t="s">
        <v>17523</v>
      </c>
      <c r="B2454" s="1" t="s">
        <v>308</v>
      </c>
      <c r="C2454" s="1"/>
      <c r="D2454" s="1"/>
      <c r="E2454" s="1" t="s">
        <v>17524</v>
      </c>
      <c r="F2454" s="1" t="s">
        <v>98</v>
      </c>
      <c r="G2454" s="1" t="s">
        <v>17525</v>
      </c>
      <c r="H2454" s="1">
        <v>0</v>
      </c>
      <c r="I2454" s="1" t="s">
        <v>8095</v>
      </c>
      <c r="J2454" s="1"/>
      <c r="K2454" s="1" t="s">
        <v>17526</v>
      </c>
      <c r="L2454" s="1"/>
      <c r="M2454" s="1" t="s">
        <v>3042</v>
      </c>
      <c r="N2454" s="1">
        <v>0</v>
      </c>
      <c r="O2454" s="1">
        <v>0</v>
      </c>
      <c r="P2454" s="1" t="s">
        <v>103</v>
      </c>
      <c r="Q2454" s="1" t="s">
        <v>4298</v>
      </c>
      <c r="R2454" s="1" t="s">
        <v>17527</v>
      </c>
      <c r="S2454" s="1" t="s">
        <v>17528</v>
      </c>
      <c r="T2454" s="1" t="s">
        <v>17465</v>
      </c>
      <c r="U2454" s="1" t="s">
        <v>17529</v>
      </c>
      <c r="V2454" s="1">
        <v>1</v>
      </c>
      <c r="W2454" s="1">
        <v>1</v>
      </c>
      <c r="X2454" s="1">
        <v>1</v>
      </c>
      <c r="Y2454" s="1">
        <v>0</v>
      </c>
      <c r="Z2454" s="1">
        <v>0</v>
      </c>
      <c r="AA2454" s="1">
        <v>4</v>
      </c>
      <c r="AB2454" s="1">
        <v>4</v>
      </c>
      <c r="AC2454" s="1">
        <v>4</v>
      </c>
      <c r="AD2454" s="1" t="s">
        <v>109</v>
      </c>
      <c r="AE2454" s="1" t="s">
        <v>109</v>
      </c>
      <c r="AF2454" s="1" t="s">
        <v>109</v>
      </c>
      <c r="AG2454" s="1" t="s">
        <v>109</v>
      </c>
      <c r="AH2454" s="1" t="s">
        <v>109</v>
      </c>
      <c r="AI2454" s="1" t="s">
        <v>109</v>
      </c>
      <c r="AJ2454" s="1" t="s">
        <v>109</v>
      </c>
      <c r="AK2454" s="1" t="s">
        <v>109</v>
      </c>
      <c r="AL2454" s="1">
        <v>4</v>
      </c>
      <c r="AM2454" s="1">
        <v>4</v>
      </c>
      <c r="AN2454" s="1" t="s">
        <v>109</v>
      </c>
      <c r="AO2454" s="1" t="s">
        <v>109</v>
      </c>
      <c r="AP2454" s="1"/>
      <c r="AQ2454" s="1">
        <v>4</v>
      </c>
      <c r="AR2454" s="1"/>
      <c r="AS2454" s="1"/>
      <c r="AT2454" s="1">
        <v>0</v>
      </c>
      <c r="AU2454" s="1">
        <v>0</v>
      </c>
      <c r="AV2454" s="1">
        <v>0</v>
      </c>
      <c r="AW2454" s="1">
        <v>0</v>
      </c>
      <c r="AX2454" s="1">
        <v>0</v>
      </c>
      <c r="AY2454" s="1">
        <v>0</v>
      </c>
      <c r="AZ2454" s="1">
        <v>0</v>
      </c>
      <c r="BA2454" s="1">
        <v>0</v>
      </c>
      <c r="BB2454" s="1">
        <v>0</v>
      </c>
      <c r="BC2454" s="1">
        <v>0</v>
      </c>
      <c r="BD2454" s="1">
        <v>0</v>
      </c>
      <c r="BE2454" s="1">
        <v>0</v>
      </c>
      <c r="BF2454" s="1">
        <v>0</v>
      </c>
      <c r="BG2454" s="1">
        <v>0</v>
      </c>
      <c r="BH2454" s="1">
        <v>0</v>
      </c>
      <c r="BI2454" s="1">
        <v>0</v>
      </c>
      <c r="BJ2454" s="1">
        <v>0</v>
      </c>
      <c r="BK2454" s="1">
        <v>0</v>
      </c>
      <c r="BL2454" s="1">
        <v>0</v>
      </c>
      <c r="BM2454" s="1">
        <v>0</v>
      </c>
      <c r="BN2454" s="1">
        <v>0</v>
      </c>
      <c r="BO2454" s="1">
        <v>0</v>
      </c>
      <c r="BP2454" s="1">
        <v>0</v>
      </c>
      <c r="BQ2454" s="1">
        <v>0</v>
      </c>
      <c r="BR2454" s="1">
        <v>0</v>
      </c>
      <c r="BS2454" s="1" t="s">
        <v>109</v>
      </c>
      <c r="BT2454" s="1">
        <v>2545</v>
      </c>
      <c r="BU2454" s="1" t="s">
        <v>109</v>
      </c>
      <c r="BV2454" s="1"/>
      <c r="BW2454" s="1"/>
      <c r="BX2454" s="1"/>
      <c r="BY2454" s="1"/>
      <c r="BZ2454" s="1">
        <v>0</v>
      </c>
      <c r="CA2454" s="1">
        <v>4</v>
      </c>
      <c r="CB2454" s="1" t="s">
        <v>109</v>
      </c>
      <c r="CC2454" s="1">
        <v>4</v>
      </c>
      <c r="CD2454" s="1" t="s">
        <v>109</v>
      </c>
      <c r="CE2454" s="1" t="s">
        <v>109</v>
      </c>
      <c r="CF2454" s="1" t="s">
        <v>109</v>
      </c>
      <c r="CG2454" s="1">
        <v>4</v>
      </c>
      <c r="CH2454" s="1" t="s">
        <v>109</v>
      </c>
      <c r="CI2454" s="1" t="s">
        <v>109</v>
      </c>
      <c r="CJ2454" s="1" t="s">
        <v>109</v>
      </c>
      <c r="CK2454" s="1"/>
      <c r="CL2454" s="1">
        <v>0</v>
      </c>
      <c r="CM2454" s="1">
        <v>0</v>
      </c>
      <c r="CN2454" s="1">
        <v>0</v>
      </c>
    </row>
    <row r="2455" spans="1:92" ht="14.25" customHeight="1" x14ac:dyDescent="0.15">
      <c r="A2455" s="1" t="s">
        <v>17530</v>
      </c>
      <c r="B2455" s="1" t="s">
        <v>254</v>
      </c>
      <c r="C2455" s="1"/>
      <c r="D2455" s="1"/>
      <c r="E2455" s="1" t="s">
        <v>17531</v>
      </c>
      <c r="F2455" s="1" t="s">
        <v>395</v>
      </c>
      <c r="G2455" s="1" t="s">
        <v>17532</v>
      </c>
      <c r="H2455" s="1">
        <v>1</v>
      </c>
      <c r="I2455" s="1" t="s">
        <v>235</v>
      </c>
      <c r="J2455" s="1"/>
      <c r="K2455" s="1"/>
      <c r="L2455" s="1"/>
      <c r="M2455" s="1" t="s">
        <v>3042</v>
      </c>
      <c r="N2455" s="1">
        <v>0</v>
      </c>
      <c r="O2455" s="1">
        <v>0</v>
      </c>
      <c r="P2455" s="1"/>
      <c r="Q2455" s="1"/>
      <c r="R2455" s="1" t="s">
        <v>17533</v>
      </c>
      <c r="S2455" s="1" t="s">
        <v>17534</v>
      </c>
      <c r="T2455" s="1" t="s">
        <v>17465</v>
      </c>
      <c r="U2455" s="1" t="s">
        <v>17535</v>
      </c>
      <c r="V2455" s="1">
        <v>1</v>
      </c>
      <c r="W2455" s="1">
        <v>1</v>
      </c>
      <c r="X2455" s="1">
        <v>1</v>
      </c>
      <c r="Y2455" s="1">
        <v>0</v>
      </c>
      <c r="Z2455" s="1">
        <v>1</v>
      </c>
      <c r="AA2455" s="1">
        <v>4</v>
      </c>
      <c r="AB2455" s="1">
        <v>4</v>
      </c>
      <c r="AC2455" s="1" t="s">
        <v>109</v>
      </c>
      <c r="AD2455" s="1" t="s">
        <v>109</v>
      </c>
      <c r="AE2455" s="1" t="s">
        <v>109</v>
      </c>
      <c r="AF2455" s="1">
        <v>3</v>
      </c>
      <c r="AG2455" s="1" t="s">
        <v>109</v>
      </c>
      <c r="AH2455" s="1" t="s">
        <v>109</v>
      </c>
      <c r="AI2455" s="1" t="s">
        <v>109</v>
      </c>
      <c r="AJ2455" s="1">
        <v>3</v>
      </c>
      <c r="AK2455" s="1" t="s">
        <v>109</v>
      </c>
      <c r="AL2455" s="1" t="s">
        <v>109</v>
      </c>
      <c r="AM2455" s="1" t="s">
        <v>109</v>
      </c>
      <c r="AN2455" s="1" t="s">
        <v>109</v>
      </c>
      <c r="AO2455" s="1" t="s">
        <v>109</v>
      </c>
      <c r="AP2455" s="1"/>
      <c r="AQ2455" s="1">
        <v>4</v>
      </c>
      <c r="AR2455" s="1"/>
      <c r="AS2455" s="1"/>
      <c r="AT2455" s="1">
        <v>0</v>
      </c>
      <c r="AU2455" s="1">
        <v>0</v>
      </c>
      <c r="AV2455" s="1">
        <v>0</v>
      </c>
      <c r="AW2455" s="1">
        <v>0</v>
      </c>
      <c r="AX2455" s="1">
        <v>0</v>
      </c>
      <c r="AY2455" s="1">
        <v>0</v>
      </c>
      <c r="AZ2455" s="1">
        <v>0</v>
      </c>
      <c r="BA2455" s="1">
        <v>0</v>
      </c>
      <c r="BB2455" s="1">
        <v>0</v>
      </c>
      <c r="BC2455" s="1">
        <v>0</v>
      </c>
      <c r="BD2455" s="1">
        <v>0</v>
      </c>
      <c r="BE2455" s="1">
        <v>0</v>
      </c>
      <c r="BF2455" s="1">
        <v>0</v>
      </c>
      <c r="BG2455" s="1">
        <v>0</v>
      </c>
      <c r="BH2455" s="1">
        <v>0</v>
      </c>
      <c r="BI2455" s="1">
        <v>0</v>
      </c>
      <c r="BJ2455" s="1">
        <v>0</v>
      </c>
      <c r="BK2455" s="1">
        <v>0</v>
      </c>
      <c r="BL2455" s="1">
        <v>0</v>
      </c>
      <c r="BM2455" s="1">
        <v>0</v>
      </c>
      <c r="BN2455" s="1">
        <v>0</v>
      </c>
      <c r="BO2455" s="1">
        <v>0</v>
      </c>
      <c r="BP2455" s="1">
        <v>0</v>
      </c>
      <c r="BQ2455" s="1">
        <v>0</v>
      </c>
      <c r="BR2455" s="1">
        <v>0</v>
      </c>
      <c r="BS2455" s="1" t="s">
        <v>109</v>
      </c>
      <c r="BT2455" s="1">
        <v>2546</v>
      </c>
      <c r="BU2455" s="1">
        <v>100</v>
      </c>
      <c r="BV2455" s="1"/>
      <c r="BW2455" s="1"/>
      <c r="BX2455" s="1"/>
      <c r="BY2455" s="1"/>
      <c r="BZ2455" s="1">
        <v>0</v>
      </c>
      <c r="CA2455" s="1" t="s">
        <v>109</v>
      </c>
      <c r="CB2455" s="1">
        <v>3</v>
      </c>
      <c r="CC2455" s="1">
        <v>3</v>
      </c>
      <c r="CD2455" s="1">
        <v>3</v>
      </c>
      <c r="CE2455" s="1">
        <v>4</v>
      </c>
      <c r="CF2455" s="1">
        <v>3</v>
      </c>
      <c r="CG2455" s="1">
        <v>4</v>
      </c>
      <c r="CH2455" s="1" t="s">
        <v>109</v>
      </c>
      <c r="CI2455" s="1" t="s">
        <v>109</v>
      </c>
      <c r="CJ2455" s="1" t="s">
        <v>109</v>
      </c>
      <c r="CK2455" s="1"/>
      <c r="CL2455" s="1">
        <v>0</v>
      </c>
      <c r="CM2455" s="1">
        <v>0</v>
      </c>
      <c r="CN2455" s="1">
        <v>0</v>
      </c>
    </row>
    <row r="2456" spans="1:92" ht="14.25" customHeight="1" x14ac:dyDescent="0.15">
      <c r="A2456" s="1" t="s">
        <v>17536</v>
      </c>
      <c r="B2456" s="1" t="s">
        <v>95</v>
      </c>
      <c r="C2456" s="1" t="s">
        <v>3570</v>
      </c>
      <c r="D2456" s="1"/>
      <c r="E2456" s="1" t="s">
        <v>17537</v>
      </c>
      <c r="F2456" s="1" t="s">
        <v>395</v>
      </c>
      <c r="G2456" s="1" t="s">
        <v>141</v>
      </c>
      <c r="H2456" s="1">
        <v>0</v>
      </c>
      <c r="I2456" s="1" t="s">
        <v>3600</v>
      </c>
      <c r="J2456" s="1"/>
      <c r="K2456" s="1"/>
      <c r="L2456" s="1" t="s">
        <v>17538</v>
      </c>
      <c r="M2456" s="1" t="s">
        <v>144</v>
      </c>
      <c r="N2456" s="1">
        <v>0</v>
      </c>
      <c r="O2456" s="1">
        <v>0</v>
      </c>
      <c r="P2456" s="1" t="s">
        <v>301</v>
      </c>
      <c r="Q2456" s="1" t="s">
        <v>3602</v>
      </c>
      <c r="R2456" s="1" t="s">
        <v>17539</v>
      </c>
      <c r="S2456" s="1" t="s">
        <v>17540</v>
      </c>
      <c r="T2456" s="1" t="s">
        <v>17465</v>
      </c>
      <c r="U2456" s="1" t="s">
        <v>17541</v>
      </c>
      <c r="V2456" s="1">
        <v>1</v>
      </c>
      <c r="W2456" s="1">
        <v>1</v>
      </c>
      <c r="X2456" s="1">
        <v>0</v>
      </c>
      <c r="Y2456" s="1">
        <v>0</v>
      </c>
      <c r="Z2456" s="1">
        <v>0</v>
      </c>
      <c r="AA2456" s="1">
        <v>4</v>
      </c>
      <c r="AB2456" s="1">
        <v>4</v>
      </c>
      <c r="AC2456" s="1" t="s">
        <v>109</v>
      </c>
      <c r="AD2456" s="1" t="s">
        <v>109</v>
      </c>
      <c r="AE2456" s="1" t="s">
        <v>109</v>
      </c>
      <c r="AF2456" s="1" t="s">
        <v>109</v>
      </c>
      <c r="AG2456" s="1" t="s">
        <v>109</v>
      </c>
      <c r="AH2456" s="1" t="s">
        <v>109</v>
      </c>
      <c r="AI2456" s="1">
        <v>4</v>
      </c>
      <c r="AJ2456" s="1">
        <v>5</v>
      </c>
      <c r="AK2456" s="1" t="s">
        <v>109</v>
      </c>
      <c r="AL2456" s="1" t="s">
        <v>109</v>
      </c>
      <c r="AM2456" s="1" t="s">
        <v>109</v>
      </c>
      <c r="AN2456" s="1" t="s">
        <v>109</v>
      </c>
      <c r="AO2456" s="1" t="s">
        <v>109</v>
      </c>
      <c r="AP2456" s="1"/>
      <c r="AQ2456" s="1">
        <v>4</v>
      </c>
      <c r="AR2456" s="1"/>
      <c r="AS2456" s="1"/>
      <c r="AT2456" s="1">
        <v>0</v>
      </c>
      <c r="AU2456" s="1">
        <v>0</v>
      </c>
      <c r="AV2456" s="1">
        <v>0</v>
      </c>
      <c r="AW2456" s="1">
        <v>0</v>
      </c>
      <c r="AX2456" s="1">
        <v>0</v>
      </c>
      <c r="AY2456" s="1">
        <v>0</v>
      </c>
      <c r="AZ2456" s="1">
        <v>0</v>
      </c>
      <c r="BA2456" s="1">
        <v>0</v>
      </c>
      <c r="BB2456" s="1">
        <v>0</v>
      </c>
      <c r="BC2456" s="1">
        <v>0</v>
      </c>
      <c r="BD2456" s="1">
        <v>0</v>
      </c>
      <c r="BE2456" s="1">
        <v>0</v>
      </c>
      <c r="BF2456" s="1">
        <v>0</v>
      </c>
      <c r="BG2456" s="1">
        <v>0</v>
      </c>
      <c r="BH2456" s="1">
        <v>0</v>
      </c>
      <c r="BI2456" s="1">
        <v>0</v>
      </c>
      <c r="BJ2456" s="1">
        <v>0</v>
      </c>
      <c r="BK2456" s="1">
        <v>0</v>
      </c>
      <c r="BL2456" s="1">
        <v>0</v>
      </c>
      <c r="BM2456" s="1">
        <v>0</v>
      </c>
      <c r="BN2456" s="1">
        <v>0</v>
      </c>
      <c r="BO2456" s="1">
        <v>0</v>
      </c>
      <c r="BP2456" s="1">
        <v>0</v>
      </c>
      <c r="BQ2456" s="1">
        <v>0</v>
      </c>
      <c r="BR2456" s="1">
        <v>0</v>
      </c>
      <c r="BS2456" s="1" t="s">
        <v>109</v>
      </c>
      <c r="BT2456" s="1">
        <v>2547</v>
      </c>
      <c r="BU2456" s="1" t="s">
        <v>109</v>
      </c>
      <c r="BV2456" s="1"/>
      <c r="BW2456" s="1"/>
      <c r="BX2456" s="1"/>
      <c r="BY2456" s="1"/>
      <c r="BZ2456" s="1">
        <v>0</v>
      </c>
      <c r="CA2456" s="1" t="s">
        <v>109</v>
      </c>
      <c r="CB2456" s="1">
        <v>5</v>
      </c>
      <c r="CC2456" s="1">
        <v>5</v>
      </c>
      <c r="CD2456" s="1" t="s">
        <v>109</v>
      </c>
      <c r="CE2456" s="1" t="s">
        <v>109</v>
      </c>
      <c r="CF2456" s="1">
        <v>5</v>
      </c>
      <c r="CG2456" s="1" t="s">
        <v>109</v>
      </c>
      <c r="CH2456" s="1" t="s">
        <v>109</v>
      </c>
      <c r="CI2456" s="1" t="s">
        <v>109</v>
      </c>
      <c r="CJ2456" s="1" t="s">
        <v>109</v>
      </c>
      <c r="CK2456" s="1"/>
      <c r="CL2456" s="1">
        <v>0</v>
      </c>
      <c r="CM2456" s="1">
        <v>0</v>
      </c>
      <c r="CN2456" s="1">
        <v>0</v>
      </c>
    </row>
    <row r="2457" spans="1:92" ht="14.25" customHeight="1" x14ac:dyDescent="0.15">
      <c r="A2457" s="1" t="s">
        <v>17542</v>
      </c>
      <c r="B2457" s="1" t="s">
        <v>95</v>
      </c>
      <c r="C2457" s="1" t="s">
        <v>1179</v>
      </c>
      <c r="D2457" s="1"/>
      <c r="E2457" s="1" t="s">
        <v>17543</v>
      </c>
      <c r="F2457" s="1" t="s">
        <v>355</v>
      </c>
      <c r="G2457" s="1" t="s">
        <v>141</v>
      </c>
      <c r="H2457" s="1">
        <v>0</v>
      </c>
      <c r="I2457" s="1" t="s">
        <v>161</v>
      </c>
      <c r="J2457" s="1"/>
      <c r="K2457" s="1"/>
      <c r="L2457" s="1" t="s">
        <v>17544</v>
      </c>
      <c r="M2457" s="1" t="s">
        <v>144</v>
      </c>
      <c r="N2457" s="1">
        <v>0</v>
      </c>
      <c r="O2457" s="1">
        <v>0</v>
      </c>
      <c r="P2457" s="1" t="s">
        <v>103</v>
      </c>
      <c r="Q2457" s="1" t="s">
        <v>104</v>
      </c>
      <c r="R2457" s="1" t="s">
        <v>17545</v>
      </c>
      <c r="S2457" s="1" t="s">
        <v>17546</v>
      </c>
      <c r="T2457" s="1" t="s">
        <v>17465</v>
      </c>
      <c r="U2457" s="1" t="s">
        <v>17547</v>
      </c>
      <c r="V2457" s="1">
        <v>1</v>
      </c>
      <c r="W2457" s="1">
        <v>1</v>
      </c>
      <c r="X2457" s="1">
        <v>0</v>
      </c>
      <c r="Y2457" s="1">
        <v>0</v>
      </c>
      <c r="Z2457" s="1">
        <v>0</v>
      </c>
      <c r="AA2457" s="1">
        <v>1</v>
      </c>
      <c r="AB2457" s="1">
        <v>1</v>
      </c>
      <c r="AC2457" s="1" t="s">
        <v>109</v>
      </c>
      <c r="AD2457" s="1" t="s">
        <v>109</v>
      </c>
      <c r="AE2457" s="1" t="s">
        <v>109</v>
      </c>
      <c r="AF2457" s="1" t="s">
        <v>109</v>
      </c>
      <c r="AG2457" s="1" t="s">
        <v>109</v>
      </c>
      <c r="AH2457" s="1" t="s">
        <v>109</v>
      </c>
      <c r="AI2457" s="1" t="s">
        <v>109</v>
      </c>
      <c r="AJ2457" s="1" t="s">
        <v>109</v>
      </c>
      <c r="AK2457" s="1" t="s">
        <v>109</v>
      </c>
      <c r="AL2457" s="1" t="s">
        <v>109</v>
      </c>
      <c r="AM2457" s="1" t="s">
        <v>109</v>
      </c>
      <c r="AN2457" s="1">
        <v>1</v>
      </c>
      <c r="AO2457" s="1" t="s">
        <v>109</v>
      </c>
      <c r="AP2457" s="1"/>
      <c r="AQ2457" s="1">
        <v>1</v>
      </c>
      <c r="AR2457" s="1"/>
      <c r="AS2457" s="1"/>
      <c r="AT2457" s="1">
        <v>0</v>
      </c>
      <c r="AU2457" s="1">
        <v>0</v>
      </c>
      <c r="AV2457" s="1">
        <v>0</v>
      </c>
      <c r="AW2457" s="1">
        <v>0</v>
      </c>
      <c r="AX2457" s="1">
        <v>0</v>
      </c>
      <c r="AY2457" s="1">
        <v>0</v>
      </c>
      <c r="AZ2457" s="1">
        <v>0</v>
      </c>
      <c r="BA2457" s="1">
        <v>0</v>
      </c>
      <c r="BB2457" s="1">
        <v>0</v>
      </c>
      <c r="BC2457" s="1">
        <v>0</v>
      </c>
      <c r="BD2457" s="1">
        <v>0</v>
      </c>
      <c r="BE2457" s="1">
        <v>0</v>
      </c>
      <c r="BF2457" s="1">
        <v>0</v>
      </c>
      <c r="BG2457" s="1">
        <v>0</v>
      </c>
      <c r="BH2457" s="1">
        <v>0</v>
      </c>
      <c r="BI2457" s="1">
        <v>0</v>
      </c>
      <c r="BJ2457" s="1">
        <v>0</v>
      </c>
      <c r="BK2457" s="1">
        <v>0</v>
      </c>
      <c r="BL2457" s="1">
        <v>0</v>
      </c>
      <c r="BM2457" s="1">
        <v>0</v>
      </c>
      <c r="BN2457" s="1">
        <v>0</v>
      </c>
      <c r="BO2457" s="1">
        <v>0</v>
      </c>
      <c r="BP2457" s="1">
        <v>0</v>
      </c>
      <c r="BQ2457" s="1">
        <v>0</v>
      </c>
      <c r="BR2457" s="1">
        <v>0</v>
      </c>
      <c r="BS2457" s="1" t="s">
        <v>109</v>
      </c>
      <c r="BT2457" s="1">
        <v>2548</v>
      </c>
      <c r="BU2457" s="1" t="s">
        <v>109</v>
      </c>
      <c r="BV2457" s="1"/>
      <c r="BW2457" s="1"/>
      <c r="BX2457" s="1"/>
      <c r="BY2457" s="1"/>
      <c r="BZ2457" s="1">
        <v>0</v>
      </c>
      <c r="CA2457" s="1" t="s">
        <v>109</v>
      </c>
      <c r="CB2457" s="1" t="s">
        <v>109</v>
      </c>
      <c r="CC2457" s="1" t="s">
        <v>109</v>
      </c>
      <c r="CD2457" s="1" t="s">
        <v>109</v>
      </c>
      <c r="CE2457" s="1" t="s">
        <v>109</v>
      </c>
      <c r="CF2457" s="1" t="s">
        <v>109</v>
      </c>
      <c r="CG2457" s="1" t="s">
        <v>109</v>
      </c>
      <c r="CH2457" s="1" t="s">
        <v>109</v>
      </c>
      <c r="CI2457" s="1" t="s">
        <v>109</v>
      </c>
      <c r="CJ2457" s="1" t="s">
        <v>109</v>
      </c>
      <c r="CK2457" s="1"/>
      <c r="CL2457" s="1">
        <v>0</v>
      </c>
      <c r="CM2457" s="1">
        <v>0</v>
      </c>
      <c r="CN2457" s="1">
        <v>0</v>
      </c>
    </row>
    <row r="2458" spans="1:92" ht="14.25" customHeight="1" x14ac:dyDescent="0.15">
      <c r="A2458" s="1" t="s">
        <v>17548</v>
      </c>
      <c r="B2458" s="1" t="s">
        <v>584</v>
      </c>
      <c r="C2458" s="1"/>
      <c r="D2458" s="1" t="s">
        <v>16074</v>
      </c>
      <c r="E2458" s="1" t="s">
        <v>17549</v>
      </c>
      <c r="F2458" s="1" t="s">
        <v>98</v>
      </c>
      <c r="G2458" s="1" t="s">
        <v>141</v>
      </c>
      <c r="H2458" s="1">
        <v>0</v>
      </c>
      <c r="I2458" s="1" t="s">
        <v>161</v>
      </c>
      <c r="J2458" s="1"/>
      <c r="K2458" s="1"/>
      <c r="L2458" s="1" t="s">
        <v>506</v>
      </c>
      <c r="M2458" s="1" t="s">
        <v>408</v>
      </c>
      <c r="N2458" s="1">
        <v>0</v>
      </c>
      <c r="O2458" s="1">
        <v>0</v>
      </c>
      <c r="P2458" s="1" t="s">
        <v>301</v>
      </c>
      <c r="Q2458" s="1" t="s">
        <v>268</v>
      </c>
      <c r="R2458" s="1" t="s">
        <v>17550</v>
      </c>
      <c r="S2458" s="1" t="s">
        <v>17551</v>
      </c>
      <c r="T2458" s="1" t="s">
        <v>17465</v>
      </c>
      <c r="U2458" s="1" t="s">
        <v>17552</v>
      </c>
      <c r="V2458" s="1">
        <v>1</v>
      </c>
      <c r="W2458" s="1">
        <v>1</v>
      </c>
      <c r="X2458" s="1">
        <v>0</v>
      </c>
      <c r="Y2458" s="1">
        <v>0</v>
      </c>
      <c r="Z2458" s="1">
        <v>0</v>
      </c>
      <c r="AA2458" s="1">
        <v>6</v>
      </c>
      <c r="AB2458" s="1">
        <v>6</v>
      </c>
      <c r="AC2458" s="1">
        <v>6</v>
      </c>
      <c r="AD2458" s="1" t="s">
        <v>109</v>
      </c>
      <c r="AE2458" s="1" t="s">
        <v>109</v>
      </c>
      <c r="AF2458" s="1">
        <v>4</v>
      </c>
      <c r="AG2458" s="1" t="s">
        <v>109</v>
      </c>
      <c r="AH2458" s="1" t="s">
        <v>109</v>
      </c>
      <c r="AI2458" s="1" t="s">
        <v>109</v>
      </c>
      <c r="AJ2458" s="1">
        <v>5</v>
      </c>
      <c r="AK2458" s="1">
        <v>5</v>
      </c>
      <c r="AL2458" s="1">
        <v>6</v>
      </c>
      <c r="AM2458" s="1">
        <v>4</v>
      </c>
      <c r="AN2458" s="1" t="s">
        <v>109</v>
      </c>
      <c r="AO2458" s="1" t="s">
        <v>109</v>
      </c>
      <c r="AP2458" s="1"/>
      <c r="AQ2458" s="1">
        <v>6</v>
      </c>
      <c r="AR2458" s="1"/>
      <c r="AS2458" s="1"/>
      <c r="AT2458" s="1">
        <v>0</v>
      </c>
      <c r="AU2458" s="1">
        <v>0</v>
      </c>
      <c r="AV2458" s="1">
        <v>0</v>
      </c>
      <c r="AW2458" s="1">
        <v>0</v>
      </c>
      <c r="AX2458" s="1">
        <v>1</v>
      </c>
      <c r="AY2458" s="1">
        <v>0</v>
      </c>
      <c r="AZ2458" s="1">
        <v>0</v>
      </c>
      <c r="BA2458" s="1">
        <v>0</v>
      </c>
      <c r="BB2458" s="1">
        <v>0</v>
      </c>
      <c r="BC2458" s="1">
        <v>0</v>
      </c>
      <c r="BD2458" s="1">
        <v>0</v>
      </c>
      <c r="BE2458" s="1">
        <v>0</v>
      </c>
      <c r="BF2458" s="1">
        <v>0</v>
      </c>
      <c r="BG2458" s="1">
        <v>0</v>
      </c>
      <c r="BH2458" s="1">
        <v>0</v>
      </c>
      <c r="BI2458" s="1">
        <v>0</v>
      </c>
      <c r="BJ2458" s="1">
        <v>0</v>
      </c>
      <c r="BK2458" s="1">
        <v>0</v>
      </c>
      <c r="BL2458" s="1">
        <v>0</v>
      </c>
      <c r="BM2458" s="1">
        <v>0</v>
      </c>
      <c r="BN2458" s="1">
        <v>0</v>
      </c>
      <c r="BO2458" s="1">
        <v>0</v>
      </c>
      <c r="BP2458" s="1">
        <v>0</v>
      </c>
      <c r="BQ2458" s="1">
        <v>0</v>
      </c>
      <c r="BR2458" s="1">
        <v>0</v>
      </c>
      <c r="BS2458" s="1" t="s">
        <v>109</v>
      </c>
      <c r="BT2458" s="1">
        <v>2549</v>
      </c>
      <c r="BU2458" s="1" t="s">
        <v>109</v>
      </c>
      <c r="BV2458" s="1"/>
      <c r="BW2458" s="1"/>
      <c r="BX2458" s="1"/>
      <c r="BY2458" s="1"/>
      <c r="BZ2458" s="1">
        <v>0</v>
      </c>
      <c r="CA2458" s="1" t="s">
        <v>109</v>
      </c>
      <c r="CB2458" s="1">
        <v>5</v>
      </c>
      <c r="CC2458" s="1">
        <v>6</v>
      </c>
      <c r="CD2458" s="1" t="s">
        <v>109</v>
      </c>
      <c r="CE2458" s="1" t="s">
        <v>109</v>
      </c>
      <c r="CF2458" s="1">
        <v>5</v>
      </c>
      <c r="CG2458" s="1" t="s">
        <v>109</v>
      </c>
      <c r="CH2458" s="1" t="s">
        <v>109</v>
      </c>
      <c r="CI2458" s="1" t="s">
        <v>109</v>
      </c>
      <c r="CJ2458" s="1" t="s">
        <v>109</v>
      </c>
      <c r="CK2458" s="1"/>
      <c r="CL2458" s="1">
        <v>0</v>
      </c>
      <c r="CM2458" s="1">
        <v>0</v>
      </c>
      <c r="CN2458" s="1">
        <v>0</v>
      </c>
    </row>
    <row r="2459" spans="1:92" ht="14.25" customHeight="1" x14ac:dyDescent="0.15">
      <c r="A2459" s="1" t="s">
        <v>17553</v>
      </c>
      <c r="B2459" s="1" t="s">
        <v>189</v>
      </c>
      <c r="C2459" s="1"/>
      <c r="D2459" s="1" t="s">
        <v>16074</v>
      </c>
      <c r="E2459" s="1" t="s">
        <v>17554</v>
      </c>
      <c r="F2459" s="1" t="s">
        <v>98</v>
      </c>
      <c r="G2459" s="1" t="s">
        <v>141</v>
      </c>
      <c r="H2459" s="1">
        <v>0</v>
      </c>
      <c r="I2459" s="1" t="s">
        <v>161</v>
      </c>
      <c r="J2459" s="1"/>
      <c r="K2459" s="1"/>
      <c r="L2459" s="1" t="s">
        <v>506</v>
      </c>
      <c r="M2459" s="1" t="s">
        <v>408</v>
      </c>
      <c r="N2459" s="1">
        <v>0</v>
      </c>
      <c r="O2459" s="1">
        <v>0</v>
      </c>
      <c r="P2459" s="1" t="s">
        <v>301</v>
      </c>
      <c r="Q2459" s="1" t="s">
        <v>268</v>
      </c>
      <c r="R2459" s="1" t="s">
        <v>17555</v>
      </c>
      <c r="S2459" s="1" t="s">
        <v>17556</v>
      </c>
      <c r="T2459" s="1" t="s">
        <v>17465</v>
      </c>
      <c r="U2459" s="1" t="s">
        <v>17557</v>
      </c>
      <c r="V2459" s="1">
        <v>1</v>
      </c>
      <c r="W2459" s="1">
        <v>1</v>
      </c>
      <c r="X2459" s="1">
        <v>0</v>
      </c>
      <c r="Y2459" s="1">
        <v>0</v>
      </c>
      <c r="Z2459" s="1">
        <v>0</v>
      </c>
      <c r="AA2459" s="1">
        <v>5</v>
      </c>
      <c r="AB2459" s="1">
        <v>5</v>
      </c>
      <c r="AC2459" s="1">
        <v>5</v>
      </c>
      <c r="AD2459" s="1" t="s">
        <v>109</v>
      </c>
      <c r="AE2459" s="1" t="s">
        <v>109</v>
      </c>
      <c r="AF2459" s="1">
        <v>3</v>
      </c>
      <c r="AG2459" s="1" t="s">
        <v>109</v>
      </c>
      <c r="AH2459" s="1" t="s">
        <v>109</v>
      </c>
      <c r="AI2459" s="1" t="s">
        <v>109</v>
      </c>
      <c r="AJ2459" s="1">
        <v>3</v>
      </c>
      <c r="AK2459" s="1">
        <v>3</v>
      </c>
      <c r="AL2459" s="1">
        <v>5</v>
      </c>
      <c r="AM2459" s="1" t="s">
        <v>109</v>
      </c>
      <c r="AN2459" s="1" t="s">
        <v>109</v>
      </c>
      <c r="AO2459" s="1" t="s">
        <v>109</v>
      </c>
      <c r="AP2459" s="1"/>
      <c r="AQ2459" s="1">
        <v>5</v>
      </c>
      <c r="AR2459" s="1"/>
      <c r="AS2459" s="1"/>
      <c r="AT2459" s="1">
        <v>0</v>
      </c>
      <c r="AU2459" s="1">
        <v>0</v>
      </c>
      <c r="AV2459" s="1">
        <v>0</v>
      </c>
      <c r="AW2459" s="1">
        <v>0</v>
      </c>
      <c r="AX2459" s="1">
        <v>1</v>
      </c>
      <c r="AY2459" s="1">
        <v>0</v>
      </c>
      <c r="AZ2459" s="1">
        <v>0</v>
      </c>
      <c r="BA2459" s="1">
        <v>0</v>
      </c>
      <c r="BB2459" s="1">
        <v>0</v>
      </c>
      <c r="BC2459" s="1">
        <v>0</v>
      </c>
      <c r="BD2459" s="1">
        <v>0</v>
      </c>
      <c r="BE2459" s="1">
        <v>0</v>
      </c>
      <c r="BF2459" s="1">
        <v>0</v>
      </c>
      <c r="BG2459" s="1">
        <v>0</v>
      </c>
      <c r="BH2459" s="1">
        <v>0</v>
      </c>
      <c r="BI2459" s="1">
        <v>0</v>
      </c>
      <c r="BJ2459" s="1">
        <v>0</v>
      </c>
      <c r="BK2459" s="1">
        <v>0</v>
      </c>
      <c r="BL2459" s="1">
        <v>0</v>
      </c>
      <c r="BM2459" s="1">
        <v>0</v>
      </c>
      <c r="BN2459" s="1">
        <v>0</v>
      </c>
      <c r="BO2459" s="1">
        <v>0</v>
      </c>
      <c r="BP2459" s="1">
        <v>0</v>
      </c>
      <c r="BQ2459" s="1">
        <v>0</v>
      </c>
      <c r="BR2459" s="1">
        <v>0</v>
      </c>
      <c r="BS2459" s="1" t="s">
        <v>109</v>
      </c>
      <c r="BT2459" s="1">
        <v>2550</v>
      </c>
      <c r="BU2459" s="1" t="s">
        <v>109</v>
      </c>
      <c r="BV2459" s="1"/>
      <c r="BW2459" s="1"/>
      <c r="BX2459" s="1"/>
      <c r="BY2459" s="1"/>
      <c r="BZ2459" s="1">
        <v>0</v>
      </c>
      <c r="CA2459" s="1" t="s">
        <v>109</v>
      </c>
      <c r="CB2459" s="1" t="s">
        <v>109</v>
      </c>
      <c r="CC2459" s="1">
        <v>5</v>
      </c>
      <c r="CD2459" s="1" t="s">
        <v>109</v>
      </c>
      <c r="CE2459" s="1" t="s">
        <v>109</v>
      </c>
      <c r="CF2459" s="1" t="s">
        <v>109</v>
      </c>
      <c r="CG2459" s="1" t="s">
        <v>109</v>
      </c>
      <c r="CH2459" s="1" t="s">
        <v>109</v>
      </c>
      <c r="CI2459" s="1" t="s">
        <v>109</v>
      </c>
      <c r="CJ2459" s="1" t="s">
        <v>109</v>
      </c>
      <c r="CK2459" s="1"/>
      <c r="CL2459" s="1">
        <v>0</v>
      </c>
      <c r="CM2459" s="1">
        <v>0</v>
      </c>
      <c r="CN2459" s="1">
        <v>0</v>
      </c>
    </row>
    <row r="2460" spans="1:92" ht="14.25" customHeight="1" x14ac:dyDescent="0.15">
      <c r="A2460" s="1" t="s">
        <v>17558</v>
      </c>
      <c r="B2460" s="1" t="s">
        <v>189</v>
      </c>
      <c r="C2460" s="1"/>
      <c r="D2460" s="1" t="s">
        <v>16074</v>
      </c>
      <c r="E2460" s="1" t="s">
        <v>17559</v>
      </c>
      <c r="F2460" s="1" t="s">
        <v>98</v>
      </c>
      <c r="G2460" s="1" t="s">
        <v>141</v>
      </c>
      <c r="H2460" s="1">
        <v>0</v>
      </c>
      <c r="I2460" s="1" t="s">
        <v>161</v>
      </c>
      <c r="J2460" s="1"/>
      <c r="K2460" s="1"/>
      <c r="L2460" s="1" t="s">
        <v>506</v>
      </c>
      <c r="M2460" s="1" t="s">
        <v>408</v>
      </c>
      <c r="N2460" s="1">
        <v>0</v>
      </c>
      <c r="O2460" s="1">
        <v>0</v>
      </c>
      <c r="P2460" s="1" t="s">
        <v>267</v>
      </c>
      <c r="Q2460" s="1" t="s">
        <v>268</v>
      </c>
      <c r="R2460" s="1" t="s">
        <v>17560</v>
      </c>
      <c r="S2460" s="1" t="s">
        <v>17561</v>
      </c>
      <c r="T2460" s="1" t="s">
        <v>17465</v>
      </c>
      <c r="U2460" s="1" t="s">
        <v>17562</v>
      </c>
      <c r="V2460" s="1">
        <v>1</v>
      </c>
      <c r="W2460" s="1">
        <v>1</v>
      </c>
      <c r="X2460" s="1">
        <v>0</v>
      </c>
      <c r="Y2460" s="1">
        <v>0</v>
      </c>
      <c r="Z2460" s="1">
        <v>0</v>
      </c>
      <c r="AA2460" s="1">
        <v>4</v>
      </c>
      <c r="AB2460" s="1">
        <v>4</v>
      </c>
      <c r="AC2460" s="1">
        <v>3</v>
      </c>
      <c r="AD2460" s="1" t="s">
        <v>109</v>
      </c>
      <c r="AE2460" s="1" t="s">
        <v>109</v>
      </c>
      <c r="AF2460" s="1" t="s">
        <v>109</v>
      </c>
      <c r="AG2460" s="1" t="s">
        <v>109</v>
      </c>
      <c r="AH2460" s="1" t="s">
        <v>109</v>
      </c>
      <c r="AI2460" s="1" t="s">
        <v>109</v>
      </c>
      <c r="AJ2460" s="1">
        <v>3</v>
      </c>
      <c r="AK2460" s="1" t="s">
        <v>109</v>
      </c>
      <c r="AL2460" s="1">
        <v>3</v>
      </c>
      <c r="AM2460" s="1">
        <v>3</v>
      </c>
      <c r="AN2460" s="1" t="s">
        <v>109</v>
      </c>
      <c r="AO2460" s="1" t="s">
        <v>109</v>
      </c>
      <c r="AP2460" s="1"/>
      <c r="AQ2460" s="1">
        <v>4</v>
      </c>
      <c r="AR2460" s="1"/>
      <c r="AS2460" s="1"/>
      <c r="AT2460" s="1">
        <v>0</v>
      </c>
      <c r="AU2460" s="1">
        <v>0</v>
      </c>
      <c r="AV2460" s="1">
        <v>0</v>
      </c>
      <c r="AW2460" s="1">
        <v>0</v>
      </c>
      <c r="AX2460" s="1">
        <v>1</v>
      </c>
      <c r="AY2460" s="1">
        <v>0</v>
      </c>
      <c r="AZ2460" s="1">
        <v>0</v>
      </c>
      <c r="BA2460" s="1">
        <v>0</v>
      </c>
      <c r="BB2460" s="1">
        <v>0</v>
      </c>
      <c r="BC2460" s="1">
        <v>0</v>
      </c>
      <c r="BD2460" s="1">
        <v>0</v>
      </c>
      <c r="BE2460" s="1">
        <v>0</v>
      </c>
      <c r="BF2460" s="1">
        <v>0</v>
      </c>
      <c r="BG2460" s="1">
        <v>0</v>
      </c>
      <c r="BH2460" s="1">
        <v>0</v>
      </c>
      <c r="BI2460" s="1">
        <v>0</v>
      </c>
      <c r="BJ2460" s="1">
        <v>0</v>
      </c>
      <c r="BK2460" s="1">
        <v>0</v>
      </c>
      <c r="BL2460" s="1">
        <v>0</v>
      </c>
      <c r="BM2460" s="1">
        <v>0</v>
      </c>
      <c r="BN2460" s="1">
        <v>0</v>
      </c>
      <c r="BO2460" s="1">
        <v>0</v>
      </c>
      <c r="BP2460" s="1">
        <v>0</v>
      </c>
      <c r="BQ2460" s="1">
        <v>0</v>
      </c>
      <c r="BR2460" s="1">
        <v>0</v>
      </c>
      <c r="BS2460" s="1" t="s">
        <v>109</v>
      </c>
      <c r="BT2460" s="1">
        <v>2551</v>
      </c>
      <c r="BU2460" s="1" t="s">
        <v>109</v>
      </c>
      <c r="BV2460" s="1"/>
      <c r="BW2460" s="1"/>
      <c r="BX2460" s="1"/>
      <c r="BY2460" s="1"/>
      <c r="BZ2460" s="1">
        <v>0</v>
      </c>
      <c r="CA2460" s="1">
        <v>4</v>
      </c>
      <c r="CB2460" s="1">
        <v>3</v>
      </c>
      <c r="CC2460" s="1" t="s">
        <v>109</v>
      </c>
      <c r="CD2460" s="1">
        <v>2</v>
      </c>
      <c r="CE2460" s="1">
        <v>3</v>
      </c>
      <c r="CF2460" s="1">
        <v>3</v>
      </c>
      <c r="CG2460" s="1">
        <v>4</v>
      </c>
      <c r="CH2460" s="1" t="s">
        <v>109</v>
      </c>
      <c r="CI2460" s="1" t="s">
        <v>109</v>
      </c>
      <c r="CJ2460" s="1" t="s">
        <v>109</v>
      </c>
      <c r="CK2460" s="1"/>
      <c r="CL2460" s="1">
        <v>0</v>
      </c>
      <c r="CM2460" s="1">
        <v>0</v>
      </c>
      <c r="CN2460" s="1">
        <v>0</v>
      </c>
    </row>
    <row r="2461" spans="1:92" ht="14.25" customHeight="1" x14ac:dyDescent="0.15">
      <c r="A2461" s="1" t="s">
        <v>17563</v>
      </c>
      <c r="B2461" s="1" t="s">
        <v>308</v>
      </c>
      <c r="C2461" s="1"/>
      <c r="D2461" s="1" t="s">
        <v>16074</v>
      </c>
      <c r="E2461" s="1" t="s">
        <v>17564</v>
      </c>
      <c r="F2461" s="1" t="s">
        <v>98</v>
      </c>
      <c r="G2461" s="1" t="s">
        <v>141</v>
      </c>
      <c r="H2461" s="1">
        <v>0</v>
      </c>
      <c r="I2461" s="1" t="s">
        <v>142</v>
      </c>
      <c r="J2461" s="1"/>
      <c r="K2461" s="1"/>
      <c r="L2461" s="1" t="s">
        <v>17565</v>
      </c>
      <c r="M2461" s="1" t="s">
        <v>815</v>
      </c>
      <c r="N2461" s="1">
        <v>1</v>
      </c>
      <c r="O2461" s="1">
        <v>0</v>
      </c>
      <c r="P2461" s="1" t="s">
        <v>301</v>
      </c>
      <c r="Q2461" s="1" t="s">
        <v>268</v>
      </c>
      <c r="R2461" s="1" t="s">
        <v>17566</v>
      </c>
      <c r="S2461" s="1" t="s">
        <v>17567</v>
      </c>
      <c r="T2461" s="1" t="s">
        <v>17465</v>
      </c>
      <c r="U2461" s="1" t="s">
        <v>17568</v>
      </c>
      <c r="V2461" s="1">
        <v>1</v>
      </c>
      <c r="W2461" s="1">
        <v>1</v>
      </c>
      <c r="X2461" s="1">
        <v>0</v>
      </c>
      <c r="Y2461" s="1">
        <v>0</v>
      </c>
      <c r="Z2461" s="1">
        <v>0</v>
      </c>
      <c r="AA2461" s="1">
        <v>1</v>
      </c>
      <c r="AB2461" s="1">
        <v>1</v>
      </c>
      <c r="AC2461" s="1" t="s">
        <v>109</v>
      </c>
      <c r="AD2461" s="1">
        <v>1</v>
      </c>
      <c r="AE2461" s="1" t="s">
        <v>109</v>
      </c>
      <c r="AF2461" s="1">
        <v>1</v>
      </c>
      <c r="AG2461" s="1" t="s">
        <v>109</v>
      </c>
      <c r="AH2461" s="1" t="s">
        <v>109</v>
      </c>
      <c r="AI2461" s="1" t="s">
        <v>109</v>
      </c>
      <c r="AJ2461" s="1">
        <v>1</v>
      </c>
      <c r="AK2461" s="1">
        <v>1</v>
      </c>
      <c r="AL2461" s="1" t="s">
        <v>109</v>
      </c>
      <c r="AM2461" s="1">
        <v>1</v>
      </c>
      <c r="AN2461" s="1" t="s">
        <v>109</v>
      </c>
      <c r="AO2461" s="1" t="s">
        <v>109</v>
      </c>
      <c r="AP2461" s="1"/>
      <c r="AQ2461" s="1">
        <v>1</v>
      </c>
      <c r="AR2461" s="1"/>
      <c r="AS2461" s="1"/>
      <c r="AT2461" s="1">
        <v>0</v>
      </c>
      <c r="AU2461" s="1">
        <v>0</v>
      </c>
      <c r="AV2461" s="1">
        <v>0</v>
      </c>
      <c r="AW2461" s="1">
        <v>0</v>
      </c>
      <c r="AX2461" s="1">
        <v>1</v>
      </c>
      <c r="AY2461" s="1">
        <v>0</v>
      </c>
      <c r="AZ2461" s="1">
        <v>0</v>
      </c>
      <c r="BA2461" s="1">
        <v>0</v>
      </c>
      <c r="BB2461" s="1">
        <v>0</v>
      </c>
      <c r="BC2461" s="1">
        <v>0</v>
      </c>
      <c r="BD2461" s="1">
        <v>0</v>
      </c>
      <c r="BE2461" s="1">
        <v>0</v>
      </c>
      <c r="BF2461" s="1">
        <v>0</v>
      </c>
      <c r="BG2461" s="1">
        <v>0</v>
      </c>
      <c r="BH2461" s="1">
        <v>0</v>
      </c>
      <c r="BI2461" s="1">
        <v>0</v>
      </c>
      <c r="BJ2461" s="1">
        <v>0</v>
      </c>
      <c r="BK2461" s="1">
        <v>0</v>
      </c>
      <c r="BL2461" s="1">
        <v>0</v>
      </c>
      <c r="BM2461" s="1">
        <v>0</v>
      </c>
      <c r="BN2461" s="1">
        <v>0</v>
      </c>
      <c r="BO2461" s="1">
        <v>0</v>
      </c>
      <c r="BP2461" s="1">
        <v>0</v>
      </c>
      <c r="BQ2461" s="1">
        <v>0</v>
      </c>
      <c r="BR2461" s="1">
        <v>0</v>
      </c>
      <c r="BS2461" s="1" t="s">
        <v>109</v>
      </c>
      <c r="BT2461" s="1">
        <v>2553</v>
      </c>
      <c r="BU2461" s="1" t="s">
        <v>109</v>
      </c>
      <c r="BV2461" s="1"/>
      <c r="BW2461" s="1"/>
      <c r="BX2461" s="1"/>
      <c r="BY2461" s="1"/>
      <c r="BZ2461" s="1">
        <v>0</v>
      </c>
      <c r="CA2461" s="1" t="s">
        <v>109</v>
      </c>
      <c r="CB2461" s="1">
        <v>1</v>
      </c>
      <c r="CC2461" s="1" t="s">
        <v>109</v>
      </c>
      <c r="CD2461" s="1" t="s">
        <v>109</v>
      </c>
      <c r="CE2461" s="1" t="s">
        <v>109</v>
      </c>
      <c r="CF2461" s="1">
        <v>1</v>
      </c>
      <c r="CG2461" s="1" t="s">
        <v>109</v>
      </c>
      <c r="CH2461" s="1" t="s">
        <v>109</v>
      </c>
      <c r="CI2461" s="1" t="s">
        <v>109</v>
      </c>
      <c r="CJ2461" s="1">
        <v>1</v>
      </c>
      <c r="CK2461" s="1"/>
      <c r="CL2461" s="1">
        <v>0</v>
      </c>
      <c r="CM2461" s="1">
        <v>0</v>
      </c>
      <c r="CN2461" s="1">
        <v>0</v>
      </c>
    </row>
    <row r="2462" spans="1:92" ht="14.25" customHeight="1" x14ac:dyDescent="0.15">
      <c r="A2462" s="1" t="s">
        <v>17569</v>
      </c>
      <c r="B2462" s="1" t="s">
        <v>189</v>
      </c>
      <c r="C2462" s="1"/>
      <c r="D2462" s="1" t="s">
        <v>16074</v>
      </c>
      <c r="E2462" s="1" t="s">
        <v>17570</v>
      </c>
      <c r="F2462" s="1" t="s">
        <v>98</v>
      </c>
      <c r="G2462" s="1" t="s">
        <v>17571</v>
      </c>
      <c r="H2462" s="1">
        <v>0</v>
      </c>
      <c r="I2462" s="1" t="s">
        <v>161</v>
      </c>
      <c r="J2462" s="1"/>
      <c r="K2462" s="1"/>
      <c r="L2462" s="1" t="s">
        <v>506</v>
      </c>
      <c r="M2462" s="1" t="s">
        <v>13585</v>
      </c>
      <c r="N2462" s="1">
        <v>0</v>
      </c>
      <c r="O2462" s="1">
        <v>0</v>
      </c>
      <c r="P2462" s="1" t="s">
        <v>301</v>
      </c>
      <c r="Q2462" s="1" t="s">
        <v>268</v>
      </c>
      <c r="R2462" s="1" t="s">
        <v>17572</v>
      </c>
      <c r="S2462" s="1" t="s">
        <v>17573</v>
      </c>
      <c r="T2462" s="1" t="s">
        <v>17465</v>
      </c>
      <c r="U2462" s="1" t="s">
        <v>17574</v>
      </c>
      <c r="V2462" s="1">
        <v>1</v>
      </c>
      <c r="W2462" s="1">
        <v>1</v>
      </c>
      <c r="X2462" s="1">
        <v>1</v>
      </c>
      <c r="Y2462" s="1">
        <v>0</v>
      </c>
      <c r="Z2462" s="1">
        <v>0</v>
      </c>
      <c r="AA2462" s="1">
        <v>3</v>
      </c>
      <c r="AB2462" s="1">
        <v>3</v>
      </c>
      <c r="AC2462" s="1">
        <v>3</v>
      </c>
      <c r="AD2462" s="1" t="s">
        <v>109</v>
      </c>
      <c r="AE2462" s="1" t="s">
        <v>109</v>
      </c>
      <c r="AF2462" s="1">
        <v>2</v>
      </c>
      <c r="AG2462" s="1" t="s">
        <v>109</v>
      </c>
      <c r="AH2462" s="1">
        <v>2</v>
      </c>
      <c r="AI2462" s="1" t="s">
        <v>109</v>
      </c>
      <c r="AJ2462" s="1">
        <v>2</v>
      </c>
      <c r="AK2462" s="1">
        <v>2</v>
      </c>
      <c r="AL2462" s="1">
        <v>3</v>
      </c>
      <c r="AM2462" s="1" t="s">
        <v>109</v>
      </c>
      <c r="AN2462" s="1">
        <v>2</v>
      </c>
      <c r="AO2462" s="1" t="s">
        <v>109</v>
      </c>
      <c r="AP2462" s="1"/>
      <c r="AQ2462" s="1">
        <v>3</v>
      </c>
      <c r="AR2462" s="1"/>
      <c r="AS2462" s="1"/>
      <c r="AT2462" s="1">
        <v>0</v>
      </c>
      <c r="AU2462" s="1">
        <v>0</v>
      </c>
      <c r="AV2462" s="1">
        <v>0</v>
      </c>
      <c r="AW2462" s="1">
        <v>0</v>
      </c>
      <c r="AX2462" s="1">
        <v>1</v>
      </c>
      <c r="AY2462" s="1">
        <v>0</v>
      </c>
      <c r="AZ2462" s="1">
        <v>0</v>
      </c>
      <c r="BA2462" s="1">
        <v>0</v>
      </c>
      <c r="BB2462" s="1">
        <v>0</v>
      </c>
      <c r="BC2462" s="1">
        <v>0</v>
      </c>
      <c r="BD2462" s="1">
        <v>0</v>
      </c>
      <c r="BE2462" s="1">
        <v>0</v>
      </c>
      <c r="BF2462" s="1">
        <v>0</v>
      </c>
      <c r="BG2462" s="1">
        <v>0</v>
      </c>
      <c r="BH2462" s="1">
        <v>0</v>
      </c>
      <c r="BI2462" s="1">
        <v>0</v>
      </c>
      <c r="BJ2462" s="1">
        <v>0</v>
      </c>
      <c r="BK2462" s="1">
        <v>0</v>
      </c>
      <c r="BL2462" s="1">
        <v>0</v>
      </c>
      <c r="BM2462" s="1">
        <v>0</v>
      </c>
      <c r="BN2462" s="1">
        <v>0</v>
      </c>
      <c r="BO2462" s="1">
        <v>0</v>
      </c>
      <c r="BP2462" s="1">
        <v>0</v>
      </c>
      <c r="BQ2462" s="1">
        <v>0</v>
      </c>
      <c r="BR2462" s="1">
        <v>0</v>
      </c>
      <c r="BS2462" s="1" t="s">
        <v>109</v>
      </c>
      <c r="BT2462" s="1">
        <v>2554</v>
      </c>
      <c r="BU2462" s="1" t="s">
        <v>109</v>
      </c>
      <c r="BV2462" s="1"/>
      <c r="BW2462" s="1"/>
      <c r="BX2462" s="1"/>
      <c r="BY2462" s="1"/>
      <c r="BZ2462" s="1">
        <v>0</v>
      </c>
      <c r="CA2462" s="1" t="s">
        <v>109</v>
      </c>
      <c r="CB2462" s="1" t="s">
        <v>109</v>
      </c>
      <c r="CC2462" s="1" t="s">
        <v>109</v>
      </c>
      <c r="CD2462" s="1" t="s">
        <v>109</v>
      </c>
      <c r="CE2462" s="1" t="s">
        <v>109</v>
      </c>
      <c r="CF2462" s="1">
        <v>2</v>
      </c>
      <c r="CG2462" s="1" t="s">
        <v>109</v>
      </c>
      <c r="CH2462" s="1" t="s">
        <v>109</v>
      </c>
      <c r="CI2462" s="1">
        <v>2</v>
      </c>
      <c r="CJ2462" s="1" t="s">
        <v>109</v>
      </c>
      <c r="CK2462" s="1"/>
      <c r="CL2462" s="1">
        <v>0</v>
      </c>
      <c r="CM2462" s="1">
        <v>0</v>
      </c>
      <c r="CN2462" s="1">
        <v>0</v>
      </c>
    </row>
    <row r="2463" spans="1:92" ht="14.25" customHeight="1" x14ac:dyDescent="0.15">
      <c r="A2463" s="1" t="s">
        <v>17575</v>
      </c>
      <c r="B2463" s="1" t="s">
        <v>156</v>
      </c>
      <c r="C2463" s="1"/>
      <c r="D2463" s="1" t="s">
        <v>14766</v>
      </c>
      <c r="E2463" s="1" t="s">
        <v>17576</v>
      </c>
      <c r="F2463" s="1" t="s">
        <v>98</v>
      </c>
      <c r="G2463" s="1" t="s">
        <v>17577</v>
      </c>
      <c r="H2463" s="1">
        <v>0</v>
      </c>
      <c r="I2463" s="1" t="s">
        <v>161</v>
      </c>
      <c r="J2463" s="1"/>
      <c r="K2463" s="1"/>
      <c r="L2463" s="1" t="s">
        <v>506</v>
      </c>
      <c r="M2463" s="1" t="s">
        <v>408</v>
      </c>
      <c r="N2463" s="1">
        <v>0</v>
      </c>
      <c r="O2463" s="1">
        <v>0</v>
      </c>
      <c r="P2463" s="1" t="s">
        <v>301</v>
      </c>
      <c r="Q2463" s="1" t="s">
        <v>268</v>
      </c>
      <c r="R2463" s="1" t="s">
        <v>17578</v>
      </c>
      <c r="S2463" s="1" t="s">
        <v>17579</v>
      </c>
      <c r="T2463" s="1" t="s">
        <v>17465</v>
      </c>
      <c r="U2463" s="1" t="s">
        <v>17580</v>
      </c>
      <c r="V2463" s="1">
        <v>1</v>
      </c>
      <c r="W2463" s="1">
        <v>1</v>
      </c>
      <c r="X2463" s="1">
        <v>0</v>
      </c>
      <c r="Y2463" s="1">
        <v>0</v>
      </c>
      <c r="Z2463" s="1">
        <v>1</v>
      </c>
      <c r="AA2463" s="1">
        <v>7</v>
      </c>
      <c r="AB2463" s="1">
        <v>7</v>
      </c>
      <c r="AC2463" s="1">
        <v>7</v>
      </c>
      <c r="AD2463" s="1" t="s">
        <v>109</v>
      </c>
      <c r="AE2463" s="1" t="s">
        <v>109</v>
      </c>
      <c r="AF2463" s="1">
        <v>6</v>
      </c>
      <c r="AG2463" s="1" t="s">
        <v>109</v>
      </c>
      <c r="AH2463" s="1" t="s">
        <v>109</v>
      </c>
      <c r="AI2463" s="1" t="s">
        <v>109</v>
      </c>
      <c r="AJ2463" s="1">
        <v>6</v>
      </c>
      <c r="AK2463" s="1">
        <v>6</v>
      </c>
      <c r="AL2463" s="1">
        <v>7</v>
      </c>
      <c r="AM2463" s="1" t="s">
        <v>109</v>
      </c>
      <c r="AN2463" s="1" t="s">
        <v>109</v>
      </c>
      <c r="AO2463" s="1" t="s">
        <v>109</v>
      </c>
      <c r="AP2463" s="1"/>
      <c r="AQ2463" s="1">
        <v>7</v>
      </c>
      <c r="AR2463" s="1"/>
      <c r="AS2463" s="1"/>
      <c r="AT2463" s="1">
        <v>0</v>
      </c>
      <c r="AU2463" s="1">
        <v>0</v>
      </c>
      <c r="AV2463" s="1">
        <v>0</v>
      </c>
      <c r="AW2463" s="1">
        <v>0</v>
      </c>
      <c r="AX2463" s="1">
        <v>1</v>
      </c>
      <c r="AY2463" s="1">
        <v>0</v>
      </c>
      <c r="AZ2463" s="1">
        <v>0</v>
      </c>
      <c r="BA2463" s="1">
        <v>0</v>
      </c>
      <c r="BB2463" s="1">
        <v>0</v>
      </c>
      <c r="BC2463" s="1">
        <v>0</v>
      </c>
      <c r="BD2463" s="1">
        <v>0</v>
      </c>
      <c r="BE2463" s="1">
        <v>0</v>
      </c>
      <c r="BF2463" s="1">
        <v>0</v>
      </c>
      <c r="BG2463" s="1">
        <v>0</v>
      </c>
      <c r="BH2463" s="1">
        <v>0</v>
      </c>
      <c r="BI2463" s="1">
        <v>0</v>
      </c>
      <c r="BJ2463" s="1">
        <v>0</v>
      </c>
      <c r="BK2463" s="1">
        <v>0</v>
      </c>
      <c r="BL2463" s="1">
        <v>0</v>
      </c>
      <c r="BM2463" s="1">
        <v>1</v>
      </c>
      <c r="BN2463" s="1">
        <v>0</v>
      </c>
      <c r="BO2463" s="1">
        <v>0</v>
      </c>
      <c r="BP2463" s="1">
        <v>0</v>
      </c>
      <c r="BQ2463" s="1">
        <v>0</v>
      </c>
      <c r="BR2463" s="1">
        <v>0</v>
      </c>
      <c r="BS2463" s="1" t="s">
        <v>109</v>
      </c>
      <c r="BT2463" s="1">
        <v>2555</v>
      </c>
      <c r="BU2463" s="1" t="s">
        <v>109</v>
      </c>
      <c r="BV2463" s="1"/>
      <c r="BW2463" s="1"/>
      <c r="BX2463" s="1"/>
      <c r="BY2463" s="1"/>
      <c r="BZ2463" s="1">
        <v>0</v>
      </c>
      <c r="CA2463" s="1" t="s">
        <v>109</v>
      </c>
      <c r="CB2463" s="1" t="s">
        <v>109</v>
      </c>
      <c r="CC2463" s="1">
        <v>7</v>
      </c>
      <c r="CD2463" s="1" t="s">
        <v>109</v>
      </c>
      <c r="CE2463" s="1" t="s">
        <v>109</v>
      </c>
      <c r="CF2463" s="1">
        <v>6</v>
      </c>
      <c r="CG2463" s="1" t="s">
        <v>109</v>
      </c>
      <c r="CH2463" s="1" t="s">
        <v>109</v>
      </c>
      <c r="CI2463" s="1" t="s">
        <v>109</v>
      </c>
      <c r="CJ2463" s="1" t="s">
        <v>109</v>
      </c>
      <c r="CK2463" s="1"/>
      <c r="CL2463" s="1">
        <v>0</v>
      </c>
      <c r="CM2463" s="1">
        <v>0</v>
      </c>
      <c r="CN2463" s="1">
        <v>0</v>
      </c>
    </row>
    <row r="2464" spans="1:92" ht="14.25" customHeight="1" x14ac:dyDescent="0.15">
      <c r="A2464" s="1" t="s">
        <v>17581</v>
      </c>
      <c r="B2464" s="1" t="s">
        <v>308</v>
      </c>
      <c r="C2464" s="1"/>
      <c r="D2464" s="1"/>
      <c r="E2464" s="1" t="s">
        <v>17582</v>
      </c>
      <c r="F2464" s="1" t="s">
        <v>98</v>
      </c>
      <c r="G2464" s="1" t="s">
        <v>17583</v>
      </c>
      <c r="H2464" s="1">
        <v>0</v>
      </c>
      <c r="I2464" s="1" t="s">
        <v>142</v>
      </c>
      <c r="J2464" s="1"/>
      <c r="K2464" s="1"/>
      <c r="L2464" s="1" t="s">
        <v>506</v>
      </c>
      <c r="M2464" s="1" t="s">
        <v>5642</v>
      </c>
      <c r="N2464" s="1">
        <v>0</v>
      </c>
      <c r="O2464" s="1">
        <v>0</v>
      </c>
      <c r="P2464" s="1" t="s">
        <v>507</v>
      </c>
      <c r="Q2464" s="1" t="s">
        <v>104</v>
      </c>
      <c r="R2464" s="1" t="s">
        <v>17584</v>
      </c>
      <c r="S2464" s="1" t="s">
        <v>17585</v>
      </c>
      <c r="T2464" s="1" t="s">
        <v>17465</v>
      </c>
      <c r="U2464" s="1" t="s">
        <v>17586</v>
      </c>
      <c r="V2464" s="1">
        <v>1</v>
      </c>
      <c r="W2464" s="1">
        <v>1</v>
      </c>
      <c r="X2464" s="1">
        <v>1</v>
      </c>
      <c r="Y2464" s="1">
        <v>0</v>
      </c>
      <c r="Z2464" s="1">
        <v>0</v>
      </c>
      <c r="AA2464" s="1">
        <v>4</v>
      </c>
      <c r="AB2464" s="1">
        <v>4</v>
      </c>
      <c r="AC2464" s="1" t="s">
        <v>109</v>
      </c>
      <c r="AD2464" s="1" t="s">
        <v>109</v>
      </c>
      <c r="AE2464" s="1" t="s">
        <v>109</v>
      </c>
      <c r="AF2464" s="1" t="s">
        <v>109</v>
      </c>
      <c r="AG2464" s="1" t="s">
        <v>109</v>
      </c>
      <c r="AH2464" s="1">
        <v>4</v>
      </c>
      <c r="AI2464" s="1" t="s">
        <v>109</v>
      </c>
      <c r="AJ2464" s="1">
        <v>4</v>
      </c>
      <c r="AK2464" s="1" t="s">
        <v>109</v>
      </c>
      <c r="AL2464" s="1" t="s">
        <v>109</v>
      </c>
      <c r="AM2464" s="1" t="s">
        <v>109</v>
      </c>
      <c r="AN2464" s="1" t="s">
        <v>109</v>
      </c>
      <c r="AO2464" s="1" t="s">
        <v>109</v>
      </c>
      <c r="AP2464" s="1"/>
      <c r="AQ2464" s="1">
        <v>4</v>
      </c>
      <c r="AR2464" s="1"/>
      <c r="AS2464" s="1"/>
      <c r="AT2464" s="1">
        <v>0</v>
      </c>
      <c r="AU2464" s="1">
        <v>0</v>
      </c>
      <c r="AV2464" s="1">
        <v>0</v>
      </c>
      <c r="AW2464" s="1">
        <v>0</v>
      </c>
      <c r="AX2464" s="1">
        <v>0</v>
      </c>
      <c r="AY2464" s="1">
        <v>0</v>
      </c>
      <c r="AZ2464" s="1">
        <v>0</v>
      </c>
      <c r="BA2464" s="1">
        <v>0</v>
      </c>
      <c r="BB2464" s="1">
        <v>0</v>
      </c>
      <c r="BC2464" s="1">
        <v>0</v>
      </c>
      <c r="BD2464" s="1">
        <v>0</v>
      </c>
      <c r="BE2464" s="1">
        <v>0</v>
      </c>
      <c r="BF2464" s="1">
        <v>0</v>
      </c>
      <c r="BG2464" s="1">
        <v>0</v>
      </c>
      <c r="BH2464" s="1">
        <v>0</v>
      </c>
      <c r="BI2464" s="1">
        <v>0</v>
      </c>
      <c r="BJ2464" s="1">
        <v>0</v>
      </c>
      <c r="BK2464" s="1">
        <v>0</v>
      </c>
      <c r="BL2464" s="1">
        <v>0</v>
      </c>
      <c r="BM2464" s="1">
        <v>0</v>
      </c>
      <c r="BN2464" s="1">
        <v>0</v>
      </c>
      <c r="BO2464" s="1">
        <v>0</v>
      </c>
      <c r="BP2464" s="1">
        <v>0</v>
      </c>
      <c r="BQ2464" s="1">
        <v>0</v>
      </c>
      <c r="BR2464" s="1">
        <v>0</v>
      </c>
      <c r="BS2464" s="1" t="s">
        <v>109</v>
      </c>
      <c r="BT2464" s="1">
        <v>2556</v>
      </c>
      <c r="BU2464" s="1" t="s">
        <v>109</v>
      </c>
      <c r="BV2464" s="1"/>
      <c r="BW2464" s="1"/>
      <c r="BX2464" s="1"/>
      <c r="BY2464" s="1"/>
      <c r="BZ2464" s="1">
        <v>0</v>
      </c>
      <c r="CA2464" s="1" t="s">
        <v>109</v>
      </c>
      <c r="CB2464" s="1" t="s">
        <v>109</v>
      </c>
      <c r="CC2464" s="1" t="s">
        <v>109</v>
      </c>
      <c r="CD2464" s="1" t="s">
        <v>109</v>
      </c>
      <c r="CE2464" s="1" t="s">
        <v>109</v>
      </c>
      <c r="CF2464" s="1" t="s">
        <v>109</v>
      </c>
      <c r="CG2464" s="1" t="s">
        <v>109</v>
      </c>
      <c r="CH2464" s="1" t="s">
        <v>109</v>
      </c>
      <c r="CI2464" s="1" t="s">
        <v>109</v>
      </c>
      <c r="CJ2464" s="1" t="s">
        <v>109</v>
      </c>
      <c r="CK2464" s="1"/>
      <c r="CL2464" s="1">
        <v>0</v>
      </c>
      <c r="CM2464" s="1">
        <v>0</v>
      </c>
      <c r="CN2464" s="1">
        <v>0</v>
      </c>
    </row>
    <row r="2465" spans="1:92" ht="14.25" customHeight="1" x14ac:dyDescent="0.15">
      <c r="A2465" s="1" t="s">
        <v>17587</v>
      </c>
      <c r="B2465" s="1" t="s">
        <v>674</v>
      </c>
      <c r="C2465" s="1" t="s">
        <v>675</v>
      </c>
      <c r="D2465" s="1"/>
      <c r="E2465" s="1" t="s">
        <v>17588</v>
      </c>
      <c r="F2465" s="1" t="s">
        <v>98</v>
      </c>
      <c r="G2465" s="1" t="s">
        <v>17589</v>
      </c>
      <c r="H2465" s="1">
        <v>0</v>
      </c>
      <c r="I2465" s="1" t="s">
        <v>161</v>
      </c>
      <c r="J2465" s="1"/>
      <c r="K2465" s="1"/>
      <c r="L2465" s="1" t="s">
        <v>17590</v>
      </c>
      <c r="M2465" s="1" t="s">
        <v>5642</v>
      </c>
      <c r="N2465" s="1">
        <v>0</v>
      </c>
      <c r="O2465" s="1">
        <v>0</v>
      </c>
      <c r="P2465" s="1" t="s">
        <v>215</v>
      </c>
      <c r="Q2465" s="1" t="s">
        <v>216</v>
      </c>
      <c r="R2465" s="1" t="s">
        <v>17591</v>
      </c>
      <c r="S2465" s="1" t="s">
        <v>17592</v>
      </c>
      <c r="T2465" s="1" t="s">
        <v>17465</v>
      </c>
      <c r="U2465" s="1" t="s">
        <v>17593</v>
      </c>
      <c r="V2465" s="1">
        <v>1</v>
      </c>
      <c r="W2465" s="1">
        <v>1</v>
      </c>
      <c r="X2465" s="1">
        <v>1</v>
      </c>
      <c r="Y2465" s="1">
        <v>0</v>
      </c>
      <c r="Z2465" s="1">
        <v>0</v>
      </c>
      <c r="AA2465" s="1">
        <v>2</v>
      </c>
      <c r="AB2465" s="1">
        <v>2</v>
      </c>
      <c r="AC2465" s="1" t="s">
        <v>109</v>
      </c>
      <c r="AD2465" s="1" t="s">
        <v>109</v>
      </c>
      <c r="AE2465" s="1" t="s">
        <v>109</v>
      </c>
      <c r="AF2465" s="1">
        <v>2</v>
      </c>
      <c r="AG2465" s="1" t="s">
        <v>109</v>
      </c>
      <c r="AH2465" s="1">
        <v>2</v>
      </c>
      <c r="AI2465" s="1">
        <v>2</v>
      </c>
      <c r="AJ2465" s="1" t="s">
        <v>109</v>
      </c>
      <c r="AK2465" s="1">
        <v>2</v>
      </c>
      <c r="AL2465" s="1" t="s">
        <v>109</v>
      </c>
      <c r="AM2465" s="1">
        <v>2</v>
      </c>
      <c r="AN2465" s="1">
        <v>2</v>
      </c>
      <c r="AO2465" s="1" t="s">
        <v>109</v>
      </c>
      <c r="AP2465" s="1"/>
      <c r="AQ2465" s="1">
        <v>2</v>
      </c>
      <c r="AR2465" s="1"/>
      <c r="AS2465" s="1"/>
      <c r="AT2465" s="1">
        <v>0</v>
      </c>
      <c r="AU2465" s="1">
        <v>0</v>
      </c>
      <c r="AV2465" s="1">
        <v>0</v>
      </c>
      <c r="AW2465" s="1">
        <v>0</v>
      </c>
      <c r="AX2465" s="1">
        <v>0</v>
      </c>
      <c r="AY2465" s="1">
        <v>0</v>
      </c>
      <c r="AZ2465" s="1">
        <v>0</v>
      </c>
      <c r="BA2465" s="1">
        <v>0</v>
      </c>
      <c r="BB2465" s="1">
        <v>0</v>
      </c>
      <c r="BC2465" s="1">
        <v>0</v>
      </c>
      <c r="BD2465" s="1">
        <v>0</v>
      </c>
      <c r="BE2465" s="1">
        <v>0</v>
      </c>
      <c r="BF2465" s="1">
        <v>0</v>
      </c>
      <c r="BG2465" s="1">
        <v>0</v>
      </c>
      <c r="BH2465" s="1">
        <v>0</v>
      </c>
      <c r="BI2465" s="1">
        <v>0</v>
      </c>
      <c r="BJ2465" s="1">
        <v>0</v>
      </c>
      <c r="BK2465" s="1">
        <v>0</v>
      </c>
      <c r="BL2465" s="1">
        <v>0</v>
      </c>
      <c r="BM2465" s="1">
        <v>0</v>
      </c>
      <c r="BN2465" s="1">
        <v>0</v>
      </c>
      <c r="BO2465" s="1">
        <v>0</v>
      </c>
      <c r="BP2465" s="1">
        <v>0</v>
      </c>
      <c r="BQ2465" s="1">
        <v>0</v>
      </c>
      <c r="BR2465" s="1">
        <v>0</v>
      </c>
      <c r="BS2465" s="1" t="s">
        <v>109</v>
      </c>
      <c r="BT2465" s="1">
        <v>2557</v>
      </c>
      <c r="BU2465" s="1" t="s">
        <v>109</v>
      </c>
      <c r="BV2465" s="1"/>
      <c r="BW2465" s="1"/>
      <c r="BX2465" s="1"/>
      <c r="BY2465" s="1"/>
      <c r="BZ2465" s="1">
        <v>0</v>
      </c>
      <c r="CA2465" s="1" t="s">
        <v>109</v>
      </c>
      <c r="CB2465" s="1" t="s">
        <v>109</v>
      </c>
      <c r="CC2465" s="1" t="s">
        <v>109</v>
      </c>
      <c r="CD2465" s="1" t="s">
        <v>109</v>
      </c>
      <c r="CE2465" s="1" t="s">
        <v>109</v>
      </c>
      <c r="CF2465" s="1" t="s">
        <v>109</v>
      </c>
      <c r="CG2465" s="1" t="s">
        <v>109</v>
      </c>
      <c r="CH2465" s="1" t="s">
        <v>109</v>
      </c>
      <c r="CI2465" s="1" t="s">
        <v>109</v>
      </c>
      <c r="CJ2465" s="1" t="s">
        <v>109</v>
      </c>
      <c r="CK2465" s="1"/>
      <c r="CL2465" s="1">
        <v>0</v>
      </c>
      <c r="CM2465" s="1">
        <v>0</v>
      </c>
      <c r="CN2465" s="1">
        <v>0</v>
      </c>
    </row>
    <row r="2466" spans="1:92" ht="14.25" customHeight="1" x14ac:dyDescent="0.15">
      <c r="A2466" s="1" t="s">
        <v>17594</v>
      </c>
      <c r="B2466" s="1" t="s">
        <v>242</v>
      </c>
      <c r="C2466" s="1"/>
      <c r="D2466" s="1"/>
      <c r="E2466" s="1" t="s">
        <v>17595</v>
      </c>
      <c r="F2466" s="1" t="s">
        <v>98</v>
      </c>
      <c r="G2466" s="1" t="s">
        <v>17596</v>
      </c>
      <c r="H2466" s="1">
        <v>1</v>
      </c>
      <c r="I2466" s="1" t="s">
        <v>161</v>
      </c>
      <c r="J2466" s="1"/>
      <c r="K2466" s="1"/>
      <c r="L2466" s="1" t="s">
        <v>506</v>
      </c>
      <c r="M2466" s="1" t="s">
        <v>5642</v>
      </c>
      <c r="N2466" s="1">
        <v>0</v>
      </c>
      <c r="O2466" s="1">
        <v>0</v>
      </c>
      <c r="P2466" s="1" t="s">
        <v>507</v>
      </c>
      <c r="Q2466" s="1" t="s">
        <v>167</v>
      </c>
      <c r="R2466" s="1" t="s">
        <v>17597</v>
      </c>
      <c r="S2466" s="1" t="s">
        <v>17598</v>
      </c>
      <c r="T2466" s="1" t="s">
        <v>17465</v>
      </c>
      <c r="U2466" s="1" t="s">
        <v>17599</v>
      </c>
      <c r="V2466" s="1">
        <v>1</v>
      </c>
      <c r="W2466" s="1">
        <v>1</v>
      </c>
      <c r="X2466" s="1">
        <v>1</v>
      </c>
      <c r="Y2466" s="1">
        <v>0</v>
      </c>
      <c r="Z2466" s="1">
        <v>0</v>
      </c>
      <c r="AA2466" s="1">
        <v>9</v>
      </c>
      <c r="AB2466" s="1">
        <v>9</v>
      </c>
      <c r="AC2466" s="1" t="s">
        <v>109</v>
      </c>
      <c r="AD2466" s="1" t="s">
        <v>109</v>
      </c>
      <c r="AE2466" s="1" t="s">
        <v>109</v>
      </c>
      <c r="AF2466" s="1">
        <v>6</v>
      </c>
      <c r="AG2466" s="1" t="s">
        <v>109</v>
      </c>
      <c r="AH2466" s="1" t="s">
        <v>109</v>
      </c>
      <c r="AI2466" s="1" t="s">
        <v>109</v>
      </c>
      <c r="AJ2466" s="1">
        <v>9</v>
      </c>
      <c r="AK2466" s="1" t="s">
        <v>109</v>
      </c>
      <c r="AL2466" s="1" t="s">
        <v>109</v>
      </c>
      <c r="AM2466" s="1" t="s">
        <v>109</v>
      </c>
      <c r="AN2466" s="1" t="s">
        <v>109</v>
      </c>
      <c r="AO2466" s="1" t="s">
        <v>109</v>
      </c>
      <c r="AP2466" s="1"/>
      <c r="AQ2466" s="1">
        <v>9</v>
      </c>
      <c r="AR2466" s="1"/>
      <c r="AS2466" s="1"/>
      <c r="AT2466" s="1">
        <v>0</v>
      </c>
      <c r="AU2466" s="1">
        <v>0</v>
      </c>
      <c r="AV2466" s="1">
        <v>0</v>
      </c>
      <c r="AW2466" s="1">
        <v>0</v>
      </c>
      <c r="AX2466" s="1">
        <v>0</v>
      </c>
      <c r="AY2466" s="1">
        <v>0</v>
      </c>
      <c r="AZ2466" s="1">
        <v>0</v>
      </c>
      <c r="BA2466" s="1">
        <v>0</v>
      </c>
      <c r="BB2466" s="1">
        <v>0</v>
      </c>
      <c r="BC2466" s="1">
        <v>0</v>
      </c>
      <c r="BD2466" s="1">
        <v>0</v>
      </c>
      <c r="BE2466" s="1">
        <v>0</v>
      </c>
      <c r="BF2466" s="1">
        <v>0</v>
      </c>
      <c r="BG2466" s="1">
        <v>0</v>
      </c>
      <c r="BH2466" s="1">
        <v>0</v>
      </c>
      <c r="BI2466" s="1">
        <v>0</v>
      </c>
      <c r="BJ2466" s="1">
        <v>0</v>
      </c>
      <c r="BK2466" s="1">
        <v>0</v>
      </c>
      <c r="BL2466" s="1">
        <v>0</v>
      </c>
      <c r="BM2466" s="1">
        <v>0</v>
      </c>
      <c r="BN2466" s="1">
        <v>0</v>
      </c>
      <c r="BO2466" s="1">
        <v>0</v>
      </c>
      <c r="BP2466" s="1">
        <v>0</v>
      </c>
      <c r="BQ2466" s="1">
        <v>0</v>
      </c>
      <c r="BR2466" s="1">
        <v>0</v>
      </c>
      <c r="BS2466" s="1" t="s">
        <v>109</v>
      </c>
      <c r="BT2466" s="1">
        <v>2558</v>
      </c>
      <c r="BU2466" s="1">
        <v>1250</v>
      </c>
      <c r="BV2466" s="1"/>
      <c r="BW2466" s="1"/>
      <c r="BX2466" s="1"/>
      <c r="BY2466" s="1"/>
      <c r="BZ2466" s="1">
        <v>0</v>
      </c>
      <c r="CA2466" s="1" t="s">
        <v>109</v>
      </c>
      <c r="CB2466" s="1" t="s">
        <v>109</v>
      </c>
      <c r="CC2466" s="1">
        <v>9</v>
      </c>
      <c r="CD2466" s="1" t="s">
        <v>109</v>
      </c>
      <c r="CE2466" s="1">
        <v>6</v>
      </c>
      <c r="CF2466" s="1" t="s">
        <v>109</v>
      </c>
      <c r="CG2466" s="1">
        <v>6</v>
      </c>
      <c r="CH2466" s="1" t="s">
        <v>109</v>
      </c>
      <c r="CI2466" s="1" t="s">
        <v>109</v>
      </c>
      <c r="CJ2466" s="1" t="s">
        <v>109</v>
      </c>
      <c r="CK2466" s="1"/>
      <c r="CL2466" s="1">
        <v>0</v>
      </c>
      <c r="CM2466" s="1">
        <v>0</v>
      </c>
      <c r="CN2466" s="1">
        <v>0</v>
      </c>
    </row>
    <row r="2467" spans="1:92" ht="14.25" customHeight="1" x14ac:dyDescent="0.15">
      <c r="A2467" s="1" t="s">
        <v>17600</v>
      </c>
      <c r="B2467" s="1" t="s">
        <v>189</v>
      </c>
      <c r="C2467" s="1" t="s">
        <v>231</v>
      </c>
      <c r="D2467" s="1"/>
      <c r="E2467" s="1" t="s">
        <v>17601</v>
      </c>
      <c r="F2467" s="1" t="s">
        <v>98</v>
      </c>
      <c r="G2467" s="1" t="s">
        <v>17602</v>
      </c>
      <c r="H2467" s="1">
        <v>0</v>
      </c>
      <c r="I2467" s="1" t="s">
        <v>161</v>
      </c>
      <c r="J2467" s="1"/>
      <c r="K2467" s="1"/>
      <c r="L2467" s="1" t="s">
        <v>162</v>
      </c>
      <c r="M2467" s="1" t="s">
        <v>6144</v>
      </c>
      <c r="N2467" s="1">
        <v>1</v>
      </c>
      <c r="O2467" s="1">
        <v>0</v>
      </c>
      <c r="P2467" s="1" t="s">
        <v>507</v>
      </c>
      <c r="Q2467" s="1" t="s">
        <v>167</v>
      </c>
      <c r="R2467" s="1" t="s">
        <v>17603</v>
      </c>
      <c r="S2467" s="1" t="s">
        <v>17604</v>
      </c>
      <c r="T2467" s="1" t="s">
        <v>17465</v>
      </c>
      <c r="U2467" s="1" t="s">
        <v>17605</v>
      </c>
      <c r="V2467" s="1">
        <v>1</v>
      </c>
      <c r="W2467" s="1">
        <v>1</v>
      </c>
      <c r="X2467" s="1">
        <v>1</v>
      </c>
      <c r="Y2467" s="1">
        <v>0</v>
      </c>
      <c r="Z2467" s="1">
        <v>0</v>
      </c>
      <c r="AA2467" s="1">
        <v>4</v>
      </c>
      <c r="AB2467" s="1">
        <v>4</v>
      </c>
      <c r="AC2467" s="1" t="s">
        <v>109</v>
      </c>
      <c r="AD2467" s="1" t="s">
        <v>109</v>
      </c>
      <c r="AE2467" s="1" t="s">
        <v>109</v>
      </c>
      <c r="AF2467" s="1" t="s">
        <v>109</v>
      </c>
      <c r="AG2467" s="1" t="s">
        <v>109</v>
      </c>
      <c r="AH2467" s="1">
        <v>4</v>
      </c>
      <c r="AI2467" s="1" t="s">
        <v>109</v>
      </c>
      <c r="AJ2467" s="1">
        <v>4</v>
      </c>
      <c r="AK2467" s="1" t="s">
        <v>109</v>
      </c>
      <c r="AL2467" s="1" t="s">
        <v>109</v>
      </c>
      <c r="AM2467" s="1" t="s">
        <v>109</v>
      </c>
      <c r="AN2467" s="1" t="s">
        <v>109</v>
      </c>
      <c r="AO2467" s="1" t="s">
        <v>109</v>
      </c>
      <c r="AP2467" s="1"/>
      <c r="AQ2467" s="1">
        <v>4</v>
      </c>
      <c r="AR2467" s="1"/>
      <c r="AS2467" s="1"/>
      <c r="AT2467" s="1">
        <v>0</v>
      </c>
      <c r="AU2467" s="1">
        <v>0</v>
      </c>
      <c r="AV2467" s="1">
        <v>0</v>
      </c>
      <c r="AW2467" s="1">
        <v>0</v>
      </c>
      <c r="AX2467" s="1">
        <v>0</v>
      </c>
      <c r="AY2467" s="1">
        <v>0</v>
      </c>
      <c r="AZ2467" s="1">
        <v>0</v>
      </c>
      <c r="BA2467" s="1">
        <v>0</v>
      </c>
      <c r="BB2467" s="1">
        <v>0</v>
      </c>
      <c r="BC2467" s="1">
        <v>0</v>
      </c>
      <c r="BD2467" s="1">
        <v>0</v>
      </c>
      <c r="BE2467" s="1">
        <v>0</v>
      </c>
      <c r="BF2467" s="1">
        <v>0</v>
      </c>
      <c r="BG2467" s="1">
        <v>0</v>
      </c>
      <c r="BH2467" s="1">
        <v>0</v>
      </c>
      <c r="BI2467" s="1">
        <v>0</v>
      </c>
      <c r="BJ2467" s="1">
        <v>0</v>
      </c>
      <c r="BK2467" s="1">
        <v>0</v>
      </c>
      <c r="BL2467" s="1">
        <v>0</v>
      </c>
      <c r="BM2467" s="1">
        <v>0</v>
      </c>
      <c r="BN2467" s="1">
        <v>0</v>
      </c>
      <c r="BO2467" s="1">
        <v>0</v>
      </c>
      <c r="BP2467" s="1">
        <v>0</v>
      </c>
      <c r="BQ2467" s="1">
        <v>0</v>
      </c>
      <c r="BR2467" s="1">
        <v>0</v>
      </c>
      <c r="BS2467" s="1" t="s">
        <v>109</v>
      </c>
      <c r="BT2467" s="1">
        <v>2559</v>
      </c>
      <c r="BU2467" s="1" t="s">
        <v>109</v>
      </c>
      <c r="BV2467" s="1"/>
      <c r="BW2467" s="1"/>
      <c r="BX2467" s="1"/>
      <c r="BY2467" s="1"/>
      <c r="BZ2467" s="1">
        <v>0</v>
      </c>
      <c r="CA2467" s="1" t="s">
        <v>109</v>
      </c>
      <c r="CB2467" s="1">
        <v>4</v>
      </c>
      <c r="CC2467" s="1">
        <v>4</v>
      </c>
      <c r="CD2467" s="1" t="s">
        <v>109</v>
      </c>
      <c r="CE2467" s="1" t="s">
        <v>109</v>
      </c>
      <c r="CF2467" s="1" t="s">
        <v>109</v>
      </c>
      <c r="CG2467" s="1" t="s">
        <v>109</v>
      </c>
      <c r="CH2467" s="1" t="s">
        <v>109</v>
      </c>
      <c r="CI2467" s="1" t="s">
        <v>109</v>
      </c>
      <c r="CJ2467" s="1" t="s">
        <v>109</v>
      </c>
      <c r="CK2467" s="1"/>
      <c r="CL2467" s="1">
        <v>0</v>
      </c>
      <c r="CM2467" s="1">
        <v>0</v>
      </c>
      <c r="CN2467" s="1">
        <v>0</v>
      </c>
    </row>
    <row r="2468" spans="1:92" ht="14.25" customHeight="1" x14ac:dyDescent="0.15">
      <c r="A2468" s="1" t="s">
        <v>17606</v>
      </c>
      <c r="B2468" s="1" t="s">
        <v>242</v>
      </c>
      <c r="C2468" s="1"/>
      <c r="D2468" s="1"/>
      <c r="E2468" s="1" t="s">
        <v>17607</v>
      </c>
      <c r="F2468" s="1" t="s">
        <v>98</v>
      </c>
      <c r="G2468" s="1" t="s">
        <v>2116</v>
      </c>
      <c r="H2468" s="1">
        <v>0</v>
      </c>
      <c r="I2468" s="1" t="s">
        <v>142</v>
      </c>
      <c r="J2468" s="1"/>
      <c r="K2468" s="1"/>
      <c r="L2468" s="1" t="s">
        <v>506</v>
      </c>
      <c r="M2468" s="1" t="s">
        <v>3042</v>
      </c>
      <c r="N2468" s="1">
        <v>0</v>
      </c>
      <c r="O2468" s="1">
        <v>0</v>
      </c>
      <c r="P2468" s="1" t="s">
        <v>507</v>
      </c>
      <c r="Q2468" s="1" t="s">
        <v>104</v>
      </c>
      <c r="R2468" s="1" t="s">
        <v>17608</v>
      </c>
      <c r="S2468" s="1" t="s">
        <v>17609</v>
      </c>
      <c r="T2468" s="1" t="s">
        <v>17465</v>
      </c>
      <c r="U2468" s="1" t="s">
        <v>17610</v>
      </c>
      <c r="V2468" s="1">
        <v>1</v>
      </c>
      <c r="W2468" s="1">
        <v>1</v>
      </c>
      <c r="X2468" s="1">
        <v>1</v>
      </c>
      <c r="Y2468" s="1">
        <v>0</v>
      </c>
      <c r="Z2468" s="1">
        <v>0</v>
      </c>
      <c r="AA2468" s="1">
        <v>2</v>
      </c>
      <c r="AB2468" s="1">
        <v>2</v>
      </c>
      <c r="AC2468" s="1" t="s">
        <v>109</v>
      </c>
      <c r="AD2468" s="1" t="s">
        <v>109</v>
      </c>
      <c r="AE2468" s="1">
        <v>3</v>
      </c>
      <c r="AF2468" s="1" t="s">
        <v>109</v>
      </c>
      <c r="AG2468" s="1" t="s">
        <v>109</v>
      </c>
      <c r="AH2468" s="1">
        <v>2</v>
      </c>
      <c r="AI2468" s="1">
        <v>2</v>
      </c>
      <c r="AJ2468" s="1" t="s">
        <v>109</v>
      </c>
      <c r="AK2468" s="1">
        <v>2</v>
      </c>
      <c r="AL2468" s="1" t="s">
        <v>109</v>
      </c>
      <c r="AM2468" s="1">
        <v>2</v>
      </c>
      <c r="AN2468" s="1" t="s">
        <v>109</v>
      </c>
      <c r="AO2468" s="1" t="s">
        <v>109</v>
      </c>
      <c r="AP2468" s="1"/>
      <c r="AQ2468" s="1">
        <v>2</v>
      </c>
      <c r="AR2468" s="1"/>
      <c r="AS2468" s="1"/>
      <c r="AT2468" s="1">
        <v>0</v>
      </c>
      <c r="AU2468" s="1">
        <v>0</v>
      </c>
      <c r="AV2468" s="1">
        <v>0</v>
      </c>
      <c r="AW2468" s="1">
        <v>0</v>
      </c>
      <c r="AX2468" s="1">
        <v>0</v>
      </c>
      <c r="AY2468" s="1">
        <v>0</v>
      </c>
      <c r="AZ2468" s="1">
        <v>0</v>
      </c>
      <c r="BA2468" s="1">
        <v>0</v>
      </c>
      <c r="BB2468" s="1">
        <v>0</v>
      </c>
      <c r="BC2468" s="1">
        <v>0</v>
      </c>
      <c r="BD2468" s="1">
        <v>0</v>
      </c>
      <c r="BE2468" s="1">
        <v>0</v>
      </c>
      <c r="BF2468" s="1">
        <v>0</v>
      </c>
      <c r="BG2468" s="1">
        <v>0</v>
      </c>
      <c r="BH2468" s="1">
        <v>0</v>
      </c>
      <c r="BI2468" s="1">
        <v>0</v>
      </c>
      <c r="BJ2468" s="1">
        <v>0</v>
      </c>
      <c r="BK2468" s="1">
        <v>0</v>
      </c>
      <c r="BL2468" s="1">
        <v>0</v>
      </c>
      <c r="BM2468" s="1">
        <v>0</v>
      </c>
      <c r="BN2468" s="1">
        <v>0</v>
      </c>
      <c r="BO2468" s="1">
        <v>0</v>
      </c>
      <c r="BP2468" s="1">
        <v>0</v>
      </c>
      <c r="BQ2468" s="1">
        <v>0</v>
      </c>
      <c r="BR2468" s="1">
        <v>0</v>
      </c>
      <c r="BS2468" s="1" t="s">
        <v>109</v>
      </c>
      <c r="BT2468" s="1">
        <v>2560</v>
      </c>
      <c r="BU2468" s="1" t="s">
        <v>109</v>
      </c>
      <c r="BV2468" s="1"/>
      <c r="BW2468" s="1"/>
      <c r="BX2468" s="1"/>
      <c r="BY2468" s="1"/>
      <c r="BZ2468" s="1">
        <v>0</v>
      </c>
      <c r="CA2468" s="1" t="s">
        <v>109</v>
      </c>
      <c r="CB2468" s="1" t="s">
        <v>109</v>
      </c>
      <c r="CC2468" s="1" t="s">
        <v>109</v>
      </c>
      <c r="CD2468" s="1" t="s">
        <v>109</v>
      </c>
      <c r="CE2468" s="1" t="s">
        <v>109</v>
      </c>
      <c r="CF2468" s="1" t="s">
        <v>109</v>
      </c>
      <c r="CG2468" s="1" t="s">
        <v>109</v>
      </c>
      <c r="CH2468" s="1" t="s">
        <v>109</v>
      </c>
      <c r="CI2468" s="1" t="s">
        <v>109</v>
      </c>
      <c r="CJ2468" s="1">
        <v>3</v>
      </c>
      <c r="CK2468" s="1"/>
      <c r="CL2468" s="1">
        <v>0</v>
      </c>
      <c r="CM2468" s="1">
        <v>0</v>
      </c>
      <c r="CN2468" s="1">
        <v>0</v>
      </c>
    </row>
    <row r="2469" spans="1:92" ht="14.25" customHeight="1" x14ac:dyDescent="0.15">
      <c r="A2469" s="1" t="s">
        <v>17611</v>
      </c>
      <c r="B2469" s="1" t="s">
        <v>674</v>
      </c>
      <c r="C2469" s="1" t="s">
        <v>1715</v>
      </c>
      <c r="D2469" s="1" t="s">
        <v>158</v>
      </c>
      <c r="E2469" s="1" t="s">
        <v>17612</v>
      </c>
      <c r="F2469" s="1" t="s">
        <v>98</v>
      </c>
      <c r="G2469" s="1" t="s">
        <v>141</v>
      </c>
      <c r="H2469" s="1">
        <v>0</v>
      </c>
      <c r="I2469" s="1" t="s">
        <v>122</v>
      </c>
      <c r="J2469" s="1"/>
      <c r="K2469" s="1"/>
      <c r="L2469" s="1" t="s">
        <v>563</v>
      </c>
      <c r="M2469" s="1" t="s">
        <v>11269</v>
      </c>
      <c r="N2469" s="1">
        <v>0</v>
      </c>
      <c r="O2469" s="1">
        <v>0</v>
      </c>
      <c r="P2469" s="1" t="s">
        <v>3536</v>
      </c>
      <c r="Q2469" s="1" t="s">
        <v>268</v>
      </c>
      <c r="R2469" s="1" t="s">
        <v>17613</v>
      </c>
      <c r="S2469" s="1" t="s">
        <v>17614</v>
      </c>
      <c r="T2469" s="1" t="s">
        <v>17465</v>
      </c>
      <c r="U2469" s="1" t="s">
        <v>17615</v>
      </c>
      <c r="V2469" s="1">
        <v>1</v>
      </c>
      <c r="W2469" s="1">
        <v>1</v>
      </c>
      <c r="X2469" s="1">
        <v>0</v>
      </c>
      <c r="Y2469" s="1">
        <v>0</v>
      </c>
      <c r="Z2469" s="1">
        <v>0</v>
      </c>
      <c r="AA2469" s="1">
        <v>3</v>
      </c>
      <c r="AB2469" s="1">
        <v>3</v>
      </c>
      <c r="AC2469" s="1" t="s">
        <v>109</v>
      </c>
      <c r="AD2469" s="1" t="s">
        <v>109</v>
      </c>
      <c r="AE2469" s="1" t="s">
        <v>109</v>
      </c>
      <c r="AF2469" s="1">
        <v>4</v>
      </c>
      <c r="AG2469" s="1" t="s">
        <v>109</v>
      </c>
      <c r="AH2469" s="1" t="s">
        <v>109</v>
      </c>
      <c r="AI2469" s="1" t="s">
        <v>109</v>
      </c>
      <c r="AJ2469" s="1">
        <v>3</v>
      </c>
      <c r="AK2469" s="1" t="s">
        <v>109</v>
      </c>
      <c r="AL2469" s="1" t="s">
        <v>109</v>
      </c>
      <c r="AM2469" s="1">
        <v>3</v>
      </c>
      <c r="AN2469" s="1" t="s">
        <v>109</v>
      </c>
      <c r="AO2469" s="1" t="s">
        <v>109</v>
      </c>
      <c r="AP2469" s="1"/>
      <c r="AQ2469" s="1">
        <v>3</v>
      </c>
      <c r="AR2469" s="1"/>
      <c r="AS2469" s="1"/>
      <c r="AT2469" s="1">
        <v>0</v>
      </c>
      <c r="AU2469" s="1">
        <v>0</v>
      </c>
      <c r="AV2469" s="1">
        <v>0</v>
      </c>
      <c r="AW2469" s="1">
        <v>0</v>
      </c>
      <c r="AX2469" s="1">
        <v>0</v>
      </c>
      <c r="AY2469" s="1">
        <v>0</v>
      </c>
      <c r="AZ2469" s="1">
        <v>0</v>
      </c>
      <c r="BA2469" s="1">
        <v>0</v>
      </c>
      <c r="BB2469" s="1">
        <v>0</v>
      </c>
      <c r="BC2469" s="1">
        <v>0</v>
      </c>
      <c r="BD2469" s="1">
        <v>0</v>
      </c>
      <c r="BE2469" s="1">
        <v>0</v>
      </c>
      <c r="BF2469" s="1">
        <v>0</v>
      </c>
      <c r="BG2469" s="1">
        <v>0</v>
      </c>
      <c r="BH2469" s="1">
        <v>0</v>
      </c>
      <c r="BI2469" s="1">
        <v>0</v>
      </c>
      <c r="BJ2469" s="1">
        <v>0</v>
      </c>
      <c r="BK2469" s="1">
        <v>0</v>
      </c>
      <c r="BL2469" s="1">
        <v>0</v>
      </c>
      <c r="BM2469" s="1">
        <v>1</v>
      </c>
      <c r="BN2469" s="1">
        <v>0</v>
      </c>
      <c r="BO2469" s="1">
        <v>0</v>
      </c>
      <c r="BP2469" s="1">
        <v>0</v>
      </c>
      <c r="BQ2469" s="1">
        <v>0</v>
      </c>
      <c r="BR2469" s="1">
        <v>0</v>
      </c>
      <c r="BS2469" s="1" t="s">
        <v>109</v>
      </c>
      <c r="BT2469" s="1">
        <v>2561</v>
      </c>
      <c r="BU2469" s="1" t="s">
        <v>109</v>
      </c>
      <c r="BV2469" s="1"/>
      <c r="BW2469" s="1"/>
      <c r="BX2469" s="1"/>
      <c r="BY2469" s="1"/>
      <c r="BZ2469" s="1">
        <v>0</v>
      </c>
      <c r="CA2469" s="1" t="s">
        <v>109</v>
      </c>
      <c r="CB2469" s="1">
        <v>4</v>
      </c>
      <c r="CC2469" s="1">
        <v>3</v>
      </c>
      <c r="CD2469" s="1" t="s">
        <v>109</v>
      </c>
      <c r="CE2469" s="1">
        <v>3</v>
      </c>
      <c r="CF2469" s="1" t="s">
        <v>109</v>
      </c>
      <c r="CG2469" s="1" t="s">
        <v>109</v>
      </c>
      <c r="CH2469" s="1" t="s">
        <v>109</v>
      </c>
      <c r="CI2469" s="1" t="s">
        <v>109</v>
      </c>
      <c r="CJ2469" s="1" t="s">
        <v>109</v>
      </c>
      <c r="CK2469" s="1"/>
      <c r="CL2469" s="1">
        <v>0</v>
      </c>
      <c r="CM2469" s="1">
        <v>0</v>
      </c>
      <c r="CN2469" s="1">
        <v>0</v>
      </c>
    </row>
    <row r="2470" spans="1:92" ht="14.25" customHeight="1" x14ac:dyDescent="0.15">
      <c r="A2470" s="1" t="s">
        <v>17616</v>
      </c>
      <c r="B2470" s="1" t="s">
        <v>156</v>
      </c>
      <c r="C2470" s="1" t="s">
        <v>157</v>
      </c>
      <c r="D2470" s="1" t="s">
        <v>158</v>
      </c>
      <c r="E2470" s="1" t="s">
        <v>17617</v>
      </c>
      <c r="F2470" s="1" t="s">
        <v>395</v>
      </c>
      <c r="G2470" s="1" t="s">
        <v>4933</v>
      </c>
      <c r="H2470" s="1">
        <v>1</v>
      </c>
      <c r="I2470" s="1" t="s">
        <v>17618</v>
      </c>
      <c r="J2470" s="1"/>
      <c r="K2470" s="1" t="s">
        <v>4918</v>
      </c>
      <c r="L2470" s="1"/>
      <c r="M2470" s="1" t="s">
        <v>211</v>
      </c>
      <c r="N2470" s="1">
        <v>0</v>
      </c>
      <c r="O2470" s="1">
        <v>0</v>
      </c>
      <c r="P2470" s="1" t="s">
        <v>301</v>
      </c>
      <c r="Q2470" s="1" t="s">
        <v>268</v>
      </c>
      <c r="R2470" s="1" t="s">
        <v>17619</v>
      </c>
      <c r="S2470" s="1" t="s">
        <v>17620</v>
      </c>
      <c r="T2470" s="1" t="s">
        <v>17465</v>
      </c>
      <c r="U2470" s="1" t="s">
        <v>17621</v>
      </c>
      <c r="V2470" s="1">
        <v>1</v>
      </c>
      <c r="W2470" s="1">
        <v>1</v>
      </c>
      <c r="X2470" s="1">
        <v>1</v>
      </c>
      <c r="Y2470" s="1">
        <v>0</v>
      </c>
      <c r="Z2470" s="1">
        <v>0</v>
      </c>
      <c r="AA2470" s="1">
        <v>6</v>
      </c>
      <c r="AB2470" s="1">
        <v>6</v>
      </c>
      <c r="AC2470" s="1">
        <v>6</v>
      </c>
      <c r="AD2470" s="1" t="s">
        <v>109</v>
      </c>
      <c r="AE2470" s="1" t="s">
        <v>109</v>
      </c>
      <c r="AF2470" s="1">
        <v>6</v>
      </c>
      <c r="AG2470" s="1" t="s">
        <v>109</v>
      </c>
      <c r="AH2470" s="1" t="s">
        <v>109</v>
      </c>
      <c r="AI2470" s="1" t="s">
        <v>109</v>
      </c>
      <c r="AJ2470" s="1">
        <v>6</v>
      </c>
      <c r="AK2470" s="1" t="s">
        <v>109</v>
      </c>
      <c r="AL2470" s="1">
        <v>6</v>
      </c>
      <c r="AM2470" s="1" t="s">
        <v>109</v>
      </c>
      <c r="AN2470" s="1" t="s">
        <v>109</v>
      </c>
      <c r="AO2470" s="1" t="s">
        <v>109</v>
      </c>
      <c r="AP2470" s="1"/>
      <c r="AQ2470" s="1">
        <v>6</v>
      </c>
      <c r="AR2470" s="1"/>
      <c r="AS2470" s="1"/>
      <c r="AT2470" s="1">
        <v>0</v>
      </c>
      <c r="AU2470" s="1">
        <v>0</v>
      </c>
      <c r="AV2470" s="1">
        <v>0</v>
      </c>
      <c r="AW2470" s="1">
        <v>0</v>
      </c>
      <c r="AX2470" s="1">
        <v>0</v>
      </c>
      <c r="AY2470" s="1">
        <v>0</v>
      </c>
      <c r="AZ2470" s="1">
        <v>0</v>
      </c>
      <c r="BA2470" s="1">
        <v>0</v>
      </c>
      <c r="BB2470" s="1">
        <v>0</v>
      </c>
      <c r="BC2470" s="1">
        <v>0</v>
      </c>
      <c r="BD2470" s="1">
        <v>0</v>
      </c>
      <c r="BE2470" s="1">
        <v>0</v>
      </c>
      <c r="BF2470" s="1">
        <v>0</v>
      </c>
      <c r="BG2470" s="1">
        <v>0</v>
      </c>
      <c r="BH2470" s="1">
        <v>0</v>
      </c>
      <c r="BI2470" s="1">
        <v>0</v>
      </c>
      <c r="BJ2470" s="1">
        <v>0</v>
      </c>
      <c r="BK2470" s="1">
        <v>0</v>
      </c>
      <c r="BL2470" s="1">
        <v>0</v>
      </c>
      <c r="BM2470" s="1">
        <v>1</v>
      </c>
      <c r="BN2470" s="1">
        <v>0</v>
      </c>
      <c r="BO2470" s="1">
        <v>0</v>
      </c>
      <c r="BP2470" s="1">
        <v>0</v>
      </c>
      <c r="BQ2470" s="1">
        <v>0</v>
      </c>
      <c r="BR2470" s="1">
        <v>0</v>
      </c>
      <c r="BS2470" s="1" t="s">
        <v>109</v>
      </c>
      <c r="BT2470" s="1">
        <v>2562</v>
      </c>
      <c r="BU2470" s="1">
        <v>5000</v>
      </c>
      <c r="BV2470" s="1"/>
      <c r="BW2470" s="1"/>
      <c r="BX2470" s="1"/>
      <c r="BY2470" s="1"/>
      <c r="BZ2470" s="1">
        <v>0</v>
      </c>
      <c r="CA2470" s="1" t="s">
        <v>109</v>
      </c>
      <c r="CB2470" s="1" t="s">
        <v>109</v>
      </c>
      <c r="CC2470" s="1">
        <v>6</v>
      </c>
      <c r="CD2470" s="1" t="s">
        <v>109</v>
      </c>
      <c r="CE2470" s="1">
        <v>6</v>
      </c>
      <c r="CF2470" s="1">
        <v>4</v>
      </c>
      <c r="CG2470" s="1" t="s">
        <v>109</v>
      </c>
      <c r="CH2470" s="1" t="s">
        <v>109</v>
      </c>
      <c r="CI2470" s="1" t="s">
        <v>109</v>
      </c>
      <c r="CJ2470" s="1" t="s">
        <v>109</v>
      </c>
      <c r="CK2470" s="1"/>
      <c r="CL2470" s="1">
        <v>0</v>
      </c>
      <c r="CM2470" s="1">
        <v>0</v>
      </c>
      <c r="CN2470" s="1">
        <v>0</v>
      </c>
    </row>
    <row r="2471" spans="1:92" ht="14.25" customHeight="1" x14ac:dyDescent="0.15">
      <c r="A2471" s="1" t="s">
        <v>17622</v>
      </c>
      <c r="B2471" s="1" t="s">
        <v>156</v>
      </c>
      <c r="C2471" s="1" t="s">
        <v>157</v>
      </c>
      <c r="D2471" s="1" t="s">
        <v>158</v>
      </c>
      <c r="E2471" s="1" t="s">
        <v>17623</v>
      </c>
      <c r="F2471" s="1" t="s">
        <v>98</v>
      </c>
      <c r="G2471" s="1" t="s">
        <v>17624</v>
      </c>
      <c r="H2471" s="1">
        <v>0</v>
      </c>
      <c r="I2471" s="1" t="s">
        <v>161</v>
      </c>
      <c r="J2471" s="1"/>
      <c r="K2471" s="1"/>
      <c r="L2471" s="1" t="s">
        <v>17625</v>
      </c>
      <c r="M2471" s="1" t="s">
        <v>144</v>
      </c>
      <c r="N2471" s="1">
        <v>0</v>
      </c>
      <c r="O2471" s="1">
        <v>0</v>
      </c>
      <c r="P2471" s="1" t="s">
        <v>301</v>
      </c>
      <c r="Q2471" s="1" t="s">
        <v>268</v>
      </c>
      <c r="R2471" s="1" t="s">
        <v>17626</v>
      </c>
      <c r="S2471" s="1" t="s">
        <v>17627</v>
      </c>
      <c r="T2471" s="1" t="s">
        <v>17465</v>
      </c>
      <c r="U2471" s="1" t="s">
        <v>17628</v>
      </c>
      <c r="V2471" s="1">
        <v>1</v>
      </c>
      <c r="W2471" s="1">
        <v>1</v>
      </c>
      <c r="X2471" s="1">
        <v>1</v>
      </c>
      <c r="Y2471" s="1">
        <v>0</v>
      </c>
      <c r="Z2471" s="1">
        <v>0</v>
      </c>
      <c r="AA2471" s="1">
        <v>5</v>
      </c>
      <c r="AB2471" s="1">
        <v>5</v>
      </c>
      <c r="AC2471" s="1">
        <v>5</v>
      </c>
      <c r="AD2471" s="1">
        <v>5</v>
      </c>
      <c r="AE2471" s="1" t="s">
        <v>109</v>
      </c>
      <c r="AF2471" s="1">
        <v>6</v>
      </c>
      <c r="AG2471" s="1" t="s">
        <v>109</v>
      </c>
      <c r="AH2471" s="1" t="s">
        <v>109</v>
      </c>
      <c r="AI2471" s="1" t="s">
        <v>109</v>
      </c>
      <c r="AJ2471" s="1">
        <v>6</v>
      </c>
      <c r="AK2471" s="1" t="s">
        <v>109</v>
      </c>
      <c r="AL2471" s="1">
        <v>5</v>
      </c>
      <c r="AM2471" s="1" t="s">
        <v>109</v>
      </c>
      <c r="AN2471" s="1" t="s">
        <v>109</v>
      </c>
      <c r="AO2471" s="1" t="s">
        <v>109</v>
      </c>
      <c r="AP2471" s="1"/>
      <c r="AQ2471" s="1">
        <v>5</v>
      </c>
      <c r="AR2471" s="1"/>
      <c r="AS2471" s="1"/>
      <c r="AT2471" s="1">
        <v>0</v>
      </c>
      <c r="AU2471" s="1">
        <v>0</v>
      </c>
      <c r="AV2471" s="1">
        <v>0</v>
      </c>
      <c r="AW2471" s="1">
        <v>0</v>
      </c>
      <c r="AX2471" s="1">
        <v>0</v>
      </c>
      <c r="AY2471" s="1">
        <v>0</v>
      </c>
      <c r="AZ2471" s="1">
        <v>0</v>
      </c>
      <c r="BA2471" s="1">
        <v>0</v>
      </c>
      <c r="BB2471" s="1">
        <v>0</v>
      </c>
      <c r="BC2471" s="1">
        <v>0</v>
      </c>
      <c r="BD2471" s="1">
        <v>0</v>
      </c>
      <c r="BE2471" s="1">
        <v>0</v>
      </c>
      <c r="BF2471" s="1">
        <v>0</v>
      </c>
      <c r="BG2471" s="1">
        <v>0</v>
      </c>
      <c r="BH2471" s="1">
        <v>0</v>
      </c>
      <c r="BI2471" s="1">
        <v>0</v>
      </c>
      <c r="BJ2471" s="1">
        <v>0</v>
      </c>
      <c r="BK2471" s="1">
        <v>0</v>
      </c>
      <c r="BL2471" s="1">
        <v>0</v>
      </c>
      <c r="BM2471" s="1">
        <v>1</v>
      </c>
      <c r="BN2471" s="1">
        <v>0</v>
      </c>
      <c r="BO2471" s="1">
        <v>0</v>
      </c>
      <c r="BP2471" s="1">
        <v>0</v>
      </c>
      <c r="BQ2471" s="1">
        <v>0</v>
      </c>
      <c r="BR2471" s="1">
        <v>0</v>
      </c>
      <c r="BS2471" s="1" t="s">
        <v>109</v>
      </c>
      <c r="BT2471" s="1">
        <v>2563</v>
      </c>
      <c r="BU2471" s="1" t="s">
        <v>109</v>
      </c>
      <c r="BV2471" s="1"/>
      <c r="BW2471" s="1"/>
      <c r="BX2471" s="1"/>
      <c r="BY2471" s="1"/>
      <c r="BZ2471" s="1">
        <v>0</v>
      </c>
      <c r="CA2471" s="1" t="s">
        <v>109</v>
      </c>
      <c r="CB2471" s="1">
        <v>5</v>
      </c>
      <c r="CC2471" s="1">
        <v>6</v>
      </c>
      <c r="CD2471" s="1" t="s">
        <v>109</v>
      </c>
      <c r="CE2471" s="1" t="s">
        <v>109</v>
      </c>
      <c r="CF2471" s="1" t="s">
        <v>109</v>
      </c>
      <c r="CG2471" s="1" t="s">
        <v>109</v>
      </c>
      <c r="CH2471" s="1" t="s">
        <v>109</v>
      </c>
      <c r="CI2471" s="1" t="s">
        <v>109</v>
      </c>
      <c r="CJ2471" s="1">
        <v>5</v>
      </c>
      <c r="CK2471" s="1"/>
      <c r="CL2471" s="1">
        <v>0</v>
      </c>
      <c r="CM2471" s="1">
        <v>0</v>
      </c>
      <c r="CN2471" s="1">
        <v>0</v>
      </c>
    </row>
    <row r="2472" spans="1:92" ht="14.25" customHeight="1" x14ac:dyDescent="0.15">
      <c r="A2472" s="1" t="s">
        <v>17629</v>
      </c>
      <c r="B2472" s="1" t="s">
        <v>156</v>
      </c>
      <c r="C2472" s="1" t="s">
        <v>157</v>
      </c>
      <c r="D2472" s="1" t="s">
        <v>16043</v>
      </c>
      <c r="E2472" s="1" t="s">
        <v>17630</v>
      </c>
      <c r="F2472" s="1" t="s">
        <v>98</v>
      </c>
      <c r="G2472" s="1" t="s">
        <v>17631</v>
      </c>
      <c r="H2472" s="1">
        <v>0</v>
      </c>
      <c r="I2472" s="1" t="s">
        <v>100</v>
      </c>
      <c r="J2472" s="1"/>
      <c r="K2472" s="1"/>
      <c r="L2472" s="1" t="s">
        <v>1391</v>
      </c>
      <c r="M2472" s="1" t="s">
        <v>289</v>
      </c>
      <c r="N2472" s="1">
        <v>0</v>
      </c>
      <c r="O2472" s="1">
        <v>0</v>
      </c>
      <c r="P2472" s="1" t="s">
        <v>301</v>
      </c>
      <c r="Q2472" s="1" t="s">
        <v>268</v>
      </c>
      <c r="R2472" s="1" t="s">
        <v>17632</v>
      </c>
      <c r="S2472" s="1" t="s">
        <v>17633</v>
      </c>
      <c r="T2472" s="1" t="s">
        <v>17634</v>
      </c>
      <c r="U2472" s="1" t="s">
        <v>17635</v>
      </c>
      <c r="V2472" s="1">
        <v>1</v>
      </c>
      <c r="W2472" s="1">
        <v>1</v>
      </c>
      <c r="X2472" s="1">
        <v>1</v>
      </c>
      <c r="Y2472" s="1">
        <v>0</v>
      </c>
      <c r="Z2472" s="1">
        <v>0</v>
      </c>
      <c r="AA2472" s="1">
        <v>5</v>
      </c>
      <c r="AB2472" s="1">
        <v>5</v>
      </c>
      <c r="AC2472" s="1" t="s">
        <v>109</v>
      </c>
      <c r="AD2472" s="1" t="s">
        <v>109</v>
      </c>
      <c r="AE2472" s="1" t="s">
        <v>109</v>
      </c>
      <c r="AF2472" s="1">
        <v>4</v>
      </c>
      <c r="AG2472" s="1" t="s">
        <v>109</v>
      </c>
      <c r="AH2472" s="1" t="s">
        <v>109</v>
      </c>
      <c r="AI2472" s="1" t="s">
        <v>109</v>
      </c>
      <c r="AJ2472" s="1">
        <v>5</v>
      </c>
      <c r="AK2472" s="1" t="s">
        <v>109</v>
      </c>
      <c r="AL2472" s="1" t="s">
        <v>109</v>
      </c>
      <c r="AM2472" s="1" t="s">
        <v>109</v>
      </c>
      <c r="AN2472" s="1" t="s">
        <v>109</v>
      </c>
      <c r="AO2472" s="1" t="s">
        <v>109</v>
      </c>
      <c r="AP2472" s="1"/>
      <c r="AQ2472" s="1">
        <v>5</v>
      </c>
      <c r="AR2472" s="1"/>
      <c r="AS2472" s="1"/>
      <c r="AT2472" s="1">
        <v>0</v>
      </c>
      <c r="AU2472" s="1">
        <v>0</v>
      </c>
      <c r="AV2472" s="1">
        <v>0</v>
      </c>
      <c r="AW2472" s="1">
        <v>0</v>
      </c>
      <c r="AX2472" s="1">
        <v>0</v>
      </c>
      <c r="AY2472" s="1">
        <v>0</v>
      </c>
      <c r="AZ2472" s="1">
        <v>0</v>
      </c>
      <c r="BA2472" s="1">
        <v>0</v>
      </c>
      <c r="BB2472" s="1">
        <v>0</v>
      </c>
      <c r="BC2472" s="1">
        <v>0</v>
      </c>
      <c r="BD2472" s="1">
        <v>1</v>
      </c>
      <c r="BE2472" s="1">
        <v>0</v>
      </c>
      <c r="BF2472" s="1">
        <v>0</v>
      </c>
      <c r="BG2472" s="1">
        <v>0</v>
      </c>
      <c r="BH2472" s="1">
        <v>0</v>
      </c>
      <c r="BI2472" s="1">
        <v>0</v>
      </c>
      <c r="BJ2472" s="1">
        <v>0</v>
      </c>
      <c r="BK2472" s="1">
        <v>0</v>
      </c>
      <c r="BL2472" s="1">
        <v>0</v>
      </c>
      <c r="BM2472" s="1">
        <v>1</v>
      </c>
      <c r="BN2472" s="1">
        <v>0</v>
      </c>
      <c r="BO2472" s="1">
        <v>0</v>
      </c>
      <c r="BP2472" s="1">
        <v>0</v>
      </c>
      <c r="BQ2472" s="1">
        <v>0</v>
      </c>
      <c r="BR2472" s="1">
        <v>0</v>
      </c>
      <c r="BS2472" s="1" t="s">
        <v>109</v>
      </c>
      <c r="BT2472" s="1">
        <v>2564</v>
      </c>
      <c r="BU2472" s="1" t="s">
        <v>109</v>
      </c>
      <c r="BV2472" s="1"/>
      <c r="BW2472" s="1"/>
      <c r="BX2472" s="1"/>
      <c r="BY2472" s="1"/>
      <c r="BZ2472" s="1">
        <v>0</v>
      </c>
      <c r="CA2472" s="1" t="s">
        <v>109</v>
      </c>
      <c r="CB2472" s="1" t="s">
        <v>109</v>
      </c>
      <c r="CC2472" s="1">
        <v>5</v>
      </c>
      <c r="CD2472" s="1" t="s">
        <v>109</v>
      </c>
      <c r="CE2472" s="1">
        <v>4</v>
      </c>
      <c r="CF2472" s="1" t="s">
        <v>109</v>
      </c>
      <c r="CG2472" s="1" t="s">
        <v>109</v>
      </c>
      <c r="CH2472" s="1" t="s">
        <v>109</v>
      </c>
      <c r="CI2472" s="1" t="s">
        <v>109</v>
      </c>
      <c r="CJ2472" s="1" t="s">
        <v>109</v>
      </c>
      <c r="CK2472" s="1"/>
      <c r="CL2472" s="1">
        <v>0</v>
      </c>
      <c r="CM2472" s="1">
        <v>0</v>
      </c>
      <c r="CN2472" s="1">
        <v>0</v>
      </c>
    </row>
    <row r="2473" spans="1:92" ht="14.25" customHeight="1" x14ac:dyDescent="0.15">
      <c r="A2473" s="1" t="s">
        <v>17636</v>
      </c>
      <c r="B2473" s="1" t="s">
        <v>674</v>
      </c>
      <c r="C2473" s="1" t="s">
        <v>1715</v>
      </c>
      <c r="D2473" s="1" t="s">
        <v>16043</v>
      </c>
      <c r="E2473" s="1" t="s">
        <v>17637</v>
      </c>
      <c r="F2473" s="1" t="s">
        <v>98</v>
      </c>
      <c r="G2473" s="1" t="s">
        <v>141</v>
      </c>
      <c r="H2473" s="1">
        <v>0</v>
      </c>
      <c r="I2473" s="1" t="s">
        <v>142</v>
      </c>
      <c r="J2473" s="1"/>
      <c r="K2473" s="1"/>
      <c r="L2473" s="1" t="s">
        <v>716</v>
      </c>
      <c r="M2473" s="1" t="s">
        <v>6625</v>
      </c>
      <c r="N2473" s="1">
        <v>1</v>
      </c>
      <c r="O2473" s="1">
        <v>0</v>
      </c>
      <c r="P2473" s="1" t="s">
        <v>2304</v>
      </c>
      <c r="Q2473" s="1" t="s">
        <v>268</v>
      </c>
      <c r="R2473" s="1" t="s">
        <v>17638</v>
      </c>
      <c r="S2473" s="1" t="s">
        <v>17639</v>
      </c>
      <c r="T2473" s="1" t="s">
        <v>17634</v>
      </c>
      <c r="U2473" s="1" t="s">
        <v>17640</v>
      </c>
      <c r="V2473" s="1">
        <v>1</v>
      </c>
      <c r="W2473" s="1">
        <v>1</v>
      </c>
      <c r="X2473" s="1">
        <v>0</v>
      </c>
      <c r="Y2473" s="1">
        <v>0</v>
      </c>
      <c r="Z2473" s="1">
        <v>0</v>
      </c>
      <c r="AA2473" s="1">
        <v>2</v>
      </c>
      <c r="AB2473" s="1">
        <v>2</v>
      </c>
      <c r="AC2473" s="1" t="s">
        <v>109</v>
      </c>
      <c r="AD2473" s="1" t="s">
        <v>109</v>
      </c>
      <c r="AE2473" s="1" t="s">
        <v>109</v>
      </c>
      <c r="AF2473" s="1">
        <v>1</v>
      </c>
      <c r="AG2473" s="1" t="s">
        <v>109</v>
      </c>
      <c r="AH2473" s="1" t="s">
        <v>109</v>
      </c>
      <c r="AI2473" s="1" t="s">
        <v>109</v>
      </c>
      <c r="AJ2473" s="1" t="s">
        <v>109</v>
      </c>
      <c r="AK2473" s="1" t="s">
        <v>109</v>
      </c>
      <c r="AL2473" s="1" t="s">
        <v>109</v>
      </c>
      <c r="AM2473" s="1" t="s">
        <v>109</v>
      </c>
      <c r="AN2473" s="1">
        <v>2</v>
      </c>
      <c r="AO2473" s="1" t="s">
        <v>109</v>
      </c>
      <c r="AP2473" s="1"/>
      <c r="AQ2473" s="1">
        <v>2</v>
      </c>
      <c r="AR2473" s="1"/>
      <c r="AS2473" s="1"/>
      <c r="AT2473" s="1">
        <v>0</v>
      </c>
      <c r="AU2473" s="1">
        <v>0</v>
      </c>
      <c r="AV2473" s="1">
        <v>0</v>
      </c>
      <c r="AW2473" s="1">
        <v>0</v>
      </c>
      <c r="AX2473" s="1">
        <v>0</v>
      </c>
      <c r="AY2473" s="1">
        <v>0</v>
      </c>
      <c r="AZ2473" s="1">
        <v>0</v>
      </c>
      <c r="BA2473" s="1">
        <v>0</v>
      </c>
      <c r="BB2473" s="1">
        <v>0</v>
      </c>
      <c r="BC2473" s="1">
        <v>0</v>
      </c>
      <c r="BD2473" s="1">
        <v>1</v>
      </c>
      <c r="BE2473" s="1">
        <v>0</v>
      </c>
      <c r="BF2473" s="1">
        <v>0</v>
      </c>
      <c r="BG2473" s="1">
        <v>0</v>
      </c>
      <c r="BH2473" s="1">
        <v>0</v>
      </c>
      <c r="BI2473" s="1">
        <v>0</v>
      </c>
      <c r="BJ2473" s="1">
        <v>0</v>
      </c>
      <c r="BK2473" s="1">
        <v>0</v>
      </c>
      <c r="BL2473" s="1">
        <v>0</v>
      </c>
      <c r="BM2473" s="1">
        <v>1</v>
      </c>
      <c r="BN2473" s="1">
        <v>0</v>
      </c>
      <c r="BO2473" s="1">
        <v>0</v>
      </c>
      <c r="BP2473" s="1">
        <v>0</v>
      </c>
      <c r="BQ2473" s="1">
        <v>0</v>
      </c>
      <c r="BR2473" s="1">
        <v>0</v>
      </c>
      <c r="BS2473" s="1" t="s">
        <v>109</v>
      </c>
      <c r="BT2473" s="1">
        <v>2565</v>
      </c>
      <c r="BU2473" s="1" t="s">
        <v>109</v>
      </c>
      <c r="BV2473" s="1"/>
      <c r="BW2473" s="1"/>
      <c r="BX2473" s="1"/>
      <c r="BY2473" s="1"/>
      <c r="BZ2473" s="1">
        <v>0</v>
      </c>
      <c r="CA2473" s="1" t="s">
        <v>109</v>
      </c>
      <c r="CB2473" s="1" t="s">
        <v>109</v>
      </c>
      <c r="CC2473" s="1">
        <v>2</v>
      </c>
      <c r="CD2473" s="1">
        <v>1</v>
      </c>
      <c r="CE2473" s="1">
        <v>1</v>
      </c>
      <c r="CF2473" s="1">
        <v>2</v>
      </c>
      <c r="CG2473" s="1" t="s">
        <v>109</v>
      </c>
      <c r="CH2473" s="1" t="s">
        <v>109</v>
      </c>
      <c r="CI2473" s="1" t="s">
        <v>109</v>
      </c>
      <c r="CJ2473" s="1" t="s">
        <v>109</v>
      </c>
      <c r="CK2473" s="1"/>
      <c r="CL2473" s="1">
        <v>0</v>
      </c>
      <c r="CM2473" s="1">
        <v>0</v>
      </c>
      <c r="CN2473" s="1">
        <v>0</v>
      </c>
    </row>
    <row r="2474" spans="1:92" ht="14.25" customHeight="1" x14ac:dyDescent="0.15">
      <c r="A2474" s="1" t="s">
        <v>17641</v>
      </c>
      <c r="B2474" s="1" t="s">
        <v>95</v>
      </c>
      <c r="C2474" s="1" t="s">
        <v>1179</v>
      </c>
      <c r="D2474" s="1"/>
      <c r="E2474" s="1" t="s">
        <v>17642</v>
      </c>
      <c r="F2474" s="1" t="s">
        <v>1123</v>
      </c>
      <c r="G2474" s="1" t="s">
        <v>17643</v>
      </c>
      <c r="H2474" s="1">
        <v>0</v>
      </c>
      <c r="I2474" s="1" t="s">
        <v>142</v>
      </c>
      <c r="J2474" s="1"/>
      <c r="K2474" s="1" t="s">
        <v>17644</v>
      </c>
      <c r="L2474" s="1"/>
      <c r="M2474" s="1" t="s">
        <v>280</v>
      </c>
      <c r="N2474" s="1">
        <v>0</v>
      </c>
      <c r="O2474" s="1">
        <v>0</v>
      </c>
      <c r="P2474" s="1" t="s">
        <v>103</v>
      </c>
      <c r="Q2474" s="1" t="s">
        <v>104</v>
      </c>
      <c r="R2474" s="1" t="s">
        <v>17645</v>
      </c>
      <c r="S2474" s="1" t="s">
        <v>17646</v>
      </c>
      <c r="T2474" s="1" t="s">
        <v>17634</v>
      </c>
      <c r="U2474" s="1" t="s">
        <v>17647</v>
      </c>
      <c r="V2474" s="1">
        <v>1</v>
      </c>
      <c r="W2474" s="1">
        <v>1</v>
      </c>
      <c r="X2474" s="1">
        <v>1</v>
      </c>
      <c r="Y2474" s="1">
        <v>0</v>
      </c>
      <c r="Z2474" s="1">
        <v>0</v>
      </c>
      <c r="AA2474" s="1">
        <v>3</v>
      </c>
      <c r="AB2474" s="1">
        <v>3</v>
      </c>
      <c r="AC2474" s="1" t="s">
        <v>109</v>
      </c>
      <c r="AD2474" s="1">
        <v>3</v>
      </c>
      <c r="AE2474" s="1">
        <v>3</v>
      </c>
      <c r="AF2474" s="1" t="s">
        <v>109</v>
      </c>
      <c r="AG2474" s="1" t="s">
        <v>109</v>
      </c>
      <c r="AH2474" s="1" t="s">
        <v>109</v>
      </c>
      <c r="AI2474" s="1" t="s">
        <v>109</v>
      </c>
      <c r="AJ2474" s="1" t="s">
        <v>109</v>
      </c>
      <c r="AK2474" s="1" t="s">
        <v>109</v>
      </c>
      <c r="AL2474" s="1" t="s">
        <v>109</v>
      </c>
      <c r="AM2474" s="1" t="s">
        <v>109</v>
      </c>
      <c r="AN2474" s="1" t="s">
        <v>109</v>
      </c>
      <c r="AO2474" s="1" t="s">
        <v>109</v>
      </c>
      <c r="AP2474" s="1"/>
      <c r="AQ2474" s="1">
        <v>3</v>
      </c>
      <c r="AR2474" s="1"/>
      <c r="AS2474" s="1"/>
      <c r="AT2474" s="1">
        <v>0</v>
      </c>
      <c r="AU2474" s="1">
        <v>0</v>
      </c>
      <c r="AV2474" s="1">
        <v>0</v>
      </c>
      <c r="AW2474" s="1">
        <v>0</v>
      </c>
      <c r="AX2474" s="1">
        <v>0</v>
      </c>
      <c r="AY2474" s="1">
        <v>0</v>
      </c>
      <c r="AZ2474" s="1">
        <v>0</v>
      </c>
      <c r="BA2474" s="1">
        <v>0</v>
      </c>
      <c r="BB2474" s="1">
        <v>0</v>
      </c>
      <c r="BC2474" s="1">
        <v>0</v>
      </c>
      <c r="BD2474" s="1">
        <v>0</v>
      </c>
      <c r="BE2474" s="1">
        <v>0</v>
      </c>
      <c r="BF2474" s="1">
        <v>0</v>
      </c>
      <c r="BG2474" s="1">
        <v>0</v>
      </c>
      <c r="BH2474" s="1">
        <v>0</v>
      </c>
      <c r="BI2474" s="1">
        <v>0</v>
      </c>
      <c r="BJ2474" s="1">
        <v>0</v>
      </c>
      <c r="BK2474" s="1">
        <v>0</v>
      </c>
      <c r="BL2474" s="1">
        <v>0</v>
      </c>
      <c r="BM2474" s="1">
        <v>0</v>
      </c>
      <c r="BN2474" s="1">
        <v>0</v>
      </c>
      <c r="BO2474" s="1">
        <v>0</v>
      </c>
      <c r="BP2474" s="1">
        <v>0</v>
      </c>
      <c r="BQ2474" s="1">
        <v>0</v>
      </c>
      <c r="BR2474" s="1">
        <v>0</v>
      </c>
      <c r="BS2474" s="1" t="s">
        <v>109</v>
      </c>
      <c r="BT2474" s="1">
        <v>2567</v>
      </c>
      <c r="BU2474" s="1" t="s">
        <v>109</v>
      </c>
      <c r="BV2474" s="1"/>
      <c r="BW2474" s="1"/>
      <c r="BX2474" s="1"/>
      <c r="BY2474" s="1"/>
      <c r="BZ2474" s="1">
        <v>0</v>
      </c>
      <c r="CA2474" s="1" t="s">
        <v>109</v>
      </c>
      <c r="CB2474" s="1" t="s">
        <v>109</v>
      </c>
      <c r="CC2474" s="1">
        <v>3</v>
      </c>
      <c r="CD2474" s="1" t="s">
        <v>109</v>
      </c>
      <c r="CE2474" s="1" t="s">
        <v>109</v>
      </c>
      <c r="CF2474" s="1" t="s">
        <v>109</v>
      </c>
      <c r="CG2474" s="1" t="s">
        <v>109</v>
      </c>
      <c r="CH2474" s="1" t="s">
        <v>109</v>
      </c>
      <c r="CI2474" s="1" t="s">
        <v>109</v>
      </c>
      <c r="CJ2474" s="1">
        <v>3</v>
      </c>
      <c r="CK2474" s="1"/>
      <c r="CL2474" s="1">
        <v>0</v>
      </c>
      <c r="CM2474" s="1">
        <v>0</v>
      </c>
      <c r="CN2474" s="1">
        <v>0</v>
      </c>
    </row>
    <row r="2475" spans="1:92" ht="14.25" customHeight="1" x14ac:dyDescent="0.15">
      <c r="A2475" s="1" t="s">
        <v>17648</v>
      </c>
      <c r="B2475" s="1" t="s">
        <v>254</v>
      </c>
      <c r="C2475" s="1"/>
      <c r="D2475" s="1"/>
      <c r="E2475" s="1" t="s">
        <v>17649</v>
      </c>
      <c r="F2475" s="1" t="s">
        <v>277</v>
      </c>
      <c r="G2475" s="1" t="s">
        <v>17650</v>
      </c>
      <c r="H2475" s="1">
        <v>1</v>
      </c>
      <c r="I2475" s="1" t="s">
        <v>142</v>
      </c>
      <c r="J2475" s="1"/>
      <c r="K2475" s="1"/>
      <c r="L2475" s="1" t="s">
        <v>17651</v>
      </c>
      <c r="M2475" s="1" t="s">
        <v>289</v>
      </c>
      <c r="N2475" s="1">
        <v>0</v>
      </c>
      <c r="O2475" s="1">
        <v>0</v>
      </c>
      <c r="P2475" s="1"/>
      <c r="Q2475" s="1"/>
      <c r="R2475" s="1" t="s">
        <v>17652</v>
      </c>
      <c r="S2475" s="1" t="s">
        <v>17653</v>
      </c>
      <c r="T2475" s="1" t="s">
        <v>17634</v>
      </c>
      <c r="U2475" s="1" t="s">
        <v>17654</v>
      </c>
      <c r="V2475" s="1">
        <v>1</v>
      </c>
      <c r="W2475" s="1">
        <v>1</v>
      </c>
      <c r="X2475" s="1">
        <v>1</v>
      </c>
      <c r="Y2475" s="1">
        <v>0</v>
      </c>
      <c r="Z2475" s="1">
        <v>0</v>
      </c>
      <c r="AA2475" s="1">
        <v>5</v>
      </c>
      <c r="AB2475" s="1">
        <v>5</v>
      </c>
      <c r="AC2475" s="1">
        <v>6</v>
      </c>
      <c r="AD2475" s="1" t="s">
        <v>109</v>
      </c>
      <c r="AE2475" s="1" t="s">
        <v>109</v>
      </c>
      <c r="AF2475" s="1">
        <v>5</v>
      </c>
      <c r="AG2475" s="1" t="s">
        <v>109</v>
      </c>
      <c r="AH2475" s="1" t="s">
        <v>109</v>
      </c>
      <c r="AI2475" s="1" t="s">
        <v>109</v>
      </c>
      <c r="AJ2475" s="1" t="s">
        <v>109</v>
      </c>
      <c r="AK2475" s="1">
        <v>6</v>
      </c>
      <c r="AL2475" s="1">
        <v>6</v>
      </c>
      <c r="AM2475" s="1" t="s">
        <v>109</v>
      </c>
      <c r="AN2475" s="1" t="s">
        <v>109</v>
      </c>
      <c r="AO2475" s="1" t="s">
        <v>109</v>
      </c>
      <c r="AP2475" s="1"/>
      <c r="AQ2475" s="1">
        <v>5</v>
      </c>
      <c r="AR2475" s="1"/>
      <c r="AS2475" s="1"/>
      <c r="AT2475" s="1">
        <v>0</v>
      </c>
      <c r="AU2475" s="1">
        <v>0</v>
      </c>
      <c r="AV2475" s="1">
        <v>0</v>
      </c>
      <c r="AW2475" s="1">
        <v>0</v>
      </c>
      <c r="AX2475" s="1">
        <v>0</v>
      </c>
      <c r="AY2475" s="1">
        <v>0</v>
      </c>
      <c r="AZ2475" s="1">
        <v>0</v>
      </c>
      <c r="BA2475" s="1">
        <v>0</v>
      </c>
      <c r="BB2475" s="1">
        <v>0</v>
      </c>
      <c r="BC2475" s="1">
        <v>0</v>
      </c>
      <c r="BD2475" s="1">
        <v>0</v>
      </c>
      <c r="BE2475" s="1">
        <v>0</v>
      </c>
      <c r="BF2475" s="1">
        <v>0</v>
      </c>
      <c r="BG2475" s="1">
        <v>0</v>
      </c>
      <c r="BH2475" s="1">
        <v>0</v>
      </c>
      <c r="BI2475" s="1">
        <v>0</v>
      </c>
      <c r="BJ2475" s="1">
        <v>0</v>
      </c>
      <c r="BK2475" s="1">
        <v>0</v>
      </c>
      <c r="BL2475" s="1">
        <v>0</v>
      </c>
      <c r="BM2475" s="1">
        <v>0</v>
      </c>
      <c r="BN2475" s="1">
        <v>0</v>
      </c>
      <c r="BO2475" s="1">
        <v>0</v>
      </c>
      <c r="BP2475" s="1">
        <v>0</v>
      </c>
      <c r="BQ2475" s="1">
        <v>0</v>
      </c>
      <c r="BR2475" s="1">
        <v>0</v>
      </c>
      <c r="BS2475" s="1" t="s">
        <v>109</v>
      </c>
      <c r="BT2475" s="1">
        <v>2568</v>
      </c>
      <c r="BU2475" s="1">
        <v>250</v>
      </c>
      <c r="BV2475" s="1"/>
      <c r="BW2475" s="1"/>
      <c r="BX2475" s="1"/>
      <c r="BY2475" s="1"/>
      <c r="BZ2475" s="1">
        <v>0</v>
      </c>
      <c r="CA2475" s="1" t="s">
        <v>109</v>
      </c>
      <c r="CB2475" s="1" t="s">
        <v>109</v>
      </c>
      <c r="CC2475" s="1">
        <v>6</v>
      </c>
      <c r="CD2475" s="1">
        <v>4</v>
      </c>
      <c r="CE2475" s="1" t="s">
        <v>109</v>
      </c>
      <c r="CF2475" s="1">
        <v>4</v>
      </c>
      <c r="CG2475" s="1">
        <v>6</v>
      </c>
      <c r="CH2475" s="1" t="s">
        <v>109</v>
      </c>
      <c r="CI2475" s="1" t="s">
        <v>109</v>
      </c>
      <c r="CJ2475" s="1" t="s">
        <v>109</v>
      </c>
      <c r="CK2475" s="1"/>
      <c r="CL2475" s="1">
        <v>0</v>
      </c>
      <c r="CM2475" s="1">
        <v>0</v>
      </c>
      <c r="CN2475" s="1">
        <v>0</v>
      </c>
    </row>
    <row r="2476" spans="1:92" ht="14.25" customHeight="1" x14ac:dyDescent="0.15">
      <c r="A2476" s="1" t="s">
        <v>17655</v>
      </c>
      <c r="B2476" s="1" t="s">
        <v>189</v>
      </c>
      <c r="C2476" s="1"/>
      <c r="D2476" s="1" t="s">
        <v>14697</v>
      </c>
      <c r="E2476" s="1" t="s">
        <v>17656</v>
      </c>
      <c r="F2476" s="1" t="s">
        <v>98</v>
      </c>
      <c r="G2476" s="1" t="s">
        <v>17657</v>
      </c>
      <c r="H2476" s="1">
        <v>0</v>
      </c>
      <c r="I2476" s="1" t="s">
        <v>235</v>
      </c>
      <c r="J2476" s="1"/>
      <c r="K2476" s="1"/>
      <c r="L2476" s="1" t="s">
        <v>236</v>
      </c>
      <c r="M2476" s="1" t="s">
        <v>144</v>
      </c>
      <c r="N2476" s="1">
        <v>0</v>
      </c>
      <c r="O2476" s="1">
        <v>0</v>
      </c>
      <c r="P2476" s="1"/>
      <c r="Q2476" s="1"/>
      <c r="R2476" s="1" t="s">
        <v>17658</v>
      </c>
      <c r="S2476" s="1" t="s">
        <v>17659</v>
      </c>
      <c r="T2476" s="1" t="s">
        <v>17634</v>
      </c>
      <c r="U2476" s="1" t="s">
        <v>17660</v>
      </c>
      <c r="V2476" s="1">
        <v>1</v>
      </c>
      <c r="W2476" s="1">
        <v>1</v>
      </c>
      <c r="X2476" s="1">
        <v>1</v>
      </c>
      <c r="Y2476" s="1">
        <v>0</v>
      </c>
      <c r="Z2476" s="1">
        <v>0</v>
      </c>
      <c r="AA2476" s="1">
        <v>3</v>
      </c>
      <c r="AB2476" s="1">
        <v>3</v>
      </c>
      <c r="AC2476" s="1">
        <v>3</v>
      </c>
      <c r="AD2476" s="1">
        <v>2</v>
      </c>
      <c r="AE2476" s="1" t="s">
        <v>109</v>
      </c>
      <c r="AF2476" s="1" t="s">
        <v>109</v>
      </c>
      <c r="AG2476" s="1" t="s">
        <v>109</v>
      </c>
      <c r="AH2476" s="1">
        <v>2</v>
      </c>
      <c r="AI2476" s="1" t="s">
        <v>109</v>
      </c>
      <c r="AJ2476" s="1" t="s">
        <v>109</v>
      </c>
      <c r="AK2476" s="1" t="s">
        <v>109</v>
      </c>
      <c r="AL2476" s="1">
        <v>3</v>
      </c>
      <c r="AM2476" s="1" t="s">
        <v>109</v>
      </c>
      <c r="AN2476" s="1" t="s">
        <v>109</v>
      </c>
      <c r="AO2476" s="1" t="s">
        <v>109</v>
      </c>
      <c r="AP2476" s="1"/>
      <c r="AQ2476" s="1">
        <v>3</v>
      </c>
      <c r="AR2476" s="1"/>
      <c r="AS2476" s="1"/>
      <c r="AT2476" s="1">
        <v>0</v>
      </c>
      <c r="AU2476" s="1">
        <v>0</v>
      </c>
      <c r="AV2476" s="1">
        <v>0</v>
      </c>
      <c r="AW2476" s="1">
        <v>0</v>
      </c>
      <c r="AX2476" s="1">
        <v>0</v>
      </c>
      <c r="AY2476" s="1">
        <v>0</v>
      </c>
      <c r="AZ2476" s="1">
        <v>0</v>
      </c>
      <c r="BA2476" s="1">
        <v>0</v>
      </c>
      <c r="BB2476" s="1">
        <v>0</v>
      </c>
      <c r="BC2476" s="1">
        <v>0</v>
      </c>
      <c r="BD2476" s="1">
        <v>0</v>
      </c>
      <c r="BE2476" s="1">
        <v>0</v>
      </c>
      <c r="BF2476" s="1">
        <v>0</v>
      </c>
      <c r="BG2476" s="1">
        <v>0</v>
      </c>
      <c r="BH2476" s="1">
        <v>0</v>
      </c>
      <c r="BI2476" s="1">
        <v>0</v>
      </c>
      <c r="BJ2476" s="1">
        <v>0</v>
      </c>
      <c r="BK2476" s="1">
        <v>0</v>
      </c>
      <c r="BL2476" s="1">
        <v>0</v>
      </c>
      <c r="BM2476" s="1">
        <v>0</v>
      </c>
      <c r="BN2476" s="1">
        <v>0</v>
      </c>
      <c r="BO2476" s="1">
        <v>1</v>
      </c>
      <c r="BP2476" s="1">
        <v>0</v>
      </c>
      <c r="BQ2476" s="1">
        <v>0</v>
      </c>
      <c r="BR2476" s="1">
        <v>0</v>
      </c>
      <c r="BS2476" s="1" t="s">
        <v>109</v>
      </c>
      <c r="BT2476" s="1">
        <v>2569</v>
      </c>
      <c r="BU2476" s="1" t="s">
        <v>109</v>
      </c>
      <c r="BV2476" s="1"/>
      <c r="BW2476" s="1"/>
      <c r="BX2476" s="1"/>
      <c r="BY2476" s="1"/>
      <c r="BZ2476" s="1">
        <v>0</v>
      </c>
      <c r="CA2476" s="1" t="s">
        <v>109</v>
      </c>
      <c r="CB2476" s="1" t="s">
        <v>109</v>
      </c>
      <c r="CC2476" s="1">
        <v>3</v>
      </c>
      <c r="CD2476" s="1" t="s">
        <v>109</v>
      </c>
      <c r="CE2476" s="1" t="s">
        <v>109</v>
      </c>
      <c r="CF2476" s="1">
        <v>3</v>
      </c>
      <c r="CG2476" s="1" t="s">
        <v>109</v>
      </c>
      <c r="CH2476" s="1" t="s">
        <v>109</v>
      </c>
      <c r="CI2476" s="1" t="s">
        <v>109</v>
      </c>
      <c r="CJ2476" s="1">
        <v>2</v>
      </c>
      <c r="CK2476" s="1"/>
      <c r="CL2476" s="1">
        <v>0</v>
      </c>
      <c r="CM2476" s="1">
        <v>0</v>
      </c>
      <c r="CN2476" s="1">
        <v>0</v>
      </c>
    </row>
    <row r="2477" spans="1:92" ht="14.25" customHeight="1" x14ac:dyDescent="0.15">
      <c r="A2477" s="1" t="s">
        <v>17661</v>
      </c>
      <c r="B2477" s="1" t="s">
        <v>242</v>
      </c>
      <c r="C2477" s="1"/>
      <c r="D2477" s="1"/>
      <c r="E2477" s="1" t="s">
        <v>9845</v>
      </c>
      <c r="F2477" s="1" t="s">
        <v>98</v>
      </c>
      <c r="G2477" s="1" t="s">
        <v>17662</v>
      </c>
      <c r="H2477" s="1">
        <v>0</v>
      </c>
      <c r="I2477" s="1" t="s">
        <v>235</v>
      </c>
      <c r="J2477" s="1"/>
      <c r="K2477" s="1"/>
      <c r="L2477" s="1" t="s">
        <v>236</v>
      </c>
      <c r="M2477" s="1" t="s">
        <v>289</v>
      </c>
      <c r="N2477" s="1">
        <v>0</v>
      </c>
      <c r="O2477" s="1">
        <v>0</v>
      </c>
      <c r="P2477" s="1"/>
      <c r="Q2477" s="1"/>
      <c r="R2477" s="1" t="s">
        <v>17663</v>
      </c>
      <c r="S2477" s="1" t="s">
        <v>17664</v>
      </c>
      <c r="T2477" s="1" t="s">
        <v>17634</v>
      </c>
      <c r="U2477" s="1" t="s">
        <v>17665</v>
      </c>
      <c r="V2477" s="1">
        <v>1</v>
      </c>
      <c r="W2477" s="1">
        <v>1</v>
      </c>
      <c r="X2477" s="1">
        <v>1</v>
      </c>
      <c r="Y2477" s="1">
        <v>0</v>
      </c>
      <c r="Z2477" s="1">
        <v>0</v>
      </c>
      <c r="AA2477" s="1">
        <v>2</v>
      </c>
      <c r="AB2477" s="1">
        <v>2</v>
      </c>
      <c r="AC2477" s="1" t="s">
        <v>109</v>
      </c>
      <c r="AD2477" s="1" t="s">
        <v>109</v>
      </c>
      <c r="AE2477" s="1" t="s">
        <v>109</v>
      </c>
      <c r="AF2477" s="1">
        <v>2</v>
      </c>
      <c r="AG2477" s="1" t="s">
        <v>109</v>
      </c>
      <c r="AH2477" s="1">
        <v>2</v>
      </c>
      <c r="AI2477" s="1" t="s">
        <v>109</v>
      </c>
      <c r="AJ2477" s="1">
        <v>2</v>
      </c>
      <c r="AK2477" s="1" t="s">
        <v>109</v>
      </c>
      <c r="AL2477" s="1" t="s">
        <v>109</v>
      </c>
      <c r="AM2477" s="1" t="s">
        <v>109</v>
      </c>
      <c r="AN2477" s="1" t="s">
        <v>109</v>
      </c>
      <c r="AO2477" s="1" t="s">
        <v>109</v>
      </c>
      <c r="AP2477" s="1"/>
      <c r="AQ2477" s="1">
        <v>2</v>
      </c>
      <c r="AR2477" s="1"/>
      <c r="AS2477" s="1"/>
      <c r="AT2477" s="1">
        <v>0</v>
      </c>
      <c r="AU2477" s="1">
        <v>0</v>
      </c>
      <c r="AV2477" s="1">
        <v>0</v>
      </c>
      <c r="AW2477" s="1">
        <v>0</v>
      </c>
      <c r="AX2477" s="1">
        <v>0</v>
      </c>
      <c r="AY2477" s="1">
        <v>0</v>
      </c>
      <c r="AZ2477" s="1">
        <v>0</v>
      </c>
      <c r="BA2477" s="1">
        <v>0</v>
      </c>
      <c r="BB2477" s="1">
        <v>0</v>
      </c>
      <c r="BC2477" s="1">
        <v>0</v>
      </c>
      <c r="BD2477" s="1">
        <v>0</v>
      </c>
      <c r="BE2477" s="1">
        <v>0</v>
      </c>
      <c r="BF2477" s="1">
        <v>0</v>
      </c>
      <c r="BG2477" s="1">
        <v>0</v>
      </c>
      <c r="BH2477" s="1">
        <v>0</v>
      </c>
      <c r="BI2477" s="1">
        <v>0</v>
      </c>
      <c r="BJ2477" s="1">
        <v>0</v>
      </c>
      <c r="BK2477" s="1">
        <v>0</v>
      </c>
      <c r="BL2477" s="1">
        <v>0</v>
      </c>
      <c r="BM2477" s="1">
        <v>0</v>
      </c>
      <c r="BN2477" s="1">
        <v>0</v>
      </c>
      <c r="BO2477" s="1">
        <v>0</v>
      </c>
      <c r="BP2477" s="1">
        <v>0</v>
      </c>
      <c r="BQ2477" s="1">
        <v>0</v>
      </c>
      <c r="BR2477" s="1">
        <v>0</v>
      </c>
      <c r="BS2477" s="1" t="s">
        <v>109</v>
      </c>
      <c r="BT2477" s="1">
        <v>2570</v>
      </c>
      <c r="BU2477" s="1" t="s">
        <v>109</v>
      </c>
      <c r="BV2477" s="1"/>
      <c r="BW2477" s="1"/>
      <c r="BX2477" s="1"/>
      <c r="BY2477" s="1"/>
      <c r="BZ2477" s="1">
        <v>0</v>
      </c>
      <c r="CA2477" s="1" t="s">
        <v>109</v>
      </c>
      <c r="CB2477" s="1" t="s">
        <v>109</v>
      </c>
      <c r="CC2477" s="1" t="s">
        <v>109</v>
      </c>
      <c r="CD2477" s="1" t="s">
        <v>109</v>
      </c>
      <c r="CE2477" s="1" t="s">
        <v>109</v>
      </c>
      <c r="CF2477" s="1" t="s">
        <v>109</v>
      </c>
      <c r="CG2477" s="1" t="s">
        <v>109</v>
      </c>
      <c r="CH2477" s="1" t="s">
        <v>109</v>
      </c>
      <c r="CI2477" s="1" t="s">
        <v>109</v>
      </c>
      <c r="CJ2477" s="1" t="s">
        <v>109</v>
      </c>
      <c r="CK2477" s="1"/>
      <c r="CL2477" s="1">
        <v>0</v>
      </c>
      <c r="CM2477" s="1">
        <v>0</v>
      </c>
      <c r="CN2477" s="1">
        <v>0</v>
      </c>
    </row>
    <row r="2478" spans="1:92" ht="14.25" customHeight="1" x14ac:dyDescent="0.15">
      <c r="A2478" s="1" t="s">
        <v>17666</v>
      </c>
      <c r="B2478" s="1" t="s">
        <v>189</v>
      </c>
      <c r="C2478" s="1"/>
      <c r="D2478" s="1"/>
      <c r="E2478" s="1" t="s">
        <v>17667</v>
      </c>
      <c r="F2478" s="1" t="s">
        <v>98</v>
      </c>
      <c r="G2478" s="1" t="s">
        <v>141</v>
      </c>
      <c r="H2478" s="1">
        <v>0</v>
      </c>
      <c r="I2478" s="1" t="s">
        <v>161</v>
      </c>
      <c r="J2478" s="1"/>
      <c r="K2478" s="1"/>
      <c r="L2478" s="1" t="s">
        <v>1285</v>
      </c>
      <c r="M2478" s="1" t="s">
        <v>766</v>
      </c>
      <c r="N2478" s="1">
        <v>0</v>
      </c>
      <c r="O2478" s="1">
        <v>0</v>
      </c>
      <c r="P2478" s="1" t="s">
        <v>103</v>
      </c>
      <c r="Q2478" s="1" t="s">
        <v>104</v>
      </c>
      <c r="R2478" s="1" t="s">
        <v>17668</v>
      </c>
      <c r="S2478" s="1" t="s">
        <v>17669</v>
      </c>
      <c r="T2478" s="1" t="s">
        <v>17634</v>
      </c>
      <c r="U2478" s="1" t="s">
        <v>17670</v>
      </c>
      <c r="V2478" s="1">
        <v>1</v>
      </c>
      <c r="W2478" s="1">
        <v>1</v>
      </c>
      <c r="X2478" s="1">
        <v>0</v>
      </c>
      <c r="Y2478" s="1">
        <v>0</v>
      </c>
      <c r="Z2478" s="1">
        <v>0</v>
      </c>
      <c r="AA2478" s="1">
        <v>3</v>
      </c>
      <c r="AB2478" s="1">
        <v>3</v>
      </c>
      <c r="AC2478" s="1" t="s">
        <v>109</v>
      </c>
      <c r="AD2478" s="1" t="s">
        <v>109</v>
      </c>
      <c r="AE2478" s="1" t="s">
        <v>109</v>
      </c>
      <c r="AF2478" s="1" t="s">
        <v>109</v>
      </c>
      <c r="AG2478" s="1" t="s">
        <v>109</v>
      </c>
      <c r="AH2478" s="1">
        <v>2</v>
      </c>
      <c r="AI2478" s="1" t="s">
        <v>109</v>
      </c>
      <c r="AJ2478" s="1" t="s">
        <v>109</v>
      </c>
      <c r="AK2478" s="1" t="s">
        <v>109</v>
      </c>
      <c r="AL2478" s="1" t="s">
        <v>109</v>
      </c>
      <c r="AM2478" s="1" t="s">
        <v>109</v>
      </c>
      <c r="AN2478" s="1" t="s">
        <v>109</v>
      </c>
      <c r="AO2478" s="1" t="s">
        <v>109</v>
      </c>
      <c r="AP2478" s="1"/>
      <c r="AQ2478" s="1">
        <v>3</v>
      </c>
      <c r="AR2478" s="1"/>
      <c r="AS2478" s="1"/>
      <c r="AT2478" s="1">
        <v>0</v>
      </c>
      <c r="AU2478" s="1">
        <v>0</v>
      </c>
      <c r="AV2478" s="1">
        <v>0</v>
      </c>
      <c r="AW2478" s="1">
        <v>0</v>
      </c>
      <c r="AX2478" s="1">
        <v>0</v>
      </c>
      <c r="AY2478" s="1">
        <v>0</v>
      </c>
      <c r="AZ2478" s="1">
        <v>0</v>
      </c>
      <c r="BA2478" s="1">
        <v>0</v>
      </c>
      <c r="BB2478" s="1">
        <v>0</v>
      </c>
      <c r="BC2478" s="1">
        <v>0</v>
      </c>
      <c r="BD2478" s="1">
        <v>0</v>
      </c>
      <c r="BE2478" s="1">
        <v>0</v>
      </c>
      <c r="BF2478" s="1">
        <v>0</v>
      </c>
      <c r="BG2478" s="1">
        <v>0</v>
      </c>
      <c r="BH2478" s="1">
        <v>0</v>
      </c>
      <c r="BI2478" s="1">
        <v>0</v>
      </c>
      <c r="BJ2478" s="1">
        <v>0</v>
      </c>
      <c r="BK2478" s="1">
        <v>0</v>
      </c>
      <c r="BL2478" s="1">
        <v>0</v>
      </c>
      <c r="BM2478" s="1">
        <v>0</v>
      </c>
      <c r="BN2478" s="1">
        <v>0</v>
      </c>
      <c r="BO2478" s="1">
        <v>0</v>
      </c>
      <c r="BP2478" s="1">
        <v>0</v>
      </c>
      <c r="BQ2478" s="1">
        <v>0</v>
      </c>
      <c r="BR2478" s="1">
        <v>0</v>
      </c>
      <c r="BS2478" s="1" t="s">
        <v>109</v>
      </c>
      <c r="BT2478" s="1">
        <v>2571</v>
      </c>
      <c r="BU2478" s="1" t="s">
        <v>109</v>
      </c>
      <c r="BV2478" s="1"/>
      <c r="BW2478" s="1"/>
      <c r="BX2478" s="1"/>
      <c r="BY2478" s="1"/>
      <c r="BZ2478" s="1">
        <v>0</v>
      </c>
      <c r="CA2478" s="1" t="s">
        <v>109</v>
      </c>
      <c r="CB2478" s="1" t="s">
        <v>109</v>
      </c>
      <c r="CC2478" s="1" t="s">
        <v>109</v>
      </c>
      <c r="CD2478" s="1" t="s">
        <v>109</v>
      </c>
      <c r="CE2478" s="1" t="s">
        <v>109</v>
      </c>
      <c r="CF2478" s="1">
        <v>3</v>
      </c>
      <c r="CG2478" s="1" t="s">
        <v>109</v>
      </c>
      <c r="CH2478" s="1" t="s">
        <v>109</v>
      </c>
      <c r="CI2478" s="1" t="s">
        <v>109</v>
      </c>
      <c r="CJ2478" s="1" t="s">
        <v>109</v>
      </c>
      <c r="CK2478" s="1"/>
      <c r="CL2478" s="1">
        <v>0</v>
      </c>
      <c r="CM2478" s="1">
        <v>0</v>
      </c>
      <c r="CN2478" s="1">
        <v>0</v>
      </c>
    </row>
    <row r="2479" spans="1:92" ht="14.25" customHeight="1" x14ac:dyDescent="0.15">
      <c r="A2479" s="1" t="s">
        <v>17671</v>
      </c>
      <c r="B2479" s="1" t="s">
        <v>674</v>
      </c>
      <c r="C2479" s="1" t="s">
        <v>157</v>
      </c>
      <c r="D2479" s="1" t="s">
        <v>158</v>
      </c>
      <c r="E2479" s="1" t="s">
        <v>17672</v>
      </c>
      <c r="F2479" s="1" t="s">
        <v>98</v>
      </c>
      <c r="G2479" s="1" t="s">
        <v>333</v>
      </c>
      <c r="H2479" s="1">
        <v>0</v>
      </c>
      <c r="I2479" s="1" t="s">
        <v>142</v>
      </c>
      <c r="J2479" s="1"/>
      <c r="K2479" s="1"/>
      <c r="L2479" s="1" t="s">
        <v>1391</v>
      </c>
      <c r="M2479" s="1" t="s">
        <v>6144</v>
      </c>
      <c r="N2479" s="1">
        <v>1</v>
      </c>
      <c r="O2479" s="1">
        <v>0</v>
      </c>
      <c r="P2479" s="1" t="s">
        <v>2304</v>
      </c>
      <c r="Q2479" s="1" t="s">
        <v>268</v>
      </c>
      <c r="R2479" s="1" t="s">
        <v>17673</v>
      </c>
      <c r="S2479" s="1" t="s">
        <v>17674</v>
      </c>
      <c r="T2479" s="1" t="s">
        <v>17634</v>
      </c>
      <c r="U2479" s="1" t="s">
        <v>17675</v>
      </c>
      <c r="V2479" s="1">
        <v>1</v>
      </c>
      <c r="W2479" s="1">
        <v>0</v>
      </c>
      <c r="X2479" s="1">
        <v>0</v>
      </c>
      <c r="Y2479" s="1">
        <v>0</v>
      </c>
      <c r="Z2479" s="1">
        <v>0</v>
      </c>
      <c r="AA2479" s="1">
        <v>6</v>
      </c>
      <c r="AB2479" s="1">
        <v>6</v>
      </c>
      <c r="AC2479" s="1">
        <v>6</v>
      </c>
      <c r="AD2479" s="1" t="s">
        <v>109</v>
      </c>
      <c r="AE2479" s="1" t="s">
        <v>109</v>
      </c>
      <c r="AF2479" s="1">
        <v>5</v>
      </c>
      <c r="AG2479" s="1" t="s">
        <v>109</v>
      </c>
      <c r="AH2479" s="1">
        <v>5</v>
      </c>
      <c r="AI2479" s="1" t="s">
        <v>109</v>
      </c>
      <c r="AJ2479" s="1" t="s">
        <v>109</v>
      </c>
      <c r="AK2479" s="1" t="s">
        <v>109</v>
      </c>
      <c r="AL2479" s="1">
        <v>6</v>
      </c>
      <c r="AM2479" s="1" t="s">
        <v>109</v>
      </c>
      <c r="AN2479" s="1" t="s">
        <v>109</v>
      </c>
      <c r="AO2479" s="1" t="s">
        <v>109</v>
      </c>
      <c r="AP2479" s="1"/>
      <c r="AQ2479" s="1">
        <v>6</v>
      </c>
      <c r="AR2479" s="1"/>
      <c r="AS2479" s="1"/>
      <c r="AT2479" s="1">
        <v>0</v>
      </c>
      <c r="AU2479" s="1">
        <v>0</v>
      </c>
      <c r="AV2479" s="1">
        <v>0</v>
      </c>
      <c r="AW2479" s="1">
        <v>0</v>
      </c>
      <c r="AX2479" s="1">
        <v>0</v>
      </c>
      <c r="AY2479" s="1">
        <v>0</v>
      </c>
      <c r="AZ2479" s="1">
        <v>0</v>
      </c>
      <c r="BA2479" s="1">
        <v>0</v>
      </c>
      <c r="BB2479" s="1">
        <v>0</v>
      </c>
      <c r="BC2479" s="1">
        <v>0</v>
      </c>
      <c r="BD2479" s="1">
        <v>0</v>
      </c>
      <c r="BE2479" s="1">
        <v>0</v>
      </c>
      <c r="BF2479" s="1">
        <v>0</v>
      </c>
      <c r="BG2479" s="1">
        <v>0</v>
      </c>
      <c r="BH2479" s="1">
        <v>0</v>
      </c>
      <c r="BI2479" s="1">
        <v>0</v>
      </c>
      <c r="BJ2479" s="1">
        <v>0</v>
      </c>
      <c r="BK2479" s="1">
        <v>0</v>
      </c>
      <c r="BL2479" s="1">
        <v>0</v>
      </c>
      <c r="BM2479" s="1">
        <v>1</v>
      </c>
      <c r="BN2479" s="1">
        <v>0</v>
      </c>
      <c r="BO2479" s="1">
        <v>0</v>
      </c>
      <c r="BP2479" s="1">
        <v>0</v>
      </c>
      <c r="BQ2479" s="1">
        <v>0</v>
      </c>
      <c r="BR2479" s="1">
        <v>0</v>
      </c>
      <c r="BS2479" s="1" t="s">
        <v>109</v>
      </c>
      <c r="BT2479" s="1">
        <v>2572</v>
      </c>
      <c r="BU2479" s="1" t="s">
        <v>109</v>
      </c>
      <c r="BV2479" s="1"/>
      <c r="BW2479" s="1"/>
      <c r="BX2479" s="1"/>
      <c r="BY2479" s="1"/>
      <c r="BZ2479" s="1">
        <v>0</v>
      </c>
      <c r="CA2479" s="1" t="s">
        <v>109</v>
      </c>
      <c r="CB2479" s="1" t="s">
        <v>109</v>
      </c>
      <c r="CC2479" s="1">
        <v>6</v>
      </c>
      <c r="CD2479" s="1" t="s">
        <v>109</v>
      </c>
      <c r="CE2479" s="1">
        <v>5</v>
      </c>
      <c r="CF2479" s="1">
        <v>5</v>
      </c>
      <c r="CG2479" s="1" t="s">
        <v>109</v>
      </c>
      <c r="CH2479" s="1" t="s">
        <v>109</v>
      </c>
      <c r="CI2479" s="1" t="s">
        <v>109</v>
      </c>
      <c r="CJ2479" s="1" t="s">
        <v>109</v>
      </c>
      <c r="CK2479" s="1"/>
      <c r="CL2479" s="1">
        <v>0</v>
      </c>
      <c r="CM2479" s="1">
        <v>0</v>
      </c>
      <c r="CN2479" s="1">
        <v>0</v>
      </c>
    </row>
    <row r="2480" spans="1:92" ht="14.25" customHeight="1" x14ac:dyDescent="0.15">
      <c r="A2480" s="1" t="s">
        <v>17676</v>
      </c>
      <c r="B2480" s="1" t="s">
        <v>156</v>
      </c>
      <c r="C2480" s="1" t="s">
        <v>157</v>
      </c>
      <c r="D2480" s="1" t="s">
        <v>158</v>
      </c>
      <c r="E2480" s="1" t="s">
        <v>17677</v>
      </c>
      <c r="F2480" s="1" t="s">
        <v>98</v>
      </c>
      <c r="G2480" s="1" t="s">
        <v>141</v>
      </c>
      <c r="H2480" s="1">
        <v>0</v>
      </c>
      <c r="I2480" s="1" t="s">
        <v>142</v>
      </c>
      <c r="J2480" s="1"/>
      <c r="K2480" s="1"/>
      <c r="L2480" s="1" t="s">
        <v>1391</v>
      </c>
      <c r="M2480" s="1" t="s">
        <v>289</v>
      </c>
      <c r="N2480" s="1">
        <v>0</v>
      </c>
      <c r="O2480" s="1">
        <v>0</v>
      </c>
      <c r="P2480" s="1" t="s">
        <v>380</v>
      </c>
      <c r="Q2480" s="1" t="s">
        <v>268</v>
      </c>
      <c r="R2480" s="1" t="s">
        <v>17678</v>
      </c>
      <c r="S2480" s="1" t="s">
        <v>17679</v>
      </c>
      <c r="T2480" s="1" t="s">
        <v>17634</v>
      </c>
      <c r="U2480" s="1" t="s">
        <v>17680</v>
      </c>
      <c r="V2480" s="1">
        <v>1</v>
      </c>
      <c r="W2480" s="1">
        <v>1</v>
      </c>
      <c r="X2480" s="1">
        <v>0</v>
      </c>
      <c r="Y2480" s="1">
        <v>0</v>
      </c>
      <c r="Z2480" s="1">
        <v>0</v>
      </c>
      <c r="AA2480" s="1">
        <v>1</v>
      </c>
      <c r="AB2480" s="1">
        <v>1</v>
      </c>
      <c r="AC2480" s="1" t="s">
        <v>109</v>
      </c>
      <c r="AD2480" s="1" t="s">
        <v>109</v>
      </c>
      <c r="AE2480" s="1" t="s">
        <v>109</v>
      </c>
      <c r="AF2480" s="1">
        <v>1</v>
      </c>
      <c r="AG2480" s="1" t="s">
        <v>109</v>
      </c>
      <c r="AH2480" s="1" t="s">
        <v>109</v>
      </c>
      <c r="AI2480" s="1" t="s">
        <v>109</v>
      </c>
      <c r="AJ2480" s="1">
        <v>1</v>
      </c>
      <c r="AK2480" s="1" t="s">
        <v>109</v>
      </c>
      <c r="AL2480" s="1" t="s">
        <v>109</v>
      </c>
      <c r="AM2480" s="1" t="s">
        <v>109</v>
      </c>
      <c r="AN2480" s="1" t="s">
        <v>109</v>
      </c>
      <c r="AO2480" s="1" t="s">
        <v>109</v>
      </c>
      <c r="AP2480" s="1"/>
      <c r="AQ2480" s="1">
        <v>1</v>
      </c>
      <c r="AR2480" s="1"/>
      <c r="AS2480" s="1"/>
      <c r="AT2480" s="1">
        <v>0</v>
      </c>
      <c r="AU2480" s="1">
        <v>0</v>
      </c>
      <c r="AV2480" s="1">
        <v>0</v>
      </c>
      <c r="AW2480" s="1">
        <v>0</v>
      </c>
      <c r="AX2480" s="1">
        <v>0</v>
      </c>
      <c r="AY2480" s="1">
        <v>0</v>
      </c>
      <c r="AZ2480" s="1">
        <v>0</v>
      </c>
      <c r="BA2480" s="1">
        <v>0</v>
      </c>
      <c r="BB2480" s="1">
        <v>0</v>
      </c>
      <c r="BC2480" s="1">
        <v>0</v>
      </c>
      <c r="BD2480" s="1">
        <v>0</v>
      </c>
      <c r="BE2480" s="1">
        <v>0</v>
      </c>
      <c r="BF2480" s="1">
        <v>0</v>
      </c>
      <c r="BG2480" s="1">
        <v>0</v>
      </c>
      <c r="BH2480" s="1">
        <v>0</v>
      </c>
      <c r="BI2480" s="1">
        <v>0</v>
      </c>
      <c r="BJ2480" s="1">
        <v>0</v>
      </c>
      <c r="BK2480" s="1">
        <v>0</v>
      </c>
      <c r="BL2480" s="1">
        <v>0</v>
      </c>
      <c r="BM2480" s="1">
        <v>1</v>
      </c>
      <c r="BN2480" s="1">
        <v>0</v>
      </c>
      <c r="BO2480" s="1">
        <v>0</v>
      </c>
      <c r="BP2480" s="1">
        <v>0</v>
      </c>
      <c r="BQ2480" s="1">
        <v>0</v>
      </c>
      <c r="BR2480" s="1">
        <v>0</v>
      </c>
      <c r="BS2480" s="1" t="s">
        <v>109</v>
      </c>
      <c r="BT2480" s="1">
        <v>2573</v>
      </c>
      <c r="BU2480" s="1" t="s">
        <v>109</v>
      </c>
      <c r="BV2480" s="1"/>
      <c r="BW2480" s="1"/>
      <c r="BX2480" s="1"/>
      <c r="BY2480" s="1"/>
      <c r="BZ2480" s="1">
        <v>0</v>
      </c>
      <c r="CA2480" s="1" t="s">
        <v>109</v>
      </c>
      <c r="CB2480" s="1" t="s">
        <v>109</v>
      </c>
      <c r="CC2480" s="1" t="s">
        <v>109</v>
      </c>
      <c r="CD2480" s="1">
        <v>1</v>
      </c>
      <c r="CE2480" s="1">
        <v>1</v>
      </c>
      <c r="CF2480" s="1" t="s">
        <v>109</v>
      </c>
      <c r="CG2480" s="1">
        <v>1</v>
      </c>
      <c r="CH2480" s="1" t="s">
        <v>109</v>
      </c>
      <c r="CI2480" s="1" t="s">
        <v>109</v>
      </c>
      <c r="CJ2480" s="1" t="s">
        <v>109</v>
      </c>
      <c r="CK2480" s="1"/>
      <c r="CL2480" s="1">
        <v>0</v>
      </c>
      <c r="CM2480" s="1">
        <v>0</v>
      </c>
      <c r="CN2480" s="1">
        <v>0</v>
      </c>
    </row>
    <row r="2481" spans="1:92" ht="14.25" customHeight="1" x14ac:dyDescent="0.15">
      <c r="A2481" s="1" t="s">
        <v>17681</v>
      </c>
      <c r="B2481" s="1" t="s">
        <v>156</v>
      </c>
      <c r="C2481" s="1" t="s">
        <v>834</v>
      </c>
      <c r="D2481" s="1" t="s">
        <v>158</v>
      </c>
      <c r="E2481" s="1" t="s">
        <v>16631</v>
      </c>
      <c r="F2481" s="1" t="s">
        <v>98</v>
      </c>
      <c r="G2481" s="1" t="s">
        <v>17682</v>
      </c>
      <c r="H2481" s="1">
        <v>0</v>
      </c>
      <c r="I2481" s="1" t="s">
        <v>142</v>
      </c>
      <c r="J2481" s="1"/>
      <c r="K2481" s="1"/>
      <c r="L2481" s="1" t="s">
        <v>563</v>
      </c>
      <c r="M2481" s="1" t="s">
        <v>280</v>
      </c>
      <c r="N2481" s="1">
        <v>0</v>
      </c>
      <c r="O2481" s="1">
        <v>0</v>
      </c>
      <c r="P2481" s="1" t="s">
        <v>301</v>
      </c>
      <c r="Q2481" s="1" t="s">
        <v>268</v>
      </c>
      <c r="R2481" s="1" t="s">
        <v>17683</v>
      </c>
      <c r="S2481" s="1" t="s">
        <v>17684</v>
      </c>
      <c r="T2481" s="1" t="s">
        <v>17634</v>
      </c>
      <c r="U2481" s="1" t="s">
        <v>17685</v>
      </c>
      <c r="V2481" s="1">
        <v>1</v>
      </c>
      <c r="W2481" s="1">
        <v>0</v>
      </c>
      <c r="X2481" s="1">
        <v>1</v>
      </c>
      <c r="Y2481" s="1">
        <v>0</v>
      </c>
      <c r="Z2481" s="1">
        <v>0</v>
      </c>
      <c r="AA2481" s="1">
        <v>7</v>
      </c>
      <c r="AB2481" s="1">
        <v>7</v>
      </c>
      <c r="AC2481" s="1" t="s">
        <v>109</v>
      </c>
      <c r="AD2481" s="1" t="s">
        <v>109</v>
      </c>
      <c r="AE2481" s="1" t="s">
        <v>109</v>
      </c>
      <c r="AF2481" s="1">
        <v>5</v>
      </c>
      <c r="AG2481" s="1" t="s">
        <v>109</v>
      </c>
      <c r="AH2481" s="1" t="s">
        <v>109</v>
      </c>
      <c r="AI2481" s="1" t="s">
        <v>109</v>
      </c>
      <c r="AJ2481" s="1">
        <v>7</v>
      </c>
      <c r="AK2481" s="1" t="s">
        <v>109</v>
      </c>
      <c r="AL2481" s="1" t="s">
        <v>109</v>
      </c>
      <c r="AM2481" s="1" t="s">
        <v>109</v>
      </c>
      <c r="AN2481" s="1" t="s">
        <v>109</v>
      </c>
      <c r="AO2481" s="1" t="s">
        <v>109</v>
      </c>
      <c r="AP2481" s="1"/>
      <c r="AQ2481" s="1">
        <v>7</v>
      </c>
      <c r="AR2481" s="1"/>
      <c r="AS2481" s="1"/>
      <c r="AT2481" s="1">
        <v>0</v>
      </c>
      <c r="AU2481" s="1">
        <v>0</v>
      </c>
      <c r="AV2481" s="1">
        <v>0</v>
      </c>
      <c r="AW2481" s="1">
        <v>0</v>
      </c>
      <c r="AX2481" s="1">
        <v>0</v>
      </c>
      <c r="AY2481" s="1">
        <v>0</v>
      </c>
      <c r="AZ2481" s="1">
        <v>0</v>
      </c>
      <c r="BA2481" s="1">
        <v>0</v>
      </c>
      <c r="BB2481" s="1">
        <v>0</v>
      </c>
      <c r="BC2481" s="1">
        <v>0</v>
      </c>
      <c r="BD2481" s="1">
        <v>0</v>
      </c>
      <c r="BE2481" s="1">
        <v>0</v>
      </c>
      <c r="BF2481" s="1">
        <v>0</v>
      </c>
      <c r="BG2481" s="1">
        <v>0</v>
      </c>
      <c r="BH2481" s="1">
        <v>0</v>
      </c>
      <c r="BI2481" s="1">
        <v>0</v>
      </c>
      <c r="BJ2481" s="1">
        <v>0</v>
      </c>
      <c r="BK2481" s="1">
        <v>0</v>
      </c>
      <c r="BL2481" s="1">
        <v>0</v>
      </c>
      <c r="BM2481" s="1">
        <v>1</v>
      </c>
      <c r="BN2481" s="1">
        <v>0</v>
      </c>
      <c r="BO2481" s="1">
        <v>0</v>
      </c>
      <c r="BP2481" s="1">
        <v>0</v>
      </c>
      <c r="BQ2481" s="1">
        <v>0</v>
      </c>
      <c r="BR2481" s="1">
        <v>0</v>
      </c>
      <c r="BS2481" s="1" t="s">
        <v>109</v>
      </c>
      <c r="BT2481" s="1">
        <v>2574</v>
      </c>
      <c r="BU2481" s="1" t="s">
        <v>109</v>
      </c>
      <c r="BV2481" s="1"/>
      <c r="BW2481" s="1"/>
      <c r="BX2481" s="1"/>
      <c r="BY2481" s="1"/>
      <c r="BZ2481" s="1">
        <v>0</v>
      </c>
      <c r="CA2481" s="1" t="s">
        <v>109</v>
      </c>
      <c r="CB2481" s="1" t="s">
        <v>109</v>
      </c>
      <c r="CC2481" s="1">
        <v>6</v>
      </c>
      <c r="CD2481" s="1" t="s">
        <v>109</v>
      </c>
      <c r="CE2481" s="1">
        <v>5</v>
      </c>
      <c r="CF2481" s="1" t="s">
        <v>109</v>
      </c>
      <c r="CG2481" s="1" t="s">
        <v>109</v>
      </c>
      <c r="CH2481" s="1" t="s">
        <v>109</v>
      </c>
      <c r="CI2481" s="1" t="s">
        <v>109</v>
      </c>
      <c r="CJ2481" s="1" t="s">
        <v>109</v>
      </c>
      <c r="CK2481" s="1"/>
      <c r="CL2481" s="1">
        <v>0</v>
      </c>
      <c r="CM2481" s="1">
        <v>0</v>
      </c>
      <c r="CN2481" s="1">
        <v>0</v>
      </c>
    </row>
    <row r="2482" spans="1:92" ht="14.25" customHeight="1" x14ac:dyDescent="0.15">
      <c r="A2482" s="1" t="s">
        <v>17686</v>
      </c>
      <c r="B2482" s="1" t="s">
        <v>156</v>
      </c>
      <c r="C2482" s="1" t="s">
        <v>834</v>
      </c>
      <c r="D2482" s="1" t="s">
        <v>158</v>
      </c>
      <c r="E2482" s="1" t="s">
        <v>16626</v>
      </c>
      <c r="F2482" s="1" t="s">
        <v>98</v>
      </c>
      <c r="G2482" s="1" t="s">
        <v>17682</v>
      </c>
      <c r="H2482" s="1">
        <v>0</v>
      </c>
      <c r="I2482" s="1" t="s">
        <v>142</v>
      </c>
      <c r="J2482" s="1"/>
      <c r="K2482" s="1"/>
      <c r="L2482" s="1" t="s">
        <v>836</v>
      </c>
      <c r="M2482" s="1" t="s">
        <v>289</v>
      </c>
      <c r="N2482" s="1">
        <v>0</v>
      </c>
      <c r="O2482" s="1">
        <v>0</v>
      </c>
      <c r="P2482" s="1" t="s">
        <v>301</v>
      </c>
      <c r="Q2482" s="1" t="s">
        <v>268</v>
      </c>
      <c r="R2482" s="1" t="s">
        <v>17687</v>
      </c>
      <c r="S2482" s="1" t="s">
        <v>17688</v>
      </c>
      <c r="T2482" s="1" t="s">
        <v>17634</v>
      </c>
      <c r="U2482" s="1" t="s">
        <v>17689</v>
      </c>
      <c r="V2482" s="1">
        <v>1</v>
      </c>
      <c r="W2482" s="1">
        <v>0</v>
      </c>
      <c r="X2482" s="1">
        <v>1</v>
      </c>
      <c r="Y2482" s="1">
        <v>0</v>
      </c>
      <c r="Z2482" s="1">
        <v>0</v>
      </c>
      <c r="AA2482" s="1">
        <v>4</v>
      </c>
      <c r="AB2482" s="1">
        <v>4</v>
      </c>
      <c r="AC2482" s="1" t="s">
        <v>109</v>
      </c>
      <c r="AD2482" s="1" t="s">
        <v>109</v>
      </c>
      <c r="AE2482" s="1" t="s">
        <v>109</v>
      </c>
      <c r="AF2482" s="1">
        <v>3</v>
      </c>
      <c r="AG2482" s="1" t="s">
        <v>109</v>
      </c>
      <c r="AH2482" s="1" t="s">
        <v>109</v>
      </c>
      <c r="AI2482" s="1" t="s">
        <v>109</v>
      </c>
      <c r="AJ2482" s="1">
        <v>4</v>
      </c>
      <c r="AK2482" s="1" t="s">
        <v>109</v>
      </c>
      <c r="AL2482" s="1" t="s">
        <v>109</v>
      </c>
      <c r="AM2482" s="1" t="s">
        <v>109</v>
      </c>
      <c r="AN2482" s="1" t="s">
        <v>109</v>
      </c>
      <c r="AO2482" s="1" t="s">
        <v>109</v>
      </c>
      <c r="AP2482" s="1"/>
      <c r="AQ2482" s="1">
        <v>4</v>
      </c>
      <c r="AR2482" s="1"/>
      <c r="AS2482" s="1"/>
      <c r="AT2482" s="1">
        <v>0</v>
      </c>
      <c r="AU2482" s="1">
        <v>0</v>
      </c>
      <c r="AV2482" s="1">
        <v>0</v>
      </c>
      <c r="AW2482" s="1">
        <v>0</v>
      </c>
      <c r="AX2482" s="1">
        <v>0</v>
      </c>
      <c r="AY2482" s="1">
        <v>0</v>
      </c>
      <c r="AZ2482" s="1">
        <v>0</v>
      </c>
      <c r="BA2482" s="1">
        <v>0</v>
      </c>
      <c r="BB2482" s="1">
        <v>0</v>
      </c>
      <c r="BC2482" s="1">
        <v>0</v>
      </c>
      <c r="BD2482" s="1">
        <v>0</v>
      </c>
      <c r="BE2482" s="1">
        <v>0</v>
      </c>
      <c r="BF2482" s="1">
        <v>0</v>
      </c>
      <c r="BG2482" s="1">
        <v>0</v>
      </c>
      <c r="BH2482" s="1">
        <v>0</v>
      </c>
      <c r="BI2482" s="1">
        <v>0</v>
      </c>
      <c r="BJ2482" s="1">
        <v>0</v>
      </c>
      <c r="BK2482" s="1">
        <v>0</v>
      </c>
      <c r="BL2482" s="1">
        <v>0</v>
      </c>
      <c r="BM2482" s="1">
        <v>1</v>
      </c>
      <c r="BN2482" s="1">
        <v>0</v>
      </c>
      <c r="BO2482" s="1">
        <v>0</v>
      </c>
      <c r="BP2482" s="1">
        <v>0</v>
      </c>
      <c r="BQ2482" s="1">
        <v>0</v>
      </c>
      <c r="BR2482" s="1">
        <v>0</v>
      </c>
      <c r="BS2482" s="1" t="s">
        <v>109</v>
      </c>
      <c r="BT2482" s="1">
        <v>2575</v>
      </c>
      <c r="BU2482" s="1" t="s">
        <v>109</v>
      </c>
      <c r="BV2482" s="1"/>
      <c r="BW2482" s="1"/>
      <c r="BX2482" s="1"/>
      <c r="BY2482" s="1"/>
      <c r="BZ2482" s="1">
        <v>0</v>
      </c>
      <c r="CA2482" s="1" t="s">
        <v>109</v>
      </c>
      <c r="CB2482" s="1" t="s">
        <v>109</v>
      </c>
      <c r="CC2482" s="1">
        <v>3</v>
      </c>
      <c r="CD2482" s="1" t="s">
        <v>109</v>
      </c>
      <c r="CE2482" s="1">
        <v>3</v>
      </c>
      <c r="CF2482" s="1" t="s">
        <v>109</v>
      </c>
      <c r="CG2482" s="1" t="s">
        <v>109</v>
      </c>
      <c r="CH2482" s="1" t="s">
        <v>109</v>
      </c>
      <c r="CI2482" s="1" t="s">
        <v>109</v>
      </c>
      <c r="CJ2482" s="1" t="s">
        <v>109</v>
      </c>
      <c r="CK2482" s="1"/>
      <c r="CL2482" s="1">
        <v>0</v>
      </c>
      <c r="CM2482" s="1">
        <v>0</v>
      </c>
      <c r="CN2482" s="1">
        <v>0</v>
      </c>
    </row>
    <row r="2483" spans="1:92" ht="14.25" customHeight="1" x14ac:dyDescent="0.15">
      <c r="A2483" s="1" t="s">
        <v>17690</v>
      </c>
      <c r="B2483" s="1" t="s">
        <v>242</v>
      </c>
      <c r="C2483" s="1"/>
      <c r="D2483" s="1"/>
      <c r="E2483" s="1" t="s">
        <v>17691</v>
      </c>
      <c r="F2483" s="1" t="s">
        <v>98</v>
      </c>
      <c r="G2483" s="1" t="s">
        <v>17692</v>
      </c>
      <c r="H2483" s="1">
        <v>1</v>
      </c>
      <c r="I2483" s="1" t="s">
        <v>142</v>
      </c>
      <c r="J2483" s="1"/>
      <c r="K2483" s="1"/>
      <c r="L2483" s="1" t="s">
        <v>17693</v>
      </c>
      <c r="M2483" s="1" t="s">
        <v>289</v>
      </c>
      <c r="N2483" s="1">
        <v>0</v>
      </c>
      <c r="O2483" s="1">
        <v>0</v>
      </c>
      <c r="P2483" s="1" t="s">
        <v>215</v>
      </c>
      <c r="Q2483" s="1" t="s">
        <v>216</v>
      </c>
      <c r="R2483" s="1" t="s">
        <v>17694</v>
      </c>
      <c r="S2483" s="1" t="s">
        <v>17695</v>
      </c>
      <c r="T2483" s="1" t="s">
        <v>17634</v>
      </c>
      <c r="U2483" s="1" t="s">
        <v>17696</v>
      </c>
      <c r="V2483" s="1">
        <v>1</v>
      </c>
      <c r="W2483" s="1">
        <v>1</v>
      </c>
      <c r="X2483" s="1">
        <v>1</v>
      </c>
      <c r="Y2483" s="1">
        <v>0</v>
      </c>
      <c r="Z2483" s="1">
        <v>0</v>
      </c>
      <c r="AA2483" s="1">
        <v>5</v>
      </c>
      <c r="AB2483" s="1">
        <v>5</v>
      </c>
      <c r="AC2483" s="1" t="s">
        <v>109</v>
      </c>
      <c r="AD2483" s="1" t="s">
        <v>109</v>
      </c>
      <c r="AE2483" s="1" t="s">
        <v>109</v>
      </c>
      <c r="AF2483" s="1" t="s">
        <v>109</v>
      </c>
      <c r="AG2483" s="1" t="s">
        <v>109</v>
      </c>
      <c r="AH2483" s="1" t="s">
        <v>109</v>
      </c>
      <c r="AI2483" s="1">
        <v>5</v>
      </c>
      <c r="AJ2483" s="1" t="s">
        <v>109</v>
      </c>
      <c r="AK2483" s="1" t="s">
        <v>109</v>
      </c>
      <c r="AL2483" s="1" t="s">
        <v>109</v>
      </c>
      <c r="AM2483" s="1" t="s">
        <v>109</v>
      </c>
      <c r="AN2483" s="1" t="s">
        <v>109</v>
      </c>
      <c r="AO2483" s="1" t="s">
        <v>109</v>
      </c>
      <c r="AP2483" s="1"/>
      <c r="AQ2483" s="1">
        <v>5</v>
      </c>
      <c r="AR2483" s="1"/>
      <c r="AS2483" s="1"/>
      <c r="AT2483" s="1">
        <v>0</v>
      </c>
      <c r="AU2483" s="1">
        <v>0</v>
      </c>
      <c r="AV2483" s="1">
        <v>0</v>
      </c>
      <c r="AW2483" s="1">
        <v>0</v>
      </c>
      <c r="AX2483" s="1">
        <v>0</v>
      </c>
      <c r="AY2483" s="1">
        <v>0</v>
      </c>
      <c r="AZ2483" s="1">
        <v>0</v>
      </c>
      <c r="BA2483" s="1">
        <v>0</v>
      </c>
      <c r="BB2483" s="1">
        <v>0</v>
      </c>
      <c r="BC2483" s="1">
        <v>0</v>
      </c>
      <c r="BD2483" s="1">
        <v>0</v>
      </c>
      <c r="BE2483" s="1">
        <v>0</v>
      </c>
      <c r="BF2483" s="1">
        <v>0</v>
      </c>
      <c r="BG2483" s="1">
        <v>0</v>
      </c>
      <c r="BH2483" s="1">
        <v>0</v>
      </c>
      <c r="BI2483" s="1">
        <v>0</v>
      </c>
      <c r="BJ2483" s="1">
        <v>0</v>
      </c>
      <c r="BK2483" s="1">
        <v>0</v>
      </c>
      <c r="BL2483" s="1">
        <v>0</v>
      </c>
      <c r="BM2483" s="1">
        <v>0</v>
      </c>
      <c r="BN2483" s="1">
        <v>0</v>
      </c>
      <c r="BO2483" s="1">
        <v>0</v>
      </c>
      <c r="BP2483" s="1">
        <v>0</v>
      </c>
      <c r="BQ2483" s="1">
        <v>0</v>
      </c>
      <c r="BR2483" s="1">
        <v>0</v>
      </c>
      <c r="BS2483" s="1" t="s">
        <v>109</v>
      </c>
      <c r="BT2483" s="1">
        <v>2576</v>
      </c>
      <c r="BU2483" s="1">
        <v>150</v>
      </c>
      <c r="BV2483" s="1"/>
      <c r="BW2483" s="1"/>
      <c r="BX2483" s="1"/>
      <c r="BY2483" s="1"/>
      <c r="BZ2483" s="1">
        <v>0</v>
      </c>
      <c r="CA2483" s="1" t="s">
        <v>109</v>
      </c>
      <c r="CB2483" s="1" t="s">
        <v>109</v>
      </c>
      <c r="CC2483" s="1">
        <v>5</v>
      </c>
      <c r="CD2483" s="1">
        <v>4</v>
      </c>
      <c r="CE2483" s="1">
        <v>5</v>
      </c>
      <c r="CF2483" s="1">
        <v>5</v>
      </c>
      <c r="CG2483" s="1">
        <v>5</v>
      </c>
      <c r="CH2483" s="1" t="s">
        <v>109</v>
      </c>
      <c r="CI2483" s="1" t="s">
        <v>109</v>
      </c>
      <c r="CJ2483" s="1" t="s">
        <v>109</v>
      </c>
      <c r="CK2483" s="1"/>
      <c r="CL2483" s="1">
        <v>0</v>
      </c>
      <c r="CM2483" s="1">
        <v>0</v>
      </c>
      <c r="CN2483" s="1">
        <v>0</v>
      </c>
    </row>
    <row r="2484" spans="1:92" ht="14.25" customHeight="1" x14ac:dyDescent="0.15">
      <c r="A2484" s="1" t="s">
        <v>17697</v>
      </c>
      <c r="B2484" s="1" t="s">
        <v>674</v>
      </c>
      <c r="C2484" s="1" t="s">
        <v>675</v>
      </c>
      <c r="D2484" s="1"/>
      <c r="E2484" s="1" t="s">
        <v>17698</v>
      </c>
      <c r="F2484" s="1" t="s">
        <v>98</v>
      </c>
      <c r="G2484" s="1" t="s">
        <v>333</v>
      </c>
      <c r="H2484" s="1">
        <v>0</v>
      </c>
      <c r="I2484" s="1" t="s">
        <v>235</v>
      </c>
      <c r="J2484" s="1"/>
      <c r="K2484" s="1"/>
      <c r="L2484" s="1" t="s">
        <v>236</v>
      </c>
      <c r="M2484" s="1" t="s">
        <v>5642</v>
      </c>
      <c r="N2484" s="1">
        <v>0</v>
      </c>
      <c r="O2484" s="1">
        <v>0</v>
      </c>
      <c r="P2484" s="1"/>
      <c r="Q2484" s="1"/>
      <c r="R2484" s="1" t="s">
        <v>17699</v>
      </c>
      <c r="S2484" s="1" t="s">
        <v>17700</v>
      </c>
      <c r="T2484" s="1" t="s">
        <v>17634</v>
      </c>
      <c r="U2484" s="1" t="s">
        <v>17701</v>
      </c>
      <c r="V2484" s="1">
        <v>1</v>
      </c>
      <c r="W2484" s="1">
        <v>0</v>
      </c>
      <c r="X2484" s="1">
        <v>0</v>
      </c>
      <c r="Y2484" s="1">
        <v>0</v>
      </c>
      <c r="Z2484" s="1">
        <v>0</v>
      </c>
      <c r="AA2484" s="1">
        <v>0</v>
      </c>
      <c r="AB2484" s="1">
        <v>0</v>
      </c>
      <c r="AC2484" s="1" t="s">
        <v>109</v>
      </c>
      <c r="AD2484" s="1" t="s">
        <v>109</v>
      </c>
      <c r="AE2484" s="1" t="s">
        <v>109</v>
      </c>
      <c r="AF2484" s="1">
        <v>0</v>
      </c>
      <c r="AG2484" s="1">
        <v>1</v>
      </c>
      <c r="AH2484" s="1" t="s">
        <v>109</v>
      </c>
      <c r="AI2484" s="1" t="s">
        <v>109</v>
      </c>
      <c r="AJ2484" s="1" t="s">
        <v>109</v>
      </c>
      <c r="AK2484" s="1">
        <v>0</v>
      </c>
      <c r="AL2484" s="1" t="s">
        <v>109</v>
      </c>
      <c r="AM2484" s="1" t="s">
        <v>109</v>
      </c>
      <c r="AN2484" s="1" t="s">
        <v>109</v>
      </c>
      <c r="AO2484" s="1" t="s">
        <v>109</v>
      </c>
      <c r="AP2484" s="1"/>
      <c r="AQ2484" s="1">
        <v>0</v>
      </c>
      <c r="AR2484" s="1"/>
      <c r="AS2484" s="1"/>
      <c r="AT2484" s="1">
        <v>0</v>
      </c>
      <c r="AU2484" s="1">
        <v>0</v>
      </c>
      <c r="AV2484" s="1">
        <v>0</v>
      </c>
      <c r="AW2484" s="1">
        <v>0</v>
      </c>
      <c r="AX2484" s="1">
        <v>0</v>
      </c>
      <c r="AY2484" s="1">
        <v>0</v>
      </c>
      <c r="AZ2484" s="1">
        <v>0</v>
      </c>
      <c r="BA2484" s="1">
        <v>0</v>
      </c>
      <c r="BB2484" s="1">
        <v>0</v>
      </c>
      <c r="BC2484" s="1">
        <v>0</v>
      </c>
      <c r="BD2484" s="1">
        <v>0</v>
      </c>
      <c r="BE2484" s="1">
        <v>0</v>
      </c>
      <c r="BF2484" s="1">
        <v>0</v>
      </c>
      <c r="BG2484" s="1">
        <v>0</v>
      </c>
      <c r="BH2484" s="1">
        <v>0</v>
      </c>
      <c r="BI2484" s="1">
        <v>0</v>
      </c>
      <c r="BJ2484" s="1">
        <v>0</v>
      </c>
      <c r="BK2484" s="1">
        <v>0</v>
      </c>
      <c r="BL2484" s="1">
        <v>0</v>
      </c>
      <c r="BM2484" s="1">
        <v>0</v>
      </c>
      <c r="BN2484" s="1">
        <v>0</v>
      </c>
      <c r="BO2484" s="1">
        <v>0</v>
      </c>
      <c r="BP2484" s="1">
        <v>0</v>
      </c>
      <c r="BQ2484" s="1">
        <v>0</v>
      </c>
      <c r="BR2484" s="1">
        <v>0</v>
      </c>
      <c r="BS2484" s="1" t="s">
        <v>109</v>
      </c>
      <c r="BT2484" s="1">
        <v>2577</v>
      </c>
      <c r="BU2484" s="1" t="s">
        <v>109</v>
      </c>
      <c r="BV2484" s="1"/>
      <c r="BW2484" s="1"/>
      <c r="BX2484" s="1"/>
      <c r="BY2484" s="1"/>
      <c r="BZ2484" s="1">
        <v>0</v>
      </c>
      <c r="CA2484" s="1" t="s">
        <v>109</v>
      </c>
      <c r="CB2484" s="1" t="s">
        <v>109</v>
      </c>
      <c r="CC2484" s="1" t="s">
        <v>109</v>
      </c>
      <c r="CD2484" s="1">
        <v>0</v>
      </c>
      <c r="CE2484" s="1" t="s">
        <v>109</v>
      </c>
      <c r="CF2484" s="1" t="s">
        <v>109</v>
      </c>
      <c r="CG2484" s="1" t="s">
        <v>109</v>
      </c>
      <c r="CH2484" s="1" t="s">
        <v>109</v>
      </c>
      <c r="CI2484" s="1" t="s">
        <v>109</v>
      </c>
      <c r="CJ2484" s="1" t="s">
        <v>109</v>
      </c>
      <c r="CK2484" s="1"/>
      <c r="CL2484" s="1">
        <v>0</v>
      </c>
      <c r="CM2484" s="1">
        <v>0</v>
      </c>
      <c r="CN2484" s="1">
        <v>0</v>
      </c>
    </row>
    <row r="2485" spans="1:92" ht="14.25" customHeight="1" x14ac:dyDescent="0.15">
      <c r="A2485" s="1" t="s">
        <v>17702</v>
      </c>
      <c r="B2485" s="1" t="s">
        <v>308</v>
      </c>
      <c r="C2485" s="1"/>
      <c r="D2485" s="1"/>
      <c r="E2485" s="1" t="s">
        <v>17703</v>
      </c>
      <c r="F2485" s="1" t="s">
        <v>395</v>
      </c>
      <c r="G2485" s="1" t="s">
        <v>17704</v>
      </c>
      <c r="H2485" s="1">
        <v>1</v>
      </c>
      <c r="I2485" s="1" t="s">
        <v>161</v>
      </c>
      <c r="J2485" s="1"/>
      <c r="K2485" s="1"/>
      <c r="L2485" s="1" t="s">
        <v>17705</v>
      </c>
      <c r="M2485" s="1" t="s">
        <v>17706</v>
      </c>
      <c r="N2485" s="1">
        <v>0</v>
      </c>
      <c r="O2485" s="1">
        <v>0</v>
      </c>
      <c r="P2485" s="1" t="s">
        <v>103</v>
      </c>
      <c r="Q2485" s="1" t="s">
        <v>104</v>
      </c>
      <c r="R2485" s="1" t="s">
        <v>17707</v>
      </c>
      <c r="S2485" s="1" t="s">
        <v>17708</v>
      </c>
      <c r="T2485" s="1" t="s">
        <v>17634</v>
      </c>
      <c r="U2485" s="1" t="s">
        <v>17709</v>
      </c>
      <c r="V2485" s="1">
        <v>1</v>
      </c>
      <c r="W2485" s="1">
        <v>1</v>
      </c>
      <c r="X2485" s="1">
        <v>0</v>
      </c>
      <c r="Y2485" s="1">
        <v>0</v>
      </c>
      <c r="Z2485" s="1">
        <v>0</v>
      </c>
      <c r="AA2485" s="1">
        <v>7</v>
      </c>
      <c r="AB2485" s="1">
        <v>7</v>
      </c>
      <c r="AC2485" s="1" t="s">
        <v>109</v>
      </c>
      <c r="AD2485" s="1" t="s">
        <v>109</v>
      </c>
      <c r="AE2485" s="1" t="s">
        <v>109</v>
      </c>
      <c r="AF2485" s="1" t="s">
        <v>109</v>
      </c>
      <c r="AG2485" s="1" t="s">
        <v>109</v>
      </c>
      <c r="AH2485" s="1" t="s">
        <v>109</v>
      </c>
      <c r="AI2485" s="1" t="s">
        <v>109</v>
      </c>
      <c r="AJ2485" s="1">
        <v>7</v>
      </c>
      <c r="AK2485" s="1" t="s">
        <v>109</v>
      </c>
      <c r="AL2485" s="1" t="s">
        <v>109</v>
      </c>
      <c r="AM2485" s="1" t="s">
        <v>109</v>
      </c>
      <c r="AN2485" s="1" t="s">
        <v>109</v>
      </c>
      <c r="AO2485" s="1" t="s">
        <v>109</v>
      </c>
      <c r="AP2485" s="1"/>
      <c r="AQ2485" s="1">
        <v>7</v>
      </c>
      <c r="AR2485" s="1"/>
      <c r="AS2485" s="1"/>
      <c r="AT2485" s="1">
        <v>0</v>
      </c>
      <c r="AU2485" s="1">
        <v>0</v>
      </c>
      <c r="AV2485" s="1">
        <v>0</v>
      </c>
      <c r="AW2485" s="1">
        <v>0</v>
      </c>
      <c r="AX2485" s="1">
        <v>0</v>
      </c>
      <c r="AY2485" s="1">
        <v>0</v>
      </c>
      <c r="AZ2485" s="1">
        <v>0</v>
      </c>
      <c r="BA2485" s="1">
        <v>0</v>
      </c>
      <c r="BB2485" s="1">
        <v>0</v>
      </c>
      <c r="BC2485" s="1">
        <v>0</v>
      </c>
      <c r="BD2485" s="1">
        <v>0</v>
      </c>
      <c r="BE2485" s="1">
        <v>0</v>
      </c>
      <c r="BF2485" s="1">
        <v>0</v>
      </c>
      <c r="BG2485" s="1">
        <v>0</v>
      </c>
      <c r="BH2485" s="1">
        <v>0</v>
      </c>
      <c r="BI2485" s="1">
        <v>0</v>
      </c>
      <c r="BJ2485" s="1">
        <v>0</v>
      </c>
      <c r="BK2485" s="1">
        <v>0</v>
      </c>
      <c r="BL2485" s="1">
        <v>0</v>
      </c>
      <c r="BM2485" s="1">
        <v>0</v>
      </c>
      <c r="BN2485" s="1">
        <v>0</v>
      </c>
      <c r="BO2485" s="1">
        <v>0</v>
      </c>
      <c r="BP2485" s="1">
        <v>0</v>
      </c>
      <c r="BQ2485" s="1">
        <v>0</v>
      </c>
      <c r="BR2485" s="1">
        <v>0</v>
      </c>
      <c r="BS2485" s="1" t="s">
        <v>109</v>
      </c>
      <c r="BT2485" s="1">
        <v>2578</v>
      </c>
      <c r="BU2485" s="1">
        <v>250</v>
      </c>
      <c r="BV2485" s="1"/>
      <c r="BW2485" s="1"/>
      <c r="BX2485" s="1"/>
      <c r="BY2485" s="1"/>
      <c r="BZ2485" s="1">
        <v>0</v>
      </c>
      <c r="CA2485" s="1" t="s">
        <v>109</v>
      </c>
      <c r="CB2485" s="1" t="s">
        <v>109</v>
      </c>
      <c r="CC2485" s="1" t="s">
        <v>109</v>
      </c>
      <c r="CD2485" s="1" t="s">
        <v>109</v>
      </c>
      <c r="CE2485" s="1" t="s">
        <v>109</v>
      </c>
      <c r="CF2485" s="1" t="s">
        <v>109</v>
      </c>
      <c r="CG2485" s="1" t="s">
        <v>109</v>
      </c>
      <c r="CH2485" s="1" t="s">
        <v>109</v>
      </c>
      <c r="CI2485" s="1" t="s">
        <v>109</v>
      </c>
      <c r="CJ2485" s="1" t="s">
        <v>109</v>
      </c>
      <c r="CK2485" s="1"/>
      <c r="CL2485" s="1">
        <v>0</v>
      </c>
      <c r="CM2485" s="1">
        <v>0</v>
      </c>
      <c r="CN2485" s="1">
        <v>0</v>
      </c>
    </row>
    <row r="2486" spans="1:92" ht="14.25" customHeight="1" x14ac:dyDescent="0.15">
      <c r="A2486" s="1" t="s">
        <v>17710</v>
      </c>
      <c r="B2486" s="1" t="s">
        <v>308</v>
      </c>
      <c r="C2486" s="1"/>
      <c r="D2486" s="1" t="s">
        <v>17711</v>
      </c>
      <c r="E2486" s="1" t="s">
        <v>17712</v>
      </c>
      <c r="F2486" s="1" t="s">
        <v>98</v>
      </c>
      <c r="G2486" s="1" t="s">
        <v>141</v>
      </c>
      <c r="H2486" s="1">
        <v>0</v>
      </c>
      <c r="I2486" s="1" t="s">
        <v>142</v>
      </c>
      <c r="J2486" s="1"/>
      <c r="K2486" s="1"/>
      <c r="L2486" s="1" t="s">
        <v>17713</v>
      </c>
      <c r="M2486" s="1" t="s">
        <v>408</v>
      </c>
      <c r="N2486" s="1">
        <v>0</v>
      </c>
      <c r="O2486" s="1">
        <v>0</v>
      </c>
      <c r="P2486" s="1" t="s">
        <v>267</v>
      </c>
      <c r="Q2486" s="1" t="s">
        <v>268</v>
      </c>
      <c r="R2486" s="1" t="s">
        <v>17714</v>
      </c>
      <c r="S2486" s="1" t="s">
        <v>17715</v>
      </c>
      <c r="T2486" s="1" t="s">
        <v>17634</v>
      </c>
      <c r="U2486" s="1" t="s">
        <v>17716</v>
      </c>
      <c r="V2486" s="1">
        <v>1</v>
      </c>
      <c r="W2486" s="1">
        <v>1</v>
      </c>
      <c r="X2486" s="1">
        <v>0</v>
      </c>
      <c r="Y2486" s="1">
        <v>0</v>
      </c>
      <c r="Z2486" s="1">
        <v>0</v>
      </c>
      <c r="AA2486" s="1" t="s">
        <v>109</v>
      </c>
      <c r="AB2486" s="1" t="s">
        <v>109</v>
      </c>
      <c r="AC2486" s="1">
        <v>8</v>
      </c>
      <c r="AD2486" s="1">
        <v>8</v>
      </c>
      <c r="AE2486" s="1" t="s">
        <v>109</v>
      </c>
      <c r="AF2486" s="1" t="s">
        <v>109</v>
      </c>
      <c r="AG2486" s="1" t="s">
        <v>109</v>
      </c>
      <c r="AH2486" s="1" t="s">
        <v>109</v>
      </c>
      <c r="AI2486" s="1" t="s">
        <v>109</v>
      </c>
      <c r="AJ2486" s="1">
        <v>8</v>
      </c>
      <c r="AK2486" s="1">
        <v>6</v>
      </c>
      <c r="AL2486" s="1">
        <v>8</v>
      </c>
      <c r="AM2486" s="1" t="s">
        <v>109</v>
      </c>
      <c r="AN2486" s="1" t="s">
        <v>109</v>
      </c>
      <c r="AO2486" s="1" t="s">
        <v>109</v>
      </c>
      <c r="AP2486" s="1"/>
      <c r="AQ2486" s="1">
        <v>8</v>
      </c>
      <c r="AR2486" s="1"/>
      <c r="AS2486" s="1"/>
      <c r="AT2486" s="1">
        <v>0</v>
      </c>
      <c r="AU2486" s="1">
        <v>0</v>
      </c>
      <c r="AV2486" s="1">
        <v>0</v>
      </c>
      <c r="AW2486" s="1">
        <v>0</v>
      </c>
      <c r="AX2486" s="1">
        <v>1</v>
      </c>
      <c r="AY2486" s="1">
        <v>0</v>
      </c>
      <c r="AZ2486" s="1">
        <v>0</v>
      </c>
      <c r="BA2486" s="1">
        <v>1</v>
      </c>
      <c r="BB2486" s="1">
        <v>0</v>
      </c>
      <c r="BC2486" s="1">
        <v>0</v>
      </c>
      <c r="BD2486" s="1">
        <v>0</v>
      </c>
      <c r="BE2486" s="1">
        <v>0</v>
      </c>
      <c r="BF2486" s="1">
        <v>0</v>
      </c>
      <c r="BG2486" s="1">
        <v>0</v>
      </c>
      <c r="BH2486" s="1">
        <v>0</v>
      </c>
      <c r="BI2486" s="1">
        <v>0</v>
      </c>
      <c r="BJ2486" s="1">
        <v>0</v>
      </c>
      <c r="BK2486" s="1">
        <v>0</v>
      </c>
      <c r="BL2486" s="1">
        <v>0</v>
      </c>
      <c r="BM2486" s="1">
        <v>0</v>
      </c>
      <c r="BN2486" s="1">
        <v>0</v>
      </c>
      <c r="BO2486" s="1">
        <v>0</v>
      </c>
      <c r="BP2486" s="1">
        <v>0</v>
      </c>
      <c r="BQ2486" s="1">
        <v>0</v>
      </c>
      <c r="BR2486" s="1">
        <v>0</v>
      </c>
      <c r="BS2486" s="1" t="s">
        <v>109</v>
      </c>
      <c r="BT2486" s="1">
        <v>2579</v>
      </c>
      <c r="BU2486" s="1" t="s">
        <v>109</v>
      </c>
      <c r="BV2486" s="1"/>
      <c r="BW2486" s="1"/>
      <c r="BX2486" s="1"/>
      <c r="BY2486" s="1"/>
      <c r="BZ2486" s="1">
        <v>0</v>
      </c>
      <c r="CA2486" s="1" t="s">
        <v>109</v>
      </c>
      <c r="CB2486" s="1" t="s">
        <v>109</v>
      </c>
      <c r="CC2486" s="1" t="s">
        <v>109</v>
      </c>
      <c r="CD2486" s="1" t="s">
        <v>109</v>
      </c>
      <c r="CE2486" s="1" t="s">
        <v>109</v>
      </c>
      <c r="CF2486" s="1">
        <v>6</v>
      </c>
      <c r="CG2486" s="1" t="s">
        <v>109</v>
      </c>
      <c r="CH2486" s="1" t="s">
        <v>109</v>
      </c>
      <c r="CI2486" s="1" t="s">
        <v>109</v>
      </c>
      <c r="CJ2486" s="1" t="s">
        <v>109</v>
      </c>
      <c r="CK2486" s="1"/>
      <c r="CL2486" s="1">
        <v>0</v>
      </c>
      <c r="CM2486" s="1">
        <v>0</v>
      </c>
      <c r="CN2486" s="1">
        <v>0</v>
      </c>
    </row>
    <row r="2487" spans="1:92" ht="14.25" customHeight="1" x14ac:dyDescent="0.15">
      <c r="A2487" s="1" t="s">
        <v>17717</v>
      </c>
      <c r="B2487" s="1" t="s">
        <v>95</v>
      </c>
      <c r="C2487" s="1" t="s">
        <v>96</v>
      </c>
      <c r="D2487" s="1" t="s">
        <v>3274</v>
      </c>
      <c r="E2487" s="1" t="s">
        <v>8537</v>
      </c>
      <c r="F2487" s="1" t="s">
        <v>98</v>
      </c>
      <c r="G2487" s="1" t="s">
        <v>141</v>
      </c>
      <c r="H2487" s="1">
        <v>0</v>
      </c>
      <c r="I2487" s="1" t="s">
        <v>397</v>
      </c>
      <c r="J2487" s="1"/>
      <c r="K2487" s="1" t="s">
        <v>17718</v>
      </c>
      <c r="L2487" s="1"/>
      <c r="M2487" s="1" t="s">
        <v>3385</v>
      </c>
      <c r="N2487" s="1">
        <v>0</v>
      </c>
      <c r="O2487" s="1">
        <v>0</v>
      </c>
      <c r="P2487" s="1" t="s">
        <v>7979</v>
      </c>
      <c r="Q2487" s="1" t="s">
        <v>12919</v>
      </c>
      <c r="R2487" s="1" t="s">
        <v>17719</v>
      </c>
      <c r="S2487" s="1" t="s">
        <v>17720</v>
      </c>
      <c r="T2487" s="1" t="s">
        <v>17634</v>
      </c>
      <c r="U2487" s="1" t="s">
        <v>17721</v>
      </c>
      <c r="V2487" s="1">
        <v>1</v>
      </c>
      <c r="W2487" s="1">
        <v>1</v>
      </c>
      <c r="X2487" s="1">
        <v>0</v>
      </c>
      <c r="Y2487" s="1">
        <v>0</v>
      </c>
      <c r="Z2487" s="1">
        <v>0</v>
      </c>
      <c r="AA2487" s="1">
        <v>5</v>
      </c>
      <c r="AB2487" s="1">
        <v>5</v>
      </c>
      <c r="AC2487" s="1" t="s">
        <v>109</v>
      </c>
      <c r="AD2487" s="1" t="s">
        <v>109</v>
      </c>
      <c r="AE2487" s="1" t="s">
        <v>109</v>
      </c>
      <c r="AF2487" s="1" t="s">
        <v>109</v>
      </c>
      <c r="AG2487" s="1" t="s">
        <v>109</v>
      </c>
      <c r="AH2487" s="1" t="s">
        <v>109</v>
      </c>
      <c r="AI2487" s="1" t="s">
        <v>109</v>
      </c>
      <c r="AJ2487" s="1" t="s">
        <v>109</v>
      </c>
      <c r="AK2487" s="1" t="s">
        <v>109</v>
      </c>
      <c r="AL2487" s="1" t="s">
        <v>109</v>
      </c>
      <c r="AM2487" s="1" t="s">
        <v>109</v>
      </c>
      <c r="AN2487" s="1" t="s">
        <v>109</v>
      </c>
      <c r="AO2487" s="1" t="s">
        <v>109</v>
      </c>
      <c r="AP2487" s="1"/>
      <c r="AQ2487" s="1">
        <v>5</v>
      </c>
      <c r="AR2487" s="1"/>
      <c r="AS2487" s="1"/>
      <c r="AT2487" s="1">
        <v>0</v>
      </c>
      <c r="AU2487" s="1">
        <v>0</v>
      </c>
      <c r="AV2487" s="1">
        <v>0</v>
      </c>
      <c r="AW2487" s="1">
        <v>0</v>
      </c>
      <c r="AX2487" s="1">
        <v>0</v>
      </c>
      <c r="AY2487" s="1">
        <v>0</v>
      </c>
      <c r="AZ2487" s="1">
        <v>0</v>
      </c>
      <c r="BA2487" s="1">
        <v>0</v>
      </c>
      <c r="BB2487" s="1">
        <v>0</v>
      </c>
      <c r="BC2487" s="1">
        <v>0</v>
      </c>
      <c r="BD2487" s="1">
        <v>0</v>
      </c>
      <c r="BE2487" s="1">
        <v>0</v>
      </c>
      <c r="BF2487" s="1">
        <v>0</v>
      </c>
      <c r="BG2487" s="1">
        <v>0</v>
      </c>
      <c r="BH2487" s="1">
        <v>0</v>
      </c>
      <c r="BI2487" s="1">
        <v>0</v>
      </c>
      <c r="BJ2487" s="1">
        <v>1</v>
      </c>
      <c r="BK2487" s="1">
        <v>0</v>
      </c>
      <c r="BL2487" s="1">
        <v>0</v>
      </c>
      <c r="BM2487" s="1">
        <v>0</v>
      </c>
      <c r="BN2487" s="1">
        <v>0</v>
      </c>
      <c r="BO2487" s="1">
        <v>0</v>
      </c>
      <c r="BP2487" s="1">
        <v>0</v>
      </c>
      <c r="BQ2487" s="1">
        <v>0</v>
      </c>
      <c r="BR2487" s="1">
        <v>0</v>
      </c>
      <c r="BS2487" s="1" t="s">
        <v>109</v>
      </c>
      <c r="BT2487" s="1">
        <v>2580</v>
      </c>
      <c r="BU2487" s="1" t="s">
        <v>109</v>
      </c>
      <c r="BV2487" s="1"/>
      <c r="BW2487" s="1"/>
      <c r="BX2487" s="1"/>
      <c r="BY2487" s="1"/>
      <c r="BZ2487" s="1">
        <v>0</v>
      </c>
      <c r="CA2487" s="1" t="s">
        <v>109</v>
      </c>
      <c r="CB2487" s="1" t="s">
        <v>109</v>
      </c>
      <c r="CC2487" s="1" t="s">
        <v>109</v>
      </c>
      <c r="CD2487" s="1" t="s">
        <v>109</v>
      </c>
      <c r="CE2487" s="1" t="s">
        <v>109</v>
      </c>
      <c r="CF2487" s="1" t="s">
        <v>109</v>
      </c>
      <c r="CG2487" s="1" t="s">
        <v>109</v>
      </c>
      <c r="CH2487" s="1" t="s">
        <v>109</v>
      </c>
      <c r="CI2487" s="1" t="s">
        <v>109</v>
      </c>
      <c r="CJ2487" s="1" t="s">
        <v>109</v>
      </c>
      <c r="CK2487" s="1"/>
      <c r="CL2487" s="1">
        <v>0</v>
      </c>
      <c r="CM2487" s="1">
        <v>0</v>
      </c>
      <c r="CN2487" s="1">
        <v>0</v>
      </c>
    </row>
    <row r="2488" spans="1:92" ht="14.25" customHeight="1" x14ac:dyDescent="0.15">
      <c r="A2488" s="1" t="s">
        <v>17722</v>
      </c>
      <c r="B2488" s="1" t="s">
        <v>674</v>
      </c>
      <c r="C2488" s="1" t="s">
        <v>68</v>
      </c>
      <c r="D2488" s="1" t="s">
        <v>16253</v>
      </c>
      <c r="E2488" s="1" t="s">
        <v>5699</v>
      </c>
      <c r="F2488" s="1" t="s">
        <v>98</v>
      </c>
      <c r="G2488" s="1" t="s">
        <v>141</v>
      </c>
      <c r="H2488" s="1">
        <v>0</v>
      </c>
      <c r="I2488" s="1" t="s">
        <v>122</v>
      </c>
      <c r="J2488" s="1"/>
      <c r="K2488" s="1" t="s">
        <v>17723</v>
      </c>
      <c r="L2488" s="1"/>
      <c r="M2488" s="1" t="s">
        <v>300</v>
      </c>
      <c r="N2488" s="1">
        <v>0</v>
      </c>
      <c r="O2488" s="1">
        <v>0</v>
      </c>
      <c r="P2488" s="1" t="s">
        <v>4647</v>
      </c>
      <c r="Q2488" s="1" t="s">
        <v>268</v>
      </c>
      <c r="R2488" s="1" t="s">
        <v>17724</v>
      </c>
      <c r="S2488" s="1" t="s">
        <v>17725</v>
      </c>
      <c r="T2488" s="1" t="s">
        <v>17634</v>
      </c>
      <c r="U2488" s="1" t="s">
        <v>17726</v>
      </c>
      <c r="V2488" s="1">
        <v>1</v>
      </c>
      <c r="W2488" s="1">
        <v>1</v>
      </c>
      <c r="X2488" s="1">
        <v>0</v>
      </c>
      <c r="Y2488" s="1">
        <v>0</v>
      </c>
      <c r="Z2488" s="1">
        <v>0</v>
      </c>
      <c r="AA2488" s="1">
        <v>2</v>
      </c>
      <c r="AB2488" s="1">
        <v>2</v>
      </c>
      <c r="AC2488" s="1" t="s">
        <v>109</v>
      </c>
      <c r="AD2488" s="1" t="s">
        <v>109</v>
      </c>
      <c r="AE2488" s="1" t="s">
        <v>109</v>
      </c>
      <c r="AF2488" s="1">
        <v>2</v>
      </c>
      <c r="AG2488" s="1" t="s">
        <v>109</v>
      </c>
      <c r="AH2488" s="1" t="s">
        <v>109</v>
      </c>
      <c r="AI2488" s="1" t="s">
        <v>109</v>
      </c>
      <c r="AJ2488" s="1" t="s">
        <v>109</v>
      </c>
      <c r="AK2488" s="1" t="s">
        <v>109</v>
      </c>
      <c r="AL2488" s="1" t="s">
        <v>109</v>
      </c>
      <c r="AM2488" s="1" t="s">
        <v>109</v>
      </c>
      <c r="AN2488" s="1" t="s">
        <v>109</v>
      </c>
      <c r="AO2488" s="1" t="s">
        <v>109</v>
      </c>
      <c r="AP2488" s="1"/>
      <c r="AQ2488" s="1">
        <v>2</v>
      </c>
      <c r="AR2488" s="1"/>
      <c r="AS2488" s="1"/>
      <c r="AT2488" s="1">
        <v>0</v>
      </c>
      <c r="AU2488" s="1">
        <v>0</v>
      </c>
      <c r="AV2488" s="1">
        <v>0</v>
      </c>
      <c r="AW2488" s="1">
        <v>0</v>
      </c>
      <c r="AX2488" s="1">
        <v>0</v>
      </c>
      <c r="AY2488" s="1">
        <v>0</v>
      </c>
      <c r="AZ2488" s="1">
        <v>0</v>
      </c>
      <c r="BA2488" s="1">
        <v>0</v>
      </c>
      <c r="BB2488" s="1">
        <v>0</v>
      </c>
      <c r="BC2488" s="1">
        <v>0</v>
      </c>
      <c r="BD2488" s="1">
        <v>0</v>
      </c>
      <c r="BE2488" s="1">
        <v>0</v>
      </c>
      <c r="BF2488" s="1">
        <v>0</v>
      </c>
      <c r="BG2488" s="1">
        <v>0</v>
      </c>
      <c r="BH2488" s="1">
        <v>0</v>
      </c>
      <c r="BI2488" s="1">
        <v>0</v>
      </c>
      <c r="BJ2488" s="1">
        <v>0</v>
      </c>
      <c r="BK2488" s="1">
        <v>0</v>
      </c>
      <c r="BL2488" s="1">
        <v>0</v>
      </c>
      <c r="BM2488" s="1">
        <v>0</v>
      </c>
      <c r="BN2488" s="1">
        <v>0</v>
      </c>
      <c r="BO2488" s="1">
        <v>0</v>
      </c>
      <c r="BP2488" s="1">
        <v>1</v>
      </c>
      <c r="BQ2488" s="1">
        <v>0</v>
      </c>
      <c r="BR2488" s="1">
        <v>0</v>
      </c>
      <c r="BS2488" s="1" t="s">
        <v>109</v>
      </c>
      <c r="BT2488" s="1">
        <v>2581</v>
      </c>
      <c r="BU2488" s="1" t="s">
        <v>109</v>
      </c>
      <c r="BV2488" s="1"/>
      <c r="BW2488" s="1"/>
      <c r="BX2488" s="1"/>
      <c r="BY2488" s="1"/>
      <c r="BZ2488" s="1">
        <v>0</v>
      </c>
      <c r="CA2488" s="1" t="s">
        <v>109</v>
      </c>
      <c r="CB2488" s="1" t="s">
        <v>109</v>
      </c>
      <c r="CC2488" s="1" t="s">
        <v>109</v>
      </c>
      <c r="CD2488" s="1" t="s">
        <v>109</v>
      </c>
      <c r="CE2488" s="1" t="s">
        <v>109</v>
      </c>
      <c r="CF2488" s="1" t="s">
        <v>109</v>
      </c>
      <c r="CG2488" s="1" t="s">
        <v>109</v>
      </c>
      <c r="CH2488" s="1" t="s">
        <v>109</v>
      </c>
      <c r="CI2488" s="1" t="s">
        <v>109</v>
      </c>
      <c r="CJ2488" s="1" t="s">
        <v>109</v>
      </c>
      <c r="CK2488" s="1"/>
      <c r="CL2488" s="1">
        <v>0</v>
      </c>
      <c r="CM2488" s="1">
        <v>0</v>
      </c>
      <c r="CN2488" s="1">
        <v>0</v>
      </c>
    </row>
    <row r="2489" spans="1:92" ht="14.25" customHeight="1" x14ac:dyDescent="0.15">
      <c r="A2489" s="1" t="s">
        <v>17727</v>
      </c>
      <c r="B2489" s="1" t="s">
        <v>156</v>
      </c>
      <c r="C2489" s="1" t="s">
        <v>157</v>
      </c>
      <c r="D2489" s="1" t="s">
        <v>16043</v>
      </c>
      <c r="E2489" s="1" t="s">
        <v>17728</v>
      </c>
      <c r="F2489" s="1" t="s">
        <v>98</v>
      </c>
      <c r="G2489" s="1" t="s">
        <v>17729</v>
      </c>
      <c r="H2489" s="1">
        <v>0</v>
      </c>
      <c r="I2489" s="1" t="s">
        <v>142</v>
      </c>
      <c r="J2489" s="1"/>
      <c r="K2489" s="1"/>
      <c r="L2489" s="1" t="s">
        <v>1391</v>
      </c>
      <c r="M2489" s="1" t="s">
        <v>815</v>
      </c>
      <c r="N2489" s="1">
        <v>1</v>
      </c>
      <c r="O2489" s="1">
        <v>0</v>
      </c>
      <c r="P2489" s="1" t="s">
        <v>301</v>
      </c>
      <c r="Q2489" s="1" t="s">
        <v>268</v>
      </c>
      <c r="R2489" s="1" t="s">
        <v>17730</v>
      </c>
      <c r="S2489" s="1" t="s">
        <v>17731</v>
      </c>
      <c r="T2489" s="1" t="s">
        <v>17634</v>
      </c>
      <c r="U2489" s="1" t="s">
        <v>17732</v>
      </c>
      <c r="V2489" s="1">
        <v>0</v>
      </c>
      <c r="W2489" s="1">
        <v>1</v>
      </c>
      <c r="X2489" s="1">
        <v>1</v>
      </c>
      <c r="Y2489" s="1">
        <v>0</v>
      </c>
      <c r="Z2489" s="1">
        <v>0</v>
      </c>
      <c r="AA2489" s="1">
        <v>4</v>
      </c>
      <c r="AB2489" s="1">
        <v>4</v>
      </c>
      <c r="AC2489" s="1" t="s">
        <v>109</v>
      </c>
      <c r="AD2489" s="1" t="s">
        <v>109</v>
      </c>
      <c r="AE2489" s="1" t="s">
        <v>109</v>
      </c>
      <c r="AF2489" s="1">
        <v>3</v>
      </c>
      <c r="AG2489" s="1" t="s">
        <v>109</v>
      </c>
      <c r="AH2489" s="1" t="s">
        <v>109</v>
      </c>
      <c r="AI2489" s="1" t="s">
        <v>109</v>
      </c>
      <c r="AJ2489" s="1">
        <v>4</v>
      </c>
      <c r="AK2489" s="1" t="s">
        <v>109</v>
      </c>
      <c r="AL2489" s="1" t="s">
        <v>109</v>
      </c>
      <c r="AM2489" s="1" t="s">
        <v>109</v>
      </c>
      <c r="AN2489" s="1" t="s">
        <v>109</v>
      </c>
      <c r="AO2489" s="1" t="s">
        <v>109</v>
      </c>
      <c r="AP2489" s="1"/>
      <c r="AQ2489" s="1">
        <v>4</v>
      </c>
      <c r="AR2489" s="1"/>
      <c r="AS2489" s="1"/>
      <c r="AT2489" s="1">
        <v>0</v>
      </c>
      <c r="AU2489" s="1">
        <v>0</v>
      </c>
      <c r="AV2489" s="1">
        <v>0</v>
      </c>
      <c r="AW2489" s="1">
        <v>0</v>
      </c>
      <c r="AX2489" s="1">
        <v>0</v>
      </c>
      <c r="AY2489" s="1">
        <v>0</v>
      </c>
      <c r="AZ2489" s="1">
        <v>0</v>
      </c>
      <c r="BA2489" s="1">
        <v>0</v>
      </c>
      <c r="BB2489" s="1">
        <v>0</v>
      </c>
      <c r="BC2489" s="1">
        <v>0</v>
      </c>
      <c r="BD2489" s="1">
        <v>1</v>
      </c>
      <c r="BE2489" s="1">
        <v>0</v>
      </c>
      <c r="BF2489" s="1">
        <v>0</v>
      </c>
      <c r="BG2489" s="1">
        <v>0</v>
      </c>
      <c r="BH2489" s="1">
        <v>0</v>
      </c>
      <c r="BI2489" s="1">
        <v>0</v>
      </c>
      <c r="BJ2489" s="1">
        <v>0</v>
      </c>
      <c r="BK2489" s="1">
        <v>0</v>
      </c>
      <c r="BL2489" s="1">
        <v>0</v>
      </c>
      <c r="BM2489" s="1">
        <v>1</v>
      </c>
      <c r="BN2489" s="1">
        <v>0</v>
      </c>
      <c r="BO2489" s="1">
        <v>0</v>
      </c>
      <c r="BP2489" s="1">
        <v>0</v>
      </c>
      <c r="BQ2489" s="1">
        <v>0</v>
      </c>
      <c r="BR2489" s="1">
        <v>0</v>
      </c>
      <c r="BS2489" s="1" t="s">
        <v>109</v>
      </c>
      <c r="BT2489" s="1">
        <v>2582</v>
      </c>
      <c r="BU2489" s="1" t="s">
        <v>109</v>
      </c>
      <c r="BV2489" s="1"/>
      <c r="BW2489" s="1"/>
      <c r="BX2489" s="1"/>
      <c r="BY2489" s="1"/>
      <c r="BZ2489" s="1">
        <v>0</v>
      </c>
      <c r="CA2489" s="1" t="s">
        <v>109</v>
      </c>
      <c r="CB2489" s="1" t="s">
        <v>109</v>
      </c>
      <c r="CC2489" s="1">
        <v>4</v>
      </c>
      <c r="CD2489" s="1">
        <v>3</v>
      </c>
      <c r="CE2489" s="1">
        <v>3</v>
      </c>
      <c r="CF2489" s="1" t="s">
        <v>109</v>
      </c>
      <c r="CG2489" s="1" t="s">
        <v>109</v>
      </c>
      <c r="CH2489" s="1" t="s">
        <v>109</v>
      </c>
      <c r="CI2489" s="1" t="s">
        <v>109</v>
      </c>
      <c r="CJ2489" s="1" t="s">
        <v>109</v>
      </c>
      <c r="CK2489" s="1"/>
      <c r="CL2489" s="1">
        <v>0</v>
      </c>
      <c r="CM2489" s="1">
        <v>0</v>
      </c>
      <c r="CN2489" s="1">
        <v>0</v>
      </c>
    </row>
    <row r="2490" spans="1:92" ht="14.25" customHeight="1" x14ac:dyDescent="0.15">
      <c r="A2490" s="1" t="s">
        <v>17733</v>
      </c>
      <c r="B2490" s="1" t="s">
        <v>156</v>
      </c>
      <c r="C2490" s="1" t="s">
        <v>157</v>
      </c>
      <c r="D2490" s="1" t="s">
        <v>16043</v>
      </c>
      <c r="E2490" s="1" t="s">
        <v>17734</v>
      </c>
      <c r="F2490" s="1" t="s">
        <v>98</v>
      </c>
      <c r="G2490" s="1" t="s">
        <v>17729</v>
      </c>
      <c r="H2490" s="1">
        <v>0</v>
      </c>
      <c r="I2490" s="1" t="s">
        <v>142</v>
      </c>
      <c r="J2490" s="1"/>
      <c r="K2490" s="1"/>
      <c r="L2490" s="1" t="s">
        <v>1391</v>
      </c>
      <c r="M2490" s="1" t="s">
        <v>5811</v>
      </c>
      <c r="N2490" s="1">
        <v>1</v>
      </c>
      <c r="O2490" s="1">
        <v>0</v>
      </c>
      <c r="P2490" s="1" t="s">
        <v>301</v>
      </c>
      <c r="Q2490" s="1" t="s">
        <v>268</v>
      </c>
      <c r="R2490" s="1" t="s">
        <v>17735</v>
      </c>
      <c r="S2490" s="1" t="s">
        <v>17736</v>
      </c>
      <c r="T2490" s="1" t="s">
        <v>17634</v>
      </c>
      <c r="U2490" s="1" t="s">
        <v>17737</v>
      </c>
      <c r="V2490" s="1">
        <v>0</v>
      </c>
      <c r="W2490" s="1">
        <v>1</v>
      </c>
      <c r="X2490" s="1">
        <v>1</v>
      </c>
      <c r="Y2490" s="1">
        <v>0</v>
      </c>
      <c r="Z2490" s="1">
        <v>0</v>
      </c>
      <c r="AA2490" s="1">
        <v>7</v>
      </c>
      <c r="AB2490" s="1">
        <v>7</v>
      </c>
      <c r="AC2490" s="1" t="s">
        <v>109</v>
      </c>
      <c r="AD2490" s="1" t="s">
        <v>109</v>
      </c>
      <c r="AE2490" s="1" t="s">
        <v>109</v>
      </c>
      <c r="AF2490" s="1">
        <v>5</v>
      </c>
      <c r="AG2490" s="1" t="s">
        <v>109</v>
      </c>
      <c r="AH2490" s="1" t="s">
        <v>109</v>
      </c>
      <c r="AI2490" s="1" t="s">
        <v>109</v>
      </c>
      <c r="AJ2490" s="1">
        <v>7</v>
      </c>
      <c r="AK2490" s="1" t="s">
        <v>109</v>
      </c>
      <c r="AL2490" s="1" t="s">
        <v>109</v>
      </c>
      <c r="AM2490" s="1" t="s">
        <v>109</v>
      </c>
      <c r="AN2490" s="1" t="s">
        <v>109</v>
      </c>
      <c r="AO2490" s="1" t="s">
        <v>109</v>
      </c>
      <c r="AP2490" s="1"/>
      <c r="AQ2490" s="1">
        <v>7</v>
      </c>
      <c r="AR2490" s="1"/>
      <c r="AS2490" s="1"/>
      <c r="AT2490" s="1">
        <v>0</v>
      </c>
      <c r="AU2490" s="1">
        <v>0</v>
      </c>
      <c r="AV2490" s="1">
        <v>0</v>
      </c>
      <c r="AW2490" s="1">
        <v>0</v>
      </c>
      <c r="AX2490" s="1">
        <v>0</v>
      </c>
      <c r="AY2490" s="1">
        <v>0</v>
      </c>
      <c r="AZ2490" s="1">
        <v>0</v>
      </c>
      <c r="BA2490" s="1">
        <v>0</v>
      </c>
      <c r="BB2490" s="1">
        <v>0</v>
      </c>
      <c r="BC2490" s="1">
        <v>0</v>
      </c>
      <c r="BD2490" s="1">
        <v>1</v>
      </c>
      <c r="BE2490" s="1">
        <v>0</v>
      </c>
      <c r="BF2490" s="1">
        <v>0</v>
      </c>
      <c r="BG2490" s="1">
        <v>0</v>
      </c>
      <c r="BH2490" s="1">
        <v>0</v>
      </c>
      <c r="BI2490" s="1">
        <v>0</v>
      </c>
      <c r="BJ2490" s="1">
        <v>0</v>
      </c>
      <c r="BK2490" s="1">
        <v>0</v>
      </c>
      <c r="BL2490" s="1">
        <v>0</v>
      </c>
      <c r="BM2490" s="1">
        <v>1</v>
      </c>
      <c r="BN2490" s="1">
        <v>0</v>
      </c>
      <c r="BO2490" s="1">
        <v>0</v>
      </c>
      <c r="BP2490" s="1">
        <v>0</v>
      </c>
      <c r="BQ2490" s="1">
        <v>0</v>
      </c>
      <c r="BR2490" s="1">
        <v>0</v>
      </c>
      <c r="BS2490" s="1" t="s">
        <v>109</v>
      </c>
      <c r="BT2490" s="1">
        <v>2583</v>
      </c>
      <c r="BU2490" s="1" t="s">
        <v>109</v>
      </c>
      <c r="BV2490" s="1"/>
      <c r="BW2490" s="1"/>
      <c r="BX2490" s="1"/>
      <c r="BY2490" s="1"/>
      <c r="BZ2490" s="1">
        <v>0</v>
      </c>
      <c r="CA2490" s="1" t="s">
        <v>109</v>
      </c>
      <c r="CB2490" s="1" t="s">
        <v>109</v>
      </c>
      <c r="CC2490" s="1">
        <v>7</v>
      </c>
      <c r="CD2490" s="1">
        <v>4</v>
      </c>
      <c r="CE2490" s="1">
        <v>5</v>
      </c>
      <c r="CF2490" s="1" t="s">
        <v>109</v>
      </c>
      <c r="CG2490" s="1" t="s">
        <v>109</v>
      </c>
      <c r="CH2490" s="1" t="s">
        <v>109</v>
      </c>
      <c r="CI2490" s="1" t="s">
        <v>109</v>
      </c>
      <c r="CJ2490" s="1" t="s">
        <v>109</v>
      </c>
      <c r="CK2490" s="1"/>
      <c r="CL2490" s="1">
        <v>0</v>
      </c>
      <c r="CM2490" s="1">
        <v>0</v>
      </c>
      <c r="CN2490" s="1">
        <v>0</v>
      </c>
    </row>
    <row r="2491" spans="1:92" ht="14.25" customHeight="1" x14ac:dyDescent="0.15">
      <c r="A2491" s="1" t="s">
        <v>17738</v>
      </c>
      <c r="B2491" s="1" t="s">
        <v>156</v>
      </c>
      <c r="C2491" s="1" t="s">
        <v>157</v>
      </c>
      <c r="D2491" s="1" t="s">
        <v>473</v>
      </c>
      <c r="E2491" s="1" t="s">
        <v>17739</v>
      </c>
      <c r="F2491" s="1" t="s">
        <v>98</v>
      </c>
      <c r="G2491" s="1" t="s">
        <v>141</v>
      </c>
      <c r="H2491" s="1">
        <v>0</v>
      </c>
      <c r="I2491" s="1" t="s">
        <v>142</v>
      </c>
      <c r="J2491" s="1"/>
      <c r="K2491" s="1"/>
      <c r="L2491" s="1" t="s">
        <v>17740</v>
      </c>
      <c r="M2491" s="1" t="s">
        <v>815</v>
      </c>
      <c r="N2491" s="1">
        <v>1</v>
      </c>
      <c r="O2491" s="1">
        <v>0</v>
      </c>
      <c r="P2491" s="1" t="s">
        <v>507</v>
      </c>
      <c r="Q2491" s="1" t="s">
        <v>268</v>
      </c>
      <c r="R2491" s="1" t="s">
        <v>17741</v>
      </c>
      <c r="S2491" s="1" t="s">
        <v>17742</v>
      </c>
      <c r="T2491" s="1" t="s">
        <v>17634</v>
      </c>
      <c r="U2491" s="1" t="s">
        <v>17743</v>
      </c>
      <c r="V2491" s="1">
        <v>1</v>
      </c>
      <c r="W2491" s="1">
        <v>1</v>
      </c>
      <c r="X2491" s="1">
        <v>0</v>
      </c>
      <c r="Y2491" s="1">
        <v>0</v>
      </c>
      <c r="Z2491" s="1">
        <v>0</v>
      </c>
      <c r="AA2491" s="1">
        <v>5</v>
      </c>
      <c r="AB2491" s="1">
        <v>5</v>
      </c>
      <c r="AC2491" s="1">
        <v>5</v>
      </c>
      <c r="AD2491" s="1" t="s">
        <v>109</v>
      </c>
      <c r="AE2491" s="1" t="s">
        <v>109</v>
      </c>
      <c r="AF2491" s="1">
        <v>4</v>
      </c>
      <c r="AG2491" s="1" t="s">
        <v>109</v>
      </c>
      <c r="AH2491" s="1" t="s">
        <v>109</v>
      </c>
      <c r="AI2491" s="1">
        <v>4</v>
      </c>
      <c r="AJ2491" s="1">
        <v>5</v>
      </c>
      <c r="AK2491" s="1">
        <v>4</v>
      </c>
      <c r="AL2491" s="1">
        <v>5</v>
      </c>
      <c r="AM2491" s="1" t="s">
        <v>109</v>
      </c>
      <c r="AN2491" s="1" t="s">
        <v>109</v>
      </c>
      <c r="AO2491" s="1" t="s">
        <v>109</v>
      </c>
      <c r="AP2491" s="1"/>
      <c r="AQ2491" s="1">
        <v>5</v>
      </c>
      <c r="AR2491" s="1"/>
      <c r="AS2491" s="1"/>
      <c r="AT2491" s="1">
        <v>0</v>
      </c>
      <c r="AU2491" s="1">
        <v>0</v>
      </c>
      <c r="AV2491" s="1">
        <v>0</v>
      </c>
      <c r="AW2491" s="1">
        <v>0</v>
      </c>
      <c r="AX2491" s="1">
        <v>0</v>
      </c>
      <c r="AY2491" s="1">
        <v>0</v>
      </c>
      <c r="AZ2491" s="1">
        <v>0</v>
      </c>
      <c r="BA2491" s="1">
        <v>0</v>
      </c>
      <c r="BB2491" s="1">
        <v>0</v>
      </c>
      <c r="BC2491" s="1">
        <v>0</v>
      </c>
      <c r="BD2491" s="1">
        <v>0</v>
      </c>
      <c r="BE2491" s="1">
        <v>0</v>
      </c>
      <c r="BF2491" s="1">
        <v>1</v>
      </c>
      <c r="BG2491" s="1">
        <v>0</v>
      </c>
      <c r="BH2491" s="1">
        <v>0</v>
      </c>
      <c r="BI2491" s="1">
        <v>0</v>
      </c>
      <c r="BJ2491" s="1">
        <v>0</v>
      </c>
      <c r="BK2491" s="1">
        <v>0</v>
      </c>
      <c r="BL2491" s="1">
        <v>0</v>
      </c>
      <c r="BM2491" s="1">
        <v>1</v>
      </c>
      <c r="BN2491" s="1">
        <v>0</v>
      </c>
      <c r="BO2491" s="1">
        <v>0</v>
      </c>
      <c r="BP2491" s="1">
        <v>0</v>
      </c>
      <c r="BQ2491" s="1">
        <v>0</v>
      </c>
      <c r="BR2491" s="1">
        <v>0</v>
      </c>
      <c r="BS2491" s="1" t="s">
        <v>109</v>
      </c>
      <c r="BT2491" s="1">
        <v>2584</v>
      </c>
      <c r="BU2491" s="1" t="s">
        <v>109</v>
      </c>
      <c r="BV2491" s="1"/>
      <c r="BW2491" s="1"/>
      <c r="BX2491" s="1"/>
      <c r="BY2491" s="1"/>
      <c r="BZ2491" s="1">
        <v>0</v>
      </c>
      <c r="CA2491" s="1" t="s">
        <v>109</v>
      </c>
      <c r="CB2491" s="1" t="s">
        <v>109</v>
      </c>
      <c r="CC2491" s="1">
        <v>5</v>
      </c>
      <c r="CD2491" s="1" t="s">
        <v>109</v>
      </c>
      <c r="CE2491" s="1">
        <v>4</v>
      </c>
      <c r="CF2491" s="1" t="s">
        <v>109</v>
      </c>
      <c r="CG2491" s="1" t="s">
        <v>109</v>
      </c>
      <c r="CH2491" s="1" t="s">
        <v>109</v>
      </c>
      <c r="CI2491" s="1" t="s">
        <v>109</v>
      </c>
      <c r="CJ2491" s="1" t="s">
        <v>109</v>
      </c>
      <c r="CK2491" s="1"/>
      <c r="CL2491" s="1">
        <v>0</v>
      </c>
      <c r="CM2491" s="1">
        <v>0</v>
      </c>
      <c r="CN2491" s="1">
        <v>0</v>
      </c>
    </row>
    <row r="2492" spans="1:92" ht="14.25" customHeight="1" x14ac:dyDescent="0.15">
      <c r="A2492" s="1" t="s">
        <v>17744</v>
      </c>
      <c r="B2492" s="1" t="s">
        <v>189</v>
      </c>
      <c r="C2492" s="1"/>
      <c r="D2492" s="1"/>
      <c r="E2492" s="1" t="s">
        <v>4849</v>
      </c>
      <c r="F2492" s="1" t="s">
        <v>98</v>
      </c>
      <c r="G2492" s="1" t="s">
        <v>141</v>
      </c>
      <c r="H2492" s="1">
        <v>0</v>
      </c>
      <c r="I2492" s="1"/>
      <c r="J2492" s="1"/>
      <c r="K2492" s="1"/>
      <c r="L2492" s="1" t="s">
        <v>17745</v>
      </c>
      <c r="M2492" s="1" t="s">
        <v>5811</v>
      </c>
      <c r="N2492" s="1">
        <v>1</v>
      </c>
      <c r="O2492" s="1">
        <v>0</v>
      </c>
      <c r="P2492" s="1" t="s">
        <v>103</v>
      </c>
      <c r="Q2492" s="1" t="s">
        <v>104</v>
      </c>
      <c r="R2492" s="1" t="s">
        <v>17746</v>
      </c>
      <c r="S2492" s="1" t="s">
        <v>17747</v>
      </c>
      <c r="T2492" s="1" t="s">
        <v>17634</v>
      </c>
      <c r="U2492" s="1" t="s">
        <v>17748</v>
      </c>
      <c r="V2492" s="1">
        <v>1</v>
      </c>
      <c r="W2492" s="1">
        <v>1</v>
      </c>
      <c r="X2492" s="1">
        <v>0</v>
      </c>
      <c r="Y2492" s="1">
        <v>0</v>
      </c>
      <c r="Z2492" s="1">
        <v>0</v>
      </c>
      <c r="AA2492" s="1" t="s">
        <v>109</v>
      </c>
      <c r="AB2492" s="1" t="s">
        <v>109</v>
      </c>
      <c r="AC2492" s="1" t="s">
        <v>109</v>
      </c>
      <c r="AD2492" s="1">
        <v>4</v>
      </c>
      <c r="AE2492" s="1">
        <v>4</v>
      </c>
      <c r="AF2492" s="1" t="s">
        <v>109</v>
      </c>
      <c r="AG2492" s="1" t="s">
        <v>109</v>
      </c>
      <c r="AH2492" s="1" t="s">
        <v>109</v>
      </c>
      <c r="AI2492" s="1" t="s">
        <v>109</v>
      </c>
      <c r="AJ2492" s="1" t="s">
        <v>109</v>
      </c>
      <c r="AK2492" s="1" t="s">
        <v>109</v>
      </c>
      <c r="AL2492" s="1" t="s">
        <v>109</v>
      </c>
      <c r="AM2492" s="1" t="s">
        <v>109</v>
      </c>
      <c r="AN2492" s="1" t="s">
        <v>109</v>
      </c>
      <c r="AO2492" s="1" t="s">
        <v>109</v>
      </c>
      <c r="AP2492" s="1"/>
      <c r="AQ2492" s="1">
        <v>4</v>
      </c>
      <c r="AR2492" s="1"/>
      <c r="AS2492" s="1"/>
      <c r="AT2492" s="1">
        <v>0</v>
      </c>
      <c r="AU2492" s="1">
        <v>0</v>
      </c>
      <c r="AV2492" s="1">
        <v>0</v>
      </c>
      <c r="AW2492" s="1">
        <v>0</v>
      </c>
      <c r="AX2492" s="1">
        <v>0</v>
      </c>
      <c r="AY2492" s="1">
        <v>0</v>
      </c>
      <c r="AZ2492" s="1">
        <v>0</v>
      </c>
      <c r="BA2492" s="1">
        <v>0</v>
      </c>
      <c r="BB2492" s="1">
        <v>0</v>
      </c>
      <c r="BC2492" s="1">
        <v>0</v>
      </c>
      <c r="BD2492" s="1">
        <v>0</v>
      </c>
      <c r="BE2492" s="1">
        <v>0</v>
      </c>
      <c r="BF2492" s="1">
        <v>0</v>
      </c>
      <c r="BG2492" s="1">
        <v>0</v>
      </c>
      <c r="BH2492" s="1">
        <v>0</v>
      </c>
      <c r="BI2492" s="1">
        <v>0</v>
      </c>
      <c r="BJ2492" s="1">
        <v>0</v>
      </c>
      <c r="BK2492" s="1">
        <v>0</v>
      </c>
      <c r="BL2492" s="1">
        <v>0</v>
      </c>
      <c r="BM2492" s="1">
        <v>0</v>
      </c>
      <c r="BN2492" s="1">
        <v>0</v>
      </c>
      <c r="BO2492" s="1">
        <v>0</v>
      </c>
      <c r="BP2492" s="1">
        <v>0</v>
      </c>
      <c r="BQ2492" s="1">
        <v>0</v>
      </c>
      <c r="BR2492" s="1">
        <v>0</v>
      </c>
      <c r="BS2492" s="1" t="s">
        <v>109</v>
      </c>
      <c r="BT2492" s="1">
        <v>2585</v>
      </c>
      <c r="BU2492" s="1" t="s">
        <v>109</v>
      </c>
      <c r="BV2492" s="1"/>
      <c r="BW2492" s="1"/>
      <c r="BX2492" s="1"/>
      <c r="BY2492" s="1"/>
      <c r="BZ2492" s="1">
        <v>0</v>
      </c>
      <c r="CA2492" s="1" t="s">
        <v>109</v>
      </c>
      <c r="CB2492" s="1" t="s">
        <v>109</v>
      </c>
      <c r="CC2492" s="1" t="s">
        <v>109</v>
      </c>
      <c r="CD2492" s="1" t="s">
        <v>109</v>
      </c>
      <c r="CE2492" s="1" t="s">
        <v>109</v>
      </c>
      <c r="CF2492" s="1" t="s">
        <v>109</v>
      </c>
      <c r="CG2492" s="1" t="s">
        <v>109</v>
      </c>
      <c r="CH2492" s="1" t="s">
        <v>109</v>
      </c>
      <c r="CI2492" s="1" t="s">
        <v>109</v>
      </c>
      <c r="CJ2492" s="1">
        <v>4</v>
      </c>
      <c r="CK2492" s="1"/>
      <c r="CL2492" s="1">
        <v>0</v>
      </c>
      <c r="CM2492" s="1">
        <v>0</v>
      </c>
      <c r="CN2492" s="1">
        <v>0</v>
      </c>
    </row>
    <row r="2493" spans="1:92" ht="14.25" customHeight="1" x14ac:dyDescent="0.15">
      <c r="A2493" s="1" t="s">
        <v>17749</v>
      </c>
      <c r="B2493" s="1" t="s">
        <v>189</v>
      </c>
      <c r="C2493" s="1"/>
      <c r="D2493" s="1"/>
      <c r="E2493" s="1" t="s">
        <v>17750</v>
      </c>
      <c r="F2493" s="1" t="s">
        <v>98</v>
      </c>
      <c r="G2493" s="1" t="s">
        <v>17751</v>
      </c>
      <c r="H2493" s="1">
        <v>1</v>
      </c>
      <c r="I2493" s="1" t="s">
        <v>161</v>
      </c>
      <c r="J2493" s="1"/>
      <c r="K2493" s="1"/>
      <c r="L2493" s="1" t="s">
        <v>17752</v>
      </c>
      <c r="M2493" s="1" t="s">
        <v>144</v>
      </c>
      <c r="N2493" s="1">
        <v>0</v>
      </c>
      <c r="O2493" s="1">
        <v>0</v>
      </c>
      <c r="P2493" s="1" t="s">
        <v>103</v>
      </c>
      <c r="Q2493" s="1" t="s">
        <v>104</v>
      </c>
      <c r="R2493" s="1" t="s">
        <v>17753</v>
      </c>
      <c r="S2493" s="1" t="s">
        <v>17754</v>
      </c>
      <c r="T2493" s="1" t="s">
        <v>17634</v>
      </c>
      <c r="U2493" s="1" t="s">
        <v>17755</v>
      </c>
      <c r="V2493" s="1">
        <v>1</v>
      </c>
      <c r="W2493" s="1">
        <v>1</v>
      </c>
      <c r="X2493" s="1">
        <v>1</v>
      </c>
      <c r="Y2493" s="1">
        <v>0</v>
      </c>
      <c r="Z2493" s="1">
        <v>0</v>
      </c>
      <c r="AA2493" s="1">
        <v>6</v>
      </c>
      <c r="AB2493" s="1">
        <v>6</v>
      </c>
      <c r="AC2493" s="1" t="s">
        <v>109</v>
      </c>
      <c r="AD2493" s="1" t="s">
        <v>109</v>
      </c>
      <c r="AE2493" s="1" t="s">
        <v>109</v>
      </c>
      <c r="AF2493" s="1" t="s">
        <v>109</v>
      </c>
      <c r="AG2493" s="1" t="s">
        <v>109</v>
      </c>
      <c r="AH2493" s="1">
        <v>5</v>
      </c>
      <c r="AI2493" s="1" t="s">
        <v>109</v>
      </c>
      <c r="AJ2493" s="1" t="s">
        <v>109</v>
      </c>
      <c r="AK2493" s="1" t="s">
        <v>109</v>
      </c>
      <c r="AL2493" s="1" t="s">
        <v>109</v>
      </c>
      <c r="AM2493" s="1" t="s">
        <v>109</v>
      </c>
      <c r="AN2493" s="1" t="s">
        <v>109</v>
      </c>
      <c r="AO2493" s="1" t="s">
        <v>109</v>
      </c>
      <c r="AP2493" s="1"/>
      <c r="AQ2493" s="1">
        <v>6</v>
      </c>
      <c r="AR2493" s="1"/>
      <c r="AS2493" s="1"/>
      <c r="AT2493" s="1">
        <v>0</v>
      </c>
      <c r="AU2493" s="1">
        <v>0</v>
      </c>
      <c r="AV2493" s="1">
        <v>0</v>
      </c>
      <c r="AW2493" s="1">
        <v>0</v>
      </c>
      <c r="AX2493" s="1">
        <v>0</v>
      </c>
      <c r="AY2493" s="1">
        <v>0</v>
      </c>
      <c r="AZ2493" s="1">
        <v>0</v>
      </c>
      <c r="BA2493" s="1">
        <v>0</v>
      </c>
      <c r="BB2493" s="1">
        <v>0</v>
      </c>
      <c r="BC2493" s="1">
        <v>0</v>
      </c>
      <c r="BD2493" s="1">
        <v>0</v>
      </c>
      <c r="BE2493" s="1">
        <v>0</v>
      </c>
      <c r="BF2493" s="1">
        <v>0</v>
      </c>
      <c r="BG2493" s="1">
        <v>0</v>
      </c>
      <c r="BH2493" s="1">
        <v>0</v>
      </c>
      <c r="BI2493" s="1">
        <v>0</v>
      </c>
      <c r="BJ2493" s="1">
        <v>0</v>
      </c>
      <c r="BK2493" s="1">
        <v>0</v>
      </c>
      <c r="BL2493" s="1">
        <v>0</v>
      </c>
      <c r="BM2493" s="1">
        <v>0</v>
      </c>
      <c r="BN2493" s="1">
        <v>0</v>
      </c>
      <c r="BO2493" s="1">
        <v>0</v>
      </c>
      <c r="BP2493" s="1">
        <v>0</v>
      </c>
      <c r="BQ2493" s="1">
        <v>0</v>
      </c>
      <c r="BR2493" s="1">
        <v>0</v>
      </c>
      <c r="BS2493" s="1" t="s">
        <v>109</v>
      </c>
      <c r="BT2493" s="1">
        <v>2586</v>
      </c>
      <c r="BU2493" s="1">
        <v>1</v>
      </c>
      <c r="BV2493" s="1"/>
      <c r="BW2493" s="1"/>
      <c r="BX2493" s="1"/>
      <c r="BY2493" s="1"/>
      <c r="BZ2493" s="1">
        <v>0</v>
      </c>
      <c r="CA2493" s="1" t="s">
        <v>109</v>
      </c>
      <c r="CB2493" s="1" t="s">
        <v>109</v>
      </c>
      <c r="CC2493" s="1" t="s">
        <v>109</v>
      </c>
      <c r="CD2493" s="1" t="s">
        <v>109</v>
      </c>
      <c r="CE2493" s="1" t="s">
        <v>109</v>
      </c>
      <c r="CF2493" s="1">
        <v>6</v>
      </c>
      <c r="CG2493" s="1" t="s">
        <v>109</v>
      </c>
      <c r="CH2493" s="1" t="s">
        <v>109</v>
      </c>
      <c r="CI2493" s="1" t="s">
        <v>109</v>
      </c>
      <c r="CJ2493" s="1" t="s">
        <v>109</v>
      </c>
      <c r="CK2493" s="1"/>
      <c r="CL2493" s="1">
        <v>0</v>
      </c>
      <c r="CM2493" s="1">
        <v>0</v>
      </c>
      <c r="CN2493" s="1">
        <v>0</v>
      </c>
    </row>
    <row r="2494" spans="1:92" ht="14.25" customHeight="1" x14ac:dyDescent="0.15">
      <c r="A2494" s="1" t="s">
        <v>17756</v>
      </c>
      <c r="B2494" s="1" t="s">
        <v>254</v>
      </c>
      <c r="C2494" s="1"/>
      <c r="D2494" s="1"/>
      <c r="E2494" s="1" t="s">
        <v>17757</v>
      </c>
      <c r="F2494" s="1" t="s">
        <v>98</v>
      </c>
      <c r="G2494" s="1" t="s">
        <v>7808</v>
      </c>
      <c r="H2494" s="1">
        <v>0</v>
      </c>
      <c r="I2494" s="1" t="s">
        <v>235</v>
      </c>
      <c r="J2494" s="1"/>
      <c r="K2494" s="1"/>
      <c r="L2494" s="1" t="s">
        <v>236</v>
      </c>
      <c r="M2494" s="1" t="s">
        <v>3042</v>
      </c>
      <c r="N2494" s="1">
        <v>0</v>
      </c>
      <c r="O2494" s="1">
        <v>0</v>
      </c>
      <c r="P2494" s="1"/>
      <c r="Q2494" s="1"/>
      <c r="R2494" s="1" t="s">
        <v>17758</v>
      </c>
      <c r="S2494" s="1" t="s">
        <v>17759</v>
      </c>
      <c r="T2494" s="1" t="s">
        <v>17634</v>
      </c>
      <c r="U2494" s="1" t="s">
        <v>17760</v>
      </c>
      <c r="V2494" s="1">
        <v>1</v>
      </c>
      <c r="W2494" s="1">
        <v>1</v>
      </c>
      <c r="X2494" s="1">
        <v>0</v>
      </c>
      <c r="Y2494" s="1">
        <v>0</v>
      </c>
      <c r="Z2494" s="1">
        <v>0</v>
      </c>
      <c r="AA2494" s="1">
        <v>1</v>
      </c>
      <c r="AB2494" s="1">
        <v>1</v>
      </c>
      <c r="AC2494" s="1" t="s">
        <v>109</v>
      </c>
      <c r="AD2494" s="1" t="s">
        <v>109</v>
      </c>
      <c r="AE2494" s="1" t="s">
        <v>109</v>
      </c>
      <c r="AF2494" s="1">
        <v>1</v>
      </c>
      <c r="AG2494" s="1" t="s">
        <v>109</v>
      </c>
      <c r="AH2494" s="1">
        <v>1</v>
      </c>
      <c r="AI2494" s="1" t="s">
        <v>109</v>
      </c>
      <c r="AJ2494" s="1" t="s">
        <v>109</v>
      </c>
      <c r="AK2494" s="1" t="s">
        <v>109</v>
      </c>
      <c r="AL2494" s="1" t="s">
        <v>109</v>
      </c>
      <c r="AM2494" s="1" t="s">
        <v>109</v>
      </c>
      <c r="AN2494" s="1">
        <v>1</v>
      </c>
      <c r="AO2494" s="1" t="s">
        <v>109</v>
      </c>
      <c r="AP2494" s="1"/>
      <c r="AQ2494" s="1">
        <v>1</v>
      </c>
      <c r="AR2494" s="1"/>
      <c r="AS2494" s="1"/>
      <c r="AT2494" s="1">
        <v>0</v>
      </c>
      <c r="AU2494" s="1">
        <v>0</v>
      </c>
      <c r="AV2494" s="1">
        <v>0</v>
      </c>
      <c r="AW2494" s="1">
        <v>0</v>
      </c>
      <c r="AX2494" s="1">
        <v>0</v>
      </c>
      <c r="AY2494" s="1">
        <v>0</v>
      </c>
      <c r="AZ2494" s="1">
        <v>0</v>
      </c>
      <c r="BA2494" s="1">
        <v>0</v>
      </c>
      <c r="BB2494" s="1">
        <v>0</v>
      </c>
      <c r="BC2494" s="1">
        <v>0</v>
      </c>
      <c r="BD2494" s="1">
        <v>0</v>
      </c>
      <c r="BE2494" s="1">
        <v>0</v>
      </c>
      <c r="BF2494" s="1">
        <v>0</v>
      </c>
      <c r="BG2494" s="1">
        <v>0</v>
      </c>
      <c r="BH2494" s="1">
        <v>0</v>
      </c>
      <c r="BI2494" s="1">
        <v>0</v>
      </c>
      <c r="BJ2494" s="1">
        <v>0</v>
      </c>
      <c r="BK2494" s="1">
        <v>0</v>
      </c>
      <c r="BL2494" s="1">
        <v>0</v>
      </c>
      <c r="BM2494" s="1">
        <v>0</v>
      </c>
      <c r="BN2494" s="1">
        <v>0</v>
      </c>
      <c r="BO2494" s="1">
        <v>0</v>
      </c>
      <c r="BP2494" s="1">
        <v>0</v>
      </c>
      <c r="BQ2494" s="1">
        <v>0</v>
      </c>
      <c r="BR2494" s="1">
        <v>0</v>
      </c>
      <c r="BS2494" s="1" t="s">
        <v>109</v>
      </c>
      <c r="BT2494" s="1">
        <v>2587</v>
      </c>
      <c r="BU2494" s="1" t="s">
        <v>109</v>
      </c>
      <c r="BV2494" s="1"/>
      <c r="BW2494" s="1"/>
      <c r="BX2494" s="1"/>
      <c r="BY2494" s="1"/>
      <c r="BZ2494" s="1">
        <v>0</v>
      </c>
      <c r="CA2494" s="1" t="s">
        <v>109</v>
      </c>
      <c r="CB2494" s="1" t="s">
        <v>109</v>
      </c>
      <c r="CC2494" s="1">
        <v>1</v>
      </c>
      <c r="CD2494" s="1">
        <v>1</v>
      </c>
      <c r="CE2494" s="1" t="s">
        <v>109</v>
      </c>
      <c r="CF2494" s="1" t="s">
        <v>109</v>
      </c>
      <c r="CG2494" s="1" t="s">
        <v>109</v>
      </c>
      <c r="CH2494" s="1" t="s">
        <v>109</v>
      </c>
      <c r="CI2494" s="1" t="s">
        <v>109</v>
      </c>
      <c r="CJ2494" s="1" t="s">
        <v>109</v>
      </c>
      <c r="CK2494" s="1"/>
      <c r="CL2494" s="1">
        <v>0</v>
      </c>
      <c r="CM2494" s="1">
        <v>0</v>
      </c>
      <c r="CN2494" s="1">
        <v>0</v>
      </c>
    </row>
    <row r="2495" spans="1:92" ht="14.25" customHeight="1" x14ac:dyDescent="0.15">
      <c r="A2495" s="1" t="s">
        <v>17761</v>
      </c>
      <c r="B2495" s="1" t="s">
        <v>189</v>
      </c>
      <c r="C2495" s="1"/>
      <c r="D2495" s="1" t="s">
        <v>16074</v>
      </c>
      <c r="E2495" s="1" t="s">
        <v>17762</v>
      </c>
      <c r="F2495" s="1" t="s">
        <v>98</v>
      </c>
      <c r="G2495" s="1" t="s">
        <v>141</v>
      </c>
      <c r="H2495" s="1">
        <v>0</v>
      </c>
      <c r="I2495" s="1" t="s">
        <v>100</v>
      </c>
      <c r="J2495" s="1"/>
      <c r="K2495" s="1"/>
      <c r="L2495" s="1" t="s">
        <v>1391</v>
      </c>
      <c r="M2495" s="1" t="s">
        <v>17763</v>
      </c>
      <c r="N2495" s="1">
        <v>0</v>
      </c>
      <c r="O2495" s="1">
        <v>0</v>
      </c>
      <c r="P2495" s="1" t="s">
        <v>2045</v>
      </c>
      <c r="Q2495" s="1" t="s">
        <v>268</v>
      </c>
      <c r="R2495" s="1" t="s">
        <v>17764</v>
      </c>
      <c r="S2495" s="1" t="s">
        <v>17765</v>
      </c>
      <c r="T2495" s="1" t="s">
        <v>17634</v>
      </c>
      <c r="U2495" s="1" t="s">
        <v>17766</v>
      </c>
      <c r="V2495" s="1">
        <v>1</v>
      </c>
      <c r="W2495" s="1">
        <v>1</v>
      </c>
      <c r="X2495" s="1">
        <v>0</v>
      </c>
      <c r="Y2495" s="1">
        <v>0</v>
      </c>
      <c r="Z2495" s="1">
        <v>0</v>
      </c>
      <c r="AA2495" s="1" t="s">
        <v>109</v>
      </c>
      <c r="AB2495" s="1" t="s">
        <v>109</v>
      </c>
      <c r="AC2495" s="1">
        <v>2</v>
      </c>
      <c r="AD2495" s="1" t="s">
        <v>109</v>
      </c>
      <c r="AE2495" s="1" t="s">
        <v>109</v>
      </c>
      <c r="AF2495" s="1" t="s">
        <v>109</v>
      </c>
      <c r="AG2495" s="1" t="s">
        <v>109</v>
      </c>
      <c r="AH2495" s="1" t="s">
        <v>109</v>
      </c>
      <c r="AI2495" s="1" t="s">
        <v>109</v>
      </c>
      <c r="AJ2495" s="1">
        <v>2</v>
      </c>
      <c r="AK2495" s="1" t="s">
        <v>109</v>
      </c>
      <c r="AL2495" s="1">
        <v>2</v>
      </c>
      <c r="AM2495" s="1" t="s">
        <v>109</v>
      </c>
      <c r="AN2495" s="1" t="s">
        <v>109</v>
      </c>
      <c r="AO2495" s="1" t="s">
        <v>109</v>
      </c>
      <c r="AP2495" s="1"/>
      <c r="AQ2495" s="1">
        <v>2</v>
      </c>
      <c r="AR2495" s="1"/>
      <c r="AS2495" s="1"/>
      <c r="AT2495" s="1">
        <v>0</v>
      </c>
      <c r="AU2495" s="1">
        <v>0</v>
      </c>
      <c r="AV2495" s="1">
        <v>0</v>
      </c>
      <c r="AW2495" s="1">
        <v>0</v>
      </c>
      <c r="AX2495" s="1">
        <v>1</v>
      </c>
      <c r="AY2495" s="1">
        <v>0</v>
      </c>
      <c r="AZ2495" s="1">
        <v>0</v>
      </c>
      <c r="BA2495" s="1">
        <v>0</v>
      </c>
      <c r="BB2495" s="1">
        <v>0</v>
      </c>
      <c r="BC2495" s="1">
        <v>0</v>
      </c>
      <c r="BD2495" s="1">
        <v>0</v>
      </c>
      <c r="BE2495" s="1">
        <v>0</v>
      </c>
      <c r="BF2495" s="1">
        <v>0</v>
      </c>
      <c r="BG2495" s="1">
        <v>0</v>
      </c>
      <c r="BH2495" s="1">
        <v>0</v>
      </c>
      <c r="BI2495" s="1">
        <v>0</v>
      </c>
      <c r="BJ2495" s="1">
        <v>0</v>
      </c>
      <c r="BK2495" s="1">
        <v>0</v>
      </c>
      <c r="BL2495" s="1">
        <v>0</v>
      </c>
      <c r="BM2495" s="1">
        <v>0</v>
      </c>
      <c r="BN2495" s="1">
        <v>0</v>
      </c>
      <c r="BO2495" s="1">
        <v>0</v>
      </c>
      <c r="BP2495" s="1">
        <v>0</v>
      </c>
      <c r="BQ2495" s="1">
        <v>0</v>
      </c>
      <c r="BR2495" s="1">
        <v>0</v>
      </c>
      <c r="BS2495" s="1" t="s">
        <v>109</v>
      </c>
      <c r="BT2495" s="1">
        <v>2588</v>
      </c>
      <c r="BU2495" s="1" t="s">
        <v>109</v>
      </c>
      <c r="BV2495" s="1"/>
      <c r="BW2495" s="1"/>
      <c r="BX2495" s="1"/>
      <c r="BY2495" s="1"/>
      <c r="BZ2495" s="1">
        <v>0</v>
      </c>
      <c r="CA2495" s="1" t="s">
        <v>109</v>
      </c>
      <c r="CB2495" s="1" t="s">
        <v>109</v>
      </c>
      <c r="CC2495" s="1" t="s">
        <v>109</v>
      </c>
      <c r="CD2495" s="1" t="s">
        <v>109</v>
      </c>
      <c r="CE2495" s="1">
        <v>2</v>
      </c>
      <c r="CF2495" s="1">
        <v>2</v>
      </c>
      <c r="CG2495" s="1" t="s">
        <v>109</v>
      </c>
      <c r="CH2495" s="1" t="s">
        <v>109</v>
      </c>
      <c r="CI2495" s="1" t="s">
        <v>109</v>
      </c>
      <c r="CJ2495" s="1" t="s">
        <v>109</v>
      </c>
      <c r="CK2495" s="1"/>
      <c r="CL2495" s="1">
        <v>0</v>
      </c>
      <c r="CM2495" s="1">
        <v>0</v>
      </c>
      <c r="CN2495" s="1">
        <v>0</v>
      </c>
    </row>
    <row r="2496" spans="1:92" ht="14.25" customHeight="1" x14ac:dyDescent="0.15">
      <c r="A2496" s="1" t="s">
        <v>17767</v>
      </c>
      <c r="B2496" s="1" t="s">
        <v>189</v>
      </c>
      <c r="C2496" s="1"/>
      <c r="D2496" s="1"/>
      <c r="E2496" s="1" t="s">
        <v>4045</v>
      </c>
      <c r="F2496" s="1" t="s">
        <v>98</v>
      </c>
      <c r="G2496" s="1" t="s">
        <v>141</v>
      </c>
      <c r="H2496" s="1">
        <v>0</v>
      </c>
      <c r="I2496" s="1" t="s">
        <v>5410</v>
      </c>
      <c r="J2496" s="1"/>
      <c r="K2496" s="1"/>
      <c r="L2496" s="1" t="s">
        <v>17768</v>
      </c>
      <c r="M2496" s="1" t="s">
        <v>5811</v>
      </c>
      <c r="N2496" s="1">
        <v>1</v>
      </c>
      <c r="O2496" s="1">
        <v>0</v>
      </c>
      <c r="P2496" s="1" t="s">
        <v>103</v>
      </c>
      <c r="Q2496" s="1" t="s">
        <v>104</v>
      </c>
      <c r="R2496" s="1" t="s">
        <v>17769</v>
      </c>
      <c r="S2496" s="1" t="s">
        <v>17770</v>
      </c>
      <c r="T2496" s="1" t="s">
        <v>17634</v>
      </c>
      <c r="U2496" s="1" t="s">
        <v>17771</v>
      </c>
      <c r="V2496" s="1">
        <v>1</v>
      </c>
      <c r="W2496" s="1">
        <v>1</v>
      </c>
      <c r="X2496" s="1">
        <v>0</v>
      </c>
      <c r="Y2496" s="1">
        <v>0</v>
      </c>
      <c r="Z2496" s="1">
        <v>0</v>
      </c>
      <c r="AA2496" s="1" t="s">
        <v>109</v>
      </c>
      <c r="AB2496" s="1" t="s">
        <v>109</v>
      </c>
      <c r="AC2496" s="1" t="s">
        <v>109</v>
      </c>
      <c r="AD2496" s="1">
        <v>6</v>
      </c>
      <c r="AE2496" s="1" t="s">
        <v>109</v>
      </c>
      <c r="AF2496" s="1" t="s">
        <v>109</v>
      </c>
      <c r="AG2496" s="1" t="s">
        <v>109</v>
      </c>
      <c r="AH2496" s="1" t="s">
        <v>109</v>
      </c>
      <c r="AI2496" s="1" t="s">
        <v>109</v>
      </c>
      <c r="AJ2496" s="1" t="s">
        <v>109</v>
      </c>
      <c r="AK2496" s="1" t="s">
        <v>109</v>
      </c>
      <c r="AL2496" s="1" t="s">
        <v>109</v>
      </c>
      <c r="AM2496" s="1" t="s">
        <v>109</v>
      </c>
      <c r="AN2496" s="1" t="s">
        <v>109</v>
      </c>
      <c r="AO2496" s="1" t="s">
        <v>109</v>
      </c>
      <c r="AP2496" s="1"/>
      <c r="AQ2496" s="1">
        <v>6</v>
      </c>
      <c r="AR2496" s="1"/>
      <c r="AS2496" s="1"/>
      <c r="AT2496" s="1">
        <v>0</v>
      </c>
      <c r="AU2496" s="1">
        <v>0</v>
      </c>
      <c r="AV2496" s="1">
        <v>0</v>
      </c>
      <c r="AW2496" s="1">
        <v>0</v>
      </c>
      <c r="AX2496" s="1">
        <v>0</v>
      </c>
      <c r="AY2496" s="1">
        <v>0</v>
      </c>
      <c r="AZ2496" s="1">
        <v>0</v>
      </c>
      <c r="BA2496" s="1">
        <v>0</v>
      </c>
      <c r="BB2496" s="1">
        <v>0</v>
      </c>
      <c r="BC2496" s="1">
        <v>0</v>
      </c>
      <c r="BD2496" s="1">
        <v>0</v>
      </c>
      <c r="BE2496" s="1">
        <v>0</v>
      </c>
      <c r="BF2496" s="1">
        <v>0</v>
      </c>
      <c r="BG2496" s="1">
        <v>0</v>
      </c>
      <c r="BH2496" s="1">
        <v>0</v>
      </c>
      <c r="BI2496" s="1">
        <v>0</v>
      </c>
      <c r="BJ2496" s="1">
        <v>0</v>
      </c>
      <c r="BK2496" s="1">
        <v>0</v>
      </c>
      <c r="BL2496" s="1">
        <v>0</v>
      </c>
      <c r="BM2496" s="1">
        <v>0</v>
      </c>
      <c r="BN2496" s="1">
        <v>0</v>
      </c>
      <c r="BO2496" s="1">
        <v>0</v>
      </c>
      <c r="BP2496" s="1">
        <v>0</v>
      </c>
      <c r="BQ2496" s="1">
        <v>0</v>
      </c>
      <c r="BR2496" s="1">
        <v>0</v>
      </c>
      <c r="BS2496" s="1" t="s">
        <v>109</v>
      </c>
      <c r="BT2496" s="1">
        <v>2589</v>
      </c>
      <c r="BU2496" s="1" t="s">
        <v>109</v>
      </c>
      <c r="BV2496" s="1"/>
      <c r="BW2496" s="1"/>
      <c r="BX2496" s="1"/>
      <c r="BY2496" s="1"/>
      <c r="BZ2496" s="1">
        <v>0</v>
      </c>
      <c r="CA2496" s="1" t="s">
        <v>109</v>
      </c>
      <c r="CB2496" s="1" t="s">
        <v>109</v>
      </c>
      <c r="CC2496" s="1" t="s">
        <v>109</v>
      </c>
      <c r="CD2496" s="1" t="s">
        <v>109</v>
      </c>
      <c r="CE2496" s="1" t="s">
        <v>109</v>
      </c>
      <c r="CF2496" s="1" t="s">
        <v>109</v>
      </c>
      <c r="CG2496" s="1" t="s">
        <v>109</v>
      </c>
      <c r="CH2496" s="1" t="s">
        <v>109</v>
      </c>
      <c r="CI2496" s="1" t="s">
        <v>109</v>
      </c>
      <c r="CJ2496" s="1">
        <v>6</v>
      </c>
      <c r="CK2496" s="1"/>
      <c r="CL2496" s="1">
        <v>0</v>
      </c>
      <c r="CM2496" s="1">
        <v>0</v>
      </c>
      <c r="CN2496" s="1">
        <v>0</v>
      </c>
    </row>
    <row r="2497" spans="1:92" ht="14.25" customHeight="1" x14ac:dyDescent="0.15">
      <c r="A2497" s="1" t="s">
        <v>17772</v>
      </c>
      <c r="B2497" s="1" t="s">
        <v>156</v>
      </c>
      <c r="C2497" s="1"/>
      <c r="D2497" s="1" t="s">
        <v>158</v>
      </c>
      <c r="E2497" s="1" t="s">
        <v>17773</v>
      </c>
      <c r="F2497" s="1" t="s">
        <v>98</v>
      </c>
      <c r="G2497" s="1" t="s">
        <v>141</v>
      </c>
      <c r="H2497" s="1">
        <v>0</v>
      </c>
      <c r="I2497" s="1" t="s">
        <v>142</v>
      </c>
      <c r="J2497" s="1"/>
      <c r="K2497" s="1"/>
      <c r="L2497" s="1" t="s">
        <v>8352</v>
      </c>
      <c r="M2497" s="1" t="s">
        <v>125</v>
      </c>
      <c r="N2497" s="1">
        <v>0</v>
      </c>
      <c r="O2497" s="1">
        <v>0</v>
      </c>
      <c r="P2497" s="1" t="s">
        <v>301</v>
      </c>
      <c r="Q2497" s="1" t="s">
        <v>268</v>
      </c>
      <c r="R2497" s="1" t="s">
        <v>17774</v>
      </c>
      <c r="S2497" s="1" t="s">
        <v>17775</v>
      </c>
      <c r="T2497" s="1" t="s">
        <v>17776</v>
      </c>
      <c r="U2497" s="1" t="s">
        <v>17777</v>
      </c>
      <c r="V2497" s="1">
        <v>1</v>
      </c>
      <c r="W2497" s="1">
        <v>1</v>
      </c>
      <c r="X2497" s="1">
        <v>0</v>
      </c>
      <c r="Y2497" s="1">
        <v>0</v>
      </c>
      <c r="Z2497" s="1">
        <v>0</v>
      </c>
      <c r="AA2497" s="1" t="s">
        <v>109</v>
      </c>
      <c r="AB2497" s="1" t="s">
        <v>109</v>
      </c>
      <c r="AC2497" s="1">
        <v>5</v>
      </c>
      <c r="AD2497" s="1" t="s">
        <v>109</v>
      </c>
      <c r="AE2497" s="1" t="s">
        <v>109</v>
      </c>
      <c r="AF2497" s="1" t="s">
        <v>109</v>
      </c>
      <c r="AG2497" s="1" t="s">
        <v>109</v>
      </c>
      <c r="AH2497" s="1" t="s">
        <v>109</v>
      </c>
      <c r="AI2497" s="1" t="s">
        <v>109</v>
      </c>
      <c r="AJ2497" s="1" t="s">
        <v>109</v>
      </c>
      <c r="AK2497" s="1">
        <v>5</v>
      </c>
      <c r="AL2497" s="1">
        <v>5</v>
      </c>
      <c r="AM2497" s="1" t="s">
        <v>109</v>
      </c>
      <c r="AN2497" s="1" t="s">
        <v>109</v>
      </c>
      <c r="AO2497" s="1" t="s">
        <v>109</v>
      </c>
      <c r="AP2497" s="1"/>
      <c r="AQ2497" s="1">
        <v>5</v>
      </c>
      <c r="AR2497" s="1"/>
      <c r="AS2497" s="1"/>
      <c r="AT2497" s="1">
        <v>0</v>
      </c>
      <c r="AU2497" s="1">
        <v>0</v>
      </c>
      <c r="AV2497" s="1">
        <v>0</v>
      </c>
      <c r="AW2497" s="1">
        <v>0</v>
      </c>
      <c r="AX2497" s="1">
        <v>0</v>
      </c>
      <c r="AY2497" s="1">
        <v>0</v>
      </c>
      <c r="AZ2497" s="1">
        <v>0</v>
      </c>
      <c r="BA2497" s="1">
        <v>0</v>
      </c>
      <c r="BB2497" s="1">
        <v>0</v>
      </c>
      <c r="BC2497" s="1">
        <v>0</v>
      </c>
      <c r="BD2497" s="1">
        <v>0</v>
      </c>
      <c r="BE2497" s="1">
        <v>0</v>
      </c>
      <c r="BF2497" s="1">
        <v>0</v>
      </c>
      <c r="BG2497" s="1">
        <v>0</v>
      </c>
      <c r="BH2497" s="1">
        <v>0</v>
      </c>
      <c r="BI2497" s="1">
        <v>0</v>
      </c>
      <c r="BJ2497" s="1">
        <v>0</v>
      </c>
      <c r="BK2497" s="1">
        <v>0</v>
      </c>
      <c r="BL2497" s="1">
        <v>0</v>
      </c>
      <c r="BM2497" s="1">
        <v>1</v>
      </c>
      <c r="BN2497" s="1">
        <v>0</v>
      </c>
      <c r="BO2497" s="1">
        <v>0</v>
      </c>
      <c r="BP2497" s="1">
        <v>0</v>
      </c>
      <c r="BQ2497" s="1">
        <v>0</v>
      </c>
      <c r="BR2497" s="1">
        <v>0</v>
      </c>
      <c r="BS2497" s="1" t="s">
        <v>109</v>
      </c>
      <c r="BT2497" s="1">
        <v>2590</v>
      </c>
      <c r="BU2497" s="1" t="s">
        <v>109</v>
      </c>
      <c r="BV2497" s="1"/>
      <c r="BW2497" s="1"/>
      <c r="BX2497" s="1"/>
      <c r="BY2497" s="1"/>
      <c r="BZ2497" s="1">
        <v>0</v>
      </c>
      <c r="CA2497" s="1" t="s">
        <v>109</v>
      </c>
      <c r="CB2497" s="1" t="s">
        <v>109</v>
      </c>
      <c r="CC2497" s="1" t="s">
        <v>109</v>
      </c>
      <c r="CD2497" s="1" t="s">
        <v>109</v>
      </c>
      <c r="CE2497" s="1">
        <v>6</v>
      </c>
      <c r="CF2497" s="1" t="s">
        <v>109</v>
      </c>
      <c r="CG2497" s="1" t="s">
        <v>109</v>
      </c>
      <c r="CH2497" s="1" t="s">
        <v>109</v>
      </c>
      <c r="CI2497" s="1" t="s">
        <v>109</v>
      </c>
      <c r="CJ2497" s="1" t="s">
        <v>109</v>
      </c>
      <c r="CK2497" s="1"/>
      <c r="CL2497" s="1">
        <v>0</v>
      </c>
      <c r="CM2497" s="1">
        <v>0</v>
      </c>
      <c r="CN2497" s="1">
        <v>0</v>
      </c>
    </row>
    <row r="2498" spans="1:92" ht="14.25" customHeight="1" x14ac:dyDescent="0.15">
      <c r="A2498" s="1" t="s">
        <v>17778</v>
      </c>
      <c r="B2498" s="1" t="s">
        <v>254</v>
      </c>
      <c r="C2498" s="1" t="s">
        <v>393</v>
      </c>
      <c r="D2498" s="1"/>
      <c r="E2498" s="1" t="s">
        <v>17779</v>
      </c>
      <c r="F2498" s="1" t="s">
        <v>395</v>
      </c>
      <c r="G2498" s="1" t="s">
        <v>17780</v>
      </c>
      <c r="H2498" s="1">
        <v>0</v>
      </c>
      <c r="I2498" s="1" t="s">
        <v>16540</v>
      </c>
      <c r="J2498" s="1"/>
      <c r="K2498" s="1" t="s">
        <v>398</v>
      </c>
      <c r="L2498" s="1"/>
      <c r="M2498" s="1" t="s">
        <v>5642</v>
      </c>
      <c r="N2498" s="1">
        <v>0</v>
      </c>
      <c r="O2498" s="1">
        <v>0</v>
      </c>
      <c r="P2498" s="1" t="s">
        <v>103</v>
      </c>
      <c r="Q2498" s="1" t="s">
        <v>104</v>
      </c>
      <c r="R2498" s="1" t="s">
        <v>17781</v>
      </c>
      <c r="S2498" s="1" t="s">
        <v>17782</v>
      </c>
      <c r="T2498" s="1" t="s">
        <v>17783</v>
      </c>
      <c r="U2498" s="1" t="s">
        <v>17784</v>
      </c>
      <c r="V2498" s="1">
        <v>1</v>
      </c>
      <c r="W2498" s="1">
        <v>1</v>
      </c>
      <c r="X2498" s="1">
        <v>1</v>
      </c>
      <c r="Y2498" s="1">
        <v>0</v>
      </c>
      <c r="Z2498" s="1">
        <v>1</v>
      </c>
      <c r="AA2498" s="1">
        <v>4</v>
      </c>
      <c r="AB2498" s="1">
        <v>4</v>
      </c>
      <c r="AC2498" s="1" t="s">
        <v>109</v>
      </c>
      <c r="AD2498" s="1">
        <v>4</v>
      </c>
      <c r="AE2498" s="1">
        <v>4</v>
      </c>
      <c r="AF2498" s="1" t="s">
        <v>109</v>
      </c>
      <c r="AG2498" s="1" t="s">
        <v>109</v>
      </c>
      <c r="AH2498" s="1" t="s">
        <v>109</v>
      </c>
      <c r="AI2498" s="1" t="s">
        <v>109</v>
      </c>
      <c r="AJ2498" s="1">
        <v>4</v>
      </c>
      <c r="AK2498" s="1" t="s">
        <v>109</v>
      </c>
      <c r="AL2498" s="1" t="s">
        <v>109</v>
      </c>
      <c r="AM2498" s="1" t="s">
        <v>109</v>
      </c>
      <c r="AN2498" s="1" t="s">
        <v>109</v>
      </c>
      <c r="AO2498" s="1" t="s">
        <v>109</v>
      </c>
      <c r="AP2498" s="1"/>
      <c r="AQ2498" s="1">
        <v>4</v>
      </c>
      <c r="AR2498" s="1"/>
      <c r="AS2498" s="1"/>
      <c r="AT2498" s="1">
        <v>0</v>
      </c>
      <c r="AU2498" s="1">
        <v>0</v>
      </c>
      <c r="AV2498" s="1">
        <v>0</v>
      </c>
      <c r="AW2498" s="1">
        <v>0</v>
      </c>
      <c r="AX2498" s="1">
        <v>0</v>
      </c>
      <c r="AY2498" s="1">
        <v>0</v>
      </c>
      <c r="AZ2498" s="1">
        <v>0</v>
      </c>
      <c r="BA2498" s="1">
        <v>0</v>
      </c>
      <c r="BB2498" s="1">
        <v>0</v>
      </c>
      <c r="BC2498" s="1">
        <v>0</v>
      </c>
      <c r="BD2498" s="1">
        <v>0</v>
      </c>
      <c r="BE2498" s="1">
        <v>0</v>
      </c>
      <c r="BF2498" s="1">
        <v>0</v>
      </c>
      <c r="BG2498" s="1">
        <v>0</v>
      </c>
      <c r="BH2498" s="1">
        <v>0</v>
      </c>
      <c r="BI2498" s="1">
        <v>0</v>
      </c>
      <c r="BJ2498" s="1">
        <v>0</v>
      </c>
      <c r="BK2498" s="1">
        <v>0</v>
      </c>
      <c r="BL2498" s="1">
        <v>0</v>
      </c>
      <c r="BM2498" s="1">
        <v>0</v>
      </c>
      <c r="BN2498" s="1">
        <v>0</v>
      </c>
      <c r="BO2498" s="1">
        <v>0</v>
      </c>
      <c r="BP2498" s="1">
        <v>0</v>
      </c>
      <c r="BQ2498" s="1">
        <v>0</v>
      </c>
      <c r="BR2498" s="1">
        <v>0</v>
      </c>
      <c r="BS2498" s="1" t="s">
        <v>109</v>
      </c>
      <c r="BT2498" s="1">
        <v>2596</v>
      </c>
      <c r="BU2498" s="1" t="s">
        <v>109</v>
      </c>
      <c r="BV2498" s="1"/>
      <c r="BW2498" s="1"/>
      <c r="BX2498" s="1"/>
      <c r="BY2498" s="1"/>
      <c r="BZ2498" s="1">
        <v>0</v>
      </c>
      <c r="CA2498" s="1" t="s">
        <v>109</v>
      </c>
      <c r="CB2498" s="1">
        <v>4</v>
      </c>
      <c r="CC2498" s="1" t="s">
        <v>109</v>
      </c>
      <c r="CD2498" s="1" t="s">
        <v>109</v>
      </c>
      <c r="CE2498" s="1" t="s">
        <v>109</v>
      </c>
      <c r="CF2498" s="1" t="s">
        <v>109</v>
      </c>
      <c r="CG2498" s="1" t="s">
        <v>109</v>
      </c>
      <c r="CH2498" s="1" t="s">
        <v>109</v>
      </c>
      <c r="CI2498" s="1" t="s">
        <v>109</v>
      </c>
      <c r="CJ2498" s="1">
        <v>4</v>
      </c>
      <c r="CK2498" s="1"/>
      <c r="CL2498" s="1">
        <v>0</v>
      </c>
      <c r="CM2498" s="1">
        <v>0</v>
      </c>
      <c r="CN2498" s="1">
        <v>0</v>
      </c>
    </row>
    <row r="2499" spans="1:92" ht="14.25" customHeight="1" x14ac:dyDescent="0.15">
      <c r="A2499" s="1" t="s">
        <v>17785</v>
      </c>
      <c r="B2499" s="1" t="s">
        <v>584</v>
      </c>
      <c r="C2499" s="1"/>
      <c r="D2499" s="1" t="s">
        <v>59</v>
      </c>
      <c r="E2499" s="1" t="s">
        <v>10064</v>
      </c>
      <c r="F2499" s="1" t="s">
        <v>98</v>
      </c>
      <c r="G2499" s="1" t="s">
        <v>160</v>
      </c>
      <c r="H2499" s="1">
        <v>0</v>
      </c>
      <c r="I2499" s="1" t="s">
        <v>161</v>
      </c>
      <c r="J2499" s="1"/>
      <c r="K2499" s="1"/>
      <c r="L2499" s="1" t="s">
        <v>506</v>
      </c>
      <c r="M2499" s="1" t="s">
        <v>144</v>
      </c>
      <c r="N2499" s="1">
        <v>0</v>
      </c>
      <c r="O2499" s="1">
        <v>0</v>
      </c>
      <c r="P2499" s="1" t="s">
        <v>5546</v>
      </c>
      <c r="Q2499" s="1" t="s">
        <v>268</v>
      </c>
      <c r="R2499" s="1" t="s">
        <v>17786</v>
      </c>
      <c r="S2499" s="1" t="s">
        <v>17787</v>
      </c>
      <c r="T2499" s="1" t="s">
        <v>17783</v>
      </c>
      <c r="U2499" s="1" t="s">
        <v>17788</v>
      </c>
      <c r="V2499" s="1">
        <v>1</v>
      </c>
      <c r="W2499" s="1">
        <v>1</v>
      </c>
      <c r="X2499" s="1">
        <v>0</v>
      </c>
      <c r="Y2499" s="1">
        <v>0</v>
      </c>
      <c r="Z2499" s="1">
        <v>1</v>
      </c>
      <c r="AA2499" s="1" t="s">
        <v>109</v>
      </c>
      <c r="AB2499" s="1" t="s">
        <v>109</v>
      </c>
      <c r="AC2499" s="1">
        <v>3</v>
      </c>
      <c r="AD2499" s="1" t="s">
        <v>109</v>
      </c>
      <c r="AE2499" s="1" t="s">
        <v>109</v>
      </c>
      <c r="AF2499" s="1" t="s">
        <v>109</v>
      </c>
      <c r="AG2499" s="1">
        <v>3</v>
      </c>
      <c r="AH2499" s="1" t="s">
        <v>109</v>
      </c>
      <c r="AI2499" s="1" t="s">
        <v>109</v>
      </c>
      <c r="AJ2499" s="1" t="s">
        <v>109</v>
      </c>
      <c r="AK2499" s="1">
        <v>3</v>
      </c>
      <c r="AL2499" s="1">
        <v>3</v>
      </c>
      <c r="AM2499" s="1">
        <v>3</v>
      </c>
      <c r="AN2499" s="1" t="s">
        <v>109</v>
      </c>
      <c r="AO2499" s="1" t="s">
        <v>109</v>
      </c>
      <c r="AP2499" s="1"/>
      <c r="AQ2499" s="1">
        <v>3</v>
      </c>
      <c r="AR2499" s="1"/>
      <c r="AS2499" s="1"/>
      <c r="AT2499" s="1">
        <v>0</v>
      </c>
      <c r="AU2499" s="1">
        <v>0</v>
      </c>
      <c r="AV2499" s="1">
        <v>0</v>
      </c>
      <c r="AW2499" s="1">
        <v>0</v>
      </c>
      <c r="AX2499" s="1">
        <v>0</v>
      </c>
      <c r="AY2499" s="1">
        <v>0</v>
      </c>
      <c r="AZ2499" s="1">
        <v>0</v>
      </c>
      <c r="BA2499" s="1">
        <v>0</v>
      </c>
      <c r="BB2499" s="1">
        <v>0</v>
      </c>
      <c r="BC2499" s="1">
        <v>0</v>
      </c>
      <c r="BD2499" s="1">
        <v>0</v>
      </c>
      <c r="BE2499" s="1">
        <v>0</v>
      </c>
      <c r="BF2499" s="1">
        <v>0</v>
      </c>
      <c r="BG2499" s="1">
        <v>1</v>
      </c>
      <c r="BH2499" s="1">
        <v>0</v>
      </c>
      <c r="BI2499" s="1">
        <v>0</v>
      </c>
      <c r="BJ2499" s="1">
        <v>0</v>
      </c>
      <c r="BK2499" s="1">
        <v>0</v>
      </c>
      <c r="BL2499" s="1">
        <v>0</v>
      </c>
      <c r="BM2499" s="1">
        <v>0</v>
      </c>
      <c r="BN2499" s="1">
        <v>0</v>
      </c>
      <c r="BO2499" s="1">
        <v>0</v>
      </c>
      <c r="BP2499" s="1">
        <v>0</v>
      </c>
      <c r="BQ2499" s="1">
        <v>0</v>
      </c>
      <c r="BR2499" s="1">
        <v>0</v>
      </c>
      <c r="BS2499" s="1" t="s">
        <v>109</v>
      </c>
      <c r="BT2499" s="1">
        <v>2597</v>
      </c>
      <c r="BU2499" s="1" t="s">
        <v>109</v>
      </c>
      <c r="BV2499" s="1"/>
      <c r="BW2499" s="1"/>
      <c r="BX2499" s="1"/>
      <c r="BY2499" s="1"/>
      <c r="BZ2499" s="1">
        <v>0</v>
      </c>
      <c r="CA2499" s="1" t="s">
        <v>109</v>
      </c>
      <c r="CB2499" s="1" t="s">
        <v>109</v>
      </c>
      <c r="CC2499" s="1" t="s">
        <v>109</v>
      </c>
      <c r="CD2499" s="1" t="s">
        <v>109</v>
      </c>
      <c r="CE2499" s="1" t="s">
        <v>109</v>
      </c>
      <c r="CF2499" s="1" t="s">
        <v>109</v>
      </c>
      <c r="CG2499" s="1" t="s">
        <v>109</v>
      </c>
      <c r="CH2499" s="1" t="s">
        <v>109</v>
      </c>
      <c r="CI2499" s="1" t="s">
        <v>109</v>
      </c>
      <c r="CJ2499" s="1" t="s">
        <v>109</v>
      </c>
      <c r="CK2499" s="1"/>
      <c r="CL2499" s="1">
        <v>0</v>
      </c>
      <c r="CM2499" s="1">
        <v>0</v>
      </c>
      <c r="CN2499" s="1">
        <v>0</v>
      </c>
    </row>
    <row r="2500" spans="1:92" ht="14.25" customHeight="1" x14ac:dyDescent="0.15">
      <c r="A2500" s="1" t="s">
        <v>17789</v>
      </c>
      <c r="B2500" s="1" t="s">
        <v>189</v>
      </c>
      <c r="C2500" s="1" t="s">
        <v>231</v>
      </c>
      <c r="D2500" s="1"/>
      <c r="E2500" s="1" t="s">
        <v>17790</v>
      </c>
      <c r="F2500" s="1" t="s">
        <v>98</v>
      </c>
      <c r="G2500" s="1" t="s">
        <v>17791</v>
      </c>
      <c r="H2500" s="1">
        <v>0</v>
      </c>
      <c r="I2500" s="1" t="s">
        <v>161</v>
      </c>
      <c r="J2500" s="1"/>
      <c r="K2500" s="1"/>
      <c r="L2500" s="1" t="s">
        <v>17792</v>
      </c>
      <c r="M2500" s="1" t="s">
        <v>289</v>
      </c>
      <c r="N2500" s="1">
        <v>0</v>
      </c>
      <c r="O2500" s="1">
        <v>0</v>
      </c>
      <c r="P2500" s="1" t="s">
        <v>267</v>
      </c>
      <c r="Q2500" s="1" t="s">
        <v>268</v>
      </c>
      <c r="R2500" s="1" t="s">
        <v>17793</v>
      </c>
      <c r="S2500" s="1" t="s">
        <v>17794</v>
      </c>
      <c r="T2500" s="1" t="s">
        <v>17783</v>
      </c>
      <c r="U2500" s="1" t="s">
        <v>17795</v>
      </c>
      <c r="V2500" s="1">
        <v>1</v>
      </c>
      <c r="W2500" s="1">
        <v>1</v>
      </c>
      <c r="X2500" s="1">
        <v>1</v>
      </c>
      <c r="Y2500" s="1">
        <v>0</v>
      </c>
      <c r="Z2500" s="1">
        <v>0</v>
      </c>
      <c r="AA2500" s="1">
        <v>4</v>
      </c>
      <c r="AB2500" s="1">
        <v>4</v>
      </c>
      <c r="AC2500" s="1" t="s">
        <v>109</v>
      </c>
      <c r="AD2500" s="1">
        <v>4</v>
      </c>
      <c r="AE2500" s="1" t="s">
        <v>109</v>
      </c>
      <c r="AF2500" s="1">
        <v>3</v>
      </c>
      <c r="AG2500" s="1" t="s">
        <v>109</v>
      </c>
      <c r="AH2500" s="1">
        <v>3</v>
      </c>
      <c r="AI2500" s="1" t="s">
        <v>109</v>
      </c>
      <c r="AJ2500" s="1">
        <v>3</v>
      </c>
      <c r="AK2500" s="1">
        <v>3</v>
      </c>
      <c r="AL2500" s="1" t="s">
        <v>109</v>
      </c>
      <c r="AM2500" s="1">
        <v>3</v>
      </c>
      <c r="AN2500" s="1" t="s">
        <v>109</v>
      </c>
      <c r="AO2500" s="1" t="s">
        <v>109</v>
      </c>
      <c r="AP2500" s="1"/>
      <c r="AQ2500" s="1">
        <v>4</v>
      </c>
      <c r="AR2500" s="1"/>
      <c r="AS2500" s="1"/>
      <c r="AT2500" s="1">
        <v>0</v>
      </c>
      <c r="AU2500" s="1">
        <v>0</v>
      </c>
      <c r="AV2500" s="1">
        <v>0</v>
      </c>
      <c r="AW2500" s="1">
        <v>0</v>
      </c>
      <c r="AX2500" s="1">
        <v>0</v>
      </c>
      <c r="AY2500" s="1">
        <v>0</v>
      </c>
      <c r="AZ2500" s="1">
        <v>0</v>
      </c>
      <c r="BA2500" s="1">
        <v>0</v>
      </c>
      <c r="BB2500" s="1">
        <v>0</v>
      </c>
      <c r="BC2500" s="1">
        <v>0</v>
      </c>
      <c r="BD2500" s="1">
        <v>0</v>
      </c>
      <c r="BE2500" s="1">
        <v>0</v>
      </c>
      <c r="BF2500" s="1">
        <v>0</v>
      </c>
      <c r="BG2500" s="1">
        <v>0</v>
      </c>
      <c r="BH2500" s="1">
        <v>0</v>
      </c>
      <c r="BI2500" s="1">
        <v>0</v>
      </c>
      <c r="BJ2500" s="1">
        <v>0</v>
      </c>
      <c r="BK2500" s="1">
        <v>0</v>
      </c>
      <c r="BL2500" s="1">
        <v>0</v>
      </c>
      <c r="BM2500" s="1">
        <v>0</v>
      </c>
      <c r="BN2500" s="1">
        <v>0</v>
      </c>
      <c r="BO2500" s="1">
        <v>0</v>
      </c>
      <c r="BP2500" s="1">
        <v>0</v>
      </c>
      <c r="BQ2500" s="1">
        <v>0</v>
      </c>
      <c r="BR2500" s="1">
        <v>0</v>
      </c>
      <c r="BS2500" s="1" t="s">
        <v>109</v>
      </c>
      <c r="BT2500" s="1">
        <v>2598</v>
      </c>
      <c r="BU2500" s="1" t="s">
        <v>109</v>
      </c>
      <c r="BV2500" s="1"/>
      <c r="BW2500" s="1"/>
      <c r="BX2500" s="1"/>
      <c r="BY2500" s="1"/>
      <c r="BZ2500" s="1">
        <v>0</v>
      </c>
      <c r="CA2500" s="1" t="s">
        <v>109</v>
      </c>
      <c r="CB2500" s="1">
        <v>4</v>
      </c>
      <c r="CC2500" s="1" t="s">
        <v>109</v>
      </c>
      <c r="CD2500" s="1" t="s">
        <v>109</v>
      </c>
      <c r="CE2500" s="1" t="s">
        <v>109</v>
      </c>
      <c r="CF2500" s="1" t="s">
        <v>109</v>
      </c>
      <c r="CG2500" s="1" t="s">
        <v>109</v>
      </c>
      <c r="CH2500" s="1" t="s">
        <v>109</v>
      </c>
      <c r="CI2500" s="1" t="s">
        <v>109</v>
      </c>
      <c r="CJ2500" s="1">
        <v>4</v>
      </c>
      <c r="CK2500" s="1"/>
      <c r="CL2500" s="1">
        <v>0</v>
      </c>
      <c r="CM2500" s="1">
        <v>0</v>
      </c>
      <c r="CN2500" s="1">
        <v>0</v>
      </c>
    </row>
    <row r="2501" spans="1:92" ht="14.25" customHeight="1" x14ac:dyDescent="0.15">
      <c r="A2501" s="1" t="s">
        <v>17796</v>
      </c>
      <c r="B2501" s="1" t="s">
        <v>189</v>
      </c>
      <c r="C2501" s="1" t="s">
        <v>231</v>
      </c>
      <c r="D2501" s="1"/>
      <c r="E2501" s="1" t="s">
        <v>17797</v>
      </c>
      <c r="F2501" s="1" t="s">
        <v>98</v>
      </c>
      <c r="G2501" s="1" t="s">
        <v>17798</v>
      </c>
      <c r="H2501" s="1">
        <v>1</v>
      </c>
      <c r="I2501" s="1" t="s">
        <v>161</v>
      </c>
      <c r="J2501" s="1"/>
      <c r="K2501" s="1"/>
      <c r="L2501" s="1" t="s">
        <v>17792</v>
      </c>
      <c r="M2501" s="1" t="s">
        <v>289</v>
      </c>
      <c r="N2501" s="1">
        <v>0</v>
      </c>
      <c r="O2501" s="1">
        <v>0</v>
      </c>
      <c r="P2501" s="1" t="s">
        <v>267</v>
      </c>
      <c r="Q2501" s="1" t="s">
        <v>268</v>
      </c>
      <c r="R2501" s="1" t="s">
        <v>17799</v>
      </c>
      <c r="S2501" s="1" t="s">
        <v>17800</v>
      </c>
      <c r="T2501" s="1" t="s">
        <v>17783</v>
      </c>
      <c r="U2501" s="1" t="s">
        <v>17801</v>
      </c>
      <c r="V2501" s="1">
        <v>1</v>
      </c>
      <c r="W2501" s="1">
        <v>1</v>
      </c>
      <c r="X2501" s="1">
        <v>1</v>
      </c>
      <c r="Y2501" s="1">
        <v>0</v>
      </c>
      <c r="Z2501" s="1">
        <v>0</v>
      </c>
      <c r="AA2501" s="1">
        <v>6</v>
      </c>
      <c r="AB2501" s="1">
        <v>6</v>
      </c>
      <c r="AC2501" s="1" t="s">
        <v>109</v>
      </c>
      <c r="AD2501" s="1">
        <v>6</v>
      </c>
      <c r="AE2501" s="1" t="s">
        <v>109</v>
      </c>
      <c r="AF2501" s="1">
        <v>5</v>
      </c>
      <c r="AG2501" s="1" t="s">
        <v>109</v>
      </c>
      <c r="AH2501" s="1">
        <v>5</v>
      </c>
      <c r="AI2501" s="1" t="s">
        <v>109</v>
      </c>
      <c r="AJ2501" s="1">
        <v>5</v>
      </c>
      <c r="AK2501" s="1">
        <v>5</v>
      </c>
      <c r="AL2501" s="1" t="s">
        <v>109</v>
      </c>
      <c r="AM2501" s="1">
        <v>4</v>
      </c>
      <c r="AN2501" s="1" t="s">
        <v>109</v>
      </c>
      <c r="AO2501" s="1" t="s">
        <v>109</v>
      </c>
      <c r="AP2501" s="1"/>
      <c r="AQ2501" s="1">
        <v>6</v>
      </c>
      <c r="AR2501" s="1"/>
      <c r="AS2501" s="1"/>
      <c r="AT2501" s="1">
        <v>0</v>
      </c>
      <c r="AU2501" s="1">
        <v>0</v>
      </c>
      <c r="AV2501" s="1">
        <v>0</v>
      </c>
      <c r="AW2501" s="1">
        <v>0</v>
      </c>
      <c r="AX2501" s="1">
        <v>0</v>
      </c>
      <c r="AY2501" s="1">
        <v>0</v>
      </c>
      <c r="AZ2501" s="1">
        <v>0</v>
      </c>
      <c r="BA2501" s="1">
        <v>0</v>
      </c>
      <c r="BB2501" s="1">
        <v>0</v>
      </c>
      <c r="BC2501" s="1">
        <v>0</v>
      </c>
      <c r="BD2501" s="1">
        <v>0</v>
      </c>
      <c r="BE2501" s="1">
        <v>0</v>
      </c>
      <c r="BF2501" s="1">
        <v>0</v>
      </c>
      <c r="BG2501" s="1">
        <v>0</v>
      </c>
      <c r="BH2501" s="1">
        <v>0</v>
      </c>
      <c r="BI2501" s="1">
        <v>0</v>
      </c>
      <c r="BJ2501" s="1">
        <v>0</v>
      </c>
      <c r="BK2501" s="1">
        <v>0</v>
      </c>
      <c r="BL2501" s="1">
        <v>0</v>
      </c>
      <c r="BM2501" s="1">
        <v>0</v>
      </c>
      <c r="BN2501" s="1">
        <v>0</v>
      </c>
      <c r="BO2501" s="1">
        <v>0</v>
      </c>
      <c r="BP2501" s="1">
        <v>0</v>
      </c>
      <c r="BQ2501" s="1">
        <v>0</v>
      </c>
      <c r="BR2501" s="1">
        <v>0</v>
      </c>
      <c r="BS2501" s="1" t="s">
        <v>109</v>
      </c>
      <c r="BT2501" s="1">
        <v>2599</v>
      </c>
      <c r="BU2501" s="1">
        <v>100</v>
      </c>
      <c r="BV2501" s="1"/>
      <c r="BW2501" s="1"/>
      <c r="BX2501" s="1"/>
      <c r="BY2501" s="1"/>
      <c r="BZ2501" s="1">
        <v>0</v>
      </c>
      <c r="CA2501" s="1" t="s">
        <v>109</v>
      </c>
      <c r="CB2501" s="1">
        <v>6</v>
      </c>
      <c r="CC2501" s="1" t="s">
        <v>109</v>
      </c>
      <c r="CD2501" s="1" t="s">
        <v>109</v>
      </c>
      <c r="CE2501" s="1" t="s">
        <v>109</v>
      </c>
      <c r="CF2501" s="1" t="s">
        <v>109</v>
      </c>
      <c r="CG2501" s="1" t="s">
        <v>109</v>
      </c>
      <c r="CH2501" s="1" t="s">
        <v>109</v>
      </c>
      <c r="CI2501" s="1" t="s">
        <v>109</v>
      </c>
      <c r="CJ2501" s="1">
        <v>6</v>
      </c>
      <c r="CK2501" s="1"/>
      <c r="CL2501" s="1">
        <v>0</v>
      </c>
      <c r="CM2501" s="1">
        <v>0</v>
      </c>
      <c r="CN2501" s="1">
        <v>0</v>
      </c>
    </row>
    <row r="2502" spans="1:92" ht="14.25" customHeight="1" x14ac:dyDescent="0.15">
      <c r="A2502" s="1" t="s">
        <v>17802</v>
      </c>
      <c r="B2502" s="1" t="s">
        <v>156</v>
      </c>
      <c r="C2502" s="1" t="s">
        <v>157</v>
      </c>
      <c r="D2502" s="1" t="s">
        <v>158</v>
      </c>
      <c r="E2502" s="1" t="s">
        <v>17803</v>
      </c>
      <c r="F2502" s="1" t="s">
        <v>98</v>
      </c>
      <c r="G2502" s="1" t="s">
        <v>17804</v>
      </c>
      <c r="H2502" s="1">
        <v>0</v>
      </c>
      <c r="I2502" s="1" t="s">
        <v>142</v>
      </c>
      <c r="J2502" s="1"/>
      <c r="K2502" s="1"/>
      <c r="L2502" s="1" t="s">
        <v>1391</v>
      </c>
      <c r="M2502" s="1" t="s">
        <v>17805</v>
      </c>
      <c r="N2502" s="1">
        <v>0</v>
      </c>
      <c r="O2502" s="1">
        <v>0</v>
      </c>
      <c r="P2502" s="1" t="s">
        <v>301</v>
      </c>
      <c r="Q2502" s="1" t="s">
        <v>268</v>
      </c>
      <c r="R2502" s="1" t="s">
        <v>17806</v>
      </c>
      <c r="S2502" s="1" t="s">
        <v>17807</v>
      </c>
      <c r="T2502" s="1" t="s">
        <v>17783</v>
      </c>
      <c r="U2502" s="1" t="s">
        <v>17808</v>
      </c>
      <c r="V2502" s="1">
        <v>1</v>
      </c>
      <c r="W2502" s="1">
        <v>1</v>
      </c>
      <c r="X2502" s="1">
        <v>1</v>
      </c>
      <c r="Y2502" s="1">
        <v>0</v>
      </c>
      <c r="Z2502" s="1">
        <v>0</v>
      </c>
      <c r="AA2502" s="1" t="s">
        <v>109</v>
      </c>
      <c r="AB2502" s="1" t="s">
        <v>109</v>
      </c>
      <c r="AC2502" s="1">
        <v>1</v>
      </c>
      <c r="AD2502" s="1" t="s">
        <v>109</v>
      </c>
      <c r="AE2502" s="1" t="s">
        <v>109</v>
      </c>
      <c r="AF2502" s="1">
        <v>1</v>
      </c>
      <c r="AG2502" s="1" t="s">
        <v>109</v>
      </c>
      <c r="AH2502" s="1" t="s">
        <v>109</v>
      </c>
      <c r="AI2502" s="1" t="s">
        <v>109</v>
      </c>
      <c r="AJ2502" s="1" t="s">
        <v>109</v>
      </c>
      <c r="AK2502" s="1">
        <v>1</v>
      </c>
      <c r="AL2502" s="1">
        <v>1</v>
      </c>
      <c r="AM2502" s="1" t="s">
        <v>109</v>
      </c>
      <c r="AN2502" s="1">
        <v>1</v>
      </c>
      <c r="AO2502" s="1" t="s">
        <v>109</v>
      </c>
      <c r="AP2502" s="1"/>
      <c r="AQ2502" s="1">
        <v>1</v>
      </c>
      <c r="AR2502" s="1"/>
      <c r="AS2502" s="1"/>
      <c r="AT2502" s="1">
        <v>0</v>
      </c>
      <c r="AU2502" s="1">
        <v>0</v>
      </c>
      <c r="AV2502" s="1">
        <v>0</v>
      </c>
      <c r="AW2502" s="1">
        <v>0</v>
      </c>
      <c r="AX2502" s="1">
        <v>0</v>
      </c>
      <c r="AY2502" s="1">
        <v>0</v>
      </c>
      <c r="AZ2502" s="1">
        <v>0</v>
      </c>
      <c r="BA2502" s="1">
        <v>0</v>
      </c>
      <c r="BB2502" s="1">
        <v>0</v>
      </c>
      <c r="BC2502" s="1">
        <v>0</v>
      </c>
      <c r="BD2502" s="1">
        <v>0</v>
      </c>
      <c r="BE2502" s="1">
        <v>0</v>
      </c>
      <c r="BF2502" s="1">
        <v>0</v>
      </c>
      <c r="BG2502" s="1">
        <v>0</v>
      </c>
      <c r="BH2502" s="1">
        <v>0</v>
      </c>
      <c r="BI2502" s="1">
        <v>0</v>
      </c>
      <c r="BJ2502" s="1">
        <v>0</v>
      </c>
      <c r="BK2502" s="1">
        <v>0</v>
      </c>
      <c r="BL2502" s="1">
        <v>0</v>
      </c>
      <c r="BM2502" s="1">
        <v>1</v>
      </c>
      <c r="BN2502" s="1">
        <v>0</v>
      </c>
      <c r="BO2502" s="1">
        <v>0</v>
      </c>
      <c r="BP2502" s="1">
        <v>0</v>
      </c>
      <c r="BQ2502" s="1">
        <v>0</v>
      </c>
      <c r="BR2502" s="1">
        <v>0</v>
      </c>
      <c r="BS2502" s="1" t="s">
        <v>109</v>
      </c>
      <c r="BT2502" s="1">
        <v>2600</v>
      </c>
      <c r="BU2502" s="1" t="s">
        <v>109</v>
      </c>
      <c r="BV2502" s="1"/>
      <c r="BW2502" s="1"/>
      <c r="BX2502" s="1"/>
      <c r="BY2502" s="1"/>
      <c r="BZ2502" s="1">
        <v>0</v>
      </c>
      <c r="CA2502" s="1" t="s">
        <v>109</v>
      </c>
      <c r="CB2502" s="1" t="s">
        <v>109</v>
      </c>
      <c r="CC2502" s="1">
        <v>1</v>
      </c>
      <c r="CD2502" s="1" t="s">
        <v>109</v>
      </c>
      <c r="CE2502" s="1">
        <v>1</v>
      </c>
      <c r="CF2502" s="1" t="s">
        <v>109</v>
      </c>
      <c r="CG2502" s="1" t="s">
        <v>109</v>
      </c>
      <c r="CH2502" s="1" t="s">
        <v>109</v>
      </c>
      <c r="CI2502" s="1" t="s">
        <v>109</v>
      </c>
      <c r="CJ2502" s="1" t="s">
        <v>109</v>
      </c>
      <c r="CK2502" s="1"/>
      <c r="CL2502" s="1">
        <v>0</v>
      </c>
      <c r="CM2502" s="1">
        <v>0</v>
      </c>
      <c r="CN2502" s="1">
        <v>0</v>
      </c>
    </row>
    <row r="2503" spans="1:92" ht="14.25" customHeight="1" x14ac:dyDescent="0.15">
      <c r="A2503" s="1" t="s">
        <v>17809</v>
      </c>
      <c r="B2503" s="1" t="s">
        <v>308</v>
      </c>
      <c r="C2503" s="1"/>
      <c r="D2503" s="1" t="s">
        <v>473</v>
      </c>
      <c r="E2503" s="1" t="s">
        <v>17810</v>
      </c>
      <c r="F2503" s="1" t="s">
        <v>355</v>
      </c>
      <c r="G2503" s="1" t="s">
        <v>2345</v>
      </c>
      <c r="H2503" s="1">
        <v>0</v>
      </c>
      <c r="I2503" s="1" t="s">
        <v>142</v>
      </c>
      <c r="J2503" s="1"/>
      <c r="K2503" s="1"/>
      <c r="L2503" s="1" t="s">
        <v>1391</v>
      </c>
      <c r="M2503" s="1" t="s">
        <v>815</v>
      </c>
      <c r="N2503" s="1">
        <v>1</v>
      </c>
      <c r="O2503" s="1">
        <v>0</v>
      </c>
      <c r="P2503" s="1" t="s">
        <v>301</v>
      </c>
      <c r="Q2503" s="1" t="s">
        <v>268</v>
      </c>
      <c r="R2503" s="1" t="s">
        <v>17811</v>
      </c>
      <c r="S2503" s="1" t="s">
        <v>17812</v>
      </c>
      <c r="T2503" s="1" t="s">
        <v>17783</v>
      </c>
      <c r="U2503" s="1" t="s">
        <v>17813</v>
      </c>
      <c r="V2503" s="1">
        <v>0</v>
      </c>
      <c r="W2503" s="1">
        <v>1</v>
      </c>
      <c r="X2503" s="1">
        <v>0</v>
      </c>
      <c r="Y2503" s="1">
        <v>0</v>
      </c>
      <c r="Z2503" s="1">
        <v>0</v>
      </c>
      <c r="AA2503" s="1" t="s">
        <v>109</v>
      </c>
      <c r="AB2503" s="1" t="s">
        <v>109</v>
      </c>
      <c r="AC2503" s="1" t="s">
        <v>109</v>
      </c>
      <c r="AD2503" s="1" t="s">
        <v>109</v>
      </c>
      <c r="AE2503" s="1" t="s">
        <v>109</v>
      </c>
      <c r="AF2503" s="1">
        <v>2</v>
      </c>
      <c r="AG2503" s="1" t="s">
        <v>109</v>
      </c>
      <c r="AH2503" s="1" t="s">
        <v>109</v>
      </c>
      <c r="AI2503" s="1" t="s">
        <v>109</v>
      </c>
      <c r="AJ2503" s="1">
        <v>3</v>
      </c>
      <c r="AK2503" s="1">
        <v>2</v>
      </c>
      <c r="AL2503" s="1" t="s">
        <v>109</v>
      </c>
      <c r="AM2503" s="1">
        <v>2</v>
      </c>
      <c r="AN2503" s="1" t="s">
        <v>109</v>
      </c>
      <c r="AO2503" s="1" t="s">
        <v>109</v>
      </c>
      <c r="AP2503" s="1"/>
      <c r="AQ2503" s="1">
        <v>2</v>
      </c>
      <c r="AR2503" s="1"/>
      <c r="AS2503" s="1"/>
      <c r="AT2503" s="1">
        <v>0</v>
      </c>
      <c r="AU2503" s="1">
        <v>0</v>
      </c>
      <c r="AV2503" s="1">
        <v>0</v>
      </c>
      <c r="AW2503" s="1">
        <v>0</v>
      </c>
      <c r="AX2503" s="1">
        <v>0</v>
      </c>
      <c r="AY2503" s="1">
        <v>0</v>
      </c>
      <c r="AZ2503" s="1">
        <v>0</v>
      </c>
      <c r="BA2503" s="1">
        <v>0</v>
      </c>
      <c r="BB2503" s="1">
        <v>0</v>
      </c>
      <c r="BC2503" s="1">
        <v>0</v>
      </c>
      <c r="BD2503" s="1">
        <v>0</v>
      </c>
      <c r="BE2503" s="1">
        <v>0</v>
      </c>
      <c r="BF2503" s="1">
        <v>1</v>
      </c>
      <c r="BG2503" s="1">
        <v>0</v>
      </c>
      <c r="BH2503" s="1">
        <v>0</v>
      </c>
      <c r="BI2503" s="1">
        <v>0</v>
      </c>
      <c r="BJ2503" s="1">
        <v>0</v>
      </c>
      <c r="BK2503" s="1">
        <v>0</v>
      </c>
      <c r="BL2503" s="1">
        <v>0</v>
      </c>
      <c r="BM2503" s="1">
        <v>1</v>
      </c>
      <c r="BN2503" s="1">
        <v>0</v>
      </c>
      <c r="BO2503" s="1">
        <v>0</v>
      </c>
      <c r="BP2503" s="1">
        <v>0</v>
      </c>
      <c r="BQ2503" s="1">
        <v>0</v>
      </c>
      <c r="BR2503" s="1">
        <v>0</v>
      </c>
      <c r="BS2503" s="1" t="s">
        <v>109</v>
      </c>
      <c r="BT2503" s="1">
        <v>2601</v>
      </c>
      <c r="BU2503" s="1" t="s">
        <v>109</v>
      </c>
      <c r="BV2503" s="1"/>
      <c r="BW2503" s="1"/>
      <c r="BX2503" s="1"/>
      <c r="BY2503" s="1"/>
      <c r="BZ2503" s="1">
        <v>0</v>
      </c>
      <c r="CA2503" s="1" t="s">
        <v>109</v>
      </c>
      <c r="CB2503" s="1">
        <v>2</v>
      </c>
      <c r="CC2503" s="1">
        <v>2</v>
      </c>
      <c r="CD2503" s="1" t="s">
        <v>109</v>
      </c>
      <c r="CE2503" s="1">
        <v>2</v>
      </c>
      <c r="CF2503" s="1" t="s">
        <v>109</v>
      </c>
      <c r="CG2503" s="1">
        <v>2</v>
      </c>
      <c r="CH2503" s="1" t="s">
        <v>109</v>
      </c>
      <c r="CI2503" s="1" t="s">
        <v>109</v>
      </c>
      <c r="CJ2503" s="1" t="s">
        <v>109</v>
      </c>
      <c r="CK2503" s="1"/>
      <c r="CL2503" s="1">
        <v>0</v>
      </c>
      <c r="CM2503" s="1">
        <v>0</v>
      </c>
      <c r="CN2503" s="1">
        <v>0</v>
      </c>
    </row>
    <row r="2504" spans="1:92" ht="14.25" customHeight="1" x14ac:dyDescent="0.15">
      <c r="A2504" s="1" t="s">
        <v>17814</v>
      </c>
      <c r="B2504" s="1" t="s">
        <v>254</v>
      </c>
      <c r="C2504" s="1"/>
      <c r="D2504" s="1"/>
      <c r="E2504" s="1" t="s">
        <v>17815</v>
      </c>
      <c r="F2504" s="1" t="s">
        <v>355</v>
      </c>
      <c r="G2504" s="1" t="s">
        <v>17816</v>
      </c>
      <c r="H2504" s="1">
        <v>0</v>
      </c>
      <c r="I2504" s="1" t="s">
        <v>142</v>
      </c>
      <c r="J2504" s="1"/>
      <c r="K2504" s="1" t="s">
        <v>17817</v>
      </c>
      <c r="L2504" s="1"/>
      <c r="M2504" s="1" t="s">
        <v>17818</v>
      </c>
      <c r="N2504" s="1">
        <v>0</v>
      </c>
      <c r="O2504" s="1">
        <v>0</v>
      </c>
      <c r="P2504" s="1" t="s">
        <v>103</v>
      </c>
      <c r="Q2504" s="1" t="s">
        <v>104</v>
      </c>
      <c r="R2504" s="1" t="s">
        <v>17819</v>
      </c>
      <c r="S2504" s="1" t="s">
        <v>17820</v>
      </c>
      <c r="T2504" s="1" t="s">
        <v>17783</v>
      </c>
      <c r="U2504" s="1" t="s">
        <v>17821</v>
      </c>
      <c r="V2504" s="1">
        <v>0</v>
      </c>
      <c r="W2504" s="1">
        <v>1</v>
      </c>
      <c r="X2504" s="1">
        <v>1</v>
      </c>
      <c r="Y2504" s="1">
        <v>0</v>
      </c>
      <c r="Z2504" s="1">
        <v>0</v>
      </c>
      <c r="AA2504" s="1">
        <v>3</v>
      </c>
      <c r="AB2504" s="1">
        <v>3</v>
      </c>
      <c r="AC2504" s="1" t="s">
        <v>109</v>
      </c>
      <c r="AD2504" s="1">
        <v>2</v>
      </c>
      <c r="AE2504" s="1">
        <v>2</v>
      </c>
      <c r="AF2504" s="1">
        <v>4</v>
      </c>
      <c r="AG2504" s="1" t="s">
        <v>109</v>
      </c>
      <c r="AH2504" s="1" t="s">
        <v>109</v>
      </c>
      <c r="AI2504" s="1">
        <v>3</v>
      </c>
      <c r="AJ2504" s="1">
        <v>3</v>
      </c>
      <c r="AK2504" s="1">
        <v>3</v>
      </c>
      <c r="AL2504" s="1" t="s">
        <v>109</v>
      </c>
      <c r="AM2504" s="1">
        <v>4</v>
      </c>
      <c r="AN2504" s="1" t="s">
        <v>109</v>
      </c>
      <c r="AO2504" s="1" t="s">
        <v>109</v>
      </c>
      <c r="AP2504" s="1"/>
      <c r="AQ2504" s="1">
        <v>3</v>
      </c>
      <c r="AR2504" s="1"/>
      <c r="AS2504" s="1"/>
      <c r="AT2504" s="1">
        <v>0</v>
      </c>
      <c r="AU2504" s="1">
        <v>0</v>
      </c>
      <c r="AV2504" s="1">
        <v>0</v>
      </c>
      <c r="AW2504" s="1">
        <v>0</v>
      </c>
      <c r="AX2504" s="1">
        <v>0</v>
      </c>
      <c r="AY2504" s="1">
        <v>0</v>
      </c>
      <c r="AZ2504" s="1">
        <v>0</v>
      </c>
      <c r="BA2504" s="1">
        <v>0</v>
      </c>
      <c r="BB2504" s="1">
        <v>0</v>
      </c>
      <c r="BC2504" s="1">
        <v>0</v>
      </c>
      <c r="BD2504" s="1">
        <v>0</v>
      </c>
      <c r="BE2504" s="1">
        <v>0</v>
      </c>
      <c r="BF2504" s="1">
        <v>0</v>
      </c>
      <c r="BG2504" s="1">
        <v>0</v>
      </c>
      <c r="BH2504" s="1">
        <v>0</v>
      </c>
      <c r="BI2504" s="1">
        <v>0</v>
      </c>
      <c r="BJ2504" s="1">
        <v>0</v>
      </c>
      <c r="BK2504" s="1">
        <v>0</v>
      </c>
      <c r="BL2504" s="1">
        <v>0</v>
      </c>
      <c r="BM2504" s="1">
        <v>0</v>
      </c>
      <c r="BN2504" s="1">
        <v>0</v>
      </c>
      <c r="BO2504" s="1">
        <v>0</v>
      </c>
      <c r="BP2504" s="1">
        <v>0</v>
      </c>
      <c r="BQ2504" s="1">
        <v>0</v>
      </c>
      <c r="BR2504" s="1">
        <v>0</v>
      </c>
      <c r="BS2504" s="1" t="s">
        <v>109</v>
      </c>
      <c r="BT2504" s="1">
        <v>2602</v>
      </c>
      <c r="BU2504" s="1" t="s">
        <v>109</v>
      </c>
      <c r="BV2504" s="1"/>
      <c r="BW2504" s="1"/>
      <c r="BX2504" s="1"/>
      <c r="BY2504" s="1"/>
      <c r="BZ2504" s="1">
        <v>0</v>
      </c>
      <c r="CA2504" s="1" t="s">
        <v>109</v>
      </c>
      <c r="CB2504" s="1">
        <v>2</v>
      </c>
      <c r="CC2504" s="1">
        <v>4</v>
      </c>
      <c r="CD2504" s="1" t="s">
        <v>109</v>
      </c>
      <c r="CE2504" s="1" t="s">
        <v>109</v>
      </c>
      <c r="CF2504" s="1" t="s">
        <v>109</v>
      </c>
      <c r="CG2504" s="1" t="s">
        <v>109</v>
      </c>
      <c r="CH2504" s="1" t="s">
        <v>109</v>
      </c>
      <c r="CI2504" s="1" t="s">
        <v>109</v>
      </c>
      <c r="CJ2504" s="1">
        <v>2</v>
      </c>
      <c r="CK2504" s="1"/>
      <c r="CL2504" s="1">
        <v>0</v>
      </c>
      <c r="CM2504" s="1">
        <v>0</v>
      </c>
      <c r="CN2504" s="1">
        <v>0</v>
      </c>
    </row>
    <row r="2505" spans="1:92" ht="14.25" customHeight="1" x14ac:dyDescent="0.15">
      <c r="A2505" s="1" t="s">
        <v>17822</v>
      </c>
      <c r="B2505" s="1" t="s">
        <v>156</v>
      </c>
      <c r="C2505" s="1" t="s">
        <v>157</v>
      </c>
      <c r="D2505" s="1" t="s">
        <v>158</v>
      </c>
      <c r="E2505" s="1" t="s">
        <v>17823</v>
      </c>
      <c r="F2505" s="1" t="s">
        <v>98</v>
      </c>
      <c r="G2505" s="1" t="s">
        <v>141</v>
      </c>
      <c r="H2505" s="1">
        <v>0</v>
      </c>
      <c r="I2505" s="1" t="s">
        <v>142</v>
      </c>
      <c r="J2505" s="1"/>
      <c r="K2505" s="1"/>
      <c r="L2505" s="1" t="s">
        <v>563</v>
      </c>
      <c r="M2505" s="1" t="s">
        <v>17824</v>
      </c>
      <c r="N2505" s="1">
        <v>1</v>
      </c>
      <c r="O2505" s="1">
        <v>0</v>
      </c>
      <c r="P2505" s="1" t="s">
        <v>301</v>
      </c>
      <c r="Q2505" s="1" t="s">
        <v>268</v>
      </c>
      <c r="R2505" s="1" t="s">
        <v>17825</v>
      </c>
      <c r="S2505" s="1" t="s">
        <v>17826</v>
      </c>
      <c r="T2505" s="1" t="s">
        <v>17783</v>
      </c>
      <c r="U2505" s="1" t="s">
        <v>17827</v>
      </c>
      <c r="V2505" s="1">
        <v>1</v>
      </c>
      <c r="W2505" s="1">
        <v>1</v>
      </c>
      <c r="X2505" s="1">
        <v>0</v>
      </c>
      <c r="Y2505" s="1">
        <v>0</v>
      </c>
      <c r="Z2505" s="1">
        <v>0</v>
      </c>
      <c r="AA2505" s="1">
        <v>2</v>
      </c>
      <c r="AB2505" s="1">
        <v>2</v>
      </c>
      <c r="AC2505" s="1" t="s">
        <v>109</v>
      </c>
      <c r="AD2505" s="1" t="s">
        <v>109</v>
      </c>
      <c r="AE2505" s="1" t="s">
        <v>109</v>
      </c>
      <c r="AF2505" s="1">
        <v>2</v>
      </c>
      <c r="AG2505" s="1" t="s">
        <v>109</v>
      </c>
      <c r="AH2505" s="1" t="s">
        <v>109</v>
      </c>
      <c r="AI2505" s="1" t="s">
        <v>109</v>
      </c>
      <c r="AJ2505" s="1">
        <v>2</v>
      </c>
      <c r="AK2505" s="1" t="s">
        <v>109</v>
      </c>
      <c r="AL2505" s="1" t="s">
        <v>109</v>
      </c>
      <c r="AM2505" s="1" t="s">
        <v>109</v>
      </c>
      <c r="AN2505" s="1" t="s">
        <v>109</v>
      </c>
      <c r="AO2505" s="1" t="s">
        <v>109</v>
      </c>
      <c r="AP2505" s="1"/>
      <c r="AQ2505" s="1">
        <v>2</v>
      </c>
      <c r="AR2505" s="1"/>
      <c r="AS2505" s="1"/>
      <c r="AT2505" s="1">
        <v>0</v>
      </c>
      <c r="AU2505" s="1">
        <v>0</v>
      </c>
      <c r="AV2505" s="1">
        <v>0</v>
      </c>
      <c r="AW2505" s="1">
        <v>0</v>
      </c>
      <c r="AX2505" s="1">
        <v>0</v>
      </c>
      <c r="AY2505" s="1">
        <v>0</v>
      </c>
      <c r="AZ2505" s="1">
        <v>0</v>
      </c>
      <c r="BA2505" s="1">
        <v>0</v>
      </c>
      <c r="BB2505" s="1">
        <v>0</v>
      </c>
      <c r="BC2505" s="1">
        <v>0</v>
      </c>
      <c r="BD2505" s="1">
        <v>0</v>
      </c>
      <c r="BE2505" s="1">
        <v>0</v>
      </c>
      <c r="BF2505" s="1">
        <v>0</v>
      </c>
      <c r="BG2505" s="1">
        <v>0</v>
      </c>
      <c r="BH2505" s="1">
        <v>0</v>
      </c>
      <c r="BI2505" s="1">
        <v>0</v>
      </c>
      <c r="BJ2505" s="1">
        <v>0</v>
      </c>
      <c r="BK2505" s="1">
        <v>0</v>
      </c>
      <c r="BL2505" s="1">
        <v>0</v>
      </c>
      <c r="BM2505" s="1">
        <v>1</v>
      </c>
      <c r="BN2505" s="1">
        <v>0</v>
      </c>
      <c r="BO2505" s="1">
        <v>0</v>
      </c>
      <c r="BP2505" s="1">
        <v>0</v>
      </c>
      <c r="BQ2505" s="1">
        <v>0</v>
      </c>
      <c r="BR2505" s="1">
        <v>0</v>
      </c>
      <c r="BS2505" s="1" t="s">
        <v>109</v>
      </c>
      <c r="BT2505" s="1">
        <v>2603</v>
      </c>
      <c r="BU2505" s="1" t="s">
        <v>109</v>
      </c>
      <c r="BV2505" s="1"/>
      <c r="BW2505" s="1"/>
      <c r="BX2505" s="1"/>
      <c r="BY2505" s="1"/>
      <c r="BZ2505" s="1">
        <v>0</v>
      </c>
      <c r="CA2505" s="1" t="s">
        <v>109</v>
      </c>
      <c r="CB2505" s="1" t="s">
        <v>109</v>
      </c>
      <c r="CC2505" s="1">
        <v>2</v>
      </c>
      <c r="CD2505" s="1" t="s">
        <v>109</v>
      </c>
      <c r="CE2505" s="1">
        <v>2</v>
      </c>
      <c r="CF2505" s="1" t="s">
        <v>109</v>
      </c>
      <c r="CG2505" s="1" t="s">
        <v>109</v>
      </c>
      <c r="CH2505" s="1" t="s">
        <v>109</v>
      </c>
      <c r="CI2505" s="1" t="s">
        <v>109</v>
      </c>
      <c r="CJ2505" s="1" t="s">
        <v>109</v>
      </c>
      <c r="CK2505" s="1"/>
      <c r="CL2505" s="1">
        <v>0</v>
      </c>
      <c r="CM2505" s="1">
        <v>0</v>
      </c>
      <c r="CN2505" s="1">
        <v>0</v>
      </c>
    </row>
    <row r="2506" spans="1:92" ht="14.25" customHeight="1" x14ac:dyDescent="0.15">
      <c r="A2506" s="1" t="s">
        <v>17828</v>
      </c>
      <c r="B2506" s="1" t="s">
        <v>156</v>
      </c>
      <c r="C2506" s="1" t="s">
        <v>157</v>
      </c>
      <c r="D2506" s="1" t="s">
        <v>158</v>
      </c>
      <c r="E2506" s="1" t="s">
        <v>17630</v>
      </c>
      <c r="F2506" s="1" t="s">
        <v>98</v>
      </c>
      <c r="G2506" s="1" t="s">
        <v>141</v>
      </c>
      <c r="H2506" s="1">
        <v>0</v>
      </c>
      <c r="I2506" s="1" t="s">
        <v>142</v>
      </c>
      <c r="J2506" s="1"/>
      <c r="K2506" s="1"/>
      <c r="L2506" s="1" t="s">
        <v>6973</v>
      </c>
      <c r="M2506" s="1" t="s">
        <v>17824</v>
      </c>
      <c r="N2506" s="1">
        <v>1</v>
      </c>
      <c r="O2506" s="1">
        <v>0</v>
      </c>
      <c r="P2506" s="1" t="s">
        <v>301</v>
      </c>
      <c r="Q2506" s="1" t="s">
        <v>268</v>
      </c>
      <c r="R2506" s="1" t="s">
        <v>17829</v>
      </c>
      <c r="S2506" s="1" t="s">
        <v>17830</v>
      </c>
      <c r="T2506" s="1" t="s">
        <v>17783</v>
      </c>
      <c r="U2506" s="1" t="s">
        <v>17831</v>
      </c>
      <c r="V2506" s="1">
        <v>1</v>
      </c>
      <c r="W2506" s="1">
        <v>1</v>
      </c>
      <c r="X2506" s="1">
        <v>0</v>
      </c>
      <c r="Y2506" s="1">
        <v>0</v>
      </c>
      <c r="Z2506" s="1">
        <v>0</v>
      </c>
      <c r="AA2506" s="1">
        <v>5</v>
      </c>
      <c r="AB2506" s="1">
        <v>5</v>
      </c>
      <c r="AC2506" s="1" t="s">
        <v>109</v>
      </c>
      <c r="AD2506" s="1" t="s">
        <v>109</v>
      </c>
      <c r="AE2506" s="1" t="s">
        <v>109</v>
      </c>
      <c r="AF2506" s="1">
        <v>4</v>
      </c>
      <c r="AG2506" s="1" t="s">
        <v>109</v>
      </c>
      <c r="AH2506" s="1" t="s">
        <v>109</v>
      </c>
      <c r="AI2506" s="1" t="s">
        <v>109</v>
      </c>
      <c r="AJ2506" s="1">
        <v>5</v>
      </c>
      <c r="AK2506" s="1" t="s">
        <v>109</v>
      </c>
      <c r="AL2506" s="1" t="s">
        <v>109</v>
      </c>
      <c r="AM2506" s="1" t="s">
        <v>109</v>
      </c>
      <c r="AN2506" s="1" t="s">
        <v>109</v>
      </c>
      <c r="AO2506" s="1" t="s">
        <v>109</v>
      </c>
      <c r="AP2506" s="1"/>
      <c r="AQ2506" s="1">
        <v>5</v>
      </c>
      <c r="AR2506" s="1"/>
      <c r="AS2506" s="1"/>
      <c r="AT2506" s="1">
        <v>0</v>
      </c>
      <c r="AU2506" s="1">
        <v>0</v>
      </c>
      <c r="AV2506" s="1">
        <v>0</v>
      </c>
      <c r="AW2506" s="1">
        <v>0</v>
      </c>
      <c r="AX2506" s="1">
        <v>0</v>
      </c>
      <c r="AY2506" s="1">
        <v>0</v>
      </c>
      <c r="AZ2506" s="1">
        <v>0</v>
      </c>
      <c r="BA2506" s="1">
        <v>0</v>
      </c>
      <c r="BB2506" s="1">
        <v>0</v>
      </c>
      <c r="BC2506" s="1">
        <v>0</v>
      </c>
      <c r="BD2506" s="1">
        <v>0</v>
      </c>
      <c r="BE2506" s="1">
        <v>0</v>
      </c>
      <c r="BF2506" s="1">
        <v>0</v>
      </c>
      <c r="BG2506" s="1">
        <v>0</v>
      </c>
      <c r="BH2506" s="1">
        <v>0</v>
      </c>
      <c r="BI2506" s="1">
        <v>0</v>
      </c>
      <c r="BJ2506" s="1">
        <v>0</v>
      </c>
      <c r="BK2506" s="1">
        <v>0</v>
      </c>
      <c r="BL2506" s="1">
        <v>0</v>
      </c>
      <c r="BM2506" s="1">
        <v>1</v>
      </c>
      <c r="BN2506" s="1">
        <v>0</v>
      </c>
      <c r="BO2506" s="1">
        <v>0</v>
      </c>
      <c r="BP2506" s="1">
        <v>0</v>
      </c>
      <c r="BQ2506" s="1">
        <v>0</v>
      </c>
      <c r="BR2506" s="1">
        <v>0</v>
      </c>
      <c r="BS2506" s="1" t="s">
        <v>109</v>
      </c>
      <c r="BT2506" s="1">
        <v>2604</v>
      </c>
      <c r="BU2506" s="1" t="s">
        <v>109</v>
      </c>
      <c r="BV2506" s="1"/>
      <c r="BW2506" s="1"/>
      <c r="BX2506" s="1"/>
      <c r="BY2506" s="1"/>
      <c r="BZ2506" s="1">
        <v>0</v>
      </c>
      <c r="CA2506" s="1" t="s">
        <v>109</v>
      </c>
      <c r="CB2506" s="1" t="s">
        <v>109</v>
      </c>
      <c r="CC2506" s="1">
        <v>5</v>
      </c>
      <c r="CD2506" s="1" t="s">
        <v>109</v>
      </c>
      <c r="CE2506" s="1">
        <v>4</v>
      </c>
      <c r="CF2506" s="1" t="s">
        <v>109</v>
      </c>
      <c r="CG2506" s="1" t="s">
        <v>109</v>
      </c>
      <c r="CH2506" s="1" t="s">
        <v>109</v>
      </c>
      <c r="CI2506" s="1" t="s">
        <v>109</v>
      </c>
      <c r="CJ2506" s="1" t="s">
        <v>109</v>
      </c>
      <c r="CK2506" s="1"/>
      <c r="CL2506" s="1">
        <v>0</v>
      </c>
      <c r="CM2506" s="1">
        <v>0</v>
      </c>
      <c r="CN2506" s="1">
        <v>0</v>
      </c>
    </row>
    <row r="2507" spans="1:92" ht="14.25" customHeight="1" x14ac:dyDescent="0.15">
      <c r="A2507" s="1" t="s">
        <v>17832</v>
      </c>
      <c r="B2507" s="1" t="s">
        <v>189</v>
      </c>
      <c r="C2507" s="1" t="s">
        <v>231</v>
      </c>
      <c r="D2507" s="1"/>
      <c r="E2507" s="1" t="s">
        <v>17833</v>
      </c>
      <c r="F2507" s="1" t="s">
        <v>98</v>
      </c>
      <c r="G2507" s="1" t="s">
        <v>17834</v>
      </c>
      <c r="H2507" s="1">
        <v>1</v>
      </c>
      <c r="I2507" s="1" t="s">
        <v>142</v>
      </c>
      <c r="J2507" s="1"/>
      <c r="K2507" s="1"/>
      <c r="L2507" s="1" t="s">
        <v>506</v>
      </c>
      <c r="M2507" s="1" t="s">
        <v>408</v>
      </c>
      <c r="N2507" s="1">
        <v>0</v>
      </c>
      <c r="O2507" s="1">
        <v>0</v>
      </c>
      <c r="P2507" s="1" t="s">
        <v>267</v>
      </c>
      <c r="Q2507" s="1" t="s">
        <v>268</v>
      </c>
      <c r="R2507" s="1" t="s">
        <v>17835</v>
      </c>
      <c r="S2507" s="1" t="s">
        <v>17836</v>
      </c>
      <c r="T2507" s="1" t="s">
        <v>17783</v>
      </c>
      <c r="U2507" s="1" t="s">
        <v>17837</v>
      </c>
      <c r="V2507" s="1">
        <v>1</v>
      </c>
      <c r="W2507" s="1">
        <v>1</v>
      </c>
      <c r="X2507" s="1">
        <v>0</v>
      </c>
      <c r="Y2507" s="1">
        <v>0</v>
      </c>
      <c r="Z2507" s="1">
        <v>0</v>
      </c>
      <c r="AA2507" s="1">
        <v>9</v>
      </c>
      <c r="AB2507" s="1">
        <v>9</v>
      </c>
      <c r="AC2507" s="1" t="s">
        <v>109</v>
      </c>
      <c r="AD2507" s="1" t="s">
        <v>109</v>
      </c>
      <c r="AE2507" s="1" t="s">
        <v>109</v>
      </c>
      <c r="AF2507" s="1" t="s">
        <v>109</v>
      </c>
      <c r="AG2507" s="1" t="s">
        <v>109</v>
      </c>
      <c r="AH2507" s="1" t="s">
        <v>109</v>
      </c>
      <c r="AI2507" s="1" t="s">
        <v>109</v>
      </c>
      <c r="AJ2507" s="1">
        <v>9</v>
      </c>
      <c r="AK2507" s="1" t="s">
        <v>109</v>
      </c>
      <c r="AL2507" s="1" t="s">
        <v>109</v>
      </c>
      <c r="AM2507" s="1" t="s">
        <v>109</v>
      </c>
      <c r="AN2507" s="1" t="s">
        <v>109</v>
      </c>
      <c r="AO2507" s="1" t="s">
        <v>109</v>
      </c>
      <c r="AP2507" s="1"/>
      <c r="AQ2507" s="1">
        <v>9</v>
      </c>
      <c r="AR2507" s="1"/>
      <c r="AS2507" s="1"/>
      <c r="AT2507" s="1">
        <v>0</v>
      </c>
      <c r="AU2507" s="1">
        <v>0</v>
      </c>
      <c r="AV2507" s="1">
        <v>0</v>
      </c>
      <c r="AW2507" s="1">
        <v>0</v>
      </c>
      <c r="AX2507" s="1">
        <v>0</v>
      </c>
      <c r="AY2507" s="1">
        <v>0</v>
      </c>
      <c r="AZ2507" s="1">
        <v>0</v>
      </c>
      <c r="BA2507" s="1">
        <v>0</v>
      </c>
      <c r="BB2507" s="1">
        <v>0</v>
      </c>
      <c r="BC2507" s="1">
        <v>0</v>
      </c>
      <c r="BD2507" s="1">
        <v>0</v>
      </c>
      <c r="BE2507" s="1">
        <v>0</v>
      </c>
      <c r="BF2507" s="1">
        <v>0</v>
      </c>
      <c r="BG2507" s="1">
        <v>0</v>
      </c>
      <c r="BH2507" s="1">
        <v>0</v>
      </c>
      <c r="BI2507" s="1">
        <v>0</v>
      </c>
      <c r="BJ2507" s="1">
        <v>0</v>
      </c>
      <c r="BK2507" s="1">
        <v>0</v>
      </c>
      <c r="BL2507" s="1">
        <v>0</v>
      </c>
      <c r="BM2507" s="1">
        <v>0</v>
      </c>
      <c r="BN2507" s="1">
        <v>0</v>
      </c>
      <c r="BO2507" s="1">
        <v>0</v>
      </c>
      <c r="BP2507" s="1">
        <v>0</v>
      </c>
      <c r="BQ2507" s="1">
        <v>0</v>
      </c>
      <c r="BR2507" s="1">
        <v>0</v>
      </c>
      <c r="BS2507" s="1" t="s">
        <v>109</v>
      </c>
      <c r="BT2507" s="1">
        <v>2605</v>
      </c>
      <c r="BU2507" s="1">
        <v>1000</v>
      </c>
      <c r="BV2507" s="1"/>
      <c r="BW2507" s="1"/>
      <c r="BX2507" s="1"/>
      <c r="BY2507" s="1"/>
      <c r="BZ2507" s="1">
        <v>0</v>
      </c>
      <c r="CA2507" s="1" t="s">
        <v>109</v>
      </c>
      <c r="CB2507" s="1" t="s">
        <v>109</v>
      </c>
      <c r="CC2507" s="1" t="s">
        <v>109</v>
      </c>
      <c r="CD2507" s="1" t="s">
        <v>109</v>
      </c>
      <c r="CE2507" s="1" t="s">
        <v>109</v>
      </c>
      <c r="CF2507" s="1">
        <v>6</v>
      </c>
      <c r="CG2507" s="1" t="s">
        <v>109</v>
      </c>
      <c r="CH2507" s="1" t="s">
        <v>109</v>
      </c>
      <c r="CI2507" s="1" t="s">
        <v>109</v>
      </c>
      <c r="CJ2507" s="1" t="s">
        <v>109</v>
      </c>
      <c r="CK2507" s="1"/>
      <c r="CL2507" s="1">
        <v>0</v>
      </c>
      <c r="CM2507" s="1">
        <v>0</v>
      </c>
      <c r="CN2507" s="1">
        <v>0</v>
      </c>
    </row>
    <row r="2508" spans="1:92" ht="14.25" customHeight="1" x14ac:dyDescent="0.15">
      <c r="A2508" s="1" t="s">
        <v>17838</v>
      </c>
      <c r="B2508" s="1" t="s">
        <v>584</v>
      </c>
      <c r="C2508" s="1"/>
      <c r="D2508" s="1" t="s">
        <v>17839</v>
      </c>
      <c r="E2508" s="1" t="s">
        <v>17840</v>
      </c>
      <c r="F2508" s="1" t="s">
        <v>98</v>
      </c>
      <c r="G2508" s="1" t="s">
        <v>2116</v>
      </c>
      <c r="H2508" s="1">
        <v>0</v>
      </c>
      <c r="I2508" s="1" t="s">
        <v>235</v>
      </c>
      <c r="J2508" s="1"/>
      <c r="K2508" s="1"/>
      <c r="L2508" s="1" t="s">
        <v>236</v>
      </c>
      <c r="M2508" s="1" t="s">
        <v>3042</v>
      </c>
      <c r="N2508" s="1">
        <v>0</v>
      </c>
      <c r="O2508" s="1">
        <v>0</v>
      </c>
      <c r="P2508" s="1" t="s">
        <v>507</v>
      </c>
      <c r="Q2508" s="1" t="s">
        <v>104</v>
      </c>
      <c r="R2508" s="1" t="s">
        <v>17841</v>
      </c>
      <c r="S2508" s="1" t="s">
        <v>17842</v>
      </c>
      <c r="T2508" s="1" t="s">
        <v>17843</v>
      </c>
      <c r="U2508" s="1" t="s">
        <v>17844</v>
      </c>
      <c r="V2508" s="1">
        <v>1</v>
      </c>
      <c r="W2508" s="1">
        <v>1</v>
      </c>
      <c r="X2508" s="1">
        <v>1</v>
      </c>
      <c r="Y2508" s="1">
        <v>0</v>
      </c>
      <c r="Z2508" s="1">
        <v>0</v>
      </c>
      <c r="AA2508" s="1">
        <v>3</v>
      </c>
      <c r="AB2508" s="1">
        <v>3</v>
      </c>
      <c r="AC2508" s="1" t="s">
        <v>109</v>
      </c>
      <c r="AD2508" s="1" t="s">
        <v>109</v>
      </c>
      <c r="AE2508" s="1" t="s">
        <v>109</v>
      </c>
      <c r="AF2508" s="1" t="s">
        <v>109</v>
      </c>
      <c r="AG2508" s="1" t="s">
        <v>109</v>
      </c>
      <c r="AH2508" s="1">
        <v>3</v>
      </c>
      <c r="AI2508" s="1" t="s">
        <v>109</v>
      </c>
      <c r="AJ2508" s="1" t="s">
        <v>109</v>
      </c>
      <c r="AK2508" s="1" t="s">
        <v>109</v>
      </c>
      <c r="AL2508" s="1" t="s">
        <v>109</v>
      </c>
      <c r="AM2508" s="1" t="s">
        <v>109</v>
      </c>
      <c r="AN2508" s="1" t="s">
        <v>109</v>
      </c>
      <c r="AO2508" s="1" t="s">
        <v>109</v>
      </c>
      <c r="AP2508" s="1"/>
      <c r="AQ2508" s="1">
        <v>3</v>
      </c>
      <c r="AR2508" s="1"/>
      <c r="AS2508" s="1"/>
      <c r="AT2508" s="1">
        <v>0</v>
      </c>
      <c r="AU2508" s="1">
        <v>0</v>
      </c>
      <c r="AV2508" s="1">
        <v>0</v>
      </c>
      <c r="AW2508" s="1">
        <v>0</v>
      </c>
      <c r="AX2508" s="1">
        <v>0</v>
      </c>
      <c r="AY2508" s="1">
        <v>0</v>
      </c>
      <c r="AZ2508" s="1">
        <v>0</v>
      </c>
      <c r="BA2508" s="1">
        <v>0</v>
      </c>
      <c r="BB2508" s="1">
        <v>0</v>
      </c>
      <c r="BC2508" s="1">
        <v>0</v>
      </c>
      <c r="BD2508" s="1">
        <v>0</v>
      </c>
      <c r="BE2508" s="1">
        <v>0</v>
      </c>
      <c r="BF2508" s="1">
        <v>0</v>
      </c>
      <c r="BG2508" s="1">
        <v>0</v>
      </c>
      <c r="BH2508" s="1">
        <v>0</v>
      </c>
      <c r="BI2508" s="1">
        <v>1</v>
      </c>
      <c r="BJ2508" s="1">
        <v>0</v>
      </c>
      <c r="BK2508" s="1">
        <v>0</v>
      </c>
      <c r="BL2508" s="1">
        <v>0</v>
      </c>
      <c r="BM2508" s="1">
        <v>0</v>
      </c>
      <c r="BN2508" s="1">
        <v>0</v>
      </c>
      <c r="BO2508" s="1">
        <v>0</v>
      </c>
      <c r="BP2508" s="1">
        <v>0</v>
      </c>
      <c r="BQ2508" s="1">
        <v>0</v>
      </c>
      <c r="BR2508" s="1">
        <v>0</v>
      </c>
      <c r="BS2508" s="1" t="s">
        <v>109</v>
      </c>
      <c r="BT2508" s="1">
        <v>2611</v>
      </c>
      <c r="BU2508" s="1" t="s">
        <v>109</v>
      </c>
      <c r="BV2508" s="1"/>
      <c r="BW2508" s="1"/>
      <c r="BX2508" s="1"/>
      <c r="BY2508" s="1"/>
      <c r="BZ2508" s="1">
        <v>0</v>
      </c>
      <c r="CA2508" s="1">
        <v>3</v>
      </c>
      <c r="CB2508" s="1" t="s">
        <v>109</v>
      </c>
      <c r="CC2508" s="1" t="s">
        <v>109</v>
      </c>
      <c r="CD2508" s="1">
        <v>3</v>
      </c>
      <c r="CE2508" s="1" t="s">
        <v>109</v>
      </c>
      <c r="CF2508" s="1" t="s">
        <v>109</v>
      </c>
      <c r="CG2508" s="1" t="s">
        <v>109</v>
      </c>
      <c r="CH2508" s="1" t="s">
        <v>109</v>
      </c>
      <c r="CI2508" s="1" t="s">
        <v>109</v>
      </c>
      <c r="CJ2508" s="1" t="s">
        <v>109</v>
      </c>
      <c r="CK2508" s="1"/>
      <c r="CL2508" s="1">
        <v>0</v>
      </c>
      <c r="CM2508" s="1">
        <v>1</v>
      </c>
      <c r="CN2508" s="1">
        <v>0</v>
      </c>
    </row>
    <row r="2509" spans="1:92" ht="14.25" customHeight="1" x14ac:dyDescent="0.15">
      <c r="A2509" s="1" t="s">
        <v>17845</v>
      </c>
      <c r="B2509" s="1" t="s">
        <v>156</v>
      </c>
      <c r="C2509" s="1" t="s">
        <v>157</v>
      </c>
      <c r="D2509" s="1" t="s">
        <v>17846</v>
      </c>
      <c r="E2509" s="1" t="s">
        <v>17847</v>
      </c>
      <c r="F2509" s="1" t="s">
        <v>98</v>
      </c>
      <c r="G2509" s="1" t="s">
        <v>17848</v>
      </c>
      <c r="H2509" s="1">
        <v>0</v>
      </c>
      <c r="I2509" s="1" t="s">
        <v>161</v>
      </c>
      <c r="J2509" s="1"/>
      <c r="K2509" s="1"/>
      <c r="L2509" s="1" t="s">
        <v>506</v>
      </c>
      <c r="M2509" s="1" t="s">
        <v>125</v>
      </c>
      <c r="N2509" s="1">
        <v>0</v>
      </c>
      <c r="O2509" s="1">
        <v>0</v>
      </c>
      <c r="P2509" s="1" t="s">
        <v>301</v>
      </c>
      <c r="Q2509" s="1" t="s">
        <v>268</v>
      </c>
      <c r="R2509" s="1" t="s">
        <v>17849</v>
      </c>
      <c r="S2509" s="1" t="s">
        <v>17850</v>
      </c>
      <c r="T2509" s="1" t="s">
        <v>17843</v>
      </c>
      <c r="U2509" s="1" t="s">
        <v>17851</v>
      </c>
      <c r="V2509" s="1">
        <v>1</v>
      </c>
      <c r="W2509" s="1">
        <v>1</v>
      </c>
      <c r="X2509" s="1">
        <v>1</v>
      </c>
      <c r="Y2509" s="1">
        <v>0</v>
      </c>
      <c r="Z2509" s="1">
        <v>0</v>
      </c>
      <c r="AA2509" s="1">
        <v>5</v>
      </c>
      <c r="AB2509" s="1">
        <v>5</v>
      </c>
      <c r="AC2509" s="1" t="s">
        <v>109</v>
      </c>
      <c r="AD2509" s="1" t="s">
        <v>109</v>
      </c>
      <c r="AE2509" s="1" t="s">
        <v>109</v>
      </c>
      <c r="AF2509" s="1" t="s">
        <v>109</v>
      </c>
      <c r="AG2509" s="1" t="s">
        <v>109</v>
      </c>
      <c r="AH2509" s="1" t="s">
        <v>109</v>
      </c>
      <c r="AI2509" s="1" t="s">
        <v>109</v>
      </c>
      <c r="AJ2509" s="1">
        <v>5</v>
      </c>
      <c r="AK2509" s="1" t="s">
        <v>109</v>
      </c>
      <c r="AL2509" s="1" t="s">
        <v>109</v>
      </c>
      <c r="AM2509" s="1" t="s">
        <v>109</v>
      </c>
      <c r="AN2509" s="1" t="s">
        <v>109</v>
      </c>
      <c r="AO2509" s="1" t="s">
        <v>109</v>
      </c>
      <c r="AP2509" s="1"/>
      <c r="AQ2509" s="1">
        <v>5</v>
      </c>
      <c r="AR2509" s="1"/>
      <c r="AS2509" s="1"/>
      <c r="AT2509" s="1">
        <v>0</v>
      </c>
      <c r="AU2509" s="1">
        <v>0</v>
      </c>
      <c r="AV2509" s="1">
        <v>0</v>
      </c>
      <c r="AW2509" s="1">
        <v>0</v>
      </c>
      <c r="AX2509" s="1">
        <v>0</v>
      </c>
      <c r="AY2509" s="1">
        <v>0</v>
      </c>
      <c r="AZ2509" s="1">
        <v>0</v>
      </c>
      <c r="BA2509" s="1">
        <v>0</v>
      </c>
      <c r="BB2509" s="1">
        <v>0</v>
      </c>
      <c r="BC2509" s="1">
        <v>0</v>
      </c>
      <c r="BD2509" s="1">
        <v>0</v>
      </c>
      <c r="BE2509" s="1">
        <v>1</v>
      </c>
      <c r="BF2509" s="1">
        <v>0</v>
      </c>
      <c r="BG2509" s="1">
        <v>0</v>
      </c>
      <c r="BH2509" s="1">
        <v>0</v>
      </c>
      <c r="BI2509" s="1">
        <v>0</v>
      </c>
      <c r="BJ2509" s="1">
        <v>0</v>
      </c>
      <c r="BK2509" s="1">
        <v>0</v>
      </c>
      <c r="BL2509" s="1">
        <v>0</v>
      </c>
      <c r="BM2509" s="1">
        <v>1</v>
      </c>
      <c r="BN2509" s="1">
        <v>0</v>
      </c>
      <c r="BO2509" s="1">
        <v>0</v>
      </c>
      <c r="BP2509" s="1">
        <v>0</v>
      </c>
      <c r="BQ2509" s="1">
        <v>0</v>
      </c>
      <c r="BR2509" s="1">
        <v>0</v>
      </c>
      <c r="BS2509" s="1" t="s">
        <v>109</v>
      </c>
      <c r="BT2509" s="1">
        <v>2612</v>
      </c>
      <c r="BU2509" s="1" t="s">
        <v>109</v>
      </c>
      <c r="BV2509" s="1"/>
      <c r="BW2509" s="1"/>
      <c r="BX2509" s="1"/>
      <c r="BY2509" s="1"/>
      <c r="BZ2509" s="1">
        <v>0</v>
      </c>
      <c r="CA2509" s="1" t="s">
        <v>109</v>
      </c>
      <c r="CB2509" s="1">
        <v>5</v>
      </c>
      <c r="CC2509" s="1" t="s">
        <v>109</v>
      </c>
      <c r="CD2509" s="1" t="s">
        <v>109</v>
      </c>
      <c r="CE2509" s="1">
        <v>5</v>
      </c>
      <c r="CF2509" s="1">
        <v>5</v>
      </c>
      <c r="CG2509" s="1" t="s">
        <v>109</v>
      </c>
      <c r="CH2509" s="1" t="s">
        <v>109</v>
      </c>
      <c r="CI2509" s="1" t="s">
        <v>109</v>
      </c>
      <c r="CJ2509" s="1" t="s">
        <v>109</v>
      </c>
      <c r="CK2509" s="1"/>
      <c r="CL2509" s="1">
        <v>0</v>
      </c>
      <c r="CM2509" s="1">
        <v>1</v>
      </c>
      <c r="CN2509" s="1">
        <v>0</v>
      </c>
    </row>
    <row r="2510" spans="1:92" ht="14.25" customHeight="1" x14ac:dyDescent="0.15">
      <c r="A2510" s="1" t="s">
        <v>17852</v>
      </c>
      <c r="B2510" s="1" t="s">
        <v>95</v>
      </c>
      <c r="C2510" s="1" t="s">
        <v>96</v>
      </c>
      <c r="D2510" s="1" t="s">
        <v>92</v>
      </c>
      <c r="E2510" s="1" t="s">
        <v>17853</v>
      </c>
      <c r="F2510" s="1" t="s">
        <v>395</v>
      </c>
      <c r="G2510" s="1" t="s">
        <v>17854</v>
      </c>
      <c r="H2510" s="1">
        <v>1</v>
      </c>
      <c r="I2510" s="1" t="s">
        <v>142</v>
      </c>
      <c r="J2510" s="1"/>
      <c r="K2510" s="1" t="s">
        <v>17855</v>
      </c>
      <c r="L2510" s="1"/>
      <c r="M2510" s="1" t="s">
        <v>5811</v>
      </c>
      <c r="N2510" s="1">
        <v>1</v>
      </c>
      <c r="O2510" s="1">
        <v>0</v>
      </c>
      <c r="P2510" s="1" t="s">
        <v>103</v>
      </c>
      <c r="Q2510" s="1" t="s">
        <v>104</v>
      </c>
      <c r="R2510" s="1" t="s">
        <v>17856</v>
      </c>
      <c r="S2510" s="1" t="s">
        <v>17857</v>
      </c>
      <c r="T2510" s="1" t="s">
        <v>17843</v>
      </c>
      <c r="U2510" s="1" t="s">
        <v>17858</v>
      </c>
      <c r="V2510" s="1">
        <v>1</v>
      </c>
      <c r="W2510" s="1">
        <v>1</v>
      </c>
      <c r="X2510" s="1">
        <v>1</v>
      </c>
      <c r="Y2510" s="1">
        <v>0</v>
      </c>
      <c r="Z2510" s="1">
        <v>0</v>
      </c>
      <c r="AA2510" s="1">
        <v>3</v>
      </c>
      <c r="AB2510" s="1">
        <v>3</v>
      </c>
      <c r="AC2510" s="1" t="s">
        <v>109</v>
      </c>
      <c r="AD2510" s="1" t="s">
        <v>109</v>
      </c>
      <c r="AE2510" s="1" t="s">
        <v>109</v>
      </c>
      <c r="AF2510" s="1" t="s">
        <v>109</v>
      </c>
      <c r="AG2510" s="1">
        <v>3</v>
      </c>
      <c r="AH2510" s="1" t="s">
        <v>109</v>
      </c>
      <c r="AI2510" s="1">
        <v>3</v>
      </c>
      <c r="AJ2510" s="1" t="s">
        <v>109</v>
      </c>
      <c r="AK2510" s="1" t="s">
        <v>109</v>
      </c>
      <c r="AL2510" s="1" t="s">
        <v>109</v>
      </c>
      <c r="AM2510" s="1">
        <v>3</v>
      </c>
      <c r="AN2510" s="1" t="s">
        <v>109</v>
      </c>
      <c r="AO2510" s="1" t="s">
        <v>109</v>
      </c>
      <c r="AP2510" s="1"/>
      <c r="AQ2510" s="1">
        <v>3</v>
      </c>
      <c r="AR2510" s="1"/>
      <c r="AS2510" s="1"/>
      <c r="AT2510" s="1">
        <v>0</v>
      </c>
      <c r="AU2510" s="1">
        <v>0</v>
      </c>
      <c r="AV2510" s="1">
        <v>0</v>
      </c>
      <c r="AW2510" s="1">
        <v>0</v>
      </c>
      <c r="AX2510" s="1">
        <v>0</v>
      </c>
      <c r="AY2510" s="1">
        <v>0</v>
      </c>
      <c r="AZ2510" s="1">
        <v>0</v>
      </c>
      <c r="BA2510" s="1">
        <v>0</v>
      </c>
      <c r="BB2510" s="1">
        <v>0</v>
      </c>
      <c r="BC2510" s="1">
        <v>0</v>
      </c>
      <c r="BD2510" s="1">
        <v>0</v>
      </c>
      <c r="BE2510" s="1">
        <v>0</v>
      </c>
      <c r="BF2510" s="1">
        <v>0</v>
      </c>
      <c r="BG2510" s="1">
        <v>0</v>
      </c>
      <c r="BH2510" s="1">
        <v>0</v>
      </c>
      <c r="BI2510" s="1">
        <v>0</v>
      </c>
      <c r="BJ2510" s="1">
        <v>0</v>
      </c>
      <c r="BK2510" s="1">
        <v>0</v>
      </c>
      <c r="BL2510" s="1">
        <v>0</v>
      </c>
      <c r="BM2510" s="1">
        <v>0</v>
      </c>
      <c r="BN2510" s="1">
        <v>0</v>
      </c>
      <c r="BO2510" s="1">
        <v>0</v>
      </c>
      <c r="BP2510" s="1">
        <v>0</v>
      </c>
      <c r="BQ2510" s="1">
        <v>0</v>
      </c>
      <c r="BR2510" s="1">
        <v>0</v>
      </c>
      <c r="BS2510" s="1" t="s">
        <v>109</v>
      </c>
      <c r="BT2510" s="1">
        <v>2613</v>
      </c>
      <c r="BU2510" s="1">
        <v>250</v>
      </c>
      <c r="BV2510" s="1"/>
      <c r="BW2510" s="1"/>
      <c r="BX2510" s="1"/>
      <c r="BY2510" s="1"/>
      <c r="BZ2510" s="1">
        <v>0</v>
      </c>
      <c r="CA2510" s="1">
        <v>3</v>
      </c>
      <c r="CB2510" s="1" t="s">
        <v>109</v>
      </c>
      <c r="CC2510" s="1">
        <v>3</v>
      </c>
      <c r="CD2510" s="1" t="s">
        <v>109</v>
      </c>
      <c r="CE2510" s="1" t="s">
        <v>109</v>
      </c>
      <c r="CF2510" s="1">
        <v>3</v>
      </c>
      <c r="CG2510" s="1">
        <v>3</v>
      </c>
      <c r="CH2510" s="1" t="s">
        <v>109</v>
      </c>
      <c r="CI2510" s="1" t="s">
        <v>109</v>
      </c>
      <c r="CJ2510" s="1" t="s">
        <v>109</v>
      </c>
      <c r="CK2510" s="1"/>
      <c r="CL2510" s="1">
        <v>0</v>
      </c>
      <c r="CM2510" s="1">
        <v>1</v>
      </c>
      <c r="CN2510" s="1">
        <v>0</v>
      </c>
    </row>
    <row r="2511" spans="1:92" ht="14.25" customHeight="1" x14ac:dyDescent="0.15">
      <c r="A2511" s="1" t="s">
        <v>17859</v>
      </c>
      <c r="B2511" s="1" t="s">
        <v>156</v>
      </c>
      <c r="C2511" s="1"/>
      <c r="D2511" s="1" t="s">
        <v>92</v>
      </c>
      <c r="E2511" s="1" t="s">
        <v>17860</v>
      </c>
      <c r="F2511" s="1" t="s">
        <v>98</v>
      </c>
      <c r="G2511" s="1" t="s">
        <v>141</v>
      </c>
      <c r="H2511" s="1">
        <v>0</v>
      </c>
      <c r="I2511" s="1" t="s">
        <v>235</v>
      </c>
      <c r="J2511" s="1"/>
      <c r="K2511" s="1" t="s">
        <v>17861</v>
      </c>
      <c r="L2511" s="1" t="s">
        <v>236</v>
      </c>
      <c r="M2511" s="1" t="s">
        <v>3042</v>
      </c>
      <c r="N2511" s="1">
        <v>0</v>
      </c>
      <c r="O2511" s="1">
        <v>0</v>
      </c>
      <c r="P2511" s="1" t="s">
        <v>507</v>
      </c>
      <c r="Q2511" s="1" t="s">
        <v>104</v>
      </c>
      <c r="R2511" s="1" t="s">
        <v>17862</v>
      </c>
      <c r="S2511" s="1" t="s">
        <v>17863</v>
      </c>
      <c r="T2511" s="1" t="s">
        <v>17843</v>
      </c>
      <c r="U2511" s="1" t="s">
        <v>17864</v>
      </c>
      <c r="V2511" s="1">
        <v>1</v>
      </c>
      <c r="W2511" s="1">
        <v>1</v>
      </c>
      <c r="X2511" s="1">
        <v>0</v>
      </c>
      <c r="Y2511" s="1">
        <v>0</v>
      </c>
      <c r="Z2511" s="1">
        <v>0</v>
      </c>
      <c r="AA2511" s="1">
        <v>3</v>
      </c>
      <c r="AB2511" s="1">
        <v>3</v>
      </c>
      <c r="AC2511" s="1">
        <v>3</v>
      </c>
      <c r="AD2511" s="1" t="s">
        <v>109</v>
      </c>
      <c r="AE2511" s="1" t="s">
        <v>109</v>
      </c>
      <c r="AF2511" s="1">
        <v>3</v>
      </c>
      <c r="AG2511" s="1" t="s">
        <v>109</v>
      </c>
      <c r="AH2511" s="1" t="s">
        <v>109</v>
      </c>
      <c r="AI2511" s="1" t="s">
        <v>109</v>
      </c>
      <c r="AJ2511" s="1">
        <v>3</v>
      </c>
      <c r="AK2511" s="1">
        <v>3</v>
      </c>
      <c r="AL2511" s="1">
        <v>3</v>
      </c>
      <c r="AM2511" s="1">
        <v>3</v>
      </c>
      <c r="AN2511" s="1" t="s">
        <v>109</v>
      </c>
      <c r="AO2511" s="1" t="s">
        <v>109</v>
      </c>
      <c r="AP2511" s="1"/>
      <c r="AQ2511" s="1">
        <v>3</v>
      </c>
      <c r="AR2511" s="1"/>
      <c r="AS2511" s="1"/>
      <c r="AT2511" s="1">
        <v>0</v>
      </c>
      <c r="AU2511" s="1">
        <v>0</v>
      </c>
      <c r="AV2511" s="1">
        <v>0</v>
      </c>
      <c r="AW2511" s="1">
        <v>0</v>
      </c>
      <c r="AX2511" s="1">
        <v>0</v>
      </c>
      <c r="AY2511" s="1">
        <v>0</v>
      </c>
      <c r="AZ2511" s="1">
        <v>0</v>
      </c>
      <c r="BA2511" s="1">
        <v>0</v>
      </c>
      <c r="BB2511" s="1">
        <v>0</v>
      </c>
      <c r="BC2511" s="1">
        <v>0</v>
      </c>
      <c r="BD2511" s="1">
        <v>0</v>
      </c>
      <c r="BE2511" s="1">
        <v>0</v>
      </c>
      <c r="BF2511" s="1">
        <v>0</v>
      </c>
      <c r="BG2511" s="1">
        <v>0</v>
      </c>
      <c r="BH2511" s="1">
        <v>0</v>
      </c>
      <c r="BI2511" s="1">
        <v>0</v>
      </c>
      <c r="BJ2511" s="1">
        <v>0</v>
      </c>
      <c r="BK2511" s="1">
        <v>0</v>
      </c>
      <c r="BL2511" s="1">
        <v>0</v>
      </c>
      <c r="BM2511" s="1">
        <v>0</v>
      </c>
      <c r="BN2511" s="1">
        <v>0</v>
      </c>
      <c r="BO2511" s="1">
        <v>0</v>
      </c>
      <c r="BP2511" s="1">
        <v>0</v>
      </c>
      <c r="BQ2511" s="1">
        <v>0</v>
      </c>
      <c r="BR2511" s="1">
        <v>0</v>
      </c>
      <c r="BS2511" s="1" t="s">
        <v>109</v>
      </c>
      <c r="BT2511" s="1">
        <v>2614</v>
      </c>
      <c r="BU2511" s="1" t="s">
        <v>109</v>
      </c>
      <c r="BV2511" s="1"/>
      <c r="BW2511" s="1"/>
      <c r="BX2511" s="1"/>
      <c r="BY2511" s="1"/>
      <c r="BZ2511" s="1">
        <v>0</v>
      </c>
      <c r="CA2511" s="1">
        <v>3</v>
      </c>
      <c r="CB2511" s="1">
        <v>3</v>
      </c>
      <c r="CC2511" s="1">
        <v>3</v>
      </c>
      <c r="CD2511" s="1" t="s">
        <v>109</v>
      </c>
      <c r="CE2511" s="1">
        <v>3</v>
      </c>
      <c r="CF2511" s="1" t="s">
        <v>109</v>
      </c>
      <c r="CG2511" s="1" t="s">
        <v>109</v>
      </c>
      <c r="CH2511" s="1" t="s">
        <v>109</v>
      </c>
      <c r="CI2511" s="1" t="s">
        <v>109</v>
      </c>
      <c r="CJ2511" s="1" t="s">
        <v>109</v>
      </c>
      <c r="CK2511" s="1"/>
      <c r="CL2511" s="1">
        <v>0</v>
      </c>
      <c r="CM2511" s="1">
        <v>1</v>
      </c>
      <c r="CN2511" s="1">
        <v>0</v>
      </c>
    </row>
    <row r="2512" spans="1:92" ht="14.25" customHeight="1" x14ac:dyDescent="0.15">
      <c r="A2512" s="1" t="s">
        <v>17865</v>
      </c>
      <c r="B2512" s="1" t="s">
        <v>189</v>
      </c>
      <c r="C2512" s="1" t="s">
        <v>231</v>
      </c>
      <c r="D2512" s="1"/>
      <c r="E2512" s="1" t="s">
        <v>17866</v>
      </c>
      <c r="F2512" s="1" t="s">
        <v>98</v>
      </c>
      <c r="G2512" s="1" t="s">
        <v>2182</v>
      </c>
      <c r="H2512" s="1">
        <v>0</v>
      </c>
      <c r="I2512" s="1" t="s">
        <v>235</v>
      </c>
      <c r="J2512" s="1"/>
      <c r="K2512" s="1"/>
      <c r="L2512" s="1" t="s">
        <v>236</v>
      </c>
      <c r="M2512" s="1" t="s">
        <v>6144</v>
      </c>
      <c r="N2512" s="1">
        <v>1</v>
      </c>
      <c r="O2512" s="1">
        <v>0</v>
      </c>
      <c r="P2512" s="1" t="s">
        <v>211</v>
      </c>
      <c r="Q2512" s="1" t="s">
        <v>104</v>
      </c>
      <c r="R2512" s="1" t="s">
        <v>17867</v>
      </c>
      <c r="S2512" s="1" t="s">
        <v>17868</v>
      </c>
      <c r="T2512" s="1" t="s">
        <v>17843</v>
      </c>
      <c r="U2512" s="1" t="s">
        <v>17869</v>
      </c>
      <c r="V2512" s="1">
        <v>1</v>
      </c>
      <c r="W2512" s="1">
        <v>1</v>
      </c>
      <c r="X2512" s="1">
        <v>1</v>
      </c>
      <c r="Y2512" s="1">
        <v>0</v>
      </c>
      <c r="Z2512" s="1">
        <v>0</v>
      </c>
      <c r="AA2512" s="1">
        <v>6</v>
      </c>
      <c r="AB2512" s="1">
        <v>6</v>
      </c>
      <c r="AC2512" s="1" t="s">
        <v>109</v>
      </c>
      <c r="AD2512" s="1" t="s">
        <v>109</v>
      </c>
      <c r="AE2512" s="1" t="s">
        <v>109</v>
      </c>
      <c r="AF2512" s="1" t="s">
        <v>109</v>
      </c>
      <c r="AG2512" s="1" t="s">
        <v>109</v>
      </c>
      <c r="AH2512" s="1">
        <v>6</v>
      </c>
      <c r="AI2512" s="1" t="s">
        <v>109</v>
      </c>
      <c r="AJ2512" s="1" t="s">
        <v>109</v>
      </c>
      <c r="AK2512" s="1" t="s">
        <v>109</v>
      </c>
      <c r="AL2512" s="1" t="s">
        <v>109</v>
      </c>
      <c r="AM2512" s="1" t="s">
        <v>109</v>
      </c>
      <c r="AN2512" s="1">
        <v>6</v>
      </c>
      <c r="AO2512" s="1" t="s">
        <v>109</v>
      </c>
      <c r="AP2512" s="1"/>
      <c r="AQ2512" s="1">
        <v>6</v>
      </c>
      <c r="AR2512" s="1"/>
      <c r="AS2512" s="1"/>
      <c r="AT2512" s="1">
        <v>0</v>
      </c>
      <c r="AU2512" s="1">
        <v>0</v>
      </c>
      <c r="AV2512" s="1">
        <v>0</v>
      </c>
      <c r="AW2512" s="1">
        <v>0</v>
      </c>
      <c r="AX2512" s="1">
        <v>0</v>
      </c>
      <c r="AY2512" s="1">
        <v>0</v>
      </c>
      <c r="AZ2512" s="1">
        <v>0</v>
      </c>
      <c r="BA2512" s="1">
        <v>0</v>
      </c>
      <c r="BB2512" s="1">
        <v>0</v>
      </c>
      <c r="BC2512" s="1">
        <v>0</v>
      </c>
      <c r="BD2512" s="1">
        <v>0</v>
      </c>
      <c r="BE2512" s="1">
        <v>0</v>
      </c>
      <c r="BF2512" s="1">
        <v>0</v>
      </c>
      <c r="BG2512" s="1">
        <v>0</v>
      </c>
      <c r="BH2512" s="1">
        <v>0</v>
      </c>
      <c r="BI2512" s="1">
        <v>0</v>
      </c>
      <c r="BJ2512" s="1">
        <v>0</v>
      </c>
      <c r="BK2512" s="1">
        <v>0</v>
      </c>
      <c r="BL2512" s="1">
        <v>0</v>
      </c>
      <c r="BM2512" s="1">
        <v>0</v>
      </c>
      <c r="BN2512" s="1">
        <v>0</v>
      </c>
      <c r="BO2512" s="1">
        <v>0</v>
      </c>
      <c r="BP2512" s="1">
        <v>0</v>
      </c>
      <c r="BQ2512" s="1">
        <v>0</v>
      </c>
      <c r="BR2512" s="1">
        <v>0</v>
      </c>
      <c r="BS2512" s="1" t="s">
        <v>109</v>
      </c>
      <c r="BT2512" s="1">
        <v>2615</v>
      </c>
      <c r="BU2512" s="1" t="s">
        <v>109</v>
      </c>
      <c r="BV2512" s="1"/>
      <c r="BW2512" s="1"/>
      <c r="BX2512" s="1"/>
      <c r="BY2512" s="1"/>
      <c r="BZ2512" s="1">
        <v>0</v>
      </c>
      <c r="CA2512" s="1" t="s">
        <v>109</v>
      </c>
      <c r="CB2512" s="1" t="s">
        <v>109</v>
      </c>
      <c r="CC2512" s="1">
        <v>7</v>
      </c>
      <c r="CD2512" s="1" t="s">
        <v>109</v>
      </c>
      <c r="CE2512" s="1" t="s">
        <v>109</v>
      </c>
      <c r="CF2512" s="1" t="s">
        <v>109</v>
      </c>
      <c r="CG2512" s="1" t="s">
        <v>109</v>
      </c>
      <c r="CH2512" s="1" t="s">
        <v>109</v>
      </c>
      <c r="CI2512" s="1" t="s">
        <v>109</v>
      </c>
      <c r="CJ2512" s="1" t="s">
        <v>109</v>
      </c>
      <c r="CK2512" s="1"/>
      <c r="CL2512" s="1">
        <v>0</v>
      </c>
      <c r="CM2512" s="1">
        <v>0</v>
      </c>
      <c r="CN2512" s="1">
        <v>0</v>
      </c>
    </row>
    <row r="2513" spans="1:92" ht="14.25" customHeight="1" x14ac:dyDescent="0.15">
      <c r="A2513" s="1" t="s">
        <v>17870</v>
      </c>
      <c r="B2513" s="1" t="s">
        <v>189</v>
      </c>
      <c r="C2513" s="1" t="s">
        <v>231</v>
      </c>
      <c r="D2513" s="1"/>
      <c r="E2513" s="1" t="s">
        <v>17871</v>
      </c>
      <c r="F2513" s="1" t="s">
        <v>98</v>
      </c>
      <c r="G2513" s="1" t="s">
        <v>2182</v>
      </c>
      <c r="H2513" s="1">
        <v>0</v>
      </c>
      <c r="I2513" s="1" t="s">
        <v>235</v>
      </c>
      <c r="J2513" s="1"/>
      <c r="K2513" s="1"/>
      <c r="L2513" s="1" t="s">
        <v>236</v>
      </c>
      <c r="M2513" s="1" t="s">
        <v>6144</v>
      </c>
      <c r="N2513" s="1">
        <v>1</v>
      </c>
      <c r="O2513" s="1">
        <v>0</v>
      </c>
      <c r="P2513" s="1" t="s">
        <v>211</v>
      </c>
      <c r="Q2513" s="1" t="s">
        <v>104</v>
      </c>
      <c r="R2513" s="1" t="s">
        <v>17872</v>
      </c>
      <c r="S2513" s="1" t="s">
        <v>17873</v>
      </c>
      <c r="T2513" s="1" t="s">
        <v>17843</v>
      </c>
      <c r="U2513" s="1" t="s">
        <v>17874</v>
      </c>
      <c r="V2513" s="1">
        <v>1</v>
      </c>
      <c r="W2513" s="1">
        <v>1</v>
      </c>
      <c r="X2513" s="1">
        <v>1</v>
      </c>
      <c r="Y2513" s="1">
        <v>0</v>
      </c>
      <c r="Z2513" s="1">
        <v>0</v>
      </c>
      <c r="AA2513" s="1">
        <v>7</v>
      </c>
      <c r="AB2513" s="1">
        <v>7</v>
      </c>
      <c r="AC2513" s="1" t="s">
        <v>109</v>
      </c>
      <c r="AD2513" s="1" t="s">
        <v>109</v>
      </c>
      <c r="AE2513" s="1" t="s">
        <v>109</v>
      </c>
      <c r="AF2513" s="1" t="s">
        <v>109</v>
      </c>
      <c r="AG2513" s="1" t="s">
        <v>109</v>
      </c>
      <c r="AH2513" s="1" t="s">
        <v>109</v>
      </c>
      <c r="AI2513" s="1" t="s">
        <v>109</v>
      </c>
      <c r="AJ2513" s="1" t="s">
        <v>109</v>
      </c>
      <c r="AK2513" s="1" t="s">
        <v>109</v>
      </c>
      <c r="AL2513" s="1" t="s">
        <v>109</v>
      </c>
      <c r="AM2513" s="1" t="s">
        <v>109</v>
      </c>
      <c r="AN2513" s="1" t="s">
        <v>109</v>
      </c>
      <c r="AO2513" s="1" t="s">
        <v>109</v>
      </c>
      <c r="AP2513" s="1"/>
      <c r="AQ2513" s="1">
        <v>7</v>
      </c>
      <c r="AR2513" s="1"/>
      <c r="AS2513" s="1"/>
      <c r="AT2513" s="1">
        <v>0</v>
      </c>
      <c r="AU2513" s="1">
        <v>0</v>
      </c>
      <c r="AV2513" s="1">
        <v>0</v>
      </c>
      <c r="AW2513" s="1">
        <v>0</v>
      </c>
      <c r="AX2513" s="1">
        <v>0</v>
      </c>
      <c r="AY2513" s="1">
        <v>0</v>
      </c>
      <c r="AZ2513" s="1">
        <v>0</v>
      </c>
      <c r="BA2513" s="1">
        <v>0</v>
      </c>
      <c r="BB2513" s="1">
        <v>0</v>
      </c>
      <c r="BC2513" s="1">
        <v>0</v>
      </c>
      <c r="BD2513" s="1">
        <v>0</v>
      </c>
      <c r="BE2513" s="1">
        <v>0</v>
      </c>
      <c r="BF2513" s="1">
        <v>0</v>
      </c>
      <c r="BG2513" s="1">
        <v>0</v>
      </c>
      <c r="BH2513" s="1">
        <v>0</v>
      </c>
      <c r="BI2513" s="1">
        <v>0</v>
      </c>
      <c r="BJ2513" s="1">
        <v>0</v>
      </c>
      <c r="BK2513" s="1">
        <v>0</v>
      </c>
      <c r="BL2513" s="1">
        <v>0</v>
      </c>
      <c r="BM2513" s="1">
        <v>0</v>
      </c>
      <c r="BN2513" s="1">
        <v>0</v>
      </c>
      <c r="BO2513" s="1">
        <v>0</v>
      </c>
      <c r="BP2513" s="1">
        <v>0</v>
      </c>
      <c r="BQ2513" s="1">
        <v>0</v>
      </c>
      <c r="BR2513" s="1">
        <v>0</v>
      </c>
      <c r="BS2513" s="1" t="s">
        <v>109</v>
      </c>
      <c r="BT2513" s="1">
        <v>2616</v>
      </c>
      <c r="BU2513" s="1" t="s">
        <v>109</v>
      </c>
      <c r="BV2513" s="1"/>
      <c r="BW2513" s="1"/>
      <c r="BX2513" s="1"/>
      <c r="BY2513" s="1"/>
      <c r="BZ2513" s="1">
        <v>0</v>
      </c>
      <c r="CA2513" s="1" t="s">
        <v>109</v>
      </c>
      <c r="CB2513" s="1" t="s">
        <v>109</v>
      </c>
      <c r="CC2513" s="1">
        <v>8</v>
      </c>
      <c r="CD2513" s="1" t="s">
        <v>109</v>
      </c>
      <c r="CE2513" s="1" t="s">
        <v>109</v>
      </c>
      <c r="CF2513" s="1" t="s">
        <v>109</v>
      </c>
      <c r="CG2513" s="1" t="s">
        <v>109</v>
      </c>
      <c r="CH2513" s="1" t="s">
        <v>109</v>
      </c>
      <c r="CI2513" s="1" t="s">
        <v>109</v>
      </c>
      <c r="CJ2513" s="1" t="s">
        <v>109</v>
      </c>
      <c r="CK2513" s="1"/>
      <c r="CL2513" s="1">
        <v>0</v>
      </c>
      <c r="CM2513" s="1">
        <v>0</v>
      </c>
      <c r="CN2513" s="1">
        <v>0</v>
      </c>
    </row>
    <row r="2514" spans="1:92" ht="14.25" customHeight="1" x14ac:dyDescent="0.15">
      <c r="A2514" s="1" t="s">
        <v>17875</v>
      </c>
      <c r="B2514" s="1" t="s">
        <v>189</v>
      </c>
      <c r="C2514" s="1" t="s">
        <v>231</v>
      </c>
      <c r="D2514" s="1"/>
      <c r="E2514" s="1" t="s">
        <v>17876</v>
      </c>
      <c r="F2514" s="1" t="s">
        <v>98</v>
      </c>
      <c r="G2514" s="1" t="s">
        <v>2182</v>
      </c>
      <c r="H2514" s="1">
        <v>0</v>
      </c>
      <c r="I2514" s="1" t="s">
        <v>235</v>
      </c>
      <c r="J2514" s="1"/>
      <c r="K2514" s="1"/>
      <c r="L2514" s="1" t="s">
        <v>236</v>
      </c>
      <c r="M2514" s="1" t="s">
        <v>6144</v>
      </c>
      <c r="N2514" s="1">
        <v>1</v>
      </c>
      <c r="O2514" s="1">
        <v>0</v>
      </c>
      <c r="P2514" s="1" t="s">
        <v>211</v>
      </c>
      <c r="Q2514" s="1" t="s">
        <v>104</v>
      </c>
      <c r="R2514" s="1" t="s">
        <v>17877</v>
      </c>
      <c r="S2514" s="1" t="s">
        <v>17878</v>
      </c>
      <c r="T2514" s="1" t="s">
        <v>17843</v>
      </c>
      <c r="U2514" s="1" t="s">
        <v>17879</v>
      </c>
      <c r="V2514" s="1">
        <v>1</v>
      </c>
      <c r="W2514" s="1">
        <v>1</v>
      </c>
      <c r="X2514" s="1">
        <v>1</v>
      </c>
      <c r="Y2514" s="1">
        <v>0</v>
      </c>
      <c r="Z2514" s="1">
        <v>0</v>
      </c>
      <c r="AA2514" s="1">
        <v>8</v>
      </c>
      <c r="AB2514" s="1">
        <v>8</v>
      </c>
      <c r="AC2514" s="1" t="s">
        <v>109</v>
      </c>
      <c r="AD2514" s="1" t="s">
        <v>109</v>
      </c>
      <c r="AE2514" s="1" t="s">
        <v>109</v>
      </c>
      <c r="AF2514" s="1" t="s">
        <v>109</v>
      </c>
      <c r="AG2514" s="1" t="s">
        <v>109</v>
      </c>
      <c r="AH2514" s="1" t="s">
        <v>109</v>
      </c>
      <c r="AI2514" s="1" t="s">
        <v>109</v>
      </c>
      <c r="AJ2514" s="1" t="s">
        <v>109</v>
      </c>
      <c r="AK2514" s="1" t="s">
        <v>109</v>
      </c>
      <c r="AL2514" s="1" t="s">
        <v>109</v>
      </c>
      <c r="AM2514" s="1" t="s">
        <v>109</v>
      </c>
      <c r="AN2514" s="1" t="s">
        <v>109</v>
      </c>
      <c r="AO2514" s="1" t="s">
        <v>109</v>
      </c>
      <c r="AP2514" s="1"/>
      <c r="AQ2514" s="1">
        <v>8</v>
      </c>
      <c r="AR2514" s="1"/>
      <c r="AS2514" s="1"/>
      <c r="AT2514" s="1">
        <v>0</v>
      </c>
      <c r="AU2514" s="1">
        <v>0</v>
      </c>
      <c r="AV2514" s="1">
        <v>0</v>
      </c>
      <c r="AW2514" s="1">
        <v>0</v>
      </c>
      <c r="AX2514" s="1">
        <v>0</v>
      </c>
      <c r="AY2514" s="1">
        <v>0</v>
      </c>
      <c r="AZ2514" s="1">
        <v>0</v>
      </c>
      <c r="BA2514" s="1">
        <v>0</v>
      </c>
      <c r="BB2514" s="1">
        <v>0</v>
      </c>
      <c r="BC2514" s="1">
        <v>0</v>
      </c>
      <c r="BD2514" s="1">
        <v>0</v>
      </c>
      <c r="BE2514" s="1">
        <v>0</v>
      </c>
      <c r="BF2514" s="1">
        <v>0</v>
      </c>
      <c r="BG2514" s="1">
        <v>0</v>
      </c>
      <c r="BH2514" s="1">
        <v>0</v>
      </c>
      <c r="BI2514" s="1">
        <v>0</v>
      </c>
      <c r="BJ2514" s="1">
        <v>0</v>
      </c>
      <c r="BK2514" s="1">
        <v>0</v>
      </c>
      <c r="BL2514" s="1">
        <v>0</v>
      </c>
      <c r="BM2514" s="1">
        <v>0</v>
      </c>
      <c r="BN2514" s="1">
        <v>0</v>
      </c>
      <c r="BO2514" s="1">
        <v>0</v>
      </c>
      <c r="BP2514" s="1">
        <v>0</v>
      </c>
      <c r="BQ2514" s="1">
        <v>0</v>
      </c>
      <c r="BR2514" s="1">
        <v>0</v>
      </c>
      <c r="BS2514" s="1" t="s">
        <v>109</v>
      </c>
      <c r="BT2514" s="1">
        <v>2617</v>
      </c>
      <c r="BU2514" s="1" t="s">
        <v>109</v>
      </c>
      <c r="BV2514" s="1"/>
      <c r="BW2514" s="1"/>
      <c r="BX2514" s="1"/>
      <c r="BY2514" s="1"/>
      <c r="BZ2514" s="1">
        <v>0</v>
      </c>
      <c r="CA2514" s="1" t="s">
        <v>109</v>
      </c>
      <c r="CB2514" s="1" t="s">
        <v>109</v>
      </c>
      <c r="CC2514" s="1">
        <v>9</v>
      </c>
      <c r="CD2514" s="1" t="s">
        <v>109</v>
      </c>
      <c r="CE2514" s="1" t="s">
        <v>109</v>
      </c>
      <c r="CF2514" s="1" t="s">
        <v>109</v>
      </c>
      <c r="CG2514" s="1" t="s">
        <v>109</v>
      </c>
      <c r="CH2514" s="1" t="s">
        <v>109</v>
      </c>
      <c r="CI2514" s="1" t="s">
        <v>109</v>
      </c>
      <c r="CJ2514" s="1" t="s">
        <v>109</v>
      </c>
      <c r="CK2514" s="1"/>
      <c r="CL2514" s="1">
        <v>0</v>
      </c>
      <c r="CM2514" s="1">
        <v>0</v>
      </c>
      <c r="CN2514" s="1">
        <v>0</v>
      </c>
    </row>
    <row r="2515" spans="1:92" ht="14.25" customHeight="1" x14ac:dyDescent="0.15">
      <c r="A2515" s="1" t="s">
        <v>17880</v>
      </c>
      <c r="B2515" s="1" t="s">
        <v>189</v>
      </c>
      <c r="C2515" s="1" t="s">
        <v>231</v>
      </c>
      <c r="D2515" s="1"/>
      <c r="E2515" s="1" t="s">
        <v>17881</v>
      </c>
      <c r="F2515" s="1" t="s">
        <v>98</v>
      </c>
      <c r="G2515" s="1" t="s">
        <v>2182</v>
      </c>
      <c r="H2515" s="1">
        <v>0</v>
      </c>
      <c r="I2515" s="1" t="s">
        <v>235</v>
      </c>
      <c r="J2515" s="1"/>
      <c r="K2515" s="1"/>
      <c r="L2515" s="1" t="s">
        <v>236</v>
      </c>
      <c r="M2515" s="1" t="s">
        <v>6144</v>
      </c>
      <c r="N2515" s="1">
        <v>1</v>
      </c>
      <c r="O2515" s="1">
        <v>0</v>
      </c>
      <c r="P2515" s="1" t="s">
        <v>2183</v>
      </c>
      <c r="Q2515" s="1" t="s">
        <v>104</v>
      </c>
      <c r="R2515" s="1" t="s">
        <v>17882</v>
      </c>
      <c r="S2515" s="1" t="s">
        <v>17883</v>
      </c>
      <c r="T2515" s="1" t="s">
        <v>17843</v>
      </c>
      <c r="U2515" s="1" t="s">
        <v>17884</v>
      </c>
      <c r="V2515" s="1">
        <v>1</v>
      </c>
      <c r="W2515" s="1">
        <v>1</v>
      </c>
      <c r="X2515" s="1">
        <v>1</v>
      </c>
      <c r="Y2515" s="1">
        <v>0</v>
      </c>
      <c r="Z2515" s="1">
        <v>0</v>
      </c>
      <c r="AA2515" s="1">
        <v>6</v>
      </c>
      <c r="AB2515" s="1">
        <v>6</v>
      </c>
      <c r="AC2515" s="1" t="s">
        <v>109</v>
      </c>
      <c r="AD2515" s="1">
        <v>7</v>
      </c>
      <c r="AE2515" s="1" t="s">
        <v>109</v>
      </c>
      <c r="AF2515" s="1" t="s">
        <v>109</v>
      </c>
      <c r="AG2515" s="1" t="s">
        <v>109</v>
      </c>
      <c r="AH2515" s="1">
        <v>6</v>
      </c>
      <c r="AI2515" s="1" t="s">
        <v>109</v>
      </c>
      <c r="AJ2515" s="1" t="s">
        <v>109</v>
      </c>
      <c r="AK2515" s="1" t="s">
        <v>109</v>
      </c>
      <c r="AL2515" s="1" t="s">
        <v>109</v>
      </c>
      <c r="AM2515" s="1" t="s">
        <v>109</v>
      </c>
      <c r="AN2515" s="1" t="s">
        <v>109</v>
      </c>
      <c r="AO2515" s="1" t="s">
        <v>109</v>
      </c>
      <c r="AP2515" s="1"/>
      <c r="AQ2515" s="1">
        <v>6</v>
      </c>
      <c r="AR2515" s="1"/>
      <c r="AS2515" s="1"/>
      <c r="AT2515" s="1">
        <v>0</v>
      </c>
      <c r="AU2515" s="1">
        <v>0</v>
      </c>
      <c r="AV2515" s="1">
        <v>0</v>
      </c>
      <c r="AW2515" s="1">
        <v>0</v>
      </c>
      <c r="AX2515" s="1">
        <v>0</v>
      </c>
      <c r="AY2515" s="1">
        <v>0</v>
      </c>
      <c r="AZ2515" s="1">
        <v>0</v>
      </c>
      <c r="BA2515" s="1">
        <v>0</v>
      </c>
      <c r="BB2515" s="1">
        <v>0</v>
      </c>
      <c r="BC2515" s="1">
        <v>0</v>
      </c>
      <c r="BD2515" s="1">
        <v>0</v>
      </c>
      <c r="BE2515" s="1">
        <v>0</v>
      </c>
      <c r="BF2515" s="1">
        <v>0</v>
      </c>
      <c r="BG2515" s="1">
        <v>0</v>
      </c>
      <c r="BH2515" s="1">
        <v>0</v>
      </c>
      <c r="BI2515" s="1">
        <v>0</v>
      </c>
      <c r="BJ2515" s="1">
        <v>0</v>
      </c>
      <c r="BK2515" s="1">
        <v>0</v>
      </c>
      <c r="BL2515" s="1">
        <v>0</v>
      </c>
      <c r="BM2515" s="1">
        <v>0</v>
      </c>
      <c r="BN2515" s="1">
        <v>0</v>
      </c>
      <c r="BO2515" s="1">
        <v>0</v>
      </c>
      <c r="BP2515" s="1">
        <v>0</v>
      </c>
      <c r="BQ2515" s="1">
        <v>0</v>
      </c>
      <c r="BR2515" s="1">
        <v>0</v>
      </c>
      <c r="BS2515" s="1" t="s">
        <v>109</v>
      </c>
      <c r="BT2515" s="1">
        <v>2618</v>
      </c>
      <c r="BU2515" s="1" t="s">
        <v>109</v>
      </c>
      <c r="BV2515" s="1"/>
      <c r="BW2515" s="1"/>
      <c r="BX2515" s="1"/>
      <c r="BY2515" s="1"/>
      <c r="BZ2515" s="1">
        <v>0</v>
      </c>
      <c r="CA2515" s="1" t="s">
        <v>109</v>
      </c>
      <c r="CB2515" s="1" t="s">
        <v>109</v>
      </c>
      <c r="CC2515" s="1" t="s">
        <v>109</v>
      </c>
      <c r="CD2515" s="1" t="s">
        <v>109</v>
      </c>
      <c r="CE2515" s="1" t="s">
        <v>109</v>
      </c>
      <c r="CF2515" s="1" t="s">
        <v>109</v>
      </c>
      <c r="CG2515" s="1" t="s">
        <v>109</v>
      </c>
      <c r="CH2515" s="1" t="s">
        <v>109</v>
      </c>
      <c r="CI2515" s="1" t="s">
        <v>109</v>
      </c>
      <c r="CJ2515" s="1" t="s">
        <v>109</v>
      </c>
      <c r="CK2515" s="1"/>
      <c r="CL2515" s="1">
        <v>0</v>
      </c>
      <c r="CM2515" s="1">
        <v>0</v>
      </c>
      <c r="CN2515" s="1">
        <v>0</v>
      </c>
    </row>
    <row r="2516" spans="1:92" ht="14.25" customHeight="1" x14ac:dyDescent="0.15">
      <c r="A2516" s="1" t="s">
        <v>17885</v>
      </c>
      <c r="B2516" s="1" t="s">
        <v>189</v>
      </c>
      <c r="C2516" s="1" t="s">
        <v>231</v>
      </c>
      <c r="D2516" s="1"/>
      <c r="E2516" s="1" t="s">
        <v>17886</v>
      </c>
      <c r="F2516" s="1" t="s">
        <v>98</v>
      </c>
      <c r="G2516" s="1" t="s">
        <v>2182</v>
      </c>
      <c r="H2516" s="1">
        <v>0</v>
      </c>
      <c r="I2516" s="1" t="s">
        <v>235</v>
      </c>
      <c r="J2516" s="1"/>
      <c r="K2516" s="1"/>
      <c r="L2516" s="1" t="s">
        <v>236</v>
      </c>
      <c r="M2516" s="1" t="s">
        <v>6144</v>
      </c>
      <c r="N2516" s="1">
        <v>1</v>
      </c>
      <c r="O2516" s="1">
        <v>0</v>
      </c>
      <c r="P2516" s="1" t="s">
        <v>2183</v>
      </c>
      <c r="Q2516" s="1" t="s">
        <v>104</v>
      </c>
      <c r="R2516" s="1" t="s">
        <v>17887</v>
      </c>
      <c r="S2516" s="1" t="s">
        <v>17888</v>
      </c>
      <c r="T2516" s="1" t="s">
        <v>17843</v>
      </c>
      <c r="U2516" s="1" t="s">
        <v>17889</v>
      </c>
      <c r="V2516" s="1">
        <v>1</v>
      </c>
      <c r="W2516" s="1">
        <v>1</v>
      </c>
      <c r="X2516" s="1">
        <v>1</v>
      </c>
      <c r="Y2516" s="1">
        <v>0</v>
      </c>
      <c r="Z2516" s="1">
        <v>0</v>
      </c>
      <c r="AA2516" s="1">
        <v>7</v>
      </c>
      <c r="AB2516" s="1">
        <v>7</v>
      </c>
      <c r="AC2516" s="1" t="s">
        <v>109</v>
      </c>
      <c r="AD2516" s="1">
        <v>8</v>
      </c>
      <c r="AE2516" s="1" t="s">
        <v>109</v>
      </c>
      <c r="AF2516" s="1" t="s">
        <v>109</v>
      </c>
      <c r="AG2516" s="1" t="s">
        <v>109</v>
      </c>
      <c r="AH2516" s="1" t="s">
        <v>109</v>
      </c>
      <c r="AI2516" s="1" t="s">
        <v>109</v>
      </c>
      <c r="AJ2516" s="1" t="s">
        <v>109</v>
      </c>
      <c r="AK2516" s="1" t="s">
        <v>109</v>
      </c>
      <c r="AL2516" s="1" t="s">
        <v>109</v>
      </c>
      <c r="AM2516" s="1" t="s">
        <v>109</v>
      </c>
      <c r="AN2516" s="1" t="s">
        <v>109</v>
      </c>
      <c r="AO2516" s="1" t="s">
        <v>109</v>
      </c>
      <c r="AP2516" s="1"/>
      <c r="AQ2516" s="1">
        <v>7</v>
      </c>
      <c r="AR2516" s="1"/>
      <c r="AS2516" s="1"/>
      <c r="AT2516" s="1">
        <v>0</v>
      </c>
      <c r="AU2516" s="1">
        <v>0</v>
      </c>
      <c r="AV2516" s="1">
        <v>0</v>
      </c>
      <c r="AW2516" s="1">
        <v>0</v>
      </c>
      <c r="AX2516" s="1">
        <v>0</v>
      </c>
      <c r="AY2516" s="1">
        <v>0</v>
      </c>
      <c r="AZ2516" s="1">
        <v>0</v>
      </c>
      <c r="BA2516" s="1">
        <v>0</v>
      </c>
      <c r="BB2516" s="1">
        <v>0</v>
      </c>
      <c r="BC2516" s="1">
        <v>0</v>
      </c>
      <c r="BD2516" s="1">
        <v>0</v>
      </c>
      <c r="BE2516" s="1">
        <v>0</v>
      </c>
      <c r="BF2516" s="1">
        <v>0</v>
      </c>
      <c r="BG2516" s="1">
        <v>0</v>
      </c>
      <c r="BH2516" s="1">
        <v>0</v>
      </c>
      <c r="BI2516" s="1">
        <v>0</v>
      </c>
      <c r="BJ2516" s="1">
        <v>0</v>
      </c>
      <c r="BK2516" s="1">
        <v>0</v>
      </c>
      <c r="BL2516" s="1">
        <v>0</v>
      </c>
      <c r="BM2516" s="1">
        <v>0</v>
      </c>
      <c r="BN2516" s="1">
        <v>0</v>
      </c>
      <c r="BO2516" s="1">
        <v>0</v>
      </c>
      <c r="BP2516" s="1">
        <v>0</v>
      </c>
      <c r="BQ2516" s="1">
        <v>0</v>
      </c>
      <c r="BR2516" s="1">
        <v>0</v>
      </c>
      <c r="BS2516" s="1" t="s">
        <v>109</v>
      </c>
      <c r="BT2516" s="1">
        <v>2619</v>
      </c>
      <c r="BU2516" s="1" t="s">
        <v>109</v>
      </c>
      <c r="BV2516" s="1"/>
      <c r="BW2516" s="1"/>
      <c r="BX2516" s="1"/>
      <c r="BY2516" s="1"/>
      <c r="BZ2516" s="1">
        <v>0</v>
      </c>
      <c r="CA2516" s="1" t="s">
        <v>109</v>
      </c>
      <c r="CB2516" s="1" t="s">
        <v>109</v>
      </c>
      <c r="CC2516" s="1" t="s">
        <v>109</v>
      </c>
      <c r="CD2516" s="1" t="s">
        <v>109</v>
      </c>
      <c r="CE2516" s="1" t="s">
        <v>109</v>
      </c>
      <c r="CF2516" s="1" t="s">
        <v>109</v>
      </c>
      <c r="CG2516" s="1" t="s">
        <v>109</v>
      </c>
      <c r="CH2516" s="1" t="s">
        <v>109</v>
      </c>
      <c r="CI2516" s="1" t="s">
        <v>109</v>
      </c>
      <c r="CJ2516" s="1" t="s">
        <v>109</v>
      </c>
      <c r="CK2516" s="1"/>
      <c r="CL2516" s="1">
        <v>0</v>
      </c>
      <c r="CM2516" s="1">
        <v>0</v>
      </c>
      <c r="CN2516" s="1">
        <v>0</v>
      </c>
    </row>
    <row r="2517" spans="1:92" ht="14.25" customHeight="1" x14ac:dyDescent="0.15">
      <c r="A2517" s="1" t="s">
        <v>17890</v>
      </c>
      <c r="B2517" s="1" t="s">
        <v>189</v>
      </c>
      <c r="C2517" s="1" t="s">
        <v>231</v>
      </c>
      <c r="D2517" s="1"/>
      <c r="E2517" s="1" t="s">
        <v>17891</v>
      </c>
      <c r="F2517" s="1" t="s">
        <v>98</v>
      </c>
      <c r="G2517" s="1" t="s">
        <v>2182</v>
      </c>
      <c r="H2517" s="1">
        <v>0</v>
      </c>
      <c r="I2517" s="1" t="s">
        <v>235</v>
      </c>
      <c r="J2517" s="1"/>
      <c r="K2517" s="1"/>
      <c r="L2517" s="1" t="s">
        <v>236</v>
      </c>
      <c r="M2517" s="1" t="s">
        <v>6144</v>
      </c>
      <c r="N2517" s="1">
        <v>1</v>
      </c>
      <c r="O2517" s="1">
        <v>0</v>
      </c>
      <c r="P2517" s="1" t="s">
        <v>2183</v>
      </c>
      <c r="Q2517" s="1" t="s">
        <v>104</v>
      </c>
      <c r="R2517" s="1" t="s">
        <v>17892</v>
      </c>
      <c r="S2517" s="1" t="s">
        <v>17893</v>
      </c>
      <c r="T2517" s="1" t="s">
        <v>17843</v>
      </c>
      <c r="U2517" s="1" t="s">
        <v>17894</v>
      </c>
      <c r="V2517" s="1">
        <v>1</v>
      </c>
      <c r="W2517" s="1">
        <v>1</v>
      </c>
      <c r="X2517" s="1">
        <v>1</v>
      </c>
      <c r="Y2517" s="1">
        <v>0</v>
      </c>
      <c r="Z2517" s="1">
        <v>0</v>
      </c>
      <c r="AA2517" s="1">
        <v>8</v>
      </c>
      <c r="AB2517" s="1">
        <v>8</v>
      </c>
      <c r="AC2517" s="1" t="s">
        <v>109</v>
      </c>
      <c r="AD2517" s="1">
        <v>9</v>
      </c>
      <c r="AE2517" s="1" t="s">
        <v>109</v>
      </c>
      <c r="AF2517" s="1" t="s">
        <v>109</v>
      </c>
      <c r="AG2517" s="1" t="s">
        <v>109</v>
      </c>
      <c r="AH2517" s="1" t="s">
        <v>109</v>
      </c>
      <c r="AI2517" s="1" t="s">
        <v>109</v>
      </c>
      <c r="AJ2517" s="1" t="s">
        <v>109</v>
      </c>
      <c r="AK2517" s="1" t="s">
        <v>109</v>
      </c>
      <c r="AL2517" s="1" t="s">
        <v>109</v>
      </c>
      <c r="AM2517" s="1" t="s">
        <v>109</v>
      </c>
      <c r="AN2517" s="1" t="s">
        <v>109</v>
      </c>
      <c r="AO2517" s="1" t="s">
        <v>109</v>
      </c>
      <c r="AP2517" s="1"/>
      <c r="AQ2517" s="1">
        <v>8</v>
      </c>
      <c r="AR2517" s="1"/>
      <c r="AS2517" s="1"/>
      <c r="AT2517" s="1">
        <v>0</v>
      </c>
      <c r="AU2517" s="1">
        <v>0</v>
      </c>
      <c r="AV2517" s="1">
        <v>0</v>
      </c>
      <c r="AW2517" s="1">
        <v>0</v>
      </c>
      <c r="AX2517" s="1">
        <v>0</v>
      </c>
      <c r="AY2517" s="1">
        <v>0</v>
      </c>
      <c r="AZ2517" s="1">
        <v>0</v>
      </c>
      <c r="BA2517" s="1">
        <v>0</v>
      </c>
      <c r="BB2517" s="1">
        <v>0</v>
      </c>
      <c r="BC2517" s="1">
        <v>0</v>
      </c>
      <c r="BD2517" s="1">
        <v>0</v>
      </c>
      <c r="BE2517" s="1">
        <v>0</v>
      </c>
      <c r="BF2517" s="1">
        <v>0</v>
      </c>
      <c r="BG2517" s="1">
        <v>0</v>
      </c>
      <c r="BH2517" s="1">
        <v>0</v>
      </c>
      <c r="BI2517" s="1">
        <v>0</v>
      </c>
      <c r="BJ2517" s="1">
        <v>0</v>
      </c>
      <c r="BK2517" s="1">
        <v>0</v>
      </c>
      <c r="BL2517" s="1">
        <v>0</v>
      </c>
      <c r="BM2517" s="1">
        <v>0</v>
      </c>
      <c r="BN2517" s="1">
        <v>0</v>
      </c>
      <c r="BO2517" s="1">
        <v>0</v>
      </c>
      <c r="BP2517" s="1">
        <v>0</v>
      </c>
      <c r="BQ2517" s="1">
        <v>0</v>
      </c>
      <c r="BR2517" s="1">
        <v>0</v>
      </c>
      <c r="BS2517" s="1" t="s">
        <v>109</v>
      </c>
      <c r="BT2517" s="1">
        <v>2620</v>
      </c>
      <c r="BU2517" s="1" t="s">
        <v>109</v>
      </c>
      <c r="BV2517" s="1"/>
      <c r="BW2517" s="1"/>
      <c r="BX2517" s="1"/>
      <c r="BY2517" s="1"/>
      <c r="BZ2517" s="1">
        <v>0</v>
      </c>
      <c r="CA2517" s="1" t="s">
        <v>109</v>
      </c>
      <c r="CB2517" s="1" t="s">
        <v>109</v>
      </c>
      <c r="CC2517" s="1" t="s">
        <v>109</v>
      </c>
      <c r="CD2517" s="1" t="s">
        <v>109</v>
      </c>
      <c r="CE2517" s="1" t="s">
        <v>109</v>
      </c>
      <c r="CF2517" s="1" t="s">
        <v>109</v>
      </c>
      <c r="CG2517" s="1" t="s">
        <v>109</v>
      </c>
      <c r="CH2517" s="1" t="s">
        <v>109</v>
      </c>
      <c r="CI2517" s="1" t="s">
        <v>109</v>
      </c>
      <c r="CJ2517" s="1" t="s">
        <v>109</v>
      </c>
      <c r="CK2517" s="1"/>
      <c r="CL2517" s="1">
        <v>0</v>
      </c>
      <c r="CM2517" s="1">
        <v>0</v>
      </c>
      <c r="CN2517" s="1">
        <v>0</v>
      </c>
    </row>
    <row r="2518" spans="1:92" ht="14.25" customHeight="1" x14ac:dyDescent="0.15">
      <c r="A2518" s="1" t="s">
        <v>17895</v>
      </c>
      <c r="B2518" s="1" t="s">
        <v>156</v>
      </c>
      <c r="C2518" s="1" t="s">
        <v>157</v>
      </c>
      <c r="D2518" s="1" t="s">
        <v>158</v>
      </c>
      <c r="E2518" s="1" t="s">
        <v>17896</v>
      </c>
      <c r="F2518" s="1" t="s">
        <v>98</v>
      </c>
      <c r="G2518" s="1" t="s">
        <v>17897</v>
      </c>
      <c r="H2518" s="1">
        <v>0</v>
      </c>
      <c r="I2518" s="1" t="s">
        <v>161</v>
      </c>
      <c r="J2518" s="1"/>
      <c r="K2518" s="1"/>
      <c r="L2518" s="1" t="s">
        <v>506</v>
      </c>
      <c r="M2518" s="1" t="s">
        <v>3042</v>
      </c>
      <c r="N2518" s="1">
        <v>0</v>
      </c>
      <c r="O2518" s="1">
        <v>0</v>
      </c>
      <c r="P2518" s="1" t="s">
        <v>507</v>
      </c>
      <c r="Q2518" s="1" t="s">
        <v>104</v>
      </c>
      <c r="R2518" s="1" t="s">
        <v>17898</v>
      </c>
      <c r="S2518" s="1" t="s">
        <v>17899</v>
      </c>
      <c r="T2518" s="1" t="s">
        <v>17843</v>
      </c>
      <c r="U2518" s="1" t="s">
        <v>17900</v>
      </c>
      <c r="V2518" s="1">
        <v>1</v>
      </c>
      <c r="W2518" s="1">
        <v>1</v>
      </c>
      <c r="X2518" s="1">
        <v>0</v>
      </c>
      <c r="Y2518" s="1">
        <v>0</v>
      </c>
      <c r="Z2518" s="1">
        <v>0</v>
      </c>
      <c r="AA2518" s="1" t="s">
        <v>109</v>
      </c>
      <c r="AB2518" s="1" t="s">
        <v>109</v>
      </c>
      <c r="AC2518" s="1" t="s">
        <v>109</v>
      </c>
      <c r="AD2518" s="1" t="s">
        <v>109</v>
      </c>
      <c r="AE2518" s="1" t="s">
        <v>109</v>
      </c>
      <c r="AF2518" s="1" t="s">
        <v>109</v>
      </c>
      <c r="AG2518" s="1" t="s">
        <v>109</v>
      </c>
      <c r="AH2518" s="1" t="s">
        <v>109</v>
      </c>
      <c r="AI2518" s="1" t="s">
        <v>109</v>
      </c>
      <c r="AJ2518" s="1">
        <v>1</v>
      </c>
      <c r="AK2518" s="1" t="s">
        <v>109</v>
      </c>
      <c r="AL2518" s="1" t="s">
        <v>109</v>
      </c>
      <c r="AM2518" s="1" t="s">
        <v>109</v>
      </c>
      <c r="AN2518" s="1" t="s">
        <v>109</v>
      </c>
      <c r="AO2518" s="1" t="s">
        <v>109</v>
      </c>
      <c r="AP2518" s="1"/>
      <c r="AQ2518" s="1">
        <v>1</v>
      </c>
      <c r="AR2518" s="1"/>
      <c r="AS2518" s="1"/>
      <c r="AT2518" s="1">
        <v>0</v>
      </c>
      <c r="AU2518" s="1">
        <v>0</v>
      </c>
      <c r="AV2518" s="1">
        <v>0</v>
      </c>
      <c r="AW2518" s="1">
        <v>0</v>
      </c>
      <c r="AX2518" s="1">
        <v>0</v>
      </c>
      <c r="AY2518" s="1">
        <v>0</v>
      </c>
      <c r="AZ2518" s="1">
        <v>0</v>
      </c>
      <c r="BA2518" s="1">
        <v>0</v>
      </c>
      <c r="BB2518" s="1">
        <v>0</v>
      </c>
      <c r="BC2518" s="1">
        <v>0</v>
      </c>
      <c r="BD2518" s="1">
        <v>0</v>
      </c>
      <c r="BE2518" s="1">
        <v>0</v>
      </c>
      <c r="BF2518" s="1">
        <v>0</v>
      </c>
      <c r="BG2518" s="1">
        <v>0</v>
      </c>
      <c r="BH2518" s="1">
        <v>0</v>
      </c>
      <c r="BI2518" s="1">
        <v>0</v>
      </c>
      <c r="BJ2518" s="1">
        <v>0</v>
      </c>
      <c r="BK2518" s="1">
        <v>0</v>
      </c>
      <c r="BL2518" s="1">
        <v>0</v>
      </c>
      <c r="BM2518" s="1">
        <v>1</v>
      </c>
      <c r="BN2518" s="1">
        <v>0</v>
      </c>
      <c r="BO2518" s="1">
        <v>0</v>
      </c>
      <c r="BP2518" s="1">
        <v>0</v>
      </c>
      <c r="BQ2518" s="1">
        <v>0</v>
      </c>
      <c r="BR2518" s="1">
        <v>0</v>
      </c>
      <c r="BS2518" s="1" t="s">
        <v>109</v>
      </c>
      <c r="BT2518" s="1">
        <v>2621</v>
      </c>
      <c r="BU2518" s="1" t="s">
        <v>109</v>
      </c>
      <c r="BV2518" s="1"/>
      <c r="BW2518" s="1"/>
      <c r="BX2518" s="1"/>
      <c r="BY2518" s="1"/>
      <c r="BZ2518" s="1">
        <v>0</v>
      </c>
      <c r="CA2518" s="1" t="s">
        <v>109</v>
      </c>
      <c r="CB2518" s="1" t="s">
        <v>109</v>
      </c>
      <c r="CC2518" s="1">
        <v>1</v>
      </c>
      <c r="CD2518" s="1">
        <v>1</v>
      </c>
      <c r="CE2518" s="1">
        <v>1</v>
      </c>
      <c r="CF2518" s="1" t="s">
        <v>109</v>
      </c>
      <c r="CG2518" s="1" t="s">
        <v>109</v>
      </c>
      <c r="CH2518" s="1" t="s">
        <v>109</v>
      </c>
      <c r="CI2518" s="1" t="s">
        <v>109</v>
      </c>
      <c r="CJ2518" s="1" t="s">
        <v>109</v>
      </c>
      <c r="CK2518" s="1"/>
      <c r="CL2518" s="1">
        <v>0</v>
      </c>
      <c r="CM2518" s="1">
        <v>0</v>
      </c>
      <c r="CN2518" s="1">
        <v>0</v>
      </c>
    </row>
    <row r="2519" spans="1:92" ht="14.25" customHeight="1" x14ac:dyDescent="0.15">
      <c r="A2519" s="1" t="s">
        <v>17901</v>
      </c>
      <c r="B2519" s="1" t="s">
        <v>242</v>
      </c>
      <c r="C2519" s="1"/>
      <c r="D2519" s="1" t="s">
        <v>92</v>
      </c>
      <c r="E2519" s="1" t="s">
        <v>17902</v>
      </c>
      <c r="F2519" s="1" t="s">
        <v>98</v>
      </c>
      <c r="G2519" s="1" t="s">
        <v>17903</v>
      </c>
      <c r="H2519" s="1">
        <v>0</v>
      </c>
      <c r="I2519" s="1" t="s">
        <v>235</v>
      </c>
      <c r="J2519" s="1"/>
      <c r="K2519" s="1"/>
      <c r="L2519" s="1" t="s">
        <v>236</v>
      </c>
      <c r="M2519" s="1" t="s">
        <v>13502</v>
      </c>
      <c r="N2519" s="1">
        <v>0</v>
      </c>
      <c r="O2519" s="1">
        <v>0</v>
      </c>
      <c r="P2519" s="1"/>
      <c r="Q2519" s="1"/>
      <c r="R2519" s="1" t="s">
        <v>17904</v>
      </c>
      <c r="S2519" s="1" t="s">
        <v>17905</v>
      </c>
      <c r="T2519" s="1" t="s">
        <v>17843</v>
      </c>
      <c r="U2519" s="1" t="s">
        <v>17906</v>
      </c>
      <c r="V2519" s="1">
        <v>1</v>
      </c>
      <c r="W2519" s="1">
        <v>0</v>
      </c>
      <c r="X2519" s="1">
        <v>1</v>
      </c>
      <c r="Y2519" s="1">
        <v>0</v>
      </c>
      <c r="Z2519" s="1">
        <v>0</v>
      </c>
      <c r="AA2519" s="1">
        <v>3</v>
      </c>
      <c r="AB2519" s="1">
        <v>3</v>
      </c>
      <c r="AC2519" s="1" t="s">
        <v>109</v>
      </c>
      <c r="AD2519" s="1" t="s">
        <v>109</v>
      </c>
      <c r="AE2519" s="1" t="s">
        <v>109</v>
      </c>
      <c r="AF2519" s="1" t="s">
        <v>109</v>
      </c>
      <c r="AG2519" s="1">
        <v>3</v>
      </c>
      <c r="AH2519" s="1" t="s">
        <v>109</v>
      </c>
      <c r="AI2519" s="1">
        <v>3</v>
      </c>
      <c r="AJ2519" s="1" t="s">
        <v>109</v>
      </c>
      <c r="AK2519" s="1" t="s">
        <v>109</v>
      </c>
      <c r="AL2519" s="1" t="s">
        <v>109</v>
      </c>
      <c r="AM2519" s="1" t="s">
        <v>109</v>
      </c>
      <c r="AN2519" s="1">
        <v>3</v>
      </c>
      <c r="AO2519" s="1" t="s">
        <v>109</v>
      </c>
      <c r="AP2519" s="1"/>
      <c r="AQ2519" s="1">
        <v>3</v>
      </c>
      <c r="AR2519" s="1"/>
      <c r="AS2519" s="1"/>
      <c r="AT2519" s="1">
        <v>0</v>
      </c>
      <c r="AU2519" s="1">
        <v>0</v>
      </c>
      <c r="AV2519" s="1">
        <v>0</v>
      </c>
      <c r="AW2519" s="1">
        <v>0</v>
      </c>
      <c r="AX2519" s="1">
        <v>0</v>
      </c>
      <c r="AY2519" s="1">
        <v>0</v>
      </c>
      <c r="AZ2519" s="1">
        <v>0</v>
      </c>
      <c r="BA2519" s="1">
        <v>0</v>
      </c>
      <c r="BB2519" s="1">
        <v>0</v>
      </c>
      <c r="BC2519" s="1">
        <v>0</v>
      </c>
      <c r="BD2519" s="1">
        <v>0</v>
      </c>
      <c r="BE2519" s="1">
        <v>0</v>
      </c>
      <c r="BF2519" s="1">
        <v>0</v>
      </c>
      <c r="BG2519" s="1">
        <v>0</v>
      </c>
      <c r="BH2519" s="1">
        <v>0</v>
      </c>
      <c r="BI2519" s="1">
        <v>0</v>
      </c>
      <c r="BJ2519" s="1">
        <v>0</v>
      </c>
      <c r="BK2519" s="1">
        <v>0</v>
      </c>
      <c r="BL2519" s="1">
        <v>0</v>
      </c>
      <c r="BM2519" s="1">
        <v>0</v>
      </c>
      <c r="BN2519" s="1">
        <v>0</v>
      </c>
      <c r="BO2519" s="1">
        <v>0</v>
      </c>
      <c r="BP2519" s="1">
        <v>0</v>
      </c>
      <c r="BQ2519" s="1">
        <v>0</v>
      </c>
      <c r="BR2519" s="1">
        <v>0</v>
      </c>
      <c r="BS2519" s="1" t="s">
        <v>109</v>
      </c>
      <c r="BT2519" s="1">
        <v>2622</v>
      </c>
      <c r="BU2519" s="1" t="s">
        <v>109</v>
      </c>
      <c r="BV2519" s="1"/>
      <c r="BW2519" s="1"/>
      <c r="BX2519" s="1"/>
      <c r="BY2519" s="1"/>
      <c r="BZ2519" s="1">
        <v>0</v>
      </c>
      <c r="CA2519" s="1">
        <v>2</v>
      </c>
      <c r="CB2519" s="1" t="s">
        <v>109</v>
      </c>
      <c r="CC2519" s="1">
        <v>3</v>
      </c>
      <c r="CD2519" s="1" t="s">
        <v>109</v>
      </c>
      <c r="CE2519" s="1" t="s">
        <v>109</v>
      </c>
      <c r="CF2519" s="1">
        <v>3</v>
      </c>
      <c r="CG2519" s="1">
        <v>3</v>
      </c>
      <c r="CH2519" s="1" t="s">
        <v>109</v>
      </c>
      <c r="CI2519" s="1" t="s">
        <v>109</v>
      </c>
      <c r="CJ2519" s="1" t="s">
        <v>109</v>
      </c>
      <c r="CK2519" s="1"/>
      <c r="CL2519" s="1">
        <v>0</v>
      </c>
      <c r="CM2519" s="1">
        <v>1</v>
      </c>
      <c r="CN2519" s="1">
        <v>0</v>
      </c>
    </row>
    <row r="2520" spans="1:92" ht="14.25" customHeight="1" x14ac:dyDescent="0.15">
      <c r="A2520" s="1" t="s">
        <v>17907</v>
      </c>
      <c r="B2520" s="1" t="s">
        <v>189</v>
      </c>
      <c r="C2520" s="1"/>
      <c r="D2520" s="1" t="s">
        <v>92</v>
      </c>
      <c r="E2520" s="1" t="s">
        <v>17908</v>
      </c>
      <c r="F2520" s="1" t="s">
        <v>98</v>
      </c>
      <c r="G2520" s="1" t="s">
        <v>17903</v>
      </c>
      <c r="H2520" s="1">
        <v>0</v>
      </c>
      <c r="I2520" s="1" t="s">
        <v>235</v>
      </c>
      <c r="J2520" s="1"/>
      <c r="K2520" s="1"/>
      <c r="L2520" s="1" t="s">
        <v>236</v>
      </c>
      <c r="M2520" s="1" t="s">
        <v>13502</v>
      </c>
      <c r="N2520" s="1">
        <v>0</v>
      </c>
      <c r="O2520" s="1">
        <v>0</v>
      </c>
      <c r="P2520" s="1"/>
      <c r="Q2520" s="1"/>
      <c r="R2520" s="1" t="s">
        <v>17909</v>
      </c>
      <c r="S2520" s="1" t="s">
        <v>17910</v>
      </c>
      <c r="T2520" s="1" t="s">
        <v>17843</v>
      </c>
      <c r="U2520" s="1" t="s">
        <v>17911</v>
      </c>
      <c r="V2520" s="1">
        <v>1</v>
      </c>
      <c r="W2520" s="1">
        <v>0</v>
      </c>
      <c r="X2520" s="1">
        <v>1</v>
      </c>
      <c r="Y2520" s="1">
        <v>0</v>
      </c>
      <c r="Z2520" s="1">
        <v>0</v>
      </c>
      <c r="AA2520" s="1">
        <v>3</v>
      </c>
      <c r="AB2520" s="1">
        <v>3</v>
      </c>
      <c r="AC2520" s="1" t="s">
        <v>109</v>
      </c>
      <c r="AD2520" s="1" t="s">
        <v>109</v>
      </c>
      <c r="AE2520" s="1" t="s">
        <v>109</v>
      </c>
      <c r="AF2520" s="1" t="s">
        <v>109</v>
      </c>
      <c r="AG2520" s="1">
        <v>3</v>
      </c>
      <c r="AH2520" s="1">
        <v>4</v>
      </c>
      <c r="AI2520" s="1" t="s">
        <v>109</v>
      </c>
      <c r="AJ2520" s="1" t="s">
        <v>109</v>
      </c>
      <c r="AK2520" s="1" t="s">
        <v>109</v>
      </c>
      <c r="AL2520" s="1" t="s">
        <v>109</v>
      </c>
      <c r="AM2520" s="1">
        <v>3</v>
      </c>
      <c r="AN2520" s="1" t="s">
        <v>109</v>
      </c>
      <c r="AO2520" s="1" t="s">
        <v>109</v>
      </c>
      <c r="AP2520" s="1"/>
      <c r="AQ2520" s="1">
        <v>3</v>
      </c>
      <c r="AR2520" s="1"/>
      <c r="AS2520" s="1"/>
      <c r="AT2520" s="1">
        <v>0</v>
      </c>
      <c r="AU2520" s="1">
        <v>0</v>
      </c>
      <c r="AV2520" s="1">
        <v>0</v>
      </c>
      <c r="AW2520" s="1">
        <v>0</v>
      </c>
      <c r="AX2520" s="1">
        <v>0</v>
      </c>
      <c r="AY2520" s="1">
        <v>0</v>
      </c>
      <c r="AZ2520" s="1">
        <v>0</v>
      </c>
      <c r="BA2520" s="1">
        <v>0</v>
      </c>
      <c r="BB2520" s="1">
        <v>0</v>
      </c>
      <c r="BC2520" s="1">
        <v>0</v>
      </c>
      <c r="BD2520" s="1">
        <v>0</v>
      </c>
      <c r="BE2520" s="1">
        <v>0</v>
      </c>
      <c r="BF2520" s="1">
        <v>0</v>
      </c>
      <c r="BG2520" s="1">
        <v>0</v>
      </c>
      <c r="BH2520" s="1">
        <v>0</v>
      </c>
      <c r="BI2520" s="1">
        <v>0</v>
      </c>
      <c r="BJ2520" s="1">
        <v>0</v>
      </c>
      <c r="BK2520" s="1">
        <v>0</v>
      </c>
      <c r="BL2520" s="1">
        <v>0</v>
      </c>
      <c r="BM2520" s="1">
        <v>0</v>
      </c>
      <c r="BN2520" s="1">
        <v>0</v>
      </c>
      <c r="BO2520" s="1">
        <v>0</v>
      </c>
      <c r="BP2520" s="1">
        <v>0</v>
      </c>
      <c r="BQ2520" s="1">
        <v>0</v>
      </c>
      <c r="BR2520" s="1">
        <v>0</v>
      </c>
      <c r="BS2520" s="1" t="s">
        <v>109</v>
      </c>
      <c r="BT2520" s="1">
        <v>2623</v>
      </c>
      <c r="BU2520" s="1" t="s">
        <v>109</v>
      </c>
      <c r="BV2520" s="1"/>
      <c r="BW2520" s="1"/>
      <c r="BX2520" s="1"/>
      <c r="BY2520" s="1"/>
      <c r="BZ2520" s="1">
        <v>0</v>
      </c>
      <c r="CA2520" s="1">
        <v>3</v>
      </c>
      <c r="CB2520" s="1" t="s">
        <v>109</v>
      </c>
      <c r="CC2520" s="1" t="s">
        <v>109</v>
      </c>
      <c r="CD2520" s="1">
        <v>3</v>
      </c>
      <c r="CE2520" s="1" t="s">
        <v>109</v>
      </c>
      <c r="CF2520" s="1" t="s">
        <v>109</v>
      </c>
      <c r="CG2520" s="1" t="s">
        <v>109</v>
      </c>
      <c r="CH2520" s="1" t="s">
        <v>109</v>
      </c>
      <c r="CI2520" s="1" t="s">
        <v>109</v>
      </c>
      <c r="CJ2520" s="1" t="s">
        <v>109</v>
      </c>
      <c r="CK2520" s="1"/>
      <c r="CL2520" s="1">
        <v>0</v>
      </c>
      <c r="CM2520" s="1">
        <v>1</v>
      </c>
      <c r="CN2520" s="1">
        <v>0</v>
      </c>
    </row>
    <row r="2521" spans="1:92" ht="14.25" customHeight="1" x14ac:dyDescent="0.15">
      <c r="A2521" s="1" t="s">
        <v>17912</v>
      </c>
      <c r="B2521" s="1" t="s">
        <v>674</v>
      </c>
      <c r="C2521" s="1" t="s">
        <v>1715</v>
      </c>
      <c r="D2521" s="1" t="s">
        <v>16043</v>
      </c>
      <c r="E2521" s="1" t="s">
        <v>17913</v>
      </c>
      <c r="F2521" s="1" t="s">
        <v>98</v>
      </c>
      <c r="G2521" s="1" t="s">
        <v>141</v>
      </c>
      <c r="H2521" s="1">
        <v>0</v>
      </c>
      <c r="I2521" s="1" t="s">
        <v>122</v>
      </c>
      <c r="J2521" s="1"/>
      <c r="K2521" s="1"/>
      <c r="L2521" s="1" t="s">
        <v>7260</v>
      </c>
      <c r="M2521" s="1" t="s">
        <v>6144</v>
      </c>
      <c r="N2521" s="1">
        <v>1</v>
      </c>
      <c r="O2521" s="1">
        <v>0</v>
      </c>
      <c r="P2521" s="1" t="s">
        <v>301</v>
      </c>
      <c r="Q2521" s="1" t="s">
        <v>104</v>
      </c>
      <c r="R2521" s="1" t="s">
        <v>17914</v>
      </c>
      <c r="S2521" s="1" t="s">
        <v>17915</v>
      </c>
      <c r="T2521" s="1" t="s">
        <v>17916</v>
      </c>
      <c r="U2521" s="1" t="s">
        <v>17917</v>
      </c>
      <c r="V2521" s="1">
        <v>1</v>
      </c>
      <c r="W2521" s="1">
        <v>1</v>
      </c>
      <c r="X2521" s="1">
        <v>0</v>
      </c>
      <c r="Y2521" s="1">
        <v>0</v>
      </c>
      <c r="Z2521" s="1">
        <v>0</v>
      </c>
      <c r="AA2521" s="1" t="s">
        <v>109</v>
      </c>
      <c r="AB2521" s="1" t="s">
        <v>109</v>
      </c>
      <c r="AC2521" s="1" t="s">
        <v>109</v>
      </c>
      <c r="AD2521" s="1" t="s">
        <v>109</v>
      </c>
      <c r="AE2521" s="1" t="s">
        <v>109</v>
      </c>
      <c r="AF2521" s="1">
        <v>2</v>
      </c>
      <c r="AG2521" s="1" t="s">
        <v>109</v>
      </c>
      <c r="AH2521" s="1" t="s">
        <v>109</v>
      </c>
      <c r="AI2521" s="1" t="s">
        <v>109</v>
      </c>
      <c r="AJ2521" s="1" t="s">
        <v>109</v>
      </c>
      <c r="AK2521" s="1" t="s">
        <v>109</v>
      </c>
      <c r="AL2521" s="1" t="s">
        <v>109</v>
      </c>
      <c r="AM2521" s="1" t="s">
        <v>109</v>
      </c>
      <c r="AN2521" s="1" t="s">
        <v>109</v>
      </c>
      <c r="AO2521" s="1" t="s">
        <v>109</v>
      </c>
      <c r="AP2521" s="1"/>
      <c r="AQ2521" s="1">
        <v>2</v>
      </c>
      <c r="AR2521" s="1"/>
      <c r="AS2521" s="1" t="s">
        <v>17918</v>
      </c>
      <c r="AT2521" s="1">
        <v>0</v>
      </c>
      <c r="AU2521" s="1">
        <v>0</v>
      </c>
      <c r="AV2521" s="1">
        <v>0</v>
      </c>
      <c r="AW2521" s="1">
        <v>0</v>
      </c>
      <c r="AX2521" s="1">
        <v>0</v>
      </c>
      <c r="AY2521" s="1">
        <v>0</v>
      </c>
      <c r="AZ2521" s="1">
        <v>0</v>
      </c>
      <c r="BA2521" s="1">
        <v>0</v>
      </c>
      <c r="BB2521" s="1">
        <v>0</v>
      </c>
      <c r="BC2521" s="1">
        <v>0</v>
      </c>
      <c r="BD2521" s="1">
        <v>1</v>
      </c>
      <c r="BE2521" s="1">
        <v>0</v>
      </c>
      <c r="BF2521" s="1">
        <v>0</v>
      </c>
      <c r="BG2521" s="1">
        <v>0</v>
      </c>
      <c r="BH2521" s="1">
        <v>0</v>
      </c>
      <c r="BI2521" s="1">
        <v>0</v>
      </c>
      <c r="BJ2521" s="1">
        <v>0</v>
      </c>
      <c r="BK2521" s="1">
        <v>0</v>
      </c>
      <c r="BL2521" s="1">
        <v>0</v>
      </c>
      <c r="BM2521" s="1">
        <v>1</v>
      </c>
      <c r="BN2521" s="1">
        <v>0</v>
      </c>
      <c r="BO2521" s="1">
        <v>0</v>
      </c>
      <c r="BP2521" s="1">
        <v>0</v>
      </c>
      <c r="BQ2521" s="1">
        <v>0</v>
      </c>
      <c r="BR2521" s="1">
        <v>0</v>
      </c>
      <c r="BS2521" s="1" t="s">
        <v>109</v>
      </c>
      <c r="BT2521" s="1">
        <v>2624</v>
      </c>
      <c r="BU2521" s="1" t="s">
        <v>109</v>
      </c>
      <c r="BV2521" s="1"/>
      <c r="BW2521" s="1"/>
      <c r="BX2521" s="1"/>
      <c r="BY2521" s="1"/>
      <c r="BZ2521" s="1">
        <v>0</v>
      </c>
      <c r="CA2521" s="1" t="s">
        <v>109</v>
      </c>
      <c r="CB2521" s="1" t="s">
        <v>109</v>
      </c>
      <c r="CC2521" s="1">
        <v>2</v>
      </c>
      <c r="CD2521" s="1">
        <v>2</v>
      </c>
      <c r="CE2521" s="1">
        <v>2</v>
      </c>
      <c r="CF2521" s="1" t="s">
        <v>109</v>
      </c>
      <c r="CG2521" s="1">
        <v>2</v>
      </c>
      <c r="CH2521" s="1" t="s">
        <v>109</v>
      </c>
      <c r="CI2521" s="1" t="s">
        <v>109</v>
      </c>
      <c r="CJ2521" s="1" t="s">
        <v>109</v>
      </c>
      <c r="CK2521" s="1"/>
      <c r="CL2521" s="1">
        <v>0</v>
      </c>
      <c r="CM2521" s="1">
        <v>0</v>
      </c>
      <c r="CN2521" s="1">
        <v>0</v>
      </c>
    </row>
    <row r="2522" spans="1:92" ht="14.25" customHeight="1" x14ac:dyDescent="0.15">
      <c r="A2522" s="1" t="s">
        <v>17919</v>
      </c>
      <c r="B2522" s="1" t="s">
        <v>242</v>
      </c>
      <c r="C2522" s="1"/>
      <c r="D2522" s="1"/>
      <c r="E2522" s="1" t="s">
        <v>17920</v>
      </c>
      <c r="F2522" s="1" t="s">
        <v>277</v>
      </c>
      <c r="G2522" s="1" t="s">
        <v>17921</v>
      </c>
      <c r="H2522" s="1">
        <v>1</v>
      </c>
      <c r="I2522" s="1" t="s">
        <v>161</v>
      </c>
      <c r="J2522" s="1"/>
      <c r="K2522" s="1"/>
      <c r="L2522" s="1" t="s">
        <v>17922</v>
      </c>
      <c r="M2522" s="1" t="s">
        <v>144</v>
      </c>
      <c r="N2522" s="1">
        <v>0</v>
      </c>
      <c r="O2522" s="1">
        <v>0</v>
      </c>
      <c r="P2522" s="1" t="s">
        <v>507</v>
      </c>
      <c r="Q2522" s="1" t="s">
        <v>167</v>
      </c>
      <c r="R2522" s="1" t="s">
        <v>17923</v>
      </c>
      <c r="S2522" s="1" t="s">
        <v>17924</v>
      </c>
      <c r="T2522" s="1" t="s">
        <v>17916</v>
      </c>
      <c r="U2522" s="1" t="s">
        <v>17925</v>
      </c>
      <c r="V2522" s="1">
        <v>1</v>
      </c>
      <c r="W2522" s="1">
        <v>1</v>
      </c>
      <c r="X2522" s="1">
        <v>1</v>
      </c>
      <c r="Y2522" s="1">
        <v>0</v>
      </c>
      <c r="Z2522" s="1">
        <v>0</v>
      </c>
      <c r="AA2522" s="1" t="s">
        <v>109</v>
      </c>
      <c r="AB2522" s="1" t="s">
        <v>109</v>
      </c>
      <c r="AC2522" s="1">
        <v>6</v>
      </c>
      <c r="AD2522" s="1" t="s">
        <v>109</v>
      </c>
      <c r="AE2522" s="1" t="s">
        <v>109</v>
      </c>
      <c r="AF2522" s="1" t="s">
        <v>109</v>
      </c>
      <c r="AG2522" s="1" t="s">
        <v>109</v>
      </c>
      <c r="AH2522" s="1" t="s">
        <v>109</v>
      </c>
      <c r="AI2522" s="1" t="s">
        <v>109</v>
      </c>
      <c r="AJ2522" s="1">
        <v>6</v>
      </c>
      <c r="AK2522" s="1" t="s">
        <v>109</v>
      </c>
      <c r="AL2522" s="1">
        <v>6</v>
      </c>
      <c r="AM2522" s="1" t="s">
        <v>109</v>
      </c>
      <c r="AN2522" s="1" t="s">
        <v>109</v>
      </c>
      <c r="AO2522" s="1" t="s">
        <v>109</v>
      </c>
      <c r="AP2522" s="1"/>
      <c r="AQ2522" s="1">
        <v>6</v>
      </c>
      <c r="AR2522" s="1"/>
      <c r="AS2522" s="1" t="s">
        <v>17926</v>
      </c>
      <c r="AT2522" s="1">
        <v>0</v>
      </c>
      <c r="AU2522" s="1">
        <v>0</v>
      </c>
      <c r="AV2522" s="1">
        <v>0</v>
      </c>
      <c r="AW2522" s="1">
        <v>0</v>
      </c>
      <c r="AX2522" s="1">
        <v>0</v>
      </c>
      <c r="AY2522" s="1">
        <v>0</v>
      </c>
      <c r="AZ2522" s="1">
        <v>0</v>
      </c>
      <c r="BA2522" s="1">
        <v>0</v>
      </c>
      <c r="BB2522" s="1">
        <v>0</v>
      </c>
      <c r="BC2522" s="1">
        <v>0</v>
      </c>
      <c r="BD2522" s="1">
        <v>0</v>
      </c>
      <c r="BE2522" s="1">
        <v>0</v>
      </c>
      <c r="BF2522" s="1">
        <v>0</v>
      </c>
      <c r="BG2522" s="1">
        <v>0</v>
      </c>
      <c r="BH2522" s="1">
        <v>0</v>
      </c>
      <c r="BI2522" s="1">
        <v>0</v>
      </c>
      <c r="BJ2522" s="1">
        <v>0</v>
      </c>
      <c r="BK2522" s="1">
        <v>0</v>
      </c>
      <c r="BL2522" s="1">
        <v>0</v>
      </c>
      <c r="BM2522" s="1">
        <v>0</v>
      </c>
      <c r="BN2522" s="1">
        <v>0</v>
      </c>
      <c r="BO2522" s="1">
        <v>0</v>
      </c>
      <c r="BP2522" s="1">
        <v>0</v>
      </c>
      <c r="BQ2522" s="1">
        <v>0</v>
      </c>
      <c r="BR2522" s="1">
        <v>0</v>
      </c>
      <c r="BS2522" s="1" t="s">
        <v>109</v>
      </c>
      <c r="BT2522" s="1">
        <v>2625</v>
      </c>
      <c r="BU2522" s="1">
        <v>500</v>
      </c>
      <c r="BV2522" s="1"/>
      <c r="BW2522" s="1"/>
      <c r="BX2522" s="1"/>
      <c r="BY2522" s="1"/>
      <c r="BZ2522" s="1">
        <v>0</v>
      </c>
      <c r="CA2522" s="1" t="s">
        <v>109</v>
      </c>
      <c r="CB2522" s="1">
        <v>6</v>
      </c>
      <c r="CC2522" s="1">
        <v>6</v>
      </c>
      <c r="CD2522" s="1" t="s">
        <v>109</v>
      </c>
      <c r="CE2522" s="1" t="s">
        <v>109</v>
      </c>
      <c r="CF2522" s="1" t="s">
        <v>109</v>
      </c>
      <c r="CG2522" s="1">
        <v>6</v>
      </c>
      <c r="CH2522" s="1" t="s">
        <v>109</v>
      </c>
      <c r="CI2522" s="1" t="s">
        <v>109</v>
      </c>
      <c r="CJ2522" s="1" t="s">
        <v>109</v>
      </c>
      <c r="CK2522" s="1"/>
      <c r="CL2522" s="1">
        <v>0</v>
      </c>
      <c r="CM2522" s="1">
        <v>0</v>
      </c>
      <c r="CN2522" s="1">
        <v>0</v>
      </c>
    </row>
    <row r="2523" spans="1:92" ht="14.25" customHeight="1" x14ac:dyDescent="0.15">
      <c r="A2523" s="1" t="s">
        <v>17927</v>
      </c>
      <c r="B2523" s="1" t="s">
        <v>674</v>
      </c>
      <c r="C2523" s="1" t="s">
        <v>675</v>
      </c>
      <c r="D2523" s="1" t="s">
        <v>57</v>
      </c>
      <c r="E2523" s="1" t="s">
        <v>17928</v>
      </c>
      <c r="F2523" s="1" t="s">
        <v>355</v>
      </c>
      <c r="G2523" s="1" t="s">
        <v>17929</v>
      </c>
      <c r="H2523" s="1">
        <v>0</v>
      </c>
      <c r="I2523" s="1" t="s">
        <v>17930</v>
      </c>
      <c r="J2523" s="1"/>
      <c r="K2523" s="1"/>
      <c r="L2523" s="1" t="s">
        <v>17931</v>
      </c>
      <c r="M2523" s="1" t="s">
        <v>6625</v>
      </c>
      <c r="N2523" s="1">
        <v>1</v>
      </c>
      <c r="O2523" s="1">
        <v>0</v>
      </c>
      <c r="P2523" s="1" t="s">
        <v>17932</v>
      </c>
      <c r="Q2523" s="1" t="s">
        <v>104</v>
      </c>
      <c r="R2523" s="1" t="s">
        <v>17933</v>
      </c>
      <c r="S2523" s="1" t="s">
        <v>17934</v>
      </c>
      <c r="T2523" s="1" t="s">
        <v>17916</v>
      </c>
      <c r="U2523" s="1" t="s">
        <v>17935</v>
      </c>
      <c r="V2523" s="1">
        <v>1</v>
      </c>
      <c r="W2523" s="1">
        <v>1</v>
      </c>
      <c r="X2523" s="1">
        <v>1</v>
      </c>
      <c r="Y2523" s="1">
        <v>0</v>
      </c>
      <c r="Z2523" s="1">
        <v>0</v>
      </c>
      <c r="AA2523" s="1">
        <v>3</v>
      </c>
      <c r="AB2523" s="1">
        <v>3</v>
      </c>
      <c r="AC2523" s="1">
        <v>3</v>
      </c>
      <c r="AD2523" s="1" t="s">
        <v>109</v>
      </c>
      <c r="AE2523" s="1" t="s">
        <v>109</v>
      </c>
      <c r="AF2523" s="1" t="s">
        <v>109</v>
      </c>
      <c r="AG2523" s="1" t="s">
        <v>109</v>
      </c>
      <c r="AH2523" s="1" t="s">
        <v>109</v>
      </c>
      <c r="AI2523" s="1" t="s">
        <v>109</v>
      </c>
      <c r="AJ2523" s="1">
        <v>3</v>
      </c>
      <c r="AK2523" s="1" t="s">
        <v>109</v>
      </c>
      <c r="AL2523" s="1">
        <v>3</v>
      </c>
      <c r="AM2523" s="1" t="s">
        <v>109</v>
      </c>
      <c r="AN2523" s="1" t="s">
        <v>109</v>
      </c>
      <c r="AO2523" s="1" t="s">
        <v>109</v>
      </c>
      <c r="AP2523" s="1"/>
      <c r="AQ2523" s="1">
        <v>3</v>
      </c>
      <c r="AR2523" s="1"/>
      <c r="AS2523" s="1" t="s">
        <v>17936</v>
      </c>
      <c r="AT2523" s="1">
        <v>0</v>
      </c>
      <c r="AU2523" s="1">
        <v>0</v>
      </c>
      <c r="AV2523" s="1">
        <v>0</v>
      </c>
      <c r="AW2523" s="1">
        <v>0</v>
      </c>
      <c r="AX2523" s="1">
        <v>0</v>
      </c>
      <c r="AY2523" s="1">
        <v>0</v>
      </c>
      <c r="AZ2523" s="1">
        <v>0</v>
      </c>
      <c r="BA2523" s="1">
        <v>0</v>
      </c>
      <c r="BB2523" s="1">
        <v>0</v>
      </c>
      <c r="BC2523" s="1">
        <v>0</v>
      </c>
      <c r="BD2523" s="1">
        <v>0</v>
      </c>
      <c r="BE2523" s="1">
        <v>1</v>
      </c>
      <c r="BF2523" s="1">
        <v>0</v>
      </c>
      <c r="BG2523" s="1">
        <v>0</v>
      </c>
      <c r="BH2523" s="1">
        <v>0</v>
      </c>
      <c r="BI2523" s="1">
        <v>0</v>
      </c>
      <c r="BJ2523" s="1">
        <v>0</v>
      </c>
      <c r="BK2523" s="1">
        <v>0</v>
      </c>
      <c r="BL2523" s="1">
        <v>0</v>
      </c>
      <c r="BM2523" s="1">
        <v>0</v>
      </c>
      <c r="BN2523" s="1">
        <v>0</v>
      </c>
      <c r="BO2523" s="1">
        <v>0</v>
      </c>
      <c r="BP2523" s="1">
        <v>0</v>
      </c>
      <c r="BQ2523" s="1">
        <v>0</v>
      </c>
      <c r="BR2523" s="1">
        <v>0</v>
      </c>
      <c r="BS2523" s="1" t="s">
        <v>109</v>
      </c>
      <c r="BT2523" s="1">
        <v>2626</v>
      </c>
      <c r="BU2523" s="1" t="s">
        <v>109</v>
      </c>
      <c r="BV2523" s="1"/>
      <c r="BW2523" s="1"/>
      <c r="BX2523" s="1"/>
      <c r="BY2523" s="1"/>
      <c r="BZ2523" s="1">
        <v>0</v>
      </c>
      <c r="CA2523" s="1" t="s">
        <v>109</v>
      </c>
      <c r="CB2523" s="1" t="s">
        <v>109</v>
      </c>
      <c r="CC2523" s="1">
        <v>3</v>
      </c>
      <c r="CD2523" s="1">
        <v>2</v>
      </c>
      <c r="CE2523" s="1">
        <v>3</v>
      </c>
      <c r="CF2523" s="1" t="s">
        <v>109</v>
      </c>
      <c r="CG2523" s="1">
        <v>3</v>
      </c>
      <c r="CH2523" s="1" t="s">
        <v>109</v>
      </c>
      <c r="CI2523" s="1" t="s">
        <v>109</v>
      </c>
      <c r="CJ2523" s="1" t="s">
        <v>109</v>
      </c>
      <c r="CK2523" s="1"/>
      <c r="CL2523" s="1">
        <v>0</v>
      </c>
      <c r="CM2523" s="1">
        <v>0</v>
      </c>
      <c r="CN2523" s="1">
        <v>0</v>
      </c>
    </row>
    <row r="2524" spans="1:92" ht="14.25" customHeight="1" x14ac:dyDescent="0.15">
      <c r="A2524" s="1" t="s">
        <v>17937</v>
      </c>
      <c r="B2524" s="1" t="s">
        <v>189</v>
      </c>
      <c r="C2524" s="1" t="s">
        <v>231</v>
      </c>
      <c r="D2524" s="1"/>
      <c r="E2524" s="1" t="s">
        <v>17938</v>
      </c>
      <c r="F2524" s="1" t="s">
        <v>277</v>
      </c>
      <c r="G2524" s="1" t="s">
        <v>17939</v>
      </c>
      <c r="H2524" s="1">
        <v>0</v>
      </c>
      <c r="I2524" s="1" t="s">
        <v>235</v>
      </c>
      <c r="J2524" s="1"/>
      <c r="K2524" s="1"/>
      <c r="L2524" s="1" t="s">
        <v>236</v>
      </c>
      <c r="M2524" s="1" t="s">
        <v>5811</v>
      </c>
      <c r="N2524" s="1">
        <v>1</v>
      </c>
      <c r="O2524" s="1">
        <v>0</v>
      </c>
      <c r="P2524" s="1"/>
      <c r="Q2524" s="1"/>
      <c r="R2524" s="1" t="s">
        <v>17940</v>
      </c>
      <c r="S2524" s="1" t="s">
        <v>17941</v>
      </c>
      <c r="T2524" s="1" t="s">
        <v>17916</v>
      </c>
      <c r="U2524" s="1" t="s">
        <v>17942</v>
      </c>
      <c r="V2524" s="1">
        <v>1</v>
      </c>
      <c r="W2524" s="1">
        <v>1</v>
      </c>
      <c r="X2524" s="1">
        <v>0</v>
      </c>
      <c r="Y2524" s="1">
        <v>0</v>
      </c>
      <c r="Z2524" s="1">
        <v>0</v>
      </c>
      <c r="AA2524" s="1">
        <v>3</v>
      </c>
      <c r="AB2524" s="1">
        <v>3</v>
      </c>
      <c r="AC2524" s="1" t="s">
        <v>109</v>
      </c>
      <c r="AD2524" s="1" t="s">
        <v>109</v>
      </c>
      <c r="AE2524" s="1" t="s">
        <v>109</v>
      </c>
      <c r="AF2524" s="1">
        <v>3</v>
      </c>
      <c r="AG2524" s="1" t="s">
        <v>109</v>
      </c>
      <c r="AH2524" s="1">
        <v>3</v>
      </c>
      <c r="AI2524" s="1">
        <v>3</v>
      </c>
      <c r="AJ2524" s="1">
        <v>3</v>
      </c>
      <c r="AK2524" s="1" t="s">
        <v>109</v>
      </c>
      <c r="AL2524" s="1" t="s">
        <v>109</v>
      </c>
      <c r="AM2524" s="1" t="s">
        <v>109</v>
      </c>
      <c r="AN2524" s="1" t="s">
        <v>109</v>
      </c>
      <c r="AO2524" s="1" t="s">
        <v>109</v>
      </c>
      <c r="AP2524" s="1"/>
      <c r="AQ2524" s="1">
        <v>3</v>
      </c>
      <c r="AR2524" s="1"/>
      <c r="AS2524" s="1" t="s">
        <v>17943</v>
      </c>
      <c r="AT2524" s="1">
        <v>0</v>
      </c>
      <c r="AU2524" s="1">
        <v>0</v>
      </c>
      <c r="AV2524" s="1">
        <v>0</v>
      </c>
      <c r="AW2524" s="1">
        <v>0</v>
      </c>
      <c r="AX2524" s="1">
        <v>0</v>
      </c>
      <c r="AY2524" s="1">
        <v>0</v>
      </c>
      <c r="AZ2524" s="1">
        <v>0</v>
      </c>
      <c r="BA2524" s="1">
        <v>0</v>
      </c>
      <c r="BB2524" s="1">
        <v>0</v>
      </c>
      <c r="BC2524" s="1">
        <v>0</v>
      </c>
      <c r="BD2524" s="1">
        <v>0</v>
      </c>
      <c r="BE2524" s="1">
        <v>0</v>
      </c>
      <c r="BF2524" s="1">
        <v>0</v>
      </c>
      <c r="BG2524" s="1">
        <v>0</v>
      </c>
      <c r="BH2524" s="1">
        <v>0</v>
      </c>
      <c r="BI2524" s="1">
        <v>0</v>
      </c>
      <c r="BJ2524" s="1">
        <v>0</v>
      </c>
      <c r="BK2524" s="1">
        <v>0</v>
      </c>
      <c r="BL2524" s="1">
        <v>0</v>
      </c>
      <c r="BM2524" s="1">
        <v>0</v>
      </c>
      <c r="BN2524" s="1">
        <v>0</v>
      </c>
      <c r="BO2524" s="1">
        <v>0</v>
      </c>
      <c r="BP2524" s="1">
        <v>0</v>
      </c>
      <c r="BQ2524" s="1">
        <v>0</v>
      </c>
      <c r="BR2524" s="1">
        <v>0</v>
      </c>
      <c r="BS2524" s="1" t="s">
        <v>109</v>
      </c>
      <c r="BT2524" s="1">
        <v>2627</v>
      </c>
      <c r="BU2524" s="1" t="s">
        <v>109</v>
      </c>
      <c r="BV2524" s="1"/>
      <c r="BW2524" s="1"/>
      <c r="BX2524" s="1"/>
      <c r="BY2524" s="1"/>
      <c r="BZ2524" s="1">
        <v>0</v>
      </c>
      <c r="CA2524" s="1" t="s">
        <v>109</v>
      </c>
      <c r="CB2524" s="1">
        <v>3</v>
      </c>
      <c r="CC2524" s="1">
        <v>3</v>
      </c>
      <c r="CD2524" s="1">
        <v>3</v>
      </c>
      <c r="CE2524" s="1">
        <v>3</v>
      </c>
      <c r="CF2524" s="1">
        <v>3</v>
      </c>
      <c r="CG2524" s="1">
        <v>3</v>
      </c>
      <c r="CH2524" s="1" t="s">
        <v>109</v>
      </c>
      <c r="CI2524" s="1" t="s">
        <v>109</v>
      </c>
      <c r="CJ2524" s="1" t="s">
        <v>109</v>
      </c>
      <c r="CK2524" s="1"/>
      <c r="CL2524" s="1">
        <v>0</v>
      </c>
      <c r="CM2524" s="1">
        <v>0</v>
      </c>
      <c r="CN2524" s="1">
        <v>0</v>
      </c>
    </row>
    <row r="2525" spans="1:92" ht="14.25" customHeight="1" x14ac:dyDescent="0.15">
      <c r="A2525" s="1" t="s">
        <v>17944</v>
      </c>
      <c r="B2525" s="1" t="s">
        <v>189</v>
      </c>
      <c r="C2525" s="1" t="s">
        <v>231</v>
      </c>
      <c r="D2525" s="1"/>
      <c r="E2525" s="1" t="s">
        <v>17945</v>
      </c>
      <c r="F2525" s="1" t="s">
        <v>277</v>
      </c>
      <c r="G2525" s="1" t="s">
        <v>17946</v>
      </c>
      <c r="H2525" s="1">
        <v>0</v>
      </c>
      <c r="I2525" s="1" t="s">
        <v>235</v>
      </c>
      <c r="J2525" s="1"/>
      <c r="K2525" s="1"/>
      <c r="L2525" s="1" t="s">
        <v>236</v>
      </c>
      <c r="M2525" s="1" t="s">
        <v>5811</v>
      </c>
      <c r="N2525" s="1">
        <v>1</v>
      </c>
      <c r="O2525" s="1">
        <v>0</v>
      </c>
      <c r="P2525" s="1"/>
      <c r="Q2525" s="1"/>
      <c r="R2525" s="1" t="s">
        <v>17947</v>
      </c>
      <c r="S2525" s="1" t="s">
        <v>17948</v>
      </c>
      <c r="T2525" s="1" t="s">
        <v>17916</v>
      </c>
      <c r="U2525" s="1" t="s">
        <v>17949</v>
      </c>
      <c r="V2525" s="1">
        <v>1</v>
      </c>
      <c r="W2525" s="1">
        <v>1</v>
      </c>
      <c r="X2525" s="1">
        <v>0</v>
      </c>
      <c r="Y2525" s="1">
        <v>0</v>
      </c>
      <c r="Z2525" s="1">
        <v>0</v>
      </c>
      <c r="AA2525" s="1">
        <v>4</v>
      </c>
      <c r="AB2525" s="1">
        <v>4</v>
      </c>
      <c r="AC2525" s="1" t="s">
        <v>109</v>
      </c>
      <c r="AD2525" s="1" t="s">
        <v>109</v>
      </c>
      <c r="AE2525" s="1" t="s">
        <v>109</v>
      </c>
      <c r="AF2525" s="1">
        <v>4</v>
      </c>
      <c r="AG2525" s="1" t="s">
        <v>109</v>
      </c>
      <c r="AH2525" s="1">
        <v>4</v>
      </c>
      <c r="AI2525" s="1">
        <v>4</v>
      </c>
      <c r="AJ2525" s="1">
        <v>4</v>
      </c>
      <c r="AK2525" s="1" t="s">
        <v>109</v>
      </c>
      <c r="AL2525" s="1" t="s">
        <v>109</v>
      </c>
      <c r="AM2525" s="1" t="s">
        <v>109</v>
      </c>
      <c r="AN2525" s="1" t="s">
        <v>109</v>
      </c>
      <c r="AO2525" s="1" t="s">
        <v>109</v>
      </c>
      <c r="AP2525" s="1"/>
      <c r="AQ2525" s="1">
        <v>4</v>
      </c>
      <c r="AR2525" s="1"/>
      <c r="AS2525" s="1" t="s">
        <v>17950</v>
      </c>
      <c r="AT2525" s="1">
        <v>0</v>
      </c>
      <c r="AU2525" s="1">
        <v>0</v>
      </c>
      <c r="AV2525" s="1">
        <v>0</v>
      </c>
      <c r="AW2525" s="1">
        <v>0</v>
      </c>
      <c r="AX2525" s="1">
        <v>0</v>
      </c>
      <c r="AY2525" s="1">
        <v>0</v>
      </c>
      <c r="AZ2525" s="1">
        <v>0</v>
      </c>
      <c r="BA2525" s="1">
        <v>0</v>
      </c>
      <c r="BB2525" s="1">
        <v>0</v>
      </c>
      <c r="BC2525" s="1">
        <v>0</v>
      </c>
      <c r="BD2525" s="1">
        <v>0</v>
      </c>
      <c r="BE2525" s="1">
        <v>0</v>
      </c>
      <c r="BF2525" s="1">
        <v>0</v>
      </c>
      <c r="BG2525" s="1">
        <v>0</v>
      </c>
      <c r="BH2525" s="1">
        <v>0</v>
      </c>
      <c r="BI2525" s="1">
        <v>0</v>
      </c>
      <c r="BJ2525" s="1">
        <v>0</v>
      </c>
      <c r="BK2525" s="1">
        <v>0</v>
      </c>
      <c r="BL2525" s="1">
        <v>0</v>
      </c>
      <c r="BM2525" s="1">
        <v>0</v>
      </c>
      <c r="BN2525" s="1">
        <v>0</v>
      </c>
      <c r="BO2525" s="1">
        <v>0</v>
      </c>
      <c r="BP2525" s="1">
        <v>0</v>
      </c>
      <c r="BQ2525" s="1">
        <v>0</v>
      </c>
      <c r="BR2525" s="1">
        <v>0</v>
      </c>
      <c r="BS2525" s="1" t="s">
        <v>109</v>
      </c>
      <c r="BT2525" s="1">
        <v>2628</v>
      </c>
      <c r="BU2525" s="1" t="s">
        <v>109</v>
      </c>
      <c r="BV2525" s="1"/>
      <c r="BW2525" s="1"/>
      <c r="BX2525" s="1"/>
      <c r="BY2525" s="1"/>
      <c r="BZ2525" s="1">
        <v>0</v>
      </c>
      <c r="CA2525" s="1" t="s">
        <v>109</v>
      </c>
      <c r="CB2525" s="1">
        <v>4</v>
      </c>
      <c r="CC2525" s="1">
        <v>4</v>
      </c>
      <c r="CD2525" s="1">
        <v>4</v>
      </c>
      <c r="CE2525" s="1">
        <v>4</v>
      </c>
      <c r="CF2525" s="1">
        <v>4</v>
      </c>
      <c r="CG2525" s="1">
        <v>4</v>
      </c>
      <c r="CH2525" s="1" t="s">
        <v>109</v>
      </c>
      <c r="CI2525" s="1" t="s">
        <v>109</v>
      </c>
      <c r="CJ2525" s="1" t="s">
        <v>109</v>
      </c>
      <c r="CK2525" s="1"/>
      <c r="CL2525" s="1">
        <v>0</v>
      </c>
      <c r="CM2525" s="1">
        <v>0</v>
      </c>
      <c r="CN2525" s="1">
        <v>0</v>
      </c>
    </row>
    <row r="2526" spans="1:92" ht="14.25" customHeight="1" x14ac:dyDescent="0.15">
      <c r="A2526" s="1" t="s">
        <v>17951</v>
      </c>
      <c r="B2526" s="1" t="s">
        <v>242</v>
      </c>
      <c r="C2526" s="1"/>
      <c r="D2526" s="1" t="s">
        <v>61</v>
      </c>
      <c r="E2526" s="1" t="s">
        <v>17952</v>
      </c>
      <c r="F2526" s="1" t="s">
        <v>98</v>
      </c>
      <c r="G2526" s="1" t="s">
        <v>17953</v>
      </c>
      <c r="H2526" s="1">
        <v>0</v>
      </c>
      <c r="I2526" s="1"/>
      <c r="J2526" s="1" t="s">
        <v>6646</v>
      </c>
      <c r="K2526" s="1"/>
      <c r="L2526" s="1"/>
      <c r="M2526" s="1" t="s">
        <v>17954</v>
      </c>
      <c r="N2526" s="1">
        <v>0</v>
      </c>
      <c r="O2526" s="1">
        <v>0</v>
      </c>
      <c r="P2526" s="1" t="s">
        <v>301</v>
      </c>
      <c r="Q2526" s="1" t="s">
        <v>268</v>
      </c>
      <c r="R2526" s="1" t="s">
        <v>17955</v>
      </c>
      <c r="S2526" s="1" t="s">
        <v>17956</v>
      </c>
      <c r="T2526" s="1" t="s">
        <v>17916</v>
      </c>
      <c r="U2526" s="1" t="s">
        <v>17957</v>
      </c>
      <c r="V2526" s="1">
        <v>1</v>
      </c>
      <c r="W2526" s="1">
        <v>1</v>
      </c>
      <c r="X2526" s="1">
        <v>0</v>
      </c>
      <c r="Y2526" s="1">
        <v>0</v>
      </c>
      <c r="Z2526" s="1">
        <v>0</v>
      </c>
      <c r="AA2526" s="1" t="s">
        <v>109</v>
      </c>
      <c r="AB2526" s="1" t="s">
        <v>109</v>
      </c>
      <c r="AC2526" s="1">
        <v>5</v>
      </c>
      <c r="AD2526" s="1" t="s">
        <v>109</v>
      </c>
      <c r="AE2526" s="1" t="s">
        <v>109</v>
      </c>
      <c r="AF2526" s="1" t="s">
        <v>109</v>
      </c>
      <c r="AG2526" s="1">
        <v>4</v>
      </c>
      <c r="AH2526" s="1" t="s">
        <v>109</v>
      </c>
      <c r="AI2526" s="1" t="s">
        <v>109</v>
      </c>
      <c r="AJ2526" s="1" t="s">
        <v>109</v>
      </c>
      <c r="AK2526" s="1">
        <v>4</v>
      </c>
      <c r="AL2526" s="1">
        <v>5</v>
      </c>
      <c r="AM2526" s="1" t="s">
        <v>109</v>
      </c>
      <c r="AN2526" s="1" t="s">
        <v>109</v>
      </c>
      <c r="AO2526" s="1" t="s">
        <v>109</v>
      </c>
      <c r="AP2526" s="1"/>
      <c r="AQ2526" s="1">
        <v>5</v>
      </c>
      <c r="AR2526" s="1"/>
      <c r="AS2526" s="1" t="s">
        <v>17958</v>
      </c>
      <c r="AT2526" s="1">
        <v>0</v>
      </c>
      <c r="AU2526" s="1">
        <v>0</v>
      </c>
      <c r="AV2526" s="1">
        <v>0</v>
      </c>
      <c r="AW2526" s="1">
        <v>0</v>
      </c>
      <c r="AX2526" s="1">
        <v>0</v>
      </c>
      <c r="AY2526" s="1">
        <v>0</v>
      </c>
      <c r="AZ2526" s="1">
        <v>0</v>
      </c>
      <c r="BA2526" s="1">
        <v>0</v>
      </c>
      <c r="BB2526" s="1">
        <v>0</v>
      </c>
      <c r="BC2526" s="1">
        <v>0</v>
      </c>
      <c r="BD2526" s="1">
        <v>0</v>
      </c>
      <c r="BE2526" s="1">
        <v>0</v>
      </c>
      <c r="BF2526" s="1">
        <v>0</v>
      </c>
      <c r="BG2526" s="1">
        <v>0</v>
      </c>
      <c r="BH2526" s="1">
        <v>0</v>
      </c>
      <c r="BI2526" s="1">
        <v>1</v>
      </c>
      <c r="BJ2526" s="1">
        <v>0</v>
      </c>
      <c r="BK2526" s="1">
        <v>0</v>
      </c>
      <c r="BL2526" s="1">
        <v>0</v>
      </c>
      <c r="BM2526" s="1">
        <v>0</v>
      </c>
      <c r="BN2526" s="1">
        <v>0</v>
      </c>
      <c r="BO2526" s="1">
        <v>0</v>
      </c>
      <c r="BP2526" s="1">
        <v>0</v>
      </c>
      <c r="BQ2526" s="1">
        <v>0</v>
      </c>
      <c r="BR2526" s="1">
        <v>0</v>
      </c>
      <c r="BS2526" s="1" t="s">
        <v>109</v>
      </c>
      <c r="BT2526" s="1">
        <v>2629</v>
      </c>
      <c r="BU2526" s="1" t="s">
        <v>109</v>
      </c>
      <c r="BV2526" s="1"/>
      <c r="BW2526" s="1"/>
      <c r="BX2526" s="1"/>
      <c r="BY2526" s="1"/>
      <c r="BZ2526" s="1">
        <v>0</v>
      </c>
      <c r="CA2526" s="1" t="s">
        <v>109</v>
      </c>
      <c r="CB2526" s="1">
        <v>5</v>
      </c>
      <c r="CC2526" s="1" t="s">
        <v>109</v>
      </c>
      <c r="CD2526" s="1">
        <v>3</v>
      </c>
      <c r="CE2526" s="1" t="s">
        <v>109</v>
      </c>
      <c r="CF2526" s="1">
        <v>4</v>
      </c>
      <c r="CG2526" s="1" t="s">
        <v>109</v>
      </c>
      <c r="CH2526" s="1" t="s">
        <v>109</v>
      </c>
      <c r="CI2526" s="1" t="s">
        <v>109</v>
      </c>
      <c r="CJ2526" s="1" t="s">
        <v>109</v>
      </c>
      <c r="CK2526" s="1"/>
      <c r="CL2526" s="1">
        <v>0</v>
      </c>
      <c r="CM2526" s="1">
        <v>0</v>
      </c>
      <c r="CN2526" s="1">
        <v>0</v>
      </c>
    </row>
    <row r="2527" spans="1:92" ht="14.25" customHeight="1" x14ac:dyDescent="0.15">
      <c r="A2527" s="1" t="s">
        <v>17959</v>
      </c>
      <c r="B2527" s="1" t="s">
        <v>95</v>
      </c>
      <c r="C2527" s="1" t="s">
        <v>1179</v>
      </c>
      <c r="D2527" s="1" t="s">
        <v>16098</v>
      </c>
      <c r="E2527" s="1" t="s">
        <v>17960</v>
      </c>
      <c r="F2527" s="1" t="s">
        <v>98</v>
      </c>
      <c r="G2527" s="1" t="s">
        <v>17961</v>
      </c>
      <c r="H2527" s="1">
        <v>0</v>
      </c>
      <c r="I2527" s="1" t="s">
        <v>5737</v>
      </c>
      <c r="J2527" s="1"/>
      <c r="K2527" s="1" t="s">
        <v>17962</v>
      </c>
      <c r="L2527" s="1"/>
      <c r="M2527" s="1" t="s">
        <v>144</v>
      </c>
      <c r="N2527" s="1">
        <v>0</v>
      </c>
      <c r="O2527" s="1">
        <v>0</v>
      </c>
      <c r="P2527" s="1" t="s">
        <v>7902</v>
      </c>
      <c r="Q2527" s="1" t="s">
        <v>104</v>
      </c>
      <c r="R2527" s="1" t="s">
        <v>17963</v>
      </c>
      <c r="S2527" s="1" t="s">
        <v>17964</v>
      </c>
      <c r="T2527" s="1" t="s">
        <v>17916</v>
      </c>
      <c r="U2527" s="1" t="s">
        <v>17965</v>
      </c>
      <c r="V2527" s="1">
        <v>1</v>
      </c>
      <c r="W2527" s="1">
        <v>1</v>
      </c>
      <c r="X2527" s="1">
        <v>1</v>
      </c>
      <c r="Y2527" s="1">
        <v>0</v>
      </c>
      <c r="Z2527" s="1">
        <v>0</v>
      </c>
      <c r="AA2527" s="1" t="s">
        <v>109</v>
      </c>
      <c r="AB2527" s="1" t="s">
        <v>109</v>
      </c>
      <c r="AC2527" s="1">
        <v>1</v>
      </c>
      <c r="AD2527" s="1" t="s">
        <v>109</v>
      </c>
      <c r="AE2527" s="1" t="s">
        <v>109</v>
      </c>
      <c r="AF2527" s="1" t="s">
        <v>109</v>
      </c>
      <c r="AG2527" s="1" t="s">
        <v>109</v>
      </c>
      <c r="AH2527" s="1" t="s">
        <v>109</v>
      </c>
      <c r="AI2527" s="1">
        <v>1</v>
      </c>
      <c r="AJ2527" s="1" t="s">
        <v>109</v>
      </c>
      <c r="AK2527" s="1">
        <v>1</v>
      </c>
      <c r="AL2527" s="1">
        <v>1</v>
      </c>
      <c r="AM2527" s="1">
        <v>1</v>
      </c>
      <c r="AN2527" s="1" t="s">
        <v>109</v>
      </c>
      <c r="AO2527" s="1" t="s">
        <v>109</v>
      </c>
      <c r="AP2527" s="1"/>
      <c r="AQ2527" s="1">
        <v>1</v>
      </c>
      <c r="AR2527" s="1"/>
      <c r="AS2527" s="1" t="s">
        <v>17966</v>
      </c>
      <c r="AT2527" s="1">
        <v>0</v>
      </c>
      <c r="AU2527" s="1">
        <v>0</v>
      </c>
      <c r="AV2527" s="1">
        <v>0</v>
      </c>
      <c r="AW2527" s="1">
        <v>0</v>
      </c>
      <c r="AX2527" s="1">
        <v>0</v>
      </c>
      <c r="AY2527" s="1">
        <v>0</v>
      </c>
      <c r="AZ2527" s="1">
        <v>0</v>
      </c>
      <c r="BA2527" s="1">
        <v>0</v>
      </c>
      <c r="BB2527" s="1">
        <v>0</v>
      </c>
      <c r="BC2527" s="1">
        <v>0</v>
      </c>
      <c r="BD2527" s="1">
        <v>1</v>
      </c>
      <c r="BE2527" s="1">
        <v>0</v>
      </c>
      <c r="BF2527" s="1">
        <v>1</v>
      </c>
      <c r="BG2527" s="1">
        <v>0</v>
      </c>
      <c r="BH2527" s="1">
        <v>0</v>
      </c>
      <c r="BI2527" s="1">
        <v>0</v>
      </c>
      <c r="BJ2527" s="1">
        <v>0</v>
      </c>
      <c r="BK2527" s="1">
        <v>0</v>
      </c>
      <c r="BL2527" s="1">
        <v>0</v>
      </c>
      <c r="BM2527" s="1">
        <v>1</v>
      </c>
      <c r="BN2527" s="1">
        <v>0</v>
      </c>
      <c r="BO2527" s="1">
        <v>0</v>
      </c>
      <c r="BP2527" s="1">
        <v>0</v>
      </c>
      <c r="BQ2527" s="1">
        <v>0</v>
      </c>
      <c r="BR2527" s="1">
        <v>0</v>
      </c>
      <c r="BS2527" s="1" t="s">
        <v>109</v>
      </c>
      <c r="BT2527" s="1">
        <v>2630</v>
      </c>
      <c r="BU2527" s="1" t="s">
        <v>109</v>
      </c>
      <c r="BV2527" s="1"/>
      <c r="BW2527" s="1"/>
      <c r="BX2527" s="1"/>
      <c r="BY2527" s="1"/>
      <c r="BZ2527" s="1">
        <v>0</v>
      </c>
      <c r="CA2527" s="1">
        <v>1</v>
      </c>
      <c r="CB2527" s="1">
        <v>1</v>
      </c>
      <c r="CC2527" s="1" t="s">
        <v>109</v>
      </c>
      <c r="CD2527" s="1" t="s">
        <v>109</v>
      </c>
      <c r="CE2527" s="1" t="s">
        <v>109</v>
      </c>
      <c r="CF2527" s="1">
        <v>1</v>
      </c>
      <c r="CG2527" s="1" t="s">
        <v>109</v>
      </c>
      <c r="CH2527" s="1" t="s">
        <v>109</v>
      </c>
      <c r="CI2527" s="1" t="s">
        <v>109</v>
      </c>
      <c r="CJ2527" s="1" t="s">
        <v>109</v>
      </c>
      <c r="CK2527" s="1"/>
      <c r="CL2527" s="1">
        <v>0</v>
      </c>
      <c r="CM2527" s="1">
        <v>0</v>
      </c>
      <c r="CN2527" s="1">
        <v>0</v>
      </c>
    </row>
    <row r="2528" spans="1:92" ht="14.25" customHeight="1" x14ac:dyDescent="0.15">
      <c r="A2528" s="1" t="s">
        <v>17967</v>
      </c>
      <c r="B2528" s="1" t="s">
        <v>308</v>
      </c>
      <c r="C2528" s="1"/>
      <c r="D2528" s="1" t="s">
        <v>57</v>
      </c>
      <c r="E2528" s="1" t="s">
        <v>17968</v>
      </c>
      <c r="F2528" s="1" t="s">
        <v>98</v>
      </c>
      <c r="G2528" s="1" t="s">
        <v>17969</v>
      </c>
      <c r="H2528" s="1">
        <v>0</v>
      </c>
      <c r="I2528" s="1" t="s">
        <v>17970</v>
      </c>
      <c r="J2528" s="1"/>
      <c r="K2528" s="1"/>
      <c r="L2528" s="1" t="s">
        <v>17166</v>
      </c>
      <c r="M2528" s="1" t="s">
        <v>5811</v>
      </c>
      <c r="N2528" s="1">
        <v>1</v>
      </c>
      <c r="O2528" s="1">
        <v>0</v>
      </c>
      <c r="P2528" s="1" t="s">
        <v>2475</v>
      </c>
      <c r="Q2528" s="1" t="s">
        <v>104</v>
      </c>
      <c r="R2528" s="1" t="s">
        <v>17971</v>
      </c>
      <c r="S2528" s="1" t="s">
        <v>17972</v>
      </c>
      <c r="T2528" s="1" t="s">
        <v>17916</v>
      </c>
      <c r="U2528" s="1" t="s">
        <v>17973</v>
      </c>
      <c r="V2528" s="1">
        <v>1</v>
      </c>
      <c r="W2528" s="1">
        <v>1</v>
      </c>
      <c r="X2528" s="1">
        <v>0</v>
      </c>
      <c r="Y2528" s="1">
        <v>0</v>
      </c>
      <c r="Z2528" s="1">
        <v>0</v>
      </c>
      <c r="AA2528" s="1" t="s">
        <v>109</v>
      </c>
      <c r="AB2528" s="1" t="s">
        <v>109</v>
      </c>
      <c r="AC2528" s="1">
        <v>5</v>
      </c>
      <c r="AD2528" s="1">
        <v>5</v>
      </c>
      <c r="AE2528" s="1" t="s">
        <v>109</v>
      </c>
      <c r="AF2528" s="1" t="s">
        <v>109</v>
      </c>
      <c r="AG2528" s="1" t="s">
        <v>109</v>
      </c>
      <c r="AH2528" s="1" t="s">
        <v>109</v>
      </c>
      <c r="AI2528" s="1" t="s">
        <v>109</v>
      </c>
      <c r="AJ2528" s="1">
        <v>5</v>
      </c>
      <c r="AK2528" s="1">
        <v>5</v>
      </c>
      <c r="AL2528" s="1">
        <v>5</v>
      </c>
      <c r="AM2528" s="1">
        <v>4</v>
      </c>
      <c r="AN2528" s="1" t="s">
        <v>109</v>
      </c>
      <c r="AO2528" s="1" t="s">
        <v>109</v>
      </c>
      <c r="AP2528" s="1"/>
      <c r="AQ2528" s="1">
        <v>5</v>
      </c>
      <c r="AR2528" s="1"/>
      <c r="AS2528" s="1" t="s">
        <v>17974</v>
      </c>
      <c r="AT2528" s="1">
        <v>0</v>
      </c>
      <c r="AU2528" s="1">
        <v>0</v>
      </c>
      <c r="AV2528" s="1">
        <v>0</v>
      </c>
      <c r="AW2528" s="1">
        <v>0</v>
      </c>
      <c r="AX2528" s="1">
        <v>0</v>
      </c>
      <c r="AY2528" s="1">
        <v>0</v>
      </c>
      <c r="AZ2528" s="1">
        <v>0</v>
      </c>
      <c r="BA2528" s="1">
        <v>0</v>
      </c>
      <c r="BB2528" s="1">
        <v>0</v>
      </c>
      <c r="BC2528" s="1">
        <v>0</v>
      </c>
      <c r="BD2528" s="1">
        <v>0</v>
      </c>
      <c r="BE2528" s="1">
        <v>1</v>
      </c>
      <c r="BF2528" s="1">
        <v>0</v>
      </c>
      <c r="BG2528" s="1">
        <v>0</v>
      </c>
      <c r="BH2528" s="1">
        <v>0</v>
      </c>
      <c r="BI2528" s="1">
        <v>0</v>
      </c>
      <c r="BJ2528" s="1">
        <v>0</v>
      </c>
      <c r="BK2528" s="1">
        <v>0</v>
      </c>
      <c r="BL2528" s="1">
        <v>0</v>
      </c>
      <c r="BM2528" s="1">
        <v>0</v>
      </c>
      <c r="BN2528" s="1">
        <v>0</v>
      </c>
      <c r="BO2528" s="1">
        <v>0</v>
      </c>
      <c r="BP2528" s="1">
        <v>0</v>
      </c>
      <c r="BQ2528" s="1">
        <v>0</v>
      </c>
      <c r="BR2528" s="1">
        <v>0</v>
      </c>
      <c r="BS2528" s="1" t="s">
        <v>109</v>
      </c>
      <c r="BT2528" s="1">
        <v>2631</v>
      </c>
      <c r="BU2528" s="1" t="s">
        <v>109</v>
      </c>
      <c r="BV2528" s="1"/>
      <c r="BW2528" s="1"/>
      <c r="BX2528" s="1"/>
      <c r="BY2528" s="1"/>
      <c r="BZ2528" s="1">
        <v>0</v>
      </c>
      <c r="CA2528" s="1" t="s">
        <v>109</v>
      </c>
      <c r="CB2528" s="1">
        <v>5</v>
      </c>
      <c r="CC2528" s="1">
        <v>5</v>
      </c>
      <c r="CD2528" s="1" t="s">
        <v>109</v>
      </c>
      <c r="CE2528" s="1" t="s">
        <v>109</v>
      </c>
      <c r="CF2528" s="1" t="s">
        <v>109</v>
      </c>
      <c r="CG2528" s="1" t="s">
        <v>109</v>
      </c>
      <c r="CH2528" s="1" t="s">
        <v>109</v>
      </c>
      <c r="CI2528" s="1" t="s">
        <v>109</v>
      </c>
      <c r="CJ2528" s="1">
        <v>5</v>
      </c>
      <c r="CK2528" s="1"/>
      <c r="CL2528" s="1">
        <v>0</v>
      </c>
      <c r="CM2528" s="1">
        <v>0</v>
      </c>
      <c r="CN2528" s="1">
        <v>0</v>
      </c>
    </row>
    <row r="2529" spans="1:92" ht="14.25" customHeight="1" x14ac:dyDescent="0.15">
      <c r="A2529" s="1" t="s">
        <v>17975</v>
      </c>
      <c r="B2529" s="1" t="s">
        <v>308</v>
      </c>
      <c r="C2529" s="1"/>
      <c r="D2529" s="1"/>
      <c r="E2529" s="1" t="s">
        <v>17976</v>
      </c>
      <c r="F2529" s="1" t="s">
        <v>98</v>
      </c>
      <c r="G2529" s="1" t="s">
        <v>17953</v>
      </c>
      <c r="H2529" s="1">
        <v>0</v>
      </c>
      <c r="I2529" s="1" t="s">
        <v>5737</v>
      </c>
      <c r="J2529" s="1"/>
      <c r="K2529" s="1"/>
      <c r="L2529" s="1" t="s">
        <v>17977</v>
      </c>
      <c r="M2529" s="1" t="s">
        <v>574</v>
      </c>
      <c r="N2529" s="1">
        <v>1</v>
      </c>
      <c r="O2529" s="1">
        <v>0</v>
      </c>
      <c r="P2529" s="1" t="s">
        <v>267</v>
      </c>
      <c r="Q2529" s="1" t="s">
        <v>268</v>
      </c>
      <c r="R2529" s="1" t="s">
        <v>17978</v>
      </c>
      <c r="S2529" s="1" t="s">
        <v>17979</v>
      </c>
      <c r="T2529" s="1" t="s">
        <v>17916</v>
      </c>
      <c r="U2529" s="1" t="s">
        <v>17980</v>
      </c>
      <c r="V2529" s="1">
        <v>1</v>
      </c>
      <c r="W2529" s="1">
        <v>1</v>
      </c>
      <c r="X2529" s="1">
        <v>0</v>
      </c>
      <c r="Y2529" s="1">
        <v>0</v>
      </c>
      <c r="Z2529" s="1">
        <v>0</v>
      </c>
      <c r="AA2529" s="1">
        <v>2</v>
      </c>
      <c r="AB2529" s="1">
        <v>2</v>
      </c>
      <c r="AC2529" s="1">
        <v>2</v>
      </c>
      <c r="AD2529" s="1" t="s">
        <v>109</v>
      </c>
      <c r="AE2529" s="1" t="s">
        <v>109</v>
      </c>
      <c r="AF2529" s="1" t="s">
        <v>109</v>
      </c>
      <c r="AG2529" s="1" t="s">
        <v>109</v>
      </c>
      <c r="AH2529" s="1" t="s">
        <v>109</v>
      </c>
      <c r="AI2529" s="1" t="s">
        <v>109</v>
      </c>
      <c r="AJ2529" s="1">
        <v>2</v>
      </c>
      <c r="AK2529" s="1">
        <v>2</v>
      </c>
      <c r="AL2529" s="1">
        <v>2</v>
      </c>
      <c r="AM2529" s="1">
        <v>1</v>
      </c>
      <c r="AN2529" s="1" t="s">
        <v>109</v>
      </c>
      <c r="AO2529" s="1" t="s">
        <v>109</v>
      </c>
      <c r="AP2529" s="1"/>
      <c r="AQ2529" s="1">
        <v>2</v>
      </c>
      <c r="AR2529" s="1"/>
      <c r="AS2529" s="1" t="s">
        <v>17981</v>
      </c>
      <c r="AT2529" s="1">
        <v>0</v>
      </c>
      <c r="AU2529" s="1">
        <v>0</v>
      </c>
      <c r="AV2529" s="1">
        <v>0</v>
      </c>
      <c r="AW2529" s="1">
        <v>0</v>
      </c>
      <c r="AX2529" s="1">
        <v>0</v>
      </c>
      <c r="AY2529" s="1">
        <v>0</v>
      </c>
      <c r="AZ2529" s="1">
        <v>0</v>
      </c>
      <c r="BA2529" s="1">
        <v>0</v>
      </c>
      <c r="BB2529" s="1">
        <v>0</v>
      </c>
      <c r="BC2529" s="1">
        <v>0</v>
      </c>
      <c r="BD2529" s="1">
        <v>0</v>
      </c>
      <c r="BE2529" s="1">
        <v>0</v>
      </c>
      <c r="BF2529" s="1">
        <v>0</v>
      </c>
      <c r="BG2529" s="1">
        <v>0</v>
      </c>
      <c r="BH2529" s="1">
        <v>0</v>
      </c>
      <c r="BI2529" s="1">
        <v>0</v>
      </c>
      <c r="BJ2529" s="1">
        <v>0</v>
      </c>
      <c r="BK2529" s="1">
        <v>0</v>
      </c>
      <c r="BL2529" s="1">
        <v>0</v>
      </c>
      <c r="BM2529" s="1">
        <v>0</v>
      </c>
      <c r="BN2529" s="1">
        <v>0</v>
      </c>
      <c r="BO2529" s="1">
        <v>0</v>
      </c>
      <c r="BP2529" s="1">
        <v>0</v>
      </c>
      <c r="BQ2529" s="1">
        <v>0</v>
      </c>
      <c r="BR2529" s="1">
        <v>0</v>
      </c>
      <c r="BS2529" s="1" t="s">
        <v>109</v>
      </c>
      <c r="BT2529" s="1">
        <v>2632</v>
      </c>
      <c r="BU2529" s="1" t="s">
        <v>109</v>
      </c>
      <c r="BV2529" s="1"/>
      <c r="BW2529" s="1"/>
      <c r="BX2529" s="1"/>
      <c r="BY2529" s="1"/>
      <c r="BZ2529" s="1">
        <v>0</v>
      </c>
      <c r="CA2529" s="1">
        <v>1</v>
      </c>
      <c r="CB2529" s="1" t="s">
        <v>109</v>
      </c>
      <c r="CC2529" s="1">
        <v>2</v>
      </c>
      <c r="CD2529" s="1">
        <v>1</v>
      </c>
      <c r="CE2529" s="1" t="s">
        <v>109</v>
      </c>
      <c r="CF2529" s="1" t="s">
        <v>109</v>
      </c>
      <c r="CG2529" s="1">
        <v>2</v>
      </c>
      <c r="CH2529" s="1" t="s">
        <v>109</v>
      </c>
      <c r="CI2529" s="1" t="s">
        <v>109</v>
      </c>
      <c r="CJ2529" s="1" t="s">
        <v>109</v>
      </c>
      <c r="CK2529" s="1"/>
      <c r="CL2529" s="1">
        <v>0</v>
      </c>
      <c r="CM2529" s="1">
        <v>0</v>
      </c>
      <c r="CN2529" s="1">
        <v>0</v>
      </c>
    </row>
    <row r="2530" spans="1:92" ht="14.25" customHeight="1" x14ac:dyDescent="0.15">
      <c r="A2530" s="1" t="s">
        <v>17982</v>
      </c>
      <c r="B2530" s="1" t="s">
        <v>308</v>
      </c>
      <c r="C2530" s="1"/>
      <c r="D2530" s="1"/>
      <c r="E2530" s="1" t="s">
        <v>17983</v>
      </c>
      <c r="F2530" s="1" t="s">
        <v>98</v>
      </c>
      <c r="G2530" s="1" t="s">
        <v>17984</v>
      </c>
      <c r="H2530" s="1">
        <v>0</v>
      </c>
      <c r="I2530" s="1" t="s">
        <v>122</v>
      </c>
      <c r="J2530" s="1"/>
      <c r="K2530" s="1"/>
      <c r="L2530" s="1" t="s">
        <v>17985</v>
      </c>
      <c r="M2530" s="1" t="s">
        <v>144</v>
      </c>
      <c r="N2530" s="1">
        <v>0</v>
      </c>
      <c r="O2530" s="1">
        <v>0</v>
      </c>
      <c r="P2530" s="1" t="s">
        <v>17986</v>
      </c>
      <c r="Q2530" s="1" t="s">
        <v>268</v>
      </c>
      <c r="R2530" s="1" t="s">
        <v>17987</v>
      </c>
      <c r="S2530" s="1" t="s">
        <v>17988</v>
      </c>
      <c r="T2530" s="1" t="s">
        <v>17916</v>
      </c>
      <c r="U2530" s="1" t="s">
        <v>17989</v>
      </c>
      <c r="V2530" s="1">
        <v>1</v>
      </c>
      <c r="W2530" s="1">
        <v>1</v>
      </c>
      <c r="X2530" s="1">
        <v>0</v>
      </c>
      <c r="Y2530" s="1">
        <v>0</v>
      </c>
      <c r="Z2530" s="1">
        <v>0</v>
      </c>
      <c r="AA2530" s="1">
        <v>2</v>
      </c>
      <c r="AB2530" s="1">
        <v>2</v>
      </c>
      <c r="AC2530" s="1">
        <v>2</v>
      </c>
      <c r="AD2530" s="1" t="s">
        <v>109</v>
      </c>
      <c r="AE2530" s="1" t="s">
        <v>109</v>
      </c>
      <c r="AF2530" s="1" t="s">
        <v>109</v>
      </c>
      <c r="AG2530" s="1" t="s">
        <v>109</v>
      </c>
      <c r="AH2530" s="1" t="s">
        <v>109</v>
      </c>
      <c r="AI2530" s="1" t="s">
        <v>109</v>
      </c>
      <c r="AJ2530" s="1">
        <v>2</v>
      </c>
      <c r="AK2530" s="1">
        <v>2</v>
      </c>
      <c r="AL2530" s="1">
        <v>2</v>
      </c>
      <c r="AM2530" s="1">
        <v>1</v>
      </c>
      <c r="AN2530" s="1" t="s">
        <v>109</v>
      </c>
      <c r="AO2530" s="1" t="s">
        <v>109</v>
      </c>
      <c r="AP2530" s="1"/>
      <c r="AQ2530" s="1">
        <v>2</v>
      </c>
      <c r="AR2530" s="1"/>
      <c r="AS2530" s="1" t="s">
        <v>17990</v>
      </c>
      <c r="AT2530" s="1">
        <v>0</v>
      </c>
      <c r="AU2530" s="1">
        <v>0</v>
      </c>
      <c r="AV2530" s="1">
        <v>0</v>
      </c>
      <c r="AW2530" s="1">
        <v>0</v>
      </c>
      <c r="AX2530" s="1">
        <v>0</v>
      </c>
      <c r="AY2530" s="1">
        <v>0</v>
      </c>
      <c r="AZ2530" s="1">
        <v>0</v>
      </c>
      <c r="BA2530" s="1">
        <v>0</v>
      </c>
      <c r="BB2530" s="1">
        <v>0</v>
      </c>
      <c r="BC2530" s="1">
        <v>0</v>
      </c>
      <c r="BD2530" s="1">
        <v>0</v>
      </c>
      <c r="BE2530" s="1">
        <v>0</v>
      </c>
      <c r="BF2530" s="1">
        <v>0</v>
      </c>
      <c r="BG2530" s="1">
        <v>0</v>
      </c>
      <c r="BH2530" s="1">
        <v>0</v>
      </c>
      <c r="BI2530" s="1">
        <v>0</v>
      </c>
      <c r="BJ2530" s="1">
        <v>0</v>
      </c>
      <c r="BK2530" s="1">
        <v>0</v>
      </c>
      <c r="BL2530" s="1">
        <v>0</v>
      </c>
      <c r="BM2530" s="1">
        <v>0</v>
      </c>
      <c r="BN2530" s="1">
        <v>0</v>
      </c>
      <c r="BO2530" s="1">
        <v>0</v>
      </c>
      <c r="BP2530" s="1">
        <v>0</v>
      </c>
      <c r="BQ2530" s="1">
        <v>0</v>
      </c>
      <c r="BR2530" s="1">
        <v>0</v>
      </c>
      <c r="BS2530" s="1" t="s">
        <v>109</v>
      </c>
      <c r="BT2530" s="1">
        <v>2633</v>
      </c>
      <c r="BU2530" s="1" t="s">
        <v>109</v>
      </c>
      <c r="BV2530" s="1"/>
      <c r="BW2530" s="1"/>
      <c r="BX2530" s="1"/>
      <c r="BY2530" s="1"/>
      <c r="BZ2530" s="1">
        <v>0</v>
      </c>
      <c r="CA2530" s="1" t="s">
        <v>109</v>
      </c>
      <c r="CB2530" s="1" t="s">
        <v>109</v>
      </c>
      <c r="CC2530" s="1" t="s">
        <v>109</v>
      </c>
      <c r="CD2530" s="1" t="s">
        <v>109</v>
      </c>
      <c r="CE2530" s="1" t="s">
        <v>109</v>
      </c>
      <c r="CF2530" s="1" t="s">
        <v>109</v>
      </c>
      <c r="CG2530" s="1">
        <v>2</v>
      </c>
      <c r="CH2530" s="1" t="s">
        <v>109</v>
      </c>
      <c r="CI2530" s="1" t="s">
        <v>109</v>
      </c>
      <c r="CJ2530" s="1" t="s">
        <v>109</v>
      </c>
      <c r="CK2530" s="1"/>
      <c r="CL2530" s="1">
        <v>0</v>
      </c>
      <c r="CM2530" s="1">
        <v>0</v>
      </c>
      <c r="CN2530" s="1">
        <v>0</v>
      </c>
    </row>
    <row r="2531" spans="1:92" ht="14.25" customHeight="1" x14ac:dyDescent="0.15">
      <c r="A2531" s="1" t="s">
        <v>17991</v>
      </c>
      <c r="B2531" s="1" t="s">
        <v>189</v>
      </c>
      <c r="C2531" s="1"/>
      <c r="D2531" s="1" t="s">
        <v>57</v>
      </c>
      <c r="E2531" s="1" t="s">
        <v>17992</v>
      </c>
      <c r="F2531" s="1" t="s">
        <v>98</v>
      </c>
      <c r="G2531" s="1" t="s">
        <v>17993</v>
      </c>
      <c r="H2531" s="1">
        <v>0</v>
      </c>
      <c r="I2531" s="1" t="s">
        <v>161</v>
      </c>
      <c r="J2531" s="1"/>
      <c r="K2531" s="1"/>
      <c r="L2531" s="1" t="s">
        <v>506</v>
      </c>
      <c r="M2531" s="1" t="s">
        <v>6144</v>
      </c>
      <c r="N2531" s="1">
        <v>1</v>
      </c>
      <c r="O2531" s="1">
        <v>0</v>
      </c>
      <c r="P2531" s="1" t="s">
        <v>103</v>
      </c>
      <c r="Q2531" s="1" t="s">
        <v>104</v>
      </c>
      <c r="R2531" s="1" t="s">
        <v>17994</v>
      </c>
      <c r="S2531" s="1" t="s">
        <v>17995</v>
      </c>
      <c r="T2531" s="1" t="s">
        <v>17916</v>
      </c>
      <c r="U2531" s="1" t="s">
        <v>17996</v>
      </c>
      <c r="V2531" s="1">
        <v>1</v>
      </c>
      <c r="W2531" s="1">
        <v>1</v>
      </c>
      <c r="X2531" s="1">
        <v>1</v>
      </c>
      <c r="Y2531" s="1">
        <v>0</v>
      </c>
      <c r="Z2531" s="1">
        <v>0</v>
      </c>
      <c r="AA2531" s="1" t="s">
        <v>109</v>
      </c>
      <c r="AB2531" s="1" t="s">
        <v>109</v>
      </c>
      <c r="AC2531" s="1">
        <v>4</v>
      </c>
      <c r="AD2531" s="1">
        <v>4</v>
      </c>
      <c r="AE2531" s="1" t="s">
        <v>109</v>
      </c>
      <c r="AF2531" s="1" t="s">
        <v>109</v>
      </c>
      <c r="AG2531" s="1" t="s">
        <v>109</v>
      </c>
      <c r="AH2531" s="1" t="s">
        <v>109</v>
      </c>
      <c r="AI2531" s="1" t="s">
        <v>109</v>
      </c>
      <c r="AJ2531" s="1">
        <v>4</v>
      </c>
      <c r="AK2531" s="1" t="s">
        <v>109</v>
      </c>
      <c r="AL2531" s="1">
        <v>4</v>
      </c>
      <c r="AM2531" s="1">
        <v>2</v>
      </c>
      <c r="AN2531" s="1" t="s">
        <v>109</v>
      </c>
      <c r="AO2531" s="1" t="s">
        <v>109</v>
      </c>
      <c r="AP2531" s="1"/>
      <c r="AQ2531" s="1">
        <v>4</v>
      </c>
      <c r="AR2531" s="1"/>
      <c r="AS2531" s="1" t="s">
        <v>17997</v>
      </c>
      <c r="AT2531" s="1">
        <v>0</v>
      </c>
      <c r="AU2531" s="1">
        <v>0</v>
      </c>
      <c r="AV2531" s="1">
        <v>0</v>
      </c>
      <c r="AW2531" s="1">
        <v>0</v>
      </c>
      <c r="AX2531" s="1">
        <v>0</v>
      </c>
      <c r="AY2531" s="1">
        <v>0</v>
      </c>
      <c r="AZ2531" s="1">
        <v>0</v>
      </c>
      <c r="BA2531" s="1">
        <v>0</v>
      </c>
      <c r="BB2531" s="1">
        <v>0</v>
      </c>
      <c r="BC2531" s="1">
        <v>0</v>
      </c>
      <c r="BD2531" s="1">
        <v>0</v>
      </c>
      <c r="BE2531" s="1">
        <v>1</v>
      </c>
      <c r="BF2531" s="1">
        <v>0</v>
      </c>
      <c r="BG2531" s="1">
        <v>0</v>
      </c>
      <c r="BH2531" s="1">
        <v>0</v>
      </c>
      <c r="BI2531" s="1">
        <v>0</v>
      </c>
      <c r="BJ2531" s="1">
        <v>0</v>
      </c>
      <c r="BK2531" s="1">
        <v>0</v>
      </c>
      <c r="BL2531" s="1">
        <v>0</v>
      </c>
      <c r="BM2531" s="1">
        <v>0</v>
      </c>
      <c r="BN2531" s="1">
        <v>0</v>
      </c>
      <c r="BO2531" s="1">
        <v>0</v>
      </c>
      <c r="BP2531" s="1">
        <v>0</v>
      </c>
      <c r="BQ2531" s="1">
        <v>0</v>
      </c>
      <c r="BR2531" s="1">
        <v>0</v>
      </c>
      <c r="BS2531" s="1" t="s">
        <v>109</v>
      </c>
      <c r="BT2531" s="1">
        <v>2634</v>
      </c>
      <c r="BU2531" s="1" t="s">
        <v>109</v>
      </c>
      <c r="BV2531" s="1"/>
      <c r="BW2531" s="1"/>
      <c r="BX2531" s="1"/>
      <c r="BY2531" s="1"/>
      <c r="BZ2531" s="1">
        <v>0</v>
      </c>
      <c r="CA2531" s="1" t="s">
        <v>109</v>
      </c>
      <c r="CB2531" s="1">
        <v>4</v>
      </c>
      <c r="CC2531" s="1">
        <v>4</v>
      </c>
      <c r="CD2531" s="1">
        <v>2</v>
      </c>
      <c r="CE2531" s="1" t="s">
        <v>109</v>
      </c>
      <c r="CF2531" s="1">
        <v>3</v>
      </c>
      <c r="CG2531" s="1" t="s">
        <v>109</v>
      </c>
      <c r="CH2531" s="1" t="s">
        <v>109</v>
      </c>
      <c r="CI2531" s="1" t="s">
        <v>109</v>
      </c>
      <c r="CJ2531" s="1">
        <v>4</v>
      </c>
      <c r="CK2531" s="1"/>
      <c r="CL2531" s="1">
        <v>0</v>
      </c>
      <c r="CM2531" s="1">
        <v>0</v>
      </c>
      <c r="CN2531" s="1">
        <v>0</v>
      </c>
    </row>
    <row r="2532" spans="1:92" ht="14.25" customHeight="1" x14ac:dyDescent="0.15">
      <c r="A2532" s="1" t="s">
        <v>17998</v>
      </c>
      <c r="B2532" s="1" t="s">
        <v>674</v>
      </c>
      <c r="C2532" s="1" t="s">
        <v>68</v>
      </c>
      <c r="D2532" s="1" t="s">
        <v>16668</v>
      </c>
      <c r="E2532" s="1" t="s">
        <v>17999</v>
      </c>
      <c r="F2532" s="1" t="s">
        <v>395</v>
      </c>
      <c r="G2532" s="1" t="s">
        <v>17929</v>
      </c>
      <c r="H2532" s="1">
        <v>0</v>
      </c>
      <c r="I2532" s="1" t="s">
        <v>142</v>
      </c>
      <c r="J2532" s="1" t="s">
        <v>18000</v>
      </c>
      <c r="K2532" s="1"/>
      <c r="L2532" s="1"/>
      <c r="M2532" s="1" t="s">
        <v>5642</v>
      </c>
      <c r="N2532" s="1">
        <v>0</v>
      </c>
      <c r="O2532" s="1">
        <v>1</v>
      </c>
      <c r="P2532" s="1" t="s">
        <v>380</v>
      </c>
      <c r="Q2532" s="1" t="s">
        <v>104</v>
      </c>
      <c r="R2532" s="1" t="s">
        <v>18001</v>
      </c>
      <c r="S2532" s="1" t="s">
        <v>18002</v>
      </c>
      <c r="T2532" s="1" t="s">
        <v>17916</v>
      </c>
      <c r="U2532" s="1" t="s">
        <v>18003</v>
      </c>
      <c r="V2532" s="1">
        <v>1</v>
      </c>
      <c r="W2532" s="1">
        <v>1</v>
      </c>
      <c r="X2532" s="1">
        <v>1</v>
      </c>
      <c r="Y2532" s="1">
        <v>0</v>
      </c>
      <c r="Z2532" s="1">
        <v>0</v>
      </c>
      <c r="AA2532" s="1">
        <v>5</v>
      </c>
      <c r="AB2532" s="1">
        <v>5</v>
      </c>
      <c r="AC2532" s="1">
        <v>5</v>
      </c>
      <c r="AD2532" s="1" t="s">
        <v>109</v>
      </c>
      <c r="AE2532" s="1" t="s">
        <v>109</v>
      </c>
      <c r="AF2532" s="1" t="s">
        <v>109</v>
      </c>
      <c r="AG2532" s="1" t="s">
        <v>109</v>
      </c>
      <c r="AH2532" s="1" t="s">
        <v>109</v>
      </c>
      <c r="AI2532" s="1" t="s">
        <v>109</v>
      </c>
      <c r="AJ2532" s="1">
        <v>5</v>
      </c>
      <c r="AK2532" s="1" t="s">
        <v>109</v>
      </c>
      <c r="AL2532" s="1">
        <v>5</v>
      </c>
      <c r="AM2532" s="1">
        <v>3</v>
      </c>
      <c r="AN2532" s="1" t="s">
        <v>109</v>
      </c>
      <c r="AO2532" s="1" t="s">
        <v>109</v>
      </c>
      <c r="AP2532" s="1"/>
      <c r="AQ2532" s="1">
        <v>5</v>
      </c>
      <c r="AR2532" s="1"/>
      <c r="AS2532" s="1" t="s">
        <v>18004</v>
      </c>
      <c r="AT2532" s="1">
        <v>0</v>
      </c>
      <c r="AU2532" s="1">
        <v>0</v>
      </c>
      <c r="AV2532" s="1">
        <v>0</v>
      </c>
      <c r="AW2532" s="1">
        <v>0</v>
      </c>
      <c r="AX2532" s="1">
        <v>0</v>
      </c>
      <c r="AY2532" s="1">
        <v>0</v>
      </c>
      <c r="AZ2532" s="1">
        <v>0</v>
      </c>
      <c r="BA2532" s="1">
        <v>0</v>
      </c>
      <c r="BB2532" s="1">
        <v>0</v>
      </c>
      <c r="BC2532" s="1">
        <v>0</v>
      </c>
      <c r="BD2532" s="1">
        <v>0</v>
      </c>
      <c r="BE2532" s="1">
        <v>1</v>
      </c>
      <c r="BF2532" s="1">
        <v>0</v>
      </c>
      <c r="BG2532" s="1">
        <v>0</v>
      </c>
      <c r="BH2532" s="1">
        <v>0</v>
      </c>
      <c r="BI2532" s="1">
        <v>0</v>
      </c>
      <c r="BJ2532" s="1">
        <v>0</v>
      </c>
      <c r="BK2532" s="1">
        <v>0</v>
      </c>
      <c r="BL2532" s="1">
        <v>0</v>
      </c>
      <c r="BM2532" s="1">
        <v>0</v>
      </c>
      <c r="BN2532" s="1">
        <v>0</v>
      </c>
      <c r="BO2532" s="1">
        <v>0</v>
      </c>
      <c r="BP2532" s="1">
        <v>1</v>
      </c>
      <c r="BQ2532" s="1">
        <v>0</v>
      </c>
      <c r="BR2532" s="1">
        <v>0</v>
      </c>
      <c r="BS2532" s="1" t="s">
        <v>109</v>
      </c>
      <c r="BT2532" s="1">
        <v>2635</v>
      </c>
      <c r="BU2532" s="1" t="s">
        <v>109</v>
      </c>
      <c r="BV2532" s="1"/>
      <c r="BW2532" s="1"/>
      <c r="BX2532" s="1"/>
      <c r="BY2532" s="1"/>
      <c r="BZ2532" s="1">
        <v>0</v>
      </c>
      <c r="CA2532" s="1" t="s">
        <v>109</v>
      </c>
      <c r="CB2532" s="1" t="s">
        <v>109</v>
      </c>
      <c r="CC2532" s="1">
        <v>5</v>
      </c>
      <c r="CD2532" s="1" t="s">
        <v>109</v>
      </c>
      <c r="CE2532" s="1">
        <v>5</v>
      </c>
      <c r="CF2532" s="1" t="s">
        <v>109</v>
      </c>
      <c r="CG2532" s="1" t="s">
        <v>109</v>
      </c>
      <c r="CH2532" s="1" t="s">
        <v>109</v>
      </c>
      <c r="CI2532" s="1" t="s">
        <v>109</v>
      </c>
      <c r="CJ2532" s="1" t="s">
        <v>109</v>
      </c>
      <c r="CK2532" s="1"/>
      <c r="CL2532" s="1">
        <v>0</v>
      </c>
      <c r="CM2532" s="1">
        <v>0</v>
      </c>
      <c r="CN2532" s="1">
        <v>0</v>
      </c>
    </row>
    <row r="2533" spans="1:92" ht="14.25" customHeight="1" x14ac:dyDescent="0.15">
      <c r="A2533" s="1" t="s">
        <v>18005</v>
      </c>
      <c r="B2533" s="1" t="s">
        <v>156</v>
      </c>
      <c r="C2533" s="1" t="s">
        <v>834</v>
      </c>
      <c r="D2533" s="1"/>
      <c r="E2533" s="1" t="s">
        <v>18006</v>
      </c>
      <c r="F2533" s="1" t="s">
        <v>277</v>
      </c>
      <c r="G2533" s="1" t="s">
        <v>18007</v>
      </c>
      <c r="H2533" s="1">
        <v>0</v>
      </c>
      <c r="I2533" s="1" t="s">
        <v>122</v>
      </c>
      <c r="J2533" s="1"/>
      <c r="K2533" s="1"/>
      <c r="L2533" s="1" t="s">
        <v>1853</v>
      </c>
      <c r="M2533" s="1" t="s">
        <v>17954</v>
      </c>
      <c r="N2533" s="1">
        <v>0</v>
      </c>
      <c r="O2533" s="1">
        <v>0</v>
      </c>
      <c r="P2533" s="1" t="s">
        <v>2475</v>
      </c>
      <c r="Q2533" s="1" t="s">
        <v>104</v>
      </c>
      <c r="R2533" s="1" t="s">
        <v>18008</v>
      </c>
      <c r="S2533" s="1" t="s">
        <v>18009</v>
      </c>
      <c r="T2533" s="1" t="s">
        <v>17916</v>
      </c>
      <c r="U2533" s="1" t="s">
        <v>18010</v>
      </c>
      <c r="V2533" s="1">
        <v>1</v>
      </c>
      <c r="W2533" s="1">
        <v>1</v>
      </c>
      <c r="X2533" s="1">
        <v>1</v>
      </c>
      <c r="Y2533" s="1">
        <v>0</v>
      </c>
      <c r="Z2533" s="1">
        <v>1</v>
      </c>
      <c r="AA2533" s="1">
        <v>5</v>
      </c>
      <c r="AB2533" s="1">
        <v>5</v>
      </c>
      <c r="AC2533" s="1">
        <v>5</v>
      </c>
      <c r="AD2533" s="1" t="s">
        <v>109</v>
      </c>
      <c r="AE2533" s="1" t="s">
        <v>109</v>
      </c>
      <c r="AF2533" s="1">
        <v>5</v>
      </c>
      <c r="AG2533" s="1" t="s">
        <v>109</v>
      </c>
      <c r="AH2533" s="1" t="s">
        <v>109</v>
      </c>
      <c r="AI2533" s="1" t="s">
        <v>109</v>
      </c>
      <c r="AJ2533" s="1" t="s">
        <v>109</v>
      </c>
      <c r="AK2533" s="1">
        <v>5</v>
      </c>
      <c r="AL2533" s="1">
        <v>5</v>
      </c>
      <c r="AM2533" s="1" t="s">
        <v>109</v>
      </c>
      <c r="AN2533" s="1" t="s">
        <v>109</v>
      </c>
      <c r="AO2533" s="1" t="s">
        <v>109</v>
      </c>
      <c r="AP2533" s="1"/>
      <c r="AQ2533" s="1">
        <v>5</v>
      </c>
      <c r="AR2533" s="1"/>
      <c r="AS2533" s="1" t="s">
        <v>18011</v>
      </c>
      <c r="AT2533" s="1">
        <v>0</v>
      </c>
      <c r="AU2533" s="1">
        <v>0</v>
      </c>
      <c r="AV2533" s="1">
        <v>0</v>
      </c>
      <c r="AW2533" s="1">
        <v>0</v>
      </c>
      <c r="AX2533" s="1">
        <v>0</v>
      </c>
      <c r="AY2533" s="1">
        <v>0</v>
      </c>
      <c r="AZ2533" s="1">
        <v>0</v>
      </c>
      <c r="BA2533" s="1">
        <v>0</v>
      </c>
      <c r="BB2533" s="1">
        <v>0</v>
      </c>
      <c r="BC2533" s="1">
        <v>0</v>
      </c>
      <c r="BD2533" s="1">
        <v>0</v>
      </c>
      <c r="BE2533" s="1">
        <v>0</v>
      </c>
      <c r="BF2533" s="1">
        <v>0</v>
      </c>
      <c r="BG2533" s="1">
        <v>0</v>
      </c>
      <c r="BH2533" s="1">
        <v>0</v>
      </c>
      <c r="BI2533" s="1">
        <v>0</v>
      </c>
      <c r="BJ2533" s="1">
        <v>0</v>
      </c>
      <c r="BK2533" s="1">
        <v>0</v>
      </c>
      <c r="BL2533" s="1">
        <v>0</v>
      </c>
      <c r="BM2533" s="1">
        <v>0</v>
      </c>
      <c r="BN2533" s="1">
        <v>0</v>
      </c>
      <c r="BO2533" s="1">
        <v>0</v>
      </c>
      <c r="BP2533" s="1">
        <v>0</v>
      </c>
      <c r="BQ2533" s="1">
        <v>0</v>
      </c>
      <c r="BR2533" s="1">
        <v>0</v>
      </c>
      <c r="BS2533" s="1" t="s">
        <v>109</v>
      </c>
      <c r="BT2533" s="1">
        <v>2636</v>
      </c>
      <c r="BU2533" s="1" t="s">
        <v>109</v>
      </c>
      <c r="BV2533" s="1"/>
      <c r="BW2533" s="1"/>
      <c r="BX2533" s="1"/>
      <c r="BY2533" s="1"/>
      <c r="BZ2533" s="1">
        <v>0</v>
      </c>
      <c r="CA2533" s="1" t="s">
        <v>109</v>
      </c>
      <c r="CB2533" s="1" t="s">
        <v>109</v>
      </c>
      <c r="CC2533" s="1">
        <v>5</v>
      </c>
      <c r="CD2533" s="1" t="s">
        <v>109</v>
      </c>
      <c r="CE2533" s="1">
        <v>5</v>
      </c>
      <c r="CF2533" s="1" t="s">
        <v>109</v>
      </c>
      <c r="CG2533" s="1" t="s">
        <v>109</v>
      </c>
      <c r="CH2533" s="1" t="s">
        <v>109</v>
      </c>
      <c r="CI2533" s="1" t="s">
        <v>109</v>
      </c>
      <c r="CJ2533" s="1" t="s">
        <v>109</v>
      </c>
      <c r="CK2533" s="1"/>
      <c r="CL2533" s="1">
        <v>0</v>
      </c>
      <c r="CM2533" s="1">
        <v>0</v>
      </c>
      <c r="CN2533" s="1">
        <v>0</v>
      </c>
    </row>
    <row r="2534" spans="1:92" ht="14.25" customHeight="1" x14ac:dyDescent="0.15">
      <c r="A2534" s="1" t="s">
        <v>18012</v>
      </c>
      <c r="B2534" s="1" t="s">
        <v>584</v>
      </c>
      <c r="C2534" s="1"/>
      <c r="D2534" s="1"/>
      <c r="E2534" s="1" t="s">
        <v>18013</v>
      </c>
      <c r="F2534" s="1" t="s">
        <v>277</v>
      </c>
      <c r="G2534" s="1" t="s">
        <v>2264</v>
      </c>
      <c r="H2534" s="1">
        <v>0</v>
      </c>
      <c r="I2534" s="1" t="s">
        <v>18014</v>
      </c>
      <c r="J2534" s="1"/>
      <c r="K2534" s="1"/>
      <c r="L2534" s="1" t="s">
        <v>18015</v>
      </c>
      <c r="M2534" s="1" t="s">
        <v>144</v>
      </c>
      <c r="N2534" s="1">
        <v>0</v>
      </c>
      <c r="O2534" s="1">
        <v>0</v>
      </c>
      <c r="P2534" s="1" t="s">
        <v>103</v>
      </c>
      <c r="Q2534" s="1" t="s">
        <v>104</v>
      </c>
      <c r="R2534" s="1" t="s">
        <v>18016</v>
      </c>
      <c r="S2534" s="1" t="s">
        <v>18017</v>
      </c>
      <c r="T2534" s="1" t="s">
        <v>17916</v>
      </c>
      <c r="U2534" s="1" t="s">
        <v>18018</v>
      </c>
      <c r="V2534" s="1">
        <v>1</v>
      </c>
      <c r="W2534" s="1">
        <v>1</v>
      </c>
      <c r="X2534" s="1">
        <v>1</v>
      </c>
      <c r="Y2534" s="1">
        <v>0</v>
      </c>
      <c r="Z2534" s="1">
        <v>0</v>
      </c>
      <c r="AA2534" s="1">
        <v>2</v>
      </c>
      <c r="AB2534" s="1">
        <v>2</v>
      </c>
      <c r="AC2534" s="1">
        <v>2</v>
      </c>
      <c r="AD2534" s="1" t="s">
        <v>109</v>
      </c>
      <c r="AE2534" s="1" t="s">
        <v>109</v>
      </c>
      <c r="AF2534" s="1" t="s">
        <v>109</v>
      </c>
      <c r="AG2534" s="1" t="s">
        <v>109</v>
      </c>
      <c r="AH2534" s="1" t="s">
        <v>109</v>
      </c>
      <c r="AI2534" s="1">
        <v>2</v>
      </c>
      <c r="AJ2534" s="1">
        <v>2</v>
      </c>
      <c r="AK2534" s="1" t="s">
        <v>109</v>
      </c>
      <c r="AL2534" s="1">
        <v>2</v>
      </c>
      <c r="AM2534" s="1" t="s">
        <v>109</v>
      </c>
      <c r="AN2534" s="1" t="s">
        <v>109</v>
      </c>
      <c r="AO2534" s="1" t="s">
        <v>109</v>
      </c>
      <c r="AP2534" s="1"/>
      <c r="AQ2534" s="1">
        <v>2</v>
      </c>
      <c r="AR2534" s="1"/>
      <c r="AS2534" s="1" t="s">
        <v>18019</v>
      </c>
      <c r="AT2534" s="1">
        <v>0</v>
      </c>
      <c r="AU2534" s="1">
        <v>0</v>
      </c>
      <c r="AV2534" s="1">
        <v>0</v>
      </c>
      <c r="AW2534" s="1">
        <v>0</v>
      </c>
      <c r="AX2534" s="1">
        <v>0</v>
      </c>
      <c r="AY2534" s="1">
        <v>0</v>
      </c>
      <c r="AZ2534" s="1">
        <v>0</v>
      </c>
      <c r="BA2534" s="1">
        <v>0</v>
      </c>
      <c r="BB2534" s="1">
        <v>0</v>
      </c>
      <c r="BC2534" s="1">
        <v>0</v>
      </c>
      <c r="BD2534" s="1">
        <v>0</v>
      </c>
      <c r="BE2534" s="1">
        <v>0</v>
      </c>
      <c r="BF2534" s="1">
        <v>0</v>
      </c>
      <c r="BG2534" s="1">
        <v>0</v>
      </c>
      <c r="BH2534" s="1">
        <v>0</v>
      </c>
      <c r="BI2534" s="1">
        <v>0</v>
      </c>
      <c r="BJ2534" s="1">
        <v>0</v>
      </c>
      <c r="BK2534" s="1">
        <v>0</v>
      </c>
      <c r="BL2534" s="1">
        <v>0</v>
      </c>
      <c r="BM2534" s="1">
        <v>0</v>
      </c>
      <c r="BN2534" s="1">
        <v>0</v>
      </c>
      <c r="BO2534" s="1">
        <v>0</v>
      </c>
      <c r="BP2534" s="1">
        <v>0</v>
      </c>
      <c r="BQ2534" s="1">
        <v>0</v>
      </c>
      <c r="BR2534" s="1">
        <v>0</v>
      </c>
      <c r="BS2534" s="1" t="s">
        <v>109</v>
      </c>
      <c r="BT2534" s="1">
        <v>2637</v>
      </c>
      <c r="BU2534" s="1" t="s">
        <v>109</v>
      </c>
      <c r="BV2534" s="1"/>
      <c r="BW2534" s="1"/>
      <c r="BX2534" s="1"/>
      <c r="BY2534" s="1"/>
      <c r="BZ2534" s="1">
        <v>0</v>
      </c>
      <c r="CA2534" s="1" t="s">
        <v>109</v>
      </c>
      <c r="CB2534" s="1">
        <v>2</v>
      </c>
      <c r="CC2534" s="1">
        <v>2</v>
      </c>
      <c r="CD2534" s="1">
        <v>1</v>
      </c>
      <c r="CE2534" s="1" t="s">
        <v>109</v>
      </c>
      <c r="CF2534" s="1">
        <v>2</v>
      </c>
      <c r="CG2534" s="1" t="s">
        <v>109</v>
      </c>
      <c r="CH2534" s="1" t="s">
        <v>109</v>
      </c>
      <c r="CI2534" s="1" t="s">
        <v>109</v>
      </c>
      <c r="CJ2534" s="1" t="s">
        <v>109</v>
      </c>
      <c r="CK2534" s="1"/>
      <c r="CL2534" s="1">
        <v>0</v>
      </c>
      <c r="CM2534" s="1">
        <v>0</v>
      </c>
      <c r="CN2534" s="1">
        <v>0</v>
      </c>
    </row>
    <row r="2535" spans="1:92" ht="14.25" customHeight="1" x14ac:dyDescent="0.15">
      <c r="A2535" s="1" t="s">
        <v>18020</v>
      </c>
      <c r="B2535" s="1" t="s">
        <v>584</v>
      </c>
      <c r="C2535" s="1"/>
      <c r="D2535" s="1"/>
      <c r="E2535" s="1" t="s">
        <v>18021</v>
      </c>
      <c r="F2535" s="1" t="s">
        <v>277</v>
      </c>
      <c r="G2535" s="1" t="s">
        <v>2264</v>
      </c>
      <c r="H2535" s="1">
        <v>0</v>
      </c>
      <c r="I2535" s="1" t="s">
        <v>18022</v>
      </c>
      <c r="J2535" s="1"/>
      <c r="K2535" s="1"/>
      <c r="L2535" s="1" t="s">
        <v>18023</v>
      </c>
      <c r="M2535" s="1" t="s">
        <v>144</v>
      </c>
      <c r="N2535" s="1">
        <v>0</v>
      </c>
      <c r="O2535" s="1">
        <v>0</v>
      </c>
      <c r="P2535" s="1" t="s">
        <v>103</v>
      </c>
      <c r="Q2535" s="1" t="s">
        <v>104</v>
      </c>
      <c r="R2535" s="1" t="s">
        <v>18024</v>
      </c>
      <c r="S2535" s="1" t="s">
        <v>18025</v>
      </c>
      <c r="T2535" s="1" t="s">
        <v>17916</v>
      </c>
      <c r="U2535" s="1" t="s">
        <v>18026</v>
      </c>
      <c r="V2535" s="1">
        <v>1</v>
      </c>
      <c r="W2535" s="1">
        <v>1</v>
      </c>
      <c r="X2535" s="1">
        <v>1</v>
      </c>
      <c r="Y2535" s="1">
        <v>0</v>
      </c>
      <c r="Z2535" s="1">
        <v>0</v>
      </c>
      <c r="AA2535" s="1">
        <v>3</v>
      </c>
      <c r="AB2535" s="1">
        <v>3</v>
      </c>
      <c r="AC2535" s="1">
        <v>3</v>
      </c>
      <c r="AD2535" s="1" t="s">
        <v>109</v>
      </c>
      <c r="AE2535" s="1" t="s">
        <v>109</v>
      </c>
      <c r="AF2535" s="1" t="s">
        <v>109</v>
      </c>
      <c r="AG2535" s="1" t="s">
        <v>109</v>
      </c>
      <c r="AH2535" s="1" t="s">
        <v>109</v>
      </c>
      <c r="AI2535" s="1">
        <v>3</v>
      </c>
      <c r="AJ2535" s="1">
        <v>3</v>
      </c>
      <c r="AK2535" s="1" t="s">
        <v>109</v>
      </c>
      <c r="AL2535" s="1">
        <v>3</v>
      </c>
      <c r="AM2535" s="1" t="s">
        <v>109</v>
      </c>
      <c r="AN2535" s="1" t="s">
        <v>109</v>
      </c>
      <c r="AO2535" s="1" t="s">
        <v>109</v>
      </c>
      <c r="AP2535" s="1"/>
      <c r="AQ2535" s="1">
        <v>3</v>
      </c>
      <c r="AR2535" s="1"/>
      <c r="AS2535" s="1" t="s">
        <v>18027</v>
      </c>
      <c r="AT2535" s="1">
        <v>0</v>
      </c>
      <c r="AU2535" s="1">
        <v>0</v>
      </c>
      <c r="AV2535" s="1">
        <v>0</v>
      </c>
      <c r="AW2535" s="1">
        <v>0</v>
      </c>
      <c r="AX2535" s="1">
        <v>0</v>
      </c>
      <c r="AY2535" s="1">
        <v>0</v>
      </c>
      <c r="AZ2535" s="1">
        <v>0</v>
      </c>
      <c r="BA2535" s="1">
        <v>0</v>
      </c>
      <c r="BB2535" s="1">
        <v>0</v>
      </c>
      <c r="BC2535" s="1">
        <v>0</v>
      </c>
      <c r="BD2535" s="1">
        <v>0</v>
      </c>
      <c r="BE2535" s="1">
        <v>0</v>
      </c>
      <c r="BF2535" s="1">
        <v>0</v>
      </c>
      <c r="BG2535" s="1">
        <v>0</v>
      </c>
      <c r="BH2535" s="1">
        <v>0</v>
      </c>
      <c r="BI2535" s="1">
        <v>0</v>
      </c>
      <c r="BJ2535" s="1">
        <v>0</v>
      </c>
      <c r="BK2535" s="1">
        <v>0</v>
      </c>
      <c r="BL2535" s="1">
        <v>0</v>
      </c>
      <c r="BM2535" s="1">
        <v>0</v>
      </c>
      <c r="BN2535" s="1">
        <v>0</v>
      </c>
      <c r="BO2535" s="1">
        <v>0</v>
      </c>
      <c r="BP2535" s="1">
        <v>0</v>
      </c>
      <c r="BQ2535" s="1">
        <v>0</v>
      </c>
      <c r="BR2535" s="1">
        <v>0</v>
      </c>
      <c r="BS2535" s="1" t="s">
        <v>109</v>
      </c>
      <c r="BT2535" s="1">
        <v>2638</v>
      </c>
      <c r="BU2535" s="1" t="s">
        <v>109</v>
      </c>
      <c r="BV2535" s="1"/>
      <c r="BW2535" s="1"/>
      <c r="BX2535" s="1"/>
      <c r="BY2535" s="1"/>
      <c r="BZ2535" s="1">
        <v>0</v>
      </c>
      <c r="CA2535" s="1" t="s">
        <v>109</v>
      </c>
      <c r="CB2535" s="1">
        <v>3</v>
      </c>
      <c r="CC2535" s="1">
        <v>3</v>
      </c>
      <c r="CD2535" s="1">
        <v>2</v>
      </c>
      <c r="CE2535" s="1" t="s">
        <v>109</v>
      </c>
      <c r="CF2535" s="1">
        <v>3</v>
      </c>
      <c r="CG2535" s="1" t="s">
        <v>109</v>
      </c>
      <c r="CH2535" s="1" t="s">
        <v>109</v>
      </c>
      <c r="CI2535" s="1" t="s">
        <v>109</v>
      </c>
      <c r="CJ2535" s="1" t="s">
        <v>109</v>
      </c>
      <c r="CK2535" s="1"/>
      <c r="CL2535" s="1">
        <v>0</v>
      </c>
      <c r="CM2535" s="1">
        <v>0</v>
      </c>
      <c r="CN2535" s="1">
        <v>0</v>
      </c>
    </row>
    <row r="2536" spans="1:92" ht="14.25" customHeight="1" x14ac:dyDescent="0.15">
      <c r="A2536" s="1" t="s">
        <v>18028</v>
      </c>
      <c r="B2536" s="1" t="s">
        <v>584</v>
      </c>
      <c r="C2536" s="1"/>
      <c r="D2536" s="1"/>
      <c r="E2536" s="1" t="s">
        <v>18029</v>
      </c>
      <c r="F2536" s="1" t="s">
        <v>277</v>
      </c>
      <c r="G2536" s="1" t="s">
        <v>2264</v>
      </c>
      <c r="H2536" s="1">
        <v>0</v>
      </c>
      <c r="I2536" s="1" t="s">
        <v>18022</v>
      </c>
      <c r="J2536" s="1"/>
      <c r="K2536" s="1"/>
      <c r="L2536" s="1" t="s">
        <v>18030</v>
      </c>
      <c r="M2536" s="1" t="s">
        <v>144</v>
      </c>
      <c r="N2536" s="1">
        <v>0</v>
      </c>
      <c r="O2536" s="1">
        <v>0</v>
      </c>
      <c r="P2536" s="1" t="s">
        <v>103</v>
      </c>
      <c r="Q2536" s="1" t="s">
        <v>104</v>
      </c>
      <c r="R2536" s="1" t="s">
        <v>18031</v>
      </c>
      <c r="S2536" s="1" t="s">
        <v>18032</v>
      </c>
      <c r="T2536" s="1" t="s">
        <v>17916</v>
      </c>
      <c r="U2536" s="1" t="s">
        <v>18033</v>
      </c>
      <c r="V2536" s="1">
        <v>1</v>
      </c>
      <c r="W2536" s="1">
        <v>1</v>
      </c>
      <c r="X2536" s="1">
        <v>1</v>
      </c>
      <c r="Y2536" s="1">
        <v>0</v>
      </c>
      <c r="Z2536" s="1">
        <v>0</v>
      </c>
      <c r="AA2536" s="1">
        <v>5</v>
      </c>
      <c r="AB2536" s="1">
        <v>5</v>
      </c>
      <c r="AC2536" s="1">
        <v>5</v>
      </c>
      <c r="AD2536" s="1" t="s">
        <v>109</v>
      </c>
      <c r="AE2536" s="1" t="s">
        <v>109</v>
      </c>
      <c r="AF2536" s="1" t="s">
        <v>109</v>
      </c>
      <c r="AG2536" s="1" t="s">
        <v>109</v>
      </c>
      <c r="AH2536" s="1" t="s">
        <v>109</v>
      </c>
      <c r="AI2536" s="1">
        <v>4</v>
      </c>
      <c r="AJ2536" s="1">
        <v>5</v>
      </c>
      <c r="AK2536" s="1" t="s">
        <v>109</v>
      </c>
      <c r="AL2536" s="1">
        <v>5</v>
      </c>
      <c r="AM2536" s="1" t="s">
        <v>109</v>
      </c>
      <c r="AN2536" s="1" t="s">
        <v>109</v>
      </c>
      <c r="AO2536" s="1" t="s">
        <v>109</v>
      </c>
      <c r="AP2536" s="1"/>
      <c r="AQ2536" s="1">
        <v>5</v>
      </c>
      <c r="AR2536" s="1"/>
      <c r="AS2536" s="1" t="s">
        <v>18034</v>
      </c>
      <c r="AT2536" s="1">
        <v>0</v>
      </c>
      <c r="AU2536" s="1">
        <v>0</v>
      </c>
      <c r="AV2536" s="1">
        <v>0</v>
      </c>
      <c r="AW2536" s="1">
        <v>0</v>
      </c>
      <c r="AX2536" s="1">
        <v>0</v>
      </c>
      <c r="AY2536" s="1">
        <v>0</v>
      </c>
      <c r="AZ2536" s="1">
        <v>0</v>
      </c>
      <c r="BA2536" s="1">
        <v>0</v>
      </c>
      <c r="BB2536" s="1">
        <v>0</v>
      </c>
      <c r="BC2536" s="1">
        <v>0</v>
      </c>
      <c r="BD2536" s="1">
        <v>0</v>
      </c>
      <c r="BE2536" s="1">
        <v>0</v>
      </c>
      <c r="BF2536" s="1">
        <v>0</v>
      </c>
      <c r="BG2536" s="1">
        <v>0</v>
      </c>
      <c r="BH2536" s="1">
        <v>0</v>
      </c>
      <c r="BI2536" s="1">
        <v>0</v>
      </c>
      <c r="BJ2536" s="1">
        <v>0</v>
      </c>
      <c r="BK2536" s="1">
        <v>0</v>
      </c>
      <c r="BL2536" s="1">
        <v>0</v>
      </c>
      <c r="BM2536" s="1">
        <v>0</v>
      </c>
      <c r="BN2536" s="1">
        <v>0</v>
      </c>
      <c r="BO2536" s="1">
        <v>0</v>
      </c>
      <c r="BP2536" s="1">
        <v>0</v>
      </c>
      <c r="BQ2536" s="1">
        <v>0</v>
      </c>
      <c r="BR2536" s="1">
        <v>0</v>
      </c>
      <c r="BS2536" s="1" t="s">
        <v>109</v>
      </c>
      <c r="BT2536" s="1">
        <v>2639</v>
      </c>
      <c r="BU2536" s="1" t="s">
        <v>109</v>
      </c>
      <c r="BV2536" s="1"/>
      <c r="BW2536" s="1"/>
      <c r="BX2536" s="1"/>
      <c r="BY2536" s="1"/>
      <c r="BZ2536" s="1">
        <v>0</v>
      </c>
      <c r="CA2536" s="1" t="s">
        <v>109</v>
      </c>
      <c r="CB2536" s="1">
        <v>5</v>
      </c>
      <c r="CC2536" s="1">
        <v>5</v>
      </c>
      <c r="CD2536" s="1">
        <v>3</v>
      </c>
      <c r="CE2536" s="1" t="s">
        <v>109</v>
      </c>
      <c r="CF2536" s="1">
        <v>4</v>
      </c>
      <c r="CG2536" s="1" t="s">
        <v>109</v>
      </c>
      <c r="CH2536" s="1" t="s">
        <v>109</v>
      </c>
      <c r="CI2536" s="1" t="s">
        <v>109</v>
      </c>
      <c r="CJ2536" s="1" t="s">
        <v>109</v>
      </c>
      <c r="CK2536" s="1"/>
      <c r="CL2536" s="1">
        <v>0</v>
      </c>
      <c r="CM2536" s="1">
        <v>0</v>
      </c>
      <c r="CN2536" s="1">
        <v>0</v>
      </c>
    </row>
    <row r="2537" spans="1:92" ht="14.25" customHeight="1" x14ac:dyDescent="0.15">
      <c r="A2537" s="1" t="s">
        <v>18035</v>
      </c>
      <c r="B2537" s="1" t="s">
        <v>584</v>
      </c>
      <c r="C2537" s="1"/>
      <c r="D2537" s="1"/>
      <c r="E2537" s="1" t="s">
        <v>18036</v>
      </c>
      <c r="F2537" s="1" t="s">
        <v>277</v>
      </c>
      <c r="G2537" s="1" t="s">
        <v>2264</v>
      </c>
      <c r="H2537" s="1">
        <v>0</v>
      </c>
      <c r="I2537" s="1" t="s">
        <v>18037</v>
      </c>
      <c r="J2537" s="1"/>
      <c r="K2537" s="1"/>
      <c r="L2537" s="1" t="s">
        <v>18038</v>
      </c>
      <c r="M2537" s="1" t="s">
        <v>144</v>
      </c>
      <c r="N2537" s="1">
        <v>0</v>
      </c>
      <c r="O2537" s="1">
        <v>0</v>
      </c>
      <c r="P2537" s="1" t="s">
        <v>103</v>
      </c>
      <c r="Q2537" s="1" t="s">
        <v>104</v>
      </c>
      <c r="R2537" s="1" t="s">
        <v>18039</v>
      </c>
      <c r="S2537" s="1" t="s">
        <v>18040</v>
      </c>
      <c r="T2537" s="1" t="s">
        <v>17916</v>
      </c>
      <c r="U2537" s="1" t="s">
        <v>18041</v>
      </c>
      <c r="V2537" s="1">
        <v>1</v>
      </c>
      <c r="W2537" s="1">
        <v>1</v>
      </c>
      <c r="X2537" s="1">
        <v>1</v>
      </c>
      <c r="Y2537" s="1">
        <v>0</v>
      </c>
      <c r="Z2537" s="1">
        <v>0</v>
      </c>
      <c r="AA2537" s="1">
        <v>7</v>
      </c>
      <c r="AB2537" s="1">
        <v>7</v>
      </c>
      <c r="AC2537" s="1">
        <v>7</v>
      </c>
      <c r="AD2537" s="1" t="s">
        <v>109</v>
      </c>
      <c r="AE2537" s="1" t="s">
        <v>109</v>
      </c>
      <c r="AF2537" s="1" t="s">
        <v>109</v>
      </c>
      <c r="AG2537" s="1" t="s">
        <v>109</v>
      </c>
      <c r="AH2537" s="1" t="s">
        <v>109</v>
      </c>
      <c r="AI2537" s="1">
        <v>6</v>
      </c>
      <c r="AJ2537" s="1">
        <v>7</v>
      </c>
      <c r="AK2537" s="1" t="s">
        <v>109</v>
      </c>
      <c r="AL2537" s="1">
        <v>7</v>
      </c>
      <c r="AM2537" s="1" t="s">
        <v>109</v>
      </c>
      <c r="AN2537" s="1" t="s">
        <v>109</v>
      </c>
      <c r="AO2537" s="1" t="s">
        <v>109</v>
      </c>
      <c r="AP2537" s="1"/>
      <c r="AQ2537" s="1">
        <v>7</v>
      </c>
      <c r="AR2537" s="1"/>
      <c r="AS2537" s="1" t="s">
        <v>18042</v>
      </c>
      <c r="AT2537" s="1">
        <v>0</v>
      </c>
      <c r="AU2537" s="1">
        <v>0</v>
      </c>
      <c r="AV2537" s="1">
        <v>0</v>
      </c>
      <c r="AW2537" s="1">
        <v>0</v>
      </c>
      <c r="AX2537" s="1">
        <v>0</v>
      </c>
      <c r="AY2537" s="1">
        <v>0</v>
      </c>
      <c r="AZ2537" s="1">
        <v>0</v>
      </c>
      <c r="BA2537" s="1">
        <v>0</v>
      </c>
      <c r="BB2537" s="1">
        <v>0</v>
      </c>
      <c r="BC2537" s="1">
        <v>0</v>
      </c>
      <c r="BD2537" s="1">
        <v>0</v>
      </c>
      <c r="BE2537" s="1">
        <v>0</v>
      </c>
      <c r="BF2537" s="1">
        <v>0</v>
      </c>
      <c r="BG2537" s="1">
        <v>0</v>
      </c>
      <c r="BH2537" s="1">
        <v>0</v>
      </c>
      <c r="BI2537" s="1">
        <v>0</v>
      </c>
      <c r="BJ2537" s="1">
        <v>0</v>
      </c>
      <c r="BK2537" s="1">
        <v>0</v>
      </c>
      <c r="BL2537" s="1">
        <v>0</v>
      </c>
      <c r="BM2537" s="1">
        <v>0</v>
      </c>
      <c r="BN2537" s="1">
        <v>0</v>
      </c>
      <c r="BO2537" s="1">
        <v>0</v>
      </c>
      <c r="BP2537" s="1">
        <v>0</v>
      </c>
      <c r="BQ2537" s="1">
        <v>0</v>
      </c>
      <c r="BR2537" s="1">
        <v>0</v>
      </c>
      <c r="BS2537" s="1" t="s">
        <v>109</v>
      </c>
      <c r="BT2537" s="1">
        <v>2640</v>
      </c>
      <c r="BU2537" s="1" t="s">
        <v>109</v>
      </c>
      <c r="BV2537" s="1"/>
      <c r="BW2537" s="1"/>
      <c r="BX2537" s="1"/>
      <c r="BY2537" s="1"/>
      <c r="BZ2537" s="1">
        <v>0</v>
      </c>
      <c r="CA2537" s="1" t="s">
        <v>109</v>
      </c>
      <c r="CB2537" s="1">
        <v>7</v>
      </c>
      <c r="CC2537" s="1">
        <v>7</v>
      </c>
      <c r="CD2537" s="1">
        <v>4</v>
      </c>
      <c r="CE2537" s="1" t="s">
        <v>109</v>
      </c>
      <c r="CF2537" s="1">
        <v>6</v>
      </c>
      <c r="CG2537" s="1" t="s">
        <v>109</v>
      </c>
      <c r="CH2537" s="1" t="s">
        <v>109</v>
      </c>
      <c r="CI2537" s="1" t="s">
        <v>109</v>
      </c>
      <c r="CJ2537" s="1" t="s">
        <v>109</v>
      </c>
      <c r="CK2537" s="1"/>
      <c r="CL2537" s="1">
        <v>0</v>
      </c>
      <c r="CM2537" s="1">
        <v>0</v>
      </c>
      <c r="CN2537" s="1">
        <v>0</v>
      </c>
    </row>
    <row r="2538" spans="1:92" ht="14.25" customHeight="1" x14ac:dyDescent="0.15">
      <c r="A2538" s="1" t="s">
        <v>18043</v>
      </c>
      <c r="B2538" s="1" t="s">
        <v>95</v>
      </c>
      <c r="C2538" s="1" t="s">
        <v>1522</v>
      </c>
      <c r="D2538" s="1" t="s">
        <v>18044</v>
      </c>
      <c r="E2538" s="1" t="s">
        <v>18045</v>
      </c>
      <c r="F2538" s="1" t="s">
        <v>98</v>
      </c>
      <c r="G2538" s="1" t="s">
        <v>18046</v>
      </c>
      <c r="H2538" s="1">
        <v>0</v>
      </c>
      <c r="I2538" s="1" t="s">
        <v>18047</v>
      </c>
      <c r="J2538" s="1"/>
      <c r="K2538" s="1"/>
      <c r="L2538" s="1" t="s">
        <v>236</v>
      </c>
      <c r="M2538" s="1" t="s">
        <v>574</v>
      </c>
      <c r="N2538" s="1">
        <v>1</v>
      </c>
      <c r="O2538" s="1">
        <v>0</v>
      </c>
      <c r="P2538" s="1" t="s">
        <v>103</v>
      </c>
      <c r="Q2538" s="1" t="s">
        <v>104</v>
      </c>
      <c r="R2538" s="1" t="s">
        <v>18048</v>
      </c>
      <c r="S2538" s="1" t="s">
        <v>18049</v>
      </c>
      <c r="T2538" s="1" t="s">
        <v>17916</v>
      </c>
      <c r="U2538" s="1" t="s">
        <v>18050</v>
      </c>
      <c r="V2538" s="1">
        <v>1</v>
      </c>
      <c r="W2538" s="1">
        <v>1</v>
      </c>
      <c r="X2538" s="1">
        <v>1</v>
      </c>
      <c r="Y2538" s="1">
        <v>0</v>
      </c>
      <c r="Z2538" s="1">
        <v>1</v>
      </c>
      <c r="AA2538" s="1">
        <v>6</v>
      </c>
      <c r="AB2538" s="1">
        <v>6</v>
      </c>
      <c r="AC2538" s="1">
        <v>6</v>
      </c>
      <c r="AD2538" s="1" t="s">
        <v>109</v>
      </c>
      <c r="AE2538" s="1" t="s">
        <v>109</v>
      </c>
      <c r="AF2538" s="1" t="s">
        <v>109</v>
      </c>
      <c r="AG2538" s="1" t="s">
        <v>109</v>
      </c>
      <c r="AH2538" s="1" t="s">
        <v>109</v>
      </c>
      <c r="AI2538" s="1" t="s">
        <v>109</v>
      </c>
      <c r="AJ2538" s="1">
        <v>6</v>
      </c>
      <c r="AK2538" s="1">
        <v>6</v>
      </c>
      <c r="AL2538" s="1">
        <v>6</v>
      </c>
      <c r="AM2538" s="1">
        <v>4</v>
      </c>
      <c r="AN2538" s="1">
        <v>6</v>
      </c>
      <c r="AO2538" s="1" t="s">
        <v>109</v>
      </c>
      <c r="AP2538" s="1"/>
      <c r="AQ2538" s="1">
        <v>6</v>
      </c>
      <c r="AR2538" s="1"/>
      <c r="AS2538" s="1" t="s">
        <v>18051</v>
      </c>
      <c r="AT2538" s="1">
        <v>0</v>
      </c>
      <c r="AU2538" s="1">
        <v>0</v>
      </c>
      <c r="AV2538" s="1">
        <v>0</v>
      </c>
      <c r="AW2538" s="1">
        <v>0</v>
      </c>
      <c r="AX2538" s="1">
        <v>0</v>
      </c>
      <c r="AY2538" s="1">
        <v>0</v>
      </c>
      <c r="AZ2538" s="1">
        <v>0</v>
      </c>
      <c r="BA2538" s="1">
        <v>0</v>
      </c>
      <c r="BB2538" s="1">
        <v>0</v>
      </c>
      <c r="BC2538" s="1">
        <v>0</v>
      </c>
      <c r="BD2538" s="1">
        <v>0</v>
      </c>
      <c r="BE2538" s="1">
        <v>1</v>
      </c>
      <c r="BF2538" s="1">
        <v>1</v>
      </c>
      <c r="BG2538" s="1">
        <v>0</v>
      </c>
      <c r="BH2538" s="1">
        <v>0</v>
      </c>
      <c r="BI2538" s="1">
        <v>0</v>
      </c>
      <c r="BJ2538" s="1">
        <v>0</v>
      </c>
      <c r="BK2538" s="1">
        <v>0</v>
      </c>
      <c r="BL2538" s="1">
        <v>0</v>
      </c>
      <c r="BM2538" s="1">
        <v>1</v>
      </c>
      <c r="BN2538" s="1">
        <v>0</v>
      </c>
      <c r="BO2538" s="1">
        <v>0</v>
      </c>
      <c r="BP2538" s="1">
        <v>0</v>
      </c>
      <c r="BQ2538" s="1">
        <v>0</v>
      </c>
      <c r="BR2538" s="1">
        <v>0</v>
      </c>
      <c r="BS2538" s="1" t="s">
        <v>109</v>
      </c>
      <c r="BT2538" s="1">
        <v>2641</v>
      </c>
      <c r="BU2538" s="1" t="s">
        <v>109</v>
      </c>
      <c r="BV2538" s="1"/>
      <c r="BW2538" s="1"/>
      <c r="BX2538" s="1"/>
      <c r="BY2538" s="1"/>
      <c r="BZ2538" s="1">
        <v>0</v>
      </c>
      <c r="CA2538" s="1" t="s">
        <v>109</v>
      </c>
      <c r="CB2538" s="1">
        <v>6</v>
      </c>
      <c r="CC2538" s="1">
        <v>6</v>
      </c>
      <c r="CD2538" s="1" t="s">
        <v>109</v>
      </c>
      <c r="CE2538" s="1" t="s">
        <v>109</v>
      </c>
      <c r="CF2538" s="1" t="s">
        <v>109</v>
      </c>
      <c r="CG2538" s="1" t="s">
        <v>109</v>
      </c>
      <c r="CH2538" s="1" t="s">
        <v>109</v>
      </c>
      <c r="CI2538" s="1" t="s">
        <v>109</v>
      </c>
      <c r="CJ2538" s="1" t="s">
        <v>109</v>
      </c>
      <c r="CK2538" s="1"/>
      <c r="CL2538" s="1">
        <v>0</v>
      </c>
      <c r="CM2538" s="1">
        <v>0</v>
      </c>
      <c r="CN2538" s="1">
        <v>0</v>
      </c>
    </row>
    <row r="2539" spans="1:92" ht="14.25" customHeight="1" x14ac:dyDescent="0.15">
      <c r="A2539" s="1" t="s">
        <v>18052</v>
      </c>
      <c r="B2539" s="1" t="s">
        <v>189</v>
      </c>
      <c r="C2539" s="1"/>
      <c r="D2539" s="1" t="s">
        <v>18053</v>
      </c>
      <c r="E2539" s="1" t="s">
        <v>18054</v>
      </c>
      <c r="F2539" s="1" t="s">
        <v>395</v>
      </c>
      <c r="G2539" s="1" t="s">
        <v>18055</v>
      </c>
      <c r="H2539" s="1">
        <v>1</v>
      </c>
      <c r="I2539" s="1" t="s">
        <v>161</v>
      </c>
      <c r="J2539" s="1" t="s">
        <v>18056</v>
      </c>
      <c r="K2539" s="1"/>
      <c r="L2539" s="1"/>
      <c r="M2539" s="1" t="s">
        <v>656</v>
      </c>
      <c r="N2539" s="1">
        <v>1</v>
      </c>
      <c r="O2539" s="1">
        <v>0</v>
      </c>
      <c r="P2539" s="1" t="s">
        <v>103</v>
      </c>
      <c r="Q2539" s="1" t="s">
        <v>104</v>
      </c>
      <c r="R2539" s="1" t="s">
        <v>18057</v>
      </c>
      <c r="S2539" s="1" t="s">
        <v>18058</v>
      </c>
      <c r="T2539" s="1" t="s">
        <v>17916</v>
      </c>
      <c r="U2539" s="1" t="s">
        <v>18059</v>
      </c>
      <c r="V2539" s="1">
        <v>1</v>
      </c>
      <c r="W2539" s="1">
        <v>1</v>
      </c>
      <c r="X2539" s="1">
        <v>0</v>
      </c>
      <c r="Y2539" s="1">
        <v>0</v>
      </c>
      <c r="Z2539" s="1">
        <v>0</v>
      </c>
      <c r="AA2539" s="1">
        <v>9</v>
      </c>
      <c r="AB2539" s="1">
        <v>9</v>
      </c>
      <c r="AC2539" s="1" t="s">
        <v>109</v>
      </c>
      <c r="AD2539" s="1">
        <v>9</v>
      </c>
      <c r="AE2539" s="1" t="s">
        <v>109</v>
      </c>
      <c r="AF2539" s="1" t="s">
        <v>109</v>
      </c>
      <c r="AG2539" s="1" t="s">
        <v>109</v>
      </c>
      <c r="AH2539" s="1" t="s">
        <v>109</v>
      </c>
      <c r="AI2539" s="1" t="s">
        <v>109</v>
      </c>
      <c r="AJ2539" s="1">
        <v>9</v>
      </c>
      <c r="AK2539" s="1" t="s">
        <v>109</v>
      </c>
      <c r="AL2539" s="1" t="s">
        <v>109</v>
      </c>
      <c r="AM2539" s="1" t="s">
        <v>109</v>
      </c>
      <c r="AN2539" s="1" t="s">
        <v>109</v>
      </c>
      <c r="AO2539" s="1" t="s">
        <v>109</v>
      </c>
      <c r="AP2539" s="1"/>
      <c r="AQ2539" s="1">
        <v>9</v>
      </c>
      <c r="AR2539" s="1"/>
      <c r="AS2539" s="1" t="s">
        <v>18060</v>
      </c>
      <c r="AT2539" s="1">
        <v>0</v>
      </c>
      <c r="AU2539" s="1">
        <v>0</v>
      </c>
      <c r="AV2539" s="1">
        <v>0</v>
      </c>
      <c r="AW2539" s="1">
        <v>0</v>
      </c>
      <c r="AX2539" s="1">
        <v>1</v>
      </c>
      <c r="AY2539" s="1">
        <v>1</v>
      </c>
      <c r="AZ2539" s="1">
        <v>0</v>
      </c>
      <c r="BA2539" s="1">
        <v>0</v>
      </c>
      <c r="BB2539" s="1">
        <v>0</v>
      </c>
      <c r="BC2539" s="1">
        <v>0</v>
      </c>
      <c r="BD2539" s="1">
        <v>0</v>
      </c>
      <c r="BE2539" s="1">
        <v>0</v>
      </c>
      <c r="BF2539" s="1">
        <v>0</v>
      </c>
      <c r="BG2539" s="1">
        <v>0</v>
      </c>
      <c r="BH2539" s="1">
        <v>0</v>
      </c>
      <c r="BI2539" s="1">
        <v>0</v>
      </c>
      <c r="BJ2539" s="1">
        <v>0</v>
      </c>
      <c r="BK2539" s="1">
        <v>0</v>
      </c>
      <c r="BL2539" s="1">
        <v>0</v>
      </c>
      <c r="BM2539" s="1">
        <v>0</v>
      </c>
      <c r="BN2539" s="1">
        <v>0</v>
      </c>
      <c r="BO2539" s="1">
        <v>0</v>
      </c>
      <c r="BP2539" s="1">
        <v>0</v>
      </c>
      <c r="BQ2539" s="1">
        <v>0</v>
      </c>
      <c r="BR2539" s="1">
        <v>0</v>
      </c>
      <c r="BS2539" s="1" t="s">
        <v>109</v>
      </c>
      <c r="BT2539" s="1">
        <v>2642</v>
      </c>
      <c r="BU2539" s="1">
        <v>15000</v>
      </c>
      <c r="BV2539" s="1"/>
      <c r="BW2539" s="1"/>
      <c r="BX2539" s="1"/>
      <c r="BY2539" s="1"/>
      <c r="BZ2539" s="1">
        <v>0</v>
      </c>
      <c r="CA2539" s="1" t="s">
        <v>109</v>
      </c>
      <c r="CB2539" s="1">
        <v>9</v>
      </c>
      <c r="CC2539" s="1" t="s">
        <v>109</v>
      </c>
      <c r="CD2539" s="1" t="s">
        <v>109</v>
      </c>
      <c r="CE2539" s="1" t="s">
        <v>109</v>
      </c>
      <c r="CF2539" s="1" t="s">
        <v>109</v>
      </c>
      <c r="CG2539" s="1" t="s">
        <v>109</v>
      </c>
      <c r="CH2539" s="1" t="s">
        <v>109</v>
      </c>
      <c r="CI2539" s="1" t="s">
        <v>109</v>
      </c>
      <c r="CJ2539" s="1" t="s">
        <v>109</v>
      </c>
      <c r="CK2539" s="1"/>
      <c r="CL2539" s="1">
        <v>0</v>
      </c>
      <c r="CM2539" s="1">
        <v>0</v>
      </c>
      <c r="CN2539" s="1">
        <v>0</v>
      </c>
    </row>
    <row r="2540" spans="1:92" ht="14.25" customHeight="1" x14ac:dyDescent="0.15">
      <c r="A2540" s="1" t="s">
        <v>18061</v>
      </c>
      <c r="B2540" s="1" t="s">
        <v>584</v>
      </c>
      <c r="C2540" s="1"/>
      <c r="D2540" s="1" t="s">
        <v>18053</v>
      </c>
      <c r="E2540" s="1" t="s">
        <v>12190</v>
      </c>
      <c r="F2540" s="1" t="s">
        <v>395</v>
      </c>
      <c r="G2540" s="1" t="s">
        <v>18062</v>
      </c>
      <c r="H2540" s="1">
        <v>1</v>
      </c>
      <c r="I2540" s="1" t="s">
        <v>161</v>
      </c>
      <c r="J2540" s="1" t="s">
        <v>8193</v>
      </c>
      <c r="K2540" s="1"/>
      <c r="L2540" s="1"/>
      <c r="M2540" s="1" t="s">
        <v>656</v>
      </c>
      <c r="N2540" s="1">
        <v>1</v>
      </c>
      <c r="O2540" s="1">
        <v>0</v>
      </c>
      <c r="P2540" s="1" t="s">
        <v>18063</v>
      </c>
      <c r="Q2540" s="1" t="s">
        <v>104</v>
      </c>
      <c r="R2540" s="1" t="s">
        <v>18064</v>
      </c>
      <c r="S2540" s="1" t="s">
        <v>18065</v>
      </c>
      <c r="T2540" s="1" t="s">
        <v>17916</v>
      </c>
      <c r="U2540" s="1" t="s">
        <v>18066</v>
      </c>
      <c r="V2540" s="1">
        <v>1</v>
      </c>
      <c r="W2540" s="1">
        <v>1</v>
      </c>
      <c r="X2540" s="1">
        <v>0</v>
      </c>
      <c r="Y2540" s="1">
        <v>0</v>
      </c>
      <c r="Z2540" s="1">
        <v>0</v>
      </c>
      <c r="AA2540" s="1">
        <v>8</v>
      </c>
      <c r="AB2540" s="1">
        <v>8</v>
      </c>
      <c r="AC2540" s="1">
        <v>8</v>
      </c>
      <c r="AD2540" s="1">
        <v>8</v>
      </c>
      <c r="AE2540" s="1" t="s">
        <v>109</v>
      </c>
      <c r="AF2540" s="1" t="s">
        <v>109</v>
      </c>
      <c r="AG2540" s="1" t="s">
        <v>109</v>
      </c>
      <c r="AH2540" s="1" t="s">
        <v>109</v>
      </c>
      <c r="AI2540" s="1" t="s">
        <v>109</v>
      </c>
      <c r="AJ2540" s="1">
        <v>8</v>
      </c>
      <c r="AK2540" s="1" t="s">
        <v>109</v>
      </c>
      <c r="AL2540" s="1">
        <v>8</v>
      </c>
      <c r="AM2540" s="1" t="s">
        <v>109</v>
      </c>
      <c r="AN2540" s="1" t="s">
        <v>109</v>
      </c>
      <c r="AO2540" s="1" t="s">
        <v>109</v>
      </c>
      <c r="AP2540" s="1"/>
      <c r="AQ2540" s="1">
        <v>8</v>
      </c>
      <c r="AR2540" s="1"/>
      <c r="AS2540" s="1" t="s">
        <v>18067</v>
      </c>
      <c r="AT2540" s="1">
        <v>0</v>
      </c>
      <c r="AU2540" s="1">
        <v>0</v>
      </c>
      <c r="AV2540" s="1">
        <v>0</v>
      </c>
      <c r="AW2540" s="1">
        <v>0</v>
      </c>
      <c r="AX2540" s="1">
        <v>1</v>
      </c>
      <c r="AY2540" s="1">
        <v>1</v>
      </c>
      <c r="AZ2540" s="1">
        <v>0</v>
      </c>
      <c r="BA2540" s="1">
        <v>0</v>
      </c>
      <c r="BB2540" s="1">
        <v>0</v>
      </c>
      <c r="BC2540" s="1">
        <v>0</v>
      </c>
      <c r="BD2540" s="1">
        <v>0</v>
      </c>
      <c r="BE2540" s="1">
        <v>0</v>
      </c>
      <c r="BF2540" s="1">
        <v>0</v>
      </c>
      <c r="BG2540" s="1">
        <v>0</v>
      </c>
      <c r="BH2540" s="1">
        <v>0</v>
      </c>
      <c r="BI2540" s="1">
        <v>0</v>
      </c>
      <c r="BJ2540" s="1">
        <v>0</v>
      </c>
      <c r="BK2540" s="1">
        <v>0</v>
      </c>
      <c r="BL2540" s="1">
        <v>0</v>
      </c>
      <c r="BM2540" s="1">
        <v>0</v>
      </c>
      <c r="BN2540" s="1">
        <v>0</v>
      </c>
      <c r="BO2540" s="1">
        <v>0</v>
      </c>
      <c r="BP2540" s="1">
        <v>0</v>
      </c>
      <c r="BQ2540" s="1">
        <v>0</v>
      </c>
      <c r="BR2540" s="1">
        <v>0</v>
      </c>
      <c r="BS2540" s="1" t="s">
        <v>109</v>
      </c>
      <c r="BT2540" s="1">
        <v>2643</v>
      </c>
      <c r="BU2540" s="1">
        <v>10000</v>
      </c>
      <c r="BV2540" s="1"/>
      <c r="BW2540" s="1"/>
      <c r="BX2540" s="1"/>
      <c r="BY2540" s="1"/>
      <c r="BZ2540" s="1">
        <v>0</v>
      </c>
      <c r="CA2540" s="1" t="s">
        <v>109</v>
      </c>
      <c r="CB2540" s="1" t="s">
        <v>109</v>
      </c>
      <c r="CC2540" s="1" t="s">
        <v>109</v>
      </c>
      <c r="CD2540" s="1" t="s">
        <v>109</v>
      </c>
      <c r="CE2540" s="1" t="s">
        <v>109</v>
      </c>
      <c r="CF2540" s="1" t="s">
        <v>109</v>
      </c>
      <c r="CG2540" s="1" t="s">
        <v>109</v>
      </c>
      <c r="CH2540" s="1" t="s">
        <v>109</v>
      </c>
      <c r="CI2540" s="1" t="s">
        <v>109</v>
      </c>
      <c r="CJ2540" s="1" t="s">
        <v>109</v>
      </c>
      <c r="CK2540" s="1"/>
      <c r="CL2540" s="1">
        <v>0</v>
      </c>
      <c r="CM2540" s="1">
        <v>0</v>
      </c>
      <c r="CN2540" s="1">
        <v>0</v>
      </c>
    </row>
    <row r="2541" spans="1:92" ht="14.25" customHeight="1" x14ac:dyDescent="0.15">
      <c r="A2541" s="1" t="s">
        <v>18068</v>
      </c>
      <c r="B2541" s="1" t="s">
        <v>308</v>
      </c>
      <c r="C2541" s="1"/>
      <c r="D2541" s="1" t="s">
        <v>18069</v>
      </c>
      <c r="E2541" s="1" t="s">
        <v>18070</v>
      </c>
      <c r="F2541" s="1" t="s">
        <v>395</v>
      </c>
      <c r="G2541" s="1" t="s">
        <v>18071</v>
      </c>
      <c r="H2541" s="1">
        <v>1</v>
      </c>
      <c r="I2541" s="1" t="s">
        <v>161</v>
      </c>
      <c r="J2541" s="1" t="s">
        <v>18072</v>
      </c>
      <c r="K2541" s="1"/>
      <c r="L2541" s="1"/>
      <c r="M2541" s="1" t="s">
        <v>18073</v>
      </c>
      <c r="N2541" s="1">
        <v>1</v>
      </c>
      <c r="O2541" s="1">
        <v>0</v>
      </c>
      <c r="P2541" s="1" t="s">
        <v>103</v>
      </c>
      <c r="Q2541" s="1" t="s">
        <v>104</v>
      </c>
      <c r="R2541" s="1" t="s">
        <v>18074</v>
      </c>
      <c r="S2541" s="1" t="s">
        <v>18075</v>
      </c>
      <c r="T2541" s="1" t="s">
        <v>17916</v>
      </c>
      <c r="U2541" s="1" t="s">
        <v>18076</v>
      </c>
      <c r="V2541" s="1">
        <v>1</v>
      </c>
      <c r="W2541" s="1">
        <v>1</v>
      </c>
      <c r="X2541" s="1">
        <v>1</v>
      </c>
      <c r="Y2541" s="1">
        <v>0</v>
      </c>
      <c r="Z2541" s="1">
        <v>0</v>
      </c>
      <c r="AA2541" s="1">
        <v>2</v>
      </c>
      <c r="AB2541" s="1">
        <v>2</v>
      </c>
      <c r="AC2541" s="1">
        <v>2</v>
      </c>
      <c r="AD2541" s="1">
        <v>2</v>
      </c>
      <c r="AE2541" s="1" t="s">
        <v>109</v>
      </c>
      <c r="AF2541" s="1" t="s">
        <v>109</v>
      </c>
      <c r="AG2541" s="1" t="s">
        <v>109</v>
      </c>
      <c r="AH2541" s="1" t="s">
        <v>109</v>
      </c>
      <c r="AI2541" s="1" t="s">
        <v>109</v>
      </c>
      <c r="AJ2541" s="1">
        <v>2</v>
      </c>
      <c r="AK2541" s="1" t="s">
        <v>109</v>
      </c>
      <c r="AL2541" s="1">
        <v>2</v>
      </c>
      <c r="AM2541" s="1" t="s">
        <v>109</v>
      </c>
      <c r="AN2541" s="1" t="s">
        <v>109</v>
      </c>
      <c r="AO2541" s="1" t="s">
        <v>109</v>
      </c>
      <c r="AP2541" s="1"/>
      <c r="AQ2541" s="1">
        <v>2</v>
      </c>
      <c r="AR2541" s="1"/>
      <c r="AS2541" s="1" t="s">
        <v>18077</v>
      </c>
      <c r="AT2541" s="1">
        <v>0</v>
      </c>
      <c r="AU2541" s="1">
        <v>0</v>
      </c>
      <c r="AV2541" s="1">
        <v>0</v>
      </c>
      <c r="AW2541" s="1">
        <v>0</v>
      </c>
      <c r="AX2541" s="1">
        <v>1</v>
      </c>
      <c r="AY2541" s="1">
        <v>0</v>
      </c>
      <c r="AZ2541" s="1">
        <v>0</v>
      </c>
      <c r="BA2541" s="1">
        <v>0</v>
      </c>
      <c r="BB2541" s="1">
        <v>0</v>
      </c>
      <c r="BC2541" s="1">
        <v>0</v>
      </c>
      <c r="BD2541" s="1">
        <v>0</v>
      </c>
      <c r="BE2541" s="1">
        <v>1</v>
      </c>
      <c r="BF2541" s="1">
        <v>0</v>
      </c>
      <c r="BG2541" s="1">
        <v>0</v>
      </c>
      <c r="BH2541" s="1">
        <v>0</v>
      </c>
      <c r="BI2541" s="1">
        <v>0</v>
      </c>
      <c r="BJ2541" s="1">
        <v>0</v>
      </c>
      <c r="BK2541" s="1">
        <v>0</v>
      </c>
      <c r="BL2541" s="1">
        <v>0</v>
      </c>
      <c r="BM2541" s="1">
        <v>0</v>
      </c>
      <c r="BN2541" s="1">
        <v>0</v>
      </c>
      <c r="BO2541" s="1">
        <v>0</v>
      </c>
      <c r="BP2541" s="1">
        <v>0</v>
      </c>
      <c r="BQ2541" s="1">
        <v>0</v>
      </c>
      <c r="BR2541" s="1">
        <v>0</v>
      </c>
      <c r="BS2541" s="1" t="s">
        <v>109</v>
      </c>
      <c r="BT2541" s="1">
        <v>2644</v>
      </c>
      <c r="BU2541" s="1">
        <v>350</v>
      </c>
      <c r="BV2541" s="1"/>
      <c r="BW2541" s="1"/>
      <c r="BX2541" s="1"/>
      <c r="BY2541" s="1"/>
      <c r="BZ2541" s="1">
        <v>0</v>
      </c>
      <c r="CA2541" s="1" t="s">
        <v>109</v>
      </c>
      <c r="CB2541" s="1">
        <v>2</v>
      </c>
      <c r="CC2541" s="1" t="s">
        <v>109</v>
      </c>
      <c r="CD2541" s="1" t="s">
        <v>109</v>
      </c>
      <c r="CE2541" s="1" t="s">
        <v>109</v>
      </c>
      <c r="CF2541" s="1" t="s">
        <v>109</v>
      </c>
      <c r="CG2541" s="1" t="s">
        <v>109</v>
      </c>
      <c r="CH2541" s="1" t="s">
        <v>109</v>
      </c>
      <c r="CI2541" s="1" t="s">
        <v>109</v>
      </c>
      <c r="CJ2541" s="1">
        <v>2</v>
      </c>
      <c r="CK2541" s="1"/>
      <c r="CL2541" s="1">
        <v>0</v>
      </c>
      <c r="CM2541" s="1">
        <v>0</v>
      </c>
      <c r="CN2541" s="1">
        <v>0</v>
      </c>
    </row>
    <row r="2542" spans="1:92" ht="14.25" customHeight="1" x14ac:dyDescent="0.15">
      <c r="A2542" s="1" t="s">
        <v>18078</v>
      </c>
      <c r="B2542" s="1" t="s">
        <v>308</v>
      </c>
      <c r="C2542" s="1"/>
      <c r="D2542" s="1" t="s">
        <v>18069</v>
      </c>
      <c r="E2542" s="1" t="s">
        <v>18079</v>
      </c>
      <c r="F2542" s="1" t="s">
        <v>395</v>
      </c>
      <c r="G2542" s="1" t="s">
        <v>18080</v>
      </c>
      <c r="H2542" s="1">
        <v>1</v>
      </c>
      <c r="I2542" s="1" t="s">
        <v>161</v>
      </c>
      <c r="J2542" s="1" t="s">
        <v>8193</v>
      </c>
      <c r="K2542" s="1"/>
      <c r="L2542" s="1"/>
      <c r="M2542" s="1" t="s">
        <v>18073</v>
      </c>
      <c r="N2542" s="1">
        <v>1</v>
      </c>
      <c r="O2542" s="1">
        <v>0</v>
      </c>
      <c r="P2542" s="1" t="s">
        <v>103</v>
      </c>
      <c r="Q2542" s="1" t="s">
        <v>104</v>
      </c>
      <c r="R2542" s="1" t="s">
        <v>18081</v>
      </c>
      <c r="S2542" s="1" t="s">
        <v>18082</v>
      </c>
      <c r="T2542" s="1" t="s">
        <v>17916</v>
      </c>
      <c r="U2542" s="1" t="s">
        <v>18083</v>
      </c>
      <c r="V2542" s="1">
        <v>1</v>
      </c>
      <c r="W2542" s="1">
        <v>1</v>
      </c>
      <c r="X2542" s="1">
        <v>1</v>
      </c>
      <c r="Y2542" s="1">
        <v>0</v>
      </c>
      <c r="Z2542" s="1">
        <v>0</v>
      </c>
      <c r="AA2542" s="1">
        <v>4</v>
      </c>
      <c r="AB2542" s="1">
        <v>4</v>
      </c>
      <c r="AC2542" s="1">
        <v>4</v>
      </c>
      <c r="AD2542" s="1">
        <v>4</v>
      </c>
      <c r="AE2542" s="1" t="s">
        <v>109</v>
      </c>
      <c r="AF2542" s="1" t="s">
        <v>109</v>
      </c>
      <c r="AG2542" s="1" t="s">
        <v>109</v>
      </c>
      <c r="AH2542" s="1" t="s">
        <v>109</v>
      </c>
      <c r="AI2542" s="1" t="s">
        <v>109</v>
      </c>
      <c r="AJ2542" s="1">
        <v>4</v>
      </c>
      <c r="AK2542" s="1" t="s">
        <v>109</v>
      </c>
      <c r="AL2542" s="1">
        <v>4</v>
      </c>
      <c r="AM2542" s="1" t="s">
        <v>109</v>
      </c>
      <c r="AN2542" s="1" t="s">
        <v>109</v>
      </c>
      <c r="AO2542" s="1" t="s">
        <v>109</v>
      </c>
      <c r="AP2542" s="1"/>
      <c r="AQ2542" s="1">
        <v>4</v>
      </c>
      <c r="AR2542" s="1"/>
      <c r="AS2542" s="1" t="s">
        <v>18084</v>
      </c>
      <c r="AT2542" s="1">
        <v>0</v>
      </c>
      <c r="AU2542" s="1">
        <v>0</v>
      </c>
      <c r="AV2542" s="1">
        <v>0</v>
      </c>
      <c r="AW2542" s="1">
        <v>0</v>
      </c>
      <c r="AX2542" s="1">
        <v>1</v>
      </c>
      <c r="AY2542" s="1">
        <v>0</v>
      </c>
      <c r="AZ2542" s="1">
        <v>0</v>
      </c>
      <c r="BA2542" s="1">
        <v>0</v>
      </c>
      <c r="BB2542" s="1">
        <v>0</v>
      </c>
      <c r="BC2542" s="1">
        <v>0</v>
      </c>
      <c r="BD2542" s="1">
        <v>0</v>
      </c>
      <c r="BE2542" s="1">
        <v>1</v>
      </c>
      <c r="BF2542" s="1">
        <v>0</v>
      </c>
      <c r="BG2542" s="1">
        <v>0</v>
      </c>
      <c r="BH2542" s="1">
        <v>0</v>
      </c>
      <c r="BI2542" s="1">
        <v>0</v>
      </c>
      <c r="BJ2542" s="1">
        <v>0</v>
      </c>
      <c r="BK2542" s="1">
        <v>0</v>
      </c>
      <c r="BL2542" s="1">
        <v>0</v>
      </c>
      <c r="BM2542" s="1">
        <v>0</v>
      </c>
      <c r="BN2542" s="1">
        <v>0</v>
      </c>
      <c r="BO2542" s="1">
        <v>0</v>
      </c>
      <c r="BP2542" s="1">
        <v>0</v>
      </c>
      <c r="BQ2542" s="1">
        <v>0</v>
      </c>
      <c r="BR2542" s="1">
        <v>0</v>
      </c>
      <c r="BS2542" s="1" t="s">
        <v>109</v>
      </c>
      <c r="BT2542" s="1">
        <v>2645</v>
      </c>
      <c r="BU2542" s="1">
        <v>700</v>
      </c>
      <c r="BV2542" s="1"/>
      <c r="BW2542" s="1"/>
      <c r="BX2542" s="1"/>
      <c r="BY2542" s="1"/>
      <c r="BZ2542" s="1">
        <v>0</v>
      </c>
      <c r="CA2542" s="1" t="s">
        <v>109</v>
      </c>
      <c r="CB2542" s="1">
        <v>4</v>
      </c>
      <c r="CC2542" s="1" t="s">
        <v>109</v>
      </c>
      <c r="CD2542" s="1" t="s">
        <v>109</v>
      </c>
      <c r="CE2542" s="1" t="s">
        <v>109</v>
      </c>
      <c r="CF2542" s="1" t="s">
        <v>109</v>
      </c>
      <c r="CG2542" s="1" t="s">
        <v>109</v>
      </c>
      <c r="CH2542" s="1" t="s">
        <v>109</v>
      </c>
      <c r="CI2542" s="1" t="s">
        <v>109</v>
      </c>
      <c r="CJ2542" s="1">
        <v>4</v>
      </c>
      <c r="CK2542" s="1"/>
      <c r="CL2542" s="1">
        <v>0</v>
      </c>
      <c r="CM2542" s="1">
        <v>0</v>
      </c>
      <c r="CN2542" s="1">
        <v>0</v>
      </c>
    </row>
    <row r="2543" spans="1:92" ht="14.25" customHeight="1" x14ac:dyDescent="0.15">
      <c r="A2543" s="1" t="s">
        <v>18085</v>
      </c>
      <c r="B2543" s="1" t="s">
        <v>308</v>
      </c>
      <c r="C2543" s="1"/>
      <c r="D2543" s="1" t="s">
        <v>18069</v>
      </c>
      <c r="E2543" s="1" t="s">
        <v>18086</v>
      </c>
      <c r="F2543" s="1" t="s">
        <v>395</v>
      </c>
      <c r="G2543" s="1" t="s">
        <v>18087</v>
      </c>
      <c r="H2543" s="1">
        <v>1</v>
      </c>
      <c r="I2543" s="1" t="s">
        <v>161</v>
      </c>
      <c r="J2543" s="1" t="s">
        <v>18088</v>
      </c>
      <c r="K2543" s="1"/>
      <c r="L2543" s="1"/>
      <c r="M2543" s="1" t="s">
        <v>18073</v>
      </c>
      <c r="N2543" s="1">
        <v>1</v>
      </c>
      <c r="O2543" s="1">
        <v>0</v>
      </c>
      <c r="P2543" s="1" t="s">
        <v>103</v>
      </c>
      <c r="Q2543" s="1" t="s">
        <v>104</v>
      </c>
      <c r="R2543" s="1" t="s">
        <v>18089</v>
      </c>
      <c r="S2543" s="1" t="s">
        <v>18090</v>
      </c>
      <c r="T2543" s="1" t="s">
        <v>17916</v>
      </c>
      <c r="U2543" s="1" t="s">
        <v>18091</v>
      </c>
      <c r="V2543" s="1">
        <v>1</v>
      </c>
      <c r="W2543" s="1">
        <v>1</v>
      </c>
      <c r="X2543" s="1">
        <v>1</v>
      </c>
      <c r="Y2543" s="1">
        <v>0</v>
      </c>
      <c r="Z2543" s="1">
        <v>0</v>
      </c>
      <c r="AA2543" s="1">
        <v>6</v>
      </c>
      <c r="AB2543" s="1">
        <v>6</v>
      </c>
      <c r="AC2543" s="1">
        <v>6</v>
      </c>
      <c r="AD2543" s="1">
        <v>6</v>
      </c>
      <c r="AE2543" s="1" t="s">
        <v>109</v>
      </c>
      <c r="AF2543" s="1" t="s">
        <v>109</v>
      </c>
      <c r="AG2543" s="1" t="s">
        <v>109</v>
      </c>
      <c r="AH2543" s="1" t="s">
        <v>109</v>
      </c>
      <c r="AI2543" s="1" t="s">
        <v>109</v>
      </c>
      <c r="AJ2543" s="1">
        <v>6</v>
      </c>
      <c r="AK2543" s="1" t="s">
        <v>109</v>
      </c>
      <c r="AL2543" s="1">
        <v>6</v>
      </c>
      <c r="AM2543" s="1" t="s">
        <v>109</v>
      </c>
      <c r="AN2543" s="1" t="s">
        <v>109</v>
      </c>
      <c r="AO2543" s="1" t="s">
        <v>109</v>
      </c>
      <c r="AP2543" s="1"/>
      <c r="AQ2543" s="1">
        <v>6</v>
      </c>
      <c r="AR2543" s="1"/>
      <c r="AS2543" s="1" t="s">
        <v>18092</v>
      </c>
      <c r="AT2543" s="1">
        <v>0</v>
      </c>
      <c r="AU2543" s="1">
        <v>0</v>
      </c>
      <c r="AV2543" s="1">
        <v>0</v>
      </c>
      <c r="AW2543" s="1">
        <v>0</v>
      </c>
      <c r="AX2543" s="1">
        <v>1</v>
      </c>
      <c r="AY2543" s="1">
        <v>0</v>
      </c>
      <c r="AZ2543" s="1">
        <v>0</v>
      </c>
      <c r="BA2543" s="1">
        <v>0</v>
      </c>
      <c r="BB2543" s="1">
        <v>0</v>
      </c>
      <c r="BC2543" s="1">
        <v>0</v>
      </c>
      <c r="BD2543" s="1">
        <v>0</v>
      </c>
      <c r="BE2543" s="1">
        <v>1</v>
      </c>
      <c r="BF2543" s="1">
        <v>0</v>
      </c>
      <c r="BG2543" s="1">
        <v>0</v>
      </c>
      <c r="BH2543" s="1">
        <v>0</v>
      </c>
      <c r="BI2543" s="1">
        <v>0</v>
      </c>
      <c r="BJ2543" s="1">
        <v>0</v>
      </c>
      <c r="BK2543" s="1">
        <v>0</v>
      </c>
      <c r="BL2543" s="1">
        <v>0</v>
      </c>
      <c r="BM2543" s="1">
        <v>0</v>
      </c>
      <c r="BN2543" s="1">
        <v>0</v>
      </c>
      <c r="BO2543" s="1">
        <v>0</v>
      </c>
      <c r="BP2543" s="1">
        <v>0</v>
      </c>
      <c r="BQ2543" s="1">
        <v>0</v>
      </c>
      <c r="BR2543" s="1">
        <v>0</v>
      </c>
      <c r="BS2543" s="1" t="s">
        <v>109</v>
      </c>
      <c r="BT2543" s="1">
        <v>2646</v>
      </c>
      <c r="BU2543" s="1">
        <v>1500</v>
      </c>
      <c r="BV2543" s="1"/>
      <c r="BW2543" s="1"/>
      <c r="BX2543" s="1"/>
      <c r="BY2543" s="1"/>
      <c r="BZ2543" s="1">
        <v>0</v>
      </c>
      <c r="CA2543" s="1" t="s">
        <v>109</v>
      </c>
      <c r="CB2543" s="1">
        <v>6</v>
      </c>
      <c r="CC2543" s="1" t="s">
        <v>109</v>
      </c>
      <c r="CD2543" s="1" t="s">
        <v>109</v>
      </c>
      <c r="CE2543" s="1" t="s">
        <v>109</v>
      </c>
      <c r="CF2543" s="1" t="s">
        <v>109</v>
      </c>
      <c r="CG2543" s="1" t="s">
        <v>109</v>
      </c>
      <c r="CH2543" s="1" t="s">
        <v>109</v>
      </c>
      <c r="CI2543" s="1" t="s">
        <v>109</v>
      </c>
      <c r="CJ2543" s="1">
        <v>6</v>
      </c>
      <c r="CK2543" s="1"/>
      <c r="CL2543" s="1">
        <v>0</v>
      </c>
      <c r="CM2543" s="1">
        <v>0</v>
      </c>
      <c r="CN2543" s="1">
        <v>0</v>
      </c>
    </row>
    <row r="2544" spans="1:92" ht="14.25" customHeight="1" x14ac:dyDescent="0.15">
      <c r="A2544" s="1" t="s">
        <v>18093</v>
      </c>
      <c r="B2544" s="1" t="s">
        <v>308</v>
      </c>
      <c r="C2544" s="1"/>
      <c r="D2544" s="1" t="s">
        <v>18069</v>
      </c>
      <c r="E2544" s="1" t="s">
        <v>18094</v>
      </c>
      <c r="F2544" s="1" t="s">
        <v>395</v>
      </c>
      <c r="G2544" s="1" t="s">
        <v>18095</v>
      </c>
      <c r="H2544" s="1">
        <v>1</v>
      </c>
      <c r="I2544" s="1" t="s">
        <v>161</v>
      </c>
      <c r="J2544" s="1" t="s">
        <v>18088</v>
      </c>
      <c r="K2544" s="1"/>
      <c r="L2544" s="1"/>
      <c r="M2544" s="1" t="s">
        <v>18073</v>
      </c>
      <c r="N2544" s="1">
        <v>1</v>
      </c>
      <c r="O2544" s="1">
        <v>0</v>
      </c>
      <c r="P2544" s="1" t="s">
        <v>103</v>
      </c>
      <c r="Q2544" s="1" t="s">
        <v>104</v>
      </c>
      <c r="R2544" s="1" t="s">
        <v>18096</v>
      </c>
      <c r="S2544" s="1" t="s">
        <v>18097</v>
      </c>
      <c r="T2544" s="1" t="s">
        <v>17916</v>
      </c>
      <c r="U2544" s="1" t="s">
        <v>18098</v>
      </c>
      <c r="V2544" s="1">
        <v>1</v>
      </c>
      <c r="W2544" s="1">
        <v>1</v>
      </c>
      <c r="X2544" s="1">
        <v>1</v>
      </c>
      <c r="Y2544" s="1">
        <v>0</v>
      </c>
      <c r="Z2544" s="1">
        <v>0</v>
      </c>
      <c r="AA2544" s="1">
        <v>8</v>
      </c>
      <c r="AB2544" s="1">
        <v>8</v>
      </c>
      <c r="AC2544" s="1">
        <v>8</v>
      </c>
      <c r="AD2544" s="1">
        <v>8</v>
      </c>
      <c r="AE2544" s="1" t="s">
        <v>109</v>
      </c>
      <c r="AF2544" s="1" t="s">
        <v>109</v>
      </c>
      <c r="AG2544" s="1" t="s">
        <v>109</v>
      </c>
      <c r="AH2544" s="1" t="s">
        <v>109</v>
      </c>
      <c r="AI2544" s="1" t="s">
        <v>109</v>
      </c>
      <c r="AJ2544" s="1">
        <v>8</v>
      </c>
      <c r="AK2544" s="1" t="s">
        <v>109</v>
      </c>
      <c r="AL2544" s="1">
        <v>8</v>
      </c>
      <c r="AM2544" s="1" t="s">
        <v>109</v>
      </c>
      <c r="AN2544" s="1" t="s">
        <v>109</v>
      </c>
      <c r="AO2544" s="1" t="s">
        <v>109</v>
      </c>
      <c r="AP2544" s="1"/>
      <c r="AQ2544" s="1">
        <v>8</v>
      </c>
      <c r="AR2544" s="1"/>
      <c r="AS2544" s="1" t="s">
        <v>18099</v>
      </c>
      <c r="AT2544" s="1">
        <v>0</v>
      </c>
      <c r="AU2544" s="1">
        <v>0</v>
      </c>
      <c r="AV2544" s="1">
        <v>0</v>
      </c>
      <c r="AW2544" s="1">
        <v>0</v>
      </c>
      <c r="AX2544" s="1">
        <v>1</v>
      </c>
      <c r="AY2544" s="1">
        <v>0</v>
      </c>
      <c r="AZ2544" s="1">
        <v>0</v>
      </c>
      <c r="BA2544" s="1">
        <v>0</v>
      </c>
      <c r="BB2544" s="1">
        <v>0</v>
      </c>
      <c r="BC2544" s="1">
        <v>0</v>
      </c>
      <c r="BD2544" s="1">
        <v>0</v>
      </c>
      <c r="BE2544" s="1">
        <v>1</v>
      </c>
      <c r="BF2544" s="1">
        <v>0</v>
      </c>
      <c r="BG2544" s="1">
        <v>0</v>
      </c>
      <c r="BH2544" s="1">
        <v>0</v>
      </c>
      <c r="BI2544" s="1">
        <v>0</v>
      </c>
      <c r="BJ2544" s="1">
        <v>0</v>
      </c>
      <c r="BK2544" s="1">
        <v>0</v>
      </c>
      <c r="BL2544" s="1">
        <v>0</v>
      </c>
      <c r="BM2544" s="1">
        <v>0</v>
      </c>
      <c r="BN2544" s="1">
        <v>0</v>
      </c>
      <c r="BO2544" s="1">
        <v>0</v>
      </c>
      <c r="BP2544" s="1">
        <v>0</v>
      </c>
      <c r="BQ2544" s="1">
        <v>0</v>
      </c>
      <c r="BR2544" s="1">
        <v>0</v>
      </c>
      <c r="BS2544" s="1" t="s">
        <v>109</v>
      </c>
      <c r="BT2544" s="1">
        <v>2647</v>
      </c>
      <c r="BU2544" s="1">
        <v>4000</v>
      </c>
      <c r="BV2544" s="1"/>
      <c r="BW2544" s="1"/>
      <c r="BX2544" s="1"/>
      <c r="BY2544" s="1"/>
      <c r="BZ2544" s="1">
        <v>0</v>
      </c>
      <c r="CA2544" s="1" t="s">
        <v>109</v>
      </c>
      <c r="CB2544" s="1">
        <v>8</v>
      </c>
      <c r="CC2544" s="1" t="s">
        <v>109</v>
      </c>
      <c r="CD2544" s="1" t="s">
        <v>109</v>
      </c>
      <c r="CE2544" s="1" t="s">
        <v>109</v>
      </c>
      <c r="CF2544" s="1" t="s">
        <v>109</v>
      </c>
      <c r="CG2544" s="1" t="s">
        <v>109</v>
      </c>
      <c r="CH2544" s="1" t="s">
        <v>109</v>
      </c>
      <c r="CI2544" s="1" t="s">
        <v>109</v>
      </c>
      <c r="CJ2544" s="1" t="s">
        <v>109</v>
      </c>
      <c r="CK2544" s="1"/>
      <c r="CL2544" s="1">
        <v>0</v>
      </c>
      <c r="CM2544" s="1">
        <v>0</v>
      </c>
      <c r="CN2544" s="1">
        <v>0</v>
      </c>
    </row>
    <row r="2545" spans="1:92" ht="14.25" customHeight="1" x14ac:dyDescent="0.15">
      <c r="A2545" s="1" t="s">
        <v>18100</v>
      </c>
      <c r="B2545" s="1" t="s">
        <v>584</v>
      </c>
      <c r="C2545" s="1"/>
      <c r="D2545" s="1" t="s">
        <v>61</v>
      </c>
      <c r="E2545" s="1" t="s">
        <v>14576</v>
      </c>
      <c r="F2545" s="1" t="s">
        <v>98</v>
      </c>
      <c r="G2545" s="1" t="s">
        <v>18101</v>
      </c>
      <c r="H2545" s="1">
        <v>0</v>
      </c>
      <c r="I2545" s="1"/>
      <c r="J2545" s="1" t="s">
        <v>5961</v>
      </c>
      <c r="K2545" s="1"/>
      <c r="L2545" s="1"/>
      <c r="M2545" s="1" t="s">
        <v>144</v>
      </c>
      <c r="N2545" s="1">
        <v>0</v>
      </c>
      <c r="O2545" s="1">
        <v>0</v>
      </c>
      <c r="P2545" s="1" t="s">
        <v>2770</v>
      </c>
      <c r="Q2545" s="1" t="s">
        <v>268</v>
      </c>
      <c r="R2545" s="1" t="s">
        <v>18102</v>
      </c>
      <c r="S2545" s="1" t="s">
        <v>18103</v>
      </c>
      <c r="T2545" s="1" t="s">
        <v>17916</v>
      </c>
      <c r="U2545" s="1" t="s">
        <v>18104</v>
      </c>
      <c r="V2545" s="1">
        <v>1</v>
      </c>
      <c r="W2545" s="1">
        <v>1</v>
      </c>
      <c r="X2545" s="1">
        <v>1</v>
      </c>
      <c r="Y2545" s="1">
        <v>0</v>
      </c>
      <c r="Z2545" s="1">
        <v>1</v>
      </c>
      <c r="AA2545" s="1" t="s">
        <v>109</v>
      </c>
      <c r="AB2545" s="1" t="s">
        <v>109</v>
      </c>
      <c r="AC2545" s="1">
        <v>3</v>
      </c>
      <c r="AD2545" s="1" t="s">
        <v>109</v>
      </c>
      <c r="AE2545" s="1" t="s">
        <v>109</v>
      </c>
      <c r="AF2545" s="1" t="s">
        <v>109</v>
      </c>
      <c r="AG2545" s="1">
        <v>3</v>
      </c>
      <c r="AH2545" s="1" t="s">
        <v>109</v>
      </c>
      <c r="AI2545" s="1" t="s">
        <v>109</v>
      </c>
      <c r="AJ2545" s="1" t="s">
        <v>109</v>
      </c>
      <c r="AK2545" s="1">
        <v>3</v>
      </c>
      <c r="AL2545" s="1">
        <v>3</v>
      </c>
      <c r="AM2545" s="1" t="s">
        <v>109</v>
      </c>
      <c r="AN2545" s="1" t="s">
        <v>109</v>
      </c>
      <c r="AO2545" s="1" t="s">
        <v>109</v>
      </c>
      <c r="AP2545" s="1"/>
      <c r="AQ2545" s="1">
        <v>3</v>
      </c>
      <c r="AR2545" s="1"/>
      <c r="AS2545" s="1" t="s">
        <v>18105</v>
      </c>
      <c r="AT2545" s="1">
        <v>0</v>
      </c>
      <c r="AU2545" s="1">
        <v>0</v>
      </c>
      <c r="AV2545" s="1">
        <v>0</v>
      </c>
      <c r="AW2545" s="1">
        <v>0</v>
      </c>
      <c r="AX2545" s="1">
        <v>0</v>
      </c>
      <c r="AY2545" s="1">
        <v>0</v>
      </c>
      <c r="AZ2545" s="1">
        <v>0</v>
      </c>
      <c r="BA2545" s="1">
        <v>0</v>
      </c>
      <c r="BB2545" s="1">
        <v>0</v>
      </c>
      <c r="BC2545" s="1">
        <v>0</v>
      </c>
      <c r="BD2545" s="1">
        <v>0</v>
      </c>
      <c r="BE2545" s="1">
        <v>0</v>
      </c>
      <c r="BF2545" s="1">
        <v>0</v>
      </c>
      <c r="BG2545" s="1">
        <v>0</v>
      </c>
      <c r="BH2545" s="1">
        <v>0</v>
      </c>
      <c r="BI2545" s="1">
        <v>1</v>
      </c>
      <c r="BJ2545" s="1">
        <v>0</v>
      </c>
      <c r="BK2545" s="1">
        <v>0</v>
      </c>
      <c r="BL2545" s="1">
        <v>0</v>
      </c>
      <c r="BM2545" s="1">
        <v>0</v>
      </c>
      <c r="BN2545" s="1">
        <v>0</v>
      </c>
      <c r="BO2545" s="1">
        <v>0</v>
      </c>
      <c r="BP2545" s="1">
        <v>0</v>
      </c>
      <c r="BQ2545" s="1">
        <v>0</v>
      </c>
      <c r="BR2545" s="1">
        <v>0</v>
      </c>
      <c r="BS2545" s="1" t="s">
        <v>109</v>
      </c>
      <c r="BT2545" s="1">
        <v>2648</v>
      </c>
      <c r="BU2545" s="1" t="s">
        <v>109</v>
      </c>
      <c r="BV2545" s="1"/>
      <c r="BW2545" s="1"/>
      <c r="BX2545" s="1"/>
      <c r="BY2545" s="1"/>
      <c r="BZ2545" s="1">
        <v>0</v>
      </c>
      <c r="CA2545" s="1" t="s">
        <v>109</v>
      </c>
      <c r="CB2545" s="1" t="s">
        <v>109</v>
      </c>
      <c r="CC2545" s="1" t="s">
        <v>109</v>
      </c>
      <c r="CD2545" s="1" t="s">
        <v>109</v>
      </c>
      <c r="CE2545" s="1" t="s">
        <v>109</v>
      </c>
      <c r="CF2545" s="1" t="s">
        <v>109</v>
      </c>
      <c r="CG2545" s="1" t="s">
        <v>109</v>
      </c>
      <c r="CH2545" s="1" t="s">
        <v>109</v>
      </c>
      <c r="CI2545" s="1" t="s">
        <v>109</v>
      </c>
      <c r="CJ2545" s="1" t="s">
        <v>109</v>
      </c>
      <c r="CK2545" s="1"/>
      <c r="CL2545" s="1">
        <v>0</v>
      </c>
      <c r="CM2545" s="1">
        <v>0</v>
      </c>
      <c r="CN2545" s="1">
        <v>0</v>
      </c>
    </row>
    <row r="2546" spans="1:92" ht="14.25" customHeight="1" x14ac:dyDescent="0.15">
      <c r="A2546" s="1" t="s">
        <v>18106</v>
      </c>
      <c r="B2546" s="1" t="s">
        <v>308</v>
      </c>
      <c r="C2546" s="1"/>
      <c r="D2546" s="1" t="s">
        <v>1327</v>
      </c>
      <c r="E2546" s="1" t="s">
        <v>18107</v>
      </c>
      <c r="F2546" s="1" t="s">
        <v>98</v>
      </c>
      <c r="G2546" s="1" t="s">
        <v>141</v>
      </c>
      <c r="H2546" s="1">
        <v>0</v>
      </c>
      <c r="I2546" s="1" t="s">
        <v>142</v>
      </c>
      <c r="J2546" s="1"/>
      <c r="K2546" s="1"/>
      <c r="L2546" s="1" t="s">
        <v>563</v>
      </c>
      <c r="M2546" s="1" t="s">
        <v>144</v>
      </c>
      <c r="N2546" s="1">
        <v>0</v>
      </c>
      <c r="O2546" s="1">
        <v>0</v>
      </c>
      <c r="P2546" s="1" t="s">
        <v>8321</v>
      </c>
      <c r="Q2546" s="1" t="s">
        <v>268</v>
      </c>
      <c r="R2546" s="1" t="s">
        <v>18108</v>
      </c>
      <c r="S2546" s="1" t="s">
        <v>18109</v>
      </c>
      <c r="T2546" s="1" t="s">
        <v>17916</v>
      </c>
      <c r="U2546" s="1" t="s">
        <v>18110</v>
      </c>
      <c r="V2546" s="1">
        <v>1</v>
      </c>
      <c r="W2546" s="1">
        <v>1</v>
      </c>
      <c r="X2546" s="1">
        <v>0</v>
      </c>
      <c r="Y2546" s="1">
        <v>0</v>
      </c>
      <c r="Z2546" s="1">
        <v>0</v>
      </c>
      <c r="AA2546" s="1">
        <v>8</v>
      </c>
      <c r="AB2546" s="1">
        <v>8</v>
      </c>
      <c r="AC2546" s="1">
        <v>8</v>
      </c>
      <c r="AD2546" s="1">
        <v>9</v>
      </c>
      <c r="AE2546" s="1" t="s">
        <v>109</v>
      </c>
      <c r="AF2546" s="1" t="s">
        <v>109</v>
      </c>
      <c r="AG2546" s="1" t="s">
        <v>109</v>
      </c>
      <c r="AH2546" s="1" t="s">
        <v>109</v>
      </c>
      <c r="AI2546" s="1" t="s">
        <v>109</v>
      </c>
      <c r="AJ2546" s="1">
        <v>8</v>
      </c>
      <c r="AK2546" s="1" t="s">
        <v>109</v>
      </c>
      <c r="AL2546" s="1">
        <v>8</v>
      </c>
      <c r="AM2546" s="1" t="s">
        <v>109</v>
      </c>
      <c r="AN2546" s="1" t="s">
        <v>109</v>
      </c>
      <c r="AO2546" s="1" t="s">
        <v>109</v>
      </c>
      <c r="AP2546" s="1"/>
      <c r="AQ2546" s="1">
        <v>8</v>
      </c>
      <c r="AR2546" s="1"/>
      <c r="AS2546" s="1" t="s">
        <v>18111</v>
      </c>
      <c r="AT2546" s="1">
        <v>0</v>
      </c>
      <c r="AU2546" s="1">
        <v>0</v>
      </c>
      <c r="AV2546" s="1">
        <v>0</v>
      </c>
      <c r="AW2546" s="1">
        <v>0</v>
      </c>
      <c r="AX2546" s="1">
        <v>0</v>
      </c>
      <c r="AY2546" s="1">
        <v>0</v>
      </c>
      <c r="AZ2546" s="1">
        <v>1</v>
      </c>
      <c r="BA2546" s="1">
        <v>0</v>
      </c>
      <c r="BB2546" s="1">
        <v>0</v>
      </c>
      <c r="BC2546" s="1">
        <v>0</v>
      </c>
      <c r="BD2546" s="1">
        <v>0</v>
      </c>
      <c r="BE2546" s="1">
        <v>1</v>
      </c>
      <c r="BF2546" s="1">
        <v>0</v>
      </c>
      <c r="BG2546" s="1">
        <v>0</v>
      </c>
      <c r="BH2546" s="1">
        <v>0</v>
      </c>
      <c r="BI2546" s="1">
        <v>0</v>
      </c>
      <c r="BJ2546" s="1">
        <v>0</v>
      </c>
      <c r="BK2546" s="1">
        <v>0</v>
      </c>
      <c r="BL2546" s="1">
        <v>0</v>
      </c>
      <c r="BM2546" s="1">
        <v>0</v>
      </c>
      <c r="BN2546" s="1">
        <v>0</v>
      </c>
      <c r="BO2546" s="1">
        <v>0</v>
      </c>
      <c r="BP2546" s="1">
        <v>0</v>
      </c>
      <c r="BQ2546" s="1">
        <v>0</v>
      </c>
      <c r="BR2546" s="1">
        <v>0</v>
      </c>
      <c r="BS2546" s="1" t="s">
        <v>109</v>
      </c>
      <c r="BT2546" s="1">
        <v>2649</v>
      </c>
      <c r="BU2546" s="1" t="s">
        <v>109</v>
      </c>
      <c r="BV2546" s="1"/>
      <c r="BW2546" s="1"/>
      <c r="BX2546" s="1"/>
      <c r="BY2546" s="1"/>
      <c r="BZ2546" s="1">
        <v>0</v>
      </c>
      <c r="CA2546" s="1" t="s">
        <v>109</v>
      </c>
      <c r="CB2546" s="1" t="s">
        <v>109</v>
      </c>
      <c r="CC2546" s="1">
        <v>8</v>
      </c>
      <c r="CD2546" s="1" t="s">
        <v>109</v>
      </c>
      <c r="CE2546" s="1" t="s">
        <v>109</v>
      </c>
      <c r="CF2546" s="1" t="s">
        <v>109</v>
      </c>
      <c r="CG2546" s="1" t="s">
        <v>109</v>
      </c>
      <c r="CH2546" s="1" t="s">
        <v>109</v>
      </c>
      <c r="CI2546" s="1" t="s">
        <v>109</v>
      </c>
      <c r="CJ2546" s="1" t="s">
        <v>109</v>
      </c>
      <c r="CK2546" s="1"/>
      <c r="CL2546" s="1">
        <v>0</v>
      </c>
      <c r="CM2546" s="1">
        <v>0</v>
      </c>
      <c r="CN2546" s="1">
        <v>0</v>
      </c>
    </row>
    <row r="2547" spans="1:92" ht="14.25" customHeight="1" x14ac:dyDescent="0.15">
      <c r="A2547" s="1" t="s">
        <v>18112</v>
      </c>
      <c r="B2547" s="1" t="s">
        <v>584</v>
      </c>
      <c r="C2547" s="1"/>
      <c r="D2547" s="1"/>
      <c r="E2547" s="1" t="s">
        <v>18113</v>
      </c>
      <c r="F2547" s="1" t="s">
        <v>1963</v>
      </c>
      <c r="G2547" s="1" t="s">
        <v>18114</v>
      </c>
      <c r="H2547" s="1">
        <v>0</v>
      </c>
      <c r="I2547" s="1" t="s">
        <v>142</v>
      </c>
      <c r="J2547" s="1"/>
      <c r="K2547" s="1"/>
      <c r="L2547" s="1" t="s">
        <v>12310</v>
      </c>
      <c r="M2547" s="1" t="s">
        <v>144</v>
      </c>
      <c r="N2547" s="1">
        <v>0</v>
      </c>
      <c r="O2547" s="1">
        <v>0</v>
      </c>
      <c r="P2547" s="1" t="s">
        <v>8321</v>
      </c>
      <c r="Q2547" s="1" t="s">
        <v>268</v>
      </c>
      <c r="R2547" s="1" t="s">
        <v>18115</v>
      </c>
      <c r="S2547" s="1" t="s">
        <v>18116</v>
      </c>
      <c r="T2547" s="1" t="s">
        <v>17916</v>
      </c>
      <c r="U2547" s="1" t="s">
        <v>18117</v>
      </c>
      <c r="V2547" s="1">
        <v>1</v>
      </c>
      <c r="W2547" s="1">
        <v>1</v>
      </c>
      <c r="X2547" s="1">
        <v>0</v>
      </c>
      <c r="Y2547" s="1">
        <v>0</v>
      </c>
      <c r="Z2547" s="1">
        <v>0</v>
      </c>
      <c r="AA2547" s="1">
        <v>6</v>
      </c>
      <c r="AB2547" s="1">
        <v>6</v>
      </c>
      <c r="AC2547" s="1" t="s">
        <v>109</v>
      </c>
      <c r="AD2547" s="1" t="s">
        <v>109</v>
      </c>
      <c r="AE2547" s="1" t="s">
        <v>109</v>
      </c>
      <c r="AF2547" s="1" t="s">
        <v>109</v>
      </c>
      <c r="AG2547" s="1" t="s">
        <v>109</v>
      </c>
      <c r="AH2547" s="1" t="s">
        <v>109</v>
      </c>
      <c r="AI2547" s="1" t="s">
        <v>109</v>
      </c>
      <c r="AJ2547" s="1" t="s">
        <v>109</v>
      </c>
      <c r="AK2547" s="1">
        <v>5</v>
      </c>
      <c r="AL2547" s="1" t="s">
        <v>109</v>
      </c>
      <c r="AM2547" s="1" t="s">
        <v>109</v>
      </c>
      <c r="AN2547" s="1">
        <v>6</v>
      </c>
      <c r="AO2547" s="1" t="s">
        <v>109</v>
      </c>
      <c r="AP2547" s="1"/>
      <c r="AQ2547" s="1">
        <v>6</v>
      </c>
      <c r="AR2547" s="1"/>
      <c r="AS2547" s="1" t="s">
        <v>18118</v>
      </c>
      <c r="AT2547" s="1">
        <v>0</v>
      </c>
      <c r="AU2547" s="1">
        <v>0</v>
      </c>
      <c r="AV2547" s="1">
        <v>0</v>
      </c>
      <c r="AW2547" s="1">
        <v>0</v>
      </c>
      <c r="AX2547" s="1">
        <v>0</v>
      </c>
      <c r="AY2547" s="1">
        <v>0</v>
      </c>
      <c r="AZ2547" s="1">
        <v>0</v>
      </c>
      <c r="BA2547" s="1">
        <v>0</v>
      </c>
      <c r="BB2547" s="1">
        <v>0</v>
      </c>
      <c r="BC2547" s="1">
        <v>0</v>
      </c>
      <c r="BD2547" s="1">
        <v>0</v>
      </c>
      <c r="BE2547" s="1">
        <v>0</v>
      </c>
      <c r="BF2547" s="1">
        <v>0</v>
      </c>
      <c r="BG2547" s="1">
        <v>0</v>
      </c>
      <c r="BH2547" s="1">
        <v>0</v>
      </c>
      <c r="BI2547" s="1">
        <v>0</v>
      </c>
      <c r="BJ2547" s="1">
        <v>0</v>
      </c>
      <c r="BK2547" s="1">
        <v>0</v>
      </c>
      <c r="BL2547" s="1">
        <v>0</v>
      </c>
      <c r="BM2547" s="1">
        <v>0</v>
      </c>
      <c r="BN2547" s="1">
        <v>0</v>
      </c>
      <c r="BO2547" s="1">
        <v>0</v>
      </c>
      <c r="BP2547" s="1">
        <v>0</v>
      </c>
      <c r="BQ2547" s="1">
        <v>0</v>
      </c>
      <c r="BR2547" s="1">
        <v>0</v>
      </c>
      <c r="BS2547" s="1" t="s">
        <v>109</v>
      </c>
      <c r="BT2547" s="1">
        <v>2650</v>
      </c>
      <c r="BU2547" s="1" t="s">
        <v>109</v>
      </c>
      <c r="BV2547" s="1"/>
      <c r="BW2547" s="1"/>
      <c r="BX2547" s="1"/>
      <c r="BY2547" s="1"/>
      <c r="BZ2547" s="1">
        <v>0</v>
      </c>
      <c r="CA2547" s="1" t="s">
        <v>109</v>
      </c>
      <c r="CB2547" s="1" t="s">
        <v>109</v>
      </c>
      <c r="CC2547" s="1">
        <v>6</v>
      </c>
      <c r="CD2547" s="1" t="s">
        <v>109</v>
      </c>
      <c r="CE2547" s="1" t="s">
        <v>109</v>
      </c>
      <c r="CF2547" s="1" t="s">
        <v>109</v>
      </c>
      <c r="CG2547" s="1" t="s">
        <v>109</v>
      </c>
      <c r="CH2547" s="1" t="s">
        <v>109</v>
      </c>
      <c r="CI2547" s="1" t="s">
        <v>109</v>
      </c>
      <c r="CJ2547" s="1" t="s">
        <v>109</v>
      </c>
      <c r="CK2547" s="1"/>
      <c r="CL2547" s="1">
        <v>0</v>
      </c>
      <c r="CM2547" s="1">
        <v>0</v>
      </c>
      <c r="CN2547" s="1">
        <v>0</v>
      </c>
    </row>
    <row r="2548" spans="1:92" ht="14.25" customHeight="1" x14ac:dyDescent="0.15">
      <c r="A2548" s="1" t="s">
        <v>18119</v>
      </c>
      <c r="B2548" s="1" t="s">
        <v>308</v>
      </c>
      <c r="C2548" s="1"/>
      <c r="D2548" s="1"/>
      <c r="E2548" s="1" t="s">
        <v>18120</v>
      </c>
      <c r="F2548" s="1" t="s">
        <v>98</v>
      </c>
      <c r="G2548" s="1" t="s">
        <v>18121</v>
      </c>
      <c r="H2548" s="1">
        <v>0</v>
      </c>
      <c r="I2548" s="1" t="s">
        <v>161</v>
      </c>
      <c r="J2548" s="1"/>
      <c r="K2548" s="1"/>
      <c r="L2548" s="1" t="s">
        <v>18122</v>
      </c>
      <c r="M2548" s="1" t="s">
        <v>465</v>
      </c>
      <c r="N2548" s="1">
        <v>0</v>
      </c>
      <c r="O2548" s="1">
        <v>0</v>
      </c>
      <c r="P2548" s="1" t="s">
        <v>103</v>
      </c>
      <c r="Q2548" s="1" t="s">
        <v>167</v>
      </c>
      <c r="R2548" s="1" t="s">
        <v>18123</v>
      </c>
      <c r="S2548" s="1" t="s">
        <v>18124</v>
      </c>
      <c r="T2548" s="1" t="s">
        <v>17916</v>
      </c>
      <c r="U2548" s="1" t="s">
        <v>18125</v>
      </c>
      <c r="V2548" s="1">
        <v>1</v>
      </c>
      <c r="W2548" s="1">
        <v>1</v>
      </c>
      <c r="X2548" s="1">
        <v>0</v>
      </c>
      <c r="Y2548" s="1">
        <v>0</v>
      </c>
      <c r="Z2548" s="1">
        <v>0</v>
      </c>
      <c r="AA2548" s="1">
        <v>5</v>
      </c>
      <c r="AB2548" s="1">
        <v>5</v>
      </c>
      <c r="AC2548" s="1">
        <v>5</v>
      </c>
      <c r="AD2548" s="1" t="s">
        <v>109</v>
      </c>
      <c r="AE2548" s="1" t="s">
        <v>109</v>
      </c>
      <c r="AF2548" s="1" t="s">
        <v>109</v>
      </c>
      <c r="AG2548" s="1" t="s">
        <v>109</v>
      </c>
      <c r="AH2548" s="1">
        <v>4</v>
      </c>
      <c r="AI2548" s="1" t="s">
        <v>109</v>
      </c>
      <c r="AJ2548" s="1">
        <v>5</v>
      </c>
      <c r="AK2548" s="1" t="s">
        <v>109</v>
      </c>
      <c r="AL2548" s="1">
        <v>5</v>
      </c>
      <c r="AM2548" s="1">
        <v>4</v>
      </c>
      <c r="AN2548" s="1" t="s">
        <v>109</v>
      </c>
      <c r="AO2548" s="1" t="s">
        <v>109</v>
      </c>
      <c r="AP2548" s="1"/>
      <c r="AQ2548" s="1">
        <v>5</v>
      </c>
      <c r="AR2548" s="1"/>
      <c r="AS2548" s="1" t="s">
        <v>18126</v>
      </c>
      <c r="AT2548" s="1">
        <v>0</v>
      </c>
      <c r="AU2548" s="1">
        <v>0</v>
      </c>
      <c r="AV2548" s="1">
        <v>0</v>
      </c>
      <c r="AW2548" s="1">
        <v>0</v>
      </c>
      <c r="AX2548" s="1">
        <v>0</v>
      </c>
      <c r="AY2548" s="1">
        <v>0</v>
      </c>
      <c r="AZ2548" s="1">
        <v>0</v>
      </c>
      <c r="BA2548" s="1">
        <v>0</v>
      </c>
      <c r="BB2548" s="1">
        <v>0</v>
      </c>
      <c r="BC2548" s="1">
        <v>0</v>
      </c>
      <c r="BD2548" s="1">
        <v>0</v>
      </c>
      <c r="BE2548" s="1">
        <v>0</v>
      </c>
      <c r="BF2548" s="1">
        <v>0</v>
      </c>
      <c r="BG2548" s="1">
        <v>0</v>
      </c>
      <c r="BH2548" s="1">
        <v>0</v>
      </c>
      <c r="BI2548" s="1">
        <v>0</v>
      </c>
      <c r="BJ2548" s="1">
        <v>0</v>
      </c>
      <c r="BK2548" s="1">
        <v>0</v>
      </c>
      <c r="BL2548" s="1">
        <v>0</v>
      </c>
      <c r="BM2548" s="1">
        <v>0</v>
      </c>
      <c r="BN2548" s="1">
        <v>0</v>
      </c>
      <c r="BO2548" s="1">
        <v>0</v>
      </c>
      <c r="BP2548" s="1">
        <v>0</v>
      </c>
      <c r="BQ2548" s="1">
        <v>0</v>
      </c>
      <c r="BR2548" s="1">
        <v>0</v>
      </c>
      <c r="BS2548" s="1" t="s">
        <v>109</v>
      </c>
      <c r="BT2548" s="1">
        <v>2651</v>
      </c>
      <c r="BU2548" s="1" t="s">
        <v>109</v>
      </c>
      <c r="BV2548" s="1"/>
      <c r="BW2548" s="1"/>
      <c r="BX2548" s="1"/>
      <c r="BY2548" s="1"/>
      <c r="BZ2548" s="1">
        <v>0</v>
      </c>
      <c r="CA2548" s="1" t="s">
        <v>109</v>
      </c>
      <c r="CB2548" s="1" t="s">
        <v>109</v>
      </c>
      <c r="CC2548" s="1">
        <v>6</v>
      </c>
      <c r="CD2548" s="1" t="s">
        <v>109</v>
      </c>
      <c r="CE2548" s="1" t="s">
        <v>109</v>
      </c>
      <c r="CF2548" s="1" t="s">
        <v>109</v>
      </c>
      <c r="CG2548" s="1">
        <v>4</v>
      </c>
      <c r="CH2548" s="1" t="s">
        <v>109</v>
      </c>
      <c r="CI2548" s="1" t="s">
        <v>109</v>
      </c>
      <c r="CJ2548" s="1" t="s">
        <v>109</v>
      </c>
      <c r="CK2548" s="1"/>
      <c r="CL2548" s="1">
        <v>0</v>
      </c>
      <c r="CM2548" s="1">
        <v>0</v>
      </c>
      <c r="CN2548" s="1">
        <v>0</v>
      </c>
    </row>
    <row r="2549" spans="1:92" ht="14.25" customHeight="1" x14ac:dyDescent="0.15">
      <c r="A2549" s="1" t="s">
        <v>18127</v>
      </c>
      <c r="B2549" s="1" t="s">
        <v>674</v>
      </c>
      <c r="C2549" s="1" t="s">
        <v>1715</v>
      </c>
      <c r="D2549" s="1" t="s">
        <v>16098</v>
      </c>
      <c r="E2549" s="1" t="s">
        <v>18128</v>
      </c>
      <c r="F2549" s="1" t="s">
        <v>98</v>
      </c>
      <c r="G2549" s="1" t="s">
        <v>18129</v>
      </c>
      <c r="H2549" s="1">
        <v>0</v>
      </c>
      <c r="I2549" s="1" t="s">
        <v>142</v>
      </c>
      <c r="J2549" s="1"/>
      <c r="K2549" s="1"/>
      <c r="L2549" s="1" t="s">
        <v>18130</v>
      </c>
      <c r="M2549" s="1" t="s">
        <v>5642</v>
      </c>
      <c r="N2549" s="1">
        <v>0</v>
      </c>
      <c r="O2549" s="1">
        <v>0</v>
      </c>
      <c r="P2549" s="1" t="s">
        <v>301</v>
      </c>
      <c r="Q2549" s="1" t="s">
        <v>268</v>
      </c>
      <c r="R2549" s="1" t="s">
        <v>18131</v>
      </c>
      <c r="S2549" s="1" t="s">
        <v>18132</v>
      </c>
      <c r="T2549" s="1" t="s">
        <v>17916</v>
      </c>
      <c r="U2549" s="1" t="s">
        <v>18133</v>
      </c>
      <c r="V2549" s="1">
        <v>1</v>
      </c>
      <c r="W2549" s="1">
        <v>1</v>
      </c>
      <c r="X2549" s="1">
        <v>1</v>
      </c>
      <c r="Y2549" s="1">
        <v>0</v>
      </c>
      <c r="Z2549" s="1">
        <v>0</v>
      </c>
      <c r="AA2549" s="1">
        <v>4</v>
      </c>
      <c r="AB2549" s="1">
        <v>4</v>
      </c>
      <c r="AC2549" s="1" t="s">
        <v>109</v>
      </c>
      <c r="AD2549" s="1" t="s">
        <v>109</v>
      </c>
      <c r="AE2549" s="1" t="s">
        <v>109</v>
      </c>
      <c r="AF2549" s="1">
        <v>3</v>
      </c>
      <c r="AG2549" s="1" t="s">
        <v>109</v>
      </c>
      <c r="AH2549" s="1" t="s">
        <v>109</v>
      </c>
      <c r="AI2549" s="1" t="s">
        <v>109</v>
      </c>
      <c r="AJ2549" s="1" t="s">
        <v>109</v>
      </c>
      <c r="AK2549" s="1" t="s">
        <v>109</v>
      </c>
      <c r="AL2549" s="1" t="s">
        <v>109</v>
      </c>
      <c r="AM2549" s="1" t="s">
        <v>109</v>
      </c>
      <c r="AN2549" s="1" t="s">
        <v>109</v>
      </c>
      <c r="AO2549" s="1" t="s">
        <v>109</v>
      </c>
      <c r="AP2549" s="1"/>
      <c r="AQ2549" s="1">
        <v>4</v>
      </c>
      <c r="AR2549" s="1"/>
      <c r="AS2549" s="1" t="s">
        <v>18134</v>
      </c>
      <c r="AT2549" s="1">
        <v>0</v>
      </c>
      <c r="AU2549" s="1">
        <v>0</v>
      </c>
      <c r="AV2549" s="1">
        <v>0</v>
      </c>
      <c r="AW2549" s="1">
        <v>0</v>
      </c>
      <c r="AX2549" s="1">
        <v>0</v>
      </c>
      <c r="AY2549" s="1">
        <v>0</v>
      </c>
      <c r="AZ2549" s="1">
        <v>0</v>
      </c>
      <c r="BA2549" s="1">
        <v>0</v>
      </c>
      <c r="BB2549" s="1">
        <v>0</v>
      </c>
      <c r="BC2549" s="1">
        <v>0</v>
      </c>
      <c r="BD2549" s="1">
        <v>1</v>
      </c>
      <c r="BE2549" s="1">
        <v>0</v>
      </c>
      <c r="BF2549" s="1">
        <v>1</v>
      </c>
      <c r="BG2549" s="1">
        <v>0</v>
      </c>
      <c r="BH2549" s="1">
        <v>0</v>
      </c>
      <c r="BI2549" s="1">
        <v>0</v>
      </c>
      <c r="BJ2549" s="1">
        <v>0</v>
      </c>
      <c r="BK2549" s="1">
        <v>0</v>
      </c>
      <c r="BL2549" s="1">
        <v>0</v>
      </c>
      <c r="BM2549" s="1">
        <v>1</v>
      </c>
      <c r="BN2549" s="1">
        <v>0</v>
      </c>
      <c r="BO2549" s="1">
        <v>0</v>
      </c>
      <c r="BP2549" s="1">
        <v>0</v>
      </c>
      <c r="BQ2549" s="1">
        <v>0</v>
      </c>
      <c r="BR2549" s="1">
        <v>0</v>
      </c>
      <c r="BS2549" s="1" t="s">
        <v>109</v>
      </c>
      <c r="BT2549" s="1">
        <v>2652</v>
      </c>
      <c r="BU2549" s="1" t="s">
        <v>109</v>
      </c>
      <c r="BV2549" s="1"/>
      <c r="BW2549" s="1"/>
      <c r="BX2549" s="1"/>
      <c r="BY2549" s="1"/>
      <c r="BZ2549" s="1">
        <v>0</v>
      </c>
      <c r="CA2549" s="1" t="s">
        <v>109</v>
      </c>
      <c r="CB2549" s="1" t="s">
        <v>109</v>
      </c>
      <c r="CC2549" s="1">
        <v>4</v>
      </c>
      <c r="CD2549" s="1">
        <v>3</v>
      </c>
      <c r="CE2549" s="1">
        <v>3</v>
      </c>
      <c r="CF2549" s="1" t="s">
        <v>109</v>
      </c>
      <c r="CG2549" s="1" t="s">
        <v>109</v>
      </c>
      <c r="CH2549" s="1" t="s">
        <v>109</v>
      </c>
      <c r="CI2549" s="1" t="s">
        <v>109</v>
      </c>
      <c r="CJ2549" s="1" t="s">
        <v>109</v>
      </c>
      <c r="CK2549" s="1"/>
      <c r="CL2549" s="1">
        <v>0</v>
      </c>
      <c r="CM2549" s="1">
        <v>0</v>
      </c>
      <c r="CN2549" s="1">
        <v>0</v>
      </c>
    </row>
    <row r="2550" spans="1:92" ht="14.25" customHeight="1" x14ac:dyDescent="0.15">
      <c r="A2550" s="1" t="s">
        <v>18135</v>
      </c>
      <c r="B2550" s="1" t="s">
        <v>308</v>
      </c>
      <c r="C2550" s="1"/>
      <c r="D2550" s="1" t="s">
        <v>57</v>
      </c>
      <c r="E2550" s="1" t="s">
        <v>18136</v>
      </c>
      <c r="F2550" s="1" t="s">
        <v>355</v>
      </c>
      <c r="G2550" s="1" t="s">
        <v>18137</v>
      </c>
      <c r="H2550" s="1">
        <v>1</v>
      </c>
      <c r="I2550" s="1" t="s">
        <v>161</v>
      </c>
      <c r="J2550" s="1"/>
      <c r="K2550" s="1"/>
      <c r="L2550" s="1" t="s">
        <v>18138</v>
      </c>
      <c r="M2550" s="1" t="s">
        <v>656</v>
      </c>
      <c r="N2550" s="1">
        <v>1</v>
      </c>
      <c r="O2550" s="1">
        <v>0</v>
      </c>
      <c r="P2550" s="1" t="s">
        <v>103</v>
      </c>
      <c r="Q2550" s="1" t="s">
        <v>104</v>
      </c>
      <c r="R2550" s="1" t="s">
        <v>18139</v>
      </c>
      <c r="S2550" s="1" t="s">
        <v>18140</v>
      </c>
      <c r="T2550" s="1" t="s">
        <v>17916</v>
      </c>
      <c r="U2550" s="1" t="s">
        <v>18141</v>
      </c>
      <c r="V2550" s="1">
        <v>1</v>
      </c>
      <c r="W2550" s="1">
        <v>1</v>
      </c>
      <c r="X2550" s="1">
        <v>1</v>
      </c>
      <c r="Y2550" s="1">
        <v>0</v>
      </c>
      <c r="Z2550" s="1">
        <v>0</v>
      </c>
      <c r="AA2550" s="1">
        <v>4</v>
      </c>
      <c r="AB2550" s="1">
        <v>4</v>
      </c>
      <c r="AC2550" s="1">
        <v>3</v>
      </c>
      <c r="AD2550" s="1" t="s">
        <v>109</v>
      </c>
      <c r="AE2550" s="1" t="s">
        <v>109</v>
      </c>
      <c r="AF2550" s="1" t="s">
        <v>109</v>
      </c>
      <c r="AG2550" s="1" t="s">
        <v>109</v>
      </c>
      <c r="AH2550" s="1" t="s">
        <v>109</v>
      </c>
      <c r="AI2550" s="1" t="s">
        <v>109</v>
      </c>
      <c r="AJ2550" s="1">
        <v>4</v>
      </c>
      <c r="AK2550" s="1" t="s">
        <v>109</v>
      </c>
      <c r="AL2550" s="1">
        <v>3</v>
      </c>
      <c r="AM2550" s="1">
        <v>2</v>
      </c>
      <c r="AN2550" s="1" t="s">
        <v>109</v>
      </c>
      <c r="AO2550" s="1" t="s">
        <v>109</v>
      </c>
      <c r="AP2550" s="1"/>
      <c r="AQ2550" s="1">
        <v>4</v>
      </c>
      <c r="AR2550" s="1"/>
      <c r="AS2550" s="1" t="s">
        <v>18142</v>
      </c>
      <c r="AT2550" s="1">
        <v>0</v>
      </c>
      <c r="AU2550" s="1">
        <v>0</v>
      </c>
      <c r="AV2550" s="1">
        <v>0</v>
      </c>
      <c r="AW2550" s="1">
        <v>0</v>
      </c>
      <c r="AX2550" s="1">
        <v>0</v>
      </c>
      <c r="AY2550" s="1">
        <v>0</v>
      </c>
      <c r="AZ2550" s="1">
        <v>0</v>
      </c>
      <c r="BA2550" s="1">
        <v>0</v>
      </c>
      <c r="BB2550" s="1">
        <v>0</v>
      </c>
      <c r="BC2550" s="1">
        <v>0</v>
      </c>
      <c r="BD2550" s="1">
        <v>0</v>
      </c>
      <c r="BE2550" s="1">
        <v>1</v>
      </c>
      <c r="BF2550" s="1">
        <v>0</v>
      </c>
      <c r="BG2550" s="1">
        <v>0</v>
      </c>
      <c r="BH2550" s="1">
        <v>0</v>
      </c>
      <c r="BI2550" s="1">
        <v>0</v>
      </c>
      <c r="BJ2550" s="1">
        <v>0</v>
      </c>
      <c r="BK2550" s="1">
        <v>0</v>
      </c>
      <c r="BL2550" s="1">
        <v>0</v>
      </c>
      <c r="BM2550" s="1">
        <v>0</v>
      </c>
      <c r="BN2550" s="1">
        <v>0</v>
      </c>
      <c r="BO2550" s="1">
        <v>0</v>
      </c>
      <c r="BP2550" s="1">
        <v>0</v>
      </c>
      <c r="BQ2550" s="1">
        <v>0</v>
      </c>
      <c r="BR2550" s="1">
        <v>0</v>
      </c>
      <c r="BS2550" s="1" t="s">
        <v>109</v>
      </c>
      <c r="BT2550" s="1">
        <v>2653</v>
      </c>
      <c r="BU2550" s="1">
        <v>25</v>
      </c>
      <c r="BV2550" s="1"/>
      <c r="BW2550" s="1"/>
      <c r="BX2550" s="1"/>
      <c r="BY2550" s="1"/>
      <c r="BZ2550" s="1">
        <v>0</v>
      </c>
      <c r="CA2550" s="1" t="s">
        <v>109</v>
      </c>
      <c r="CB2550" s="1">
        <v>3</v>
      </c>
      <c r="CC2550" s="1" t="s">
        <v>109</v>
      </c>
      <c r="CD2550" s="1" t="s">
        <v>109</v>
      </c>
      <c r="CE2550" s="1" t="s">
        <v>109</v>
      </c>
      <c r="CF2550" s="1">
        <v>3</v>
      </c>
      <c r="CG2550" s="1">
        <v>3</v>
      </c>
      <c r="CH2550" s="1" t="s">
        <v>109</v>
      </c>
      <c r="CI2550" s="1" t="s">
        <v>109</v>
      </c>
      <c r="CJ2550" s="1" t="s">
        <v>109</v>
      </c>
      <c r="CK2550" s="1"/>
      <c r="CL2550" s="1">
        <v>0</v>
      </c>
      <c r="CM2550" s="1">
        <v>0</v>
      </c>
      <c r="CN2550" s="1">
        <v>0</v>
      </c>
    </row>
    <row r="2551" spans="1:92" ht="14.25" customHeight="1" x14ac:dyDescent="0.15">
      <c r="A2551" s="1" t="s">
        <v>18143</v>
      </c>
      <c r="B2551" s="1" t="s">
        <v>308</v>
      </c>
      <c r="C2551" s="1"/>
      <c r="D2551" s="1" t="s">
        <v>57</v>
      </c>
      <c r="E2551" s="1" t="s">
        <v>18144</v>
      </c>
      <c r="F2551" s="1" t="s">
        <v>395</v>
      </c>
      <c r="G2551" s="1" t="s">
        <v>18145</v>
      </c>
      <c r="H2551" s="1">
        <v>1</v>
      </c>
      <c r="I2551" s="1" t="s">
        <v>161</v>
      </c>
      <c r="J2551" s="1"/>
      <c r="K2551" s="1"/>
      <c r="L2551" s="1" t="s">
        <v>311</v>
      </c>
      <c r="M2551" s="1" t="s">
        <v>656</v>
      </c>
      <c r="N2551" s="1">
        <v>1</v>
      </c>
      <c r="O2551" s="1">
        <v>0</v>
      </c>
      <c r="P2551" s="1" t="s">
        <v>103</v>
      </c>
      <c r="Q2551" s="1" t="s">
        <v>104</v>
      </c>
      <c r="R2551" s="1" t="s">
        <v>18146</v>
      </c>
      <c r="S2551" s="1" t="s">
        <v>18147</v>
      </c>
      <c r="T2551" s="1" t="s">
        <v>17916</v>
      </c>
      <c r="U2551" s="1" t="s">
        <v>18148</v>
      </c>
      <c r="V2551" s="1">
        <v>1</v>
      </c>
      <c r="W2551" s="1">
        <v>1</v>
      </c>
      <c r="X2551" s="1">
        <v>1</v>
      </c>
      <c r="Y2551" s="1">
        <v>0</v>
      </c>
      <c r="Z2551" s="1">
        <v>0</v>
      </c>
      <c r="AA2551" s="1">
        <v>5</v>
      </c>
      <c r="AB2551" s="1">
        <v>5</v>
      </c>
      <c r="AC2551" s="1">
        <v>4</v>
      </c>
      <c r="AD2551" s="1" t="s">
        <v>109</v>
      </c>
      <c r="AE2551" s="1" t="s">
        <v>109</v>
      </c>
      <c r="AF2551" s="1" t="s">
        <v>109</v>
      </c>
      <c r="AG2551" s="1" t="s">
        <v>109</v>
      </c>
      <c r="AH2551" s="1" t="s">
        <v>109</v>
      </c>
      <c r="AI2551" s="1" t="s">
        <v>109</v>
      </c>
      <c r="AJ2551" s="1">
        <v>5</v>
      </c>
      <c r="AK2551" s="1" t="s">
        <v>109</v>
      </c>
      <c r="AL2551" s="1">
        <v>4</v>
      </c>
      <c r="AM2551" s="1">
        <v>3</v>
      </c>
      <c r="AN2551" s="1" t="s">
        <v>109</v>
      </c>
      <c r="AO2551" s="1" t="s">
        <v>109</v>
      </c>
      <c r="AP2551" s="1"/>
      <c r="AQ2551" s="1">
        <v>5</v>
      </c>
      <c r="AR2551" s="1"/>
      <c r="AS2551" s="1" t="s">
        <v>18149</v>
      </c>
      <c r="AT2551" s="1">
        <v>0</v>
      </c>
      <c r="AU2551" s="1">
        <v>0</v>
      </c>
      <c r="AV2551" s="1">
        <v>0</v>
      </c>
      <c r="AW2551" s="1">
        <v>0</v>
      </c>
      <c r="AX2551" s="1">
        <v>0</v>
      </c>
      <c r="AY2551" s="1">
        <v>0</v>
      </c>
      <c r="AZ2551" s="1">
        <v>0</v>
      </c>
      <c r="BA2551" s="1">
        <v>0</v>
      </c>
      <c r="BB2551" s="1">
        <v>0</v>
      </c>
      <c r="BC2551" s="1">
        <v>0</v>
      </c>
      <c r="BD2551" s="1">
        <v>0</v>
      </c>
      <c r="BE2551" s="1">
        <v>1</v>
      </c>
      <c r="BF2551" s="1">
        <v>0</v>
      </c>
      <c r="BG2551" s="1">
        <v>0</v>
      </c>
      <c r="BH2551" s="1">
        <v>0</v>
      </c>
      <c r="BI2551" s="1">
        <v>0</v>
      </c>
      <c r="BJ2551" s="1">
        <v>0</v>
      </c>
      <c r="BK2551" s="1">
        <v>0</v>
      </c>
      <c r="BL2551" s="1">
        <v>0</v>
      </c>
      <c r="BM2551" s="1">
        <v>0</v>
      </c>
      <c r="BN2551" s="1">
        <v>0</v>
      </c>
      <c r="BO2551" s="1">
        <v>0</v>
      </c>
      <c r="BP2551" s="1">
        <v>0</v>
      </c>
      <c r="BQ2551" s="1">
        <v>0</v>
      </c>
      <c r="BR2551" s="1">
        <v>0</v>
      </c>
      <c r="BS2551" s="1" t="s">
        <v>109</v>
      </c>
      <c r="BT2551" s="1">
        <v>2654</v>
      </c>
      <c r="BU2551" s="1">
        <v>50</v>
      </c>
      <c r="BV2551" s="1"/>
      <c r="BW2551" s="1"/>
      <c r="BX2551" s="1"/>
      <c r="BY2551" s="1"/>
      <c r="BZ2551" s="1">
        <v>0</v>
      </c>
      <c r="CA2551" s="1" t="s">
        <v>109</v>
      </c>
      <c r="CB2551" s="1">
        <v>4</v>
      </c>
      <c r="CC2551" s="1" t="s">
        <v>109</v>
      </c>
      <c r="CD2551" s="1" t="s">
        <v>109</v>
      </c>
      <c r="CE2551" s="1" t="s">
        <v>109</v>
      </c>
      <c r="CF2551" s="1">
        <v>4</v>
      </c>
      <c r="CG2551" s="1">
        <v>4</v>
      </c>
      <c r="CH2551" s="1" t="s">
        <v>109</v>
      </c>
      <c r="CI2551" s="1" t="s">
        <v>109</v>
      </c>
      <c r="CJ2551" s="1" t="s">
        <v>109</v>
      </c>
      <c r="CK2551" s="1"/>
      <c r="CL2551" s="1">
        <v>0</v>
      </c>
      <c r="CM2551" s="1">
        <v>0</v>
      </c>
      <c r="CN2551" s="1">
        <v>0</v>
      </c>
    </row>
    <row r="2552" spans="1:92" ht="14.25" customHeight="1" x14ac:dyDescent="0.15">
      <c r="A2552" s="1" t="s">
        <v>18150</v>
      </c>
      <c r="B2552" s="1" t="s">
        <v>308</v>
      </c>
      <c r="C2552" s="1"/>
      <c r="D2552" s="1" t="s">
        <v>57</v>
      </c>
      <c r="E2552" s="1" t="s">
        <v>18151</v>
      </c>
      <c r="F2552" s="1" t="s">
        <v>98</v>
      </c>
      <c r="G2552" s="1" t="s">
        <v>18152</v>
      </c>
      <c r="H2552" s="1">
        <v>0</v>
      </c>
      <c r="I2552" s="1" t="s">
        <v>122</v>
      </c>
      <c r="J2552" s="1"/>
      <c r="K2552" s="1" t="s">
        <v>18153</v>
      </c>
      <c r="L2552" s="1"/>
      <c r="M2552" s="1" t="s">
        <v>8008</v>
      </c>
      <c r="N2552" s="1">
        <v>1</v>
      </c>
      <c r="O2552" s="1">
        <v>0</v>
      </c>
      <c r="P2552" s="1" t="s">
        <v>103</v>
      </c>
      <c r="Q2552" s="1" t="s">
        <v>104</v>
      </c>
      <c r="R2552" s="1" t="s">
        <v>18154</v>
      </c>
      <c r="S2552" s="1" t="s">
        <v>18155</v>
      </c>
      <c r="T2552" s="1" t="s">
        <v>17916</v>
      </c>
      <c r="U2552" s="1" t="s">
        <v>18156</v>
      </c>
      <c r="V2552" s="1">
        <v>1</v>
      </c>
      <c r="W2552" s="1">
        <v>1</v>
      </c>
      <c r="X2552" s="1">
        <v>1</v>
      </c>
      <c r="Y2552" s="1">
        <v>0</v>
      </c>
      <c r="Z2552" s="1">
        <v>1</v>
      </c>
      <c r="AA2552" s="1">
        <v>6</v>
      </c>
      <c r="AB2552" s="1">
        <v>6</v>
      </c>
      <c r="AC2552" s="1">
        <v>6</v>
      </c>
      <c r="AD2552" s="1" t="s">
        <v>109</v>
      </c>
      <c r="AE2552" s="1" t="s">
        <v>109</v>
      </c>
      <c r="AF2552" s="1" t="s">
        <v>109</v>
      </c>
      <c r="AG2552" s="1" t="s">
        <v>109</v>
      </c>
      <c r="AH2552" s="1" t="s">
        <v>109</v>
      </c>
      <c r="AI2552" s="1">
        <v>5</v>
      </c>
      <c r="AJ2552" s="1">
        <v>6</v>
      </c>
      <c r="AK2552" s="1" t="s">
        <v>109</v>
      </c>
      <c r="AL2552" s="1">
        <v>6</v>
      </c>
      <c r="AM2552" s="1" t="s">
        <v>109</v>
      </c>
      <c r="AN2552" s="1" t="s">
        <v>109</v>
      </c>
      <c r="AO2552" s="1" t="s">
        <v>109</v>
      </c>
      <c r="AP2552" s="1"/>
      <c r="AQ2552" s="1">
        <v>6</v>
      </c>
      <c r="AR2552" s="1"/>
      <c r="AS2552" s="1" t="s">
        <v>18157</v>
      </c>
      <c r="AT2552" s="1">
        <v>0</v>
      </c>
      <c r="AU2552" s="1">
        <v>0</v>
      </c>
      <c r="AV2552" s="1">
        <v>0</v>
      </c>
      <c r="AW2552" s="1">
        <v>0</v>
      </c>
      <c r="AX2552" s="1">
        <v>0</v>
      </c>
      <c r="AY2552" s="1">
        <v>0</v>
      </c>
      <c r="AZ2552" s="1">
        <v>0</v>
      </c>
      <c r="BA2552" s="1">
        <v>0</v>
      </c>
      <c r="BB2552" s="1">
        <v>0</v>
      </c>
      <c r="BC2552" s="1">
        <v>0</v>
      </c>
      <c r="BD2552" s="1">
        <v>0</v>
      </c>
      <c r="BE2552" s="1">
        <v>1</v>
      </c>
      <c r="BF2552" s="1">
        <v>0</v>
      </c>
      <c r="BG2552" s="1">
        <v>0</v>
      </c>
      <c r="BH2552" s="1">
        <v>0</v>
      </c>
      <c r="BI2552" s="1">
        <v>0</v>
      </c>
      <c r="BJ2552" s="1">
        <v>0</v>
      </c>
      <c r="BK2552" s="1">
        <v>0</v>
      </c>
      <c r="BL2552" s="1">
        <v>0</v>
      </c>
      <c r="BM2552" s="1">
        <v>0</v>
      </c>
      <c r="BN2552" s="1">
        <v>0</v>
      </c>
      <c r="BO2552" s="1">
        <v>0</v>
      </c>
      <c r="BP2552" s="1">
        <v>0</v>
      </c>
      <c r="BQ2552" s="1">
        <v>0</v>
      </c>
      <c r="BR2552" s="1">
        <v>0</v>
      </c>
      <c r="BS2552" s="1" t="s">
        <v>109</v>
      </c>
      <c r="BT2552" s="1">
        <v>2655</v>
      </c>
      <c r="BU2552" s="1" t="s">
        <v>109</v>
      </c>
      <c r="BV2552" s="1"/>
      <c r="BW2552" s="1"/>
      <c r="BX2552" s="1"/>
      <c r="BY2552" s="1"/>
      <c r="BZ2552" s="1">
        <v>0</v>
      </c>
      <c r="CA2552" s="1" t="s">
        <v>109</v>
      </c>
      <c r="CB2552" s="1">
        <v>6</v>
      </c>
      <c r="CC2552" s="1" t="s">
        <v>109</v>
      </c>
      <c r="CD2552" s="1" t="s">
        <v>109</v>
      </c>
      <c r="CE2552" s="1" t="s">
        <v>109</v>
      </c>
      <c r="CF2552" s="1" t="s">
        <v>109</v>
      </c>
      <c r="CG2552" s="1">
        <v>5</v>
      </c>
      <c r="CH2552" s="1" t="s">
        <v>109</v>
      </c>
      <c r="CI2552" s="1" t="s">
        <v>109</v>
      </c>
      <c r="CJ2552" s="1" t="s">
        <v>109</v>
      </c>
      <c r="CK2552" s="1"/>
      <c r="CL2552" s="1">
        <v>0</v>
      </c>
      <c r="CM2552" s="1">
        <v>0</v>
      </c>
      <c r="CN2552" s="1">
        <v>0</v>
      </c>
    </row>
    <row r="2553" spans="1:92" ht="14.25" customHeight="1" x14ac:dyDescent="0.15">
      <c r="A2553" s="1" t="s">
        <v>18158</v>
      </c>
      <c r="B2553" s="1" t="s">
        <v>584</v>
      </c>
      <c r="C2553" s="1"/>
      <c r="D2553" s="1" t="s">
        <v>16619</v>
      </c>
      <c r="E2553" s="1" t="s">
        <v>18159</v>
      </c>
      <c r="F2553" s="1" t="s">
        <v>355</v>
      </c>
      <c r="G2553" s="1" t="s">
        <v>18160</v>
      </c>
      <c r="H2553" s="1">
        <v>0</v>
      </c>
      <c r="I2553" s="1" t="s">
        <v>122</v>
      </c>
      <c r="J2553" s="1" t="s">
        <v>18161</v>
      </c>
      <c r="K2553" s="1"/>
      <c r="L2553" s="1"/>
      <c r="M2553" s="1" t="s">
        <v>125</v>
      </c>
      <c r="N2553" s="1">
        <v>0</v>
      </c>
      <c r="O2553" s="1">
        <v>1</v>
      </c>
      <c r="P2553" s="1" t="s">
        <v>301</v>
      </c>
      <c r="Q2553" s="1" t="s">
        <v>268</v>
      </c>
      <c r="R2553" s="1" t="s">
        <v>18162</v>
      </c>
      <c r="S2553" s="1" t="s">
        <v>18163</v>
      </c>
      <c r="T2553" s="1" t="s">
        <v>17916</v>
      </c>
      <c r="U2553" s="1" t="s">
        <v>18164</v>
      </c>
      <c r="V2553" s="1">
        <v>1</v>
      </c>
      <c r="W2553" s="1">
        <v>1</v>
      </c>
      <c r="X2553" s="1">
        <v>1</v>
      </c>
      <c r="Y2553" s="1">
        <v>0</v>
      </c>
      <c r="Z2553" s="1">
        <v>0</v>
      </c>
      <c r="AA2553" s="1">
        <v>2</v>
      </c>
      <c r="AB2553" s="1">
        <v>2</v>
      </c>
      <c r="AC2553" s="1">
        <v>2</v>
      </c>
      <c r="AD2553" s="1" t="s">
        <v>109</v>
      </c>
      <c r="AE2553" s="1" t="s">
        <v>109</v>
      </c>
      <c r="AF2553" s="1">
        <v>2</v>
      </c>
      <c r="AG2553" s="1" t="s">
        <v>109</v>
      </c>
      <c r="AH2553" s="1" t="s">
        <v>109</v>
      </c>
      <c r="AI2553" s="1" t="s">
        <v>109</v>
      </c>
      <c r="AJ2553" s="1" t="s">
        <v>109</v>
      </c>
      <c r="AK2553" s="1">
        <v>2</v>
      </c>
      <c r="AL2553" s="1">
        <v>2</v>
      </c>
      <c r="AM2553" s="1" t="s">
        <v>109</v>
      </c>
      <c r="AN2553" s="1">
        <v>2</v>
      </c>
      <c r="AO2553" s="1" t="s">
        <v>109</v>
      </c>
      <c r="AP2553" s="1"/>
      <c r="AQ2553" s="1">
        <v>2</v>
      </c>
      <c r="AR2553" s="1"/>
      <c r="AS2553" s="1" t="s">
        <v>18165</v>
      </c>
      <c r="AT2553" s="1">
        <v>0</v>
      </c>
      <c r="AU2553" s="1">
        <v>0</v>
      </c>
      <c r="AV2553" s="1">
        <v>0</v>
      </c>
      <c r="AW2553" s="1">
        <v>0</v>
      </c>
      <c r="AX2553" s="1">
        <v>0</v>
      </c>
      <c r="AY2553" s="1">
        <v>1</v>
      </c>
      <c r="AZ2553" s="1">
        <v>0</v>
      </c>
      <c r="BA2553" s="1">
        <v>0</v>
      </c>
      <c r="BB2553" s="1">
        <v>0</v>
      </c>
      <c r="BC2553" s="1">
        <v>0</v>
      </c>
      <c r="BD2553" s="1">
        <v>0</v>
      </c>
      <c r="BE2553" s="1">
        <v>0</v>
      </c>
      <c r="BF2553" s="1">
        <v>0</v>
      </c>
      <c r="BG2553" s="1">
        <v>0</v>
      </c>
      <c r="BH2553" s="1">
        <v>0</v>
      </c>
      <c r="BI2553" s="1">
        <v>0</v>
      </c>
      <c r="BJ2553" s="1">
        <v>0</v>
      </c>
      <c r="BK2553" s="1">
        <v>0</v>
      </c>
      <c r="BL2553" s="1">
        <v>1</v>
      </c>
      <c r="BM2553" s="1">
        <v>0</v>
      </c>
      <c r="BN2553" s="1">
        <v>0</v>
      </c>
      <c r="BO2553" s="1">
        <v>0</v>
      </c>
      <c r="BP2553" s="1">
        <v>0</v>
      </c>
      <c r="BQ2553" s="1">
        <v>0</v>
      </c>
      <c r="BR2553" s="1">
        <v>0</v>
      </c>
      <c r="BS2553" s="1" t="s">
        <v>109</v>
      </c>
      <c r="BT2553" s="1">
        <v>2656</v>
      </c>
      <c r="BU2553" s="1" t="s">
        <v>109</v>
      </c>
      <c r="BV2553" s="1"/>
      <c r="BW2553" s="1"/>
      <c r="BX2553" s="1"/>
      <c r="BY2553" s="1"/>
      <c r="BZ2553" s="1">
        <v>0</v>
      </c>
      <c r="CA2553" s="1" t="s">
        <v>109</v>
      </c>
      <c r="CB2553" s="1">
        <v>2</v>
      </c>
      <c r="CC2553" s="1" t="s">
        <v>109</v>
      </c>
      <c r="CD2553" s="1" t="s">
        <v>109</v>
      </c>
      <c r="CE2553" s="1" t="s">
        <v>109</v>
      </c>
      <c r="CF2553" s="1">
        <v>2</v>
      </c>
      <c r="CG2553" s="1" t="s">
        <v>109</v>
      </c>
      <c r="CH2553" s="1" t="s">
        <v>109</v>
      </c>
      <c r="CI2553" s="1" t="s">
        <v>109</v>
      </c>
      <c r="CJ2553" s="1" t="s">
        <v>109</v>
      </c>
      <c r="CK2553" s="1"/>
      <c r="CL2553" s="1">
        <v>0</v>
      </c>
      <c r="CM2553" s="1">
        <v>0</v>
      </c>
      <c r="CN2553" s="1">
        <v>0</v>
      </c>
    </row>
    <row r="2554" spans="1:92" ht="14.25" customHeight="1" x14ac:dyDescent="0.15">
      <c r="A2554" s="1" t="s">
        <v>18166</v>
      </c>
      <c r="B2554" s="1" t="s">
        <v>308</v>
      </c>
      <c r="C2554" s="1"/>
      <c r="D2554" s="1" t="s">
        <v>57</v>
      </c>
      <c r="E2554" s="1" t="s">
        <v>18167</v>
      </c>
      <c r="F2554" s="1" t="s">
        <v>98</v>
      </c>
      <c r="G2554" s="1" t="s">
        <v>18168</v>
      </c>
      <c r="H2554" s="1">
        <v>1</v>
      </c>
      <c r="I2554" s="1" t="s">
        <v>142</v>
      </c>
      <c r="J2554" s="1"/>
      <c r="K2554" s="1"/>
      <c r="L2554" s="1" t="s">
        <v>1156</v>
      </c>
      <c r="M2554" s="1" t="s">
        <v>144</v>
      </c>
      <c r="N2554" s="1">
        <v>0</v>
      </c>
      <c r="O2554" s="1">
        <v>0</v>
      </c>
      <c r="P2554" s="1" t="s">
        <v>103</v>
      </c>
      <c r="Q2554" s="1" t="s">
        <v>104</v>
      </c>
      <c r="R2554" s="1" t="s">
        <v>18169</v>
      </c>
      <c r="S2554" s="1" t="s">
        <v>18170</v>
      </c>
      <c r="T2554" s="1" t="s">
        <v>17916</v>
      </c>
      <c r="U2554" s="1" t="s">
        <v>18171</v>
      </c>
      <c r="V2554" s="1">
        <v>1</v>
      </c>
      <c r="W2554" s="1">
        <v>1</v>
      </c>
      <c r="X2554" s="1">
        <v>1</v>
      </c>
      <c r="Y2554" s="1">
        <v>0</v>
      </c>
      <c r="Z2554" s="1">
        <v>0</v>
      </c>
      <c r="AA2554" s="1">
        <v>1</v>
      </c>
      <c r="AB2554" s="1">
        <v>1</v>
      </c>
      <c r="AC2554" s="1">
        <v>1</v>
      </c>
      <c r="AD2554" s="1" t="s">
        <v>109</v>
      </c>
      <c r="AE2554" s="1" t="s">
        <v>109</v>
      </c>
      <c r="AF2554" s="1" t="s">
        <v>109</v>
      </c>
      <c r="AG2554" s="1" t="s">
        <v>109</v>
      </c>
      <c r="AH2554" s="1" t="s">
        <v>109</v>
      </c>
      <c r="AI2554" s="1" t="s">
        <v>109</v>
      </c>
      <c r="AJ2554" s="1">
        <v>1</v>
      </c>
      <c r="AK2554" s="1" t="s">
        <v>109</v>
      </c>
      <c r="AL2554" s="1">
        <v>1</v>
      </c>
      <c r="AM2554" s="1">
        <v>1</v>
      </c>
      <c r="AN2554" s="1" t="s">
        <v>109</v>
      </c>
      <c r="AO2554" s="1" t="s">
        <v>109</v>
      </c>
      <c r="AP2554" s="1"/>
      <c r="AQ2554" s="1">
        <v>1</v>
      </c>
      <c r="AR2554" s="1"/>
      <c r="AS2554" s="1" t="s">
        <v>18172</v>
      </c>
      <c r="AT2554" s="1">
        <v>0</v>
      </c>
      <c r="AU2554" s="1">
        <v>0</v>
      </c>
      <c r="AV2554" s="1">
        <v>0</v>
      </c>
      <c r="AW2554" s="1">
        <v>0</v>
      </c>
      <c r="AX2554" s="1">
        <v>0</v>
      </c>
      <c r="AY2554" s="1">
        <v>0</v>
      </c>
      <c r="AZ2554" s="1">
        <v>0</v>
      </c>
      <c r="BA2554" s="1">
        <v>0</v>
      </c>
      <c r="BB2554" s="1">
        <v>0</v>
      </c>
      <c r="BC2554" s="1">
        <v>0</v>
      </c>
      <c r="BD2554" s="1">
        <v>0</v>
      </c>
      <c r="BE2554" s="1">
        <v>1</v>
      </c>
      <c r="BF2554" s="1">
        <v>0</v>
      </c>
      <c r="BG2554" s="1">
        <v>0</v>
      </c>
      <c r="BH2554" s="1">
        <v>0</v>
      </c>
      <c r="BI2554" s="1">
        <v>0</v>
      </c>
      <c r="BJ2554" s="1">
        <v>0</v>
      </c>
      <c r="BK2554" s="1">
        <v>0</v>
      </c>
      <c r="BL2554" s="1">
        <v>0</v>
      </c>
      <c r="BM2554" s="1">
        <v>0</v>
      </c>
      <c r="BN2554" s="1">
        <v>0</v>
      </c>
      <c r="BO2554" s="1">
        <v>0</v>
      </c>
      <c r="BP2554" s="1">
        <v>0</v>
      </c>
      <c r="BQ2554" s="1">
        <v>0</v>
      </c>
      <c r="BR2554" s="1">
        <v>0</v>
      </c>
      <c r="BS2554" s="1" t="s">
        <v>109</v>
      </c>
      <c r="BT2554" s="1">
        <v>2657</v>
      </c>
      <c r="BU2554" s="1">
        <v>1</v>
      </c>
      <c r="BV2554" s="1"/>
      <c r="BW2554" s="1"/>
      <c r="BX2554" s="1"/>
      <c r="BY2554" s="1"/>
      <c r="BZ2554" s="1">
        <v>0</v>
      </c>
      <c r="CA2554" s="1" t="s">
        <v>109</v>
      </c>
      <c r="CB2554" s="1">
        <v>1</v>
      </c>
      <c r="CC2554" s="1" t="s">
        <v>109</v>
      </c>
      <c r="CD2554" s="1" t="s">
        <v>109</v>
      </c>
      <c r="CE2554" s="1" t="s">
        <v>109</v>
      </c>
      <c r="CF2554" s="1">
        <v>1</v>
      </c>
      <c r="CG2554" s="1">
        <v>1</v>
      </c>
      <c r="CH2554" s="1" t="s">
        <v>109</v>
      </c>
      <c r="CI2554" s="1" t="s">
        <v>109</v>
      </c>
      <c r="CJ2554" s="1" t="s">
        <v>109</v>
      </c>
      <c r="CK2554" s="1"/>
      <c r="CL2554" s="1">
        <v>0</v>
      </c>
      <c r="CM2554" s="1">
        <v>0</v>
      </c>
      <c r="CN2554" s="1">
        <v>0</v>
      </c>
    </row>
    <row r="2555" spans="1:92" ht="14.25" customHeight="1" x14ac:dyDescent="0.15">
      <c r="A2555" s="1" t="s">
        <v>18173</v>
      </c>
      <c r="B2555" s="1" t="s">
        <v>189</v>
      </c>
      <c r="C2555" s="1"/>
      <c r="D2555" s="1"/>
      <c r="E2555" s="1" t="s">
        <v>18174</v>
      </c>
      <c r="F2555" s="1" t="s">
        <v>98</v>
      </c>
      <c r="G2555" s="1" t="s">
        <v>18175</v>
      </c>
      <c r="H2555" s="1">
        <v>0</v>
      </c>
      <c r="I2555" s="1" t="s">
        <v>161</v>
      </c>
      <c r="J2555" s="1"/>
      <c r="K2555" s="1"/>
      <c r="L2555" s="1" t="s">
        <v>563</v>
      </c>
      <c r="M2555" s="1" t="s">
        <v>18176</v>
      </c>
      <c r="N2555" s="1">
        <v>0</v>
      </c>
      <c r="O2555" s="1">
        <v>0</v>
      </c>
      <c r="P2555" s="1" t="s">
        <v>8321</v>
      </c>
      <c r="Q2555" s="1" t="s">
        <v>268</v>
      </c>
      <c r="R2555" s="1" t="s">
        <v>18177</v>
      </c>
      <c r="S2555" s="1" t="s">
        <v>18178</v>
      </c>
      <c r="T2555" s="1" t="s">
        <v>17916</v>
      </c>
      <c r="U2555" s="1" t="s">
        <v>18179</v>
      </c>
      <c r="V2555" s="1">
        <v>1</v>
      </c>
      <c r="W2555" s="1">
        <v>1</v>
      </c>
      <c r="X2555" s="1">
        <v>1</v>
      </c>
      <c r="Y2555" s="1">
        <v>0</v>
      </c>
      <c r="Z2555" s="1">
        <v>0</v>
      </c>
      <c r="AA2555" s="1" t="s">
        <v>109</v>
      </c>
      <c r="AB2555" s="1" t="s">
        <v>109</v>
      </c>
      <c r="AC2555" s="1" t="s">
        <v>109</v>
      </c>
      <c r="AD2555" s="1">
        <v>6</v>
      </c>
      <c r="AE2555" s="1">
        <v>4</v>
      </c>
      <c r="AF2555" s="1" t="s">
        <v>109</v>
      </c>
      <c r="AG2555" s="1" t="s">
        <v>109</v>
      </c>
      <c r="AH2555" s="1" t="s">
        <v>109</v>
      </c>
      <c r="AI2555" s="1" t="s">
        <v>109</v>
      </c>
      <c r="AJ2555" s="1">
        <v>6</v>
      </c>
      <c r="AK2555" s="1" t="s">
        <v>109</v>
      </c>
      <c r="AL2555" s="1" t="s">
        <v>109</v>
      </c>
      <c r="AM2555" s="1" t="s">
        <v>109</v>
      </c>
      <c r="AN2555" s="1" t="s">
        <v>109</v>
      </c>
      <c r="AO2555" s="1" t="s">
        <v>109</v>
      </c>
      <c r="AP2555" s="1"/>
      <c r="AQ2555" s="1">
        <v>6</v>
      </c>
      <c r="AR2555" s="1"/>
      <c r="AS2555" s="1" t="s">
        <v>18180</v>
      </c>
      <c r="AT2555" s="1">
        <v>0</v>
      </c>
      <c r="AU2555" s="1">
        <v>0</v>
      </c>
      <c r="AV2555" s="1">
        <v>0</v>
      </c>
      <c r="AW2555" s="1">
        <v>0</v>
      </c>
      <c r="AX2555" s="1">
        <v>0</v>
      </c>
      <c r="AY2555" s="1">
        <v>0</v>
      </c>
      <c r="AZ2555" s="1">
        <v>0</v>
      </c>
      <c r="BA2555" s="1">
        <v>0</v>
      </c>
      <c r="BB2555" s="1">
        <v>0</v>
      </c>
      <c r="BC2555" s="1">
        <v>0</v>
      </c>
      <c r="BD2555" s="1">
        <v>0</v>
      </c>
      <c r="BE2555" s="1">
        <v>0</v>
      </c>
      <c r="BF2555" s="1">
        <v>0</v>
      </c>
      <c r="BG2555" s="1">
        <v>0</v>
      </c>
      <c r="BH2555" s="1">
        <v>0</v>
      </c>
      <c r="BI2555" s="1">
        <v>0</v>
      </c>
      <c r="BJ2555" s="1">
        <v>0</v>
      </c>
      <c r="BK2555" s="1">
        <v>0</v>
      </c>
      <c r="BL2555" s="1">
        <v>0</v>
      </c>
      <c r="BM2555" s="1">
        <v>0</v>
      </c>
      <c r="BN2555" s="1">
        <v>0</v>
      </c>
      <c r="BO2555" s="1">
        <v>0</v>
      </c>
      <c r="BP2555" s="1">
        <v>0</v>
      </c>
      <c r="BQ2555" s="1">
        <v>0</v>
      </c>
      <c r="BR2555" s="1">
        <v>0</v>
      </c>
      <c r="BS2555" s="1" t="s">
        <v>109</v>
      </c>
      <c r="BT2555" s="1">
        <v>2658</v>
      </c>
      <c r="BU2555" s="1" t="s">
        <v>109</v>
      </c>
      <c r="BV2555" s="1"/>
      <c r="BW2555" s="1"/>
      <c r="BX2555" s="1"/>
      <c r="BY2555" s="1"/>
      <c r="BZ2555" s="1">
        <v>0</v>
      </c>
      <c r="CA2555" s="1" t="s">
        <v>109</v>
      </c>
      <c r="CB2555" s="1">
        <v>6</v>
      </c>
      <c r="CC2555" s="1" t="s">
        <v>109</v>
      </c>
      <c r="CD2555" s="1" t="s">
        <v>109</v>
      </c>
      <c r="CE2555" s="1" t="s">
        <v>109</v>
      </c>
      <c r="CF2555" s="1" t="s">
        <v>109</v>
      </c>
      <c r="CG2555" s="1" t="s">
        <v>109</v>
      </c>
      <c r="CH2555" s="1" t="s">
        <v>109</v>
      </c>
      <c r="CI2555" s="1" t="s">
        <v>109</v>
      </c>
      <c r="CJ2555" s="1">
        <v>4</v>
      </c>
      <c r="CK2555" s="1"/>
      <c r="CL2555" s="1">
        <v>0</v>
      </c>
      <c r="CM2555" s="1">
        <v>0</v>
      </c>
      <c r="CN2555" s="1">
        <v>0</v>
      </c>
    </row>
    <row r="2556" spans="1:92" ht="14.25" customHeight="1" x14ac:dyDescent="0.15">
      <c r="A2556" s="1" t="s">
        <v>18181</v>
      </c>
      <c r="B2556" s="1" t="s">
        <v>242</v>
      </c>
      <c r="C2556" s="1"/>
      <c r="D2556" s="1" t="s">
        <v>60</v>
      </c>
      <c r="E2556" s="1" t="s">
        <v>18182</v>
      </c>
      <c r="F2556" s="1" t="s">
        <v>98</v>
      </c>
      <c r="G2556" s="1" t="s">
        <v>160</v>
      </c>
      <c r="H2556" s="1">
        <v>0</v>
      </c>
      <c r="I2556" s="1" t="s">
        <v>235</v>
      </c>
      <c r="J2556" s="1"/>
      <c r="K2556" s="1"/>
      <c r="L2556" s="1" t="s">
        <v>236</v>
      </c>
      <c r="M2556" s="1" t="s">
        <v>6144</v>
      </c>
      <c r="N2556" s="1">
        <v>1</v>
      </c>
      <c r="O2556" s="1">
        <v>0</v>
      </c>
      <c r="P2556" s="1"/>
      <c r="Q2556" s="1"/>
      <c r="R2556" s="1" t="s">
        <v>18183</v>
      </c>
      <c r="S2556" s="1" t="s">
        <v>18184</v>
      </c>
      <c r="T2556" s="1" t="s">
        <v>17916</v>
      </c>
      <c r="U2556" s="1" t="s">
        <v>18185</v>
      </c>
      <c r="V2556" s="1">
        <v>1</v>
      </c>
      <c r="W2556" s="1">
        <v>1</v>
      </c>
      <c r="X2556" s="1">
        <v>0</v>
      </c>
      <c r="Y2556" s="1">
        <v>0</v>
      </c>
      <c r="Z2556" s="1">
        <v>1</v>
      </c>
      <c r="AA2556" s="1" t="s">
        <v>109</v>
      </c>
      <c r="AB2556" s="1" t="s">
        <v>109</v>
      </c>
      <c r="AC2556" s="1">
        <v>1</v>
      </c>
      <c r="AD2556" s="1" t="s">
        <v>109</v>
      </c>
      <c r="AE2556" s="1" t="s">
        <v>109</v>
      </c>
      <c r="AF2556" s="1" t="s">
        <v>109</v>
      </c>
      <c r="AG2556" s="1">
        <v>1</v>
      </c>
      <c r="AH2556" s="1" t="s">
        <v>109</v>
      </c>
      <c r="AI2556" s="1" t="s">
        <v>109</v>
      </c>
      <c r="AJ2556" s="1" t="s">
        <v>109</v>
      </c>
      <c r="AK2556" s="1">
        <v>1</v>
      </c>
      <c r="AL2556" s="1">
        <v>1</v>
      </c>
      <c r="AM2556" s="1">
        <v>1</v>
      </c>
      <c r="AN2556" s="1" t="s">
        <v>109</v>
      </c>
      <c r="AO2556" s="1" t="s">
        <v>109</v>
      </c>
      <c r="AP2556" s="1"/>
      <c r="AQ2556" s="1">
        <v>1</v>
      </c>
      <c r="AR2556" s="1"/>
      <c r="AS2556" s="1" t="s">
        <v>18186</v>
      </c>
      <c r="AT2556" s="1">
        <v>0</v>
      </c>
      <c r="AU2556" s="1">
        <v>0</v>
      </c>
      <c r="AV2556" s="1">
        <v>0</v>
      </c>
      <c r="AW2556" s="1">
        <v>0</v>
      </c>
      <c r="AX2556" s="1">
        <v>0</v>
      </c>
      <c r="AY2556" s="1">
        <v>0</v>
      </c>
      <c r="AZ2556" s="1">
        <v>0</v>
      </c>
      <c r="BA2556" s="1">
        <v>0</v>
      </c>
      <c r="BB2556" s="1">
        <v>0</v>
      </c>
      <c r="BC2556" s="1">
        <v>0</v>
      </c>
      <c r="BD2556" s="1">
        <v>0</v>
      </c>
      <c r="BE2556" s="1">
        <v>0</v>
      </c>
      <c r="BF2556" s="1">
        <v>0</v>
      </c>
      <c r="BG2556" s="1">
        <v>0</v>
      </c>
      <c r="BH2556" s="1">
        <v>1</v>
      </c>
      <c r="BI2556" s="1">
        <v>0</v>
      </c>
      <c r="BJ2556" s="1">
        <v>0</v>
      </c>
      <c r="BK2556" s="1">
        <v>0</v>
      </c>
      <c r="BL2556" s="1">
        <v>0</v>
      </c>
      <c r="BM2556" s="1">
        <v>0</v>
      </c>
      <c r="BN2556" s="1">
        <v>0</v>
      </c>
      <c r="BO2556" s="1">
        <v>0</v>
      </c>
      <c r="BP2556" s="1">
        <v>0</v>
      </c>
      <c r="BQ2556" s="1">
        <v>0</v>
      </c>
      <c r="BR2556" s="1">
        <v>0</v>
      </c>
      <c r="BS2556" s="1" t="s">
        <v>109</v>
      </c>
      <c r="BT2556" s="1">
        <v>2659</v>
      </c>
      <c r="BU2556" s="1" t="s">
        <v>109</v>
      </c>
      <c r="BV2556" s="1"/>
      <c r="BW2556" s="1"/>
      <c r="BX2556" s="1"/>
      <c r="BY2556" s="1"/>
      <c r="BZ2556" s="1">
        <v>0</v>
      </c>
      <c r="CA2556" s="1" t="s">
        <v>109</v>
      </c>
      <c r="CB2556" s="1" t="s">
        <v>109</v>
      </c>
      <c r="CC2556" s="1" t="s">
        <v>109</v>
      </c>
      <c r="CD2556" s="1" t="s">
        <v>109</v>
      </c>
      <c r="CE2556" s="1" t="s">
        <v>109</v>
      </c>
      <c r="CF2556" s="1" t="s">
        <v>109</v>
      </c>
      <c r="CG2556" s="1" t="s">
        <v>109</v>
      </c>
      <c r="CH2556" s="1" t="s">
        <v>109</v>
      </c>
      <c r="CI2556" s="1" t="s">
        <v>109</v>
      </c>
      <c r="CJ2556" s="1" t="s">
        <v>109</v>
      </c>
      <c r="CK2556" s="1"/>
      <c r="CL2556" s="1">
        <v>0</v>
      </c>
      <c r="CM2556" s="1">
        <v>0</v>
      </c>
      <c r="CN2556" s="1">
        <v>0</v>
      </c>
    </row>
    <row r="2557" spans="1:92" ht="14.25" customHeight="1" x14ac:dyDescent="0.15">
      <c r="A2557" s="1" t="s">
        <v>18187</v>
      </c>
      <c r="B2557" s="1" t="s">
        <v>95</v>
      </c>
      <c r="C2557" s="1" t="s">
        <v>96</v>
      </c>
      <c r="D2557" s="1" t="s">
        <v>61</v>
      </c>
      <c r="E2557" s="1" t="s">
        <v>9764</v>
      </c>
      <c r="F2557" s="1" t="s">
        <v>98</v>
      </c>
      <c r="G2557" s="1" t="s">
        <v>160</v>
      </c>
      <c r="H2557" s="1">
        <v>0</v>
      </c>
      <c r="I2557" s="1" t="s">
        <v>122</v>
      </c>
      <c r="J2557" s="1"/>
      <c r="K2557" s="1" t="s">
        <v>18188</v>
      </c>
      <c r="L2557" s="1"/>
      <c r="M2557" s="1" t="s">
        <v>18189</v>
      </c>
      <c r="N2557" s="1">
        <v>0</v>
      </c>
      <c r="O2557" s="1">
        <v>0</v>
      </c>
      <c r="P2557" s="1" t="s">
        <v>103</v>
      </c>
      <c r="Q2557" s="1" t="s">
        <v>268</v>
      </c>
      <c r="R2557" s="1" t="s">
        <v>18190</v>
      </c>
      <c r="S2557" s="1" t="s">
        <v>18191</v>
      </c>
      <c r="T2557" s="1" t="s">
        <v>17916</v>
      </c>
      <c r="U2557" s="1" t="s">
        <v>18192</v>
      </c>
      <c r="V2557" s="1">
        <v>1</v>
      </c>
      <c r="W2557" s="1">
        <v>1</v>
      </c>
      <c r="X2557" s="1">
        <v>0</v>
      </c>
      <c r="Y2557" s="1">
        <v>0</v>
      </c>
      <c r="Z2557" s="1">
        <v>1</v>
      </c>
      <c r="AA2557" s="1" t="s">
        <v>109</v>
      </c>
      <c r="AB2557" s="1" t="s">
        <v>109</v>
      </c>
      <c r="AC2557" s="1">
        <v>3</v>
      </c>
      <c r="AD2557" s="1" t="s">
        <v>109</v>
      </c>
      <c r="AE2557" s="1" t="s">
        <v>109</v>
      </c>
      <c r="AF2557" s="1" t="s">
        <v>109</v>
      </c>
      <c r="AG2557" s="1">
        <v>2</v>
      </c>
      <c r="AH2557" s="1" t="s">
        <v>109</v>
      </c>
      <c r="AI2557" s="1" t="s">
        <v>109</v>
      </c>
      <c r="AJ2557" s="1" t="s">
        <v>109</v>
      </c>
      <c r="AK2557" s="1">
        <v>3</v>
      </c>
      <c r="AL2557" s="1">
        <v>3</v>
      </c>
      <c r="AM2557" s="1" t="s">
        <v>109</v>
      </c>
      <c r="AN2557" s="1" t="s">
        <v>109</v>
      </c>
      <c r="AO2557" s="1" t="s">
        <v>109</v>
      </c>
      <c r="AP2557" s="1"/>
      <c r="AQ2557" s="1">
        <v>3</v>
      </c>
      <c r="AR2557" s="1"/>
      <c r="AS2557" s="1" t="s">
        <v>18193</v>
      </c>
      <c r="AT2557" s="1">
        <v>0</v>
      </c>
      <c r="AU2557" s="1">
        <v>0</v>
      </c>
      <c r="AV2557" s="1">
        <v>0</v>
      </c>
      <c r="AW2557" s="1">
        <v>0</v>
      </c>
      <c r="AX2557" s="1">
        <v>0</v>
      </c>
      <c r="AY2557" s="1">
        <v>0</v>
      </c>
      <c r="AZ2557" s="1">
        <v>0</v>
      </c>
      <c r="BA2557" s="1">
        <v>0</v>
      </c>
      <c r="BB2557" s="1">
        <v>0</v>
      </c>
      <c r="BC2557" s="1">
        <v>0</v>
      </c>
      <c r="BD2557" s="1">
        <v>0</v>
      </c>
      <c r="BE2557" s="1">
        <v>0</v>
      </c>
      <c r="BF2557" s="1">
        <v>0</v>
      </c>
      <c r="BG2557" s="1">
        <v>0</v>
      </c>
      <c r="BH2557" s="1">
        <v>0</v>
      </c>
      <c r="BI2557" s="1">
        <v>1</v>
      </c>
      <c r="BJ2557" s="1">
        <v>0</v>
      </c>
      <c r="BK2557" s="1">
        <v>0</v>
      </c>
      <c r="BL2557" s="1">
        <v>0</v>
      </c>
      <c r="BM2557" s="1">
        <v>0</v>
      </c>
      <c r="BN2557" s="1">
        <v>0</v>
      </c>
      <c r="BO2557" s="1">
        <v>0</v>
      </c>
      <c r="BP2557" s="1">
        <v>0</v>
      </c>
      <c r="BQ2557" s="1">
        <v>0</v>
      </c>
      <c r="BR2557" s="1">
        <v>0</v>
      </c>
      <c r="BS2557" s="1" t="s">
        <v>109</v>
      </c>
      <c r="BT2557" s="1">
        <v>2660</v>
      </c>
      <c r="BU2557" s="1" t="s">
        <v>109</v>
      </c>
      <c r="BV2557" s="1"/>
      <c r="BW2557" s="1"/>
      <c r="BX2557" s="1"/>
      <c r="BY2557" s="1"/>
      <c r="BZ2557" s="1">
        <v>0</v>
      </c>
      <c r="CA2557" s="1" t="s">
        <v>109</v>
      </c>
      <c r="CB2557" s="1" t="s">
        <v>109</v>
      </c>
      <c r="CC2557" s="1" t="s">
        <v>109</v>
      </c>
      <c r="CD2557" s="1" t="s">
        <v>109</v>
      </c>
      <c r="CE2557" s="1" t="s">
        <v>109</v>
      </c>
      <c r="CF2557" s="1" t="s">
        <v>109</v>
      </c>
      <c r="CG2557" s="1" t="s">
        <v>109</v>
      </c>
      <c r="CH2557" s="1" t="s">
        <v>109</v>
      </c>
      <c r="CI2557" s="1" t="s">
        <v>109</v>
      </c>
      <c r="CJ2557" s="1" t="s">
        <v>109</v>
      </c>
      <c r="CK2557" s="1"/>
      <c r="CL2557" s="1">
        <v>0</v>
      </c>
      <c r="CM2557" s="1">
        <v>0</v>
      </c>
      <c r="CN2557" s="1">
        <v>0</v>
      </c>
    </row>
    <row r="2558" spans="1:92" ht="14.25" customHeight="1" x14ac:dyDescent="0.15">
      <c r="A2558" s="1" t="s">
        <v>18194</v>
      </c>
      <c r="B2558" s="1" t="s">
        <v>674</v>
      </c>
      <c r="C2558" s="1" t="s">
        <v>2300</v>
      </c>
      <c r="D2558" s="1"/>
      <c r="E2558" s="1" t="s">
        <v>18195</v>
      </c>
      <c r="F2558" s="1" t="s">
        <v>98</v>
      </c>
      <c r="G2558" s="1" t="s">
        <v>141</v>
      </c>
      <c r="H2558" s="1">
        <v>0</v>
      </c>
      <c r="I2558" s="1" t="s">
        <v>235</v>
      </c>
      <c r="J2558" s="1"/>
      <c r="K2558" s="1"/>
      <c r="L2558" s="1" t="s">
        <v>236</v>
      </c>
      <c r="M2558" s="1" t="s">
        <v>3042</v>
      </c>
      <c r="N2558" s="1">
        <v>0</v>
      </c>
      <c r="O2558" s="1">
        <v>0</v>
      </c>
      <c r="P2558" s="1"/>
      <c r="Q2558" s="1"/>
      <c r="R2558" s="1" t="s">
        <v>18196</v>
      </c>
      <c r="S2558" s="1" t="s">
        <v>18197</v>
      </c>
      <c r="T2558" s="1" t="s">
        <v>17916</v>
      </c>
      <c r="U2558" s="1" t="s">
        <v>18198</v>
      </c>
      <c r="V2558" s="1">
        <v>1</v>
      </c>
      <c r="W2558" s="1">
        <v>1</v>
      </c>
      <c r="X2558" s="1">
        <v>0</v>
      </c>
      <c r="Y2558" s="1">
        <v>0</v>
      </c>
      <c r="Z2558" s="1">
        <v>0</v>
      </c>
      <c r="AA2558" s="1">
        <v>4</v>
      </c>
      <c r="AB2558" s="1">
        <v>4</v>
      </c>
      <c r="AC2558" s="1" t="s">
        <v>109</v>
      </c>
      <c r="AD2558" s="1" t="s">
        <v>109</v>
      </c>
      <c r="AE2558" s="1" t="s">
        <v>109</v>
      </c>
      <c r="AF2558" s="1">
        <v>4</v>
      </c>
      <c r="AG2558" s="1" t="s">
        <v>109</v>
      </c>
      <c r="AH2558" s="1" t="s">
        <v>109</v>
      </c>
      <c r="AI2558" s="1" t="s">
        <v>109</v>
      </c>
      <c r="AJ2558" s="1" t="s">
        <v>109</v>
      </c>
      <c r="AK2558" s="1" t="s">
        <v>109</v>
      </c>
      <c r="AL2558" s="1" t="s">
        <v>109</v>
      </c>
      <c r="AM2558" s="1" t="s">
        <v>109</v>
      </c>
      <c r="AN2558" s="1" t="s">
        <v>109</v>
      </c>
      <c r="AO2558" s="1" t="s">
        <v>109</v>
      </c>
      <c r="AP2558" s="1"/>
      <c r="AQ2558" s="1">
        <v>4</v>
      </c>
      <c r="AR2558" s="1"/>
      <c r="AS2558" s="1" t="s">
        <v>18199</v>
      </c>
      <c r="AT2558" s="1">
        <v>0</v>
      </c>
      <c r="AU2558" s="1">
        <v>0</v>
      </c>
      <c r="AV2558" s="1">
        <v>0</v>
      </c>
      <c r="AW2558" s="1">
        <v>0</v>
      </c>
      <c r="AX2558" s="1">
        <v>0</v>
      </c>
      <c r="AY2558" s="1">
        <v>0</v>
      </c>
      <c r="AZ2558" s="1">
        <v>0</v>
      </c>
      <c r="BA2558" s="1">
        <v>0</v>
      </c>
      <c r="BB2558" s="1">
        <v>0</v>
      </c>
      <c r="BC2558" s="1">
        <v>0</v>
      </c>
      <c r="BD2558" s="1">
        <v>0</v>
      </c>
      <c r="BE2558" s="1">
        <v>0</v>
      </c>
      <c r="BF2558" s="1">
        <v>0</v>
      </c>
      <c r="BG2558" s="1">
        <v>0</v>
      </c>
      <c r="BH2558" s="1">
        <v>0</v>
      </c>
      <c r="BI2558" s="1">
        <v>0</v>
      </c>
      <c r="BJ2558" s="1">
        <v>0</v>
      </c>
      <c r="BK2558" s="1">
        <v>0</v>
      </c>
      <c r="BL2558" s="1">
        <v>0</v>
      </c>
      <c r="BM2558" s="1">
        <v>0</v>
      </c>
      <c r="BN2558" s="1">
        <v>0</v>
      </c>
      <c r="BO2558" s="1">
        <v>0</v>
      </c>
      <c r="BP2558" s="1">
        <v>0</v>
      </c>
      <c r="BQ2558" s="1">
        <v>0</v>
      </c>
      <c r="BR2558" s="1">
        <v>0</v>
      </c>
      <c r="BS2558" s="1" t="s">
        <v>109</v>
      </c>
      <c r="BT2558" s="1">
        <v>2661</v>
      </c>
      <c r="BU2558" s="1" t="s">
        <v>109</v>
      </c>
      <c r="BV2558" s="1"/>
      <c r="BW2558" s="1"/>
      <c r="BX2558" s="1"/>
      <c r="BY2558" s="1"/>
      <c r="BZ2558" s="1">
        <v>0</v>
      </c>
      <c r="CA2558" s="1">
        <v>4</v>
      </c>
      <c r="CB2558" s="1" t="s">
        <v>109</v>
      </c>
      <c r="CC2558" s="1">
        <v>4</v>
      </c>
      <c r="CD2558" s="1">
        <v>3</v>
      </c>
      <c r="CE2558" s="1">
        <v>4</v>
      </c>
      <c r="CF2558" s="1" t="s">
        <v>109</v>
      </c>
      <c r="CG2558" s="1" t="s">
        <v>109</v>
      </c>
      <c r="CH2558" s="1" t="s">
        <v>109</v>
      </c>
      <c r="CI2558" s="1" t="s">
        <v>109</v>
      </c>
      <c r="CJ2558" s="1" t="s">
        <v>109</v>
      </c>
      <c r="CK2558" s="1"/>
      <c r="CL2558" s="1">
        <v>0</v>
      </c>
      <c r="CM2558" s="1">
        <v>0</v>
      </c>
      <c r="CN2558" s="1">
        <v>0</v>
      </c>
    </row>
    <row r="2559" spans="1:92" ht="14.25" customHeight="1" x14ac:dyDescent="0.15">
      <c r="A2559" s="1" t="s">
        <v>18200</v>
      </c>
      <c r="B2559" s="1" t="s">
        <v>308</v>
      </c>
      <c r="C2559" s="1"/>
      <c r="D2559" s="1" t="s">
        <v>12797</v>
      </c>
      <c r="E2559" s="1" t="s">
        <v>18201</v>
      </c>
      <c r="F2559" s="1" t="s">
        <v>98</v>
      </c>
      <c r="G2559" s="1" t="s">
        <v>18202</v>
      </c>
      <c r="H2559" s="1">
        <v>0</v>
      </c>
      <c r="I2559" s="1" t="s">
        <v>142</v>
      </c>
      <c r="J2559" s="1"/>
      <c r="K2559" s="1"/>
      <c r="L2559" s="1" t="s">
        <v>18203</v>
      </c>
      <c r="M2559" s="1" t="s">
        <v>125</v>
      </c>
      <c r="N2559" s="1">
        <v>0</v>
      </c>
      <c r="O2559" s="1">
        <v>0</v>
      </c>
      <c r="P2559" s="1" t="s">
        <v>301</v>
      </c>
      <c r="Q2559" s="1" t="s">
        <v>268</v>
      </c>
      <c r="R2559" s="1" t="s">
        <v>18204</v>
      </c>
      <c r="S2559" s="1" t="s">
        <v>18205</v>
      </c>
      <c r="T2559" s="1" t="s">
        <v>17916</v>
      </c>
      <c r="U2559" s="1" t="s">
        <v>18206</v>
      </c>
      <c r="V2559" s="1">
        <v>1</v>
      </c>
      <c r="W2559" s="1">
        <v>1</v>
      </c>
      <c r="X2559" s="1">
        <v>1</v>
      </c>
      <c r="Y2559" s="1">
        <v>0</v>
      </c>
      <c r="Z2559" s="1">
        <v>1</v>
      </c>
      <c r="AA2559" s="1">
        <v>4</v>
      </c>
      <c r="AB2559" s="1">
        <v>4</v>
      </c>
      <c r="AC2559" s="1">
        <v>4</v>
      </c>
      <c r="AD2559" s="1" t="s">
        <v>109</v>
      </c>
      <c r="AE2559" s="1" t="s">
        <v>109</v>
      </c>
      <c r="AF2559" s="1" t="s">
        <v>109</v>
      </c>
      <c r="AG2559" s="1" t="s">
        <v>109</v>
      </c>
      <c r="AH2559" s="1" t="s">
        <v>109</v>
      </c>
      <c r="AI2559" s="1" t="s">
        <v>109</v>
      </c>
      <c r="AJ2559" s="1">
        <v>4</v>
      </c>
      <c r="AK2559" s="1" t="s">
        <v>109</v>
      </c>
      <c r="AL2559" s="1">
        <v>4</v>
      </c>
      <c r="AM2559" s="1">
        <v>3</v>
      </c>
      <c r="AN2559" s="1" t="s">
        <v>109</v>
      </c>
      <c r="AO2559" s="1" t="s">
        <v>109</v>
      </c>
      <c r="AP2559" s="1"/>
      <c r="AQ2559" s="1">
        <v>4</v>
      </c>
      <c r="AR2559" s="1"/>
      <c r="AS2559" s="1" t="s">
        <v>18207</v>
      </c>
      <c r="AT2559" s="1">
        <v>0</v>
      </c>
      <c r="AU2559" s="1">
        <v>0</v>
      </c>
      <c r="AV2559" s="1">
        <v>0</v>
      </c>
      <c r="AW2559" s="1">
        <v>0</v>
      </c>
      <c r="AX2559" s="1">
        <v>0</v>
      </c>
      <c r="AY2559" s="1">
        <v>0</v>
      </c>
      <c r="AZ2559" s="1">
        <v>0</v>
      </c>
      <c r="BA2559" s="1">
        <v>0</v>
      </c>
      <c r="BB2559" s="1">
        <v>0</v>
      </c>
      <c r="BC2559" s="1">
        <v>0</v>
      </c>
      <c r="BD2559" s="1">
        <v>0</v>
      </c>
      <c r="BE2559" s="1">
        <v>1</v>
      </c>
      <c r="BF2559" s="1">
        <v>0</v>
      </c>
      <c r="BG2559" s="1">
        <v>0</v>
      </c>
      <c r="BH2559" s="1">
        <v>0</v>
      </c>
      <c r="BI2559" s="1">
        <v>0</v>
      </c>
      <c r="BJ2559" s="1">
        <v>0</v>
      </c>
      <c r="BK2559" s="1">
        <v>0</v>
      </c>
      <c r="BL2559" s="1">
        <v>0</v>
      </c>
      <c r="BM2559" s="1">
        <v>1</v>
      </c>
      <c r="BN2559" s="1">
        <v>0</v>
      </c>
      <c r="BO2559" s="1">
        <v>0</v>
      </c>
      <c r="BP2559" s="1">
        <v>0</v>
      </c>
      <c r="BQ2559" s="1">
        <v>0</v>
      </c>
      <c r="BR2559" s="1">
        <v>0</v>
      </c>
      <c r="BS2559" s="1" t="s">
        <v>109</v>
      </c>
      <c r="BT2559" s="1">
        <v>2662</v>
      </c>
      <c r="BU2559" s="1" t="s">
        <v>109</v>
      </c>
      <c r="BV2559" s="1"/>
      <c r="BW2559" s="1"/>
      <c r="BX2559" s="1"/>
      <c r="BY2559" s="1"/>
      <c r="BZ2559" s="1">
        <v>0</v>
      </c>
      <c r="CA2559" s="1" t="s">
        <v>109</v>
      </c>
      <c r="CB2559" s="1">
        <v>4</v>
      </c>
      <c r="CC2559" s="1">
        <v>4</v>
      </c>
      <c r="CD2559" s="1" t="s">
        <v>109</v>
      </c>
      <c r="CE2559" s="1" t="s">
        <v>109</v>
      </c>
      <c r="CF2559" s="1" t="s">
        <v>109</v>
      </c>
      <c r="CG2559" s="1">
        <v>4</v>
      </c>
      <c r="CH2559" s="1" t="s">
        <v>109</v>
      </c>
      <c r="CI2559" s="1" t="s">
        <v>109</v>
      </c>
      <c r="CJ2559" s="1" t="s">
        <v>109</v>
      </c>
      <c r="CK2559" s="1"/>
      <c r="CL2559" s="1">
        <v>0</v>
      </c>
      <c r="CM2559" s="1">
        <v>0</v>
      </c>
      <c r="CN2559" s="1">
        <v>0</v>
      </c>
    </row>
    <row r="2560" spans="1:92" ht="14.25" customHeight="1" x14ac:dyDescent="0.15">
      <c r="A2560" s="1" t="s">
        <v>18208</v>
      </c>
      <c r="B2560" s="1" t="s">
        <v>308</v>
      </c>
      <c r="C2560" s="1"/>
      <c r="D2560" s="1" t="s">
        <v>12797</v>
      </c>
      <c r="E2560" s="1" t="s">
        <v>18209</v>
      </c>
      <c r="F2560" s="1" t="s">
        <v>98</v>
      </c>
      <c r="G2560" s="1" t="s">
        <v>18202</v>
      </c>
      <c r="H2560" s="1">
        <v>0</v>
      </c>
      <c r="I2560" s="1" t="s">
        <v>142</v>
      </c>
      <c r="J2560" s="1"/>
      <c r="K2560" s="1"/>
      <c r="L2560" s="1" t="s">
        <v>18210</v>
      </c>
      <c r="M2560" s="1" t="s">
        <v>125</v>
      </c>
      <c r="N2560" s="1">
        <v>0</v>
      </c>
      <c r="O2560" s="1">
        <v>0</v>
      </c>
      <c r="P2560" s="1" t="s">
        <v>301</v>
      </c>
      <c r="Q2560" s="1" t="s">
        <v>268</v>
      </c>
      <c r="R2560" s="1" t="s">
        <v>18211</v>
      </c>
      <c r="S2560" s="1" t="s">
        <v>18212</v>
      </c>
      <c r="T2560" s="1" t="s">
        <v>17916</v>
      </c>
      <c r="U2560" s="1" t="s">
        <v>18213</v>
      </c>
      <c r="V2560" s="1">
        <v>1</v>
      </c>
      <c r="W2560" s="1">
        <v>1</v>
      </c>
      <c r="X2560" s="1">
        <v>1</v>
      </c>
      <c r="Y2560" s="1">
        <v>0</v>
      </c>
      <c r="Z2560" s="1">
        <v>1</v>
      </c>
      <c r="AA2560" s="1">
        <v>7</v>
      </c>
      <c r="AB2560" s="1">
        <v>7</v>
      </c>
      <c r="AC2560" s="1">
        <v>7</v>
      </c>
      <c r="AD2560" s="1" t="s">
        <v>109</v>
      </c>
      <c r="AE2560" s="1" t="s">
        <v>109</v>
      </c>
      <c r="AF2560" s="1" t="s">
        <v>109</v>
      </c>
      <c r="AG2560" s="1" t="s">
        <v>109</v>
      </c>
      <c r="AH2560" s="1" t="s">
        <v>109</v>
      </c>
      <c r="AI2560" s="1" t="s">
        <v>109</v>
      </c>
      <c r="AJ2560" s="1">
        <v>7</v>
      </c>
      <c r="AK2560" s="1" t="s">
        <v>109</v>
      </c>
      <c r="AL2560" s="1">
        <v>7</v>
      </c>
      <c r="AM2560" s="1" t="s">
        <v>109</v>
      </c>
      <c r="AN2560" s="1" t="s">
        <v>109</v>
      </c>
      <c r="AO2560" s="1" t="s">
        <v>109</v>
      </c>
      <c r="AP2560" s="1"/>
      <c r="AQ2560" s="1">
        <v>7</v>
      </c>
      <c r="AR2560" s="1"/>
      <c r="AS2560" s="1" t="s">
        <v>18214</v>
      </c>
      <c r="AT2560" s="1">
        <v>0</v>
      </c>
      <c r="AU2560" s="1">
        <v>0</v>
      </c>
      <c r="AV2560" s="1">
        <v>0</v>
      </c>
      <c r="AW2560" s="1">
        <v>0</v>
      </c>
      <c r="AX2560" s="1">
        <v>0</v>
      </c>
      <c r="AY2560" s="1">
        <v>0</v>
      </c>
      <c r="AZ2560" s="1">
        <v>0</v>
      </c>
      <c r="BA2560" s="1">
        <v>0</v>
      </c>
      <c r="BB2560" s="1">
        <v>0</v>
      </c>
      <c r="BC2560" s="1">
        <v>0</v>
      </c>
      <c r="BD2560" s="1">
        <v>0</v>
      </c>
      <c r="BE2560" s="1">
        <v>1</v>
      </c>
      <c r="BF2560" s="1">
        <v>0</v>
      </c>
      <c r="BG2560" s="1">
        <v>0</v>
      </c>
      <c r="BH2560" s="1">
        <v>0</v>
      </c>
      <c r="BI2560" s="1">
        <v>0</v>
      </c>
      <c r="BJ2560" s="1">
        <v>0</v>
      </c>
      <c r="BK2560" s="1">
        <v>0</v>
      </c>
      <c r="BL2560" s="1">
        <v>0</v>
      </c>
      <c r="BM2560" s="1">
        <v>1</v>
      </c>
      <c r="BN2560" s="1">
        <v>0</v>
      </c>
      <c r="BO2560" s="1">
        <v>0</v>
      </c>
      <c r="BP2560" s="1">
        <v>0</v>
      </c>
      <c r="BQ2560" s="1">
        <v>0</v>
      </c>
      <c r="BR2560" s="1">
        <v>0</v>
      </c>
      <c r="BS2560" s="1" t="s">
        <v>109</v>
      </c>
      <c r="BT2560" s="1">
        <v>2663</v>
      </c>
      <c r="BU2560" s="1" t="s">
        <v>109</v>
      </c>
      <c r="BV2560" s="1"/>
      <c r="BW2560" s="1"/>
      <c r="BX2560" s="1"/>
      <c r="BY2560" s="1"/>
      <c r="BZ2560" s="1">
        <v>0</v>
      </c>
      <c r="CA2560" s="1" t="s">
        <v>109</v>
      </c>
      <c r="CB2560" s="1">
        <v>7</v>
      </c>
      <c r="CC2560" s="1">
        <v>7</v>
      </c>
      <c r="CD2560" s="1" t="s">
        <v>109</v>
      </c>
      <c r="CE2560" s="1" t="s">
        <v>109</v>
      </c>
      <c r="CF2560" s="1" t="s">
        <v>109</v>
      </c>
      <c r="CG2560" s="1">
        <v>6</v>
      </c>
      <c r="CH2560" s="1" t="s">
        <v>109</v>
      </c>
      <c r="CI2560" s="1" t="s">
        <v>109</v>
      </c>
      <c r="CJ2560" s="1" t="s">
        <v>109</v>
      </c>
      <c r="CK2560" s="1"/>
      <c r="CL2560" s="1">
        <v>0</v>
      </c>
      <c r="CM2560" s="1">
        <v>0</v>
      </c>
      <c r="CN2560" s="1">
        <v>0</v>
      </c>
    </row>
    <row r="2561" spans="1:92" ht="14.25" customHeight="1" x14ac:dyDescent="0.15">
      <c r="A2561" s="1" t="s">
        <v>18215</v>
      </c>
      <c r="B2561" s="1" t="s">
        <v>674</v>
      </c>
      <c r="C2561" s="1" t="s">
        <v>2300</v>
      </c>
      <c r="D2561" s="1"/>
      <c r="E2561" s="1" t="s">
        <v>18216</v>
      </c>
      <c r="F2561" s="1" t="s">
        <v>98</v>
      </c>
      <c r="G2561" s="1" t="s">
        <v>18217</v>
      </c>
      <c r="H2561" s="1">
        <v>0</v>
      </c>
      <c r="I2561" s="1" t="s">
        <v>122</v>
      </c>
      <c r="J2561" s="1" t="s">
        <v>18218</v>
      </c>
      <c r="K2561" s="1"/>
      <c r="L2561" s="1"/>
      <c r="M2561" s="1" t="s">
        <v>3042</v>
      </c>
      <c r="N2561" s="1">
        <v>0</v>
      </c>
      <c r="O2561" s="1">
        <v>1</v>
      </c>
      <c r="P2561" s="1" t="s">
        <v>301</v>
      </c>
      <c r="Q2561" s="1" t="s">
        <v>268</v>
      </c>
      <c r="R2561" s="1" t="s">
        <v>18219</v>
      </c>
      <c r="S2561" s="1" t="s">
        <v>18220</v>
      </c>
      <c r="T2561" s="1" t="s">
        <v>17916</v>
      </c>
      <c r="U2561" s="1" t="s">
        <v>18221</v>
      </c>
      <c r="V2561" s="1">
        <v>1</v>
      </c>
      <c r="W2561" s="1">
        <v>1</v>
      </c>
      <c r="X2561" s="1">
        <v>1</v>
      </c>
      <c r="Y2561" s="1">
        <v>0</v>
      </c>
      <c r="Z2561" s="1">
        <v>0</v>
      </c>
      <c r="AA2561" s="1">
        <v>5</v>
      </c>
      <c r="AB2561" s="1">
        <v>5</v>
      </c>
      <c r="AC2561" s="1" t="s">
        <v>109</v>
      </c>
      <c r="AD2561" s="1" t="s">
        <v>109</v>
      </c>
      <c r="AE2561" s="1" t="s">
        <v>109</v>
      </c>
      <c r="AF2561" s="1" t="s">
        <v>109</v>
      </c>
      <c r="AG2561" s="1" t="s">
        <v>109</v>
      </c>
      <c r="AH2561" s="1" t="s">
        <v>109</v>
      </c>
      <c r="AI2561" s="1" t="s">
        <v>109</v>
      </c>
      <c r="AJ2561" s="1" t="s">
        <v>109</v>
      </c>
      <c r="AK2561" s="1" t="s">
        <v>109</v>
      </c>
      <c r="AL2561" s="1" t="s">
        <v>109</v>
      </c>
      <c r="AM2561" s="1" t="s">
        <v>109</v>
      </c>
      <c r="AN2561" s="1" t="s">
        <v>109</v>
      </c>
      <c r="AO2561" s="1" t="s">
        <v>109</v>
      </c>
      <c r="AP2561" s="1"/>
      <c r="AQ2561" s="1">
        <v>5</v>
      </c>
      <c r="AR2561" s="1"/>
      <c r="AS2561" s="1" t="s">
        <v>18222</v>
      </c>
      <c r="AT2561" s="1">
        <v>0</v>
      </c>
      <c r="AU2561" s="1">
        <v>0</v>
      </c>
      <c r="AV2561" s="1">
        <v>0</v>
      </c>
      <c r="AW2561" s="1">
        <v>0</v>
      </c>
      <c r="AX2561" s="1">
        <v>0</v>
      </c>
      <c r="AY2561" s="1">
        <v>0</v>
      </c>
      <c r="AZ2561" s="1">
        <v>0</v>
      </c>
      <c r="BA2561" s="1">
        <v>0</v>
      </c>
      <c r="BB2561" s="1">
        <v>0</v>
      </c>
      <c r="BC2561" s="1">
        <v>0</v>
      </c>
      <c r="BD2561" s="1">
        <v>0</v>
      </c>
      <c r="BE2561" s="1">
        <v>0</v>
      </c>
      <c r="BF2561" s="1">
        <v>0</v>
      </c>
      <c r="BG2561" s="1">
        <v>0</v>
      </c>
      <c r="BH2561" s="1">
        <v>0</v>
      </c>
      <c r="BI2561" s="1">
        <v>0</v>
      </c>
      <c r="BJ2561" s="1">
        <v>0</v>
      </c>
      <c r="BK2561" s="1">
        <v>0</v>
      </c>
      <c r="BL2561" s="1">
        <v>0</v>
      </c>
      <c r="BM2561" s="1">
        <v>0</v>
      </c>
      <c r="BN2561" s="1">
        <v>0</v>
      </c>
      <c r="BO2561" s="1">
        <v>0</v>
      </c>
      <c r="BP2561" s="1">
        <v>0</v>
      </c>
      <c r="BQ2561" s="1">
        <v>0</v>
      </c>
      <c r="BR2561" s="1">
        <v>0</v>
      </c>
      <c r="BS2561" s="1" t="s">
        <v>109</v>
      </c>
      <c r="BT2561" s="1">
        <v>2664</v>
      </c>
      <c r="BU2561" s="1" t="s">
        <v>109</v>
      </c>
      <c r="BV2561" s="1"/>
      <c r="BW2561" s="1"/>
      <c r="BX2561" s="1"/>
      <c r="BY2561" s="1"/>
      <c r="BZ2561" s="1">
        <v>0</v>
      </c>
      <c r="CA2561" s="1" t="s">
        <v>109</v>
      </c>
      <c r="CB2561" s="1" t="s">
        <v>109</v>
      </c>
      <c r="CC2561" s="1">
        <v>5</v>
      </c>
      <c r="CD2561" s="1">
        <v>3</v>
      </c>
      <c r="CE2561" s="1">
        <v>4</v>
      </c>
      <c r="CF2561" s="1">
        <v>4</v>
      </c>
      <c r="CG2561" s="1" t="s">
        <v>109</v>
      </c>
      <c r="CH2561" s="1" t="s">
        <v>109</v>
      </c>
      <c r="CI2561" s="1" t="s">
        <v>109</v>
      </c>
      <c r="CJ2561" s="1" t="s">
        <v>109</v>
      </c>
      <c r="CK2561" s="1"/>
      <c r="CL2561" s="1">
        <v>0</v>
      </c>
      <c r="CM2561" s="1">
        <v>0</v>
      </c>
      <c r="CN2561" s="1">
        <v>0</v>
      </c>
    </row>
    <row r="2562" spans="1:92" ht="14.25" customHeight="1" x14ac:dyDescent="0.15">
      <c r="A2562" s="1" t="s">
        <v>18223</v>
      </c>
      <c r="B2562" s="1" t="s">
        <v>308</v>
      </c>
      <c r="C2562" s="1"/>
      <c r="D2562" s="1"/>
      <c r="E2562" s="1" t="s">
        <v>972</v>
      </c>
      <c r="F2562" s="1" t="s">
        <v>98</v>
      </c>
      <c r="G2562" s="1" t="s">
        <v>18224</v>
      </c>
      <c r="H2562" s="1">
        <v>0</v>
      </c>
      <c r="I2562" s="1" t="s">
        <v>18225</v>
      </c>
      <c r="J2562" s="1" t="s">
        <v>18226</v>
      </c>
      <c r="K2562" s="1"/>
      <c r="L2562" s="1"/>
      <c r="M2562" s="1" t="s">
        <v>144</v>
      </c>
      <c r="N2562" s="1">
        <v>0</v>
      </c>
      <c r="O2562" s="1">
        <v>0</v>
      </c>
      <c r="P2562" s="1" t="s">
        <v>2770</v>
      </c>
      <c r="Q2562" s="1" t="s">
        <v>268</v>
      </c>
      <c r="R2562" s="1" t="s">
        <v>18227</v>
      </c>
      <c r="S2562" s="1" t="s">
        <v>18228</v>
      </c>
      <c r="T2562" s="1" t="s">
        <v>17916</v>
      </c>
      <c r="U2562" s="1" t="s">
        <v>18229</v>
      </c>
      <c r="V2562" s="1">
        <v>1</v>
      </c>
      <c r="W2562" s="1">
        <v>1</v>
      </c>
      <c r="X2562" s="1">
        <v>1</v>
      </c>
      <c r="Y2562" s="1">
        <v>0</v>
      </c>
      <c r="Z2562" s="1">
        <v>0</v>
      </c>
      <c r="AA2562" s="1" t="s">
        <v>109</v>
      </c>
      <c r="AB2562" s="1" t="s">
        <v>109</v>
      </c>
      <c r="AC2562" s="1" t="s">
        <v>109</v>
      </c>
      <c r="AD2562" s="1">
        <v>4</v>
      </c>
      <c r="AE2562" s="1">
        <v>3</v>
      </c>
      <c r="AF2562" s="1" t="s">
        <v>109</v>
      </c>
      <c r="AG2562" s="1" t="s">
        <v>109</v>
      </c>
      <c r="AH2562" s="1" t="s">
        <v>109</v>
      </c>
      <c r="AI2562" s="1" t="s">
        <v>109</v>
      </c>
      <c r="AJ2562" s="1" t="s">
        <v>109</v>
      </c>
      <c r="AK2562" s="1" t="s">
        <v>109</v>
      </c>
      <c r="AL2562" s="1" t="s">
        <v>109</v>
      </c>
      <c r="AM2562" s="1" t="s">
        <v>109</v>
      </c>
      <c r="AN2562" s="1" t="s">
        <v>109</v>
      </c>
      <c r="AO2562" s="1" t="s">
        <v>109</v>
      </c>
      <c r="AP2562" s="1"/>
      <c r="AQ2562" s="1">
        <v>4</v>
      </c>
      <c r="AR2562" s="1"/>
      <c r="AS2562" s="1" t="s">
        <v>18230</v>
      </c>
      <c r="AT2562" s="1">
        <v>0</v>
      </c>
      <c r="AU2562" s="1">
        <v>0</v>
      </c>
      <c r="AV2562" s="1">
        <v>0</v>
      </c>
      <c r="AW2562" s="1">
        <v>0</v>
      </c>
      <c r="AX2562" s="1">
        <v>0</v>
      </c>
      <c r="AY2562" s="1">
        <v>0</v>
      </c>
      <c r="AZ2562" s="1">
        <v>0</v>
      </c>
      <c r="BA2562" s="1">
        <v>0</v>
      </c>
      <c r="BB2562" s="1">
        <v>0</v>
      </c>
      <c r="BC2562" s="1">
        <v>0</v>
      </c>
      <c r="BD2562" s="1">
        <v>0</v>
      </c>
      <c r="BE2562" s="1">
        <v>0</v>
      </c>
      <c r="BF2562" s="1">
        <v>0</v>
      </c>
      <c r="BG2562" s="1">
        <v>0</v>
      </c>
      <c r="BH2562" s="1">
        <v>0</v>
      </c>
      <c r="BI2562" s="1">
        <v>0</v>
      </c>
      <c r="BJ2562" s="1">
        <v>0</v>
      </c>
      <c r="BK2562" s="1">
        <v>0</v>
      </c>
      <c r="BL2562" s="1">
        <v>0</v>
      </c>
      <c r="BM2562" s="1">
        <v>0</v>
      </c>
      <c r="BN2562" s="1">
        <v>0</v>
      </c>
      <c r="BO2562" s="1">
        <v>0</v>
      </c>
      <c r="BP2562" s="1">
        <v>0</v>
      </c>
      <c r="BQ2562" s="1">
        <v>0</v>
      </c>
      <c r="BR2562" s="1">
        <v>0</v>
      </c>
      <c r="BS2562" s="1" t="s">
        <v>109</v>
      </c>
      <c r="BT2562" s="1">
        <v>2665</v>
      </c>
      <c r="BU2562" s="1" t="s">
        <v>109</v>
      </c>
      <c r="BV2562" s="1"/>
      <c r="BW2562" s="1"/>
      <c r="BX2562" s="1"/>
      <c r="BY2562" s="1"/>
      <c r="BZ2562" s="1">
        <v>0</v>
      </c>
      <c r="CA2562" s="1" t="s">
        <v>109</v>
      </c>
      <c r="CB2562" s="1">
        <v>4</v>
      </c>
      <c r="CC2562" s="1" t="s">
        <v>109</v>
      </c>
      <c r="CD2562" s="1" t="s">
        <v>109</v>
      </c>
      <c r="CE2562" s="1" t="s">
        <v>109</v>
      </c>
      <c r="CF2562" s="1" t="s">
        <v>109</v>
      </c>
      <c r="CG2562" s="1" t="s">
        <v>109</v>
      </c>
      <c r="CH2562" s="1" t="s">
        <v>109</v>
      </c>
      <c r="CI2562" s="1" t="s">
        <v>109</v>
      </c>
      <c r="CJ2562" s="1">
        <v>3</v>
      </c>
      <c r="CK2562" s="1"/>
      <c r="CL2562" s="1">
        <v>0</v>
      </c>
      <c r="CM2562" s="1">
        <v>0</v>
      </c>
      <c r="CN2562" s="1">
        <v>0</v>
      </c>
    </row>
    <row r="2563" spans="1:92" ht="14.25" customHeight="1" x14ac:dyDescent="0.15">
      <c r="A2563" s="1" t="s">
        <v>18231</v>
      </c>
      <c r="B2563" s="1" t="s">
        <v>254</v>
      </c>
      <c r="C2563" s="1"/>
      <c r="D2563" s="1"/>
      <c r="E2563" s="1" t="s">
        <v>18232</v>
      </c>
      <c r="F2563" s="1" t="s">
        <v>98</v>
      </c>
      <c r="G2563" s="1" t="s">
        <v>18233</v>
      </c>
      <c r="H2563" s="1">
        <v>0</v>
      </c>
      <c r="I2563" s="1" t="s">
        <v>100</v>
      </c>
      <c r="J2563" s="1" t="s">
        <v>18234</v>
      </c>
      <c r="K2563" s="1"/>
      <c r="L2563" s="1"/>
      <c r="M2563" s="1" t="s">
        <v>3042</v>
      </c>
      <c r="N2563" s="1">
        <v>0</v>
      </c>
      <c r="O2563" s="1">
        <v>0</v>
      </c>
      <c r="P2563" s="1" t="s">
        <v>103</v>
      </c>
      <c r="Q2563" s="1" t="s">
        <v>104</v>
      </c>
      <c r="R2563" s="1" t="s">
        <v>18235</v>
      </c>
      <c r="S2563" s="1" t="s">
        <v>18236</v>
      </c>
      <c r="T2563" s="1" t="s">
        <v>17916</v>
      </c>
      <c r="U2563" s="1" t="s">
        <v>18237</v>
      </c>
      <c r="V2563" s="1">
        <v>1</v>
      </c>
      <c r="W2563" s="1">
        <v>1</v>
      </c>
      <c r="X2563" s="1">
        <v>0</v>
      </c>
      <c r="Y2563" s="1">
        <v>0</v>
      </c>
      <c r="Z2563" s="1">
        <v>1</v>
      </c>
      <c r="AA2563" s="1">
        <v>5</v>
      </c>
      <c r="AB2563" s="1">
        <v>5</v>
      </c>
      <c r="AC2563" s="1">
        <v>5</v>
      </c>
      <c r="AD2563" s="1" t="s">
        <v>109</v>
      </c>
      <c r="AE2563" s="1" t="s">
        <v>109</v>
      </c>
      <c r="AF2563" s="1">
        <v>5</v>
      </c>
      <c r="AG2563" s="1" t="s">
        <v>109</v>
      </c>
      <c r="AH2563" s="1" t="s">
        <v>109</v>
      </c>
      <c r="AI2563" s="1">
        <v>5</v>
      </c>
      <c r="AJ2563" s="1" t="s">
        <v>109</v>
      </c>
      <c r="AK2563" s="1" t="s">
        <v>109</v>
      </c>
      <c r="AL2563" s="1">
        <v>5</v>
      </c>
      <c r="AM2563" s="1" t="s">
        <v>109</v>
      </c>
      <c r="AN2563" s="1" t="s">
        <v>109</v>
      </c>
      <c r="AO2563" s="1" t="s">
        <v>109</v>
      </c>
      <c r="AP2563" s="1"/>
      <c r="AQ2563" s="1">
        <v>5</v>
      </c>
      <c r="AR2563" s="1"/>
      <c r="AS2563" s="1" t="s">
        <v>18238</v>
      </c>
      <c r="AT2563" s="1">
        <v>0</v>
      </c>
      <c r="AU2563" s="1">
        <v>0</v>
      </c>
      <c r="AV2563" s="1">
        <v>0</v>
      </c>
      <c r="AW2563" s="1">
        <v>0</v>
      </c>
      <c r="AX2563" s="1">
        <v>0</v>
      </c>
      <c r="AY2563" s="1">
        <v>0</v>
      </c>
      <c r="AZ2563" s="1">
        <v>0</v>
      </c>
      <c r="BA2563" s="1">
        <v>0</v>
      </c>
      <c r="BB2563" s="1">
        <v>0</v>
      </c>
      <c r="BC2563" s="1">
        <v>0</v>
      </c>
      <c r="BD2563" s="1">
        <v>0</v>
      </c>
      <c r="BE2563" s="1">
        <v>0</v>
      </c>
      <c r="BF2563" s="1">
        <v>0</v>
      </c>
      <c r="BG2563" s="1">
        <v>0</v>
      </c>
      <c r="BH2563" s="1">
        <v>0</v>
      </c>
      <c r="BI2563" s="1">
        <v>0</v>
      </c>
      <c r="BJ2563" s="1">
        <v>0</v>
      </c>
      <c r="BK2563" s="1">
        <v>0</v>
      </c>
      <c r="BL2563" s="1">
        <v>0</v>
      </c>
      <c r="BM2563" s="1">
        <v>0</v>
      </c>
      <c r="BN2563" s="1">
        <v>0</v>
      </c>
      <c r="BO2563" s="1">
        <v>0</v>
      </c>
      <c r="BP2563" s="1">
        <v>0</v>
      </c>
      <c r="BQ2563" s="1">
        <v>0</v>
      </c>
      <c r="BR2563" s="1">
        <v>0</v>
      </c>
      <c r="BS2563" s="1" t="s">
        <v>109</v>
      </c>
      <c r="BT2563" s="1">
        <v>2666</v>
      </c>
      <c r="BU2563" s="1" t="s">
        <v>109</v>
      </c>
      <c r="BV2563" s="1"/>
      <c r="BW2563" s="1"/>
      <c r="BX2563" s="1"/>
      <c r="BY2563" s="1"/>
      <c r="BZ2563" s="1">
        <v>0</v>
      </c>
      <c r="CA2563" s="1" t="s">
        <v>109</v>
      </c>
      <c r="CB2563" s="1" t="s">
        <v>109</v>
      </c>
      <c r="CC2563" s="1">
        <v>5</v>
      </c>
      <c r="CD2563" s="1" t="s">
        <v>109</v>
      </c>
      <c r="CE2563" s="1" t="s">
        <v>109</v>
      </c>
      <c r="CF2563" s="1">
        <v>5</v>
      </c>
      <c r="CG2563" s="1" t="s">
        <v>109</v>
      </c>
      <c r="CH2563" s="1" t="s">
        <v>109</v>
      </c>
      <c r="CI2563" s="1" t="s">
        <v>109</v>
      </c>
      <c r="CJ2563" s="1" t="s">
        <v>109</v>
      </c>
      <c r="CK2563" s="1"/>
      <c r="CL2563" s="1">
        <v>0</v>
      </c>
      <c r="CM2563" s="1">
        <v>0</v>
      </c>
      <c r="CN2563" s="1">
        <v>0</v>
      </c>
    </row>
    <row r="2564" spans="1:92" ht="14.25" customHeight="1" x14ac:dyDescent="0.15">
      <c r="A2564" s="1" t="s">
        <v>18239</v>
      </c>
      <c r="B2564" s="1" t="s">
        <v>156</v>
      </c>
      <c r="C2564" s="1" t="s">
        <v>157</v>
      </c>
      <c r="D2564" s="1" t="s">
        <v>297</v>
      </c>
      <c r="E2564" s="1" t="s">
        <v>18240</v>
      </c>
      <c r="F2564" s="1" t="s">
        <v>98</v>
      </c>
      <c r="G2564" s="1" t="s">
        <v>18241</v>
      </c>
      <c r="H2564" s="1">
        <v>0</v>
      </c>
      <c r="I2564" s="1" t="s">
        <v>142</v>
      </c>
      <c r="J2564" s="1"/>
      <c r="K2564" s="1"/>
      <c r="L2564" s="1" t="s">
        <v>18242</v>
      </c>
      <c r="M2564" s="1" t="s">
        <v>574</v>
      </c>
      <c r="N2564" s="1">
        <v>1</v>
      </c>
      <c r="O2564" s="1">
        <v>0</v>
      </c>
      <c r="P2564" s="1" t="s">
        <v>301</v>
      </c>
      <c r="Q2564" s="1" t="s">
        <v>268</v>
      </c>
      <c r="R2564" s="1" t="s">
        <v>18243</v>
      </c>
      <c r="S2564" s="1" t="s">
        <v>18244</v>
      </c>
      <c r="T2564" s="1" t="s">
        <v>17916</v>
      </c>
      <c r="U2564" s="1" t="s">
        <v>18245</v>
      </c>
      <c r="V2564" s="1">
        <v>1</v>
      </c>
      <c r="W2564" s="1">
        <v>1</v>
      </c>
      <c r="X2564" s="1">
        <v>0</v>
      </c>
      <c r="Y2564" s="1">
        <v>0</v>
      </c>
      <c r="Z2564" s="1">
        <v>0</v>
      </c>
      <c r="AA2564" s="1">
        <v>4</v>
      </c>
      <c r="AB2564" s="1">
        <v>4</v>
      </c>
      <c r="AC2564" s="1" t="s">
        <v>109</v>
      </c>
      <c r="AD2564" s="1" t="s">
        <v>109</v>
      </c>
      <c r="AE2564" s="1" t="s">
        <v>109</v>
      </c>
      <c r="AF2564" s="1">
        <v>3</v>
      </c>
      <c r="AG2564" s="1" t="s">
        <v>109</v>
      </c>
      <c r="AH2564" s="1" t="s">
        <v>109</v>
      </c>
      <c r="AI2564" s="1" t="s">
        <v>109</v>
      </c>
      <c r="AJ2564" s="1">
        <v>4</v>
      </c>
      <c r="AK2564" s="1" t="s">
        <v>109</v>
      </c>
      <c r="AL2564" s="1" t="s">
        <v>109</v>
      </c>
      <c r="AM2564" s="1" t="s">
        <v>109</v>
      </c>
      <c r="AN2564" s="1" t="s">
        <v>109</v>
      </c>
      <c r="AO2564" s="1" t="s">
        <v>109</v>
      </c>
      <c r="AP2564" s="1"/>
      <c r="AQ2564" s="1">
        <v>4</v>
      </c>
      <c r="AR2564" s="1"/>
      <c r="AS2564" s="1" t="s">
        <v>18246</v>
      </c>
      <c r="AT2564" s="1">
        <v>0</v>
      </c>
      <c r="AU2564" s="1">
        <v>0</v>
      </c>
      <c r="AV2564" s="1">
        <v>0</v>
      </c>
      <c r="AW2564" s="1">
        <v>0</v>
      </c>
      <c r="AX2564" s="1">
        <v>0</v>
      </c>
      <c r="AY2564" s="1">
        <v>0</v>
      </c>
      <c r="AZ2564" s="1">
        <v>0</v>
      </c>
      <c r="BA2564" s="1">
        <v>0</v>
      </c>
      <c r="BB2564" s="1">
        <v>0</v>
      </c>
      <c r="BC2564" s="1">
        <v>0</v>
      </c>
      <c r="BD2564" s="1">
        <v>0</v>
      </c>
      <c r="BE2564" s="1">
        <v>0</v>
      </c>
      <c r="BF2564" s="1">
        <v>0</v>
      </c>
      <c r="BG2564" s="1">
        <v>0</v>
      </c>
      <c r="BH2564" s="1">
        <v>0</v>
      </c>
      <c r="BI2564" s="1">
        <v>0</v>
      </c>
      <c r="BJ2564" s="1">
        <v>0</v>
      </c>
      <c r="BK2564" s="1">
        <v>0</v>
      </c>
      <c r="BL2564" s="1">
        <v>0</v>
      </c>
      <c r="BM2564" s="1">
        <v>1</v>
      </c>
      <c r="BN2564" s="1">
        <v>0</v>
      </c>
      <c r="BO2564" s="1">
        <v>0</v>
      </c>
      <c r="BP2564" s="1">
        <v>0</v>
      </c>
      <c r="BQ2564" s="1">
        <v>1</v>
      </c>
      <c r="BR2564" s="1">
        <v>0</v>
      </c>
      <c r="BS2564" s="1" t="s">
        <v>109</v>
      </c>
      <c r="BT2564" s="1">
        <v>2667</v>
      </c>
      <c r="BU2564" s="1" t="s">
        <v>109</v>
      </c>
      <c r="BV2564" s="1"/>
      <c r="BW2564" s="1"/>
      <c r="BX2564" s="1"/>
      <c r="BY2564" s="1"/>
      <c r="BZ2564" s="1">
        <v>0</v>
      </c>
      <c r="CA2564" s="1" t="s">
        <v>109</v>
      </c>
      <c r="CB2564" s="1" t="s">
        <v>109</v>
      </c>
      <c r="CC2564" s="1">
        <v>4</v>
      </c>
      <c r="CD2564" s="1" t="s">
        <v>109</v>
      </c>
      <c r="CE2564" s="1">
        <v>4</v>
      </c>
      <c r="CF2564" s="1">
        <v>4</v>
      </c>
      <c r="CG2564" s="1" t="s">
        <v>109</v>
      </c>
      <c r="CH2564" s="1" t="s">
        <v>109</v>
      </c>
      <c r="CI2564" s="1" t="s">
        <v>109</v>
      </c>
      <c r="CJ2564" s="1" t="s">
        <v>109</v>
      </c>
      <c r="CK2564" s="1"/>
      <c r="CL2564" s="1">
        <v>0</v>
      </c>
      <c r="CM2564" s="1">
        <v>0</v>
      </c>
      <c r="CN2564" s="1">
        <v>0</v>
      </c>
    </row>
    <row r="2565" spans="1:92" ht="14.25" customHeight="1" x14ac:dyDescent="0.15">
      <c r="A2565" s="1" t="s">
        <v>18247</v>
      </c>
      <c r="B2565" s="1" t="s">
        <v>308</v>
      </c>
      <c r="C2565" s="1"/>
      <c r="D2565" s="1" t="s">
        <v>52</v>
      </c>
      <c r="E2565" s="1" t="s">
        <v>18248</v>
      </c>
      <c r="F2565" s="1" t="s">
        <v>98</v>
      </c>
      <c r="G2565" s="1" t="s">
        <v>18249</v>
      </c>
      <c r="H2565" s="1">
        <v>0</v>
      </c>
      <c r="I2565" s="1"/>
      <c r="J2565" s="1" t="s">
        <v>6788</v>
      </c>
      <c r="K2565" s="1"/>
      <c r="L2565" s="1"/>
      <c r="M2565" s="1" t="s">
        <v>144</v>
      </c>
      <c r="N2565" s="1">
        <v>0</v>
      </c>
      <c r="O2565" s="1">
        <v>0</v>
      </c>
      <c r="P2565" s="1" t="s">
        <v>267</v>
      </c>
      <c r="Q2565" s="1" t="s">
        <v>268</v>
      </c>
      <c r="R2565" s="1" t="s">
        <v>18250</v>
      </c>
      <c r="S2565" s="1" t="s">
        <v>18251</v>
      </c>
      <c r="T2565" s="1" t="s">
        <v>17916</v>
      </c>
      <c r="U2565" s="1" t="s">
        <v>18252</v>
      </c>
      <c r="V2565" s="1">
        <v>1</v>
      </c>
      <c r="W2565" s="1">
        <v>1</v>
      </c>
      <c r="X2565" s="1">
        <v>1</v>
      </c>
      <c r="Y2565" s="1">
        <v>0</v>
      </c>
      <c r="Z2565" s="1">
        <v>0</v>
      </c>
      <c r="AA2565" s="1">
        <v>9</v>
      </c>
      <c r="AB2565" s="1">
        <v>9</v>
      </c>
      <c r="AC2565" s="1">
        <v>9</v>
      </c>
      <c r="AD2565" s="1" t="s">
        <v>109</v>
      </c>
      <c r="AE2565" s="1" t="s">
        <v>109</v>
      </c>
      <c r="AF2565" s="1" t="s">
        <v>109</v>
      </c>
      <c r="AG2565" s="1" t="s">
        <v>109</v>
      </c>
      <c r="AH2565" s="1" t="s">
        <v>109</v>
      </c>
      <c r="AI2565" s="1" t="s">
        <v>109</v>
      </c>
      <c r="AJ2565" s="1">
        <v>9</v>
      </c>
      <c r="AK2565" s="1" t="s">
        <v>109</v>
      </c>
      <c r="AL2565" s="1">
        <v>9</v>
      </c>
      <c r="AM2565" s="1" t="s">
        <v>109</v>
      </c>
      <c r="AN2565" s="1" t="s">
        <v>109</v>
      </c>
      <c r="AO2565" s="1" t="s">
        <v>109</v>
      </c>
      <c r="AP2565" s="1"/>
      <c r="AQ2565" s="1">
        <v>9</v>
      </c>
      <c r="AR2565" s="1"/>
      <c r="AS2565" s="1" t="s">
        <v>18253</v>
      </c>
      <c r="AT2565" s="1">
        <v>0</v>
      </c>
      <c r="AU2565" s="1">
        <v>0</v>
      </c>
      <c r="AV2565" s="1">
        <v>0</v>
      </c>
      <c r="AW2565" s="1">
        <v>0</v>
      </c>
      <c r="AX2565" s="1">
        <v>0</v>
      </c>
      <c r="AY2565" s="1">
        <v>0</v>
      </c>
      <c r="AZ2565" s="1">
        <v>1</v>
      </c>
      <c r="BA2565" s="1">
        <v>0</v>
      </c>
      <c r="BB2565" s="1">
        <v>0</v>
      </c>
      <c r="BC2565" s="1">
        <v>0</v>
      </c>
      <c r="BD2565" s="1">
        <v>0</v>
      </c>
      <c r="BE2565" s="1">
        <v>0</v>
      </c>
      <c r="BF2565" s="1">
        <v>0</v>
      </c>
      <c r="BG2565" s="1">
        <v>0</v>
      </c>
      <c r="BH2565" s="1">
        <v>0</v>
      </c>
      <c r="BI2565" s="1">
        <v>0</v>
      </c>
      <c r="BJ2565" s="1">
        <v>0</v>
      </c>
      <c r="BK2565" s="1">
        <v>0</v>
      </c>
      <c r="BL2565" s="1">
        <v>0</v>
      </c>
      <c r="BM2565" s="1">
        <v>0</v>
      </c>
      <c r="BN2565" s="1">
        <v>0</v>
      </c>
      <c r="BO2565" s="1">
        <v>0</v>
      </c>
      <c r="BP2565" s="1">
        <v>0</v>
      </c>
      <c r="BQ2565" s="1">
        <v>0</v>
      </c>
      <c r="BR2565" s="1">
        <v>0</v>
      </c>
      <c r="BS2565" s="1" t="s">
        <v>109</v>
      </c>
      <c r="BT2565" s="1">
        <v>2668</v>
      </c>
      <c r="BU2565" s="1" t="s">
        <v>109</v>
      </c>
      <c r="BV2565" s="1"/>
      <c r="BW2565" s="1"/>
      <c r="BX2565" s="1"/>
      <c r="BY2565" s="1"/>
      <c r="BZ2565" s="1">
        <v>0</v>
      </c>
      <c r="CA2565" s="1" t="s">
        <v>109</v>
      </c>
      <c r="CB2565" s="1">
        <v>9</v>
      </c>
      <c r="CC2565" s="1">
        <v>9</v>
      </c>
      <c r="CD2565" s="1" t="s">
        <v>109</v>
      </c>
      <c r="CE2565" s="1" t="s">
        <v>109</v>
      </c>
      <c r="CF2565" s="1" t="s">
        <v>109</v>
      </c>
      <c r="CG2565" s="1" t="s">
        <v>109</v>
      </c>
      <c r="CH2565" s="1" t="s">
        <v>109</v>
      </c>
      <c r="CI2565" s="1" t="s">
        <v>109</v>
      </c>
      <c r="CJ2565" s="1" t="s">
        <v>109</v>
      </c>
      <c r="CK2565" s="1"/>
      <c r="CL2565" s="1">
        <v>0</v>
      </c>
      <c r="CM2565" s="1">
        <v>0</v>
      </c>
      <c r="CN2565" s="1">
        <v>0</v>
      </c>
    </row>
    <row r="2566" spans="1:92" ht="14.25" customHeight="1" x14ac:dyDescent="0.15">
      <c r="A2566" s="1" t="s">
        <v>18254</v>
      </c>
      <c r="B2566" s="1" t="s">
        <v>95</v>
      </c>
      <c r="C2566" s="1" t="s">
        <v>1522</v>
      </c>
      <c r="D2566" s="1" t="s">
        <v>12797</v>
      </c>
      <c r="E2566" s="1" t="s">
        <v>18255</v>
      </c>
      <c r="F2566" s="1" t="s">
        <v>98</v>
      </c>
      <c r="G2566" s="1" t="s">
        <v>18256</v>
      </c>
      <c r="H2566" s="1">
        <v>1</v>
      </c>
      <c r="I2566" s="1" t="s">
        <v>142</v>
      </c>
      <c r="J2566" s="1"/>
      <c r="K2566" s="1"/>
      <c r="L2566" s="1" t="s">
        <v>1391</v>
      </c>
      <c r="M2566" s="1" t="s">
        <v>211</v>
      </c>
      <c r="N2566" s="1">
        <v>0</v>
      </c>
      <c r="O2566" s="1">
        <v>0</v>
      </c>
      <c r="P2566" s="1" t="s">
        <v>18257</v>
      </c>
      <c r="Q2566" s="1" t="s">
        <v>268</v>
      </c>
      <c r="R2566" s="1" t="s">
        <v>18258</v>
      </c>
      <c r="S2566" s="1" t="s">
        <v>18259</v>
      </c>
      <c r="T2566" s="1" t="s">
        <v>17916</v>
      </c>
      <c r="U2566" s="1" t="s">
        <v>18260</v>
      </c>
      <c r="V2566" s="1">
        <v>1</v>
      </c>
      <c r="W2566" s="1">
        <v>1</v>
      </c>
      <c r="X2566" s="1">
        <v>1</v>
      </c>
      <c r="Y2566" s="1">
        <v>0</v>
      </c>
      <c r="Z2566" s="1">
        <v>0</v>
      </c>
      <c r="AA2566" s="1">
        <v>9</v>
      </c>
      <c r="AB2566" s="1">
        <v>9</v>
      </c>
      <c r="AC2566" s="1" t="s">
        <v>109</v>
      </c>
      <c r="AD2566" s="1" t="s">
        <v>109</v>
      </c>
      <c r="AE2566" s="1" t="s">
        <v>109</v>
      </c>
      <c r="AF2566" s="1" t="s">
        <v>109</v>
      </c>
      <c r="AG2566" s="1" t="s">
        <v>109</v>
      </c>
      <c r="AH2566" s="1" t="s">
        <v>109</v>
      </c>
      <c r="AI2566" s="1" t="s">
        <v>109</v>
      </c>
      <c r="AJ2566" s="1">
        <v>9</v>
      </c>
      <c r="AK2566" s="1" t="s">
        <v>109</v>
      </c>
      <c r="AL2566" s="1" t="s">
        <v>109</v>
      </c>
      <c r="AM2566" s="1" t="s">
        <v>109</v>
      </c>
      <c r="AN2566" s="1" t="s">
        <v>109</v>
      </c>
      <c r="AO2566" s="1" t="s">
        <v>109</v>
      </c>
      <c r="AP2566" s="1"/>
      <c r="AQ2566" s="1">
        <v>9</v>
      </c>
      <c r="AR2566" s="1"/>
      <c r="AS2566" s="1" t="s">
        <v>18261</v>
      </c>
      <c r="AT2566" s="1">
        <v>0</v>
      </c>
      <c r="AU2566" s="1">
        <v>0</v>
      </c>
      <c r="AV2566" s="1">
        <v>0</v>
      </c>
      <c r="AW2566" s="1">
        <v>0</v>
      </c>
      <c r="AX2566" s="1">
        <v>0</v>
      </c>
      <c r="AY2566" s="1">
        <v>0</v>
      </c>
      <c r="AZ2566" s="1">
        <v>0</v>
      </c>
      <c r="BA2566" s="1">
        <v>0</v>
      </c>
      <c r="BB2566" s="1">
        <v>0</v>
      </c>
      <c r="BC2566" s="1">
        <v>0</v>
      </c>
      <c r="BD2566" s="1">
        <v>0</v>
      </c>
      <c r="BE2566" s="1">
        <v>1</v>
      </c>
      <c r="BF2566" s="1">
        <v>0</v>
      </c>
      <c r="BG2566" s="1">
        <v>0</v>
      </c>
      <c r="BH2566" s="1">
        <v>0</v>
      </c>
      <c r="BI2566" s="1">
        <v>0</v>
      </c>
      <c r="BJ2566" s="1">
        <v>0</v>
      </c>
      <c r="BK2566" s="1">
        <v>0</v>
      </c>
      <c r="BL2566" s="1">
        <v>0</v>
      </c>
      <c r="BM2566" s="1">
        <v>1</v>
      </c>
      <c r="BN2566" s="1">
        <v>0</v>
      </c>
      <c r="BO2566" s="1">
        <v>0</v>
      </c>
      <c r="BP2566" s="1">
        <v>0</v>
      </c>
      <c r="BQ2566" s="1">
        <v>0</v>
      </c>
      <c r="BR2566" s="1">
        <v>0</v>
      </c>
      <c r="BS2566" s="1" t="s">
        <v>109</v>
      </c>
      <c r="BT2566" s="1">
        <v>2669</v>
      </c>
      <c r="BU2566" s="1">
        <v>1000</v>
      </c>
      <c r="BV2566" s="1"/>
      <c r="BW2566" s="1"/>
      <c r="BX2566" s="1"/>
      <c r="BY2566" s="1"/>
      <c r="BZ2566" s="1">
        <v>0</v>
      </c>
      <c r="CA2566" s="1" t="s">
        <v>109</v>
      </c>
      <c r="CB2566" s="1" t="s">
        <v>109</v>
      </c>
      <c r="CC2566" s="1">
        <v>9</v>
      </c>
      <c r="CD2566" s="1" t="s">
        <v>109</v>
      </c>
      <c r="CE2566" s="1" t="s">
        <v>109</v>
      </c>
      <c r="CF2566" s="1" t="s">
        <v>109</v>
      </c>
      <c r="CG2566" s="1" t="s">
        <v>109</v>
      </c>
      <c r="CH2566" s="1" t="s">
        <v>109</v>
      </c>
      <c r="CI2566" s="1" t="s">
        <v>109</v>
      </c>
      <c r="CJ2566" s="1" t="s">
        <v>109</v>
      </c>
      <c r="CK2566" s="1"/>
      <c r="CL2566" s="1">
        <v>0</v>
      </c>
      <c r="CM2566" s="1">
        <v>0</v>
      </c>
      <c r="CN2566" s="1">
        <v>0</v>
      </c>
    </row>
    <row r="2567" spans="1:92" ht="14.25" customHeight="1" x14ac:dyDescent="0.15">
      <c r="A2567" s="1" t="s">
        <v>18262</v>
      </c>
      <c r="B2567" s="1" t="s">
        <v>674</v>
      </c>
      <c r="C2567" s="1" t="s">
        <v>1715</v>
      </c>
      <c r="D2567" s="1" t="s">
        <v>18263</v>
      </c>
      <c r="E2567" s="1" t="s">
        <v>18264</v>
      </c>
      <c r="F2567" s="1" t="s">
        <v>98</v>
      </c>
      <c r="G2567" s="1" t="s">
        <v>18265</v>
      </c>
      <c r="H2567" s="1">
        <v>0</v>
      </c>
      <c r="I2567" s="1" t="s">
        <v>161</v>
      </c>
      <c r="J2567" s="1"/>
      <c r="K2567" s="1"/>
      <c r="L2567" s="1" t="s">
        <v>18266</v>
      </c>
      <c r="M2567" s="1" t="s">
        <v>5811</v>
      </c>
      <c r="N2567" s="1">
        <v>1</v>
      </c>
      <c r="O2567" s="1">
        <v>0</v>
      </c>
      <c r="P2567" s="1" t="s">
        <v>301</v>
      </c>
      <c r="Q2567" s="1" t="s">
        <v>268</v>
      </c>
      <c r="R2567" s="1" t="s">
        <v>18267</v>
      </c>
      <c r="S2567" s="1" t="s">
        <v>18268</v>
      </c>
      <c r="T2567" s="1" t="s">
        <v>17916</v>
      </c>
      <c r="U2567" s="1" t="s">
        <v>18269</v>
      </c>
      <c r="V2567" s="1">
        <v>1</v>
      </c>
      <c r="W2567" s="1">
        <v>1</v>
      </c>
      <c r="X2567" s="1">
        <v>1</v>
      </c>
      <c r="Y2567" s="1">
        <v>0</v>
      </c>
      <c r="Z2567" s="1">
        <v>1</v>
      </c>
      <c r="AA2567" s="1">
        <v>6</v>
      </c>
      <c r="AB2567" s="1">
        <v>6</v>
      </c>
      <c r="AC2567" s="1" t="s">
        <v>109</v>
      </c>
      <c r="AD2567" s="1" t="s">
        <v>109</v>
      </c>
      <c r="AE2567" s="1" t="s">
        <v>109</v>
      </c>
      <c r="AF2567" s="1">
        <v>6</v>
      </c>
      <c r="AG2567" s="1" t="s">
        <v>109</v>
      </c>
      <c r="AH2567" s="1" t="s">
        <v>109</v>
      </c>
      <c r="AI2567" s="1" t="s">
        <v>109</v>
      </c>
      <c r="AJ2567" s="1">
        <v>6</v>
      </c>
      <c r="AK2567" s="1" t="s">
        <v>109</v>
      </c>
      <c r="AL2567" s="1" t="s">
        <v>109</v>
      </c>
      <c r="AM2567" s="1" t="s">
        <v>109</v>
      </c>
      <c r="AN2567" s="1" t="s">
        <v>109</v>
      </c>
      <c r="AO2567" s="1" t="s">
        <v>109</v>
      </c>
      <c r="AP2567" s="1"/>
      <c r="AQ2567" s="1">
        <v>6</v>
      </c>
      <c r="AR2567" s="1"/>
      <c r="AS2567" s="1" t="s">
        <v>18270</v>
      </c>
      <c r="AT2567" s="1">
        <v>0</v>
      </c>
      <c r="AU2567" s="1">
        <v>0</v>
      </c>
      <c r="AV2567" s="1">
        <v>0</v>
      </c>
      <c r="AW2567" s="1">
        <v>0</v>
      </c>
      <c r="AX2567" s="1">
        <v>0</v>
      </c>
      <c r="AY2567" s="1">
        <v>0</v>
      </c>
      <c r="AZ2567" s="1">
        <v>0</v>
      </c>
      <c r="BA2567" s="1">
        <v>0</v>
      </c>
      <c r="BB2567" s="1">
        <v>0</v>
      </c>
      <c r="BC2567" s="1">
        <v>0</v>
      </c>
      <c r="BD2567" s="1">
        <v>1</v>
      </c>
      <c r="BE2567" s="1">
        <v>1</v>
      </c>
      <c r="BF2567" s="1">
        <v>0</v>
      </c>
      <c r="BG2567" s="1">
        <v>0</v>
      </c>
      <c r="BH2567" s="1">
        <v>0</v>
      </c>
      <c r="BI2567" s="1">
        <v>0</v>
      </c>
      <c r="BJ2567" s="1">
        <v>0</v>
      </c>
      <c r="BK2567" s="1">
        <v>0</v>
      </c>
      <c r="BL2567" s="1">
        <v>0</v>
      </c>
      <c r="BM2567" s="1">
        <v>1</v>
      </c>
      <c r="BN2567" s="1">
        <v>0</v>
      </c>
      <c r="BO2567" s="1">
        <v>0</v>
      </c>
      <c r="BP2567" s="1">
        <v>0</v>
      </c>
      <c r="BQ2567" s="1">
        <v>0</v>
      </c>
      <c r="BR2567" s="1">
        <v>0</v>
      </c>
      <c r="BS2567" s="1" t="s">
        <v>109</v>
      </c>
      <c r="BT2567" s="1">
        <v>2670</v>
      </c>
      <c r="BU2567" s="1" t="s">
        <v>109</v>
      </c>
      <c r="BV2567" s="1"/>
      <c r="BW2567" s="1"/>
      <c r="BX2567" s="1"/>
      <c r="BY2567" s="1"/>
      <c r="BZ2567" s="1">
        <v>0</v>
      </c>
      <c r="CA2567" s="1" t="s">
        <v>109</v>
      </c>
      <c r="CB2567" s="1" t="s">
        <v>109</v>
      </c>
      <c r="CC2567" s="1">
        <v>6</v>
      </c>
      <c r="CD2567" s="1" t="s">
        <v>109</v>
      </c>
      <c r="CE2567" s="1">
        <v>6</v>
      </c>
      <c r="CF2567" s="1" t="s">
        <v>109</v>
      </c>
      <c r="CG2567" s="1" t="s">
        <v>109</v>
      </c>
      <c r="CH2567" s="1" t="s">
        <v>109</v>
      </c>
      <c r="CI2567" s="1" t="s">
        <v>109</v>
      </c>
      <c r="CJ2567" s="1" t="s">
        <v>109</v>
      </c>
      <c r="CK2567" s="1"/>
      <c r="CL2567" s="1">
        <v>0</v>
      </c>
      <c r="CM2567" s="1">
        <v>0</v>
      </c>
      <c r="CN2567" s="1">
        <v>0</v>
      </c>
    </row>
    <row r="2568" spans="1:92" ht="14.25" customHeight="1" x14ac:dyDescent="0.15">
      <c r="A2568" s="1" t="s">
        <v>18271</v>
      </c>
      <c r="B2568" s="1" t="s">
        <v>156</v>
      </c>
      <c r="C2568" s="1" t="s">
        <v>157</v>
      </c>
      <c r="D2568" s="1" t="s">
        <v>16043</v>
      </c>
      <c r="E2568" s="1" t="s">
        <v>18272</v>
      </c>
      <c r="F2568" s="1" t="s">
        <v>98</v>
      </c>
      <c r="G2568" s="1" t="s">
        <v>18273</v>
      </c>
      <c r="H2568" s="1">
        <v>0</v>
      </c>
      <c r="I2568" s="1" t="s">
        <v>142</v>
      </c>
      <c r="J2568" s="1"/>
      <c r="K2568" s="1"/>
      <c r="L2568" s="1" t="s">
        <v>1391</v>
      </c>
      <c r="M2568" s="1" t="s">
        <v>289</v>
      </c>
      <c r="N2568" s="1">
        <v>0</v>
      </c>
      <c r="O2568" s="1">
        <v>0</v>
      </c>
      <c r="P2568" s="1" t="s">
        <v>301</v>
      </c>
      <c r="Q2568" s="1" t="s">
        <v>268</v>
      </c>
      <c r="R2568" s="1" t="s">
        <v>18274</v>
      </c>
      <c r="S2568" s="1" t="s">
        <v>18275</v>
      </c>
      <c r="T2568" s="1" t="s">
        <v>17916</v>
      </c>
      <c r="U2568" s="1" t="s">
        <v>18276</v>
      </c>
      <c r="V2568" s="1">
        <v>1</v>
      </c>
      <c r="W2568" s="1">
        <v>1</v>
      </c>
      <c r="X2568" s="1">
        <v>1</v>
      </c>
      <c r="Y2568" s="1">
        <v>0</v>
      </c>
      <c r="Z2568" s="1">
        <v>1</v>
      </c>
      <c r="AA2568" s="1">
        <v>5</v>
      </c>
      <c r="AB2568" s="1">
        <v>5</v>
      </c>
      <c r="AC2568" s="1" t="s">
        <v>109</v>
      </c>
      <c r="AD2568" s="1" t="s">
        <v>109</v>
      </c>
      <c r="AE2568" s="1" t="s">
        <v>109</v>
      </c>
      <c r="AF2568" s="1">
        <v>4</v>
      </c>
      <c r="AG2568" s="1" t="s">
        <v>109</v>
      </c>
      <c r="AH2568" s="1" t="s">
        <v>109</v>
      </c>
      <c r="AI2568" s="1" t="s">
        <v>109</v>
      </c>
      <c r="AJ2568" s="1">
        <v>5</v>
      </c>
      <c r="AK2568" s="1" t="s">
        <v>109</v>
      </c>
      <c r="AL2568" s="1" t="s">
        <v>109</v>
      </c>
      <c r="AM2568" s="1" t="s">
        <v>109</v>
      </c>
      <c r="AN2568" s="1" t="s">
        <v>109</v>
      </c>
      <c r="AO2568" s="1" t="s">
        <v>109</v>
      </c>
      <c r="AP2568" s="1"/>
      <c r="AQ2568" s="1">
        <v>5</v>
      </c>
      <c r="AR2568" s="1"/>
      <c r="AS2568" s="1" t="s">
        <v>18277</v>
      </c>
      <c r="AT2568" s="1">
        <v>0</v>
      </c>
      <c r="AU2568" s="1">
        <v>0</v>
      </c>
      <c r="AV2568" s="1">
        <v>0</v>
      </c>
      <c r="AW2568" s="1">
        <v>0</v>
      </c>
      <c r="AX2568" s="1">
        <v>0</v>
      </c>
      <c r="AY2568" s="1">
        <v>0</v>
      </c>
      <c r="AZ2568" s="1">
        <v>0</v>
      </c>
      <c r="BA2568" s="1">
        <v>0</v>
      </c>
      <c r="BB2568" s="1">
        <v>0</v>
      </c>
      <c r="BC2568" s="1">
        <v>0</v>
      </c>
      <c r="BD2568" s="1">
        <v>1</v>
      </c>
      <c r="BE2568" s="1">
        <v>0</v>
      </c>
      <c r="BF2568" s="1">
        <v>0</v>
      </c>
      <c r="BG2568" s="1">
        <v>0</v>
      </c>
      <c r="BH2568" s="1">
        <v>0</v>
      </c>
      <c r="BI2568" s="1">
        <v>0</v>
      </c>
      <c r="BJ2568" s="1">
        <v>0</v>
      </c>
      <c r="BK2568" s="1">
        <v>0</v>
      </c>
      <c r="BL2568" s="1">
        <v>0</v>
      </c>
      <c r="BM2568" s="1">
        <v>1</v>
      </c>
      <c r="BN2568" s="1">
        <v>0</v>
      </c>
      <c r="BO2568" s="1">
        <v>0</v>
      </c>
      <c r="BP2568" s="1">
        <v>0</v>
      </c>
      <c r="BQ2568" s="1">
        <v>0</v>
      </c>
      <c r="BR2568" s="1">
        <v>0</v>
      </c>
      <c r="BS2568" s="1" t="s">
        <v>109</v>
      </c>
      <c r="BT2568" s="1">
        <v>2671</v>
      </c>
      <c r="BU2568" s="1" t="s">
        <v>109</v>
      </c>
      <c r="BV2568" s="1"/>
      <c r="BW2568" s="1"/>
      <c r="BX2568" s="1"/>
      <c r="BY2568" s="1"/>
      <c r="BZ2568" s="1">
        <v>0</v>
      </c>
      <c r="CA2568" s="1" t="s">
        <v>109</v>
      </c>
      <c r="CB2568" s="1" t="s">
        <v>109</v>
      </c>
      <c r="CC2568" s="1">
        <v>5</v>
      </c>
      <c r="CD2568" s="1">
        <v>4</v>
      </c>
      <c r="CE2568" s="1">
        <v>4</v>
      </c>
      <c r="CF2568" s="1" t="s">
        <v>109</v>
      </c>
      <c r="CG2568" s="1" t="s">
        <v>109</v>
      </c>
      <c r="CH2568" s="1" t="s">
        <v>109</v>
      </c>
      <c r="CI2568" s="1" t="s">
        <v>109</v>
      </c>
      <c r="CJ2568" s="1" t="s">
        <v>109</v>
      </c>
      <c r="CK2568" s="1"/>
      <c r="CL2568" s="1">
        <v>0</v>
      </c>
      <c r="CM2568" s="1">
        <v>0</v>
      </c>
      <c r="CN2568" s="1">
        <v>0</v>
      </c>
    </row>
    <row r="2569" spans="1:92" ht="14.25" customHeight="1" x14ac:dyDescent="0.15">
      <c r="A2569" s="1" t="s">
        <v>18278</v>
      </c>
      <c r="B2569" s="1" t="s">
        <v>674</v>
      </c>
      <c r="C2569" s="1" t="s">
        <v>1715</v>
      </c>
      <c r="D2569" s="1" t="s">
        <v>158</v>
      </c>
      <c r="E2569" s="1" t="s">
        <v>18279</v>
      </c>
      <c r="F2569" s="1" t="s">
        <v>98</v>
      </c>
      <c r="G2569" s="1" t="s">
        <v>18280</v>
      </c>
      <c r="H2569" s="1">
        <v>0</v>
      </c>
      <c r="I2569" s="1" t="s">
        <v>122</v>
      </c>
      <c r="J2569" s="1"/>
      <c r="K2569" s="1"/>
      <c r="L2569" s="1" t="s">
        <v>563</v>
      </c>
      <c r="M2569" s="1" t="s">
        <v>574</v>
      </c>
      <c r="N2569" s="1">
        <v>1</v>
      </c>
      <c r="O2569" s="1">
        <v>0</v>
      </c>
      <c r="P2569" s="1" t="s">
        <v>18281</v>
      </c>
      <c r="Q2569" s="1" t="s">
        <v>268</v>
      </c>
      <c r="R2569" s="1" t="s">
        <v>18282</v>
      </c>
      <c r="S2569" s="1" t="s">
        <v>18283</v>
      </c>
      <c r="T2569" s="1" t="s">
        <v>17916</v>
      </c>
      <c r="U2569" s="1" t="s">
        <v>18284</v>
      </c>
      <c r="V2569" s="1">
        <v>1</v>
      </c>
      <c r="W2569" s="1">
        <v>1</v>
      </c>
      <c r="X2569" s="1">
        <v>1</v>
      </c>
      <c r="Y2569" s="1">
        <v>0</v>
      </c>
      <c r="Z2569" s="1">
        <v>0</v>
      </c>
      <c r="AA2569" s="1">
        <v>4</v>
      </c>
      <c r="AB2569" s="1">
        <v>4</v>
      </c>
      <c r="AC2569" s="1" t="s">
        <v>109</v>
      </c>
      <c r="AD2569" s="1" t="s">
        <v>109</v>
      </c>
      <c r="AE2569" s="1" t="s">
        <v>109</v>
      </c>
      <c r="AF2569" s="1" t="s">
        <v>109</v>
      </c>
      <c r="AG2569" s="1" t="s">
        <v>109</v>
      </c>
      <c r="AH2569" s="1" t="s">
        <v>109</v>
      </c>
      <c r="AI2569" s="1" t="s">
        <v>109</v>
      </c>
      <c r="AJ2569" s="1">
        <v>4</v>
      </c>
      <c r="AK2569" s="1" t="s">
        <v>109</v>
      </c>
      <c r="AL2569" s="1" t="s">
        <v>109</v>
      </c>
      <c r="AM2569" s="1" t="s">
        <v>109</v>
      </c>
      <c r="AN2569" s="1" t="s">
        <v>109</v>
      </c>
      <c r="AO2569" s="1" t="s">
        <v>109</v>
      </c>
      <c r="AP2569" s="1"/>
      <c r="AQ2569" s="1">
        <v>4</v>
      </c>
      <c r="AR2569" s="1"/>
      <c r="AS2569" s="1" t="s">
        <v>18285</v>
      </c>
      <c r="AT2569" s="1">
        <v>0</v>
      </c>
      <c r="AU2569" s="1">
        <v>0</v>
      </c>
      <c r="AV2569" s="1">
        <v>0</v>
      </c>
      <c r="AW2569" s="1">
        <v>0</v>
      </c>
      <c r="AX2569" s="1">
        <v>0</v>
      </c>
      <c r="AY2569" s="1">
        <v>0</v>
      </c>
      <c r="AZ2569" s="1">
        <v>0</v>
      </c>
      <c r="BA2569" s="1">
        <v>0</v>
      </c>
      <c r="BB2569" s="1">
        <v>0</v>
      </c>
      <c r="BC2569" s="1">
        <v>0</v>
      </c>
      <c r="BD2569" s="1">
        <v>0</v>
      </c>
      <c r="BE2569" s="1">
        <v>0</v>
      </c>
      <c r="BF2569" s="1">
        <v>0</v>
      </c>
      <c r="BG2569" s="1">
        <v>0</v>
      </c>
      <c r="BH2569" s="1">
        <v>0</v>
      </c>
      <c r="BI2569" s="1">
        <v>0</v>
      </c>
      <c r="BJ2569" s="1">
        <v>0</v>
      </c>
      <c r="BK2569" s="1">
        <v>0</v>
      </c>
      <c r="BL2569" s="1">
        <v>0</v>
      </c>
      <c r="BM2569" s="1">
        <v>1</v>
      </c>
      <c r="BN2569" s="1">
        <v>0</v>
      </c>
      <c r="BO2569" s="1">
        <v>0</v>
      </c>
      <c r="BP2569" s="1">
        <v>0</v>
      </c>
      <c r="BQ2569" s="1">
        <v>0</v>
      </c>
      <c r="BR2569" s="1">
        <v>0</v>
      </c>
      <c r="BS2569" s="1" t="s">
        <v>109</v>
      </c>
      <c r="BT2569" s="1">
        <v>2672</v>
      </c>
      <c r="BU2569" s="1" t="s">
        <v>109</v>
      </c>
      <c r="BV2569" s="1"/>
      <c r="BW2569" s="1"/>
      <c r="BX2569" s="1"/>
      <c r="BY2569" s="1"/>
      <c r="BZ2569" s="1">
        <v>0</v>
      </c>
      <c r="CA2569" s="1" t="s">
        <v>109</v>
      </c>
      <c r="CB2569" s="1" t="s">
        <v>109</v>
      </c>
      <c r="CC2569" s="1">
        <v>4</v>
      </c>
      <c r="CD2569" s="1">
        <v>3</v>
      </c>
      <c r="CE2569" s="1">
        <v>4</v>
      </c>
      <c r="CF2569" s="1" t="s">
        <v>109</v>
      </c>
      <c r="CG2569" s="1">
        <v>4</v>
      </c>
      <c r="CH2569" s="1" t="s">
        <v>109</v>
      </c>
      <c r="CI2569" s="1" t="s">
        <v>109</v>
      </c>
      <c r="CJ2569" s="1" t="s">
        <v>109</v>
      </c>
      <c r="CK2569" s="1"/>
      <c r="CL2569" s="1">
        <v>0</v>
      </c>
      <c r="CM2569" s="1">
        <v>0</v>
      </c>
      <c r="CN2569" s="1">
        <v>0</v>
      </c>
    </row>
    <row r="2570" spans="1:92" ht="14.25" customHeight="1" x14ac:dyDescent="0.15">
      <c r="A2570" s="1" t="s">
        <v>18286</v>
      </c>
      <c r="B2570" s="1" t="s">
        <v>674</v>
      </c>
      <c r="C2570" s="1" t="s">
        <v>1715</v>
      </c>
      <c r="D2570" s="1" t="s">
        <v>473</v>
      </c>
      <c r="E2570" s="1" t="s">
        <v>18287</v>
      </c>
      <c r="F2570" s="1" t="s">
        <v>98</v>
      </c>
      <c r="G2570" s="1" t="s">
        <v>141</v>
      </c>
      <c r="H2570" s="1">
        <v>0</v>
      </c>
      <c r="I2570" s="1" t="s">
        <v>122</v>
      </c>
      <c r="J2570" s="1"/>
      <c r="K2570" s="1"/>
      <c r="L2570" s="1" t="s">
        <v>716</v>
      </c>
      <c r="M2570" s="1" t="s">
        <v>574</v>
      </c>
      <c r="N2570" s="1">
        <v>1</v>
      </c>
      <c r="O2570" s="1">
        <v>0</v>
      </c>
      <c r="P2570" s="1" t="s">
        <v>18281</v>
      </c>
      <c r="Q2570" s="1" t="s">
        <v>268</v>
      </c>
      <c r="R2570" s="1" t="s">
        <v>18288</v>
      </c>
      <c r="S2570" s="1" t="s">
        <v>18289</v>
      </c>
      <c r="T2570" s="1" t="s">
        <v>17916</v>
      </c>
      <c r="U2570" s="1" t="s">
        <v>18290</v>
      </c>
      <c r="V2570" s="1">
        <v>1</v>
      </c>
      <c r="W2570" s="1">
        <v>1</v>
      </c>
      <c r="X2570" s="1">
        <v>0</v>
      </c>
      <c r="Y2570" s="1">
        <v>0</v>
      </c>
      <c r="Z2570" s="1">
        <v>0</v>
      </c>
      <c r="AA2570" s="1">
        <v>6</v>
      </c>
      <c r="AB2570" s="1">
        <v>6</v>
      </c>
      <c r="AC2570" s="1" t="s">
        <v>109</v>
      </c>
      <c r="AD2570" s="1" t="s">
        <v>109</v>
      </c>
      <c r="AE2570" s="1" t="s">
        <v>109</v>
      </c>
      <c r="AF2570" s="1" t="s">
        <v>109</v>
      </c>
      <c r="AG2570" s="1" t="s">
        <v>109</v>
      </c>
      <c r="AH2570" s="1" t="s">
        <v>109</v>
      </c>
      <c r="AI2570" s="1" t="s">
        <v>109</v>
      </c>
      <c r="AJ2570" s="1">
        <v>6</v>
      </c>
      <c r="AK2570" s="1" t="s">
        <v>109</v>
      </c>
      <c r="AL2570" s="1" t="s">
        <v>109</v>
      </c>
      <c r="AM2570" s="1" t="s">
        <v>109</v>
      </c>
      <c r="AN2570" s="1" t="s">
        <v>109</v>
      </c>
      <c r="AO2570" s="1" t="s">
        <v>109</v>
      </c>
      <c r="AP2570" s="1"/>
      <c r="AQ2570" s="1">
        <v>6</v>
      </c>
      <c r="AR2570" s="1"/>
      <c r="AS2570" s="1" t="s">
        <v>18291</v>
      </c>
      <c r="AT2570" s="1">
        <v>0</v>
      </c>
      <c r="AU2570" s="1">
        <v>0</v>
      </c>
      <c r="AV2570" s="1">
        <v>0</v>
      </c>
      <c r="AW2570" s="1">
        <v>0</v>
      </c>
      <c r="AX2570" s="1">
        <v>0</v>
      </c>
      <c r="AY2570" s="1">
        <v>0</v>
      </c>
      <c r="AZ2570" s="1">
        <v>0</v>
      </c>
      <c r="BA2570" s="1">
        <v>0</v>
      </c>
      <c r="BB2570" s="1">
        <v>0</v>
      </c>
      <c r="BC2570" s="1">
        <v>0</v>
      </c>
      <c r="BD2570" s="1">
        <v>0</v>
      </c>
      <c r="BE2570" s="1">
        <v>0</v>
      </c>
      <c r="BF2570" s="1">
        <v>1</v>
      </c>
      <c r="BG2570" s="1">
        <v>0</v>
      </c>
      <c r="BH2570" s="1">
        <v>0</v>
      </c>
      <c r="BI2570" s="1">
        <v>0</v>
      </c>
      <c r="BJ2570" s="1">
        <v>0</v>
      </c>
      <c r="BK2570" s="1">
        <v>0</v>
      </c>
      <c r="BL2570" s="1">
        <v>0</v>
      </c>
      <c r="BM2570" s="1">
        <v>1</v>
      </c>
      <c r="BN2570" s="1">
        <v>0</v>
      </c>
      <c r="BO2570" s="1">
        <v>0</v>
      </c>
      <c r="BP2570" s="1">
        <v>0</v>
      </c>
      <c r="BQ2570" s="1">
        <v>0</v>
      </c>
      <c r="BR2570" s="1">
        <v>0</v>
      </c>
      <c r="BS2570" s="1" t="s">
        <v>109</v>
      </c>
      <c r="BT2570" s="1">
        <v>2673</v>
      </c>
      <c r="BU2570" s="1" t="s">
        <v>109</v>
      </c>
      <c r="BV2570" s="1"/>
      <c r="BW2570" s="1"/>
      <c r="BX2570" s="1"/>
      <c r="BY2570" s="1"/>
      <c r="BZ2570" s="1">
        <v>0</v>
      </c>
      <c r="CA2570" s="1" t="s">
        <v>109</v>
      </c>
      <c r="CB2570" s="1" t="s">
        <v>109</v>
      </c>
      <c r="CC2570" s="1" t="s">
        <v>109</v>
      </c>
      <c r="CD2570" s="1">
        <v>4</v>
      </c>
      <c r="CE2570" s="1">
        <v>5</v>
      </c>
      <c r="CF2570" s="1" t="s">
        <v>109</v>
      </c>
      <c r="CG2570" s="1" t="s">
        <v>109</v>
      </c>
      <c r="CH2570" s="1" t="s">
        <v>109</v>
      </c>
      <c r="CI2570" s="1" t="s">
        <v>109</v>
      </c>
      <c r="CJ2570" s="1" t="s">
        <v>109</v>
      </c>
      <c r="CK2570" s="1"/>
      <c r="CL2570" s="1">
        <v>0</v>
      </c>
      <c r="CM2570" s="1">
        <v>0</v>
      </c>
      <c r="CN2570" s="1">
        <v>0</v>
      </c>
    </row>
    <row r="2571" spans="1:92" ht="14.25" customHeight="1" x14ac:dyDescent="0.15">
      <c r="A2571" s="1" t="s">
        <v>18292</v>
      </c>
      <c r="B2571" s="1" t="s">
        <v>156</v>
      </c>
      <c r="C2571" s="1" t="s">
        <v>157</v>
      </c>
      <c r="D2571" s="1" t="s">
        <v>16098</v>
      </c>
      <c r="E2571" s="1" t="s">
        <v>18293</v>
      </c>
      <c r="F2571" s="1" t="s">
        <v>98</v>
      </c>
      <c r="G2571" s="1" t="s">
        <v>18294</v>
      </c>
      <c r="H2571" s="1">
        <v>0</v>
      </c>
      <c r="I2571" s="1" t="s">
        <v>142</v>
      </c>
      <c r="J2571" s="1"/>
      <c r="K2571" s="1"/>
      <c r="L2571" s="1" t="s">
        <v>17343</v>
      </c>
      <c r="M2571" s="1" t="s">
        <v>144</v>
      </c>
      <c r="N2571" s="1">
        <v>0</v>
      </c>
      <c r="O2571" s="1">
        <v>0</v>
      </c>
      <c r="P2571" s="1" t="s">
        <v>301</v>
      </c>
      <c r="Q2571" s="1" t="s">
        <v>268</v>
      </c>
      <c r="R2571" s="1" t="s">
        <v>18295</v>
      </c>
      <c r="S2571" s="1" t="s">
        <v>18296</v>
      </c>
      <c r="T2571" s="1" t="s">
        <v>17916</v>
      </c>
      <c r="U2571" s="1" t="s">
        <v>18297</v>
      </c>
      <c r="V2571" s="1">
        <v>1</v>
      </c>
      <c r="W2571" s="1">
        <v>1</v>
      </c>
      <c r="X2571" s="1">
        <v>1</v>
      </c>
      <c r="Y2571" s="1">
        <v>0</v>
      </c>
      <c r="Z2571" s="1">
        <v>0</v>
      </c>
      <c r="AA2571" s="1">
        <v>6</v>
      </c>
      <c r="AB2571" s="1">
        <v>6</v>
      </c>
      <c r="AC2571" s="1" t="s">
        <v>109</v>
      </c>
      <c r="AD2571" s="1" t="s">
        <v>109</v>
      </c>
      <c r="AE2571" s="1" t="s">
        <v>109</v>
      </c>
      <c r="AF2571" s="1">
        <v>5</v>
      </c>
      <c r="AG2571" s="1" t="s">
        <v>109</v>
      </c>
      <c r="AH2571" s="1" t="s">
        <v>109</v>
      </c>
      <c r="AI2571" s="1" t="s">
        <v>109</v>
      </c>
      <c r="AJ2571" s="1">
        <v>6</v>
      </c>
      <c r="AK2571" s="1" t="s">
        <v>109</v>
      </c>
      <c r="AL2571" s="1" t="s">
        <v>109</v>
      </c>
      <c r="AM2571" s="1" t="s">
        <v>109</v>
      </c>
      <c r="AN2571" s="1" t="s">
        <v>109</v>
      </c>
      <c r="AO2571" s="1" t="s">
        <v>109</v>
      </c>
      <c r="AP2571" s="1"/>
      <c r="AQ2571" s="1">
        <v>6</v>
      </c>
      <c r="AR2571" s="1"/>
      <c r="AS2571" s="1" t="s">
        <v>18298</v>
      </c>
      <c r="AT2571" s="1">
        <v>0</v>
      </c>
      <c r="AU2571" s="1">
        <v>0</v>
      </c>
      <c r="AV2571" s="1">
        <v>0</v>
      </c>
      <c r="AW2571" s="1">
        <v>0</v>
      </c>
      <c r="AX2571" s="1">
        <v>0</v>
      </c>
      <c r="AY2571" s="1">
        <v>0</v>
      </c>
      <c r="AZ2571" s="1">
        <v>0</v>
      </c>
      <c r="BA2571" s="1">
        <v>0</v>
      </c>
      <c r="BB2571" s="1">
        <v>0</v>
      </c>
      <c r="BC2571" s="1">
        <v>0</v>
      </c>
      <c r="BD2571" s="1">
        <v>1</v>
      </c>
      <c r="BE2571" s="1">
        <v>0</v>
      </c>
      <c r="BF2571" s="1">
        <v>1</v>
      </c>
      <c r="BG2571" s="1">
        <v>0</v>
      </c>
      <c r="BH2571" s="1">
        <v>0</v>
      </c>
      <c r="BI2571" s="1">
        <v>0</v>
      </c>
      <c r="BJ2571" s="1">
        <v>0</v>
      </c>
      <c r="BK2571" s="1">
        <v>0</v>
      </c>
      <c r="BL2571" s="1">
        <v>0</v>
      </c>
      <c r="BM2571" s="1">
        <v>1</v>
      </c>
      <c r="BN2571" s="1">
        <v>0</v>
      </c>
      <c r="BO2571" s="1">
        <v>0</v>
      </c>
      <c r="BP2571" s="1">
        <v>0</v>
      </c>
      <c r="BQ2571" s="1">
        <v>0</v>
      </c>
      <c r="BR2571" s="1">
        <v>0</v>
      </c>
      <c r="BS2571" s="1" t="s">
        <v>109</v>
      </c>
      <c r="BT2571" s="1">
        <v>2674</v>
      </c>
      <c r="BU2571" s="1" t="s">
        <v>109</v>
      </c>
      <c r="BV2571" s="1"/>
      <c r="BW2571" s="1"/>
      <c r="BX2571" s="1"/>
      <c r="BY2571" s="1"/>
      <c r="BZ2571" s="1">
        <v>0</v>
      </c>
      <c r="CA2571" s="1" t="s">
        <v>109</v>
      </c>
      <c r="CB2571" s="1" t="s">
        <v>109</v>
      </c>
      <c r="CC2571" s="1">
        <v>6</v>
      </c>
      <c r="CD2571" s="1" t="s">
        <v>109</v>
      </c>
      <c r="CE2571" s="1">
        <v>5</v>
      </c>
      <c r="CF2571" s="1" t="s">
        <v>109</v>
      </c>
      <c r="CG2571" s="1" t="s">
        <v>109</v>
      </c>
      <c r="CH2571" s="1" t="s">
        <v>109</v>
      </c>
      <c r="CI2571" s="1" t="s">
        <v>109</v>
      </c>
      <c r="CJ2571" s="1" t="s">
        <v>109</v>
      </c>
      <c r="CK2571" s="1"/>
      <c r="CL2571" s="1">
        <v>0</v>
      </c>
      <c r="CM2571" s="1">
        <v>0</v>
      </c>
      <c r="CN2571" s="1">
        <v>0</v>
      </c>
    </row>
    <row r="2572" spans="1:92" ht="14.25" customHeight="1" x14ac:dyDescent="0.15">
      <c r="A2572" s="1" t="s">
        <v>18299</v>
      </c>
      <c r="B2572" s="1" t="s">
        <v>308</v>
      </c>
      <c r="C2572" s="1"/>
      <c r="D2572" s="1" t="s">
        <v>57</v>
      </c>
      <c r="E2572" s="1" t="s">
        <v>18300</v>
      </c>
      <c r="F2572" s="1" t="s">
        <v>395</v>
      </c>
      <c r="G2572" s="1" t="s">
        <v>18301</v>
      </c>
      <c r="H2572" s="1">
        <v>1</v>
      </c>
      <c r="I2572" s="1" t="s">
        <v>142</v>
      </c>
      <c r="J2572" s="1"/>
      <c r="K2572" s="1"/>
      <c r="L2572" s="1" t="s">
        <v>1391</v>
      </c>
      <c r="M2572" s="1" t="s">
        <v>280</v>
      </c>
      <c r="N2572" s="1">
        <v>0</v>
      </c>
      <c r="O2572" s="1">
        <v>0</v>
      </c>
      <c r="P2572" s="1" t="s">
        <v>301</v>
      </c>
      <c r="Q2572" s="1" t="s">
        <v>104</v>
      </c>
      <c r="R2572" s="1" t="s">
        <v>18302</v>
      </c>
      <c r="S2572" s="1" t="s">
        <v>18303</v>
      </c>
      <c r="T2572" s="1" t="s">
        <v>17916</v>
      </c>
      <c r="U2572" s="1" t="s">
        <v>18304</v>
      </c>
      <c r="V2572" s="1">
        <v>1</v>
      </c>
      <c r="W2572" s="1">
        <v>1</v>
      </c>
      <c r="X2572" s="1">
        <v>1</v>
      </c>
      <c r="Y2572" s="1">
        <v>0</v>
      </c>
      <c r="Z2572" s="1">
        <v>0</v>
      </c>
      <c r="AA2572" s="1">
        <v>7</v>
      </c>
      <c r="AB2572" s="1">
        <v>7</v>
      </c>
      <c r="AC2572" s="1">
        <v>7</v>
      </c>
      <c r="AD2572" s="1">
        <v>7</v>
      </c>
      <c r="AE2572" s="1" t="s">
        <v>109</v>
      </c>
      <c r="AF2572" s="1" t="s">
        <v>109</v>
      </c>
      <c r="AG2572" s="1" t="s">
        <v>109</v>
      </c>
      <c r="AH2572" s="1" t="s">
        <v>109</v>
      </c>
      <c r="AI2572" s="1">
        <v>6</v>
      </c>
      <c r="AJ2572" s="1">
        <v>7</v>
      </c>
      <c r="AK2572" s="1" t="s">
        <v>109</v>
      </c>
      <c r="AL2572" s="1">
        <v>7</v>
      </c>
      <c r="AM2572" s="1" t="s">
        <v>109</v>
      </c>
      <c r="AN2572" s="1" t="s">
        <v>109</v>
      </c>
      <c r="AO2572" s="1" t="s">
        <v>109</v>
      </c>
      <c r="AP2572" s="1"/>
      <c r="AQ2572" s="1">
        <v>7</v>
      </c>
      <c r="AR2572" s="1"/>
      <c r="AS2572" s="1" t="s">
        <v>18305</v>
      </c>
      <c r="AT2572" s="1">
        <v>0</v>
      </c>
      <c r="AU2572" s="1">
        <v>0</v>
      </c>
      <c r="AV2572" s="1">
        <v>0</v>
      </c>
      <c r="AW2572" s="1">
        <v>0</v>
      </c>
      <c r="AX2572" s="1">
        <v>0</v>
      </c>
      <c r="AY2572" s="1">
        <v>0</v>
      </c>
      <c r="AZ2572" s="1">
        <v>0</v>
      </c>
      <c r="BA2572" s="1">
        <v>0</v>
      </c>
      <c r="BB2572" s="1">
        <v>0</v>
      </c>
      <c r="BC2572" s="1">
        <v>0</v>
      </c>
      <c r="BD2572" s="1">
        <v>0</v>
      </c>
      <c r="BE2572" s="1">
        <v>1</v>
      </c>
      <c r="BF2572" s="1">
        <v>0</v>
      </c>
      <c r="BG2572" s="1">
        <v>0</v>
      </c>
      <c r="BH2572" s="1">
        <v>0</v>
      </c>
      <c r="BI2572" s="1">
        <v>0</v>
      </c>
      <c r="BJ2572" s="1">
        <v>0</v>
      </c>
      <c r="BK2572" s="1">
        <v>0</v>
      </c>
      <c r="BL2572" s="1">
        <v>0</v>
      </c>
      <c r="BM2572" s="1">
        <v>0</v>
      </c>
      <c r="BN2572" s="1">
        <v>0</v>
      </c>
      <c r="BO2572" s="1">
        <v>0</v>
      </c>
      <c r="BP2572" s="1">
        <v>0</v>
      </c>
      <c r="BQ2572" s="1">
        <v>0</v>
      </c>
      <c r="BR2572" s="1">
        <v>0</v>
      </c>
      <c r="BS2572" s="1" t="s">
        <v>109</v>
      </c>
      <c r="BT2572" s="1">
        <v>2675</v>
      </c>
      <c r="BU2572" s="1">
        <v>2500</v>
      </c>
      <c r="BV2572" s="1"/>
      <c r="BW2572" s="1"/>
      <c r="BX2572" s="1"/>
      <c r="BY2572" s="1"/>
      <c r="BZ2572" s="1">
        <v>0</v>
      </c>
      <c r="CA2572" s="1" t="s">
        <v>109</v>
      </c>
      <c r="CB2572" s="1">
        <v>7</v>
      </c>
      <c r="CC2572" s="1" t="s">
        <v>109</v>
      </c>
      <c r="CD2572" s="1" t="s">
        <v>109</v>
      </c>
      <c r="CE2572" s="1" t="s">
        <v>109</v>
      </c>
      <c r="CF2572" s="1">
        <v>6</v>
      </c>
      <c r="CG2572" s="1" t="s">
        <v>109</v>
      </c>
      <c r="CH2572" s="1" t="s">
        <v>109</v>
      </c>
      <c r="CI2572" s="1" t="s">
        <v>109</v>
      </c>
      <c r="CJ2572" s="1" t="s">
        <v>109</v>
      </c>
      <c r="CK2572" s="1"/>
      <c r="CL2572" s="1">
        <v>0</v>
      </c>
      <c r="CM2572" s="1">
        <v>0</v>
      </c>
      <c r="CN2572" s="1">
        <v>0</v>
      </c>
    </row>
    <row r="2573" spans="1:92" ht="14.25" customHeight="1" x14ac:dyDescent="0.15">
      <c r="A2573" s="1" t="s">
        <v>18306</v>
      </c>
      <c r="B2573" s="1" t="s">
        <v>584</v>
      </c>
      <c r="C2573" s="1"/>
      <c r="D2573" s="1" t="s">
        <v>57</v>
      </c>
      <c r="E2573" s="1" t="s">
        <v>18307</v>
      </c>
      <c r="F2573" s="1" t="s">
        <v>98</v>
      </c>
      <c r="G2573" s="1" t="s">
        <v>160</v>
      </c>
      <c r="H2573" s="1">
        <v>0</v>
      </c>
      <c r="I2573" s="1" t="s">
        <v>235</v>
      </c>
      <c r="J2573" s="1"/>
      <c r="K2573" s="1"/>
      <c r="L2573" s="1" t="s">
        <v>236</v>
      </c>
      <c r="M2573" s="1" t="s">
        <v>574</v>
      </c>
      <c r="N2573" s="1">
        <v>1</v>
      </c>
      <c r="O2573" s="1">
        <v>0</v>
      </c>
      <c r="P2573" s="1"/>
      <c r="Q2573" s="1"/>
      <c r="R2573" s="1" t="s">
        <v>18308</v>
      </c>
      <c r="S2573" s="1" t="s">
        <v>18309</v>
      </c>
      <c r="T2573" s="1" t="s">
        <v>17916</v>
      </c>
      <c r="U2573" s="1" t="s">
        <v>18310</v>
      </c>
      <c r="V2573" s="1">
        <v>1</v>
      </c>
      <c r="W2573" s="1">
        <v>1</v>
      </c>
      <c r="X2573" s="1">
        <v>0</v>
      </c>
      <c r="Y2573" s="1">
        <v>0</v>
      </c>
      <c r="Z2573" s="1">
        <v>1</v>
      </c>
      <c r="AA2573" s="1" t="s">
        <v>109</v>
      </c>
      <c r="AB2573" s="1" t="s">
        <v>109</v>
      </c>
      <c r="AC2573" s="1">
        <v>5</v>
      </c>
      <c r="AD2573" s="1" t="s">
        <v>109</v>
      </c>
      <c r="AE2573" s="1" t="s">
        <v>109</v>
      </c>
      <c r="AF2573" s="1" t="s">
        <v>109</v>
      </c>
      <c r="AG2573" s="1" t="s">
        <v>109</v>
      </c>
      <c r="AH2573" s="1" t="s">
        <v>109</v>
      </c>
      <c r="AI2573" s="1" t="s">
        <v>109</v>
      </c>
      <c r="AJ2573" s="1" t="s">
        <v>109</v>
      </c>
      <c r="AK2573" s="1">
        <v>5</v>
      </c>
      <c r="AL2573" s="1">
        <v>5</v>
      </c>
      <c r="AM2573" s="1">
        <v>4</v>
      </c>
      <c r="AN2573" s="1" t="s">
        <v>109</v>
      </c>
      <c r="AO2573" s="1" t="s">
        <v>109</v>
      </c>
      <c r="AP2573" s="1"/>
      <c r="AQ2573" s="1">
        <v>5</v>
      </c>
      <c r="AR2573" s="1"/>
      <c r="AS2573" s="1" t="s">
        <v>18311</v>
      </c>
      <c r="AT2573" s="1">
        <v>0</v>
      </c>
      <c r="AU2573" s="1">
        <v>0</v>
      </c>
      <c r="AV2573" s="1">
        <v>0</v>
      </c>
      <c r="AW2573" s="1">
        <v>0</v>
      </c>
      <c r="AX2573" s="1">
        <v>0</v>
      </c>
      <c r="AY2573" s="1">
        <v>0</v>
      </c>
      <c r="AZ2573" s="1">
        <v>0</v>
      </c>
      <c r="BA2573" s="1">
        <v>0</v>
      </c>
      <c r="BB2573" s="1">
        <v>0</v>
      </c>
      <c r="BC2573" s="1">
        <v>0</v>
      </c>
      <c r="BD2573" s="1">
        <v>0</v>
      </c>
      <c r="BE2573" s="1">
        <v>1</v>
      </c>
      <c r="BF2573" s="1">
        <v>0</v>
      </c>
      <c r="BG2573" s="1">
        <v>0</v>
      </c>
      <c r="BH2573" s="1">
        <v>0</v>
      </c>
      <c r="BI2573" s="1">
        <v>0</v>
      </c>
      <c r="BJ2573" s="1">
        <v>0</v>
      </c>
      <c r="BK2573" s="1">
        <v>0</v>
      </c>
      <c r="BL2573" s="1">
        <v>0</v>
      </c>
      <c r="BM2573" s="1">
        <v>0</v>
      </c>
      <c r="BN2573" s="1">
        <v>0</v>
      </c>
      <c r="BO2573" s="1">
        <v>0</v>
      </c>
      <c r="BP2573" s="1">
        <v>0</v>
      </c>
      <c r="BQ2573" s="1">
        <v>0</v>
      </c>
      <c r="BR2573" s="1">
        <v>0</v>
      </c>
      <c r="BS2573" s="1" t="s">
        <v>109</v>
      </c>
      <c r="BT2573" s="1">
        <v>2676</v>
      </c>
      <c r="BU2573" s="1" t="s">
        <v>109</v>
      </c>
      <c r="BV2573" s="1"/>
      <c r="BW2573" s="1"/>
      <c r="BX2573" s="1"/>
      <c r="BY2573" s="1"/>
      <c r="BZ2573" s="1">
        <v>0</v>
      </c>
      <c r="CA2573" s="1" t="s">
        <v>109</v>
      </c>
      <c r="CB2573" s="1" t="s">
        <v>109</v>
      </c>
      <c r="CC2573" s="1" t="s">
        <v>109</v>
      </c>
      <c r="CD2573" s="1" t="s">
        <v>109</v>
      </c>
      <c r="CE2573" s="1" t="s">
        <v>109</v>
      </c>
      <c r="CF2573" s="1" t="s">
        <v>109</v>
      </c>
      <c r="CG2573" s="1" t="s">
        <v>109</v>
      </c>
      <c r="CH2573" s="1" t="s">
        <v>109</v>
      </c>
      <c r="CI2573" s="1" t="s">
        <v>109</v>
      </c>
      <c r="CJ2573" s="1" t="s">
        <v>109</v>
      </c>
      <c r="CK2573" s="1"/>
      <c r="CL2573" s="1">
        <v>0</v>
      </c>
      <c r="CM2573" s="1">
        <v>0</v>
      </c>
      <c r="CN2573" s="1">
        <v>0</v>
      </c>
    </row>
    <row r="2574" spans="1:92" ht="14.25" customHeight="1" x14ac:dyDescent="0.15">
      <c r="A2574" s="1" t="s">
        <v>18312</v>
      </c>
      <c r="B2574" s="1" t="s">
        <v>584</v>
      </c>
      <c r="C2574" s="1"/>
      <c r="D2574" s="1" t="s">
        <v>59</v>
      </c>
      <c r="E2574" s="1" t="s">
        <v>18313</v>
      </c>
      <c r="F2574" s="1" t="s">
        <v>98</v>
      </c>
      <c r="G2574" s="1" t="s">
        <v>18314</v>
      </c>
      <c r="H2574" s="1">
        <v>0</v>
      </c>
      <c r="I2574" s="1" t="s">
        <v>122</v>
      </c>
      <c r="J2574" s="1"/>
      <c r="K2574" s="1"/>
      <c r="L2574" s="1" t="s">
        <v>1391</v>
      </c>
      <c r="M2574" s="1" t="s">
        <v>211</v>
      </c>
      <c r="N2574" s="1">
        <v>0</v>
      </c>
      <c r="O2574" s="1">
        <v>0</v>
      </c>
      <c r="P2574" s="1" t="s">
        <v>8058</v>
      </c>
      <c r="Q2574" s="1" t="s">
        <v>268</v>
      </c>
      <c r="R2574" s="1" t="s">
        <v>18315</v>
      </c>
      <c r="S2574" s="1" t="s">
        <v>18316</v>
      </c>
      <c r="T2574" s="1" t="s">
        <v>17916</v>
      </c>
      <c r="U2574" s="1" t="s">
        <v>18317</v>
      </c>
      <c r="V2574" s="1">
        <v>1</v>
      </c>
      <c r="W2574" s="1">
        <v>1</v>
      </c>
      <c r="X2574" s="1">
        <v>1</v>
      </c>
      <c r="Y2574" s="1">
        <v>0</v>
      </c>
      <c r="Z2574" s="1">
        <v>0</v>
      </c>
      <c r="AA2574" s="1">
        <v>4</v>
      </c>
      <c r="AB2574" s="1">
        <v>4</v>
      </c>
      <c r="AC2574" s="1" t="s">
        <v>109</v>
      </c>
      <c r="AD2574" s="1" t="s">
        <v>109</v>
      </c>
      <c r="AE2574" s="1" t="s">
        <v>109</v>
      </c>
      <c r="AF2574" s="1" t="s">
        <v>109</v>
      </c>
      <c r="AG2574" s="1" t="s">
        <v>109</v>
      </c>
      <c r="AH2574" s="1" t="s">
        <v>109</v>
      </c>
      <c r="AI2574" s="1" t="s">
        <v>109</v>
      </c>
      <c r="AJ2574" s="1" t="s">
        <v>109</v>
      </c>
      <c r="AK2574" s="1" t="s">
        <v>109</v>
      </c>
      <c r="AL2574" s="1" t="s">
        <v>109</v>
      </c>
      <c r="AM2574" s="1" t="s">
        <v>109</v>
      </c>
      <c r="AN2574" s="1">
        <v>4</v>
      </c>
      <c r="AO2574" s="1" t="s">
        <v>109</v>
      </c>
      <c r="AP2574" s="1"/>
      <c r="AQ2574" s="1">
        <v>4</v>
      </c>
      <c r="AR2574" s="1"/>
      <c r="AS2574" s="1" t="s">
        <v>18318</v>
      </c>
      <c r="AT2574" s="1">
        <v>0</v>
      </c>
      <c r="AU2574" s="1">
        <v>0</v>
      </c>
      <c r="AV2574" s="1">
        <v>0</v>
      </c>
      <c r="AW2574" s="1">
        <v>0</v>
      </c>
      <c r="AX2574" s="1">
        <v>0</v>
      </c>
      <c r="AY2574" s="1">
        <v>0</v>
      </c>
      <c r="AZ2574" s="1">
        <v>0</v>
      </c>
      <c r="BA2574" s="1">
        <v>0</v>
      </c>
      <c r="BB2574" s="1">
        <v>0</v>
      </c>
      <c r="BC2574" s="1">
        <v>0</v>
      </c>
      <c r="BD2574" s="1">
        <v>0</v>
      </c>
      <c r="BE2574" s="1">
        <v>0</v>
      </c>
      <c r="BF2574" s="1">
        <v>0</v>
      </c>
      <c r="BG2574" s="1">
        <v>1</v>
      </c>
      <c r="BH2574" s="1">
        <v>0</v>
      </c>
      <c r="BI2574" s="1">
        <v>0</v>
      </c>
      <c r="BJ2574" s="1">
        <v>0</v>
      </c>
      <c r="BK2574" s="1">
        <v>0</v>
      </c>
      <c r="BL2574" s="1">
        <v>0</v>
      </c>
      <c r="BM2574" s="1">
        <v>0</v>
      </c>
      <c r="BN2574" s="1">
        <v>0</v>
      </c>
      <c r="BO2574" s="1">
        <v>0</v>
      </c>
      <c r="BP2574" s="1">
        <v>0</v>
      </c>
      <c r="BQ2574" s="1">
        <v>0</v>
      </c>
      <c r="BR2574" s="1">
        <v>0</v>
      </c>
      <c r="BS2574" s="1" t="s">
        <v>109</v>
      </c>
      <c r="BT2574" s="1">
        <v>2677</v>
      </c>
      <c r="BU2574" s="1" t="s">
        <v>109</v>
      </c>
      <c r="BV2574" s="1"/>
      <c r="BW2574" s="1"/>
      <c r="BX2574" s="1"/>
      <c r="BY2574" s="1"/>
      <c r="BZ2574" s="1">
        <v>0</v>
      </c>
      <c r="CA2574" s="1">
        <v>3</v>
      </c>
      <c r="CB2574" s="1" t="s">
        <v>109</v>
      </c>
      <c r="CC2574" s="1" t="s">
        <v>109</v>
      </c>
      <c r="CD2574" s="1" t="s">
        <v>109</v>
      </c>
      <c r="CE2574" s="1" t="s">
        <v>109</v>
      </c>
      <c r="CF2574" s="1">
        <v>4</v>
      </c>
      <c r="CG2574" s="1" t="s">
        <v>109</v>
      </c>
      <c r="CH2574" s="1" t="s">
        <v>109</v>
      </c>
      <c r="CI2574" s="1" t="s">
        <v>109</v>
      </c>
      <c r="CJ2574" s="1" t="s">
        <v>109</v>
      </c>
      <c r="CK2574" s="1"/>
      <c r="CL2574" s="1">
        <v>0</v>
      </c>
      <c r="CM2574" s="1">
        <v>0</v>
      </c>
      <c r="CN2574" s="1">
        <v>0</v>
      </c>
    </row>
    <row r="2575" spans="1:92" ht="14.25" customHeight="1" x14ac:dyDescent="0.15">
      <c r="A2575" s="1" t="s">
        <v>18319</v>
      </c>
      <c r="B2575" s="1" t="s">
        <v>189</v>
      </c>
      <c r="C2575" s="1" t="s">
        <v>231</v>
      </c>
      <c r="D2575" s="1"/>
      <c r="E2575" s="1" t="s">
        <v>18320</v>
      </c>
      <c r="F2575" s="1" t="s">
        <v>98</v>
      </c>
      <c r="G2575" s="1" t="s">
        <v>141</v>
      </c>
      <c r="H2575" s="1">
        <v>0</v>
      </c>
      <c r="I2575" s="1" t="s">
        <v>235</v>
      </c>
      <c r="J2575" s="1"/>
      <c r="K2575" s="1"/>
      <c r="L2575" s="1" t="s">
        <v>236</v>
      </c>
      <c r="M2575" s="1" t="s">
        <v>289</v>
      </c>
      <c r="N2575" s="1">
        <v>0</v>
      </c>
      <c r="O2575" s="1">
        <v>0</v>
      </c>
      <c r="P2575" s="1"/>
      <c r="Q2575" s="1"/>
      <c r="R2575" s="1" t="s">
        <v>18321</v>
      </c>
      <c r="S2575" s="1" t="s">
        <v>18322</v>
      </c>
      <c r="T2575" s="1" t="s">
        <v>17916</v>
      </c>
      <c r="U2575" s="1" t="s">
        <v>18323</v>
      </c>
      <c r="V2575" s="1">
        <v>1</v>
      </c>
      <c r="W2575" s="1">
        <v>1</v>
      </c>
      <c r="X2575" s="1">
        <v>0</v>
      </c>
      <c r="Y2575" s="1">
        <v>0</v>
      </c>
      <c r="Z2575" s="1">
        <v>0</v>
      </c>
      <c r="AA2575" s="1">
        <v>2</v>
      </c>
      <c r="AB2575" s="1">
        <v>2</v>
      </c>
      <c r="AC2575" s="1" t="s">
        <v>109</v>
      </c>
      <c r="AD2575" s="1">
        <v>2</v>
      </c>
      <c r="AE2575" s="1">
        <v>2</v>
      </c>
      <c r="AF2575" s="1">
        <v>2</v>
      </c>
      <c r="AG2575" s="1" t="s">
        <v>109</v>
      </c>
      <c r="AH2575" s="1">
        <v>2</v>
      </c>
      <c r="AI2575" s="1">
        <v>2</v>
      </c>
      <c r="AJ2575" s="1">
        <v>2</v>
      </c>
      <c r="AK2575" s="1">
        <v>2</v>
      </c>
      <c r="AL2575" s="1" t="s">
        <v>109</v>
      </c>
      <c r="AM2575" s="1" t="s">
        <v>109</v>
      </c>
      <c r="AN2575" s="1">
        <v>2</v>
      </c>
      <c r="AO2575" s="1" t="s">
        <v>109</v>
      </c>
      <c r="AP2575" s="1"/>
      <c r="AQ2575" s="1">
        <v>2</v>
      </c>
      <c r="AR2575" s="1"/>
      <c r="AS2575" s="1" t="s">
        <v>18324</v>
      </c>
      <c r="AT2575" s="1">
        <v>0</v>
      </c>
      <c r="AU2575" s="1">
        <v>0</v>
      </c>
      <c r="AV2575" s="1">
        <v>0</v>
      </c>
      <c r="AW2575" s="1">
        <v>0</v>
      </c>
      <c r="AX2575" s="1">
        <v>0</v>
      </c>
      <c r="AY2575" s="1">
        <v>0</v>
      </c>
      <c r="AZ2575" s="1">
        <v>0</v>
      </c>
      <c r="BA2575" s="1">
        <v>0</v>
      </c>
      <c r="BB2575" s="1">
        <v>0</v>
      </c>
      <c r="BC2575" s="1">
        <v>0</v>
      </c>
      <c r="BD2575" s="1">
        <v>0</v>
      </c>
      <c r="BE2575" s="1">
        <v>0</v>
      </c>
      <c r="BF2575" s="1">
        <v>0</v>
      </c>
      <c r="BG2575" s="1">
        <v>0</v>
      </c>
      <c r="BH2575" s="1">
        <v>0</v>
      </c>
      <c r="BI2575" s="1">
        <v>0</v>
      </c>
      <c r="BJ2575" s="1">
        <v>0</v>
      </c>
      <c r="BK2575" s="1">
        <v>0</v>
      </c>
      <c r="BL2575" s="1">
        <v>0</v>
      </c>
      <c r="BM2575" s="1">
        <v>0</v>
      </c>
      <c r="BN2575" s="1">
        <v>0</v>
      </c>
      <c r="BO2575" s="1">
        <v>0</v>
      </c>
      <c r="BP2575" s="1">
        <v>0</v>
      </c>
      <c r="BQ2575" s="1">
        <v>0</v>
      </c>
      <c r="BR2575" s="1">
        <v>0</v>
      </c>
      <c r="BS2575" s="1" t="s">
        <v>109</v>
      </c>
      <c r="BT2575" s="1">
        <v>2678</v>
      </c>
      <c r="BU2575" s="1" t="s">
        <v>109</v>
      </c>
      <c r="BV2575" s="1"/>
      <c r="BW2575" s="1"/>
      <c r="BX2575" s="1"/>
      <c r="BY2575" s="1"/>
      <c r="BZ2575" s="1">
        <v>0</v>
      </c>
      <c r="CA2575" s="1">
        <v>2</v>
      </c>
      <c r="CB2575" s="1">
        <v>2</v>
      </c>
      <c r="CC2575" s="1" t="s">
        <v>109</v>
      </c>
      <c r="CD2575" s="1">
        <v>2</v>
      </c>
      <c r="CE2575" s="1">
        <v>2</v>
      </c>
      <c r="CF2575" s="1">
        <v>2</v>
      </c>
      <c r="CG2575" s="1">
        <v>2</v>
      </c>
      <c r="CH2575" s="1" t="s">
        <v>109</v>
      </c>
      <c r="CI2575" s="1" t="s">
        <v>109</v>
      </c>
      <c r="CJ2575" s="1">
        <v>2</v>
      </c>
      <c r="CK2575" s="1"/>
      <c r="CL2575" s="1">
        <v>0</v>
      </c>
      <c r="CM2575" s="1">
        <v>0</v>
      </c>
      <c r="CN2575" s="1">
        <v>0</v>
      </c>
    </row>
    <row r="2576" spans="1:92" ht="14.25" customHeight="1" x14ac:dyDescent="0.15">
      <c r="A2576" s="1" t="s">
        <v>18325</v>
      </c>
      <c r="B2576" s="1" t="s">
        <v>189</v>
      </c>
      <c r="C2576" s="1"/>
      <c r="D2576" s="1" t="s">
        <v>18326</v>
      </c>
      <c r="E2576" s="1" t="s">
        <v>18327</v>
      </c>
      <c r="F2576" s="1" t="s">
        <v>98</v>
      </c>
      <c r="G2576" s="1" t="s">
        <v>18328</v>
      </c>
      <c r="H2576" s="1">
        <v>0</v>
      </c>
      <c r="I2576" s="1" t="s">
        <v>122</v>
      </c>
      <c r="J2576" s="1"/>
      <c r="K2576" s="1"/>
      <c r="L2576" s="1" t="s">
        <v>563</v>
      </c>
      <c r="M2576" s="1" t="s">
        <v>947</v>
      </c>
      <c r="N2576" s="1">
        <v>0</v>
      </c>
      <c r="O2576" s="1">
        <v>0</v>
      </c>
      <c r="P2576" s="1" t="s">
        <v>8321</v>
      </c>
      <c r="Q2576" s="1" t="s">
        <v>268</v>
      </c>
      <c r="R2576" s="1" t="s">
        <v>18329</v>
      </c>
      <c r="S2576" s="1" t="s">
        <v>18330</v>
      </c>
      <c r="T2576" s="1" t="s">
        <v>17916</v>
      </c>
      <c r="U2576" s="1" t="s">
        <v>18331</v>
      </c>
      <c r="V2576" s="1">
        <v>1</v>
      </c>
      <c r="W2576" s="1">
        <v>1</v>
      </c>
      <c r="X2576" s="1">
        <v>1</v>
      </c>
      <c r="Y2576" s="1">
        <v>0</v>
      </c>
      <c r="Z2576" s="1">
        <v>1</v>
      </c>
      <c r="AA2576" s="1">
        <v>4</v>
      </c>
      <c r="AB2576" s="1">
        <v>4</v>
      </c>
      <c r="AC2576" s="1">
        <v>4</v>
      </c>
      <c r="AD2576" s="1" t="s">
        <v>109</v>
      </c>
      <c r="AE2576" s="1" t="s">
        <v>109</v>
      </c>
      <c r="AF2576" s="1" t="s">
        <v>109</v>
      </c>
      <c r="AG2576" s="1" t="s">
        <v>109</v>
      </c>
      <c r="AH2576" s="1" t="s">
        <v>109</v>
      </c>
      <c r="AI2576" s="1" t="s">
        <v>109</v>
      </c>
      <c r="AJ2576" s="1">
        <v>4</v>
      </c>
      <c r="AK2576" s="1" t="s">
        <v>109</v>
      </c>
      <c r="AL2576" s="1">
        <v>4</v>
      </c>
      <c r="AM2576" s="1" t="s">
        <v>109</v>
      </c>
      <c r="AN2576" s="1">
        <v>4</v>
      </c>
      <c r="AO2576" s="1" t="s">
        <v>109</v>
      </c>
      <c r="AP2576" s="1"/>
      <c r="AQ2576" s="1">
        <v>4</v>
      </c>
      <c r="AR2576" s="1"/>
      <c r="AS2576" s="1" t="s">
        <v>18332</v>
      </c>
      <c r="AT2576" s="1">
        <v>0</v>
      </c>
      <c r="AU2576" s="1">
        <v>0</v>
      </c>
      <c r="AV2576" s="1">
        <v>0</v>
      </c>
      <c r="AW2576" s="1">
        <v>0</v>
      </c>
      <c r="AX2576" s="1">
        <v>0</v>
      </c>
      <c r="AY2576" s="1">
        <v>0</v>
      </c>
      <c r="AZ2576" s="1">
        <v>0</v>
      </c>
      <c r="BA2576" s="1">
        <v>0</v>
      </c>
      <c r="BB2576" s="1">
        <v>0</v>
      </c>
      <c r="BC2576" s="1">
        <v>0</v>
      </c>
      <c r="BD2576" s="1">
        <v>0</v>
      </c>
      <c r="BE2576" s="1">
        <v>0</v>
      </c>
      <c r="BF2576" s="1">
        <v>0</v>
      </c>
      <c r="BG2576" s="1">
        <v>0</v>
      </c>
      <c r="BH2576" s="1">
        <v>0</v>
      </c>
      <c r="BI2576" s="1">
        <v>0</v>
      </c>
      <c r="BJ2576" s="1">
        <v>0</v>
      </c>
      <c r="BK2576" s="1">
        <v>0</v>
      </c>
      <c r="BL2576" s="1">
        <v>0</v>
      </c>
      <c r="BM2576" s="1">
        <v>0</v>
      </c>
      <c r="BN2576" s="1">
        <v>1</v>
      </c>
      <c r="BO2576" s="1">
        <v>0</v>
      </c>
      <c r="BP2576" s="1">
        <v>0</v>
      </c>
      <c r="BQ2576" s="1">
        <v>0</v>
      </c>
      <c r="BR2576" s="1">
        <v>0</v>
      </c>
      <c r="BS2576" s="1" t="s">
        <v>109</v>
      </c>
      <c r="BT2576" s="1">
        <v>2679</v>
      </c>
      <c r="BU2576" s="1" t="s">
        <v>109</v>
      </c>
      <c r="BV2576" s="1"/>
      <c r="BW2576" s="1"/>
      <c r="BX2576" s="1"/>
      <c r="BY2576" s="1"/>
      <c r="BZ2576" s="1">
        <v>0</v>
      </c>
      <c r="CA2576" s="1" t="s">
        <v>109</v>
      </c>
      <c r="CB2576" s="1">
        <v>4</v>
      </c>
      <c r="CC2576" s="1">
        <v>4</v>
      </c>
      <c r="CD2576" s="1" t="s">
        <v>109</v>
      </c>
      <c r="CE2576" s="1" t="s">
        <v>109</v>
      </c>
      <c r="CF2576" s="1">
        <v>4</v>
      </c>
      <c r="CG2576" s="1">
        <v>3</v>
      </c>
      <c r="CH2576" s="1" t="s">
        <v>109</v>
      </c>
      <c r="CI2576" s="1" t="s">
        <v>109</v>
      </c>
      <c r="CJ2576" s="1" t="s">
        <v>109</v>
      </c>
      <c r="CK2576" s="1"/>
      <c r="CL2576" s="1">
        <v>0</v>
      </c>
      <c r="CM2576" s="1">
        <v>0</v>
      </c>
      <c r="CN2576" s="1">
        <v>0</v>
      </c>
    </row>
    <row r="2577" spans="1:92" ht="14.25" customHeight="1" x14ac:dyDescent="0.15">
      <c r="A2577" s="1" t="s">
        <v>18333</v>
      </c>
      <c r="B2577" s="1" t="s">
        <v>308</v>
      </c>
      <c r="C2577" s="1"/>
      <c r="D2577" s="1"/>
      <c r="E2577" s="1" t="s">
        <v>913</v>
      </c>
      <c r="F2577" s="1" t="s">
        <v>355</v>
      </c>
      <c r="G2577" s="1" t="s">
        <v>18334</v>
      </c>
      <c r="H2577" s="1">
        <v>1</v>
      </c>
      <c r="I2577" s="1" t="s">
        <v>161</v>
      </c>
      <c r="J2577" s="1"/>
      <c r="K2577" s="1"/>
      <c r="L2577" s="1" t="s">
        <v>506</v>
      </c>
      <c r="M2577" s="1" t="s">
        <v>144</v>
      </c>
      <c r="N2577" s="1">
        <v>0</v>
      </c>
      <c r="O2577" s="1">
        <v>0</v>
      </c>
      <c r="P2577" s="1" t="s">
        <v>301</v>
      </c>
      <c r="Q2577" s="1" t="s">
        <v>268</v>
      </c>
      <c r="R2577" s="1" t="s">
        <v>18335</v>
      </c>
      <c r="S2577" s="1" t="s">
        <v>18336</v>
      </c>
      <c r="T2577" s="1" t="s">
        <v>17916</v>
      </c>
      <c r="U2577" s="1" t="s">
        <v>18337</v>
      </c>
      <c r="V2577" s="1">
        <v>1</v>
      </c>
      <c r="W2577" s="1">
        <v>1</v>
      </c>
      <c r="X2577" s="1">
        <v>0</v>
      </c>
      <c r="Y2577" s="1">
        <v>0</v>
      </c>
      <c r="Z2577" s="1">
        <v>0</v>
      </c>
      <c r="AA2577" s="1" t="s">
        <v>109</v>
      </c>
      <c r="AB2577" s="1" t="s">
        <v>109</v>
      </c>
      <c r="AC2577" s="1">
        <v>8</v>
      </c>
      <c r="AD2577" s="1" t="s">
        <v>109</v>
      </c>
      <c r="AE2577" s="1" t="s">
        <v>109</v>
      </c>
      <c r="AF2577" s="1" t="s">
        <v>109</v>
      </c>
      <c r="AG2577" s="1" t="s">
        <v>109</v>
      </c>
      <c r="AH2577" s="1" t="s">
        <v>109</v>
      </c>
      <c r="AI2577" s="1" t="s">
        <v>109</v>
      </c>
      <c r="AJ2577" s="1" t="s">
        <v>109</v>
      </c>
      <c r="AK2577" s="1" t="s">
        <v>109</v>
      </c>
      <c r="AL2577" s="1">
        <v>8</v>
      </c>
      <c r="AM2577" s="1" t="s">
        <v>109</v>
      </c>
      <c r="AN2577" s="1" t="s">
        <v>109</v>
      </c>
      <c r="AO2577" s="1" t="s">
        <v>109</v>
      </c>
      <c r="AP2577" s="1"/>
      <c r="AQ2577" s="1">
        <v>8</v>
      </c>
      <c r="AR2577" s="1"/>
      <c r="AS2577" s="1" t="s">
        <v>18338</v>
      </c>
      <c r="AT2577" s="1">
        <v>0</v>
      </c>
      <c r="AU2577" s="1">
        <v>0</v>
      </c>
      <c r="AV2577" s="1">
        <v>0</v>
      </c>
      <c r="AW2577" s="1">
        <v>0</v>
      </c>
      <c r="AX2577" s="1">
        <v>0</v>
      </c>
      <c r="AY2577" s="1">
        <v>0</v>
      </c>
      <c r="AZ2577" s="1">
        <v>0</v>
      </c>
      <c r="BA2577" s="1">
        <v>0</v>
      </c>
      <c r="BB2577" s="1">
        <v>0</v>
      </c>
      <c r="BC2577" s="1">
        <v>0</v>
      </c>
      <c r="BD2577" s="1">
        <v>0</v>
      </c>
      <c r="BE2577" s="1">
        <v>0</v>
      </c>
      <c r="BF2577" s="1">
        <v>0</v>
      </c>
      <c r="BG2577" s="1">
        <v>0</v>
      </c>
      <c r="BH2577" s="1">
        <v>0</v>
      </c>
      <c r="BI2577" s="1">
        <v>0</v>
      </c>
      <c r="BJ2577" s="1">
        <v>0</v>
      </c>
      <c r="BK2577" s="1">
        <v>0</v>
      </c>
      <c r="BL2577" s="1">
        <v>0</v>
      </c>
      <c r="BM2577" s="1">
        <v>0</v>
      </c>
      <c r="BN2577" s="1">
        <v>0</v>
      </c>
      <c r="BO2577" s="1">
        <v>0</v>
      </c>
      <c r="BP2577" s="1">
        <v>0</v>
      </c>
      <c r="BQ2577" s="1">
        <v>0</v>
      </c>
      <c r="BR2577" s="1">
        <v>0</v>
      </c>
      <c r="BS2577" s="1" t="s">
        <v>109</v>
      </c>
      <c r="BT2577" s="1">
        <v>2680</v>
      </c>
      <c r="BU2577" s="1">
        <v>2000</v>
      </c>
      <c r="BV2577" s="1"/>
      <c r="BW2577" s="1"/>
      <c r="BX2577" s="1"/>
      <c r="BY2577" s="1"/>
      <c r="BZ2577" s="1">
        <v>0</v>
      </c>
      <c r="CA2577" s="1" t="s">
        <v>109</v>
      </c>
      <c r="CB2577" s="1" t="s">
        <v>109</v>
      </c>
      <c r="CC2577" s="1" t="s">
        <v>109</v>
      </c>
      <c r="CD2577" s="1" t="s">
        <v>109</v>
      </c>
      <c r="CE2577" s="1" t="s">
        <v>109</v>
      </c>
      <c r="CF2577" s="1" t="s">
        <v>109</v>
      </c>
      <c r="CG2577" s="1" t="s">
        <v>109</v>
      </c>
      <c r="CH2577" s="1" t="s">
        <v>109</v>
      </c>
      <c r="CI2577" s="1" t="s">
        <v>109</v>
      </c>
      <c r="CJ2577" s="1" t="s">
        <v>109</v>
      </c>
      <c r="CK2577" s="1"/>
      <c r="CL2577" s="1">
        <v>0</v>
      </c>
      <c r="CM2577" s="1">
        <v>0</v>
      </c>
      <c r="CN2577" s="1">
        <v>0</v>
      </c>
    </row>
    <row r="2578" spans="1:92" ht="14.25" customHeight="1" x14ac:dyDescent="0.15">
      <c r="A2578" s="1" t="s">
        <v>18339</v>
      </c>
      <c r="B2578" s="1" t="s">
        <v>584</v>
      </c>
      <c r="C2578" s="1"/>
      <c r="D2578" s="1" t="s">
        <v>61</v>
      </c>
      <c r="E2578" s="1" t="s">
        <v>18340</v>
      </c>
      <c r="F2578" s="1" t="s">
        <v>98</v>
      </c>
      <c r="G2578" s="1" t="s">
        <v>160</v>
      </c>
      <c r="H2578" s="1">
        <v>0</v>
      </c>
      <c r="I2578" s="1" t="s">
        <v>235</v>
      </c>
      <c r="J2578" s="1"/>
      <c r="K2578" s="1"/>
      <c r="L2578" s="1" t="s">
        <v>236</v>
      </c>
      <c r="M2578" s="1" t="s">
        <v>574</v>
      </c>
      <c r="N2578" s="1">
        <v>1</v>
      </c>
      <c r="O2578" s="1">
        <v>0</v>
      </c>
      <c r="P2578" s="1"/>
      <c r="Q2578" s="1"/>
      <c r="R2578" s="1" t="s">
        <v>18341</v>
      </c>
      <c r="S2578" s="1" t="s">
        <v>18342</v>
      </c>
      <c r="T2578" s="1" t="s">
        <v>17916</v>
      </c>
      <c r="U2578" s="1" t="s">
        <v>18343</v>
      </c>
      <c r="V2578" s="1">
        <v>1</v>
      </c>
      <c r="W2578" s="1">
        <v>1</v>
      </c>
      <c r="X2578" s="1">
        <v>0</v>
      </c>
      <c r="Y2578" s="1">
        <v>0</v>
      </c>
      <c r="Z2578" s="1">
        <v>1</v>
      </c>
      <c r="AA2578" s="1" t="s">
        <v>109</v>
      </c>
      <c r="AB2578" s="1" t="s">
        <v>109</v>
      </c>
      <c r="AC2578" s="1">
        <v>5</v>
      </c>
      <c r="AD2578" s="1" t="s">
        <v>109</v>
      </c>
      <c r="AE2578" s="1" t="s">
        <v>109</v>
      </c>
      <c r="AF2578" s="1" t="s">
        <v>109</v>
      </c>
      <c r="AG2578" s="1">
        <v>4</v>
      </c>
      <c r="AH2578" s="1" t="s">
        <v>109</v>
      </c>
      <c r="AI2578" s="1" t="s">
        <v>109</v>
      </c>
      <c r="AJ2578" s="1" t="s">
        <v>109</v>
      </c>
      <c r="AK2578" s="1">
        <v>5</v>
      </c>
      <c r="AL2578" s="1">
        <v>5</v>
      </c>
      <c r="AM2578" s="1" t="s">
        <v>109</v>
      </c>
      <c r="AN2578" s="1" t="s">
        <v>109</v>
      </c>
      <c r="AO2578" s="1" t="s">
        <v>109</v>
      </c>
      <c r="AP2578" s="1"/>
      <c r="AQ2578" s="1">
        <v>5</v>
      </c>
      <c r="AR2578" s="1"/>
      <c r="AS2578" s="1" t="s">
        <v>18344</v>
      </c>
      <c r="AT2578" s="1">
        <v>0</v>
      </c>
      <c r="AU2578" s="1">
        <v>0</v>
      </c>
      <c r="AV2578" s="1">
        <v>0</v>
      </c>
      <c r="AW2578" s="1">
        <v>0</v>
      </c>
      <c r="AX2578" s="1">
        <v>0</v>
      </c>
      <c r="AY2578" s="1">
        <v>0</v>
      </c>
      <c r="AZ2578" s="1">
        <v>0</v>
      </c>
      <c r="BA2578" s="1">
        <v>0</v>
      </c>
      <c r="BB2578" s="1">
        <v>0</v>
      </c>
      <c r="BC2578" s="1">
        <v>0</v>
      </c>
      <c r="BD2578" s="1">
        <v>0</v>
      </c>
      <c r="BE2578" s="1">
        <v>0</v>
      </c>
      <c r="BF2578" s="1">
        <v>0</v>
      </c>
      <c r="BG2578" s="1">
        <v>0</v>
      </c>
      <c r="BH2578" s="1">
        <v>0</v>
      </c>
      <c r="BI2578" s="1">
        <v>1</v>
      </c>
      <c r="BJ2578" s="1">
        <v>0</v>
      </c>
      <c r="BK2578" s="1">
        <v>0</v>
      </c>
      <c r="BL2578" s="1">
        <v>0</v>
      </c>
      <c r="BM2578" s="1">
        <v>0</v>
      </c>
      <c r="BN2578" s="1">
        <v>0</v>
      </c>
      <c r="BO2578" s="1">
        <v>0</v>
      </c>
      <c r="BP2578" s="1">
        <v>0</v>
      </c>
      <c r="BQ2578" s="1">
        <v>0</v>
      </c>
      <c r="BR2578" s="1">
        <v>0</v>
      </c>
      <c r="BS2578" s="1" t="s">
        <v>109</v>
      </c>
      <c r="BT2578" s="1">
        <v>2681</v>
      </c>
      <c r="BU2578" s="1" t="s">
        <v>109</v>
      </c>
      <c r="BV2578" s="1"/>
      <c r="BW2578" s="1"/>
      <c r="BX2578" s="1"/>
      <c r="BY2578" s="1"/>
      <c r="BZ2578" s="1">
        <v>0</v>
      </c>
      <c r="CA2578" s="1" t="s">
        <v>109</v>
      </c>
      <c r="CB2578" s="1" t="s">
        <v>109</v>
      </c>
      <c r="CC2578" s="1" t="s">
        <v>109</v>
      </c>
      <c r="CD2578" s="1" t="s">
        <v>109</v>
      </c>
      <c r="CE2578" s="1" t="s">
        <v>109</v>
      </c>
      <c r="CF2578" s="1" t="s">
        <v>109</v>
      </c>
      <c r="CG2578" s="1" t="s">
        <v>109</v>
      </c>
      <c r="CH2578" s="1" t="s">
        <v>109</v>
      </c>
      <c r="CI2578" s="1" t="s">
        <v>109</v>
      </c>
      <c r="CJ2578" s="1" t="s">
        <v>109</v>
      </c>
      <c r="CK2578" s="1"/>
      <c r="CL2578" s="1">
        <v>0</v>
      </c>
      <c r="CM2578" s="1">
        <v>0</v>
      </c>
      <c r="CN2578" s="1">
        <v>0</v>
      </c>
    </row>
    <row r="2579" spans="1:92" ht="14.25" customHeight="1" x14ac:dyDescent="0.15">
      <c r="A2579" s="1" t="s">
        <v>18345</v>
      </c>
      <c r="B2579" s="1" t="s">
        <v>584</v>
      </c>
      <c r="C2579" s="1"/>
      <c r="D2579" s="1" t="s">
        <v>18346</v>
      </c>
      <c r="E2579" s="1" t="s">
        <v>18347</v>
      </c>
      <c r="F2579" s="1" t="s">
        <v>98</v>
      </c>
      <c r="G2579" s="1" t="s">
        <v>18348</v>
      </c>
      <c r="H2579" s="1">
        <v>0</v>
      </c>
      <c r="I2579" s="1" t="s">
        <v>142</v>
      </c>
      <c r="J2579" s="1"/>
      <c r="K2579" s="1" t="s">
        <v>18349</v>
      </c>
      <c r="L2579" s="1"/>
      <c r="M2579" s="1" t="s">
        <v>144</v>
      </c>
      <c r="N2579" s="1">
        <v>0</v>
      </c>
      <c r="O2579" s="1">
        <v>0</v>
      </c>
      <c r="P2579" s="1" t="s">
        <v>13407</v>
      </c>
      <c r="Q2579" s="1" t="s">
        <v>268</v>
      </c>
      <c r="R2579" s="1" t="s">
        <v>18350</v>
      </c>
      <c r="S2579" s="1" t="s">
        <v>18351</v>
      </c>
      <c r="T2579" s="1" t="s">
        <v>17916</v>
      </c>
      <c r="U2579" s="1" t="s">
        <v>18352</v>
      </c>
      <c r="V2579" s="1">
        <v>1</v>
      </c>
      <c r="W2579" s="1">
        <v>1</v>
      </c>
      <c r="X2579" s="1">
        <v>1</v>
      </c>
      <c r="Y2579" s="1">
        <v>0</v>
      </c>
      <c r="Z2579" s="1">
        <v>1</v>
      </c>
      <c r="AA2579" s="1" t="s">
        <v>109</v>
      </c>
      <c r="AB2579" s="1" t="s">
        <v>109</v>
      </c>
      <c r="AC2579" s="1">
        <v>3</v>
      </c>
      <c r="AD2579" s="1" t="s">
        <v>109</v>
      </c>
      <c r="AE2579" s="1" t="s">
        <v>109</v>
      </c>
      <c r="AF2579" s="1" t="s">
        <v>109</v>
      </c>
      <c r="AG2579" s="1" t="s">
        <v>109</v>
      </c>
      <c r="AH2579" s="1" t="s">
        <v>109</v>
      </c>
      <c r="AI2579" s="1" t="s">
        <v>109</v>
      </c>
      <c r="AJ2579" s="1" t="s">
        <v>109</v>
      </c>
      <c r="AK2579" s="1" t="s">
        <v>109</v>
      </c>
      <c r="AL2579" s="1">
        <v>3</v>
      </c>
      <c r="AM2579" s="1">
        <v>3</v>
      </c>
      <c r="AN2579" s="1" t="s">
        <v>109</v>
      </c>
      <c r="AO2579" s="1" t="s">
        <v>109</v>
      </c>
      <c r="AP2579" s="1"/>
      <c r="AQ2579" s="1">
        <v>3</v>
      </c>
      <c r="AR2579" s="1"/>
      <c r="AS2579" s="1" t="s">
        <v>18353</v>
      </c>
      <c r="AT2579" s="1">
        <v>0</v>
      </c>
      <c r="AU2579" s="1">
        <v>0</v>
      </c>
      <c r="AV2579" s="1">
        <v>0</v>
      </c>
      <c r="AW2579" s="1">
        <v>0</v>
      </c>
      <c r="AX2579" s="1">
        <v>0</v>
      </c>
      <c r="AY2579" s="1">
        <v>0</v>
      </c>
      <c r="AZ2579" s="1">
        <v>0</v>
      </c>
      <c r="BA2579" s="1">
        <v>0</v>
      </c>
      <c r="BB2579" s="1">
        <v>0</v>
      </c>
      <c r="BC2579" s="1">
        <v>0</v>
      </c>
      <c r="BD2579" s="1">
        <v>0</v>
      </c>
      <c r="BE2579" s="1">
        <v>1</v>
      </c>
      <c r="BF2579" s="1">
        <v>0</v>
      </c>
      <c r="BG2579" s="1">
        <v>1</v>
      </c>
      <c r="BH2579" s="1">
        <v>0</v>
      </c>
      <c r="BI2579" s="1">
        <v>0</v>
      </c>
      <c r="BJ2579" s="1">
        <v>0</v>
      </c>
      <c r="BK2579" s="1">
        <v>0</v>
      </c>
      <c r="BL2579" s="1">
        <v>0</v>
      </c>
      <c r="BM2579" s="1">
        <v>1</v>
      </c>
      <c r="BN2579" s="1">
        <v>0</v>
      </c>
      <c r="BO2579" s="1">
        <v>0</v>
      </c>
      <c r="BP2579" s="1">
        <v>0</v>
      </c>
      <c r="BQ2579" s="1">
        <v>0</v>
      </c>
      <c r="BR2579" s="1">
        <v>0</v>
      </c>
      <c r="BS2579" s="1" t="s">
        <v>109</v>
      </c>
      <c r="BT2579" s="1">
        <v>2682</v>
      </c>
      <c r="BU2579" s="1" t="s">
        <v>109</v>
      </c>
      <c r="BV2579" s="1"/>
      <c r="BW2579" s="1"/>
      <c r="BX2579" s="1"/>
      <c r="BY2579" s="1"/>
      <c r="BZ2579" s="1">
        <v>0</v>
      </c>
      <c r="CA2579" s="1" t="s">
        <v>109</v>
      </c>
      <c r="CB2579" s="1" t="s">
        <v>109</v>
      </c>
      <c r="CC2579" s="1" t="s">
        <v>109</v>
      </c>
      <c r="CD2579" s="1" t="s">
        <v>109</v>
      </c>
      <c r="CE2579" s="1" t="s">
        <v>109</v>
      </c>
      <c r="CF2579" s="1" t="s">
        <v>109</v>
      </c>
      <c r="CG2579" s="1" t="s">
        <v>109</v>
      </c>
      <c r="CH2579" s="1" t="s">
        <v>109</v>
      </c>
      <c r="CI2579" s="1" t="s">
        <v>109</v>
      </c>
      <c r="CJ2579" s="1" t="s">
        <v>109</v>
      </c>
      <c r="CK2579" s="1"/>
      <c r="CL2579" s="1">
        <v>0</v>
      </c>
      <c r="CM2579" s="1">
        <v>0</v>
      </c>
      <c r="CN2579" s="1">
        <v>0</v>
      </c>
    </row>
    <row r="2580" spans="1:92" ht="14.25" customHeight="1" x14ac:dyDescent="0.15">
      <c r="A2580" s="1" t="s">
        <v>18354</v>
      </c>
      <c r="B2580" s="1" t="s">
        <v>254</v>
      </c>
      <c r="C2580" s="1"/>
      <c r="D2580" s="1"/>
      <c r="E2580" s="1" t="s">
        <v>18355</v>
      </c>
      <c r="F2580" s="1" t="s">
        <v>98</v>
      </c>
      <c r="G2580" s="1" t="s">
        <v>18356</v>
      </c>
      <c r="H2580" s="1">
        <v>0</v>
      </c>
      <c r="I2580" s="1" t="s">
        <v>235</v>
      </c>
      <c r="J2580" s="1"/>
      <c r="K2580" s="1"/>
      <c r="L2580" s="1" t="s">
        <v>236</v>
      </c>
      <c r="M2580" s="1" t="s">
        <v>6625</v>
      </c>
      <c r="N2580" s="1">
        <v>1</v>
      </c>
      <c r="O2580" s="1">
        <v>0</v>
      </c>
      <c r="P2580" s="1"/>
      <c r="Q2580" s="1"/>
      <c r="R2580" s="1" t="s">
        <v>18357</v>
      </c>
      <c r="S2580" s="1" t="s">
        <v>18358</v>
      </c>
      <c r="T2580" s="1" t="s">
        <v>17916</v>
      </c>
      <c r="U2580" s="1" t="s">
        <v>18359</v>
      </c>
      <c r="V2580" s="1">
        <v>1</v>
      </c>
      <c r="W2580" s="1">
        <v>1</v>
      </c>
      <c r="X2580" s="1">
        <v>1</v>
      </c>
      <c r="Y2580" s="1">
        <v>0</v>
      </c>
      <c r="Z2580" s="1">
        <v>1</v>
      </c>
      <c r="AA2580" s="1" t="s">
        <v>109</v>
      </c>
      <c r="AB2580" s="1" t="s">
        <v>109</v>
      </c>
      <c r="AC2580" s="1">
        <v>2</v>
      </c>
      <c r="AD2580" s="1">
        <v>2</v>
      </c>
      <c r="AE2580" s="1">
        <v>2</v>
      </c>
      <c r="AF2580" s="1" t="s">
        <v>109</v>
      </c>
      <c r="AG2580" s="1" t="s">
        <v>109</v>
      </c>
      <c r="AH2580" s="1" t="s">
        <v>109</v>
      </c>
      <c r="AI2580" s="1" t="s">
        <v>109</v>
      </c>
      <c r="AJ2580" s="1">
        <v>2</v>
      </c>
      <c r="AK2580" s="1">
        <v>2</v>
      </c>
      <c r="AL2580" s="1">
        <v>2</v>
      </c>
      <c r="AM2580" s="1">
        <v>1</v>
      </c>
      <c r="AN2580" s="1" t="s">
        <v>109</v>
      </c>
      <c r="AO2580" s="1" t="s">
        <v>109</v>
      </c>
      <c r="AP2580" s="1"/>
      <c r="AQ2580" s="1">
        <v>2</v>
      </c>
      <c r="AR2580" s="1"/>
      <c r="AS2580" s="1" t="s">
        <v>18360</v>
      </c>
      <c r="AT2580" s="1">
        <v>0</v>
      </c>
      <c r="AU2580" s="1">
        <v>0</v>
      </c>
      <c r="AV2580" s="1">
        <v>0</v>
      </c>
      <c r="AW2580" s="1">
        <v>0</v>
      </c>
      <c r="AX2580" s="1">
        <v>0</v>
      </c>
      <c r="AY2580" s="1">
        <v>0</v>
      </c>
      <c r="AZ2580" s="1">
        <v>0</v>
      </c>
      <c r="BA2580" s="1">
        <v>0</v>
      </c>
      <c r="BB2580" s="1">
        <v>0</v>
      </c>
      <c r="BC2580" s="1">
        <v>0</v>
      </c>
      <c r="BD2580" s="1">
        <v>0</v>
      </c>
      <c r="BE2580" s="1">
        <v>0</v>
      </c>
      <c r="BF2580" s="1">
        <v>0</v>
      </c>
      <c r="BG2580" s="1">
        <v>0</v>
      </c>
      <c r="BH2580" s="1">
        <v>0</v>
      </c>
      <c r="BI2580" s="1">
        <v>0</v>
      </c>
      <c r="BJ2580" s="1">
        <v>0</v>
      </c>
      <c r="BK2580" s="1">
        <v>0</v>
      </c>
      <c r="BL2580" s="1">
        <v>0</v>
      </c>
      <c r="BM2580" s="1">
        <v>0</v>
      </c>
      <c r="BN2580" s="1">
        <v>0</v>
      </c>
      <c r="BO2580" s="1">
        <v>0</v>
      </c>
      <c r="BP2580" s="1">
        <v>0</v>
      </c>
      <c r="BQ2580" s="1">
        <v>0</v>
      </c>
      <c r="BR2580" s="1">
        <v>0</v>
      </c>
      <c r="BS2580" s="1" t="s">
        <v>109</v>
      </c>
      <c r="BT2580" s="1">
        <v>2683</v>
      </c>
      <c r="BU2580" s="1" t="s">
        <v>109</v>
      </c>
      <c r="BV2580" s="1"/>
      <c r="BW2580" s="1"/>
      <c r="BX2580" s="1"/>
      <c r="BY2580" s="1"/>
      <c r="BZ2580" s="1">
        <v>0</v>
      </c>
      <c r="CA2580" s="1">
        <v>1</v>
      </c>
      <c r="CB2580" s="1">
        <v>2</v>
      </c>
      <c r="CC2580" s="1">
        <v>2</v>
      </c>
      <c r="CD2580" s="1">
        <v>1</v>
      </c>
      <c r="CE2580" s="1">
        <v>2</v>
      </c>
      <c r="CF2580" s="1">
        <v>2</v>
      </c>
      <c r="CG2580" s="1">
        <v>2</v>
      </c>
      <c r="CH2580" s="1" t="s">
        <v>109</v>
      </c>
      <c r="CI2580" s="1" t="s">
        <v>109</v>
      </c>
      <c r="CJ2580" s="1">
        <v>2</v>
      </c>
      <c r="CK2580" s="1"/>
      <c r="CL2580" s="1">
        <v>0</v>
      </c>
      <c r="CM2580" s="1">
        <v>0</v>
      </c>
      <c r="CN2580" s="1">
        <v>0</v>
      </c>
    </row>
    <row r="2581" spans="1:92" ht="14.25" customHeight="1" x14ac:dyDescent="0.15">
      <c r="A2581" s="1" t="s">
        <v>18361</v>
      </c>
      <c r="B2581" s="1" t="s">
        <v>254</v>
      </c>
      <c r="C2581" s="1"/>
      <c r="D2581" s="1"/>
      <c r="E2581" s="1" t="s">
        <v>18362</v>
      </c>
      <c r="F2581" s="1" t="s">
        <v>98</v>
      </c>
      <c r="G2581" s="1" t="s">
        <v>141</v>
      </c>
      <c r="H2581" s="1">
        <v>0</v>
      </c>
      <c r="I2581" s="1" t="s">
        <v>142</v>
      </c>
      <c r="J2581" s="1"/>
      <c r="K2581" s="1"/>
      <c r="L2581" s="1" t="s">
        <v>18363</v>
      </c>
      <c r="M2581" s="1" t="s">
        <v>11878</v>
      </c>
      <c r="N2581" s="1">
        <v>1</v>
      </c>
      <c r="O2581" s="1">
        <v>0</v>
      </c>
      <c r="P2581" s="1" t="s">
        <v>103</v>
      </c>
      <c r="Q2581" s="1" t="s">
        <v>104</v>
      </c>
      <c r="R2581" s="1" t="s">
        <v>18364</v>
      </c>
      <c r="S2581" s="1" t="s">
        <v>18365</v>
      </c>
      <c r="T2581" s="1" t="s">
        <v>17916</v>
      </c>
      <c r="U2581" s="1" t="s">
        <v>18366</v>
      </c>
      <c r="V2581" s="1">
        <v>1</v>
      </c>
      <c r="W2581" s="1">
        <v>1</v>
      </c>
      <c r="X2581" s="1">
        <v>0</v>
      </c>
      <c r="Y2581" s="1">
        <v>0</v>
      </c>
      <c r="Z2581" s="1">
        <v>0</v>
      </c>
      <c r="AA2581" s="1" t="s">
        <v>109</v>
      </c>
      <c r="AB2581" s="1" t="s">
        <v>109</v>
      </c>
      <c r="AC2581" s="1">
        <v>2</v>
      </c>
      <c r="AD2581" s="1" t="s">
        <v>109</v>
      </c>
      <c r="AE2581" s="1" t="s">
        <v>109</v>
      </c>
      <c r="AF2581" s="1" t="s">
        <v>109</v>
      </c>
      <c r="AG2581" s="1">
        <v>2</v>
      </c>
      <c r="AH2581" s="1" t="s">
        <v>109</v>
      </c>
      <c r="AI2581" s="1" t="s">
        <v>109</v>
      </c>
      <c r="AJ2581" s="1" t="s">
        <v>109</v>
      </c>
      <c r="AK2581" s="1">
        <v>2</v>
      </c>
      <c r="AL2581" s="1">
        <v>2</v>
      </c>
      <c r="AM2581" s="1" t="s">
        <v>109</v>
      </c>
      <c r="AN2581" s="1" t="s">
        <v>109</v>
      </c>
      <c r="AO2581" s="1" t="s">
        <v>109</v>
      </c>
      <c r="AP2581" s="1"/>
      <c r="AQ2581" s="1">
        <v>2</v>
      </c>
      <c r="AR2581" s="1"/>
      <c r="AS2581" s="1" t="s">
        <v>18367</v>
      </c>
      <c r="AT2581" s="1">
        <v>0</v>
      </c>
      <c r="AU2581" s="1">
        <v>0</v>
      </c>
      <c r="AV2581" s="1">
        <v>0</v>
      </c>
      <c r="AW2581" s="1">
        <v>0</v>
      </c>
      <c r="AX2581" s="1">
        <v>0</v>
      </c>
      <c r="AY2581" s="1">
        <v>0</v>
      </c>
      <c r="AZ2581" s="1">
        <v>0</v>
      </c>
      <c r="BA2581" s="1">
        <v>0</v>
      </c>
      <c r="BB2581" s="1">
        <v>0</v>
      </c>
      <c r="BC2581" s="1">
        <v>0</v>
      </c>
      <c r="BD2581" s="1">
        <v>0</v>
      </c>
      <c r="BE2581" s="1">
        <v>0</v>
      </c>
      <c r="BF2581" s="1">
        <v>0</v>
      </c>
      <c r="BG2581" s="1">
        <v>0</v>
      </c>
      <c r="BH2581" s="1">
        <v>0</v>
      </c>
      <c r="BI2581" s="1">
        <v>0</v>
      </c>
      <c r="BJ2581" s="1">
        <v>0</v>
      </c>
      <c r="BK2581" s="1">
        <v>0</v>
      </c>
      <c r="BL2581" s="1">
        <v>0</v>
      </c>
      <c r="BM2581" s="1">
        <v>0</v>
      </c>
      <c r="BN2581" s="1">
        <v>0</v>
      </c>
      <c r="BO2581" s="1">
        <v>0</v>
      </c>
      <c r="BP2581" s="1">
        <v>0</v>
      </c>
      <c r="BQ2581" s="1">
        <v>0</v>
      </c>
      <c r="BR2581" s="1">
        <v>0</v>
      </c>
      <c r="BS2581" s="1" t="s">
        <v>109</v>
      </c>
      <c r="BT2581" s="1">
        <v>2684</v>
      </c>
      <c r="BU2581" s="1" t="s">
        <v>109</v>
      </c>
      <c r="BV2581" s="1"/>
      <c r="BW2581" s="1"/>
      <c r="BX2581" s="1"/>
      <c r="BY2581" s="1"/>
      <c r="BZ2581" s="1">
        <v>0</v>
      </c>
      <c r="CA2581" s="1" t="s">
        <v>109</v>
      </c>
      <c r="CB2581" s="1" t="s">
        <v>109</v>
      </c>
      <c r="CC2581" s="1">
        <v>2</v>
      </c>
      <c r="CD2581" s="1">
        <v>2</v>
      </c>
      <c r="CE2581" s="1" t="s">
        <v>109</v>
      </c>
      <c r="CF2581" s="1">
        <v>2</v>
      </c>
      <c r="CG2581" s="1" t="s">
        <v>109</v>
      </c>
      <c r="CH2581" s="1" t="s">
        <v>109</v>
      </c>
      <c r="CI2581" s="1" t="s">
        <v>109</v>
      </c>
      <c r="CJ2581" s="1" t="s">
        <v>109</v>
      </c>
      <c r="CK2581" s="1"/>
      <c r="CL2581" s="1">
        <v>0</v>
      </c>
      <c r="CM2581" s="1">
        <v>0</v>
      </c>
      <c r="CN2581" s="1">
        <v>0</v>
      </c>
    </row>
    <row r="2582" spans="1:92" ht="14.25" customHeight="1" x14ac:dyDescent="0.15">
      <c r="A2582" s="1" t="s">
        <v>18368</v>
      </c>
      <c r="B2582" s="1" t="s">
        <v>156</v>
      </c>
      <c r="C2582" s="1" t="s">
        <v>157</v>
      </c>
      <c r="D2582" s="1" t="s">
        <v>158</v>
      </c>
      <c r="E2582" s="1" t="s">
        <v>18369</v>
      </c>
      <c r="F2582" s="1" t="s">
        <v>98</v>
      </c>
      <c r="G2582" s="1" t="s">
        <v>18370</v>
      </c>
      <c r="H2582" s="1">
        <v>1</v>
      </c>
      <c r="I2582" s="1" t="s">
        <v>142</v>
      </c>
      <c r="J2582" s="1"/>
      <c r="K2582" s="1"/>
      <c r="L2582" s="1" t="s">
        <v>1391</v>
      </c>
      <c r="M2582" s="1" t="s">
        <v>465</v>
      </c>
      <c r="N2582" s="1">
        <v>0</v>
      </c>
      <c r="O2582" s="1">
        <v>0</v>
      </c>
      <c r="P2582" s="1" t="s">
        <v>18371</v>
      </c>
      <c r="Q2582" s="1" t="s">
        <v>268</v>
      </c>
      <c r="R2582" s="1" t="s">
        <v>18372</v>
      </c>
      <c r="S2582" s="1" t="s">
        <v>18373</v>
      </c>
      <c r="T2582" s="1" t="s">
        <v>17916</v>
      </c>
      <c r="U2582" s="1" t="s">
        <v>18374</v>
      </c>
      <c r="V2582" s="1">
        <v>1</v>
      </c>
      <c r="W2582" s="1">
        <v>1</v>
      </c>
      <c r="X2582" s="1">
        <v>1</v>
      </c>
      <c r="Y2582" s="1">
        <v>0</v>
      </c>
      <c r="Z2582" s="1">
        <v>0</v>
      </c>
      <c r="AA2582" s="1">
        <v>5</v>
      </c>
      <c r="AB2582" s="1">
        <v>5</v>
      </c>
      <c r="AC2582" s="1" t="s">
        <v>109</v>
      </c>
      <c r="AD2582" s="1" t="s">
        <v>109</v>
      </c>
      <c r="AE2582" s="1" t="s">
        <v>109</v>
      </c>
      <c r="AF2582" s="1">
        <v>4</v>
      </c>
      <c r="AG2582" s="1" t="s">
        <v>109</v>
      </c>
      <c r="AH2582" s="1" t="s">
        <v>109</v>
      </c>
      <c r="AI2582" s="1" t="s">
        <v>109</v>
      </c>
      <c r="AJ2582" s="1">
        <v>5</v>
      </c>
      <c r="AK2582" s="1" t="s">
        <v>109</v>
      </c>
      <c r="AL2582" s="1" t="s">
        <v>109</v>
      </c>
      <c r="AM2582" s="1" t="s">
        <v>109</v>
      </c>
      <c r="AN2582" s="1" t="s">
        <v>109</v>
      </c>
      <c r="AO2582" s="1" t="s">
        <v>109</v>
      </c>
      <c r="AP2582" s="1"/>
      <c r="AQ2582" s="1">
        <v>5</v>
      </c>
      <c r="AR2582" s="1"/>
      <c r="AS2582" s="1" t="s">
        <v>18375</v>
      </c>
      <c r="AT2582" s="1">
        <v>0</v>
      </c>
      <c r="AU2582" s="1">
        <v>0</v>
      </c>
      <c r="AV2582" s="1">
        <v>0</v>
      </c>
      <c r="AW2582" s="1">
        <v>0</v>
      </c>
      <c r="AX2582" s="1">
        <v>0</v>
      </c>
      <c r="AY2582" s="1">
        <v>0</v>
      </c>
      <c r="AZ2582" s="1">
        <v>0</v>
      </c>
      <c r="BA2582" s="1">
        <v>0</v>
      </c>
      <c r="BB2582" s="1">
        <v>0</v>
      </c>
      <c r="BC2582" s="1">
        <v>0</v>
      </c>
      <c r="BD2582" s="1">
        <v>0</v>
      </c>
      <c r="BE2582" s="1">
        <v>0</v>
      </c>
      <c r="BF2582" s="1">
        <v>0</v>
      </c>
      <c r="BG2582" s="1">
        <v>0</v>
      </c>
      <c r="BH2582" s="1">
        <v>0</v>
      </c>
      <c r="BI2582" s="1">
        <v>0</v>
      </c>
      <c r="BJ2582" s="1">
        <v>0</v>
      </c>
      <c r="BK2582" s="1">
        <v>0</v>
      </c>
      <c r="BL2582" s="1">
        <v>0</v>
      </c>
      <c r="BM2582" s="1">
        <v>1</v>
      </c>
      <c r="BN2582" s="1">
        <v>0</v>
      </c>
      <c r="BO2582" s="1">
        <v>0</v>
      </c>
      <c r="BP2582" s="1">
        <v>0</v>
      </c>
      <c r="BQ2582" s="1">
        <v>0</v>
      </c>
      <c r="BR2582" s="1">
        <v>0</v>
      </c>
      <c r="BS2582" s="1" t="s">
        <v>109</v>
      </c>
      <c r="BT2582" s="1">
        <v>2685</v>
      </c>
      <c r="BU2582" s="1">
        <v>180</v>
      </c>
      <c r="BV2582" s="1"/>
      <c r="BW2582" s="1"/>
      <c r="BX2582" s="1"/>
      <c r="BY2582" s="1"/>
      <c r="BZ2582" s="1">
        <v>0</v>
      </c>
      <c r="CA2582" s="1" t="s">
        <v>109</v>
      </c>
      <c r="CB2582" s="1" t="s">
        <v>109</v>
      </c>
      <c r="CC2582" s="1">
        <v>5</v>
      </c>
      <c r="CD2582" s="1">
        <v>3</v>
      </c>
      <c r="CE2582" s="1">
        <v>4</v>
      </c>
      <c r="CF2582" s="1" t="s">
        <v>109</v>
      </c>
      <c r="CG2582" s="1" t="s">
        <v>109</v>
      </c>
      <c r="CH2582" s="1" t="s">
        <v>109</v>
      </c>
      <c r="CI2582" s="1" t="s">
        <v>109</v>
      </c>
      <c r="CJ2582" s="1" t="s">
        <v>109</v>
      </c>
      <c r="CK2582" s="1"/>
      <c r="CL2582" s="1">
        <v>0</v>
      </c>
      <c r="CM2582" s="1">
        <v>0</v>
      </c>
      <c r="CN2582" s="1">
        <v>0</v>
      </c>
    </row>
    <row r="2583" spans="1:92" ht="14.25" customHeight="1" x14ac:dyDescent="0.15">
      <c r="A2583" s="1" t="s">
        <v>18376</v>
      </c>
      <c r="B2583" s="1" t="s">
        <v>189</v>
      </c>
      <c r="C2583" s="1"/>
      <c r="D2583" s="1" t="s">
        <v>57</v>
      </c>
      <c r="E2583" s="1" t="s">
        <v>18377</v>
      </c>
      <c r="F2583" s="1" t="s">
        <v>98</v>
      </c>
      <c r="G2583" s="1" t="s">
        <v>18378</v>
      </c>
      <c r="H2583" s="1">
        <v>0</v>
      </c>
      <c r="I2583" s="1" t="s">
        <v>18379</v>
      </c>
      <c r="J2583" s="1"/>
      <c r="K2583" s="1"/>
      <c r="L2583" s="1" t="s">
        <v>563</v>
      </c>
      <c r="M2583" s="1" t="s">
        <v>144</v>
      </c>
      <c r="N2583" s="1">
        <v>0</v>
      </c>
      <c r="O2583" s="1">
        <v>0</v>
      </c>
      <c r="P2583" s="1" t="s">
        <v>267</v>
      </c>
      <c r="Q2583" s="1" t="s">
        <v>268</v>
      </c>
      <c r="R2583" s="1" t="s">
        <v>18380</v>
      </c>
      <c r="S2583" s="1" t="s">
        <v>18381</v>
      </c>
      <c r="T2583" s="1" t="s">
        <v>17916</v>
      </c>
      <c r="U2583" s="1" t="s">
        <v>18382</v>
      </c>
      <c r="V2583" s="1">
        <v>1</v>
      </c>
      <c r="W2583" s="1">
        <v>1</v>
      </c>
      <c r="X2583" s="1">
        <v>1</v>
      </c>
      <c r="Y2583" s="1">
        <v>0</v>
      </c>
      <c r="Z2583" s="1">
        <v>1</v>
      </c>
      <c r="AA2583" s="1">
        <v>5</v>
      </c>
      <c r="AB2583" s="1">
        <v>5</v>
      </c>
      <c r="AC2583" s="1">
        <v>5</v>
      </c>
      <c r="AD2583" s="1" t="s">
        <v>109</v>
      </c>
      <c r="AE2583" s="1" t="s">
        <v>109</v>
      </c>
      <c r="AF2583" s="1" t="s">
        <v>109</v>
      </c>
      <c r="AG2583" s="1" t="s">
        <v>109</v>
      </c>
      <c r="AH2583" s="1" t="s">
        <v>109</v>
      </c>
      <c r="AI2583" s="1" t="s">
        <v>109</v>
      </c>
      <c r="AJ2583" s="1">
        <v>5</v>
      </c>
      <c r="AK2583" s="1" t="s">
        <v>109</v>
      </c>
      <c r="AL2583" s="1">
        <v>5</v>
      </c>
      <c r="AM2583" s="1" t="s">
        <v>109</v>
      </c>
      <c r="AN2583" s="1" t="s">
        <v>109</v>
      </c>
      <c r="AO2583" s="1" t="s">
        <v>109</v>
      </c>
      <c r="AP2583" s="1"/>
      <c r="AQ2583" s="1">
        <v>5</v>
      </c>
      <c r="AR2583" s="1"/>
      <c r="AS2583" s="1" t="s">
        <v>18383</v>
      </c>
      <c r="AT2583" s="1">
        <v>0</v>
      </c>
      <c r="AU2583" s="1">
        <v>0</v>
      </c>
      <c r="AV2583" s="1">
        <v>0</v>
      </c>
      <c r="AW2583" s="1">
        <v>0</v>
      </c>
      <c r="AX2583" s="1">
        <v>0</v>
      </c>
      <c r="AY2583" s="1">
        <v>0</v>
      </c>
      <c r="AZ2583" s="1">
        <v>0</v>
      </c>
      <c r="BA2583" s="1">
        <v>0</v>
      </c>
      <c r="BB2583" s="1">
        <v>0</v>
      </c>
      <c r="BC2583" s="1">
        <v>0</v>
      </c>
      <c r="BD2583" s="1">
        <v>0</v>
      </c>
      <c r="BE2583" s="1">
        <v>1</v>
      </c>
      <c r="BF2583" s="1">
        <v>0</v>
      </c>
      <c r="BG2583" s="1">
        <v>0</v>
      </c>
      <c r="BH2583" s="1">
        <v>0</v>
      </c>
      <c r="BI2583" s="1">
        <v>0</v>
      </c>
      <c r="BJ2583" s="1">
        <v>0</v>
      </c>
      <c r="BK2583" s="1">
        <v>0</v>
      </c>
      <c r="BL2583" s="1">
        <v>0</v>
      </c>
      <c r="BM2583" s="1">
        <v>0</v>
      </c>
      <c r="BN2583" s="1">
        <v>0</v>
      </c>
      <c r="BO2583" s="1">
        <v>0</v>
      </c>
      <c r="BP2583" s="1">
        <v>0</v>
      </c>
      <c r="BQ2583" s="1">
        <v>0</v>
      </c>
      <c r="BR2583" s="1">
        <v>0</v>
      </c>
      <c r="BS2583" s="1" t="s">
        <v>109</v>
      </c>
      <c r="BT2583" s="1">
        <v>2686</v>
      </c>
      <c r="BU2583" s="1" t="s">
        <v>109</v>
      </c>
      <c r="BV2583" s="1"/>
      <c r="BW2583" s="1"/>
      <c r="BX2583" s="1"/>
      <c r="BY2583" s="1"/>
      <c r="BZ2583" s="1">
        <v>0</v>
      </c>
      <c r="CA2583" s="1" t="s">
        <v>109</v>
      </c>
      <c r="CB2583" s="1" t="s">
        <v>109</v>
      </c>
      <c r="CC2583" s="1">
        <v>5</v>
      </c>
      <c r="CD2583" s="1" t="s">
        <v>109</v>
      </c>
      <c r="CE2583" s="1" t="s">
        <v>109</v>
      </c>
      <c r="CF2583" s="1">
        <v>4</v>
      </c>
      <c r="CG2583" s="1">
        <v>4</v>
      </c>
      <c r="CH2583" s="1" t="s">
        <v>109</v>
      </c>
      <c r="CI2583" s="1" t="s">
        <v>109</v>
      </c>
      <c r="CJ2583" s="1" t="s">
        <v>109</v>
      </c>
      <c r="CK2583" s="1"/>
      <c r="CL2583" s="1">
        <v>0</v>
      </c>
      <c r="CM2583" s="1">
        <v>0</v>
      </c>
      <c r="CN2583" s="1">
        <v>0</v>
      </c>
    </row>
    <row r="2584" spans="1:92" ht="14.25" customHeight="1" x14ac:dyDescent="0.15">
      <c r="A2584" s="1" t="s">
        <v>18384</v>
      </c>
      <c r="B2584" s="1" t="s">
        <v>242</v>
      </c>
      <c r="C2584" s="1"/>
      <c r="D2584" s="1"/>
      <c r="E2584" s="1" t="s">
        <v>7708</v>
      </c>
      <c r="F2584" s="1" t="s">
        <v>98</v>
      </c>
      <c r="G2584" s="1" t="s">
        <v>2264</v>
      </c>
      <c r="H2584" s="1">
        <v>0</v>
      </c>
      <c r="I2584" s="1" t="s">
        <v>161</v>
      </c>
      <c r="J2584" s="1"/>
      <c r="K2584" s="1"/>
      <c r="L2584" s="1" t="s">
        <v>1391</v>
      </c>
      <c r="M2584" s="1" t="s">
        <v>18385</v>
      </c>
      <c r="N2584" s="1">
        <v>0</v>
      </c>
      <c r="O2584" s="1">
        <v>0</v>
      </c>
      <c r="P2584" s="1" t="s">
        <v>507</v>
      </c>
      <c r="Q2584" s="1" t="s">
        <v>167</v>
      </c>
      <c r="R2584" s="1" t="s">
        <v>18386</v>
      </c>
      <c r="S2584" s="1" t="s">
        <v>18387</v>
      </c>
      <c r="T2584" s="1" t="s">
        <v>17916</v>
      </c>
      <c r="U2584" s="1" t="s">
        <v>18388</v>
      </c>
      <c r="V2584" s="1">
        <v>1</v>
      </c>
      <c r="W2584" s="1">
        <v>1</v>
      </c>
      <c r="X2584" s="1">
        <v>1</v>
      </c>
      <c r="Y2584" s="1">
        <v>0</v>
      </c>
      <c r="Z2584" s="1">
        <v>0</v>
      </c>
      <c r="AA2584" s="1" t="s">
        <v>109</v>
      </c>
      <c r="AB2584" s="1" t="s">
        <v>109</v>
      </c>
      <c r="AC2584" s="1">
        <v>2</v>
      </c>
      <c r="AD2584" s="1" t="s">
        <v>109</v>
      </c>
      <c r="AE2584" s="1" t="s">
        <v>109</v>
      </c>
      <c r="AF2584" s="1" t="s">
        <v>109</v>
      </c>
      <c r="AG2584" s="1">
        <v>2</v>
      </c>
      <c r="AH2584" s="1" t="s">
        <v>109</v>
      </c>
      <c r="AI2584" s="1" t="s">
        <v>109</v>
      </c>
      <c r="AJ2584" s="1" t="s">
        <v>109</v>
      </c>
      <c r="AK2584" s="1" t="s">
        <v>109</v>
      </c>
      <c r="AL2584" s="1">
        <v>2</v>
      </c>
      <c r="AM2584" s="1" t="s">
        <v>109</v>
      </c>
      <c r="AN2584" s="1" t="s">
        <v>109</v>
      </c>
      <c r="AO2584" s="1" t="s">
        <v>109</v>
      </c>
      <c r="AP2584" s="1"/>
      <c r="AQ2584" s="1">
        <v>2</v>
      </c>
      <c r="AR2584" s="1"/>
      <c r="AS2584" s="1" t="s">
        <v>18389</v>
      </c>
      <c r="AT2584" s="1">
        <v>0</v>
      </c>
      <c r="AU2584" s="1">
        <v>0</v>
      </c>
      <c r="AV2584" s="1">
        <v>0</v>
      </c>
      <c r="AW2584" s="1">
        <v>0</v>
      </c>
      <c r="AX2584" s="1">
        <v>0</v>
      </c>
      <c r="AY2584" s="1">
        <v>0</v>
      </c>
      <c r="AZ2584" s="1">
        <v>0</v>
      </c>
      <c r="BA2584" s="1">
        <v>0</v>
      </c>
      <c r="BB2584" s="1">
        <v>0</v>
      </c>
      <c r="BC2584" s="1">
        <v>0</v>
      </c>
      <c r="BD2584" s="1">
        <v>0</v>
      </c>
      <c r="BE2584" s="1">
        <v>0</v>
      </c>
      <c r="BF2584" s="1">
        <v>0</v>
      </c>
      <c r="BG2584" s="1">
        <v>0</v>
      </c>
      <c r="BH2584" s="1">
        <v>0</v>
      </c>
      <c r="BI2584" s="1">
        <v>0</v>
      </c>
      <c r="BJ2584" s="1">
        <v>0</v>
      </c>
      <c r="BK2584" s="1">
        <v>0</v>
      </c>
      <c r="BL2584" s="1">
        <v>0</v>
      </c>
      <c r="BM2584" s="1">
        <v>0</v>
      </c>
      <c r="BN2584" s="1">
        <v>0</v>
      </c>
      <c r="BO2584" s="1">
        <v>0</v>
      </c>
      <c r="BP2584" s="1">
        <v>0</v>
      </c>
      <c r="BQ2584" s="1">
        <v>0</v>
      </c>
      <c r="BR2584" s="1">
        <v>0</v>
      </c>
      <c r="BS2584" s="1" t="s">
        <v>109</v>
      </c>
      <c r="BT2584" s="1">
        <v>2687</v>
      </c>
      <c r="BU2584" s="1" t="s">
        <v>109</v>
      </c>
      <c r="BV2584" s="1"/>
      <c r="BW2584" s="1"/>
      <c r="BX2584" s="1"/>
      <c r="BY2584" s="1"/>
      <c r="BZ2584" s="1">
        <v>0</v>
      </c>
      <c r="CA2584" s="1" t="s">
        <v>109</v>
      </c>
      <c r="CB2584" s="1" t="s">
        <v>109</v>
      </c>
      <c r="CC2584" s="1" t="s">
        <v>109</v>
      </c>
      <c r="CD2584" s="1" t="s">
        <v>109</v>
      </c>
      <c r="CE2584" s="1" t="s">
        <v>109</v>
      </c>
      <c r="CF2584" s="1" t="s">
        <v>109</v>
      </c>
      <c r="CG2584" s="1" t="s">
        <v>109</v>
      </c>
      <c r="CH2584" s="1" t="s">
        <v>109</v>
      </c>
      <c r="CI2584" s="1" t="s">
        <v>109</v>
      </c>
      <c r="CJ2584" s="1" t="s">
        <v>109</v>
      </c>
      <c r="CK2584" s="1"/>
      <c r="CL2584" s="1">
        <v>0</v>
      </c>
      <c r="CM2584" s="1">
        <v>0</v>
      </c>
      <c r="CN2584" s="1">
        <v>0</v>
      </c>
    </row>
    <row r="2585" spans="1:92" ht="14.25" customHeight="1" x14ac:dyDescent="0.15">
      <c r="A2585" s="1" t="s">
        <v>18390</v>
      </c>
      <c r="B2585" s="1" t="s">
        <v>95</v>
      </c>
      <c r="C2585" s="1" t="s">
        <v>96</v>
      </c>
      <c r="D2585" s="1"/>
      <c r="E2585" s="1" t="s">
        <v>18391</v>
      </c>
      <c r="F2585" s="1" t="s">
        <v>98</v>
      </c>
      <c r="G2585" s="1" t="s">
        <v>18392</v>
      </c>
      <c r="H2585" s="1">
        <v>0</v>
      </c>
      <c r="I2585" s="1" t="s">
        <v>18393</v>
      </c>
      <c r="J2585" s="1"/>
      <c r="K2585" s="1"/>
      <c r="L2585" s="1" t="s">
        <v>1391</v>
      </c>
      <c r="M2585" s="1" t="s">
        <v>574</v>
      </c>
      <c r="N2585" s="1">
        <v>1</v>
      </c>
      <c r="O2585" s="1">
        <v>0</v>
      </c>
      <c r="P2585" s="1" t="s">
        <v>103</v>
      </c>
      <c r="Q2585" s="1" t="s">
        <v>268</v>
      </c>
      <c r="R2585" s="1" t="s">
        <v>18394</v>
      </c>
      <c r="S2585" s="1" t="s">
        <v>18395</v>
      </c>
      <c r="T2585" s="1" t="s">
        <v>17916</v>
      </c>
      <c r="U2585" s="1" t="s">
        <v>18396</v>
      </c>
      <c r="V2585" s="1">
        <v>1</v>
      </c>
      <c r="W2585" s="1">
        <v>1</v>
      </c>
      <c r="X2585" s="1">
        <v>1</v>
      </c>
      <c r="Y2585" s="1">
        <v>0</v>
      </c>
      <c r="Z2585" s="1">
        <v>0</v>
      </c>
      <c r="AA2585" s="1">
        <v>5</v>
      </c>
      <c r="AB2585" s="1">
        <v>5</v>
      </c>
      <c r="AC2585" s="1" t="s">
        <v>109</v>
      </c>
      <c r="AD2585" s="1" t="s">
        <v>109</v>
      </c>
      <c r="AE2585" s="1" t="s">
        <v>109</v>
      </c>
      <c r="AF2585" s="1" t="s">
        <v>109</v>
      </c>
      <c r="AG2585" s="1" t="s">
        <v>109</v>
      </c>
      <c r="AH2585" s="1" t="s">
        <v>109</v>
      </c>
      <c r="AI2585" s="1">
        <v>5</v>
      </c>
      <c r="AJ2585" s="1" t="s">
        <v>109</v>
      </c>
      <c r="AK2585" s="1">
        <v>4</v>
      </c>
      <c r="AL2585" s="1" t="s">
        <v>109</v>
      </c>
      <c r="AM2585" s="1" t="s">
        <v>109</v>
      </c>
      <c r="AN2585" s="1" t="s">
        <v>109</v>
      </c>
      <c r="AO2585" s="1" t="s">
        <v>109</v>
      </c>
      <c r="AP2585" s="1"/>
      <c r="AQ2585" s="1">
        <v>5</v>
      </c>
      <c r="AR2585" s="1"/>
      <c r="AS2585" s="1" t="s">
        <v>18397</v>
      </c>
      <c r="AT2585" s="1">
        <v>0</v>
      </c>
      <c r="AU2585" s="1">
        <v>0</v>
      </c>
      <c r="AV2585" s="1">
        <v>0</v>
      </c>
      <c r="AW2585" s="1">
        <v>0</v>
      </c>
      <c r="AX2585" s="1">
        <v>0</v>
      </c>
      <c r="AY2585" s="1">
        <v>0</v>
      </c>
      <c r="AZ2585" s="1">
        <v>0</v>
      </c>
      <c r="BA2585" s="1">
        <v>0</v>
      </c>
      <c r="BB2585" s="1">
        <v>0</v>
      </c>
      <c r="BC2585" s="1">
        <v>0</v>
      </c>
      <c r="BD2585" s="1">
        <v>0</v>
      </c>
      <c r="BE2585" s="1">
        <v>0</v>
      </c>
      <c r="BF2585" s="1">
        <v>0</v>
      </c>
      <c r="BG2585" s="1">
        <v>0</v>
      </c>
      <c r="BH2585" s="1">
        <v>0</v>
      </c>
      <c r="BI2585" s="1">
        <v>0</v>
      </c>
      <c r="BJ2585" s="1">
        <v>0</v>
      </c>
      <c r="BK2585" s="1">
        <v>0</v>
      </c>
      <c r="BL2585" s="1">
        <v>0</v>
      </c>
      <c r="BM2585" s="1">
        <v>0</v>
      </c>
      <c r="BN2585" s="1">
        <v>0</v>
      </c>
      <c r="BO2585" s="1">
        <v>0</v>
      </c>
      <c r="BP2585" s="1">
        <v>0</v>
      </c>
      <c r="BQ2585" s="1">
        <v>0</v>
      </c>
      <c r="BR2585" s="1">
        <v>0</v>
      </c>
      <c r="BS2585" s="1" t="s">
        <v>109</v>
      </c>
      <c r="BT2585" s="1">
        <v>2688</v>
      </c>
      <c r="BU2585" s="1" t="s">
        <v>109</v>
      </c>
      <c r="BV2585" s="1"/>
      <c r="BW2585" s="1"/>
      <c r="BX2585" s="1"/>
      <c r="BY2585" s="1"/>
      <c r="BZ2585" s="1">
        <v>0</v>
      </c>
      <c r="CA2585" s="1" t="s">
        <v>109</v>
      </c>
      <c r="CB2585" s="1" t="s">
        <v>109</v>
      </c>
      <c r="CC2585" s="1" t="s">
        <v>109</v>
      </c>
      <c r="CD2585" s="1" t="s">
        <v>109</v>
      </c>
      <c r="CE2585" s="1" t="s">
        <v>109</v>
      </c>
      <c r="CF2585" s="1">
        <v>4</v>
      </c>
      <c r="CG2585" s="1" t="s">
        <v>109</v>
      </c>
      <c r="CH2585" s="1" t="s">
        <v>109</v>
      </c>
      <c r="CI2585" s="1" t="s">
        <v>109</v>
      </c>
      <c r="CJ2585" s="1" t="s">
        <v>109</v>
      </c>
      <c r="CK2585" s="1"/>
      <c r="CL2585" s="1">
        <v>0</v>
      </c>
      <c r="CM2585" s="1">
        <v>0</v>
      </c>
      <c r="CN2585" s="1">
        <v>0</v>
      </c>
    </row>
    <row r="2586" spans="1:92" ht="14.25" customHeight="1" x14ac:dyDescent="0.15">
      <c r="A2586" s="1" t="s">
        <v>18398</v>
      </c>
      <c r="B2586" s="1" t="s">
        <v>308</v>
      </c>
      <c r="C2586" s="1"/>
      <c r="D2586" s="1" t="s">
        <v>57</v>
      </c>
      <c r="E2586" s="1" t="s">
        <v>18399</v>
      </c>
      <c r="F2586" s="1" t="s">
        <v>395</v>
      </c>
      <c r="G2586" s="1" t="s">
        <v>18400</v>
      </c>
      <c r="H2586" s="1">
        <v>1</v>
      </c>
      <c r="I2586" s="1" t="s">
        <v>4917</v>
      </c>
      <c r="J2586" s="1"/>
      <c r="K2586" s="1" t="s">
        <v>4918</v>
      </c>
      <c r="L2586" s="1"/>
      <c r="M2586" s="1" t="s">
        <v>5642</v>
      </c>
      <c r="N2586" s="1">
        <v>0</v>
      </c>
      <c r="O2586" s="1">
        <v>0</v>
      </c>
      <c r="P2586" s="1" t="s">
        <v>267</v>
      </c>
      <c r="Q2586" s="1" t="s">
        <v>268</v>
      </c>
      <c r="R2586" s="1" t="s">
        <v>18401</v>
      </c>
      <c r="S2586" s="1" t="s">
        <v>18402</v>
      </c>
      <c r="T2586" s="1" t="s">
        <v>17916</v>
      </c>
      <c r="U2586" s="1" t="s">
        <v>18403</v>
      </c>
      <c r="V2586" s="1">
        <v>1</v>
      </c>
      <c r="W2586" s="1">
        <v>1</v>
      </c>
      <c r="X2586" s="1">
        <v>1</v>
      </c>
      <c r="Y2586" s="1">
        <v>0</v>
      </c>
      <c r="Z2586" s="1">
        <v>0</v>
      </c>
      <c r="AA2586" s="1">
        <v>3</v>
      </c>
      <c r="AB2586" s="1">
        <v>3</v>
      </c>
      <c r="AC2586" s="1">
        <v>3</v>
      </c>
      <c r="AD2586" s="1" t="s">
        <v>109</v>
      </c>
      <c r="AE2586" s="1" t="s">
        <v>109</v>
      </c>
      <c r="AF2586" s="1" t="s">
        <v>109</v>
      </c>
      <c r="AG2586" s="1" t="s">
        <v>109</v>
      </c>
      <c r="AH2586" s="1" t="s">
        <v>109</v>
      </c>
      <c r="AI2586" s="1" t="s">
        <v>109</v>
      </c>
      <c r="AJ2586" s="1">
        <v>3</v>
      </c>
      <c r="AK2586" s="1" t="s">
        <v>109</v>
      </c>
      <c r="AL2586" s="1">
        <v>3</v>
      </c>
      <c r="AM2586" s="1" t="s">
        <v>109</v>
      </c>
      <c r="AN2586" s="1" t="s">
        <v>109</v>
      </c>
      <c r="AO2586" s="1" t="s">
        <v>109</v>
      </c>
      <c r="AP2586" s="1"/>
      <c r="AQ2586" s="1">
        <v>3</v>
      </c>
      <c r="AR2586" s="1"/>
      <c r="AS2586" s="1" t="s">
        <v>18404</v>
      </c>
      <c r="AT2586" s="1">
        <v>0</v>
      </c>
      <c r="AU2586" s="1">
        <v>0</v>
      </c>
      <c r="AV2586" s="1">
        <v>0</v>
      </c>
      <c r="AW2586" s="1">
        <v>0</v>
      </c>
      <c r="AX2586" s="1">
        <v>0</v>
      </c>
      <c r="AY2586" s="1">
        <v>0</v>
      </c>
      <c r="AZ2586" s="1">
        <v>0</v>
      </c>
      <c r="BA2586" s="1">
        <v>0</v>
      </c>
      <c r="BB2586" s="1">
        <v>0</v>
      </c>
      <c r="BC2586" s="1">
        <v>0</v>
      </c>
      <c r="BD2586" s="1">
        <v>0</v>
      </c>
      <c r="BE2586" s="1">
        <v>1</v>
      </c>
      <c r="BF2586" s="1">
        <v>0</v>
      </c>
      <c r="BG2586" s="1">
        <v>0</v>
      </c>
      <c r="BH2586" s="1">
        <v>0</v>
      </c>
      <c r="BI2586" s="1">
        <v>0</v>
      </c>
      <c r="BJ2586" s="1">
        <v>0</v>
      </c>
      <c r="BK2586" s="1">
        <v>0</v>
      </c>
      <c r="BL2586" s="1">
        <v>0</v>
      </c>
      <c r="BM2586" s="1">
        <v>0</v>
      </c>
      <c r="BN2586" s="1">
        <v>0</v>
      </c>
      <c r="BO2586" s="1">
        <v>0</v>
      </c>
      <c r="BP2586" s="1">
        <v>0</v>
      </c>
      <c r="BQ2586" s="1">
        <v>0</v>
      </c>
      <c r="BR2586" s="1">
        <v>0</v>
      </c>
      <c r="BS2586" s="1" t="s">
        <v>109</v>
      </c>
      <c r="BT2586" s="1">
        <v>2689</v>
      </c>
      <c r="BU2586" s="1">
        <v>500</v>
      </c>
      <c r="BV2586" s="1"/>
      <c r="BW2586" s="1"/>
      <c r="BX2586" s="1"/>
      <c r="BY2586" s="1"/>
      <c r="BZ2586" s="1">
        <v>0</v>
      </c>
      <c r="CA2586" s="1">
        <v>2</v>
      </c>
      <c r="CB2586" s="1" t="s">
        <v>109</v>
      </c>
      <c r="CC2586" s="1" t="s">
        <v>109</v>
      </c>
      <c r="CD2586" s="1" t="s">
        <v>109</v>
      </c>
      <c r="CE2586" s="1" t="s">
        <v>109</v>
      </c>
      <c r="CF2586" s="1">
        <v>2</v>
      </c>
      <c r="CG2586" s="1" t="s">
        <v>109</v>
      </c>
      <c r="CH2586" s="1" t="s">
        <v>109</v>
      </c>
      <c r="CI2586" s="1" t="s">
        <v>109</v>
      </c>
      <c r="CJ2586" s="1" t="s">
        <v>109</v>
      </c>
      <c r="CK2586" s="1"/>
      <c r="CL2586" s="1">
        <v>0</v>
      </c>
      <c r="CM2586" s="1">
        <v>0</v>
      </c>
      <c r="CN2586" s="1">
        <v>0</v>
      </c>
    </row>
    <row r="2587" spans="1:92" ht="14.25" customHeight="1" x14ac:dyDescent="0.15">
      <c r="A2587" s="1" t="s">
        <v>18405</v>
      </c>
      <c r="B2587" s="1" t="s">
        <v>189</v>
      </c>
      <c r="C2587" s="1"/>
      <c r="D2587" s="1"/>
      <c r="E2587" s="1" t="s">
        <v>18406</v>
      </c>
      <c r="F2587" s="1" t="s">
        <v>98</v>
      </c>
      <c r="G2587" s="1" t="s">
        <v>18407</v>
      </c>
      <c r="H2587" s="1">
        <v>0</v>
      </c>
      <c r="I2587" s="1" t="s">
        <v>235</v>
      </c>
      <c r="J2587" s="1"/>
      <c r="K2587" s="1"/>
      <c r="L2587" s="1" t="s">
        <v>236</v>
      </c>
      <c r="M2587" s="1" t="s">
        <v>6144</v>
      </c>
      <c r="N2587" s="1">
        <v>1</v>
      </c>
      <c r="O2587" s="1">
        <v>0</v>
      </c>
      <c r="P2587" s="1"/>
      <c r="Q2587" s="1"/>
      <c r="R2587" s="1" t="s">
        <v>18408</v>
      </c>
      <c r="S2587" s="1" t="s">
        <v>18409</v>
      </c>
      <c r="T2587" s="1" t="s">
        <v>17916</v>
      </c>
      <c r="U2587" s="1" t="s">
        <v>18410</v>
      </c>
      <c r="V2587" s="1">
        <v>1</v>
      </c>
      <c r="W2587" s="1">
        <v>1</v>
      </c>
      <c r="X2587" s="1">
        <v>0</v>
      </c>
      <c r="Y2587" s="1">
        <v>0</v>
      </c>
      <c r="Z2587" s="1">
        <v>0</v>
      </c>
      <c r="AA2587" s="1">
        <v>4</v>
      </c>
      <c r="AB2587" s="1">
        <v>4</v>
      </c>
      <c r="AC2587" s="1" t="s">
        <v>109</v>
      </c>
      <c r="AD2587" s="1" t="s">
        <v>109</v>
      </c>
      <c r="AE2587" s="1" t="s">
        <v>109</v>
      </c>
      <c r="AF2587" s="1" t="s">
        <v>109</v>
      </c>
      <c r="AG2587" s="1" t="s">
        <v>109</v>
      </c>
      <c r="AH2587" s="1">
        <v>3</v>
      </c>
      <c r="AI2587" s="1" t="s">
        <v>109</v>
      </c>
      <c r="AJ2587" s="1" t="s">
        <v>109</v>
      </c>
      <c r="AK2587" s="1" t="s">
        <v>109</v>
      </c>
      <c r="AL2587" s="1" t="s">
        <v>109</v>
      </c>
      <c r="AM2587" s="1" t="s">
        <v>109</v>
      </c>
      <c r="AN2587" s="1">
        <v>4</v>
      </c>
      <c r="AO2587" s="1" t="s">
        <v>109</v>
      </c>
      <c r="AP2587" s="1"/>
      <c r="AQ2587" s="1">
        <v>4</v>
      </c>
      <c r="AR2587" s="1"/>
      <c r="AS2587" s="1" t="s">
        <v>18411</v>
      </c>
      <c r="AT2587" s="1">
        <v>0</v>
      </c>
      <c r="AU2587" s="1">
        <v>0</v>
      </c>
      <c r="AV2587" s="1">
        <v>0</v>
      </c>
      <c r="AW2587" s="1">
        <v>0</v>
      </c>
      <c r="AX2587" s="1">
        <v>0</v>
      </c>
      <c r="AY2587" s="1">
        <v>0</v>
      </c>
      <c r="AZ2587" s="1">
        <v>0</v>
      </c>
      <c r="BA2587" s="1">
        <v>0</v>
      </c>
      <c r="BB2587" s="1">
        <v>0</v>
      </c>
      <c r="BC2587" s="1">
        <v>0</v>
      </c>
      <c r="BD2587" s="1">
        <v>0</v>
      </c>
      <c r="BE2587" s="1">
        <v>0</v>
      </c>
      <c r="BF2587" s="1">
        <v>0</v>
      </c>
      <c r="BG2587" s="1">
        <v>0</v>
      </c>
      <c r="BH2587" s="1">
        <v>0</v>
      </c>
      <c r="BI2587" s="1">
        <v>0</v>
      </c>
      <c r="BJ2587" s="1">
        <v>0</v>
      </c>
      <c r="BK2587" s="1">
        <v>0</v>
      </c>
      <c r="BL2587" s="1">
        <v>0</v>
      </c>
      <c r="BM2587" s="1">
        <v>0</v>
      </c>
      <c r="BN2587" s="1">
        <v>0</v>
      </c>
      <c r="BO2587" s="1">
        <v>0</v>
      </c>
      <c r="BP2587" s="1">
        <v>0</v>
      </c>
      <c r="BQ2587" s="1">
        <v>0</v>
      </c>
      <c r="BR2587" s="1">
        <v>0</v>
      </c>
      <c r="BS2587" s="1" t="s">
        <v>109</v>
      </c>
      <c r="BT2587" s="1">
        <v>2690</v>
      </c>
      <c r="BU2587" s="1" t="s">
        <v>109</v>
      </c>
      <c r="BV2587" s="1"/>
      <c r="BW2587" s="1"/>
      <c r="BX2587" s="1"/>
      <c r="BY2587" s="1"/>
      <c r="BZ2587" s="1">
        <v>0</v>
      </c>
      <c r="CA2587" s="1">
        <v>3</v>
      </c>
      <c r="CB2587" s="1" t="s">
        <v>109</v>
      </c>
      <c r="CC2587" s="1" t="s">
        <v>109</v>
      </c>
      <c r="CD2587" s="1" t="s">
        <v>109</v>
      </c>
      <c r="CE2587" s="1" t="s">
        <v>109</v>
      </c>
      <c r="CF2587" s="1">
        <v>3</v>
      </c>
      <c r="CG2587" s="1" t="s">
        <v>109</v>
      </c>
      <c r="CH2587" s="1" t="s">
        <v>109</v>
      </c>
      <c r="CI2587" s="1" t="s">
        <v>109</v>
      </c>
      <c r="CJ2587" s="1" t="s">
        <v>109</v>
      </c>
      <c r="CK2587" s="1"/>
      <c r="CL2587" s="1">
        <v>0</v>
      </c>
      <c r="CM2587" s="1">
        <v>0</v>
      </c>
      <c r="CN2587" s="1">
        <v>0</v>
      </c>
    </row>
    <row r="2588" spans="1:92" ht="14.25" customHeight="1" x14ac:dyDescent="0.15">
      <c r="A2588" s="1" t="s">
        <v>18412</v>
      </c>
      <c r="B2588" s="1" t="s">
        <v>308</v>
      </c>
      <c r="C2588" s="1"/>
      <c r="D2588" s="1" t="s">
        <v>57</v>
      </c>
      <c r="E2588" s="1" t="s">
        <v>18413</v>
      </c>
      <c r="F2588" s="1" t="s">
        <v>98</v>
      </c>
      <c r="G2588" s="1" t="s">
        <v>18414</v>
      </c>
      <c r="H2588" s="1">
        <v>1</v>
      </c>
      <c r="I2588" s="1" t="s">
        <v>161</v>
      </c>
      <c r="J2588" s="1"/>
      <c r="K2588" s="1"/>
      <c r="L2588" s="1" t="s">
        <v>311</v>
      </c>
      <c r="M2588" s="1" t="s">
        <v>18415</v>
      </c>
      <c r="N2588" s="1">
        <v>0</v>
      </c>
      <c r="O2588" s="1">
        <v>0</v>
      </c>
      <c r="P2588" s="1" t="s">
        <v>103</v>
      </c>
      <c r="Q2588" s="1" t="s">
        <v>104</v>
      </c>
      <c r="R2588" s="1" t="s">
        <v>18416</v>
      </c>
      <c r="S2588" s="1" t="s">
        <v>18417</v>
      </c>
      <c r="T2588" s="1" t="s">
        <v>17916</v>
      </c>
      <c r="U2588" s="1" t="s">
        <v>18418</v>
      </c>
      <c r="V2588" s="1">
        <v>1</v>
      </c>
      <c r="W2588" s="1">
        <v>1</v>
      </c>
      <c r="X2588" s="1">
        <v>1</v>
      </c>
      <c r="Y2588" s="1">
        <v>0</v>
      </c>
      <c r="Z2588" s="1">
        <v>0</v>
      </c>
      <c r="AA2588" s="1">
        <v>5</v>
      </c>
      <c r="AB2588" s="1">
        <v>5</v>
      </c>
      <c r="AC2588" s="1">
        <v>4</v>
      </c>
      <c r="AD2588" s="1" t="s">
        <v>109</v>
      </c>
      <c r="AE2588" s="1" t="s">
        <v>109</v>
      </c>
      <c r="AF2588" s="1" t="s">
        <v>109</v>
      </c>
      <c r="AG2588" s="1" t="s">
        <v>109</v>
      </c>
      <c r="AH2588" s="1" t="s">
        <v>109</v>
      </c>
      <c r="AI2588" s="1" t="s">
        <v>109</v>
      </c>
      <c r="AJ2588" s="1" t="s">
        <v>109</v>
      </c>
      <c r="AK2588" s="1" t="s">
        <v>109</v>
      </c>
      <c r="AL2588" s="1">
        <v>4</v>
      </c>
      <c r="AM2588" s="1">
        <v>4</v>
      </c>
      <c r="AN2588" s="1" t="s">
        <v>109</v>
      </c>
      <c r="AO2588" s="1" t="s">
        <v>109</v>
      </c>
      <c r="AP2588" s="1"/>
      <c r="AQ2588" s="1">
        <v>5</v>
      </c>
      <c r="AR2588" s="1"/>
      <c r="AS2588" s="1" t="s">
        <v>18419</v>
      </c>
      <c r="AT2588" s="1">
        <v>0</v>
      </c>
      <c r="AU2588" s="1">
        <v>0</v>
      </c>
      <c r="AV2588" s="1">
        <v>0</v>
      </c>
      <c r="AW2588" s="1">
        <v>0</v>
      </c>
      <c r="AX2588" s="1">
        <v>0</v>
      </c>
      <c r="AY2588" s="1">
        <v>0</v>
      </c>
      <c r="AZ2588" s="1">
        <v>0</v>
      </c>
      <c r="BA2588" s="1">
        <v>0</v>
      </c>
      <c r="BB2588" s="1">
        <v>0</v>
      </c>
      <c r="BC2588" s="1">
        <v>0</v>
      </c>
      <c r="BD2588" s="1">
        <v>0</v>
      </c>
      <c r="BE2588" s="1">
        <v>1</v>
      </c>
      <c r="BF2588" s="1">
        <v>0</v>
      </c>
      <c r="BG2588" s="1">
        <v>0</v>
      </c>
      <c r="BH2588" s="1">
        <v>0</v>
      </c>
      <c r="BI2588" s="1">
        <v>0</v>
      </c>
      <c r="BJ2588" s="1">
        <v>0</v>
      </c>
      <c r="BK2588" s="1">
        <v>0</v>
      </c>
      <c r="BL2588" s="1">
        <v>0</v>
      </c>
      <c r="BM2588" s="1">
        <v>0</v>
      </c>
      <c r="BN2588" s="1">
        <v>0</v>
      </c>
      <c r="BO2588" s="1">
        <v>0</v>
      </c>
      <c r="BP2588" s="1">
        <v>0</v>
      </c>
      <c r="BQ2588" s="1">
        <v>0</v>
      </c>
      <c r="BR2588" s="1">
        <v>0</v>
      </c>
      <c r="BS2588" s="1" t="s">
        <v>109</v>
      </c>
      <c r="BT2588" s="1">
        <v>2691</v>
      </c>
      <c r="BU2588" s="1">
        <v>25</v>
      </c>
      <c r="BV2588" s="1"/>
      <c r="BW2588" s="1"/>
      <c r="BX2588" s="1"/>
      <c r="BY2588" s="1"/>
      <c r="BZ2588" s="1">
        <v>0</v>
      </c>
      <c r="CA2588" s="1" t="s">
        <v>109</v>
      </c>
      <c r="CB2588" s="1">
        <v>4</v>
      </c>
      <c r="CC2588" s="1" t="s">
        <v>109</v>
      </c>
      <c r="CD2588" s="1" t="s">
        <v>109</v>
      </c>
      <c r="CE2588" s="1" t="s">
        <v>109</v>
      </c>
      <c r="CF2588" s="1">
        <v>4</v>
      </c>
      <c r="CG2588" s="1">
        <v>4</v>
      </c>
      <c r="CH2588" s="1" t="s">
        <v>109</v>
      </c>
      <c r="CI2588" s="1" t="s">
        <v>109</v>
      </c>
      <c r="CJ2588" s="1" t="s">
        <v>109</v>
      </c>
      <c r="CK2588" s="1"/>
      <c r="CL2588" s="1">
        <v>0</v>
      </c>
      <c r="CM2588" s="1">
        <v>0</v>
      </c>
      <c r="CN2588" s="1">
        <v>0</v>
      </c>
    </row>
    <row r="2589" spans="1:92" ht="14.25" customHeight="1" x14ac:dyDescent="0.15">
      <c r="A2589" s="1" t="s">
        <v>18420</v>
      </c>
      <c r="B2589" s="1" t="s">
        <v>189</v>
      </c>
      <c r="C2589" s="1" t="s">
        <v>231</v>
      </c>
      <c r="D2589" s="1"/>
      <c r="E2589" s="1" t="s">
        <v>18421</v>
      </c>
      <c r="F2589" s="1" t="s">
        <v>98</v>
      </c>
      <c r="G2589" s="1" t="s">
        <v>18422</v>
      </c>
      <c r="H2589" s="1">
        <v>0</v>
      </c>
      <c r="I2589" s="1" t="s">
        <v>235</v>
      </c>
      <c r="J2589" s="1"/>
      <c r="K2589" s="1"/>
      <c r="L2589" s="1" t="s">
        <v>236</v>
      </c>
      <c r="M2589" s="1" t="s">
        <v>574</v>
      </c>
      <c r="N2589" s="1">
        <v>1</v>
      </c>
      <c r="O2589" s="1">
        <v>0</v>
      </c>
      <c r="P2589" s="1"/>
      <c r="Q2589" s="1"/>
      <c r="R2589" s="1" t="s">
        <v>18423</v>
      </c>
      <c r="S2589" s="1" t="s">
        <v>18424</v>
      </c>
      <c r="T2589" s="1" t="s">
        <v>17916</v>
      </c>
      <c r="U2589" s="1" t="s">
        <v>18425</v>
      </c>
      <c r="V2589" s="1">
        <v>1</v>
      </c>
      <c r="W2589" s="1">
        <v>1</v>
      </c>
      <c r="X2589" s="1">
        <v>1</v>
      </c>
      <c r="Y2589" s="1">
        <v>0</v>
      </c>
      <c r="Z2589" s="1">
        <v>0</v>
      </c>
      <c r="AA2589" s="1" t="s">
        <v>109</v>
      </c>
      <c r="AB2589" s="1" t="s">
        <v>109</v>
      </c>
      <c r="AC2589" s="1" t="s">
        <v>109</v>
      </c>
      <c r="AD2589" s="1" t="s">
        <v>109</v>
      </c>
      <c r="AE2589" s="1" t="s">
        <v>109</v>
      </c>
      <c r="AF2589" s="1" t="s">
        <v>109</v>
      </c>
      <c r="AG2589" s="1" t="s">
        <v>109</v>
      </c>
      <c r="AH2589" s="1">
        <v>6</v>
      </c>
      <c r="AI2589" s="1" t="s">
        <v>109</v>
      </c>
      <c r="AJ2589" s="1">
        <v>7</v>
      </c>
      <c r="AK2589" s="1" t="s">
        <v>109</v>
      </c>
      <c r="AL2589" s="1" t="s">
        <v>109</v>
      </c>
      <c r="AM2589" s="1" t="s">
        <v>109</v>
      </c>
      <c r="AN2589" s="1" t="s">
        <v>109</v>
      </c>
      <c r="AO2589" s="1" t="s">
        <v>109</v>
      </c>
      <c r="AP2589" s="1"/>
      <c r="AQ2589" s="1" t="s">
        <v>109</v>
      </c>
      <c r="AR2589" s="1"/>
      <c r="AS2589" s="1" t="s">
        <v>18426</v>
      </c>
      <c r="AT2589" s="1">
        <v>0</v>
      </c>
      <c r="AU2589" s="1">
        <v>0</v>
      </c>
      <c r="AV2589" s="1">
        <v>0</v>
      </c>
      <c r="AW2589" s="1">
        <v>0</v>
      </c>
      <c r="AX2589" s="1">
        <v>0</v>
      </c>
      <c r="AY2589" s="1">
        <v>0</v>
      </c>
      <c r="AZ2589" s="1">
        <v>0</v>
      </c>
      <c r="BA2589" s="1">
        <v>0</v>
      </c>
      <c r="BB2589" s="1">
        <v>0</v>
      </c>
      <c r="BC2589" s="1">
        <v>0</v>
      </c>
      <c r="BD2589" s="1">
        <v>0</v>
      </c>
      <c r="BE2589" s="1">
        <v>0</v>
      </c>
      <c r="BF2589" s="1">
        <v>0</v>
      </c>
      <c r="BG2589" s="1">
        <v>0</v>
      </c>
      <c r="BH2589" s="1">
        <v>0</v>
      </c>
      <c r="BI2589" s="1">
        <v>0</v>
      </c>
      <c r="BJ2589" s="1">
        <v>0</v>
      </c>
      <c r="BK2589" s="1">
        <v>0</v>
      </c>
      <c r="BL2589" s="1">
        <v>0</v>
      </c>
      <c r="BM2589" s="1">
        <v>0</v>
      </c>
      <c r="BN2589" s="1">
        <v>0</v>
      </c>
      <c r="BO2589" s="1">
        <v>0</v>
      </c>
      <c r="BP2589" s="1">
        <v>0</v>
      </c>
      <c r="BQ2589" s="1">
        <v>0</v>
      </c>
      <c r="BR2589" s="1">
        <v>0</v>
      </c>
      <c r="BS2589" s="1" t="s">
        <v>109</v>
      </c>
      <c r="BT2589" s="1">
        <v>2692</v>
      </c>
      <c r="BU2589" s="1" t="s">
        <v>109</v>
      </c>
      <c r="BV2589" s="1"/>
      <c r="BW2589" s="1"/>
      <c r="BX2589" s="1"/>
      <c r="BY2589" s="1"/>
      <c r="BZ2589" s="1">
        <v>0</v>
      </c>
      <c r="CA2589" s="1" t="s">
        <v>109</v>
      </c>
      <c r="CB2589" s="1">
        <v>7</v>
      </c>
      <c r="CC2589" s="1" t="s">
        <v>109</v>
      </c>
      <c r="CD2589" s="1" t="s">
        <v>109</v>
      </c>
      <c r="CE2589" s="1" t="s">
        <v>109</v>
      </c>
      <c r="CF2589" s="1" t="s">
        <v>109</v>
      </c>
      <c r="CG2589" s="1" t="s">
        <v>109</v>
      </c>
      <c r="CH2589" s="1" t="s">
        <v>109</v>
      </c>
      <c r="CI2589" s="1" t="s">
        <v>109</v>
      </c>
      <c r="CJ2589" s="1" t="s">
        <v>109</v>
      </c>
      <c r="CK2589" s="1"/>
      <c r="CL2589" s="1">
        <v>0</v>
      </c>
      <c r="CM2589" s="1">
        <v>0</v>
      </c>
      <c r="CN2589" s="1">
        <v>0</v>
      </c>
    </row>
    <row r="2590" spans="1:92" ht="14.25" customHeight="1" x14ac:dyDescent="0.15">
      <c r="A2590" s="1" t="s">
        <v>18427</v>
      </c>
      <c r="B2590" s="1" t="s">
        <v>189</v>
      </c>
      <c r="C2590" s="1" t="s">
        <v>231</v>
      </c>
      <c r="D2590" s="1" t="s">
        <v>57</v>
      </c>
      <c r="E2590" s="1" t="s">
        <v>18428</v>
      </c>
      <c r="F2590" s="1" t="s">
        <v>395</v>
      </c>
      <c r="G2590" s="1" t="s">
        <v>18429</v>
      </c>
      <c r="H2590" s="1">
        <v>0</v>
      </c>
      <c r="I2590" s="1" t="s">
        <v>161</v>
      </c>
      <c r="J2590" s="1"/>
      <c r="K2590" s="1"/>
      <c r="L2590" s="1" t="s">
        <v>18430</v>
      </c>
      <c r="M2590" s="1" t="s">
        <v>289</v>
      </c>
      <c r="N2590" s="1">
        <v>0</v>
      </c>
      <c r="O2590" s="1">
        <v>0</v>
      </c>
      <c r="P2590" s="1" t="s">
        <v>2475</v>
      </c>
      <c r="Q2590" s="1" t="s">
        <v>104</v>
      </c>
      <c r="R2590" s="1" t="s">
        <v>18431</v>
      </c>
      <c r="S2590" s="1" t="s">
        <v>18432</v>
      </c>
      <c r="T2590" s="1" t="s">
        <v>17916</v>
      </c>
      <c r="U2590" s="1" t="s">
        <v>18433</v>
      </c>
      <c r="V2590" s="1">
        <v>1</v>
      </c>
      <c r="W2590" s="1">
        <v>1</v>
      </c>
      <c r="X2590" s="1">
        <v>1</v>
      </c>
      <c r="Y2590" s="1">
        <v>0</v>
      </c>
      <c r="Z2590" s="1">
        <v>0</v>
      </c>
      <c r="AA2590" s="1">
        <v>5</v>
      </c>
      <c r="AB2590" s="1">
        <v>5</v>
      </c>
      <c r="AC2590" s="1">
        <v>5</v>
      </c>
      <c r="AD2590" s="1">
        <v>5</v>
      </c>
      <c r="AE2590" s="1" t="s">
        <v>109</v>
      </c>
      <c r="AF2590" s="1" t="s">
        <v>109</v>
      </c>
      <c r="AG2590" s="1" t="s">
        <v>109</v>
      </c>
      <c r="AH2590" s="1" t="s">
        <v>109</v>
      </c>
      <c r="AI2590" s="1" t="s">
        <v>109</v>
      </c>
      <c r="AJ2590" s="1">
        <v>5</v>
      </c>
      <c r="AK2590" s="1" t="s">
        <v>109</v>
      </c>
      <c r="AL2590" s="1">
        <v>5</v>
      </c>
      <c r="AM2590" s="1">
        <v>3</v>
      </c>
      <c r="AN2590" s="1" t="s">
        <v>109</v>
      </c>
      <c r="AO2590" s="1" t="s">
        <v>109</v>
      </c>
      <c r="AP2590" s="1"/>
      <c r="AQ2590" s="1">
        <v>5</v>
      </c>
      <c r="AR2590" s="1"/>
      <c r="AS2590" s="1" t="s">
        <v>18434</v>
      </c>
      <c r="AT2590" s="1">
        <v>0</v>
      </c>
      <c r="AU2590" s="1">
        <v>0</v>
      </c>
      <c r="AV2590" s="1">
        <v>0</v>
      </c>
      <c r="AW2590" s="1">
        <v>0</v>
      </c>
      <c r="AX2590" s="1">
        <v>0</v>
      </c>
      <c r="AY2590" s="1">
        <v>0</v>
      </c>
      <c r="AZ2590" s="1">
        <v>0</v>
      </c>
      <c r="BA2590" s="1">
        <v>0</v>
      </c>
      <c r="BB2590" s="1">
        <v>0</v>
      </c>
      <c r="BC2590" s="1">
        <v>0</v>
      </c>
      <c r="BD2590" s="1">
        <v>0</v>
      </c>
      <c r="BE2590" s="1">
        <v>1</v>
      </c>
      <c r="BF2590" s="1">
        <v>0</v>
      </c>
      <c r="BG2590" s="1">
        <v>0</v>
      </c>
      <c r="BH2590" s="1">
        <v>0</v>
      </c>
      <c r="BI2590" s="1">
        <v>0</v>
      </c>
      <c r="BJ2590" s="1">
        <v>0</v>
      </c>
      <c r="BK2590" s="1">
        <v>0</v>
      </c>
      <c r="BL2590" s="1">
        <v>0</v>
      </c>
      <c r="BM2590" s="1">
        <v>0</v>
      </c>
      <c r="BN2590" s="1">
        <v>0</v>
      </c>
      <c r="BO2590" s="1">
        <v>0</v>
      </c>
      <c r="BP2590" s="1">
        <v>0</v>
      </c>
      <c r="BQ2590" s="1">
        <v>0</v>
      </c>
      <c r="BR2590" s="1">
        <v>0</v>
      </c>
      <c r="BS2590" s="1" t="s">
        <v>109</v>
      </c>
      <c r="BT2590" s="1">
        <v>2693</v>
      </c>
      <c r="BU2590" s="1" t="s">
        <v>109</v>
      </c>
      <c r="BV2590" s="1"/>
      <c r="BW2590" s="1"/>
      <c r="BX2590" s="1"/>
      <c r="BY2590" s="1"/>
      <c r="BZ2590" s="1">
        <v>0</v>
      </c>
      <c r="CA2590" s="1" t="s">
        <v>109</v>
      </c>
      <c r="CB2590" s="1">
        <v>5</v>
      </c>
      <c r="CC2590" s="1" t="s">
        <v>109</v>
      </c>
      <c r="CD2590" s="1" t="s">
        <v>109</v>
      </c>
      <c r="CE2590" s="1" t="s">
        <v>109</v>
      </c>
      <c r="CF2590" s="1" t="s">
        <v>109</v>
      </c>
      <c r="CG2590" s="1" t="s">
        <v>109</v>
      </c>
      <c r="CH2590" s="1" t="s">
        <v>109</v>
      </c>
      <c r="CI2590" s="1" t="s">
        <v>109</v>
      </c>
      <c r="CJ2590" s="1">
        <v>5</v>
      </c>
      <c r="CK2590" s="1"/>
      <c r="CL2590" s="1">
        <v>0</v>
      </c>
      <c r="CM2590" s="1">
        <v>0</v>
      </c>
      <c r="CN2590" s="1">
        <v>0</v>
      </c>
    </row>
    <row r="2591" spans="1:92" ht="14.25" customHeight="1" x14ac:dyDescent="0.15">
      <c r="A2591" s="1" t="s">
        <v>18435</v>
      </c>
      <c r="B2591" s="1" t="s">
        <v>95</v>
      </c>
      <c r="C2591" s="1" t="s">
        <v>96</v>
      </c>
      <c r="D2591" s="1"/>
      <c r="E2591" s="1" t="s">
        <v>18436</v>
      </c>
      <c r="F2591" s="1" t="s">
        <v>98</v>
      </c>
      <c r="G2591" s="1" t="s">
        <v>18437</v>
      </c>
      <c r="H2591" s="1">
        <v>0</v>
      </c>
      <c r="I2591" s="1" t="s">
        <v>1192</v>
      </c>
      <c r="J2591" s="1" t="s">
        <v>726</v>
      </c>
      <c r="K2591" s="1"/>
      <c r="L2591" s="1"/>
      <c r="M2591" s="1" t="s">
        <v>18438</v>
      </c>
      <c r="N2591" s="1">
        <v>0</v>
      </c>
      <c r="O2591" s="1">
        <v>0</v>
      </c>
      <c r="P2591" s="1" t="s">
        <v>18439</v>
      </c>
      <c r="Q2591" s="1" t="s">
        <v>104</v>
      </c>
      <c r="R2591" s="1" t="s">
        <v>18440</v>
      </c>
      <c r="S2591" s="1" t="s">
        <v>18441</v>
      </c>
      <c r="T2591" s="1" t="s">
        <v>17916</v>
      </c>
      <c r="U2591" s="1" t="s">
        <v>18442</v>
      </c>
      <c r="V2591" s="1">
        <v>1</v>
      </c>
      <c r="W2591" s="1">
        <v>1</v>
      </c>
      <c r="X2591" s="1">
        <v>1</v>
      </c>
      <c r="Y2591" s="1">
        <v>0</v>
      </c>
      <c r="Z2591" s="1">
        <v>0</v>
      </c>
      <c r="AA2591" s="1">
        <v>3</v>
      </c>
      <c r="AB2591" s="1">
        <v>3</v>
      </c>
      <c r="AC2591" s="1" t="s">
        <v>109</v>
      </c>
      <c r="AD2591" s="1" t="s">
        <v>109</v>
      </c>
      <c r="AE2591" s="1" t="s">
        <v>109</v>
      </c>
      <c r="AF2591" s="1" t="s">
        <v>109</v>
      </c>
      <c r="AG2591" s="1" t="s">
        <v>109</v>
      </c>
      <c r="AH2591" s="1" t="s">
        <v>109</v>
      </c>
      <c r="AI2591" s="1" t="s">
        <v>109</v>
      </c>
      <c r="AJ2591" s="1">
        <v>3</v>
      </c>
      <c r="AK2591" s="1" t="s">
        <v>109</v>
      </c>
      <c r="AL2591" s="1" t="s">
        <v>109</v>
      </c>
      <c r="AM2591" s="1" t="s">
        <v>109</v>
      </c>
      <c r="AN2591" s="1">
        <v>3</v>
      </c>
      <c r="AO2591" s="1" t="s">
        <v>109</v>
      </c>
      <c r="AP2591" s="1"/>
      <c r="AQ2591" s="1">
        <v>3</v>
      </c>
      <c r="AR2591" s="1"/>
      <c r="AS2591" s="1" t="s">
        <v>18443</v>
      </c>
      <c r="AT2591" s="1">
        <v>0</v>
      </c>
      <c r="AU2591" s="1">
        <v>0</v>
      </c>
      <c r="AV2591" s="1">
        <v>0</v>
      </c>
      <c r="AW2591" s="1">
        <v>0</v>
      </c>
      <c r="AX2591" s="1">
        <v>0</v>
      </c>
      <c r="AY2591" s="1">
        <v>0</v>
      </c>
      <c r="AZ2591" s="1">
        <v>0</v>
      </c>
      <c r="BA2591" s="1">
        <v>0</v>
      </c>
      <c r="BB2591" s="1">
        <v>0</v>
      </c>
      <c r="BC2591" s="1">
        <v>0</v>
      </c>
      <c r="BD2591" s="1">
        <v>0</v>
      </c>
      <c r="BE2591" s="1">
        <v>0</v>
      </c>
      <c r="BF2591" s="1">
        <v>0</v>
      </c>
      <c r="BG2591" s="1">
        <v>0</v>
      </c>
      <c r="BH2591" s="1">
        <v>0</v>
      </c>
      <c r="BI2591" s="1">
        <v>0</v>
      </c>
      <c r="BJ2591" s="1">
        <v>0</v>
      </c>
      <c r="BK2591" s="1">
        <v>0</v>
      </c>
      <c r="BL2591" s="1">
        <v>0</v>
      </c>
      <c r="BM2591" s="1">
        <v>0</v>
      </c>
      <c r="BN2591" s="1">
        <v>0</v>
      </c>
      <c r="BO2591" s="1">
        <v>0</v>
      </c>
      <c r="BP2591" s="1">
        <v>0</v>
      </c>
      <c r="BQ2591" s="1">
        <v>0</v>
      </c>
      <c r="BR2591" s="1">
        <v>0</v>
      </c>
      <c r="BS2591" s="1" t="s">
        <v>109</v>
      </c>
      <c r="BT2591" s="1">
        <v>2694</v>
      </c>
      <c r="BU2591" s="1" t="s">
        <v>109</v>
      </c>
      <c r="BV2591" s="1"/>
      <c r="BW2591" s="1"/>
      <c r="BX2591" s="1"/>
      <c r="BY2591" s="1"/>
      <c r="BZ2591" s="1">
        <v>0</v>
      </c>
      <c r="CA2591" s="1">
        <v>3</v>
      </c>
      <c r="CB2591" s="1" t="s">
        <v>109</v>
      </c>
      <c r="CC2591" s="1">
        <v>3</v>
      </c>
      <c r="CD2591" s="1" t="s">
        <v>109</v>
      </c>
      <c r="CE2591" s="1" t="s">
        <v>109</v>
      </c>
      <c r="CF2591" s="1" t="s">
        <v>109</v>
      </c>
      <c r="CG2591" s="1">
        <v>3</v>
      </c>
      <c r="CH2591" s="1" t="s">
        <v>109</v>
      </c>
      <c r="CI2591" s="1" t="s">
        <v>109</v>
      </c>
      <c r="CJ2591" s="1" t="s">
        <v>109</v>
      </c>
      <c r="CK2591" s="1"/>
      <c r="CL2591" s="1">
        <v>0</v>
      </c>
      <c r="CM2591" s="1">
        <v>0</v>
      </c>
      <c r="CN2591" s="1">
        <v>0</v>
      </c>
    </row>
    <row r="2592" spans="1:92" ht="14.25" customHeight="1" x14ac:dyDescent="0.15">
      <c r="A2592" s="1" t="s">
        <v>18444</v>
      </c>
      <c r="B2592" s="1" t="s">
        <v>308</v>
      </c>
      <c r="C2592" s="1"/>
      <c r="D2592" s="1"/>
      <c r="E2592" s="1" t="s">
        <v>18445</v>
      </c>
      <c r="F2592" s="1" t="s">
        <v>98</v>
      </c>
      <c r="G2592" s="1" t="s">
        <v>141</v>
      </c>
      <c r="H2592" s="1">
        <v>0</v>
      </c>
      <c r="I2592" s="1" t="s">
        <v>161</v>
      </c>
      <c r="J2592" s="1"/>
      <c r="K2592" s="1"/>
      <c r="L2592" s="1" t="s">
        <v>162</v>
      </c>
      <c r="M2592" s="1" t="s">
        <v>144</v>
      </c>
      <c r="N2592" s="1">
        <v>0</v>
      </c>
      <c r="O2592" s="1">
        <v>0</v>
      </c>
      <c r="P2592" s="1" t="s">
        <v>267</v>
      </c>
      <c r="Q2592" s="1" t="s">
        <v>268</v>
      </c>
      <c r="R2592" s="1" t="s">
        <v>18446</v>
      </c>
      <c r="S2592" s="1" t="s">
        <v>18447</v>
      </c>
      <c r="T2592" s="1" t="s">
        <v>17916</v>
      </c>
      <c r="U2592" s="1" t="s">
        <v>18448</v>
      </c>
      <c r="V2592" s="1">
        <v>1</v>
      </c>
      <c r="W2592" s="1">
        <v>1</v>
      </c>
      <c r="X2592" s="1">
        <v>0</v>
      </c>
      <c r="Y2592" s="1">
        <v>0</v>
      </c>
      <c r="Z2592" s="1">
        <v>0</v>
      </c>
      <c r="AA2592" s="1">
        <v>6</v>
      </c>
      <c r="AB2592" s="1">
        <v>6</v>
      </c>
      <c r="AC2592" s="1">
        <v>6</v>
      </c>
      <c r="AD2592" s="1" t="s">
        <v>109</v>
      </c>
      <c r="AE2592" s="1" t="s">
        <v>109</v>
      </c>
      <c r="AF2592" s="1" t="s">
        <v>109</v>
      </c>
      <c r="AG2592" s="1" t="s">
        <v>109</v>
      </c>
      <c r="AH2592" s="1" t="s">
        <v>109</v>
      </c>
      <c r="AI2592" s="1" t="s">
        <v>109</v>
      </c>
      <c r="AJ2592" s="1">
        <v>6</v>
      </c>
      <c r="AK2592" s="1">
        <v>6</v>
      </c>
      <c r="AL2592" s="1">
        <v>6</v>
      </c>
      <c r="AM2592" s="1" t="s">
        <v>109</v>
      </c>
      <c r="AN2592" s="1" t="s">
        <v>109</v>
      </c>
      <c r="AO2592" s="1" t="s">
        <v>109</v>
      </c>
      <c r="AP2592" s="1"/>
      <c r="AQ2592" s="1">
        <v>6</v>
      </c>
      <c r="AR2592" s="1"/>
      <c r="AS2592" s="1" t="s">
        <v>18449</v>
      </c>
      <c r="AT2592" s="1">
        <v>0</v>
      </c>
      <c r="AU2592" s="1">
        <v>0</v>
      </c>
      <c r="AV2592" s="1">
        <v>0</v>
      </c>
      <c r="AW2592" s="1">
        <v>0</v>
      </c>
      <c r="AX2592" s="1">
        <v>0</v>
      </c>
      <c r="AY2592" s="1">
        <v>0</v>
      </c>
      <c r="AZ2592" s="1">
        <v>0</v>
      </c>
      <c r="BA2592" s="1">
        <v>0</v>
      </c>
      <c r="BB2592" s="1">
        <v>0</v>
      </c>
      <c r="BC2592" s="1">
        <v>0</v>
      </c>
      <c r="BD2592" s="1">
        <v>0</v>
      </c>
      <c r="BE2592" s="1">
        <v>0</v>
      </c>
      <c r="BF2592" s="1">
        <v>0</v>
      </c>
      <c r="BG2592" s="1">
        <v>0</v>
      </c>
      <c r="BH2592" s="1">
        <v>0</v>
      </c>
      <c r="BI2592" s="1">
        <v>0</v>
      </c>
      <c r="BJ2592" s="1">
        <v>0</v>
      </c>
      <c r="BK2592" s="1">
        <v>0</v>
      </c>
      <c r="BL2592" s="1">
        <v>0</v>
      </c>
      <c r="BM2592" s="1">
        <v>0</v>
      </c>
      <c r="BN2592" s="1">
        <v>0</v>
      </c>
      <c r="BO2592" s="1">
        <v>0</v>
      </c>
      <c r="BP2592" s="1">
        <v>0</v>
      </c>
      <c r="BQ2592" s="1">
        <v>0</v>
      </c>
      <c r="BR2592" s="1">
        <v>0</v>
      </c>
      <c r="BS2592" s="1" t="s">
        <v>109</v>
      </c>
      <c r="BT2592" s="1">
        <v>2695</v>
      </c>
      <c r="BU2592" s="1" t="s">
        <v>109</v>
      </c>
      <c r="BV2592" s="1"/>
      <c r="BW2592" s="1"/>
      <c r="BX2592" s="1"/>
      <c r="BY2592" s="1"/>
      <c r="BZ2592" s="1">
        <v>0</v>
      </c>
      <c r="CA2592" s="1" t="s">
        <v>109</v>
      </c>
      <c r="CB2592" s="1">
        <v>6</v>
      </c>
      <c r="CC2592" s="1" t="s">
        <v>109</v>
      </c>
      <c r="CD2592" s="1" t="s">
        <v>109</v>
      </c>
      <c r="CE2592" s="1" t="s">
        <v>109</v>
      </c>
      <c r="CF2592" s="1" t="s">
        <v>109</v>
      </c>
      <c r="CG2592" s="1">
        <v>5</v>
      </c>
      <c r="CH2592" s="1" t="s">
        <v>109</v>
      </c>
      <c r="CI2592" s="1" t="s">
        <v>109</v>
      </c>
      <c r="CJ2592" s="1" t="s">
        <v>109</v>
      </c>
      <c r="CK2592" s="1"/>
      <c r="CL2592" s="1">
        <v>0</v>
      </c>
      <c r="CM2592" s="1">
        <v>0</v>
      </c>
      <c r="CN2592" s="1">
        <v>0</v>
      </c>
    </row>
    <row r="2593" spans="1:92" ht="14.25" customHeight="1" x14ac:dyDescent="0.15">
      <c r="A2593" s="1" t="s">
        <v>18450</v>
      </c>
      <c r="B2593" s="1" t="s">
        <v>308</v>
      </c>
      <c r="C2593" s="1" t="s">
        <v>18451</v>
      </c>
      <c r="D2593" s="1" t="s">
        <v>16098</v>
      </c>
      <c r="E2593" s="1" t="s">
        <v>18452</v>
      </c>
      <c r="F2593" s="1" t="s">
        <v>98</v>
      </c>
      <c r="G2593" s="1" t="s">
        <v>18453</v>
      </c>
      <c r="H2593" s="1">
        <v>0</v>
      </c>
      <c r="I2593" s="1" t="s">
        <v>142</v>
      </c>
      <c r="J2593" s="1" t="s">
        <v>18454</v>
      </c>
      <c r="K2593" s="1"/>
      <c r="L2593" s="1"/>
      <c r="M2593" s="1" t="s">
        <v>211</v>
      </c>
      <c r="N2593" s="1">
        <v>0</v>
      </c>
      <c r="O2593" s="1">
        <v>1</v>
      </c>
      <c r="P2593" s="1" t="s">
        <v>826</v>
      </c>
      <c r="Q2593" s="1" t="s">
        <v>268</v>
      </c>
      <c r="R2593" s="1" t="s">
        <v>18455</v>
      </c>
      <c r="S2593" s="1" t="s">
        <v>18456</v>
      </c>
      <c r="T2593" s="1" t="s">
        <v>18457</v>
      </c>
      <c r="U2593" s="1" t="s">
        <v>18458</v>
      </c>
      <c r="V2593" s="1">
        <v>1</v>
      </c>
      <c r="W2593" s="1">
        <v>1</v>
      </c>
      <c r="X2593" s="1">
        <v>1</v>
      </c>
      <c r="Y2593" s="1">
        <v>0</v>
      </c>
      <c r="Z2593" s="1">
        <v>1</v>
      </c>
      <c r="AA2593" s="1" t="s">
        <v>109</v>
      </c>
      <c r="AB2593" s="1" t="s">
        <v>109</v>
      </c>
      <c r="AC2593" s="1">
        <v>5</v>
      </c>
      <c r="AD2593" s="1" t="s">
        <v>109</v>
      </c>
      <c r="AE2593" s="1" t="s">
        <v>109</v>
      </c>
      <c r="AF2593" s="1" t="s">
        <v>109</v>
      </c>
      <c r="AG2593" s="1" t="s">
        <v>109</v>
      </c>
      <c r="AH2593" s="1" t="s">
        <v>109</v>
      </c>
      <c r="AI2593" s="1" t="s">
        <v>109</v>
      </c>
      <c r="AJ2593" s="1">
        <v>6</v>
      </c>
      <c r="AK2593" s="1">
        <v>6</v>
      </c>
      <c r="AL2593" s="1">
        <v>5</v>
      </c>
      <c r="AM2593" s="1" t="s">
        <v>109</v>
      </c>
      <c r="AN2593" s="1" t="s">
        <v>109</v>
      </c>
      <c r="AO2593" s="1" t="s">
        <v>109</v>
      </c>
      <c r="AP2593" s="1"/>
      <c r="AQ2593" s="1">
        <v>5</v>
      </c>
      <c r="AR2593" s="1"/>
      <c r="AS2593" s="1"/>
      <c r="AT2593" s="1">
        <v>0</v>
      </c>
      <c r="AU2593" s="1">
        <v>0</v>
      </c>
      <c r="AV2593" s="1">
        <v>0</v>
      </c>
      <c r="AW2593" s="1">
        <v>0</v>
      </c>
      <c r="AX2593" s="1">
        <v>0</v>
      </c>
      <c r="AY2593" s="1">
        <v>0</v>
      </c>
      <c r="AZ2593" s="1">
        <v>0</v>
      </c>
      <c r="BA2593" s="1">
        <v>0</v>
      </c>
      <c r="BB2593" s="1">
        <v>0</v>
      </c>
      <c r="BC2593" s="1">
        <v>0</v>
      </c>
      <c r="BD2593" s="1">
        <v>1</v>
      </c>
      <c r="BE2593" s="1">
        <v>0</v>
      </c>
      <c r="BF2593" s="1">
        <v>1</v>
      </c>
      <c r="BG2593" s="1">
        <v>0</v>
      </c>
      <c r="BH2593" s="1">
        <v>0</v>
      </c>
      <c r="BI2593" s="1">
        <v>0</v>
      </c>
      <c r="BJ2593" s="1">
        <v>0</v>
      </c>
      <c r="BK2593" s="1">
        <v>0</v>
      </c>
      <c r="BL2593" s="1">
        <v>0</v>
      </c>
      <c r="BM2593" s="1">
        <v>1</v>
      </c>
      <c r="BN2593" s="1">
        <v>0</v>
      </c>
      <c r="BO2593" s="1">
        <v>0</v>
      </c>
      <c r="BP2593" s="1">
        <v>0</v>
      </c>
      <c r="BQ2593" s="1">
        <v>0</v>
      </c>
      <c r="BR2593" s="1">
        <v>0</v>
      </c>
      <c r="BS2593" s="1" t="s">
        <v>109</v>
      </c>
      <c r="BT2593" s="1">
        <v>2696</v>
      </c>
      <c r="BU2593" s="1" t="s">
        <v>109</v>
      </c>
      <c r="BV2593" s="1"/>
      <c r="BW2593" s="1"/>
      <c r="BX2593" s="1"/>
      <c r="BY2593" s="1"/>
      <c r="BZ2593" s="1">
        <v>0</v>
      </c>
      <c r="CA2593" s="1" t="s">
        <v>109</v>
      </c>
      <c r="CB2593" s="1">
        <v>6</v>
      </c>
      <c r="CC2593" s="1" t="s">
        <v>109</v>
      </c>
      <c r="CD2593" s="1" t="s">
        <v>109</v>
      </c>
      <c r="CE2593" s="1" t="s">
        <v>109</v>
      </c>
      <c r="CF2593" s="1" t="s">
        <v>109</v>
      </c>
      <c r="CG2593" s="1">
        <v>5</v>
      </c>
      <c r="CH2593" s="1" t="s">
        <v>109</v>
      </c>
      <c r="CI2593" s="1" t="s">
        <v>109</v>
      </c>
      <c r="CJ2593" s="1" t="s">
        <v>109</v>
      </c>
      <c r="CK2593" s="1" t="s">
        <v>18459</v>
      </c>
      <c r="CL2593" s="1">
        <v>0</v>
      </c>
      <c r="CM2593" s="1">
        <v>0</v>
      </c>
      <c r="CN2593" s="1">
        <v>0</v>
      </c>
    </row>
    <row r="2594" spans="1:92" ht="14.25" customHeight="1" x14ac:dyDescent="0.15">
      <c r="A2594" s="1" t="s">
        <v>18460</v>
      </c>
      <c r="B2594" s="1" t="s">
        <v>308</v>
      </c>
      <c r="C2594" s="1" t="s">
        <v>18451</v>
      </c>
      <c r="D2594" s="1" t="s">
        <v>16098</v>
      </c>
      <c r="E2594" s="1" t="s">
        <v>18461</v>
      </c>
      <c r="F2594" s="1" t="s">
        <v>98</v>
      </c>
      <c r="G2594" s="1" t="s">
        <v>6228</v>
      </c>
      <c r="H2594" s="1">
        <v>0</v>
      </c>
      <c r="I2594" s="1" t="s">
        <v>142</v>
      </c>
      <c r="J2594" s="1" t="s">
        <v>18454</v>
      </c>
      <c r="K2594" s="1"/>
      <c r="L2594" s="1"/>
      <c r="M2594" s="1" t="s">
        <v>5811</v>
      </c>
      <c r="N2594" s="1">
        <v>1</v>
      </c>
      <c r="O2594" s="1">
        <v>1</v>
      </c>
      <c r="P2594" s="1" t="s">
        <v>301</v>
      </c>
      <c r="Q2594" s="1" t="s">
        <v>268</v>
      </c>
      <c r="R2594" s="1" t="s">
        <v>18462</v>
      </c>
      <c r="S2594" s="1" t="s">
        <v>18463</v>
      </c>
      <c r="T2594" s="1" t="s">
        <v>18457</v>
      </c>
      <c r="U2594" s="1" t="s">
        <v>18464</v>
      </c>
      <c r="V2594" s="1">
        <v>1</v>
      </c>
      <c r="W2594" s="1">
        <v>1</v>
      </c>
      <c r="X2594" s="1">
        <v>1</v>
      </c>
      <c r="Y2594" s="1">
        <v>0</v>
      </c>
      <c r="Z2594" s="1">
        <v>0</v>
      </c>
      <c r="AA2594" s="1">
        <v>2</v>
      </c>
      <c r="AB2594" s="1">
        <v>2</v>
      </c>
      <c r="AC2594" s="1" t="s">
        <v>109</v>
      </c>
      <c r="AD2594" s="1">
        <v>2</v>
      </c>
      <c r="AE2594" s="1" t="s">
        <v>109</v>
      </c>
      <c r="AF2594" s="1">
        <v>2</v>
      </c>
      <c r="AG2594" s="1" t="s">
        <v>109</v>
      </c>
      <c r="AH2594" s="1" t="s">
        <v>109</v>
      </c>
      <c r="AI2594" s="1" t="s">
        <v>109</v>
      </c>
      <c r="AJ2594" s="1">
        <v>2</v>
      </c>
      <c r="AK2594" s="1" t="s">
        <v>109</v>
      </c>
      <c r="AL2594" s="1" t="s">
        <v>109</v>
      </c>
      <c r="AM2594" s="1" t="s">
        <v>109</v>
      </c>
      <c r="AN2594" s="1" t="s">
        <v>109</v>
      </c>
      <c r="AO2594" s="1" t="s">
        <v>109</v>
      </c>
      <c r="AP2594" s="1"/>
      <c r="AQ2594" s="1">
        <v>2</v>
      </c>
      <c r="AR2594" s="1"/>
      <c r="AS2594" s="1"/>
      <c r="AT2594" s="1">
        <v>0</v>
      </c>
      <c r="AU2594" s="1">
        <v>0</v>
      </c>
      <c r="AV2594" s="1">
        <v>0</v>
      </c>
      <c r="AW2594" s="1">
        <v>0</v>
      </c>
      <c r="AX2594" s="1">
        <v>0</v>
      </c>
      <c r="AY2594" s="1">
        <v>0</v>
      </c>
      <c r="AZ2594" s="1">
        <v>0</v>
      </c>
      <c r="BA2594" s="1">
        <v>0</v>
      </c>
      <c r="BB2594" s="1">
        <v>0</v>
      </c>
      <c r="BC2594" s="1">
        <v>0</v>
      </c>
      <c r="BD2594" s="1">
        <v>1</v>
      </c>
      <c r="BE2594" s="1">
        <v>0</v>
      </c>
      <c r="BF2594" s="1">
        <v>1</v>
      </c>
      <c r="BG2594" s="1">
        <v>0</v>
      </c>
      <c r="BH2594" s="1">
        <v>0</v>
      </c>
      <c r="BI2594" s="1">
        <v>0</v>
      </c>
      <c r="BJ2594" s="1">
        <v>0</v>
      </c>
      <c r="BK2594" s="1">
        <v>0</v>
      </c>
      <c r="BL2594" s="1">
        <v>0</v>
      </c>
      <c r="BM2594" s="1">
        <v>1</v>
      </c>
      <c r="BN2594" s="1">
        <v>0</v>
      </c>
      <c r="BO2594" s="1">
        <v>0</v>
      </c>
      <c r="BP2594" s="1">
        <v>0</v>
      </c>
      <c r="BQ2594" s="1">
        <v>0</v>
      </c>
      <c r="BR2594" s="1">
        <v>0</v>
      </c>
      <c r="BS2594" s="1" t="s">
        <v>109</v>
      </c>
      <c r="BT2594" s="1">
        <v>2697</v>
      </c>
      <c r="BU2594" s="1" t="s">
        <v>109</v>
      </c>
      <c r="BV2594" s="1"/>
      <c r="BW2594" s="1"/>
      <c r="BX2594" s="1"/>
      <c r="BY2594" s="1"/>
      <c r="BZ2594" s="1">
        <v>0</v>
      </c>
      <c r="CA2594" s="1" t="s">
        <v>109</v>
      </c>
      <c r="CB2594" s="1" t="s">
        <v>109</v>
      </c>
      <c r="CC2594" s="1">
        <v>2</v>
      </c>
      <c r="CD2594" s="1">
        <v>1</v>
      </c>
      <c r="CE2594" s="1">
        <v>2</v>
      </c>
      <c r="CF2594" s="1">
        <v>2</v>
      </c>
      <c r="CG2594" s="1">
        <v>2</v>
      </c>
      <c r="CH2594" s="1" t="s">
        <v>109</v>
      </c>
      <c r="CI2594" s="1" t="s">
        <v>109</v>
      </c>
      <c r="CJ2594" s="1">
        <v>2</v>
      </c>
      <c r="CK2594" s="1" t="s">
        <v>18465</v>
      </c>
      <c r="CL2594" s="1">
        <v>0</v>
      </c>
      <c r="CM2594" s="1">
        <v>0</v>
      </c>
      <c r="CN2594" s="1">
        <v>0</v>
      </c>
    </row>
    <row r="2595" spans="1:92" ht="14.25" customHeight="1" x14ac:dyDescent="0.15">
      <c r="A2595" s="1" t="s">
        <v>18466</v>
      </c>
      <c r="B2595" s="1" t="s">
        <v>308</v>
      </c>
      <c r="C2595" s="1" t="s">
        <v>18451</v>
      </c>
      <c r="D2595" s="1" t="s">
        <v>18467</v>
      </c>
      <c r="E2595" s="1" t="s">
        <v>18468</v>
      </c>
      <c r="F2595" s="1" t="s">
        <v>98</v>
      </c>
      <c r="G2595" s="1" t="s">
        <v>18469</v>
      </c>
      <c r="H2595" s="1">
        <v>0</v>
      </c>
      <c r="I2595" s="1" t="s">
        <v>142</v>
      </c>
      <c r="J2595" s="1" t="s">
        <v>18454</v>
      </c>
      <c r="K2595" s="1"/>
      <c r="L2595" s="1"/>
      <c r="M2595" s="1" t="s">
        <v>815</v>
      </c>
      <c r="N2595" s="1">
        <v>1</v>
      </c>
      <c r="O2595" s="1">
        <v>1</v>
      </c>
      <c r="P2595" s="1" t="s">
        <v>301</v>
      </c>
      <c r="Q2595" s="1" t="s">
        <v>268</v>
      </c>
      <c r="R2595" s="1" t="s">
        <v>18470</v>
      </c>
      <c r="S2595" s="1" t="s">
        <v>18471</v>
      </c>
      <c r="T2595" s="1" t="s">
        <v>18457</v>
      </c>
      <c r="U2595" s="1" t="s">
        <v>18472</v>
      </c>
      <c r="V2595" s="1">
        <v>1</v>
      </c>
      <c r="W2595" s="1">
        <v>1</v>
      </c>
      <c r="X2595" s="1">
        <v>1</v>
      </c>
      <c r="Y2595" s="1">
        <v>0</v>
      </c>
      <c r="Z2595" s="1">
        <v>1</v>
      </c>
      <c r="AA2595" s="1">
        <v>4</v>
      </c>
      <c r="AB2595" s="1">
        <v>4</v>
      </c>
      <c r="AC2595" s="1">
        <v>4</v>
      </c>
      <c r="AD2595" s="1">
        <v>4</v>
      </c>
      <c r="AE2595" s="1">
        <v>3</v>
      </c>
      <c r="AF2595" s="1" t="s">
        <v>109</v>
      </c>
      <c r="AG2595" s="1" t="s">
        <v>109</v>
      </c>
      <c r="AH2595" s="1" t="s">
        <v>109</v>
      </c>
      <c r="AI2595" s="1" t="s">
        <v>109</v>
      </c>
      <c r="AJ2595" s="1">
        <v>4</v>
      </c>
      <c r="AK2595" s="1" t="s">
        <v>109</v>
      </c>
      <c r="AL2595" s="1">
        <v>4</v>
      </c>
      <c r="AM2595" s="1" t="s">
        <v>109</v>
      </c>
      <c r="AN2595" s="1" t="s">
        <v>109</v>
      </c>
      <c r="AO2595" s="1" t="s">
        <v>109</v>
      </c>
      <c r="AP2595" s="1"/>
      <c r="AQ2595" s="1">
        <v>4</v>
      </c>
      <c r="AR2595" s="1"/>
      <c r="AS2595" s="1"/>
      <c r="AT2595" s="1">
        <v>0</v>
      </c>
      <c r="AU2595" s="1">
        <v>0</v>
      </c>
      <c r="AV2595" s="1">
        <v>0</v>
      </c>
      <c r="AW2595" s="1">
        <v>1</v>
      </c>
      <c r="AX2595" s="1">
        <v>0</v>
      </c>
      <c r="AY2595" s="1">
        <v>0</v>
      </c>
      <c r="AZ2595" s="1">
        <v>0</v>
      </c>
      <c r="BA2595" s="1">
        <v>0</v>
      </c>
      <c r="BB2595" s="1">
        <v>0</v>
      </c>
      <c r="BC2595" s="1">
        <v>0</v>
      </c>
      <c r="BD2595" s="1">
        <v>1</v>
      </c>
      <c r="BE2595" s="1">
        <v>0</v>
      </c>
      <c r="BF2595" s="1">
        <v>1</v>
      </c>
      <c r="BG2595" s="1">
        <v>0</v>
      </c>
      <c r="BH2595" s="1">
        <v>0</v>
      </c>
      <c r="BI2595" s="1">
        <v>0</v>
      </c>
      <c r="BJ2595" s="1">
        <v>0</v>
      </c>
      <c r="BK2595" s="1">
        <v>0</v>
      </c>
      <c r="BL2595" s="1">
        <v>0</v>
      </c>
      <c r="BM2595" s="1">
        <v>1</v>
      </c>
      <c r="BN2595" s="1">
        <v>0</v>
      </c>
      <c r="BO2595" s="1">
        <v>0</v>
      </c>
      <c r="BP2595" s="1">
        <v>0</v>
      </c>
      <c r="BQ2595" s="1">
        <v>0</v>
      </c>
      <c r="BR2595" s="1">
        <v>0</v>
      </c>
      <c r="BS2595" s="1" t="s">
        <v>109</v>
      </c>
      <c r="BT2595" s="1">
        <v>2698</v>
      </c>
      <c r="BU2595" s="1" t="s">
        <v>109</v>
      </c>
      <c r="BV2595" s="1"/>
      <c r="BW2595" s="1"/>
      <c r="BX2595" s="1"/>
      <c r="BY2595" s="1"/>
      <c r="BZ2595" s="1">
        <v>0</v>
      </c>
      <c r="CA2595" s="1" t="s">
        <v>109</v>
      </c>
      <c r="CB2595" s="1">
        <v>4</v>
      </c>
      <c r="CC2595" s="1" t="s">
        <v>109</v>
      </c>
      <c r="CD2595" s="1" t="s">
        <v>109</v>
      </c>
      <c r="CE2595" s="1" t="s">
        <v>109</v>
      </c>
      <c r="CF2595" s="1" t="s">
        <v>109</v>
      </c>
      <c r="CG2595" s="1" t="s">
        <v>109</v>
      </c>
      <c r="CH2595" s="1" t="s">
        <v>109</v>
      </c>
      <c r="CI2595" s="1" t="s">
        <v>109</v>
      </c>
      <c r="CJ2595" s="1">
        <v>3</v>
      </c>
      <c r="CK2595" s="1" t="s">
        <v>18473</v>
      </c>
      <c r="CL2595" s="1">
        <v>0</v>
      </c>
      <c r="CM2595" s="1">
        <v>0</v>
      </c>
      <c r="CN2595" s="1">
        <v>0</v>
      </c>
    </row>
    <row r="2596" spans="1:92" ht="14.25" customHeight="1" x14ac:dyDescent="0.15">
      <c r="A2596" s="1" t="s">
        <v>18474</v>
      </c>
      <c r="B2596" s="1" t="s">
        <v>308</v>
      </c>
      <c r="C2596" s="1" t="s">
        <v>18451</v>
      </c>
      <c r="D2596" s="1" t="s">
        <v>18475</v>
      </c>
      <c r="E2596" s="1" t="s">
        <v>18476</v>
      </c>
      <c r="F2596" s="1" t="s">
        <v>277</v>
      </c>
      <c r="G2596" s="1" t="s">
        <v>18477</v>
      </c>
      <c r="H2596" s="1">
        <v>0</v>
      </c>
      <c r="I2596" s="1" t="s">
        <v>161</v>
      </c>
      <c r="J2596" s="1"/>
      <c r="K2596" s="1"/>
      <c r="L2596" s="1" t="s">
        <v>18478</v>
      </c>
      <c r="M2596" s="1" t="s">
        <v>5811</v>
      </c>
      <c r="N2596" s="1">
        <v>1</v>
      </c>
      <c r="O2596" s="1">
        <v>0</v>
      </c>
      <c r="P2596" s="1" t="s">
        <v>10166</v>
      </c>
      <c r="Q2596" s="1" t="s">
        <v>630</v>
      </c>
      <c r="R2596" s="1" t="s">
        <v>18479</v>
      </c>
      <c r="S2596" s="1" t="s">
        <v>18480</v>
      </c>
      <c r="T2596" s="1" t="s">
        <v>18457</v>
      </c>
      <c r="U2596" s="1" t="s">
        <v>18481</v>
      </c>
      <c r="V2596" s="1">
        <v>1</v>
      </c>
      <c r="W2596" s="1">
        <v>1</v>
      </c>
      <c r="X2596" s="1">
        <v>1</v>
      </c>
      <c r="Y2596" s="1">
        <v>0</v>
      </c>
      <c r="Z2596" s="1">
        <v>1</v>
      </c>
      <c r="AA2596" s="1">
        <v>7</v>
      </c>
      <c r="AB2596" s="1">
        <v>7</v>
      </c>
      <c r="AC2596" s="1">
        <v>7</v>
      </c>
      <c r="AD2596" s="1" t="s">
        <v>109</v>
      </c>
      <c r="AE2596" s="1" t="s">
        <v>109</v>
      </c>
      <c r="AF2596" s="1" t="s">
        <v>109</v>
      </c>
      <c r="AG2596" s="1" t="s">
        <v>109</v>
      </c>
      <c r="AH2596" s="1" t="s">
        <v>109</v>
      </c>
      <c r="AI2596" s="1">
        <v>6</v>
      </c>
      <c r="AJ2596" s="1">
        <v>7</v>
      </c>
      <c r="AK2596" s="1" t="s">
        <v>109</v>
      </c>
      <c r="AL2596" s="1">
        <v>7</v>
      </c>
      <c r="AM2596" s="1" t="s">
        <v>109</v>
      </c>
      <c r="AN2596" s="1">
        <v>6</v>
      </c>
      <c r="AO2596" s="1" t="s">
        <v>109</v>
      </c>
      <c r="AP2596" s="1"/>
      <c r="AQ2596" s="1">
        <v>7</v>
      </c>
      <c r="AR2596" s="1"/>
      <c r="AS2596" s="1"/>
      <c r="AT2596" s="1">
        <v>0</v>
      </c>
      <c r="AU2596" s="1">
        <v>0</v>
      </c>
      <c r="AV2596" s="1">
        <v>0</v>
      </c>
      <c r="AW2596" s="1">
        <v>0</v>
      </c>
      <c r="AX2596" s="1">
        <v>0</v>
      </c>
      <c r="AY2596" s="1">
        <v>0</v>
      </c>
      <c r="AZ2596" s="1">
        <v>1</v>
      </c>
      <c r="BA2596" s="1">
        <v>0</v>
      </c>
      <c r="BB2596" s="1">
        <v>0</v>
      </c>
      <c r="BC2596" s="1">
        <v>0</v>
      </c>
      <c r="BD2596" s="1">
        <v>1</v>
      </c>
      <c r="BE2596" s="1">
        <v>0</v>
      </c>
      <c r="BF2596" s="1">
        <v>1</v>
      </c>
      <c r="BG2596" s="1">
        <v>0</v>
      </c>
      <c r="BH2596" s="1">
        <v>0</v>
      </c>
      <c r="BI2596" s="1">
        <v>0</v>
      </c>
      <c r="BJ2596" s="1">
        <v>0</v>
      </c>
      <c r="BK2596" s="1">
        <v>0</v>
      </c>
      <c r="BL2596" s="1">
        <v>0</v>
      </c>
      <c r="BM2596" s="1">
        <v>1</v>
      </c>
      <c r="BN2596" s="1">
        <v>0</v>
      </c>
      <c r="BO2596" s="1">
        <v>0</v>
      </c>
      <c r="BP2596" s="1">
        <v>0</v>
      </c>
      <c r="BQ2596" s="1">
        <v>0</v>
      </c>
      <c r="BR2596" s="1">
        <v>0</v>
      </c>
      <c r="BS2596" s="1" t="s">
        <v>109</v>
      </c>
      <c r="BT2596" s="1">
        <v>2699</v>
      </c>
      <c r="BU2596" s="1" t="s">
        <v>109</v>
      </c>
      <c r="BV2596" s="1"/>
      <c r="BW2596" s="1"/>
      <c r="BX2596" s="1"/>
      <c r="BY2596" s="1"/>
      <c r="BZ2596" s="1">
        <v>0</v>
      </c>
      <c r="CA2596" s="1" t="s">
        <v>109</v>
      </c>
      <c r="CB2596" s="1">
        <v>7</v>
      </c>
      <c r="CC2596" s="1" t="s">
        <v>109</v>
      </c>
      <c r="CD2596" s="1" t="s">
        <v>109</v>
      </c>
      <c r="CE2596" s="1" t="s">
        <v>109</v>
      </c>
      <c r="CF2596" s="1" t="s">
        <v>109</v>
      </c>
      <c r="CG2596" s="1" t="s">
        <v>109</v>
      </c>
      <c r="CH2596" s="1" t="s">
        <v>109</v>
      </c>
      <c r="CI2596" s="1" t="s">
        <v>109</v>
      </c>
      <c r="CJ2596" s="1" t="s">
        <v>109</v>
      </c>
      <c r="CK2596" s="1" t="s">
        <v>18482</v>
      </c>
      <c r="CL2596" s="1">
        <v>0</v>
      </c>
      <c r="CM2596" s="1">
        <v>0</v>
      </c>
      <c r="CN2596" s="1">
        <v>0</v>
      </c>
    </row>
    <row r="2597" spans="1:92" ht="14.25" customHeight="1" x14ac:dyDescent="0.15">
      <c r="A2597" s="1" t="s">
        <v>18483</v>
      </c>
      <c r="B2597" s="1" t="s">
        <v>308</v>
      </c>
      <c r="C2597" s="1" t="s">
        <v>18451</v>
      </c>
      <c r="D2597" s="1" t="s">
        <v>16098</v>
      </c>
      <c r="E2597" s="1" t="s">
        <v>18484</v>
      </c>
      <c r="F2597" s="1" t="s">
        <v>98</v>
      </c>
      <c r="G2597" s="1" t="s">
        <v>4639</v>
      </c>
      <c r="H2597" s="1">
        <v>0</v>
      </c>
      <c r="I2597" s="1" t="s">
        <v>142</v>
      </c>
      <c r="J2597" s="1" t="s">
        <v>18454</v>
      </c>
      <c r="K2597" s="1"/>
      <c r="L2597" s="1"/>
      <c r="M2597" s="1" t="s">
        <v>5811</v>
      </c>
      <c r="N2597" s="1">
        <v>1</v>
      </c>
      <c r="O2597" s="1">
        <v>1</v>
      </c>
      <c r="P2597" s="1" t="s">
        <v>301</v>
      </c>
      <c r="Q2597" s="1" t="s">
        <v>268</v>
      </c>
      <c r="R2597" s="1" t="s">
        <v>18485</v>
      </c>
      <c r="S2597" s="1" t="s">
        <v>18486</v>
      </c>
      <c r="T2597" s="1" t="s">
        <v>18457</v>
      </c>
      <c r="U2597" s="1" t="s">
        <v>18487</v>
      </c>
      <c r="V2597" s="1">
        <v>1</v>
      </c>
      <c r="W2597" s="1">
        <v>1</v>
      </c>
      <c r="X2597" s="1">
        <v>1</v>
      </c>
      <c r="Y2597" s="1">
        <v>0</v>
      </c>
      <c r="Z2597" s="1">
        <v>0</v>
      </c>
      <c r="AA2597" s="1">
        <v>3</v>
      </c>
      <c r="AB2597" s="1">
        <v>3</v>
      </c>
      <c r="AC2597" s="1">
        <v>3</v>
      </c>
      <c r="AD2597" s="1" t="s">
        <v>109</v>
      </c>
      <c r="AE2597" s="1" t="s">
        <v>109</v>
      </c>
      <c r="AF2597" s="1">
        <v>3</v>
      </c>
      <c r="AG2597" s="1" t="s">
        <v>109</v>
      </c>
      <c r="AH2597" s="1" t="s">
        <v>109</v>
      </c>
      <c r="AI2597" s="1" t="s">
        <v>109</v>
      </c>
      <c r="AJ2597" s="1">
        <v>3</v>
      </c>
      <c r="AK2597" s="1">
        <v>3</v>
      </c>
      <c r="AL2597" s="1">
        <v>3</v>
      </c>
      <c r="AM2597" s="1" t="s">
        <v>109</v>
      </c>
      <c r="AN2597" s="1">
        <v>3</v>
      </c>
      <c r="AO2597" s="1" t="s">
        <v>109</v>
      </c>
      <c r="AP2597" s="1"/>
      <c r="AQ2597" s="1">
        <v>3</v>
      </c>
      <c r="AR2597" s="1"/>
      <c r="AS2597" s="1"/>
      <c r="AT2597" s="1">
        <v>0</v>
      </c>
      <c r="AU2597" s="1">
        <v>0</v>
      </c>
      <c r="AV2597" s="1">
        <v>0</v>
      </c>
      <c r="AW2597" s="1">
        <v>0</v>
      </c>
      <c r="AX2597" s="1">
        <v>0</v>
      </c>
      <c r="AY2597" s="1">
        <v>0</v>
      </c>
      <c r="AZ2597" s="1">
        <v>0</v>
      </c>
      <c r="BA2597" s="1">
        <v>0</v>
      </c>
      <c r="BB2597" s="1">
        <v>0</v>
      </c>
      <c r="BC2597" s="1">
        <v>0</v>
      </c>
      <c r="BD2597" s="1">
        <v>1</v>
      </c>
      <c r="BE2597" s="1">
        <v>0</v>
      </c>
      <c r="BF2597" s="1">
        <v>1</v>
      </c>
      <c r="BG2597" s="1">
        <v>0</v>
      </c>
      <c r="BH2597" s="1">
        <v>0</v>
      </c>
      <c r="BI2597" s="1">
        <v>0</v>
      </c>
      <c r="BJ2597" s="1">
        <v>0</v>
      </c>
      <c r="BK2597" s="1">
        <v>0</v>
      </c>
      <c r="BL2597" s="1">
        <v>0</v>
      </c>
      <c r="BM2597" s="1">
        <v>1</v>
      </c>
      <c r="BN2597" s="1">
        <v>0</v>
      </c>
      <c r="BO2597" s="1">
        <v>0</v>
      </c>
      <c r="BP2597" s="1">
        <v>0</v>
      </c>
      <c r="BQ2597" s="1">
        <v>0</v>
      </c>
      <c r="BR2597" s="1">
        <v>0</v>
      </c>
      <c r="BS2597" s="1" t="s">
        <v>109</v>
      </c>
      <c r="BT2597" s="1">
        <v>2700</v>
      </c>
      <c r="BU2597" s="1" t="s">
        <v>109</v>
      </c>
      <c r="BV2597" s="1"/>
      <c r="BW2597" s="1"/>
      <c r="BX2597" s="1"/>
      <c r="BY2597" s="1"/>
      <c r="BZ2597" s="1">
        <v>0</v>
      </c>
      <c r="CA2597" s="1" t="s">
        <v>109</v>
      </c>
      <c r="CB2597" s="1">
        <v>3</v>
      </c>
      <c r="CC2597" s="1">
        <v>3</v>
      </c>
      <c r="CD2597" s="1" t="s">
        <v>109</v>
      </c>
      <c r="CE2597" s="1" t="s">
        <v>109</v>
      </c>
      <c r="CF2597" s="1" t="s">
        <v>109</v>
      </c>
      <c r="CG2597" s="1">
        <v>3</v>
      </c>
      <c r="CH2597" s="1" t="s">
        <v>109</v>
      </c>
      <c r="CI2597" s="1" t="s">
        <v>109</v>
      </c>
      <c r="CJ2597" s="1" t="s">
        <v>109</v>
      </c>
      <c r="CK2597" s="1" t="s">
        <v>18488</v>
      </c>
      <c r="CL2597" s="1">
        <v>0</v>
      </c>
      <c r="CM2597" s="1">
        <v>0</v>
      </c>
      <c r="CN2597" s="1">
        <v>0</v>
      </c>
    </row>
    <row r="2598" spans="1:92" ht="14.25" customHeight="1" x14ac:dyDescent="0.15">
      <c r="A2598" s="1" t="s">
        <v>18489</v>
      </c>
      <c r="B2598" s="1" t="s">
        <v>308</v>
      </c>
      <c r="C2598" s="1" t="s">
        <v>18451</v>
      </c>
      <c r="D2598" s="1" t="s">
        <v>16098</v>
      </c>
      <c r="E2598" s="1" t="s">
        <v>18490</v>
      </c>
      <c r="F2598" s="1" t="s">
        <v>98</v>
      </c>
      <c r="G2598" s="1" t="s">
        <v>18491</v>
      </c>
      <c r="H2598" s="1">
        <v>0</v>
      </c>
      <c r="I2598" s="1" t="s">
        <v>142</v>
      </c>
      <c r="J2598" s="1" t="s">
        <v>18454</v>
      </c>
      <c r="K2598" s="1"/>
      <c r="L2598" s="1"/>
      <c r="M2598" s="1" t="s">
        <v>5811</v>
      </c>
      <c r="N2598" s="1">
        <v>1</v>
      </c>
      <c r="O2598" s="1">
        <v>1</v>
      </c>
      <c r="P2598" s="1" t="s">
        <v>301</v>
      </c>
      <c r="Q2598" s="1" t="s">
        <v>268</v>
      </c>
      <c r="R2598" s="1" t="s">
        <v>18492</v>
      </c>
      <c r="S2598" s="1" t="s">
        <v>18493</v>
      </c>
      <c r="T2598" s="1" t="s">
        <v>18457</v>
      </c>
      <c r="U2598" s="1" t="s">
        <v>18494</v>
      </c>
      <c r="V2598" s="1">
        <v>1</v>
      </c>
      <c r="W2598" s="1">
        <v>1</v>
      </c>
      <c r="X2598" s="1">
        <v>1</v>
      </c>
      <c r="Y2598" s="1">
        <v>0</v>
      </c>
      <c r="Z2598" s="1">
        <v>0</v>
      </c>
      <c r="AA2598" s="1">
        <v>4</v>
      </c>
      <c r="AB2598" s="1">
        <v>4</v>
      </c>
      <c r="AC2598" s="1" t="s">
        <v>109</v>
      </c>
      <c r="AD2598" s="1" t="s">
        <v>109</v>
      </c>
      <c r="AE2598" s="1" t="s">
        <v>109</v>
      </c>
      <c r="AF2598" s="1">
        <v>4</v>
      </c>
      <c r="AG2598" s="1" t="s">
        <v>109</v>
      </c>
      <c r="AH2598" s="1" t="s">
        <v>109</v>
      </c>
      <c r="AI2598" s="1">
        <v>4</v>
      </c>
      <c r="AJ2598" s="1">
        <v>4</v>
      </c>
      <c r="AK2598" s="1" t="s">
        <v>109</v>
      </c>
      <c r="AL2598" s="1" t="s">
        <v>109</v>
      </c>
      <c r="AM2598" s="1" t="s">
        <v>109</v>
      </c>
      <c r="AN2598" s="1">
        <v>4</v>
      </c>
      <c r="AO2598" s="1" t="s">
        <v>109</v>
      </c>
      <c r="AP2598" s="1"/>
      <c r="AQ2598" s="1">
        <v>4</v>
      </c>
      <c r="AR2598" s="1"/>
      <c r="AS2598" s="1"/>
      <c r="AT2598" s="1">
        <v>0</v>
      </c>
      <c r="AU2598" s="1">
        <v>0</v>
      </c>
      <c r="AV2598" s="1">
        <v>0</v>
      </c>
      <c r="AW2598" s="1">
        <v>0</v>
      </c>
      <c r="AX2598" s="1">
        <v>0</v>
      </c>
      <c r="AY2598" s="1">
        <v>0</v>
      </c>
      <c r="AZ2598" s="1">
        <v>0</v>
      </c>
      <c r="BA2598" s="1">
        <v>0</v>
      </c>
      <c r="BB2598" s="1">
        <v>0</v>
      </c>
      <c r="BC2598" s="1">
        <v>0</v>
      </c>
      <c r="BD2598" s="1">
        <v>1</v>
      </c>
      <c r="BE2598" s="1">
        <v>0</v>
      </c>
      <c r="BF2598" s="1">
        <v>1</v>
      </c>
      <c r="BG2598" s="1">
        <v>0</v>
      </c>
      <c r="BH2598" s="1">
        <v>0</v>
      </c>
      <c r="BI2598" s="1">
        <v>0</v>
      </c>
      <c r="BJ2598" s="1">
        <v>0</v>
      </c>
      <c r="BK2598" s="1">
        <v>0</v>
      </c>
      <c r="BL2598" s="1">
        <v>0</v>
      </c>
      <c r="BM2598" s="1">
        <v>1</v>
      </c>
      <c r="BN2598" s="1">
        <v>0</v>
      </c>
      <c r="BO2598" s="1">
        <v>0</v>
      </c>
      <c r="BP2598" s="1">
        <v>0</v>
      </c>
      <c r="BQ2598" s="1">
        <v>0</v>
      </c>
      <c r="BR2598" s="1">
        <v>0</v>
      </c>
      <c r="BS2598" s="1" t="s">
        <v>109</v>
      </c>
      <c r="BT2598" s="1">
        <v>2701</v>
      </c>
      <c r="BU2598" s="1" t="s">
        <v>109</v>
      </c>
      <c r="BV2598" s="1"/>
      <c r="BW2598" s="1"/>
      <c r="BX2598" s="1"/>
      <c r="BY2598" s="1"/>
      <c r="BZ2598" s="1">
        <v>0</v>
      </c>
      <c r="CA2598" s="1" t="s">
        <v>109</v>
      </c>
      <c r="CB2598" s="1">
        <v>4</v>
      </c>
      <c r="CC2598" s="1" t="s">
        <v>109</v>
      </c>
      <c r="CD2598" s="1">
        <v>3</v>
      </c>
      <c r="CE2598" s="1" t="s">
        <v>109</v>
      </c>
      <c r="CF2598" s="1" t="s">
        <v>109</v>
      </c>
      <c r="CG2598" s="1">
        <v>4</v>
      </c>
      <c r="CH2598" s="1" t="s">
        <v>109</v>
      </c>
      <c r="CI2598" s="1" t="s">
        <v>109</v>
      </c>
      <c r="CJ2598" s="1" t="s">
        <v>109</v>
      </c>
      <c r="CK2598" s="1" t="s">
        <v>18495</v>
      </c>
      <c r="CL2598" s="1">
        <v>0</v>
      </c>
      <c r="CM2598" s="1">
        <v>0</v>
      </c>
      <c r="CN2598" s="1">
        <v>0</v>
      </c>
    </row>
    <row r="2599" spans="1:92" ht="14.25" customHeight="1" x14ac:dyDescent="0.15">
      <c r="A2599" s="1" t="s">
        <v>18496</v>
      </c>
      <c r="B2599" s="1" t="s">
        <v>308</v>
      </c>
      <c r="C2599" s="1" t="s">
        <v>18451</v>
      </c>
      <c r="D2599" s="1" t="s">
        <v>16098</v>
      </c>
      <c r="E2599" s="1" t="s">
        <v>18497</v>
      </c>
      <c r="F2599" s="1" t="s">
        <v>277</v>
      </c>
      <c r="G2599" s="1" t="s">
        <v>18498</v>
      </c>
      <c r="H2599" s="1">
        <v>1</v>
      </c>
      <c r="I2599" s="1" t="s">
        <v>18499</v>
      </c>
      <c r="J2599" s="1"/>
      <c r="K2599" s="1"/>
      <c r="L2599" s="1" t="s">
        <v>18500</v>
      </c>
      <c r="M2599" s="1" t="s">
        <v>18501</v>
      </c>
      <c r="N2599" s="1">
        <v>1</v>
      </c>
      <c r="O2599" s="1">
        <v>0</v>
      </c>
      <c r="P2599" s="1" t="s">
        <v>18502</v>
      </c>
      <c r="Q2599" s="1" t="s">
        <v>18503</v>
      </c>
      <c r="R2599" s="1" t="s">
        <v>18504</v>
      </c>
      <c r="S2599" s="1" t="s">
        <v>18505</v>
      </c>
      <c r="T2599" s="1" t="s">
        <v>18457</v>
      </c>
      <c r="U2599" s="1" t="s">
        <v>18506</v>
      </c>
      <c r="V2599" s="1">
        <v>1</v>
      </c>
      <c r="W2599" s="1">
        <v>1</v>
      </c>
      <c r="X2599" s="1">
        <v>1</v>
      </c>
      <c r="Y2599" s="1">
        <v>0</v>
      </c>
      <c r="Z2599" s="1">
        <v>0</v>
      </c>
      <c r="AA2599" s="1">
        <v>1</v>
      </c>
      <c r="AB2599" s="1">
        <v>1</v>
      </c>
      <c r="AC2599" s="1" t="s">
        <v>109</v>
      </c>
      <c r="AD2599" s="1" t="s">
        <v>109</v>
      </c>
      <c r="AE2599" s="1" t="s">
        <v>109</v>
      </c>
      <c r="AF2599" s="1" t="s">
        <v>109</v>
      </c>
      <c r="AG2599" s="1" t="s">
        <v>109</v>
      </c>
      <c r="AH2599" s="1">
        <v>1</v>
      </c>
      <c r="AI2599" s="1" t="s">
        <v>109</v>
      </c>
      <c r="AJ2599" s="1">
        <v>1</v>
      </c>
      <c r="AK2599" s="1" t="s">
        <v>109</v>
      </c>
      <c r="AL2599" s="1" t="s">
        <v>109</v>
      </c>
      <c r="AM2599" s="1" t="s">
        <v>109</v>
      </c>
      <c r="AN2599" s="1" t="s">
        <v>109</v>
      </c>
      <c r="AO2599" s="1" t="s">
        <v>109</v>
      </c>
      <c r="AP2599" s="1"/>
      <c r="AQ2599" s="1">
        <v>1</v>
      </c>
      <c r="AR2599" s="1"/>
      <c r="AS2599" s="1"/>
      <c r="AT2599" s="1">
        <v>0</v>
      </c>
      <c r="AU2599" s="1">
        <v>0</v>
      </c>
      <c r="AV2599" s="1">
        <v>0</v>
      </c>
      <c r="AW2599" s="1">
        <v>0</v>
      </c>
      <c r="AX2599" s="1">
        <v>0</v>
      </c>
      <c r="AY2599" s="1">
        <v>0</v>
      </c>
      <c r="AZ2599" s="1">
        <v>0</v>
      </c>
      <c r="BA2599" s="1">
        <v>0</v>
      </c>
      <c r="BB2599" s="1">
        <v>0</v>
      </c>
      <c r="BC2599" s="1">
        <v>0</v>
      </c>
      <c r="BD2599" s="1">
        <v>1</v>
      </c>
      <c r="BE2599" s="1">
        <v>0</v>
      </c>
      <c r="BF2599" s="1">
        <v>1</v>
      </c>
      <c r="BG2599" s="1">
        <v>0</v>
      </c>
      <c r="BH2599" s="1">
        <v>0</v>
      </c>
      <c r="BI2599" s="1">
        <v>0</v>
      </c>
      <c r="BJ2599" s="1">
        <v>0</v>
      </c>
      <c r="BK2599" s="1">
        <v>0</v>
      </c>
      <c r="BL2599" s="1">
        <v>0</v>
      </c>
      <c r="BM2599" s="1">
        <v>1</v>
      </c>
      <c r="BN2599" s="1">
        <v>0</v>
      </c>
      <c r="BO2599" s="1">
        <v>0</v>
      </c>
      <c r="BP2599" s="1">
        <v>0</v>
      </c>
      <c r="BQ2599" s="1">
        <v>0</v>
      </c>
      <c r="BR2599" s="1">
        <v>0</v>
      </c>
      <c r="BS2599" s="1" t="s">
        <v>109</v>
      </c>
      <c r="BT2599" s="1">
        <v>2702</v>
      </c>
      <c r="BU2599" s="1">
        <v>25</v>
      </c>
      <c r="BV2599" s="1"/>
      <c r="BW2599" s="1"/>
      <c r="BX2599" s="1"/>
      <c r="BY2599" s="1"/>
      <c r="BZ2599" s="1">
        <v>0</v>
      </c>
      <c r="CA2599" s="1" t="s">
        <v>109</v>
      </c>
      <c r="CB2599" s="1">
        <v>1</v>
      </c>
      <c r="CC2599" s="1" t="s">
        <v>109</v>
      </c>
      <c r="CD2599" s="1">
        <v>1</v>
      </c>
      <c r="CE2599" s="1" t="s">
        <v>109</v>
      </c>
      <c r="CF2599" s="1">
        <v>1</v>
      </c>
      <c r="CG2599" s="1" t="s">
        <v>109</v>
      </c>
      <c r="CH2599" s="1" t="s">
        <v>109</v>
      </c>
      <c r="CI2599" s="1" t="s">
        <v>109</v>
      </c>
      <c r="CJ2599" s="1" t="s">
        <v>109</v>
      </c>
      <c r="CK2599" s="1" t="s">
        <v>18507</v>
      </c>
      <c r="CL2599" s="1">
        <v>0</v>
      </c>
      <c r="CM2599" s="1">
        <v>0</v>
      </c>
      <c r="CN2599" s="1">
        <v>0</v>
      </c>
    </row>
    <row r="2600" spans="1:92" ht="14.25" customHeight="1" x14ac:dyDescent="0.15">
      <c r="A2600" s="1" t="s">
        <v>18508</v>
      </c>
      <c r="B2600" s="1" t="s">
        <v>308</v>
      </c>
      <c r="C2600" s="1" t="s">
        <v>18451</v>
      </c>
      <c r="D2600" s="1" t="s">
        <v>16098</v>
      </c>
      <c r="E2600" s="1" t="s">
        <v>18509</v>
      </c>
      <c r="F2600" s="1" t="s">
        <v>98</v>
      </c>
      <c r="G2600" s="1" t="s">
        <v>141</v>
      </c>
      <c r="H2600" s="1">
        <v>0</v>
      </c>
      <c r="I2600" s="1" t="s">
        <v>142</v>
      </c>
      <c r="J2600" s="1" t="s">
        <v>18454</v>
      </c>
      <c r="K2600" s="1"/>
      <c r="L2600" s="1"/>
      <c r="M2600" s="1" t="s">
        <v>815</v>
      </c>
      <c r="N2600" s="1">
        <v>1</v>
      </c>
      <c r="O2600" s="1">
        <v>1</v>
      </c>
      <c r="P2600" s="1" t="s">
        <v>301</v>
      </c>
      <c r="Q2600" s="1" t="s">
        <v>268</v>
      </c>
      <c r="R2600" s="1" t="s">
        <v>18510</v>
      </c>
      <c r="S2600" s="1" t="s">
        <v>18511</v>
      </c>
      <c r="T2600" s="1" t="s">
        <v>18457</v>
      </c>
      <c r="U2600" s="1" t="s">
        <v>18512</v>
      </c>
      <c r="V2600" s="1">
        <v>1</v>
      </c>
      <c r="W2600" s="1">
        <v>1</v>
      </c>
      <c r="X2600" s="1">
        <v>0</v>
      </c>
      <c r="Y2600" s="1">
        <v>0</v>
      </c>
      <c r="Z2600" s="1">
        <v>0</v>
      </c>
      <c r="AA2600" s="1">
        <v>2</v>
      </c>
      <c r="AB2600" s="1">
        <v>2</v>
      </c>
      <c r="AC2600" s="1" t="s">
        <v>109</v>
      </c>
      <c r="AD2600" s="1" t="s">
        <v>109</v>
      </c>
      <c r="AE2600" s="1" t="s">
        <v>109</v>
      </c>
      <c r="AF2600" s="1">
        <v>2</v>
      </c>
      <c r="AG2600" s="1" t="s">
        <v>109</v>
      </c>
      <c r="AH2600" s="1" t="s">
        <v>109</v>
      </c>
      <c r="AI2600" s="1" t="s">
        <v>109</v>
      </c>
      <c r="AJ2600" s="1">
        <v>2</v>
      </c>
      <c r="AK2600" s="1" t="s">
        <v>109</v>
      </c>
      <c r="AL2600" s="1" t="s">
        <v>109</v>
      </c>
      <c r="AM2600" s="1" t="s">
        <v>109</v>
      </c>
      <c r="AN2600" s="1" t="s">
        <v>109</v>
      </c>
      <c r="AO2600" s="1" t="s">
        <v>109</v>
      </c>
      <c r="AP2600" s="1"/>
      <c r="AQ2600" s="1">
        <v>2</v>
      </c>
      <c r="AR2600" s="1"/>
      <c r="AS2600" s="1"/>
      <c r="AT2600" s="1">
        <v>0</v>
      </c>
      <c r="AU2600" s="1">
        <v>0</v>
      </c>
      <c r="AV2600" s="1">
        <v>0</v>
      </c>
      <c r="AW2600" s="1">
        <v>0</v>
      </c>
      <c r="AX2600" s="1">
        <v>0</v>
      </c>
      <c r="AY2600" s="1">
        <v>0</v>
      </c>
      <c r="AZ2600" s="1">
        <v>0</v>
      </c>
      <c r="BA2600" s="1">
        <v>0</v>
      </c>
      <c r="BB2600" s="1">
        <v>0</v>
      </c>
      <c r="BC2600" s="1">
        <v>0</v>
      </c>
      <c r="BD2600" s="1">
        <v>1</v>
      </c>
      <c r="BE2600" s="1">
        <v>0</v>
      </c>
      <c r="BF2600" s="1">
        <v>1</v>
      </c>
      <c r="BG2600" s="1">
        <v>0</v>
      </c>
      <c r="BH2600" s="1">
        <v>0</v>
      </c>
      <c r="BI2600" s="1">
        <v>0</v>
      </c>
      <c r="BJ2600" s="1">
        <v>0</v>
      </c>
      <c r="BK2600" s="1">
        <v>0</v>
      </c>
      <c r="BL2600" s="1">
        <v>0</v>
      </c>
      <c r="BM2600" s="1">
        <v>1</v>
      </c>
      <c r="BN2600" s="1">
        <v>0</v>
      </c>
      <c r="BO2600" s="1">
        <v>0</v>
      </c>
      <c r="BP2600" s="1">
        <v>0</v>
      </c>
      <c r="BQ2600" s="1">
        <v>0</v>
      </c>
      <c r="BR2600" s="1">
        <v>0</v>
      </c>
      <c r="BS2600" s="1" t="s">
        <v>109</v>
      </c>
      <c r="BT2600" s="1">
        <v>2703</v>
      </c>
      <c r="BU2600" s="1" t="s">
        <v>109</v>
      </c>
      <c r="BV2600" s="1"/>
      <c r="BW2600" s="1"/>
      <c r="BX2600" s="1"/>
      <c r="BY2600" s="1"/>
      <c r="BZ2600" s="1">
        <v>0</v>
      </c>
      <c r="CA2600" s="1" t="s">
        <v>109</v>
      </c>
      <c r="CB2600" s="1">
        <v>2</v>
      </c>
      <c r="CC2600" s="1">
        <v>2</v>
      </c>
      <c r="CD2600" s="1">
        <v>1</v>
      </c>
      <c r="CE2600" s="1">
        <v>2</v>
      </c>
      <c r="CF2600" s="1">
        <v>2</v>
      </c>
      <c r="CG2600" s="1" t="s">
        <v>109</v>
      </c>
      <c r="CH2600" s="1" t="s">
        <v>109</v>
      </c>
      <c r="CI2600" s="1" t="s">
        <v>109</v>
      </c>
      <c r="CJ2600" s="1" t="s">
        <v>109</v>
      </c>
      <c r="CK2600" s="1" t="s">
        <v>18513</v>
      </c>
      <c r="CL2600" s="1">
        <v>0</v>
      </c>
      <c r="CM2600" s="1">
        <v>0</v>
      </c>
      <c r="CN2600" s="1">
        <v>0</v>
      </c>
    </row>
    <row r="2601" spans="1:92" ht="14.25" customHeight="1" x14ac:dyDescent="0.15">
      <c r="A2601" s="1" t="s">
        <v>18514</v>
      </c>
      <c r="B2601" s="1" t="s">
        <v>308</v>
      </c>
      <c r="C2601" s="1" t="s">
        <v>18451</v>
      </c>
      <c r="D2601" s="1" t="s">
        <v>18515</v>
      </c>
      <c r="E2601" s="1" t="s">
        <v>18516</v>
      </c>
      <c r="F2601" s="1" t="s">
        <v>98</v>
      </c>
      <c r="G2601" s="1" t="s">
        <v>160</v>
      </c>
      <c r="H2601" s="1">
        <v>0</v>
      </c>
      <c r="I2601" s="1" t="s">
        <v>142</v>
      </c>
      <c r="J2601" s="1" t="s">
        <v>18454</v>
      </c>
      <c r="K2601" s="1"/>
      <c r="L2601" s="1"/>
      <c r="M2601" s="1" t="s">
        <v>815</v>
      </c>
      <c r="N2601" s="1">
        <v>1</v>
      </c>
      <c r="O2601" s="1">
        <v>1</v>
      </c>
      <c r="P2601" s="1" t="s">
        <v>301</v>
      </c>
      <c r="Q2601" s="1" t="s">
        <v>268</v>
      </c>
      <c r="R2601" s="1" t="s">
        <v>18517</v>
      </c>
      <c r="S2601" s="1" t="s">
        <v>18518</v>
      </c>
      <c r="T2601" s="1" t="s">
        <v>18457</v>
      </c>
      <c r="U2601" s="1" t="s">
        <v>18519</v>
      </c>
      <c r="V2601" s="1">
        <v>1</v>
      </c>
      <c r="W2601" s="1">
        <v>1</v>
      </c>
      <c r="X2601" s="1">
        <v>0</v>
      </c>
      <c r="Y2601" s="1">
        <v>0</v>
      </c>
      <c r="Z2601" s="1">
        <v>1</v>
      </c>
      <c r="AA2601" s="1" t="s">
        <v>109</v>
      </c>
      <c r="AB2601" s="1" t="s">
        <v>109</v>
      </c>
      <c r="AC2601" s="1">
        <v>2</v>
      </c>
      <c r="AD2601" s="1" t="s">
        <v>109</v>
      </c>
      <c r="AE2601" s="1" t="s">
        <v>109</v>
      </c>
      <c r="AF2601" s="1" t="s">
        <v>109</v>
      </c>
      <c r="AG2601" s="1" t="s">
        <v>109</v>
      </c>
      <c r="AH2601" s="1" t="s">
        <v>109</v>
      </c>
      <c r="AI2601" s="1" t="s">
        <v>109</v>
      </c>
      <c r="AJ2601" s="1" t="s">
        <v>109</v>
      </c>
      <c r="AK2601" s="1">
        <v>2</v>
      </c>
      <c r="AL2601" s="1">
        <v>2</v>
      </c>
      <c r="AM2601" s="1">
        <v>2</v>
      </c>
      <c r="AN2601" s="1" t="s">
        <v>109</v>
      </c>
      <c r="AO2601" s="1" t="s">
        <v>109</v>
      </c>
      <c r="AP2601" s="1"/>
      <c r="AQ2601" s="1">
        <v>2</v>
      </c>
      <c r="AR2601" s="1"/>
      <c r="AS2601" s="1"/>
      <c r="AT2601" s="1">
        <v>0</v>
      </c>
      <c r="AU2601" s="1">
        <v>0</v>
      </c>
      <c r="AV2601" s="1">
        <v>0</v>
      </c>
      <c r="AW2601" s="1">
        <v>0</v>
      </c>
      <c r="AX2601" s="1">
        <v>0</v>
      </c>
      <c r="AY2601" s="1">
        <v>0</v>
      </c>
      <c r="AZ2601" s="1">
        <v>0</v>
      </c>
      <c r="BA2601" s="1">
        <v>0</v>
      </c>
      <c r="BB2601" s="1">
        <v>0</v>
      </c>
      <c r="BC2601" s="1">
        <v>0</v>
      </c>
      <c r="BD2601" s="1">
        <v>1</v>
      </c>
      <c r="BE2601" s="1">
        <v>1</v>
      </c>
      <c r="BF2601" s="1">
        <v>1</v>
      </c>
      <c r="BG2601" s="1">
        <v>0</v>
      </c>
      <c r="BH2601" s="1">
        <v>0</v>
      </c>
      <c r="BI2601" s="1">
        <v>0</v>
      </c>
      <c r="BJ2601" s="1">
        <v>0</v>
      </c>
      <c r="BK2601" s="1">
        <v>0</v>
      </c>
      <c r="BL2601" s="1">
        <v>0</v>
      </c>
      <c r="BM2601" s="1">
        <v>1</v>
      </c>
      <c r="BN2601" s="1">
        <v>0</v>
      </c>
      <c r="BO2601" s="1">
        <v>0</v>
      </c>
      <c r="BP2601" s="1">
        <v>0</v>
      </c>
      <c r="BQ2601" s="1">
        <v>0</v>
      </c>
      <c r="BR2601" s="1">
        <v>0</v>
      </c>
      <c r="BS2601" s="1" t="s">
        <v>109</v>
      </c>
      <c r="BT2601" s="1">
        <v>2704</v>
      </c>
      <c r="BU2601" s="1" t="s">
        <v>109</v>
      </c>
      <c r="BV2601" s="1"/>
      <c r="BW2601" s="1"/>
      <c r="BX2601" s="1"/>
      <c r="BY2601" s="1"/>
      <c r="BZ2601" s="1">
        <v>0</v>
      </c>
      <c r="CA2601" s="1" t="s">
        <v>109</v>
      </c>
      <c r="CB2601" s="1" t="s">
        <v>109</v>
      </c>
      <c r="CC2601" s="1" t="s">
        <v>109</v>
      </c>
      <c r="CD2601" s="1" t="s">
        <v>109</v>
      </c>
      <c r="CE2601" s="1" t="s">
        <v>109</v>
      </c>
      <c r="CF2601" s="1" t="s">
        <v>109</v>
      </c>
      <c r="CG2601" s="1" t="s">
        <v>109</v>
      </c>
      <c r="CH2601" s="1" t="s">
        <v>109</v>
      </c>
      <c r="CI2601" s="1" t="s">
        <v>109</v>
      </c>
      <c r="CJ2601" s="1" t="s">
        <v>109</v>
      </c>
      <c r="CK2601" s="1" t="s">
        <v>18520</v>
      </c>
      <c r="CL2601" s="1">
        <v>0</v>
      </c>
      <c r="CM2601" s="1">
        <v>0</v>
      </c>
      <c r="CN2601" s="1">
        <v>0</v>
      </c>
    </row>
    <row r="2602" spans="1:92" ht="14.25" customHeight="1" x14ac:dyDescent="0.15">
      <c r="A2602" s="1" t="s">
        <v>18521</v>
      </c>
      <c r="B2602" s="1" t="s">
        <v>156</v>
      </c>
      <c r="C2602" s="1" t="s">
        <v>157</v>
      </c>
      <c r="D2602" s="1" t="s">
        <v>158</v>
      </c>
      <c r="E2602" s="1" t="s">
        <v>18522</v>
      </c>
      <c r="F2602" s="1" t="s">
        <v>395</v>
      </c>
      <c r="G2602" s="1" t="s">
        <v>18523</v>
      </c>
      <c r="H2602" s="1">
        <v>1</v>
      </c>
      <c r="I2602" s="1" t="s">
        <v>4917</v>
      </c>
      <c r="J2602" s="1"/>
      <c r="K2602" s="1" t="s">
        <v>4918</v>
      </c>
      <c r="L2602" s="1"/>
      <c r="M2602" s="1" t="s">
        <v>211</v>
      </c>
      <c r="N2602" s="1">
        <v>0</v>
      </c>
      <c r="O2602" s="1">
        <v>0</v>
      </c>
      <c r="P2602" s="1" t="s">
        <v>301</v>
      </c>
      <c r="Q2602" s="1" t="s">
        <v>268</v>
      </c>
      <c r="R2602" s="1" t="s">
        <v>18524</v>
      </c>
      <c r="S2602" s="1" t="s">
        <v>18525</v>
      </c>
      <c r="T2602" s="1" t="s">
        <v>18526</v>
      </c>
      <c r="U2602" s="1" t="s">
        <v>18527</v>
      </c>
      <c r="V2602" s="1">
        <v>1</v>
      </c>
      <c r="W2602" s="1">
        <v>1</v>
      </c>
      <c r="X2602" s="1">
        <v>1</v>
      </c>
      <c r="Y2602" s="1">
        <v>0</v>
      </c>
      <c r="Z2602" s="1">
        <v>0</v>
      </c>
      <c r="AA2602" s="1">
        <v>9</v>
      </c>
      <c r="AB2602" s="1">
        <v>9</v>
      </c>
      <c r="AC2602" s="1">
        <v>9</v>
      </c>
      <c r="AD2602" s="1" t="s">
        <v>109</v>
      </c>
      <c r="AE2602" s="1" t="s">
        <v>109</v>
      </c>
      <c r="AF2602" s="1">
        <v>6</v>
      </c>
      <c r="AG2602" s="1" t="s">
        <v>109</v>
      </c>
      <c r="AH2602" s="1" t="s">
        <v>109</v>
      </c>
      <c r="AI2602" s="1" t="s">
        <v>109</v>
      </c>
      <c r="AJ2602" s="1">
        <v>9</v>
      </c>
      <c r="AK2602" s="1" t="s">
        <v>109</v>
      </c>
      <c r="AL2602" s="1">
        <v>9</v>
      </c>
      <c r="AM2602" s="1" t="s">
        <v>109</v>
      </c>
      <c r="AN2602" s="1" t="s">
        <v>109</v>
      </c>
      <c r="AO2602" s="1" t="s">
        <v>109</v>
      </c>
      <c r="AP2602" s="1" t="s">
        <v>18528</v>
      </c>
      <c r="AQ2602" s="1">
        <v>9</v>
      </c>
      <c r="AR2602" s="1"/>
      <c r="AS2602" s="1"/>
      <c r="AT2602" s="1">
        <v>0</v>
      </c>
      <c r="AU2602" s="1">
        <v>0</v>
      </c>
      <c r="AV2602" s="1">
        <v>0</v>
      </c>
      <c r="AW2602" s="1">
        <v>0</v>
      </c>
      <c r="AX2602" s="1">
        <v>0</v>
      </c>
      <c r="AY2602" s="1">
        <v>0</v>
      </c>
      <c r="AZ2602" s="1">
        <v>0</v>
      </c>
      <c r="BA2602" s="1">
        <v>0</v>
      </c>
      <c r="BB2602" s="1">
        <v>0</v>
      </c>
      <c r="BC2602" s="1">
        <v>0</v>
      </c>
      <c r="BD2602" s="1">
        <v>0</v>
      </c>
      <c r="BE2602" s="1">
        <v>0</v>
      </c>
      <c r="BF2602" s="1">
        <v>0</v>
      </c>
      <c r="BG2602" s="1">
        <v>0</v>
      </c>
      <c r="BH2602" s="1">
        <v>0</v>
      </c>
      <c r="BI2602" s="1">
        <v>0</v>
      </c>
      <c r="BJ2602" s="1">
        <v>0</v>
      </c>
      <c r="BK2602" s="1">
        <v>0</v>
      </c>
      <c r="BL2602" s="1">
        <v>0</v>
      </c>
      <c r="BM2602" s="1">
        <v>1</v>
      </c>
      <c r="BN2602" s="1">
        <v>0</v>
      </c>
      <c r="BO2602" s="1">
        <v>0</v>
      </c>
      <c r="BP2602" s="1">
        <v>0</v>
      </c>
      <c r="BQ2602" s="1">
        <v>0</v>
      </c>
      <c r="BR2602" s="1">
        <v>0</v>
      </c>
      <c r="BS2602" s="1" t="s">
        <v>109</v>
      </c>
      <c r="BT2602" s="1">
        <v>2705</v>
      </c>
      <c r="BU2602" s="1">
        <v>15000</v>
      </c>
      <c r="BV2602" s="1"/>
      <c r="BW2602" s="1"/>
      <c r="BX2602" s="1"/>
      <c r="BY2602" s="1"/>
      <c r="BZ2602" s="1">
        <v>0</v>
      </c>
      <c r="CA2602" s="1" t="s">
        <v>109</v>
      </c>
      <c r="CB2602" s="1" t="s">
        <v>109</v>
      </c>
      <c r="CC2602" s="1" t="s">
        <v>109</v>
      </c>
      <c r="CD2602" s="1" t="s">
        <v>109</v>
      </c>
      <c r="CE2602" s="1" t="s">
        <v>109</v>
      </c>
      <c r="CF2602" s="1" t="s">
        <v>109</v>
      </c>
      <c r="CG2602" s="1" t="s">
        <v>109</v>
      </c>
      <c r="CH2602" s="1" t="s">
        <v>109</v>
      </c>
      <c r="CI2602" s="1" t="s">
        <v>109</v>
      </c>
      <c r="CJ2602" s="1" t="s">
        <v>109</v>
      </c>
      <c r="CK2602" s="1"/>
      <c r="CL2602" s="1">
        <v>0</v>
      </c>
      <c r="CM2602" s="1">
        <v>0</v>
      </c>
      <c r="CN2602" s="1">
        <v>0</v>
      </c>
    </row>
    <row r="2603" spans="1:92" ht="14.25" customHeight="1" x14ac:dyDescent="0.15">
      <c r="A2603" s="1" t="s">
        <v>18529</v>
      </c>
      <c r="B2603" s="1" t="s">
        <v>95</v>
      </c>
      <c r="C2603" s="1" t="s">
        <v>1522</v>
      </c>
      <c r="D2603" s="1"/>
      <c r="E2603" s="1" t="s">
        <v>18530</v>
      </c>
      <c r="F2603" s="1" t="s">
        <v>98</v>
      </c>
      <c r="G2603" s="1" t="s">
        <v>3631</v>
      </c>
      <c r="H2603" s="1">
        <v>0</v>
      </c>
      <c r="I2603" s="1" t="s">
        <v>161</v>
      </c>
      <c r="J2603" s="1"/>
      <c r="K2603" s="1"/>
      <c r="L2603" s="1" t="s">
        <v>3632</v>
      </c>
      <c r="M2603" s="1" t="s">
        <v>144</v>
      </c>
      <c r="N2603" s="1">
        <v>0</v>
      </c>
      <c r="O2603" s="1">
        <v>0</v>
      </c>
      <c r="P2603" s="1" t="s">
        <v>301</v>
      </c>
      <c r="Q2603" s="1" t="s">
        <v>268</v>
      </c>
      <c r="R2603" s="1" t="s">
        <v>18531</v>
      </c>
      <c r="S2603" s="1" t="s">
        <v>18532</v>
      </c>
      <c r="T2603" s="1" t="s">
        <v>18533</v>
      </c>
      <c r="U2603" s="1" t="s">
        <v>18534</v>
      </c>
      <c r="V2603" s="1">
        <v>1</v>
      </c>
      <c r="W2603" s="1">
        <v>1</v>
      </c>
      <c r="X2603" s="1">
        <v>0</v>
      </c>
      <c r="Y2603" s="1">
        <v>0</v>
      </c>
      <c r="Z2603" s="1">
        <v>0</v>
      </c>
      <c r="AA2603" s="1">
        <v>6</v>
      </c>
      <c r="AB2603" s="1">
        <v>6</v>
      </c>
      <c r="AC2603" s="1">
        <v>4</v>
      </c>
      <c r="AD2603" s="1" t="s">
        <v>109</v>
      </c>
      <c r="AE2603" s="1" t="s">
        <v>109</v>
      </c>
      <c r="AF2603" s="1" t="s">
        <v>109</v>
      </c>
      <c r="AG2603" s="1" t="s">
        <v>109</v>
      </c>
      <c r="AH2603" s="1" t="s">
        <v>109</v>
      </c>
      <c r="AI2603" s="1">
        <v>5</v>
      </c>
      <c r="AJ2603" s="1">
        <v>6</v>
      </c>
      <c r="AK2603" s="1" t="s">
        <v>109</v>
      </c>
      <c r="AL2603" s="1">
        <v>4</v>
      </c>
      <c r="AM2603" s="1" t="s">
        <v>109</v>
      </c>
      <c r="AN2603" s="1" t="s">
        <v>109</v>
      </c>
      <c r="AO2603" s="1" t="s">
        <v>109</v>
      </c>
      <c r="AP2603" s="1"/>
      <c r="AQ2603" s="1">
        <v>6</v>
      </c>
      <c r="AR2603" s="1"/>
      <c r="AS2603" s="1"/>
      <c r="AT2603" s="1">
        <v>0</v>
      </c>
      <c r="AU2603" s="1">
        <v>0</v>
      </c>
      <c r="AV2603" s="1">
        <v>0</v>
      </c>
      <c r="AW2603" s="1">
        <v>0</v>
      </c>
      <c r="AX2603" s="1">
        <v>0</v>
      </c>
      <c r="AY2603" s="1">
        <v>0</v>
      </c>
      <c r="AZ2603" s="1">
        <v>0</v>
      </c>
      <c r="BA2603" s="1">
        <v>0</v>
      </c>
      <c r="BB2603" s="1">
        <v>0</v>
      </c>
      <c r="BC2603" s="1">
        <v>0</v>
      </c>
      <c r="BD2603" s="1">
        <v>0</v>
      </c>
      <c r="BE2603" s="1">
        <v>0</v>
      </c>
      <c r="BF2603" s="1">
        <v>0</v>
      </c>
      <c r="BG2603" s="1">
        <v>0</v>
      </c>
      <c r="BH2603" s="1">
        <v>0</v>
      </c>
      <c r="BI2603" s="1">
        <v>0</v>
      </c>
      <c r="BJ2603" s="1">
        <v>0</v>
      </c>
      <c r="BK2603" s="1">
        <v>0</v>
      </c>
      <c r="BL2603" s="1">
        <v>0</v>
      </c>
      <c r="BM2603" s="1">
        <v>0</v>
      </c>
      <c r="BN2603" s="1">
        <v>0</v>
      </c>
      <c r="BO2603" s="1">
        <v>0</v>
      </c>
      <c r="BP2603" s="1">
        <v>0</v>
      </c>
      <c r="BQ2603" s="1">
        <v>0</v>
      </c>
      <c r="BR2603" s="1">
        <v>0</v>
      </c>
      <c r="BS2603" s="1" t="s">
        <v>109</v>
      </c>
      <c r="BT2603" s="1">
        <v>2706</v>
      </c>
      <c r="BU2603" s="1" t="s">
        <v>109</v>
      </c>
      <c r="BV2603" s="1"/>
      <c r="BW2603" s="1"/>
      <c r="BX2603" s="1"/>
      <c r="BY2603" s="1"/>
      <c r="BZ2603" s="1">
        <v>0</v>
      </c>
      <c r="CA2603" s="1" t="s">
        <v>109</v>
      </c>
      <c r="CB2603" s="1">
        <v>6</v>
      </c>
      <c r="CC2603" s="1">
        <v>4</v>
      </c>
      <c r="CD2603" s="1">
        <v>3</v>
      </c>
      <c r="CE2603" s="1" t="s">
        <v>109</v>
      </c>
      <c r="CF2603" s="1" t="s">
        <v>109</v>
      </c>
      <c r="CG2603" s="1" t="s">
        <v>109</v>
      </c>
      <c r="CH2603" s="1" t="s">
        <v>109</v>
      </c>
      <c r="CI2603" s="1" t="s">
        <v>109</v>
      </c>
      <c r="CJ2603" s="1" t="s">
        <v>109</v>
      </c>
      <c r="CK2603" s="1"/>
      <c r="CL2603" s="1">
        <v>0</v>
      </c>
      <c r="CM2603" s="1">
        <v>0</v>
      </c>
      <c r="CN2603" s="1">
        <v>0</v>
      </c>
    </row>
    <row r="2604" spans="1:92" ht="14.25" customHeight="1" x14ac:dyDescent="0.15">
      <c r="A2604" s="1" t="s">
        <v>18535</v>
      </c>
      <c r="B2604" s="1" t="s">
        <v>242</v>
      </c>
      <c r="C2604" s="1"/>
      <c r="D2604" s="1"/>
      <c r="E2604" s="1" t="s">
        <v>9715</v>
      </c>
      <c r="F2604" s="1" t="s">
        <v>98</v>
      </c>
      <c r="G2604" s="1" t="s">
        <v>18536</v>
      </c>
      <c r="H2604" s="1">
        <v>0</v>
      </c>
      <c r="I2604" s="1" t="s">
        <v>235</v>
      </c>
      <c r="J2604" s="1"/>
      <c r="K2604" s="1"/>
      <c r="L2604" s="1" t="s">
        <v>236</v>
      </c>
      <c r="M2604" s="1" t="s">
        <v>125</v>
      </c>
      <c r="N2604" s="1">
        <v>0</v>
      </c>
      <c r="O2604" s="1">
        <v>0</v>
      </c>
      <c r="P2604" s="1"/>
      <c r="Q2604" s="1"/>
      <c r="R2604" s="1" t="s">
        <v>18537</v>
      </c>
      <c r="S2604" s="1" t="s">
        <v>18538</v>
      </c>
      <c r="T2604" s="1" t="s">
        <v>18539</v>
      </c>
      <c r="U2604" s="1" t="s">
        <v>18540</v>
      </c>
      <c r="V2604" s="1">
        <v>1</v>
      </c>
      <c r="W2604" s="1">
        <v>1</v>
      </c>
      <c r="X2604" s="1">
        <v>1</v>
      </c>
      <c r="Y2604" s="1">
        <v>0</v>
      </c>
      <c r="Z2604" s="1">
        <v>0</v>
      </c>
      <c r="AA2604" s="1">
        <v>4</v>
      </c>
      <c r="AB2604" s="1">
        <v>4</v>
      </c>
      <c r="AC2604" s="1" t="s">
        <v>109</v>
      </c>
      <c r="AD2604" s="1" t="s">
        <v>109</v>
      </c>
      <c r="AE2604" s="1" t="s">
        <v>109</v>
      </c>
      <c r="AF2604" s="1" t="s">
        <v>109</v>
      </c>
      <c r="AG2604" s="1" t="s">
        <v>109</v>
      </c>
      <c r="AH2604" s="1" t="s">
        <v>109</v>
      </c>
      <c r="AI2604" s="1" t="s">
        <v>109</v>
      </c>
      <c r="AJ2604" s="1">
        <v>4</v>
      </c>
      <c r="AK2604" s="1" t="s">
        <v>109</v>
      </c>
      <c r="AL2604" s="1" t="s">
        <v>109</v>
      </c>
      <c r="AM2604" s="1" t="s">
        <v>109</v>
      </c>
      <c r="AN2604" s="1" t="s">
        <v>109</v>
      </c>
      <c r="AO2604" s="1" t="s">
        <v>109</v>
      </c>
      <c r="AP2604" s="1"/>
      <c r="AQ2604" s="1">
        <v>4</v>
      </c>
      <c r="AR2604" s="1"/>
      <c r="AS2604" s="1"/>
      <c r="AT2604" s="1">
        <v>0</v>
      </c>
      <c r="AU2604" s="1">
        <v>0</v>
      </c>
      <c r="AV2604" s="1">
        <v>0</v>
      </c>
      <c r="AW2604" s="1">
        <v>0</v>
      </c>
      <c r="AX2604" s="1">
        <v>0</v>
      </c>
      <c r="AY2604" s="1">
        <v>0</v>
      </c>
      <c r="AZ2604" s="1">
        <v>0</v>
      </c>
      <c r="BA2604" s="1">
        <v>0</v>
      </c>
      <c r="BB2604" s="1">
        <v>0</v>
      </c>
      <c r="BC2604" s="1">
        <v>0</v>
      </c>
      <c r="BD2604" s="1">
        <v>0</v>
      </c>
      <c r="BE2604" s="1">
        <v>0</v>
      </c>
      <c r="BF2604" s="1">
        <v>0</v>
      </c>
      <c r="BG2604" s="1">
        <v>0</v>
      </c>
      <c r="BH2604" s="1">
        <v>0</v>
      </c>
      <c r="BI2604" s="1">
        <v>0</v>
      </c>
      <c r="BJ2604" s="1">
        <v>0</v>
      </c>
      <c r="BK2604" s="1">
        <v>0</v>
      </c>
      <c r="BL2604" s="1">
        <v>0</v>
      </c>
      <c r="BM2604" s="1">
        <v>0</v>
      </c>
      <c r="BN2604" s="1">
        <v>0</v>
      </c>
      <c r="BO2604" s="1">
        <v>0</v>
      </c>
      <c r="BP2604" s="1">
        <v>0</v>
      </c>
      <c r="BQ2604" s="1">
        <v>0</v>
      </c>
      <c r="BR2604" s="1">
        <v>0</v>
      </c>
      <c r="BS2604" s="1" t="s">
        <v>109</v>
      </c>
      <c r="BT2604" s="1">
        <v>2707</v>
      </c>
      <c r="BU2604" s="1" t="s">
        <v>109</v>
      </c>
      <c r="BV2604" s="1"/>
      <c r="BW2604" s="1"/>
      <c r="BX2604" s="1"/>
      <c r="BY2604" s="1"/>
      <c r="BZ2604" s="1">
        <v>0</v>
      </c>
      <c r="CA2604" s="1" t="s">
        <v>109</v>
      </c>
      <c r="CB2604" s="1" t="s">
        <v>109</v>
      </c>
      <c r="CC2604" s="1" t="s">
        <v>109</v>
      </c>
      <c r="CD2604" s="1" t="s">
        <v>109</v>
      </c>
      <c r="CE2604" s="1" t="s">
        <v>109</v>
      </c>
      <c r="CF2604" s="1" t="s">
        <v>109</v>
      </c>
      <c r="CG2604" s="1" t="s">
        <v>109</v>
      </c>
      <c r="CH2604" s="1" t="s">
        <v>109</v>
      </c>
      <c r="CI2604" s="1" t="s">
        <v>109</v>
      </c>
      <c r="CJ2604" s="1" t="s">
        <v>109</v>
      </c>
      <c r="CK2604" s="1"/>
      <c r="CL2604" s="1">
        <v>0</v>
      </c>
      <c r="CM2604" s="1">
        <v>0</v>
      </c>
      <c r="CN2604" s="1">
        <v>0</v>
      </c>
    </row>
    <row r="2605" spans="1:92" ht="14.25" customHeight="1" x14ac:dyDescent="0.15">
      <c r="A2605" s="1" t="s">
        <v>18541</v>
      </c>
      <c r="B2605" s="1" t="s">
        <v>189</v>
      </c>
      <c r="C2605" s="1"/>
      <c r="D2605" s="1" t="s">
        <v>18542</v>
      </c>
      <c r="E2605" s="1" t="s">
        <v>18543</v>
      </c>
      <c r="F2605" s="1" t="s">
        <v>377</v>
      </c>
      <c r="G2605" s="1" t="s">
        <v>18544</v>
      </c>
      <c r="H2605" s="1">
        <v>1</v>
      </c>
      <c r="I2605" s="1" t="s">
        <v>235</v>
      </c>
      <c r="J2605" s="1"/>
      <c r="K2605" s="1"/>
      <c r="L2605" s="1" t="s">
        <v>236</v>
      </c>
      <c r="M2605" s="1" t="s">
        <v>13051</v>
      </c>
      <c r="N2605" s="1">
        <v>0</v>
      </c>
      <c r="O2605" s="1">
        <v>0</v>
      </c>
      <c r="P2605" s="1"/>
      <c r="Q2605" s="1"/>
      <c r="R2605" s="1" t="s">
        <v>18545</v>
      </c>
      <c r="S2605" s="1" t="s">
        <v>18546</v>
      </c>
      <c r="T2605" s="1" t="s">
        <v>18539</v>
      </c>
      <c r="U2605" s="1" t="s">
        <v>18547</v>
      </c>
      <c r="V2605" s="1">
        <v>1</v>
      </c>
      <c r="W2605" s="1">
        <v>0</v>
      </c>
      <c r="X2605" s="1">
        <v>1</v>
      </c>
      <c r="Y2605" s="1">
        <v>0</v>
      </c>
      <c r="Z2605" s="1">
        <v>0</v>
      </c>
      <c r="AA2605" s="1" t="s">
        <v>109</v>
      </c>
      <c r="AB2605" s="1" t="s">
        <v>109</v>
      </c>
      <c r="AC2605" s="1">
        <v>6</v>
      </c>
      <c r="AD2605" s="1">
        <v>6</v>
      </c>
      <c r="AE2605" s="1" t="s">
        <v>109</v>
      </c>
      <c r="AF2605" s="1" t="s">
        <v>109</v>
      </c>
      <c r="AG2605" s="1" t="s">
        <v>109</v>
      </c>
      <c r="AH2605" s="1" t="s">
        <v>109</v>
      </c>
      <c r="AI2605" s="1" t="s">
        <v>109</v>
      </c>
      <c r="AJ2605" s="1" t="s">
        <v>109</v>
      </c>
      <c r="AK2605" s="1" t="s">
        <v>109</v>
      </c>
      <c r="AL2605" s="1">
        <v>6</v>
      </c>
      <c r="AM2605" s="1" t="s">
        <v>109</v>
      </c>
      <c r="AN2605" s="1" t="s">
        <v>109</v>
      </c>
      <c r="AO2605" s="1" t="s">
        <v>109</v>
      </c>
      <c r="AP2605" s="1"/>
      <c r="AQ2605" s="1">
        <v>6</v>
      </c>
      <c r="AR2605" s="1"/>
      <c r="AS2605" s="1"/>
      <c r="AT2605" s="1">
        <v>0</v>
      </c>
      <c r="AU2605" s="1">
        <v>1</v>
      </c>
      <c r="AV2605" s="1">
        <v>0</v>
      </c>
      <c r="AW2605" s="1">
        <v>0</v>
      </c>
      <c r="AX2605" s="1">
        <v>0</v>
      </c>
      <c r="AY2605" s="1">
        <v>0</v>
      </c>
      <c r="AZ2605" s="1">
        <v>0</v>
      </c>
      <c r="BA2605" s="1">
        <v>0</v>
      </c>
      <c r="BB2605" s="1">
        <v>0</v>
      </c>
      <c r="BC2605" s="1">
        <v>0</v>
      </c>
      <c r="BD2605" s="1">
        <v>0</v>
      </c>
      <c r="BE2605" s="1">
        <v>0</v>
      </c>
      <c r="BF2605" s="1">
        <v>0</v>
      </c>
      <c r="BG2605" s="1">
        <v>0</v>
      </c>
      <c r="BH2605" s="1">
        <v>0</v>
      </c>
      <c r="BI2605" s="1">
        <v>0</v>
      </c>
      <c r="BJ2605" s="1">
        <v>0</v>
      </c>
      <c r="BK2605" s="1">
        <v>0</v>
      </c>
      <c r="BL2605" s="1">
        <v>0</v>
      </c>
      <c r="BM2605" s="1">
        <v>0</v>
      </c>
      <c r="BN2605" s="1">
        <v>0</v>
      </c>
      <c r="BO2605" s="1">
        <v>0</v>
      </c>
      <c r="BP2605" s="1">
        <v>0</v>
      </c>
      <c r="BQ2605" s="1">
        <v>0</v>
      </c>
      <c r="BR2605" s="1">
        <v>0</v>
      </c>
      <c r="BS2605" s="1" t="s">
        <v>109</v>
      </c>
      <c r="BT2605" s="1">
        <v>2708</v>
      </c>
      <c r="BU2605" s="1">
        <v>600</v>
      </c>
      <c r="BV2605" s="1"/>
      <c r="BW2605" s="1"/>
      <c r="BX2605" s="1"/>
      <c r="BY2605" s="1"/>
      <c r="BZ2605" s="1">
        <v>0</v>
      </c>
      <c r="CA2605" s="1" t="s">
        <v>109</v>
      </c>
      <c r="CB2605" s="1">
        <v>6</v>
      </c>
      <c r="CC2605" s="1" t="s">
        <v>109</v>
      </c>
      <c r="CD2605" s="1" t="s">
        <v>109</v>
      </c>
      <c r="CE2605" s="1" t="s">
        <v>109</v>
      </c>
      <c r="CF2605" s="1" t="s">
        <v>109</v>
      </c>
      <c r="CG2605" s="1" t="s">
        <v>109</v>
      </c>
      <c r="CH2605" s="1" t="s">
        <v>109</v>
      </c>
      <c r="CI2605" s="1" t="s">
        <v>109</v>
      </c>
      <c r="CJ2605" s="1">
        <v>6</v>
      </c>
      <c r="CK2605" s="1"/>
      <c r="CL2605" s="1">
        <v>0</v>
      </c>
      <c r="CM2605" s="1">
        <v>0</v>
      </c>
      <c r="CN2605" s="1">
        <v>1</v>
      </c>
    </row>
    <row r="2606" spans="1:92" ht="14.25" customHeight="1" x14ac:dyDescent="0.15">
      <c r="A2606" s="1" t="s">
        <v>18548</v>
      </c>
      <c r="B2606" s="1" t="s">
        <v>242</v>
      </c>
      <c r="C2606" s="1"/>
      <c r="D2606" s="1" t="s">
        <v>93</v>
      </c>
      <c r="E2606" s="1" t="s">
        <v>18549</v>
      </c>
      <c r="F2606" s="1" t="s">
        <v>377</v>
      </c>
      <c r="G2606" s="1" t="s">
        <v>18550</v>
      </c>
      <c r="H2606" s="1">
        <v>1</v>
      </c>
      <c r="I2606" s="1" t="s">
        <v>235</v>
      </c>
      <c r="J2606" s="1"/>
      <c r="K2606" s="1"/>
      <c r="L2606" s="1" t="s">
        <v>236</v>
      </c>
      <c r="M2606" s="1" t="s">
        <v>13051</v>
      </c>
      <c r="N2606" s="1">
        <v>0</v>
      </c>
      <c r="O2606" s="1">
        <v>0</v>
      </c>
      <c r="P2606" s="1"/>
      <c r="Q2606" s="1"/>
      <c r="R2606" s="1" t="s">
        <v>18551</v>
      </c>
      <c r="S2606" s="1" t="s">
        <v>18552</v>
      </c>
      <c r="T2606" s="1" t="s">
        <v>18539</v>
      </c>
      <c r="U2606" s="1" t="s">
        <v>18553</v>
      </c>
      <c r="V2606" s="1">
        <v>1</v>
      </c>
      <c r="W2606" s="1">
        <v>0</v>
      </c>
      <c r="X2606" s="1">
        <v>1</v>
      </c>
      <c r="Y2606" s="1">
        <v>0</v>
      </c>
      <c r="Z2606" s="1">
        <v>0</v>
      </c>
      <c r="AA2606" s="1" t="s">
        <v>109</v>
      </c>
      <c r="AB2606" s="1">
        <v>4</v>
      </c>
      <c r="AC2606" s="1">
        <v>4</v>
      </c>
      <c r="AD2606" s="1">
        <v>4</v>
      </c>
      <c r="AE2606" s="1" t="s">
        <v>109</v>
      </c>
      <c r="AF2606" s="1" t="s">
        <v>109</v>
      </c>
      <c r="AG2606" s="1">
        <v>3</v>
      </c>
      <c r="AH2606" s="1" t="s">
        <v>109</v>
      </c>
      <c r="AI2606" s="1" t="s">
        <v>109</v>
      </c>
      <c r="AJ2606" s="1" t="s">
        <v>109</v>
      </c>
      <c r="AK2606" s="1" t="s">
        <v>109</v>
      </c>
      <c r="AL2606" s="1">
        <v>4</v>
      </c>
      <c r="AM2606" s="1" t="s">
        <v>109</v>
      </c>
      <c r="AN2606" s="1" t="s">
        <v>109</v>
      </c>
      <c r="AO2606" s="1" t="s">
        <v>109</v>
      </c>
      <c r="AP2606" s="1"/>
      <c r="AQ2606" s="1">
        <v>4</v>
      </c>
      <c r="AR2606" s="1"/>
      <c r="AS2606" s="1"/>
      <c r="AT2606" s="1">
        <v>0</v>
      </c>
      <c r="AU2606" s="1">
        <v>0</v>
      </c>
      <c r="AV2606" s="1">
        <v>0</v>
      </c>
      <c r="AW2606" s="1">
        <v>0</v>
      </c>
      <c r="AX2606" s="1">
        <v>0</v>
      </c>
      <c r="AY2606" s="1">
        <v>0</v>
      </c>
      <c r="AZ2606" s="1">
        <v>0</v>
      </c>
      <c r="BA2606" s="1">
        <v>0</v>
      </c>
      <c r="BB2606" s="1">
        <v>0</v>
      </c>
      <c r="BC2606" s="1">
        <v>0</v>
      </c>
      <c r="BD2606" s="1">
        <v>0</v>
      </c>
      <c r="BE2606" s="1">
        <v>0</v>
      </c>
      <c r="BF2606" s="1">
        <v>0</v>
      </c>
      <c r="BG2606" s="1">
        <v>0</v>
      </c>
      <c r="BH2606" s="1">
        <v>0</v>
      </c>
      <c r="BI2606" s="1">
        <v>0</v>
      </c>
      <c r="BJ2606" s="1">
        <v>0</v>
      </c>
      <c r="BK2606" s="1">
        <v>0</v>
      </c>
      <c r="BL2606" s="1">
        <v>0</v>
      </c>
      <c r="BM2606" s="1">
        <v>0</v>
      </c>
      <c r="BN2606" s="1">
        <v>0</v>
      </c>
      <c r="BO2606" s="1">
        <v>0</v>
      </c>
      <c r="BP2606" s="1">
        <v>0</v>
      </c>
      <c r="BQ2606" s="1">
        <v>0</v>
      </c>
      <c r="BR2606" s="1">
        <v>0</v>
      </c>
      <c r="BS2606" s="1" t="s">
        <v>109</v>
      </c>
      <c r="BT2606" s="1">
        <v>2709</v>
      </c>
      <c r="BU2606" s="1">
        <v>400</v>
      </c>
      <c r="BV2606" s="1"/>
      <c r="BW2606" s="1"/>
      <c r="BX2606" s="1"/>
      <c r="BY2606" s="1"/>
      <c r="BZ2606" s="1">
        <v>0</v>
      </c>
      <c r="CA2606" s="1" t="s">
        <v>109</v>
      </c>
      <c r="CB2606" s="1">
        <v>4</v>
      </c>
      <c r="CC2606" s="1" t="s">
        <v>109</v>
      </c>
      <c r="CD2606" s="1" t="s">
        <v>109</v>
      </c>
      <c r="CE2606" s="1" t="s">
        <v>109</v>
      </c>
      <c r="CF2606" s="1" t="s">
        <v>109</v>
      </c>
      <c r="CG2606" s="1" t="s">
        <v>109</v>
      </c>
      <c r="CH2606" s="1" t="s">
        <v>109</v>
      </c>
      <c r="CI2606" s="1" t="s">
        <v>109</v>
      </c>
      <c r="CJ2606" s="1">
        <v>4</v>
      </c>
      <c r="CK2606" s="1"/>
      <c r="CL2606" s="1">
        <v>0</v>
      </c>
      <c r="CM2606" s="1">
        <v>0</v>
      </c>
      <c r="CN2606" s="1">
        <v>1</v>
      </c>
    </row>
    <row r="2607" spans="1:92" ht="14.25" customHeight="1" x14ac:dyDescent="0.15">
      <c r="A2607" s="1" t="s">
        <v>18554</v>
      </c>
      <c r="B2607" s="1" t="s">
        <v>242</v>
      </c>
      <c r="C2607" s="1"/>
      <c r="D2607" s="1" t="s">
        <v>93</v>
      </c>
      <c r="E2607" s="1" t="s">
        <v>18555</v>
      </c>
      <c r="F2607" s="1" t="s">
        <v>377</v>
      </c>
      <c r="G2607" s="1" t="s">
        <v>18556</v>
      </c>
      <c r="H2607" s="1">
        <v>1</v>
      </c>
      <c r="I2607" s="1" t="s">
        <v>235</v>
      </c>
      <c r="J2607" s="1"/>
      <c r="K2607" s="1"/>
      <c r="L2607" s="1" t="s">
        <v>236</v>
      </c>
      <c r="M2607" s="1" t="s">
        <v>13051</v>
      </c>
      <c r="N2607" s="1">
        <v>0</v>
      </c>
      <c r="O2607" s="1">
        <v>0</v>
      </c>
      <c r="P2607" s="1"/>
      <c r="Q2607" s="1"/>
      <c r="R2607" s="1" t="s">
        <v>18557</v>
      </c>
      <c r="S2607" s="1" t="s">
        <v>18558</v>
      </c>
      <c r="T2607" s="1" t="s">
        <v>18539</v>
      </c>
      <c r="U2607" s="1" t="s">
        <v>18559</v>
      </c>
      <c r="V2607" s="1">
        <v>1</v>
      </c>
      <c r="W2607" s="1">
        <v>0</v>
      </c>
      <c r="X2607" s="1">
        <v>1</v>
      </c>
      <c r="Y2607" s="1">
        <v>0</v>
      </c>
      <c r="Z2607" s="1">
        <v>0</v>
      </c>
      <c r="AA2607" s="1" t="s">
        <v>109</v>
      </c>
      <c r="AB2607" s="1" t="s">
        <v>109</v>
      </c>
      <c r="AC2607" s="1">
        <v>1</v>
      </c>
      <c r="AD2607" s="1">
        <v>1</v>
      </c>
      <c r="AE2607" s="1">
        <v>1</v>
      </c>
      <c r="AF2607" s="1" t="s">
        <v>109</v>
      </c>
      <c r="AG2607" s="1">
        <v>1</v>
      </c>
      <c r="AH2607" s="1" t="s">
        <v>109</v>
      </c>
      <c r="AI2607" s="1" t="s">
        <v>109</v>
      </c>
      <c r="AJ2607" s="1" t="s">
        <v>109</v>
      </c>
      <c r="AK2607" s="1" t="s">
        <v>109</v>
      </c>
      <c r="AL2607" s="1">
        <v>1</v>
      </c>
      <c r="AM2607" s="1" t="s">
        <v>109</v>
      </c>
      <c r="AN2607" s="1" t="s">
        <v>109</v>
      </c>
      <c r="AO2607" s="1" t="s">
        <v>109</v>
      </c>
      <c r="AP2607" s="1"/>
      <c r="AQ2607" s="1">
        <v>1</v>
      </c>
      <c r="AR2607" s="1"/>
      <c r="AS2607" s="1"/>
      <c r="AT2607" s="1">
        <v>0</v>
      </c>
      <c r="AU2607" s="1">
        <v>0</v>
      </c>
      <c r="AV2607" s="1">
        <v>0</v>
      </c>
      <c r="AW2607" s="1">
        <v>0</v>
      </c>
      <c r="AX2607" s="1">
        <v>0</v>
      </c>
      <c r="AY2607" s="1">
        <v>0</v>
      </c>
      <c r="AZ2607" s="1">
        <v>0</v>
      </c>
      <c r="BA2607" s="1">
        <v>0</v>
      </c>
      <c r="BB2607" s="1">
        <v>0</v>
      </c>
      <c r="BC2607" s="1">
        <v>0</v>
      </c>
      <c r="BD2607" s="1">
        <v>0</v>
      </c>
      <c r="BE2607" s="1">
        <v>0</v>
      </c>
      <c r="BF2607" s="1">
        <v>0</v>
      </c>
      <c r="BG2607" s="1">
        <v>0</v>
      </c>
      <c r="BH2607" s="1">
        <v>0</v>
      </c>
      <c r="BI2607" s="1">
        <v>0</v>
      </c>
      <c r="BJ2607" s="1">
        <v>0</v>
      </c>
      <c r="BK2607" s="1">
        <v>0</v>
      </c>
      <c r="BL2607" s="1">
        <v>0</v>
      </c>
      <c r="BM2607" s="1">
        <v>0</v>
      </c>
      <c r="BN2607" s="1">
        <v>0</v>
      </c>
      <c r="BO2607" s="1">
        <v>0</v>
      </c>
      <c r="BP2607" s="1">
        <v>0</v>
      </c>
      <c r="BQ2607" s="1">
        <v>0</v>
      </c>
      <c r="BR2607" s="1">
        <v>0</v>
      </c>
      <c r="BS2607" s="1" t="s">
        <v>109</v>
      </c>
      <c r="BT2607" s="1">
        <v>2710</v>
      </c>
      <c r="BU2607" s="1">
        <v>100</v>
      </c>
      <c r="BV2607" s="1"/>
      <c r="BW2607" s="1"/>
      <c r="BX2607" s="1"/>
      <c r="BY2607" s="1"/>
      <c r="BZ2607" s="1">
        <v>0</v>
      </c>
      <c r="CA2607" s="1" t="s">
        <v>109</v>
      </c>
      <c r="CB2607" s="1">
        <v>1</v>
      </c>
      <c r="CC2607" s="1" t="s">
        <v>109</v>
      </c>
      <c r="CD2607" s="1" t="s">
        <v>109</v>
      </c>
      <c r="CE2607" s="1" t="s">
        <v>109</v>
      </c>
      <c r="CF2607" s="1" t="s">
        <v>109</v>
      </c>
      <c r="CG2607" s="1" t="s">
        <v>109</v>
      </c>
      <c r="CH2607" s="1" t="s">
        <v>109</v>
      </c>
      <c r="CI2607" s="1" t="s">
        <v>109</v>
      </c>
      <c r="CJ2607" s="1">
        <v>1</v>
      </c>
      <c r="CK2607" s="1"/>
      <c r="CL2607" s="1">
        <v>0</v>
      </c>
      <c r="CM2607" s="1">
        <v>0</v>
      </c>
      <c r="CN2607" s="1">
        <v>1</v>
      </c>
    </row>
    <row r="2608" spans="1:92" ht="14.25" customHeight="1" x14ac:dyDescent="0.15">
      <c r="A2608" s="1" t="s">
        <v>18560</v>
      </c>
      <c r="B2608" s="1" t="s">
        <v>242</v>
      </c>
      <c r="C2608" s="1"/>
      <c r="D2608" s="1" t="s">
        <v>93</v>
      </c>
      <c r="E2608" s="1" t="s">
        <v>18561</v>
      </c>
      <c r="F2608" s="1" t="s">
        <v>377</v>
      </c>
      <c r="G2608" s="1" t="s">
        <v>18556</v>
      </c>
      <c r="H2608" s="1">
        <v>1</v>
      </c>
      <c r="I2608" s="1" t="s">
        <v>235</v>
      </c>
      <c r="J2608" s="1"/>
      <c r="K2608" s="1"/>
      <c r="L2608" s="1" t="s">
        <v>236</v>
      </c>
      <c r="M2608" s="1" t="s">
        <v>13051</v>
      </c>
      <c r="N2608" s="1">
        <v>0</v>
      </c>
      <c r="O2608" s="1">
        <v>0</v>
      </c>
      <c r="P2608" s="1"/>
      <c r="Q2608" s="1"/>
      <c r="R2608" s="1" t="s">
        <v>18562</v>
      </c>
      <c r="S2608" s="1" t="s">
        <v>18563</v>
      </c>
      <c r="T2608" s="1" t="s">
        <v>18539</v>
      </c>
      <c r="U2608" s="1" t="s">
        <v>18564</v>
      </c>
      <c r="V2608" s="1">
        <v>1</v>
      </c>
      <c r="W2608" s="1">
        <v>0</v>
      </c>
      <c r="X2608" s="1">
        <v>1</v>
      </c>
      <c r="Y2608" s="1">
        <v>0</v>
      </c>
      <c r="Z2608" s="1">
        <v>0</v>
      </c>
      <c r="AA2608" s="1" t="s">
        <v>109</v>
      </c>
      <c r="AB2608" s="1">
        <v>1</v>
      </c>
      <c r="AC2608" s="1">
        <v>1</v>
      </c>
      <c r="AD2608" s="1">
        <v>1</v>
      </c>
      <c r="AE2608" s="1" t="s">
        <v>109</v>
      </c>
      <c r="AF2608" s="1" t="s">
        <v>109</v>
      </c>
      <c r="AG2608" s="1" t="s">
        <v>109</v>
      </c>
      <c r="AH2608" s="1" t="s">
        <v>109</v>
      </c>
      <c r="AI2608" s="1" t="s">
        <v>109</v>
      </c>
      <c r="AJ2608" s="1" t="s">
        <v>109</v>
      </c>
      <c r="AK2608" s="1" t="s">
        <v>109</v>
      </c>
      <c r="AL2608" s="1">
        <v>1</v>
      </c>
      <c r="AM2608" s="1" t="s">
        <v>109</v>
      </c>
      <c r="AN2608" s="1" t="s">
        <v>109</v>
      </c>
      <c r="AO2608" s="1" t="s">
        <v>109</v>
      </c>
      <c r="AP2608" s="1"/>
      <c r="AQ2608" s="1">
        <v>1</v>
      </c>
      <c r="AR2608" s="1"/>
      <c r="AS2608" s="1"/>
      <c r="AT2608" s="1">
        <v>0</v>
      </c>
      <c r="AU2608" s="1">
        <v>0</v>
      </c>
      <c r="AV2608" s="1">
        <v>0</v>
      </c>
      <c r="AW2608" s="1">
        <v>0</v>
      </c>
      <c r="AX2608" s="1">
        <v>0</v>
      </c>
      <c r="AY2608" s="1">
        <v>0</v>
      </c>
      <c r="AZ2608" s="1">
        <v>0</v>
      </c>
      <c r="BA2608" s="1">
        <v>0</v>
      </c>
      <c r="BB2608" s="1">
        <v>0</v>
      </c>
      <c r="BC2608" s="1">
        <v>0</v>
      </c>
      <c r="BD2608" s="1">
        <v>0</v>
      </c>
      <c r="BE2608" s="1">
        <v>0</v>
      </c>
      <c r="BF2608" s="1">
        <v>0</v>
      </c>
      <c r="BG2608" s="1">
        <v>0</v>
      </c>
      <c r="BH2608" s="1">
        <v>0</v>
      </c>
      <c r="BI2608" s="1">
        <v>0</v>
      </c>
      <c r="BJ2608" s="1">
        <v>0</v>
      </c>
      <c r="BK2608" s="1">
        <v>0</v>
      </c>
      <c r="BL2608" s="1">
        <v>0</v>
      </c>
      <c r="BM2608" s="1">
        <v>0</v>
      </c>
      <c r="BN2608" s="1">
        <v>0</v>
      </c>
      <c r="BO2608" s="1">
        <v>0</v>
      </c>
      <c r="BP2608" s="1">
        <v>0</v>
      </c>
      <c r="BQ2608" s="1">
        <v>0</v>
      </c>
      <c r="BR2608" s="1">
        <v>0</v>
      </c>
      <c r="BS2608" s="1" t="s">
        <v>109</v>
      </c>
      <c r="BT2608" s="1">
        <v>2711</v>
      </c>
      <c r="BU2608" s="1">
        <v>100</v>
      </c>
      <c r="BV2608" s="1"/>
      <c r="BW2608" s="1"/>
      <c r="BX2608" s="1"/>
      <c r="BY2608" s="1"/>
      <c r="BZ2608" s="1">
        <v>0</v>
      </c>
      <c r="CA2608" s="1" t="s">
        <v>109</v>
      </c>
      <c r="CB2608" s="1">
        <v>1</v>
      </c>
      <c r="CC2608" s="1" t="s">
        <v>109</v>
      </c>
      <c r="CD2608" s="1" t="s">
        <v>109</v>
      </c>
      <c r="CE2608" s="1" t="s">
        <v>109</v>
      </c>
      <c r="CF2608" s="1" t="s">
        <v>109</v>
      </c>
      <c r="CG2608" s="1" t="s">
        <v>109</v>
      </c>
      <c r="CH2608" s="1" t="s">
        <v>109</v>
      </c>
      <c r="CI2608" s="1" t="s">
        <v>109</v>
      </c>
      <c r="CJ2608" s="1">
        <v>1</v>
      </c>
      <c r="CK2608" s="1"/>
      <c r="CL2608" s="1">
        <v>0</v>
      </c>
      <c r="CM2608" s="1">
        <v>0</v>
      </c>
      <c r="CN2608" s="1">
        <v>1</v>
      </c>
    </row>
    <row r="2609" spans="1:92" ht="14.25" customHeight="1" x14ac:dyDescent="0.15">
      <c r="A2609" s="1" t="s">
        <v>18565</v>
      </c>
      <c r="B2609" s="1" t="s">
        <v>254</v>
      </c>
      <c r="C2609" s="1"/>
      <c r="D2609" s="1" t="s">
        <v>93</v>
      </c>
      <c r="E2609" s="1" t="s">
        <v>18566</v>
      </c>
      <c r="F2609" s="1" t="s">
        <v>377</v>
      </c>
      <c r="G2609" s="1" t="s">
        <v>18567</v>
      </c>
      <c r="H2609" s="1">
        <v>1</v>
      </c>
      <c r="I2609" s="1" t="s">
        <v>235</v>
      </c>
      <c r="J2609" s="1"/>
      <c r="K2609" s="1"/>
      <c r="L2609" s="1" t="s">
        <v>236</v>
      </c>
      <c r="M2609" s="1" t="s">
        <v>13051</v>
      </c>
      <c r="N2609" s="1">
        <v>0</v>
      </c>
      <c r="O2609" s="1">
        <v>0</v>
      </c>
      <c r="P2609" s="1"/>
      <c r="Q2609" s="1"/>
      <c r="R2609" s="1" t="s">
        <v>18568</v>
      </c>
      <c r="S2609" s="1" t="s">
        <v>18569</v>
      </c>
      <c r="T2609" s="1" t="s">
        <v>18539</v>
      </c>
      <c r="U2609" s="1" t="s">
        <v>18570</v>
      </c>
      <c r="V2609" s="1">
        <v>1</v>
      </c>
      <c r="W2609" s="1">
        <v>0</v>
      </c>
      <c r="X2609" s="1">
        <v>1</v>
      </c>
      <c r="Y2609" s="1">
        <v>0</v>
      </c>
      <c r="Z2609" s="1">
        <v>0</v>
      </c>
      <c r="AA2609" s="1" t="s">
        <v>109</v>
      </c>
      <c r="AB2609" s="1">
        <v>3</v>
      </c>
      <c r="AC2609" s="1">
        <v>3</v>
      </c>
      <c r="AD2609" s="1" t="s">
        <v>109</v>
      </c>
      <c r="AE2609" s="1" t="s">
        <v>109</v>
      </c>
      <c r="AF2609" s="1" t="s">
        <v>109</v>
      </c>
      <c r="AG2609" s="1" t="s">
        <v>109</v>
      </c>
      <c r="AH2609" s="1" t="s">
        <v>109</v>
      </c>
      <c r="AI2609" s="1" t="s">
        <v>109</v>
      </c>
      <c r="AJ2609" s="1">
        <v>3</v>
      </c>
      <c r="AK2609" s="1" t="s">
        <v>109</v>
      </c>
      <c r="AL2609" s="1">
        <v>3</v>
      </c>
      <c r="AM2609" s="1" t="s">
        <v>109</v>
      </c>
      <c r="AN2609" s="1" t="s">
        <v>109</v>
      </c>
      <c r="AO2609" s="1" t="s">
        <v>109</v>
      </c>
      <c r="AP2609" s="1"/>
      <c r="AQ2609" s="1">
        <v>3</v>
      </c>
      <c r="AR2609" s="1"/>
      <c r="AS2609" s="1"/>
      <c r="AT2609" s="1">
        <v>0</v>
      </c>
      <c r="AU2609" s="1">
        <v>0</v>
      </c>
      <c r="AV2609" s="1">
        <v>0</v>
      </c>
      <c r="AW2609" s="1">
        <v>0</v>
      </c>
      <c r="AX2609" s="1">
        <v>0</v>
      </c>
      <c r="AY2609" s="1">
        <v>0</v>
      </c>
      <c r="AZ2609" s="1">
        <v>0</v>
      </c>
      <c r="BA2609" s="1">
        <v>0</v>
      </c>
      <c r="BB2609" s="1">
        <v>0</v>
      </c>
      <c r="BC2609" s="1">
        <v>0</v>
      </c>
      <c r="BD2609" s="1">
        <v>0</v>
      </c>
      <c r="BE2609" s="1">
        <v>0</v>
      </c>
      <c r="BF2609" s="1">
        <v>0</v>
      </c>
      <c r="BG2609" s="1">
        <v>0</v>
      </c>
      <c r="BH2609" s="1">
        <v>0</v>
      </c>
      <c r="BI2609" s="1">
        <v>0</v>
      </c>
      <c r="BJ2609" s="1">
        <v>0</v>
      </c>
      <c r="BK2609" s="1">
        <v>0</v>
      </c>
      <c r="BL2609" s="1">
        <v>0</v>
      </c>
      <c r="BM2609" s="1">
        <v>0</v>
      </c>
      <c r="BN2609" s="1">
        <v>0</v>
      </c>
      <c r="BO2609" s="1">
        <v>0</v>
      </c>
      <c r="BP2609" s="1">
        <v>0</v>
      </c>
      <c r="BQ2609" s="1">
        <v>0</v>
      </c>
      <c r="BR2609" s="1">
        <v>0</v>
      </c>
      <c r="BS2609" s="1" t="s">
        <v>109</v>
      </c>
      <c r="BT2609" s="1">
        <v>2712</v>
      </c>
      <c r="BU2609" s="1">
        <v>300</v>
      </c>
      <c r="BV2609" s="1"/>
      <c r="BW2609" s="1"/>
      <c r="BX2609" s="1"/>
      <c r="BY2609" s="1"/>
      <c r="BZ2609" s="1">
        <v>0</v>
      </c>
      <c r="CA2609" s="1" t="s">
        <v>109</v>
      </c>
      <c r="CB2609" s="1">
        <v>3</v>
      </c>
      <c r="CC2609" s="1" t="s">
        <v>109</v>
      </c>
      <c r="CD2609" s="1" t="s">
        <v>109</v>
      </c>
      <c r="CE2609" s="1" t="s">
        <v>109</v>
      </c>
      <c r="CF2609" s="1" t="s">
        <v>109</v>
      </c>
      <c r="CG2609" s="1" t="s">
        <v>109</v>
      </c>
      <c r="CH2609" s="1" t="s">
        <v>109</v>
      </c>
      <c r="CI2609" s="1" t="s">
        <v>109</v>
      </c>
      <c r="CJ2609" s="1" t="s">
        <v>109</v>
      </c>
      <c r="CK2609" s="1"/>
      <c r="CL2609" s="1">
        <v>0</v>
      </c>
      <c r="CM2609" s="1">
        <v>0</v>
      </c>
      <c r="CN2609" s="1">
        <v>1</v>
      </c>
    </row>
    <row r="2610" spans="1:92" ht="14.25" customHeight="1" x14ac:dyDescent="0.15">
      <c r="A2610" s="1" t="s">
        <v>18571</v>
      </c>
      <c r="B2610" s="1" t="s">
        <v>254</v>
      </c>
      <c r="C2610" s="1"/>
      <c r="D2610" s="1" t="s">
        <v>93</v>
      </c>
      <c r="E2610" s="1" t="s">
        <v>18566</v>
      </c>
      <c r="F2610" s="1" t="s">
        <v>377</v>
      </c>
      <c r="G2610" s="1" t="s">
        <v>18567</v>
      </c>
      <c r="H2610" s="1">
        <v>1</v>
      </c>
      <c r="I2610" s="1" t="s">
        <v>235</v>
      </c>
      <c r="J2610" s="1"/>
      <c r="K2610" s="1"/>
      <c r="L2610" s="1" t="s">
        <v>18572</v>
      </c>
      <c r="M2610" s="1" t="s">
        <v>13051</v>
      </c>
      <c r="N2610" s="1">
        <v>0</v>
      </c>
      <c r="O2610" s="1">
        <v>0</v>
      </c>
      <c r="P2610" s="1"/>
      <c r="Q2610" s="1"/>
      <c r="R2610" s="1" t="s">
        <v>18573</v>
      </c>
      <c r="S2610" s="1" t="s">
        <v>18574</v>
      </c>
      <c r="T2610" s="1" t="s">
        <v>18539</v>
      </c>
      <c r="U2610" s="1" t="s">
        <v>18575</v>
      </c>
      <c r="V2610" s="1">
        <v>1</v>
      </c>
      <c r="W2610" s="1">
        <v>0</v>
      </c>
      <c r="X2610" s="1">
        <v>1</v>
      </c>
      <c r="Y2610" s="1">
        <v>0</v>
      </c>
      <c r="Z2610" s="1">
        <v>0</v>
      </c>
      <c r="AA2610" s="1" t="s">
        <v>109</v>
      </c>
      <c r="AB2610" s="1">
        <v>3</v>
      </c>
      <c r="AC2610" s="1">
        <v>3</v>
      </c>
      <c r="AD2610" s="1" t="s">
        <v>109</v>
      </c>
      <c r="AE2610" s="1" t="s">
        <v>109</v>
      </c>
      <c r="AF2610" s="1" t="s">
        <v>109</v>
      </c>
      <c r="AG2610" s="1" t="s">
        <v>109</v>
      </c>
      <c r="AH2610" s="1" t="s">
        <v>109</v>
      </c>
      <c r="AI2610" s="1" t="s">
        <v>109</v>
      </c>
      <c r="AJ2610" s="1">
        <v>3</v>
      </c>
      <c r="AK2610" s="1" t="s">
        <v>109</v>
      </c>
      <c r="AL2610" s="1">
        <v>3</v>
      </c>
      <c r="AM2610" s="1" t="s">
        <v>109</v>
      </c>
      <c r="AN2610" s="1" t="s">
        <v>109</v>
      </c>
      <c r="AO2610" s="1" t="s">
        <v>109</v>
      </c>
      <c r="AP2610" s="1"/>
      <c r="AQ2610" s="1">
        <v>3</v>
      </c>
      <c r="AR2610" s="1"/>
      <c r="AS2610" s="1"/>
      <c r="AT2610" s="1">
        <v>0</v>
      </c>
      <c r="AU2610" s="1">
        <v>0</v>
      </c>
      <c r="AV2610" s="1">
        <v>0</v>
      </c>
      <c r="AW2610" s="1">
        <v>0</v>
      </c>
      <c r="AX2610" s="1">
        <v>0</v>
      </c>
      <c r="AY2610" s="1">
        <v>0</v>
      </c>
      <c r="AZ2610" s="1">
        <v>0</v>
      </c>
      <c r="BA2610" s="1">
        <v>0</v>
      </c>
      <c r="BB2610" s="1">
        <v>0</v>
      </c>
      <c r="BC2610" s="1">
        <v>0</v>
      </c>
      <c r="BD2610" s="1">
        <v>0</v>
      </c>
      <c r="BE2610" s="1">
        <v>0</v>
      </c>
      <c r="BF2610" s="1">
        <v>0</v>
      </c>
      <c r="BG2610" s="1">
        <v>0</v>
      </c>
      <c r="BH2610" s="1">
        <v>0</v>
      </c>
      <c r="BI2610" s="1">
        <v>0</v>
      </c>
      <c r="BJ2610" s="1">
        <v>0</v>
      </c>
      <c r="BK2610" s="1">
        <v>0</v>
      </c>
      <c r="BL2610" s="1">
        <v>0</v>
      </c>
      <c r="BM2610" s="1">
        <v>0</v>
      </c>
      <c r="BN2610" s="1">
        <v>0</v>
      </c>
      <c r="BO2610" s="1">
        <v>0</v>
      </c>
      <c r="BP2610" s="1">
        <v>0</v>
      </c>
      <c r="BQ2610" s="1">
        <v>0</v>
      </c>
      <c r="BR2610" s="1">
        <v>0</v>
      </c>
      <c r="BS2610" s="1" t="s">
        <v>109</v>
      </c>
      <c r="BT2610" s="1">
        <v>2713</v>
      </c>
      <c r="BU2610" s="1">
        <v>300</v>
      </c>
      <c r="BV2610" s="1"/>
      <c r="BW2610" s="1"/>
      <c r="BX2610" s="1"/>
      <c r="BY2610" s="1"/>
      <c r="BZ2610" s="1">
        <v>0</v>
      </c>
      <c r="CA2610" s="1" t="s">
        <v>109</v>
      </c>
      <c r="CB2610" s="1">
        <v>3</v>
      </c>
      <c r="CC2610" s="1" t="s">
        <v>109</v>
      </c>
      <c r="CD2610" s="1" t="s">
        <v>109</v>
      </c>
      <c r="CE2610" s="1" t="s">
        <v>109</v>
      </c>
      <c r="CF2610" s="1" t="s">
        <v>109</v>
      </c>
      <c r="CG2610" s="1" t="s">
        <v>109</v>
      </c>
      <c r="CH2610" s="1" t="s">
        <v>109</v>
      </c>
      <c r="CI2610" s="1" t="s">
        <v>109</v>
      </c>
      <c r="CJ2610" s="1" t="s">
        <v>109</v>
      </c>
      <c r="CK2610" s="1"/>
      <c r="CL2610" s="1">
        <v>0</v>
      </c>
      <c r="CM2610" s="1">
        <v>0</v>
      </c>
      <c r="CN2610" s="1">
        <v>1</v>
      </c>
    </row>
    <row r="2611" spans="1:92" ht="14.25" customHeight="1" x14ac:dyDescent="0.15">
      <c r="A2611" s="1" t="s">
        <v>18576</v>
      </c>
      <c r="B2611" s="1" t="s">
        <v>189</v>
      </c>
      <c r="C2611" s="1"/>
      <c r="D2611" s="1" t="s">
        <v>93</v>
      </c>
      <c r="E2611" s="1" t="s">
        <v>18577</v>
      </c>
      <c r="F2611" s="1" t="s">
        <v>377</v>
      </c>
      <c r="G2611" s="1" t="s">
        <v>18578</v>
      </c>
      <c r="H2611" s="1">
        <v>1</v>
      </c>
      <c r="I2611" s="1" t="s">
        <v>235</v>
      </c>
      <c r="J2611" s="1"/>
      <c r="K2611" s="1"/>
      <c r="L2611" s="1" t="s">
        <v>236</v>
      </c>
      <c r="M2611" s="1" t="s">
        <v>13051</v>
      </c>
      <c r="N2611" s="1">
        <v>0</v>
      </c>
      <c r="O2611" s="1">
        <v>0</v>
      </c>
      <c r="P2611" s="1"/>
      <c r="Q2611" s="1"/>
      <c r="R2611" s="1" t="s">
        <v>18579</v>
      </c>
      <c r="S2611" s="1" t="s">
        <v>18580</v>
      </c>
      <c r="T2611" s="1" t="s">
        <v>18539</v>
      </c>
      <c r="U2611" s="1" t="s">
        <v>18581</v>
      </c>
      <c r="V2611" s="1">
        <v>1</v>
      </c>
      <c r="W2611" s="1">
        <v>0</v>
      </c>
      <c r="X2611" s="1">
        <v>1</v>
      </c>
      <c r="Y2611" s="1">
        <v>0</v>
      </c>
      <c r="Z2611" s="1">
        <v>0</v>
      </c>
      <c r="AA2611" s="1" t="s">
        <v>109</v>
      </c>
      <c r="AB2611" s="1">
        <v>2</v>
      </c>
      <c r="AC2611" s="1">
        <v>2</v>
      </c>
      <c r="AD2611" s="1">
        <v>2</v>
      </c>
      <c r="AE2611" s="1">
        <v>2</v>
      </c>
      <c r="AF2611" s="1" t="s">
        <v>109</v>
      </c>
      <c r="AG2611" s="1" t="s">
        <v>109</v>
      </c>
      <c r="AH2611" s="1" t="s">
        <v>109</v>
      </c>
      <c r="AI2611" s="1" t="s">
        <v>109</v>
      </c>
      <c r="AJ2611" s="1" t="s">
        <v>109</v>
      </c>
      <c r="AK2611" s="1" t="s">
        <v>109</v>
      </c>
      <c r="AL2611" s="1">
        <v>2</v>
      </c>
      <c r="AM2611" s="1" t="s">
        <v>109</v>
      </c>
      <c r="AN2611" s="1">
        <v>2</v>
      </c>
      <c r="AO2611" s="1" t="s">
        <v>109</v>
      </c>
      <c r="AP2611" s="1"/>
      <c r="AQ2611" s="1">
        <v>2</v>
      </c>
      <c r="AR2611" s="1"/>
      <c r="AS2611" s="1"/>
      <c r="AT2611" s="1">
        <v>0</v>
      </c>
      <c r="AU2611" s="1">
        <v>0</v>
      </c>
      <c r="AV2611" s="1">
        <v>0</v>
      </c>
      <c r="AW2611" s="1">
        <v>0</v>
      </c>
      <c r="AX2611" s="1">
        <v>0</v>
      </c>
      <c r="AY2611" s="1">
        <v>0</v>
      </c>
      <c r="AZ2611" s="1">
        <v>0</v>
      </c>
      <c r="BA2611" s="1">
        <v>0</v>
      </c>
      <c r="BB2611" s="1">
        <v>0</v>
      </c>
      <c r="BC2611" s="1">
        <v>0</v>
      </c>
      <c r="BD2611" s="1">
        <v>0</v>
      </c>
      <c r="BE2611" s="1">
        <v>0</v>
      </c>
      <c r="BF2611" s="1">
        <v>0</v>
      </c>
      <c r="BG2611" s="1">
        <v>0</v>
      </c>
      <c r="BH2611" s="1">
        <v>0</v>
      </c>
      <c r="BI2611" s="1">
        <v>0</v>
      </c>
      <c r="BJ2611" s="1">
        <v>0</v>
      </c>
      <c r="BK2611" s="1">
        <v>0</v>
      </c>
      <c r="BL2611" s="1">
        <v>0</v>
      </c>
      <c r="BM2611" s="1">
        <v>0</v>
      </c>
      <c r="BN2611" s="1">
        <v>0</v>
      </c>
      <c r="BO2611" s="1">
        <v>0</v>
      </c>
      <c r="BP2611" s="1">
        <v>0</v>
      </c>
      <c r="BQ2611" s="1">
        <v>0</v>
      </c>
      <c r="BR2611" s="1">
        <v>0</v>
      </c>
      <c r="BS2611" s="1" t="s">
        <v>109</v>
      </c>
      <c r="BT2611" s="1">
        <v>2714</v>
      </c>
      <c r="BU2611" s="1">
        <v>200</v>
      </c>
      <c r="BV2611" s="1"/>
      <c r="BW2611" s="1"/>
      <c r="BX2611" s="1"/>
      <c r="BY2611" s="1"/>
      <c r="BZ2611" s="1">
        <v>0</v>
      </c>
      <c r="CA2611" s="1" t="s">
        <v>109</v>
      </c>
      <c r="CB2611" s="1">
        <v>2</v>
      </c>
      <c r="CC2611" s="1" t="s">
        <v>109</v>
      </c>
      <c r="CD2611" s="1" t="s">
        <v>109</v>
      </c>
      <c r="CE2611" s="1" t="s">
        <v>109</v>
      </c>
      <c r="CF2611" s="1" t="s">
        <v>109</v>
      </c>
      <c r="CG2611" s="1" t="s">
        <v>109</v>
      </c>
      <c r="CH2611" s="1" t="s">
        <v>109</v>
      </c>
      <c r="CI2611" s="1" t="s">
        <v>109</v>
      </c>
      <c r="CJ2611" s="1">
        <v>2</v>
      </c>
      <c r="CK2611" s="1"/>
      <c r="CL2611" s="1">
        <v>0</v>
      </c>
      <c r="CM2611" s="1">
        <v>0</v>
      </c>
      <c r="CN2611" s="1">
        <v>1</v>
      </c>
    </row>
    <row r="2612" spans="1:92" ht="14.25" customHeight="1" x14ac:dyDescent="0.15">
      <c r="A2612" s="1" t="s">
        <v>18582</v>
      </c>
      <c r="B2612" s="1" t="s">
        <v>189</v>
      </c>
      <c r="C2612" s="1"/>
      <c r="D2612" s="1" t="s">
        <v>93</v>
      </c>
      <c r="E2612" s="1" t="s">
        <v>18583</v>
      </c>
      <c r="F2612" s="1" t="s">
        <v>377</v>
      </c>
      <c r="G2612" s="1" t="s">
        <v>18578</v>
      </c>
      <c r="H2612" s="1">
        <v>1</v>
      </c>
      <c r="I2612" s="1" t="s">
        <v>235</v>
      </c>
      <c r="J2612" s="1"/>
      <c r="K2612" s="1"/>
      <c r="L2612" s="1" t="s">
        <v>236</v>
      </c>
      <c r="M2612" s="1" t="s">
        <v>13051</v>
      </c>
      <c r="N2612" s="1">
        <v>0</v>
      </c>
      <c r="O2612" s="1">
        <v>0</v>
      </c>
      <c r="P2612" s="1"/>
      <c r="Q2612" s="1"/>
      <c r="R2612" s="1" t="s">
        <v>18584</v>
      </c>
      <c r="S2612" s="1" t="s">
        <v>18585</v>
      </c>
      <c r="T2612" s="1" t="s">
        <v>18539</v>
      </c>
      <c r="U2612" s="1" t="s">
        <v>18586</v>
      </c>
      <c r="V2612" s="1">
        <v>1</v>
      </c>
      <c r="W2612" s="1">
        <v>0</v>
      </c>
      <c r="X2612" s="1">
        <v>1</v>
      </c>
      <c r="Y2612" s="1">
        <v>0</v>
      </c>
      <c r="Z2612" s="1">
        <v>0</v>
      </c>
      <c r="AA2612" s="1" t="s">
        <v>109</v>
      </c>
      <c r="AB2612" s="1">
        <v>2</v>
      </c>
      <c r="AC2612" s="1">
        <v>2</v>
      </c>
      <c r="AD2612" s="1" t="s">
        <v>109</v>
      </c>
      <c r="AE2612" s="1" t="s">
        <v>109</v>
      </c>
      <c r="AF2612" s="1" t="s">
        <v>109</v>
      </c>
      <c r="AG2612" s="1" t="s">
        <v>109</v>
      </c>
      <c r="AH2612" s="1" t="s">
        <v>109</v>
      </c>
      <c r="AI2612" s="1" t="s">
        <v>109</v>
      </c>
      <c r="AJ2612" s="1" t="s">
        <v>109</v>
      </c>
      <c r="AK2612" s="1" t="s">
        <v>109</v>
      </c>
      <c r="AL2612" s="1">
        <v>2</v>
      </c>
      <c r="AM2612" s="1" t="s">
        <v>109</v>
      </c>
      <c r="AN2612" s="1" t="s">
        <v>109</v>
      </c>
      <c r="AO2612" s="1" t="s">
        <v>109</v>
      </c>
      <c r="AP2612" s="1"/>
      <c r="AQ2612" s="1">
        <v>2</v>
      </c>
      <c r="AR2612" s="1"/>
      <c r="AS2612" s="1"/>
      <c r="AT2612" s="1">
        <v>0</v>
      </c>
      <c r="AU2612" s="1">
        <v>0</v>
      </c>
      <c r="AV2612" s="1">
        <v>0</v>
      </c>
      <c r="AW2612" s="1">
        <v>0</v>
      </c>
      <c r="AX2612" s="1">
        <v>0</v>
      </c>
      <c r="AY2612" s="1">
        <v>0</v>
      </c>
      <c r="AZ2612" s="1">
        <v>0</v>
      </c>
      <c r="BA2612" s="1">
        <v>0</v>
      </c>
      <c r="BB2612" s="1">
        <v>0</v>
      </c>
      <c r="BC2612" s="1">
        <v>0</v>
      </c>
      <c r="BD2612" s="1">
        <v>0</v>
      </c>
      <c r="BE2612" s="1">
        <v>0</v>
      </c>
      <c r="BF2612" s="1">
        <v>0</v>
      </c>
      <c r="BG2612" s="1">
        <v>0</v>
      </c>
      <c r="BH2612" s="1">
        <v>0</v>
      </c>
      <c r="BI2612" s="1">
        <v>0</v>
      </c>
      <c r="BJ2612" s="1">
        <v>0</v>
      </c>
      <c r="BK2612" s="1">
        <v>0</v>
      </c>
      <c r="BL2612" s="1">
        <v>0</v>
      </c>
      <c r="BM2612" s="1">
        <v>0</v>
      </c>
      <c r="BN2612" s="1">
        <v>0</v>
      </c>
      <c r="BO2612" s="1">
        <v>0</v>
      </c>
      <c r="BP2612" s="1">
        <v>0</v>
      </c>
      <c r="BQ2612" s="1">
        <v>0</v>
      </c>
      <c r="BR2612" s="1">
        <v>0</v>
      </c>
      <c r="BS2612" s="1" t="s">
        <v>109</v>
      </c>
      <c r="BT2612" s="1">
        <v>2715</v>
      </c>
      <c r="BU2612" s="1">
        <v>200</v>
      </c>
      <c r="BV2612" s="1"/>
      <c r="BW2612" s="1"/>
      <c r="BX2612" s="1"/>
      <c r="BY2612" s="1"/>
      <c r="BZ2612" s="1">
        <v>0</v>
      </c>
      <c r="CA2612" s="1" t="s">
        <v>109</v>
      </c>
      <c r="CB2612" s="1">
        <v>2</v>
      </c>
      <c r="CC2612" s="1" t="s">
        <v>109</v>
      </c>
      <c r="CD2612" s="1" t="s">
        <v>109</v>
      </c>
      <c r="CE2612" s="1" t="s">
        <v>109</v>
      </c>
      <c r="CF2612" s="1" t="s">
        <v>109</v>
      </c>
      <c r="CG2612" s="1" t="s">
        <v>109</v>
      </c>
      <c r="CH2612" s="1" t="s">
        <v>109</v>
      </c>
      <c r="CI2612" s="1" t="s">
        <v>109</v>
      </c>
      <c r="CJ2612" s="1" t="s">
        <v>109</v>
      </c>
      <c r="CK2612" s="1"/>
      <c r="CL2612" s="1">
        <v>0</v>
      </c>
      <c r="CM2612" s="1">
        <v>0</v>
      </c>
      <c r="CN2612" s="1">
        <v>1</v>
      </c>
    </row>
    <row r="2613" spans="1:92" ht="14.25" customHeight="1" x14ac:dyDescent="0.15">
      <c r="A2613" s="1" t="s">
        <v>18587</v>
      </c>
      <c r="B2613" s="1" t="s">
        <v>156</v>
      </c>
      <c r="C2613" s="1" t="s">
        <v>157</v>
      </c>
      <c r="D2613" s="1" t="s">
        <v>158</v>
      </c>
      <c r="E2613" s="1" t="s">
        <v>18588</v>
      </c>
      <c r="F2613" s="1" t="s">
        <v>98</v>
      </c>
      <c r="G2613" s="1" t="s">
        <v>18589</v>
      </c>
      <c r="H2613" s="1">
        <v>0</v>
      </c>
      <c r="I2613" s="1" t="s">
        <v>122</v>
      </c>
      <c r="J2613" s="1"/>
      <c r="K2613" s="1"/>
      <c r="L2613" s="1" t="s">
        <v>1027</v>
      </c>
      <c r="M2613" s="1" t="s">
        <v>125</v>
      </c>
      <c r="N2613" s="1">
        <v>0</v>
      </c>
      <c r="O2613" s="1">
        <v>0</v>
      </c>
      <c r="P2613" s="1" t="s">
        <v>301</v>
      </c>
      <c r="Q2613" s="1" t="s">
        <v>268</v>
      </c>
      <c r="R2613" s="1" t="s">
        <v>18590</v>
      </c>
      <c r="S2613" s="1" t="s">
        <v>18591</v>
      </c>
      <c r="T2613" s="1" t="s">
        <v>18592</v>
      </c>
      <c r="U2613" s="1" t="s">
        <v>18593</v>
      </c>
      <c r="V2613" s="1">
        <v>1</v>
      </c>
      <c r="W2613" s="1">
        <v>1</v>
      </c>
      <c r="X2613" s="1">
        <v>1</v>
      </c>
      <c r="Y2613" s="1">
        <v>0</v>
      </c>
      <c r="Z2613" s="1">
        <v>1</v>
      </c>
      <c r="AA2613" s="1" t="s">
        <v>109</v>
      </c>
      <c r="AB2613" s="1" t="s">
        <v>109</v>
      </c>
      <c r="AC2613" s="1">
        <v>4</v>
      </c>
      <c r="AD2613" s="1" t="s">
        <v>109</v>
      </c>
      <c r="AE2613" s="1" t="s">
        <v>109</v>
      </c>
      <c r="AF2613" s="1">
        <v>3</v>
      </c>
      <c r="AG2613" s="1" t="s">
        <v>109</v>
      </c>
      <c r="AH2613" s="1" t="s">
        <v>109</v>
      </c>
      <c r="AI2613" s="1" t="s">
        <v>109</v>
      </c>
      <c r="AJ2613" s="1">
        <v>4</v>
      </c>
      <c r="AK2613" s="1" t="s">
        <v>109</v>
      </c>
      <c r="AL2613" s="1">
        <v>4</v>
      </c>
      <c r="AM2613" s="1" t="s">
        <v>109</v>
      </c>
      <c r="AN2613" s="1" t="s">
        <v>109</v>
      </c>
      <c r="AO2613" s="1" t="s">
        <v>109</v>
      </c>
      <c r="AP2613" s="1"/>
      <c r="AQ2613" s="1">
        <v>4</v>
      </c>
      <c r="AR2613" s="1"/>
      <c r="AS2613" s="1"/>
      <c r="AT2613" s="1">
        <v>0</v>
      </c>
      <c r="AU2613" s="1">
        <v>0</v>
      </c>
      <c r="AV2613" s="1">
        <v>0</v>
      </c>
      <c r="AW2613" s="1">
        <v>0</v>
      </c>
      <c r="AX2613" s="1">
        <v>0</v>
      </c>
      <c r="AY2613" s="1">
        <v>0</v>
      </c>
      <c r="AZ2613" s="1">
        <v>0</v>
      </c>
      <c r="BA2613" s="1">
        <v>0</v>
      </c>
      <c r="BB2613" s="1">
        <v>0</v>
      </c>
      <c r="BC2613" s="1">
        <v>0</v>
      </c>
      <c r="BD2613" s="1">
        <v>0</v>
      </c>
      <c r="BE2613" s="1">
        <v>0</v>
      </c>
      <c r="BF2613" s="1">
        <v>0</v>
      </c>
      <c r="BG2613" s="1">
        <v>0</v>
      </c>
      <c r="BH2613" s="1">
        <v>0</v>
      </c>
      <c r="BI2613" s="1">
        <v>0</v>
      </c>
      <c r="BJ2613" s="1">
        <v>0</v>
      </c>
      <c r="BK2613" s="1">
        <v>0</v>
      </c>
      <c r="BL2613" s="1">
        <v>0</v>
      </c>
      <c r="BM2613" s="1">
        <v>1</v>
      </c>
      <c r="BN2613" s="1">
        <v>0</v>
      </c>
      <c r="BO2613" s="1">
        <v>0</v>
      </c>
      <c r="BP2613" s="1">
        <v>0</v>
      </c>
      <c r="BQ2613" s="1">
        <v>0</v>
      </c>
      <c r="BR2613" s="1">
        <v>0</v>
      </c>
      <c r="BS2613" s="1" t="s">
        <v>109</v>
      </c>
      <c r="BT2613" s="1">
        <v>2716</v>
      </c>
      <c r="BU2613" s="1" t="s">
        <v>109</v>
      </c>
      <c r="BV2613" s="1"/>
      <c r="BW2613" s="1"/>
      <c r="BX2613" s="1"/>
      <c r="BY2613" s="1"/>
      <c r="BZ2613" s="1">
        <v>0</v>
      </c>
      <c r="CA2613" s="1" t="s">
        <v>109</v>
      </c>
      <c r="CB2613" s="1" t="s">
        <v>109</v>
      </c>
      <c r="CC2613" s="1">
        <v>4</v>
      </c>
      <c r="CD2613" s="1" t="s">
        <v>109</v>
      </c>
      <c r="CE2613" s="1">
        <v>3</v>
      </c>
      <c r="CF2613" s="1" t="s">
        <v>109</v>
      </c>
      <c r="CG2613" s="1" t="s">
        <v>109</v>
      </c>
      <c r="CH2613" s="1" t="s">
        <v>109</v>
      </c>
      <c r="CI2613" s="1" t="s">
        <v>109</v>
      </c>
      <c r="CJ2613" s="1" t="s">
        <v>109</v>
      </c>
      <c r="CK2613" s="1"/>
      <c r="CL2613" s="1">
        <v>0</v>
      </c>
      <c r="CM2613" s="1">
        <v>0</v>
      </c>
      <c r="CN2613" s="1">
        <v>0</v>
      </c>
    </row>
    <row r="2614" spans="1:92" ht="14.25" customHeight="1" x14ac:dyDescent="0.15">
      <c r="A2614" s="1" t="s">
        <v>18594</v>
      </c>
      <c r="B2614" s="1" t="s">
        <v>189</v>
      </c>
      <c r="C2614" s="1"/>
      <c r="D2614" s="1"/>
      <c r="E2614" s="1" t="s">
        <v>18595</v>
      </c>
      <c r="F2614" s="1" t="s">
        <v>98</v>
      </c>
      <c r="G2614" s="1" t="s">
        <v>18596</v>
      </c>
      <c r="H2614" s="1">
        <v>0</v>
      </c>
      <c r="I2614" s="1" t="s">
        <v>142</v>
      </c>
      <c r="J2614" s="1"/>
      <c r="K2614" s="1"/>
      <c r="L2614" s="1" t="s">
        <v>1391</v>
      </c>
      <c r="M2614" s="1" t="s">
        <v>125</v>
      </c>
      <c r="N2614" s="1">
        <v>0</v>
      </c>
      <c r="O2614" s="1">
        <v>0</v>
      </c>
      <c r="P2614" s="1" t="s">
        <v>1382</v>
      </c>
      <c r="Q2614" s="1" t="s">
        <v>167</v>
      </c>
      <c r="R2614" s="1" t="s">
        <v>18597</v>
      </c>
      <c r="S2614" s="1" t="s">
        <v>18598</v>
      </c>
      <c r="T2614" s="1" t="s">
        <v>18592</v>
      </c>
      <c r="U2614" s="1" t="s">
        <v>18599</v>
      </c>
      <c r="V2614" s="1">
        <v>1</v>
      </c>
      <c r="W2614" s="1">
        <v>1</v>
      </c>
      <c r="X2614" s="1">
        <v>1</v>
      </c>
      <c r="Y2614" s="1">
        <v>0</v>
      </c>
      <c r="Z2614" s="1">
        <v>1</v>
      </c>
      <c r="AA2614" s="1" t="s">
        <v>109</v>
      </c>
      <c r="AB2614" s="1" t="s">
        <v>109</v>
      </c>
      <c r="AC2614" s="1">
        <v>2</v>
      </c>
      <c r="AD2614" s="1">
        <v>2</v>
      </c>
      <c r="AE2614" s="1">
        <v>2</v>
      </c>
      <c r="AF2614" s="1">
        <v>2</v>
      </c>
      <c r="AG2614" s="1" t="s">
        <v>109</v>
      </c>
      <c r="AH2614" s="1">
        <v>2</v>
      </c>
      <c r="AI2614" s="1">
        <v>2</v>
      </c>
      <c r="AJ2614" s="1">
        <v>2</v>
      </c>
      <c r="AK2614" s="1" t="s">
        <v>109</v>
      </c>
      <c r="AL2614" s="1">
        <v>2</v>
      </c>
      <c r="AM2614" s="1" t="s">
        <v>109</v>
      </c>
      <c r="AN2614" s="1" t="s">
        <v>109</v>
      </c>
      <c r="AO2614" s="1" t="s">
        <v>109</v>
      </c>
      <c r="AP2614" s="1"/>
      <c r="AQ2614" s="1">
        <v>2</v>
      </c>
      <c r="AR2614" s="1"/>
      <c r="AS2614" s="1"/>
      <c r="AT2614" s="1">
        <v>0</v>
      </c>
      <c r="AU2614" s="1">
        <v>0</v>
      </c>
      <c r="AV2614" s="1">
        <v>0</v>
      </c>
      <c r="AW2614" s="1">
        <v>0</v>
      </c>
      <c r="AX2614" s="1">
        <v>0</v>
      </c>
      <c r="AY2614" s="1">
        <v>0</v>
      </c>
      <c r="AZ2614" s="1">
        <v>0</v>
      </c>
      <c r="BA2614" s="1">
        <v>0</v>
      </c>
      <c r="BB2614" s="1">
        <v>0</v>
      </c>
      <c r="BC2614" s="1">
        <v>0</v>
      </c>
      <c r="BD2614" s="1">
        <v>0</v>
      </c>
      <c r="BE2614" s="1">
        <v>0</v>
      </c>
      <c r="BF2614" s="1">
        <v>0</v>
      </c>
      <c r="BG2614" s="1">
        <v>0</v>
      </c>
      <c r="BH2614" s="1">
        <v>0</v>
      </c>
      <c r="BI2614" s="1">
        <v>0</v>
      </c>
      <c r="BJ2614" s="1">
        <v>0</v>
      </c>
      <c r="BK2614" s="1">
        <v>0</v>
      </c>
      <c r="BL2614" s="1">
        <v>0</v>
      </c>
      <c r="BM2614" s="1">
        <v>0</v>
      </c>
      <c r="BN2614" s="1">
        <v>0</v>
      </c>
      <c r="BO2614" s="1">
        <v>0</v>
      </c>
      <c r="BP2614" s="1">
        <v>0</v>
      </c>
      <c r="BQ2614" s="1">
        <v>0</v>
      </c>
      <c r="BR2614" s="1">
        <v>0</v>
      </c>
      <c r="BS2614" s="1" t="s">
        <v>109</v>
      </c>
      <c r="BT2614" s="1">
        <v>2717</v>
      </c>
      <c r="BU2614" s="1" t="s">
        <v>109</v>
      </c>
      <c r="BV2614" s="1"/>
      <c r="BW2614" s="1"/>
      <c r="BX2614" s="1"/>
      <c r="BY2614" s="1"/>
      <c r="BZ2614" s="1">
        <v>0</v>
      </c>
      <c r="CA2614" s="1">
        <v>2</v>
      </c>
      <c r="CB2614" s="1">
        <v>2</v>
      </c>
      <c r="CC2614" s="1">
        <v>2</v>
      </c>
      <c r="CD2614" s="1" t="s">
        <v>109</v>
      </c>
      <c r="CE2614" s="1" t="s">
        <v>109</v>
      </c>
      <c r="CF2614" s="1" t="s">
        <v>109</v>
      </c>
      <c r="CG2614" s="1" t="s">
        <v>109</v>
      </c>
      <c r="CH2614" s="1" t="s">
        <v>109</v>
      </c>
      <c r="CI2614" s="1" t="s">
        <v>109</v>
      </c>
      <c r="CJ2614" s="1">
        <v>2</v>
      </c>
      <c r="CK2614" s="1"/>
      <c r="CL2614" s="1">
        <v>0</v>
      </c>
      <c r="CM2614" s="1">
        <v>0</v>
      </c>
      <c r="CN2614" s="1">
        <v>0</v>
      </c>
    </row>
    <row r="2615" spans="1:92" ht="14.25" customHeight="1" x14ac:dyDescent="0.15">
      <c r="A2615" s="1" t="s">
        <v>18600</v>
      </c>
      <c r="B2615" s="1" t="s">
        <v>308</v>
      </c>
      <c r="C2615" s="1"/>
      <c r="D2615" s="1"/>
      <c r="E2615" s="1" t="s">
        <v>18601</v>
      </c>
      <c r="F2615" s="1" t="s">
        <v>98</v>
      </c>
      <c r="G2615" s="1" t="s">
        <v>141</v>
      </c>
      <c r="H2615" s="1">
        <v>0</v>
      </c>
      <c r="I2615" s="1" t="s">
        <v>161</v>
      </c>
      <c r="J2615" s="1"/>
      <c r="K2615" s="1"/>
      <c r="L2615" s="1" t="s">
        <v>506</v>
      </c>
      <c r="M2615" s="1" t="s">
        <v>144</v>
      </c>
      <c r="N2615" s="1">
        <v>0</v>
      </c>
      <c r="O2615" s="1">
        <v>0</v>
      </c>
      <c r="P2615" s="1" t="s">
        <v>1382</v>
      </c>
      <c r="Q2615" s="1" t="s">
        <v>167</v>
      </c>
      <c r="R2615" s="1" t="s">
        <v>18602</v>
      </c>
      <c r="S2615" s="1" t="s">
        <v>18603</v>
      </c>
      <c r="T2615" s="1" t="s">
        <v>18592</v>
      </c>
      <c r="U2615" s="1" t="s">
        <v>18604</v>
      </c>
      <c r="V2615" s="1">
        <v>1</v>
      </c>
      <c r="W2615" s="1">
        <v>1</v>
      </c>
      <c r="X2615" s="1">
        <v>0</v>
      </c>
      <c r="Y2615" s="1">
        <v>0</v>
      </c>
      <c r="Z2615" s="1">
        <v>0</v>
      </c>
      <c r="AA2615" s="1" t="s">
        <v>109</v>
      </c>
      <c r="AB2615" s="1" t="s">
        <v>109</v>
      </c>
      <c r="AC2615" s="1">
        <v>1</v>
      </c>
      <c r="AD2615" s="1">
        <v>1</v>
      </c>
      <c r="AE2615" s="1" t="s">
        <v>109</v>
      </c>
      <c r="AF2615" s="1" t="s">
        <v>109</v>
      </c>
      <c r="AG2615" s="1" t="s">
        <v>109</v>
      </c>
      <c r="AH2615" s="1">
        <v>1</v>
      </c>
      <c r="AI2615" s="1" t="s">
        <v>109</v>
      </c>
      <c r="AJ2615" s="1">
        <v>1</v>
      </c>
      <c r="AK2615" s="1">
        <v>1</v>
      </c>
      <c r="AL2615" s="1">
        <v>1</v>
      </c>
      <c r="AM2615" s="1">
        <v>1</v>
      </c>
      <c r="AN2615" s="1" t="s">
        <v>109</v>
      </c>
      <c r="AO2615" s="1">
        <v>1</v>
      </c>
      <c r="AP2615" s="1"/>
      <c r="AQ2615" s="1">
        <v>1</v>
      </c>
      <c r="AR2615" s="1"/>
      <c r="AS2615" s="1"/>
      <c r="AT2615" s="1">
        <v>0</v>
      </c>
      <c r="AU2615" s="1">
        <v>0</v>
      </c>
      <c r="AV2615" s="1">
        <v>0</v>
      </c>
      <c r="AW2615" s="1">
        <v>0</v>
      </c>
      <c r="AX2615" s="1">
        <v>0</v>
      </c>
      <c r="AY2615" s="1">
        <v>0</v>
      </c>
      <c r="AZ2615" s="1">
        <v>0</v>
      </c>
      <c r="BA2615" s="1">
        <v>0</v>
      </c>
      <c r="BB2615" s="1">
        <v>0</v>
      </c>
      <c r="BC2615" s="1">
        <v>0</v>
      </c>
      <c r="BD2615" s="1">
        <v>0</v>
      </c>
      <c r="BE2615" s="1">
        <v>0</v>
      </c>
      <c r="BF2615" s="1">
        <v>0</v>
      </c>
      <c r="BG2615" s="1">
        <v>0</v>
      </c>
      <c r="BH2615" s="1">
        <v>0</v>
      </c>
      <c r="BI2615" s="1">
        <v>0</v>
      </c>
      <c r="BJ2615" s="1">
        <v>0</v>
      </c>
      <c r="BK2615" s="1">
        <v>0</v>
      </c>
      <c r="BL2615" s="1">
        <v>0</v>
      </c>
      <c r="BM2615" s="1">
        <v>0</v>
      </c>
      <c r="BN2615" s="1">
        <v>0</v>
      </c>
      <c r="BO2615" s="1">
        <v>0</v>
      </c>
      <c r="BP2615" s="1">
        <v>0</v>
      </c>
      <c r="BQ2615" s="1">
        <v>0</v>
      </c>
      <c r="BR2615" s="1">
        <v>0</v>
      </c>
      <c r="BS2615" s="1" t="s">
        <v>109</v>
      </c>
      <c r="BT2615" s="1">
        <v>2718</v>
      </c>
      <c r="BU2615" s="1" t="s">
        <v>109</v>
      </c>
      <c r="BV2615" s="1"/>
      <c r="BW2615" s="1"/>
      <c r="BX2615" s="1"/>
      <c r="BY2615" s="1"/>
      <c r="BZ2615" s="1">
        <v>0</v>
      </c>
      <c r="CA2615" s="1" t="s">
        <v>109</v>
      </c>
      <c r="CB2615" s="1">
        <v>1</v>
      </c>
      <c r="CC2615" s="1" t="s">
        <v>109</v>
      </c>
      <c r="CD2615" s="1" t="s">
        <v>109</v>
      </c>
      <c r="CE2615" s="1" t="s">
        <v>109</v>
      </c>
      <c r="CF2615" s="1" t="s">
        <v>109</v>
      </c>
      <c r="CG2615" s="1">
        <v>1</v>
      </c>
      <c r="CH2615" s="1" t="s">
        <v>109</v>
      </c>
      <c r="CI2615" s="1" t="s">
        <v>109</v>
      </c>
      <c r="CJ2615" s="1">
        <v>1</v>
      </c>
      <c r="CK2615" s="1"/>
      <c r="CL2615" s="1">
        <v>0</v>
      </c>
      <c r="CM2615" s="1">
        <v>0</v>
      </c>
      <c r="CN2615" s="1">
        <v>0</v>
      </c>
    </row>
    <row r="2616" spans="1:92" ht="14.25" customHeight="1" x14ac:dyDescent="0.15">
      <c r="A2616" s="1" t="s">
        <v>18605</v>
      </c>
      <c r="B2616" s="1" t="s">
        <v>584</v>
      </c>
      <c r="C2616" s="1"/>
      <c r="D2616" s="1" t="s">
        <v>51</v>
      </c>
      <c r="E2616" s="1" t="s">
        <v>18606</v>
      </c>
      <c r="F2616" s="1" t="s">
        <v>98</v>
      </c>
      <c r="G2616" s="1" t="s">
        <v>18607</v>
      </c>
      <c r="H2616" s="1">
        <v>0</v>
      </c>
      <c r="I2616" s="1" t="s">
        <v>122</v>
      </c>
      <c r="J2616" s="1"/>
      <c r="K2616" s="1"/>
      <c r="L2616" s="1" t="s">
        <v>18608</v>
      </c>
      <c r="M2616" s="1" t="s">
        <v>574</v>
      </c>
      <c r="N2616" s="1">
        <v>1</v>
      </c>
      <c r="O2616" s="1">
        <v>0</v>
      </c>
      <c r="P2616" s="1" t="s">
        <v>301</v>
      </c>
      <c r="Q2616" s="1" t="s">
        <v>268</v>
      </c>
      <c r="R2616" s="1" t="s">
        <v>18609</v>
      </c>
      <c r="S2616" s="1" t="s">
        <v>18610</v>
      </c>
      <c r="T2616" s="1" t="s">
        <v>18592</v>
      </c>
      <c r="U2616" s="1" t="s">
        <v>18611</v>
      </c>
      <c r="V2616" s="1">
        <v>1</v>
      </c>
      <c r="W2616" s="1">
        <v>1</v>
      </c>
      <c r="X2616" s="1">
        <v>1</v>
      </c>
      <c r="Y2616" s="1">
        <v>0</v>
      </c>
      <c r="Z2616" s="1">
        <v>1</v>
      </c>
      <c r="AA2616" s="1">
        <v>5</v>
      </c>
      <c r="AB2616" s="1">
        <v>5</v>
      </c>
      <c r="AC2616" s="1">
        <v>5</v>
      </c>
      <c r="AD2616" s="1" t="s">
        <v>109</v>
      </c>
      <c r="AE2616" s="1" t="s">
        <v>109</v>
      </c>
      <c r="AF2616" s="1">
        <v>5</v>
      </c>
      <c r="AG2616" s="1" t="s">
        <v>109</v>
      </c>
      <c r="AH2616" s="1" t="s">
        <v>109</v>
      </c>
      <c r="AI2616" s="1" t="s">
        <v>109</v>
      </c>
      <c r="AJ2616" s="1" t="s">
        <v>109</v>
      </c>
      <c r="AK2616" s="1">
        <v>5</v>
      </c>
      <c r="AL2616" s="1">
        <v>5</v>
      </c>
      <c r="AM2616" s="1">
        <v>4</v>
      </c>
      <c r="AN2616" s="1" t="s">
        <v>109</v>
      </c>
      <c r="AO2616" s="1" t="s">
        <v>109</v>
      </c>
      <c r="AP2616" s="1"/>
      <c r="AQ2616" s="1">
        <v>5</v>
      </c>
      <c r="AR2616" s="1"/>
      <c r="AS2616" s="1"/>
      <c r="AT2616" s="1">
        <v>0</v>
      </c>
      <c r="AU2616" s="1">
        <v>0</v>
      </c>
      <c r="AV2616" s="1">
        <v>0</v>
      </c>
      <c r="AW2616" s="1">
        <v>0</v>
      </c>
      <c r="AX2616" s="1">
        <v>0</v>
      </c>
      <c r="AY2616" s="1">
        <v>1</v>
      </c>
      <c r="AZ2616" s="1">
        <v>0</v>
      </c>
      <c r="BA2616" s="1">
        <v>0</v>
      </c>
      <c r="BB2616" s="1">
        <v>0</v>
      </c>
      <c r="BC2616" s="1">
        <v>0</v>
      </c>
      <c r="BD2616" s="1">
        <v>0</v>
      </c>
      <c r="BE2616" s="1">
        <v>0</v>
      </c>
      <c r="BF2616" s="1">
        <v>0</v>
      </c>
      <c r="BG2616" s="1">
        <v>0</v>
      </c>
      <c r="BH2616" s="1">
        <v>0</v>
      </c>
      <c r="BI2616" s="1">
        <v>0</v>
      </c>
      <c r="BJ2616" s="1">
        <v>0</v>
      </c>
      <c r="BK2616" s="1">
        <v>0</v>
      </c>
      <c r="BL2616" s="1">
        <v>0</v>
      </c>
      <c r="BM2616" s="1">
        <v>0</v>
      </c>
      <c r="BN2616" s="1">
        <v>0</v>
      </c>
      <c r="BO2616" s="1">
        <v>0</v>
      </c>
      <c r="BP2616" s="1">
        <v>0</v>
      </c>
      <c r="BQ2616" s="1">
        <v>0</v>
      </c>
      <c r="BR2616" s="1">
        <v>0</v>
      </c>
      <c r="BS2616" s="1" t="s">
        <v>109</v>
      </c>
      <c r="BT2616" s="1">
        <v>2719</v>
      </c>
      <c r="BU2616" s="1" t="s">
        <v>109</v>
      </c>
      <c r="BV2616" s="1"/>
      <c r="BW2616" s="1"/>
      <c r="BX2616" s="1"/>
      <c r="BY2616" s="1"/>
      <c r="BZ2616" s="1">
        <v>0</v>
      </c>
      <c r="CA2616" s="1" t="s">
        <v>109</v>
      </c>
      <c r="CB2616" s="1">
        <v>5</v>
      </c>
      <c r="CC2616" s="1" t="s">
        <v>109</v>
      </c>
      <c r="CD2616" s="1" t="s">
        <v>109</v>
      </c>
      <c r="CE2616" s="1">
        <v>4</v>
      </c>
      <c r="CF2616" s="1" t="s">
        <v>109</v>
      </c>
      <c r="CG2616" s="1" t="s">
        <v>109</v>
      </c>
      <c r="CH2616" s="1" t="s">
        <v>109</v>
      </c>
      <c r="CI2616" s="1" t="s">
        <v>109</v>
      </c>
      <c r="CJ2616" s="1" t="s">
        <v>109</v>
      </c>
      <c r="CK2616" s="1"/>
      <c r="CL2616" s="1">
        <v>0</v>
      </c>
      <c r="CM2616" s="1">
        <v>0</v>
      </c>
      <c r="CN2616" s="1">
        <v>0</v>
      </c>
    </row>
    <row r="2617" spans="1:92" ht="14.25" customHeight="1" x14ac:dyDescent="0.15">
      <c r="A2617" s="1" t="s">
        <v>18612</v>
      </c>
      <c r="B2617" s="1" t="s">
        <v>189</v>
      </c>
      <c r="C2617" s="1"/>
      <c r="D2617" s="1"/>
      <c r="E2617" s="1" t="s">
        <v>18613</v>
      </c>
      <c r="F2617" s="1" t="s">
        <v>98</v>
      </c>
      <c r="G2617" s="1" t="s">
        <v>18614</v>
      </c>
      <c r="H2617" s="1">
        <v>0</v>
      </c>
      <c r="I2617" s="1" t="s">
        <v>161</v>
      </c>
      <c r="J2617" s="1"/>
      <c r="K2617" s="1"/>
      <c r="L2617" s="1" t="s">
        <v>1285</v>
      </c>
      <c r="M2617" s="1" t="s">
        <v>5642</v>
      </c>
      <c r="N2617" s="1">
        <v>0</v>
      </c>
      <c r="O2617" s="1">
        <v>0</v>
      </c>
      <c r="P2617" s="1" t="s">
        <v>5812</v>
      </c>
      <c r="Q2617" s="1" t="s">
        <v>630</v>
      </c>
      <c r="R2617" s="1" t="s">
        <v>18615</v>
      </c>
      <c r="S2617" s="1" t="s">
        <v>18616</v>
      </c>
      <c r="T2617" s="1" t="s">
        <v>18592</v>
      </c>
      <c r="U2617" s="1" t="s">
        <v>18617</v>
      </c>
      <c r="V2617" s="1">
        <v>1</v>
      </c>
      <c r="W2617" s="1">
        <v>1</v>
      </c>
      <c r="X2617" s="1">
        <v>1</v>
      </c>
      <c r="Y2617" s="1">
        <v>0</v>
      </c>
      <c r="Z2617" s="1">
        <v>0</v>
      </c>
      <c r="AA2617" s="1">
        <v>1</v>
      </c>
      <c r="AB2617" s="1">
        <v>1</v>
      </c>
      <c r="AC2617" s="1">
        <v>1</v>
      </c>
      <c r="AD2617" s="1">
        <v>1</v>
      </c>
      <c r="AE2617" s="1" t="s">
        <v>109</v>
      </c>
      <c r="AF2617" s="1">
        <v>1</v>
      </c>
      <c r="AG2617" s="1" t="s">
        <v>109</v>
      </c>
      <c r="AH2617" s="1">
        <v>1</v>
      </c>
      <c r="AI2617" s="1" t="s">
        <v>109</v>
      </c>
      <c r="AJ2617" s="1">
        <v>1</v>
      </c>
      <c r="AK2617" s="1" t="s">
        <v>109</v>
      </c>
      <c r="AL2617" s="1">
        <v>1</v>
      </c>
      <c r="AM2617" s="1" t="s">
        <v>109</v>
      </c>
      <c r="AN2617" s="1" t="s">
        <v>109</v>
      </c>
      <c r="AO2617" s="1" t="s">
        <v>109</v>
      </c>
      <c r="AP2617" s="1"/>
      <c r="AQ2617" s="1">
        <v>1</v>
      </c>
      <c r="AR2617" s="1"/>
      <c r="AS2617" s="1"/>
      <c r="AT2617" s="1">
        <v>0</v>
      </c>
      <c r="AU2617" s="1">
        <v>0</v>
      </c>
      <c r="AV2617" s="1">
        <v>0</v>
      </c>
      <c r="AW2617" s="1">
        <v>0</v>
      </c>
      <c r="AX2617" s="1">
        <v>0</v>
      </c>
      <c r="AY2617" s="1">
        <v>0</v>
      </c>
      <c r="AZ2617" s="1">
        <v>0</v>
      </c>
      <c r="BA2617" s="1">
        <v>0</v>
      </c>
      <c r="BB2617" s="1">
        <v>0</v>
      </c>
      <c r="BC2617" s="1">
        <v>0</v>
      </c>
      <c r="BD2617" s="1">
        <v>0</v>
      </c>
      <c r="BE2617" s="1">
        <v>0</v>
      </c>
      <c r="BF2617" s="1">
        <v>0</v>
      </c>
      <c r="BG2617" s="1">
        <v>0</v>
      </c>
      <c r="BH2617" s="1">
        <v>0</v>
      </c>
      <c r="BI2617" s="1">
        <v>0</v>
      </c>
      <c r="BJ2617" s="1">
        <v>0</v>
      </c>
      <c r="BK2617" s="1">
        <v>0</v>
      </c>
      <c r="BL2617" s="1">
        <v>0</v>
      </c>
      <c r="BM2617" s="1">
        <v>0</v>
      </c>
      <c r="BN2617" s="1">
        <v>0</v>
      </c>
      <c r="BO2617" s="1">
        <v>0</v>
      </c>
      <c r="BP2617" s="1">
        <v>0</v>
      </c>
      <c r="BQ2617" s="1">
        <v>0</v>
      </c>
      <c r="BR2617" s="1">
        <v>0</v>
      </c>
      <c r="BS2617" s="1" t="s">
        <v>109</v>
      </c>
      <c r="BT2617" s="1">
        <v>2720</v>
      </c>
      <c r="BU2617" s="1" t="s">
        <v>109</v>
      </c>
      <c r="BV2617" s="1"/>
      <c r="BW2617" s="1"/>
      <c r="BX2617" s="1"/>
      <c r="BY2617" s="1"/>
      <c r="BZ2617" s="1">
        <v>0</v>
      </c>
      <c r="CA2617" s="1" t="s">
        <v>109</v>
      </c>
      <c r="CB2617" s="1" t="s">
        <v>109</v>
      </c>
      <c r="CC2617" s="1" t="s">
        <v>109</v>
      </c>
      <c r="CD2617" s="1" t="s">
        <v>109</v>
      </c>
      <c r="CE2617" s="1" t="s">
        <v>109</v>
      </c>
      <c r="CF2617" s="1" t="s">
        <v>109</v>
      </c>
      <c r="CG2617" s="1" t="s">
        <v>109</v>
      </c>
      <c r="CH2617" s="1" t="s">
        <v>109</v>
      </c>
      <c r="CI2617" s="1" t="s">
        <v>109</v>
      </c>
      <c r="CJ2617" s="1">
        <v>1</v>
      </c>
      <c r="CK2617" s="1"/>
      <c r="CL2617" s="1">
        <v>0</v>
      </c>
      <c r="CM2617" s="1">
        <v>0</v>
      </c>
      <c r="CN2617" s="1">
        <v>0</v>
      </c>
    </row>
    <row r="2618" spans="1:92" ht="14.25" customHeight="1" x14ac:dyDescent="0.15">
      <c r="A2618" s="1" t="s">
        <v>18618</v>
      </c>
      <c r="B2618" s="1" t="s">
        <v>242</v>
      </c>
      <c r="C2618" s="1"/>
      <c r="D2618" s="1"/>
      <c r="E2618" s="1" t="s">
        <v>18619</v>
      </c>
      <c r="F2618" s="1" t="s">
        <v>98</v>
      </c>
      <c r="G2618" s="1" t="s">
        <v>141</v>
      </c>
      <c r="H2618" s="1">
        <v>0</v>
      </c>
      <c r="I2618" s="1" t="s">
        <v>235</v>
      </c>
      <c r="J2618" s="1"/>
      <c r="K2618" s="1"/>
      <c r="L2618" s="1" t="s">
        <v>236</v>
      </c>
      <c r="M2618" s="1" t="s">
        <v>3042</v>
      </c>
      <c r="N2618" s="1">
        <v>0</v>
      </c>
      <c r="O2618" s="1">
        <v>0</v>
      </c>
      <c r="P2618" s="1"/>
      <c r="Q2618" s="1"/>
      <c r="R2618" s="1" t="s">
        <v>18620</v>
      </c>
      <c r="S2618" s="1" t="s">
        <v>18621</v>
      </c>
      <c r="T2618" s="1" t="s">
        <v>18592</v>
      </c>
      <c r="U2618" s="1" t="s">
        <v>18622</v>
      </c>
      <c r="V2618" s="1">
        <v>1</v>
      </c>
      <c r="W2618" s="1">
        <v>1</v>
      </c>
      <c r="X2618" s="1">
        <v>0</v>
      </c>
      <c r="Y2618" s="1">
        <v>0</v>
      </c>
      <c r="Z2618" s="1">
        <v>0</v>
      </c>
      <c r="AA2618" s="1" t="s">
        <v>109</v>
      </c>
      <c r="AB2618" s="1" t="s">
        <v>109</v>
      </c>
      <c r="AC2618" s="1">
        <v>3</v>
      </c>
      <c r="AD2618" s="1">
        <v>3</v>
      </c>
      <c r="AE2618" s="1" t="s">
        <v>109</v>
      </c>
      <c r="AF2618" s="1">
        <v>3</v>
      </c>
      <c r="AG2618" s="1" t="s">
        <v>109</v>
      </c>
      <c r="AH2618" s="1" t="s">
        <v>109</v>
      </c>
      <c r="AI2618" s="1" t="s">
        <v>109</v>
      </c>
      <c r="AJ2618" s="1">
        <v>3</v>
      </c>
      <c r="AK2618" s="1" t="s">
        <v>109</v>
      </c>
      <c r="AL2618" s="1">
        <v>3</v>
      </c>
      <c r="AM2618" s="1" t="s">
        <v>109</v>
      </c>
      <c r="AN2618" s="1" t="s">
        <v>109</v>
      </c>
      <c r="AO2618" s="1" t="s">
        <v>109</v>
      </c>
      <c r="AP2618" s="1"/>
      <c r="AQ2618" s="1">
        <v>3</v>
      </c>
      <c r="AR2618" s="1"/>
      <c r="AS2618" s="1"/>
      <c r="AT2618" s="1">
        <v>0</v>
      </c>
      <c r="AU2618" s="1">
        <v>0</v>
      </c>
      <c r="AV2618" s="1">
        <v>0</v>
      </c>
      <c r="AW2618" s="1">
        <v>0</v>
      </c>
      <c r="AX2618" s="1">
        <v>0</v>
      </c>
      <c r="AY2618" s="1">
        <v>0</v>
      </c>
      <c r="AZ2618" s="1">
        <v>0</v>
      </c>
      <c r="BA2618" s="1">
        <v>0</v>
      </c>
      <c r="BB2618" s="1">
        <v>0</v>
      </c>
      <c r="BC2618" s="1">
        <v>0</v>
      </c>
      <c r="BD2618" s="1">
        <v>0</v>
      </c>
      <c r="BE2618" s="1">
        <v>0</v>
      </c>
      <c r="BF2618" s="1">
        <v>0</v>
      </c>
      <c r="BG2618" s="1">
        <v>0</v>
      </c>
      <c r="BH2618" s="1">
        <v>0</v>
      </c>
      <c r="BI2618" s="1">
        <v>0</v>
      </c>
      <c r="BJ2618" s="1">
        <v>0</v>
      </c>
      <c r="BK2618" s="1">
        <v>0</v>
      </c>
      <c r="BL2618" s="1">
        <v>0</v>
      </c>
      <c r="BM2618" s="1">
        <v>0</v>
      </c>
      <c r="BN2618" s="1">
        <v>0</v>
      </c>
      <c r="BO2618" s="1">
        <v>0</v>
      </c>
      <c r="BP2618" s="1">
        <v>0</v>
      </c>
      <c r="BQ2618" s="1">
        <v>0</v>
      </c>
      <c r="BR2618" s="1">
        <v>0</v>
      </c>
      <c r="BS2618" s="1" t="s">
        <v>109</v>
      </c>
      <c r="BT2618" s="1">
        <v>2721</v>
      </c>
      <c r="BU2618" s="1" t="s">
        <v>109</v>
      </c>
      <c r="BV2618" s="1"/>
      <c r="BW2618" s="1"/>
      <c r="BX2618" s="1"/>
      <c r="BY2618" s="1"/>
      <c r="BZ2618" s="1">
        <v>0</v>
      </c>
      <c r="CA2618" s="1" t="s">
        <v>109</v>
      </c>
      <c r="CB2618" s="1">
        <v>3</v>
      </c>
      <c r="CC2618" s="1" t="s">
        <v>109</v>
      </c>
      <c r="CD2618" s="1">
        <v>3</v>
      </c>
      <c r="CE2618" s="1" t="s">
        <v>109</v>
      </c>
      <c r="CF2618" s="1" t="s">
        <v>109</v>
      </c>
      <c r="CG2618" s="1">
        <v>3</v>
      </c>
      <c r="CH2618" s="1" t="s">
        <v>109</v>
      </c>
      <c r="CI2618" s="1" t="s">
        <v>109</v>
      </c>
      <c r="CJ2618" s="1">
        <v>3</v>
      </c>
      <c r="CK2618" s="1"/>
      <c r="CL2618" s="1">
        <v>0</v>
      </c>
      <c r="CM2618" s="1">
        <v>0</v>
      </c>
      <c r="CN2618" s="1">
        <v>0</v>
      </c>
    </row>
    <row r="2619" spans="1:92" ht="14.25" customHeight="1" x14ac:dyDescent="0.15">
      <c r="A2619" s="1" t="s">
        <v>18623</v>
      </c>
      <c r="B2619" s="1" t="s">
        <v>189</v>
      </c>
      <c r="C2619" s="1"/>
      <c r="D2619" s="1"/>
      <c r="E2619" s="1" t="s">
        <v>18624</v>
      </c>
      <c r="F2619" s="1" t="s">
        <v>98</v>
      </c>
      <c r="G2619" s="1" t="s">
        <v>333</v>
      </c>
      <c r="H2619" s="1">
        <v>0</v>
      </c>
      <c r="I2619" s="1" t="s">
        <v>5737</v>
      </c>
      <c r="J2619" s="1"/>
      <c r="K2619" s="1"/>
      <c r="L2619" s="1" t="s">
        <v>18625</v>
      </c>
      <c r="M2619" s="1" t="s">
        <v>144</v>
      </c>
      <c r="N2619" s="1">
        <v>0</v>
      </c>
      <c r="O2619" s="1">
        <v>0</v>
      </c>
      <c r="P2619" s="1" t="s">
        <v>103</v>
      </c>
      <c r="Q2619" s="1" t="s">
        <v>104</v>
      </c>
      <c r="R2619" s="1" t="s">
        <v>18626</v>
      </c>
      <c r="S2619" s="1" t="s">
        <v>18627</v>
      </c>
      <c r="T2619" s="1" t="s">
        <v>18592</v>
      </c>
      <c r="U2619" s="1" t="s">
        <v>18628</v>
      </c>
      <c r="V2619" s="1">
        <v>1</v>
      </c>
      <c r="W2619" s="1">
        <v>0</v>
      </c>
      <c r="X2619" s="1">
        <v>0</v>
      </c>
      <c r="Y2619" s="1">
        <v>0</v>
      </c>
      <c r="Z2619" s="1">
        <v>0</v>
      </c>
      <c r="AA2619" s="1">
        <v>6</v>
      </c>
      <c r="AB2619" s="1">
        <v>6</v>
      </c>
      <c r="AC2619" s="1">
        <v>6</v>
      </c>
      <c r="AD2619" s="1" t="s">
        <v>109</v>
      </c>
      <c r="AE2619" s="1" t="s">
        <v>109</v>
      </c>
      <c r="AF2619" s="1" t="s">
        <v>109</v>
      </c>
      <c r="AG2619" s="1" t="s">
        <v>109</v>
      </c>
      <c r="AH2619" s="1" t="s">
        <v>109</v>
      </c>
      <c r="AI2619" s="1" t="s">
        <v>109</v>
      </c>
      <c r="AJ2619" s="1" t="s">
        <v>109</v>
      </c>
      <c r="AK2619" s="1">
        <v>6</v>
      </c>
      <c r="AL2619" s="1">
        <v>6</v>
      </c>
      <c r="AM2619" s="1" t="s">
        <v>109</v>
      </c>
      <c r="AN2619" s="1" t="s">
        <v>109</v>
      </c>
      <c r="AO2619" s="1" t="s">
        <v>109</v>
      </c>
      <c r="AP2619" s="1"/>
      <c r="AQ2619" s="1">
        <v>6</v>
      </c>
      <c r="AR2619" s="1"/>
      <c r="AS2619" s="1"/>
      <c r="AT2619" s="1">
        <v>0</v>
      </c>
      <c r="AU2619" s="1">
        <v>0</v>
      </c>
      <c r="AV2619" s="1">
        <v>0</v>
      </c>
      <c r="AW2619" s="1">
        <v>0</v>
      </c>
      <c r="AX2619" s="1">
        <v>0</v>
      </c>
      <c r="AY2619" s="1">
        <v>0</v>
      </c>
      <c r="AZ2619" s="1">
        <v>0</v>
      </c>
      <c r="BA2619" s="1">
        <v>0</v>
      </c>
      <c r="BB2619" s="1">
        <v>0</v>
      </c>
      <c r="BC2619" s="1">
        <v>0</v>
      </c>
      <c r="BD2619" s="1">
        <v>0</v>
      </c>
      <c r="BE2619" s="1">
        <v>0</v>
      </c>
      <c r="BF2619" s="1">
        <v>0</v>
      </c>
      <c r="BG2619" s="1">
        <v>0</v>
      </c>
      <c r="BH2619" s="1">
        <v>0</v>
      </c>
      <c r="BI2619" s="1">
        <v>0</v>
      </c>
      <c r="BJ2619" s="1">
        <v>0</v>
      </c>
      <c r="BK2619" s="1">
        <v>0</v>
      </c>
      <c r="BL2619" s="1">
        <v>0</v>
      </c>
      <c r="BM2619" s="1">
        <v>0</v>
      </c>
      <c r="BN2619" s="1">
        <v>0</v>
      </c>
      <c r="BO2619" s="1">
        <v>0</v>
      </c>
      <c r="BP2619" s="1">
        <v>0</v>
      </c>
      <c r="BQ2619" s="1">
        <v>0</v>
      </c>
      <c r="BR2619" s="1">
        <v>0</v>
      </c>
      <c r="BS2619" s="1" t="s">
        <v>109</v>
      </c>
      <c r="BT2619" s="1">
        <v>2722</v>
      </c>
      <c r="BU2619" s="1" t="s">
        <v>109</v>
      </c>
      <c r="BV2619" s="1"/>
      <c r="BW2619" s="1"/>
      <c r="BX2619" s="1"/>
      <c r="BY2619" s="1"/>
      <c r="BZ2619" s="1">
        <v>0</v>
      </c>
      <c r="CA2619" s="1" t="s">
        <v>109</v>
      </c>
      <c r="CB2619" s="1" t="s">
        <v>109</v>
      </c>
      <c r="CC2619" s="1">
        <v>6</v>
      </c>
      <c r="CD2619" s="1" t="s">
        <v>109</v>
      </c>
      <c r="CE2619" s="1">
        <v>6</v>
      </c>
      <c r="CF2619" s="1">
        <v>6</v>
      </c>
      <c r="CG2619" s="1" t="s">
        <v>109</v>
      </c>
      <c r="CH2619" s="1" t="s">
        <v>109</v>
      </c>
      <c r="CI2619" s="1" t="s">
        <v>109</v>
      </c>
      <c r="CJ2619" s="1" t="s">
        <v>109</v>
      </c>
      <c r="CK2619" s="1"/>
      <c r="CL2619" s="1">
        <v>0</v>
      </c>
      <c r="CM2619" s="1">
        <v>0</v>
      </c>
      <c r="CN2619" s="1">
        <v>0</v>
      </c>
    </row>
    <row r="2620" spans="1:92" ht="14.25" customHeight="1" x14ac:dyDescent="0.15">
      <c r="A2620" s="1" t="s">
        <v>18629</v>
      </c>
      <c r="B2620" s="1" t="s">
        <v>189</v>
      </c>
      <c r="C2620" s="1"/>
      <c r="D2620" s="1"/>
      <c r="E2620" s="1" t="s">
        <v>18630</v>
      </c>
      <c r="F2620" s="1" t="s">
        <v>98</v>
      </c>
      <c r="G2620" s="1" t="s">
        <v>18631</v>
      </c>
      <c r="H2620" s="1">
        <v>0</v>
      </c>
      <c r="I2620" s="1" t="s">
        <v>235</v>
      </c>
      <c r="J2620" s="1"/>
      <c r="K2620" s="1"/>
      <c r="L2620" s="1" t="s">
        <v>236</v>
      </c>
      <c r="M2620" s="1" t="s">
        <v>125</v>
      </c>
      <c r="N2620" s="1">
        <v>0</v>
      </c>
      <c r="O2620" s="1">
        <v>0</v>
      </c>
      <c r="P2620" s="1"/>
      <c r="Q2620" s="1"/>
      <c r="R2620" s="1" t="s">
        <v>18632</v>
      </c>
      <c r="S2620" s="1" t="s">
        <v>18633</v>
      </c>
      <c r="T2620" s="1" t="s">
        <v>18592</v>
      </c>
      <c r="U2620" s="1" t="s">
        <v>18634</v>
      </c>
      <c r="V2620" s="1">
        <v>1</v>
      </c>
      <c r="W2620" s="1">
        <v>1</v>
      </c>
      <c r="X2620" s="1">
        <v>0</v>
      </c>
      <c r="Y2620" s="1">
        <v>0</v>
      </c>
      <c r="Z2620" s="1">
        <v>0</v>
      </c>
      <c r="AA2620" s="1">
        <v>1</v>
      </c>
      <c r="AB2620" s="1">
        <v>1</v>
      </c>
      <c r="AC2620" s="1">
        <v>1</v>
      </c>
      <c r="AD2620" s="1">
        <v>1</v>
      </c>
      <c r="AE2620" s="1" t="s">
        <v>109</v>
      </c>
      <c r="AF2620" s="1">
        <v>1</v>
      </c>
      <c r="AG2620" s="1" t="s">
        <v>109</v>
      </c>
      <c r="AH2620" s="1">
        <v>1</v>
      </c>
      <c r="AI2620" s="1" t="s">
        <v>109</v>
      </c>
      <c r="AJ2620" s="1">
        <v>1</v>
      </c>
      <c r="AK2620" s="1" t="s">
        <v>109</v>
      </c>
      <c r="AL2620" s="1">
        <v>1</v>
      </c>
      <c r="AM2620" s="1" t="s">
        <v>109</v>
      </c>
      <c r="AN2620" s="1" t="s">
        <v>109</v>
      </c>
      <c r="AO2620" s="1" t="s">
        <v>109</v>
      </c>
      <c r="AP2620" s="1"/>
      <c r="AQ2620" s="1">
        <v>1</v>
      </c>
      <c r="AR2620" s="1"/>
      <c r="AS2620" s="1"/>
      <c r="AT2620" s="1">
        <v>0</v>
      </c>
      <c r="AU2620" s="1">
        <v>0</v>
      </c>
      <c r="AV2620" s="1">
        <v>0</v>
      </c>
      <c r="AW2620" s="1">
        <v>0</v>
      </c>
      <c r="AX2620" s="1">
        <v>0</v>
      </c>
      <c r="AY2620" s="1">
        <v>0</v>
      </c>
      <c r="AZ2620" s="1">
        <v>0</v>
      </c>
      <c r="BA2620" s="1">
        <v>0</v>
      </c>
      <c r="BB2620" s="1">
        <v>0</v>
      </c>
      <c r="BC2620" s="1">
        <v>0</v>
      </c>
      <c r="BD2620" s="1">
        <v>0</v>
      </c>
      <c r="BE2620" s="1">
        <v>0</v>
      </c>
      <c r="BF2620" s="1">
        <v>0</v>
      </c>
      <c r="BG2620" s="1">
        <v>0</v>
      </c>
      <c r="BH2620" s="1">
        <v>0</v>
      </c>
      <c r="BI2620" s="1">
        <v>0</v>
      </c>
      <c r="BJ2620" s="1">
        <v>0</v>
      </c>
      <c r="BK2620" s="1">
        <v>0</v>
      </c>
      <c r="BL2620" s="1">
        <v>0</v>
      </c>
      <c r="BM2620" s="1">
        <v>0</v>
      </c>
      <c r="BN2620" s="1">
        <v>0</v>
      </c>
      <c r="BO2620" s="1">
        <v>0</v>
      </c>
      <c r="BP2620" s="1">
        <v>0</v>
      </c>
      <c r="BQ2620" s="1">
        <v>0</v>
      </c>
      <c r="BR2620" s="1">
        <v>0</v>
      </c>
      <c r="BS2620" s="1" t="s">
        <v>109</v>
      </c>
      <c r="BT2620" s="1">
        <v>2723</v>
      </c>
      <c r="BU2620" s="1" t="s">
        <v>109</v>
      </c>
      <c r="BV2620" s="1"/>
      <c r="BW2620" s="1"/>
      <c r="BX2620" s="1"/>
      <c r="BY2620" s="1"/>
      <c r="BZ2620" s="1">
        <v>0</v>
      </c>
      <c r="CA2620" s="1" t="s">
        <v>109</v>
      </c>
      <c r="CB2620" s="1">
        <v>1</v>
      </c>
      <c r="CC2620" s="1" t="s">
        <v>109</v>
      </c>
      <c r="CD2620" s="1" t="s">
        <v>109</v>
      </c>
      <c r="CE2620" s="1" t="s">
        <v>109</v>
      </c>
      <c r="CF2620" s="1">
        <v>1</v>
      </c>
      <c r="CG2620" s="1" t="s">
        <v>109</v>
      </c>
      <c r="CH2620" s="1" t="s">
        <v>109</v>
      </c>
      <c r="CI2620" s="1" t="s">
        <v>109</v>
      </c>
      <c r="CJ2620" s="1">
        <v>1</v>
      </c>
      <c r="CK2620" s="1"/>
      <c r="CL2620" s="1">
        <v>0</v>
      </c>
      <c r="CM2620" s="1">
        <v>0</v>
      </c>
      <c r="CN2620" s="1">
        <v>0</v>
      </c>
    </row>
    <row r="2621" spans="1:92" ht="14.25" customHeight="1" x14ac:dyDescent="0.15">
      <c r="A2621" s="1" t="s">
        <v>18635</v>
      </c>
      <c r="B2621" s="1" t="s">
        <v>242</v>
      </c>
      <c r="C2621" s="1"/>
      <c r="D2621" s="1"/>
      <c r="E2621" s="1" t="s">
        <v>18636</v>
      </c>
      <c r="F2621" s="1" t="s">
        <v>98</v>
      </c>
      <c r="G2621" s="1" t="s">
        <v>160</v>
      </c>
      <c r="H2621" s="1">
        <v>0</v>
      </c>
      <c r="I2621" s="1" t="s">
        <v>161</v>
      </c>
      <c r="J2621" s="1"/>
      <c r="K2621" s="1"/>
      <c r="L2621" s="1" t="s">
        <v>506</v>
      </c>
      <c r="M2621" s="1" t="s">
        <v>5642</v>
      </c>
      <c r="N2621" s="1">
        <v>0</v>
      </c>
      <c r="O2621" s="1">
        <v>0</v>
      </c>
      <c r="P2621" s="1" t="s">
        <v>507</v>
      </c>
      <c r="Q2621" s="1" t="s">
        <v>268</v>
      </c>
      <c r="R2621" s="1" t="s">
        <v>18637</v>
      </c>
      <c r="S2621" s="1" t="s">
        <v>18638</v>
      </c>
      <c r="T2621" s="1" t="s">
        <v>18592</v>
      </c>
      <c r="U2621" s="1" t="s">
        <v>18639</v>
      </c>
      <c r="V2621" s="1">
        <v>1</v>
      </c>
      <c r="W2621" s="1">
        <v>1</v>
      </c>
      <c r="X2621" s="1">
        <v>0</v>
      </c>
      <c r="Y2621" s="1">
        <v>0</v>
      </c>
      <c r="Z2621" s="1">
        <v>1</v>
      </c>
      <c r="AA2621" s="1">
        <v>4</v>
      </c>
      <c r="AB2621" s="1">
        <v>4</v>
      </c>
      <c r="AC2621" s="1">
        <v>3</v>
      </c>
      <c r="AD2621" s="1">
        <v>4</v>
      </c>
      <c r="AE2621" s="1" t="s">
        <v>109</v>
      </c>
      <c r="AF2621" s="1" t="s">
        <v>109</v>
      </c>
      <c r="AG2621" s="1" t="s">
        <v>109</v>
      </c>
      <c r="AH2621" s="1" t="s">
        <v>109</v>
      </c>
      <c r="AI2621" s="1" t="s">
        <v>109</v>
      </c>
      <c r="AJ2621" s="1">
        <v>4</v>
      </c>
      <c r="AK2621" s="1">
        <v>3</v>
      </c>
      <c r="AL2621" s="1">
        <v>3</v>
      </c>
      <c r="AM2621" s="1" t="s">
        <v>109</v>
      </c>
      <c r="AN2621" s="1" t="s">
        <v>109</v>
      </c>
      <c r="AO2621" s="1" t="s">
        <v>109</v>
      </c>
      <c r="AP2621" s="1"/>
      <c r="AQ2621" s="1">
        <v>4</v>
      </c>
      <c r="AR2621" s="1"/>
      <c r="AS2621" s="1"/>
      <c r="AT2621" s="1">
        <v>0</v>
      </c>
      <c r="AU2621" s="1">
        <v>0</v>
      </c>
      <c r="AV2621" s="1">
        <v>0</v>
      </c>
      <c r="AW2621" s="1">
        <v>0</v>
      </c>
      <c r="AX2621" s="1">
        <v>0</v>
      </c>
      <c r="AY2621" s="1">
        <v>0</v>
      </c>
      <c r="AZ2621" s="1">
        <v>0</v>
      </c>
      <c r="BA2621" s="1">
        <v>0</v>
      </c>
      <c r="BB2621" s="1">
        <v>0</v>
      </c>
      <c r="BC2621" s="1">
        <v>0</v>
      </c>
      <c r="BD2621" s="1">
        <v>0</v>
      </c>
      <c r="BE2621" s="1">
        <v>0</v>
      </c>
      <c r="BF2621" s="1">
        <v>0</v>
      </c>
      <c r="BG2621" s="1">
        <v>0</v>
      </c>
      <c r="BH2621" s="1">
        <v>0</v>
      </c>
      <c r="BI2621" s="1">
        <v>0</v>
      </c>
      <c r="BJ2621" s="1">
        <v>0</v>
      </c>
      <c r="BK2621" s="1">
        <v>0</v>
      </c>
      <c r="BL2621" s="1">
        <v>0</v>
      </c>
      <c r="BM2621" s="1">
        <v>0</v>
      </c>
      <c r="BN2621" s="1">
        <v>0</v>
      </c>
      <c r="BO2621" s="1">
        <v>0</v>
      </c>
      <c r="BP2621" s="1">
        <v>0</v>
      </c>
      <c r="BQ2621" s="1">
        <v>0</v>
      </c>
      <c r="BR2621" s="1">
        <v>0</v>
      </c>
      <c r="BS2621" s="1" t="s">
        <v>109</v>
      </c>
      <c r="BT2621" s="1">
        <v>2724</v>
      </c>
      <c r="BU2621" s="1" t="s">
        <v>109</v>
      </c>
      <c r="BV2621" s="1"/>
      <c r="BW2621" s="1"/>
      <c r="BX2621" s="1"/>
      <c r="BY2621" s="1"/>
      <c r="BZ2621" s="1">
        <v>0</v>
      </c>
      <c r="CA2621" s="1" t="s">
        <v>109</v>
      </c>
      <c r="CB2621" s="1">
        <v>3</v>
      </c>
      <c r="CC2621" s="1">
        <v>5</v>
      </c>
      <c r="CD2621" s="1" t="s">
        <v>109</v>
      </c>
      <c r="CE2621" s="1" t="s">
        <v>109</v>
      </c>
      <c r="CF2621" s="1" t="s">
        <v>109</v>
      </c>
      <c r="CG2621" s="1">
        <v>2</v>
      </c>
      <c r="CH2621" s="1" t="s">
        <v>109</v>
      </c>
      <c r="CI2621" s="1" t="s">
        <v>109</v>
      </c>
      <c r="CJ2621" s="1">
        <v>4</v>
      </c>
      <c r="CK2621" s="1"/>
      <c r="CL2621" s="1">
        <v>0</v>
      </c>
      <c r="CM2621" s="1">
        <v>0</v>
      </c>
      <c r="CN2621" s="1">
        <v>0</v>
      </c>
    </row>
    <row r="2622" spans="1:92" ht="14.25" customHeight="1" x14ac:dyDescent="0.15">
      <c r="A2622" s="1" t="s">
        <v>18640</v>
      </c>
      <c r="B2622" s="1" t="s">
        <v>254</v>
      </c>
      <c r="C2622" s="1"/>
      <c r="D2622" s="1"/>
      <c r="E2622" s="1" t="s">
        <v>18641</v>
      </c>
      <c r="F2622" s="1" t="s">
        <v>98</v>
      </c>
      <c r="G2622" s="1" t="s">
        <v>18642</v>
      </c>
      <c r="H2622" s="1">
        <v>0</v>
      </c>
      <c r="I2622" s="1" t="s">
        <v>235</v>
      </c>
      <c r="J2622" s="1"/>
      <c r="K2622" s="1"/>
      <c r="L2622" s="1" t="s">
        <v>236</v>
      </c>
      <c r="M2622" s="1" t="s">
        <v>3444</v>
      </c>
      <c r="N2622" s="1">
        <v>0</v>
      </c>
      <c r="O2622" s="1">
        <v>0</v>
      </c>
      <c r="P2622" s="1" t="s">
        <v>103</v>
      </c>
      <c r="Q2622" s="1" t="s">
        <v>104</v>
      </c>
      <c r="R2622" s="1" t="s">
        <v>18643</v>
      </c>
      <c r="S2622" s="1" t="s">
        <v>18644</v>
      </c>
      <c r="T2622" s="1" t="s">
        <v>18592</v>
      </c>
      <c r="U2622" s="1" t="s">
        <v>18645</v>
      </c>
      <c r="V2622" s="1">
        <v>1</v>
      </c>
      <c r="W2622" s="1">
        <v>0</v>
      </c>
      <c r="X2622" s="1">
        <v>0</v>
      </c>
      <c r="Y2622" s="1">
        <v>0</v>
      </c>
      <c r="Z2622" s="1">
        <v>0</v>
      </c>
      <c r="AA2622" s="1" t="s">
        <v>109</v>
      </c>
      <c r="AB2622" s="1" t="s">
        <v>109</v>
      </c>
      <c r="AC2622" s="1">
        <v>1</v>
      </c>
      <c r="AD2622" s="1" t="s">
        <v>109</v>
      </c>
      <c r="AE2622" s="1" t="s">
        <v>109</v>
      </c>
      <c r="AF2622" s="1">
        <v>1</v>
      </c>
      <c r="AG2622" s="1" t="s">
        <v>109</v>
      </c>
      <c r="AH2622" s="1" t="s">
        <v>109</v>
      </c>
      <c r="AI2622" s="1" t="s">
        <v>109</v>
      </c>
      <c r="AJ2622" s="1">
        <v>1</v>
      </c>
      <c r="AK2622" s="1">
        <v>1</v>
      </c>
      <c r="AL2622" s="1">
        <v>1</v>
      </c>
      <c r="AM2622" s="1" t="s">
        <v>109</v>
      </c>
      <c r="AN2622" s="1" t="s">
        <v>109</v>
      </c>
      <c r="AO2622" s="1" t="s">
        <v>109</v>
      </c>
      <c r="AP2622" s="1"/>
      <c r="AQ2622" s="1">
        <v>1</v>
      </c>
      <c r="AR2622" s="1"/>
      <c r="AS2622" s="1"/>
      <c r="AT2622" s="1">
        <v>0</v>
      </c>
      <c r="AU2622" s="1">
        <v>0</v>
      </c>
      <c r="AV2622" s="1">
        <v>0</v>
      </c>
      <c r="AW2622" s="1">
        <v>0</v>
      </c>
      <c r="AX2622" s="1">
        <v>0</v>
      </c>
      <c r="AY2622" s="1">
        <v>0</v>
      </c>
      <c r="AZ2622" s="1">
        <v>0</v>
      </c>
      <c r="BA2622" s="1">
        <v>0</v>
      </c>
      <c r="BB2622" s="1">
        <v>0</v>
      </c>
      <c r="BC2622" s="1">
        <v>0</v>
      </c>
      <c r="BD2622" s="1">
        <v>0</v>
      </c>
      <c r="BE2622" s="1">
        <v>0</v>
      </c>
      <c r="BF2622" s="1">
        <v>0</v>
      </c>
      <c r="BG2622" s="1">
        <v>0</v>
      </c>
      <c r="BH2622" s="1">
        <v>0</v>
      </c>
      <c r="BI2622" s="1">
        <v>0</v>
      </c>
      <c r="BJ2622" s="1">
        <v>0</v>
      </c>
      <c r="BK2622" s="1">
        <v>0</v>
      </c>
      <c r="BL2622" s="1">
        <v>0</v>
      </c>
      <c r="BM2622" s="1">
        <v>0</v>
      </c>
      <c r="BN2622" s="1">
        <v>0</v>
      </c>
      <c r="BO2622" s="1">
        <v>0</v>
      </c>
      <c r="BP2622" s="1">
        <v>0</v>
      </c>
      <c r="BQ2622" s="1">
        <v>0</v>
      </c>
      <c r="BR2622" s="1">
        <v>0</v>
      </c>
      <c r="BS2622" s="1" t="s">
        <v>109</v>
      </c>
      <c r="BT2622" s="1">
        <v>2725</v>
      </c>
      <c r="BU2622" s="1" t="s">
        <v>109</v>
      </c>
      <c r="BV2622" s="1"/>
      <c r="BW2622" s="1"/>
      <c r="BX2622" s="1"/>
      <c r="BY2622" s="1"/>
      <c r="BZ2622" s="1">
        <v>0</v>
      </c>
      <c r="CA2622" s="1" t="s">
        <v>109</v>
      </c>
      <c r="CB2622" s="1" t="s">
        <v>109</v>
      </c>
      <c r="CC2622" s="1" t="s">
        <v>109</v>
      </c>
      <c r="CD2622" s="1" t="s">
        <v>109</v>
      </c>
      <c r="CE2622" s="1" t="s">
        <v>109</v>
      </c>
      <c r="CF2622" s="1">
        <v>1</v>
      </c>
      <c r="CG2622" s="1" t="s">
        <v>109</v>
      </c>
      <c r="CH2622" s="1" t="s">
        <v>109</v>
      </c>
      <c r="CI2622" s="1" t="s">
        <v>109</v>
      </c>
      <c r="CJ2622" s="1" t="s">
        <v>109</v>
      </c>
      <c r="CK2622" s="1"/>
      <c r="CL2622" s="1">
        <v>0</v>
      </c>
      <c r="CM2622" s="1">
        <v>0</v>
      </c>
      <c r="CN2622" s="1">
        <v>0</v>
      </c>
    </row>
    <row r="2623" spans="1:92" ht="14.25" customHeight="1" x14ac:dyDescent="0.15">
      <c r="A2623" s="1" t="s">
        <v>18646</v>
      </c>
      <c r="B2623" s="1" t="s">
        <v>189</v>
      </c>
      <c r="C2623" s="1"/>
      <c r="D2623" s="1"/>
      <c r="E2623" s="1" t="s">
        <v>18647</v>
      </c>
      <c r="F2623" s="1" t="s">
        <v>98</v>
      </c>
      <c r="G2623" s="1" t="s">
        <v>160</v>
      </c>
      <c r="H2623" s="1">
        <v>0</v>
      </c>
      <c r="I2623" s="1" t="s">
        <v>161</v>
      </c>
      <c r="J2623" s="1"/>
      <c r="K2623" s="1"/>
      <c r="L2623" s="1" t="s">
        <v>214</v>
      </c>
      <c r="M2623" s="1" t="s">
        <v>3042</v>
      </c>
      <c r="N2623" s="1">
        <v>0</v>
      </c>
      <c r="O2623" s="1">
        <v>0</v>
      </c>
      <c r="P2623" s="1" t="s">
        <v>215</v>
      </c>
      <c r="Q2623" s="1" t="s">
        <v>216</v>
      </c>
      <c r="R2623" s="1" t="s">
        <v>18648</v>
      </c>
      <c r="S2623" s="1" t="s">
        <v>18649</v>
      </c>
      <c r="T2623" s="1" t="s">
        <v>18592</v>
      </c>
      <c r="U2623" s="1" t="s">
        <v>18650</v>
      </c>
      <c r="V2623" s="1">
        <v>1</v>
      </c>
      <c r="W2623" s="1">
        <v>1</v>
      </c>
      <c r="X2623" s="1">
        <v>0</v>
      </c>
      <c r="Y2623" s="1">
        <v>0</v>
      </c>
      <c r="Z2623" s="1">
        <v>1</v>
      </c>
      <c r="AA2623" s="1" t="s">
        <v>109</v>
      </c>
      <c r="AB2623" s="1" t="s">
        <v>109</v>
      </c>
      <c r="AC2623" s="1">
        <v>1</v>
      </c>
      <c r="AD2623" s="1" t="s">
        <v>109</v>
      </c>
      <c r="AE2623" s="1" t="s">
        <v>109</v>
      </c>
      <c r="AF2623" s="1" t="s">
        <v>109</v>
      </c>
      <c r="AG2623" s="1">
        <v>1</v>
      </c>
      <c r="AH2623" s="1" t="s">
        <v>109</v>
      </c>
      <c r="AI2623" s="1" t="s">
        <v>109</v>
      </c>
      <c r="AJ2623" s="1" t="s">
        <v>109</v>
      </c>
      <c r="AK2623" s="1">
        <v>1</v>
      </c>
      <c r="AL2623" s="1">
        <v>1</v>
      </c>
      <c r="AM2623" s="1" t="s">
        <v>109</v>
      </c>
      <c r="AN2623" s="1" t="s">
        <v>109</v>
      </c>
      <c r="AO2623" s="1" t="s">
        <v>109</v>
      </c>
      <c r="AP2623" s="1"/>
      <c r="AQ2623" s="1">
        <v>1</v>
      </c>
      <c r="AR2623" s="1"/>
      <c r="AS2623" s="1"/>
      <c r="AT2623" s="1">
        <v>0</v>
      </c>
      <c r="AU2623" s="1">
        <v>0</v>
      </c>
      <c r="AV2623" s="1">
        <v>0</v>
      </c>
      <c r="AW2623" s="1">
        <v>0</v>
      </c>
      <c r="AX2623" s="1">
        <v>0</v>
      </c>
      <c r="AY2623" s="1">
        <v>0</v>
      </c>
      <c r="AZ2623" s="1">
        <v>0</v>
      </c>
      <c r="BA2623" s="1">
        <v>0</v>
      </c>
      <c r="BB2623" s="1">
        <v>0</v>
      </c>
      <c r="BC2623" s="1">
        <v>0</v>
      </c>
      <c r="BD2623" s="1">
        <v>0</v>
      </c>
      <c r="BE2623" s="1">
        <v>0</v>
      </c>
      <c r="BF2623" s="1">
        <v>0</v>
      </c>
      <c r="BG2623" s="1">
        <v>0</v>
      </c>
      <c r="BH2623" s="1">
        <v>0</v>
      </c>
      <c r="BI2623" s="1">
        <v>0</v>
      </c>
      <c r="BJ2623" s="1">
        <v>0</v>
      </c>
      <c r="BK2623" s="1">
        <v>0</v>
      </c>
      <c r="BL2623" s="1">
        <v>0</v>
      </c>
      <c r="BM2623" s="1">
        <v>0</v>
      </c>
      <c r="BN2623" s="1">
        <v>0</v>
      </c>
      <c r="BO2623" s="1">
        <v>0</v>
      </c>
      <c r="BP2623" s="1">
        <v>0</v>
      </c>
      <c r="BQ2623" s="1">
        <v>0</v>
      </c>
      <c r="BR2623" s="1">
        <v>0</v>
      </c>
      <c r="BS2623" s="1" t="s">
        <v>109</v>
      </c>
      <c r="BT2623" s="1">
        <v>2726</v>
      </c>
      <c r="BU2623" s="1" t="s">
        <v>109</v>
      </c>
      <c r="BV2623" s="1"/>
      <c r="BW2623" s="1"/>
      <c r="BX2623" s="1"/>
      <c r="BY2623" s="1"/>
      <c r="BZ2623" s="1">
        <v>0</v>
      </c>
      <c r="CA2623" s="1" t="s">
        <v>109</v>
      </c>
      <c r="CB2623" s="1" t="s">
        <v>109</v>
      </c>
      <c r="CC2623" s="1" t="s">
        <v>109</v>
      </c>
      <c r="CD2623" s="1" t="s">
        <v>109</v>
      </c>
      <c r="CE2623" s="1" t="s">
        <v>109</v>
      </c>
      <c r="CF2623" s="1">
        <v>1</v>
      </c>
      <c r="CG2623" s="1" t="s">
        <v>109</v>
      </c>
      <c r="CH2623" s="1" t="s">
        <v>109</v>
      </c>
      <c r="CI2623" s="1" t="s">
        <v>109</v>
      </c>
      <c r="CJ2623" s="1" t="s">
        <v>109</v>
      </c>
      <c r="CK2623" s="1"/>
      <c r="CL2623" s="1">
        <v>0</v>
      </c>
      <c r="CM2623" s="1">
        <v>0</v>
      </c>
      <c r="CN2623" s="1">
        <v>0</v>
      </c>
    </row>
    <row r="2624" spans="1:92" ht="14.25" customHeight="1" x14ac:dyDescent="0.15">
      <c r="A2624" s="1" t="s">
        <v>18651</v>
      </c>
      <c r="B2624" s="1" t="s">
        <v>308</v>
      </c>
      <c r="C2624" s="1"/>
      <c r="D2624" s="1"/>
      <c r="E2624" s="1" t="s">
        <v>18652</v>
      </c>
      <c r="F2624" s="1" t="s">
        <v>98</v>
      </c>
      <c r="G2624" s="1" t="s">
        <v>18653</v>
      </c>
      <c r="H2624" s="1">
        <v>0</v>
      </c>
      <c r="I2624" s="1" t="s">
        <v>142</v>
      </c>
      <c r="J2624" s="1"/>
      <c r="K2624" s="1"/>
      <c r="L2624" s="1" t="s">
        <v>983</v>
      </c>
      <c r="M2624" s="1" t="s">
        <v>574</v>
      </c>
      <c r="N2624" s="1">
        <v>1</v>
      </c>
      <c r="O2624" s="1">
        <v>0</v>
      </c>
      <c r="P2624" s="1" t="s">
        <v>301</v>
      </c>
      <c r="Q2624" s="1" t="s">
        <v>268</v>
      </c>
      <c r="R2624" s="1" t="s">
        <v>18654</v>
      </c>
      <c r="S2624" s="1" t="s">
        <v>18655</v>
      </c>
      <c r="T2624" s="1" t="s">
        <v>18592</v>
      </c>
      <c r="U2624" s="1" t="s">
        <v>18656</v>
      </c>
      <c r="V2624" s="1">
        <v>1</v>
      </c>
      <c r="W2624" s="1">
        <v>1</v>
      </c>
      <c r="X2624" s="1">
        <v>1</v>
      </c>
      <c r="Y2624" s="1">
        <v>0</v>
      </c>
      <c r="Z2624" s="1">
        <v>1</v>
      </c>
      <c r="AA2624" s="1">
        <v>3</v>
      </c>
      <c r="AB2624" s="1">
        <v>3</v>
      </c>
      <c r="AC2624" s="1">
        <v>2</v>
      </c>
      <c r="AD2624" s="1" t="s">
        <v>109</v>
      </c>
      <c r="AE2624" s="1" t="s">
        <v>109</v>
      </c>
      <c r="AF2624" s="1" t="s">
        <v>109</v>
      </c>
      <c r="AG2624" s="1" t="s">
        <v>109</v>
      </c>
      <c r="AH2624" s="1" t="s">
        <v>109</v>
      </c>
      <c r="AI2624" s="1" t="s">
        <v>109</v>
      </c>
      <c r="AJ2624" s="1">
        <v>2</v>
      </c>
      <c r="AK2624" s="1">
        <v>2</v>
      </c>
      <c r="AL2624" s="1">
        <v>2</v>
      </c>
      <c r="AM2624" s="1" t="s">
        <v>109</v>
      </c>
      <c r="AN2624" s="1" t="s">
        <v>109</v>
      </c>
      <c r="AO2624" s="1" t="s">
        <v>109</v>
      </c>
      <c r="AP2624" s="1"/>
      <c r="AQ2624" s="1">
        <v>3</v>
      </c>
      <c r="AR2624" s="1"/>
      <c r="AS2624" s="1"/>
      <c r="AT2624" s="1">
        <v>0</v>
      </c>
      <c r="AU2624" s="1">
        <v>0</v>
      </c>
      <c r="AV2624" s="1">
        <v>0</v>
      </c>
      <c r="AW2624" s="1">
        <v>0</v>
      </c>
      <c r="AX2624" s="1">
        <v>0</v>
      </c>
      <c r="AY2624" s="1">
        <v>0</v>
      </c>
      <c r="AZ2624" s="1">
        <v>0</v>
      </c>
      <c r="BA2624" s="1">
        <v>0</v>
      </c>
      <c r="BB2624" s="1">
        <v>0</v>
      </c>
      <c r="BC2624" s="1">
        <v>0</v>
      </c>
      <c r="BD2624" s="1">
        <v>0</v>
      </c>
      <c r="BE2624" s="1">
        <v>0</v>
      </c>
      <c r="BF2624" s="1">
        <v>0</v>
      </c>
      <c r="BG2624" s="1">
        <v>0</v>
      </c>
      <c r="BH2624" s="1">
        <v>0</v>
      </c>
      <c r="BI2624" s="1">
        <v>0</v>
      </c>
      <c r="BJ2624" s="1">
        <v>0</v>
      </c>
      <c r="BK2624" s="1">
        <v>0</v>
      </c>
      <c r="BL2624" s="1">
        <v>0</v>
      </c>
      <c r="BM2624" s="1">
        <v>0</v>
      </c>
      <c r="BN2624" s="1">
        <v>0</v>
      </c>
      <c r="BO2624" s="1">
        <v>0</v>
      </c>
      <c r="BP2624" s="1">
        <v>0</v>
      </c>
      <c r="BQ2624" s="1">
        <v>0</v>
      </c>
      <c r="BR2624" s="1">
        <v>0</v>
      </c>
      <c r="BS2624" s="1" t="s">
        <v>109</v>
      </c>
      <c r="BT2624" s="1">
        <v>2727</v>
      </c>
      <c r="BU2624" s="1" t="s">
        <v>109</v>
      </c>
      <c r="BV2624" s="1"/>
      <c r="BW2624" s="1"/>
      <c r="BX2624" s="1"/>
      <c r="BY2624" s="1"/>
      <c r="BZ2624" s="1">
        <v>0</v>
      </c>
      <c r="CA2624" s="1" t="s">
        <v>109</v>
      </c>
      <c r="CB2624" s="1">
        <v>2</v>
      </c>
      <c r="CC2624" s="1" t="s">
        <v>109</v>
      </c>
      <c r="CD2624" s="1" t="s">
        <v>109</v>
      </c>
      <c r="CE2624" s="1" t="s">
        <v>109</v>
      </c>
      <c r="CF2624" s="1" t="s">
        <v>109</v>
      </c>
      <c r="CG2624" s="1">
        <v>2</v>
      </c>
      <c r="CH2624" s="1" t="s">
        <v>109</v>
      </c>
      <c r="CI2624" s="1" t="s">
        <v>109</v>
      </c>
      <c r="CJ2624" s="1" t="s">
        <v>109</v>
      </c>
      <c r="CK2624" s="1"/>
      <c r="CL2624" s="1">
        <v>0</v>
      </c>
      <c r="CM2624" s="1">
        <v>0</v>
      </c>
      <c r="CN2624" s="1">
        <v>0</v>
      </c>
    </row>
    <row r="2625" spans="1:92" ht="14.25" customHeight="1" x14ac:dyDescent="0.15">
      <c r="A2625" s="1" t="s">
        <v>18657</v>
      </c>
      <c r="B2625" s="1" t="s">
        <v>308</v>
      </c>
      <c r="C2625" s="1"/>
      <c r="D2625" s="1"/>
      <c r="E2625" s="1" t="s">
        <v>18658</v>
      </c>
      <c r="F2625" s="1" t="s">
        <v>98</v>
      </c>
      <c r="G2625" s="1" t="s">
        <v>18659</v>
      </c>
      <c r="H2625" s="1">
        <v>0</v>
      </c>
      <c r="I2625" s="1" t="s">
        <v>161</v>
      </c>
      <c r="J2625" s="1"/>
      <c r="K2625" s="1"/>
      <c r="L2625" s="1" t="s">
        <v>18660</v>
      </c>
      <c r="M2625" s="1" t="s">
        <v>12951</v>
      </c>
      <c r="N2625" s="1">
        <v>0</v>
      </c>
      <c r="O2625" s="1">
        <v>0</v>
      </c>
      <c r="P2625" s="1" t="s">
        <v>629</v>
      </c>
      <c r="Q2625" s="1" t="s">
        <v>630</v>
      </c>
      <c r="R2625" s="1" t="s">
        <v>18661</v>
      </c>
      <c r="S2625" s="1" t="s">
        <v>18662</v>
      </c>
      <c r="T2625" s="1" t="s">
        <v>18592</v>
      </c>
      <c r="U2625" s="1" t="s">
        <v>18663</v>
      </c>
      <c r="V2625" s="1">
        <v>1</v>
      </c>
      <c r="W2625" s="1">
        <v>1</v>
      </c>
      <c r="X2625" s="1">
        <v>1</v>
      </c>
      <c r="Y2625" s="1">
        <v>0</v>
      </c>
      <c r="Z2625" s="1">
        <v>1</v>
      </c>
      <c r="AA2625" s="1">
        <v>1</v>
      </c>
      <c r="AB2625" s="1">
        <v>1</v>
      </c>
      <c r="AC2625" s="1">
        <v>1</v>
      </c>
      <c r="AD2625" s="1" t="s">
        <v>109</v>
      </c>
      <c r="AE2625" s="1">
        <v>1</v>
      </c>
      <c r="AF2625" s="1" t="s">
        <v>109</v>
      </c>
      <c r="AG2625" s="1" t="s">
        <v>109</v>
      </c>
      <c r="AH2625" s="1" t="s">
        <v>109</v>
      </c>
      <c r="AI2625" s="1" t="s">
        <v>109</v>
      </c>
      <c r="AJ2625" s="1">
        <v>1</v>
      </c>
      <c r="AK2625" s="1" t="s">
        <v>109</v>
      </c>
      <c r="AL2625" s="1">
        <v>1</v>
      </c>
      <c r="AM2625" s="1" t="s">
        <v>109</v>
      </c>
      <c r="AN2625" s="1" t="s">
        <v>109</v>
      </c>
      <c r="AO2625" s="1">
        <v>1</v>
      </c>
      <c r="AP2625" s="1"/>
      <c r="AQ2625" s="1">
        <v>1</v>
      </c>
      <c r="AR2625" s="1"/>
      <c r="AS2625" s="1"/>
      <c r="AT2625" s="1">
        <v>0</v>
      </c>
      <c r="AU2625" s="1">
        <v>0</v>
      </c>
      <c r="AV2625" s="1">
        <v>0</v>
      </c>
      <c r="AW2625" s="1">
        <v>0</v>
      </c>
      <c r="AX2625" s="1">
        <v>0</v>
      </c>
      <c r="AY2625" s="1">
        <v>0</v>
      </c>
      <c r="AZ2625" s="1">
        <v>0</v>
      </c>
      <c r="BA2625" s="1">
        <v>0</v>
      </c>
      <c r="BB2625" s="1">
        <v>0</v>
      </c>
      <c r="BC2625" s="1">
        <v>0</v>
      </c>
      <c r="BD2625" s="1">
        <v>0</v>
      </c>
      <c r="BE2625" s="1">
        <v>0</v>
      </c>
      <c r="BF2625" s="1">
        <v>0</v>
      </c>
      <c r="BG2625" s="1">
        <v>0</v>
      </c>
      <c r="BH2625" s="1">
        <v>0</v>
      </c>
      <c r="BI2625" s="1">
        <v>0</v>
      </c>
      <c r="BJ2625" s="1">
        <v>0</v>
      </c>
      <c r="BK2625" s="1">
        <v>0</v>
      </c>
      <c r="BL2625" s="1">
        <v>0</v>
      </c>
      <c r="BM2625" s="1">
        <v>0</v>
      </c>
      <c r="BN2625" s="1">
        <v>0</v>
      </c>
      <c r="BO2625" s="1">
        <v>0</v>
      </c>
      <c r="BP2625" s="1">
        <v>0</v>
      </c>
      <c r="BQ2625" s="1">
        <v>0</v>
      </c>
      <c r="BR2625" s="1">
        <v>0</v>
      </c>
      <c r="BS2625" s="1" t="s">
        <v>109</v>
      </c>
      <c r="BT2625" s="1">
        <v>2728</v>
      </c>
      <c r="BU2625" s="1" t="s">
        <v>109</v>
      </c>
      <c r="BV2625" s="1"/>
      <c r="BW2625" s="1"/>
      <c r="BX2625" s="1"/>
      <c r="BY2625" s="1"/>
      <c r="BZ2625" s="1">
        <v>0</v>
      </c>
      <c r="CA2625" s="1" t="s">
        <v>109</v>
      </c>
      <c r="CB2625" s="1">
        <v>1</v>
      </c>
      <c r="CC2625" s="1" t="s">
        <v>109</v>
      </c>
      <c r="CD2625" s="1">
        <v>1</v>
      </c>
      <c r="CE2625" s="1" t="s">
        <v>109</v>
      </c>
      <c r="CF2625" s="1">
        <v>1</v>
      </c>
      <c r="CG2625" s="1">
        <v>1</v>
      </c>
      <c r="CH2625" s="1" t="s">
        <v>109</v>
      </c>
      <c r="CI2625" s="1" t="s">
        <v>109</v>
      </c>
      <c r="CJ2625" s="1">
        <v>1</v>
      </c>
      <c r="CK2625" s="1"/>
      <c r="CL2625" s="1">
        <v>0</v>
      </c>
      <c r="CM2625" s="1">
        <v>0</v>
      </c>
      <c r="CN2625" s="1">
        <v>0</v>
      </c>
    </row>
    <row r="2626" spans="1:92" ht="14.25" customHeight="1" x14ac:dyDescent="0.15">
      <c r="A2626" s="1" t="s">
        <v>18664</v>
      </c>
      <c r="B2626" s="1" t="s">
        <v>95</v>
      </c>
      <c r="C2626" s="1" t="s">
        <v>1522</v>
      </c>
      <c r="D2626" s="1"/>
      <c r="E2626" s="1" t="s">
        <v>4221</v>
      </c>
      <c r="F2626" s="1" t="s">
        <v>98</v>
      </c>
      <c r="G2626" s="1" t="s">
        <v>141</v>
      </c>
      <c r="H2626" s="1">
        <v>0</v>
      </c>
      <c r="I2626" s="1" t="s">
        <v>100</v>
      </c>
      <c r="J2626" s="1"/>
      <c r="K2626" s="1"/>
      <c r="L2626" s="1" t="s">
        <v>18665</v>
      </c>
      <c r="M2626" s="1" t="s">
        <v>144</v>
      </c>
      <c r="N2626" s="1">
        <v>0</v>
      </c>
      <c r="O2626" s="1">
        <v>0</v>
      </c>
      <c r="P2626" s="1" t="s">
        <v>629</v>
      </c>
      <c r="Q2626" s="1" t="s">
        <v>630</v>
      </c>
      <c r="R2626" s="1" t="s">
        <v>18666</v>
      </c>
      <c r="S2626" s="1" t="s">
        <v>18667</v>
      </c>
      <c r="T2626" s="1" t="s">
        <v>18592</v>
      </c>
      <c r="U2626" s="1" t="s">
        <v>18668</v>
      </c>
      <c r="V2626" s="1">
        <v>1</v>
      </c>
      <c r="W2626" s="1">
        <v>1</v>
      </c>
      <c r="X2626" s="1">
        <v>0</v>
      </c>
      <c r="Y2626" s="1">
        <v>0</v>
      </c>
      <c r="Z2626" s="1">
        <v>0</v>
      </c>
      <c r="AA2626" s="1" t="s">
        <v>109</v>
      </c>
      <c r="AB2626" s="1" t="s">
        <v>109</v>
      </c>
      <c r="AC2626" s="1">
        <v>3</v>
      </c>
      <c r="AD2626" s="1" t="s">
        <v>109</v>
      </c>
      <c r="AE2626" s="1" t="s">
        <v>109</v>
      </c>
      <c r="AF2626" s="1" t="s">
        <v>109</v>
      </c>
      <c r="AG2626" s="1" t="s">
        <v>109</v>
      </c>
      <c r="AH2626" s="1" t="s">
        <v>109</v>
      </c>
      <c r="AI2626" s="1" t="s">
        <v>109</v>
      </c>
      <c r="AJ2626" s="1" t="s">
        <v>109</v>
      </c>
      <c r="AK2626" s="1">
        <v>3</v>
      </c>
      <c r="AL2626" s="1">
        <v>3</v>
      </c>
      <c r="AM2626" s="1" t="s">
        <v>109</v>
      </c>
      <c r="AN2626" s="1" t="s">
        <v>109</v>
      </c>
      <c r="AO2626" s="1" t="s">
        <v>109</v>
      </c>
      <c r="AP2626" s="1"/>
      <c r="AQ2626" s="1">
        <v>3</v>
      </c>
      <c r="AR2626" s="1"/>
      <c r="AS2626" s="1"/>
      <c r="AT2626" s="1">
        <v>0</v>
      </c>
      <c r="AU2626" s="1">
        <v>0</v>
      </c>
      <c r="AV2626" s="1">
        <v>0</v>
      </c>
      <c r="AW2626" s="1">
        <v>0</v>
      </c>
      <c r="AX2626" s="1">
        <v>0</v>
      </c>
      <c r="AY2626" s="1">
        <v>0</v>
      </c>
      <c r="AZ2626" s="1">
        <v>0</v>
      </c>
      <c r="BA2626" s="1">
        <v>0</v>
      </c>
      <c r="BB2626" s="1">
        <v>0</v>
      </c>
      <c r="BC2626" s="1">
        <v>0</v>
      </c>
      <c r="BD2626" s="1">
        <v>0</v>
      </c>
      <c r="BE2626" s="1">
        <v>0</v>
      </c>
      <c r="BF2626" s="1">
        <v>0</v>
      </c>
      <c r="BG2626" s="1">
        <v>0</v>
      </c>
      <c r="BH2626" s="1">
        <v>0</v>
      </c>
      <c r="BI2626" s="1">
        <v>0</v>
      </c>
      <c r="BJ2626" s="1">
        <v>0</v>
      </c>
      <c r="BK2626" s="1">
        <v>0</v>
      </c>
      <c r="BL2626" s="1">
        <v>0</v>
      </c>
      <c r="BM2626" s="1">
        <v>0</v>
      </c>
      <c r="BN2626" s="1">
        <v>0</v>
      </c>
      <c r="BO2626" s="1">
        <v>0</v>
      </c>
      <c r="BP2626" s="1">
        <v>0</v>
      </c>
      <c r="BQ2626" s="1">
        <v>0</v>
      </c>
      <c r="BR2626" s="1">
        <v>0</v>
      </c>
      <c r="BS2626" s="1" t="s">
        <v>109</v>
      </c>
      <c r="BT2626" s="1">
        <v>2729</v>
      </c>
      <c r="BU2626" s="1" t="s">
        <v>109</v>
      </c>
      <c r="BV2626" s="1"/>
      <c r="BW2626" s="1"/>
      <c r="BX2626" s="1"/>
      <c r="BY2626" s="1"/>
      <c r="BZ2626" s="1">
        <v>0</v>
      </c>
      <c r="CA2626" s="1" t="s">
        <v>109</v>
      </c>
      <c r="CB2626" s="1" t="s">
        <v>109</v>
      </c>
      <c r="CC2626" s="1" t="s">
        <v>109</v>
      </c>
      <c r="CD2626" s="1" t="s">
        <v>109</v>
      </c>
      <c r="CE2626" s="1" t="s">
        <v>109</v>
      </c>
      <c r="CF2626" s="1" t="s">
        <v>109</v>
      </c>
      <c r="CG2626" s="1" t="s">
        <v>109</v>
      </c>
      <c r="CH2626" s="1" t="s">
        <v>109</v>
      </c>
      <c r="CI2626" s="1" t="s">
        <v>109</v>
      </c>
      <c r="CJ2626" s="1" t="s">
        <v>109</v>
      </c>
      <c r="CK2626" s="1"/>
      <c r="CL2626" s="1">
        <v>0</v>
      </c>
      <c r="CM2626" s="1">
        <v>0</v>
      </c>
      <c r="CN2626" s="1">
        <v>0</v>
      </c>
    </row>
    <row r="2627" spans="1:92" ht="14.25" customHeight="1" x14ac:dyDescent="0.15">
      <c r="A2627" s="1" t="s">
        <v>18669</v>
      </c>
      <c r="B2627" s="1" t="s">
        <v>95</v>
      </c>
      <c r="C2627" s="1" t="s">
        <v>1522</v>
      </c>
      <c r="D2627" s="1"/>
      <c r="E2627" s="1" t="s">
        <v>213</v>
      </c>
      <c r="F2627" s="1" t="s">
        <v>98</v>
      </c>
      <c r="G2627" s="1" t="s">
        <v>141</v>
      </c>
      <c r="H2627" s="1">
        <v>0</v>
      </c>
      <c r="I2627" s="1" t="s">
        <v>100</v>
      </c>
      <c r="J2627" s="1"/>
      <c r="K2627" s="1"/>
      <c r="L2627" s="1" t="s">
        <v>18665</v>
      </c>
      <c r="M2627" s="1" t="s">
        <v>144</v>
      </c>
      <c r="N2627" s="1">
        <v>0</v>
      </c>
      <c r="O2627" s="1">
        <v>0</v>
      </c>
      <c r="P2627" s="1" t="s">
        <v>629</v>
      </c>
      <c r="Q2627" s="1" t="s">
        <v>630</v>
      </c>
      <c r="R2627" s="1" t="s">
        <v>18670</v>
      </c>
      <c r="S2627" s="1" t="s">
        <v>18671</v>
      </c>
      <c r="T2627" s="1" t="s">
        <v>18592</v>
      </c>
      <c r="U2627" s="1" t="s">
        <v>18672</v>
      </c>
      <c r="V2627" s="1">
        <v>1</v>
      </c>
      <c r="W2627" s="1">
        <v>1</v>
      </c>
      <c r="X2627" s="1">
        <v>0</v>
      </c>
      <c r="Y2627" s="1">
        <v>0</v>
      </c>
      <c r="Z2627" s="1">
        <v>0</v>
      </c>
      <c r="AA2627" s="1" t="s">
        <v>109</v>
      </c>
      <c r="AB2627" s="1" t="s">
        <v>109</v>
      </c>
      <c r="AC2627" s="1">
        <v>2</v>
      </c>
      <c r="AD2627" s="1" t="s">
        <v>109</v>
      </c>
      <c r="AE2627" s="1" t="s">
        <v>109</v>
      </c>
      <c r="AF2627" s="1" t="s">
        <v>109</v>
      </c>
      <c r="AG2627" s="1" t="s">
        <v>109</v>
      </c>
      <c r="AH2627" s="1" t="s">
        <v>109</v>
      </c>
      <c r="AI2627" s="1" t="s">
        <v>109</v>
      </c>
      <c r="AJ2627" s="1" t="s">
        <v>109</v>
      </c>
      <c r="AK2627" s="1">
        <v>2</v>
      </c>
      <c r="AL2627" s="1">
        <v>2</v>
      </c>
      <c r="AM2627" s="1" t="s">
        <v>109</v>
      </c>
      <c r="AN2627" s="1" t="s">
        <v>109</v>
      </c>
      <c r="AO2627" s="1" t="s">
        <v>109</v>
      </c>
      <c r="AP2627" s="1"/>
      <c r="AQ2627" s="1">
        <v>2</v>
      </c>
      <c r="AR2627" s="1"/>
      <c r="AS2627" s="1"/>
      <c r="AT2627" s="1">
        <v>0</v>
      </c>
      <c r="AU2627" s="1">
        <v>0</v>
      </c>
      <c r="AV2627" s="1">
        <v>0</v>
      </c>
      <c r="AW2627" s="1">
        <v>0</v>
      </c>
      <c r="AX2627" s="1">
        <v>0</v>
      </c>
      <c r="AY2627" s="1">
        <v>0</v>
      </c>
      <c r="AZ2627" s="1">
        <v>0</v>
      </c>
      <c r="BA2627" s="1">
        <v>0</v>
      </c>
      <c r="BB2627" s="1">
        <v>0</v>
      </c>
      <c r="BC2627" s="1">
        <v>0</v>
      </c>
      <c r="BD2627" s="1">
        <v>0</v>
      </c>
      <c r="BE2627" s="1">
        <v>0</v>
      </c>
      <c r="BF2627" s="1">
        <v>0</v>
      </c>
      <c r="BG2627" s="1">
        <v>0</v>
      </c>
      <c r="BH2627" s="1">
        <v>0</v>
      </c>
      <c r="BI2627" s="1">
        <v>0</v>
      </c>
      <c r="BJ2627" s="1">
        <v>0</v>
      </c>
      <c r="BK2627" s="1">
        <v>0</v>
      </c>
      <c r="BL2627" s="1">
        <v>0</v>
      </c>
      <c r="BM2627" s="1">
        <v>0</v>
      </c>
      <c r="BN2627" s="1">
        <v>0</v>
      </c>
      <c r="BO2627" s="1">
        <v>0</v>
      </c>
      <c r="BP2627" s="1">
        <v>0</v>
      </c>
      <c r="BQ2627" s="1">
        <v>0</v>
      </c>
      <c r="BR2627" s="1">
        <v>0</v>
      </c>
      <c r="BS2627" s="1" t="s">
        <v>109</v>
      </c>
      <c r="BT2627" s="1">
        <v>2730</v>
      </c>
      <c r="BU2627" s="1" t="s">
        <v>109</v>
      </c>
      <c r="BV2627" s="1"/>
      <c r="BW2627" s="1"/>
      <c r="BX2627" s="1"/>
      <c r="BY2627" s="1"/>
      <c r="BZ2627" s="1">
        <v>0</v>
      </c>
      <c r="CA2627" s="1" t="s">
        <v>109</v>
      </c>
      <c r="CB2627" s="1" t="s">
        <v>109</v>
      </c>
      <c r="CC2627" s="1" t="s">
        <v>109</v>
      </c>
      <c r="CD2627" s="1" t="s">
        <v>109</v>
      </c>
      <c r="CE2627" s="1" t="s">
        <v>109</v>
      </c>
      <c r="CF2627" s="1" t="s">
        <v>109</v>
      </c>
      <c r="CG2627" s="1" t="s">
        <v>109</v>
      </c>
      <c r="CH2627" s="1" t="s">
        <v>109</v>
      </c>
      <c r="CI2627" s="1" t="s">
        <v>109</v>
      </c>
      <c r="CJ2627" s="1" t="s">
        <v>109</v>
      </c>
      <c r="CK2627" s="1"/>
      <c r="CL2627" s="1">
        <v>0</v>
      </c>
      <c r="CM2627" s="1">
        <v>0</v>
      </c>
      <c r="CN2627" s="1">
        <v>0</v>
      </c>
    </row>
    <row r="2628" spans="1:92" ht="14.25" customHeight="1" x14ac:dyDescent="0.15">
      <c r="A2628" s="1" t="s">
        <v>18673</v>
      </c>
      <c r="B2628" s="1" t="s">
        <v>584</v>
      </c>
      <c r="C2628" s="1"/>
      <c r="D2628" s="1"/>
      <c r="E2628" s="1" t="s">
        <v>18674</v>
      </c>
      <c r="F2628" s="1" t="s">
        <v>98</v>
      </c>
      <c r="G2628" s="1" t="s">
        <v>333</v>
      </c>
      <c r="H2628" s="1">
        <v>0</v>
      </c>
      <c r="I2628" s="1" t="s">
        <v>100</v>
      </c>
      <c r="J2628" s="1"/>
      <c r="K2628" s="1"/>
      <c r="L2628" s="1" t="s">
        <v>1391</v>
      </c>
      <c r="M2628" s="1" t="s">
        <v>144</v>
      </c>
      <c r="N2628" s="1">
        <v>0</v>
      </c>
      <c r="O2628" s="1">
        <v>0</v>
      </c>
      <c r="P2628" s="1" t="s">
        <v>380</v>
      </c>
      <c r="Q2628" s="1" t="s">
        <v>268</v>
      </c>
      <c r="R2628" s="1" t="s">
        <v>18675</v>
      </c>
      <c r="S2628" s="1" t="s">
        <v>18676</v>
      </c>
      <c r="T2628" s="1" t="s">
        <v>18592</v>
      </c>
      <c r="U2628" s="1" t="s">
        <v>18677</v>
      </c>
      <c r="V2628" s="1">
        <v>1</v>
      </c>
      <c r="W2628" s="1">
        <v>0</v>
      </c>
      <c r="X2628" s="1">
        <v>0</v>
      </c>
      <c r="Y2628" s="1">
        <v>0</v>
      </c>
      <c r="Z2628" s="1">
        <v>0</v>
      </c>
      <c r="AA2628" s="1" t="s">
        <v>109</v>
      </c>
      <c r="AB2628" s="1" t="s">
        <v>109</v>
      </c>
      <c r="AC2628" s="1">
        <v>6</v>
      </c>
      <c r="AD2628" s="1" t="s">
        <v>109</v>
      </c>
      <c r="AE2628" s="1" t="s">
        <v>109</v>
      </c>
      <c r="AF2628" s="1" t="s">
        <v>109</v>
      </c>
      <c r="AG2628" s="1" t="s">
        <v>109</v>
      </c>
      <c r="AH2628" s="1" t="s">
        <v>109</v>
      </c>
      <c r="AI2628" s="1" t="s">
        <v>109</v>
      </c>
      <c r="AJ2628" s="1">
        <v>6</v>
      </c>
      <c r="AK2628" s="1" t="s">
        <v>109</v>
      </c>
      <c r="AL2628" s="1">
        <v>6</v>
      </c>
      <c r="AM2628" s="1" t="s">
        <v>109</v>
      </c>
      <c r="AN2628" s="1" t="s">
        <v>109</v>
      </c>
      <c r="AO2628" s="1" t="s">
        <v>109</v>
      </c>
      <c r="AP2628" s="1"/>
      <c r="AQ2628" s="1">
        <v>6</v>
      </c>
      <c r="AR2628" s="1"/>
      <c r="AS2628" s="1"/>
      <c r="AT2628" s="1">
        <v>0</v>
      </c>
      <c r="AU2628" s="1">
        <v>0</v>
      </c>
      <c r="AV2628" s="1">
        <v>0</v>
      </c>
      <c r="AW2628" s="1">
        <v>0</v>
      </c>
      <c r="AX2628" s="1">
        <v>0</v>
      </c>
      <c r="AY2628" s="1">
        <v>0</v>
      </c>
      <c r="AZ2628" s="1">
        <v>0</v>
      </c>
      <c r="BA2628" s="1">
        <v>0</v>
      </c>
      <c r="BB2628" s="1">
        <v>0</v>
      </c>
      <c r="BC2628" s="1">
        <v>0</v>
      </c>
      <c r="BD2628" s="1">
        <v>0</v>
      </c>
      <c r="BE2628" s="1">
        <v>0</v>
      </c>
      <c r="BF2628" s="1">
        <v>0</v>
      </c>
      <c r="BG2628" s="1">
        <v>0</v>
      </c>
      <c r="BH2628" s="1">
        <v>0</v>
      </c>
      <c r="BI2628" s="1">
        <v>0</v>
      </c>
      <c r="BJ2628" s="1">
        <v>0</v>
      </c>
      <c r="BK2628" s="1">
        <v>0</v>
      </c>
      <c r="BL2628" s="1">
        <v>0</v>
      </c>
      <c r="BM2628" s="1">
        <v>0</v>
      </c>
      <c r="BN2628" s="1">
        <v>0</v>
      </c>
      <c r="BO2628" s="1">
        <v>0</v>
      </c>
      <c r="BP2628" s="1">
        <v>0</v>
      </c>
      <c r="BQ2628" s="1">
        <v>0</v>
      </c>
      <c r="BR2628" s="1">
        <v>0</v>
      </c>
      <c r="BS2628" s="1" t="s">
        <v>109</v>
      </c>
      <c r="BT2628" s="1">
        <v>2731</v>
      </c>
      <c r="BU2628" s="1" t="s">
        <v>109</v>
      </c>
      <c r="BV2628" s="1"/>
      <c r="BW2628" s="1"/>
      <c r="BX2628" s="1"/>
      <c r="BY2628" s="1"/>
      <c r="BZ2628" s="1">
        <v>0</v>
      </c>
      <c r="CA2628" s="1" t="s">
        <v>109</v>
      </c>
      <c r="CB2628" s="1">
        <v>6</v>
      </c>
      <c r="CC2628" s="1">
        <v>6</v>
      </c>
      <c r="CD2628" s="1" t="s">
        <v>109</v>
      </c>
      <c r="CE2628" s="1" t="s">
        <v>109</v>
      </c>
      <c r="CF2628" s="1">
        <v>6</v>
      </c>
      <c r="CG2628" s="1" t="s">
        <v>109</v>
      </c>
      <c r="CH2628" s="1" t="s">
        <v>109</v>
      </c>
      <c r="CI2628" s="1" t="s">
        <v>109</v>
      </c>
      <c r="CJ2628" s="1" t="s">
        <v>109</v>
      </c>
      <c r="CK2628" s="1"/>
      <c r="CL2628" s="1">
        <v>0</v>
      </c>
      <c r="CM2628" s="1">
        <v>0</v>
      </c>
      <c r="CN2628" s="1">
        <v>0</v>
      </c>
    </row>
    <row r="2629" spans="1:92" ht="14.25" customHeight="1" x14ac:dyDescent="0.15">
      <c r="A2629" s="1" t="s">
        <v>18678</v>
      </c>
      <c r="B2629" s="1" t="s">
        <v>254</v>
      </c>
      <c r="C2629" s="1"/>
      <c r="D2629" s="1" t="s">
        <v>158</v>
      </c>
      <c r="E2629" s="1" t="s">
        <v>18679</v>
      </c>
      <c r="F2629" s="1" t="s">
        <v>98</v>
      </c>
      <c r="G2629" s="1" t="s">
        <v>18680</v>
      </c>
      <c r="H2629" s="1">
        <v>0</v>
      </c>
      <c r="I2629" s="1" t="s">
        <v>13854</v>
      </c>
      <c r="J2629" s="1"/>
      <c r="K2629" s="1"/>
      <c r="L2629" s="1" t="s">
        <v>18681</v>
      </c>
      <c r="M2629" s="1" t="s">
        <v>7223</v>
      </c>
      <c r="N2629" s="1">
        <v>0</v>
      </c>
      <c r="O2629" s="1">
        <v>0</v>
      </c>
      <c r="P2629" s="1" t="s">
        <v>564</v>
      </c>
      <c r="Q2629" s="1" t="s">
        <v>104</v>
      </c>
      <c r="R2629" s="1" t="s">
        <v>18682</v>
      </c>
      <c r="S2629" s="1" t="s">
        <v>18683</v>
      </c>
      <c r="T2629" s="1" t="s">
        <v>18592</v>
      </c>
      <c r="U2629" s="1" t="s">
        <v>18684</v>
      </c>
      <c r="V2629" s="1">
        <v>1</v>
      </c>
      <c r="W2629" s="1">
        <v>1</v>
      </c>
      <c r="X2629" s="1">
        <v>1</v>
      </c>
      <c r="Y2629" s="1">
        <v>0</v>
      </c>
      <c r="Z2629" s="1">
        <v>0</v>
      </c>
      <c r="AA2629" s="1">
        <v>4</v>
      </c>
      <c r="AB2629" s="1">
        <v>4</v>
      </c>
      <c r="AC2629" s="1" t="s">
        <v>109</v>
      </c>
      <c r="AD2629" s="1" t="s">
        <v>109</v>
      </c>
      <c r="AE2629" s="1" t="s">
        <v>109</v>
      </c>
      <c r="AF2629" s="1">
        <v>4</v>
      </c>
      <c r="AG2629" s="1" t="s">
        <v>109</v>
      </c>
      <c r="AH2629" s="1">
        <v>4</v>
      </c>
      <c r="AI2629" s="1" t="s">
        <v>109</v>
      </c>
      <c r="AJ2629" s="1">
        <v>4</v>
      </c>
      <c r="AK2629" s="1">
        <v>4</v>
      </c>
      <c r="AL2629" s="1" t="s">
        <v>109</v>
      </c>
      <c r="AM2629" s="1">
        <v>4</v>
      </c>
      <c r="AN2629" s="1" t="s">
        <v>109</v>
      </c>
      <c r="AO2629" s="1" t="s">
        <v>109</v>
      </c>
      <c r="AP2629" s="1"/>
      <c r="AQ2629" s="1">
        <v>4</v>
      </c>
      <c r="AR2629" s="1"/>
      <c r="AS2629" s="1"/>
      <c r="AT2629" s="1">
        <v>0</v>
      </c>
      <c r="AU2629" s="1">
        <v>0</v>
      </c>
      <c r="AV2629" s="1">
        <v>0</v>
      </c>
      <c r="AW2629" s="1">
        <v>0</v>
      </c>
      <c r="AX2629" s="1">
        <v>0</v>
      </c>
      <c r="AY2629" s="1">
        <v>0</v>
      </c>
      <c r="AZ2629" s="1">
        <v>0</v>
      </c>
      <c r="BA2629" s="1">
        <v>0</v>
      </c>
      <c r="BB2629" s="1">
        <v>0</v>
      </c>
      <c r="BC2629" s="1">
        <v>0</v>
      </c>
      <c r="BD2629" s="1">
        <v>0</v>
      </c>
      <c r="BE2629" s="1">
        <v>0</v>
      </c>
      <c r="BF2629" s="1">
        <v>0</v>
      </c>
      <c r="BG2629" s="1">
        <v>0</v>
      </c>
      <c r="BH2629" s="1">
        <v>0</v>
      </c>
      <c r="BI2629" s="1">
        <v>0</v>
      </c>
      <c r="BJ2629" s="1">
        <v>0</v>
      </c>
      <c r="BK2629" s="1">
        <v>0</v>
      </c>
      <c r="BL2629" s="1">
        <v>0</v>
      </c>
      <c r="BM2629" s="1">
        <v>1</v>
      </c>
      <c r="BN2629" s="1">
        <v>0</v>
      </c>
      <c r="BO2629" s="1">
        <v>0</v>
      </c>
      <c r="BP2629" s="1">
        <v>0</v>
      </c>
      <c r="BQ2629" s="1">
        <v>0</v>
      </c>
      <c r="BR2629" s="1">
        <v>0</v>
      </c>
      <c r="BS2629" s="1" t="s">
        <v>109</v>
      </c>
      <c r="BT2629" s="1">
        <v>2732</v>
      </c>
      <c r="BU2629" s="1" t="s">
        <v>109</v>
      </c>
      <c r="BV2629" s="1"/>
      <c r="BW2629" s="1"/>
      <c r="BX2629" s="1"/>
      <c r="BY2629" s="1"/>
      <c r="BZ2629" s="1">
        <v>0</v>
      </c>
      <c r="CA2629" s="1" t="s">
        <v>109</v>
      </c>
      <c r="CB2629" s="1" t="s">
        <v>109</v>
      </c>
      <c r="CC2629" s="1">
        <v>4</v>
      </c>
      <c r="CD2629" s="1" t="s">
        <v>109</v>
      </c>
      <c r="CE2629" s="1">
        <v>4</v>
      </c>
      <c r="CF2629" s="1" t="s">
        <v>109</v>
      </c>
      <c r="CG2629" s="1" t="s">
        <v>109</v>
      </c>
      <c r="CH2629" s="1" t="s">
        <v>109</v>
      </c>
      <c r="CI2629" s="1" t="s">
        <v>109</v>
      </c>
      <c r="CJ2629" s="1" t="s">
        <v>109</v>
      </c>
      <c r="CK2629" s="1"/>
      <c r="CL2629" s="1">
        <v>0</v>
      </c>
      <c r="CM2629" s="1">
        <v>0</v>
      </c>
      <c r="CN2629" s="1">
        <v>0</v>
      </c>
    </row>
    <row r="2630" spans="1:92" ht="14.25" customHeight="1" x14ac:dyDescent="0.15">
      <c r="A2630" s="1" t="s">
        <v>18685</v>
      </c>
      <c r="B2630" s="1" t="s">
        <v>674</v>
      </c>
      <c r="C2630" s="1" t="s">
        <v>2300</v>
      </c>
      <c r="D2630" s="1"/>
      <c r="E2630" s="1" t="s">
        <v>18686</v>
      </c>
      <c r="F2630" s="1" t="s">
        <v>98</v>
      </c>
      <c r="G2630" s="1" t="s">
        <v>18687</v>
      </c>
      <c r="H2630" s="1">
        <v>0</v>
      </c>
      <c r="I2630" s="1" t="s">
        <v>8612</v>
      </c>
      <c r="J2630" s="1"/>
      <c r="K2630" s="1" t="s">
        <v>5870</v>
      </c>
      <c r="L2630" s="1"/>
      <c r="M2630" s="1" t="s">
        <v>125</v>
      </c>
      <c r="N2630" s="1">
        <v>0</v>
      </c>
      <c r="O2630" s="1">
        <v>0</v>
      </c>
      <c r="P2630" s="1" t="s">
        <v>301</v>
      </c>
      <c r="Q2630" s="1" t="s">
        <v>268</v>
      </c>
      <c r="R2630" s="1" t="s">
        <v>18688</v>
      </c>
      <c r="S2630" s="1" t="s">
        <v>18689</v>
      </c>
      <c r="T2630" s="1" t="s">
        <v>18592</v>
      </c>
      <c r="U2630" s="1" t="s">
        <v>18690</v>
      </c>
      <c r="V2630" s="1">
        <v>1</v>
      </c>
      <c r="W2630" s="1">
        <v>1</v>
      </c>
      <c r="X2630" s="1">
        <v>1</v>
      </c>
      <c r="Y2630" s="1">
        <v>0</v>
      </c>
      <c r="Z2630" s="1">
        <v>1</v>
      </c>
      <c r="AA2630" s="1">
        <v>1</v>
      </c>
      <c r="AB2630" s="1">
        <v>1</v>
      </c>
      <c r="AC2630" s="1" t="s">
        <v>109</v>
      </c>
      <c r="AD2630" s="1" t="s">
        <v>109</v>
      </c>
      <c r="AE2630" s="1" t="s">
        <v>109</v>
      </c>
      <c r="AF2630" s="1">
        <v>1</v>
      </c>
      <c r="AG2630" s="1" t="s">
        <v>109</v>
      </c>
      <c r="AH2630" s="1" t="s">
        <v>109</v>
      </c>
      <c r="AI2630" s="1" t="s">
        <v>109</v>
      </c>
      <c r="AJ2630" s="1">
        <v>1</v>
      </c>
      <c r="AK2630" s="1" t="s">
        <v>109</v>
      </c>
      <c r="AL2630" s="1" t="s">
        <v>109</v>
      </c>
      <c r="AM2630" s="1">
        <v>1</v>
      </c>
      <c r="AN2630" s="1" t="s">
        <v>109</v>
      </c>
      <c r="AO2630" s="1" t="s">
        <v>109</v>
      </c>
      <c r="AP2630" s="1"/>
      <c r="AQ2630" s="1">
        <v>1</v>
      </c>
      <c r="AR2630" s="1"/>
      <c r="AS2630" s="1"/>
      <c r="AT2630" s="1">
        <v>0</v>
      </c>
      <c r="AU2630" s="1">
        <v>0</v>
      </c>
      <c r="AV2630" s="1">
        <v>0</v>
      </c>
      <c r="AW2630" s="1">
        <v>0</v>
      </c>
      <c r="AX2630" s="1">
        <v>0</v>
      </c>
      <c r="AY2630" s="1">
        <v>0</v>
      </c>
      <c r="AZ2630" s="1">
        <v>0</v>
      </c>
      <c r="BA2630" s="1">
        <v>0</v>
      </c>
      <c r="BB2630" s="1">
        <v>0</v>
      </c>
      <c r="BC2630" s="1">
        <v>0</v>
      </c>
      <c r="BD2630" s="1">
        <v>0</v>
      </c>
      <c r="BE2630" s="1">
        <v>0</v>
      </c>
      <c r="BF2630" s="1">
        <v>0</v>
      </c>
      <c r="BG2630" s="1">
        <v>0</v>
      </c>
      <c r="BH2630" s="1">
        <v>0</v>
      </c>
      <c r="BI2630" s="1">
        <v>0</v>
      </c>
      <c r="BJ2630" s="1">
        <v>0</v>
      </c>
      <c r="BK2630" s="1">
        <v>0</v>
      </c>
      <c r="BL2630" s="1">
        <v>0</v>
      </c>
      <c r="BM2630" s="1">
        <v>0</v>
      </c>
      <c r="BN2630" s="1">
        <v>0</v>
      </c>
      <c r="BO2630" s="1">
        <v>0</v>
      </c>
      <c r="BP2630" s="1">
        <v>0</v>
      </c>
      <c r="BQ2630" s="1">
        <v>0</v>
      </c>
      <c r="BR2630" s="1">
        <v>0</v>
      </c>
      <c r="BS2630" s="1" t="s">
        <v>109</v>
      </c>
      <c r="BT2630" s="1">
        <v>2733</v>
      </c>
      <c r="BU2630" s="1" t="s">
        <v>109</v>
      </c>
      <c r="BV2630" s="1"/>
      <c r="BW2630" s="1"/>
      <c r="BX2630" s="1"/>
      <c r="BY2630" s="1"/>
      <c r="BZ2630" s="1">
        <v>0</v>
      </c>
      <c r="CA2630" s="1" t="s">
        <v>109</v>
      </c>
      <c r="CB2630" s="1">
        <v>1</v>
      </c>
      <c r="CC2630" s="1">
        <v>1</v>
      </c>
      <c r="CD2630" s="1" t="s">
        <v>109</v>
      </c>
      <c r="CE2630" s="1" t="s">
        <v>109</v>
      </c>
      <c r="CF2630" s="1" t="s">
        <v>109</v>
      </c>
      <c r="CG2630" s="1" t="s">
        <v>109</v>
      </c>
      <c r="CH2630" s="1" t="s">
        <v>109</v>
      </c>
      <c r="CI2630" s="1" t="s">
        <v>109</v>
      </c>
      <c r="CJ2630" s="1" t="s">
        <v>109</v>
      </c>
      <c r="CK2630" s="1"/>
      <c r="CL2630" s="1">
        <v>0</v>
      </c>
      <c r="CM2630" s="1">
        <v>0</v>
      </c>
      <c r="CN2630" s="1">
        <v>0</v>
      </c>
    </row>
    <row r="2631" spans="1:92" ht="14.25" customHeight="1" x14ac:dyDescent="0.15">
      <c r="A2631" s="1" t="s">
        <v>18691</v>
      </c>
      <c r="B2631" s="1" t="s">
        <v>242</v>
      </c>
      <c r="C2631" s="1"/>
      <c r="D2631" s="1" t="s">
        <v>15341</v>
      </c>
      <c r="E2631" s="1" t="s">
        <v>16234</v>
      </c>
      <c r="F2631" s="1" t="s">
        <v>98</v>
      </c>
      <c r="G2631" s="1" t="s">
        <v>141</v>
      </c>
      <c r="H2631" s="1">
        <v>0</v>
      </c>
      <c r="I2631" s="1" t="s">
        <v>142</v>
      </c>
      <c r="J2631" s="1"/>
      <c r="K2631" s="1"/>
      <c r="L2631" s="1" t="s">
        <v>18692</v>
      </c>
      <c r="M2631" s="1" t="s">
        <v>3385</v>
      </c>
      <c r="N2631" s="1">
        <v>0</v>
      </c>
      <c r="O2631" s="1">
        <v>0</v>
      </c>
      <c r="P2631" s="1" t="s">
        <v>380</v>
      </c>
      <c r="Q2631" s="1" t="s">
        <v>104</v>
      </c>
      <c r="R2631" s="1" t="s">
        <v>18693</v>
      </c>
      <c r="S2631" s="1" t="s">
        <v>18694</v>
      </c>
      <c r="T2631" s="1" t="s">
        <v>18592</v>
      </c>
      <c r="U2631" s="1" t="s">
        <v>18695</v>
      </c>
      <c r="V2631" s="1">
        <v>1</v>
      </c>
      <c r="W2631" s="1">
        <v>1</v>
      </c>
      <c r="X2631" s="1">
        <v>0</v>
      </c>
      <c r="Y2631" s="1">
        <v>0</v>
      </c>
      <c r="Z2631" s="1">
        <v>0</v>
      </c>
      <c r="AA2631" s="1">
        <v>2</v>
      </c>
      <c r="AB2631" s="1">
        <v>2</v>
      </c>
      <c r="AC2631" s="1" t="s">
        <v>109</v>
      </c>
      <c r="AD2631" s="1" t="s">
        <v>109</v>
      </c>
      <c r="AE2631" s="1" t="s">
        <v>109</v>
      </c>
      <c r="AF2631" s="1">
        <v>2</v>
      </c>
      <c r="AG2631" s="1" t="s">
        <v>109</v>
      </c>
      <c r="AH2631" s="1" t="s">
        <v>109</v>
      </c>
      <c r="AI2631" s="1" t="s">
        <v>109</v>
      </c>
      <c r="AJ2631" s="1" t="s">
        <v>109</v>
      </c>
      <c r="AK2631" s="1" t="s">
        <v>109</v>
      </c>
      <c r="AL2631" s="1" t="s">
        <v>109</v>
      </c>
      <c r="AM2631" s="1">
        <v>2</v>
      </c>
      <c r="AN2631" s="1" t="s">
        <v>109</v>
      </c>
      <c r="AO2631" s="1" t="s">
        <v>109</v>
      </c>
      <c r="AP2631" s="1"/>
      <c r="AQ2631" s="1">
        <v>2</v>
      </c>
      <c r="AR2631" s="1"/>
      <c r="AS2631" s="1"/>
      <c r="AT2631" s="1">
        <v>0</v>
      </c>
      <c r="AU2631" s="1">
        <v>0</v>
      </c>
      <c r="AV2631" s="1">
        <v>0</v>
      </c>
      <c r="AW2631" s="1">
        <v>0</v>
      </c>
      <c r="AX2631" s="1">
        <v>0</v>
      </c>
      <c r="AY2631" s="1">
        <v>0</v>
      </c>
      <c r="AZ2631" s="1">
        <v>0</v>
      </c>
      <c r="BA2631" s="1">
        <v>0</v>
      </c>
      <c r="BB2631" s="1">
        <v>0</v>
      </c>
      <c r="BC2631" s="1">
        <v>0</v>
      </c>
      <c r="BD2631" s="1">
        <v>0</v>
      </c>
      <c r="BE2631" s="1">
        <v>0</v>
      </c>
      <c r="BF2631" s="1">
        <v>0</v>
      </c>
      <c r="BG2631" s="1">
        <v>0</v>
      </c>
      <c r="BH2631" s="1">
        <v>0</v>
      </c>
      <c r="BI2631" s="1">
        <v>0</v>
      </c>
      <c r="BJ2631" s="1">
        <v>0</v>
      </c>
      <c r="BK2631" s="1">
        <v>0</v>
      </c>
      <c r="BL2631" s="1">
        <v>0</v>
      </c>
      <c r="BM2631" s="1">
        <v>1</v>
      </c>
      <c r="BN2631" s="1">
        <v>1</v>
      </c>
      <c r="BO2631" s="1">
        <v>0</v>
      </c>
      <c r="BP2631" s="1">
        <v>0</v>
      </c>
      <c r="BQ2631" s="1">
        <v>0</v>
      </c>
      <c r="BR2631" s="1">
        <v>0</v>
      </c>
      <c r="BS2631" s="1" t="s">
        <v>109</v>
      </c>
      <c r="BT2631" s="1">
        <v>2734</v>
      </c>
      <c r="BU2631" s="1" t="s">
        <v>109</v>
      </c>
      <c r="BV2631" s="1"/>
      <c r="BW2631" s="1"/>
      <c r="BX2631" s="1"/>
      <c r="BY2631" s="1"/>
      <c r="BZ2631" s="1">
        <v>0</v>
      </c>
      <c r="CA2631" s="1" t="s">
        <v>109</v>
      </c>
      <c r="CB2631" s="1" t="s">
        <v>109</v>
      </c>
      <c r="CC2631" s="1">
        <v>2</v>
      </c>
      <c r="CD2631" s="1" t="s">
        <v>109</v>
      </c>
      <c r="CE2631" s="1">
        <v>2</v>
      </c>
      <c r="CF2631" s="1" t="s">
        <v>109</v>
      </c>
      <c r="CG2631" s="1" t="s">
        <v>109</v>
      </c>
      <c r="CH2631" s="1" t="s">
        <v>109</v>
      </c>
      <c r="CI2631" s="1" t="s">
        <v>109</v>
      </c>
      <c r="CJ2631" s="1" t="s">
        <v>109</v>
      </c>
      <c r="CK2631" s="1"/>
      <c r="CL2631" s="1">
        <v>0</v>
      </c>
      <c r="CM2631" s="1">
        <v>0</v>
      </c>
      <c r="CN2631" s="1">
        <v>0</v>
      </c>
    </row>
    <row r="2632" spans="1:92" ht="14.25" customHeight="1" x14ac:dyDescent="0.15">
      <c r="A2632" s="1" t="s">
        <v>18696</v>
      </c>
      <c r="B2632" s="1" t="s">
        <v>156</v>
      </c>
      <c r="C2632" s="1" t="s">
        <v>157</v>
      </c>
      <c r="D2632" s="1" t="s">
        <v>954</v>
      </c>
      <c r="E2632" s="1" t="s">
        <v>18697</v>
      </c>
      <c r="F2632" s="1" t="s">
        <v>395</v>
      </c>
      <c r="G2632" s="1" t="s">
        <v>2345</v>
      </c>
      <c r="H2632" s="1">
        <v>0</v>
      </c>
      <c r="I2632" s="1" t="s">
        <v>161</v>
      </c>
      <c r="J2632" s="1"/>
      <c r="K2632" s="1"/>
      <c r="L2632" s="1" t="s">
        <v>18698</v>
      </c>
      <c r="M2632" s="1" t="s">
        <v>3042</v>
      </c>
      <c r="N2632" s="1">
        <v>0</v>
      </c>
      <c r="O2632" s="1">
        <v>0</v>
      </c>
      <c r="P2632" s="1" t="s">
        <v>564</v>
      </c>
      <c r="Q2632" s="1" t="s">
        <v>268</v>
      </c>
      <c r="R2632" s="1" t="s">
        <v>18699</v>
      </c>
      <c r="S2632" s="1" t="s">
        <v>18700</v>
      </c>
      <c r="T2632" s="1" t="s">
        <v>18592</v>
      </c>
      <c r="U2632" s="1" t="s">
        <v>18701</v>
      </c>
      <c r="V2632" s="1">
        <v>0</v>
      </c>
      <c r="W2632" s="1">
        <v>1</v>
      </c>
      <c r="X2632" s="1">
        <v>0</v>
      </c>
      <c r="Y2632" s="1">
        <v>0</v>
      </c>
      <c r="Z2632" s="1">
        <v>0</v>
      </c>
      <c r="AA2632" s="1">
        <v>3</v>
      </c>
      <c r="AB2632" s="1">
        <v>3</v>
      </c>
      <c r="AC2632" s="1" t="s">
        <v>109</v>
      </c>
      <c r="AD2632" s="1" t="s">
        <v>109</v>
      </c>
      <c r="AE2632" s="1" t="s">
        <v>109</v>
      </c>
      <c r="AF2632" s="1">
        <v>3</v>
      </c>
      <c r="AG2632" s="1" t="s">
        <v>109</v>
      </c>
      <c r="AH2632" s="1" t="s">
        <v>109</v>
      </c>
      <c r="AI2632" s="1" t="s">
        <v>109</v>
      </c>
      <c r="AJ2632" s="1">
        <v>3</v>
      </c>
      <c r="AK2632" s="1">
        <v>3</v>
      </c>
      <c r="AL2632" s="1" t="s">
        <v>109</v>
      </c>
      <c r="AM2632" s="1" t="s">
        <v>109</v>
      </c>
      <c r="AN2632" s="1" t="s">
        <v>109</v>
      </c>
      <c r="AO2632" s="1" t="s">
        <v>109</v>
      </c>
      <c r="AP2632" s="1"/>
      <c r="AQ2632" s="1">
        <v>3</v>
      </c>
      <c r="AR2632" s="1"/>
      <c r="AS2632" s="1"/>
      <c r="AT2632" s="1">
        <v>0</v>
      </c>
      <c r="AU2632" s="1">
        <v>0</v>
      </c>
      <c r="AV2632" s="1">
        <v>0</v>
      </c>
      <c r="AW2632" s="1">
        <v>0</v>
      </c>
      <c r="AX2632" s="1">
        <v>0</v>
      </c>
      <c r="AY2632" s="1">
        <v>0</v>
      </c>
      <c r="AZ2632" s="1">
        <v>0</v>
      </c>
      <c r="BA2632" s="1">
        <v>0</v>
      </c>
      <c r="BB2632" s="1">
        <v>0</v>
      </c>
      <c r="BC2632" s="1">
        <v>0</v>
      </c>
      <c r="BD2632" s="1">
        <v>0</v>
      </c>
      <c r="BE2632" s="1">
        <v>0</v>
      </c>
      <c r="BF2632" s="1">
        <v>0</v>
      </c>
      <c r="BG2632" s="1">
        <v>0</v>
      </c>
      <c r="BH2632" s="1">
        <v>0</v>
      </c>
      <c r="BI2632" s="1">
        <v>0</v>
      </c>
      <c r="BJ2632" s="1">
        <v>1</v>
      </c>
      <c r="BK2632" s="1">
        <v>0</v>
      </c>
      <c r="BL2632" s="1">
        <v>0</v>
      </c>
      <c r="BM2632" s="1">
        <v>1</v>
      </c>
      <c r="BN2632" s="1">
        <v>0</v>
      </c>
      <c r="BO2632" s="1">
        <v>0</v>
      </c>
      <c r="BP2632" s="1">
        <v>0</v>
      </c>
      <c r="BQ2632" s="1">
        <v>0</v>
      </c>
      <c r="BR2632" s="1">
        <v>0</v>
      </c>
      <c r="BS2632" s="1" t="s">
        <v>109</v>
      </c>
      <c r="BT2632" s="1">
        <v>2735</v>
      </c>
      <c r="BU2632" s="1" t="s">
        <v>109</v>
      </c>
      <c r="BV2632" s="1"/>
      <c r="BW2632" s="1"/>
      <c r="BX2632" s="1"/>
      <c r="BY2632" s="1"/>
      <c r="BZ2632" s="1">
        <v>0</v>
      </c>
      <c r="CA2632" s="1" t="s">
        <v>109</v>
      </c>
      <c r="CB2632" s="1" t="s">
        <v>109</v>
      </c>
      <c r="CC2632" s="1">
        <v>3</v>
      </c>
      <c r="CD2632" s="1" t="s">
        <v>109</v>
      </c>
      <c r="CE2632" s="1">
        <v>3</v>
      </c>
      <c r="CF2632" s="1" t="s">
        <v>109</v>
      </c>
      <c r="CG2632" s="1" t="s">
        <v>109</v>
      </c>
      <c r="CH2632" s="1" t="s">
        <v>109</v>
      </c>
      <c r="CI2632" s="1" t="s">
        <v>109</v>
      </c>
      <c r="CJ2632" s="1" t="s">
        <v>109</v>
      </c>
      <c r="CK2632" s="1"/>
      <c r="CL2632" s="1">
        <v>0</v>
      </c>
      <c r="CM2632" s="1">
        <v>0</v>
      </c>
      <c r="CN2632" s="1">
        <v>0</v>
      </c>
    </row>
    <row r="2633" spans="1:92" ht="14.25" customHeight="1" x14ac:dyDescent="0.15">
      <c r="A2633" s="1" t="s">
        <v>18702</v>
      </c>
      <c r="B2633" s="1" t="s">
        <v>156</v>
      </c>
      <c r="C2633" s="1" t="s">
        <v>157</v>
      </c>
      <c r="D2633" s="1" t="s">
        <v>954</v>
      </c>
      <c r="E2633" s="1" t="s">
        <v>18703</v>
      </c>
      <c r="F2633" s="1" t="s">
        <v>98</v>
      </c>
      <c r="G2633" s="1" t="s">
        <v>18704</v>
      </c>
      <c r="H2633" s="1">
        <v>0</v>
      </c>
      <c r="I2633" s="1" t="s">
        <v>161</v>
      </c>
      <c r="J2633" s="1"/>
      <c r="K2633" s="1"/>
      <c r="L2633" s="1" t="s">
        <v>506</v>
      </c>
      <c r="M2633" s="1" t="s">
        <v>355</v>
      </c>
      <c r="N2633" s="1">
        <v>0</v>
      </c>
      <c r="O2633" s="1">
        <v>0</v>
      </c>
      <c r="P2633" s="1" t="s">
        <v>301</v>
      </c>
      <c r="Q2633" s="1" t="s">
        <v>268</v>
      </c>
      <c r="R2633" s="1" t="s">
        <v>18705</v>
      </c>
      <c r="S2633" s="1" t="s">
        <v>18706</v>
      </c>
      <c r="T2633" s="1" t="s">
        <v>18592</v>
      </c>
      <c r="U2633" s="1" t="s">
        <v>18707</v>
      </c>
      <c r="V2633" s="1">
        <v>1</v>
      </c>
      <c r="W2633" s="1">
        <v>1</v>
      </c>
      <c r="X2633" s="1">
        <v>1</v>
      </c>
      <c r="Y2633" s="1">
        <v>0</v>
      </c>
      <c r="Z2633" s="1">
        <v>0</v>
      </c>
      <c r="AA2633" s="1">
        <v>1</v>
      </c>
      <c r="AB2633" s="1">
        <v>1</v>
      </c>
      <c r="AC2633" s="1" t="s">
        <v>109</v>
      </c>
      <c r="AD2633" s="1" t="s">
        <v>109</v>
      </c>
      <c r="AE2633" s="1" t="s">
        <v>109</v>
      </c>
      <c r="AF2633" s="1">
        <v>1</v>
      </c>
      <c r="AG2633" s="1" t="s">
        <v>109</v>
      </c>
      <c r="AH2633" s="1" t="s">
        <v>109</v>
      </c>
      <c r="AI2633" s="1" t="s">
        <v>109</v>
      </c>
      <c r="AJ2633" s="1">
        <v>1</v>
      </c>
      <c r="AK2633" s="1">
        <v>1</v>
      </c>
      <c r="AL2633" s="1" t="s">
        <v>109</v>
      </c>
      <c r="AM2633" s="1" t="s">
        <v>109</v>
      </c>
      <c r="AN2633" s="1" t="s">
        <v>109</v>
      </c>
      <c r="AO2633" s="1" t="s">
        <v>109</v>
      </c>
      <c r="AP2633" s="1"/>
      <c r="AQ2633" s="1">
        <v>1</v>
      </c>
      <c r="AR2633" s="1"/>
      <c r="AS2633" s="1"/>
      <c r="AT2633" s="1">
        <v>0</v>
      </c>
      <c r="AU2633" s="1">
        <v>0</v>
      </c>
      <c r="AV2633" s="1">
        <v>0</v>
      </c>
      <c r="AW2633" s="1">
        <v>0</v>
      </c>
      <c r="AX2633" s="1">
        <v>0</v>
      </c>
      <c r="AY2633" s="1">
        <v>0</v>
      </c>
      <c r="AZ2633" s="1">
        <v>0</v>
      </c>
      <c r="BA2633" s="1">
        <v>0</v>
      </c>
      <c r="BB2633" s="1">
        <v>0</v>
      </c>
      <c r="BC2633" s="1">
        <v>0</v>
      </c>
      <c r="BD2633" s="1">
        <v>0</v>
      </c>
      <c r="BE2633" s="1">
        <v>0</v>
      </c>
      <c r="BF2633" s="1">
        <v>0</v>
      </c>
      <c r="BG2633" s="1">
        <v>0</v>
      </c>
      <c r="BH2633" s="1">
        <v>0</v>
      </c>
      <c r="BI2633" s="1">
        <v>0</v>
      </c>
      <c r="BJ2633" s="1">
        <v>1</v>
      </c>
      <c r="BK2633" s="1">
        <v>0</v>
      </c>
      <c r="BL2633" s="1">
        <v>0</v>
      </c>
      <c r="BM2633" s="1">
        <v>1</v>
      </c>
      <c r="BN2633" s="1">
        <v>0</v>
      </c>
      <c r="BO2633" s="1">
        <v>0</v>
      </c>
      <c r="BP2633" s="1">
        <v>0</v>
      </c>
      <c r="BQ2633" s="1">
        <v>0</v>
      </c>
      <c r="BR2633" s="1">
        <v>0</v>
      </c>
      <c r="BS2633" s="1" t="s">
        <v>109</v>
      </c>
      <c r="BT2633" s="1">
        <v>2736</v>
      </c>
      <c r="BU2633" s="1" t="s">
        <v>109</v>
      </c>
      <c r="BV2633" s="1"/>
      <c r="BW2633" s="1"/>
      <c r="BX2633" s="1"/>
      <c r="BY2633" s="1"/>
      <c r="BZ2633" s="1">
        <v>0</v>
      </c>
      <c r="CA2633" s="1" t="s">
        <v>109</v>
      </c>
      <c r="CB2633" s="1" t="s">
        <v>109</v>
      </c>
      <c r="CC2633" s="1">
        <v>1</v>
      </c>
      <c r="CD2633" s="1" t="s">
        <v>109</v>
      </c>
      <c r="CE2633" s="1">
        <v>1</v>
      </c>
      <c r="CF2633" s="1" t="s">
        <v>109</v>
      </c>
      <c r="CG2633" s="1" t="s">
        <v>109</v>
      </c>
      <c r="CH2633" s="1" t="s">
        <v>109</v>
      </c>
      <c r="CI2633" s="1" t="s">
        <v>109</v>
      </c>
      <c r="CJ2633" s="1" t="s">
        <v>109</v>
      </c>
      <c r="CK2633" s="1"/>
      <c r="CL2633" s="1">
        <v>0</v>
      </c>
      <c r="CM2633" s="1">
        <v>0</v>
      </c>
      <c r="CN2633" s="1">
        <v>0</v>
      </c>
    </row>
    <row r="2634" spans="1:92" ht="14.25" customHeight="1" x14ac:dyDescent="0.15">
      <c r="A2634" s="1" t="s">
        <v>18708</v>
      </c>
      <c r="B2634" s="1" t="s">
        <v>308</v>
      </c>
      <c r="C2634" s="1"/>
      <c r="D2634" s="1" t="s">
        <v>66</v>
      </c>
      <c r="E2634" s="1" t="s">
        <v>18709</v>
      </c>
      <c r="F2634" s="1" t="s">
        <v>98</v>
      </c>
      <c r="G2634" s="1" t="s">
        <v>141</v>
      </c>
      <c r="H2634" s="1">
        <v>0</v>
      </c>
      <c r="I2634" s="1" t="s">
        <v>235</v>
      </c>
      <c r="J2634" s="1"/>
      <c r="K2634" s="1"/>
      <c r="L2634" s="1" t="s">
        <v>236</v>
      </c>
      <c r="M2634" s="1" t="s">
        <v>6144</v>
      </c>
      <c r="N2634" s="1">
        <v>1</v>
      </c>
      <c r="O2634" s="1">
        <v>0</v>
      </c>
      <c r="P2634" s="1" t="s">
        <v>8650</v>
      </c>
      <c r="Q2634" s="1" t="s">
        <v>268</v>
      </c>
      <c r="R2634" s="1" t="s">
        <v>18710</v>
      </c>
      <c r="S2634" s="1" t="s">
        <v>18711</v>
      </c>
      <c r="T2634" s="1" t="s">
        <v>18712</v>
      </c>
      <c r="U2634" s="1" t="s">
        <v>18713</v>
      </c>
      <c r="V2634" s="1">
        <v>1</v>
      </c>
      <c r="W2634" s="1">
        <v>1</v>
      </c>
      <c r="X2634" s="1">
        <v>0</v>
      </c>
      <c r="Y2634" s="1">
        <v>0</v>
      </c>
      <c r="Z2634" s="1">
        <v>0</v>
      </c>
      <c r="AA2634" s="1">
        <v>4</v>
      </c>
      <c r="AB2634" s="1">
        <v>4</v>
      </c>
      <c r="AC2634" s="1">
        <v>3</v>
      </c>
      <c r="AD2634" s="1" t="s">
        <v>109</v>
      </c>
      <c r="AE2634" s="1" t="s">
        <v>109</v>
      </c>
      <c r="AF2634" s="1" t="s">
        <v>109</v>
      </c>
      <c r="AG2634" s="1" t="s">
        <v>109</v>
      </c>
      <c r="AH2634" s="1" t="s">
        <v>109</v>
      </c>
      <c r="AI2634" s="1" t="s">
        <v>109</v>
      </c>
      <c r="AJ2634" s="1">
        <v>4</v>
      </c>
      <c r="AK2634" s="1">
        <v>3</v>
      </c>
      <c r="AL2634" s="1">
        <v>3</v>
      </c>
      <c r="AM2634" s="1">
        <v>3</v>
      </c>
      <c r="AN2634" s="1">
        <v>4</v>
      </c>
      <c r="AO2634" s="1" t="s">
        <v>109</v>
      </c>
      <c r="AP2634" s="1"/>
      <c r="AQ2634" s="1">
        <v>4</v>
      </c>
      <c r="AR2634" s="1"/>
      <c r="AS2634" s="1"/>
      <c r="AT2634" s="1">
        <v>0</v>
      </c>
      <c r="AU2634" s="1">
        <v>0</v>
      </c>
      <c r="AV2634" s="1">
        <v>0</v>
      </c>
      <c r="AW2634" s="1">
        <v>0</v>
      </c>
      <c r="AX2634" s="1">
        <v>0</v>
      </c>
      <c r="AY2634" s="1">
        <v>0</v>
      </c>
      <c r="AZ2634" s="1">
        <v>0</v>
      </c>
      <c r="BA2634" s="1">
        <v>0</v>
      </c>
      <c r="BB2634" s="1">
        <v>0</v>
      </c>
      <c r="BC2634" s="1">
        <v>0</v>
      </c>
      <c r="BD2634" s="1">
        <v>0</v>
      </c>
      <c r="BE2634" s="1">
        <v>0</v>
      </c>
      <c r="BF2634" s="1">
        <v>0</v>
      </c>
      <c r="BG2634" s="1">
        <v>0</v>
      </c>
      <c r="BH2634" s="1">
        <v>0</v>
      </c>
      <c r="BI2634" s="1">
        <v>0</v>
      </c>
      <c r="BJ2634" s="1">
        <v>0</v>
      </c>
      <c r="BK2634" s="1">
        <v>0</v>
      </c>
      <c r="BL2634" s="1">
        <v>0</v>
      </c>
      <c r="BM2634" s="1">
        <v>0</v>
      </c>
      <c r="BN2634" s="1">
        <v>1</v>
      </c>
      <c r="BO2634" s="1">
        <v>0</v>
      </c>
      <c r="BP2634" s="1">
        <v>0</v>
      </c>
      <c r="BQ2634" s="1">
        <v>0</v>
      </c>
      <c r="BR2634" s="1">
        <v>0</v>
      </c>
      <c r="BS2634" s="1" t="s">
        <v>109</v>
      </c>
      <c r="BT2634" s="1">
        <v>2737</v>
      </c>
      <c r="BU2634" s="1" t="s">
        <v>109</v>
      </c>
      <c r="BV2634" s="1"/>
      <c r="BW2634" s="1"/>
      <c r="BX2634" s="1"/>
      <c r="BY2634" s="1"/>
      <c r="BZ2634" s="1">
        <v>0</v>
      </c>
      <c r="CA2634" s="1" t="s">
        <v>109</v>
      </c>
      <c r="CB2634" s="1" t="s">
        <v>109</v>
      </c>
      <c r="CC2634" s="1" t="s">
        <v>109</v>
      </c>
      <c r="CD2634" s="1" t="s">
        <v>109</v>
      </c>
      <c r="CE2634" s="1" t="s">
        <v>109</v>
      </c>
      <c r="CF2634" s="1" t="s">
        <v>109</v>
      </c>
      <c r="CG2634" s="1" t="s">
        <v>109</v>
      </c>
      <c r="CH2634" s="1" t="s">
        <v>109</v>
      </c>
      <c r="CI2634" s="1" t="s">
        <v>109</v>
      </c>
      <c r="CJ2634" s="1" t="s">
        <v>109</v>
      </c>
      <c r="CK2634" s="1"/>
      <c r="CL2634" s="1">
        <v>0</v>
      </c>
      <c r="CM2634" s="1">
        <v>0</v>
      </c>
      <c r="CN2634" s="1">
        <v>0</v>
      </c>
    </row>
    <row r="2635" spans="1:92" ht="14.25" customHeight="1" x14ac:dyDescent="0.15">
      <c r="A2635" s="1" t="s">
        <v>18714</v>
      </c>
      <c r="B2635" s="1" t="s">
        <v>308</v>
      </c>
      <c r="C2635" s="1"/>
      <c r="D2635" s="1" t="s">
        <v>57</v>
      </c>
      <c r="E2635" s="1" t="s">
        <v>9715</v>
      </c>
      <c r="F2635" s="1" t="s">
        <v>395</v>
      </c>
      <c r="G2635" s="1" t="s">
        <v>18715</v>
      </c>
      <c r="H2635" s="1">
        <v>1</v>
      </c>
      <c r="I2635" s="1" t="s">
        <v>161</v>
      </c>
      <c r="J2635" s="1" t="s">
        <v>18716</v>
      </c>
      <c r="K2635" s="1"/>
      <c r="L2635" s="1"/>
      <c r="M2635" s="1" t="s">
        <v>2044</v>
      </c>
      <c r="N2635" s="1">
        <v>1</v>
      </c>
      <c r="O2635" s="1">
        <v>0</v>
      </c>
      <c r="P2635" s="1" t="s">
        <v>507</v>
      </c>
      <c r="Q2635" s="1" t="s">
        <v>167</v>
      </c>
      <c r="R2635" s="1" t="s">
        <v>18717</v>
      </c>
      <c r="S2635" s="1" t="s">
        <v>18718</v>
      </c>
      <c r="T2635" s="1" t="s">
        <v>18712</v>
      </c>
      <c r="U2635" s="1" t="s">
        <v>18719</v>
      </c>
      <c r="V2635" s="1">
        <v>1</v>
      </c>
      <c r="W2635" s="1">
        <v>1</v>
      </c>
      <c r="X2635" s="1">
        <v>0</v>
      </c>
      <c r="Y2635" s="1">
        <v>0</v>
      </c>
      <c r="Z2635" s="1">
        <v>0</v>
      </c>
      <c r="AA2635" s="1">
        <v>4</v>
      </c>
      <c r="AB2635" s="1">
        <v>4</v>
      </c>
      <c r="AC2635" s="1" t="s">
        <v>109</v>
      </c>
      <c r="AD2635" s="1" t="s">
        <v>109</v>
      </c>
      <c r="AE2635" s="1" t="s">
        <v>109</v>
      </c>
      <c r="AF2635" s="1" t="s">
        <v>109</v>
      </c>
      <c r="AG2635" s="1" t="s">
        <v>109</v>
      </c>
      <c r="AH2635" s="1" t="s">
        <v>109</v>
      </c>
      <c r="AI2635" s="1" t="s">
        <v>109</v>
      </c>
      <c r="AJ2635" s="1">
        <v>4</v>
      </c>
      <c r="AK2635" s="1" t="s">
        <v>109</v>
      </c>
      <c r="AL2635" s="1" t="s">
        <v>109</v>
      </c>
      <c r="AM2635" s="1" t="s">
        <v>109</v>
      </c>
      <c r="AN2635" s="1" t="s">
        <v>109</v>
      </c>
      <c r="AO2635" s="1" t="s">
        <v>109</v>
      </c>
      <c r="AP2635" s="1"/>
      <c r="AQ2635" s="1">
        <v>4</v>
      </c>
      <c r="AR2635" s="1"/>
      <c r="AS2635" s="1"/>
      <c r="AT2635" s="1">
        <v>0</v>
      </c>
      <c r="AU2635" s="1">
        <v>0</v>
      </c>
      <c r="AV2635" s="1">
        <v>0</v>
      </c>
      <c r="AW2635" s="1">
        <v>0</v>
      </c>
      <c r="AX2635" s="1">
        <v>0</v>
      </c>
      <c r="AY2635" s="1">
        <v>0</v>
      </c>
      <c r="AZ2635" s="1">
        <v>0</v>
      </c>
      <c r="BA2635" s="1">
        <v>0</v>
      </c>
      <c r="BB2635" s="1">
        <v>0</v>
      </c>
      <c r="BC2635" s="1">
        <v>0</v>
      </c>
      <c r="BD2635" s="1">
        <v>0</v>
      </c>
      <c r="BE2635" s="1">
        <v>1</v>
      </c>
      <c r="BF2635" s="1">
        <v>0</v>
      </c>
      <c r="BG2635" s="1">
        <v>0</v>
      </c>
      <c r="BH2635" s="1">
        <v>0</v>
      </c>
      <c r="BI2635" s="1">
        <v>0</v>
      </c>
      <c r="BJ2635" s="1">
        <v>0</v>
      </c>
      <c r="BK2635" s="1">
        <v>0</v>
      </c>
      <c r="BL2635" s="1">
        <v>0</v>
      </c>
      <c r="BM2635" s="1">
        <v>0</v>
      </c>
      <c r="BN2635" s="1">
        <v>0</v>
      </c>
      <c r="BO2635" s="1">
        <v>0</v>
      </c>
      <c r="BP2635" s="1">
        <v>0</v>
      </c>
      <c r="BQ2635" s="1">
        <v>0</v>
      </c>
      <c r="BR2635" s="1">
        <v>0</v>
      </c>
      <c r="BS2635" s="1" t="s">
        <v>109</v>
      </c>
      <c r="BT2635" s="1">
        <v>2738</v>
      </c>
      <c r="BU2635" s="1">
        <v>100</v>
      </c>
      <c r="BV2635" s="1"/>
      <c r="BW2635" s="1"/>
      <c r="BX2635" s="1"/>
      <c r="BY2635" s="1"/>
      <c r="BZ2635" s="1">
        <v>0</v>
      </c>
      <c r="CA2635" s="1" t="s">
        <v>109</v>
      </c>
      <c r="CB2635" s="1" t="s">
        <v>109</v>
      </c>
      <c r="CC2635" s="1" t="s">
        <v>109</v>
      </c>
      <c r="CD2635" s="1" t="s">
        <v>109</v>
      </c>
      <c r="CE2635" s="1" t="s">
        <v>109</v>
      </c>
      <c r="CF2635" s="1" t="s">
        <v>109</v>
      </c>
      <c r="CG2635" s="1" t="s">
        <v>109</v>
      </c>
      <c r="CH2635" s="1" t="s">
        <v>109</v>
      </c>
      <c r="CI2635" s="1" t="s">
        <v>109</v>
      </c>
      <c r="CJ2635" s="1" t="s">
        <v>109</v>
      </c>
      <c r="CK2635" s="1"/>
      <c r="CL2635" s="1">
        <v>0</v>
      </c>
      <c r="CM2635" s="1">
        <v>0</v>
      </c>
      <c r="CN2635" s="1">
        <v>0</v>
      </c>
    </row>
    <row r="2636" spans="1:92" ht="14.25" customHeight="1" x14ac:dyDescent="0.15">
      <c r="A2636" s="1" t="s">
        <v>18720</v>
      </c>
      <c r="B2636" s="1" t="s">
        <v>308</v>
      </c>
      <c r="C2636" s="1"/>
      <c r="D2636" s="1"/>
      <c r="E2636" s="1" t="s">
        <v>11555</v>
      </c>
      <c r="F2636" s="1" t="s">
        <v>98</v>
      </c>
      <c r="G2636" s="1" t="s">
        <v>18721</v>
      </c>
      <c r="H2636" s="1">
        <v>0</v>
      </c>
      <c r="I2636" s="1" t="s">
        <v>161</v>
      </c>
      <c r="J2636" s="1" t="s">
        <v>506</v>
      </c>
      <c r="K2636" s="1"/>
      <c r="L2636" s="1"/>
      <c r="M2636" s="1" t="s">
        <v>18722</v>
      </c>
      <c r="N2636" s="1">
        <v>0</v>
      </c>
      <c r="O2636" s="1">
        <v>0</v>
      </c>
      <c r="P2636" s="1" t="s">
        <v>14354</v>
      </c>
      <c r="Q2636" s="1" t="s">
        <v>268</v>
      </c>
      <c r="R2636" s="1" t="s">
        <v>18723</v>
      </c>
      <c r="S2636" s="1" t="s">
        <v>18724</v>
      </c>
      <c r="T2636" s="1" t="s">
        <v>18712</v>
      </c>
      <c r="U2636" s="1" t="s">
        <v>18725</v>
      </c>
      <c r="V2636" s="1">
        <v>1</v>
      </c>
      <c r="W2636" s="1">
        <v>1</v>
      </c>
      <c r="X2636" s="1">
        <v>0</v>
      </c>
      <c r="Y2636" s="1">
        <v>0</v>
      </c>
      <c r="Z2636" s="1">
        <v>0</v>
      </c>
      <c r="AA2636" s="1">
        <v>1</v>
      </c>
      <c r="AB2636" s="1">
        <v>1</v>
      </c>
      <c r="AC2636" s="1" t="s">
        <v>109</v>
      </c>
      <c r="AD2636" s="1" t="s">
        <v>109</v>
      </c>
      <c r="AE2636" s="1" t="s">
        <v>109</v>
      </c>
      <c r="AF2636" s="1" t="s">
        <v>109</v>
      </c>
      <c r="AG2636" s="1" t="s">
        <v>109</v>
      </c>
      <c r="AH2636" s="1" t="s">
        <v>109</v>
      </c>
      <c r="AI2636" s="1" t="s">
        <v>109</v>
      </c>
      <c r="AJ2636" s="1">
        <v>1</v>
      </c>
      <c r="AK2636" s="1" t="s">
        <v>109</v>
      </c>
      <c r="AL2636" s="1" t="s">
        <v>109</v>
      </c>
      <c r="AM2636" s="1" t="s">
        <v>109</v>
      </c>
      <c r="AN2636" s="1" t="s">
        <v>109</v>
      </c>
      <c r="AO2636" s="1" t="s">
        <v>109</v>
      </c>
      <c r="AP2636" s="1"/>
      <c r="AQ2636" s="1">
        <v>1</v>
      </c>
      <c r="AR2636" s="1"/>
      <c r="AS2636" s="1"/>
      <c r="AT2636" s="1">
        <v>0</v>
      </c>
      <c r="AU2636" s="1">
        <v>0</v>
      </c>
      <c r="AV2636" s="1">
        <v>0</v>
      </c>
      <c r="AW2636" s="1">
        <v>0</v>
      </c>
      <c r="AX2636" s="1">
        <v>0</v>
      </c>
      <c r="AY2636" s="1">
        <v>0</v>
      </c>
      <c r="AZ2636" s="1">
        <v>0</v>
      </c>
      <c r="BA2636" s="1">
        <v>0</v>
      </c>
      <c r="BB2636" s="1">
        <v>0</v>
      </c>
      <c r="BC2636" s="1">
        <v>0</v>
      </c>
      <c r="BD2636" s="1">
        <v>0</v>
      </c>
      <c r="BE2636" s="1">
        <v>0</v>
      </c>
      <c r="BF2636" s="1">
        <v>0</v>
      </c>
      <c r="BG2636" s="1">
        <v>0</v>
      </c>
      <c r="BH2636" s="1">
        <v>0</v>
      </c>
      <c r="BI2636" s="1">
        <v>0</v>
      </c>
      <c r="BJ2636" s="1">
        <v>0</v>
      </c>
      <c r="BK2636" s="1">
        <v>0</v>
      </c>
      <c r="BL2636" s="1">
        <v>0</v>
      </c>
      <c r="BM2636" s="1">
        <v>0</v>
      </c>
      <c r="BN2636" s="1">
        <v>0</v>
      </c>
      <c r="BO2636" s="1">
        <v>0</v>
      </c>
      <c r="BP2636" s="1">
        <v>0</v>
      </c>
      <c r="BQ2636" s="1">
        <v>0</v>
      </c>
      <c r="BR2636" s="1">
        <v>0</v>
      </c>
      <c r="BS2636" s="1" t="s">
        <v>109</v>
      </c>
      <c r="BT2636" s="1">
        <v>2739</v>
      </c>
      <c r="BU2636" s="1" t="s">
        <v>109</v>
      </c>
      <c r="BV2636" s="1"/>
      <c r="BW2636" s="1"/>
      <c r="BX2636" s="1"/>
      <c r="BY2636" s="1"/>
      <c r="BZ2636" s="1">
        <v>0</v>
      </c>
      <c r="CA2636" s="1" t="s">
        <v>109</v>
      </c>
      <c r="CB2636" s="1" t="s">
        <v>109</v>
      </c>
      <c r="CC2636" s="1" t="s">
        <v>109</v>
      </c>
      <c r="CD2636" s="1" t="s">
        <v>109</v>
      </c>
      <c r="CE2636" s="1" t="s">
        <v>109</v>
      </c>
      <c r="CF2636" s="1" t="s">
        <v>109</v>
      </c>
      <c r="CG2636" s="1" t="s">
        <v>109</v>
      </c>
      <c r="CH2636" s="1" t="s">
        <v>109</v>
      </c>
      <c r="CI2636" s="1" t="s">
        <v>109</v>
      </c>
      <c r="CJ2636" s="1" t="s">
        <v>109</v>
      </c>
      <c r="CK2636" s="1"/>
      <c r="CL2636" s="1">
        <v>0</v>
      </c>
      <c r="CM2636" s="1">
        <v>0</v>
      </c>
      <c r="CN2636" s="1">
        <v>0</v>
      </c>
    </row>
    <row r="2637" spans="1:92" ht="14.25" customHeight="1" x14ac:dyDescent="0.15">
      <c r="A2637" s="1" t="s">
        <v>18726</v>
      </c>
      <c r="B2637" s="1" t="s">
        <v>584</v>
      </c>
      <c r="C2637" s="1"/>
      <c r="D2637" s="1"/>
      <c r="E2637" s="1" t="s">
        <v>18727</v>
      </c>
      <c r="F2637" s="1" t="s">
        <v>98</v>
      </c>
      <c r="G2637" s="1" t="s">
        <v>18728</v>
      </c>
      <c r="H2637" s="1">
        <v>0</v>
      </c>
      <c r="I2637" s="1" t="s">
        <v>235</v>
      </c>
      <c r="J2637" s="1"/>
      <c r="K2637" s="1"/>
      <c r="L2637" s="1" t="s">
        <v>236</v>
      </c>
      <c r="M2637" s="1" t="s">
        <v>5642</v>
      </c>
      <c r="N2637" s="1">
        <v>0</v>
      </c>
      <c r="O2637" s="1">
        <v>0</v>
      </c>
      <c r="P2637" s="1"/>
      <c r="Q2637" s="1"/>
      <c r="R2637" s="1" t="s">
        <v>18729</v>
      </c>
      <c r="S2637" s="1" t="s">
        <v>18730</v>
      </c>
      <c r="T2637" s="1" t="s">
        <v>18731</v>
      </c>
      <c r="U2637" s="1" t="s">
        <v>18732</v>
      </c>
      <c r="V2637" s="1">
        <v>1</v>
      </c>
      <c r="W2637" s="1">
        <v>1</v>
      </c>
      <c r="X2637" s="1">
        <v>1</v>
      </c>
      <c r="Y2637" s="1">
        <v>0</v>
      </c>
      <c r="Z2637" s="1">
        <v>0</v>
      </c>
      <c r="AA2637" s="1">
        <v>4</v>
      </c>
      <c r="AB2637" s="1">
        <v>4</v>
      </c>
      <c r="AC2637" s="1">
        <v>4</v>
      </c>
      <c r="AD2637" s="1" t="s">
        <v>109</v>
      </c>
      <c r="AE2637" s="1" t="s">
        <v>109</v>
      </c>
      <c r="AF2637" s="1">
        <v>3</v>
      </c>
      <c r="AG2637" s="1" t="s">
        <v>109</v>
      </c>
      <c r="AH2637" s="1">
        <v>4</v>
      </c>
      <c r="AI2637" s="1" t="s">
        <v>109</v>
      </c>
      <c r="AJ2637" s="1">
        <v>4</v>
      </c>
      <c r="AK2637" s="1" t="s">
        <v>109</v>
      </c>
      <c r="AL2637" s="1">
        <v>4</v>
      </c>
      <c r="AM2637" s="1" t="s">
        <v>109</v>
      </c>
      <c r="AN2637" s="1" t="s">
        <v>109</v>
      </c>
      <c r="AO2637" s="1" t="s">
        <v>109</v>
      </c>
      <c r="AP2637" s="1"/>
      <c r="AQ2637" s="1">
        <v>4</v>
      </c>
      <c r="AR2637" s="1"/>
      <c r="AS2637" s="1"/>
      <c r="AT2637" s="1">
        <v>0</v>
      </c>
      <c r="AU2637" s="1">
        <v>0</v>
      </c>
      <c r="AV2637" s="1">
        <v>0</v>
      </c>
      <c r="AW2637" s="1">
        <v>0</v>
      </c>
      <c r="AX2637" s="1">
        <v>0</v>
      </c>
      <c r="AY2637" s="1">
        <v>0</v>
      </c>
      <c r="AZ2637" s="1">
        <v>0</v>
      </c>
      <c r="BA2637" s="1">
        <v>0</v>
      </c>
      <c r="BB2637" s="1">
        <v>0</v>
      </c>
      <c r="BC2637" s="1">
        <v>0</v>
      </c>
      <c r="BD2637" s="1">
        <v>0</v>
      </c>
      <c r="BE2637" s="1">
        <v>0</v>
      </c>
      <c r="BF2637" s="1">
        <v>0</v>
      </c>
      <c r="BG2637" s="1">
        <v>0</v>
      </c>
      <c r="BH2637" s="1">
        <v>0</v>
      </c>
      <c r="BI2637" s="1">
        <v>0</v>
      </c>
      <c r="BJ2637" s="1">
        <v>0</v>
      </c>
      <c r="BK2637" s="1">
        <v>0</v>
      </c>
      <c r="BL2637" s="1">
        <v>0</v>
      </c>
      <c r="BM2637" s="1">
        <v>0</v>
      </c>
      <c r="BN2637" s="1">
        <v>0</v>
      </c>
      <c r="BO2637" s="1">
        <v>0</v>
      </c>
      <c r="BP2637" s="1">
        <v>0</v>
      </c>
      <c r="BQ2637" s="1">
        <v>0</v>
      </c>
      <c r="BR2637" s="1">
        <v>0</v>
      </c>
      <c r="BS2637" s="1" t="s">
        <v>109</v>
      </c>
      <c r="BT2637" s="1">
        <v>2740</v>
      </c>
      <c r="BU2637" s="1" t="s">
        <v>109</v>
      </c>
      <c r="BV2637" s="1"/>
      <c r="BW2637" s="1"/>
      <c r="BX2637" s="1"/>
      <c r="BY2637" s="1"/>
      <c r="BZ2637" s="1">
        <v>0</v>
      </c>
      <c r="CA2637" s="1" t="s">
        <v>109</v>
      </c>
      <c r="CB2637" s="1">
        <v>4</v>
      </c>
      <c r="CC2637" s="1">
        <v>4</v>
      </c>
      <c r="CD2637" s="1" t="s">
        <v>109</v>
      </c>
      <c r="CE2637" s="1" t="s">
        <v>109</v>
      </c>
      <c r="CF2637" s="1" t="s">
        <v>109</v>
      </c>
      <c r="CG2637" s="1" t="s">
        <v>109</v>
      </c>
      <c r="CH2637" s="1" t="s">
        <v>109</v>
      </c>
      <c r="CI2637" s="1" t="s">
        <v>109</v>
      </c>
      <c r="CJ2637" s="1" t="s">
        <v>109</v>
      </c>
      <c r="CK2637" s="1"/>
      <c r="CL2637" s="1">
        <v>0</v>
      </c>
      <c r="CM2637" s="1">
        <v>0</v>
      </c>
      <c r="CN2637" s="1">
        <v>0</v>
      </c>
    </row>
    <row r="2638" spans="1:92" ht="14.25" customHeight="1" x14ac:dyDescent="0.15">
      <c r="A2638" s="1" t="s">
        <v>18733</v>
      </c>
      <c r="B2638" s="1" t="s">
        <v>308</v>
      </c>
      <c r="C2638" s="1"/>
      <c r="D2638" s="1" t="s">
        <v>50</v>
      </c>
      <c r="E2638" s="1" t="s">
        <v>18734</v>
      </c>
      <c r="F2638" s="1" t="s">
        <v>98</v>
      </c>
      <c r="G2638" s="1" t="s">
        <v>141</v>
      </c>
      <c r="H2638" s="1">
        <v>0</v>
      </c>
      <c r="I2638" s="1" t="s">
        <v>161</v>
      </c>
      <c r="J2638" s="1"/>
      <c r="K2638" s="1"/>
      <c r="L2638" s="1" t="s">
        <v>506</v>
      </c>
      <c r="M2638" s="1" t="s">
        <v>408</v>
      </c>
      <c r="N2638" s="1">
        <v>0</v>
      </c>
      <c r="O2638" s="1">
        <v>0</v>
      </c>
      <c r="P2638" s="1" t="s">
        <v>301</v>
      </c>
      <c r="Q2638" s="1" t="s">
        <v>268</v>
      </c>
      <c r="R2638" s="1" t="s">
        <v>18735</v>
      </c>
      <c r="S2638" s="1" t="s">
        <v>18736</v>
      </c>
      <c r="T2638" s="1" t="s">
        <v>18731</v>
      </c>
      <c r="U2638" s="1" t="s">
        <v>18737</v>
      </c>
      <c r="V2638" s="1">
        <v>1</v>
      </c>
      <c r="W2638" s="1">
        <v>1</v>
      </c>
      <c r="X2638" s="1">
        <v>0</v>
      </c>
      <c r="Y2638" s="1">
        <v>0</v>
      </c>
      <c r="Z2638" s="1">
        <v>0</v>
      </c>
      <c r="AA2638" s="1">
        <v>4</v>
      </c>
      <c r="AB2638" s="1">
        <v>4</v>
      </c>
      <c r="AC2638" s="1">
        <v>3</v>
      </c>
      <c r="AD2638" s="1" t="s">
        <v>109</v>
      </c>
      <c r="AE2638" s="1" t="s">
        <v>109</v>
      </c>
      <c r="AF2638" s="1" t="s">
        <v>109</v>
      </c>
      <c r="AG2638" s="1" t="s">
        <v>109</v>
      </c>
      <c r="AH2638" s="1" t="s">
        <v>109</v>
      </c>
      <c r="AI2638" s="1" t="s">
        <v>109</v>
      </c>
      <c r="AJ2638" s="1">
        <v>3</v>
      </c>
      <c r="AK2638" s="1" t="s">
        <v>109</v>
      </c>
      <c r="AL2638" s="1">
        <v>3</v>
      </c>
      <c r="AM2638" s="1">
        <v>3</v>
      </c>
      <c r="AN2638" s="1" t="s">
        <v>109</v>
      </c>
      <c r="AO2638" s="1" t="s">
        <v>109</v>
      </c>
      <c r="AP2638" s="1"/>
      <c r="AQ2638" s="1">
        <v>4</v>
      </c>
      <c r="AR2638" s="1"/>
      <c r="AS2638" s="1"/>
      <c r="AT2638" s="1">
        <v>0</v>
      </c>
      <c r="AU2638" s="1">
        <v>0</v>
      </c>
      <c r="AV2638" s="1">
        <v>0</v>
      </c>
      <c r="AW2638" s="1">
        <v>0</v>
      </c>
      <c r="AX2638" s="1">
        <v>1</v>
      </c>
      <c r="AY2638" s="1">
        <v>0</v>
      </c>
      <c r="AZ2638" s="1">
        <v>0</v>
      </c>
      <c r="BA2638" s="1">
        <v>0</v>
      </c>
      <c r="BB2638" s="1">
        <v>0</v>
      </c>
      <c r="BC2638" s="1">
        <v>0</v>
      </c>
      <c r="BD2638" s="1">
        <v>0</v>
      </c>
      <c r="BE2638" s="1">
        <v>0</v>
      </c>
      <c r="BF2638" s="1">
        <v>0</v>
      </c>
      <c r="BG2638" s="1">
        <v>0</v>
      </c>
      <c r="BH2638" s="1">
        <v>0</v>
      </c>
      <c r="BI2638" s="1">
        <v>0</v>
      </c>
      <c r="BJ2638" s="1">
        <v>0</v>
      </c>
      <c r="BK2638" s="1">
        <v>0</v>
      </c>
      <c r="BL2638" s="1">
        <v>0</v>
      </c>
      <c r="BM2638" s="1">
        <v>0</v>
      </c>
      <c r="BN2638" s="1">
        <v>0</v>
      </c>
      <c r="BO2638" s="1">
        <v>0</v>
      </c>
      <c r="BP2638" s="1">
        <v>0</v>
      </c>
      <c r="BQ2638" s="1">
        <v>0</v>
      </c>
      <c r="BR2638" s="1">
        <v>0</v>
      </c>
      <c r="BS2638" s="1" t="s">
        <v>109</v>
      </c>
      <c r="BT2638" s="1">
        <v>2741</v>
      </c>
      <c r="BU2638" s="1" t="s">
        <v>109</v>
      </c>
      <c r="BV2638" s="1"/>
      <c r="BW2638" s="1"/>
      <c r="BX2638" s="1"/>
      <c r="BY2638" s="1"/>
      <c r="BZ2638" s="1">
        <v>0</v>
      </c>
      <c r="CA2638" s="1">
        <v>4</v>
      </c>
      <c r="CB2638" s="1">
        <v>3</v>
      </c>
      <c r="CC2638" s="1" t="s">
        <v>109</v>
      </c>
      <c r="CD2638" s="1" t="s">
        <v>109</v>
      </c>
      <c r="CE2638" s="1" t="s">
        <v>109</v>
      </c>
      <c r="CF2638" s="1" t="s">
        <v>109</v>
      </c>
      <c r="CG2638" s="1">
        <v>3</v>
      </c>
      <c r="CH2638" s="1" t="s">
        <v>109</v>
      </c>
      <c r="CI2638" s="1" t="s">
        <v>109</v>
      </c>
      <c r="CJ2638" s="1" t="s">
        <v>109</v>
      </c>
      <c r="CK2638" s="1"/>
      <c r="CL2638" s="1">
        <v>0</v>
      </c>
      <c r="CM2638" s="1">
        <v>0</v>
      </c>
      <c r="CN2638" s="1">
        <v>0</v>
      </c>
    </row>
    <row r="2639" spans="1:92" ht="14.25" customHeight="1" x14ac:dyDescent="0.15">
      <c r="A2639" s="1" t="s">
        <v>18738</v>
      </c>
      <c r="B2639" s="1" t="s">
        <v>189</v>
      </c>
      <c r="C2639" s="1" t="s">
        <v>231</v>
      </c>
      <c r="D2639" s="1"/>
      <c r="E2639" s="1" t="s">
        <v>18739</v>
      </c>
      <c r="F2639" s="1" t="s">
        <v>98</v>
      </c>
      <c r="G2639" s="1" t="s">
        <v>141</v>
      </c>
      <c r="H2639" s="1">
        <v>0</v>
      </c>
      <c r="I2639" s="1" t="s">
        <v>235</v>
      </c>
      <c r="J2639" s="1"/>
      <c r="K2639" s="1"/>
      <c r="L2639" s="1" t="s">
        <v>236</v>
      </c>
      <c r="M2639" s="1" t="s">
        <v>125</v>
      </c>
      <c r="N2639" s="1">
        <v>0</v>
      </c>
      <c r="O2639" s="1">
        <v>0</v>
      </c>
      <c r="P2639" s="1"/>
      <c r="Q2639" s="1"/>
      <c r="R2639" s="1" t="s">
        <v>18740</v>
      </c>
      <c r="S2639" s="1" t="s">
        <v>18741</v>
      </c>
      <c r="T2639" s="1" t="s">
        <v>18731</v>
      </c>
      <c r="U2639" s="1" t="s">
        <v>18742</v>
      </c>
      <c r="V2639" s="1">
        <v>1</v>
      </c>
      <c r="W2639" s="1">
        <v>1</v>
      </c>
      <c r="X2639" s="1">
        <v>0</v>
      </c>
      <c r="Y2639" s="1">
        <v>0</v>
      </c>
      <c r="Z2639" s="1">
        <v>0</v>
      </c>
      <c r="AA2639" s="1">
        <v>2</v>
      </c>
      <c r="AB2639" s="1">
        <v>2</v>
      </c>
      <c r="AC2639" s="1" t="s">
        <v>109</v>
      </c>
      <c r="AD2639" s="1">
        <v>2</v>
      </c>
      <c r="AE2639" s="1">
        <v>2</v>
      </c>
      <c r="AF2639" s="1" t="s">
        <v>109</v>
      </c>
      <c r="AG2639" s="1" t="s">
        <v>109</v>
      </c>
      <c r="AH2639" s="1">
        <v>2</v>
      </c>
      <c r="AI2639" s="1" t="s">
        <v>109</v>
      </c>
      <c r="AJ2639" s="1">
        <v>2</v>
      </c>
      <c r="AK2639" s="1" t="s">
        <v>109</v>
      </c>
      <c r="AL2639" s="1" t="s">
        <v>109</v>
      </c>
      <c r="AM2639" s="1" t="s">
        <v>109</v>
      </c>
      <c r="AN2639" s="1">
        <v>2</v>
      </c>
      <c r="AO2639" s="1" t="s">
        <v>109</v>
      </c>
      <c r="AP2639" s="1"/>
      <c r="AQ2639" s="1">
        <v>2</v>
      </c>
      <c r="AR2639" s="1"/>
      <c r="AS2639" s="1"/>
      <c r="AT2639" s="1">
        <v>0</v>
      </c>
      <c r="AU2639" s="1">
        <v>0</v>
      </c>
      <c r="AV2639" s="1">
        <v>0</v>
      </c>
      <c r="AW2639" s="1">
        <v>0</v>
      </c>
      <c r="AX2639" s="1">
        <v>0</v>
      </c>
      <c r="AY2639" s="1">
        <v>0</v>
      </c>
      <c r="AZ2639" s="1">
        <v>0</v>
      </c>
      <c r="BA2639" s="1">
        <v>0</v>
      </c>
      <c r="BB2639" s="1">
        <v>0</v>
      </c>
      <c r="BC2639" s="1">
        <v>0</v>
      </c>
      <c r="BD2639" s="1">
        <v>0</v>
      </c>
      <c r="BE2639" s="1">
        <v>0</v>
      </c>
      <c r="BF2639" s="1">
        <v>0</v>
      </c>
      <c r="BG2639" s="1">
        <v>0</v>
      </c>
      <c r="BH2639" s="1">
        <v>0</v>
      </c>
      <c r="BI2639" s="1">
        <v>0</v>
      </c>
      <c r="BJ2639" s="1">
        <v>0</v>
      </c>
      <c r="BK2639" s="1">
        <v>0</v>
      </c>
      <c r="BL2639" s="1">
        <v>0</v>
      </c>
      <c r="BM2639" s="1">
        <v>0</v>
      </c>
      <c r="BN2639" s="1">
        <v>0</v>
      </c>
      <c r="BO2639" s="1">
        <v>0</v>
      </c>
      <c r="BP2639" s="1">
        <v>0</v>
      </c>
      <c r="BQ2639" s="1">
        <v>0</v>
      </c>
      <c r="BR2639" s="1">
        <v>0</v>
      </c>
      <c r="BS2639" s="1" t="s">
        <v>109</v>
      </c>
      <c r="BT2639" s="1">
        <v>2742</v>
      </c>
      <c r="BU2639" s="1" t="s">
        <v>109</v>
      </c>
      <c r="BV2639" s="1"/>
      <c r="BW2639" s="1"/>
      <c r="BX2639" s="1"/>
      <c r="BY2639" s="1"/>
      <c r="BZ2639" s="1">
        <v>0</v>
      </c>
      <c r="CA2639" s="1">
        <v>2</v>
      </c>
      <c r="CB2639" s="1" t="s">
        <v>109</v>
      </c>
      <c r="CC2639" s="1" t="s">
        <v>109</v>
      </c>
      <c r="CD2639" s="1" t="s">
        <v>109</v>
      </c>
      <c r="CE2639" s="1" t="s">
        <v>109</v>
      </c>
      <c r="CF2639" s="1" t="s">
        <v>109</v>
      </c>
      <c r="CG2639" s="1" t="s">
        <v>109</v>
      </c>
      <c r="CH2639" s="1" t="s">
        <v>109</v>
      </c>
      <c r="CI2639" s="1" t="s">
        <v>109</v>
      </c>
      <c r="CJ2639" s="1">
        <v>2</v>
      </c>
      <c r="CK2639" s="1"/>
      <c r="CL2639" s="1">
        <v>0</v>
      </c>
      <c r="CM2639" s="1">
        <v>0</v>
      </c>
      <c r="CN2639" s="1">
        <v>0</v>
      </c>
    </row>
    <row r="2640" spans="1:92" ht="14.25" customHeight="1" x14ac:dyDescent="0.15">
      <c r="A2640" s="1" t="s">
        <v>18743</v>
      </c>
      <c r="B2640" s="1" t="s">
        <v>189</v>
      </c>
      <c r="C2640" s="1"/>
      <c r="D2640" s="1"/>
      <c r="E2640" s="1" t="s">
        <v>18744</v>
      </c>
      <c r="F2640" s="1" t="s">
        <v>6545</v>
      </c>
      <c r="G2640" s="1" t="s">
        <v>141</v>
      </c>
      <c r="H2640" s="1">
        <v>0</v>
      </c>
      <c r="I2640" s="1" t="s">
        <v>235</v>
      </c>
      <c r="J2640" s="1"/>
      <c r="K2640" s="1"/>
      <c r="L2640" s="1" t="s">
        <v>236</v>
      </c>
      <c r="M2640" s="1" t="s">
        <v>18745</v>
      </c>
      <c r="N2640" s="1">
        <v>1</v>
      </c>
      <c r="O2640" s="1">
        <v>0</v>
      </c>
      <c r="P2640" s="1" t="s">
        <v>103</v>
      </c>
      <c r="Q2640" s="1" t="s">
        <v>167</v>
      </c>
      <c r="R2640" s="1" t="s">
        <v>18746</v>
      </c>
      <c r="S2640" s="1" t="s">
        <v>18747</v>
      </c>
      <c r="T2640" s="1" t="s">
        <v>18731</v>
      </c>
      <c r="U2640" s="1" t="s">
        <v>18748</v>
      </c>
      <c r="V2640" s="1">
        <v>1</v>
      </c>
      <c r="W2640" s="1">
        <v>1</v>
      </c>
      <c r="X2640" s="1">
        <v>0</v>
      </c>
      <c r="Y2640" s="1">
        <v>0</v>
      </c>
      <c r="Z2640" s="1">
        <v>0</v>
      </c>
      <c r="AA2640" s="1" t="s">
        <v>109</v>
      </c>
      <c r="AB2640" s="1" t="s">
        <v>109</v>
      </c>
      <c r="AC2640" s="1" t="s">
        <v>109</v>
      </c>
      <c r="AD2640" s="1">
        <v>1</v>
      </c>
      <c r="AE2640" s="1">
        <v>1</v>
      </c>
      <c r="AF2640" s="1" t="s">
        <v>109</v>
      </c>
      <c r="AG2640" s="1" t="s">
        <v>109</v>
      </c>
      <c r="AH2640" s="1" t="s">
        <v>109</v>
      </c>
      <c r="AI2640" s="1">
        <v>1</v>
      </c>
      <c r="AJ2640" s="1" t="s">
        <v>109</v>
      </c>
      <c r="AK2640" s="1">
        <v>1</v>
      </c>
      <c r="AL2640" s="1" t="s">
        <v>109</v>
      </c>
      <c r="AM2640" s="1" t="s">
        <v>109</v>
      </c>
      <c r="AN2640" s="1" t="s">
        <v>109</v>
      </c>
      <c r="AO2640" s="1" t="s">
        <v>109</v>
      </c>
      <c r="AP2640" s="1"/>
      <c r="AQ2640" s="1">
        <v>1</v>
      </c>
      <c r="AR2640" s="1"/>
      <c r="AS2640" s="1"/>
      <c r="AT2640" s="1">
        <v>0</v>
      </c>
      <c r="AU2640" s="1">
        <v>0</v>
      </c>
      <c r="AV2640" s="1">
        <v>0</v>
      </c>
      <c r="AW2640" s="1">
        <v>0</v>
      </c>
      <c r="AX2640" s="1">
        <v>0</v>
      </c>
      <c r="AY2640" s="1">
        <v>0</v>
      </c>
      <c r="AZ2640" s="1">
        <v>0</v>
      </c>
      <c r="BA2640" s="1">
        <v>0</v>
      </c>
      <c r="BB2640" s="1">
        <v>0</v>
      </c>
      <c r="BC2640" s="1">
        <v>0</v>
      </c>
      <c r="BD2640" s="1">
        <v>0</v>
      </c>
      <c r="BE2640" s="1">
        <v>0</v>
      </c>
      <c r="BF2640" s="1">
        <v>0</v>
      </c>
      <c r="BG2640" s="1">
        <v>0</v>
      </c>
      <c r="BH2640" s="1">
        <v>0</v>
      </c>
      <c r="BI2640" s="1">
        <v>0</v>
      </c>
      <c r="BJ2640" s="1">
        <v>0</v>
      </c>
      <c r="BK2640" s="1">
        <v>0</v>
      </c>
      <c r="BL2640" s="1">
        <v>0</v>
      </c>
      <c r="BM2640" s="1">
        <v>0</v>
      </c>
      <c r="BN2640" s="1">
        <v>0</v>
      </c>
      <c r="BO2640" s="1">
        <v>0</v>
      </c>
      <c r="BP2640" s="1">
        <v>0</v>
      </c>
      <c r="BQ2640" s="1">
        <v>0</v>
      </c>
      <c r="BR2640" s="1">
        <v>0</v>
      </c>
      <c r="BS2640" s="1" t="s">
        <v>109</v>
      </c>
      <c r="BT2640" s="1">
        <v>2743</v>
      </c>
      <c r="BU2640" s="1" t="s">
        <v>109</v>
      </c>
      <c r="BV2640" s="1"/>
      <c r="BW2640" s="1"/>
      <c r="BX2640" s="1"/>
      <c r="BY2640" s="1"/>
      <c r="BZ2640" s="1">
        <v>0</v>
      </c>
      <c r="CA2640" s="1">
        <v>1</v>
      </c>
      <c r="CB2640" s="1" t="s">
        <v>109</v>
      </c>
      <c r="CC2640" s="1" t="s">
        <v>109</v>
      </c>
      <c r="CD2640" s="1" t="s">
        <v>109</v>
      </c>
      <c r="CE2640" s="1" t="s">
        <v>109</v>
      </c>
      <c r="CF2640" s="1" t="s">
        <v>109</v>
      </c>
      <c r="CG2640" s="1" t="s">
        <v>109</v>
      </c>
      <c r="CH2640" s="1" t="s">
        <v>109</v>
      </c>
      <c r="CI2640" s="1" t="s">
        <v>109</v>
      </c>
      <c r="CJ2640" s="1">
        <v>1</v>
      </c>
      <c r="CK2640" s="1"/>
      <c r="CL2640" s="1">
        <v>0</v>
      </c>
      <c r="CM2640" s="1">
        <v>0</v>
      </c>
      <c r="CN2640" s="1">
        <v>0</v>
      </c>
    </row>
    <row r="2641" spans="1:92" ht="14.25" customHeight="1" x14ac:dyDescent="0.15">
      <c r="A2641" s="1" t="s">
        <v>18749</v>
      </c>
      <c r="B2641" s="1" t="s">
        <v>308</v>
      </c>
      <c r="C2641" s="1"/>
      <c r="D2641" s="1" t="s">
        <v>67</v>
      </c>
      <c r="E2641" s="1" t="s">
        <v>18750</v>
      </c>
      <c r="F2641" s="1" t="s">
        <v>98</v>
      </c>
      <c r="G2641" s="1" t="s">
        <v>141</v>
      </c>
      <c r="H2641" s="1">
        <v>0</v>
      </c>
      <c r="I2641" s="1" t="s">
        <v>235</v>
      </c>
      <c r="J2641" s="1"/>
      <c r="K2641" s="1"/>
      <c r="L2641" s="1" t="s">
        <v>236</v>
      </c>
      <c r="M2641" s="1" t="s">
        <v>6144</v>
      </c>
      <c r="N2641" s="1">
        <v>1</v>
      </c>
      <c r="O2641" s="1">
        <v>0</v>
      </c>
      <c r="P2641" s="1" t="s">
        <v>103</v>
      </c>
      <c r="Q2641" s="1" t="s">
        <v>104</v>
      </c>
      <c r="R2641" s="1" t="s">
        <v>18751</v>
      </c>
      <c r="S2641" s="1" t="s">
        <v>18752</v>
      </c>
      <c r="T2641" s="1" t="s">
        <v>18731</v>
      </c>
      <c r="U2641" s="1" t="s">
        <v>18753</v>
      </c>
      <c r="V2641" s="1">
        <v>1</v>
      </c>
      <c r="W2641" s="1">
        <v>1</v>
      </c>
      <c r="X2641" s="1">
        <v>0</v>
      </c>
      <c r="Y2641" s="1">
        <v>0</v>
      </c>
      <c r="Z2641" s="1">
        <v>0</v>
      </c>
      <c r="AA2641" s="1" t="s">
        <v>109</v>
      </c>
      <c r="AB2641" s="1" t="s">
        <v>109</v>
      </c>
      <c r="AC2641" s="1" t="s">
        <v>109</v>
      </c>
      <c r="AD2641" s="1">
        <v>3</v>
      </c>
      <c r="AE2641" s="1">
        <v>2</v>
      </c>
      <c r="AF2641" s="1" t="s">
        <v>109</v>
      </c>
      <c r="AG2641" s="1" t="s">
        <v>109</v>
      </c>
      <c r="AH2641" s="1">
        <v>2</v>
      </c>
      <c r="AI2641" s="1" t="s">
        <v>109</v>
      </c>
      <c r="AJ2641" s="1" t="s">
        <v>109</v>
      </c>
      <c r="AK2641" s="1">
        <v>3</v>
      </c>
      <c r="AL2641" s="1" t="s">
        <v>109</v>
      </c>
      <c r="AM2641" s="1" t="s">
        <v>109</v>
      </c>
      <c r="AN2641" s="1" t="s">
        <v>109</v>
      </c>
      <c r="AO2641" s="1" t="s">
        <v>109</v>
      </c>
      <c r="AP2641" s="1"/>
      <c r="AQ2641" s="1">
        <v>3</v>
      </c>
      <c r="AR2641" s="1"/>
      <c r="AS2641" s="1"/>
      <c r="AT2641" s="1">
        <v>0</v>
      </c>
      <c r="AU2641" s="1">
        <v>0</v>
      </c>
      <c r="AV2641" s="1">
        <v>0</v>
      </c>
      <c r="AW2641" s="1">
        <v>0</v>
      </c>
      <c r="AX2641" s="1">
        <v>0</v>
      </c>
      <c r="AY2641" s="1">
        <v>0</v>
      </c>
      <c r="AZ2641" s="1">
        <v>0</v>
      </c>
      <c r="BA2641" s="1">
        <v>0</v>
      </c>
      <c r="BB2641" s="1">
        <v>0</v>
      </c>
      <c r="BC2641" s="1">
        <v>0</v>
      </c>
      <c r="BD2641" s="1">
        <v>0</v>
      </c>
      <c r="BE2641" s="1">
        <v>0</v>
      </c>
      <c r="BF2641" s="1">
        <v>0</v>
      </c>
      <c r="BG2641" s="1">
        <v>0</v>
      </c>
      <c r="BH2641" s="1">
        <v>0</v>
      </c>
      <c r="BI2641" s="1">
        <v>0</v>
      </c>
      <c r="BJ2641" s="1">
        <v>0</v>
      </c>
      <c r="BK2641" s="1">
        <v>0</v>
      </c>
      <c r="BL2641" s="1">
        <v>0</v>
      </c>
      <c r="BM2641" s="1">
        <v>0</v>
      </c>
      <c r="BN2641" s="1">
        <v>0</v>
      </c>
      <c r="BO2641" s="1">
        <v>1</v>
      </c>
      <c r="BP2641" s="1">
        <v>0</v>
      </c>
      <c r="BQ2641" s="1">
        <v>0</v>
      </c>
      <c r="BR2641" s="1">
        <v>0</v>
      </c>
      <c r="BS2641" s="1" t="s">
        <v>109</v>
      </c>
      <c r="BT2641" s="1">
        <v>2744</v>
      </c>
      <c r="BU2641" s="1" t="s">
        <v>109</v>
      </c>
      <c r="BV2641" s="1"/>
      <c r="BW2641" s="1"/>
      <c r="BX2641" s="1"/>
      <c r="BY2641" s="1"/>
      <c r="BZ2641" s="1">
        <v>0</v>
      </c>
      <c r="CA2641" s="1" t="s">
        <v>109</v>
      </c>
      <c r="CB2641" s="1" t="s">
        <v>109</v>
      </c>
      <c r="CC2641" s="1" t="s">
        <v>109</v>
      </c>
      <c r="CD2641" s="1" t="s">
        <v>109</v>
      </c>
      <c r="CE2641" s="1" t="s">
        <v>109</v>
      </c>
      <c r="CF2641" s="1" t="s">
        <v>109</v>
      </c>
      <c r="CG2641" s="1" t="s">
        <v>109</v>
      </c>
      <c r="CH2641" s="1" t="s">
        <v>109</v>
      </c>
      <c r="CI2641" s="1" t="s">
        <v>109</v>
      </c>
      <c r="CJ2641" s="1">
        <v>2</v>
      </c>
      <c r="CK2641" s="1"/>
      <c r="CL2641" s="1">
        <v>0</v>
      </c>
      <c r="CM2641" s="1">
        <v>0</v>
      </c>
      <c r="CN2641" s="1">
        <v>0</v>
      </c>
    </row>
    <row r="2642" spans="1:92" ht="14.25" customHeight="1" x14ac:dyDescent="0.15">
      <c r="A2642" s="1" t="s">
        <v>18754</v>
      </c>
      <c r="B2642" s="1" t="s">
        <v>156</v>
      </c>
      <c r="C2642" s="1" t="s">
        <v>157</v>
      </c>
      <c r="D2642" s="1" t="s">
        <v>954</v>
      </c>
      <c r="E2642" s="1" t="s">
        <v>18755</v>
      </c>
      <c r="F2642" s="1" t="s">
        <v>98</v>
      </c>
      <c r="G2642" s="1" t="s">
        <v>141</v>
      </c>
      <c r="H2642" s="1">
        <v>0</v>
      </c>
      <c r="I2642" s="1" t="s">
        <v>5737</v>
      </c>
      <c r="J2642" s="1"/>
      <c r="K2642" s="1"/>
      <c r="L2642" s="1" t="s">
        <v>563</v>
      </c>
      <c r="M2642" s="1" t="s">
        <v>18756</v>
      </c>
      <c r="N2642" s="1">
        <v>1</v>
      </c>
      <c r="O2642" s="1">
        <v>0</v>
      </c>
      <c r="P2642" s="1"/>
      <c r="Q2642" s="1"/>
      <c r="R2642" s="1" t="s">
        <v>18757</v>
      </c>
      <c r="S2642" s="1" t="s">
        <v>18758</v>
      </c>
      <c r="T2642" s="1" t="s">
        <v>18731</v>
      </c>
      <c r="U2642" s="1" t="s">
        <v>18759</v>
      </c>
      <c r="V2642" s="1">
        <v>1</v>
      </c>
      <c r="W2642" s="1">
        <v>1</v>
      </c>
      <c r="X2642" s="1">
        <v>0</v>
      </c>
      <c r="Y2642" s="1">
        <v>0</v>
      </c>
      <c r="Z2642" s="1">
        <v>0</v>
      </c>
      <c r="AA2642" s="1">
        <v>5</v>
      </c>
      <c r="AB2642" s="1">
        <v>5</v>
      </c>
      <c r="AC2642" s="1" t="s">
        <v>109</v>
      </c>
      <c r="AD2642" s="1" t="s">
        <v>109</v>
      </c>
      <c r="AE2642" s="1" t="s">
        <v>109</v>
      </c>
      <c r="AF2642" s="1">
        <v>4</v>
      </c>
      <c r="AG2642" s="1" t="s">
        <v>109</v>
      </c>
      <c r="AH2642" s="1" t="s">
        <v>109</v>
      </c>
      <c r="AI2642" s="1" t="s">
        <v>109</v>
      </c>
      <c r="AJ2642" s="1">
        <v>5</v>
      </c>
      <c r="AK2642" s="1" t="s">
        <v>109</v>
      </c>
      <c r="AL2642" s="1" t="s">
        <v>109</v>
      </c>
      <c r="AM2642" s="1" t="s">
        <v>109</v>
      </c>
      <c r="AN2642" s="1" t="s">
        <v>109</v>
      </c>
      <c r="AO2642" s="1" t="s">
        <v>109</v>
      </c>
      <c r="AP2642" s="1"/>
      <c r="AQ2642" s="1">
        <v>5</v>
      </c>
      <c r="AR2642" s="1"/>
      <c r="AS2642" s="1"/>
      <c r="AT2642" s="1">
        <v>0</v>
      </c>
      <c r="AU2642" s="1">
        <v>0</v>
      </c>
      <c r="AV2642" s="1">
        <v>0</v>
      </c>
      <c r="AW2642" s="1">
        <v>0</v>
      </c>
      <c r="AX2642" s="1">
        <v>0</v>
      </c>
      <c r="AY2642" s="1">
        <v>0</v>
      </c>
      <c r="AZ2642" s="1">
        <v>0</v>
      </c>
      <c r="BA2642" s="1">
        <v>0</v>
      </c>
      <c r="BB2642" s="1">
        <v>0</v>
      </c>
      <c r="BC2642" s="1">
        <v>0</v>
      </c>
      <c r="BD2642" s="1">
        <v>0</v>
      </c>
      <c r="BE2642" s="1">
        <v>0</v>
      </c>
      <c r="BF2642" s="1">
        <v>0</v>
      </c>
      <c r="BG2642" s="1">
        <v>0</v>
      </c>
      <c r="BH2642" s="1">
        <v>0</v>
      </c>
      <c r="BI2642" s="1">
        <v>0</v>
      </c>
      <c r="BJ2642" s="1">
        <v>1</v>
      </c>
      <c r="BK2642" s="1">
        <v>0</v>
      </c>
      <c r="BL2642" s="1">
        <v>0</v>
      </c>
      <c r="BM2642" s="1">
        <v>1</v>
      </c>
      <c r="BN2642" s="1">
        <v>0</v>
      </c>
      <c r="BO2642" s="1">
        <v>0</v>
      </c>
      <c r="BP2642" s="1">
        <v>0</v>
      </c>
      <c r="BQ2642" s="1">
        <v>0</v>
      </c>
      <c r="BR2642" s="1">
        <v>0</v>
      </c>
      <c r="BS2642" s="1" t="s">
        <v>109</v>
      </c>
      <c r="BT2642" s="1">
        <v>2745</v>
      </c>
      <c r="BU2642" s="1" t="s">
        <v>109</v>
      </c>
      <c r="BV2642" s="1"/>
      <c r="BW2642" s="1"/>
      <c r="BX2642" s="1"/>
      <c r="BY2642" s="1"/>
      <c r="BZ2642" s="1">
        <v>0</v>
      </c>
      <c r="CA2642" s="1" t="s">
        <v>109</v>
      </c>
      <c r="CB2642" s="1" t="s">
        <v>109</v>
      </c>
      <c r="CC2642" s="1">
        <v>5</v>
      </c>
      <c r="CD2642" s="1">
        <v>4</v>
      </c>
      <c r="CE2642" s="1">
        <v>4</v>
      </c>
      <c r="CF2642" s="1">
        <v>5</v>
      </c>
      <c r="CG2642" s="1" t="s">
        <v>109</v>
      </c>
      <c r="CH2642" s="1" t="s">
        <v>109</v>
      </c>
      <c r="CI2642" s="1" t="s">
        <v>109</v>
      </c>
      <c r="CJ2642" s="1" t="s">
        <v>109</v>
      </c>
      <c r="CK2642" s="1"/>
      <c r="CL2642" s="1">
        <v>0</v>
      </c>
      <c r="CM2642" s="1">
        <v>0</v>
      </c>
      <c r="CN2642" s="1">
        <v>0</v>
      </c>
    </row>
    <row r="2643" spans="1:92" ht="14.25" customHeight="1" x14ac:dyDescent="0.15">
      <c r="A2643" s="1" t="s">
        <v>18760</v>
      </c>
      <c r="B2643" s="1" t="s">
        <v>156</v>
      </c>
      <c r="C2643" s="1" t="s">
        <v>834</v>
      </c>
      <c r="D2643" s="1" t="s">
        <v>158</v>
      </c>
      <c r="E2643" s="1" t="s">
        <v>16563</v>
      </c>
      <c r="F2643" s="1" t="s">
        <v>98</v>
      </c>
      <c r="G2643" s="1" t="s">
        <v>141</v>
      </c>
      <c r="H2643" s="1">
        <v>0</v>
      </c>
      <c r="I2643" s="1" t="s">
        <v>5737</v>
      </c>
      <c r="J2643" s="1"/>
      <c r="K2643" s="1"/>
      <c r="L2643" s="1" t="s">
        <v>1391</v>
      </c>
      <c r="M2643" s="1" t="s">
        <v>6625</v>
      </c>
      <c r="N2643" s="1">
        <v>1</v>
      </c>
      <c r="O2643" s="1">
        <v>0</v>
      </c>
      <c r="P2643" s="1" t="s">
        <v>301</v>
      </c>
      <c r="Q2643" s="1" t="s">
        <v>268</v>
      </c>
      <c r="R2643" s="1" t="s">
        <v>18761</v>
      </c>
      <c r="S2643" s="1" t="s">
        <v>18762</v>
      </c>
      <c r="T2643" s="1" t="s">
        <v>18731</v>
      </c>
      <c r="U2643" s="1" t="s">
        <v>18763</v>
      </c>
      <c r="V2643" s="1">
        <v>1</v>
      </c>
      <c r="W2643" s="1">
        <v>1</v>
      </c>
      <c r="X2643" s="1">
        <v>0</v>
      </c>
      <c r="Y2643" s="1">
        <v>0</v>
      </c>
      <c r="Z2643" s="1">
        <v>0</v>
      </c>
      <c r="AA2643" s="1">
        <v>3</v>
      </c>
      <c r="AB2643" s="1">
        <v>3</v>
      </c>
      <c r="AC2643" s="1" t="s">
        <v>109</v>
      </c>
      <c r="AD2643" s="1" t="s">
        <v>109</v>
      </c>
      <c r="AE2643" s="1" t="s">
        <v>109</v>
      </c>
      <c r="AF2643" s="1">
        <v>3</v>
      </c>
      <c r="AG2643" s="1" t="s">
        <v>109</v>
      </c>
      <c r="AH2643" s="1" t="s">
        <v>109</v>
      </c>
      <c r="AI2643" s="1" t="s">
        <v>109</v>
      </c>
      <c r="AJ2643" s="1">
        <v>3</v>
      </c>
      <c r="AK2643" s="1">
        <v>3</v>
      </c>
      <c r="AL2643" s="1" t="s">
        <v>109</v>
      </c>
      <c r="AM2643" s="1">
        <v>3</v>
      </c>
      <c r="AN2643" s="1" t="s">
        <v>109</v>
      </c>
      <c r="AO2643" s="1" t="s">
        <v>109</v>
      </c>
      <c r="AP2643" s="1"/>
      <c r="AQ2643" s="1">
        <v>3</v>
      </c>
      <c r="AR2643" s="1"/>
      <c r="AS2643" s="1"/>
      <c r="AT2643" s="1">
        <v>0</v>
      </c>
      <c r="AU2643" s="1">
        <v>0</v>
      </c>
      <c r="AV2643" s="1">
        <v>0</v>
      </c>
      <c r="AW2643" s="1">
        <v>0</v>
      </c>
      <c r="AX2643" s="1">
        <v>0</v>
      </c>
      <c r="AY2643" s="1">
        <v>0</v>
      </c>
      <c r="AZ2643" s="1">
        <v>0</v>
      </c>
      <c r="BA2643" s="1">
        <v>0</v>
      </c>
      <c r="BB2643" s="1">
        <v>0</v>
      </c>
      <c r="BC2643" s="1">
        <v>0</v>
      </c>
      <c r="BD2643" s="1">
        <v>0</v>
      </c>
      <c r="BE2643" s="1">
        <v>0</v>
      </c>
      <c r="BF2643" s="1">
        <v>0</v>
      </c>
      <c r="BG2643" s="1">
        <v>0</v>
      </c>
      <c r="BH2643" s="1">
        <v>0</v>
      </c>
      <c r="BI2643" s="1">
        <v>0</v>
      </c>
      <c r="BJ2643" s="1">
        <v>0</v>
      </c>
      <c r="BK2643" s="1">
        <v>0</v>
      </c>
      <c r="BL2643" s="1">
        <v>0</v>
      </c>
      <c r="BM2643" s="1">
        <v>1</v>
      </c>
      <c r="BN2643" s="1">
        <v>0</v>
      </c>
      <c r="BO2643" s="1">
        <v>0</v>
      </c>
      <c r="BP2643" s="1">
        <v>0</v>
      </c>
      <c r="BQ2643" s="1">
        <v>0</v>
      </c>
      <c r="BR2643" s="1">
        <v>0</v>
      </c>
      <c r="BS2643" s="1" t="s">
        <v>109</v>
      </c>
      <c r="BT2643" s="1">
        <v>2746</v>
      </c>
      <c r="BU2643" s="1" t="s">
        <v>109</v>
      </c>
      <c r="BV2643" s="1"/>
      <c r="BW2643" s="1"/>
      <c r="BX2643" s="1"/>
      <c r="BY2643" s="1"/>
      <c r="BZ2643" s="1">
        <v>0</v>
      </c>
      <c r="CA2643" s="1" t="s">
        <v>109</v>
      </c>
      <c r="CB2643" s="1" t="s">
        <v>109</v>
      </c>
      <c r="CC2643" s="1">
        <v>3</v>
      </c>
      <c r="CD2643" s="1" t="s">
        <v>109</v>
      </c>
      <c r="CE2643" s="1">
        <v>3</v>
      </c>
      <c r="CF2643" s="1" t="s">
        <v>109</v>
      </c>
      <c r="CG2643" s="1" t="s">
        <v>109</v>
      </c>
      <c r="CH2643" s="1" t="s">
        <v>109</v>
      </c>
      <c r="CI2643" s="1" t="s">
        <v>109</v>
      </c>
      <c r="CJ2643" s="1" t="s">
        <v>109</v>
      </c>
      <c r="CK2643" s="1"/>
      <c r="CL2643" s="1">
        <v>0</v>
      </c>
      <c r="CM2643" s="1">
        <v>0</v>
      </c>
      <c r="CN2643" s="1">
        <v>0</v>
      </c>
    </row>
    <row r="2644" spans="1:92" ht="14.25" customHeight="1" x14ac:dyDescent="0.15">
      <c r="A2644" s="1" t="s">
        <v>18764</v>
      </c>
      <c r="B2644" s="1" t="s">
        <v>156</v>
      </c>
      <c r="C2644" s="1" t="s">
        <v>157</v>
      </c>
      <c r="D2644" s="1" t="s">
        <v>158</v>
      </c>
      <c r="E2644" s="1" t="s">
        <v>18765</v>
      </c>
      <c r="F2644" s="1" t="s">
        <v>355</v>
      </c>
      <c r="G2644" s="1" t="s">
        <v>141</v>
      </c>
      <c r="H2644" s="1">
        <v>0</v>
      </c>
      <c r="I2644" s="1" t="s">
        <v>142</v>
      </c>
      <c r="J2644" s="1" t="s">
        <v>2691</v>
      </c>
      <c r="K2644" s="1"/>
      <c r="L2644" s="1"/>
      <c r="M2644" s="1" t="s">
        <v>6625</v>
      </c>
      <c r="N2644" s="1">
        <v>1</v>
      </c>
      <c r="O2644" s="1">
        <v>0</v>
      </c>
      <c r="P2644" s="1" t="s">
        <v>301</v>
      </c>
      <c r="Q2644" s="1" t="s">
        <v>268</v>
      </c>
      <c r="R2644" s="1" t="s">
        <v>18766</v>
      </c>
      <c r="S2644" s="1" t="s">
        <v>18767</v>
      </c>
      <c r="T2644" s="1" t="s">
        <v>18731</v>
      </c>
      <c r="U2644" s="1" t="s">
        <v>18768</v>
      </c>
      <c r="V2644" s="1">
        <v>1</v>
      </c>
      <c r="W2644" s="1">
        <v>1</v>
      </c>
      <c r="X2644" s="1">
        <v>0</v>
      </c>
      <c r="Y2644" s="1">
        <v>0</v>
      </c>
      <c r="Z2644" s="1">
        <v>0</v>
      </c>
      <c r="AA2644" s="1">
        <v>4</v>
      </c>
      <c r="AB2644" s="1">
        <v>4</v>
      </c>
      <c r="AC2644" s="1" t="s">
        <v>109</v>
      </c>
      <c r="AD2644" s="1" t="s">
        <v>109</v>
      </c>
      <c r="AE2644" s="1" t="s">
        <v>109</v>
      </c>
      <c r="AF2644" s="1">
        <v>4</v>
      </c>
      <c r="AG2644" s="1" t="s">
        <v>109</v>
      </c>
      <c r="AH2644" s="1" t="s">
        <v>109</v>
      </c>
      <c r="AI2644" s="1" t="s">
        <v>109</v>
      </c>
      <c r="AJ2644" s="1">
        <v>4</v>
      </c>
      <c r="AK2644" s="1" t="s">
        <v>109</v>
      </c>
      <c r="AL2644" s="1" t="s">
        <v>109</v>
      </c>
      <c r="AM2644" s="1" t="s">
        <v>109</v>
      </c>
      <c r="AN2644" s="1" t="s">
        <v>109</v>
      </c>
      <c r="AO2644" s="1" t="s">
        <v>109</v>
      </c>
      <c r="AP2644" s="1"/>
      <c r="AQ2644" s="1">
        <v>4</v>
      </c>
      <c r="AR2644" s="1"/>
      <c r="AS2644" s="1"/>
      <c r="AT2644" s="1">
        <v>0</v>
      </c>
      <c r="AU2644" s="1">
        <v>0</v>
      </c>
      <c r="AV2644" s="1">
        <v>0</v>
      </c>
      <c r="AW2644" s="1">
        <v>0</v>
      </c>
      <c r="AX2644" s="1">
        <v>0</v>
      </c>
      <c r="AY2644" s="1">
        <v>0</v>
      </c>
      <c r="AZ2644" s="1">
        <v>0</v>
      </c>
      <c r="BA2644" s="1">
        <v>0</v>
      </c>
      <c r="BB2644" s="1">
        <v>0</v>
      </c>
      <c r="BC2644" s="1">
        <v>0</v>
      </c>
      <c r="BD2644" s="1">
        <v>0</v>
      </c>
      <c r="BE2644" s="1">
        <v>0</v>
      </c>
      <c r="BF2644" s="1">
        <v>0</v>
      </c>
      <c r="BG2644" s="1">
        <v>0</v>
      </c>
      <c r="BH2644" s="1">
        <v>0</v>
      </c>
      <c r="BI2644" s="1">
        <v>0</v>
      </c>
      <c r="BJ2644" s="1">
        <v>0</v>
      </c>
      <c r="BK2644" s="1">
        <v>0</v>
      </c>
      <c r="BL2644" s="1">
        <v>0</v>
      </c>
      <c r="BM2644" s="1">
        <v>1</v>
      </c>
      <c r="BN2644" s="1">
        <v>0</v>
      </c>
      <c r="BO2644" s="1">
        <v>0</v>
      </c>
      <c r="BP2644" s="1">
        <v>0</v>
      </c>
      <c r="BQ2644" s="1">
        <v>0</v>
      </c>
      <c r="BR2644" s="1">
        <v>0</v>
      </c>
      <c r="BS2644" s="1" t="s">
        <v>109</v>
      </c>
      <c r="BT2644" s="1">
        <v>2747</v>
      </c>
      <c r="BU2644" s="1" t="s">
        <v>109</v>
      </c>
      <c r="BV2644" s="1"/>
      <c r="BW2644" s="1"/>
      <c r="BX2644" s="1"/>
      <c r="BY2644" s="1"/>
      <c r="BZ2644" s="1">
        <v>0</v>
      </c>
      <c r="CA2644" s="1" t="s">
        <v>109</v>
      </c>
      <c r="CB2644" s="1" t="s">
        <v>109</v>
      </c>
      <c r="CC2644" s="1">
        <v>4</v>
      </c>
      <c r="CD2644" s="1" t="s">
        <v>109</v>
      </c>
      <c r="CE2644" s="1">
        <v>4</v>
      </c>
      <c r="CF2644" s="1">
        <v>4</v>
      </c>
      <c r="CG2644" s="1" t="s">
        <v>109</v>
      </c>
      <c r="CH2644" s="1" t="s">
        <v>109</v>
      </c>
      <c r="CI2644" s="1" t="s">
        <v>109</v>
      </c>
      <c r="CJ2644" s="1" t="s">
        <v>109</v>
      </c>
      <c r="CK2644" s="1"/>
      <c r="CL2644" s="1">
        <v>0</v>
      </c>
      <c r="CM2644" s="1">
        <v>0</v>
      </c>
      <c r="CN2644" s="1">
        <v>0</v>
      </c>
    </row>
    <row r="2645" spans="1:92" ht="14.25" customHeight="1" x14ac:dyDescent="0.15">
      <c r="A2645" s="1" t="s">
        <v>18769</v>
      </c>
      <c r="B2645" s="1" t="s">
        <v>189</v>
      </c>
      <c r="C2645" s="1"/>
      <c r="D2645" s="1"/>
      <c r="E2645" s="1" t="s">
        <v>18770</v>
      </c>
      <c r="F2645" s="1" t="s">
        <v>395</v>
      </c>
      <c r="G2645" s="1" t="s">
        <v>18771</v>
      </c>
      <c r="H2645" s="1">
        <v>1</v>
      </c>
      <c r="I2645" s="1" t="s">
        <v>161</v>
      </c>
      <c r="J2645" s="1"/>
      <c r="K2645" s="1"/>
      <c r="L2645" s="1" t="s">
        <v>18772</v>
      </c>
      <c r="M2645" s="1" t="s">
        <v>211</v>
      </c>
      <c r="N2645" s="1">
        <v>0</v>
      </c>
      <c r="O2645" s="1">
        <v>0</v>
      </c>
      <c r="P2645" s="1" t="s">
        <v>507</v>
      </c>
      <c r="Q2645" s="1" t="s">
        <v>104</v>
      </c>
      <c r="R2645" s="1" t="s">
        <v>18773</v>
      </c>
      <c r="S2645" s="1" t="s">
        <v>18774</v>
      </c>
      <c r="T2645" s="1" t="s">
        <v>18731</v>
      </c>
      <c r="U2645" s="1" t="s">
        <v>18775</v>
      </c>
      <c r="V2645" s="1">
        <v>1</v>
      </c>
      <c r="W2645" s="1">
        <v>1</v>
      </c>
      <c r="X2645" s="1">
        <v>1</v>
      </c>
      <c r="Y2645" s="1">
        <v>0</v>
      </c>
      <c r="Z2645" s="1">
        <v>0</v>
      </c>
      <c r="AA2645" s="1" t="s">
        <v>109</v>
      </c>
      <c r="AB2645" s="1" t="s">
        <v>109</v>
      </c>
      <c r="AC2645" s="1">
        <v>6</v>
      </c>
      <c r="AD2645" s="1">
        <v>6</v>
      </c>
      <c r="AE2645" s="1" t="s">
        <v>109</v>
      </c>
      <c r="AF2645" s="1" t="s">
        <v>109</v>
      </c>
      <c r="AG2645" s="1" t="s">
        <v>109</v>
      </c>
      <c r="AH2645" s="1" t="s">
        <v>109</v>
      </c>
      <c r="AI2645" s="1" t="s">
        <v>109</v>
      </c>
      <c r="AJ2645" s="1">
        <v>6</v>
      </c>
      <c r="AK2645" s="1" t="s">
        <v>109</v>
      </c>
      <c r="AL2645" s="1">
        <v>6</v>
      </c>
      <c r="AM2645" s="1" t="s">
        <v>109</v>
      </c>
      <c r="AN2645" s="1" t="s">
        <v>109</v>
      </c>
      <c r="AO2645" s="1" t="s">
        <v>109</v>
      </c>
      <c r="AP2645" s="1"/>
      <c r="AQ2645" s="1">
        <v>6</v>
      </c>
      <c r="AR2645" s="1"/>
      <c r="AS2645" s="1"/>
      <c r="AT2645" s="1">
        <v>0</v>
      </c>
      <c r="AU2645" s="1">
        <v>0</v>
      </c>
      <c r="AV2645" s="1">
        <v>0</v>
      </c>
      <c r="AW2645" s="1">
        <v>0</v>
      </c>
      <c r="AX2645" s="1">
        <v>0</v>
      </c>
      <c r="AY2645" s="1">
        <v>0</v>
      </c>
      <c r="AZ2645" s="1">
        <v>0</v>
      </c>
      <c r="BA2645" s="1">
        <v>0</v>
      </c>
      <c r="BB2645" s="1">
        <v>0</v>
      </c>
      <c r="BC2645" s="1">
        <v>0</v>
      </c>
      <c r="BD2645" s="1">
        <v>0</v>
      </c>
      <c r="BE2645" s="1">
        <v>0</v>
      </c>
      <c r="BF2645" s="1">
        <v>0</v>
      </c>
      <c r="BG2645" s="1">
        <v>0</v>
      </c>
      <c r="BH2645" s="1">
        <v>0</v>
      </c>
      <c r="BI2645" s="1">
        <v>0</v>
      </c>
      <c r="BJ2645" s="1">
        <v>0</v>
      </c>
      <c r="BK2645" s="1">
        <v>0</v>
      </c>
      <c r="BL2645" s="1">
        <v>0</v>
      </c>
      <c r="BM2645" s="1">
        <v>0</v>
      </c>
      <c r="BN2645" s="1">
        <v>0</v>
      </c>
      <c r="BO2645" s="1">
        <v>0</v>
      </c>
      <c r="BP2645" s="1">
        <v>0</v>
      </c>
      <c r="BQ2645" s="1">
        <v>0</v>
      </c>
      <c r="BR2645" s="1">
        <v>0</v>
      </c>
      <c r="BS2645" s="1" t="s">
        <v>109</v>
      </c>
      <c r="BT2645" s="1">
        <v>2748</v>
      </c>
      <c r="BU2645" s="1">
        <v>250</v>
      </c>
      <c r="BV2645" s="1"/>
      <c r="BW2645" s="1"/>
      <c r="BX2645" s="1"/>
      <c r="BY2645" s="1"/>
      <c r="BZ2645" s="1">
        <v>0</v>
      </c>
      <c r="CA2645" s="1" t="s">
        <v>109</v>
      </c>
      <c r="CB2645" s="1">
        <v>6</v>
      </c>
      <c r="CC2645" s="1" t="s">
        <v>109</v>
      </c>
      <c r="CD2645" s="1" t="s">
        <v>109</v>
      </c>
      <c r="CE2645" s="1" t="s">
        <v>109</v>
      </c>
      <c r="CF2645" s="1" t="s">
        <v>109</v>
      </c>
      <c r="CG2645" s="1" t="s">
        <v>109</v>
      </c>
      <c r="CH2645" s="1" t="s">
        <v>109</v>
      </c>
      <c r="CI2645" s="1" t="s">
        <v>109</v>
      </c>
      <c r="CJ2645" s="1">
        <v>6</v>
      </c>
      <c r="CK2645" s="1"/>
      <c r="CL2645" s="1">
        <v>0</v>
      </c>
      <c r="CM2645" s="1">
        <v>0</v>
      </c>
      <c r="CN2645" s="1">
        <v>0</v>
      </c>
    </row>
    <row r="2646" spans="1:92" ht="14.25" customHeight="1" x14ac:dyDescent="0.15">
      <c r="A2646" s="1" t="s">
        <v>18776</v>
      </c>
      <c r="B2646" s="1" t="s">
        <v>189</v>
      </c>
      <c r="C2646" s="1" t="s">
        <v>231</v>
      </c>
      <c r="D2646" s="1"/>
      <c r="E2646" s="1" t="s">
        <v>18777</v>
      </c>
      <c r="F2646" s="1" t="s">
        <v>98</v>
      </c>
      <c r="G2646" s="1" t="s">
        <v>18778</v>
      </c>
      <c r="H2646" s="1">
        <v>0</v>
      </c>
      <c r="I2646" s="1" t="s">
        <v>235</v>
      </c>
      <c r="J2646" s="1"/>
      <c r="K2646" s="1"/>
      <c r="L2646" s="1" t="s">
        <v>236</v>
      </c>
      <c r="M2646" s="1" t="s">
        <v>6144</v>
      </c>
      <c r="N2646" s="1">
        <v>1</v>
      </c>
      <c r="O2646" s="1">
        <v>0</v>
      </c>
      <c r="P2646" s="1"/>
      <c r="Q2646" s="1"/>
      <c r="R2646" s="1" t="s">
        <v>18779</v>
      </c>
      <c r="S2646" s="1" t="s">
        <v>18780</v>
      </c>
      <c r="T2646" s="1" t="s">
        <v>18731</v>
      </c>
      <c r="U2646" s="1" t="s">
        <v>18781</v>
      </c>
      <c r="V2646" s="1">
        <v>1</v>
      </c>
      <c r="W2646" s="1">
        <v>1</v>
      </c>
      <c r="X2646" s="1">
        <v>1</v>
      </c>
      <c r="Y2646" s="1">
        <v>0</v>
      </c>
      <c r="Z2646" s="1">
        <v>0</v>
      </c>
      <c r="AA2646" s="1">
        <v>4</v>
      </c>
      <c r="AB2646" s="1">
        <v>4</v>
      </c>
      <c r="AC2646" s="1" t="s">
        <v>109</v>
      </c>
      <c r="AD2646" s="1" t="s">
        <v>109</v>
      </c>
      <c r="AE2646" s="1" t="s">
        <v>109</v>
      </c>
      <c r="AF2646" s="1" t="s">
        <v>109</v>
      </c>
      <c r="AG2646" s="1" t="s">
        <v>109</v>
      </c>
      <c r="AH2646" s="1">
        <v>4</v>
      </c>
      <c r="AI2646" s="1" t="s">
        <v>109</v>
      </c>
      <c r="AJ2646" s="1" t="s">
        <v>109</v>
      </c>
      <c r="AK2646" s="1" t="s">
        <v>109</v>
      </c>
      <c r="AL2646" s="1" t="s">
        <v>109</v>
      </c>
      <c r="AM2646" s="1" t="s">
        <v>109</v>
      </c>
      <c r="AN2646" s="1">
        <v>4</v>
      </c>
      <c r="AO2646" s="1" t="s">
        <v>109</v>
      </c>
      <c r="AP2646" s="1"/>
      <c r="AQ2646" s="1">
        <v>4</v>
      </c>
      <c r="AR2646" s="1"/>
      <c r="AS2646" s="1"/>
      <c r="AT2646" s="1">
        <v>0</v>
      </c>
      <c r="AU2646" s="1">
        <v>0</v>
      </c>
      <c r="AV2646" s="1">
        <v>0</v>
      </c>
      <c r="AW2646" s="1">
        <v>0</v>
      </c>
      <c r="AX2646" s="1">
        <v>0</v>
      </c>
      <c r="AY2646" s="1">
        <v>0</v>
      </c>
      <c r="AZ2646" s="1">
        <v>0</v>
      </c>
      <c r="BA2646" s="1">
        <v>0</v>
      </c>
      <c r="BB2646" s="1">
        <v>0</v>
      </c>
      <c r="BC2646" s="1">
        <v>0</v>
      </c>
      <c r="BD2646" s="1">
        <v>0</v>
      </c>
      <c r="BE2646" s="1">
        <v>0</v>
      </c>
      <c r="BF2646" s="1">
        <v>0</v>
      </c>
      <c r="BG2646" s="1">
        <v>0</v>
      </c>
      <c r="BH2646" s="1">
        <v>0</v>
      </c>
      <c r="BI2646" s="1">
        <v>0</v>
      </c>
      <c r="BJ2646" s="1">
        <v>0</v>
      </c>
      <c r="BK2646" s="1">
        <v>0</v>
      </c>
      <c r="BL2646" s="1">
        <v>0</v>
      </c>
      <c r="BM2646" s="1">
        <v>0</v>
      </c>
      <c r="BN2646" s="1">
        <v>0</v>
      </c>
      <c r="BO2646" s="1">
        <v>0</v>
      </c>
      <c r="BP2646" s="1">
        <v>0</v>
      </c>
      <c r="BQ2646" s="1">
        <v>0</v>
      </c>
      <c r="BR2646" s="1">
        <v>0</v>
      </c>
      <c r="BS2646" s="1" t="s">
        <v>109</v>
      </c>
      <c r="BT2646" s="1">
        <v>2749</v>
      </c>
      <c r="BU2646" s="1" t="s">
        <v>109</v>
      </c>
      <c r="BV2646" s="1"/>
      <c r="BW2646" s="1"/>
      <c r="BX2646" s="1"/>
      <c r="BY2646" s="1"/>
      <c r="BZ2646" s="1">
        <v>0</v>
      </c>
      <c r="CA2646" s="1">
        <v>4</v>
      </c>
      <c r="CB2646" s="1" t="s">
        <v>109</v>
      </c>
      <c r="CC2646" s="1" t="s">
        <v>109</v>
      </c>
      <c r="CD2646" s="1" t="s">
        <v>109</v>
      </c>
      <c r="CE2646" s="1" t="s">
        <v>109</v>
      </c>
      <c r="CF2646" s="1" t="s">
        <v>109</v>
      </c>
      <c r="CG2646" s="1" t="s">
        <v>109</v>
      </c>
      <c r="CH2646" s="1" t="s">
        <v>109</v>
      </c>
      <c r="CI2646" s="1" t="s">
        <v>109</v>
      </c>
      <c r="CJ2646" s="1" t="s">
        <v>109</v>
      </c>
      <c r="CK2646" s="1"/>
      <c r="CL2646" s="1">
        <v>0</v>
      </c>
      <c r="CM2646" s="1">
        <v>0</v>
      </c>
      <c r="CN2646" s="1">
        <v>0</v>
      </c>
    </row>
    <row r="2647" spans="1:92" ht="14.25" customHeight="1" x14ac:dyDescent="0.15">
      <c r="A2647" s="1" t="s">
        <v>18782</v>
      </c>
      <c r="B2647" s="1" t="s">
        <v>189</v>
      </c>
      <c r="C2647" s="1" t="s">
        <v>231</v>
      </c>
      <c r="D2647" s="1"/>
      <c r="E2647" s="1" t="s">
        <v>18783</v>
      </c>
      <c r="F2647" s="1" t="s">
        <v>98</v>
      </c>
      <c r="G2647" s="1" t="s">
        <v>18778</v>
      </c>
      <c r="H2647" s="1">
        <v>0</v>
      </c>
      <c r="I2647" s="1" t="s">
        <v>235</v>
      </c>
      <c r="J2647" s="1"/>
      <c r="K2647" s="1"/>
      <c r="L2647" s="1" t="s">
        <v>236</v>
      </c>
      <c r="M2647" s="1" t="s">
        <v>6144</v>
      </c>
      <c r="N2647" s="1">
        <v>1</v>
      </c>
      <c r="O2647" s="1">
        <v>0</v>
      </c>
      <c r="P2647" s="1"/>
      <c r="Q2647" s="1"/>
      <c r="R2647" s="1" t="s">
        <v>18784</v>
      </c>
      <c r="S2647" s="1" t="s">
        <v>18785</v>
      </c>
      <c r="T2647" s="1" t="s">
        <v>18731</v>
      </c>
      <c r="U2647" s="1" t="s">
        <v>18786</v>
      </c>
      <c r="V2647" s="1">
        <v>1</v>
      </c>
      <c r="W2647" s="1">
        <v>1</v>
      </c>
      <c r="X2647" s="1">
        <v>1</v>
      </c>
      <c r="Y2647" s="1">
        <v>0</v>
      </c>
      <c r="Z2647" s="1">
        <v>0</v>
      </c>
      <c r="AA2647" s="1">
        <v>5</v>
      </c>
      <c r="AB2647" s="1">
        <v>5</v>
      </c>
      <c r="AC2647" s="1" t="s">
        <v>109</v>
      </c>
      <c r="AD2647" s="1" t="s">
        <v>109</v>
      </c>
      <c r="AE2647" s="1" t="s">
        <v>109</v>
      </c>
      <c r="AF2647" s="1" t="s">
        <v>109</v>
      </c>
      <c r="AG2647" s="1" t="s">
        <v>109</v>
      </c>
      <c r="AH2647" s="1">
        <v>5</v>
      </c>
      <c r="AI2647" s="1" t="s">
        <v>109</v>
      </c>
      <c r="AJ2647" s="1" t="s">
        <v>109</v>
      </c>
      <c r="AK2647" s="1" t="s">
        <v>109</v>
      </c>
      <c r="AL2647" s="1" t="s">
        <v>109</v>
      </c>
      <c r="AM2647" s="1" t="s">
        <v>109</v>
      </c>
      <c r="AN2647" s="1">
        <v>5</v>
      </c>
      <c r="AO2647" s="1" t="s">
        <v>109</v>
      </c>
      <c r="AP2647" s="1"/>
      <c r="AQ2647" s="1">
        <v>5</v>
      </c>
      <c r="AR2647" s="1"/>
      <c r="AS2647" s="1"/>
      <c r="AT2647" s="1">
        <v>0</v>
      </c>
      <c r="AU2647" s="1">
        <v>0</v>
      </c>
      <c r="AV2647" s="1">
        <v>0</v>
      </c>
      <c r="AW2647" s="1">
        <v>0</v>
      </c>
      <c r="AX2647" s="1">
        <v>0</v>
      </c>
      <c r="AY2647" s="1">
        <v>0</v>
      </c>
      <c r="AZ2647" s="1">
        <v>0</v>
      </c>
      <c r="BA2647" s="1">
        <v>0</v>
      </c>
      <c r="BB2647" s="1">
        <v>0</v>
      </c>
      <c r="BC2647" s="1">
        <v>0</v>
      </c>
      <c r="BD2647" s="1">
        <v>0</v>
      </c>
      <c r="BE2647" s="1">
        <v>0</v>
      </c>
      <c r="BF2647" s="1">
        <v>0</v>
      </c>
      <c r="BG2647" s="1">
        <v>0</v>
      </c>
      <c r="BH2647" s="1">
        <v>0</v>
      </c>
      <c r="BI2647" s="1">
        <v>0</v>
      </c>
      <c r="BJ2647" s="1">
        <v>0</v>
      </c>
      <c r="BK2647" s="1">
        <v>0</v>
      </c>
      <c r="BL2647" s="1">
        <v>0</v>
      </c>
      <c r="BM2647" s="1">
        <v>0</v>
      </c>
      <c r="BN2647" s="1">
        <v>0</v>
      </c>
      <c r="BO2647" s="1">
        <v>0</v>
      </c>
      <c r="BP2647" s="1">
        <v>0</v>
      </c>
      <c r="BQ2647" s="1">
        <v>0</v>
      </c>
      <c r="BR2647" s="1">
        <v>0</v>
      </c>
      <c r="BS2647" s="1" t="s">
        <v>109</v>
      </c>
      <c r="BT2647" s="1">
        <v>2750</v>
      </c>
      <c r="BU2647" s="1" t="s">
        <v>109</v>
      </c>
      <c r="BV2647" s="1"/>
      <c r="BW2647" s="1"/>
      <c r="BX2647" s="1"/>
      <c r="BY2647" s="1"/>
      <c r="BZ2647" s="1">
        <v>0</v>
      </c>
      <c r="CA2647" s="1">
        <v>5</v>
      </c>
      <c r="CB2647" s="1" t="s">
        <v>109</v>
      </c>
      <c r="CC2647" s="1" t="s">
        <v>109</v>
      </c>
      <c r="CD2647" s="1" t="s">
        <v>109</v>
      </c>
      <c r="CE2647" s="1" t="s">
        <v>109</v>
      </c>
      <c r="CF2647" s="1" t="s">
        <v>109</v>
      </c>
      <c r="CG2647" s="1" t="s">
        <v>109</v>
      </c>
      <c r="CH2647" s="1" t="s">
        <v>109</v>
      </c>
      <c r="CI2647" s="1" t="s">
        <v>109</v>
      </c>
      <c r="CJ2647" s="1" t="s">
        <v>109</v>
      </c>
      <c r="CK2647" s="1"/>
      <c r="CL2647" s="1">
        <v>0</v>
      </c>
      <c r="CM2647" s="1">
        <v>0</v>
      </c>
      <c r="CN2647" s="1">
        <v>0</v>
      </c>
    </row>
    <row r="2648" spans="1:92" ht="14.25" customHeight="1" x14ac:dyDescent="0.15">
      <c r="A2648" s="1" t="s">
        <v>18787</v>
      </c>
      <c r="B2648" s="1" t="s">
        <v>189</v>
      </c>
      <c r="C2648" s="1" t="s">
        <v>231</v>
      </c>
      <c r="D2648" s="1"/>
      <c r="E2648" s="1" t="s">
        <v>18788</v>
      </c>
      <c r="F2648" s="1" t="s">
        <v>98</v>
      </c>
      <c r="G2648" s="1" t="s">
        <v>18778</v>
      </c>
      <c r="H2648" s="1">
        <v>0</v>
      </c>
      <c r="I2648" s="1" t="s">
        <v>235</v>
      </c>
      <c r="J2648" s="1"/>
      <c r="K2648" s="1"/>
      <c r="L2648" s="1" t="s">
        <v>236</v>
      </c>
      <c r="M2648" s="1" t="s">
        <v>6144</v>
      </c>
      <c r="N2648" s="1">
        <v>1</v>
      </c>
      <c r="O2648" s="1">
        <v>0</v>
      </c>
      <c r="P2648" s="1"/>
      <c r="Q2648" s="1"/>
      <c r="R2648" s="1" t="s">
        <v>18789</v>
      </c>
      <c r="S2648" s="1" t="s">
        <v>18790</v>
      </c>
      <c r="T2648" s="1" t="s">
        <v>18731</v>
      </c>
      <c r="U2648" s="1" t="s">
        <v>18791</v>
      </c>
      <c r="V2648" s="1">
        <v>1</v>
      </c>
      <c r="W2648" s="1">
        <v>1</v>
      </c>
      <c r="X2648" s="1">
        <v>1</v>
      </c>
      <c r="Y2648" s="1">
        <v>0</v>
      </c>
      <c r="Z2648" s="1">
        <v>0</v>
      </c>
      <c r="AA2648" s="1">
        <v>6</v>
      </c>
      <c r="AB2648" s="1">
        <v>6</v>
      </c>
      <c r="AC2648" s="1" t="s">
        <v>109</v>
      </c>
      <c r="AD2648" s="1" t="s">
        <v>109</v>
      </c>
      <c r="AE2648" s="1" t="s">
        <v>109</v>
      </c>
      <c r="AF2648" s="1" t="s">
        <v>109</v>
      </c>
      <c r="AG2648" s="1" t="s">
        <v>109</v>
      </c>
      <c r="AH2648" s="1">
        <v>6</v>
      </c>
      <c r="AI2648" s="1" t="s">
        <v>109</v>
      </c>
      <c r="AJ2648" s="1" t="s">
        <v>109</v>
      </c>
      <c r="AK2648" s="1" t="s">
        <v>109</v>
      </c>
      <c r="AL2648" s="1" t="s">
        <v>109</v>
      </c>
      <c r="AM2648" s="1" t="s">
        <v>109</v>
      </c>
      <c r="AN2648" s="1">
        <v>6</v>
      </c>
      <c r="AO2648" s="1" t="s">
        <v>109</v>
      </c>
      <c r="AP2648" s="1"/>
      <c r="AQ2648" s="1">
        <v>6</v>
      </c>
      <c r="AR2648" s="1"/>
      <c r="AS2648" s="1"/>
      <c r="AT2648" s="1">
        <v>0</v>
      </c>
      <c r="AU2648" s="1">
        <v>0</v>
      </c>
      <c r="AV2648" s="1">
        <v>0</v>
      </c>
      <c r="AW2648" s="1">
        <v>0</v>
      </c>
      <c r="AX2648" s="1">
        <v>0</v>
      </c>
      <c r="AY2648" s="1">
        <v>0</v>
      </c>
      <c r="AZ2648" s="1">
        <v>0</v>
      </c>
      <c r="BA2648" s="1">
        <v>0</v>
      </c>
      <c r="BB2648" s="1">
        <v>0</v>
      </c>
      <c r="BC2648" s="1">
        <v>0</v>
      </c>
      <c r="BD2648" s="1">
        <v>0</v>
      </c>
      <c r="BE2648" s="1">
        <v>0</v>
      </c>
      <c r="BF2648" s="1">
        <v>0</v>
      </c>
      <c r="BG2648" s="1">
        <v>0</v>
      </c>
      <c r="BH2648" s="1">
        <v>0</v>
      </c>
      <c r="BI2648" s="1">
        <v>0</v>
      </c>
      <c r="BJ2648" s="1">
        <v>0</v>
      </c>
      <c r="BK2648" s="1">
        <v>0</v>
      </c>
      <c r="BL2648" s="1">
        <v>0</v>
      </c>
      <c r="BM2648" s="1">
        <v>0</v>
      </c>
      <c r="BN2648" s="1">
        <v>0</v>
      </c>
      <c r="BO2648" s="1">
        <v>0</v>
      </c>
      <c r="BP2648" s="1">
        <v>0</v>
      </c>
      <c r="BQ2648" s="1">
        <v>0</v>
      </c>
      <c r="BR2648" s="1">
        <v>0</v>
      </c>
      <c r="BS2648" s="1" t="s">
        <v>109</v>
      </c>
      <c r="BT2648" s="1">
        <v>2751</v>
      </c>
      <c r="BU2648" s="1" t="s">
        <v>109</v>
      </c>
      <c r="BV2648" s="1"/>
      <c r="BW2648" s="1"/>
      <c r="BX2648" s="1"/>
      <c r="BY2648" s="1"/>
      <c r="BZ2648" s="1">
        <v>0</v>
      </c>
      <c r="CA2648" s="1">
        <v>6</v>
      </c>
      <c r="CB2648" s="1" t="s">
        <v>109</v>
      </c>
      <c r="CC2648" s="1" t="s">
        <v>109</v>
      </c>
      <c r="CD2648" s="1" t="s">
        <v>109</v>
      </c>
      <c r="CE2648" s="1" t="s">
        <v>109</v>
      </c>
      <c r="CF2648" s="1" t="s">
        <v>109</v>
      </c>
      <c r="CG2648" s="1" t="s">
        <v>109</v>
      </c>
      <c r="CH2648" s="1" t="s">
        <v>109</v>
      </c>
      <c r="CI2648" s="1" t="s">
        <v>109</v>
      </c>
      <c r="CJ2648" s="1" t="s">
        <v>109</v>
      </c>
      <c r="CK2648" s="1"/>
      <c r="CL2648" s="1">
        <v>0</v>
      </c>
      <c r="CM2648" s="1">
        <v>0</v>
      </c>
      <c r="CN2648" s="1">
        <v>0</v>
      </c>
    </row>
    <row r="2649" spans="1:92" ht="14.25" customHeight="1" x14ac:dyDescent="0.15">
      <c r="A2649" s="1" t="s">
        <v>18792</v>
      </c>
      <c r="B2649" s="1" t="s">
        <v>308</v>
      </c>
      <c r="C2649" s="1"/>
      <c r="D2649" s="1"/>
      <c r="E2649" s="1" t="s">
        <v>18793</v>
      </c>
      <c r="F2649" s="1" t="s">
        <v>355</v>
      </c>
      <c r="G2649" s="1" t="s">
        <v>18794</v>
      </c>
      <c r="H2649" s="1">
        <v>0</v>
      </c>
      <c r="I2649" s="1" t="s">
        <v>122</v>
      </c>
      <c r="J2649" s="1"/>
      <c r="K2649" s="1"/>
      <c r="L2649" s="1" t="s">
        <v>18795</v>
      </c>
      <c r="M2649" s="1" t="s">
        <v>144</v>
      </c>
      <c r="N2649" s="1">
        <v>0</v>
      </c>
      <c r="O2649" s="1">
        <v>0</v>
      </c>
      <c r="P2649" s="1" t="s">
        <v>301</v>
      </c>
      <c r="Q2649" s="1" t="s">
        <v>268</v>
      </c>
      <c r="R2649" s="1" t="s">
        <v>18796</v>
      </c>
      <c r="S2649" s="1" t="s">
        <v>18797</v>
      </c>
      <c r="T2649" s="1" t="s">
        <v>18731</v>
      </c>
      <c r="U2649" s="1" t="s">
        <v>18798</v>
      </c>
      <c r="V2649" s="1">
        <v>0</v>
      </c>
      <c r="W2649" s="1">
        <v>1</v>
      </c>
      <c r="X2649" s="1">
        <v>1</v>
      </c>
      <c r="Y2649" s="1">
        <v>0</v>
      </c>
      <c r="Z2649" s="1">
        <v>0</v>
      </c>
      <c r="AA2649" s="1">
        <v>1</v>
      </c>
      <c r="AB2649" s="1">
        <v>1</v>
      </c>
      <c r="AC2649" s="1" t="s">
        <v>109</v>
      </c>
      <c r="AD2649" s="1">
        <v>1</v>
      </c>
      <c r="AE2649" s="1" t="s">
        <v>109</v>
      </c>
      <c r="AF2649" s="1">
        <v>1</v>
      </c>
      <c r="AG2649" s="1" t="s">
        <v>109</v>
      </c>
      <c r="AH2649" s="1" t="s">
        <v>109</v>
      </c>
      <c r="AI2649" s="1" t="s">
        <v>109</v>
      </c>
      <c r="AJ2649" s="1">
        <v>1</v>
      </c>
      <c r="AK2649" s="1" t="s">
        <v>109</v>
      </c>
      <c r="AL2649" s="1" t="s">
        <v>109</v>
      </c>
      <c r="AM2649" s="1" t="s">
        <v>109</v>
      </c>
      <c r="AN2649" s="1" t="s">
        <v>109</v>
      </c>
      <c r="AO2649" s="1" t="s">
        <v>109</v>
      </c>
      <c r="AP2649" s="1"/>
      <c r="AQ2649" s="1">
        <v>1</v>
      </c>
      <c r="AR2649" s="1"/>
      <c r="AS2649" s="1"/>
      <c r="AT2649" s="1">
        <v>0</v>
      </c>
      <c r="AU2649" s="1">
        <v>0</v>
      </c>
      <c r="AV2649" s="1">
        <v>0</v>
      </c>
      <c r="AW2649" s="1">
        <v>0</v>
      </c>
      <c r="AX2649" s="1">
        <v>0</v>
      </c>
      <c r="AY2649" s="1">
        <v>0</v>
      </c>
      <c r="AZ2649" s="1">
        <v>0</v>
      </c>
      <c r="BA2649" s="1">
        <v>0</v>
      </c>
      <c r="BB2649" s="1">
        <v>0</v>
      </c>
      <c r="BC2649" s="1">
        <v>0</v>
      </c>
      <c r="BD2649" s="1">
        <v>0</v>
      </c>
      <c r="BE2649" s="1">
        <v>0</v>
      </c>
      <c r="BF2649" s="1">
        <v>0</v>
      </c>
      <c r="BG2649" s="1">
        <v>0</v>
      </c>
      <c r="BH2649" s="1">
        <v>0</v>
      </c>
      <c r="BI2649" s="1">
        <v>0</v>
      </c>
      <c r="BJ2649" s="1">
        <v>0</v>
      </c>
      <c r="BK2649" s="1">
        <v>0</v>
      </c>
      <c r="BL2649" s="1">
        <v>0</v>
      </c>
      <c r="BM2649" s="1">
        <v>0</v>
      </c>
      <c r="BN2649" s="1">
        <v>0</v>
      </c>
      <c r="BO2649" s="1">
        <v>0</v>
      </c>
      <c r="BP2649" s="1">
        <v>0</v>
      </c>
      <c r="BQ2649" s="1">
        <v>0</v>
      </c>
      <c r="BR2649" s="1">
        <v>0</v>
      </c>
      <c r="BS2649" s="1" t="s">
        <v>109</v>
      </c>
      <c r="BT2649" s="1">
        <v>2752</v>
      </c>
      <c r="BU2649" s="1" t="s">
        <v>109</v>
      </c>
      <c r="BV2649" s="1"/>
      <c r="BW2649" s="1"/>
      <c r="BX2649" s="1"/>
      <c r="BY2649" s="1"/>
      <c r="BZ2649" s="1">
        <v>0</v>
      </c>
      <c r="CA2649" s="1" t="s">
        <v>109</v>
      </c>
      <c r="CB2649" s="1" t="s">
        <v>109</v>
      </c>
      <c r="CC2649" s="1" t="s">
        <v>109</v>
      </c>
      <c r="CD2649" s="1" t="s">
        <v>109</v>
      </c>
      <c r="CE2649" s="1" t="s">
        <v>109</v>
      </c>
      <c r="CF2649" s="1" t="s">
        <v>109</v>
      </c>
      <c r="CG2649" s="1" t="s">
        <v>109</v>
      </c>
      <c r="CH2649" s="1" t="s">
        <v>109</v>
      </c>
      <c r="CI2649" s="1" t="s">
        <v>109</v>
      </c>
      <c r="CJ2649" s="1">
        <v>1</v>
      </c>
      <c r="CK2649" s="1"/>
      <c r="CL2649" s="1">
        <v>0</v>
      </c>
      <c r="CM2649" s="1">
        <v>0</v>
      </c>
      <c r="CN2649" s="1">
        <v>0</v>
      </c>
    </row>
    <row r="2650" spans="1:92" ht="14.25" customHeight="1" x14ac:dyDescent="0.15">
      <c r="A2650" s="1" t="s">
        <v>18799</v>
      </c>
      <c r="B2650" s="1" t="s">
        <v>95</v>
      </c>
      <c r="C2650" s="1"/>
      <c r="D2650" s="1"/>
      <c r="E2650" s="1" t="s">
        <v>18800</v>
      </c>
      <c r="F2650" s="1" t="s">
        <v>98</v>
      </c>
      <c r="G2650" s="1" t="s">
        <v>18801</v>
      </c>
      <c r="H2650" s="1">
        <v>0</v>
      </c>
      <c r="I2650" s="1" t="s">
        <v>142</v>
      </c>
      <c r="J2650" s="1"/>
      <c r="K2650" s="1"/>
      <c r="L2650" s="1" t="s">
        <v>1391</v>
      </c>
      <c r="M2650" s="1" t="s">
        <v>5711</v>
      </c>
      <c r="N2650" s="1">
        <v>0</v>
      </c>
      <c r="O2650" s="1">
        <v>0</v>
      </c>
      <c r="P2650" s="1" t="s">
        <v>8111</v>
      </c>
      <c r="Q2650" s="1" t="s">
        <v>268</v>
      </c>
      <c r="R2650" s="1" t="s">
        <v>18802</v>
      </c>
      <c r="S2650" s="1" t="s">
        <v>18803</v>
      </c>
      <c r="T2650" s="1" t="s">
        <v>18731</v>
      </c>
      <c r="U2650" s="1" t="s">
        <v>18804</v>
      </c>
      <c r="V2650" s="1">
        <v>1</v>
      </c>
      <c r="W2650" s="1">
        <v>1</v>
      </c>
      <c r="X2650" s="1">
        <v>1</v>
      </c>
      <c r="Y2650" s="1">
        <v>0</v>
      </c>
      <c r="Z2650" s="1">
        <v>0</v>
      </c>
      <c r="AA2650" s="1">
        <v>1</v>
      </c>
      <c r="AB2650" s="1">
        <v>1</v>
      </c>
      <c r="AC2650" s="1" t="s">
        <v>109</v>
      </c>
      <c r="AD2650" s="1" t="s">
        <v>109</v>
      </c>
      <c r="AE2650" s="1" t="s">
        <v>109</v>
      </c>
      <c r="AF2650" s="1" t="s">
        <v>109</v>
      </c>
      <c r="AG2650" s="1" t="s">
        <v>109</v>
      </c>
      <c r="AH2650" s="1" t="s">
        <v>109</v>
      </c>
      <c r="AI2650" s="1" t="s">
        <v>109</v>
      </c>
      <c r="AJ2650" s="1">
        <v>1</v>
      </c>
      <c r="AK2650" s="1" t="s">
        <v>109</v>
      </c>
      <c r="AL2650" s="1" t="s">
        <v>109</v>
      </c>
      <c r="AM2650" s="1" t="s">
        <v>109</v>
      </c>
      <c r="AN2650" s="1" t="s">
        <v>109</v>
      </c>
      <c r="AO2650" s="1" t="s">
        <v>109</v>
      </c>
      <c r="AP2650" s="1"/>
      <c r="AQ2650" s="1">
        <v>1</v>
      </c>
      <c r="AR2650" s="1"/>
      <c r="AS2650" s="1"/>
      <c r="AT2650" s="1">
        <v>0</v>
      </c>
      <c r="AU2650" s="1">
        <v>0</v>
      </c>
      <c r="AV2650" s="1">
        <v>0</v>
      </c>
      <c r="AW2650" s="1">
        <v>0</v>
      </c>
      <c r="AX2650" s="1">
        <v>0</v>
      </c>
      <c r="AY2650" s="1">
        <v>0</v>
      </c>
      <c r="AZ2650" s="1">
        <v>0</v>
      </c>
      <c r="BA2650" s="1">
        <v>0</v>
      </c>
      <c r="BB2650" s="1">
        <v>0</v>
      </c>
      <c r="BC2650" s="1">
        <v>0</v>
      </c>
      <c r="BD2650" s="1">
        <v>0</v>
      </c>
      <c r="BE2650" s="1">
        <v>0</v>
      </c>
      <c r="BF2650" s="1">
        <v>0</v>
      </c>
      <c r="BG2650" s="1">
        <v>0</v>
      </c>
      <c r="BH2650" s="1">
        <v>0</v>
      </c>
      <c r="BI2650" s="1">
        <v>0</v>
      </c>
      <c r="BJ2650" s="1">
        <v>0</v>
      </c>
      <c r="BK2650" s="1">
        <v>0</v>
      </c>
      <c r="BL2650" s="1">
        <v>0</v>
      </c>
      <c r="BM2650" s="1">
        <v>0</v>
      </c>
      <c r="BN2650" s="1">
        <v>0</v>
      </c>
      <c r="BO2650" s="1">
        <v>0</v>
      </c>
      <c r="BP2650" s="1">
        <v>0</v>
      </c>
      <c r="BQ2650" s="1">
        <v>0</v>
      </c>
      <c r="BR2650" s="1">
        <v>0</v>
      </c>
      <c r="BS2650" s="1" t="s">
        <v>109</v>
      </c>
      <c r="BT2650" s="1">
        <v>2753</v>
      </c>
      <c r="BU2650" s="1" t="s">
        <v>109</v>
      </c>
      <c r="BV2650" s="1"/>
      <c r="BW2650" s="1"/>
      <c r="BX2650" s="1"/>
      <c r="BY2650" s="1"/>
      <c r="BZ2650" s="1">
        <v>0</v>
      </c>
      <c r="CA2650" s="1" t="s">
        <v>109</v>
      </c>
      <c r="CB2650" s="1" t="s">
        <v>109</v>
      </c>
      <c r="CC2650" s="1" t="s">
        <v>109</v>
      </c>
      <c r="CD2650" s="1" t="s">
        <v>109</v>
      </c>
      <c r="CE2650" s="1">
        <v>1</v>
      </c>
      <c r="CF2650" s="1" t="s">
        <v>109</v>
      </c>
      <c r="CG2650" s="1">
        <v>1</v>
      </c>
      <c r="CH2650" s="1" t="s">
        <v>109</v>
      </c>
      <c r="CI2650" s="1" t="s">
        <v>109</v>
      </c>
      <c r="CJ2650" s="1" t="s">
        <v>109</v>
      </c>
      <c r="CK2650" s="1"/>
      <c r="CL2650" s="1">
        <v>0</v>
      </c>
      <c r="CM2650" s="1">
        <v>0</v>
      </c>
      <c r="CN2650" s="1">
        <v>0</v>
      </c>
    </row>
    <row r="2651" spans="1:92" ht="14.25" customHeight="1" x14ac:dyDescent="0.15">
      <c r="A2651" s="1" t="s">
        <v>18805</v>
      </c>
      <c r="B2651" s="1" t="s">
        <v>189</v>
      </c>
      <c r="C2651" s="1"/>
      <c r="D2651" s="1"/>
      <c r="E2651" s="1" t="s">
        <v>18806</v>
      </c>
      <c r="F2651" s="1" t="s">
        <v>98</v>
      </c>
      <c r="G2651" s="1" t="s">
        <v>141</v>
      </c>
      <c r="H2651" s="1">
        <v>0</v>
      </c>
      <c r="I2651" s="1" t="s">
        <v>142</v>
      </c>
      <c r="J2651" s="1"/>
      <c r="K2651" s="1"/>
      <c r="L2651" s="1" t="s">
        <v>1391</v>
      </c>
      <c r="M2651" s="1" t="s">
        <v>144</v>
      </c>
      <c r="N2651" s="1">
        <v>0</v>
      </c>
      <c r="O2651" s="1">
        <v>0</v>
      </c>
      <c r="P2651" s="1" t="s">
        <v>103</v>
      </c>
      <c r="Q2651" s="1" t="s">
        <v>268</v>
      </c>
      <c r="R2651" s="1" t="s">
        <v>18807</v>
      </c>
      <c r="S2651" s="1" t="s">
        <v>18808</v>
      </c>
      <c r="T2651" s="1" t="s">
        <v>18731</v>
      </c>
      <c r="U2651" s="1" t="s">
        <v>18809</v>
      </c>
      <c r="V2651" s="1">
        <v>1</v>
      </c>
      <c r="W2651" s="1">
        <v>1</v>
      </c>
      <c r="X2651" s="1">
        <v>0</v>
      </c>
      <c r="Y2651" s="1">
        <v>0</v>
      </c>
      <c r="Z2651" s="1">
        <v>0</v>
      </c>
      <c r="AA2651" s="1" t="s">
        <v>109</v>
      </c>
      <c r="AB2651" s="1" t="s">
        <v>109</v>
      </c>
      <c r="AC2651" s="1" t="s">
        <v>109</v>
      </c>
      <c r="AD2651" s="1" t="s">
        <v>109</v>
      </c>
      <c r="AE2651" s="1" t="s">
        <v>109</v>
      </c>
      <c r="AF2651" s="1" t="s">
        <v>109</v>
      </c>
      <c r="AG2651" s="1" t="s">
        <v>109</v>
      </c>
      <c r="AH2651" s="1" t="s">
        <v>109</v>
      </c>
      <c r="AI2651" s="1" t="s">
        <v>109</v>
      </c>
      <c r="AJ2651" s="1">
        <v>1</v>
      </c>
      <c r="AK2651" s="1" t="s">
        <v>109</v>
      </c>
      <c r="AL2651" s="1" t="s">
        <v>109</v>
      </c>
      <c r="AM2651" s="1" t="s">
        <v>109</v>
      </c>
      <c r="AN2651" s="1" t="s">
        <v>109</v>
      </c>
      <c r="AO2651" s="1" t="s">
        <v>109</v>
      </c>
      <c r="AP2651" s="1"/>
      <c r="AQ2651" s="1">
        <v>1</v>
      </c>
      <c r="AR2651" s="1"/>
      <c r="AS2651" s="1"/>
      <c r="AT2651" s="1">
        <v>0</v>
      </c>
      <c r="AU2651" s="1">
        <v>0</v>
      </c>
      <c r="AV2651" s="1">
        <v>0</v>
      </c>
      <c r="AW2651" s="1">
        <v>0</v>
      </c>
      <c r="AX2651" s="1">
        <v>0</v>
      </c>
      <c r="AY2651" s="1">
        <v>0</v>
      </c>
      <c r="AZ2651" s="1">
        <v>0</v>
      </c>
      <c r="BA2651" s="1">
        <v>0</v>
      </c>
      <c r="BB2651" s="1">
        <v>0</v>
      </c>
      <c r="BC2651" s="1">
        <v>0</v>
      </c>
      <c r="BD2651" s="1">
        <v>0</v>
      </c>
      <c r="BE2651" s="1">
        <v>0</v>
      </c>
      <c r="BF2651" s="1">
        <v>0</v>
      </c>
      <c r="BG2651" s="1">
        <v>0</v>
      </c>
      <c r="BH2651" s="1">
        <v>0</v>
      </c>
      <c r="BI2651" s="1">
        <v>0</v>
      </c>
      <c r="BJ2651" s="1">
        <v>0</v>
      </c>
      <c r="BK2651" s="1">
        <v>0</v>
      </c>
      <c r="BL2651" s="1">
        <v>0</v>
      </c>
      <c r="BM2651" s="1">
        <v>0</v>
      </c>
      <c r="BN2651" s="1">
        <v>0</v>
      </c>
      <c r="BO2651" s="1">
        <v>0</v>
      </c>
      <c r="BP2651" s="1">
        <v>0</v>
      </c>
      <c r="BQ2651" s="1">
        <v>0</v>
      </c>
      <c r="BR2651" s="1">
        <v>0</v>
      </c>
      <c r="BS2651" s="1" t="s">
        <v>109</v>
      </c>
      <c r="BT2651" s="1">
        <v>2754</v>
      </c>
      <c r="BU2651" s="1" t="s">
        <v>109</v>
      </c>
      <c r="BV2651" s="1"/>
      <c r="BW2651" s="1"/>
      <c r="BX2651" s="1"/>
      <c r="BY2651" s="1"/>
      <c r="BZ2651" s="1">
        <v>0</v>
      </c>
      <c r="CA2651" s="1" t="s">
        <v>109</v>
      </c>
      <c r="CB2651" s="1" t="s">
        <v>109</v>
      </c>
      <c r="CC2651" s="1">
        <v>1</v>
      </c>
      <c r="CD2651" s="1" t="s">
        <v>109</v>
      </c>
      <c r="CE2651" s="1" t="s">
        <v>109</v>
      </c>
      <c r="CF2651" s="1" t="s">
        <v>109</v>
      </c>
      <c r="CG2651" s="1">
        <v>1</v>
      </c>
      <c r="CH2651" s="1" t="s">
        <v>109</v>
      </c>
      <c r="CI2651" s="1" t="s">
        <v>109</v>
      </c>
      <c r="CJ2651" s="1" t="s">
        <v>109</v>
      </c>
      <c r="CK2651" s="1"/>
      <c r="CL2651" s="1">
        <v>0</v>
      </c>
      <c r="CM2651" s="1">
        <v>0</v>
      </c>
      <c r="CN2651" s="1">
        <v>0</v>
      </c>
    </row>
    <row r="2652" spans="1:92" ht="14.25" customHeight="1" x14ac:dyDescent="0.15">
      <c r="A2652" s="1" t="s">
        <v>18810</v>
      </c>
      <c r="B2652" s="1" t="s">
        <v>156</v>
      </c>
      <c r="C2652" s="1" t="s">
        <v>157</v>
      </c>
      <c r="D2652" s="1" t="s">
        <v>158</v>
      </c>
      <c r="E2652" s="1" t="s">
        <v>18811</v>
      </c>
      <c r="F2652" s="1" t="s">
        <v>355</v>
      </c>
      <c r="G2652" s="1" t="s">
        <v>141</v>
      </c>
      <c r="H2652" s="1">
        <v>0</v>
      </c>
      <c r="I2652" s="1" t="s">
        <v>142</v>
      </c>
      <c r="J2652" s="1"/>
      <c r="K2652" s="1"/>
      <c r="L2652" s="1" t="s">
        <v>563</v>
      </c>
      <c r="M2652" s="1" t="s">
        <v>144</v>
      </c>
      <c r="N2652" s="1">
        <v>0</v>
      </c>
      <c r="O2652" s="1">
        <v>0</v>
      </c>
      <c r="P2652" s="1" t="s">
        <v>301</v>
      </c>
      <c r="Q2652" s="1" t="s">
        <v>268</v>
      </c>
      <c r="R2652" s="1" t="s">
        <v>18812</v>
      </c>
      <c r="S2652" s="1" t="s">
        <v>18813</v>
      </c>
      <c r="T2652" s="1" t="s">
        <v>18814</v>
      </c>
      <c r="U2652" s="1" t="s">
        <v>18815</v>
      </c>
      <c r="V2652" s="1">
        <v>1</v>
      </c>
      <c r="W2652" s="1">
        <v>1</v>
      </c>
      <c r="X2652" s="1">
        <v>0</v>
      </c>
      <c r="Y2652" s="1">
        <v>0</v>
      </c>
      <c r="Z2652" s="1">
        <v>0</v>
      </c>
      <c r="AA2652" s="1">
        <v>4</v>
      </c>
      <c r="AB2652" s="1">
        <v>4</v>
      </c>
      <c r="AC2652" s="1" t="s">
        <v>109</v>
      </c>
      <c r="AD2652" s="1" t="s">
        <v>109</v>
      </c>
      <c r="AE2652" s="1" t="s">
        <v>109</v>
      </c>
      <c r="AF2652" s="1">
        <v>4</v>
      </c>
      <c r="AG2652" s="1" t="s">
        <v>109</v>
      </c>
      <c r="AH2652" s="1" t="s">
        <v>109</v>
      </c>
      <c r="AI2652" s="1" t="s">
        <v>109</v>
      </c>
      <c r="AJ2652" s="1" t="s">
        <v>109</v>
      </c>
      <c r="AK2652" s="1" t="s">
        <v>109</v>
      </c>
      <c r="AL2652" s="1" t="s">
        <v>109</v>
      </c>
      <c r="AM2652" s="1" t="s">
        <v>109</v>
      </c>
      <c r="AN2652" s="1" t="s">
        <v>109</v>
      </c>
      <c r="AO2652" s="1" t="s">
        <v>109</v>
      </c>
      <c r="AP2652" s="1"/>
      <c r="AQ2652" s="1">
        <v>4</v>
      </c>
      <c r="AR2652" s="1"/>
      <c r="AS2652" s="1"/>
      <c r="AT2652" s="1">
        <v>0</v>
      </c>
      <c r="AU2652" s="1">
        <v>0</v>
      </c>
      <c r="AV2652" s="1">
        <v>0</v>
      </c>
      <c r="AW2652" s="1">
        <v>0</v>
      </c>
      <c r="AX2652" s="1">
        <v>0</v>
      </c>
      <c r="AY2652" s="1">
        <v>0</v>
      </c>
      <c r="AZ2652" s="1">
        <v>0</v>
      </c>
      <c r="BA2652" s="1">
        <v>0</v>
      </c>
      <c r="BB2652" s="1">
        <v>0</v>
      </c>
      <c r="BC2652" s="1">
        <v>0</v>
      </c>
      <c r="BD2652" s="1">
        <v>0</v>
      </c>
      <c r="BE2652" s="1">
        <v>0</v>
      </c>
      <c r="BF2652" s="1">
        <v>0</v>
      </c>
      <c r="BG2652" s="1">
        <v>0</v>
      </c>
      <c r="BH2652" s="1">
        <v>0</v>
      </c>
      <c r="BI2652" s="1">
        <v>0</v>
      </c>
      <c r="BJ2652" s="1">
        <v>0</v>
      </c>
      <c r="BK2652" s="1">
        <v>0</v>
      </c>
      <c r="BL2652" s="1">
        <v>0</v>
      </c>
      <c r="BM2652" s="1">
        <v>1</v>
      </c>
      <c r="BN2652" s="1">
        <v>0</v>
      </c>
      <c r="BO2652" s="1">
        <v>0</v>
      </c>
      <c r="BP2652" s="1">
        <v>0</v>
      </c>
      <c r="BQ2652" s="1">
        <v>0</v>
      </c>
      <c r="BR2652" s="1">
        <v>0</v>
      </c>
      <c r="BS2652" s="1" t="s">
        <v>109</v>
      </c>
      <c r="BT2652" s="1">
        <v>2755</v>
      </c>
      <c r="BU2652" s="1" t="s">
        <v>109</v>
      </c>
      <c r="BV2652" s="1"/>
      <c r="BW2652" s="1"/>
      <c r="BX2652" s="1"/>
      <c r="BY2652" s="1"/>
      <c r="BZ2652" s="1">
        <v>0</v>
      </c>
      <c r="CA2652" s="1" t="s">
        <v>109</v>
      </c>
      <c r="CB2652" s="1" t="s">
        <v>109</v>
      </c>
      <c r="CC2652" s="1">
        <v>4</v>
      </c>
      <c r="CD2652" s="1">
        <v>3</v>
      </c>
      <c r="CE2652" s="1">
        <v>4</v>
      </c>
      <c r="CF2652" s="1" t="s">
        <v>109</v>
      </c>
      <c r="CG2652" s="1" t="s">
        <v>109</v>
      </c>
      <c r="CH2652" s="1" t="s">
        <v>109</v>
      </c>
      <c r="CI2652" s="1" t="s">
        <v>109</v>
      </c>
      <c r="CJ2652" s="1" t="s">
        <v>109</v>
      </c>
      <c r="CK2652" s="1"/>
      <c r="CL2652" s="1">
        <v>0</v>
      </c>
      <c r="CM2652" s="1">
        <v>0</v>
      </c>
      <c r="CN2652" s="1">
        <v>0</v>
      </c>
    </row>
    <row r="2653" spans="1:92" ht="14.25" customHeight="1" x14ac:dyDescent="0.15">
      <c r="A2653" s="1" t="s">
        <v>18816</v>
      </c>
      <c r="B2653" s="1" t="s">
        <v>674</v>
      </c>
      <c r="C2653" s="1" t="s">
        <v>675</v>
      </c>
      <c r="D2653" s="1"/>
      <c r="E2653" s="1" t="s">
        <v>18817</v>
      </c>
      <c r="F2653" s="1" t="s">
        <v>355</v>
      </c>
      <c r="G2653" s="1" t="s">
        <v>17929</v>
      </c>
      <c r="H2653" s="1">
        <v>0</v>
      </c>
      <c r="I2653" s="1" t="s">
        <v>161</v>
      </c>
      <c r="J2653" s="1"/>
      <c r="K2653" s="1"/>
      <c r="L2653" s="1" t="s">
        <v>18818</v>
      </c>
      <c r="M2653" s="1" t="s">
        <v>289</v>
      </c>
      <c r="N2653" s="1">
        <v>0</v>
      </c>
      <c r="O2653" s="1">
        <v>0</v>
      </c>
      <c r="P2653" s="1" t="s">
        <v>17932</v>
      </c>
      <c r="Q2653" s="1" t="s">
        <v>104</v>
      </c>
      <c r="R2653" s="1" t="s">
        <v>18819</v>
      </c>
      <c r="S2653" s="1" t="s">
        <v>18820</v>
      </c>
      <c r="T2653" s="1" t="s">
        <v>18814</v>
      </c>
      <c r="U2653" s="1" t="s">
        <v>18821</v>
      </c>
      <c r="V2653" s="1">
        <v>1</v>
      </c>
      <c r="W2653" s="1">
        <v>1</v>
      </c>
      <c r="X2653" s="1">
        <v>1</v>
      </c>
      <c r="Y2653" s="1">
        <v>0</v>
      </c>
      <c r="Z2653" s="1">
        <v>0</v>
      </c>
      <c r="AA2653" s="1">
        <v>5</v>
      </c>
      <c r="AB2653" s="1">
        <v>5</v>
      </c>
      <c r="AC2653" s="1">
        <v>5</v>
      </c>
      <c r="AD2653" s="1" t="s">
        <v>109</v>
      </c>
      <c r="AE2653" s="1" t="s">
        <v>109</v>
      </c>
      <c r="AF2653" s="1" t="s">
        <v>109</v>
      </c>
      <c r="AG2653" s="1" t="s">
        <v>109</v>
      </c>
      <c r="AH2653" s="1" t="s">
        <v>109</v>
      </c>
      <c r="AI2653" s="1" t="s">
        <v>109</v>
      </c>
      <c r="AJ2653" s="1">
        <v>5</v>
      </c>
      <c r="AK2653" s="1" t="s">
        <v>109</v>
      </c>
      <c r="AL2653" s="1">
        <v>5</v>
      </c>
      <c r="AM2653" s="1" t="s">
        <v>109</v>
      </c>
      <c r="AN2653" s="1" t="s">
        <v>109</v>
      </c>
      <c r="AO2653" s="1" t="s">
        <v>109</v>
      </c>
      <c r="AP2653" s="1"/>
      <c r="AQ2653" s="1">
        <v>5</v>
      </c>
      <c r="AR2653" s="1"/>
      <c r="AS2653" s="1"/>
      <c r="AT2653" s="1">
        <v>0</v>
      </c>
      <c r="AU2653" s="1">
        <v>0</v>
      </c>
      <c r="AV2653" s="1">
        <v>0</v>
      </c>
      <c r="AW2653" s="1">
        <v>0</v>
      </c>
      <c r="AX2653" s="1">
        <v>0</v>
      </c>
      <c r="AY2653" s="1">
        <v>0</v>
      </c>
      <c r="AZ2653" s="1">
        <v>0</v>
      </c>
      <c r="BA2653" s="1">
        <v>0</v>
      </c>
      <c r="BB2653" s="1">
        <v>0</v>
      </c>
      <c r="BC2653" s="1">
        <v>0</v>
      </c>
      <c r="BD2653" s="1">
        <v>0</v>
      </c>
      <c r="BE2653" s="1">
        <v>0</v>
      </c>
      <c r="BF2653" s="1">
        <v>0</v>
      </c>
      <c r="BG2653" s="1">
        <v>0</v>
      </c>
      <c r="BH2653" s="1">
        <v>0</v>
      </c>
      <c r="BI2653" s="1">
        <v>0</v>
      </c>
      <c r="BJ2653" s="1">
        <v>0</v>
      </c>
      <c r="BK2653" s="1">
        <v>0</v>
      </c>
      <c r="BL2653" s="1">
        <v>0</v>
      </c>
      <c r="BM2653" s="1">
        <v>0</v>
      </c>
      <c r="BN2653" s="1">
        <v>0</v>
      </c>
      <c r="BO2653" s="1">
        <v>0</v>
      </c>
      <c r="BP2653" s="1">
        <v>0</v>
      </c>
      <c r="BQ2653" s="1">
        <v>0</v>
      </c>
      <c r="BR2653" s="1">
        <v>0</v>
      </c>
      <c r="BS2653" s="1" t="s">
        <v>109</v>
      </c>
      <c r="BT2653" s="1">
        <v>2756</v>
      </c>
      <c r="BU2653" s="1" t="s">
        <v>109</v>
      </c>
      <c r="BV2653" s="1"/>
      <c r="BW2653" s="1"/>
      <c r="BX2653" s="1"/>
      <c r="BY2653" s="1"/>
      <c r="BZ2653" s="1">
        <v>0</v>
      </c>
      <c r="CA2653" s="1" t="s">
        <v>109</v>
      </c>
      <c r="CB2653" s="1" t="s">
        <v>109</v>
      </c>
      <c r="CC2653" s="1">
        <v>5</v>
      </c>
      <c r="CD2653" s="1">
        <v>4</v>
      </c>
      <c r="CE2653" s="1">
        <v>5</v>
      </c>
      <c r="CF2653" s="1" t="s">
        <v>109</v>
      </c>
      <c r="CG2653" s="1">
        <v>4</v>
      </c>
      <c r="CH2653" s="1" t="s">
        <v>109</v>
      </c>
      <c r="CI2653" s="1" t="s">
        <v>109</v>
      </c>
      <c r="CJ2653" s="1" t="s">
        <v>109</v>
      </c>
      <c r="CK2653" s="1"/>
      <c r="CL2653" s="1">
        <v>0</v>
      </c>
      <c r="CM2653" s="1">
        <v>0</v>
      </c>
      <c r="CN2653" s="1">
        <v>0</v>
      </c>
    </row>
    <row r="2654" spans="1:92" ht="14.25" customHeight="1" x14ac:dyDescent="0.15">
      <c r="A2654" s="1" t="s">
        <v>18822</v>
      </c>
      <c r="B2654" s="1" t="s">
        <v>156</v>
      </c>
      <c r="C2654" s="1" t="s">
        <v>157</v>
      </c>
      <c r="D2654" s="1" t="s">
        <v>18823</v>
      </c>
      <c r="E2654" s="1" t="s">
        <v>18824</v>
      </c>
      <c r="F2654" s="1" t="s">
        <v>98</v>
      </c>
      <c r="G2654" s="1" t="s">
        <v>18825</v>
      </c>
      <c r="H2654" s="1">
        <v>0</v>
      </c>
      <c r="I2654" s="1" t="s">
        <v>142</v>
      </c>
      <c r="J2654" s="1"/>
      <c r="K2654" s="1"/>
      <c r="L2654" s="1" t="s">
        <v>18826</v>
      </c>
      <c r="M2654" s="1" t="s">
        <v>6144</v>
      </c>
      <c r="N2654" s="1">
        <v>1</v>
      </c>
      <c r="O2654" s="1">
        <v>0</v>
      </c>
      <c r="P2654" s="1" t="s">
        <v>301</v>
      </c>
      <c r="Q2654" s="1" t="s">
        <v>268</v>
      </c>
      <c r="R2654" s="1" t="s">
        <v>18827</v>
      </c>
      <c r="S2654" s="1" t="s">
        <v>18828</v>
      </c>
      <c r="T2654" s="1" t="s">
        <v>18814</v>
      </c>
      <c r="U2654" s="1" t="s">
        <v>18829</v>
      </c>
      <c r="V2654" s="1">
        <v>1</v>
      </c>
      <c r="W2654" s="1">
        <v>1</v>
      </c>
      <c r="X2654" s="1">
        <v>1</v>
      </c>
      <c r="Y2654" s="1">
        <v>0</v>
      </c>
      <c r="Z2654" s="1">
        <v>0</v>
      </c>
      <c r="AA2654" s="1">
        <v>2</v>
      </c>
      <c r="AB2654" s="1">
        <v>2</v>
      </c>
      <c r="AC2654" s="1" t="s">
        <v>109</v>
      </c>
      <c r="AD2654" s="1" t="s">
        <v>109</v>
      </c>
      <c r="AE2654" s="1" t="s">
        <v>109</v>
      </c>
      <c r="AF2654" s="1">
        <v>2</v>
      </c>
      <c r="AG2654" s="1" t="s">
        <v>109</v>
      </c>
      <c r="AH2654" s="1" t="s">
        <v>109</v>
      </c>
      <c r="AI2654" s="1">
        <v>2</v>
      </c>
      <c r="AJ2654" s="1">
        <v>2</v>
      </c>
      <c r="AK2654" s="1" t="s">
        <v>109</v>
      </c>
      <c r="AL2654" s="1" t="s">
        <v>109</v>
      </c>
      <c r="AM2654" s="1" t="s">
        <v>109</v>
      </c>
      <c r="AN2654" s="1" t="s">
        <v>109</v>
      </c>
      <c r="AO2654" s="1" t="s">
        <v>109</v>
      </c>
      <c r="AP2654" s="1"/>
      <c r="AQ2654" s="1">
        <v>2</v>
      </c>
      <c r="AR2654" s="1"/>
      <c r="AS2654" s="1"/>
      <c r="AT2654" s="1">
        <v>0</v>
      </c>
      <c r="AU2654" s="1">
        <v>0</v>
      </c>
      <c r="AV2654" s="1">
        <v>0</v>
      </c>
      <c r="AW2654" s="1">
        <v>0</v>
      </c>
      <c r="AX2654" s="1">
        <v>1</v>
      </c>
      <c r="AY2654" s="1">
        <v>0</v>
      </c>
      <c r="AZ2654" s="1">
        <v>0</v>
      </c>
      <c r="BA2654" s="1">
        <v>0</v>
      </c>
      <c r="BB2654" s="1">
        <v>0</v>
      </c>
      <c r="BC2654" s="1">
        <v>0</v>
      </c>
      <c r="BD2654" s="1">
        <v>0</v>
      </c>
      <c r="BE2654" s="1">
        <v>0</v>
      </c>
      <c r="BF2654" s="1">
        <v>0</v>
      </c>
      <c r="BG2654" s="1">
        <v>0</v>
      </c>
      <c r="BH2654" s="1">
        <v>0</v>
      </c>
      <c r="BI2654" s="1">
        <v>0</v>
      </c>
      <c r="BJ2654" s="1">
        <v>1</v>
      </c>
      <c r="BK2654" s="1">
        <v>0</v>
      </c>
      <c r="BL2654" s="1">
        <v>0</v>
      </c>
      <c r="BM2654" s="1">
        <v>1</v>
      </c>
      <c r="BN2654" s="1">
        <v>0</v>
      </c>
      <c r="BO2654" s="1">
        <v>0</v>
      </c>
      <c r="BP2654" s="1">
        <v>0</v>
      </c>
      <c r="BQ2654" s="1">
        <v>0</v>
      </c>
      <c r="BR2654" s="1">
        <v>0</v>
      </c>
      <c r="BS2654" s="1" t="s">
        <v>109</v>
      </c>
      <c r="BT2654" s="1">
        <v>2757</v>
      </c>
      <c r="BU2654" s="1" t="s">
        <v>109</v>
      </c>
      <c r="BV2654" s="1"/>
      <c r="BW2654" s="1"/>
      <c r="BX2654" s="1"/>
      <c r="BY2654" s="1"/>
      <c r="BZ2654" s="1">
        <v>0</v>
      </c>
      <c r="CA2654" s="1" t="s">
        <v>109</v>
      </c>
      <c r="CB2654" s="1" t="s">
        <v>109</v>
      </c>
      <c r="CC2654" s="1" t="s">
        <v>109</v>
      </c>
      <c r="CD2654" s="1" t="s">
        <v>109</v>
      </c>
      <c r="CE2654" s="1" t="s">
        <v>109</v>
      </c>
      <c r="CF2654" s="1" t="s">
        <v>109</v>
      </c>
      <c r="CG2654" s="1" t="s">
        <v>109</v>
      </c>
      <c r="CH2654" s="1" t="s">
        <v>109</v>
      </c>
      <c r="CI2654" s="1" t="s">
        <v>109</v>
      </c>
      <c r="CJ2654" s="1" t="s">
        <v>109</v>
      </c>
      <c r="CK2654" s="1"/>
      <c r="CL2654" s="1">
        <v>0</v>
      </c>
      <c r="CM2654" s="1">
        <v>0</v>
      </c>
      <c r="CN2654" s="1">
        <v>0</v>
      </c>
    </row>
    <row r="2655" spans="1:92" ht="14.25" customHeight="1" x14ac:dyDescent="0.15">
      <c r="A2655" s="1" t="s">
        <v>18830</v>
      </c>
      <c r="B2655" s="1" t="s">
        <v>674</v>
      </c>
      <c r="C2655" s="1" t="s">
        <v>675</v>
      </c>
      <c r="D2655" s="1"/>
      <c r="E2655" s="1" t="s">
        <v>18831</v>
      </c>
      <c r="F2655" s="1" t="s">
        <v>98</v>
      </c>
      <c r="G2655" s="1" t="s">
        <v>18832</v>
      </c>
      <c r="H2655" s="1">
        <v>0</v>
      </c>
      <c r="I2655" s="1" t="s">
        <v>161</v>
      </c>
      <c r="J2655" s="1"/>
      <c r="K2655" s="1"/>
      <c r="L2655" s="1" t="s">
        <v>11230</v>
      </c>
      <c r="M2655" s="1" t="s">
        <v>6625</v>
      </c>
      <c r="N2655" s="1">
        <v>1</v>
      </c>
      <c r="O2655" s="1">
        <v>0</v>
      </c>
      <c r="P2655" s="1" t="s">
        <v>18833</v>
      </c>
      <c r="Q2655" s="1" t="s">
        <v>167</v>
      </c>
      <c r="R2655" s="1" t="s">
        <v>18834</v>
      </c>
      <c r="S2655" s="1" t="s">
        <v>18835</v>
      </c>
      <c r="T2655" s="1" t="s">
        <v>18814</v>
      </c>
      <c r="U2655" s="1" t="s">
        <v>18836</v>
      </c>
      <c r="V2655" s="1">
        <v>1</v>
      </c>
      <c r="W2655" s="1">
        <v>1</v>
      </c>
      <c r="X2655" s="1">
        <v>1</v>
      </c>
      <c r="Y2655" s="1">
        <v>0</v>
      </c>
      <c r="Z2655" s="1">
        <v>0</v>
      </c>
      <c r="AA2655" s="1">
        <v>1</v>
      </c>
      <c r="AB2655" s="1">
        <v>1</v>
      </c>
      <c r="AC2655" s="1" t="s">
        <v>109</v>
      </c>
      <c r="AD2655" s="1" t="s">
        <v>109</v>
      </c>
      <c r="AE2655" s="1" t="s">
        <v>109</v>
      </c>
      <c r="AF2655" s="1">
        <v>1</v>
      </c>
      <c r="AG2655" s="1" t="s">
        <v>109</v>
      </c>
      <c r="AH2655" s="1" t="s">
        <v>109</v>
      </c>
      <c r="AI2655" s="1" t="s">
        <v>109</v>
      </c>
      <c r="AJ2655" s="1">
        <v>1</v>
      </c>
      <c r="AK2655" s="1">
        <v>1</v>
      </c>
      <c r="AL2655" s="1" t="s">
        <v>109</v>
      </c>
      <c r="AM2655" s="1">
        <v>1</v>
      </c>
      <c r="AN2655" s="1" t="s">
        <v>109</v>
      </c>
      <c r="AO2655" s="1" t="s">
        <v>109</v>
      </c>
      <c r="AP2655" s="1"/>
      <c r="AQ2655" s="1">
        <v>1</v>
      </c>
      <c r="AR2655" s="1"/>
      <c r="AS2655" s="1"/>
      <c r="AT2655" s="1">
        <v>0</v>
      </c>
      <c r="AU2655" s="1">
        <v>0</v>
      </c>
      <c r="AV2655" s="1">
        <v>0</v>
      </c>
      <c r="AW2655" s="1">
        <v>0</v>
      </c>
      <c r="AX2655" s="1">
        <v>0</v>
      </c>
      <c r="AY2655" s="1">
        <v>0</v>
      </c>
      <c r="AZ2655" s="1">
        <v>0</v>
      </c>
      <c r="BA2655" s="1">
        <v>0</v>
      </c>
      <c r="BB2655" s="1">
        <v>0</v>
      </c>
      <c r="BC2655" s="1">
        <v>0</v>
      </c>
      <c r="BD2655" s="1">
        <v>0</v>
      </c>
      <c r="BE2655" s="1">
        <v>0</v>
      </c>
      <c r="BF2655" s="1">
        <v>0</v>
      </c>
      <c r="BG2655" s="1">
        <v>0</v>
      </c>
      <c r="BH2655" s="1">
        <v>0</v>
      </c>
      <c r="BI2655" s="1">
        <v>0</v>
      </c>
      <c r="BJ2655" s="1">
        <v>0</v>
      </c>
      <c r="BK2655" s="1">
        <v>0</v>
      </c>
      <c r="BL2655" s="1">
        <v>0</v>
      </c>
      <c r="BM2655" s="1">
        <v>0</v>
      </c>
      <c r="BN2655" s="1">
        <v>0</v>
      </c>
      <c r="BO2655" s="1">
        <v>0</v>
      </c>
      <c r="BP2655" s="1">
        <v>0</v>
      </c>
      <c r="BQ2655" s="1">
        <v>0</v>
      </c>
      <c r="BR2655" s="1">
        <v>0</v>
      </c>
      <c r="BS2655" s="1" t="s">
        <v>109</v>
      </c>
      <c r="BT2655" s="1">
        <v>2758</v>
      </c>
      <c r="BU2655" s="1" t="s">
        <v>109</v>
      </c>
      <c r="BV2655" s="1"/>
      <c r="BW2655" s="1"/>
      <c r="BX2655" s="1"/>
      <c r="BY2655" s="1"/>
      <c r="BZ2655" s="1">
        <v>0</v>
      </c>
      <c r="CA2655" s="1" t="s">
        <v>109</v>
      </c>
      <c r="CB2655" s="1" t="s">
        <v>109</v>
      </c>
      <c r="CC2655" s="1">
        <v>1</v>
      </c>
      <c r="CD2655" s="1" t="s">
        <v>109</v>
      </c>
      <c r="CE2655" s="1">
        <v>1</v>
      </c>
      <c r="CF2655" s="1">
        <v>1</v>
      </c>
      <c r="CG2655" s="1" t="s">
        <v>109</v>
      </c>
      <c r="CH2655" s="1" t="s">
        <v>109</v>
      </c>
      <c r="CI2655" s="1" t="s">
        <v>109</v>
      </c>
      <c r="CJ2655" s="1" t="s">
        <v>109</v>
      </c>
      <c r="CK2655" s="1"/>
      <c r="CL2655" s="1">
        <v>0</v>
      </c>
      <c r="CM2655" s="1">
        <v>0</v>
      </c>
      <c r="CN2655" s="1">
        <v>0</v>
      </c>
    </row>
    <row r="2656" spans="1:92" ht="14.25" customHeight="1" x14ac:dyDescent="0.15">
      <c r="A2656" s="1" t="s">
        <v>18837</v>
      </c>
      <c r="B2656" s="1" t="s">
        <v>189</v>
      </c>
      <c r="C2656" s="1"/>
      <c r="D2656" s="1"/>
      <c r="E2656" s="1" t="s">
        <v>18838</v>
      </c>
      <c r="F2656" s="1" t="s">
        <v>98</v>
      </c>
      <c r="G2656" s="1" t="s">
        <v>18839</v>
      </c>
      <c r="H2656" s="1">
        <v>0</v>
      </c>
      <c r="I2656" s="1" t="s">
        <v>161</v>
      </c>
      <c r="J2656" s="1"/>
      <c r="K2656" s="1"/>
      <c r="L2656" s="1" t="s">
        <v>1717</v>
      </c>
      <c r="M2656" s="1" t="s">
        <v>280</v>
      </c>
      <c r="N2656" s="1">
        <v>0</v>
      </c>
      <c r="O2656" s="1">
        <v>0</v>
      </c>
      <c r="P2656" s="1" t="s">
        <v>507</v>
      </c>
      <c r="Q2656" s="1" t="s">
        <v>167</v>
      </c>
      <c r="R2656" s="1" t="s">
        <v>18840</v>
      </c>
      <c r="S2656" s="1" t="s">
        <v>18841</v>
      </c>
      <c r="T2656" s="1" t="s">
        <v>18814</v>
      </c>
      <c r="U2656" s="1" t="s">
        <v>18842</v>
      </c>
      <c r="V2656" s="1">
        <v>1</v>
      </c>
      <c r="W2656" s="1">
        <v>1</v>
      </c>
      <c r="X2656" s="1">
        <v>1</v>
      </c>
      <c r="Y2656" s="1">
        <v>0</v>
      </c>
      <c r="Z2656" s="1">
        <v>0</v>
      </c>
      <c r="AA2656" s="1" t="s">
        <v>109</v>
      </c>
      <c r="AB2656" s="1" t="s">
        <v>109</v>
      </c>
      <c r="AC2656" s="1">
        <v>1</v>
      </c>
      <c r="AD2656" s="1" t="s">
        <v>109</v>
      </c>
      <c r="AE2656" s="1" t="s">
        <v>109</v>
      </c>
      <c r="AF2656" s="1" t="s">
        <v>109</v>
      </c>
      <c r="AG2656" s="1" t="s">
        <v>109</v>
      </c>
      <c r="AH2656" s="1" t="s">
        <v>109</v>
      </c>
      <c r="AI2656" s="1" t="s">
        <v>109</v>
      </c>
      <c r="AJ2656" s="1" t="s">
        <v>109</v>
      </c>
      <c r="AK2656" s="1" t="s">
        <v>109</v>
      </c>
      <c r="AL2656" s="1">
        <v>1</v>
      </c>
      <c r="AM2656" s="1">
        <v>1</v>
      </c>
      <c r="AN2656" s="1" t="s">
        <v>109</v>
      </c>
      <c r="AO2656" s="1" t="s">
        <v>109</v>
      </c>
      <c r="AP2656" s="1"/>
      <c r="AQ2656" s="1">
        <v>1</v>
      </c>
      <c r="AR2656" s="1"/>
      <c r="AS2656" s="1"/>
      <c r="AT2656" s="1">
        <v>0</v>
      </c>
      <c r="AU2656" s="1">
        <v>0</v>
      </c>
      <c r="AV2656" s="1">
        <v>0</v>
      </c>
      <c r="AW2656" s="1">
        <v>0</v>
      </c>
      <c r="AX2656" s="1">
        <v>0</v>
      </c>
      <c r="AY2656" s="1">
        <v>0</v>
      </c>
      <c r="AZ2656" s="1">
        <v>0</v>
      </c>
      <c r="BA2656" s="1">
        <v>0</v>
      </c>
      <c r="BB2656" s="1">
        <v>0</v>
      </c>
      <c r="BC2656" s="1">
        <v>0</v>
      </c>
      <c r="BD2656" s="1">
        <v>0</v>
      </c>
      <c r="BE2656" s="1">
        <v>0</v>
      </c>
      <c r="BF2656" s="1">
        <v>0</v>
      </c>
      <c r="BG2656" s="1">
        <v>0</v>
      </c>
      <c r="BH2656" s="1">
        <v>0</v>
      </c>
      <c r="BI2656" s="1">
        <v>0</v>
      </c>
      <c r="BJ2656" s="1">
        <v>0</v>
      </c>
      <c r="BK2656" s="1">
        <v>0</v>
      </c>
      <c r="BL2656" s="1">
        <v>0</v>
      </c>
      <c r="BM2656" s="1">
        <v>0</v>
      </c>
      <c r="BN2656" s="1">
        <v>0</v>
      </c>
      <c r="BO2656" s="1">
        <v>0</v>
      </c>
      <c r="BP2656" s="1">
        <v>0</v>
      </c>
      <c r="BQ2656" s="1">
        <v>0</v>
      </c>
      <c r="BR2656" s="1">
        <v>0</v>
      </c>
      <c r="BS2656" s="1" t="s">
        <v>109</v>
      </c>
      <c r="BT2656" s="1">
        <v>2759</v>
      </c>
      <c r="BU2656" s="1" t="s">
        <v>109</v>
      </c>
      <c r="BV2656" s="1"/>
      <c r="BW2656" s="1"/>
      <c r="BX2656" s="1"/>
      <c r="BY2656" s="1"/>
      <c r="BZ2656" s="1">
        <v>0</v>
      </c>
      <c r="CA2656" s="1" t="s">
        <v>109</v>
      </c>
      <c r="CB2656" s="1">
        <v>1</v>
      </c>
      <c r="CC2656" s="1" t="s">
        <v>109</v>
      </c>
      <c r="CD2656" s="1" t="s">
        <v>109</v>
      </c>
      <c r="CE2656" s="1" t="s">
        <v>109</v>
      </c>
      <c r="CF2656" s="1" t="s">
        <v>109</v>
      </c>
      <c r="CG2656" s="1" t="s">
        <v>109</v>
      </c>
      <c r="CH2656" s="1" t="s">
        <v>109</v>
      </c>
      <c r="CI2656" s="1" t="s">
        <v>109</v>
      </c>
      <c r="CJ2656" s="1" t="s">
        <v>109</v>
      </c>
      <c r="CK2656" s="1"/>
      <c r="CL2656" s="1">
        <v>0</v>
      </c>
      <c r="CM2656" s="1">
        <v>0</v>
      </c>
      <c r="CN2656" s="1">
        <v>0</v>
      </c>
    </row>
    <row r="2657" spans="1:92" ht="14.25" customHeight="1" x14ac:dyDescent="0.15">
      <c r="A2657" s="1" t="s">
        <v>18843</v>
      </c>
      <c r="B2657" s="1" t="s">
        <v>584</v>
      </c>
      <c r="C2657" s="1"/>
      <c r="D2657" s="1" t="s">
        <v>50</v>
      </c>
      <c r="E2657" s="1" t="s">
        <v>18844</v>
      </c>
      <c r="F2657" s="1" t="s">
        <v>98</v>
      </c>
      <c r="G2657" s="1" t="s">
        <v>141</v>
      </c>
      <c r="H2657" s="1">
        <v>0</v>
      </c>
      <c r="I2657" s="1" t="s">
        <v>161</v>
      </c>
      <c r="J2657" s="1"/>
      <c r="K2657" s="1"/>
      <c r="L2657" s="1" t="s">
        <v>10530</v>
      </c>
      <c r="M2657" s="1" t="s">
        <v>18845</v>
      </c>
      <c r="N2657" s="1">
        <v>0</v>
      </c>
      <c r="O2657" s="1">
        <v>0</v>
      </c>
      <c r="P2657" s="1" t="s">
        <v>10166</v>
      </c>
      <c r="Q2657" s="1" t="s">
        <v>268</v>
      </c>
      <c r="R2657" s="1" t="s">
        <v>18846</v>
      </c>
      <c r="S2657" s="1" t="s">
        <v>18847</v>
      </c>
      <c r="T2657" s="1" t="s">
        <v>18814</v>
      </c>
      <c r="U2657" s="1" t="s">
        <v>18848</v>
      </c>
      <c r="V2657" s="1">
        <v>1</v>
      </c>
      <c r="W2657" s="1">
        <v>1</v>
      </c>
      <c r="X2657" s="1">
        <v>0</v>
      </c>
      <c r="Y2657" s="1">
        <v>0</v>
      </c>
      <c r="Z2657" s="1">
        <v>0</v>
      </c>
      <c r="AA2657" s="1">
        <v>2</v>
      </c>
      <c r="AB2657" s="1">
        <v>2</v>
      </c>
      <c r="AC2657" s="1" t="s">
        <v>109</v>
      </c>
      <c r="AD2657" s="1" t="s">
        <v>109</v>
      </c>
      <c r="AE2657" s="1" t="s">
        <v>109</v>
      </c>
      <c r="AF2657" s="1">
        <v>2</v>
      </c>
      <c r="AG2657" s="1" t="s">
        <v>109</v>
      </c>
      <c r="AH2657" s="1" t="s">
        <v>109</v>
      </c>
      <c r="AI2657" s="1" t="s">
        <v>109</v>
      </c>
      <c r="AJ2657" s="1" t="s">
        <v>109</v>
      </c>
      <c r="AK2657" s="1">
        <v>2</v>
      </c>
      <c r="AL2657" s="1" t="s">
        <v>109</v>
      </c>
      <c r="AM2657" s="1" t="s">
        <v>109</v>
      </c>
      <c r="AN2657" s="1" t="s">
        <v>109</v>
      </c>
      <c r="AO2657" s="1" t="s">
        <v>109</v>
      </c>
      <c r="AP2657" s="1"/>
      <c r="AQ2657" s="1">
        <v>2</v>
      </c>
      <c r="AR2657" s="1"/>
      <c r="AS2657" s="1"/>
      <c r="AT2657" s="1">
        <v>0</v>
      </c>
      <c r="AU2657" s="1">
        <v>0</v>
      </c>
      <c r="AV2657" s="1">
        <v>0</v>
      </c>
      <c r="AW2657" s="1">
        <v>0</v>
      </c>
      <c r="AX2657" s="1">
        <v>1</v>
      </c>
      <c r="AY2657" s="1">
        <v>0</v>
      </c>
      <c r="AZ2657" s="1">
        <v>0</v>
      </c>
      <c r="BA2657" s="1">
        <v>0</v>
      </c>
      <c r="BB2657" s="1">
        <v>0</v>
      </c>
      <c r="BC2657" s="1">
        <v>0</v>
      </c>
      <c r="BD2657" s="1">
        <v>0</v>
      </c>
      <c r="BE2657" s="1">
        <v>0</v>
      </c>
      <c r="BF2657" s="1">
        <v>0</v>
      </c>
      <c r="BG2657" s="1">
        <v>0</v>
      </c>
      <c r="BH2657" s="1">
        <v>0</v>
      </c>
      <c r="BI2657" s="1">
        <v>0</v>
      </c>
      <c r="BJ2657" s="1">
        <v>0</v>
      </c>
      <c r="BK2657" s="1">
        <v>0</v>
      </c>
      <c r="BL2657" s="1">
        <v>0</v>
      </c>
      <c r="BM2657" s="1">
        <v>0</v>
      </c>
      <c r="BN2657" s="1">
        <v>0</v>
      </c>
      <c r="BO2657" s="1">
        <v>0</v>
      </c>
      <c r="BP2657" s="1">
        <v>0</v>
      </c>
      <c r="BQ2657" s="1">
        <v>0</v>
      </c>
      <c r="BR2657" s="1">
        <v>0</v>
      </c>
      <c r="BS2657" s="1" t="s">
        <v>109</v>
      </c>
      <c r="BT2657" s="1">
        <v>2760</v>
      </c>
      <c r="BU2657" s="1" t="s">
        <v>109</v>
      </c>
      <c r="BV2657" s="1"/>
      <c r="BW2657" s="1"/>
      <c r="BX2657" s="1"/>
      <c r="BY2657" s="1"/>
      <c r="BZ2657" s="1">
        <v>0</v>
      </c>
      <c r="CA2657" s="1" t="s">
        <v>109</v>
      </c>
      <c r="CB2657" s="1" t="s">
        <v>109</v>
      </c>
      <c r="CC2657" s="1" t="s">
        <v>109</v>
      </c>
      <c r="CD2657" s="1" t="s">
        <v>109</v>
      </c>
      <c r="CE2657" s="1" t="s">
        <v>109</v>
      </c>
      <c r="CF2657" s="1">
        <v>2</v>
      </c>
      <c r="CG2657" s="1" t="s">
        <v>109</v>
      </c>
      <c r="CH2657" s="1" t="s">
        <v>109</v>
      </c>
      <c r="CI2657" s="1" t="s">
        <v>109</v>
      </c>
      <c r="CJ2657" s="1" t="s">
        <v>109</v>
      </c>
      <c r="CK2657" s="1"/>
      <c r="CL2657" s="1">
        <v>0</v>
      </c>
      <c r="CM2657" s="1">
        <v>0</v>
      </c>
      <c r="CN2657" s="1">
        <v>0</v>
      </c>
    </row>
    <row r="2658" spans="1:92" ht="14.25" customHeight="1" x14ac:dyDescent="0.15">
      <c r="A2658" s="1" t="s">
        <v>18849</v>
      </c>
      <c r="B2658" s="1" t="s">
        <v>242</v>
      </c>
      <c r="C2658" s="1"/>
      <c r="D2658" s="1"/>
      <c r="E2658" s="1" t="s">
        <v>18850</v>
      </c>
      <c r="F2658" s="1" t="s">
        <v>98</v>
      </c>
      <c r="G2658" s="1" t="s">
        <v>18851</v>
      </c>
      <c r="H2658" s="1">
        <v>0</v>
      </c>
      <c r="I2658" s="1" t="s">
        <v>16540</v>
      </c>
      <c r="J2658" s="1" t="s">
        <v>18852</v>
      </c>
      <c r="K2658" s="1"/>
      <c r="L2658" s="1"/>
      <c r="M2658" s="1" t="s">
        <v>465</v>
      </c>
      <c r="N2658" s="1">
        <v>0</v>
      </c>
      <c r="O2658" s="1">
        <v>0</v>
      </c>
      <c r="P2658" s="1" t="s">
        <v>103</v>
      </c>
      <c r="Q2658" s="1" t="s">
        <v>104</v>
      </c>
      <c r="R2658" s="1" t="s">
        <v>18853</v>
      </c>
      <c r="S2658" s="1" t="s">
        <v>18854</v>
      </c>
      <c r="T2658" s="1" t="s">
        <v>18814</v>
      </c>
      <c r="U2658" s="1" t="s">
        <v>18855</v>
      </c>
      <c r="V2658" s="1">
        <v>1</v>
      </c>
      <c r="W2658" s="1">
        <v>1</v>
      </c>
      <c r="X2658" s="1">
        <v>0</v>
      </c>
      <c r="Y2658" s="1">
        <v>0</v>
      </c>
      <c r="Z2658" s="1">
        <v>0</v>
      </c>
      <c r="AA2658" s="1">
        <v>2</v>
      </c>
      <c r="AB2658" s="1">
        <v>2</v>
      </c>
      <c r="AC2658" s="1" t="s">
        <v>109</v>
      </c>
      <c r="AD2658" s="1" t="s">
        <v>109</v>
      </c>
      <c r="AE2658" s="1">
        <v>2</v>
      </c>
      <c r="AF2658" s="1">
        <v>2</v>
      </c>
      <c r="AG2658" s="1" t="s">
        <v>109</v>
      </c>
      <c r="AH2658" s="1" t="s">
        <v>109</v>
      </c>
      <c r="AI2658" s="1">
        <v>2</v>
      </c>
      <c r="AJ2658" s="1" t="s">
        <v>109</v>
      </c>
      <c r="AK2658" s="1">
        <v>2</v>
      </c>
      <c r="AL2658" s="1" t="s">
        <v>109</v>
      </c>
      <c r="AM2658" s="1" t="s">
        <v>109</v>
      </c>
      <c r="AN2658" s="1" t="s">
        <v>109</v>
      </c>
      <c r="AO2658" s="1" t="s">
        <v>109</v>
      </c>
      <c r="AP2658" s="1"/>
      <c r="AQ2658" s="1">
        <v>2</v>
      </c>
      <c r="AR2658" s="1"/>
      <c r="AS2658" s="1"/>
      <c r="AT2658" s="1">
        <v>0</v>
      </c>
      <c r="AU2658" s="1">
        <v>0</v>
      </c>
      <c r="AV2658" s="1">
        <v>0</v>
      </c>
      <c r="AW2658" s="1">
        <v>0</v>
      </c>
      <c r="AX2658" s="1">
        <v>0</v>
      </c>
      <c r="AY2658" s="1">
        <v>0</v>
      </c>
      <c r="AZ2658" s="1">
        <v>0</v>
      </c>
      <c r="BA2658" s="1">
        <v>0</v>
      </c>
      <c r="BB2658" s="1">
        <v>0</v>
      </c>
      <c r="BC2658" s="1">
        <v>0</v>
      </c>
      <c r="BD2658" s="1">
        <v>0</v>
      </c>
      <c r="BE2658" s="1">
        <v>0</v>
      </c>
      <c r="BF2658" s="1">
        <v>0</v>
      </c>
      <c r="BG2658" s="1">
        <v>0</v>
      </c>
      <c r="BH2658" s="1">
        <v>0</v>
      </c>
      <c r="BI2658" s="1">
        <v>0</v>
      </c>
      <c r="BJ2658" s="1">
        <v>0</v>
      </c>
      <c r="BK2658" s="1">
        <v>0</v>
      </c>
      <c r="BL2658" s="1">
        <v>0</v>
      </c>
      <c r="BM2658" s="1">
        <v>0</v>
      </c>
      <c r="BN2658" s="1">
        <v>0</v>
      </c>
      <c r="BO2658" s="1">
        <v>0</v>
      </c>
      <c r="BP2658" s="1">
        <v>0</v>
      </c>
      <c r="BQ2658" s="1">
        <v>0</v>
      </c>
      <c r="BR2658" s="1">
        <v>0</v>
      </c>
      <c r="BS2658" s="1" t="s">
        <v>109</v>
      </c>
      <c r="BT2658" s="1">
        <v>2761</v>
      </c>
      <c r="BU2658" s="1" t="s">
        <v>109</v>
      </c>
      <c r="BV2658" s="1"/>
      <c r="BW2658" s="1"/>
      <c r="BX2658" s="1"/>
      <c r="BY2658" s="1"/>
      <c r="BZ2658" s="1">
        <v>0</v>
      </c>
      <c r="CA2658" s="1" t="s">
        <v>109</v>
      </c>
      <c r="CB2658" s="1" t="s">
        <v>109</v>
      </c>
      <c r="CC2658" s="1">
        <v>2</v>
      </c>
      <c r="CD2658" s="1" t="s">
        <v>109</v>
      </c>
      <c r="CE2658" s="1" t="s">
        <v>109</v>
      </c>
      <c r="CF2658" s="1">
        <v>2</v>
      </c>
      <c r="CG2658" s="1">
        <v>2</v>
      </c>
      <c r="CH2658" s="1" t="s">
        <v>109</v>
      </c>
      <c r="CI2658" s="1" t="s">
        <v>109</v>
      </c>
      <c r="CJ2658" s="1">
        <v>2</v>
      </c>
      <c r="CK2658" s="1"/>
      <c r="CL2658" s="1">
        <v>0</v>
      </c>
      <c r="CM2658" s="1">
        <v>0</v>
      </c>
      <c r="CN2658" s="1">
        <v>0</v>
      </c>
    </row>
    <row r="2659" spans="1:92" ht="14.25" customHeight="1" x14ac:dyDescent="0.15">
      <c r="A2659" s="1" t="s">
        <v>18856</v>
      </c>
      <c r="B2659" s="1" t="s">
        <v>308</v>
      </c>
      <c r="C2659" s="1"/>
      <c r="D2659" s="1"/>
      <c r="E2659" s="1" t="s">
        <v>18857</v>
      </c>
      <c r="F2659" s="1" t="s">
        <v>98</v>
      </c>
      <c r="G2659" s="1" t="s">
        <v>141</v>
      </c>
      <c r="H2659" s="1">
        <v>0</v>
      </c>
      <c r="I2659" s="1" t="s">
        <v>142</v>
      </c>
      <c r="J2659" s="1" t="s">
        <v>18858</v>
      </c>
      <c r="K2659" s="1"/>
      <c r="L2659" s="1"/>
      <c r="M2659" s="1" t="s">
        <v>144</v>
      </c>
      <c r="N2659" s="1">
        <v>0</v>
      </c>
      <c r="O2659" s="1">
        <v>0</v>
      </c>
      <c r="P2659" s="1" t="s">
        <v>1410</v>
      </c>
      <c r="Q2659" s="1" t="s">
        <v>268</v>
      </c>
      <c r="R2659" s="1" t="s">
        <v>18859</v>
      </c>
      <c r="S2659" s="1" t="s">
        <v>18860</v>
      </c>
      <c r="T2659" s="1" t="s">
        <v>18814</v>
      </c>
      <c r="U2659" s="1" t="s">
        <v>18861</v>
      </c>
      <c r="V2659" s="1">
        <v>1</v>
      </c>
      <c r="W2659" s="1">
        <v>1</v>
      </c>
      <c r="X2659" s="1">
        <v>0</v>
      </c>
      <c r="Y2659" s="1">
        <v>0</v>
      </c>
      <c r="Z2659" s="1">
        <v>0</v>
      </c>
      <c r="AA2659" s="1">
        <v>3</v>
      </c>
      <c r="AB2659" s="1">
        <v>3</v>
      </c>
      <c r="AC2659" s="1">
        <v>2</v>
      </c>
      <c r="AD2659" s="1">
        <v>2</v>
      </c>
      <c r="AE2659" s="1" t="s">
        <v>109</v>
      </c>
      <c r="AF2659" s="1" t="s">
        <v>109</v>
      </c>
      <c r="AG2659" s="1" t="s">
        <v>109</v>
      </c>
      <c r="AH2659" s="1" t="s">
        <v>109</v>
      </c>
      <c r="AI2659" s="1" t="s">
        <v>109</v>
      </c>
      <c r="AJ2659" s="1" t="s">
        <v>109</v>
      </c>
      <c r="AK2659" s="1" t="s">
        <v>109</v>
      </c>
      <c r="AL2659" s="1">
        <v>2</v>
      </c>
      <c r="AM2659" s="1">
        <v>2</v>
      </c>
      <c r="AN2659" s="1" t="s">
        <v>109</v>
      </c>
      <c r="AO2659" s="1" t="s">
        <v>109</v>
      </c>
      <c r="AP2659" s="1"/>
      <c r="AQ2659" s="1">
        <v>3</v>
      </c>
      <c r="AR2659" s="1"/>
      <c r="AS2659" s="1"/>
      <c r="AT2659" s="1">
        <v>0</v>
      </c>
      <c r="AU2659" s="1">
        <v>0</v>
      </c>
      <c r="AV2659" s="1">
        <v>0</v>
      </c>
      <c r="AW2659" s="1">
        <v>0</v>
      </c>
      <c r="AX2659" s="1">
        <v>0</v>
      </c>
      <c r="AY2659" s="1">
        <v>0</v>
      </c>
      <c r="AZ2659" s="1">
        <v>0</v>
      </c>
      <c r="BA2659" s="1">
        <v>0</v>
      </c>
      <c r="BB2659" s="1">
        <v>0</v>
      </c>
      <c r="BC2659" s="1">
        <v>0</v>
      </c>
      <c r="BD2659" s="1">
        <v>0</v>
      </c>
      <c r="BE2659" s="1">
        <v>0</v>
      </c>
      <c r="BF2659" s="1">
        <v>0</v>
      </c>
      <c r="BG2659" s="1">
        <v>0</v>
      </c>
      <c r="BH2659" s="1">
        <v>0</v>
      </c>
      <c r="BI2659" s="1">
        <v>0</v>
      </c>
      <c r="BJ2659" s="1">
        <v>0</v>
      </c>
      <c r="BK2659" s="1">
        <v>0</v>
      </c>
      <c r="BL2659" s="1">
        <v>0</v>
      </c>
      <c r="BM2659" s="1">
        <v>0</v>
      </c>
      <c r="BN2659" s="1">
        <v>0</v>
      </c>
      <c r="BO2659" s="1">
        <v>0</v>
      </c>
      <c r="BP2659" s="1">
        <v>0</v>
      </c>
      <c r="BQ2659" s="1">
        <v>0</v>
      </c>
      <c r="BR2659" s="1">
        <v>0</v>
      </c>
      <c r="BS2659" s="1" t="s">
        <v>109</v>
      </c>
      <c r="BT2659" s="1">
        <v>2762</v>
      </c>
      <c r="BU2659" s="1" t="s">
        <v>109</v>
      </c>
      <c r="BV2659" s="1"/>
      <c r="BW2659" s="1"/>
      <c r="BX2659" s="1"/>
      <c r="BY2659" s="1"/>
      <c r="BZ2659" s="1">
        <v>0</v>
      </c>
      <c r="CA2659" s="1">
        <v>3</v>
      </c>
      <c r="CB2659" s="1" t="s">
        <v>109</v>
      </c>
      <c r="CC2659" s="1" t="s">
        <v>109</v>
      </c>
      <c r="CD2659" s="1" t="s">
        <v>109</v>
      </c>
      <c r="CE2659" s="1" t="s">
        <v>109</v>
      </c>
      <c r="CF2659" s="1" t="s">
        <v>109</v>
      </c>
      <c r="CG2659" s="1" t="s">
        <v>109</v>
      </c>
      <c r="CH2659" s="1" t="s">
        <v>109</v>
      </c>
      <c r="CI2659" s="1" t="s">
        <v>109</v>
      </c>
      <c r="CJ2659" s="1">
        <v>2</v>
      </c>
      <c r="CK2659" s="1"/>
      <c r="CL2659" s="1">
        <v>0</v>
      </c>
      <c r="CM2659" s="1">
        <v>0</v>
      </c>
      <c r="CN2659" s="1">
        <v>0</v>
      </c>
    </row>
    <row r="2660" spans="1:92" ht="14.25" customHeight="1" x14ac:dyDescent="0.15">
      <c r="A2660" s="1" t="s">
        <v>18862</v>
      </c>
      <c r="B2660" s="1" t="s">
        <v>308</v>
      </c>
      <c r="C2660" s="1"/>
      <c r="D2660" s="1"/>
      <c r="E2660" s="1" t="s">
        <v>18863</v>
      </c>
      <c r="F2660" s="1" t="s">
        <v>98</v>
      </c>
      <c r="G2660" s="1" t="s">
        <v>18864</v>
      </c>
      <c r="H2660" s="1">
        <v>0</v>
      </c>
      <c r="I2660" s="1" t="s">
        <v>122</v>
      </c>
      <c r="J2660" s="1"/>
      <c r="K2660" s="1" t="s">
        <v>933</v>
      </c>
      <c r="L2660" s="1"/>
      <c r="M2660" s="1" t="s">
        <v>125</v>
      </c>
      <c r="N2660" s="1">
        <v>0</v>
      </c>
      <c r="O2660" s="1">
        <v>0</v>
      </c>
      <c r="P2660" s="1" t="s">
        <v>6066</v>
      </c>
      <c r="Q2660" s="1" t="s">
        <v>211</v>
      </c>
      <c r="R2660" s="1" t="s">
        <v>18865</v>
      </c>
      <c r="S2660" s="1" t="s">
        <v>18866</v>
      </c>
      <c r="T2660" s="1" t="s">
        <v>18814</v>
      </c>
      <c r="U2660" s="1" t="s">
        <v>18867</v>
      </c>
      <c r="V2660" s="1">
        <v>1</v>
      </c>
      <c r="W2660" s="1">
        <v>1</v>
      </c>
      <c r="X2660" s="1">
        <v>1</v>
      </c>
      <c r="Y2660" s="1">
        <v>0</v>
      </c>
      <c r="Z2660" s="1">
        <v>0</v>
      </c>
      <c r="AA2660" s="1">
        <v>3</v>
      </c>
      <c r="AB2660" s="1">
        <v>3</v>
      </c>
      <c r="AC2660" s="1" t="s">
        <v>109</v>
      </c>
      <c r="AD2660" s="1">
        <v>3</v>
      </c>
      <c r="AE2660" s="1" t="s">
        <v>109</v>
      </c>
      <c r="AF2660" s="1" t="s">
        <v>109</v>
      </c>
      <c r="AG2660" s="1" t="s">
        <v>109</v>
      </c>
      <c r="AH2660" s="1" t="s">
        <v>109</v>
      </c>
      <c r="AI2660" s="1" t="s">
        <v>109</v>
      </c>
      <c r="AJ2660" s="1" t="s">
        <v>109</v>
      </c>
      <c r="AK2660" s="1" t="s">
        <v>109</v>
      </c>
      <c r="AL2660" s="1" t="s">
        <v>109</v>
      </c>
      <c r="AM2660" s="1">
        <v>2</v>
      </c>
      <c r="AN2660" s="1" t="s">
        <v>109</v>
      </c>
      <c r="AO2660" s="1" t="s">
        <v>109</v>
      </c>
      <c r="AP2660" s="1"/>
      <c r="AQ2660" s="1">
        <v>3</v>
      </c>
      <c r="AR2660" s="1"/>
      <c r="AS2660" s="1"/>
      <c r="AT2660" s="1">
        <v>0</v>
      </c>
      <c r="AU2660" s="1">
        <v>0</v>
      </c>
      <c r="AV2660" s="1">
        <v>0</v>
      </c>
      <c r="AW2660" s="1">
        <v>0</v>
      </c>
      <c r="AX2660" s="1">
        <v>0</v>
      </c>
      <c r="AY2660" s="1">
        <v>0</v>
      </c>
      <c r="AZ2660" s="1">
        <v>0</v>
      </c>
      <c r="BA2660" s="1">
        <v>0</v>
      </c>
      <c r="BB2660" s="1">
        <v>0</v>
      </c>
      <c r="BC2660" s="1">
        <v>0</v>
      </c>
      <c r="BD2660" s="1">
        <v>0</v>
      </c>
      <c r="BE2660" s="1">
        <v>0</v>
      </c>
      <c r="BF2660" s="1">
        <v>0</v>
      </c>
      <c r="BG2660" s="1">
        <v>0</v>
      </c>
      <c r="BH2660" s="1">
        <v>0</v>
      </c>
      <c r="BI2660" s="1">
        <v>0</v>
      </c>
      <c r="BJ2660" s="1">
        <v>0</v>
      </c>
      <c r="BK2660" s="1">
        <v>0</v>
      </c>
      <c r="BL2660" s="1">
        <v>0</v>
      </c>
      <c r="BM2660" s="1">
        <v>0</v>
      </c>
      <c r="BN2660" s="1">
        <v>0</v>
      </c>
      <c r="BO2660" s="1">
        <v>0</v>
      </c>
      <c r="BP2660" s="1">
        <v>0</v>
      </c>
      <c r="BQ2660" s="1">
        <v>0</v>
      </c>
      <c r="BR2660" s="1">
        <v>0</v>
      </c>
      <c r="BS2660" s="1" t="s">
        <v>109</v>
      </c>
      <c r="BT2660" s="1">
        <v>2763</v>
      </c>
      <c r="BU2660" s="1" t="s">
        <v>109</v>
      </c>
      <c r="BV2660" s="1"/>
      <c r="BW2660" s="1"/>
      <c r="BX2660" s="1"/>
      <c r="BY2660" s="1"/>
      <c r="BZ2660" s="1">
        <v>0</v>
      </c>
      <c r="CA2660" s="1">
        <v>3</v>
      </c>
      <c r="CB2660" s="1" t="s">
        <v>109</v>
      </c>
      <c r="CC2660" s="1" t="s">
        <v>109</v>
      </c>
      <c r="CD2660" s="1" t="s">
        <v>109</v>
      </c>
      <c r="CE2660" s="1" t="s">
        <v>109</v>
      </c>
      <c r="CF2660" s="1" t="s">
        <v>109</v>
      </c>
      <c r="CG2660" s="1" t="s">
        <v>109</v>
      </c>
      <c r="CH2660" s="1" t="s">
        <v>109</v>
      </c>
      <c r="CI2660" s="1" t="s">
        <v>109</v>
      </c>
      <c r="CJ2660" s="1">
        <v>3</v>
      </c>
      <c r="CK2660" s="1"/>
      <c r="CL2660" s="1">
        <v>0</v>
      </c>
      <c r="CM2660" s="1">
        <v>0</v>
      </c>
      <c r="CN2660" s="1">
        <v>0</v>
      </c>
    </row>
    <row r="2661" spans="1:92" ht="14.25" customHeight="1" x14ac:dyDescent="0.15">
      <c r="A2661" s="1" t="s">
        <v>18868</v>
      </c>
      <c r="B2661" s="1" t="s">
        <v>674</v>
      </c>
      <c r="C2661" s="1" t="s">
        <v>68</v>
      </c>
      <c r="D2661" s="1" t="s">
        <v>18869</v>
      </c>
      <c r="E2661" s="1" t="s">
        <v>18870</v>
      </c>
      <c r="F2661" s="1" t="s">
        <v>98</v>
      </c>
      <c r="G2661" s="1" t="s">
        <v>141</v>
      </c>
      <c r="H2661" s="1">
        <v>0</v>
      </c>
      <c r="I2661" s="1" t="s">
        <v>235</v>
      </c>
      <c r="J2661" s="1"/>
      <c r="K2661" s="1"/>
      <c r="L2661" s="1" t="s">
        <v>236</v>
      </c>
      <c r="M2661" s="1" t="s">
        <v>3042</v>
      </c>
      <c r="N2661" s="1">
        <v>0</v>
      </c>
      <c r="O2661" s="1">
        <v>0</v>
      </c>
      <c r="P2661" s="1"/>
      <c r="Q2661" s="1"/>
      <c r="R2661" s="1" t="s">
        <v>18871</v>
      </c>
      <c r="S2661" s="1" t="s">
        <v>18872</v>
      </c>
      <c r="T2661" s="1" t="s">
        <v>18814</v>
      </c>
      <c r="U2661" s="1" t="s">
        <v>18873</v>
      </c>
      <c r="V2661" s="1">
        <v>1</v>
      </c>
      <c r="W2661" s="1">
        <v>1</v>
      </c>
      <c r="X2661" s="1">
        <v>0</v>
      </c>
      <c r="Y2661" s="1">
        <v>0</v>
      </c>
      <c r="Z2661" s="1">
        <v>0</v>
      </c>
      <c r="AA2661" s="1">
        <v>5</v>
      </c>
      <c r="AB2661" s="1">
        <v>5</v>
      </c>
      <c r="AC2661" s="1" t="s">
        <v>109</v>
      </c>
      <c r="AD2661" s="1" t="s">
        <v>109</v>
      </c>
      <c r="AE2661" s="1" t="s">
        <v>109</v>
      </c>
      <c r="AF2661" s="1">
        <v>5</v>
      </c>
      <c r="AG2661" s="1" t="s">
        <v>109</v>
      </c>
      <c r="AH2661" s="1" t="s">
        <v>109</v>
      </c>
      <c r="AI2661" s="1" t="s">
        <v>109</v>
      </c>
      <c r="AJ2661" s="1" t="s">
        <v>109</v>
      </c>
      <c r="AK2661" s="1" t="s">
        <v>109</v>
      </c>
      <c r="AL2661" s="1" t="s">
        <v>109</v>
      </c>
      <c r="AM2661" s="1">
        <v>4</v>
      </c>
      <c r="AN2661" s="1" t="s">
        <v>109</v>
      </c>
      <c r="AO2661" s="1" t="s">
        <v>109</v>
      </c>
      <c r="AP2661" s="1"/>
      <c r="AQ2661" s="1">
        <v>5</v>
      </c>
      <c r="AR2661" s="1"/>
      <c r="AS2661" s="1"/>
      <c r="AT2661" s="1">
        <v>0</v>
      </c>
      <c r="AU2661" s="1">
        <v>0</v>
      </c>
      <c r="AV2661" s="1">
        <v>0</v>
      </c>
      <c r="AW2661" s="1">
        <v>0</v>
      </c>
      <c r="AX2661" s="1">
        <v>0</v>
      </c>
      <c r="AY2661" s="1">
        <v>0</v>
      </c>
      <c r="AZ2661" s="1">
        <v>0</v>
      </c>
      <c r="BA2661" s="1">
        <v>0</v>
      </c>
      <c r="BB2661" s="1">
        <v>0</v>
      </c>
      <c r="BC2661" s="1">
        <v>0</v>
      </c>
      <c r="BD2661" s="1">
        <v>0</v>
      </c>
      <c r="BE2661" s="1">
        <v>1</v>
      </c>
      <c r="BF2661" s="1">
        <v>0</v>
      </c>
      <c r="BG2661" s="1">
        <v>0</v>
      </c>
      <c r="BH2661" s="1">
        <v>0</v>
      </c>
      <c r="BI2661" s="1">
        <v>0</v>
      </c>
      <c r="BJ2661" s="1">
        <v>0</v>
      </c>
      <c r="BK2661" s="1">
        <v>0</v>
      </c>
      <c r="BL2661" s="1">
        <v>0</v>
      </c>
      <c r="BM2661" s="1">
        <v>0</v>
      </c>
      <c r="BN2661" s="1">
        <v>0</v>
      </c>
      <c r="BO2661" s="1">
        <v>0</v>
      </c>
      <c r="BP2661" s="1">
        <v>1</v>
      </c>
      <c r="BQ2661" s="1">
        <v>0</v>
      </c>
      <c r="BR2661" s="1">
        <v>0</v>
      </c>
      <c r="BS2661" s="1" t="s">
        <v>109</v>
      </c>
      <c r="BT2661" s="1">
        <v>2764</v>
      </c>
      <c r="BU2661" s="1" t="s">
        <v>109</v>
      </c>
      <c r="BV2661" s="1"/>
      <c r="BW2661" s="1"/>
      <c r="BX2661" s="1"/>
      <c r="BY2661" s="1"/>
      <c r="BZ2661" s="1">
        <v>0</v>
      </c>
      <c r="CA2661" s="1" t="s">
        <v>109</v>
      </c>
      <c r="CB2661" s="1" t="s">
        <v>109</v>
      </c>
      <c r="CC2661" s="1" t="s">
        <v>109</v>
      </c>
      <c r="CD2661" s="1" t="s">
        <v>109</v>
      </c>
      <c r="CE2661" s="1">
        <v>5</v>
      </c>
      <c r="CF2661" s="1" t="s">
        <v>109</v>
      </c>
      <c r="CG2661" s="1">
        <v>5</v>
      </c>
      <c r="CH2661" s="1" t="s">
        <v>109</v>
      </c>
      <c r="CI2661" s="1" t="s">
        <v>109</v>
      </c>
      <c r="CJ2661" s="1" t="s">
        <v>109</v>
      </c>
      <c r="CK2661" s="1"/>
      <c r="CL2661" s="1">
        <v>0</v>
      </c>
      <c r="CM2661" s="1">
        <v>0</v>
      </c>
      <c r="CN2661" s="1">
        <v>0</v>
      </c>
    </row>
    <row r="2662" spans="1:92" ht="14.25" customHeight="1" x14ac:dyDescent="0.15">
      <c r="A2662" s="1" t="s">
        <v>18874</v>
      </c>
      <c r="B2662" s="1" t="s">
        <v>674</v>
      </c>
      <c r="C2662" s="1" t="s">
        <v>68</v>
      </c>
      <c r="D2662" s="1" t="s">
        <v>68</v>
      </c>
      <c r="E2662" s="1" t="s">
        <v>18875</v>
      </c>
      <c r="F2662" s="1" t="s">
        <v>98</v>
      </c>
      <c r="G2662" s="1" t="s">
        <v>141</v>
      </c>
      <c r="H2662" s="1">
        <v>0</v>
      </c>
      <c r="I2662" s="1" t="s">
        <v>235</v>
      </c>
      <c r="J2662" s="1"/>
      <c r="K2662" s="1"/>
      <c r="L2662" s="1" t="s">
        <v>236</v>
      </c>
      <c r="M2662" s="1" t="s">
        <v>3042</v>
      </c>
      <c r="N2662" s="1">
        <v>0</v>
      </c>
      <c r="O2662" s="1">
        <v>0</v>
      </c>
      <c r="P2662" s="1"/>
      <c r="Q2662" s="1"/>
      <c r="R2662" s="1" t="s">
        <v>18876</v>
      </c>
      <c r="S2662" s="1" t="s">
        <v>18877</v>
      </c>
      <c r="T2662" s="1" t="s">
        <v>18814</v>
      </c>
      <c r="U2662" s="1" t="s">
        <v>18878</v>
      </c>
      <c r="V2662" s="1">
        <v>1</v>
      </c>
      <c r="W2662" s="1">
        <v>1</v>
      </c>
      <c r="X2662" s="1">
        <v>0</v>
      </c>
      <c r="Y2662" s="1">
        <v>0</v>
      </c>
      <c r="Z2662" s="1">
        <v>0</v>
      </c>
      <c r="AA2662" s="1">
        <v>2</v>
      </c>
      <c r="AB2662" s="1">
        <v>2</v>
      </c>
      <c r="AC2662" s="1" t="s">
        <v>109</v>
      </c>
      <c r="AD2662" s="1" t="s">
        <v>109</v>
      </c>
      <c r="AE2662" s="1" t="s">
        <v>109</v>
      </c>
      <c r="AF2662" s="1">
        <v>2</v>
      </c>
      <c r="AG2662" s="1" t="s">
        <v>109</v>
      </c>
      <c r="AH2662" s="1" t="s">
        <v>109</v>
      </c>
      <c r="AI2662" s="1" t="s">
        <v>109</v>
      </c>
      <c r="AJ2662" s="1" t="s">
        <v>109</v>
      </c>
      <c r="AK2662" s="1" t="s">
        <v>109</v>
      </c>
      <c r="AL2662" s="1" t="s">
        <v>109</v>
      </c>
      <c r="AM2662" s="1">
        <v>1</v>
      </c>
      <c r="AN2662" s="1">
        <v>2</v>
      </c>
      <c r="AO2662" s="1" t="s">
        <v>109</v>
      </c>
      <c r="AP2662" s="1"/>
      <c r="AQ2662" s="1">
        <v>2</v>
      </c>
      <c r="AR2662" s="1"/>
      <c r="AS2662" s="1"/>
      <c r="AT2662" s="1">
        <v>0</v>
      </c>
      <c r="AU2662" s="1">
        <v>0</v>
      </c>
      <c r="AV2662" s="1">
        <v>0</v>
      </c>
      <c r="AW2662" s="1">
        <v>0</v>
      </c>
      <c r="AX2662" s="1">
        <v>0</v>
      </c>
      <c r="AY2662" s="1">
        <v>0</v>
      </c>
      <c r="AZ2662" s="1">
        <v>0</v>
      </c>
      <c r="BA2662" s="1">
        <v>0</v>
      </c>
      <c r="BB2662" s="1">
        <v>0</v>
      </c>
      <c r="BC2662" s="1">
        <v>0</v>
      </c>
      <c r="BD2662" s="1">
        <v>0</v>
      </c>
      <c r="BE2662" s="1">
        <v>0</v>
      </c>
      <c r="BF2662" s="1">
        <v>0</v>
      </c>
      <c r="BG2662" s="1">
        <v>0</v>
      </c>
      <c r="BH2662" s="1">
        <v>0</v>
      </c>
      <c r="BI2662" s="1">
        <v>0</v>
      </c>
      <c r="BJ2662" s="1">
        <v>0</v>
      </c>
      <c r="BK2662" s="1">
        <v>0</v>
      </c>
      <c r="BL2662" s="1">
        <v>0</v>
      </c>
      <c r="BM2662" s="1">
        <v>0</v>
      </c>
      <c r="BN2662" s="1">
        <v>0</v>
      </c>
      <c r="BO2662" s="1">
        <v>0</v>
      </c>
      <c r="BP2662" s="1">
        <v>1</v>
      </c>
      <c r="BQ2662" s="1">
        <v>0</v>
      </c>
      <c r="BR2662" s="1">
        <v>0</v>
      </c>
      <c r="BS2662" s="1" t="s">
        <v>109</v>
      </c>
      <c r="BT2662" s="1">
        <v>2765</v>
      </c>
      <c r="BU2662" s="1" t="s">
        <v>109</v>
      </c>
      <c r="BV2662" s="1"/>
      <c r="BW2662" s="1"/>
      <c r="BX2662" s="1"/>
      <c r="BY2662" s="1"/>
      <c r="BZ2662" s="1">
        <v>0</v>
      </c>
      <c r="CA2662" s="1">
        <v>2</v>
      </c>
      <c r="CB2662" s="1" t="s">
        <v>109</v>
      </c>
      <c r="CC2662" s="1" t="s">
        <v>109</v>
      </c>
      <c r="CD2662" s="1" t="s">
        <v>109</v>
      </c>
      <c r="CE2662" s="1" t="s">
        <v>109</v>
      </c>
      <c r="CF2662" s="1" t="s">
        <v>109</v>
      </c>
      <c r="CG2662" s="1">
        <v>2</v>
      </c>
      <c r="CH2662" s="1" t="s">
        <v>109</v>
      </c>
      <c r="CI2662" s="1" t="s">
        <v>109</v>
      </c>
      <c r="CJ2662" s="1" t="s">
        <v>109</v>
      </c>
      <c r="CK2662" s="1"/>
      <c r="CL2662" s="1">
        <v>0</v>
      </c>
      <c r="CM2662" s="1">
        <v>0</v>
      </c>
      <c r="CN2662" s="1">
        <v>0</v>
      </c>
    </row>
    <row r="2663" spans="1:92" ht="14.25" customHeight="1" x14ac:dyDescent="0.15">
      <c r="A2663" s="1" t="s">
        <v>18879</v>
      </c>
      <c r="B2663" s="1" t="s">
        <v>674</v>
      </c>
      <c r="C2663" s="1" t="s">
        <v>68</v>
      </c>
      <c r="D2663" s="1" t="s">
        <v>68</v>
      </c>
      <c r="E2663" s="1" t="s">
        <v>18880</v>
      </c>
      <c r="F2663" s="1" t="s">
        <v>98</v>
      </c>
      <c r="G2663" s="1" t="s">
        <v>141</v>
      </c>
      <c r="H2663" s="1">
        <v>0</v>
      </c>
      <c r="I2663" s="1" t="s">
        <v>142</v>
      </c>
      <c r="J2663" s="1"/>
      <c r="K2663" s="1"/>
      <c r="L2663" s="1" t="s">
        <v>236</v>
      </c>
      <c r="M2663" s="1" t="s">
        <v>18438</v>
      </c>
      <c r="N2663" s="1">
        <v>0</v>
      </c>
      <c r="O2663" s="1">
        <v>0</v>
      </c>
      <c r="P2663" s="1"/>
      <c r="Q2663" s="1"/>
      <c r="R2663" s="1" t="s">
        <v>18881</v>
      </c>
      <c r="S2663" s="1" t="s">
        <v>18882</v>
      </c>
      <c r="T2663" s="1" t="s">
        <v>18814</v>
      </c>
      <c r="U2663" s="1" t="s">
        <v>18883</v>
      </c>
      <c r="V2663" s="1">
        <v>1</v>
      </c>
      <c r="W2663" s="1">
        <v>1</v>
      </c>
      <c r="X2663" s="1">
        <v>0</v>
      </c>
      <c r="Y2663" s="1">
        <v>0</v>
      </c>
      <c r="Z2663" s="1">
        <v>0</v>
      </c>
      <c r="AA2663" s="1">
        <v>4</v>
      </c>
      <c r="AB2663" s="1">
        <v>4</v>
      </c>
      <c r="AC2663" s="1" t="s">
        <v>109</v>
      </c>
      <c r="AD2663" s="1" t="s">
        <v>109</v>
      </c>
      <c r="AE2663" s="1" t="s">
        <v>109</v>
      </c>
      <c r="AF2663" s="1">
        <v>4</v>
      </c>
      <c r="AG2663" s="1" t="s">
        <v>109</v>
      </c>
      <c r="AH2663" s="1" t="s">
        <v>109</v>
      </c>
      <c r="AI2663" s="1">
        <v>4</v>
      </c>
      <c r="AJ2663" s="1" t="s">
        <v>109</v>
      </c>
      <c r="AK2663" s="1" t="s">
        <v>109</v>
      </c>
      <c r="AL2663" s="1" t="s">
        <v>109</v>
      </c>
      <c r="AM2663" s="1">
        <v>3</v>
      </c>
      <c r="AN2663" s="1" t="s">
        <v>109</v>
      </c>
      <c r="AO2663" s="1" t="s">
        <v>109</v>
      </c>
      <c r="AP2663" s="1"/>
      <c r="AQ2663" s="1">
        <v>4</v>
      </c>
      <c r="AR2663" s="1"/>
      <c r="AS2663" s="1"/>
      <c r="AT2663" s="1">
        <v>0</v>
      </c>
      <c r="AU2663" s="1">
        <v>0</v>
      </c>
      <c r="AV2663" s="1">
        <v>0</v>
      </c>
      <c r="AW2663" s="1">
        <v>0</v>
      </c>
      <c r="AX2663" s="1">
        <v>0</v>
      </c>
      <c r="AY2663" s="1">
        <v>0</v>
      </c>
      <c r="AZ2663" s="1">
        <v>0</v>
      </c>
      <c r="BA2663" s="1">
        <v>0</v>
      </c>
      <c r="BB2663" s="1">
        <v>0</v>
      </c>
      <c r="BC2663" s="1">
        <v>0</v>
      </c>
      <c r="BD2663" s="1">
        <v>0</v>
      </c>
      <c r="BE2663" s="1">
        <v>0</v>
      </c>
      <c r="BF2663" s="1">
        <v>0</v>
      </c>
      <c r="BG2663" s="1">
        <v>0</v>
      </c>
      <c r="BH2663" s="1">
        <v>0</v>
      </c>
      <c r="BI2663" s="1">
        <v>0</v>
      </c>
      <c r="BJ2663" s="1">
        <v>0</v>
      </c>
      <c r="BK2663" s="1">
        <v>0</v>
      </c>
      <c r="BL2663" s="1">
        <v>0</v>
      </c>
      <c r="BM2663" s="1">
        <v>0</v>
      </c>
      <c r="BN2663" s="1">
        <v>0</v>
      </c>
      <c r="BO2663" s="1">
        <v>0</v>
      </c>
      <c r="BP2663" s="1">
        <v>1</v>
      </c>
      <c r="BQ2663" s="1">
        <v>0</v>
      </c>
      <c r="BR2663" s="1">
        <v>0</v>
      </c>
      <c r="BS2663" s="1" t="s">
        <v>109</v>
      </c>
      <c r="BT2663" s="1">
        <v>2766</v>
      </c>
      <c r="BU2663" s="1" t="s">
        <v>109</v>
      </c>
      <c r="BV2663" s="1"/>
      <c r="BW2663" s="1"/>
      <c r="BX2663" s="1"/>
      <c r="BY2663" s="1"/>
      <c r="BZ2663" s="1">
        <v>0</v>
      </c>
      <c r="CA2663" s="1" t="s">
        <v>109</v>
      </c>
      <c r="CB2663" s="1" t="s">
        <v>109</v>
      </c>
      <c r="CC2663" s="1" t="s">
        <v>109</v>
      </c>
      <c r="CD2663" s="1" t="s">
        <v>109</v>
      </c>
      <c r="CE2663" s="1" t="s">
        <v>109</v>
      </c>
      <c r="CF2663" s="1" t="s">
        <v>109</v>
      </c>
      <c r="CG2663" s="1">
        <v>4</v>
      </c>
      <c r="CH2663" s="1" t="s">
        <v>109</v>
      </c>
      <c r="CI2663" s="1" t="s">
        <v>109</v>
      </c>
      <c r="CJ2663" s="1" t="s">
        <v>109</v>
      </c>
      <c r="CK2663" s="1"/>
      <c r="CL2663" s="1">
        <v>0</v>
      </c>
      <c r="CM2663" s="1">
        <v>0</v>
      </c>
      <c r="CN2663" s="1">
        <v>0</v>
      </c>
    </row>
    <row r="2664" spans="1:92" ht="14.25" customHeight="1" x14ac:dyDescent="0.15">
      <c r="A2664" s="1" t="s">
        <v>18884</v>
      </c>
      <c r="B2664" s="1" t="s">
        <v>189</v>
      </c>
      <c r="C2664" s="1"/>
      <c r="D2664" s="1" t="s">
        <v>59</v>
      </c>
      <c r="E2664" s="1" t="s">
        <v>7977</v>
      </c>
      <c r="F2664" s="1" t="s">
        <v>98</v>
      </c>
      <c r="G2664" s="1" t="s">
        <v>160</v>
      </c>
      <c r="H2664" s="1">
        <v>0</v>
      </c>
      <c r="I2664" s="1" t="s">
        <v>235</v>
      </c>
      <c r="J2664" s="1"/>
      <c r="K2664" s="1"/>
      <c r="L2664" s="1" t="s">
        <v>236</v>
      </c>
      <c r="M2664" s="1" t="s">
        <v>7709</v>
      </c>
      <c r="N2664" s="1">
        <v>0</v>
      </c>
      <c r="O2664" s="1">
        <v>0</v>
      </c>
      <c r="P2664" s="1" t="s">
        <v>103</v>
      </c>
      <c r="Q2664" s="1" t="s">
        <v>104</v>
      </c>
      <c r="R2664" s="1" t="s">
        <v>18885</v>
      </c>
      <c r="S2664" s="1" t="s">
        <v>18886</v>
      </c>
      <c r="T2664" s="1" t="s">
        <v>18887</v>
      </c>
      <c r="U2664" s="1" t="s">
        <v>18888</v>
      </c>
      <c r="V2664" s="1">
        <v>1</v>
      </c>
      <c r="W2664" s="1">
        <v>1</v>
      </c>
      <c r="X2664" s="1">
        <v>0</v>
      </c>
      <c r="Y2664" s="1">
        <v>0</v>
      </c>
      <c r="Z2664" s="1">
        <v>1</v>
      </c>
      <c r="AA2664" s="1" t="s">
        <v>109</v>
      </c>
      <c r="AB2664" s="1" t="s">
        <v>109</v>
      </c>
      <c r="AC2664" s="1">
        <v>3</v>
      </c>
      <c r="AD2664" s="1" t="s">
        <v>109</v>
      </c>
      <c r="AE2664" s="1">
        <v>3</v>
      </c>
      <c r="AF2664" s="1" t="s">
        <v>109</v>
      </c>
      <c r="AG2664" s="1">
        <v>3</v>
      </c>
      <c r="AH2664" s="1" t="s">
        <v>109</v>
      </c>
      <c r="AI2664" s="1" t="s">
        <v>109</v>
      </c>
      <c r="AJ2664" s="1" t="s">
        <v>109</v>
      </c>
      <c r="AK2664" s="1">
        <v>3</v>
      </c>
      <c r="AL2664" s="1">
        <v>3</v>
      </c>
      <c r="AM2664" s="1" t="s">
        <v>109</v>
      </c>
      <c r="AN2664" s="1" t="s">
        <v>109</v>
      </c>
      <c r="AO2664" s="1" t="s">
        <v>109</v>
      </c>
      <c r="AP2664" s="1"/>
      <c r="AQ2664" s="1">
        <v>3</v>
      </c>
      <c r="AR2664" s="1"/>
      <c r="AS2664" s="1"/>
      <c r="AT2664" s="1">
        <v>0</v>
      </c>
      <c r="AU2664" s="1">
        <v>0</v>
      </c>
      <c r="AV2664" s="1">
        <v>0</v>
      </c>
      <c r="AW2664" s="1">
        <v>0</v>
      </c>
      <c r="AX2664" s="1">
        <v>0</v>
      </c>
      <c r="AY2664" s="1">
        <v>0</v>
      </c>
      <c r="AZ2664" s="1">
        <v>0</v>
      </c>
      <c r="BA2664" s="1">
        <v>0</v>
      </c>
      <c r="BB2664" s="1">
        <v>0</v>
      </c>
      <c r="BC2664" s="1">
        <v>0</v>
      </c>
      <c r="BD2664" s="1">
        <v>0</v>
      </c>
      <c r="BE2664" s="1">
        <v>0</v>
      </c>
      <c r="BF2664" s="1">
        <v>0</v>
      </c>
      <c r="BG2664" s="1">
        <v>1</v>
      </c>
      <c r="BH2664" s="1">
        <v>0</v>
      </c>
      <c r="BI2664" s="1">
        <v>0</v>
      </c>
      <c r="BJ2664" s="1">
        <v>0</v>
      </c>
      <c r="BK2664" s="1">
        <v>0</v>
      </c>
      <c r="BL2664" s="1">
        <v>0</v>
      </c>
      <c r="BM2664" s="1">
        <v>0</v>
      </c>
      <c r="BN2664" s="1">
        <v>0</v>
      </c>
      <c r="BO2664" s="1">
        <v>0</v>
      </c>
      <c r="BP2664" s="1">
        <v>0</v>
      </c>
      <c r="BQ2664" s="1">
        <v>0</v>
      </c>
      <c r="BR2664" s="1">
        <v>0</v>
      </c>
      <c r="BS2664" s="1" t="s">
        <v>109</v>
      </c>
      <c r="BT2664" s="1">
        <v>2767</v>
      </c>
      <c r="BU2664" s="1" t="s">
        <v>109</v>
      </c>
      <c r="BV2664" s="1"/>
      <c r="BW2664" s="1"/>
      <c r="BX2664" s="1"/>
      <c r="BY2664" s="1"/>
      <c r="BZ2664" s="1">
        <v>0</v>
      </c>
      <c r="CA2664" s="1" t="s">
        <v>109</v>
      </c>
      <c r="CB2664" s="1" t="s">
        <v>109</v>
      </c>
      <c r="CC2664" s="1" t="s">
        <v>109</v>
      </c>
      <c r="CD2664" s="1" t="s">
        <v>109</v>
      </c>
      <c r="CE2664" s="1" t="s">
        <v>109</v>
      </c>
      <c r="CF2664" s="1" t="s">
        <v>109</v>
      </c>
      <c r="CG2664" s="1" t="s">
        <v>109</v>
      </c>
      <c r="CH2664" s="1" t="s">
        <v>109</v>
      </c>
      <c r="CI2664" s="1" t="s">
        <v>109</v>
      </c>
      <c r="CJ2664" s="1">
        <v>3</v>
      </c>
      <c r="CK2664" s="1"/>
      <c r="CL2664" s="1">
        <v>0</v>
      </c>
      <c r="CM2664" s="1">
        <v>0</v>
      </c>
      <c r="CN2664" s="1">
        <v>0</v>
      </c>
    </row>
    <row r="2665" spans="1:92" ht="14.25" customHeight="1" x14ac:dyDescent="0.15">
      <c r="A2665" s="1" t="s">
        <v>18889</v>
      </c>
      <c r="B2665" s="1" t="s">
        <v>156</v>
      </c>
      <c r="C2665" s="1" t="s">
        <v>157</v>
      </c>
      <c r="D2665" s="1" t="s">
        <v>158</v>
      </c>
      <c r="E2665" s="1" t="s">
        <v>5732</v>
      </c>
      <c r="F2665" s="1" t="s">
        <v>98</v>
      </c>
      <c r="G2665" s="1" t="s">
        <v>141</v>
      </c>
      <c r="H2665" s="1">
        <v>0</v>
      </c>
      <c r="I2665" s="1" t="s">
        <v>142</v>
      </c>
      <c r="J2665" s="1"/>
      <c r="K2665" s="1"/>
      <c r="L2665" s="1" t="s">
        <v>18890</v>
      </c>
      <c r="M2665" s="1" t="s">
        <v>289</v>
      </c>
      <c r="N2665" s="1">
        <v>0</v>
      </c>
      <c r="O2665" s="1">
        <v>0</v>
      </c>
      <c r="P2665" s="1" t="s">
        <v>301</v>
      </c>
      <c r="Q2665" s="1" t="s">
        <v>268</v>
      </c>
      <c r="R2665" s="1" t="s">
        <v>18891</v>
      </c>
      <c r="S2665" s="1" t="s">
        <v>18892</v>
      </c>
      <c r="T2665" s="1" t="s">
        <v>18893</v>
      </c>
      <c r="U2665" s="1" t="s">
        <v>18894</v>
      </c>
      <c r="V2665" s="1">
        <v>1</v>
      </c>
      <c r="W2665" s="1">
        <v>1</v>
      </c>
      <c r="X2665" s="1">
        <v>0</v>
      </c>
      <c r="Y2665" s="1">
        <v>0</v>
      </c>
      <c r="Z2665" s="1">
        <v>0</v>
      </c>
      <c r="AA2665" s="1">
        <v>1</v>
      </c>
      <c r="AB2665" s="1">
        <v>1</v>
      </c>
      <c r="AC2665" s="1" t="s">
        <v>109</v>
      </c>
      <c r="AD2665" s="1" t="s">
        <v>109</v>
      </c>
      <c r="AE2665" s="1" t="s">
        <v>109</v>
      </c>
      <c r="AF2665" s="1">
        <v>1</v>
      </c>
      <c r="AG2665" s="1" t="s">
        <v>109</v>
      </c>
      <c r="AH2665" s="1" t="s">
        <v>109</v>
      </c>
      <c r="AI2665" s="1" t="s">
        <v>109</v>
      </c>
      <c r="AJ2665" s="1" t="s">
        <v>109</v>
      </c>
      <c r="AK2665" s="1" t="s">
        <v>109</v>
      </c>
      <c r="AL2665" s="1" t="s">
        <v>109</v>
      </c>
      <c r="AM2665" s="1" t="s">
        <v>109</v>
      </c>
      <c r="AN2665" s="1" t="s">
        <v>109</v>
      </c>
      <c r="AO2665" s="1" t="s">
        <v>109</v>
      </c>
      <c r="AP2665" s="1"/>
      <c r="AQ2665" s="1">
        <v>1</v>
      </c>
      <c r="AR2665" s="1"/>
      <c r="AS2665" s="1"/>
      <c r="AT2665" s="1">
        <v>0</v>
      </c>
      <c r="AU2665" s="1">
        <v>0</v>
      </c>
      <c r="AV2665" s="1">
        <v>0</v>
      </c>
      <c r="AW2665" s="1">
        <v>0</v>
      </c>
      <c r="AX2665" s="1">
        <v>0</v>
      </c>
      <c r="AY2665" s="1">
        <v>0</v>
      </c>
      <c r="AZ2665" s="1">
        <v>0</v>
      </c>
      <c r="BA2665" s="1">
        <v>0</v>
      </c>
      <c r="BB2665" s="1">
        <v>0</v>
      </c>
      <c r="BC2665" s="1">
        <v>0</v>
      </c>
      <c r="BD2665" s="1">
        <v>0</v>
      </c>
      <c r="BE2665" s="1">
        <v>0</v>
      </c>
      <c r="BF2665" s="1">
        <v>0</v>
      </c>
      <c r="BG2665" s="1">
        <v>0</v>
      </c>
      <c r="BH2665" s="1">
        <v>0</v>
      </c>
      <c r="BI2665" s="1">
        <v>0</v>
      </c>
      <c r="BJ2665" s="1">
        <v>0</v>
      </c>
      <c r="BK2665" s="1">
        <v>0</v>
      </c>
      <c r="BL2665" s="1">
        <v>0</v>
      </c>
      <c r="BM2665" s="1">
        <v>1</v>
      </c>
      <c r="BN2665" s="1">
        <v>0</v>
      </c>
      <c r="BO2665" s="1">
        <v>0</v>
      </c>
      <c r="BP2665" s="1">
        <v>0</v>
      </c>
      <c r="BQ2665" s="1">
        <v>0</v>
      </c>
      <c r="BR2665" s="1">
        <v>0</v>
      </c>
      <c r="BS2665" s="1" t="s">
        <v>109</v>
      </c>
      <c r="BT2665" s="1">
        <v>2768</v>
      </c>
      <c r="BU2665" s="1" t="s">
        <v>109</v>
      </c>
      <c r="BV2665" s="1"/>
      <c r="BW2665" s="1"/>
      <c r="BX2665" s="1"/>
      <c r="BY2665" s="1"/>
      <c r="BZ2665" s="1">
        <v>0</v>
      </c>
      <c r="CA2665" s="1" t="s">
        <v>109</v>
      </c>
      <c r="CB2665" s="1" t="s">
        <v>109</v>
      </c>
      <c r="CC2665" s="1" t="s">
        <v>109</v>
      </c>
      <c r="CD2665" s="1" t="s">
        <v>109</v>
      </c>
      <c r="CE2665" s="1" t="s">
        <v>109</v>
      </c>
      <c r="CF2665" s="1" t="s">
        <v>109</v>
      </c>
      <c r="CG2665" s="1" t="s">
        <v>109</v>
      </c>
      <c r="CH2665" s="1" t="s">
        <v>109</v>
      </c>
      <c r="CI2665" s="1" t="s">
        <v>109</v>
      </c>
      <c r="CJ2665" s="1" t="s">
        <v>109</v>
      </c>
      <c r="CK2665" s="1"/>
      <c r="CL2665" s="1">
        <v>0</v>
      </c>
      <c r="CM2665" s="1">
        <v>0</v>
      </c>
      <c r="CN2665" s="1">
        <v>0</v>
      </c>
    </row>
    <row r="2666" spans="1:92" ht="14.25" customHeight="1" x14ac:dyDescent="0.15">
      <c r="A2666" s="1" t="s">
        <v>18895</v>
      </c>
      <c r="B2666" s="1" t="s">
        <v>95</v>
      </c>
      <c r="C2666" s="1" t="s">
        <v>1522</v>
      </c>
      <c r="D2666" s="1"/>
      <c r="E2666" s="1" t="s">
        <v>18896</v>
      </c>
      <c r="F2666" s="1" t="s">
        <v>98</v>
      </c>
      <c r="G2666" s="1" t="s">
        <v>141</v>
      </c>
      <c r="H2666" s="1">
        <v>0</v>
      </c>
      <c r="I2666" s="1" t="s">
        <v>142</v>
      </c>
      <c r="J2666" s="1"/>
      <c r="K2666" s="1"/>
      <c r="L2666" s="1"/>
      <c r="M2666" s="1" t="s">
        <v>9367</v>
      </c>
      <c r="N2666" s="1">
        <v>0</v>
      </c>
      <c r="O2666" s="1">
        <v>0</v>
      </c>
      <c r="P2666" s="1" t="s">
        <v>103</v>
      </c>
      <c r="Q2666" s="1" t="s">
        <v>104</v>
      </c>
      <c r="R2666" s="1" t="s">
        <v>18897</v>
      </c>
      <c r="S2666" s="1" t="s">
        <v>18898</v>
      </c>
      <c r="T2666" s="1" t="s">
        <v>18893</v>
      </c>
      <c r="U2666" s="1" t="s">
        <v>18899</v>
      </c>
      <c r="V2666" s="1">
        <v>1</v>
      </c>
      <c r="W2666" s="1">
        <v>1</v>
      </c>
      <c r="X2666" s="1">
        <v>0</v>
      </c>
      <c r="Y2666" s="1">
        <v>0</v>
      </c>
      <c r="Z2666" s="1">
        <v>0</v>
      </c>
      <c r="AA2666" s="1">
        <v>8</v>
      </c>
      <c r="AB2666" s="1">
        <v>8</v>
      </c>
      <c r="AC2666" s="1">
        <v>8</v>
      </c>
      <c r="AD2666" s="1">
        <v>8</v>
      </c>
      <c r="AE2666" s="1" t="s">
        <v>109</v>
      </c>
      <c r="AF2666" s="1">
        <v>6</v>
      </c>
      <c r="AG2666" s="1" t="s">
        <v>109</v>
      </c>
      <c r="AH2666" s="1" t="s">
        <v>109</v>
      </c>
      <c r="AI2666" s="1">
        <v>6</v>
      </c>
      <c r="AJ2666" s="1">
        <v>8</v>
      </c>
      <c r="AK2666" s="1" t="s">
        <v>109</v>
      </c>
      <c r="AL2666" s="1">
        <v>8</v>
      </c>
      <c r="AM2666" s="1" t="s">
        <v>109</v>
      </c>
      <c r="AN2666" s="1" t="s">
        <v>109</v>
      </c>
      <c r="AO2666" s="1" t="s">
        <v>109</v>
      </c>
      <c r="AP2666" s="1"/>
      <c r="AQ2666" s="1">
        <v>8</v>
      </c>
      <c r="AR2666" s="1"/>
      <c r="AS2666" s="1"/>
      <c r="AT2666" s="1">
        <v>0</v>
      </c>
      <c r="AU2666" s="1">
        <v>0</v>
      </c>
      <c r="AV2666" s="1">
        <v>0</v>
      </c>
      <c r="AW2666" s="1">
        <v>0</v>
      </c>
      <c r="AX2666" s="1">
        <v>0</v>
      </c>
      <c r="AY2666" s="1">
        <v>0</v>
      </c>
      <c r="AZ2666" s="1">
        <v>0</v>
      </c>
      <c r="BA2666" s="1">
        <v>0</v>
      </c>
      <c r="BB2666" s="1">
        <v>0</v>
      </c>
      <c r="BC2666" s="1">
        <v>0</v>
      </c>
      <c r="BD2666" s="1">
        <v>0</v>
      </c>
      <c r="BE2666" s="1">
        <v>0</v>
      </c>
      <c r="BF2666" s="1">
        <v>0</v>
      </c>
      <c r="BG2666" s="1">
        <v>0</v>
      </c>
      <c r="BH2666" s="1">
        <v>0</v>
      </c>
      <c r="BI2666" s="1">
        <v>0</v>
      </c>
      <c r="BJ2666" s="1">
        <v>0</v>
      </c>
      <c r="BK2666" s="1">
        <v>0</v>
      </c>
      <c r="BL2666" s="1">
        <v>0</v>
      </c>
      <c r="BM2666" s="1">
        <v>0</v>
      </c>
      <c r="BN2666" s="1">
        <v>0</v>
      </c>
      <c r="BO2666" s="1">
        <v>0</v>
      </c>
      <c r="BP2666" s="1">
        <v>0</v>
      </c>
      <c r="BQ2666" s="1">
        <v>0</v>
      </c>
      <c r="BR2666" s="1">
        <v>0</v>
      </c>
      <c r="BS2666" s="1" t="s">
        <v>109</v>
      </c>
      <c r="BT2666" s="1">
        <v>2769</v>
      </c>
      <c r="BU2666" s="1" t="s">
        <v>109</v>
      </c>
      <c r="BV2666" s="1"/>
      <c r="BW2666" s="1"/>
      <c r="BX2666" s="1"/>
      <c r="BY2666" s="1"/>
      <c r="BZ2666" s="1">
        <v>0</v>
      </c>
      <c r="CA2666" s="1" t="s">
        <v>109</v>
      </c>
      <c r="CB2666" s="1" t="s">
        <v>109</v>
      </c>
      <c r="CC2666" s="1" t="s">
        <v>109</v>
      </c>
      <c r="CD2666" s="1" t="s">
        <v>109</v>
      </c>
      <c r="CE2666" s="1" t="s">
        <v>109</v>
      </c>
      <c r="CF2666" s="1" t="s">
        <v>109</v>
      </c>
      <c r="CG2666" s="1" t="s">
        <v>109</v>
      </c>
      <c r="CH2666" s="1" t="s">
        <v>109</v>
      </c>
      <c r="CI2666" s="1" t="s">
        <v>109</v>
      </c>
      <c r="CJ2666" s="1" t="s">
        <v>109</v>
      </c>
      <c r="CK2666" s="1"/>
      <c r="CL2666" s="1">
        <v>0</v>
      </c>
      <c r="CM2666" s="1">
        <v>0</v>
      </c>
      <c r="CN2666" s="1">
        <v>0</v>
      </c>
    </row>
    <row r="2667" spans="1:92" ht="14.25" customHeight="1" x14ac:dyDescent="0.15">
      <c r="A2667" s="1" t="s">
        <v>18900</v>
      </c>
      <c r="B2667" s="1" t="s">
        <v>156</v>
      </c>
      <c r="C2667" s="1" t="s">
        <v>157</v>
      </c>
      <c r="D2667" s="1" t="s">
        <v>158</v>
      </c>
      <c r="E2667" s="1" t="s">
        <v>11732</v>
      </c>
      <c r="F2667" s="1" t="s">
        <v>98</v>
      </c>
      <c r="G2667" s="1" t="s">
        <v>2597</v>
      </c>
      <c r="H2667" s="1">
        <v>0</v>
      </c>
      <c r="I2667" s="1" t="s">
        <v>122</v>
      </c>
      <c r="J2667" s="1"/>
      <c r="K2667" s="1"/>
      <c r="L2667" s="1" t="s">
        <v>18890</v>
      </c>
      <c r="M2667" s="1" t="s">
        <v>7174</v>
      </c>
      <c r="N2667" s="1">
        <v>1</v>
      </c>
      <c r="O2667" s="1">
        <v>0</v>
      </c>
      <c r="P2667" s="1" t="s">
        <v>564</v>
      </c>
      <c r="Q2667" s="1" t="s">
        <v>268</v>
      </c>
      <c r="R2667" s="1" t="s">
        <v>18901</v>
      </c>
      <c r="S2667" s="1" t="s">
        <v>18902</v>
      </c>
      <c r="T2667" s="1" t="s">
        <v>18893</v>
      </c>
      <c r="U2667" s="1" t="s">
        <v>18903</v>
      </c>
      <c r="V2667" s="1">
        <v>1</v>
      </c>
      <c r="W2667" s="1">
        <v>1</v>
      </c>
      <c r="X2667" s="1">
        <v>0</v>
      </c>
      <c r="Y2667" s="1">
        <v>0</v>
      </c>
      <c r="Z2667" s="1">
        <v>1</v>
      </c>
      <c r="AA2667" s="1">
        <v>3</v>
      </c>
      <c r="AB2667" s="1">
        <v>3</v>
      </c>
      <c r="AC2667" s="1">
        <v>2</v>
      </c>
      <c r="AD2667" s="1" t="s">
        <v>109</v>
      </c>
      <c r="AE2667" s="1" t="s">
        <v>109</v>
      </c>
      <c r="AF2667" s="1">
        <v>2</v>
      </c>
      <c r="AG2667" s="1" t="s">
        <v>109</v>
      </c>
      <c r="AH2667" s="1" t="s">
        <v>109</v>
      </c>
      <c r="AI2667" s="1" t="s">
        <v>109</v>
      </c>
      <c r="AJ2667" s="1">
        <v>2</v>
      </c>
      <c r="AK2667" s="1">
        <v>2</v>
      </c>
      <c r="AL2667" s="1">
        <v>2</v>
      </c>
      <c r="AM2667" s="1" t="s">
        <v>109</v>
      </c>
      <c r="AN2667" s="1" t="s">
        <v>109</v>
      </c>
      <c r="AO2667" s="1" t="s">
        <v>109</v>
      </c>
      <c r="AP2667" s="1"/>
      <c r="AQ2667" s="1">
        <v>3</v>
      </c>
      <c r="AR2667" s="1"/>
      <c r="AS2667" s="1"/>
      <c r="AT2667" s="1">
        <v>0</v>
      </c>
      <c r="AU2667" s="1">
        <v>0</v>
      </c>
      <c r="AV2667" s="1">
        <v>0</v>
      </c>
      <c r="AW2667" s="1">
        <v>0</v>
      </c>
      <c r="AX2667" s="1">
        <v>0</v>
      </c>
      <c r="AY2667" s="1">
        <v>0</v>
      </c>
      <c r="AZ2667" s="1">
        <v>0</v>
      </c>
      <c r="BA2667" s="1">
        <v>0</v>
      </c>
      <c r="BB2667" s="1">
        <v>0</v>
      </c>
      <c r="BC2667" s="1">
        <v>0</v>
      </c>
      <c r="BD2667" s="1">
        <v>0</v>
      </c>
      <c r="BE2667" s="1">
        <v>0</v>
      </c>
      <c r="BF2667" s="1">
        <v>0</v>
      </c>
      <c r="BG2667" s="1">
        <v>0</v>
      </c>
      <c r="BH2667" s="1">
        <v>0</v>
      </c>
      <c r="BI2667" s="1">
        <v>0</v>
      </c>
      <c r="BJ2667" s="1">
        <v>0</v>
      </c>
      <c r="BK2667" s="1">
        <v>0</v>
      </c>
      <c r="BL2667" s="1">
        <v>0</v>
      </c>
      <c r="BM2667" s="1">
        <v>1</v>
      </c>
      <c r="BN2667" s="1">
        <v>0</v>
      </c>
      <c r="BO2667" s="1">
        <v>0</v>
      </c>
      <c r="BP2667" s="1">
        <v>0</v>
      </c>
      <c r="BQ2667" s="1">
        <v>0</v>
      </c>
      <c r="BR2667" s="1">
        <v>0</v>
      </c>
      <c r="BS2667" s="1" t="s">
        <v>109</v>
      </c>
      <c r="BT2667" s="1">
        <v>2770</v>
      </c>
      <c r="BU2667" s="1" t="s">
        <v>109</v>
      </c>
      <c r="BV2667" s="1"/>
      <c r="BW2667" s="1"/>
      <c r="BX2667" s="1"/>
      <c r="BY2667" s="1"/>
      <c r="BZ2667" s="1">
        <v>0</v>
      </c>
      <c r="CA2667" s="1" t="s">
        <v>109</v>
      </c>
      <c r="CB2667" s="1" t="s">
        <v>109</v>
      </c>
      <c r="CC2667" s="1" t="s">
        <v>109</v>
      </c>
      <c r="CD2667" s="1" t="s">
        <v>109</v>
      </c>
      <c r="CE2667" s="1" t="s">
        <v>109</v>
      </c>
      <c r="CF2667" s="1" t="s">
        <v>109</v>
      </c>
      <c r="CG2667" s="1" t="s">
        <v>109</v>
      </c>
      <c r="CH2667" s="1" t="s">
        <v>109</v>
      </c>
      <c r="CI2667" s="1" t="s">
        <v>109</v>
      </c>
      <c r="CJ2667" s="1" t="s">
        <v>109</v>
      </c>
      <c r="CK2667" s="1"/>
      <c r="CL2667" s="1">
        <v>0</v>
      </c>
      <c r="CM2667" s="1">
        <v>0</v>
      </c>
      <c r="CN2667" s="1">
        <v>0</v>
      </c>
    </row>
    <row r="2668" spans="1:92" ht="14.25" customHeight="1" x14ac:dyDescent="0.15">
      <c r="A2668" s="1" t="s">
        <v>18904</v>
      </c>
      <c r="B2668" s="1" t="s">
        <v>95</v>
      </c>
      <c r="C2668" s="1" t="s">
        <v>96</v>
      </c>
      <c r="D2668" s="1"/>
      <c r="E2668" s="1" t="s">
        <v>18905</v>
      </c>
      <c r="F2668" s="1" t="s">
        <v>98</v>
      </c>
      <c r="G2668" s="1" t="s">
        <v>18906</v>
      </c>
      <c r="H2668" s="1">
        <v>0</v>
      </c>
      <c r="I2668" s="1" t="s">
        <v>142</v>
      </c>
      <c r="J2668" s="1"/>
      <c r="K2668" s="1"/>
      <c r="L2668" s="1"/>
      <c r="M2668" s="1" t="s">
        <v>2241</v>
      </c>
      <c r="N2668" s="1">
        <v>0</v>
      </c>
      <c r="O2668" s="1">
        <v>0</v>
      </c>
      <c r="P2668" s="1" t="s">
        <v>1410</v>
      </c>
      <c r="Q2668" s="1" t="s">
        <v>104</v>
      </c>
      <c r="R2668" s="1" t="s">
        <v>18907</v>
      </c>
      <c r="S2668" s="1" t="s">
        <v>18908</v>
      </c>
      <c r="T2668" s="1" t="s">
        <v>18893</v>
      </c>
      <c r="U2668" s="1" t="s">
        <v>18909</v>
      </c>
      <c r="V2668" s="1">
        <v>1</v>
      </c>
      <c r="W2668" s="1">
        <v>1</v>
      </c>
      <c r="X2668" s="1">
        <v>1</v>
      </c>
      <c r="Y2668" s="1">
        <v>0</v>
      </c>
      <c r="Z2668" s="1">
        <v>0</v>
      </c>
      <c r="AA2668" s="1">
        <v>3</v>
      </c>
      <c r="AB2668" s="1">
        <v>3</v>
      </c>
      <c r="AC2668" s="1">
        <v>3</v>
      </c>
      <c r="AD2668" s="1">
        <v>3</v>
      </c>
      <c r="AE2668" s="1">
        <v>2</v>
      </c>
      <c r="AF2668" s="1" t="s">
        <v>109</v>
      </c>
      <c r="AG2668" s="1" t="s">
        <v>109</v>
      </c>
      <c r="AH2668" s="1" t="s">
        <v>109</v>
      </c>
      <c r="AI2668" s="1" t="s">
        <v>109</v>
      </c>
      <c r="AJ2668" s="1">
        <v>3</v>
      </c>
      <c r="AK2668" s="1">
        <v>2</v>
      </c>
      <c r="AL2668" s="1">
        <v>3</v>
      </c>
      <c r="AM2668" s="1" t="s">
        <v>109</v>
      </c>
      <c r="AN2668" s="1" t="s">
        <v>109</v>
      </c>
      <c r="AO2668" s="1" t="s">
        <v>109</v>
      </c>
      <c r="AP2668" s="1"/>
      <c r="AQ2668" s="1">
        <v>3</v>
      </c>
      <c r="AR2668" s="1"/>
      <c r="AS2668" s="1"/>
      <c r="AT2668" s="1">
        <v>0</v>
      </c>
      <c r="AU2668" s="1">
        <v>0</v>
      </c>
      <c r="AV2668" s="1">
        <v>0</v>
      </c>
      <c r="AW2668" s="1">
        <v>0</v>
      </c>
      <c r="AX2668" s="1">
        <v>0</v>
      </c>
      <c r="AY2668" s="1">
        <v>0</v>
      </c>
      <c r="AZ2668" s="1">
        <v>0</v>
      </c>
      <c r="BA2668" s="1">
        <v>0</v>
      </c>
      <c r="BB2668" s="1">
        <v>0</v>
      </c>
      <c r="BC2668" s="1">
        <v>0</v>
      </c>
      <c r="BD2668" s="1">
        <v>0</v>
      </c>
      <c r="BE2668" s="1">
        <v>0</v>
      </c>
      <c r="BF2668" s="1">
        <v>0</v>
      </c>
      <c r="BG2668" s="1">
        <v>0</v>
      </c>
      <c r="BH2668" s="1">
        <v>0</v>
      </c>
      <c r="BI2668" s="1">
        <v>0</v>
      </c>
      <c r="BJ2668" s="1">
        <v>0</v>
      </c>
      <c r="BK2668" s="1">
        <v>0</v>
      </c>
      <c r="BL2668" s="1">
        <v>0</v>
      </c>
      <c r="BM2668" s="1">
        <v>0</v>
      </c>
      <c r="BN2668" s="1">
        <v>0</v>
      </c>
      <c r="BO2668" s="1">
        <v>0</v>
      </c>
      <c r="BP2668" s="1">
        <v>0</v>
      </c>
      <c r="BQ2668" s="1">
        <v>0</v>
      </c>
      <c r="BR2668" s="1">
        <v>0</v>
      </c>
      <c r="BS2668" s="1" t="s">
        <v>109</v>
      </c>
      <c r="BT2668" s="1">
        <v>2771</v>
      </c>
      <c r="BU2668" s="1" t="s">
        <v>109</v>
      </c>
      <c r="BV2668" s="1"/>
      <c r="BW2668" s="1"/>
      <c r="BX2668" s="1"/>
      <c r="BY2668" s="1"/>
      <c r="BZ2668" s="1">
        <v>0</v>
      </c>
      <c r="CA2668" s="1" t="s">
        <v>109</v>
      </c>
      <c r="CB2668" s="1" t="s">
        <v>109</v>
      </c>
      <c r="CC2668" s="1" t="s">
        <v>109</v>
      </c>
      <c r="CD2668" s="1" t="s">
        <v>109</v>
      </c>
      <c r="CE2668" s="1" t="s">
        <v>109</v>
      </c>
      <c r="CF2668" s="1" t="s">
        <v>109</v>
      </c>
      <c r="CG2668" s="1" t="s">
        <v>109</v>
      </c>
      <c r="CH2668" s="1" t="s">
        <v>109</v>
      </c>
      <c r="CI2668" s="1" t="s">
        <v>109</v>
      </c>
      <c r="CJ2668" s="1">
        <v>2</v>
      </c>
      <c r="CK2668" s="1"/>
      <c r="CL2668" s="1">
        <v>0</v>
      </c>
      <c r="CM2668" s="1">
        <v>0</v>
      </c>
      <c r="CN2668" s="1">
        <v>0</v>
      </c>
    </row>
    <row r="2669" spans="1:92" ht="14.25" customHeight="1" x14ac:dyDescent="0.15">
      <c r="A2669" s="1" t="s">
        <v>18910</v>
      </c>
      <c r="B2669" s="1" t="s">
        <v>254</v>
      </c>
      <c r="C2669" s="1"/>
      <c r="D2669" s="1"/>
      <c r="E2669" s="1" t="s">
        <v>18911</v>
      </c>
      <c r="F2669" s="1" t="s">
        <v>98</v>
      </c>
      <c r="G2669" s="1" t="s">
        <v>141</v>
      </c>
      <c r="H2669" s="1">
        <v>0</v>
      </c>
      <c r="I2669" s="1" t="s">
        <v>5410</v>
      </c>
      <c r="J2669" s="1" t="s">
        <v>18912</v>
      </c>
      <c r="K2669" s="1"/>
      <c r="L2669" s="1"/>
      <c r="M2669" s="1" t="s">
        <v>7223</v>
      </c>
      <c r="N2669" s="1">
        <v>0</v>
      </c>
      <c r="O2669" s="1">
        <v>0</v>
      </c>
      <c r="P2669" s="1"/>
      <c r="Q2669" s="1"/>
      <c r="R2669" s="1" t="s">
        <v>18913</v>
      </c>
      <c r="S2669" s="1" t="s">
        <v>18914</v>
      </c>
      <c r="T2669" s="1" t="s">
        <v>18893</v>
      </c>
      <c r="U2669" s="1" t="s">
        <v>18915</v>
      </c>
      <c r="V2669" s="1">
        <v>1</v>
      </c>
      <c r="W2669" s="1">
        <v>1</v>
      </c>
      <c r="X2669" s="1">
        <v>0</v>
      </c>
      <c r="Y2669" s="1">
        <v>0</v>
      </c>
      <c r="Z2669" s="1">
        <v>0</v>
      </c>
      <c r="AA2669" s="1">
        <v>2</v>
      </c>
      <c r="AB2669" s="1">
        <v>2</v>
      </c>
      <c r="AC2669" s="1">
        <v>2</v>
      </c>
      <c r="AD2669" s="1">
        <v>2</v>
      </c>
      <c r="AE2669" s="1">
        <v>1</v>
      </c>
      <c r="AF2669" s="1">
        <v>2</v>
      </c>
      <c r="AG2669" s="1" t="s">
        <v>109</v>
      </c>
      <c r="AH2669" s="1" t="s">
        <v>109</v>
      </c>
      <c r="AI2669" s="1">
        <v>2</v>
      </c>
      <c r="AJ2669" s="1">
        <v>2</v>
      </c>
      <c r="AK2669" s="1" t="s">
        <v>109</v>
      </c>
      <c r="AL2669" s="1">
        <v>2</v>
      </c>
      <c r="AM2669" s="1" t="s">
        <v>109</v>
      </c>
      <c r="AN2669" s="1" t="s">
        <v>109</v>
      </c>
      <c r="AO2669" s="1" t="s">
        <v>109</v>
      </c>
      <c r="AP2669" s="1"/>
      <c r="AQ2669" s="1">
        <v>2</v>
      </c>
      <c r="AR2669" s="1"/>
      <c r="AS2669" s="1"/>
      <c r="AT2669" s="1">
        <v>0</v>
      </c>
      <c r="AU2669" s="1">
        <v>0</v>
      </c>
      <c r="AV2669" s="1">
        <v>0</v>
      </c>
      <c r="AW2669" s="1">
        <v>0</v>
      </c>
      <c r="AX2669" s="1">
        <v>0</v>
      </c>
      <c r="AY2669" s="1">
        <v>0</v>
      </c>
      <c r="AZ2669" s="1">
        <v>0</v>
      </c>
      <c r="BA2669" s="1">
        <v>0</v>
      </c>
      <c r="BB2669" s="1">
        <v>0</v>
      </c>
      <c r="BC2669" s="1">
        <v>0</v>
      </c>
      <c r="BD2669" s="1">
        <v>0</v>
      </c>
      <c r="BE2669" s="1">
        <v>0</v>
      </c>
      <c r="BF2669" s="1">
        <v>0</v>
      </c>
      <c r="BG2669" s="1">
        <v>0</v>
      </c>
      <c r="BH2669" s="1">
        <v>0</v>
      </c>
      <c r="BI2669" s="1">
        <v>0</v>
      </c>
      <c r="BJ2669" s="1">
        <v>0</v>
      </c>
      <c r="BK2669" s="1">
        <v>0</v>
      </c>
      <c r="BL2669" s="1">
        <v>0</v>
      </c>
      <c r="BM2669" s="1">
        <v>0</v>
      </c>
      <c r="BN2669" s="1">
        <v>0</v>
      </c>
      <c r="BO2669" s="1">
        <v>0</v>
      </c>
      <c r="BP2669" s="1">
        <v>0</v>
      </c>
      <c r="BQ2669" s="1">
        <v>0</v>
      </c>
      <c r="BR2669" s="1">
        <v>0</v>
      </c>
      <c r="BS2669" s="1" t="s">
        <v>109</v>
      </c>
      <c r="BT2669" s="1">
        <v>2772</v>
      </c>
      <c r="BU2669" s="1" t="s">
        <v>109</v>
      </c>
      <c r="BV2669" s="1"/>
      <c r="BW2669" s="1"/>
      <c r="BX2669" s="1"/>
      <c r="BY2669" s="1"/>
      <c r="BZ2669" s="1">
        <v>0</v>
      </c>
      <c r="CA2669" s="1" t="s">
        <v>109</v>
      </c>
      <c r="CB2669" s="1">
        <v>2</v>
      </c>
      <c r="CC2669" s="1">
        <v>2</v>
      </c>
      <c r="CD2669" s="1" t="s">
        <v>109</v>
      </c>
      <c r="CE2669" s="1" t="s">
        <v>109</v>
      </c>
      <c r="CF2669" s="1" t="s">
        <v>109</v>
      </c>
      <c r="CG2669" s="1" t="s">
        <v>109</v>
      </c>
      <c r="CH2669" s="1" t="s">
        <v>109</v>
      </c>
      <c r="CI2669" s="1" t="s">
        <v>109</v>
      </c>
      <c r="CJ2669" s="1">
        <v>1</v>
      </c>
      <c r="CK2669" s="1"/>
      <c r="CL2669" s="1">
        <v>0</v>
      </c>
      <c r="CM2669" s="1">
        <v>0</v>
      </c>
      <c r="CN2669" s="1">
        <v>0</v>
      </c>
    </row>
    <row r="2670" spans="1:92" ht="14.25" customHeight="1" x14ac:dyDescent="0.15">
      <c r="A2670" s="1" t="s">
        <v>18916</v>
      </c>
      <c r="B2670" s="1" t="s">
        <v>254</v>
      </c>
      <c r="C2670" s="1"/>
      <c r="D2670" s="1"/>
      <c r="E2670" s="1" t="s">
        <v>18917</v>
      </c>
      <c r="F2670" s="1" t="s">
        <v>98</v>
      </c>
      <c r="G2670" s="1" t="s">
        <v>141</v>
      </c>
      <c r="H2670" s="1">
        <v>0</v>
      </c>
      <c r="I2670" s="1" t="s">
        <v>235</v>
      </c>
      <c r="J2670" s="1"/>
      <c r="K2670" s="1"/>
      <c r="L2670" s="1" t="s">
        <v>236</v>
      </c>
      <c r="M2670" s="1" t="s">
        <v>144</v>
      </c>
      <c r="N2670" s="1">
        <v>0</v>
      </c>
      <c r="O2670" s="1">
        <v>0</v>
      </c>
      <c r="P2670" s="1"/>
      <c r="Q2670" s="1"/>
      <c r="R2670" s="1" t="s">
        <v>18918</v>
      </c>
      <c r="S2670" s="1" t="s">
        <v>18919</v>
      </c>
      <c r="T2670" s="1" t="s">
        <v>18893</v>
      </c>
      <c r="U2670" s="1" t="s">
        <v>18920</v>
      </c>
      <c r="V2670" s="1">
        <v>1</v>
      </c>
      <c r="W2670" s="1">
        <v>1</v>
      </c>
      <c r="X2670" s="1">
        <v>0</v>
      </c>
      <c r="Y2670" s="1">
        <v>0</v>
      </c>
      <c r="Z2670" s="1">
        <v>0</v>
      </c>
      <c r="AA2670" s="1">
        <v>1</v>
      </c>
      <c r="AB2670" s="1">
        <v>1</v>
      </c>
      <c r="AC2670" s="1">
        <v>1</v>
      </c>
      <c r="AD2670" s="1">
        <v>1</v>
      </c>
      <c r="AE2670" s="1">
        <v>1</v>
      </c>
      <c r="AF2670" s="1">
        <v>1</v>
      </c>
      <c r="AG2670" s="1" t="s">
        <v>109</v>
      </c>
      <c r="AH2670" s="1" t="s">
        <v>109</v>
      </c>
      <c r="AI2670" s="1">
        <v>1</v>
      </c>
      <c r="AJ2670" s="1">
        <v>1</v>
      </c>
      <c r="AK2670" s="1">
        <v>1</v>
      </c>
      <c r="AL2670" s="1">
        <v>1</v>
      </c>
      <c r="AM2670" s="1" t="s">
        <v>109</v>
      </c>
      <c r="AN2670" s="1" t="s">
        <v>109</v>
      </c>
      <c r="AO2670" s="1" t="s">
        <v>109</v>
      </c>
      <c r="AP2670" s="1"/>
      <c r="AQ2670" s="1">
        <v>1</v>
      </c>
      <c r="AR2670" s="1"/>
      <c r="AS2670" s="1"/>
      <c r="AT2670" s="1">
        <v>0</v>
      </c>
      <c r="AU2670" s="1">
        <v>0</v>
      </c>
      <c r="AV2670" s="1">
        <v>0</v>
      </c>
      <c r="AW2670" s="1">
        <v>0</v>
      </c>
      <c r="AX2670" s="1">
        <v>0</v>
      </c>
      <c r="AY2670" s="1">
        <v>0</v>
      </c>
      <c r="AZ2670" s="1">
        <v>0</v>
      </c>
      <c r="BA2670" s="1">
        <v>0</v>
      </c>
      <c r="BB2670" s="1">
        <v>0</v>
      </c>
      <c r="BC2670" s="1">
        <v>0</v>
      </c>
      <c r="BD2670" s="1">
        <v>0</v>
      </c>
      <c r="BE2670" s="1">
        <v>0</v>
      </c>
      <c r="BF2670" s="1">
        <v>0</v>
      </c>
      <c r="BG2670" s="1">
        <v>0</v>
      </c>
      <c r="BH2670" s="1">
        <v>0</v>
      </c>
      <c r="BI2670" s="1">
        <v>0</v>
      </c>
      <c r="BJ2670" s="1">
        <v>0</v>
      </c>
      <c r="BK2670" s="1">
        <v>0</v>
      </c>
      <c r="BL2670" s="1">
        <v>0</v>
      </c>
      <c r="BM2670" s="1">
        <v>0</v>
      </c>
      <c r="BN2670" s="1">
        <v>0</v>
      </c>
      <c r="BO2670" s="1">
        <v>0</v>
      </c>
      <c r="BP2670" s="1">
        <v>0</v>
      </c>
      <c r="BQ2670" s="1">
        <v>0</v>
      </c>
      <c r="BR2670" s="1">
        <v>0</v>
      </c>
      <c r="BS2670" s="1" t="s">
        <v>109</v>
      </c>
      <c r="BT2670" s="1">
        <v>2773</v>
      </c>
      <c r="BU2670" s="1" t="s">
        <v>109</v>
      </c>
      <c r="BV2670" s="1"/>
      <c r="BW2670" s="1"/>
      <c r="BX2670" s="1"/>
      <c r="BY2670" s="1"/>
      <c r="BZ2670" s="1">
        <v>0</v>
      </c>
      <c r="CA2670" s="1" t="s">
        <v>109</v>
      </c>
      <c r="CB2670" s="1">
        <v>1</v>
      </c>
      <c r="CC2670" s="1">
        <v>1</v>
      </c>
      <c r="CD2670" s="1" t="s">
        <v>109</v>
      </c>
      <c r="CE2670" s="1" t="s">
        <v>109</v>
      </c>
      <c r="CF2670" s="1" t="s">
        <v>109</v>
      </c>
      <c r="CG2670" s="1" t="s">
        <v>109</v>
      </c>
      <c r="CH2670" s="1" t="s">
        <v>109</v>
      </c>
      <c r="CI2670" s="1" t="s">
        <v>109</v>
      </c>
      <c r="CJ2670" s="1">
        <v>1</v>
      </c>
      <c r="CK2670" s="1"/>
      <c r="CL2670" s="1">
        <v>0</v>
      </c>
      <c r="CM2670" s="1">
        <v>0</v>
      </c>
      <c r="CN2670" s="1">
        <v>0</v>
      </c>
    </row>
    <row r="2671" spans="1:92" ht="14.25" customHeight="1" x14ac:dyDescent="0.15">
      <c r="A2671" s="1" t="s">
        <v>18921</v>
      </c>
      <c r="B2671" s="1" t="s">
        <v>674</v>
      </c>
      <c r="C2671" s="1"/>
      <c r="D2671" s="1"/>
      <c r="E2671" s="1" t="s">
        <v>18922</v>
      </c>
      <c r="F2671" s="1" t="s">
        <v>98</v>
      </c>
      <c r="G2671" s="1" t="s">
        <v>18923</v>
      </c>
      <c r="H2671" s="1">
        <v>0</v>
      </c>
      <c r="I2671" s="1" t="s">
        <v>161</v>
      </c>
      <c r="J2671" s="1"/>
      <c r="K2671" s="1"/>
      <c r="L2671" s="1" t="s">
        <v>18924</v>
      </c>
      <c r="M2671" s="1" t="s">
        <v>289</v>
      </c>
      <c r="N2671" s="1">
        <v>0</v>
      </c>
      <c r="O2671" s="1">
        <v>0</v>
      </c>
      <c r="P2671" s="1" t="s">
        <v>18925</v>
      </c>
      <c r="Q2671" s="1" t="s">
        <v>104</v>
      </c>
      <c r="R2671" s="1" t="s">
        <v>18926</v>
      </c>
      <c r="S2671" s="1" t="s">
        <v>18927</v>
      </c>
      <c r="T2671" s="1" t="s">
        <v>18814</v>
      </c>
      <c r="U2671" s="1" t="s">
        <v>18928</v>
      </c>
      <c r="V2671" s="1">
        <v>1</v>
      </c>
      <c r="W2671" s="1">
        <v>1</v>
      </c>
      <c r="X2671" s="1">
        <v>1</v>
      </c>
      <c r="Y2671" s="1">
        <v>0</v>
      </c>
      <c r="Z2671" s="1">
        <v>0</v>
      </c>
      <c r="AA2671" s="1">
        <v>1</v>
      </c>
      <c r="AB2671" s="1">
        <v>1</v>
      </c>
      <c r="AC2671" s="1" t="s">
        <v>109</v>
      </c>
      <c r="AD2671" s="1" t="s">
        <v>109</v>
      </c>
      <c r="AE2671" s="1" t="s">
        <v>109</v>
      </c>
      <c r="AF2671" s="1">
        <v>1</v>
      </c>
      <c r="AG2671" s="1" t="s">
        <v>109</v>
      </c>
      <c r="AH2671" s="1" t="s">
        <v>109</v>
      </c>
      <c r="AI2671" s="1" t="s">
        <v>109</v>
      </c>
      <c r="AJ2671" s="1" t="s">
        <v>109</v>
      </c>
      <c r="AK2671" s="1" t="s">
        <v>109</v>
      </c>
      <c r="AL2671" s="1" t="s">
        <v>109</v>
      </c>
      <c r="AM2671" s="1" t="s">
        <v>109</v>
      </c>
      <c r="AN2671" s="1" t="s">
        <v>109</v>
      </c>
      <c r="AO2671" s="1" t="s">
        <v>109</v>
      </c>
      <c r="AP2671" s="1"/>
      <c r="AQ2671" s="1">
        <v>1</v>
      </c>
      <c r="AR2671" s="1"/>
      <c r="AS2671" s="1"/>
      <c r="AT2671" s="1">
        <v>0</v>
      </c>
      <c r="AU2671" s="1">
        <v>0</v>
      </c>
      <c r="AV2671" s="1">
        <v>0</v>
      </c>
      <c r="AW2671" s="1">
        <v>0</v>
      </c>
      <c r="AX2671" s="1">
        <v>0</v>
      </c>
      <c r="AY2671" s="1">
        <v>0</v>
      </c>
      <c r="AZ2671" s="1">
        <v>0</v>
      </c>
      <c r="BA2671" s="1">
        <v>0</v>
      </c>
      <c r="BB2671" s="1">
        <v>0</v>
      </c>
      <c r="BC2671" s="1">
        <v>0</v>
      </c>
      <c r="BD2671" s="1">
        <v>0</v>
      </c>
      <c r="BE2671" s="1">
        <v>0</v>
      </c>
      <c r="BF2671" s="1">
        <v>0</v>
      </c>
      <c r="BG2671" s="1">
        <v>0</v>
      </c>
      <c r="BH2671" s="1">
        <v>0</v>
      </c>
      <c r="BI2671" s="1">
        <v>0</v>
      </c>
      <c r="BJ2671" s="1">
        <v>0</v>
      </c>
      <c r="BK2671" s="1">
        <v>0</v>
      </c>
      <c r="BL2671" s="1">
        <v>0</v>
      </c>
      <c r="BM2671" s="1">
        <v>0</v>
      </c>
      <c r="BN2671" s="1">
        <v>0</v>
      </c>
      <c r="BO2671" s="1">
        <v>0</v>
      </c>
      <c r="BP2671" s="1">
        <v>0</v>
      </c>
      <c r="BQ2671" s="1">
        <v>0</v>
      </c>
      <c r="BR2671" s="1">
        <v>0</v>
      </c>
      <c r="BS2671" s="1" t="s">
        <v>109</v>
      </c>
      <c r="BT2671" s="1">
        <v>2774</v>
      </c>
      <c r="BU2671" s="1" t="s">
        <v>109</v>
      </c>
      <c r="BV2671" s="1"/>
      <c r="BW2671" s="1"/>
      <c r="BX2671" s="1"/>
      <c r="BY2671" s="1"/>
      <c r="BZ2671" s="1">
        <v>0</v>
      </c>
      <c r="CA2671" s="1" t="s">
        <v>109</v>
      </c>
      <c r="CB2671" s="1" t="s">
        <v>109</v>
      </c>
      <c r="CC2671" s="1">
        <v>1</v>
      </c>
      <c r="CD2671" s="1">
        <v>1</v>
      </c>
      <c r="CE2671" s="1">
        <v>1</v>
      </c>
      <c r="CF2671" s="1" t="s">
        <v>109</v>
      </c>
      <c r="CG2671" s="1" t="s">
        <v>109</v>
      </c>
      <c r="CH2671" s="1" t="s">
        <v>109</v>
      </c>
      <c r="CI2671" s="1" t="s">
        <v>109</v>
      </c>
      <c r="CJ2671" s="1" t="s">
        <v>109</v>
      </c>
      <c r="CK2671" s="1"/>
      <c r="CL2671" s="1">
        <v>0</v>
      </c>
      <c r="CM2671" s="1">
        <v>0</v>
      </c>
      <c r="CN2671" s="1">
        <v>0</v>
      </c>
    </row>
    <row r="2672" spans="1:92" ht="14.25" customHeight="1" x14ac:dyDescent="0.15">
      <c r="A2672" s="1" t="s">
        <v>18929</v>
      </c>
      <c r="B2672" s="1" t="s">
        <v>584</v>
      </c>
      <c r="C2672" s="1"/>
      <c r="D2672" s="1"/>
      <c r="E2672" s="1" t="s">
        <v>14077</v>
      </c>
      <c r="F2672" s="1" t="s">
        <v>98</v>
      </c>
      <c r="G2672" s="1" t="s">
        <v>160</v>
      </c>
      <c r="H2672" s="1">
        <v>0</v>
      </c>
      <c r="I2672" s="1" t="s">
        <v>100</v>
      </c>
      <c r="J2672" s="1" t="s">
        <v>18930</v>
      </c>
      <c r="K2672" s="1"/>
      <c r="L2672" s="1"/>
      <c r="M2672" s="1" t="s">
        <v>125</v>
      </c>
      <c r="N2672" s="1">
        <v>0</v>
      </c>
      <c r="O2672" s="1">
        <v>0</v>
      </c>
      <c r="P2672" s="1" t="s">
        <v>18931</v>
      </c>
      <c r="Q2672" s="1" t="s">
        <v>104</v>
      </c>
      <c r="R2672" s="1" t="s">
        <v>18932</v>
      </c>
      <c r="S2672" s="1" t="s">
        <v>18933</v>
      </c>
      <c r="T2672" s="1" t="s">
        <v>18814</v>
      </c>
      <c r="U2672" s="1" t="s">
        <v>18934</v>
      </c>
      <c r="V2672" s="1">
        <v>1</v>
      </c>
      <c r="W2672" s="1">
        <v>1</v>
      </c>
      <c r="X2672" s="1">
        <v>0</v>
      </c>
      <c r="Y2672" s="1">
        <v>0</v>
      </c>
      <c r="Z2672" s="1">
        <v>1</v>
      </c>
      <c r="AA2672" s="1" t="s">
        <v>109</v>
      </c>
      <c r="AB2672" s="1" t="s">
        <v>109</v>
      </c>
      <c r="AC2672" s="1" t="s">
        <v>109</v>
      </c>
      <c r="AD2672" s="1">
        <v>3</v>
      </c>
      <c r="AE2672" s="1">
        <v>3</v>
      </c>
      <c r="AF2672" s="1" t="s">
        <v>109</v>
      </c>
      <c r="AG2672" s="1" t="s">
        <v>109</v>
      </c>
      <c r="AH2672" s="1" t="s">
        <v>109</v>
      </c>
      <c r="AI2672" s="1" t="s">
        <v>109</v>
      </c>
      <c r="AJ2672" s="1">
        <v>3</v>
      </c>
      <c r="AK2672" s="1" t="s">
        <v>109</v>
      </c>
      <c r="AL2672" s="1" t="s">
        <v>109</v>
      </c>
      <c r="AM2672" s="1" t="s">
        <v>109</v>
      </c>
      <c r="AN2672" s="1" t="s">
        <v>109</v>
      </c>
      <c r="AO2672" s="1" t="s">
        <v>109</v>
      </c>
      <c r="AP2672" s="1"/>
      <c r="AQ2672" s="1">
        <v>3</v>
      </c>
      <c r="AR2672" s="1"/>
      <c r="AS2672" s="1"/>
      <c r="AT2672" s="1">
        <v>0</v>
      </c>
      <c r="AU2672" s="1">
        <v>0</v>
      </c>
      <c r="AV2672" s="1">
        <v>0</v>
      </c>
      <c r="AW2672" s="1">
        <v>0</v>
      </c>
      <c r="AX2672" s="1">
        <v>0</v>
      </c>
      <c r="AY2672" s="1">
        <v>0</v>
      </c>
      <c r="AZ2672" s="1">
        <v>0</v>
      </c>
      <c r="BA2672" s="1">
        <v>0</v>
      </c>
      <c r="BB2672" s="1">
        <v>0</v>
      </c>
      <c r="BC2672" s="1">
        <v>0</v>
      </c>
      <c r="BD2672" s="1">
        <v>0</v>
      </c>
      <c r="BE2672" s="1">
        <v>0</v>
      </c>
      <c r="BF2672" s="1">
        <v>0</v>
      </c>
      <c r="BG2672" s="1">
        <v>0</v>
      </c>
      <c r="BH2672" s="1">
        <v>0</v>
      </c>
      <c r="BI2672" s="1">
        <v>0</v>
      </c>
      <c r="BJ2672" s="1">
        <v>0</v>
      </c>
      <c r="BK2672" s="1">
        <v>0</v>
      </c>
      <c r="BL2672" s="1">
        <v>0</v>
      </c>
      <c r="BM2672" s="1">
        <v>0</v>
      </c>
      <c r="BN2672" s="1">
        <v>0</v>
      </c>
      <c r="BO2672" s="1">
        <v>0</v>
      </c>
      <c r="BP2672" s="1">
        <v>0</v>
      </c>
      <c r="BQ2672" s="1">
        <v>0</v>
      </c>
      <c r="BR2672" s="1">
        <v>0</v>
      </c>
      <c r="BS2672" s="1" t="s">
        <v>109</v>
      </c>
      <c r="BT2672" s="1">
        <v>2775</v>
      </c>
      <c r="BU2672" s="1" t="s">
        <v>109</v>
      </c>
      <c r="BV2672" s="1"/>
      <c r="BW2672" s="1"/>
      <c r="BX2672" s="1"/>
      <c r="BY2672" s="1"/>
      <c r="BZ2672" s="1">
        <v>0</v>
      </c>
      <c r="CA2672" s="1" t="s">
        <v>109</v>
      </c>
      <c r="CB2672" s="1">
        <v>3</v>
      </c>
      <c r="CC2672" s="1" t="s">
        <v>109</v>
      </c>
      <c r="CD2672" s="1" t="s">
        <v>109</v>
      </c>
      <c r="CE2672" s="1" t="s">
        <v>109</v>
      </c>
      <c r="CF2672" s="1" t="s">
        <v>109</v>
      </c>
      <c r="CG2672" s="1" t="s">
        <v>109</v>
      </c>
      <c r="CH2672" s="1" t="s">
        <v>109</v>
      </c>
      <c r="CI2672" s="1" t="s">
        <v>109</v>
      </c>
      <c r="CJ2672" s="1">
        <v>3</v>
      </c>
      <c r="CK2672" s="1"/>
      <c r="CL2672" s="1">
        <v>0</v>
      </c>
      <c r="CM2672" s="1">
        <v>0</v>
      </c>
      <c r="CN2672" s="1">
        <v>0</v>
      </c>
    </row>
    <row r="2673" spans="1:92" ht="14.25" customHeight="1" x14ac:dyDescent="0.15">
      <c r="A2673" s="1" t="s">
        <v>18935</v>
      </c>
      <c r="B2673" s="1" t="s">
        <v>254</v>
      </c>
      <c r="C2673" s="1"/>
      <c r="D2673" s="1"/>
      <c r="E2673" s="1" t="s">
        <v>18936</v>
      </c>
      <c r="F2673" s="1" t="s">
        <v>98</v>
      </c>
      <c r="G2673" s="1" t="s">
        <v>18937</v>
      </c>
      <c r="H2673" s="1">
        <v>0</v>
      </c>
      <c r="I2673" s="1" t="s">
        <v>161</v>
      </c>
      <c r="J2673" s="1"/>
      <c r="K2673" s="1"/>
      <c r="L2673" s="1" t="s">
        <v>1391</v>
      </c>
      <c r="M2673" s="1" t="s">
        <v>14745</v>
      </c>
      <c r="N2673" s="1">
        <v>1</v>
      </c>
      <c r="O2673" s="1">
        <v>0</v>
      </c>
      <c r="P2673" s="1" t="s">
        <v>507</v>
      </c>
      <c r="Q2673" s="1" t="s">
        <v>167</v>
      </c>
      <c r="R2673" s="1" t="s">
        <v>18938</v>
      </c>
      <c r="S2673" s="1" t="s">
        <v>18939</v>
      </c>
      <c r="T2673" s="1" t="s">
        <v>18814</v>
      </c>
      <c r="U2673" s="1" t="s">
        <v>18940</v>
      </c>
      <c r="V2673" s="1">
        <v>1</v>
      </c>
      <c r="W2673" s="1">
        <v>1</v>
      </c>
      <c r="X2673" s="1">
        <v>1</v>
      </c>
      <c r="Y2673" s="1">
        <v>0</v>
      </c>
      <c r="Z2673" s="1">
        <v>1</v>
      </c>
      <c r="AA2673" s="1" t="s">
        <v>109</v>
      </c>
      <c r="AB2673" s="1" t="s">
        <v>109</v>
      </c>
      <c r="AC2673" s="1" t="s">
        <v>109</v>
      </c>
      <c r="AD2673" s="1">
        <v>1</v>
      </c>
      <c r="AE2673" s="1">
        <v>1</v>
      </c>
      <c r="AF2673" s="1">
        <v>1</v>
      </c>
      <c r="AG2673" s="1" t="s">
        <v>109</v>
      </c>
      <c r="AH2673" s="1" t="s">
        <v>109</v>
      </c>
      <c r="AI2673" s="1" t="s">
        <v>109</v>
      </c>
      <c r="AJ2673" s="1">
        <v>1</v>
      </c>
      <c r="AK2673" s="1">
        <v>1</v>
      </c>
      <c r="AL2673" s="1" t="s">
        <v>109</v>
      </c>
      <c r="AM2673" s="1" t="s">
        <v>109</v>
      </c>
      <c r="AN2673" s="1" t="s">
        <v>109</v>
      </c>
      <c r="AO2673" s="1" t="s">
        <v>109</v>
      </c>
      <c r="AP2673" s="1"/>
      <c r="AQ2673" s="1">
        <v>1</v>
      </c>
      <c r="AR2673" s="1"/>
      <c r="AS2673" s="1"/>
      <c r="AT2673" s="1">
        <v>0</v>
      </c>
      <c r="AU2673" s="1">
        <v>0</v>
      </c>
      <c r="AV2673" s="1">
        <v>0</v>
      </c>
      <c r="AW2673" s="1">
        <v>0</v>
      </c>
      <c r="AX2673" s="1">
        <v>0</v>
      </c>
      <c r="AY2673" s="1">
        <v>0</v>
      </c>
      <c r="AZ2673" s="1">
        <v>0</v>
      </c>
      <c r="BA2673" s="1">
        <v>0</v>
      </c>
      <c r="BB2673" s="1">
        <v>0</v>
      </c>
      <c r="BC2673" s="1">
        <v>0</v>
      </c>
      <c r="BD2673" s="1">
        <v>0</v>
      </c>
      <c r="BE2673" s="1">
        <v>0</v>
      </c>
      <c r="BF2673" s="1">
        <v>0</v>
      </c>
      <c r="BG2673" s="1">
        <v>0</v>
      </c>
      <c r="BH2673" s="1">
        <v>0</v>
      </c>
      <c r="BI2673" s="1">
        <v>0</v>
      </c>
      <c r="BJ2673" s="1">
        <v>0</v>
      </c>
      <c r="BK2673" s="1">
        <v>0</v>
      </c>
      <c r="BL2673" s="1">
        <v>0</v>
      </c>
      <c r="BM2673" s="1">
        <v>0</v>
      </c>
      <c r="BN2673" s="1">
        <v>0</v>
      </c>
      <c r="BO2673" s="1">
        <v>0</v>
      </c>
      <c r="BP2673" s="1">
        <v>0</v>
      </c>
      <c r="BQ2673" s="1">
        <v>0</v>
      </c>
      <c r="BR2673" s="1">
        <v>0</v>
      </c>
      <c r="BS2673" s="1" t="s">
        <v>109</v>
      </c>
      <c r="BT2673" s="1">
        <v>2776</v>
      </c>
      <c r="BU2673" s="1" t="s">
        <v>109</v>
      </c>
      <c r="BV2673" s="1"/>
      <c r="BW2673" s="1"/>
      <c r="BX2673" s="1"/>
      <c r="BY2673" s="1"/>
      <c r="BZ2673" s="1">
        <v>0</v>
      </c>
      <c r="CA2673" s="1" t="s">
        <v>109</v>
      </c>
      <c r="CB2673" s="1">
        <v>1</v>
      </c>
      <c r="CC2673" s="1" t="s">
        <v>109</v>
      </c>
      <c r="CD2673" s="1" t="s">
        <v>109</v>
      </c>
      <c r="CE2673" s="1" t="s">
        <v>109</v>
      </c>
      <c r="CF2673" s="1" t="s">
        <v>109</v>
      </c>
      <c r="CG2673" s="1" t="s">
        <v>109</v>
      </c>
      <c r="CH2673" s="1" t="s">
        <v>109</v>
      </c>
      <c r="CI2673" s="1" t="s">
        <v>109</v>
      </c>
      <c r="CJ2673" s="1">
        <v>1</v>
      </c>
      <c r="CK2673" s="1"/>
      <c r="CL2673" s="1">
        <v>0</v>
      </c>
      <c r="CM2673" s="1">
        <v>0</v>
      </c>
      <c r="CN2673" s="1">
        <v>0</v>
      </c>
    </row>
    <row r="2674" spans="1:92" ht="14.25" customHeight="1" x14ac:dyDescent="0.15">
      <c r="A2674" s="1" t="s">
        <v>18941</v>
      </c>
      <c r="B2674" s="1" t="s">
        <v>254</v>
      </c>
      <c r="C2674" s="1"/>
      <c r="D2674" s="1"/>
      <c r="E2674" s="1" t="s">
        <v>18942</v>
      </c>
      <c r="F2674" s="1" t="s">
        <v>395</v>
      </c>
      <c r="G2674" s="1" t="s">
        <v>18943</v>
      </c>
      <c r="H2674" s="1">
        <v>0</v>
      </c>
      <c r="I2674" s="1" t="s">
        <v>211</v>
      </c>
      <c r="J2674" s="1"/>
      <c r="K2674" s="1"/>
      <c r="L2674" s="1"/>
      <c r="M2674" s="1" t="s">
        <v>815</v>
      </c>
      <c r="N2674" s="1">
        <v>1</v>
      </c>
      <c r="O2674" s="1">
        <v>0</v>
      </c>
      <c r="P2674" s="1" t="s">
        <v>103</v>
      </c>
      <c r="Q2674" s="1" t="s">
        <v>104</v>
      </c>
      <c r="R2674" s="1" t="s">
        <v>18944</v>
      </c>
      <c r="S2674" s="1" t="s">
        <v>18945</v>
      </c>
      <c r="T2674" s="1" t="s">
        <v>18814</v>
      </c>
      <c r="U2674" s="1" t="s">
        <v>18946</v>
      </c>
      <c r="V2674" s="1">
        <v>1</v>
      </c>
      <c r="W2674" s="1">
        <v>1</v>
      </c>
      <c r="X2674" s="1">
        <v>1</v>
      </c>
      <c r="Y2674" s="1">
        <v>0</v>
      </c>
      <c r="Z2674" s="1">
        <v>0</v>
      </c>
      <c r="AA2674" s="1">
        <v>4</v>
      </c>
      <c r="AB2674" s="1">
        <v>4</v>
      </c>
      <c r="AC2674" s="1" t="s">
        <v>109</v>
      </c>
      <c r="AD2674" s="1" t="s">
        <v>109</v>
      </c>
      <c r="AE2674" s="1">
        <v>3</v>
      </c>
      <c r="AF2674" s="1">
        <v>3</v>
      </c>
      <c r="AG2674" s="1" t="s">
        <v>109</v>
      </c>
      <c r="AH2674" s="1" t="s">
        <v>109</v>
      </c>
      <c r="AI2674" s="1" t="s">
        <v>109</v>
      </c>
      <c r="AJ2674" s="1" t="s">
        <v>109</v>
      </c>
      <c r="AK2674" s="1" t="s">
        <v>109</v>
      </c>
      <c r="AL2674" s="1" t="s">
        <v>109</v>
      </c>
      <c r="AM2674" s="1" t="s">
        <v>109</v>
      </c>
      <c r="AN2674" s="1" t="s">
        <v>109</v>
      </c>
      <c r="AO2674" s="1" t="s">
        <v>109</v>
      </c>
      <c r="AP2674" s="1"/>
      <c r="AQ2674" s="1">
        <v>4</v>
      </c>
      <c r="AR2674" s="1"/>
      <c r="AS2674" s="1"/>
      <c r="AT2674" s="1">
        <v>0</v>
      </c>
      <c r="AU2674" s="1">
        <v>0</v>
      </c>
      <c r="AV2674" s="1">
        <v>0</v>
      </c>
      <c r="AW2674" s="1">
        <v>0</v>
      </c>
      <c r="AX2674" s="1">
        <v>0</v>
      </c>
      <c r="AY2674" s="1">
        <v>0</v>
      </c>
      <c r="AZ2674" s="1">
        <v>0</v>
      </c>
      <c r="BA2674" s="1">
        <v>0</v>
      </c>
      <c r="BB2674" s="1">
        <v>0</v>
      </c>
      <c r="BC2674" s="1">
        <v>0</v>
      </c>
      <c r="BD2674" s="1">
        <v>0</v>
      </c>
      <c r="BE2674" s="1">
        <v>0</v>
      </c>
      <c r="BF2674" s="1">
        <v>0</v>
      </c>
      <c r="BG2674" s="1">
        <v>0</v>
      </c>
      <c r="BH2674" s="1">
        <v>0</v>
      </c>
      <c r="BI2674" s="1">
        <v>0</v>
      </c>
      <c r="BJ2674" s="1">
        <v>0</v>
      </c>
      <c r="BK2674" s="1">
        <v>0</v>
      </c>
      <c r="BL2674" s="1">
        <v>0</v>
      </c>
      <c r="BM2674" s="1">
        <v>0</v>
      </c>
      <c r="BN2674" s="1">
        <v>0</v>
      </c>
      <c r="BO2674" s="1">
        <v>0</v>
      </c>
      <c r="BP2674" s="1">
        <v>0</v>
      </c>
      <c r="BQ2674" s="1">
        <v>0</v>
      </c>
      <c r="BR2674" s="1">
        <v>0</v>
      </c>
      <c r="BS2674" s="1" t="s">
        <v>109</v>
      </c>
      <c r="BT2674" s="1">
        <v>2777</v>
      </c>
      <c r="BU2674" s="1" t="s">
        <v>109</v>
      </c>
      <c r="BV2674" s="1"/>
      <c r="BW2674" s="1"/>
      <c r="BX2674" s="1"/>
      <c r="BY2674" s="1"/>
      <c r="BZ2674" s="1">
        <v>0</v>
      </c>
      <c r="CA2674" s="1" t="s">
        <v>109</v>
      </c>
      <c r="CB2674" s="1" t="s">
        <v>109</v>
      </c>
      <c r="CC2674" s="1" t="s">
        <v>109</v>
      </c>
      <c r="CD2674" s="1">
        <v>3</v>
      </c>
      <c r="CE2674" s="1" t="s">
        <v>109</v>
      </c>
      <c r="CF2674" s="1" t="s">
        <v>109</v>
      </c>
      <c r="CG2674" s="1" t="s">
        <v>109</v>
      </c>
      <c r="CH2674" s="1" t="s">
        <v>109</v>
      </c>
      <c r="CI2674" s="1" t="s">
        <v>109</v>
      </c>
      <c r="CJ2674" s="1">
        <v>3</v>
      </c>
      <c r="CK2674" s="1"/>
      <c r="CL2674" s="1">
        <v>0</v>
      </c>
      <c r="CM2674" s="1">
        <v>0</v>
      </c>
      <c r="CN2674" s="1">
        <v>0</v>
      </c>
    </row>
    <row r="2675" spans="1:92" ht="14.25" customHeight="1" x14ac:dyDescent="0.15">
      <c r="A2675" s="1" t="s">
        <v>18947</v>
      </c>
      <c r="B2675" s="1" t="s">
        <v>584</v>
      </c>
      <c r="C2675" s="1"/>
      <c r="D2675" s="1" t="s">
        <v>70</v>
      </c>
      <c r="E2675" s="1" t="s">
        <v>18948</v>
      </c>
      <c r="F2675" s="1" t="s">
        <v>98</v>
      </c>
      <c r="G2675" s="1" t="s">
        <v>18949</v>
      </c>
      <c r="H2675" s="1">
        <v>0</v>
      </c>
      <c r="I2675" s="1" t="s">
        <v>122</v>
      </c>
      <c r="J2675" s="1" t="s">
        <v>18950</v>
      </c>
      <c r="K2675" s="1"/>
      <c r="L2675" s="1"/>
      <c r="M2675" s="1" t="s">
        <v>574</v>
      </c>
      <c r="N2675" s="1">
        <v>1</v>
      </c>
      <c r="O2675" s="1">
        <v>0</v>
      </c>
      <c r="P2675" s="1" t="s">
        <v>103</v>
      </c>
      <c r="Q2675" s="1" t="s">
        <v>104</v>
      </c>
      <c r="R2675" s="1" t="s">
        <v>18951</v>
      </c>
      <c r="S2675" s="1" t="s">
        <v>18952</v>
      </c>
      <c r="T2675" s="1" t="s">
        <v>18814</v>
      </c>
      <c r="U2675" s="1" t="s">
        <v>18953</v>
      </c>
      <c r="V2675" s="1">
        <v>1</v>
      </c>
      <c r="W2675" s="1">
        <v>1</v>
      </c>
      <c r="X2675" s="1">
        <v>1</v>
      </c>
      <c r="Y2675" s="1">
        <v>0</v>
      </c>
      <c r="Z2675" s="1">
        <v>1</v>
      </c>
      <c r="AA2675" s="1" t="s">
        <v>109</v>
      </c>
      <c r="AB2675" s="1" t="s">
        <v>109</v>
      </c>
      <c r="AC2675" s="1" t="s">
        <v>109</v>
      </c>
      <c r="AD2675" s="1">
        <v>2</v>
      </c>
      <c r="AE2675" s="1" t="s">
        <v>109</v>
      </c>
      <c r="AF2675" s="1">
        <v>2</v>
      </c>
      <c r="AG2675" s="1" t="s">
        <v>109</v>
      </c>
      <c r="AH2675" s="1" t="s">
        <v>109</v>
      </c>
      <c r="AI2675" s="1" t="s">
        <v>109</v>
      </c>
      <c r="AJ2675" s="1">
        <v>2</v>
      </c>
      <c r="AK2675" s="1" t="s">
        <v>109</v>
      </c>
      <c r="AL2675" s="1" t="s">
        <v>109</v>
      </c>
      <c r="AM2675" s="1" t="s">
        <v>109</v>
      </c>
      <c r="AN2675" s="1" t="s">
        <v>109</v>
      </c>
      <c r="AO2675" s="1" t="s">
        <v>109</v>
      </c>
      <c r="AP2675" s="1"/>
      <c r="AQ2675" s="1">
        <v>2</v>
      </c>
      <c r="AR2675" s="1"/>
      <c r="AS2675" s="1"/>
      <c r="AT2675" s="1">
        <v>0</v>
      </c>
      <c r="AU2675" s="1">
        <v>0</v>
      </c>
      <c r="AV2675" s="1">
        <v>0</v>
      </c>
      <c r="AW2675" s="1">
        <v>0</v>
      </c>
      <c r="AX2675" s="1">
        <v>0</v>
      </c>
      <c r="AY2675" s="1">
        <v>0</v>
      </c>
      <c r="AZ2675" s="1">
        <v>0</v>
      </c>
      <c r="BA2675" s="1">
        <v>0</v>
      </c>
      <c r="BB2675" s="1">
        <v>0</v>
      </c>
      <c r="BC2675" s="1">
        <v>0</v>
      </c>
      <c r="BD2675" s="1">
        <v>0</v>
      </c>
      <c r="BE2675" s="1">
        <v>0</v>
      </c>
      <c r="BF2675" s="1">
        <v>0</v>
      </c>
      <c r="BG2675" s="1">
        <v>0</v>
      </c>
      <c r="BH2675" s="1">
        <v>0</v>
      </c>
      <c r="BI2675" s="1">
        <v>0</v>
      </c>
      <c r="BJ2675" s="1">
        <v>0</v>
      </c>
      <c r="BK2675" s="1">
        <v>0</v>
      </c>
      <c r="BL2675" s="1">
        <v>0</v>
      </c>
      <c r="BM2675" s="1">
        <v>0</v>
      </c>
      <c r="BN2675" s="1">
        <v>0</v>
      </c>
      <c r="BO2675" s="1">
        <v>0</v>
      </c>
      <c r="BP2675" s="1">
        <v>0</v>
      </c>
      <c r="BQ2675" s="1">
        <v>0</v>
      </c>
      <c r="BR2675" s="1">
        <v>1</v>
      </c>
      <c r="BS2675" s="1" t="s">
        <v>109</v>
      </c>
      <c r="BT2675" s="1">
        <v>2778</v>
      </c>
      <c r="BU2675" s="1" t="s">
        <v>109</v>
      </c>
      <c r="BV2675" s="1"/>
      <c r="BW2675" s="1"/>
      <c r="BX2675" s="1"/>
      <c r="BY2675" s="1"/>
      <c r="BZ2675" s="1">
        <v>0</v>
      </c>
      <c r="CA2675" s="1" t="s">
        <v>109</v>
      </c>
      <c r="CB2675" s="1">
        <v>2</v>
      </c>
      <c r="CC2675" s="1" t="s">
        <v>109</v>
      </c>
      <c r="CD2675" s="1" t="s">
        <v>109</v>
      </c>
      <c r="CE2675" s="1" t="s">
        <v>109</v>
      </c>
      <c r="CF2675" s="1" t="s">
        <v>109</v>
      </c>
      <c r="CG2675" s="1" t="s">
        <v>109</v>
      </c>
      <c r="CH2675" s="1" t="s">
        <v>109</v>
      </c>
      <c r="CI2675" s="1" t="s">
        <v>109</v>
      </c>
      <c r="CJ2675" s="1">
        <v>2</v>
      </c>
      <c r="CK2675" s="1"/>
      <c r="CL2675" s="1">
        <v>0</v>
      </c>
      <c r="CM2675" s="1">
        <v>0</v>
      </c>
      <c r="CN2675" s="1">
        <v>0</v>
      </c>
    </row>
    <row r="2676" spans="1:92" ht="14.25" customHeight="1" x14ac:dyDescent="0.15">
      <c r="A2676" s="1" t="s">
        <v>18954</v>
      </c>
      <c r="B2676" s="1" t="s">
        <v>156</v>
      </c>
      <c r="C2676" s="1" t="s">
        <v>157</v>
      </c>
      <c r="D2676" s="1" t="s">
        <v>18955</v>
      </c>
      <c r="E2676" s="1" t="s">
        <v>18956</v>
      </c>
      <c r="F2676" s="1" t="s">
        <v>98</v>
      </c>
      <c r="G2676" s="1" t="s">
        <v>18957</v>
      </c>
      <c r="H2676" s="1">
        <v>0</v>
      </c>
      <c r="I2676" s="1" t="s">
        <v>1192</v>
      </c>
      <c r="J2676" s="1" t="s">
        <v>726</v>
      </c>
      <c r="K2676" s="1"/>
      <c r="L2676" s="1"/>
      <c r="M2676" s="1" t="s">
        <v>144</v>
      </c>
      <c r="N2676" s="1">
        <v>0</v>
      </c>
      <c r="O2676" s="1">
        <v>0</v>
      </c>
      <c r="P2676" s="1" t="s">
        <v>507</v>
      </c>
      <c r="Q2676" s="1" t="s">
        <v>167</v>
      </c>
      <c r="R2676" s="1" t="s">
        <v>18958</v>
      </c>
      <c r="S2676" s="1" t="s">
        <v>18959</v>
      </c>
      <c r="T2676" s="1" t="s">
        <v>18814</v>
      </c>
      <c r="U2676" s="1" t="s">
        <v>18960</v>
      </c>
      <c r="V2676" s="1">
        <v>1</v>
      </c>
      <c r="W2676" s="1">
        <v>1</v>
      </c>
      <c r="X2676" s="1">
        <v>1</v>
      </c>
      <c r="Y2676" s="1">
        <v>0</v>
      </c>
      <c r="Z2676" s="1">
        <v>1</v>
      </c>
      <c r="AA2676" s="1" t="s">
        <v>109</v>
      </c>
      <c r="AB2676" s="1" t="s">
        <v>109</v>
      </c>
      <c r="AC2676" s="1" t="s">
        <v>109</v>
      </c>
      <c r="AD2676" s="1">
        <v>3</v>
      </c>
      <c r="AE2676" s="1" t="s">
        <v>109</v>
      </c>
      <c r="AF2676" s="1">
        <v>2</v>
      </c>
      <c r="AG2676" s="1" t="s">
        <v>109</v>
      </c>
      <c r="AH2676" s="1" t="s">
        <v>109</v>
      </c>
      <c r="AI2676" s="1" t="s">
        <v>109</v>
      </c>
      <c r="AJ2676" s="1">
        <v>3</v>
      </c>
      <c r="AK2676" s="1" t="s">
        <v>109</v>
      </c>
      <c r="AL2676" s="1" t="s">
        <v>109</v>
      </c>
      <c r="AM2676" s="1" t="s">
        <v>109</v>
      </c>
      <c r="AN2676" s="1" t="s">
        <v>109</v>
      </c>
      <c r="AO2676" s="1" t="s">
        <v>109</v>
      </c>
      <c r="AP2676" s="1"/>
      <c r="AQ2676" s="1">
        <v>3</v>
      </c>
      <c r="AR2676" s="1"/>
      <c r="AS2676" s="1"/>
      <c r="AT2676" s="1">
        <v>0</v>
      </c>
      <c r="AU2676" s="1">
        <v>1</v>
      </c>
      <c r="AV2676" s="1">
        <v>0</v>
      </c>
      <c r="AW2676" s="1">
        <v>0</v>
      </c>
      <c r="AX2676" s="1">
        <v>0</v>
      </c>
      <c r="AY2676" s="1">
        <v>0</v>
      </c>
      <c r="AZ2676" s="1">
        <v>0</v>
      </c>
      <c r="BA2676" s="1">
        <v>0</v>
      </c>
      <c r="BB2676" s="1">
        <v>0</v>
      </c>
      <c r="BC2676" s="1">
        <v>0</v>
      </c>
      <c r="BD2676" s="1">
        <v>0</v>
      </c>
      <c r="BE2676" s="1">
        <v>0</v>
      </c>
      <c r="BF2676" s="1">
        <v>0</v>
      </c>
      <c r="BG2676" s="1">
        <v>0</v>
      </c>
      <c r="BH2676" s="1">
        <v>0</v>
      </c>
      <c r="BI2676" s="1">
        <v>0</v>
      </c>
      <c r="BJ2676" s="1">
        <v>0</v>
      </c>
      <c r="BK2676" s="1">
        <v>0</v>
      </c>
      <c r="BL2676" s="1">
        <v>0</v>
      </c>
      <c r="BM2676" s="1">
        <v>1</v>
      </c>
      <c r="BN2676" s="1">
        <v>0</v>
      </c>
      <c r="BO2676" s="1">
        <v>0</v>
      </c>
      <c r="BP2676" s="1">
        <v>0</v>
      </c>
      <c r="BQ2676" s="1">
        <v>0</v>
      </c>
      <c r="BR2676" s="1">
        <v>0</v>
      </c>
      <c r="BS2676" s="1" t="s">
        <v>109</v>
      </c>
      <c r="BT2676" s="1">
        <v>2779</v>
      </c>
      <c r="BU2676" s="1" t="s">
        <v>109</v>
      </c>
      <c r="BV2676" s="1"/>
      <c r="BW2676" s="1"/>
      <c r="BX2676" s="1"/>
      <c r="BY2676" s="1"/>
      <c r="BZ2676" s="1">
        <v>0</v>
      </c>
      <c r="CA2676" s="1" t="s">
        <v>109</v>
      </c>
      <c r="CB2676" s="1">
        <v>2</v>
      </c>
      <c r="CC2676" s="1" t="s">
        <v>109</v>
      </c>
      <c r="CD2676" s="1" t="s">
        <v>109</v>
      </c>
      <c r="CE2676" s="1" t="s">
        <v>109</v>
      </c>
      <c r="CF2676" s="1" t="s">
        <v>109</v>
      </c>
      <c r="CG2676" s="1" t="s">
        <v>109</v>
      </c>
      <c r="CH2676" s="1" t="s">
        <v>109</v>
      </c>
      <c r="CI2676" s="1" t="s">
        <v>109</v>
      </c>
      <c r="CJ2676" s="1">
        <v>3</v>
      </c>
      <c r="CK2676" s="1"/>
      <c r="CL2676" s="1">
        <v>0</v>
      </c>
      <c r="CM2676" s="1">
        <v>0</v>
      </c>
      <c r="CN2676" s="1">
        <v>0</v>
      </c>
    </row>
    <row r="2677" spans="1:92" ht="14.25" customHeight="1" x14ac:dyDescent="0.15">
      <c r="A2677" s="1" t="s">
        <v>18961</v>
      </c>
      <c r="B2677" s="1" t="s">
        <v>189</v>
      </c>
      <c r="C2677" s="1"/>
      <c r="D2677" s="1"/>
      <c r="E2677" s="1" t="s">
        <v>18962</v>
      </c>
      <c r="F2677" s="1" t="s">
        <v>98</v>
      </c>
      <c r="G2677" s="1" t="s">
        <v>160</v>
      </c>
      <c r="H2677" s="1">
        <v>0</v>
      </c>
      <c r="I2677" s="1" t="s">
        <v>161</v>
      </c>
      <c r="J2677" s="1"/>
      <c r="K2677" s="1"/>
      <c r="L2677" s="1" t="s">
        <v>18963</v>
      </c>
      <c r="M2677" s="1" t="s">
        <v>6144</v>
      </c>
      <c r="N2677" s="1">
        <v>1</v>
      </c>
      <c r="O2677" s="1">
        <v>0</v>
      </c>
      <c r="P2677" s="1" t="s">
        <v>215</v>
      </c>
      <c r="Q2677" s="1" t="s">
        <v>216</v>
      </c>
      <c r="R2677" s="1" t="s">
        <v>18964</v>
      </c>
      <c r="S2677" s="1" t="s">
        <v>18965</v>
      </c>
      <c r="T2677" s="1" t="s">
        <v>18814</v>
      </c>
      <c r="U2677" s="1" t="s">
        <v>18966</v>
      </c>
      <c r="V2677" s="1">
        <v>1</v>
      </c>
      <c r="W2677" s="1">
        <v>1</v>
      </c>
      <c r="X2677" s="1">
        <v>0</v>
      </c>
      <c r="Y2677" s="1">
        <v>0</v>
      </c>
      <c r="Z2677" s="1">
        <v>1</v>
      </c>
      <c r="AA2677" s="1" t="s">
        <v>109</v>
      </c>
      <c r="AB2677" s="1" t="s">
        <v>109</v>
      </c>
      <c r="AC2677" s="1" t="s">
        <v>109</v>
      </c>
      <c r="AD2677" s="1">
        <v>1</v>
      </c>
      <c r="AE2677" s="1">
        <v>1</v>
      </c>
      <c r="AF2677" s="1" t="s">
        <v>109</v>
      </c>
      <c r="AG2677" s="1">
        <v>1</v>
      </c>
      <c r="AH2677" s="1" t="s">
        <v>109</v>
      </c>
      <c r="AI2677" s="1" t="s">
        <v>109</v>
      </c>
      <c r="AJ2677" s="1" t="s">
        <v>109</v>
      </c>
      <c r="AK2677" s="1" t="s">
        <v>109</v>
      </c>
      <c r="AL2677" s="1" t="s">
        <v>109</v>
      </c>
      <c r="AM2677" s="1">
        <v>1</v>
      </c>
      <c r="AN2677" s="1" t="s">
        <v>109</v>
      </c>
      <c r="AO2677" s="1" t="s">
        <v>109</v>
      </c>
      <c r="AP2677" s="1"/>
      <c r="AQ2677" s="1">
        <v>1</v>
      </c>
      <c r="AR2677" s="1"/>
      <c r="AS2677" s="1"/>
      <c r="AT2677" s="1">
        <v>0</v>
      </c>
      <c r="AU2677" s="1">
        <v>0</v>
      </c>
      <c r="AV2677" s="1">
        <v>0</v>
      </c>
      <c r="AW2677" s="1">
        <v>0</v>
      </c>
      <c r="AX2677" s="1">
        <v>0</v>
      </c>
      <c r="AY2677" s="1">
        <v>0</v>
      </c>
      <c r="AZ2677" s="1">
        <v>0</v>
      </c>
      <c r="BA2677" s="1">
        <v>0</v>
      </c>
      <c r="BB2677" s="1">
        <v>0</v>
      </c>
      <c r="BC2677" s="1">
        <v>0</v>
      </c>
      <c r="BD2677" s="1">
        <v>0</v>
      </c>
      <c r="BE2677" s="1">
        <v>0</v>
      </c>
      <c r="BF2677" s="1">
        <v>0</v>
      </c>
      <c r="BG2677" s="1">
        <v>0</v>
      </c>
      <c r="BH2677" s="1">
        <v>0</v>
      </c>
      <c r="BI2677" s="1">
        <v>0</v>
      </c>
      <c r="BJ2677" s="1">
        <v>0</v>
      </c>
      <c r="BK2677" s="1">
        <v>0</v>
      </c>
      <c r="BL2677" s="1">
        <v>0</v>
      </c>
      <c r="BM2677" s="1">
        <v>0</v>
      </c>
      <c r="BN2677" s="1">
        <v>0</v>
      </c>
      <c r="BO2677" s="1">
        <v>0</v>
      </c>
      <c r="BP2677" s="1">
        <v>0</v>
      </c>
      <c r="BQ2677" s="1">
        <v>0</v>
      </c>
      <c r="BR2677" s="1">
        <v>0</v>
      </c>
      <c r="BS2677" s="1" t="s">
        <v>109</v>
      </c>
      <c r="BT2677" s="1">
        <v>2780</v>
      </c>
      <c r="BU2677" s="1" t="s">
        <v>109</v>
      </c>
      <c r="BV2677" s="1"/>
      <c r="BW2677" s="1"/>
      <c r="BX2677" s="1"/>
      <c r="BY2677" s="1"/>
      <c r="BZ2677" s="1">
        <v>0</v>
      </c>
      <c r="CA2677" s="1" t="s">
        <v>109</v>
      </c>
      <c r="CB2677" s="1" t="s">
        <v>109</v>
      </c>
      <c r="CC2677" s="1" t="s">
        <v>109</v>
      </c>
      <c r="CD2677" s="1" t="s">
        <v>109</v>
      </c>
      <c r="CE2677" s="1" t="s">
        <v>109</v>
      </c>
      <c r="CF2677" s="1" t="s">
        <v>109</v>
      </c>
      <c r="CG2677" s="1" t="s">
        <v>109</v>
      </c>
      <c r="CH2677" s="1" t="s">
        <v>109</v>
      </c>
      <c r="CI2677" s="1" t="s">
        <v>109</v>
      </c>
      <c r="CJ2677" s="1">
        <v>1</v>
      </c>
      <c r="CK2677" s="1"/>
      <c r="CL2677" s="1">
        <v>0</v>
      </c>
      <c r="CM2677" s="1">
        <v>0</v>
      </c>
      <c r="CN2677" s="1">
        <v>0</v>
      </c>
    </row>
    <row r="2678" spans="1:92" ht="14.25" customHeight="1" x14ac:dyDescent="0.15">
      <c r="A2678" s="1" t="s">
        <v>18967</v>
      </c>
      <c r="B2678" s="1" t="s">
        <v>95</v>
      </c>
      <c r="C2678" s="1" t="s">
        <v>96</v>
      </c>
      <c r="D2678" s="1"/>
      <c r="E2678" s="1" t="s">
        <v>18968</v>
      </c>
      <c r="F2678" s="1" t="s">
        <v>1123</v>
      </c>
      <c r="G2678" s="1" t="s">
        <v>18969</v>
      </c>
      <c r="H2678" s="1">
        <v>0</v>
      </c>
      <c r="I2678" s="1" t="s">
        <v>161</v>
      </c>
      <c r="J2678" s="1"/>
      <c r="K2678" s="1" t="s">
        <v>18970</v>
      </c>
      <c r="L2678" s="1"/>
      <c r="M2678" s="1" t="s">
        <v>815</v>
      </c>
      <c r="N2678" s="1">
        <v>1</v>
      </c>
      <c r="O2678" s="1">
        <v>0</v>
      </c>
      <c r="P2678" s="1" t="s">
        <v>103</v>
      </c>
      <c r="Q2678" s="1" t="s">
        <v>104</v>
      </c>
      <c r="R2678" s="1" t="s">
        <v>18971</v>
      </c>
      <c r="S2678" s="1" t="s">
        <v>18972</v>
      </c>
      <c r="T2678" s="1" t="s">
        <v>18814</v>
      </c>
      <c r="U2678" s="1" t="s">
        <v>18973</v>
      </c>
      <c r="V2678" s="1">
        <v>1</v>
      </c>
      <c r="W2678" s="1">
        <v>1</v>
      </c>
      <c r="X2678" s="1">
        <v>1</v>
      </c>
      <c r="Y2678" s="1">
        <v>0</v>
      </c>
      <c r="Z2678" s="1">
        <v>1</v>
      </c>
      <c r="AA2678" s="1" t="s">
        <v>109</v>
      </c>
      <c r="AB2678" s="1" t="s">
        <v>109</v>
      </c>
      <c r="AC2678" s="1" t="s">
        <v>109</v>
      </c>
      <c r="AD2678" s="1" t="s">
        <v>109</v>
      </c>
      <c r="AE2678" s="1" t="s">
        <v>109</v>
      </c>
      <c r="AF2678" s="1" t="s">
        <v>109</v>
      </c>
      <c r="AG2678" s="1" t="s">
        <v>109</v>
      </c>
      <c r="AH2678" s="1" t="s">
        <v>109</v>
      </c>
      <c r="AI2678" s="1">
        <v>2</v>
      </c>
      <c r="AJ2678" s="1">
        <v>2</v>
      </c>
      <c r="AK2678" s="1" t="s">
        <v>109</v>
      </c>
      <c r="AL2678" s="1" t="s">
        <v>109</v>
      </c>
      <c r="AM2678" s="1" t="s">
        <v>109</v>
      </c>
      <c r="AN2678" s="1" t="s">
        <v>109</v>
      </c>
      <c r="AO2678" s="1" t="s">
        <v>109</v>
      </c>
      <c r="AP2678" s="1"/>
      <c r="AQ2678" s="1">
        <v>2</v>
      </c>
      <c r="AR2678" s="1"/>
      <c r="AS2678" s="1"/>
      <c r="AT2678" s="1">
        <v>0</v>
      </c>
      <c r="AU2678" s="1">
        <v>0</v>
      </c>
      <c r="AV2678" s="1">
        <v>0</v>
      </c>
      <c r="AW2678" s="1">
        <v>0</v>
      </c>
      <c r="AX2678" s="1">
        <v>0</v>
      </c>
      <c r="AY2678" s="1">
        <v>0</v>
      </c>
      <c r="AZ2678" s="1">
        <v>0</v>
      </c>
      <c r="BA2678" s="1">
        <v>0</v>
      </c>
      <c r="BB2678" s="1">
        <v>0</v>
      </c>
      <c r="BC2678" s="1">
        <v>0</v>
      </c>
      <c r="BD2678" s="1">
        <v>0</v>
      </c>
      <c r="BE2678" s="1">
        <v>0</v>
      </c>
      <c r="BF2678" s="1">
        <v>0</v>
      </c>
      <c r="BG2678" s="1">
        <v>0</v>
      </c>
      <c r="BH2678" s="1">
        <v>0</v>
      </c>
      <c r="BI2678" s="1">
        <v>0</v>
      </c>
      <c r="BJ2678" s="1">
        <v>0</v>
      </c>
      <c r="BK2678" s="1">
        <v>0</v>
      </c>
      <c r="BL2678" s="1">
        <v>0</v>
      </c>
      <c r="BM2678" s="1">
        <v>0</v>
      </c>
      <c r="BN2678" s="1">
        <v>0</v>
      </c>
      <c r="BO2678" s="1">
        <v>0</v>
      </c>
      <c r="BP2678" s="1">
        <v>0</v>
      </c>
      <c r="BQ2678" s="1">
        <v>0</v>
      </c>
      <c r="BR2678" s="1">
        <v>0</v>
      </c>
      <c r="BS2678" s="1" t="s">
        <v>109</v>
      </c>
      <c r="BT2678" s="1">
        <v>2781</v>
      </c>
      <c r="BU2678" s="1" t="s">
        <v>109</v>
      </c>
      <c r="BV2678" s="1"/>
      <c r="BW2678" s="1"/>
      <c r="BX2678" s="1"/>
      <c r="BY2678" s="1"/>
      <c r="BZ2678" s="1">
        <v>0</v>
      </c>
      <c r="CA2678" s="1" t="s">
        <v>109</v>
      </c>
      <c r="CB2678" s="1">
        <v>2</v>
      </c>
      <c r="CC2678" s="1" t="s">
        <v>109</v>
      </c>
      <c r="CD2678" s="1" t="s">
        <v>109</v>
      </c>
      <c r="CE2678" s="1" t="s">
        <v>109</v>
      </c>
      <c r="CF2678" s="1">
        <v>2</v>
      </c>
      <c r="CG2678" s="1" t="s">
        <v>109</v>
      </c>
      <c r="CH2678" s="1" t="s">
        <v>109</v>
      </c>
      <c r="CI2678" s="1" t="s">
        <v>109</v>
      </c>
      <c r="CJ2678" s="1" t="s">
        <v>109</v>
      </c>
      <c r="CK2678" s="1"/>
      <c r="CL2678" s="1">
        <v>0</v>
      </c>
      <c r="CM2678" s="1">
        <v>0</v>
      </c>
      <c r="CN2678" s="1">
        <v>0</v>
      </c>
    </row>
    <row r="2679" spans="1:92" ht="14.25" customHeight="1" x14ac:dyDescent="0.15">
      <c r="A2679" s="1" t="s">
        <v>18974</v>
      </c>
      <c r="B2679" s="1" t="s">
        <v>242</v>
      </c>
      <c r="C2679" s="1"/>
      <c r="D2679" s="1"/>
      <c r="E2679" s="1" t="s">
        <v>11010</v>
      </c>
      <c r="F2679" s="1" t="s">
        <v>98</v>
      </c>
      <c r="G2679" s="1" t="s">
        <v>18975</v>
      </c>
      <c r="H2679" s="1">
        <v>0</v>
      </c>
      <c r="I2679" s="1" t="s">
        <v>161</v>
      </c>
      <c r="J2679" s="1"/>
      <c r="K2679" s="1"/>
      <c r="L2679" s="1" t="s">
        <v>18976</v>
      </c>
      <c r="M2679" s="1" t="s">
        <v>18977</v>
      </c>
      <c r="N2679" s="1">
        <v>0</v>
      </c>
      <c r="O2679" s="1">
        <v>0</v>
      </c>
      <c r="P2679" s="1" t="s">
        <v>215</v>
      </c>
      <c r="Q2679" s="1" t="s">
        <v>18978</v>
      </c>
      <c r="R2679" s="1" t="s">
        <v>18979</v>
      </c>
      <c r="S2679" s="1" t="s">
        <v>18980</v>
      </c>
      <c r="T2679" s="1" t="s">
        <v>18981</v>
      </c>
      <c r="U2679" s="1" t="s">
        <v>18982</v>
      </c>
      <c r="V2679" s="1">
        <v>1</v>
      </c>
      <c r="W2679" s="1">
        <v>1</v>
      </c>
      <c r="X2679" s="1">
        <v>1</v>
      </c>
      <c r="Y2679" s="1">
        <v>0</v>
      </c>
      <c r="Z2679" s="1">
        <v>1</v>
      </c>
      <c r="AA2679" s="1">
        <v>2</v>
      </c>
      <c r="AB2679" s="1">
        <v>2</v>
      </c>
      <c r="AC2679" s="1">
        <v>2</v>
      </c>
      <c r="AD2679" s="1" t="s">
        <v>109</v>
      </c>
      <c r="AE2679" s="1" t="s">
        <v>109</v>
      </c>
      <c r="AF2679" s="1">
        <v>2</v>
      </c>
      <c r="AG2679" s="1" t="s">
        <v>109</v>
      </c>
      <c r="AH2679" s="1" t="s">
        <v>109</v>
      </c>
      <c r="AI2679" s="1" t="s">
        <v>109</v>
      </c>
      <c r="AJ2679" s="1" t="s">
        <v>109</v>
      </c>
      <c r="AK2679" s="1" t="s">
        <v>109</v>
      </c>
      <c r="AL2679" s="1">
        <v>2</v>
      </c>
      <c r="AM2679" s="1" t="s">
        <v>109</v>
      </c>
      <c r="AN2679" s="1" t="s">
        <v>109</v>
      </c>
      <c r="AO2679" s="1" t="s">
        <v>109</v>
      </c>
      <c r="AP2679" s="1"/>
      <c r="AQ2679" s="1">
        <v>2</v>
      </c>
      <c r="AR2679" s="1"/>
      <c r="AS2679" s="1"/>
      <c r="AT2679" s="1">
        <v>0</v>
      </c>
      <c r="AU2679" s="1">
        <v>0</v>
      </c>
      <c r="AV2679" s="1">
        <v>0</v>
      </c>
      <c r="AW2679" s="1">
        <v>0</v>
      </c>
      <c r="AX2679" s="1">
        <v>0</v>
      </c>
      <c r="AY2679" s="1">
        <v>0</v>
      </c>
      <c r="AZ2679" s="1">
        <v>0</v>
      </c>
      <c r="BA2679" s="1">
        <v>0</v>
      </c>
      <c r="BB2679" s="1">
        <v>0</v>
      </c>
      <c r="BC2679" s="1">
        <v>0</v>
      </c>
      <c r="BD2679" s="1">
        <v>0</v>
      </c>
      <c r="BE2679" s="1">
        <v>0</v>
      </c>
      <c r="BF2679" s="1">
        <v>0</v>
      </c>
      <c r="BG2679" s="1">
        <v>0</v>
      </c>
      <c r="BH2679" s="1">
        <v>0</v>
      </c>
      <c r="BI2679" s="1">
        <v>0</v>
      </c>
      <c r="BJ2679" s="1">
        <v>0</v>
      </c>
      <c r="BK2679" s="1">
        <v>0</v>
      </c>
      <c r="BL2679" s="1">
        <v>0</v>
      </c>
      <c r="BM2679" s="1">
        <v>0</v>
      </c>
      <c r="BN2679" s="1">
        <v>0</v>
      </c>
      <c r="BO2679" s="1">
        <v>0</v>
      </c>
      <c r="BP2679" s="1">
        <v>0</v>
      </c>
      <c r="BQ2679" s="1">
        <v>0</v>
      </c>
      <c r="BR2679" s="1">
        <v>0</v>
      </c>
      <c r="BS2679" s="1" t="s">
        <v>109</v>
      </c>
      <c r="BT2679" s="1">
        <v>2782</v>
      </c>
      <c r="BU2679" s="1" t="s">
        <v>109</v>
      </c>
      <c r="BV2679" s="1"/>
      <c r="BW2679" s="1"/>
      <c r="BX2679" s="1"/>
      <c r="BY2679" s="1"/>
      <c r="BZ2679" s="1">
        <v>0</v>
      </c>
      <c r="CA2679" s="1" t="s">
        <v>109</v>
      </c>
      <c r="CB2679" s="1" t="s">
        <v>109</v>
      </c>
      <c r="CC2679" s="1" t="s">
        <v>109</v>
      </c>
      <c r="CD2679" s="1" t="s">
        <v>109</v>
      </c>
      <c r="CE2679" s="1" t="s">
        <v>109</v>
      </c>
      <c r="CF2679" s="1" t="s">
        <v>109</v>
      </c>
      <c r="CG2679" s="1" t="s">
        <v>109</v>
      </c>
      <c r="CH2679" s="1" t="s">
        <v>109</v>
      </c>
      <c r="CI2679" s="1" t="s">
        <v>109</v>
      </c>
      <c r="CJ2679" s="1" t="s">
        <v>109</v>
      </c>
      <c r="CK2679" s="1"/>
      <c r="CL2679" s="1">
        <v>0</v>
      </c>
      <c r="CM2679" s="1">
        <v>0</v>
      </c>
      <c r="CN2679" s="1">
        <v>0</v>
      </c>
    </row>
    <row r="2680" spans="1:92" ht="14.25" customHeight="1" x14ac:dyDescent="0.15">
      <c r="A2680" s="1" t="s">
        <v>18983</v>
      </c>
      <c r="B2680" s="1" t="s">
        <v>254</v>
      </c>
      <c r="C2680" s="1"/>
      <c r="D2680" s="1"/>
      <c r="E2680" s="1" t="s">
        <v>12075</v>
      </c>
      <c r="F2680" s="1" t="s">
        <v>395</v>
      </c>
      <c r="G2680" s="1" t="s">
        <v>12029</v>
      </c>
      <c r="H2680" s="1">
        <v>0</v>
      </c>
      <c r="I2680" s="1" t="s">
        <v>18984</v>
      </c>
      <c r="J2680" s="1"/>
      <c r="K2680" s="1"/>
      <c r="L2680" s="1" t="s">
        <v>18985</v>
      </c>
      <c r="M2680" s="1" t="s">
        <v>6144</v>
      </c>
      <c r="N2680" s="1">
        <v>1</v>
      </c>
      <c r="O2680" s="1">
        <v>0</v>
      </c>
      <c r="P2680" s="1" t="s">
        <v>103</v>
      </c>
      <c r="Q2680" s="1" t="s">
        <v>104</v>
      </c>
      <c r="R2680" s="1" t="s">
        <v>18986</v>
      </c>
      <c r="S2680" s="1" t="s">
        <v>18987</v>
      </c>
      <c r="T2680" s="1" t="s">
        <v>18981</v>
      </c>
      <c r="U2680" s="1" t="s">
        <v>18988</v>
      </c>
      <c r="V2680" s="1">
        <v>1</v>
      </c>
      <c r="W2680" s="1">
        <v>1</v>
      </c>
      <c r="X2680" s="1">
        <v>0</v>
      </c>
      <c r="Y2680" s="1">
        <v>0</v>
      </c>
      <c r="Z2680" s="1">
        <v>0</v>
      </c>
      <c r="AA2680" s="1">
        <v>4</v>
      </c>
      <c r="AB2680" s="1">
        <v>4</v>
      </c>
      <c r="AC2680" s="1" t="s">
        <v>109</v>
      </c>
      <c r="AD2680" s="1" t="s">
        <v>109</v>
      </c>
      <c r="AE2680" s="1" t="s">
        <v>109</v>
      </c>
      <c r="AF2680" s="1">
        <v>4</v>
      </c>
      <c r="AG2680" s="1" t="s">
        <v>109</v>
      </c>
      <c r="AH2680" s="1" t="s">
        <v>109</v>
      </c>
      <c r="AI2680" s="1" t="s">
        <v>109</v>
      </c>
      <c r="AJ2680" s="1" t="s">
        <v>109</v>
      </c>
      <c r="AK2680" s="1" t="s">
        <v>109</v>
      </c>
      <c r="AL2680" s="1" t="s">
        <v>109</v>
      </c>
      <c r="AM2680" s="1" t="s">
        <v>109</v>
      </c>
      <c r="AN2680" s="1" t="s">
        <v>109</v>
      </c>
      <c r="AO2680" s="1" t="s">
        <v>109</v>
      </c>
      <c r="AP2680" s="1"/>
      <c r="AQ2680" s="1">
        <v>4</v>
      </c>
      <c r="AR2680" s="1"/>
      <c r="AS2680" s="1"/>
      <c r="AT2680" s="1">
        <v>0</v>
      </c>
      <c r="AU2680" s="1">
        <v>0</v>
      </c>
      <c r="AV2680" s="1">
        <v>0</v>
      </c>
      <c r="AW2680" s="1">
        <v>0</v>
      </c>
      <c r="AX2680" s="1">
        <v>0</v>
      </c>
      <c r="AY2680" s="1">
        <v>0</v>
      </c>
      <c r="AZ2680" s="1">
        <v>0</v>
      </c>
      <c r="BA2680" s="1">
        <v>0</v>
      </c>
      <c r="BB2680" s="1">
        <v>0</v>
      </c>
      <c r="BC2680" s="1">
        <v>0</v>
      </c>
      <c r="BD2680" s="1">
        <v>0</v>
      </c>
      <c r="BE2680" s="1">
        <v>0</v>
      </c>
      <c r="BF2680" s="1">
        <v>0</v>
      </c>
      <c r="BG2680" s="1">
        <v>0</v>
      </c>
      <c r="BH2680" s="1">
        <v>0</v>
      </c>
      <c r="BI2680" s="1">
        <v>0</v>
      </c>
      <c r="BJ2680" s="1">
        <v>0</v>
      </c>
      <c r="BK2680" s="1">
        <v>0</v>
      </c>
      <c r="BL2680" s="1">
        <v>0</v>
      </c>
      <c r="BM2680" s="1">
        <v>0</v>
      </c>
      <c r="BN2680" s="1">
        <v>0</v>
      </c>
      <c r="BO2680" s="1">
        <v>0</v>
      </c>
      <c r="BP2680" s="1">
        <v>0</v>
      </c>
      <c r="BQ2680" s="1">
        <v>0</v>
      </c>
      <c r="BR2680" s="1">
        <v>0</v>
      </c>
      <c r="BS2680" s="1" t="s">
        <v>109</v>
      </c>
      <c r="BT2680" s="1">
        <v>2783</v>
      </c>
      <c r="BU2680" s="1" t="s">
        <v>109</v>
      </c>
      <c r="BV2680" s="1"/>
      <c r="BW2680" s="1"/>
      <c r="BX2680" s="1"/>
      <c r="BY2680" s="1"/>
      <c r="BZ2680" s="1">
        <v>0</v>
      </c>
      <c r="CA2680" s="1" t="s">
        <v>109</v>
      </c>
      <c r="CB2680" s="1" t="s">
        <v>109</v>
      </c>
      <c r="CC2680" s="1" t="s">
        <v>109</v>
      </c>
      <c r="CD2680" s="1" t="s">
        <v>109</v>
      </c>
      <c r="CE2680" s="1" t="s">
        <v>109</v>
      </c>
      <c r="CF2680" s="1" t="s">
        <v>109</v>
      </c>
      <c r="CG2680" s="1" t="s">
        <v>109</v>
      </c>
      <c r="CH2680" s="1" t="s">
        <v>109</v>
      </c>
      <c r="CI2680" s="1" t="s">
        <v>109</v>
      </c>
      <c r="CJ2680" s="1" t="s">
        <v>109</v>
      </c>
      <c r="CK2680" s="1"/>
      <c r="CL2680" s="1">
        <v>0</v>
      </c>
      <c r="CM2680" s="1">
        <v>0</v>
      </c>
      <c r="CN2680" s="1">
        <v>0</v>
      </c>
    </row>
    <row r="2681" spans="1:92" ht="14.25" customHeight="1" x14ac:dyDescent="0.15">
      <c r="A2681" s="1" t="s">
        <v>18989</v>
      </c>
      <c r="B2681" s="1" t="s">
        <v>254</v>
      </c>
      <c r="C2681" s="1"/>
      <c r="D2681" s="1"/>
      <c r="E2681" s="1" t="s">
        <v>18990</v>
      </c>
      <c r="F2681" s="1" t="s">
        <v>355</v>
      </c>
      <c r="G2681" s="1" t="s">
        <v>141</v>
      </c>
      <c r="H2681" s="1">
        <v>0</v>
      </c>
      <c r="I2681" s="1" t="s">
        <v>235</v>
      </c>
      <c r="J2681" s="1"/>
      <c r="K2681" s="1"/>
      <c r="L2681" s="1" t="s">
        <v>236</v>
      </c>
      <c r="M2681" s="1" t="s">
        <v>9367</v>
      </c>
      <c r="N2681" s="1">
        <v>0</v>
      </c>
      <c r="O2681" s="1">
        <v>0</v>
      </c>
      <c r="P2681" s="1"/>
      <c r="Q2681" s="1"/>
      <c r="R2681" s="1" t="s">
        <v>18991</v>
      </c>
      <c r="S2681" s="1" t="s">
        <v>18992</v>
      </c>
      <c r="T2681" s="1" t="s">
        <v>18981</v>
      </c>
      <c r="U2681" s="1" t="s">
        <v>18993</v>
      </c>
      <c r="V2681" s="1">
        <v>1</v>
      </c>
      <c r="W2681" s="1">
        <v>1</v>
      </c>
      <c r="X2681" s="1">
        <v>0</v>
      </c>
      <c r="Y2681" s="1">
        <v>0</v>
      </c>
      <c r="Z2681" s="1">
        <v>0</v>
      </c>
      <c r="AA2681" s="1">
        <v>3</v>
      </c>
      <c r="AB2681" s="1">
        <v>3</v>
      </c>
      <c r="AC2681" s="1">
        <v>3</v>
      </c>
      <c r="AD2681" s="1" t="s">
        <v>109</v>
      </c>
      <c r="AE2681" s="1" t="s">
        <v>109</v>
      </c>
      <c r="AF2681" s="1">
        <v>2</v>
      </c>
      <c r="AG2681" s="1" t="s">
        <v>109</v>
      </c>
      <c r="AH2681" s="1" t="s">
        <v>109</v>
      </c>
      <c r="AI2681" s="1" t="s">
        <v>109</v>
      </c>
      <c r="AJ2681" s="1" t="s">
        <v>109</v>
      </c>
      <c r="AK2681" s="1" t="s">
        <v>109</v>
      </c>
      <c r="AL2681" s="1">
        <v>3</v>
      </c>
      <c r="AM2681" s="1" t="s">
        <v>109</v>
      </c>
      <c r="AN2681" s="1" t="s">
        <v>109</v>
      </c>
      <c r="AO2681" s="1" t="s">
        <v>109</v>
      </c>
      <c r="AP2681" s="1"/>
      <c r="AQ2681" s="1">
        <v>3</v>
      </c>
      <c r="AR2681" s="1"/>
      <c r="AS2681" s="1"/>
      <c r="AT2681" s="1">
        <v>0</v>
      </c>
      <c r="AU2681" s="1">
        <v>0</v>
      </c>
      <c r="AV2681" s="1">
        <v>0</v>
      </c>
      <c r="AW2681" s="1">
        <v>0</v>
      </c>
      <c r="AX2681" s="1">
        <v>0</v>
      </c>
      <c r="AY2681" s="1">
        <v>0</v>
      </c>
      <c r="AZ2681" s="1">
        <v>0</v>
      </c>
      <c r="BA2681" s="1">
        <v>0</v>
      </c>
      <c r="BB2681" s="1">
        <v>0</v>
      </c>
      <c r="BC2681" s="1">
        <v>0</v>
      </c>
      <c r="BD2681" s="1">
        <v>0</v>
      </c>
      <c r="BE2681" s="1">
        <v>0</v>
      </c>
      <c r="BF2681" s="1">
        <v>0</v>
      </c>
      <c r="BG2681" s="1">
        <v>0</v>
      </c>
      <c r="BH2681" s="1">
        <v>0</v>
      </c>
      <c r="BI2681" s="1">
        <v>0</v>
      </c>
      <c r="BJ2681" s="1">
        <v>0</v>
      </c>
      <c r="BK2681" s="1">
        <v>0</v>
      </c>
      <c r="BL2681" s="1">
        <v>0</v>
      </c>
      <c r="BM2681" s="1">
        <v>0</v>
      </c>
      <c r="BN2681" s="1">
        <v>0</v>
      </c>
      <c r="BO2681" s="1">
        <v>0</v>
      </c>
      <c r="BP2681" s="1">
        <v>0</v>
      </c>
      <c r="BQ2681" s="1">
        <v>0</v>
      </c>
      <c r="BR2681" s="1">
        <v>0</v>
      </c>
      <c r="BS2681" s="1" t="s">
        <v>109</v>
      </c>
      <c r="BT2681" s="1">
        <v>2784</v>
      </c>
      <c r="BU2681" s="1" t="s">
        <v>109</v>
      </c>
      <c r="BV2681" s="1"/>
      <c r="BW2681" s="1"/>
      <c r="BX2681" s="1"/>
      <c r="BY2681" s="1"/>
      <c r="BZ2681" s="1">
        <v>0</v>
      </c>
      <c r="CA2681" s="1" t="s">
        <v>109</v>
      </c>
      <c r="CB2681" s="1" t="s">
        <v>109</v>
      </c>
      <c r="CC2681" s="1" t="s">
        <v>109</v>
      </c>
      <c r="CD2681" s="1" t="s">
        <v>109</v>
      </c>
      <c r="CE2681" s="1" t="s">
        <v>109</v>
      </c>
      <c r="CF2681" s="1" t="s">
        <v>109</v>
      </c>
      <c r="CG2681" s="1" t="s">
        <v>109</v>
      </c>
      <c r="CH2681" s="1" t="s">
        <v>109</v>
      </c>
      <c r="CI2681" s="1" t="s">
        <v>109</v>
      </c>
      <c r="CJ2681" s="1" t="s">
        <v>109</v>
      </c>
      <c r="CK2681" s="1"/>
      <c r="CL2681" s="1">
        <v>0</v>
      </c>
      <c r="CM2681" s="1">
        <v>0</v>
      </c>
      <c r="CN2681" s="1">
        <v>0</v>
      </c>
    </row>
    <row r="2682" spans="1:92" ht="14.25" customHeight="1" x14ac:dyDescent="0.15">
      <c r="A2682" s="1" t="s">
        <v>18994</v>
      </c>
      <c r="B2682" s="1" t="s">
        <v>189</v>
      </c>
      <c r="C2682" s="1"/>
      <c r="D2682" s="1"/>
      <c r="E2682" s="1" t="s">
        <v>18995</v>
      </c>
      <c r="F2682" s="1" t="s">
        <v>98</v>
      </c>
      <c r="G2682" s="1" t="s">
        <v>18996</v>
      </c>
      <c r="H2682" s="1">
        <v>0</v>
      </c>
      <c r="I2682" s="1" t="s">
        <v>5544</v>
      </c>
      <c r="J2682" s="1"/>
      <c r="K2682" s="1"/>
      <c r="L2682" s="1" t="s">
        <v>18997</v>
      </c>
      <c r="M2682" s="1" t="s">
        <v>7223</v>
      </c>
      <c r="N2682" s="1">
        <v>0</v>
      </c>
      <c r="O2682" s="1">
        <v>0</v>
      </c>
      <c r="P2682" s="1" t="s">
        <v>14246</v>
      </c>
      <c r="Q2682" s="1" t="s">
        <v>630</v>
      </c>
      <c r="R2682" s="1" t="s">
        <v>18998</v>
      </c>
      <c r="S2682" s="1" t="s">
        <v>18999</v>
      </c>
      <c r="T2682" s="1" t="s">
        <v>18981</v>
      </c>
      <c r="U2682" s="1" t="s">
        <v>19000</v>
      </c>
      <c r="V2682" s="1">
        <v>1</v>
      </c>
      <c r="W2682" s="1">
        <v>1</v>
      </c>
      <c r="X2682" s="1">
        <v>1</v>
      </c>
      <c r="Y2682" s="1">
        <v>0</v>
      </c>
      <c r="Z2682" s="1">
        <v>0</v>
      </c>
      <c r="AA2682" s="1">
        <v>0</v>
      </c>
      <c r="AB2682" s="1">
        <v>0</v>
      </c>
      <c r="AC2682" s="1">
        <v>0</v>
      </c>
      <c r="AD2682" s="1" t="s">
        <v>109</v>
      </c>
      <c r="AE2682" s="1" t="s">
        <v>109</v>
      </c>
      <c r="AF2682" s="1">
        <v>0</v>
      </c>
      <c r="AG2682" s="1" t="s">
        <v>109</v>
      </c>
      <c r="AH2682" s="1" t="s">
        <v>109</v>
      </c>
      <c r="AI2682" s="1" t="s">
        <v>109</v>
      </c>
      <c r="AJ2682" s="1" t="s">
        <v>109</v>
      </c>
      <c r="AK2682" s="1" t="s">
        <v>109</v>
      </c>
      <c r="AL2682" s="1">
        <v>0</v>
      </c>
      <c r="AM2682" s="1" t="s">
        <v>109</v>
      </c>
      <c r="AN2682" s="1" t="s">
        <v>109</v>
      </c>
      <c r="AO2682" s="1" t="s">
        <v>109</v>
      </c>
      <c r="AP2682" s="1"/>
      <c r="AQ2682" s="1">
        <v>0</v>
      </c>
      <c r="AR2682" s="1"/>
      <c r="AS2682" s="1"/>
      <c r="AT2682" s="1">
        <v>0</v>
      </c>
      <c r="AU2682" s="1">
        <v>0</v>
      </c>
      <c r="AV2682" s="1">
        <v>0</v>
      </c>
      <c r="AW2682" s="1">
        <v>0</v>
      </c>
      <c r="AX2682" s="1">
        <v>0</v>
      </c>
      <c r="AY2682" s="1">
        <v>0</v>
      </c>
      <c r="AZ2682" s="1">
        <v>0</v>
      </c>
      <c r="BA2682" s="1">
        <v>0</v>
      </c>
      <c r="BB2682" s="1">
        <v>0</v>
      </c>
      <c r="BC2682" s="1">
        <v>0</v>
      </c>
      <c r="BD2682" s="1">
        <v>0</v>
      </c>
      <c r="BE2682" s="1">
        <v>0</v>
      </c>
      <c r="BF2682" s="1">
        <v>0</v>
      </c>
      <c r="BG2682" s="1">
        <v>0</v>
      </c>
      <c r="BH2682" s="1">
        <v>0</v>
      </c>
      <c r="BI2682" s="1">
        <v>0</v>
      </c>
      <c r="BJ2682" s="1">
        <v>0</v>
      </c>
      <c r="BK2682" s="1">
        <v>0</v>
      </c>
      <c r="BL2682" s="1">
        <v>0</v>
      </c>
      <c r="BM2682" s="1">
        <v>0</v>
      </c>
      <c r="BN2682" s="1">
        <v>0</v>
      </c>
      <c r="BO2682" s="1">
        <v>0</v>
      </c>
      <c r="BP2682" s="1">
        <v>0</v>
      </c>
      <c r="BQ2682" s="1">
        <v>0</v>
      </c>
      <c r="BR2682" s="1">
        <v>0</v>
      </c>
      <c r="BS2682" s="1" t="s">
        <v>109</v>
      </c>
      <c r="BT2682" s="1">
        <v>2785</v>
      </c>
      <c r="BU2682" s="1" t="s">
        <v>109</v>
      </c>
      <c r="BV2682" s="1"/>
      <c r="BW2682" s="1"/>
      <c r="BX2682" s="1"/>
      <c r="BY2682" s="1"/>
      <c r="BZ2682" s="1">
        <v>0</v>
      </c>
      <c r="CA2682" s="1" t="s">
        <v>109</v>
      </c>
      <c r="CB2682" s="1" t="s">
        <v>109</v>
      </c>
      <c r="CC2682" s="1" t="s">
        <v>109</v>
      </c>
      <c r="CD2682" s="1" t="s">
        <v>109</v>
      </c>
      <c r="CE2682" s="1" t="s">
        <v>109</v>
      </c>
      <c r="CF2682" s="1" t="s">
        <v>109</v>
      </c>
      <c r="CG2682" s="1" t="s">
        <v>109</v>
      </c>
      <c r="CH2682" s="1" t="s">
        <v>109</v>
      </c>
      <c r="CI2682" s="1" t="s">
        <v>109</v>
      </c>
      <c r="CJ2682" s="1" t="s">
        <v>109</v>
      </c>
      <c r="CK2682" s="1"/>
      <c r="CL2682" s="1">
        <v>0</v>
      </c>
      <c r="CM2682" s="1">
        <v>0</v>
      </c>
      <c r="CN2682" s="1">
        <v>0</v>
      </c>
    </row>
    <row r="2683" spans="1:92" ht="14.25" customHeight="1" x14ac:dyDescent="0.15">
      <c r="A2683" s="1" t="s">
        <v>19001</v>
      </c>
      <c r="B2683" s="1" t="s">
        <v>308</v>
      </c>
      <c r="C2683" s="1"/>
      <c r="D2683" s="1" t="s">
        <v>50</v>
      </c>
      <c r="E2683" s="1" t="s">
        <v>18734</v>
      </c>
      <c r="F2683" s="1" t="s">
        <v>277</v>
      </c>
      <c r="G2683" s="1" t="s">
        <v>19002</v>
      </c>
      <c r="H2683" s="1">
        <v>0</v>
      </c>
      <c r="I2683" s="1" t="s">
        <v>161</v>
      </c>
      <c r="J2683" s="1"/>
      <c r="K2683" s="1"/>
      <c r="L2683" s="1" t="s">
        <v>19003</v>
      </c>
      <c r="M2683" s="1" t="s">
        <v>19004</v>
      </c>
      <c r="N2683" s="1">
        <v>0</v>
      </c>
      <c r="O2683" s="1">
        <v>0</v>
      </c>
      <c r="P2683" s="1" t="s">
        <v>19005</v>
      </c>
      <c r="Q2683" s="1" t="s">
        <v>19006</v>
      </c>
      <c r="R2683" s="1" t="s">
        <v>19007</v>
      </c>
      <c r="S2683" s="1" t="s">
        <v>19008</v>
      </c>
      <c r="T2683" s="1" t="s">
        <v>18814</v>
      </c>
      <c r="U2683" s="1" t="s">
        <v>19009</v>
      </c>
      <c r="V2683" s="1">
        <v>1</v>
      </c>
      <c r="W2683" s="1">
        <v>1</v>
      </c>
      <c r="X2683" s="1">
        <v>1</v>
      </c>
      <c r="Y2683" s="1">
        <v>0</v>
      </c>
      <c r="Z2683" s="1">
        <v>0</v>
      </c>
      <c r="AA2683" s="1">
        <v>4</v>
      </c>
      <c r="AB2683" s="1">
        <v>4</v>
      </c>
      <c r="AC2683" s="1">
        <v>3</v>
      </c>
      <c r="AD2683" s="1" t="s">
        <v>109</v>
      </c>
      <c r="AE2683" s="1" t="s">
        <v>109</v>
      </c>
      <c r="AF2683" s="1" t="s">
        <v>109</v>
      </c>
      <c r="AG2683" s="1" t="s">
        <v>109</v>
      </c>
      <c r="AH2683" s="1" t="s">
        <v>109</v>
      </c>
      <c r="AI2683" s="1" t="s">
        <v>109</v>
      </c>
      <c r="AJ2683" s="1">
        <v>3</v>
      </c>
      <c r="AK2683" s="1" t="s">
        <v>109</v>
      </c>
      <c r="AL2683" s="1">
        <v>3</v>
      </c>
      <c r="AM2683" s="1">
        <v>3</v>
      </c>
      <c r="AN2683" s="1" t="s">
        <v>109</v>
      </c>
      <c r="AO2683" s="1" t="s">
        <v>109</v>
      </c>
      <c r="AP2683" s="1"/>
      <c r="AQ2683" s="1">
        <v>4</v>
      </c>
      <c r="AR2683" s="1"/>
      <c r="AS2683" s="1"/>
      <c r="AT2683" s="1">
        <v>0</v>
      </c>
      <c r="AU2683" s="1">
        <v>0</v>
      </c>
      <c r="AV2683" s="1">
        <v>0</v>
      </c>
      <c r="AW2683" s="1">
        <v>0</v>
      </c>
      <c r="AX2683" s="1">
        <v>1</v>
      </c>
      <c r="AY2683" s="1">
        <v>0</v>
      </c>
      <c r="AZ2683" s="1">
        <v>0</v>
      </c>
      <c r="BA2683" s="1">
        <v>0</v>
      </c>
      <c r="BB2683" s="1">
        <v>0</v>
      </c>
      <c r="BC2683" s="1">
        <v>0</v>
      </c>
      <c r="BD2683" s="1">
        <v>0</v>
      </c>
      <c r="BE2683" s="1">
        <v>0</v>
      </c>
      <c r="BF2683" s="1">
        <v>0</v>
      </c>
      <c r="BG2683" s="1">
        <v>0</v>
      </c>
      <c r="BH2683" s="1">
        <v>0</v>
      </c>
      <c r="BI2683" s="1">
        <v>0</v>
      </c>
      <c r="BJ2683" s="1">
        <v>0</v>
      </c>
      <c r="BK2683" s="1">
        <v>0</v>
      </c>
      <c r="BL2683" s="1">
        <v>0</v>
      </c>
      <c r="BM2683" s="1">
        <v>0</v>
      </c>
      <c r="BN2683" s="1">
        <v>0</v>
      </c>
      <c r="BO2683" s="1">
        <v>0</v>
      </c>
      <c r="BP2683" s="1">
        <v>0</v>
      </c>
      <c r="BQ2683" s="1">
        <v>0</v>
      </c>
      <c r="BR2683" s="1">
        <v>0</v>
      </c>
      <c r="BS2683" s="1" t="s">
        <v>109</v>
      </c>
      <c r="BT2683" s="1">
        <v>2786</v>
      </c>
      <c r="BU2683" s="1" t="s">
        <v>109</v>
      </c>
      <c r="BV2683" s="1"/>
      <c r="BW2683" s="1"/>
      <c r="BX2683" s="1"/>
      <c r="BY2683" s="1"/>
      <c r="BZ2683" s="1">
        <v>0</v>
      </c>
      <c r="CA2683" s="1">
        <v>4</v>
      </c>
      <c r="CB2683" s="1">
        <v>3</v>
      </c>
      <c r="CC2683" s="1" t="s">
        <v>109</v>
      </c>
      <c r="CD2683" s="1" t="s">
        <v>109</v>
      </c>
      <c r="CE2683" s="1" t="s">
        <v>109</v>
      </c>
      <c r="CF2683" s="1" t="s">
        <v>109</v>
      </c>
      <c r="CG2683" s="1">
        <v>3</v>
      </c>
      <c r="CH2683" s="1" t="s">
        <v>109</v>
      </c>
      <c r="CI2683" s="1" t="s">
        <v>109</v>
      </c>
      <c r="CJ2683" s="1" t="s">
        <v>109</v>
      </c>
      <c r="CK2683" s="1"/>
      <c r="CL2683" s="1">
        <v>0</v>
      </c>
      <c r="CM2683" s="1">
        <v>0</v>
      </c>
      <c r="CN2683" s="1">
        <v>0</v>
      </c>
    </row>
    <row r="2684" spans="1:92" ht="14.25" customHeight="1" x14ac:dyDescent="0.15">
      <c r="A2684" s="1" t="s">
        <v>19010</v>
      </c>
      <c r="B2684" s="1" t="s">
        <v>189</v>
      </c>
      <c r="C2684" s="1"/>
      <c r="D2684" s="1"/>
      <c r="E2684" s="1" t="s">
        <v>19011</v>
      </c>
      <c r="F2684" s="1" t="s">
        <v>355</v>
      </c>
      <c r="G2684" s="1" t="s">
        <v>19012</v>
      </c>
      <c r="H2684" s="1">
        <v>0</v>
      </c>
      <c r="I2684" s="1" t="s">
        <v>5737</v>
      </c>
      <c r="J2684" s="1"/>
      <c r="K2684" s="1"/>
      <c r="L2684" s="1" t="s">
        <v>19013</v>
      </c>
      <c r="M2684" s="1" t="s">
        <v>144</v>
      </c>
      <c r="N2684" s="1">
        <v>0</v>
      </c>
      <c r="O2684" s="1">
        <v>0</v>
      </c>
      <c r="P2684" s="1" t="s">
        <v>5812</v>
      </c>
      <c r="Q2684" s="1" t="s">
        <v>630</v>
      </c>
      <c r="R2684" s="1" t="s">
        <v>19014</v>
      </c>
      <c r="S2684" s="1" t="s">
        <v>19015</v>
      </c>
      <c r="T2684" s="1" t="s">
        <v>18814</v>
      </c>
      <c r="U2684" s="1" t="s">
        <v>19016</v>
      </c>
      <c r="V2684" s="1">
        <v>1</v>
      </c>
      <c r="W2684" s="1">
        <v>1</v>
      </c>
      <c r="X2684" s="1">
        <v>1</v>
      </c>
      <c r="Y2684" s="1">
        <v>0</v>
      </c>
      <c r="Z2684" s="1">
        <v>0</v>
      </c>
      <c r="AA2684" s="1" t="s">
        <v>109</v>
      </c>
      <c r="AB2684" s="1" t="s">
        <v>109</v>
      </c>
      <c r="AC2684" s="1">
        <v>2</v>
      </c>
      <c r="AD2684" s="1" t="s">
        <v>109</v>
      </c>
      <c r="AE2684" s="1" t="s">
        <v>109</v>
      </c>
      <c r="AF2684" s="1">
        <v>2</v>
      </c>
      <c r="AG2684" s="1" t="s">
        <v>109</v>
      </c>
      <c r="AH2684" s="1" t="s">
        <v>109</v>
      </c>
      <c r="AI2684" s="1" t="s">
        <v>109</v>
      </c>
      <c r="AJ2684" s="1" t="s">
        <v>109</v>
      </c>
      <c r="AK2684" s="1">
        <v>2</v>
      </c>
      <c r="AL2684" s="1">
        <v>2</v>
      </c>
      <c r="AM2684" s="1">
        <v>2</v>
      </c>
      <c r="AN2684" s="1" t="s">
        <v>109</v>
      </c>
      <c r="AO2684" s="1" t="s">
        <v>109</v>
      </c>
      <c r="AP2684" s="1"/>
      <c r="AQ2684" s="1">
        <v>2</v>
      </c>
      <c r="AR2684" s="1"/>
      <c r="AS2684" s="1"/>
      <c r="AT2684" s="1">
        <v>0</v>
      </c>
      <c r="AU2684" s="1">
        <v>0</v>
      </c>
      <c r="AV2684" s="1">
        <v>0</v>
      </c>
      <c r="AW2684" s="1">
        <v>0</v>
      </c>
      <c r="AX2684" s="1">
        <v>0</v>
      </c>
      <c r="AY2684" s="1">
        <v>0</v>
      </c>
      <c r="AZ2684" s="1">
        <v>0</v>
      </c>
      <c r="BA2684" s="1">
        <v>0</v>
      </c>
      <c r="BB2684" s="1">
        <v>0</v>
      </c>
      <c r="BC2684" s="1">
        <v>0</v>
      </c>
      <c r="BD2684" s="1">
        <v>0</v>
      </c>
      <c r="BE2684" s="1">
        <v>0</v>
      </c>
      <c r="BF2684" s="1">
        <v>0</v>
      </c>
      <c r="BG2684" s="1">
        <v>0</v>
      </c>
      <c r="BH2684" s="1">
        <v>0</v>
      </c>
      <c r="BI2684" s="1">
        <v>0</v>
      </c>
      <c r="BJ2684" s="1">
        <v>0</v>
      </c>
      <c r="BK2684" s="1">
        <v>0</v>
      </c>
      <c r="BL2684" s="1">
        <v>0</v>
      </c>
      <c r="BM2684" s="1">
        <v>0</v>
      </c>
      <c r="BN2684" s="1">
        <v>0</v>
      </c>
      <c r="BO2684" s="1">
        <v>0</v>
      </c>
      <c r="BP2684" s="1">
        <v>0</v>
      </c>
      <c r="BQ2684" s="1">
        <v>0</v>
      </c>
      <c r="BR2684" s="1">
        <v>0</v>
      </c>
      <c r="BS2684" s="1" t="s">
        <v>109</v>
      </c>
      <c r="BT2684" s="1">
        <v>2787</v>
      </c>
      <c r="BU2684" s="1" t="s">
        <v>109</v>
      </c>
      <c r="BV2684" s="1"/>
      <c r="BW2684" s="1"/>
      <c r="BX2684" s="1"/>
      <c r="BY2684" s="1"/>
      <c r="BZ2684" s="1">
        <v>0</v>
      </c>
      <c r="CA2684" s="1" t="s">
        <v>109</v>
      </c>
      <c r="CB2684" s="1" t="s">
        <v>109</v>
      </c>
      <c r="CC2684" s="1" t="s">
        <v>109</v>
      </c>
      <c r="CD2684" s="1" t="s">
        <v>109</v>
      </c>
      <c r="CE2684" s="1" t="s">
        <v>109</v>
      </c>
      <c r="CF2684" s="1">
        <v>2</v>
      </c>
      <c r="CG2684" s="1" t="s">
        <v>109</v>
      </c>
      <c r="CH2684" s="1" t="s">
        <v>109</v>
      </c>
      <c r="CI2684" s="1" t="s">
        <v>109</v>
      </c>
      <c r="CJ2684" s="1" t="s">
        <v>109</v>
      </c>
      <c r="CK2684" s="1"/>
      <c r="CL2684" s="1">
        <v>0</v>
      </c>
      <c r="CM2684" s="1">
        <v>0</v>
      </c>
      <c r="CN2684" s="1">
        <v>0</v>
      </c>
    </row>
    <row r="2685" spans="1:92" ht="14.25" customHeight="1" x14ac:dyDescent="0.15">
      <c r="A2685" s="1" t="s">
        <v>19017</v>
      </c>
      <c r="B2685" s="1" t="s">
        <v>95</v>
      </c>
      <c r="C2685" s="1" t="s">
        <v>96</v>
      </c>
      <c r="D2685" s="1"/>
      <c r="E2685" s="1" t="s">
        <v>6770</v>
      </c>
      <c r="F2685" s="1" t="s">
        <v>98</v>
      </c>
      <c r="G2685" s="1" t="s">
        <v>19018</v>
      </c>
      <c r="H2685" s="1">
        <v>0</v>
      </c>
      <c r="I2685" s="1" t="s">
        <v>5737</v>
      </c>
      <c r="J2685" s="1"/>
      <c r="K2685" s="1" t="s">
        <v>19019</v>
      </c>
      <c r="L2685" s="1"/>
      <c r="M2685" s="1" t="s">
        <v>19020</v>
      </c>
      <c r="N2685" s="1">
        <v>0</v>
      </c>
      <c r="O2685" s="1">
        <v>0</v>
      </c>
      <c r="P2685" s="1" t="s">
        <v>11863</v>
      </c>
      <c r="Q2685" s="1" t="s">
        <v>104</v>
      </c>
      <c r="R2685" s="1" t="s">
        <v>19021</v>
      </c>
      <c r="S2685" s="1" t="s">
        <v>19022</v>
      </c>
      <c r="T2685" s="1" t="s">
        <v>18814</v>
      </c>
      <c r="U2685" s="1" t="s">
        <v>19023</v>
      </c>
      <c r="V2685" s="1">
        <v>1</v>
      </c>
      <c r="W2685" s="1">
        <v>1</v>
      </c>
      <c r="X2685" s="1">
        <v>1</v>
      </c>
      <c r="Y2685" s="1">
        <v>0</v>
      </c>
      <c r="Z2685" s="1">
        <v>0</v>
      </c>
      <c r="AA2685" s="1">
        <v>5</v>
      </c>
      <c r="AB2685" s="1">
        <v>5</v>
      </c>
      <c r="AC2685" s="1" t="s">
        <v>109</v>
      </c>
      <c r="AD2685" s="1" t="s">
        <v>109</v>
      </c>
      <c r="AE2685" s="1" t="s">
        <v>109</v>
      </c>
      <c r="AF2685" s="1" t="s">
        <v>109</v>
      </c>
      <c r="AG2685" s="1" t="s">
        <v>109</v>
      </c>
      <c r="AH2685" s="1" t="s">
        <v>109</v>
      </c>
      <c r="AI2685" s="1">
        <v>5</v>
      </c>
      <c r="AJ2685" s="1" t="s">
        <v>109</v>
      </c>
      <c r="AK2685" s="1" t="s">
        <v>109</v>
      </c>
      <c r="AL2685" s="1" t="s">
        <v>109</v>
      </c>
      <c r="AM2685" s="1" t="s">
        <v>109</v>
      </c>
      <c r="AN2685" s="1" t="s">
        <v>109</v>
      </c>
      <c r="AO2685" s="1" t="s">
        <v>109</v>
      </c>
      <c r="AP2685" s="1"/>
      <c r="AQ2685" s="1">
        <v>5</v>
      </c>
      <c r="AR2685" s="1"/>
      <c r="AS2685" s="1"/>
      <c r="AT2685" s="1">
        <v>0</v>
      </c>
      <c r="AU2685" s="1">
        <v>0</v>
      </c>
      <c r="AV2685" s="1">
        <v>0</v>
      </c>
      <c r="AW2685" s="1">
        <v>0</v>
      </c>
      <c r="AX2685" s="1">
        <v>0</v>
      </c>
      <c r="AY2685" s="1">
        <v>0</v>
      </c>
      <c r="AZ2685" s="1">
        <v>0</v>
      </c>
      <c r="BA2685" s="1">
        <v>0</v>
      </c>
      <c r="BB2685" s="1">
        <v>0</v>
      </c>
      <c r="BC2685" s="1">
        <v>0</v>
      </c>
      <c r="BD2685" s="1">
        <v>0</v>
      </c>
      <c r="BE2685" s="1">
        <v>0</v>
      </c>
      <c r="BF2685" s="1">
        <v>0</v>
      </c>
      <c r="BG2685" s="1">
        <v>0</v>
      </c>
      <c r="BH2685" s="1">
        <v>0</v>
      </c>
      <c r="BI2685" s="1">
        <v>0</v>
      </c>
      <c r="BJ2685" s="1">
        <v>0</v>
      </c>
      <c r="BK2685" s="1">
        <v>0</v>
      </c>
      <c r="BL2685" s="1">
        <v>0</v>
      </c>
      <c r="BM2685" s="1">
        <v>0</v>
      </c>
      <c r="BN2685" s="1">
        <v>0</v>
      </c>
      <c r="BO2685" s="1">
        <v>0</v>
      </c>
      <c r="BP2685" s="1">
        <v>0</v>
      </c>
      <c r="BQ2685" s="1">
        <v>0</v>
      </c>
      <c r="BR2685" s="1">
        <v>0</v>
      </c>
      <c r="BS2685" s="1" t="s">
        <v>109</v>
      </c>
      <c r="BT2685" s="1">
        <v>2788</v>
      </c>
      <c r="BU2685" s="1" t="s">
        <v>109</v>
      </c>
      <c r="BV2685" s="1"/>
      <c r="BW2685" s="1"/>
      <c r="BX2685" s="1"/>
      <c r="BY2685" s="1"/>
      <c r="BZ2685" s="1">
        <v>0</v>
      </c>
      <c r="CA2685" s="1" t="s">
        <v>109</v>
      </c>
      <c r="CB2685" s="1" t="s">
        <v>109</v>
      </c>
      <c r="CC2685" s="1" t="s">
        <v>109</v>
      </c>
      <c r="CD2685" s="1" t="s">
        <v>109</v>
      </c>
      <c r="CE2685" s="1" t="s">
        <v>109</v>
      </c>
      <c r="CF2685" s="1" t="s">
        <v>109</v>
      </c>
      <c r="CG2685" s="1" t="s">
        <v>109</v>
      </c>
      <c r="CH2685" s="1" t="s">
        <v>109</v>
      </c>
      <c r="CI2685" s="1" t="s">
        <v>109</v>
      </c>
      <c r="CJ2685" s="1" t="s">
        <v>109</v>
      </c>
      <c r="CK2685" s="1"/>
      <c r="CL2685" s="1">
        <v>0</v>
      </c>
      <c r="CM2685" s="1">
        <v>0</v>
      </c>
      <c r="CN2685" s="1">
        <v>0</v>
      </c>
    </row>
    <row r="2686" spans="1:92" ht="14.25" customHeight="1" x14ac:dyDescent="0.15">
      <c r="A2686" s="1" t="s">
        <v>19024</v>
      </c>
      <c r="B2686" s="1" t="s">
        <v>189</v>
      </c>
      <c r="C2686" s="1"/>
      <c r="D2686" s="1"/>
      <c r="E2686" s="1" t="s">
        <v>19025</v>
      </c>
      <c r="F2686" s="1" t="s">
        <v>98</v>
      </c>
      <c r="G2686" s="1" t="s">
        <v>19026</v>
      </c>
      <c r="H2686" s="1">
        <v>0</v>
      </c>
      <c r="I2686" s="1" t="s">
        <v>142</v>
      </c>
      <c r="J2686" s="1"/>
      <c r="K2686" s="1"/>
      <c r="L2686" s="1" t="s">
        <v>19027</v>
      </c>
      <c r="M2686" s="1" t="s">
        <v>125</v>
      </c>
      <c r="N2686" s="1">
        <v>0</v>
      </c>
      <c r="O2686" s="1">
        <v>0</v>
      </c>
      <c r="P2686" s="1" t="s">
        <v>267</v>
      </c>
      <c r="Q2686" s="1" t="s">
        <v>268</v>
      </c>
      <c r="R2686" s="1" t="s">
        <v>19028</v>
      </c>
      <c r="S2686" s="1" t="s">
        <v>19029</v>
      </c>
      <c r="T2686" s="1" t="s">
        <v>18814</v>
      </c>
      <c r="U2686" s="1" t="s">
        <v>19030</v>
      </c>
      <c r="V2686" s="1">
        <v>1</v>
      </c>
      <c r="W2686" s="1">
        <v>1</v>
      </c>
      <c r="X2686" s="1">
        <v>1</v>
      </c>
      <c r="Y2686" s="1">
        <v>0</v>
      </c>
      <c r="Z2686" s="1">
        <v>0</v>
      </c>
      <c r="AA2686" s="1">
        <v>1</v>
      </c>
      <c r="AB2686" s="1">
        <v>1</v>
      </c>
      <c r="AC2686" s="1" t="s">
        <v>109</v>
      </c>
      <c r="AD2686" s="1" t="s">
        <v>109</v>
      </c>
      <c r="AE2686" s="1">
        <v>1</v>
      </c>
      <c r="AF2686" s="1">
        <v>1</v>
      </c>
      <c r="AG2686" s="1" t="s">
        <v>109</v>
      </c>
      <c r="AH2686" s="1" t="s">
        <v>109</v>
      </c>
      <c r="AI2686" s="1" t="s">
        <v>109</v>
      </c>
      <c r="AJ2686" s="1" t="s">
        <v>109</v>
      </c>
      <c r="AK2686" s="1">
        <v>1</v>
      </c>
      <c r="AL2686" s="1" t="s">
        <v>109</v>
      </c>
      <c r="AM2686" s="1" t="s">
        <v>109</v>
      </c>
      <c r="AN2686" s="1">
        <v>1</v>
      </c>
      <c r="AO2686" s="1" t="s">
        <v>109</v>
      </c>
      <c r="AP2686" s="1"/>
      <c r="AQ2686" s="1">
        <v>1</v>
      </c>
      <c r="AR2686" s="1"/>
      <c r="AS2686" s="1"/>
      <c r="AT2686" s="1">
        <v>0</v>
      </c>
      <c r="AU2686" s="1">
        <v>0</v>
      </c>
      <c r="AV2686" s="1">
        <v>0</v>
      </c>
      <c r="AW2686" s="1">
        <v>0</v>
      </c>
      <c r="AX2686" s="1">
        <v>0</v>
      </c>
      <c r="AY2686" s="1">
        <v>0</v>
      </c>
      <c r="AZ2686" s="1">
        <v>0</v>
      </c>
      <c r="BA2686" s="1">
        <v>0</v>
      </c>
      <c r="BB2686" s="1">
        <v>0</v>
      </c>
      <c r="BC2686" s="1">
        <v>0</v>
      </c>
      <c r="BD2686" s="1">
        <v>0</v>
      </c>
      <c r="BE2686" s="1">
        <v>0</v>
      </c>
      <c r="BF2686" s="1">
        <v>0</v>
      </c>
      <c r="BG2686" s="1">
        <v>0</v>
      </c>
      <c r="BH2686" s="1">
        <v>0</v>
      </c>
      <c r="BI2686" s="1">
        <v>0</v>
      </c>
      <c r="BJ2686" s="1">
        <v>0</v>
      </c>
      <c r="BK2686" s="1">
        <v>0</v>
      </c>
      <c r="BL2686" s="1">
        <v>0</v>
      </c>
      <c r="BM2686" s="1">
        <v>0</v>
      </c>
      <c r="BN2686" s="1">
        <v>0</v>
      </c>
      <c r="BO2686" s="1">
        <v>0</v>
      </c>
      <c r="BP2686" s="1">
        <v>0</v>
      </c>
      <c r="BQ2686" s="1">
        <v>0</v>
      </c>
      <c r="BR2686" s="1">
        <v>0</v>
      </c>
      <c r="BS2686" s="1" t="s">
        <v>109</v>
      </c>
      <c r="BT2686" s="1">
        <v>2789</v>
      </c>
      <c r="BU2686" s="1" t="s">
        <v>109</v>
      </c>
      <c r="BV2686" s="1"/>
      <c r="BW2686" s="1"/>
      <c r="BX2686" s="1"/>
      <c r="BY2686" s="1"/>
      <c r="BZ2686" s="1">
        <v>0</v>
      </c>
      <c r="CA2686" s="1">
        <v>1</v>
      </c>
      <c r="CB2686" s="1" t="s">
        <v>109</v>
      </c>
      <c r="CC2686" s="1" t="s">
        <v>109</v>
      </c>
      <c r="CD2686" s="1" t="s">
        <v>109</v>
      </c>
      <c r="CE2686" s="1">
        <v>1</v>
      </c>
      <c r="CF2686" s="1" t="s">
        <v>109</v>
      </c>
      <c r="CG2686" s="1" t="s">
        <v>109</v>
      </c>
      <c r="CH2686" s="1" t="s">
        <v>109</v>
      </c>
      <c r="CI2686" s="1" t="s">
        <v>109</v>
      </c>
      <c r="CJ2686" s="1">
        <v>1</v>
      </c>
      <c r="CK2686" s="1"/>
      <c r="CL2686" s="1">
        <v>0</v>
      </c>
      <c r="CM2686" s="1">
        <v>0</v>
      </c>
      <c r="CN2686" s="1">
        <v>0</v>
      </c>
    </row>
    <row r="2687" spans="1:92" ht="14.25" customHeight="1" x14ac:dyDescent="0.15">
      <c r="A2687" s="1" t="s">
        <v>19031</v>
      </c>
      <c r="B2687" s="1" t="s">
        <v>156</v>
      </c>
      <c r="C2687" s="1" t="s">
        <v>157</v>
      </c>
      <c r="D2687" s="1" t="s">
        <v>158</v>
      </c>
      <c r="E2687" s="1" t="s">
        <v>19032</v>
      </c>
      <c r="F2687" s="1" t="s">
        <v>98</v>
      </c>
      <c r="G2687" s="1" t="s">
        <v>19033</v>
      </c>
      <c r="H2687" s="1">
        <v>0</v>
      </c>
      <c r="I2687" s="1" t="s">
        <v>19034</v>
      </c>
      <c r="J2687" s="1"/>
      <c r="K2687" s="1"/>
      <c r="L2687" s="1" t="s">
        <v>7260</v>
      </c>
      <c r="M2687" s="1" t="s">
        <v>815</v>
      </c>
      <c r="N2687" s="1">
        <v>1</v>
      </c>
      <c r="O2687" s="1">
        <v>0</v>
      </c>
      <c r="P2687" s="1" t="s">
        <v>301</v>
      </c>
      <c r="Q2687" s="1" t="s">
        <v>268</v>
      </c>
      <c r="R2687" s="1" t="s">
        <v>19035</v>
      </c>
      <c r="S2687" s="1" t="s">
        <v>19036</v>
      </c>
      <c r="T2687" s="1" t="s">
        <v>18814</v>
      </c>
      <c r="U2687" s="1" t="s">
        <v>19037</v>
      </c>
      <c r="V2687" s="1">
        <v>1</v>
      </c>
      <c r="W2687" s="1">
        <v>1</v>
      </c>
      <c r="X2687" s="1">
        <v>1</v>
      </c>
      <c r="Y2687" s="1">
        <v>0</v>
      </c>
      <c r="Z2687" s="1">
        <v>0</v>
      </c>
      <c r="AA2687" s="1">
        <v>2</v>
      </c>
      <c r="AB2687" s="1">
        <v>2</v>
      </c>
      <c r="AC2687" s="1" t="s">
        <v>109</v>
      </c>
      <c r="AD2687" s="1" t="s">
        <v>109</v>
      </c>
      <c r="AE2687" s="1" t="s">
        <v>109</v>
      </c>
      <c r="AF2687" s="1">
        <v>2</v>
      </c>
      <c r="AG2687" s="1" t="s">
        <v>109</v>
      </c>
      <c r="AH2687" s="1" t="s">
        <v>109</v>
      </c>
      <c r="AI2687" s="1" t="s">
        <v>109</v>
      </c>
      <c r="AJ2687" s="1" t="s">
        <v>109</v>
      </c>
      <c r="AK2687" s="1" t="s">
        <v>109</v>
      </c>
      <c r="AL2687" s="1" t="s">
        <v>109</v>
      </c>
      <c r="AM2687" s="1" t="s">
        <v>109</v>
      </c>
      <c r="AN2687" s="1" t="s">
        <v>109</v>
      </c>
      <c r="AO2687" s="1" t="s">
        <v>109</v>
      </c>
      <c r="AP2687" s="1"/>
      <c r="AQ2687" s="1">
        <v>2</v>
      </c>
      <c r="AR2687" s="1"/>
      <c r="AS2687" s="1"/>
      <c r="AT2687" s="1">
        <v>0</v>
      </c>
      <c r="AU2687" s="1">
        <v>0</v>
      </c>
      <c r="AV2687" s="1">
        <v>0</v>
      </c>
      <c r="AW2687" s="1">
        <v>0</v>
      </c>
      <c r="AX2687" s="1">
        <v>0</v>
      </c>
      <c r="AY2687" s="1">
        <v>0</v>
      </c>
      <c r="AZ2687" s="1">
        <v>0</v>
      </c>
      <c r="BA2687" s="1">
        <v>0</v>
      </c>
      <c r="BB2687" s="1">
        <v>0</v>
      </c>
      <c r="BC2687" s="1">
        <v>0</v>
      </c>
      <c r="BD2687" s="1">
        <v>0</v>
      </c>
      <c r="BE2687" s="1">
        <v>0</v>
      </c>
      <c r="BF2687" s="1">
        <v>0</v>
      </c>
      <c r="BG2687" s="1">
        <v>0</v>
      </c>
      <c r="BH2687" s="1">
        <v>0</v>
      </c>
      <c r="BI2687" s="1">
        <v>0</v>
      </c>
      <c r="BJ2687" s="1">
        <v>0</v>
      </c>
      <c r="BK2687" s="1">
        <v>0</v>
      </c>
      <c r="BL2687" s="1">
        <v>0</v>
      </c>
      <c r="BM2687" s="1">
        <v>1</v>
      </c>
      <c r="BN2687" s="1">
        <v>0</v>
      </c>
      <c r="BO2687" s="1">
        <v>0</v>
      </c>
      <c r="BP2687" s="1">
        <v>0</v>
      </c>
      <c r="BQ2687" s="1">
        <v>0</v>
      </c>
      <c r="BR2687" s="1">
        <v>0</v>
      </c>
      <c r="BS2687" s="1" t="s">
        <v>109</v>
      </c>
      <c r="BT2687" s="1">
        <v>2790</v>
      </c>
      <c r="BU2687" s="1" t="s">
        <v>109</v>
      </c>
      <c r="BV2687" s="1"/>
      <c r="BW2687" s="1"/>
      <c r="BX2687" s="1"/>
      <c r="BY2687" s="1"/>
      <c r="BZ2687" s="1">
        <v>0</v>
      </c>
      <c r="CA2687" s="1" t="s">
        <v>109</v>
      </c>
      <c r="CB2687" s="1" t="s">
        <v>109</v>
      </c>
      <c r="CC2687" s="1">
        <v>2</v>
      </c>
      <c r="CD2687" s="1">
        <v>2</v>
      </c>
      <c r="CE2687" s="1">
        <v>2</v>
      </c>
      <c r="CF2687" s="1">
        <v>2</v>
      </c>
      <c r="CG2687" s="1" t="s">
        <v>109</v>
      </c>
      <c r="CH2687" s="1" t="s">
        <v>109</v>
      </c>
      <c r="CI2687" s="1" t="s">
        <v>109</v>
      </c>
      <c r="CJ2687" s="1" t="s">
        <v>109</v>
      </c>
      <c r="CK2687" s="1"/>
      <c r="CL2687" s="1">
        <v>0</v>
      </c>
      <c r="CM2687" s="1">
        <v>0</v>
      </c>
      <c r="CN2687" s="1">
        <v>0</v>
      </c>
    </row>
    <row r="2688" spans="1:92" ht="14.25" customHeight="1" x14ac:dyDescent="0.15">
      <c r="A2688" s="1" t="s">
        <v>19038</v>
      </c>
      <c r="B2688" s="1" t="s">
        <v>674</v>
      </c>
      <c r="C2688" s="1" t="s">
        <v>2300</v>
      </c>
      <c r="D2688" s="1"/>
      <c r="E2688" s="1" t="s">
        <v>19039</v>
      </c>
      <c r="F2688" s="1" t="s">
        <v>277</v>
      </c>
      <c r="G2688" s="1" t="s">
        <v>19040</v>
      </c>
      <c r="H2688" s="1">
        <v>0</v>
      </c>
      <c r="I2688" s="1" t="s">
        <v>161</v>
      </c>
      <c r="J2688" s="1"/>
      <c r="K2688" s="1"/>
      <c r="L2688" s="1" t="s">
        <v>19041</v>
      </c>
      <c r="M2688" s="1" t="s">
        <v>280</v>
      </c>
      <c r="N2688" s="1">
        <v>0</v>
      </c>
      <c r="O2688" s="1">
        <v>0</v>
      </c>
      <c r="P2688" s="1" t="s">
        <v>103</v>
      </c>
      <c r="Q2688" s="1" t="s">
        <v>104</v>
      </c>
      <c r="R2688" s="1" t="s">
        <v>19042</v>
      </c>
      <c r="S2688" s="1" t="s">
        <v>19043</v>
      </c>
      <c r="T2688" s="1" t="s">
        <v>18814</v>
      </c>
      <c r="U2688" s="1" t="s">
        <v>19044</v>
      </c>
      <c r="V2688" s="1">
        <v>1</v>
      </c>
      <c r="W2688" s="1">
        <v>1</v>
      </c>
      <c r="X2688" s="1">
        <v>1</v>
      </c>
      <c r="Y2688" s="1">
        <v>0</v>
      </c>
      <c r="Z2688" s="1">
        <v>0</v>
      </c>
      <c r="AA2688" s="1">
        <v>4</v>
      </c>
      <c r="AB2688" s="1">
        <v>4</v>
      </c>
      <c r="AC2688" s="1" t="s">
        <v>109</v>
      </c>
      <c r="AD2688" s="1" t="s">
        <v>109</v>
      </c>
      <c r="AE2688" s="1">
        <v>3</v>
      </c>
      <c r="AF2688" s="1">
        <v>3</v>
      </c>
      <c r="AG2688" s="1" t="s">
        <v>109</v>
      </c>
      <c r="AH2688" s="1" t="s">
        <v>109</v>
      </c>
      <c r="AI2688" s="1" t="s">
        <v>109</v>
      </c>
      <c r="AJ2688" s="1" t="s">
        <v>109</v>
      </c>
      <c r="AK2688" s="1" t="s">
        <v>109</v>
      </c>
      <c r="AL2688" s="1" t="s">
        <v>109</v>
      </c>
      <c r="AM2688" s="1" t="s">
        <v>109</v>
      </c>
      <c r="AN2688" s="1" t="s">
        <v>109</v>
      </c>
      <c r="AO2688" s="1" t="s">
        <v>109</v>
      </c>
      <c r="AP2688" s="1"/>
      <c r="AQ2688" s="1">
        <v>4</v>
      </c>
      <c r="AR2688" s="1"/>
      <c r="AS2688" s="1"/>
      <c r="AT2688" s="1">
        <v>0</v>
      </c>
      <c r="AU2688" s="1">
        <v>0</v>
      </c>
      <c r="AV2688" s="1">
        <v>0</v>
      </c>
      <c r="AW2688" s="1">
        <v>0</v>
      </c>
      <c r="AX2688" s="1">
        <v>0</v>
      </c>
      <c r="AY2688" s="1">
        <v>0</v>
      </c>
      <c r="AZ2688" s="1">
        <v>0</v>
      </c>
      <c r="BA2688" s="1">
        <v>0</v>
      </c>
      <c r="BB2688" s="1">
        <v>0</v>
      </c>
      <c r="BC2688" s="1">
        <v>0</v>
      </c>
      <c r="BD2688" s="1">
        <v>0</v>
      </c>
      <c r="BE2688" s="1">
        <v>0</v>
      </c>
      <c r="BF2688" s="1">
        <v>0</v>
      </c>
      <c r="BG2688" s="1">
        <v>0</v>
      </c>
      <c r="BH2688" s="1">
        <v>0</v>
      </c>
      <c r="BI2688" s="1">
        <v>0</v>
      </c>
      <c r="BJ2688" s="1">
        <v>0</v>
      </c>
      <c r="BK2688" s="1">
        <v>0</v>
      </c>
      <c r="BL2688" s="1">
        <v>0</v>
      </c>
      <c r="BM2688" s="1">
        <v>0</v>
      </c>
      <c r="BN2688" s="1">
        <v>0</v>
      </c>
      <c r="BO2688" s="1">
        <v>0</v>
      </c>
      <c r="BP2688" s="1">
        <v>0</v>
      </c>
      <c r="BQ2688" s="1">
        <v>0</v>
      </c>
      <c r="BR2688" s="1">
        <v>0</v>
      </c>
      <c r="BS2688" s="1" t="s">
        <v>109</v>
      </c>
      <c r="BT2688" s="1">
        <v>2791</v>
      </c>
      <c r="BU2688" s="1" t="s">
        <v>109</v>
      </c>
      <c r="BV2688" s="1"/>
      <c r="BW2688" s="1"/>
      <c r="BX2688" s="1"/>
      <c r="BY2688" s="1"/>
      <c r="BZ2688" s="1">
        <v>0</v>
      </c>
      <c r="CA2688" s="1" t="s">
        <v>109</v>
      </c>
      <c r="CB2688" s="1" t="s">
        <v>109</v>
      </c>
      <c r="CC2688" s="1" t="s">
        <v>109</v>
      </c>
      <c r="CD2688" s="1">
        <v>3</v>
      </c>
      <c r="CE2688" s="1" t="s">
        <v>109</v>
      </c>
      <c r="CF2688" s="1">
        <v>3</v>
      </c>
      <c r="CG2688" s="1" t="s">
        <v>109</v>
      </c>
      <c r="CH2688" s="1" t="s">
        <v>109</v>
      </c>
      <c r="CI2688" s="1" t="s">
        <v>109</v>
      </c>
      <c r="CJ2688" s="1">
        <v>3</v>
      </c>
      <c r="CK2688" s="1"/>
      <c r="CL2688" s="1">
        <v>0</v>
      </c>
      <c r="CM2688" s="1">
        <v>0</v>
      </c>
      <c r="CN2688" s="1">
        <v>0</v>
      </c>
    </row>
    <row r="2689" spans="1:92" ht="14.25" customHeight="1" x14ac:dyDescent="0.15">
      <c r="A2689" s="1" t="s">
        <v>19045</v>
      </c>
      <c r="B2689" s="1" t="s">
        <v>242</v>
      </c>
      <c r="C2689" s="1"/>
      <c r="D2689" s="1"/>
      <c r="E2689" s="1" t="s">
        <v>19046</v>
      </c>
      <c r="F2689" s="1" t="s">
        <v>98</v>
      </c>
      <c r="G2689" s="1" t="s">
        <v>141</v>
      </c>
      <c r="H2689" s="1">
        <v>0</v>
      </c>
      <c r="I2689" s="1" t="s">
        <v>161</v>
      </c>
      <c r="J2689" s="1"/>
      <c r="K2689" s="1"/>
      <c r="L2689" s="1" t="s">
        <v>506</v>
      </c>
      <c r="M2689" s="1" t="s">
        <v>3042</v>
      </c>
      <c r="N2689" s="1">
        <v>0</v>
      </c>
      <c r="O2689" s="1">
        <v>0</v>
      </c>
      <c r="P2689" s="1" t="s">
        <v>1382</v>
      </c>
      <c r="Q2689" s="1" t="s">
        <v>104</v>
      </c>
      <c r="R2689" s="1" t="s">
        <v>19047</v>
      </c>
      <c r="S2689" s="1" t="s">
        <v>19048</v>
      </c>
      <c r="T2689" s="1" t="s">
        <v>19049</v>
      </c>
      <c r="U2689" s="1" t="s">
        <v>19050</v>
      </c>
      <c r="V2689" s="1">
        <v>1</v>
      </c>
      <c r="W2689" s="1">
        <v>1</v>
      </c>
      <c r="X2689" s="1">
        <v>0</v>
      </c>
      <c r="Y2689" s="1">
        <v>0</v>
      </c>
      <c r="Z2689" s="1">
        <v>0</v>
      </c>
      <c r="AA2689" s="1" t="s">
        <v>109</v>
      </c>
      <c r="AB2689" s="1" t="s">
        <v>109</v>
      </c>
      <c r="AC2689" s="1">
        <v>2</v>
      </c>
      <c r="AD2689" s="1">
        <v>2</v>
      </c>
      <c r="AE2689" s="1">
        <v>1</v>
      </c>
      <c r="AF2689" s="1" t="s">
        <v>109</v>
      </c>
      <c r="AG2689" s="1" t="s">
        <v>109</v>
      </c>
      <c r="AH2689" s="1">
        <v>2</v>
      </c>
      <c r="AI2689" s="1" t="s">
        <v>109</v>
      </c>
      <c r="AJ2689" s="1">
        <v>2</v>
      </c>
      <c r="AK2689" s="1" t="s">
        <v>109</v>
      </c>
      <c r="AL2689" s="1">
        <v>2</v>
      </c>
      <c r="AM2689" s="1" t="s">
        <v>109</v>
      </c>
      <c r="AN2689" s="1" t="s">
        <v>109</v>
      </c>
      <c r="AO2689" s="1" t="s">
        <v>109</v>
      </c>
      <c r="AP2689" s="1"/>
      <c r="AQ2689" s="1">
        <v>2</v>
      </c>
      <c r="AR2689" s="1"/>
      <c r="AS2689" s="1"/>
      <c r="AT2689" s="1">
        <v>0</v>
      </c>
      <c r="AU2689" s="1">
        <v>0</v>
      </c>
      <c r="AV2689" s="1">
        <v>0</v>
      </c>
      <c r="AW2689" s="1">
        <v>0</v>
      </c>
      <c r="AX2689" s="1">
        <v>0</v>
      </c>
      <c r="AY2689" s="1">
        <v>0</v>
      </c>
      <c r="AZ2689" s="1">
        <v>0</v>
      </c>
      <c r="BA2689" s="1">
        <v>0</v>
      </c>
      <c r="BB2689" s="1">
        <v>0</v>
      </c>
      <c r="BC2689" s="1">
        <v>0</v>
      </c>
      <c r="BD2689" s="1">
        <v>0</v>
      </c>
      <c r="BE2689" s="1">
        <v>0</v>
      </c>
      <c r="BF2689" s="1">
        <v>0</v>
      </c>
      <c r="BG2689" s="1">
        <v>0</v>
      </c>
      <c r="BH2689" s="1">
        <v>0</v>
      </c>
      <c r="BI2689" s="1">
        <v>0</v>
      </c>
      <c r="BJ2689" s="1">
        <v>0</v>
      </c>
      <c r="BK2689" s="1">
        <v>0</v>
      </c>
      <c r="BL2689" s="1">
        <v>0</v>
      </c>
      <c r="BM2689" s="1">
        <v>0</v>
      </c>
      <c r="BN2689" s="1">
        <v>0</v>
      </c>
      <c r="BO2689" s="1">
        <v>0</v>
      </c>
      <c r="BP2689" s="1">
        <v>0</v>
      </c>
      <c r="BQ2689" s="1">
        <v>0</v>
      </c>
      <c r="BR2689" s="1">
        <v>0</v>
      </c>
      <c r="BS2689" s="1" t="s">
        <v>109</v>
      </c>
      <c r="BT2689" s="1">
        <v>2792</v>
      </c>
      <c r="BU2689" s="1" t="s">
        <v>109</v>
      </c>
      <c r="BV2689" s="1"/>
      <c r="BW2689" s="1"/>
      <c r="BX2689" s="1"/>
      <c r="BY2689" s="1"/>
      <c r="BZ2689" s="1">
        <v>0</v>
      </c>
      <c r="CA2689" s="1" t="s">
        <v>109</v>
      </c>
      <c r="CB2689" s="1">
        <v>2</v>
      </c>
      <c r="CC2689" s="1" t="s">
        <v>109</v>
      </c>
      <c r="CD2689" s="1" t="s">
        <v>109</v>
      </c>
      <c r="CE2689" s="1" t="s">
        <v>109</v>
      </c>
      <c r="CF2689" s="1" t="s">
        <v>109</v>
      </c>
      <c r="CG2689" s="1" t="s">
        <v>109</v>
      </c>
      <c r="CH2689" s="1" t="s">
        <v>109</v>
      </c>
      <c r="CI2689" s="1" t="s">
        <v>109</v>
      </c>
      <c r="CJ2689" s="1">
        <v>1</v>
      </c>
      <c r="CK2689" s="1"/>
      <c r="CL2689" s="1">
        <v>0</v>
      </c>
      <c r="CM2689" s="1">
        <v>0</v>
      </c>
      <c r="CN2689" s="1">
        <v>0</v>
      </c>
    </row>
    <row r="2690" spans="1:92" ht="14.25" customHeight="1" x14ac:dyDescent="0.15">
      <c r="A2690" s="1" t="s">
        <v>19051</v>
      </c>
      <c r="B2690" s="1" t="s">
        <v>308</v>
      </c>
      <c r="C2690" s="1"/>
      <c r="D2690" s="1" t="s">
        <v>57</v>
      </c>
      <c r="E2690" s="1" t="s">
        <v>19052</v>
      </c>
      <c r="F2690" s="1" t="s">
        <v>6545</v>
      </c>
      <c r="G2690" s="1" t="s">
        <v>333</v>
      </c>
      <c r="H2690" s="1">
        <v>0</v>
      </c>
      <c r="I2690" s="1" t="s">
        <v>235</v>
      </c>
      <c r="J2690" s="1"/>
      <c r="K2690" s="1" t="s">
        <v>236</v>
      </c>
      <c r="L2690" s="1"/>
      <c r="M2690" s="1" t="s">
        <v>125</v>
      </c>
      <c r="N2690" s="1">
        <v>0</v>
      </c>
      <c r="O2690" s="1">
        <v>0</v>
      </c>
      <c r="P2690" s="1" t="s">
        <v>211</v>
      </c>
      <c r="Q2690" s="1" t="s">
        <v>104</v>
      </c>
      <c r="R2690" s="1" t="s">
        <v>19053</v>
      </c>
      <c r="S2690" s="1" t="s">
        <v>19054</v>
      </c>
      <c r="T2690" s="1" t="s">
        <v>19049</v>
      </c>
      <c r="U2690" s="1" t="s">
        <v>19055</v>
      </c>
      <c r="V2690" s="1">
        <v>1</v>
      </c>
      <c r="W2690" s="1">
        <v>0</v>
      </c>
      <c r="X2690" s="1">
        <v>0</v>
      </c>
      <c r="Y2690" s="1">
        <v>0</v>
      </c>
      <c r="Z2690" s="1">
        <v>0</v>
      </c>
      <c r="AA2690" s="1">
        <v>6</v>
      </c>
      <c r="AB2690" s="1">
        <v>6</v>
      </c>
      <c r="AC2690" s="1">
        <v>6</v>
      </c>
      <c r="AD2690" s="1">
        <v>6</v>
      </c>
      <c r="AE2690" s="1" t="s">
        <v>109</v>
      </c>
      <c r="AF2690" s="1">
        <v>6</v>
      </c>
      <c r="AG2690" s="1" t="s">
        <v>109</v>
      </c>
      <c r="AH2690" s="1" t="s">
        <v>109</v>
      </c>
      <c r="AI2690" s="1" t="s">
        <v>109</v>
      </c>
      <c r="AJ2690" s="1">
        <v>6</v>
      </c>
      <c r="AK2690" s="1" t="s">
        <v>109</v>
      </c>
      <c r="AL2690" s="1">
        <v>6</v>
      </c>
      <c r="AM2690" s="1" t="s">
        <v>109</v>
      </c>
      <c r="AN2690" s="1" t="s">
        <v>109</v>
      </c>
      <c r="AO2690" s="1" t="s">
        <v>109</v>
      </c>
      <c r="AP2690" s="1"/>
      <c r="AQ2690" s="1">
        <v>6</v>
      </c>
      <c r="AR2690" s="1"/>
      <c r="AS2690" s="1"/>
      <c r="AT2690" s="1">
        <v>0</v>
      </c>
      <c r="AU2690" s="1">
        <v>0</v>
      </c>
      <c r="AV2690" s="1">
        <v>0</v>
      </c>
      <c r="AW2690" s="1">
        <v>0</v>
      </c>
      <c r="AX2690" s="1">
        <v>0</v>
      </c>
      <c r="AY2690" s="1">
        <v>0</v>
      </c>
      <c r="AZ2690" s="1">
        <v>0</v>
      </c>
      <c r="BA2690" s="1">
        <v>0</v>
      </c>
      <c r="BB2690" s="1">
        <v>0</v>
      </c>
      <c r="BC2690" s="1">
        <v>0</v>
      </c>
      <c r="BD2690" s="1">
        <v>0</v>
      </c>
      <c r="BE2690" s="1">
        <v>1</v>
      </c>
      <c r="BF2690" s="1">
        <v>0</v>
      </c>
      <c r="BG2690" s="1">
        <v>0</v>
      </c>
      <c r="BH2690" s="1">
        <v>0</v>
      </c>
      <c r="BI2690" s="1">
        <v>0</v>
      </c>
      <c r="BJ2690" s="1">
        <v>0</v>
      </c>
      <c r="BK2690" s="1">
        <v>0</v>
      </c>
      <c r="BL2690" s="1">
        <v>0</v>
      </c>
      <c r="BM2690" s="1">
        <v>0</v>
      </c>
      <c r="BN2690" s="1">
        <v>0</v>
      </c>
      <c r="BO2690" s="1">
        <v>0</v>
      </c>
      <c r="BP2690" s="1">
        <v>0</v>
      </c>
      <c r="BQ2690" s="1">
        <v>0</v>
      </c>
      <c r="BR2690" s="1">
        <v>0</v>
      </c>
      <c r="BS2690" s="1" t="s">
        <v>109</v>
      </c>
      <c r="BT2690" s="1">
        <v>2793</v>
      </c>
      <c r="BU2690" s="1" t="s">
        <v>109</v>
      </c>
      <c r="BV2690" s="1"/>
      <c r="BW2690" s="1"/>
      <c r="BX2690" s="1"/>
      <c r="BY2690" s="1"/>
      <c r="BZ2690" s="1">
        <v>0</v>
      </c>
      <c r="CA2690" s="1" t="s">
        <v>109</v>
      </c>
      <c r="CB2690" s="1" t="s">
        <v>109</v>
      </c>
      <c r="CC2690" s="1">
        <v>6</v>
      </c>
      <c r="CD2690" s="1" t="s">
        <v>109</v>
      </c>
      <c r="CE2690" s="1">
        <v>6</v>
      </c>
      <c r="CF2690" s="1" t="s">
        <v>109</v>
      </c>
      <c r="CG2690" s="1" t="s">
        <v>109</v>
      </c>
      <c r="CH2690" s="1" t="s">
        <v>109</v>
      </c>
      <c r="CI2690" s="1" t="s">
        <v>109</v>
      </c>
      <c r="CJ2690" s="1">
        <v>6</v>
      </c>
      <c r="CK2690" s="1"/>
      <c r="CL2690" s="1">
        <v>0</v>
      </c>
      <c r="CM2690" s="1">
        <v>0</v>
      </c>
      <c r="CN2690" s="1">
        <v>0</v>
      </c>
    </row>
    <row r="2691" spans="1:92" ht="14.25" customHeight="1" x14ac:dyDescent="0.15">
      <c r="A2691" s="1" t="s">
        <v>19056</v>
      </c>
      <c r="B2691" s="1" t="s">
        <v>254</v>
      </c>
      <c r="C2691" s="1"/>
      <c r="D2691" s="1" t="s">
        <v>3274</v>
      </c>
      <c r="E2691" s="1" t="s">
        <v>19057</v>
      </c>
      <c r="F2691" s="1" t="s">
        <v>6545</v>
      </c>
      <c r="G2691" s="1" t="s">
        <v>160</v>
      </c>
      <c r="H2691" s="1">
        <v>0</v>
      </c>
      <c r="I2691" s="1" t="s">
        <v>142</v>
      </c>
      <c r="J2691" s="1"/>
      <c r="K2691" s="1"/>
      <c r="L2691" s="1" t="s">
        <v>1391</v>
      </c>
      <c r="M2691" s="1" t="s">
        <v>355</v>
      </c>
      <c r="N2691" s="1">
        <v>0</v>
      </c>
      <c r="O2691" s="1">
        <v>0</v>
      </c>
      <c r="P2691" s="1" t="s">
        <v>301</v>
      </c>
      <c r="Q2691" s="1" t="s">
        <v>268</v>
      </c>
      <c r="R2691" s="1" t="s">
        <v>19058</v>
      </c>
      <c r="S2691" s="1" t="s">
        <v>19059</v>
      </c>
      <c r="T2691" s="1" t="s">
        <v>19060</v>
      </c>
      <c r="U2691" s="1" t="s">
        <v>19061</v>
      </c>
      <c r="V2691" s="1">
        <v>1</v>
      </c>
      <c r="W2691" s="1">
        <v>1</v>
      </c>
      <c r="X2691" s="1">
        <v>0</v>
      </c>
      <c r="Y2691" s="1">
        <v>0</v>
      </c>
      <c r="Z2691" s="1">
        <v>1</v>
      </c>
      <c r="AA2691" s="1" t="s">
        <v>109</v>
      </c>
      <c r="AB2691" s="1" t="s">
        <v>109</v>
      </c>
      <c r="AC2691" s="1" t="s">
        <v>109</v>
      </c>
      <c r="AD2691" s="1" t="s">
        <v>109</v>
      </c>
      <c r="AE2691" s="1" t="s">
        <v>109</v>
      </c>
      <c r="AF2691" s="1" t="s">
        <v>109</v>
      </c>
      <c r="AG2691" s="1">
        <v>4</v>
      </c>
      <c r="AH2691" s="1" t="s">
        <v>109</v>
      </c>
      <c r="AI2691" s="1" t="s">
        <v>109</v>
      </c>
      <c r="AJ2691" s="1" t="s">
        <v>109</v>
      </c>
      <c r="AK2691" s="1">
        <v>6</v>
      </c>
      <c r="AL2691" s="1" t="s">
        <v>109</v>
      </c>
      <c r="AM2691" s="1" t="s">
        <v>109</v>
      </c>
      <c r="AN2691" s="1" t="s">
        <v>109</v>
      </c>
      <c r="AO2691" s="1" t="s">
        <v>109</v>
      </c>
      <c r="AP2691" s="1"/>
      <c r="AQ2691" s="1">
        <v>4</v>
      </c>
      <c r="AR2691" s="1"/>
      <c r="AS2691" s="1"/>
      <c r="AT2691" s="1">
        <v>0</v>
      </c>
      <c r="AU2691" s="1">
        <v>0</v>
      </c>
      <c r="AV2691" s="1">
        <v>0</v>
      </c>
      <c r="AW2691" s="1">
        <v>0</v>
      </c>
      <c r="AX2691" s="1">
        <v>0</v>
      </c>
      <c r="AY2691" s="1">
        <v>0</v>
      </c>
      <c r="AZ2691" s="1">
        <v>0</v>
      </c>
      <c r="BA2691" s="1">
        <v>0</v>
      </c>
      <c r="BB2691" s="1">
        <v>0</v>
      </c>
      <c r="BC2691" s="1">
        <v>0</v>
      </c>
      <c r="BD2691" s="1">
        <v>0</v>
      </c>
      <c r="BE2691" s="1">
        <v>0</v>
      </c>
      <c r="BF2691" s="1">
        <v>0</v>
      </c>
      <c r="BG2691" s="1">
        <v>0</v>
      </c>
      <c r="BH2691" s="1">
        <v>0</v>
      </c>
      <c r="BI2691" s="1">
        <v>0</v>
      </c>
      <c r="BJ2691" s="1">
        <v>1</v>
      </c>
      <c r="BK2691" s="1">
        <v>0</v>
      </c>
      <c r="BL2691" s="1">
        <v>0</v>
      </c>
      <c r="BM2691" s="1">
        <v>0</v>
      </c>
      <c r="BN2691" s="1">
        <v>0</v>
      </c>
      <c r="BO2691" s="1">
        <v>0</v>
      </c>
      <c r="BP2691" s="1">
        <v>0</v>
      </c>
      <c r="BQ2691" s="1">
        <v>0</v>
      </c>
      <c r="BR2691" s="1">
        <v>0</v>
      </c>
      <c r="BS2691" s="1" t="s">
        <v>109</v>
      </c>
      <c r="BT2691" s="1">
        <v>2794</v>
      </c>
      <c r="BU2691" s="1" t="s">
        <v>109</v>
      </c>
      <c r="BV2691" s="1"/>
      <c r="BW2691" s="1"/>
      <c r="BX2691" s="1"/>
      <c r="BY2691" s="1"/>
      <c r="BZ2691" s="1">
        <v>0</v>
      </c>
      <c r="CA2691" s="1" t="s">
        <v>109</v>
      </c>
      <c r="CB2691" s="1" t="s">
        <v>109</v>
      </c>
      <c r="CC2691" s="1" t="s">
        <v>109</v>
      </c>
      <c r="CD2691" s="1" t="s">
        <v>109</v>
      </c>
      <c r="CE2691" s="1" t="s">
        <v>109</v>
      </c>
      <c r="CF2691" s="1" t="s">
        <v>109</v>
      </c>
      <c r="CG2691" s="1" t="s">
        <v>109</v>
      </c>
      <c r="CH2691" s="1" t="s">
        <v>109</v>
      </c>
      <c r="CI2691" s="1" t="s">
        <v>109</v>
      </c>
      <c r="CJ2691" s="1" t="s">
        <v>109</v>
      </c>
      <c r="CK2691" s="1"/>
      <c r="CL2691" s="1">
        <v>0</v>
      </c>
      <c r="CM2691" s="1">
        <v>0</v>
      </c>
      <c r="CN2691" s="1">
        <v>0</v>
      </c>
    </row>
    <row r="2692" spans="1:92" ht="14.25" customHeight="1" x14ac:dyDescent="0.15">
      <c r="A2692" s="1" t="s">
        <v>19062</v>
      </c>
      <c r="B2692" s="1" t="s">
        <v>95</v>
      </c>
      <c r="C2692" s="1" t="s">
        <v>694</v>
      </c>
      <c r="D2692" s="1" t="s">
        <v>52</v>
      </c>
      <c r="E2692" s="1" t="s">
        <v>19063</v>
      </c>
      <c r="F2692" s="1" t="s">
        <v>98</v>
      </c>
      <c r="G2692" s="1" t="s">
        <v>160</v>
      </c>
      <c r="H2692" s="1">
        <v>0</v>
      </c>
      <c r="I2692" s="1" t="s">
        <v>142</v>
      </c>
      <c r="J2692" s="1"/>
      <c r="K2692" s="1"/>
      <c r="L2692" s="1" t="s">
        <v>19064</v>
      </c>
      <c r="M2692" s="1" t="s">
        <v>144</v>
      </c>
      <c r="N2692" s="1">
        <v>0</v>
      </c>
      <c r="O2692" s="1">
        <v>0</v>
      </c>
      <c r="P2692" s="1" t="s">
        <v>2482</v>
      </c>
      <c r="Q2692" s="1" t="s">
        <v>4298</v>
      </c>
      <c r="R2692" s="1" t="s">
        <v>19065</v>
      </c>
      <c r="S2692" s="1" t="s">
        <v>19066</v>
      </c>
      <c r="T2692" s="1" t="s">
        <v>19067</v>
      </c>
      <c r="U2692" s="1" t="s">
        <v>19068</v>
      </c>
      <c r="V2692" s="1">
        <v>1</v>
      </c>
      <c r="W2692" s="1">
        <v>1</v>
      </c>
      <c r="X2692" s="1">
        <v>0</v>
      </c>
      <c r="Y2692" s="1">
        <v>0</v>
      </c>
      <c r="Z2692" s="1">
        <v>1</v>
      </c>
      <c r="AA2692" s="1" t="s">
        <v>109</v>
      </c>
      <c r="AB2692" s="1" t="s">
        <v>109</v>
      </c>
      <c r="AC2692" s="1">
        <v>6</v>
      </c>
      <c r="AD2692" s="1" t="s">
        <v>109</v>
      </c>
      <c r="AE2692" s="1" t="s">
        <v>109</v>
      </c>
      <c r="AF2692" s="1" t="s">
        <v>109</v>
      </c>
      <c r="AG2692" s="1" t="s">
        <v>109</v>
      </c>
      <c r="AH2692" s="1" t="s">
        <v>109</v>
      </c>
      <c r="AI2692" s="1" t="s">
        <v>109</v>
      </c>
      <c r="AJ2692" s="1">
        <v>6</v>
      </c>
      <c r="AK2692" s="1">
        <v>6</v>
      </c>
      <c r="AL2692" s="1">
        <v>6</v>
      </c>
      <c r="AM2692" s="1" t="s">
        <v>109</v>
      </c>
      <c r="AN2692" s="1" t="s">
        <v>109</v>
      </c>
      <c r="AO2692" s="1" t="s">
        <v>109</v>
      </c>
      <c r="AP2692" s="1"/>
      <c r="AQ2692" s="1">
        <v>6</v>
      </c>
      <c r="AR2692" s="1"/>
      <c r="AS2692" s="1"/>
      <c r="AT2692" s="1">
        <v>0</v>
      </c>
      <c r="AU2692" s="1">
        <v>0</v>
      </c>
      <c r="AV2692" s="1">
        <v>0</v>
      </c>
      <c r="AW2692" s="1">
        <v>0</v>
      </c>
      <c r="AX2692" s="1">
        <v>0</v>
      </c>
      <c r="AY2692" s="1">
        <v>0</v>
      </c>
      <c r="AZ2692" s="1">
        <v>1</v>
      </c>
      <c r="BA2692" s="1">
        <v>0</v>
      </c>
      <c r="BB2692" s="1">
        <v>0</v>
      </c>
      <c r="BC2692" s="1">
        <v>0</v>
      </c>
      <c r="BD2692" s="1">
        <v>0</v>
      </c>
      <c r="BE2692" s="1">
        <v>0</v>
      </c>
      <c r="BF2692" s="1">
        <v>0</v>
      </c>
      <c r="BG2692" s="1">
        <v>0</v>
      </c>
      <c r="BH2692" s="1">
        <v>0</v>
      </c>
      <c r="BI2692" s="1">
        <v>0</v>
      </c>
      <c r="BJ2692" s="1">
        <v>0</v>
      </c>
      <c r="BK2692" s="1">
        <v>0</v>
      </c>
      <c r="BL2692" s="1">
        <v>0</v>
      </c>
      <c r="BM2692" s="1">
        <v>0</v>
      </c>
      <c r="BN2692" s="1">
        <v>0</v>
      </c>
      <c r="BO2692" s="1">
        <v>0</v>
      </c>
      <c r="BP2692" s="1">
        <v>0</v>
      </c>
      <c r="BQ2692" s="1">
        <v>0</v>
      </c>
      <c r="BR2692" s="1">
        <v>0</v>
      </c>
      <c r="BS2692" s="1" t="s">
        <v>109</v>
      </c>
      <c r="BT2692" s="1">
        <v>3792</v>
      </c>
      <c r="BU2692" s="1" t="s">
        <v>109</v>
      </c>
      <c r="BV2692" s="1"/>
      <c r="BW2692" s="1"/>
      <c r="BX2692" s="1"/>
      <c r="BY2692" s="1"/>
      <c r="BZ2692" s="1">
        <v>0</v>
      </c>
      <c r="CA2692" s="1" t="s">
        <v>109</v>
      </c>
      <c r="CB2692" s="1">
        <v>6</v>
      </c>
      <c r="CC2692" s="1" t="s">
        <v>109</v>
      </c>
      <c r="CD2692" s="1" t="s">
        <v>109</v>
      </c>
      <c r="CE2692" s="1" t="s">
        <v>109</v>
      </c>
      <c r="CF2692" s="1">
        <v>6</v>
      </c>
      <c r="CG2692" s="1">
        <v>6</v>
      </c>
      <c r="CH2692" s="1" t="s">
        <v>109</v>
      </c>
      <c r="CI2692" s="1" t="s">
        <v>109</v>
      </c>
      <c r="CJ2692" s="1" t="s">
        <v>109</v>
      </c>
      <c r="CK2692" s="1"/>
      <c r="CL2692" s="1">
        <v>0</v>
      </c>
      <c r="CM2692" s="1">
        <v>0</v>
      </c>
      <c r="CN2692" s="1">
        <v>0</v>
      </c>
    </row>
    <row r="2693" spans="1:92" ht="14.25" customHeight="1" x14ac:dyDescent="0.15">
      <c r="A2693" s="1" t="s">
        <v>19069</v>
      </c>
      <c r="B2693" s="1" t="s">
        <v>95</v>
      </c>
      <c r="C2693" s="1" t="s">
        <v>694</v>
      </c>
      <c r="D2693" s="1"/>
      <c r="E2693" s="1" t="s">
        <v>19070</v>
      </c>
      <c r="F2693" s="1" t="s">
        <v>98</v>
      </c>
      <c r="G2693" s="1" t="s">
        <v>19071</v>
      </c>
      <c r="H2693" s="1">
        <v>1</v>
      </c>
      <c r="I2693" s="1" t="s">
        <v>161</v>
      </c>
      <c r="J2693" s="1"/>
      <c r="K2693" s="1"/>
      <c r="L2693" s="1" t="s">
        <v>1717</v>
      </c>
      <c r="M2693" s="1" t="s">
        <v>144</v>
      </c>
      <c r="N2693" s="1">
        <v>0</v>
      </c>
      <c r="O2693" s="1">
        <v>0</v>
      </c>
      <c r="P2693" s="1" t="s">
        <v>7140</v>
      </c>
      <c r="Q2693" s="1" t="s">
        <v>167</v>
      </c>
      <c r="R2693" s="1" t="s">
        <v>19072</v>
      </c>
      <c r="S2693" s="1" t="s">
        <v>19073</v>
      </c>
      <c r="T2693" s="1" t="s">
        <v>19067</v>
      </c>
      <c r="U2693" s="1" t="s">
        <v>19074</v>
      </c>
      <c r="V2693" s="1">
        <v>1</v>
      </c>
      <c r="W2693" s="1">
        <v>1</v>
      </c>
      <c r="X2693" s="1">
        <v>1</v>
      </c>
      <c r="Y2693" s="1">
        <v>0</v>
      </c>
      <c r="Z2693" s="1">
        <v>0</v>
      </c>
      <c r="AA2693" s="1" t="s">
        <v>109</v>
      </c>
      <c r="AB2693" s="1" t="s">
        <v>109</v>
      </c>
      <c r="AC2693" s="1">
        <v>3</v>
      </c>
      <c r="AD2693" s="1" t="s">
        <v>109</v>
      </c>
      <c r="AE2693" s="1" t="s">
        <v>109</v>
      </c>
      <c r="AF2693" s="1" t="s">
        <v>109</v>
      </c>
      <c r="AG2693" s="1" t="s">
        <v>109</v>
      </c>
      <c r="AH2693" s="1">
        <v>2</v>
      </c>
      <c r="AI2693" s="1" t="s">
        <v>109</v>
      </c>
      <c r="AJ2693" s="1" t="s">
        <v>109</v>
      </c>
      <c r="AK2693" s="1" t="s">
        <v>109</v>
      </c>
      <c r="AL2693" s="1">
        <v>3</v>
      </c>
      <c r="AM2693" s="1" t="s">
        <v>109</v>
      </c>
      <c r="AN2693" s="1" t="s">
        <v>109</v>
      </c>
      <c r="AO2693" s="1" t="s">
        <v>109</v>
      </c>
      <c r="AP2693" s="1"/>
      <c r="AQ2693" s="1">
        <v>3</v>
      </c>
      <c r="AR2693" s="1"/>
      <c r="AS2693" s="1"/>
      <c r="AT2693" s="1">
        <v>0</v>
      </c>
      <c r="AU2693" s="1">
        <v>0</v>
      </c>
      <c r="AV2693" s="1">
        <v>0</v>
      </c>
      <c r="AW2693" s="1">
        <v>0</v>
      </c>
      <c r="AX2693" s="1">
        <v>0</v>
      </c>
      <c r="AY2693" s="1">
        <v>0</v>
      </c>
      <c r="AZ2693" s="1">
        <v>0</v>
      </c>
      <c r="BA2693" s="1">
        <v>0</v>
      </c>
      <c r="BB2693" s="1">
        <v>0</v>
      </c>
      <c r="BC2693" s="1">
        <v>0</v>
      </c>
      <c r="BD2693" s="1">
        <v>0</v>
      </c>
      <c r="BE2693" s="1">
        <v>0</v>
      </c>
      <c r="BF2693" s="1">
        <v>0</v>
      </c>
      <c r="BG2693" s="1">
        <v>0</v>
      </c>
      <c r="BH2693" s="1">
        <v>0</v>
      </c>
      <c r="BI2693" s="1">
        <v>0</v>
      </c>
      <c r="BJ2693" s="1">
        <v>0</v>
      </c>
      <c r="BK2693" s="1">
        <v>0</v>
      </c>
      <c r="BL2693" s="1">
        <v>0</v>
      </c>
      <c r="BM2693" s="1">
        <v>0</v>
      </c>
      <c r="BN2693" s="1">
        <v>0</v>
      </c>
      <c r="BO2693" s="1">
        <v>0</v>
      </c>
      <c r="BP2693" s="1">
        <v>0</v>
      </c>
      <c r="BQ2693" s="1">
        <v>0</v>
      </c>
      <c r="BR2693" s="1">
        <v>0</v>
      </c>
      <c r="BS2693" s="1" t="s">
        <v>109</v>
      </c>
      <c r="BT2693" s="1">
        <v>3793</v>
      </c>
      <c r="BU2693" s="1">
        <v>50</v>
      </c>
      <c r="BV2693" s="1"/>
      <c r="BW2693" s="1"/>
      <c r="BX2693" s="1"/>
      <c r="BY2693" s="1"/>
      <c r="BZ2693" s="1">
        <v>0</v>
      </c>
      <c r="CA2693" s="1" t="s">
        <v>109</v>
      </c>
      <c r="CB2693" s="1" t="s">
        <v>109</v>
      </c>
      <c r="CC2693" s="1" t="s">
        <v>109</v>
      </c>
      <c r="CD2693" s="1" t="s">
        <v>109</v>
      </c>
      <c r="CE2693" s="1" t="s">
        <v>109</v>
      </c>
      <c r="CF2693" s="1" t="s">
        <v>109</v>
      </c>
      <c r="CG2693" s="1" t="s">
        <v>109</v>
      </c>
      <c r="CH2693" s="1" t="s">
        <v>109</v>
      </c>
      <c r="CI2693" s="1" t="s">
        <v>109</v>
      </c>
      <c r="CJ2693" s="1" t="s">
        <v>109</v>
      </c>
      <c r="CK2693" s="1"/>
      <c r="CL2693" s="1">
        <v>0</v>
      </c>
      <c r="CM2693" s="1">
        <v>0</v>
      </c>
      <c r="CN2693" s="1">
        <v>0</v>
      </c>
    </row>
    <row r="2694" spans="1:92" ht="14.25" customHeight="1" x14ac:dyDescent="0.15">
      <c r="A2694" s="1" t="s">
        <v>19075</v>
      </c>
      <c r="B2694" s="1" t="s">
        <v>95</v>
      </c>
      <c r="C2694" s="1" t="s">
        <v>694</v>
      </c>
      <c r="D2694" s="1" t="s">
        <v>15873</v>
      </c>
      <c r="E2694" s="1" t="s">
        <v>9677</v>
      </c>
      <c r="F2694" s="1" t="s">
        <v>98</v>
      </c>
      <c r="G2694" s="1" t="s">
        <v>160</v>
      </c>
      <c r="H2694" s="1">
        <v>0</v>
      </c>
      <c r="I2694" s="1"/>
      <c r="J2694" s="1" t="s">
        <v>12695</v>
      </c>
      <c r="K2694" s="1"/>
      <c r="L2694" s="1"/>
      <c r="M2694" s="1" t="s">
        <v>144</v>
      </c>
      <c r="N2694" s="1">
        <v>0</v>
      </c>
      <c r="O2694" s="1">
        <v>0</v>
      </c>
      <c r="P2694" s="1" t="s">
        <v>2045</v>
      </c>
      <c r="Q2694" s="1" t="s">
        <v>268</v>
      </c>
      <c r="R2694" s="1" t="s">
        <v>19076</v>
      </c>
      <c r="S2694" s="1" t="s">
        <v>19077</v>
      </c>
      <c r="T2694" s="1" t="s">
        <v>19067</v>
      </c>
      <c r="U2694" s="1" t="s">
        <v>19078</v>
      </c>
      <c r="V2694" s="1">
        <v>1</v>
      </c>
      <c r="W2694" s="1">
        <v>1</v>
      </c>
      <c r="X2694" s="1">
        <v>0</v>
      </c>
      <c r="Y2694" s="1">
        <v>0</v>
      </c>
      <c r="Z2694" s="1">
        <v>1</v>
      </c>
      <c r="AA2694" s="1" t="s">
        <v>109</v>
      </c>
      <c r="AB2694" s="1" t="s">
        <v>109</v>
      </c>
      <c r="AC2694" s="1">
        <v>4</v>
      </c>
      <c r="AD2694" s="1" t="s">
        <v>109</v>
      </c>
      <c r="AE2694" s="1" t="s">
        <v>109</v>
      </c>
      <c r="AF2694" s="1" t="s">
        <v>109</v>
      </c>
      <c r="AG2694" s="1">
        <v>4</v>
      </c>
      <c r="AH2694" s="1" t="s">
        <v>109</v>
      </c>
      <c r="AI2694" s="1" t="s">
        <v>109</v>
      </c>
      <c r="AJ2694" s="1" t="s">
        <v>109</v>
      </c>
      <c r="AK2694" s="1">
        <v>4</v>
      </c>
      <c r="AL2694" s="1">
        <v>4</v>
      </c>
      <c r="AM2694" s="1" t="s">
        <v>109</v>
      </c>
      <c r="AN2694" s="1" t="s">
        <v>109</v>
      </c>
      <c r="AO2694" s="1" t="s">
        <v>109</v>
      </c>
      <c r="AP2694" s="1"/>
      <c r="AQ2694" s="1">
        <v>4</v>
      </c>
      <c r="AR2694" s="1"/>
      <c r="AS2694" s="1"/>
      <c r="AT2694" s="1">
        <v>0</v>
      </c>
      <c r="AU2694" s="1">
        <v>0</v>
      </c>
      <c r="AV2694" s="1">
        <v>0</v>
      </c>
      <c r="AW2694" s="1">
        <v>0</v>
      </c>
      <c r="AX2694" s="1">
        <v>0</v>
      </c>
      <c r="AY2694" s="1">
        <v>0</v>
      </c>
      <c r="AZ2694" s="1">
        <v>0</v>
      </c>
      <c r="BA2694" s="1">
        <v>0</v>
      </c>
      <c r="BB2694" s="1">
        <v>0</v>
      </c>
      <c r="BC2694" s="1">
        <v>0</v>
      </c>
      <c r="BD2694" s="1">
        <v>0</v>
      </c>
      <c r="BE2694" s="1">
        <v>0</v>
      </c>
      <c r="BF2694" s="1">
        <v>0</v>
      </c>
      <c r="BG2694" s="1">
        <v>1</v>
      </c>
      <c r="BH2694" s="1">
        <v>0</v>
      </c>
      <c r="BI2694" s="1">
        <v>1</v>
      </c>
      <c r="BJ2694" s="1">
        <v>0</v>
      </c>
      <c r="BK2694" s="1">
        <v>0</v>
      </c>
      <c r="BL2694" s="1">
        <v>0</v>
      </c>
      <c r="BM2694" s="1">
        <v>0</v>
      </c>
      <c r="BN2694" s="1">
        <v>0</v>
      </c>
      <c r="BO2694" s="1">
        <v>0</v>
      </c>
      <c r="BP2694" s="1">
        <v>0</v>
      </c>
      <c r="BQ2694" s="1">
        <v>0</v>
      </c>
      <c r="BR2694" s="1">
        <v>0</v>
      </c>
      <c r="BS2694" s="1" t="s">
        <v>109</v>
      </c>
      <c r="BT2694" s="1">
        <v>3794</v>
      </c>
      <c r="BU2694" s="1" t="s">
        <v>109</v>
      </c>
      <c r="BV2694" s="1"/>
      <c r="BW2694" s="1"/>
      <c r="BX2694" s="1"/>
      <c r="BY2694" s="1"/>
      <c r="BZ2694" s="1">
        <v>0</v>
      </c>
      <c r="CA2694" s="1" t="s">
        <v>109</v>
      </c>
      <c r="CB2694" s="1" t="s">
        <v>109</v>
      </c>
      <c r="CC2694" s="1" t="s">
        <v>109</v>
      </c>
      <c r="CD2694" s="1" t="s">
        <v>109</v>
      </c>
      <c r="CE2694" s="1" t="s">
        <v>109</v>
      </c>
      <c r="CF2694" s="1" t="s">
        <v>109</v>
      </c>
      <c r="CG2694" s="1" t="s">
        <v>109</v>
      </c>
      <c r="CH2694" s="1" t="s">
        <v>109</v>
      </c>
      <c r="CI2694" s="1" t="s">
        <v>109</v>
      </c>
      <c r="CJ2694" s="1" t="s">
        <v>109</v>
      </c>
      <c r="CK2694" s="1"/>
      <c r="CL2694" s="1">
        <v>0</v>
      </c>
      <c r="CM2694" s="1">
        <v>0</v>
      </c>
      <c r="CN2694" s="1">
        <v>0</v>
      </c>
    </row>
    <row r="2695" spans="1:92" ht="14.25" customHeight="1" x14ac:dyDescent="0.15">
      <c r="A2695" s="1" t="s">
        <v>19079</v>
      </c>
      <c r="B2695" s="1" t="s">
        <v>95</v>
      </c>
      <c r="C2695" s="1" t="s">
        <v>694</v>
      </c>
      <c r="D2695" s="1"/>
      <c r="E2695" s="1" t="s">
        <v>19080</v>
      </c>
      <c r="F2695" s="1" t="s">
        <v>98</v>
      </c>
      <c r="G2695" s="1" t="s">
        <v>160</v>
      </c>
      <c r="H2695" s="1">
        <v>0</v>
      </c>
      <c r="I2695" s="1" t="s">
        <v>161</v>
      </c>
      <c r="J2695" s="1"/>
      <c r="K2695" s="1"/>
      <c r="L2695" s="1" t="s">
        <v>19081</v>
      </c>
      <c r="M2695" s="1" t="s">
        <v>5642</v>
      </c>
      <c r="N2695" s="1">
        <v>0</v>
      </c>
      <c r="O2695" s="1">
        <v>0</v>
      </c>
      <c r="P2695" s="1" t="s">
        <v>629</v>
      </c>
      <c r="Q2695" s="1" t="s">
        <v>630</v>
      </c>
      <c r="R2695" s="1" t="s">
        <v>19082</v>
      </c>
      <c r="S2695" s="1" t="s">
        <v>19083</v>
      </c>
      <c r="T2695" s="1" t="s">
        <v>19067</v>
      </c>
      <c r="U2695" s="1" t="s">
        <v>19084</v>
      </c>
      <c r="V2695" s="1">
        <v>1</v>
      </c>
      <c r="W2695" s="1">
        <v>1</v>
      </c>
      <c r="X2695" s="1">
        <v>0</v>
      </c>
      <c r="Y2695" s="1">
        <v>0</v>
      </c>
      <c r="Z2695" s="1">
        <v>1</v>
      </c>
      <c r="AA2695" s="1" t="s">
        <v>109</v>
      </c>
      <c r="AB2695" s="1" t="s">
        <v>109</v>
      </c>
      <c r="AC2695" s="1">
        <v>2</v>
      </c>
      <c r="AD2695" s="1">
        <v>2</v>
      </c>
      <c r="AE2695" s="1">
        <v>2</v>
      </c>
      <c r="AF2695" s="1" t="s">
        <v>109</v>
      </c>
      <c r="AG2695" s="1">
        <v>2</v>
      </c>
      <c r="AH2695" s="1" t="s">
        <v>109</v>
      </c>
      <c r="AI2695" s="1" t="s">
        <v>109</v>
      </c>
      <c r="AJ2695" s="1" t="s">
        <v>109</v>
      </c>
      <c r="AK2695" s="1">
        <v>2</v>
      </c>
      <c r="AL2695" s="1">
        <v>2</v>
      </c>
      <c r="AM2695" s="1" t="s">
        <v>109</v>
      </c>
      <c r="AN2695" s="1" t="s">
        <v>109</v>
      </c>
      <c r="AO2695" s="1" t="s">
        <v>109</v>
      </c>
      <c r="AP2695" s="1"/>
      <c r="AQ2695" s="1">
        <v>2</v>
      </c>
      <c r="AR2695" s="1"/>
      <c r="AS2695" s="1"/>
      <c r="AT2695" s="1">
        <v>0</v>
      </c>
      <c r="AU2695" s="1">
        <v>0</v>
      </c>
      <c r="AV2695" s="1">
        <v>0</v>
      </c>
      <c r="AW2695" s="1">
        <v>0</v>
      </c>
      <c r="AX2695" s="1">
        <v>0</v>
      </c>
      <c r="AY2695" s="1">
        <v>0</v>
      </c>
      <c r="AZ2695" s="1">
        <v>0</v>
      </c>
      <c r="BA2695" s="1">
        <v>0</v>
      </c>
      <c r="BB2695" s="1">
        <v>0</v>
      </c>
      <c r="BC2695" s="1">
        <v>0</v>
      </c>
      <c r="BD2695" s="1">
        <v>0</v>
      </c>
      <c r="BE2695" s="1">
        <v>0</v>
      </c>
      <c r="BF2695" s="1">
        <v>0</v>
      </c>
      <c r="BG2695" s="1">
        <v>0</v>
      </c>
      <c r="BH2695" s="1">
        <v>0</v>
      </c>
      <c r="BI2695" s="1">
        <v>0</v>
      </c>
      <c r="BJ2695" s="1">
        <v>0</v>
      </c>
      <c r="BK2695" s="1">
        <v>0</v>
      </c>
      <c r="BL2695" s="1">
        <v>0</v>
      </c>
      <c r="BM2695" s="1">
        <v>0</v>
      </c>
      <c r="BN2695" s="1">
        <v>0</v>
      </c>
      <c r="BO2695" s="1">
        <v>0</v>
      </c>
      <c r="BP2695" s="1">
        <v>0</v>
      </c>
      <c r="BQ2695" s="1">
        <v>0</v>
      </c>
      <c r="BR2695" s="1">
        <v>0</v>
      </c>
      <c r="BS2695" s="1" t="s">
        <v>109</v>
      </c>
      <c r="BT2695" s="1">
        <v>3795</v>
      </c>
      <c r="BU2695" s="1" t="s">
        <v>109</v>
      </c>
      <c r="BV2695" s="1"/>
      <c r="BW2695" s="1"/>
      <c r="BX2695" s="1"/>
      <c r="BY2695" s="1"/>
      <c r="BZ2695" s="1">
        <v>0</v>
      </c>
      <c r="CA2695" s="1" t="s">
        <v>109</v>
      </c>
      <c r="CB2695" s="1">
        <v>2</v>
      </c>
      <c r="CC2695" s="1" t="s">
        <v>109</v>
      </c>
      <c r="CD2695" s="1" t="s">
        <v>109</v>
      </c>
      <c r="CE2695" s="1" t="s">
        <v>109</v>
      </c>
      <c r="CF2695" s="1" t="s">
        <v>109</v>
      </c>
      <c r="CG2695" s="1" t="s">
        <v>109</v>
      </c>
      <c r="CH2695" s="1" t="s">
        <v>109</v>
      </c>
      <c r="CI2695" s="1" t="s">
        <v>109</v>
      </c>
      <c r="CJ2695" s="1">
        <v>2</v>
      </c>
      <c r="CK2695" s="1"/>
      <c r="CL2695" s="1">
        <v>0</v>
      </c>
      <c r="CM2695" s="1">
        <v>0</v>
      </c>
      <c r="CN2695" s="1">
        <v>0</v>
      </c>
    </row>
    <row r="2696" spans="1:92" ht="14.25" customHeight="1" x14ac:dyDescent="0.15">
      <c r="A2696" s="1" t="s">
        <v>19085</v>
      </c>
      <c r="B2696" s="1" t="s">
        <v>95</v>
      </c>
      <c r="C2696" s="1" t="s">
        <v>694</v>
      </c>
      <c r="D2696" s="1" t="s">
        <v>158</v>
      </c>
      <c r="E2696" s="1" t="s">
        <v>19086</v>
      </c>
      <c r="F2696" s="1" t="s">
        <v>98</v>
      </c>
      <c r="G2696" s="1" t="s">
        <v>160</v>
      </c>
      <c r="H2696" s="1">
        <v>0</v>
      </c>
      <c r="I2696" s="1" t="s">
        <v>122</v>
      </c>
      <c r="J2696" s="1"/>
      <c r="K2696" s="1"/>
      <c r="L2696" s="1" t="s">
        <v>19087</v>
      </c>
      <c r="M2696" s="1" t="s">
        <v>8791</v>
      </c>
      <c r="N2696" s="1">
        <v>0</v>
      </c>
      <c r="O2696" s="1">
        <v>0</v>
      </c>
      <c r="P2696" s="1" t="s">
        <v>7140</v>
      </c>
      <c r="Q2696" s="1" t="s">
        <v>167</v>
      </c>
      <c r="R2696" s="1" t="s">
        <v>19088</v>
      </c>
      <c r="S2696" s="1" t="s">
        <v>19089</v>
      </c>
      <c r="T2696" s="1" t="s">
        <v>19067</v>
      </c>
      <c r="U2696" s="1" t="s">
        <v>19090</v>
      </c>
      <c r="V2696" s="1">
        <v>1</v>
      </c>
      <c r="W2696" s="1">
        <v>1</v>
      </c>
      <c r="X2696" s="1">
        <v>0</v>
      </c>
      <c r="Y2696" s="1">
        <v>0</v>
      </c>
      <c r="Z2696" s="1">
        <v>1</v>
      </c>
      <c r="AA2696" s="1" t="s">
        <v>109</v>
      </c>
      <c r="AB2696" s="1" t="s">
        <v>109</v>
      </c>
      <c r="AC2696" s="1">
        <v>6</v>
      </c>
      <c r="AD2696" s="1" t="s">
        <v>109</v>
      </c>
      <c r="AE2696" s="1">
        <v>4</v>
      </c>
      <c r="AF2696" s="1" t="s">
        <v>109</v>
      </c>
      <c r="AG2696" s="1">
        <v>4</v>
      </c>
      <c r="AH2696" s="1" t="s">
        <v>109</v>
      </c>
      <c r="AI2696" s="1" t="s">
        <v>109</v>
      </c>
      <c r="AJ2696" s="1" t="s">
        <v>109</v>
      </c>
      <c r="AK2696" s="1">
        <v>6</v>
      </c>
      <c r="AL2696" s="1">
        <v>6</v>
      </c>
      <c r="AM2696" s="1" t="s">
        <v>109</v>
      </c>
      <c r="AN2696" s="1" t="s">
        <v>109</v>
      </c>
      <c r="AO2696" s="1" t="s">
        <v>109</v>
      </c>
      <c r="AP2696" s="1"/>
      <c r="AQ2696" s="1">
        <v>6</v>
      </c>
      <c r="AR2696" s="1"/>
      <c r="AS2696" s="1"/>
      <c r="AT2696" s="1">
        <v>0</v>
      </c>
      <c r="AU2696" s="1">
        <v>0</v>
      </c>
      <c r="AV2696" s="1">
        <v>0</v>
      </c>
      <c r="AW2696" s="1">
        <v>0</v>
      </c>
      <c r="AX2696" s="1">
        <v>0</v>
      </c>
      <c r="AY2696" s="1">
        <v>0</v>
      </c>
      <c r="AZ2696" s="1">
        <v>0</v>
      </c>
      <c r="BA2696" s="1">
        <v>0</v>
      </c>
      <c r="BB2696" s="1">
        <v>0</v>
      </c>
      <c r="BC2696" s="1">
        <v>0</v>
      </c>
      <c r="BD2696" s="1">
        <v>0</v>
      </c>
      <c r="BE2696" s="1">
        <v>0</v>
      </c>
      <c r="BF2696" s="1">
        <v>0</v>
      </c>
      <c r="BG2696" s="1">
        <v>0</v>
      </c>
      <c r="BH2696" s="1">
        <v>0</v>
      </c>
      <c r="BI2696" s="1">
        <v>0</v>
      </c>
      <c r="BJ2696" s="1">
        <v>0</v>
      </c>
      <c r="BK2696" s="1">
        <v>0</v>
      </c>
      <c r="BL2696" s="1">
        <v>0</v>
      </c>
      <c r="BM2696" s="1">
        <v>1</v>
      </c>
      <c r="BN2696" s="1">
        <v>0</v>
      </c>
      <c r="BO2696" s="1">
        <v>0</v>
      </c>
      <c r="BP2696" s="1">
        <v>0</v>
      </c>
      <c r="BQ2696" s="1">
        <v>0</v>
      </c>
      <c r="BR2696" s="1">
        <v>0</v>
      </c>
      <c r="BS2696" s="1" t="s">
        <v>109</v>
      </c>
      <c r="BT2696" s="1">
        <v>3796</v>
      </c>
      <c r="BU2696" s="1" t="s">
        <v>109</v>
      </c>
      <c r="BV2696" s="1"/>
      <c r="BW2696" s="1"/>
      <c r="BX2696" s="1"/>
      <c r="BY2696" s="1"/>
      <c r="BZ2696" s="1">
        <v>0</v>
      </c>
      <c r="CA2696" s="1" t="s">
        <v>109</v>
      </c>
      <c r="CB2696" s="1" t="s">
        <v>109</v>
      </c>
      <c r="CC2696" s="1" t="s">
        <v>109</v>
      </c>
      <c r="CD2696" s="1" t="s">
        <v>109</v>
      </c>
      <c r="CE2696" s="1" t="s">
        <v>109</v>
      </c>
      <c r="CF2696" s="1" t="s">
        <v>109</v>
      </c>
      <c r="CG2696" s="1" t="s">
        <v>109</v>
      </c>
      <c r="CH2696" s="1" t="s">
        <v>109</v>
      </c>
      <c r="CI2696" s="1" t="s">
        <v>109</v>
      </c>
      <c r="CJ2696" s="1">
        <v>4</v>
      </c>
      <c r="CK2696" s="1"/>
      <c r="CL2696" s="1">
        <v>0</v>
      </c>
      <c r="CM2696" s="1">
        <v>0</v>
      </c>
      <c r="CN2696" s="1">
        <v>0</v>
      </c>
    </row>
    <row r="2697" spans="1:92" ht="14.25" customHeight="1" x14ac:dyDescent="0.15">
      <c r="A2697" s="1" t="s">
        <v>19091</v>
      </c>
      <c r="B2697" s="1" t="s">
        <v>95</v>
      </c>
      <c r="C2697" s="1" t="s">
        <v>694</v>
      </c>
      <c r="D2697" s="1"/>
      <c r="E2697" s="1" t="s">
        <v>19092</v>
      </c>
      <c r="F2697" s="1" t="s">
        <v>98</v>
      </c>
      <c r="G2697" s="1" t="s">
        <v>141</v>
      </c>
      <c r="H2697" s="1">
        <v>0</v>
      </c>
      <c r="I2697" s="1" t="s">
        <v>161</v>
      </c>
      <c r="J2697" s="1"/>
      <c r="K2697" s="1"/>
      <c r="L2697" s="1" t="s">
        <v>162</v>
      </c>
      <c r="M2697" s="1" t="s">
        <v>19093</v>
      </c>
      <c r="N2697" s="1">
        <v>0</v>
      </c>
      <c r="O2697" s="1">
        <v>0</v>
      </c>
      <c r="P2697" s="1" t="s">
        <v>507</v>
      </c>
      <c r="Q2697" s="1" t="s">
        <v>167</v>
      </c>
      <c r="R2697" s="1" t="s">
        <v>19094</v>
      </c>
      <c r="S2697" s="1" t="s">
        <v>19095</v>
      </c>
      <c r="T2697" s="1" t="s">
        <v>19067</v>
      </c>
      <c r="U2697" s="1" t="s">
        <v>19096</v>
      </c>
      <c r="V2697" s="1">
        <v>1</v>
      </c>
      <c r="W2697" s="1">
        <v>1</v>
      </c>
      <c r="X2697" s="1">
        <v>0</v>
      </c>
      <c r="Y2697" s="1">
        <v>0</v>
      </c>
      <c r="Z2697" s="1">
        <v>0</v>
      </c>
      <c r="AA2697" s="1" t="s">
        <v>109</v>
      </c>
      <c r="AB2697" s="1" t="s">
        <v>109</v>
      </c>
      <c r="AC2697" s="1">
        <v>4</v>
      </c>
      <c r="AD2697" s="1" t="s">
        <v>109</v>
      </c>
      <c r="AE2697" s="1" t="s">
        <v>109</v>
      </c>
      <c r="AF2697" s="1" t="s">
        <v>109</v>
      </c>
      <c r="AG2697" s="1">
        <v>4</v>
      </c>
      <c r="AH2697" s="1">
        <v>4</v>
      </c>
      <c r="AI2697" s="1" t="s">
        <v>109</v>
      </c>
      <c r="AJ2697" s="1" t="s">
        <v>109</v>
      </c>
      <c r="AK2697" s="1" t="s">
        <v>109</v>
      </c>
      <c r="AL2697" s="1">
        <v>4</v>
      </c>
      <c r="AM2697" s="1" t="s">
        <v>109</v>
      </c>
      <c r="AN2697" s="1" t="s">
        <v>109</v>
      </c>
      <c r="AO2697" s="1" t="s">
        <v>109</v>
      </c>
      <c r="AP2697" s="1"/>
      <c r="AQ2697" s="1">
        <v>4</v>
      </c>
      <c r="AR2697" s="1"/>
      <c r="AS2697" s="1"/>
      <c r="AT2697" s="1">
        <v>0</v>
      </c>
      <c r="AU2697" s="1">
        <v>0</v>
      </c>
      <c r="AV2697" s="1">
        <v>0</v>
      </c>
      <c r="AW2697" s="1">
        <v>0</v>
      </c>
      <c r="AX2697" s="1">
        <v>0</v>
      </c>
      <c r="AY2697" s="1">
        <v>0</v>
      </c>
      <c r="AZ2697" s="1">
        <v>0</v>
      </c>
      <c r="BA2697" s="1">
        <v>0</v>
      </c>
      <c r="BB2697" s="1">
        <v>0</v>
      </c>
      <c r="BC2697" s="1">
        <v>0</v>
      </c>
      <c r="BD2697" s="1">
        <v>0</v>
      </c>
      <c r="BE2697" s="1">
        <v>0</v>
      </c>
      <c r="BF2697" s="1">
        <v>0</v>
      </c>
      <c r="BG2697" s="1">
        <v>0</v>
      </c>
      <c r="BH2697" s="1">
        <v>0</v>
      </c>
      <c r="BI2697" s="1">
        <v>0</v>
      </c>
      <c r="BJ2697" s="1">
        <v>0</v>
      </c>
      <c r="BK2697" s="1">
        <v>0</v>
      </c>
      <c r="BL2697" s="1">
        <v>0</v>
      </c>
      <c r="BM2697" s="1">
        <v>0</v>
      </c>
      <c r="BN2697" s="1">
        <v>0</v>
      </c>
      <c r="BO2697" s="1">
        <v>0</v>
      </c>
      <c r="BP2697" s="1">
        <v>0</v>
      </c>
      <c r="BQ2697" s="1">
        <v>0</v>
      </c>
      <c r="BR2697" s="1">
        <v>0</v>
      </c>
      <c r="BS2697" s="1" t="s">
        <v>109</v>
      </c>
      <c r="BT2697" s="1">
        <v>3797</v>
      </c>
      <c r="BU2697" s="1" t="s">
        <v>109</v>
      </c>
      <c r="BV2697" s="1"/>
      <c r="BW2697" s="1"/>
      <c r="BX2697" s="1"/>
      <c r="BY2697" s="1"/>
      <c r="BZ2697" s="1">
        <v>0</v>
      </c>
      <c r="CA2697" s="1" t="s">
        <v>109</v>
      </c>
      <c r="CB2697" s="1" t="s">
        <v>109</v>
      </c>
      <c r="CC2697" s="1">
        <v>5</v>
      </c>
      <c r="CD2697" s="1">
        <v>4</v>
      </c>
      <c r="CE2697" s="1" t="s">
        <v>109</v>
      </c>
      <c r="CF2697" s="1" t="s">
        <v>109</v>
      </c>
      <c r="CG2697" s="1" t="s">
        <v>109</v>
      </c>
      <c r="CH2697" s="1" t="s">
        <v>109</v>
      </c>
      <c r="CI2697" s="1" t="s">
        <v>109</v>
      </c>
      <c r="CJ2697" s="1" t="s">
        <v>109</v>
      </c>
      <c r="CK2697" s="1"/>
      <c r="CL2697" s="1">
        <v>0</v>
      </c>
      <c r="CM2697" s="1">
        <v>0</v>
      </c>
      <c r="CN2697" s="1">
        <v>0</v>
      </c>
    </row>
    <row r="2698" spans="1:92" ht="14.25" customHeight="1" x14ac:dyDescent="0.15">
      <c r="A2698" s="1" t="s">
        <v>19097</v>
      </c>
      <c r="B2698" s="1" t="s">
        <v>156</v>
      </c>
      <c r="C2698" s="1" t="s">
        <v>157</v>
      </c>
      <c r="D2698" s="1" t="s">
        <v>14211</v>
      </c>
      <c r="E2698" s="1" t="s">
        <v>19098</v>
      </c>
      <c r="F2698" s="1" t="s">
        <v>98</v>
      </c>
      <c r="G2698" s="1" t="s">
        <v>19099</v>
      </c>
      <c r="H2698" s="1">
        <v>0</v>
      </c>
      <c r="I2698" s="1" t="s">
        <v>142</v>
      </c>
      <c r="J2698" s="1"/>
      <c r="K2698" s="1"/>
      <c r="L2698" s="1" t="s">
        <v>1391</v>
      </c>
      <c r="M2698" s="1" t="s">
        <v>289</v>
      </c>
      <c r="N2698" s="1">
        <v>0</v>
      </c>
      <c r="O2698" s="1">
        <v>0</v>
      </c>
      <c r="P2698" s="1" t="s">
        <v>301</v>
      </c>
      <c r="Q2698" s="1" t="s">
        <v>268</v>
      </c>
      <c r="R2698" s="1" t="s">
        <v>19100</v>
      </c>
      <c r="S2698" s="1" t="s">
        <v>19101</v>
      </c>
      <c r="T2698" s="1" t="s">
        <v>19067</v>
      </c>
      <c r="U2698" s="1" t="s">
        <v>19102</v>
      </c>
      <c r="V2698" s="1">
        <v>1</v>
      </c>
      <c r="W2698" s="1">
        <v>1</v>
      </c>
      <c r="X2698" s="1">
        <v>1</v>
      </c>
      <c r="Y2698" s="1">
        <v>0</v>
      </c>
      <c r="Z2698" s="1">
        <v>0</v>
      </c>
      <c r="AA2698" s="1">
        <v>5</v>
      </c>
      <c r="AB2698" s="1">
        <v>5</v>
      </c>
      <c r="AC2698" s="1" t="s">
        <v>109</v>
      </c>
      <c r="AD2698" s="1" t="s">
        <v>109</v>
      </c>
      <c r="AE2698" s="1" t="s">
        <v>109</v>
      </c>
      <c r="AF2698" s="1">
        <v>5</v>
      </c>
      <c r="AG2698" s="1" t="s">
        <v>109</v>
      </c>
      <c r="AH2698" s="1" t="s">
        <v>109</v>
      </c>
      <c r="AI2698" s="1" t="s">
        <v>109</v>
      </c>
      <c r="AJ2698" s="1">
        <v>5</v>
      </c>
      <c r="AK2698" s="1" t="s">
        <v>109</v>
      </c>
      <c r="AL2698" s="1" t="s">
        <v>109</v>
      </c>
      <c r="AM2698" s="1" t="s">
        <v>109</v>
      </c>
      <c r="AN2698" s="1" t="s">
        <v>109</v>
      </c>
      <c r="AO2698" s="1" t="s">
        <v>109</v>
      </c>
      <c r="AP2698" s="1"/>
      <c r="AQ2698" s="1">
        <v>5</v>
      </c>
      <c r="AR2698" s="1"/>
      <c r="AS2698" s="1"/>
      <c r="AT2698" s="1">
        <v>0</v>
      </c>
      <c r="AU2698" s="1">
        <v>0</v>
      </c>
      <c r="AV2698" s="1">
        <v>0</v>
      </c>
      <c r="AW2698" s="1">
        <v>0</v>
      </c>
      <c r="AX2698" s="1">
        <v>1</v>
      </c>
      <c r="AY2698" s="1">
        <v>0</v>
      </c>
      <c r="AZ2698" s="1">
        <v>0</v>
      </c>
      <c r="BA2698" s="1">
        <v>0</v>
      </c>
      <c r="BB2698" s="1">
        <v>0</v>
      </c>
      <c r="BC2698" s="1">
        <v>0</v>
      </c>
      <c r="BD2698" s="1">
        <v>0</v>
      </c>
      <c r="BE2698" s="1">
        <v>0</v>
      </c>
      <c r="BF2698" s="1">
        <v>0</v>
      </c>
      <c r="BG2698" s="1">
        <v>0</v>
      </c>
      <c r="BH2698" s="1">
        <v>0</v>
      </c>
      <c r="BI2698" s="1">
        <v>0</v>
      </c>
      <c r="BJ2698" s="1">
        <v>0</v>
      </c>
      <c r="BK2698" s="1">
        <v>0</v>
      </c>
      <c r="BL2698" s="1">
        <v>0</v>
      </c>
      <c r="BM2698" s="1">
        <v>1</v>
      </c>
      <c r="BN2698" s="1">
        <v>0</v>
      </c>
      <c r="BO2698" s="1">
        <v>0</v>
      </c>
      <c r="BP2698" s="1">
        <v>0</v>
      </c>
      <c r="BQ2698" s="1">
        <v>0</v>
      </c>
      <c r="BR2698" s="1">
        <v>0</v>
      </c>
      <c r="BS2698" s="1" t="s">
        <v>109</v>
      </c>
      <c r="BT2698" s="1">
        <v>3798</v>
      </c>
      <c r="BU2698" s="1" t="s">
        <v>109</v>
      </c>
      <c r="BV2698" s="1"/>
      <c r="BW2698" s="1"/>
      <c r="BX2698" s="1"/>
      <c r="BY2698" s="1"/>
      <c r="BZ2698" s="1">
        <v>0</v>
      </c>
      <c r="CA2698" s="1" t="s">
        <v>109</v>
      </c>
      <c r="CB2698" s="1">
        <v>5</v>
      </c>
      <c r="CC2698" s="1">
        <v>5</v>
      </c>
      <c r="CD2698" s="1" t="s">
        <v>109</v>
      </c>
      <c r="CE2698" s="1">
        <v>5</v>
      </c>
      <c r="CF2698" s="1" t="s">
        <v>109</v>
      </c>
      <c r="CG2698" s="1" t="s">
        <v>109</v>
      </c>
      <c r="CH2698" s="1" t="s">
        <v>109</v>
      </c>
      <c r="CI2698" s="1" t="s">
        <v>109</v>
      </c>
      <c r="CJ2698" s="1" t="s">
        <v>109</v>
      </c>
      <c r="CK2698" s="1"/>
      <c r="CL2698" s="1">
        <v>0</v>
      </c>
      <c r="CM2698" s="1">
        <v>0</v>
      </c>
      <c r="CN2698" s="1">
        <v>0</v>
      </c>
    </row>
    <row r="2699" spans="1:92" ht="14.25" customHeight="1" x14ac:dyDescent="0.15">
      <c r="A2699" s="1" t="s">
        <v>19103</v>
      </c>
      <c r="B2699" s="1" t="s">
        <v>254</v>
      </c>
      <c r="C2699" s="1"/>
      <c r="D2699" s="1"/>
      <c r="E2699" s="1" t="s">
        <v>19104</v>
      </c>
      <c r="F2699" s="1" t="s">
        <v>98</v>
      </c>
      <c r="G2699" s="1" t="s">
        <v>141</v>
      </c>
      <c r="H2699" s="1">
        <v>0</v>
      </c>
      <c r="I2699" s="1" t="s">
        <v>235</v>
      </c>
      <c r="J2699" s="1"/>
      <c r="K2699" s="1" t="s">
        <v>19105</v>
      </c>
      <c r="L2699" s="1" t="s">
        <v>236</v>
      </c>
      <c r="M2699" s="1"/>
      <c r="N2699" s="1">
        <v>0</v>
      </c>
      <c r="O2699" s="1">
        <v>0</v>
      </c>
      <c r="P2699" s="1"/>
      <c r="Q2699" s="1"/>
      <c r="R2699" s="1" t="s">
        <v>19106</v>
      </c>
      <c r="S2699" s="1" t="s">
        <v>19107</v>
      </c>
      <c r="T2699" s="1" t="s">
        <v>19108</v>
      </c>
      <c r="U2699" s="1" t="s">
        <v>19109</v>
      </c>
      <c r="V2699" s="1">
        <v>1</v>
      </c>
      <c r="W2699" s="1">
        <v>1</v>
      </c>
      <c r="X2699" s="1">
        <v>0</v>
      </c>
      <c r="Y2699" s="1">
        <v>0</v>
      </c>
      <c r="Z2699" s="1">
        <v>0</v>
      </c>
      <c r="AA2699" s="1">
        <v>2</v>
      </c>
      <c r="AB2699" s="1">
        <v>2</v>
      </c>
      <c r="AC2699" s="1">
        <v>2</v>
      </c>
      <c r="AD2699" s="1" t="s">
        <v>109</v>
      </c>
      <c r="AE2699" s="1" t="s">
        <v>109</v>
      </c>
      <c r="AF2699" s="1">
        <v>2</v>
      </c>
      <c r="AG2699" s="1">
        <v>2</v>
      </c>
      <c r="AH2699" s="1">
        <v>2</v>
      </c>
      <c r="AI2699" s="1" t="s">
        <v>109</v>
      </c>
      <c r="AJ2699" s="1">
        <v>2</v>
      </c>
      <c r="AK2699" s="1">
        <v>2</v>
      </c>
      <c r="AL2699" s="1">
        <v>2</v>
      </c>
      <c r="AM2699" s="1" t="s">
        <v>109</v>
      </c>
      <c r="AN2699" s="1" t="s">
        <v>109</v>
      </c>
      <c r="AO2699" s="1" t="s">
        <v>109</v>
      </c>
      <c r="AP2699" s="1"/>
      <c r="AQ2699" s="1">
        <v>2</v>
      </c>
      <c r="AR2699" s="1"/>
      <c r="AS2699" s="1"/>
      <c r="AT2699" s="1">
        <v>0</v>
      </c>
      <c r="AU2699" s="1">
        <v>0</v>
      </c>
      <c r="AV2699" s="1">
        <v>0</v>
      </c>
      <c r="AW2699" s="1">
        <v>0</v>
      </c>
      <c r="AX2699" s="1">
        <v>0</v>
      </c>
      <c r="AY2699" s="1">
        <v>0</v>
      </c>
      <c r="AZ2699" s="1">
        <v>0</v>
      </c>
      <c r="BA2699" s="1">
        <v>0</v>
      </c>
      <c r="BB2699" s="1">
        <v>0</v>
      </c>
      <c r="BC2699" s="1">
        <v>0</v>
      </c>
      <c r="BD2699" s="1">
        <v>0</v>
      </c>
      <c r="BE2699" s="1">
        <v>0</v>
      </c>
      <c r="BF2699" s="1">
        <v>0</v>
      </c>
      <c r="BG2699" s="1">
        <v>0</v>
      </c>
      <c r="BH2699" s="1">
        <v>0</v>
      </c>
      <c r="BI2699" s="1">
        <v>0</v>
      </c>
      <c r="BJ2699" s="1">
        <v>0</v>
      </c>
      <c r="BK2699" s="1">
        <v>0</v>
      </c>
      <c r="BL2699" s="1">
        <v>0</v>
      </c>
      <c r="BM2699" s="1">
        <v>0</v>
      </c>
      <c r="BN2699" s="1">
        <v>0</v>
      </c>
      <c r="BO2699" s="1">
        <v>0</v>
      </c>
      <c r="BP2699" s="1">
        <v>0</v>
      </c>
      <c r="BQ2699" s="1">
        <v>0</v>
      </c>
      <c r="BR2699" s="1">
        <v>0</v>
      </c>
      <c r="BS2699" s="1" t="s">
        <v>109</v>
      </c>
      <c r="BT2699" s="1">
        <v>4792</v>
      </c>
      <c r="BU2699" s="1" t="s">
        <v>109</v>
      </c>
      <c r="BV2699" s="1"/>
      <c r="BW2699" s="1"/>
      <c r="BX2699" s="1"/>
      <c r="BY2699" s="1"/>
      <c r="BZ2699" s="1">
        <v>0</v>
      </c>
      <c r="CA2699" s="1" t="s">
        <v>109</v>
      </c>
      <c r="CB2699" s="1" t="s">
        <v>109</v>
      </c>
      <c r="CC2699" s="1">
        <v>2</v>
      </c>
      <c r="CD2699" s="1">
        <v>2</v>
      </c>
      <c r="CE2699" s="1">
        <v>2</v>
      </c>
      <c r="CF2699" s="1">
        <v>2</v>
      </c>
      <c r="CG2699" s="1">
        <v>2</v>
      </c>
      <c r="CH2699" s="1" t="s">
        <v>109</v>
      </c>
      <c r="CI2699" s="1" t="s">
        <v>109</v>
      </c>
      <c r="CJ2699" s="1" t="s">
        <v>109</v>
      </c>
      <c r="CK2699" s="1"/>
      <c r="CL2699" s="1">
        <v>0</v>
      </c>
      <c r="CM2699" s="1">
        <v>0</v>
      </c>
      <c r="CN2699" s="1">
        <v>0</v>
      </c>
    </row>
    <row r="2700" spans="1:92" ht="14.25" customHeight="1" x14ac:dyDescent="0.15">
      <c r="A2700" s="1" t="s">
        <v>19110</v>
      </c>
      <c r="B2700" s="1" t="s">
        <v>254</v>
      </c>
      <c r="C2700" s="1"/>
      <c r="D2700" s="1"/>
      <c r="E2700" s="1" t="s">
        <v>19111</v>
      </c>
      <c r="F2700" s="1" t="s">
        <v>277</v>
      </c>
      <c r="G2700" s="1" t="s">
        <v>141</v>
      </c>
      <c r="H2700" s="1">
        <v>0</v>
      </c>
      <c r="I2700" s="1" t="s">
        <v>142</v>
      </c>
      <c r="J2700" s="1" t="s">
        <v>18930</v>
      </c>
      <c r="K2700" s="1"/>
      <c r="L2700" s="1"/>
      <c r="M2700" s="1" t="s">
        <v>815</v>
      </c>
      <c r="N2700" s="1">
        <v>1</v>
      </c>
      <c r="O2700" s="1">
        <v>0</v>
      </c>
      <c r="P2700" s="1" t="s">
        <v>103</v>
      </c>
      <c r="Q2700" s="1" t="s">
        <v>268</v>
      </c>
      <c r="R2700" s="1" t="s">
        <v>19112</v>
      </c>
      <c r="S2700" s="1" t="s">
        <v>19113</v>
      </c>
      <c r="T2700" s="1" t="s">
        <v>19108</v>
      </c>
      <c r="U2700" s="1" t="s">
        <v>19114</v>
      </c>
      <c r="V2700" s="1">
        <v>1</v>
      </c>
      <c r="W2700" s="1">
        <v>1</v>
      </c>
      <c r="X2700" s="1">
        <v>0</v>
      </c>
      <c r="Y2700" s="1">
        <v>0</v>
      </c>
      <c r="Z2700" s="1">
        <v>0</v>
      </c>
      <c r="AA2700" s="1" t="s">
        <v>109</v>
      </c>
      <c r="AB2700" s="1" t="s">
        <v>109</v>
      </c>
      <c r="AC2700" s="1" t="s">
        <v>109</v>
      </c>
      <c r="AD2700" s="1" t="s">
        <v>109</v>
      </c>
      <c r="AE2700" s="1" t="s">
        <v>109</v>
      </c>
      <c r="AF2700" s="1" t="s">
        <v>109</v>
      </c>
      <c r="AG2700" s="1" t="s">
        <v>109</v>
      </c>
      <c r="AH2700" s="1" t="s">
        <v>109</v>
      </c>
      <c r="AI2700" s="1" t="s">
        <v>109</v>
      </c>
      <c r="AJ2700" s="1" t="s">
        <v>109</v>
      </c>
      <c r="AK2700" s="1" t="s">
        <v>109</v>
      </c>
      <c r="AL2700" s="1" t="s">
        <v>109</v>
      </c>
      <c r="AM2700" s="1" t="s">
        <v>109</v>
      </c>
      <c r="AN2700" s="1" t="s">
        <v>109</v>
      </c>
      <c r="AO2700" s="1" t="s">
        <v>109</v>
      </c>
      <c r="AP2700" s="1"/>
      <c r="AQ2700" s="1" t="s">
        <v>109</v>
      </c>
      <c r="AR2700" s="1"/>
      <c r="AS2700" s="1"/>
      <c r="AT2700" s="1">
        <v>0</v>
      </c>
      <c r="AU2700" s="1">
        <v>0</v>
      </c>
      <c r="AV2700" s="1">
        <v>0</v>
      </c>
      <c r="AW2700" s="1">
        <v>0</v>
      </c>
      <c r="AX2700" s="1">
        <v>0</v>
      </c>
      <c r="AY2700" s="1">
        <v>0</v>
      </c>
      <c r="AZ2700" s="1">
        <v>0</v>
      </c>
      <c r="BA2700" s="1">
        <v>0</v>
      </c>
      <c r="BB2700" s="1">
        <v>0</v>
      </c>
      <c r="BC2700" s="1">
        <v>0</v>
      </c>
      <c r="BD2700" s="1">
        <v>0</v>
      </c>
      <c r="BE2700" s="1">
        <v>0</v>
      </c>
      <c r="BF2700" s="1">
        <v>0</v>
      </c>
      <c r="BG2700" s="1">
        <v>0</v>
      </c>
      <c r="BH2700" s="1">
        <v>0</v>
      </c>
      <c r="BI2700" s="1">
        <v>0</v>
      </c>
      <c r="BJ2700" s="1">
        <v>0</v>
      </c>
      <c r="BK2700" s="1">
        <v>0</v>
      </c>
      <c r="BL2700" s="1">
        <v>0</v>
      </c>
      <c r="BM2700" s="1">
        <v>0</v>
      </c>
      <c r="BN2700" s="1">
        <v>0</v>
      </c>
      <c r="BO2700" s="1">
        <v>0</v>
      </c>
      <c r="BP2700" s="1">
        <v>0</v>
      </c>
      <c r="BQ2700" s="1">
        <v>0</v>
      </c>
      <c r="BR2700" s="1">
        <v>0</v>
      </c>
      <c r="BS2700" s="1" t="s">
        <v>109</v>
      </c>
      <c r="BT2700" s="1">
        <v>4793</v>
      </c>
      <c r="BU2700" s="1" t="s">
        <v>109</v>
      </c>
      <c r="BV2700" s="1"/>
      <c r="BW2700" s="1"/>
      <c r="BX2700" s="1"/>
      <c r="BY2700" s="1"/>
      <c r="BZ2700" s="1">
        <v>0</v>
      </c>
      <c r="CA2700" s="1" t="s">
        <v>109</v>
      </c>
      <c r="CB2700" s="1" t="s">
        <v>109</v>
      </c>
      <c r="CC2700" s="1">
        <v>4</v>
      </c>
      <c r="CD2700" s="1">
        <v>3</v>
      </c>
      <c r="CE2700" s="1">
        <v>4</v>
      </c>
      <c r="CF2700" s="1">
        <v>4</v>
      </c>
      <c r="CG2700" s="1">
        <v>4</v>
      </c>
      <c r="CH2700" s="1" t="s">
        <v>109</v>
      </c>
      <c r="CI2700" s="1" t="s">
        <v>109</v>
      </c>
      <c r="CJ2700" s="1" t="s">
        <v>109</v>
      </c>
      <c r="CK2700" s="1"/>
      <c r="CL2700" s="1">
        <v>0</v>
      </c>
      <c r="CM2700" s="1">
        <v>0</v>
      </c>
      <c r="CN2700" s="1">
        <v>0</v>
      </c>
    </row>
    <row r="2701" spans="1:92" ht="14.25" customHeight="1" x14ac:dyDescent="0.15">
      <c r="A2701" s="1" t="s">
        <v>19115</v>
      </c>
      <c r="B2701" s="1" t="s">
        <v>674</v>
      </c>
      <c r="C2701" s="1" t="s">
        <v>675</v>
      </c>
      <c r="D2701" s="1"/>
      <c r="E2701" s="1" t="s">
        <v>19116</v>
      </c>
      <c r="F2701" s="1" t="s">
        <v>277</v>
      </c>
      <c r="G2701" s="1" t="s">
        <v>141</v>
      </c>
      <c r="H2701" s="1">
        <v>0</v>
      </c>
      <c r="I2701" s="1" t="s">
        <v>142</v>
      </c>
      <c r="J2701" s="1"/>
      <c r="K2701" s="1"/>
      <c r="L2701" s="1" t="s">
        <v>19117</v>
      </c>
      <c r="M2701" s="1" t="s">
        <v>815</v>
      </c>
      <c r="N2701" s="1">
        <v>1</v>
      </c>
      <c r="O2701" s="1">
        <v>0</v>
      </c>
      <c r="P2701" s="1" t="s">
        <v>19118</v>
      </c>
      <c r="Q2701" s="1" t="s">
        <v>104</v>
      </c>
      <c r="R2701" s="1" t="s">
        <v>19119</v>
      </c>
      <c r="S2701" s="1" t="s">
        <v>19120</v>
      </c>
      <c r="T2701" s="1" t="s">
        <v>19108</v>
      </c>
      <c r="U2701" s="1" t="s">
        <v>19121</v>
      </c>
      <c r="V2701" s="1">
        <v>1</v>
      </c>
      <c r="W2701" s="1">
        <v>1</v>
      </c>
      <c r="X2701" s="1">
        <v>0</v>
      </c>
      <c r="Y2701" s="1">
        <v>0</v>
      </c>
      <c r="Z2701" s="1">
        <v>0</v>
      </c>
      <c r="AA2701" s="1">
        <v>3</v>
      </c>
      <c r="AB2701" s="1">
        <v>3</v>
      </c>
      <c r="AC2701" s="1" t="s">
        <v>109</v>
      </c>
      <c r="AD2701" s="1" t="s">
        <v>109</v>
      </c>
      <c r="AE2701" s="1" t="s">
        <v>109</v>
      </c>
      <c r="AF2701" s="1">
        <v>3</v>
      </c>
      <c r="AG2701" s="1" t="s">
        <v>109</v>
      </c>
      <c r="AH2701" s="1" t="s">
        <v>109</v>
      </c>
      <c r="AI2701" s="1" t="s">
        <v>109</v>
      </c>
      <c r="AJ2701" s="1">
        <v>3</v>
      </c>
      <c r="AK2701" s="1" t="s">
        <v>109</v>
      </c>
      <c r="AL2701" s="1" t="s">
        <v>109</v>
      </c>
      <c r="AM2701" s="1" t="s">
        <v>109</v>
      </c>
      <c r="AN2701" s="1" t="s">
        <v>109</v>
      </c>
      <c r="AO2701" s="1" t="s">
        <v>109</v>
      </c>
      <c r="AP2701" s="1"/>
      <c r="AQ2701" s="1">
        <v>3</v>
      </c>
      <c r="AR2701" s="1"/>
      <c r="AS2701" s="1"/>
      <c r="AT2701" s="1">
        <v>0</v>
      </c>
      <c r="AU2701" s="1">
        <v>0</v>
      </c>
      <c r="AV2701" s="1">
        <v>0</v>
      </c>
      <c r="AW2701" s="1">
        <v>0</v>
      </c>
      <c r="AX2701" s="1">
        <v>0</v>
      </c>
      <c r="AY2701" s="1">
        <v>0</v>
      </c>
      <c r="AZ2701" s="1">
        <v>0</v>
      </c>
      <c r="BA2701" s="1">
        <v>0</v>
      </c>
      <c r="BB2701" s="1">
        <v>0</v>
      </c>
      <c r="BC2701" s="1">
        <v>0</v>
      </c>
      <c r="BD2701" s="1">
        <v>0</v>
      </c>
      <c r="BE2701" s="1">
        <v>0</v>
      </c>
      <c r="BF2701" s="1">
        <v>0</v>
      </c>
      <c r="BG2701" s="1">
        <v>0</v>
      </c>
      <c r="BH2701" s="1">
        <v>0</v>
      </c>
      <c r="BI2701" s="1">
        <v>0</v>
      </c>
      <c r="BJ2701" s="1">
        <v>0</v>
      </c>
      <c r="BK2701" s="1">
        <v>0</v>
      </c>
      <c r="BL2701" s="1">
        <v>0</v>
      </c>
      <c r="BM2701" s="1">
        <v>0</v>
      </c>
      <c r="BN2701" s="1">
        <v>0</v>
      </c>
      <c r="BO2701" s="1">
        <v>0</v>
      </c>
      <c r="BP2701" s="1">
        <v>0</v>
      </c>
      <c r="BQ2701" s="1">
        <v>0</v>
      </c>
      <c r="BR2701" s="1">
        <v>0</v>
      </c>
      <c r="BS2701" s="1" t="s">
        <v>109</v>
      </c>
      <c r="BT2701" s="1">
        <v>4794</v>
      </c>
      <c r="BU2701" s="1" t="s">
        <v>109</v>
      </c>
      <c r="BV2701" s="1"/>
      <c r="BW2701" s="1"/>
      <c r="BX2701" s="1"/>
      <c r="BY2701" s="1"/>
      <c r="BZ2701" s="1">
        <v>0</v>
      </c>
      <c r="CA2701" s="1" t="s">
        <v>109</v>
      </c>
      <c r="CB2701" s="1">
        <v>3</v>
      </c>
      <c r="CC2701" s="1">
        <v>3</v>
      </c>
      <c r="CD2701" s="1">
        <v>3</v>
      </c>
      <c r="CE2701" s="1">
        <v>3</v>
      </c>
      <c r="CF2701" s="1" t="s">
        <v>109</v>
      </c>
      <c r="CG2701" s="1" t="s">
        <v>109</v>
      </c>
      <c r="CH2701" s="1" t="s">
        <v>109</v>
      </c>
      <c r="CI2701" s="1" t="s">
        <v>109</v>
      </c>
      <c r="CJ2701" s="1" t="s">
        <v>109</v>
      </c>
      <c r="CK2701" s="1"/>
      <c r="CL2701" s="1">
        <v>0</v>
      </c>
      <c r="CM2701" s="1">
        <v>0</v>
      </c>
      <c r="CN2701" s="1">
        <v>0</v>
      </c>
    </row>
    <row r="2702" spans="1:92" ht="14.25" customHeight="1" x14ac:dyDescent="0.15">
      <c r="A2702" s="1" t="s">
        <v>19122</v>
      </c>
      <c r="B2702" s="1" t="s">
        <v>254</v>
      </c>
      <c r="C2702" s="1"/>
      <c r="D2702" s="1"/>
      <c r="E2702" s="1" t="s">
        <v>19123</v>
      </c>
      <c r="F2702" s="1" t="s">
        <v>98</v>
      </c>
      <c r="G2702" s="1" t="s">
        <v>141</v>
      </c>
      <c r="H2702" s="1">
        <v>0</v>
      </c>
      <c r="I2702" s="1" t="s">
        <v>235</v>
      </c>
      <c r="J2702" s="1"/>
      <c r="K2702" s="1"/>
      <c r="L2702" s="1" t="s">
        <v>236</v>
      </c>
      <c r="M2702" s="1" t="s">
        <v>815</v>
      </c>
      <c r="N2702" s="1">
        <v>1</v>
      </c>
      <c r="O2702" s="1">
        <v>0</v>
      </c>
      <c r="P2702" s="1"/>
      <c r="Q2702" s="1"/>
      <c r="R2702" s="1" t="s">
        <v>19124</v>
      </c>
      <c r="S2702" s="1" t="s">
        <v>19125</v>
      </c>
      <c r="T2702" s="1" t="s">
        <v>19108</v>
      </c>
      <c r="U2702" s="1" t="s">
        <v>19126</v>
      </c>
      <c r="V2702" s="1">
        <v>1</v>
      </c>
      <c r="W2702" s="1">
        <v>1</v>
      </c>
      <c r="X2702" s="1">
        <v>0</v>
      </c>
      <c r="Y2702" s="1">
        <v>0</v>
      </c>
      <c r="Z2702" s="1">
        <v>0</v>
      </c>
      <c r="AA2702" s="1">
        <v>1</v>
      </c>
      <c r="AB2702" s="1">
        <v>1</v>
      </c>
      <c r="AC2702" s="1">
        <v>1</v>
      </c>
      <c r="AD2702" s="1" t="s">
        <v>109</v>
      </c>
      <c r="AE2702" s="1" t="s">
        <v>109</v>
      </c>
      <c r="AF2702" s="1">
        <v>1</v>
      </c>
      <c r="AG2702" s="1" t="s">
        <v>109</v>
      </c>
      <c r="AH2702" s="1">
        <v>1</v>
      </c>
      <c r="AI2702" s="1" t="s">
        <v>109</v>
      </c>
      <c r="AJ2702" s="1">
        <v>1</v>
      </c>
      <c r="AK2702" s="1">
        <v>1</v>
      </c>
      <c r="AL2702" s="1">
        <v>1</v>
      </c>
      <c r="AM2702" s="1" t="s">
        <v>109</v>
      </c>
      <c r="AN2702" s="1" t="s">
        <v>109</v>
      </c>
      <c r="AO2702" s="1" t="s">
        <v>109</v>
      </c>
      <c r="AP2702" s="1"/>
      <c r="AQ2702" s="1">
        <v>1</v>
      </c>
      <c r="AR2702" s="1"/>
      <c r="AS2702" s="1"/>
      <c r="AT2702" s="1">
        <v>0</v>
      </c>
      <c r="AU2702" s="1">
        <v>0</v>
      </c>
      <c r="AV2702" s="1">
        <v>0</v>
      </c>
      <c r="AW2702" s="1">
        <v>0</v>
      </c>
      <c r="AX2702" s="1">
        <v>0</v>
      </c>
      <c r="AY2702" s="1">
        <v>0</v>
      </c>
      <c r="AZ2702" s="1">
        <v>0</v>
      </c>
      <c r="BA2702" s="1">
        <v>0</v>
      </c>
      <c r="BB2702" s="1">
        <v>0</v>
      </c>
      <c r="BC2702" s="1">
        <v>0</v>
      </c>
      <c r="BD2702" s="1">
        <v>0</v>
      </c>
      <c r="BE2702" s="1">
        <v>0</v>
      </c>
      <c r="BF2702" s="1">
        <v>0</v>
      </c>
      <c r="BG2702" s="1">
        <v>0</v>
      </c>
      <c r="BH2702" s="1">
        <v>0</v>
      </c>
      <c r="BI2702" s="1">
        <v>0</v>
      </c>
      <c r="BJ2702" s="1">
        <v>0</v>
      </c>
      <c r="BK2702" s="1">
        <v>0</v>
      </c>
      <c r="BL2702" s="1">
        <v>0</v>
      </c>
      <c r="BM2702" s="1">
        <v>0</v>
      </c>
      <c r="BN2702" s="1">
        <v>0</v>
      </c>
      <c r="BO2702" s="1">
        <v>0</v>
      </c>
      <c r="BP2702" s="1">
        <v>0</v>
      </c>
      <c r="BQ2702" s="1">
        <v>0</v>
      </c>
      <c r="BR2702" s="1">
        <v>0</v>
      </c>
      <c r="BS2702" s="1" t="s">
        <v>109</v>
      </c>
      <c r="BT2702" s="1">
        <v>4795</v>
      </c>
      <c r="BU2702" s="1" t="s">
        <v>109</v>
      </c>
      <c r="BV2702" s="1"/>
      <c r="BW2702" s="1"/>
      <c r="BX2702" s="1"/>
      <c r="BY2702" s="1"/>
      <c r="BZ2702" s="1">
        <v>0</v>
      </c>
      <c r="CA2702" s="1" t="s">
        <v>109</v>
      </c>
      <c r="CB2702" s="1" t="s">
        <v>109</v>
      </c>
      <c r="CC2702" s="1">
        <v>1</v>
      </c>
      <c r="CD2702" s="1">
        <v>1</v>
      </c>
      <c r="CE2702" s="1">
        <v>1</v>
      </c>
      <c r="CF2702" s="1">
        <v>1</v>
      </c>
      <c r="CG2702" s="1">
        <v>1</v>
      </c>
      <c r="CH2702" s="1" t="s">
        <v>109</v>
      </c>
      <c r="CI2702" s="1" t="s">
        <v>109</v>
      </c>
      <c r="CJ2702" s="1" t="s">
        <v>109</v>
      </c>
      <c r="CK2702" s="1"/>
      <c r="CL2702" s="1">
        <v>0</v>
      </c>
      <c r="CM2702" s="1">
        <v>0</v>
      </c>
      <c r="CN2702" s="1">
        <v>0</v>
      </c>
    </row>
    <row r="2703" spans="1:92" ht="14.25" customHeight="1" x14ac:dyDescent="0.15">
      <c r="A2703" s="1" t="s">
        <v>19127</v>
      </c>
      <c r="B2703" s="1" t="s">
        <v>189</v>
      </c>
      <c r="C2703" s="1" t="s">
        <v>231</v>
      </c>
      <c r="D2703" s="1"/>
      <c r="E2703" s="1" t="s">
        <v>19128</v>
      </c>
      <c r="F2703" s="1" t="s">
        <v>98</v>
      </c>
      <c r="G2703" s="1" t="s">
        <v>19129</v>
      </c>
      <c r="H2703" s="1">
        <v>0</v>
      </c>
      <c r="I2703" s="1" t="s">
        <v>235</v>
      </c>
      <c r="J2703" s="1"/>
      <c r="K2703" s="1"/>
      <c r="L2703" s="1" t="s">
        <v>236</v>
      </c>
      <c r="M2703" s="1" t="s">
        <v>289</v>
      </c>
      <c r="N2703" s="1">
        <v>0</v>
      </c>
      <c r="O2703" s="1">
        <v>0</v>
      </c>
      <c r="P2703" s="1"/>
      <c r="Q2703" s="1"/>
      <c r="R2703" s="1" t="s">
        <v>19130</v>
      </c>
      <c r="S2703" s="1" t="s">
        <v>19131</v>
      </c>
      <c r="T2703" s="1" t="s">
        <v>19108</v>
      </c>
      <c r="U2703" s="1" t="s">
        <v>19132</v>
      </c>
      <c r="V2703" s="1">
        <v>1</v>
      </c>
      <c r="W2703" s="1">
        <v>1</v>
      </c>
      <c r="X2703" s="1">
        <v>1</v>
      </c>
      <c r="Y2703" s="1">
        <v>0</v>
      </c>
      <c r="Z2703" s="1">
        <v>0</v>
      </c>
      <c r="AA2703" s="1">
        <v>1</v>
      </c>
      <c r="AB2703" s="1">
        <v>1</v>
      </c>
      <c r="AC2703" s="1" t="s">
        <v>109</v>
      </c>
      <c r="AD2703" s="1" t="s">
        <v>109</v>
      </c>
      <c r="AE2703" s="1" t="s">
        <v>109</v>
      </c>
      <c r="AF2703" s="1">
        <v>1</v>
      </c>
      <c r="AG2703" s="1" t="s">
        <v>109</v>
      </c>
      <c r="AH2703" s="1">
        <v>1</v>
      </c>
      <c r="AI2703" s="1" t="s">
        <v>109</v>
      </c>
      <c r="AJ2703" s="1">
        <v>1</v>
      </c>
      <c r="AK2703" s="1">
        <v>1</v>
      </c>
      <c r="AL2703" s="1" t="s">
        <v>109</v>
      </c>
      <c r="AM2703" s="1" t="s">
        <v>109</v>
      </c>
      <c r="AN2703" s="1" t="s">
        <v>109</v>
      </c>
      <c r="AO2703" s="1" t="s">
        <v>109</v>
      </c>
      <c r="AP2703" s="1"/>
      <c r="AQ2703" s="1">
        <v>1</v>
      </c>
      <c r="AR2703" s="1"/>
      <c r="AS2703" s="1"/>
      <c r="AT2703" s="1">
        <v>0</v>
      </c>
      <c r="AU2703" s="1">
        <v>0</v>
      </c>
      <c r="AV2703" s="1">
        <v>0</v>
      </c>
      <c r="AW2703" s="1">
        <v>0</v>
      </c>
      <c r="AX2703" s="1">
        <v>0</v>
      </c>
      <c r="AY2703" s="1">
        <v>0</v>
      </c>
      <c r="AZ2703" s="1">
        <v>0</v>
      </c>
      <c r="BA2703" s="1">
        <v>0</v>
      </c>
      <c r="BB2703" s="1">
        <v>0</v>
      </c>
      <c r="BC2703" s="1">
        <v>0</v>
      </c>
      <c r="BD2703" s="1">
        <v>0</v>
      </c>
      <c r="BE2703" s="1">
        <v>0</v>
      </c>
      <c r="BF2703" s="1">
        <v>0</v>
      </c>
      <c r="BG2703" s="1">
        <v>0</v>
      </c>
      <c r="BH2703" s="1">
        <v>0</v>
      </c>
      <c r="BI2703" s="1">
        <v>0</v>
      </c>
      <c r="BJ2703" s="1">
        <v>0</v>
      </c>
      <c r="BK2703" s="1">
        <v>0</v>
      </c>
      <c r="BL2703" s="1">
        <v>0</v>
      </c>
      <c r="BM2703" s="1">
        <v>0</v>
      </c>
      <c r="BN2703" s="1">
        <v>0</v>
      </c>
      <c r="BO2703" s="1">
        <v>0</v>
      </c>
      <c r="BP2703" s="1">
        <v>0</v>
      </c>
      <c r="BQ2703" s="1">
        <v>0</v>
      </c>
      <c r="BR2703" s="1">
        <v>0</v>
      </c>
      <c r="BS2703" s="1" t="s">
        <v>109</v>
      </c>
      <c r="BT2703" s="1">
        <v>4796</v>
      </c>
      <c r="BU2703" s="1" t="s">
        <v>109</v>
      </c>
      <c r="BV2703" s="1"/>
      <c r="BW2703" s="1"/>
      <c r="BX2703" s="1"/>
      <c r="BY2703" s="1"/>
      <c r="BZ2703" s="1">
        <v>0</v>
      </c>
      <c r="CA2703" s="1" t="s">
        <v>109</v>
      </c>
      <c r="CB2703" s="1" t="s">
        <v>109</v>
      </c>
      <c r="CC2703" s="1" t="s">
        <v>109</v>
      </c>
      <c r="CD2703" s="1" t="s">
        <v>109</v>
      </c>
      <c r="CE2703" s="1">
        <v>1</v>
      </c>
      <c r="CF2703" s="1" t="s">
        <v>109</v>
      </c>
      <c r="CG2703" s="1" t="s">
        <v>109</v>
      </c>
      <c r="CH2703" s="1" t="s">
        <v>109</v>
      </c>
      <c r="CI2703" s="1" t="s">
        <v>109</v>
      </c>
      <c r="CJ2703" s="1" t="s">
        <v>109</v>
      </c>
      <c r="CK2703" s="1"/>
      <c r="CL2703" s="1">
        <v>0</v>
      </c>
      <c r="CM2703" s="1">
        <v>0</v>
      </c>
      <c r="CN2703" s="1">
        <v>0</v>
      </c>
    </row>
    <row r="2704" spans="1:92" ht="14.25" customHeight="1" x14ac:dyDescent="0.15">
      <c r="A2704" s="1" t="s">
        <v>19133</v>
      </c>
      <c r="B2704" s="1" t="s">
        <v>254</v>
      </c>
      <c r="C2704" s="1"/>
      <c r="D2704" s="1"/>
      <c r="E2704" s="1" t="s">
        <v>19134</v>
      </c>
      <c r="F2704" s="1" t="s">
        <v>277</v>
      </c>
      <c r="G2704" s="1" t="s">
        <v>19135</v>
      </c>
      <c r="H2704" s="1">
        <v>1</v>
      </c>
      <c r="I2704" s="1" t="s">
        <v>235</v>
      </c>
      <c r="J2704" s="1"/>
      <c r="K2704" s="1"/>
      <c r="L2704" s="1" t="s">
        <v>236</v>
      </c>
      <c r="M2704" s="1" t="s">
        <v>289</v>
      </c>
      <c r="N2704" s="1">
        <v>0</v>
      </c>
      <c r="O2704" s="1">
        <v>0</v>
      </c>
      <c r="P2704" s="1"/>
      <c r="Q2704" s="1"/>
      <c r="R2704" s="1" t="s">
        <v>19136</v>
      </c>
      <c r="S2704" s="1" t="s">
        <v>19137</v>
      </c>
      <c r="T2704" s="1" t="s">
        <v>19108</v>
      </c>
      <c r="U2704" s="1" t="s">
        <v>19138</v>
      </c>
      <c r="V2704" s="1">
        <v>1</v>
      </c>
      <c r="W2704" s="1">
        <v>1</v>
      </c>
      <c r="X2704" s="1">
        <v>1</v>
      </c>
      <c r="Y2704" s="1">
        <v>0</v>
      </c>
      <c r="Z2704" s="1">
        <v>0</v>
      </c>
      <c r="AA2704" s="1">
        <v>7</v>
      </c>
      <c r="AB2704" s="1">
        <v>7</v>
      </c>
      <c r="AC2704" s="1">
        <v>6</v>
      </c>
      <c r="AD2704" s="1" t="s">
        <v>109</v>
      </c>
      <c r="AE2704" s="1" t="s">
        <v>109</v>
      </c>
      <c r="AF2704" s="1" t="s">
        <v>109</v>
      </c>
      <c r="AG2704" s="1" t="s">
        <v>109</v>
      </c>
      <c r="AH2704" s="1" t="s">
        <v>109</v>
      </c>
      <c r="AI2704" s="1" t="s">
        <v>109</v>
      </c>
      <c r="AJ2704" s="1">
        <v>6</v>
      </c>
      <c r="AK2704" s="1">
        <v>4</v>
      </c>
      <c r="AL2704" s="1">
        <v>6</v>
      </c>
      <c r="AM2704" s="1" t="s">
        <v>109</v>
      </c>
      <c r="AN2704" s="1" t="s">
        <v>109</v>
      </c>
      <c r="AO2704" s="1" t="s">
        <v>109</v>
      </c>
      <c r="AP2704" s="1"/>
      <c r="AQ2704" s="1">
        <v>7</v>
      </c>
      <c r="AR2704" s="1"/>
      <c r="AS2704" s="1"/>
      <c r="AT2704" s="1">
        <v>0</v>
      </c>
      <c r="AU2704" s="1">
        <v>0</v>
      </c>
      <c r="AV2704" s="1">
        <v>0</v>
      </c>
      <c r="AW2704" s="1">
        <v>0</v>
      </c>
      <c r="AX2704" s="1">
        <v>0</v>
      </c>
      <c r="AY2704" s="1">
        <v>0</v>
      </c>
      <c r="AZ2704" s="1">
        <v>0</v>
      </c>
      <c r="BA2704" s="1">
        <v>0</v>
      </c>
      <c r="BB2704" s="1">
        <v>0</v>
      </c>
      <c r="BC2704" s="1">
        <v>0</v>
      </c>
      <c r="BD2704" s="1">
        <v>0</v>
      </c>
      <c r="BE2704" s="1">
        <v>0</v>
      </c>
      <c r="BF2704" s="1">
        <v>0</v>
      </c>
      <c r="BG2704" s="1">
        <v>0</v>
      </c>
      <c r="BH2704" s="1">
        <v>0</v>
      </c>
      <c r="BI2704" s="1">
        <v>0</v>
      </c>
      <c r="BJ2704" s="1">
        <v>0</v>
      </c>
      <c r="BK2704" s="1">
        <v>0</v>
      </c>
      <c r="BL2704" s="1">
        <v>0</v>
      </c>
      <c r="BM2704" s="1">
        <v>0</v>
      </c>
      <c r="BN2704" s="1">
        <v>0</v>
      </c>
      <c r="BO2704" s="1">
        <v>0</v>
      </c>
      <c r="BP2704" s="1">
        <v>0</v>
      </c>
      <c r="BQ2704" s="1">
        <v>0</v>
      </c>
      <c r="BR2704" s="1">
        <v>0</v>
      </c>
      <c r="BS2704" s="1" t="s">
        <v>109</v>
      </c>
      <c r="BT2704" s="1">
        <v>4797</v>
      </c>
      <c r="BU2704" s="1">
        <v>500</v>
      </c>
      <c r="BV2704" s="1"/>
      <c r="BW2704" s="1"/>
      <c r="BX2704" s="1"/>
      <c r="BY2704" s="1"/>
      <c r="BZ2704" s="1">
        <v>0</v>
      </c>
      <c r="CA2704" s="1" t="s">
        <v>109</v>
      </c>
      <c r="CB2704" s="1" t="s">
        <v>109</v>
      </c>
      <c r="CC2704" s="1" t="s">
        <v>109</v>
      </c>
      <c r="CD2704" s="1" t="s">
        <v>109</v>
      </c>
      <c r="CE2704" s="1" t="s">
        <v>109</v>
      </c>
      <c r="CF2704" s="1" t="s">
        <v>109</v>
      </c>
      <c r="CG2704" s="1" t="s">
        <v>109</v>
      </c>
      <c r="CH2704" s="1" t="s">
        <v>109</v>
      </c>
      <c r="CI2704" s="1" t="s">
        <v>109</v>
      </c>
      <c r="CJ2704" s="1" t="s">
        <v>109</v>
      </c>
      <c r="CK2704" s="1"/>
      <c r="CL2704" s="1">
        <v>0</v>
      </c>
      <c r="CM2704" s="1">
        <v>0</v>
      </c>
      <c r="CN2704" s="1">
        <v>0</v>
      </c>
    </row>
    <row r="2705" spans="1:92" ht="14.25" customHeight="1" x14ac:dyDescent="0.15">
      <c r="A2705" s="1" t="s">
        <v>19139</v>
      </c>
      <c r="B2705" s="1" t="s">
        <v>254</v>
      </c>
      <c r="C2705" s="1"/>
      <c r="D2705" s="1"/>
      <c r="E2705" s="1" t="s">
        <v>19140</v>
      </c>
      <c r="F2705" s="1" t="s">
        <v>98</v>
      </c>
      <c r="G2705" s="1" t="s">
        <v>19141</v>
      </c>
      <c r="H2705" s="1">
        <v>0</v>
      </c>
      <c r="I2705" s="1" t="s">
        <v>161</v>
      </c>
      <c r="J2705" s="1"/>
      <c r="K2705" s="1"/>
      <c r="L2705" s="1" t="s">
        <v>506</v>
      </c>
      <c r="M2705" s="1" t="s">
        <v>5642</v>
      </c>
      <c r="N2705" s="1">
        <v>0</v>
      </c>
      <c r="O2705" s="1">
        <v>0</v>
      </c>
      <c r="P2705" s="1" t="s">
        <v>507</v>
      </c>
      <c r="Q2705" s="1" t="s">
        <v>167</v>
      </c>
      <c r="R2705" s="1" t="s">
        <v>19142</v>
      </c>
      <c r="S2705" s="1" t="s">
        <v>19143</v>
      </c>
      <c r="T2705" s="1" t="s">
        <v>19108</v>
      </c>
      <c r="U2705" s="1" t="s">
        <v>19144</v>
      </c>
      <c r="V2705" s="1">
        <v>1</v>
      </c>
      <c r="W2705" s="1">
        <v>1</v>
      </c>
      <c r="X2705" s="1">
        <v>1</v>
      </c>
      <c r="Y2705" s="1">
        <v>0</v>
      </c>
      <c r="Z2705" s="1">
        <v>1</v>
      </c>
      <c r="AA2705" s="1">
        <v>1</v>
      </c>
      <c r="AB2705" s="1">
        <v>1</v>
      </c>
      <c r="AC2705" s="1">
        <v>1</v>
      </c>
      <c r="AD2705" s="1" t="s">
        <v>109</v>
      </c>
      <c r="AE2705" s="1" t="s">
        <v>109</v>
      </c>
      <c r="AF2705" s="1">
        <v>1</v>
      </c>
      <c r="AG2705" s="1" t="s">
        <v>109</v>
      </c>
      <c r="AH2705" s="1">
        <v>1</v>
      </c>
      <c r="AI2705" s="1" t="s">
        <v>109</v>
      </c>
      <c r="AJ2705" s="1">
        <v>1</v>
      </c>
      <c r="AK2705" s="1">
        <v>1</v>
      </c>
      <c r="AL2705" s="1">
        <v>1</v>
      </c>
      <c r="AM2705" s="1" t="s">
        <v>109</v>
      </c>
      <c r="AN2705" s="1" t="s">
        <v>109</v>
      </c>
      <c r="AO2705" s="1" t="s">
        <v>109</v>
      </c>
      <c r="AP2705" s="1"/>
      <c r="AQ2705" s="1">
        <v>1</v>
      </c>
      <c r="AR2705" s="1"/>
      <c r="AS2705" s="1"/>
      <c r="AT2705" s="1">
        <v>0</v>
      </c>
      <c r="AU2705" s="1">
        <v>0</v>
      </c>
      <c r="AV2705" s="1">
        <v>0</v>
      </c>
      <c r="AW2705" s="1">
        <v>0</v>
      </c>
      <c r="AX2705" s="1">
        <v>0</v>
      </c>
      <c r="AY2705" s="1">
        <v>0</v>
      </c>
      <c r="AZ2705" s="1">
        <v>0</v>
      </c>
      <c r="BA2705" s="1">
        <v>0</v>
      </c>
      <c r="BB2705" s="1">
        <v>0</v>
      </c>
      <c r="BC2705" s="1">
        <v>0</v>
      </c>
      <c r="BD2705" s="1">
        <v>0</v>
      </c>
      <c r="BE2705" s="1">
        <v>0</v>
      </c>
      <c r="BF2705" s="1">
        <v>0</v>
      </c>
      <c r="BG2705" s="1">
        <v>0</v>
      </c>
      <c r="BH2705" s="1">
        <v>0</v>
      </c>
      <c r="BI2705" s="1">
        <v>0</v>
      </c>
      <c r="BJ2705" s="1">
        <v>0</v>
      </c>
      <c r="BK2705" s="1">
        <v>0</v>
      </c>
      <c r="BL2705" s="1">
        <v>0</v>
      </c>
      <c r="BM2705" s="1">
        <v>0</v>
      </c>
      <c r="BN2705" s="1">
        <v>0</v>
      </c>
      <c r="BO2705" s="1">
        <v>0</v>
      </c>
      <c r="BP2705" s="1">
        <v>0</v>
      </c>
      <c r="BQ2705" s="1">
        <v>0</v>
      </c>
      <c r="BR2705" s="1">
        <v>0</v>
      </c>
      <c r="BS2705" s="1" t="s">
        <v>109</v>
      </c>
      <c r="BT2705" s="1">
        <v>4798</v>
      </c>
      <c r="BU2705" s="1" t="s">
        <v>109</v>
      </c>
      <c r="BV2705" s="1"/>
      <c r="BW2705" s="1"/>
      <c r="BX2705" s="1"/>
      <c r="BY2705" s="1"/>
      <c r="BZ2705" s="1">
        <v>0</v>
      </c>
      <c r="CA2705" s="1" t="s">
        <v>109</v>
      </c>
      <c r="CB2705" s="1" t="s">
        <v>109</v>
      </c>
      <c r="CC2705" s="1">
        <v>1</v>
      </c>
      <c r="CD2705" s="1" t="s">
        <v>109</v>
      </c>
      <c r="CE2705" s="1" t="s">
        <v>109</v>
      </c>
      <c r="CF2705" s="1" t="s">
        <v>109</v>
      </c>
      <c r="CG2705" s="1" t="s">
        <v>109</v>
      </c>
      <c r="CH2705" s="1" t="s">
        <v>109</v>
      </c>
      <c r="CI2705" s="1" t="s">
        <v>109</v>
      </c>
      <c r="CJ2705" s="1" t="s">
        <v>109</v>
      </c>
      <c r="CK2705" s="1"/>
      <c r="CL2705" s="1">
        <v>0</v>
      </c>
      <c r="CM2705" s="1">
        <v>0</v>
      </c>
      <c r="CN2705" s="1">
        <v>0</v>
      </c>
    </row>
    <row r="2706" spans="1:92" ht="14.25" customHeight="1" x14ac:dyDescent="0.15">
      <c r="A2706" s="1" t="s">
        <v>19145</v>
      </c>
      <c r="B2706" s="1" t="s">
        <v>156</v>
      </c>
      <c r="C2706" s="1"/>
      <c r="D2706" s="1" t="s">
        <v>158</v>
      </c>
      <c r="E2706" s="1" t="s">
        <v>19146</v>
      </c>
      <c r="F2706" s="1" t="s">
        <v>98</v>
      </c>
      <c r="G2706" s="1" t="s">
        <v>141</v>
      </c>
      <c r="H2706" s="1">
        <v>0</v>
      </c>
      <c r="I2706" s="1"/>
      <c r="J2706" s="1" t="s">
        <v>7933</v>
      </c>
      <c r="K2706" s="1"/>
      <c r="L2706" s="1"/>
      <c r="M2706" s="1" t="s">
        <v>6144</v>
      </c>
      <c r="N2706" s="1">
        <v>1</v>
      </c>
      <c r="O2706" s="1">
        <v>0</v>
      </c>
      <c r="P2706" s="1" t="s">
        <v>301</v>
      </c>
      <c r="Q2706" s="1" t="s">
        <v>268</v>
      </c>
      <c r="R2706" s="1" t="s">
        <v>19147</v>
      </c>
      <c r="S2706" s="1" t="s">
        <v>19148</v>
      </c>
      <c r="T2706" s="1" t="s">
        <v>19149</v>
      </c>
      <c r="U2706" s="1" t="s">
        <v>19150</v>
      </c>
      <c r="V2706" s="1">
        <v>1</v>
      </c>
      <c r="W2706" s="1">
        <v>1</v>
      </c>
      <c r="X2706" s="1">
        <v>0</v>
      </c>
      <c r="Y2706" s="1">
        <v>0</v>
      </c>
      <c r="Z2706" s="1">
        <v>0</v>
      </c>
      <c r="AA2706" s="1">
        <v>2</v>
      </c>
      <c r="AB2706" s="1">
        <v>2</v>
      </c>
      <c r="AC2706" s="1" t="s">
        <v>109</v>
      </c>
      <c r="AD2706" s="1" t="s">
        <v>109</v>
      </c>
      <c r="AE2706" s="1" t="s">
        <v>109</v>
      </c>
      <c r="AF2706" s="1" t="s">
        <v>109</v>
      </c>
      <c r="AG2706" s="1" t="s">
        <v>109</v>
      </c>
      <c r="AH2706" s="1" t="s">
        <v>109</v>
      </c>
      <c r="AI2706" s="1" t="s">
        <v>109</v>
      </c>
      <c r="AJ2706" s="1">
        <v>2</v>
      </c>
      <c r="AK2706" s="1" t="s">
        <v>109</v>
      </c>
      <c r="AL2706" s="1" t="s">
        <v>109</v>
      </c>
      <c r="AM2706" s="1" t="s">
        <v>109</v>
      </c>
      <c r="AN2706" s="1" t="s">
        <v>109</v>
      </c>
      <c r="AO2706" s="1" t="s">
        <v>109</v>
      </c>
      <c r="AP2706" s="1"/>
      <c r="AQ2706" s="1">
        <v>2</v>
      </c>
      <c r="AR2706" s="1"/>
      <c r="AS2706" s="1"/>
      <c r="AT2706" s="1">
        <v>0</v>
      </c>
      <c r="AU2706" s="1">
        <v>0</v>
      </c>
      <c r="AV2706" s="1">
        <v>0</v>
      </c>
      <c r="AW2706" s="1">
        <v>0</v>
      </c>
      <c r="AX2706" s="1">
        <v>0</v>
      </c>
      <c r="AY2706" s="1">
        <v>0</v>
      </c>
      <c r="AZ2706" s="1">
        <v>0</v>
      </c>
      <c r="BA2706" s="1">
        <v>0</v>
      </c>
      <c r="BB2706" s="1">
        <v>0</v>
      </c>
      <c r="BC2706" s="1">
        <v>0</v>
      </c>
      <c r="BD2706" s="1">
        <v>0</v>
      </c>
      <c r="BE2706" s="1">
        <v>0</v>
      </c>
      <c r="BF2706" s="1">
        <v>0</v>
      </c>
      <c r="BG2706" s="1">
        <v>0</v>
      </c>
      <c r="BH2706" s="1">
        <v>0</v>
      </c>
      <c r="BI2706" s="1">
        <v>0</v>
      </c>
      <c r="BJ2706" s="1">
        <v>0</v>
      </c>
      <c r="BK2706" s="1">
        <v>0</v>
      </c>
      <c r="BL2706" s="1">
        <v>0</v>
      </c>
      <c r="BM2706" s="1">
        <v>1</v>
      </c>
      <c r="BN2706" s="1">
        <v>0</v>
      </c>
      <c r="BO2706" s="1">
        <v>0</v>
      </c>
      <c r="BP2706" s="1">
        <v>0</v>
      </c>
      <c r="BQ2706" s="1">
        <v>0</v>
      </c>
      <c r="BR2706" s="1">
        <v>0</v>
      </c>
      <c r="BS2706" s="1" t="s">
        <v>109</v>
      </c>
      <c r="BT2706" s="1">
        <v>4799</v>
      </c>
      <c r="BU2706" s="1" t="s">
        <v>109</v>
      </c>
      <c r="BV2706" s="1"/>
      <c r="BW2706" s="1"/>
      <c r="BX2706" s="1"/>
      <c r="BY2706" s="1"/>
      <c r="BZ2706" s="1">
        <v>0</v>
      </c>
      <c r="CA2706" s="1" t="s">
        <v>109</v>
      </c>
      <c r="CB2706" s="1" t="s">
        <v>109</v>
      </c>
      <c r="CC2706" s="1">
        <v>2</v>
      </c>
      <c r="CD2706" s="1" t="s">
        <v>109</v>
      </c>
      <c r="CE2706" s="1" t="s">
        <v>109</v>
      </c>
      <c r="CF2706" s="1" t="s">
        <v>109</v>
      </c>
      <c r="CG2706" s="1" t="s">
        <v>109</v>
      </c>
      <c r="CH2706" s="1" t="s">
        <v>109</v>
      </c>
      <c r="CI2706" s="1" t="s">
        <v>109</v>
      </c>
      <c r="CJ2706" s="1" t="s">
        <v>109</v>
      </c>
      <c r="CK2706" s="1"/>
      <c r="CL2706" s="1">
        <v>0</v>
      </c>
      <c r="CM2706" s="1">
        <v>0</v>
      </c>
      <c r="CN2706" s="1">
        <v>0</v>
      </c>
    </row>
    <row r="2707" spans="1:92" ht="14.25" customHeight="1" x14ac:dyDescent="0.15">
      <c r="A2707" s="1" t="s">
        <v>19151</v>
      </c>
      <c r="B2707" s="1" t="s">
        <v>584</v>
      </c>
      <c r="C2707" s="1"/>
      <c r="D2707" s="1" t="s">
        <v>60</v>
      </c>
      <c r="E2707" s="1" t="s">
        <v>19152</v>
      </c>
      <c r="F2707" s="1" t="s">
        <v>98</v>
      </c>
      <c r="G2707" s="1" t="s">
        <v>333</v>
      </c>
      <c r="H2707" s="1">
        <v>0</v>
      </c>
      <c r="I2707" s="1"/>
      <c r="J2707" s="1" t="s">
        <v>7069</v>
      </c>
      <c r="K2707" s="1"/>
      <c r="L2707" s="1"/>
      <c r="M2707" s="1" t="s">
        <v>144</v>
      </c>
      <c r="N2707" s="1">
        <v>0</v>
      </c>
      <c r="O2707" s="1">
        <v>0</v>
      </c>
      <c r="P2707" s="1" t="s">
        <v>9752</v>
      </c>
      <c r="Q2707" s="1" t="s">
        <v>268</v>
      </c>
      <c r="R2707" s="1" t="s">
        <v>19153</v>
      </c>
      <c r="S2707" s="1" t="s">
        <v>19154</v>
      </c>
      <c r="T2707" s="1" t="s">
        <v>19149</v>
      </c>
      <c r="U2707" s="1" t="s">
        <v>19155</v>
      </c>
      <c r="V2707" s="1">
        <v>1</v>
      </c>
      <c r="W2707" s="1">
        <v>0</v>
      </c>
      <c r="X2707" s="1">
        <v>0</v>
      </c>
      <c r="Y2707" s="1">
        <v>0</v>
      </c>
      <c r="Z2707" s="1">
        <v>0</v>
      </c>
      <c r="AA2707" s="1">
        <v>5</v>
      </c>
      <c r="AB2707" s="1">
        <v>5</v>
      </c>
      <c r="AC2707" s="1" t="s">
        <v>109</v>
      </c>
      <c r="AD2707" s="1" t="s">
        <v>109</v>
      </c>
      <c r="AE2707" s="1" t="s">
        <v>109</v>
      </c>
      <c r="AF2707" s="1" t="s">
        <v>109</v>
      </c>
      <c r="AG2707" s="1" t="s">
        <v>109</v>
      </c>
      <c r="AH2707" s="1" t="s">
        <v>109</v>
      </c>
      <c r="AI2707" s="1" t="s">
        <v>109</v>
      </c>
      <c r="AJ2707" s="1" t="s">
        <v>109</v>
      </c>
      <c r="AK2707" s="1" t="s">
        <v>109</v>
      </c>
      <c r="AL2707" s="1" t="s">
        <v>109</v>
      </c>
      <c r="AM2707" s="1" t="s">
        <v>109</v>
      </c>
      <c r="AN2707" s="1" t="s">
        <v>109</v>
      </c>
      <c r="AO2707" s="1" t="s">
        <v>109</v>
      </c>
      <c r="AP2707" s="1"/>
      <c r="AQ2707" s="1">
        <v>5</v>
      </c>
      <c r="AR2707" s="1"/>
      <c r="AS2707" s="1"/>
      <c r="AT2707" s="1">
        <v>0</v>
      </c>
      <c r="AU2707" s="1">
        <v>0</v>
      </c>
      <c r="AV2707" s="1">
        <v>0</v>
      </c>
      <c r="AW2707" s="1">
        <v>0</v>
      </c>
      <c r="AX2707" s="1">
        <v>0</v>
      </c>
      <c r="AY2707" s="1">
        <v>0</v>
      </c>
      <c r="AZ2707" s="1">
        <v>0</v>
      </c>
      <c r="BA2707" s="1">
        <v>0</v>
      </c>
      <c r="BB2707" s="1">
        <v>0</v>
      </c>
      <c r="BC2707" s="1">
        <v>0</v>
      </c>
      <c r="BD2707" s="1">
        <v>0</v>
      </c>
      <c r="BE2707" s="1">
        <v>0</v>
      </c>
      <c r="BF2707" s="1">
        <v>0</v>
      </c>
      <c r="BG2707" s="1">
        <v>0</v>
      </c>
      <c r="BH2707" s="1">
        <v>1</v>
      </c>
      <c r="BI2707" s="1">
        <v>0</v>
      </c>
      <c r="BJ2707" s="1">
        <v>0</v>
      </c>
      <c r="BK2707" s="1">
        <v>0</v>
      </c>
      <c r="BL2707" s="1">
        <v>0</v>
      </c>
      <c r="BM2707" s="1">
        <v>0</v>
      </c>
      <c r="BN2707" s="1">
        <v>0</v>
      </c>
      <c r="BO2707" s="1">
        <v>0</v>
      </c>
      <c r="BP2707" s="1">
        <v>0</v>
      </c>
      <c r="BQ2707" s="1">
        <v>0</v>
      </c>
      <c r="BR2707" s="1">
        <v>0</v>
      </c>
      <c r="BS2707" s="1" t="s">
        <v>109</v>
      </c>
      <c r="BT2707" s="1">
        <v>4800</v>
      </c>
      <c r="BU2707" s="1" t="s">
        <v>109</v>
      </c>
      <c r="BV2707" s="1"/>
      <c r="BW2707" s="1"/>
      <c r="BX2707" s="1"/>
      <c r="BY2707" s="1"/>
      <c r="BZ2707" s="1">
        <v>0</v>
      </c>
      <c r="CA2707" s="1" t="s">
        <v>109</v>
      </c>
      <c r="CB2707" s="1" t="s">
        <v>109</v>
      </c>
      <c r="CC2707" s="1">
        <v>5</v>
      </c>
      <c r="CD2707" s="1" t="s">
        <v>109</v>
      </c>
      <c r="CE2707" s="1" t="s">
        <v>109</v>
      </c>
      <c r="CF2707" s="1" t="s">
        <v>109</v>
      </c>
      <c r="CG2707" s="1" t="s">
        <v>109</v>
      </c>
      <c r="CH2707" s="1" t="s">
        <v>109</v>
      </c>
      <c r="CI2707" s="1" t="s">
        <v>109</v>
      </c>
      <c r="CJ2707" s="1" t="s">
        <v>109</v>
      </c>
      <c r="CK2707" s="1"/>
      <c r="CL2707" s="1">
        <v>0</v>
      </c>
      <c r="CM2707" s="1">
        <v>0</v>
      </c>
      <c r="CN2707" s="1">
        <v>0</v>
      </c>
    </row>
    <row r="2708" spans="1:92" ht="14.25" customHeight="1" x14ac:dyDescent="0.15">
      <c r="A2708" s="1" t="s">
        <v>19156</v>
      </c>
      <c r="B2708" s="1" t="s">
        <v>156</v>
      </c>
      <c r="C2708" s="1" t="s">
        <v>157</v>
      </c>
      <c r="D2708" s="1" t="s">
        <v>15341</v>
      </c>
      <c r="E2708" s="1" t="s">
        <v>19157</v>
      </c>
      <c r="F2708" s="1" t="s">
        <v>98</v>
      </c>
      <c r="G2708" s="1" t="s">
        <v>1191</v>
      </c>
      <c r="H2708" s="1">
        <v>0</v>
      </c>
      <c r="I2708" s="1" t="s">
        <v>142</v>
      </c>
      <c r="J2708" s="1"/>
      <c r="K2708" s="1"/>
      <c r="L2708" s="1" t="s">
        <v>1391</v>
      </c>
      <c r="M2708" s="1" t="s">
        <v>19158</v>
      </c>
      <c r="N2708" s="1">
        <v>0</v>
      </c>
      <c r="O2708" s="1">
        <v>0</v>
      </c>
      <c r="P2708" s="1" t="s">
        <v>7902</v>
      </c>
      <c r="Q2708" s="1" t="s">
        <v>268</v>
      </c>
      <c r="R2708" s="1" t="s">
        <v>19159</v>
      </c>
      <c r="S2708" s="1" t="s">
        <v>19160</v>
      </c>
      <c r="T2708" s="1" t="s">
        <v>19149</v>
      </c>
      <c r="U2708" s="1" t="s">
        <v>19161</v>
      </c>
      <c r="V2708" s="1">
        <v>1</v>
      </c>
      <c r="W2708" s="1">
        <v>1</v>
      </c>
      <c r="X2708" s="1">
        <v>1</v>
      </c>
      <c r="Y2708" s="1">
        <v>0</v>
      </c>
      <c r="Z2708" s="1">
        <v>0</v>
      </c>
      <c r="AA2708" s="1" t="s">
        <v>109</v>
      </c>
      <c r="AB2708" s="1" t="s">
        <v>109</v>
      </c>
      <c r="AC2708" s="1" t="s">
        <v>109</v>
      </c>
      <c r="AD2708" s="1" t="s">
        <v>109</v>
      </c>
      <c r="AE2708" s="1" t="s">
        <v>109</v>
      </c>
      <c r="AF2708" s="1" t="s">
        <v>109</v>
      </c>
      <c r="AG2708" s="1" t="s">
        <v>109</v>
      </c>
      <c r="AH2708" s="1" t="s">
        <v>109</v>
      </c>
      <c r="AI2708" s="1" t="s">
        <v>109</v>
      </c>
      <c r="AJ2708" s="1">
        <v>3</v>
      </c>
      <c r="AK2708" s="1" t="s">
        <v>109</v>
      </c>
      <c r="AL2708" s="1" t="s">
        <v>109</v>
      </c>
      <c r="AM2708" s="1" t="s">
        <v>109</v>
      </c>
      <c r="AN2708" s="1" t="s">
        <v>109</v>
      </c>
      <c r="AO2708" s="1" t="s">
        <v>109</v>
      </c>
      <c r="AP2708" s="1"/>
      <c r="AQ2708" s="1">
        <v>3</v>
      </c>
      <c r="AR2708" s="1"/>
      <c r="AS2708" s="1"/>
      <c r="AT2708" s="1">
        <v>0</v>
      </c>
      <c r="AU2708" s="1">
        <v>0</v>
      </c>
      <c r="AV2708" s="1">
        <v>0</v>
      </c>
      <c r="AW2708" s="1">
        <v>0</v>
      </c>
      <c r="AX2708" s="1">
        <v>0</v>
      </c>
      <c r="AY2708" s="1">
        <v>0</v>
      </c>
      <c r="AZ2708" s="1">
        <v>0</v>
      </c>
      <c r="BA2708" s="1">
        <v>0</v>
      </c>
      <c r="BB2708" s="1">
        <v>0</v>
      </c>
      <c r="BC2708" s="1">
        <v>0</v>
      </c>
      <c r="BD2708" s="1">
        <v>0</v>
      </c>
      <c r="BE2708" s="1">
        <v>0</v>
      </c>
      <c r="BF2708" s="1">
        <v>0</v>
      </c>
      <c r="BG2708" s="1">
        <v>0</v>
      </c>
      <c r="BH2708" s="1">
        <v>0</v>
      </c>
      <c r="BI2708" s="1">
        <v>0</v>
      </c>
      <c r="BJ2708" s="1">
        <v>0</v>
      </c>
      <c r="BK2708" s="1">
        <v>0</v>
      </c>
      <c r="BL2708" s="1">
        <v>0</v>
      </c>
      <c r="BM2708" s="1">
        <v>1</v>
      </c>
      <c r="BN2708" s="1">
        <v>1</v>
      </c>
      <c r="BO2708" s="1">
        <v>0</v>
      </c>
      <c r="BP2708" s="1">
        <v>0</v>
      </c>
      <c r="BQ2708" s="1">
        <v>0</v>
      </c>
      <c r="BR2708" s="1">
        <v>0</v>
      </c>
      <c r="BS2708" s="1" t="s">
        <v>109</v>
      </c>
      <c r="BT2708" s="1">
        <v>4801</v>
      </c>
      <c r="BU2708" s="1" t="s">
        <v>109</v>
      </c>
      <c r="BV2708" s="1"/>
      <c r="BW2708" s="1"/>
      <c r="BX2708" s="1"/>
      <c r="BY2708" s="1"/>
      <c r="BZ2708" s="1">
        <v>0</v>
      </c>
      <c r="CA2708" s="1" t="s">
        <v>109</v>
      </c>
      <c r="CB2708" s="1" t="s">
        <v>109</v>
      </c>
      <c r="CC2708" s="1">
        <v>3</v>
      </c>
      <c r="CD2708" s="1" t="s">
        <v>109</v>
      </c>
      <c r="CE2708" s="1" t="s">
        <v>109</v>
      </c>
      <c r="CF2708" s="1" t="s">
        <v>109</v>
      </c>
      <c r="CG2708" s="1" t="s">
        <v>109</v>
      </c>
      <c r="CH2708" s="1" t="s">
        <v>109</v>
      </c>
      <c r="CI2708" s="1" t="s">
        <v>109</v>
      </c>
      <c r="CJ2708" s="1" t="s">
        <v>109</v>
      </c>
      <c r="CK2708" s="1"/>
      <c r="CL2708" s="1">
        <v>0</v>
      </c>
      <c r="CM2708" s="1">
        <v>0</v>
      </c>
      <c r="CN2708" s="1">
        <v>0</v>
      </c>
    </row>
    <row r="2709" spans="1:92" ht="14.25" customHeight="1" x14ac:dyDescent="0.15">
      <c r="A2709" s="1" t="s">
        <v>19162</v>
      </c>
      <c r="B2709" s="1" t="s">
        <v>156</v>
      </c>
      <c r="C2709" s="1" t="s">
        <v>157</v>
      </c>
      <c r="D2709" s="1" t="s">
        <v>15341</v>
      </c>
      <c r="E2709" s="1" t="s">
        <v>19163</v>
      </c>
      <c r="F2709" s="1" t="s">
        <v>98</v>
      </c>
      <c r="G2709" s="1" t="s">
        <v>1191</v>
      </c>
      <c r="H2709" s="1">
        <v>0</v>
      </c>
      <c r="I2709" s="1" t="s">
        <v>142</v>
      </c>
      <c r="J2709" s="1"/>
      <c r="K2709" s="1"/>
      <c r="L2709" s="1" t="s">
        <v>10226</v>
      </c>
      <c r="M2709" s="1" t="s">
        <v>19158</v>
      </c>
      <c r="N2709" s="1">
        <v>0</v>
      </c>
      <c r="O2709" s="1">
        <v>0</v>
      </c>
      <c r="P2709" s="1" t="s">
        <v>7902</v>
      </c>
      <c r="Q2709" s="1" t="s">
        <v>268</v>
      </c>
      <c r="R2709" s="1" t="s">
        <v>19164</v>
      </c>
      <c r="S2709" s="1" t="s">
        <v>19165</v>
      </c>
      <c r="T2709" s="1" t="s">
        <v>19149</v>
      </c>
      <c r="U2709" s="1" t="s">
        <v>19166</v>
      </c>
      <c r="V2709" s="1">
        <v>1</v>
      </c>
      <c r="W2709" s="1">
        <v>1</v>
      </c>
      <c r="X2709" s="1">
        <v>1</v>
      </c>
      <c r="Y2709" s="1">
        <v>0</v>
      </c>
      <c r="Z2709" s="1">
        <v>0</v>
      </c>
      <c r="AA2709" s="1" t="s">
        <v>109</v>
      </c>
      <c r="AB2709" s="1" t="s">
        <v>109</v>
      </c>
      <c r="AC2709" s="1" t="s">
        <v>109</v>
      </c>
      <c r="AD2709" s="1" t="s">
        <v>109</v>
      </c>
      <c r="AE2709" s="1" t="s">
        <v>109</v>
      </c>
      <c r="AF2709" s="1" t="s">
        <v>109</v>
      </c>
      <c r="AG2709" s="1" t="s">
        <v>109</v>
      </c>
      <c r="AH2709" s="1" t="s">
        <v>109</v>
      </c>
      <c r="AI2709" s="1" t="s">
        <v>109</v>
      </c>
      <c r="AJ2709" s="1">
        <v>5</v>
      </c>
      <c r="AK2709" s="1" t="s">
        <v>109</v>
      </c>
      <c r="AL2709" s="1" t="s">
        <v>109</v>
      </c>
      <c r="AM2709" s="1" t="s">
        <v>109</v>
      </c>
      <c r="AN2709" s="1" t="s">
        <v>109</v>
      </c>
      <c r="AO2709" s="1" t="s">
        <v>109</v>
      </c>
      <c r="AP2709" s="1"/>
      <c r="AQ2709" s="1">
        <v>5</v>
      </c>
      <c r="AR2709" s="1"/>
      <c r="AS2709" s="1"/>
      <c r="AT2709" s="1">
        <v>0</v>
      </c>
      <c r="AU2709" s="1">
        <v>0</v>
      </c>
      <c r="AV2709" s="1">
        <v>0</v>
      </c>
      <c r="AW2709" s="1">
        <v>0</v>
      </c>
      <c r="AX2709" s="1">
        <v>0</v>
      </c>
      <c r="AY2709" s="1">
        <v>0</v>
      </c>
      <c r="AZ2709" s="1">
        <v>0</v>
      </c>
      <c r="BA2709" s="1">
        <v>0</v>
      </c>
      <c r="BB2709" s="1">
        <v>0</v>
      </c>
      <c r="BC2709" s="1">
        <v>0</v>
      </c>
      <c r="BD2709" s="1">
        <v>0</v>
      </c>
      <c r="BE2709" s="1">
        <v>0</v>
      </c>
      <c r="BF2709" s="1">
        <v>0</v>
      </c>
      <c r="BG2709" s="1">
        <v>0</v>
      </c>
      <c r="BH2709" s="1">
        <v>0</v>
      </c>
      <c r="BI2709" s="1">
        <v>0</v>
      </c>
      <c r="BJ2709" s="1">
        <v>0</v>
      </c>
      <c r="BK2709" s="1">
        <v>0</v>
      </c>
      <c r="BL2709" s="1">
        <v>0</v>
      </c>
      <c r="BM2709" s="1">
        <v>1</v>
      </c>
      <c r="BN2709" s="1">
        <v>1</v>
      </c>
      <c r="BO2709" s="1">
        <v>0</v>
      </c>
      <c r="BP2709" s="1">
        <v>0</v>
      </c>
      <c r="BQ2709" s="1">
        <v>0</v>
      </c>
      <c r="BR2709" s="1">
        <v>0</v>
      </c>
      <c r="BS2709" s="1" t="s">
        <v>109</v>
      </c>
      <c r="BT2709" s="1">
        <v>4802</v>
      </c>
      <c r="BU2709" s="1" t="s">
        <v>109</v>
      </c>
      <c r="BV2709" s="1"/>
      <c r="BW2709" s="1"/>
      <c r="BX2709" s="1"/>
      <c r="BY2709" s="1"/>
      <c r="BZ2709" s="1">
        <v>0</v>
      </c>
      <c r="CA2709" s="1" t="s">
        <v>109</v>
      </c>
      <c r="CB2709" s="1" t="s">
        <v>109</v>
      </c>
      <c r="CC2709" s="1">
        <v>5</v>
      </c>
      <c r="CD2709" s="1" t="s">
        <v>109</v>
      </c>
      <c r="CE2709" s="1" t="s">
        <v>109</v>
      </c>
      <c r="CF2709" s="1" t="s">
        <v>109</v>
      </c>
      <c r="CG2709" s="1" t="s">
        <v>109</v>
      </c>
      <c r="CH2709" s="1" t="s">
        <v>109</v>
      </c>
      <c r="CI2709" s="1" t="s">
        <v>109</v>
      </c>
      <c r="CJ2709" s="1" t="s">
        <v>109</v>
      </c>
      <c r="CK2709" s="1"/>
      <c r="CL2709" s="1">
        <v>0</v>
      </c>
      <c r="CM2709" s="1">
        <v>0</v>
      </c>
      <c r="CN2709" s="1">
        <v>0</v>
      </c>
    </row>
    <row r="2710" spans="1:92" ht="14.25" customHeight="1" x14ac:dyDescent="0.15">
      <c r="A2710" s="1" t="s">
        <v>19167</v>
      </c>
      <c r="B2710" s="1" t="s">
        <v>254</v>
      </c>
      <c r="C2710" s="1"/>
      <c r="D2710" s="1"/>
      <c r="E2710" s="1" t="s">
        <v>15600</v>
      </c>
      <c r="F2710" s="1" t="s">
        <v>11103</v>
      </c>
      <c r="G2710" s="1" t="s">
        <v>141</v>
      </c>
      <c r="H2710" s="1">
        <v>0</v>
      </c>
      <c r="I2710" s="1" t="s">
        <v>235</v>
      </c>
      <c r="J2710" s="1"/>
      <c r="K2710" s="1"/>
      <c r="L2710" s="1" t="s">
        <v>236</v>
      </c>
      <c r="M2710" s="1" t="s">
        <v>19168</v>
      </c>
      <c r="N2710" s="1">
        <v>0</v>
      </c>
      <c r="O2710" s="1">
        <v>0</v>
      </c>
      <c r="P2710" s="1"/>
      <c r="Q2710" s="1"/>
      <c r="R2710" s="1" t="s">
        <v>19169</v>
      </c>
      <c r="S2710" s="1" t="s">
        <v>19170</v>
      </c>
      <c r="T2710" s="1" t="s">
        <v>19149</v>
      </c>
      <c r="U2710" s="1" t="s">
        <v>19171</v>
      </c>
      <c r="V2710" s="1">
        <v>1</v>
      </c>
      <c r="W2710" s="1">
        <v>1</v>
      </c>
      <c r="X2710" s="1">
        <v>0</v>
      </c>
      <c r="Y2710" s="1">
        <v>0</v>
      </c>
      <c r="Z2710" s="1">
        <v>0</v>
      </c>
      <c r="AA2710" s="1" t="s">
        <v>109</v>
      </c>
      <c r="AB2710" s="1" t="s">
        <v>109</v>
      </c>
      <c r="AC2710" s="1" t="s">
        <v>109</v>
      </c>
      <c r="AD2710" s="1" t="s">
        <v>109</v>
      </c>
      <c r="AE2710" s="1" t="s">
        <v>109</v>
      </c>
      <c r="AF2710" s="1" t="s">
        <v>109</v>
      </c>
      <c r="AG2710" s="1" t="s">
        <v>109</v>
      </c>
      <c r="AH2710" s="1" t="s">
        <v>109</v>
      </c>
      <c r="AI2710" s="1" t="s">
        <v>109</v>
      </c>
      <c r="AJ2710" s="1" t="s">
        <v>109</v>
      </c>
      <c r="AK2710" s="1" t="s">
        <v>109</v>
      </c>
      <c r="AL2710" s="1" t="s">
        <v>109</v>
      </c>
      <c r="AM2710" s="1" t="s">
        <v>109</v>
      </c>
      <c r="AN2710" s="1" t="s">
        <v>109</v>
      </c>
      <c r="AO2710" s="1" t="s">
        <v>109</v>
      </c>
      <c r="AP2710" s="1"/>
      <c r="AQ2710" s="1">
        <v>8</v>
      </c>
      <c r="AR2710" s="1"/>
      <c r="AS2710" s="1"/>
      <c r="AT2710" s="1">
        <v>0</v>
      </c>
      <c r="AU2710" s="1">
        <v>0</v>
      </c>
      <c r="AV2710" s="1">
        <v>0</v>
      </c>
      <c r="AW2710" s="1">
        <v>0</v>
      </c>
      <c r="AX2710" s="1">
        <v>0</v>
      </c>
      <c r="AY2710" s="1">
        <v>0</v>
      </c>
      <c r="AZ2710" s="1">
        <v>0</v>
      </c>
      <c r="BA2710" s="1">
        <v>0</v>
      </c>
      <c r="BB2710" s="1">
        <v>0</v>
      </c>
      <c r="BC2710" s="1">
        <v>0</v>
      </c>
      <c r="BD2710" s="1">
        <v>0</v>
      </c>
      <c r="BE2710" s="1">
        <v>0</v>
      </c>
      <c r="BF2710" s="1">
        <v>0</v>
      </c>
      <c r="BG2710" s="1">
        <v>0</v>
      </c>
      <c r="BH2710" s="1">
        <v>0</v>
      </c>
      <c r="BI2710" s="1">
        <v>0</v>
      </c>
      <c r="BJ2710" s="1">
        <v>0</v>
      </c>
      <c r="BK2710" s="1">
        <v>0</v>
      </c>
      <c r="BL2710" s="1">
        <v>0</v>
      </c>
      <c r="BM2710" s="1">
        <v>0</v>
      </c>
      <c r="BN2710" s="1">
        <v>0</v>
      </c>
      <c r="BO2710" s="1">
        <v>0</v>
      </c>
      <c r="BP2710" s="1">
        <v>0</v>
      </c>
      <c r="BQ2710" s="1">
        <v>0</v>
      </c>
      <c r="BR2710" s="1">
        <v>0</v>
      </c>
      <c r="BS2710" s="1" t="s">
        <v>109</v>
      </c>
      <c r="BT2710" s="1">
        <v>4803</v>
      </c>
      <c r="BU2710" s="1" t="s">
        <v>109</v>
      </c>
      <c r="BV2710" s="1"/>
      <c r="BW2710" s="1"/>
      <c r="BX2710" s="1"/>
      <c r="BY2710" s="1"/>
      <c r="BZ2710" s="1">
        <v>0</v>
      </c>
      <c r="CA2710" s="1" t="s">
        <v>109</v>
      </c>
      <c r="CB2710" s="1" t="s">
        <v>109</v>
      </c>
      <c r="CC2710" s="1">
        <v>8</v>
      </c>
      <c r="CD2710" s="1" t="s">
        <v>109</v>
      </c>
      <c r="CE2710" s="1" t="s">
        <v>109</v>
      </c>
      <c r="CF2710" s="1" t="s">
        <v>109</v>
      </c>
      <c r="CG2710" s="1" t="s">
        <v>109</v>
      </c>
      <c r="CH2710" s="1" t="s">
        <v>109</v>
      </c>
      <c r="CI2710" s="1" t="s">
        <v>109</v>
      </c>
      <c r="CJ2710" s="1" t="s">
        <v>109</v>
      </c>
      <c r="CK2710" s="1"/>
      <c r="CL2710" s="1">
        <v>0</v>
      </c>
      <c r="CM2710" s="1">
        <v>0</v>
      </c>
      <c r="CN2710" s="1">
        <v>0</v>
      </c>
    </row>
    <row r="2711" spans="1:92" ht="14.25" customHeight="1" x14ac:dyDescent="0.15">
      <c r="A2711" s="1" t="s">
        <v>19172</v>
      </c>
      <c r="B2711" s="1" t="s">
        <v>584</v>
      </c>
      <c r="C2711" s="1"/>
      <c r="D2711" s="1" t="s">
        <v>60</v>
      </c>
      <c r="E2711" s="1" t="s">
        <v>19173</v>
      </c>
      <c r="F2711" s="1" t="s">
        <v>1963</v>
      </c>
      <c r="G2711" s="1" t="s">
        <v>141</v>
      </c>
      <c r="H2711" s="1">
        <v>0</v>
      </c>
      <c r="I2711" s="1" t="s">
        <v>142</v>
      </c>
      <c r="J2711" s="1"/>
      <c r="K2711" s="1"/>
      <c r="L2711" s="1" t="s">
        <v>1391</v>
      </c>
      <c r="M2711" s="1" t="s">
        <v>11269</v>
      </c>
      <c r="N2711" s="1">
        <v>0</v>
      </c>
      <c r="O2711" s="1">
        <v>0</v>
      </c>
      <c r="P2711" s="1" t="s">
        <v>7979</v>
      </c>
      <c r="Q2711" s="1" t="s">
        <v>12919</v>
      </c>
      <c r="R2711" s="1" t="s">
        <v>19174</v>
      </c>
      <c r="S2711" s="1" t="s">
        <v>19175</v>
      </c>
      <c r="T2711" s="1" t="s">
        <v>19149</v>
      </c>
      <c r="U2711" s="1" t="s">
        <v>19176</v>
      </c>
      <c r="V2711" s="1">
        <v>1</v>
      </c>
      <c r="W2711" s="1">
        <v>1</v>
      </c>
      <c r="X2711" s="1">
        <v>0</v>
      </c>
      <c r="Y2711" s="1">
        <v>0</v>
      </c>
      <c r="Z2711" s="1">
        <v>0</v>
      </c>
      <c r="AA2711" s="1" t="s">
        <v>109</v>
      </c>
      <c r="AB2711" s="1" t="s">
        <v>109</v>
      </c>
      <c r="AC2711" s="1" t="s">
        <v>109</v>
      </c>
      <c r="AD2711" s="1" t="s">
        <v>109</v>
      </c>
      <c r="AE2711" s="1" t="s">
        <v>109</v>
      </c>
      <c r="AF2711" s="1" t="s">
        <v>109</v>
      </c>
      <c r="AG2711" s="1" t="s">
        <v>109</v>
      </c>
      <c r="AH2711" s="1" t="s">
        <v>109</v>
      </c>
      <c r="AI2711" s="1" t="s">
        <v>109</v>
      </c>
      <c r="AJ2711" s="1" t="s">
        <v>109</v>
      </c>
      <c r="AK2711" s="1" t="s">
        <v>109</v>
      </c>
      <c r="AL2711" s="1" t="s">
        <v>109</v>
      </c>
      <c r="AM2711" s="1" t="s">
        <v>109</v>
      </c>
      <c r="AN2711" s="1">
        <v>3</v>
      </c>
      <c r="AO2711" s="1" t="s">
        <v>109</v>
      </c>
      <c r="AP2711" s="1"/>
      <c r="AQ2711" s="1">
        <v>3</v>
      </c>
      <c r="AR2711" s="1"/>
      <c r="AS2711" s="1"/>
      <c r="AT2711" s="1">
        <v>0</v>
      </c>
      <c r="AU2711" s="1">
        <v>0</v>
      </c>
      <c r="AV2711" s="1">
        <v>0</v>
      </c>
      <c r="AW2711" s="1">
        <v>0</v>
      </c>
      <c r="AX2711" s="1">
        <v>0</v>
      </c>
      <c r="AY2711" s="1">
        <v>0</v>
      </c>
      <c r="AZ2711" s="1">
        <v>0</v>
      </c>
      <c r="BA2711" s="1">
        <v>0</v>
      </c>
      <c r="BB2711" s="1">
        <v>0</v>
      </c>
      <c r="BC2711" s="1">
        <v>0</v>
      </c>
      <c r="BD2711" s="1">
        <v>0</v>
      </c>
      <c r="BE2711" s="1">
        <v>0</v>
      </c>
      <c r="BF2711" s="1">
        <v>0</v>
      </c>
      <c r="BG2711" s="1">
        <v>0</v>
      </c>
      <c r="BH2711" s="1">
        <v>1</v>
      </c>
      <c r="BI2711" s="1">
        <v>0</v>
      </c>
      <c r="BJ2711" s="1">
        <v>0</v>
      </c>
      <c r="BK2711" s="1">
        <v>0</v>
      </c>
      <c r="BL2711" s="1">
        <v>0</v>
      </c>
      <c r="BM2711" s="1">
        <v>0</v>
      </c>
      <c r="BN2711" s="1">
        <v>0</v>
      </c>
      <c r="BO2711" s="1">
        <v>0</v>
      </c>
      <c r="BP2711" s="1">
        <v>0</v>
      </c>
      <c r="BQ2711" s="1">
        <v>0</v>
      </c>
      <c r="BR2711" s="1">
        <v>0</v>
      </c>
      <c r="BS2711" s="1" t="s">
        <v>109</v>
      </c>
      <c r="BT2711" s="1">
        <v>4804</v>
      </c>
      <c r="BU2711" s="1" t="s">
        <v>109</v>
      </c>
      <c r="BV2711" s="1"/>
      <c r="BW2711" s="1"/>
      <c r="BX2711" s="1"/>
      <c r="BY2711" s="1"/>
      <c r="BZ2711" s="1">
        <v>0</v>
      </c>
      <c r="CA2711" s="1" t="s">
        <v>109</v>
      </c>
      <c r="CB2711" s="1" t="s">
        <v>109</v>
      </c>
      <c r="CC2711" s="1">
        <v>3</v>
      </c>
      <c r="CD2711" s="1" t="s">
        <v>109</v>
      </c>
      <c r="CE2711" s="1" t="s">
        <v>109</v>
      </c>
      <c r="CF2711" s="1" t="s">
        <v>109</v>
      </c>
      <c r="CG2711" s="1" t="s">
        <v>109</v>
      </c>
      <c r="CH2711" s="1" t="s">
        <v>109</v>
      </c>
      <c r="CI2711" s="1" t="s">
        <v>109</v>
      </c>
      <c r="CJ2711" s="1" t="s">
        <v>109</v>
      </c>
      <c r="CK2711" s="1"/>
      <c r="CL2711" s="1">
        <v>0</v>
      </c>
      <c r="CM2711" s="1">
        <v>0</v>
      </c>
      <c r="CN2711" s="1">
        <v>0</v>
      </c>
    </row>
    <row r="2712" spans="1:92" ht="14.25" customHeight="1" x14ac:dyDescent="0.15">
      <c r="A2712" s="1" t="s">
        <v>19177</v>
      </c>
      <c r="B2712" s="1" t="s">
        <v>584</v>
      </c>
      <c r="C2712" s="1"/>
      <c r="D2712" s="1"/>
      <c r="E2712" s="1" t="s">
        <v>15195</v>
      </c>
      <c r="F2712" s="1" t="s">
        <v>11103</v>
      </c>
      <c r="G2712" s="1" t="s">
        <v>2345</v>
      </c>
      <c r="H2712" s="1">
        <v>0</v>
      </c>
      <c r="I2712" s="1" t="s">
        <v>142</v>
      </c>
      <c r="J2712" s="1"/>
      <c r="K2712" s="1"/>
      <c r="L2712" s="1" t="s">
        <v>1391</v>
      </c>
      <c r="M2712" s="1" t="s">
        <v>144</v>
      </c>
      <c r="N2712" s="1">
        <v>0</v>
      </c>
      <c r="O2712" s="1">
        <v>0</v>
      </c>
      <c r="P2712" s="1" t="s">
        <v>8321</v>
      </c>
      <c r="Q2712" s="1" t="s">
        <v>268</v>
      </c>
      <c r="R2712" s="1" t="s">
        <v>19178</v>
      </c>
      <c r="S2712" s="1" t="s">
        <v>19179</v>
      </c>
      <c r="T2712" s="1" t="s">
        <v>19149</v>
      </c>
      <c r="U2712" s="1" t="s">
        <v>19180</v>
      </c>
      <c r="V2712" s="1">
        <v>0</v>
      </c>
      <c r="W2712" s="1">
        <v>1</v>
      </c>
      <c r="X2712" s="1">
        <v>0</v>
      </c>
      <c r="Y2712" s="1">
        <v>0</v>
      </c>
      <c r="Z2712" s="1">
        <v>0</v>
      </c>
      <c r="AA2712" s="1" t="s">
        <v>109</v>
      </c>
      <c r="AB2712" s="1" t="s">
        <v>109</v>
      </c>
      <c r="AC2712" s="1" t="s">
        <v>109</v>
      </c>
      <c r="AD2712" s="1" t="s">
        <v>109</v>
      </c>
      <c r="AE2712" s="1" t="s">
        <v>109</v>
      </c>
      <c r="AF2712" s="1" t="s">
        <v>109</v>
      </c>
      <c r="AG2712" s="1" t="s">
        <v>109</v>
      </c>
      <c r="AH2712" s="1" t="s">
        <v>109</v>
      </c>
      <c r="AI2712" s="1" t="s">
        <v>109</v>
      </c>
      <c r="AJ2712" s="1" t="s">
        <v>109</v>
      </c>
      <c r="AK2712" s="1" t="s">
        <v>109</v>
      </c>
      <c r="AL2712" s="1" t="s">
        <v>109</v>
      </c>
      <c r="AM2712" s="1" t="s">
        <v>109</v>
      </c>
      <c r="AN2712" s="1" t="s">
        <v>109</v>
      </c>
      <c r="AO2712" s="1" t="s">
        <v>109</v>
      </c>
      <c r="AP2712" s="1"/>
      <c r="AQ2712" s="1">
        <v>5</v>
      </c>
      <c r="AR2712" s="1"/>
      <c r="AS2712" s="1"/>
      <c r="AT2712" s="1">
        <v>0</v>
      </c>
      <c r="AU2712" s="1">
        <v>0</v>
      </c>
      <c r="AV2712" s="1">
        <v>0</v>
      </c>
      <c r="AW2712" s="1">
        <v>0</v>
      </c>
      <c r="AX2712" s="1">
        <v>0</v>
      </c>
      <c r="AY2712" s="1">
        <v>0</v>
      </c>
      <c r="AZ2712" s="1">
        <v>0</v>
      </c>
      <c r="BA2712" s="1">
        <v>0</v>
      </c>
      <c r="BB2712" s="1">
        <v>0</v>
      </c>
      <c r="BC2712" s="1">
        <v>0</v>
      </c>
      <c r="BD2712" s="1">
        <v>0</v>
      </c>
      <c r="BE2712" s="1">
        <v>0</v>
      </c>
      <c r="BF2712" s="1">
        <v>0</v>
      </c>
      <c r="BG2712" s="1">
        <v>0</v>
      </c>
      <c r="BH2712" s="1">
        <v>0</v>
      </c>
      <c r="BI2712" s="1">
        <v>0</v>
      </c>
      <c r="BJ2712" s="1">
        <v>0</v>
      </c>
      <c r="BK2712" s="1">
        <v>0</v>
      </c>
      <c r="BL2712" s="1">
        <v>0</v>
      </c>
      <c r="BM2712" s="1">
        <v>0</v>
      </c>
      <c r="BN2712" s="1">
        <v>0</v>
      </c>
      <c r="BO2712" s="1">
        <v>0</v>
      </c>
      <c r="BP2712" s="1">
        <v>0</v>
      </c>
      <c r="BQ2712" s="1">
        <v>0</v>
      </c>
      <c r="BR2712" s="1">
        <v>0</v>
      </c>
      <c r="BS2712" s="1" t="s">
        <v>109</v>
      </c>
      <c r="BT2712" s="1">
        <v>4805</v>
      </c>
      <c r="BU2712" s="1" t="s">
        <v>109</v>
      </c>
      <c r="BV2712" s="1"/>
      <c r="BW2712" s="1"/>
      <c r="BX2712" s="1"/>
      <c r="BY2712" s="1"/>
      <c r="BZ2712" s="1">
        <v>0</v>
      </c>
      <c r="CA2712" s="1" t="s">
        <v>109</v>
      </c>
      <c r="CB2712" s="1" t="s">
        <v>109</v>
      </c>
      <c r="CC2712" s="1">
        <v>5</v>
      </c>
      <c r="CD2712" s="1" t="s">
        <v>109</v>
      </c>
      <c r="CE2712" s="1" t="s">
        <v>109</v>
      </c>
      <c r="CF2712" s="1" t="s">
        <v>109</v>
      </c>
      <c r="CG2712" s="1" t="s">
        <v>109</v>
      </c>
      <c r="CH2712" s="1" t="s">
        <v>109</v>
      </c>
      <c r="CI2712" s="1" t="s">
        <v>109</v>
      </c>
      <c r="CJ2712" s="1" t="s">
        <v>109</v>
      </c>
      <c r="CK2712" s="1"/>
      <c r="CL2712" s="1">
        <v>0</v>
      </c>
      <c r="CM2712" s="1">
        <v>0</v>
      </c>
      <c r="CN2712" s="1">
        <v>0</v>
      </c>
    </row>
    <row r="2713" spans="1:92" ht="14.25" customHeight="1" x14ac:dyDescent="0.15">
      <c r="A2713" s="1" t="s">
        <v>19181</v>
      </c>
      <c r="B2713" s="1" t="s">
        <v>584</v>
      </c>
      <c r="C2713" s="1"/>
      <c r="D2713" s="1"/>
      <c r="E2713" s="1" t="s">
        <v>15201</v>
      </c>
      <c r="F2713" s="1" t="s">
        <v>11103</v>
      </c>
      <c r="G2713" s="1" t="s">
        <v>2345</v>
      </c>
      <c r="H2713" s="1">
        <v>0</v>
      </c>
      <c r="I2713" s="1" t="s">
        <v>142</v>
      </c>
      <c r="J2713" s="1"/>
      <c r="K2713" s="1"/>
      <c r="L2713" s="1" t="s">
        <v>1391</v>
      </c>
      <c r="M2713" s="1" t="s">
        <v>144</v>
      </c>
      <c r="N2713" s="1">
        <v>0</v>
      </c>
      <c r="O2713" s="1">
        <v>0</v>
      </c>
      <c r="P2713" s="1" t="s">
        <v>8321</v>
      </c>
      <c r="Q2713" s="1" t="s">
        <v>268</v>
      </c>
      <c r="R2713" s="1" t="s">
        <v>19182</v>
      </c>
      <c r="S2713" s="1" t="s">
        <v>19183</v>
      </c>
      <c r="T2713" s="1" t="s">
        <v>19149</v>
      </c>
      <c r="U2713" s="1" t="s">
        <v>19184</v>
      </c>
      <c r="V2713" s="1">
        <v>0</v>
      </c>
      <c r="W2713" s="1">
        <v>1</v>
      </c>
      <c r="X2713" s="1">
        <v>0</v>
      </c>
      <c r="Y2713" s="1">
        <v>0</v>
      </c>
      <c r="Z2713" s="1">
        <v>0</v>
      </c>
      <c r="AA2713" s="1" t="s">
        <v>109</v>
      </c>
      <c r="AB2713" s="1" t="s">
        <v>109</v>
      </c>
      <c r="AC2713" s="1" t="s">
        <v>109</v>
      </c>
      <c r="AD2713" s="1" t="s">
        <v>109</v>
      </c>
      <c r="AE2713" s="1" t="s">
        <v>109</v>
      </c>
      <c r="AF2713" s="1" t="s">
        <v>109</v>
      </c>
      <c r="AG2713" s="1" t="s">
        <v>109</v>
      </c>
      <c r="AH2713" s="1" t="s">
        <v>109</v>
      </c>
      <c r="AI2713" s="1" t="s">
        <v>109</v>
      </c>
      <c r="AJ2713" s="1" t="s">
        <v>109</v>
      </c>
      <c r="AK2713" s="1" t="s">
        <v>109</v>
      </c>
      <c r="AL2713" s="1" t="s">
        <v>109</v>
      </c>
      <c r="AM2713" s="1" t="s">
        <v>109</v>
      </c>
      <c r="AN2713" s="1" t="s">
        <v>109</v>
      </c>
      <c r="AO2713" s="1" t="s">
        <v>109</v>
      </c>
      <c r="AP2713" s="1"/>
      <c r="AQ2713" s="1">
        <v>6</v>
      </c>
      <c r="AR2713" s="1"/>
      <c r="AS2713" s="1"/>
      <c r="AT2713" s="1">
        <v>0</v>
      </c>
      <c r="AU2713" s="1">
        <v>0</v>
      </c>
      <c r="AV2713" s="1">
        <v>0</v>
      </c>
      <c r="AW2713" s="1">
        <v>0</v>
      </c>
      <c r="AX2713" s="1">
        <v>0</v>
      </c>
      <c r="AY2713" s="1">
        <v>0</v>
      </c>
      <c r="AZ2713" s="1">
        <v>0</v>
      </c>
      <c r="BA2713" s="1">
        <v>0</v>
      </c>
      <c r="BB2713" s="1">
        <v>0</v>
      </c>
      <c r="BC2713" s="1">
        <v>0</v>
      </c>
      <c r="BD2713" s="1">
        <v>0</v>
      </c>
      <c r="BE2713" s="1">
        <v>0</v>
      </c>
      <c r="BF2713" s="1">
        <v>0</v>
      </c>
      <c r="BG2713" s="1">
        <v>0</v>
      </c>
      <c r="BH2713" s="1">
        <v>0</v>
      </c>
      <c r="BI2713" s="1">
        <v>0</v>
      </c>
      <c r="BJ2713" s="1">
        <v>0</v>
      </c>
      <c r="BK2713" s="1">
        <v>0</v>
      </c>
      <c r="BL2713" s="1">
        <v>0</v>
      </c>
      <c r="BM2713" s="1">
        <v>0</v>
      </c>
      <c r="BN2713" s="1">
        <v>0</v>
      </c>
      <c r="BO2713" s="1">
        <v>0</v>
      </c>
      <c r="BP2713" s="1">
        <v>0</v>
      </c>
      <c r="BQ2713" s="1">
        <v>0</v>
      </c>
      <c r="BR2713" s="1">
        <v>0</v>
      </c>
      <c r="BS2713" s="1" t="s">
        <v>109</v>
      </c>
      <c r="BT2713" s="1">
        <v>4806</v>
      </c>
      <c r="BU2713" s="1" t="s">
        <v>109</v>
      </c>
      <c r="BV2713" s="1"/>
      <c r="BW2713" s="1"/>
      <c r="BX2713" s="1"/>
      <c r="BY2713" s="1"/>
      <c r="BZ2713" s="1">
        <v>0</v>
      </c>
      <c r="CA2713" s="1" t="s">
        <v>109</v>
      </c>
      <c r="CB2713" s="1" t="s">
        <v>109</v>
      </c>
      <c r="CC2713" s="1">
        <v>6</v>
      </c>
      <c r="CD2713" s="1" t="s">
        <v>109</v>
      </c>
      <c r="CE2713" s="1" t="s">
        <v>109</v>
      </c>
      <c r="CF2713" s="1" t="s">
        <v>109</v>
      </c>
      <c r="CG2713" s="1" t="s">
        <v>109</v>
      </c>
      <c r="CH2713" s="1" t="s">
        <v>109</v>
      </c>
      <c r="CI2713" s="1" t="s">
        <v>109</v>
      </c>
      <c r="CJ2713" s="1" t="s">
        <v>109</v>
      </c>
      <c r="CK2713" s="1"/>
      <c r="CL2713" s="1">
        <v>0</v>
      </c>
      <c r="CM2713" s="1">
        <v>0</v>
      </c>
      <c r="CN2713" s="1">
        <v>0</v>
      </c>
    </row>
    <row r="2714" spans="1:92" ht="14.25" customHeight="1" x14ac:dyDescent="0.15">
      <c r="A2714" s="1" t="s">
        <v>19185</v>
      </c>
      <c r="B2714" s="1" t="s">
        <v>584</v>
      </c>
      <c r="C2714" s="1"/>
      <c r="D2714" s="1"/>
      <c r="E2714" s="1" t="s">
        <v>15207</v>
      </c>
      <c r="F2714" s="1" t="s">
        <v>11103</v>
      </c>
      <c r="G2714" s="1" t="s">
        <v>2345</v>
      </c>
      <c r="H2714" s="1">
        <v>0</v>
      </c>
      <c r="I2714" s="1" t="s">
        <v>142</v>
      </c>
      <c r="J2714" s="1"/>
      <c r="K2714" s="1"/>
      <c r="L2714" s="1" t="s">
        <v>1391</v>
      </c>
      <c r="M2714" s="1" t="s">
        <v>144</v>
      </c>
      <c r="N2714" s="1">
        <v>0</v>
      </c>
      <c r="O2714" s="1">
        <v>0</v>
      </c>
      <c r="P2714" s="1" t="s">
        <v>8321</v>
      </c>
      <c r="Q2714" s="1" t="s">
        <v>268</v>
      </c>
      <c r="R2714" s="1" t="s">
        <v>19186</v>
      </c>
      <c r="S2714" s="1" t="s">
        <v>19187</v>
      </c>
      <c r="T2714" s="1" t="s">
        <v>19149</v>
      </c>
      <c r="U2714" s="1" t="s">
        <v>19188</v>
      </c>
      <c r="V2714" s="1">
        <v>0</v>
      </c>
      <c r="W2714" s="1">
        <v>1</v>
      </c>
      <c r="X2714" s="1">
        <v>0</v>
      </c>
      <c r="Y2714" s="1">
        <v>0</v>
      </c>
      <c r="Z2714" s="1">
        <v>0</v>
      </c>
      <c r="AA2714" s="1" t="s">
        <v>109</v>
      </c>
      <c r="AB2714" s="1" t="s">
        <v>109</v>
      </c>
      <c r="AC2714" s="1" t="s">
        <v>109</v>
      </c>
      <c r="AD2714" s="1" t="s">
        <v>109</v>
      </c>
      <c r="AE2714" s="1" t="s">
        <v>109</v>
      </c>
      <c r="AF2714" s="1" t="s">
        <v>109</v>
      </c>
      <c r="AG2714" s="1" t="s">
        <v>109</v>
      </c>
      <c r="AH2714" s="1" t="s">
        <v>109</v>
      </c>
      <c r="AI2714" s="1" t="s">
        <v>109</v>
      </c>
      <c r="AJ2714" s="1" t="s">
        <v>109</v>
      </c>
      <c r="AK2714" s="1" t="s">
        <v>109</v>
      </c>
      <c r="AL2714" s="1" t="s">
        <v>109</v>
      </c>
      <c r="AM2714" s="1" t="s">
        <v>109</v>
      </c>
      <c r="AN2714" s="1" t="s">
        <v>109</v>
      </c>
      <c r="AO2714" s="1" t="s">
        <v>109</v>
      </c>
      <c r="AP2714" s="1"/>
      <c r="AQ2714" s="1">
        <v>7</v>
      </c>
      <c r="AR2714" s="1"/>
      <c r="AS2714" s="1"/>
      <c r="AT2714" s="1">
        <v>0</v>
      </c>
      <c r="AU2714" s="1">
        <v>0</v>
      </c>
      <c r="AV2714" s="1">
        <v>0</v>
      </c>
      <c r="AW2714" s="1">
        <v>0</v>
      </c>
      <c r="AX2714" s="1">
        <v>0</v>
      </c>
      <c r="AY2714" s="1">
        <v>0</v>
      </c>
      <c r="AZ2714" s="1">
        <v>0</v>
      </c>
      <c r="BA2714" s="1">
        <v>0</v>
      </c>
      <c r="BB2714" s="1">
        <v>0</v>
      </c>
      <c r="BC2714" s="1">
        <v>0</v>
      </c>
      <c r="BD2714" s="1">
        <v>0</v>
      </c>
      <c r="BE2714" s="1">
        <v>0</v>
      </c>
      <c r="BF2714" s="1">
        <v>0</v>
      </c>
      <c r="BG2714" s="1">
        <v>0</v>
      </c>
      <c r="BH2714" s="1">
        <v>0</v>
      </c>
      <c r="BI2714" s="1">
        <v>0</v>
      </c>
      <c r="BJ2714" s="1">
        <v>0</v>
      </c>
      <c r="BK2714" s="1">
        <v>0</v>
      </c>
      <c r="BL2714" s="1">
        <v>0</v>
      </c>
      <c r="BM2714" s="1">
        <v>0</v>
      </c>
      <c r="BN2714" s="1">
        <v>0</v>
      </c>
      <c r="BO2714" s="1">
        <v>0</v>
      </c>
      <c r="BP2714" s="1">
        <v>0</v>
      </c>
      <c r="BQ2714" s="1">
        <v>0</v>
      </c>
      <c r="BR2714" s="1">
        <v>0</v>
      </c>
      <c r="BS2714" s="1" t="s">
        <v>109</v>
      </c>
      <c r="BT2714" s="1">
        <v>4807</v>
      </c>
      <c r="BU2714" s="1" t="s">
        <v>109</v>
      </c>
      <c r="BV2714" s="1"/>
      <c r="BW2714" s="1"/>
      <c r="BX2714" s="1"/>
      <c r="BY2714" s="1"/>
      <c r="BZ2714" s="1">
        <v>0</v>
      </c>
      <c r="CA2714" s="1" t="s">
        <v>109</v>
      </c>
      <c r="CB2714" s="1" t="s">
        <v>109</v>
      </c>
      <c r="CC2714" s="1">
        <v>7</v>
      </c>
      <c r="CD2714" s="1" t="s">
        <v>109</v>
      </c>
      <c r="CE2714" s="1" t="s">
        <v>109</v>
      </c>
      <c r="CF2714" s="1" t="s">
        <v>109</v>
      </c>
      <c r="CG2714" s="1" t="s">
        <v>109</v>
      </c>
      <c r="CH2714" s="1" t="s">
        <v>109</v>
      </c>
      <c r="CI2714" s="1" t="s">
        <v>109</v>
      </c>
      <c r="CJ2714" s="1" t="s">
        <v>109</v>
      </c>
      <c r="CK2714" s="1"/>
      <c r="CL2714" s="1">
        <v>0</v>
      </c>
      <c r="CM2714" s="1">
        <v>0</v>
      </c>
      <c r="CN2714" s="1">
        <v>0</v>
      </c>
    </row>
    <row r="2715" spans="1:92" ht="14.25" customHeight="1" x14ac:dyDescent="0.15">
      <c r="A2715" s="1" t="s">
        <v>19189</v>
      </c>
      <c r="B2715" s="1" t="s">
        <v>584</v>
      </c>
      <c r="C2715" s="1"/>
      <c r="D2715" s="1"/>
      <c r="E2715" s="1" t="s">
        <v>15600</v>
      </c>
      <c r="F2715" s="1" t="s">
        <v>11103</v>
      </c>
      <c r="G2715" s="1" t="s">
        <v>2345</v>
      </c>
      <c r="H2715" s="1">
        <v>0</v>
      </c>
      <c r="I2715" s="1" t="s">
        <v>142</v>
      </c>
      <c r="J2715" s="1"/>
      <c r="K2715" s="1"/>
      <c r="L2715" s="1" t="s">
        <v>1391</v>
      </c>
      <c r="M2715" s="1" t="s">
        <v>144</v>
      </c>
      <c r="N2715" s="1">
        <v>0</v>
      </c>
      <c r="O2715" s="1">
        <v>0</v>
      </c>
      <c r="P2715" s="1" t="s">
        <v>8321</v>
      </c>
      <c r="Q2715" s="1" t="s">
        <v>268</v>
      </c>
      <c r="R2715" s="1" t="s">
        <v>19190</v>
      </c>
      <c r="S2715" s="1" t="s">
        <v>19191</v>
      </c>
      <c r="T2715" s="1" t="s">
        <v>19149</v>
      </c>
      <c r="U2715" s="1" t="s">
        <v>19192</v>
      </c>
      <c r="V2715" s="1">
        <v>0</v>
      </c>
      <c r="W2715" s="1">
        <v>1</v>
      </c>
      <c r="X2715" s="1">
        <v>0</v>
      </c>
      <c r="Y2715" s="1">
        <v>0</v>
      </c>
      <c r="Z2715" s="1">
        <v>0</v>
      </c>
      <c r="AA2715" s="1" t="s">
        <v>109</v>
      </c>
      <c r="AB2715" s="1" t="s">
        <v>109</v>
      </c>
      <c r="AC2715" s="1" t="s">
        <v>109</v>
      </c>
      <c r="AD2715" s="1" t="s">
        <v>109</v>
      </c>
      <c r="AE2715" s="1" t="s">
        <v>109</v>
      </c>
      <c r="AF2715" s="1" t="s">
        <v>109</v>
      </c>
      <c r="AG2715" s="1" t="s">
        <v>109</v>
      </c>
      <c r="AH2715" s="1" t="s">
        <v>109</v>
      </c>
      <c r="AI2715" s="1" t="s">
        <v>109</v>
      </c>
      <c r="AJ2715" s="1" t="s">
        <v>109</v>
      </c>
      <c r="AK2715" s="1" t="s">
        <v>109</v>
      </c>
      <c r="AL2715" s="1" t="s">
        <v>109</v>
      </c>
      <c r="AM2715" s="1" t="s">
        <v>109</v>
      </c>
      <c r="AN2715" s="1" t="s">
        <v>109</v>
      </c>
      <c r="AO2715" s="1" t="s">
        <v>109</v>
      </c>
      <c r="AP2715" s="1"/>
      <c r="AQ2715" s="1">
        <v>8</v>
      </c>
      <c r="AR2715" s="1"/>
      <c r="AS2715" s="1"/>
      <c r="AT2715" s="1">
        <v>0</v>
      </c>
      <c r="AU2715" s="1">
        <v>0</v>
      </c>
      <c r="AV2715" s="1">
        <v>0</v>
      </c>
      <c r="AW2715" s="1">
        <v>0</v>
      </c>
      <c r="AX2715" s="1">
        <v>0</v>
      </c>
      <c r="AY2715" s="1">
        <v>0</v>
      </c>
      <c r="AZ2715" s="1">
        <v>0</v>
      </c>
      <c r="BA2715" s="1">
        <v>0</v>
      </c>
      <c r="BB2715" s="1">
        <v>0</v>
      </c>
      <c r="BC2715" s="1">
        <v>0</v>
      </c>
      <c r="BD2715" s="1">
        <v>0</v>
      </c>
      <c r="BE2715" s="1">
        <v>0</v>
      </c>
      <c r="BF2715" s="1">
        <v>0</v>
      </c>
      <c r="BG2715" s="1">
        <v>0</v>
      </c>
      <c r="BH2715" s="1">
        <v>0</v>
      </c>
      <c r="BI2715" s="1">
        <v>0</v>
      </c>
      <c r="BJ2715" s="1">
        <v>0</v>
      </c>
      <c r="BK2715" s="1">
        <v>0</v>
      </c>
      <c r="BL2715" s="1">
        <v>0</v>
      </c>
      <c r="BM2715" s="1">
        <v>0</v>
      </c>
      <c r="BN2715" s="1">
        <v>0</v>
      </c>
      <c r="BO2715" s="1">
        <v>0</v>
      </c>
      <c r="BP2715" s="1">
        <v>0</v>
      </c>
      <c r="BQ2715" s="1">
        <v>0</v>
      </c>
      <c r="BR2715" s="1">
        <v>0</v>
      </c>
      <c r="BS2715" s="1" t="s">
        <v>109</v>
      </c>
      <c r="BT2715" s="1">
        <v>4808</v>
      </c>
      <c r="BU2715" s="1" t="s">
        <v>109</v>
      </c>
      <c r="BV2715" s="1"/>
      <c r="BW2715" s="1"/>
      <c r="BX2715" s="1"/>
      <c r="BY2715" s="1"/>
      <c r="BZ2715" s="1">
        <v>0</v>
      </c>
      <c r="CA2715" s="1" t="s">
        <v>109</v>
      </c>
      <c r="CB2715" s="1" t="s">
        <v>109</v>
      </c>
      <c r="CC2715" s="1">
        <v>8</v>
      </c>
      <c r="CD2715" s="1" t="s">
        <v>109</v>
      </c>
      <c r="CE2715" s="1" t="s">
        <v>109</v>
      </c>
      <c r="CF2715" s="1" t="s">
        <v>109</v>
      </c>
      <c r="CG2715" s="1" t="s">
        <v>109</v>
      </c>
      <c r="CH2715" s="1" t="s">
        <v>109</v>
      </c>
      <c r="CI2715" s="1" t="s">
        <v>109</v>
      </c>
      <c r="CJ2715" s="1" t="s">
        <v>109</v>
      </c>
      <c r="CK2715" s="1"/>
      <c r="CL2715" s="1">
        <v>0</v>
      </c>
      <c r="CM2715" s="1">
        <v>0</v>
      </c>
      <c r="CN2715" s="1">
        <v>0</v>
      </c>
    </row>
    <row r="2716" spans="1:92" ht="14.25" customHeight="1" x14ac:dyDescent="0.15">
      <c r="A2716" s="1" t="s">
        <v>19193</v>
      </c>
      <c r="B2716" s="1" t="s">
        <v>156</v>
      </c>
      <c r="C2716" s="1" t="s">
        <v>157</v>
      </c>
      <c r="D2716" s="1" t="s">
        <v>158</v>
      </c>
      <c r="E2716" s="1" t="s">
        <v>19146</v>
      </c>
      <c r="F2716" s="1" t="s">
        <v>98</v>
      </c>
      <c r="G2716" s="1" t="s">
        <v>141</v>
      </c>
      <c r="H2716" s="1">
        <v>0</v>
      </c>
      <c r="I2716" s="1" t="s">
        <v>142</v>
      </c>
      <c r="J2716" s="1"/>
      <c r="K2716" s="1"/>
      <c r="L2716" s="1" t="s">
        <v>7789</v>
      </c>
      <c r="M2716" s="1" t="s">
        <v>19194</v>
      </c>
      <c r="N2716" s="1">
        <v>0</v>
      </c>
      <c r="O2716" s="1">
        <v>0</v>
      </c>
      <c r="P2716" s="1" t="s">
        <v>2475</v>
      </c>
      <c r="Q2716" s="1" t="s">
        <v>268</v>
      </c>
      <c r="R2716" s="1" t="s">
        <v>19195</v>
      </c>
      <c r="S2716" s="1" t="s">
        <v>19196</v>
      </c>
      <c r="T2716" s="1" t="s">
        <v>19149</v>
      </c>
      <c r="U2716" s="1" t="s">
        <v>19197</v>
      </c>
      <c r="V2716" s="1">
        <v>1</v>
      </c>
      <c r="W2716" s="1">
        <v>1</v>
      </c>
      <c r="X2716" s="1">
        <v>0</v>
      </c>
      <c r="Y2716" s="1">
        <v>0</v>
      </c>
      <c r="Z2716" s="1">
        <v>0</v>
      </c>
      <c r="AA2716" s="1">
        <v>2</v>
      </c>
      <c r="AB2716" s="1">
        <v>2</v>
      </c>
      <c r="AC2716" s="1" t="s">
        <v>109</v>
      </c>
      <c r="AD2716" s="1" t="s">
        <v>109</v>
      </c>
      <c r="AE2716" s="1" t="s">
        <v>109</v>
      </c>
      <c r="AF2716" s="1" t="s">
        <v>109</v>
      </c>
      <c r="AG2716" s="1" t="s">
        <v>109</v>
      </c>
      <c r="AH2716" s="1" t="s">
        <v>109</v>
      </c>
      <c r="AI2716" s="1" t="s">
        <v>109</v>
      </c>
      <c r="AJ2716" s="1">
        <v>2</v>
      </c>
      <c r="AK2716" s="1" t="s">
        <v>109</v>
      </c>
      <c r="AL2716" s="1" t="s">
        <v>109</v>
      </c>
      <c r="AM2716" s="1" t="s">
        <v>109</v>
      </c>
      <c r="AN2716" s="1" t="s">
        <v>109</v>
      </c>
      <c r="AO2716" s="1" t="s">
        <v>109</v>
      </c>
      <c r="AP2716" s="1"/>
      <c r="AQ2716" s="1">
        <v>2</v>
      </c>
      <c r="AR2716" s="1"/>
      <c r="AS2716" s="1"/>
      <c r="AT2716" s="1">
        <v>0</v>
      </c>
      <c r="AU2716" s="1">
        <v>0</v>
      </c>
      <c r="AV2716" s="1">
        <v>0</v>
      </c>
      <c r="AW2716" s="1">
        <v>0</v>
      </c>
      <c r="AX2716" s="1">
        <v>0</v>
      </c>
      <c r="AY2716" s="1">
        <v>0</v>
      </c>
      <c r="AZ2716" s="1">
        <v>0</v>
      </c>
      <c r="BA2716" s="1">
        <v>0</v>
      </c>
      <c r="BB2716" s="1">
        <v>0</v>
      </c>
      <c r="BC2716" s="1">
        <v>0</v>
      </c>
      <c r="BD2716" s="1">
        <v>0</v>
      </c>
      <c r="BE2716" s="1">
        <v>0</v>
      </c>
      <c r="BF2716" s="1">
        <v>0</v>
      </c>
      <c r="BG2716" s="1">
        <v>0</v>
      </c>
      <c r="BH2716" s="1">
        <v>0</v>
      </c>
      <c r="BI2716" s="1">
        <v>0</v>
      </c>
      <c r="BJ2716" s="1">
        <v>0</v>
      </c>
      <c r="BK2716" s="1">
        <v>0</v>
      </c>
      <c r="BL2716" s="1">
        <v>0</v>
      </c>
      <c r="BM2716" s="1">
        <v>1</v>
      </c>
      <c r="BN2716" s="1">
        <v>0</v>
      </c>
      <c r="BO2716" s="1">
        <v>0</v>
      </c>
      <c r="BP2716" s="1">
        <v>0</v>
      </c>
      <c r="BQ2716" s="1">
        <v>0</v>
      </c>
      <c r="BR2716" s="1">
        <v>0</v>
      </c>
      <c r="BS2716" s="1" t="s">
        <v>109</v>
      </c>
      <c r="BT2716" s="1">
        <v>4809</v>
      </c>
      <c r="BU2716" s="1" t="s">
        <v>109</v>
      </c>
      <c r="BV2716" s="1"/>
      <c r="BW2716" s="1"/>
      <c r="BX2716" s="1"/>
      <c r="BY2716" s="1"/>
      <c r="BZ2716" s="1">
        <v>0</v>
      </c>
      <c r="CA2716" s="1" t="s">
        <v>109</v>
      </c>
      <c r="CB2716" s="1" t="s">
        <v>109</v>
      </c>
      <c r="CC2716" s="1">
        <v>2</v>
      </c>
      <c r="CD2716" s="1" t="s">
        <v>109</v>
      </c>
      <c r="CE2716" s="1" t="s">
        <v>109</v>
      </c>
      <c r="CF2716" s="1" t="s">
        <v>109</v>
      </c>
      <c r="CG2716" s="1" t="s">
        <v>109</v>
      </c>
      <c r="CH2716" s="1" t="s">
        <v>109</v>
      </c>
      <c r="CI2716" s="1" t="s">
        <v>109</v>
      </c>
      <c r="CJ2716" s="1" t="s">
        <v>109</v>
      </c>
      <c r="CK2716" s="1"/>
      <c r="CL2716" s="1">
        <v>0</v>
      </c>
      <c r="CM2716" s="1">
        <v>0</v>
      </c>
      <c r="CN2716" s="1">
        <v>0</v>
      </c>
    </row>
    <row r="2717" spans="1:92" ht="14.25" customHeight="1" x14ac:dyDescent="0.15">
      <c r="A2717" s="1" t="s">
        <v>19198</v>
      </c>
      <c r="B2717" s="1" t="s">
        <v>584</v>
      </c>
      <c r="C2717" s="1"/>
      <c r="D2717" s="1" t="s">
        <v>60</v>
      </c>
      <c r="E2717" s="1" t="s">
        <v>19199</v>
      </c>
      <c r="F2717" s="1" t="s">
        <v>98</v>
      </c>
      <c r="G2717" s="1" t="s">
        <v>141</v>
      </c>
      <c r="H2717" s="1">
        <v>0</v>
      </c>
      <c r="I2717" s="1" t="s">
        <v>161</v>
      </c>
      <c r="J2717" s="1"/>
      <c r="K2717" s="1"/>
      <c r="L2717" s="1" t="s">
        <v>1391</v>
      </c>
      <c r="M2717" s="1" t="s">
        <v>3042</v>
      </c>
      <c r="N2717" s="1">
        <v>0</v>
      </c>
      <c r="O2717" s="1">
        <v>0</v>
      </c>
      <c r="P2717" s="1" t="s">
        <v>507</v>
      </c>
      <c r="Q2717" s="1" t="s">
        <v>167</v>
      </c>
      <c r="R2717" s="1" t="s">
        <v>19200</v>
      </c>
      <c r="S2717" s="1" t="s">
        <v>19201</v>
      </c>
      <c r="T2717" s="1" t="s">
        <v>19149</v>
      </c>
      <c r="U2717" s="1" t="s">
        <v>19202</v>
      </c>
      <c r="V2717" s="1">
        <v>1</v>
      </c>
      <c r="W2717" s="1">
        <v>1</v>
      </c>
      <c r="X2717" s="1">
        <v>0</v>
      </c>
      <c r="Y2717" s="1">
        <v>0</v>
      </c>
      <c r="Z2717" s="1">
        <v>0</v>
      </c>
      <c r="AA2717" s="1">
        <v>2</v>
      </c>
      <c r="AB2717" s="1">
        <v>2</v>
      </c>
      <c r="AC2717" s="1" t="s">
        <v>109</v>
      </c>
      <c r="AD2717" s="1" t="s">
        <v>109</v>
      </c>
      <c r="AE2717" s="1" t="s">
        <v>109</v>
      </c>
      <c r="AF2717" s="1" t="s">
        <v>109</v>
      </c>
      <c r="AG2717" s="1" t="s">
        <v>109</v>
      </c>
      <c r="AH2717" s="1" t="s">
        <v>109</v>
      </c>
      <c r="AI2717" s="1" t="s">
        <v>109</v>
      </c>
      <c r="AJ2717" s="1" t="s">
        <v>109</v>
      </c>
      <c r="AK2717" s="1" t="s">
        <v>109</v>
      </c>
      <c r="AL2717" s="1" t="s">
        <v>109</v>
      </c>
      <c r="AM2717" s="1" t="s">
        <v>109</v>
      </c>
      <c r="AN2717" s="1">
        <v>2</v>
      </c>
      <c r="AO2717" s="1" t="s">
        <v>109</v>
      </c>
      <c r="AP2717" s="1"/>
      <c r="AQ2717" s="1">
        <v>2</v>
      </c>
      <c r="AR2717" s="1"/>
      <c r="AS2717" s="1"/>
      <c r="AT2717" s="1">
        <v>0</v>
      </c>
      <c r="AU2717" s="1">
        <v>0</v>
      </c>
      <c r="AV2717" s="1">
        <v>0</v>
      </c>
      <c r="AW2717" s="1">
        <v>0</v>
      </c>
      <c r="AX2717" s="1">
        <v>0</v>
      </c>
      <c r="AY2717" s="1">
        <v>0</v>
      </c>
      <c r="AZ2717" s="1">
        <v>0</v>
      </c>
      <c r="BA2717" s="1">
        <v>0</v>
      </c>
      <c r="BB2717" s="1">
        <v>0</v>
      </c>
      <c r="BC2717" s="1">
        <v>0</v>
      </c>
      <c r="BD2717" s="1">
        <v>0</v>
      </c>
      <c r="BE2717" s="1">
        <v>0</v>
      </c>
      <c r="BF2717" s="1">
        <v>0</v>
      </c>
      <c r="BG2717" s="1">
        <v>0</v>
      </c>
      <c r="BH2717" s="1">
        <v>1</v>
      </c>
      <c r="BI2717" s="1">
        <v>0</v>
      </c>
      <c r="BJ2717" s="1">
        <v>0</v>
      </c>
      <c r="BK2717" s="1">
        <v>0</v>
      </c>
      <c r="BL2717" s="1">
        <v>0</v>
      </c>
      <c r="BM2717" s="1">
        <v>0</v>
      </c>
      <c r="BN2717" s="1">
        <v>0</v>
      </c>
      <c r="BO2717" s="1">
        <v>0</v>
      </c>
      <c r="BP2717" s="1">
        <v>0</v>
      </c>
      <c r="BQ2717" s="1">
        <v>0</v>
      </c>
      <c r="BR2717" s="1">
        <v>0</v>
      </c>
      <c r="BS2717" s="1" t="s">
        <v>109</v>
      </c>
      <c r="BT2717" s="1">
        <v>4810</v>
      </c>
      <c r="BU2717" s="1" t="s">
        <v>109</v>
      </c>
      <c r="BV2717" s="1"/>
      <c r="BW2717" s="1"/>
      <c r="BX2717" s="1"/>
      <c r="BY2717" s="1"/>
      <c r="BZ2717" s="1">
        <v>0</v>
      </c>
      <c r="CA2717" s="1" t="s">
        <v>109</v>
      </c>
      <c r="CB2717" s="1" t="s">
        <v>109</v>
      </c>
      <c r="CC2717" s="1">
        <v>2</v>
      </c>
      <c r="CD2717" s="1" t="s">
        <v>109</v>
      </c>
      <c r="CE2717" s="1" t="s">
        <v>109</v>
      </c>
      <c r="CF2717" s="1" t="s">
        <v>109</v>
      </c>
      <c r="CG2717" s="1" t="s">
        <v>109</v>
      </c>
      <c r="CH2717" s="1" t="s">
        <v>109</v>
      </c>
      <c r="CI2717" s="1" t="s">
        <v>109</v>
      </c>
      <c r="CJ2717" s="1" t="s">
        <v>109</v>
      </c>
      <c r="CK2717" s="1"/>
      <c r="CL2717" s="1">
        <v>0</v>
      </c>
      <c r="CM2717" s="1">
        <v>0</v>
      </c>
      <c r="CN2717" s="1">
        <v>0</v>
      </c>
    </row>
    <row r="2718" spans="1:92" ht="14.25" customHeight="1" x14ac:dyDescent="0.15">
      <c r="A2718" s="1" t="s">
        <v>19203</v>
      </c>
      <c r="B2718" s="1" t="s">
        <v>156</v>
      </c>
      <c r="C2718" s="1" t="s">
        <v>157</v>
      </c>
      <c r="D2718" s="1" t="s">
        <v>158</v>
      </c>
      <c r="E2718" s="1" t="s">
        <v>15304</v>
      </c>
      <c r="F2718" s="1" t="s">
        <v>98</v>
      </c>
      <c r="G2718" s="1" t="s">
        <v>2345</v>
      </c>
      <c r="H2718" s="1">
        <v>0</v>
      </c>
      <c r="I2718" s="1" t="s">
        <v>142</v>
      </c>
      <c r="J2718" s="1"/>
      <c r="K2718" s="1"/>
      <c r="L2718" s="1" t="s">
        <v>1391</v>
      </c>
      <c r="M2718" s="1" t="s">
        <v>125</v>
      </c>
      <c r="N2718" s="1">
        <v>0</v>
      </c>
      <c r="O2718" s="1">
        <v>0</v>
      </c>
      <c r="P2718" s="1" t="s">
        <v>301</v>
      </c>
      <c r="Q2718" s="1" t="s">
        <v>268</v>
      </c>
      <c r="R2718" s="1" t="s">
        <v>19204</v>
      </c>
      <c r="S2718" s="1" t="s">
        <v>19205</v>
      </c>
      <c r="T2718" s="1" t="s">
        <v>19149</v>
      </c>
      <c r="U2718" s="1" t="s">
        <v>19206</v>
      </c>
      <c r="V2718" s="1">
        <v>0</v>
      </c>
      <c r="W2718" s="1">
        <v>1</v>
      </c>
      <c r="X2718" s="1">
        <v>0</v>
      </c>
      <c r="Y2718" s="1">
        <v>0</v>
      </c>
      <c r="Z2718" s="1">
        <v>0</v>
      </c>
      <c r="AA2718" s="1" t="s">
        <v>109</v>
      </c>
      <c r="AB2718" s="1" t="s">
        <v>109</v>
      </c>
      <c r="AC2718" s="1" t="s">
        <v>109</v>
      </c>
      <c r="AD2718" s="1" t="s">
        <v>109</v>
      </c>
      <c r="AE2718" s="1" t="s">
        <v>109</v>
      </c>
      <c r="AF2718" s="1" t="s">
        <v>109</v>
      </c>
      <c r="AG2718" s="1" t="s">
        <v>109</v>
      </c>
      <c r="AH2718" s="1" t="s">
        <v>109</v>
      </c>
      <c r="AI2718" s="1" t="s">
        <v>109</v>
      </c>
      <c r="AJ2718" s="1" t="s">
        <v>109</v>
      </c>
      <c r="AK2718" s="1" t="s">
        <v>109</v>
      </c>
      <c r="AL2718" s="1" t="s">
        <v>109</v>
      </c>
      <c r="AM2718" s="1" t="s">
        <v>109</v>
      </c>
      <c r="AN2718" s="1" t="s">
        <v>109</v>
      </c>
      <c r="AO2718" s="1" t="s">
        <v>109</v>
      </c>
      <c r="AP2718" s="1"/>
      <c r="AQ2718" s="1">
        <v>2</v>
      </c>
      <c r="AR2718" s="1"/>
      <c r="AS2718" s="1"/>
      <c r="AT2718" s="1">
        <v>0</v>
      </c>
      <c r="AU2718" s="1">
        <v>0</v>
      </c>
      <c r="AV2718" s="1">
        <v>0</v>
      </c>
      <c r="AW2718" s="1">
        <v>0</v>
      </c>
      <c r="AX2718" s="1">
        <v>0</v>
      </c>
      <c r="AY2718" s="1">
        <v>0</v>
      </c>
      <c r="AZ2718" s="1">
        <v>0</v>
      </c>
      <c r="BA2718" s="1">
        <v>0</v>
      </c>
      <c r="BB2718" s="1">
        <v>0</v>
      </c>
      <c r="BC2718" s="1">
        <v>0</v>
      </c>
      <c r="BD2718" s="1">
        <v>0</v>
      </c>
      <c r="BE2718" s="1">
        <v>0</v>
      </c>
      <c r="BF2718" s="1">
        <v>0</v>
      </c>
      <c r="BG2718" s="1">
        <v>0</v>
      </c>
      <c r="BH2718" s="1">
        <v>0</v>
      </c>
      <c r="BI2718" s="1">
        <v>0</v>
      </c>
      <c r="BJ2718" s="1">
        <v>0</v>
      </c>
      <c r="BK2718" s="1">
        <v>0</v>
      </c>
      <c r="BL2718" s="1">
        <v>0</v>
      </c>
      <c r="BM2718" s="1">
        <v>1</v>
      </c>
      <c r="BN2718" s="1">
        <v>0</v>
      </c>
      <c r="BO2718" s="1">
        <v>0</v>
      </c>
      <c r="BP2718" s="1">
        <v>0</v>
      </c>
      <c r="BQ2718" s="1">
        <v>0</v>
      </c>
      <c r="BR2718" s="1">
        <v>0</v>
      </c>
      <c r="BS2718" s="1" t="s">
        <v>109</v>
      </c>
      <c r="BT2718" s="1">
        <v>4811</v>
      </c>
      <c r="BU2718" s="1" t="s">
        <v>109</v>
      </c>
      <c r="BV2718" s="1"/>
      <c r="BW2718" s="1"/>
      <c r="BX2718" s="1"/>
      <c r="BY2718" s="1"/>
      <c r="BZ2718" s="1">
        <v>0</v>
      </c>
      <c r="CA2718" s="1" t="s">
        <v>109</v>
      </c>
      <c r="CB2718" s="1" t="s">
        <v>109</v>
      </c>
      <c r="CC2718" s="1">
        <v>2</v>
      </c>
      <c r="CD2718" s="1" t="s">
        <v>109</v>
      </c>
      <c r="CE2718" s="1" t="s">
        <v>109</v>
      </c>
      <c r="CF2718" s="1" t="s">
        <v>109</v>
      </c>
      <c r="CG2718" s="1" t="s">
        <v>109</v>
      </c>
      <c r="CH2718" s="1" t="s">
        <v>109</v>
      </c>
      <c r="CI2718" s="1" t="s">
        <v>109</v>
      </c>
      <c r="CJ2718" s="1" t="s">
        <v>109</v>
      </c>
      <c r="CK2718" s="1"/>
      <c r="CL2718" s="1">
        <v>0</v>
      </c>
      <c r="CM2718" s="1">
        <v>0</v>
      </c>
      <c r="CN2718" s="1">
        <v>0</v>
      </c>
    </row>
    <row r="2719" spans="1:92" ht="14.25" customHeight="1" x14ac:dyDescent="0.15">
      <c r="A2719" s="1" t="s">
        <v>19207</v>
      </c>
      <c r="B2719" s="1" t="s">
        <v>156</v>
      </c>
      <c r="C2719" s="1" t="s">
        <v>157</v>
      </c>
      <c r="D2719" s="1" t="s">
        <v>158</v>
      </c>
      <c r="E2719" s="1" t="s">
        <v>15182</v>
      </c>
      <c r="F2719" s="1" t="s">
        <v>98</v>
      </c>
      <c r="G2719" s="1" t="s">
        <v>2345</v>
      </c>
      <c r="H2719" s="1">
        <v>0</v>
      </c>
      <c r="I2719" s="1" t="s">
        <v>142</v>
      </c>
      <c r="J2719" s="1"/>
      <c r="K2719" s="1"/>
      <c r="L2719" s="1" t="s">
        <v>1391</v>
      </c>
      <c r="M2719" s="1" t="s">
        <v>125</v>
      </c>
      <c r="N2719" s="1">
        <v>0</v>
      </c>
      <c r="O2719" s="1">
        <v>0</v>
      </c>
      <c r="P2719" s="1" t="s">
        <v>301</v>
      </c>
      <c r="Q2719" s="1" t="s">
        <v>268</v>
      </c>
      <c r="R2719" s="1" t="s">
        <v>19208</v>
      </c>
      <c r="S2719" s="1" t="s">
        <v>19209</v>
      </c>
      <c r="T2719" s="1" t="s">
        <v>19149</v>
      </c>
      <c r="U2719" s="1" t="s">
        <v>19210</v>
      </c>
      <c r="V2719" s="1">
        <v>0</v>
      </c>
      <c r="W2719" s="1">
        <v>1</v>
      </c>
      <c r="X2719" s="1">
        <v>0</v>
      </c>
      <c r="Y2719" s="1">
        <v>0</v>
      </c>
      <c r="Z2719" s="1">
        <v>0</v>
      </c>
      <c r="AA2719" s="1" t="s">
        <v>109</v>
      </c>
      <c r="AB2719" s="1" t="s">
        <v>109</v>
      </c>
      <c r="AC2719" s="1" t="s">
        <v>109</v>
      </c>
      <c r="AD2719" s="1" t="s">
        <v>109</v>
      </c>
      <c r="AE2719" s="1" t="s">
        <v>109</v>
      </c>
      <c r="AF2719" s="1" t="s">
        <v>109</v>
      </c>
      <c r="AG2719" s="1" t="s">
        <v>109</v>
      </c>
      <c r="AH2719" s="1" t="s">
        <v>109</v>
      </c>
      <c r="AI2719" s="1" t="s">
        <v>109</v>
      </c>
      <c r="AJ2719" s="1" t="s">
        <v>109</v>
      </c>
      <c r="AK2719" s="1" t="s">
        <v>109</v>
      </c>
      <c r="AL2719" s="1" t="s">
        <v>109</v>
      </c>
      <c r="AM2719" s="1" t="s">
        <v>109</v>
      </c>
      <c r="AN2719" s="1" t="s">
        <v>109</v>
      </c>
      <c r="AO2719" s="1" t="s">
        <v>109</v>
      </c>
      <c r="AP2719" s="1"/>
      <c r="AQ2719" s="1">
        <v>3</v>
      </c>
      <c r="AR2719" s="1"/>
      <c r="AS2719" s="1"/>
      <c r="AT2719" s="1">
        <v>0</v>
      </c>
      <c r="AU2719" s="1">
        <v>0</v>
      </c>
      <c r="AV2719" s="1">
        <v>0</v>
      </c>
      <c r="AW2719" s="1">
        <v>0</v>
      </c>
      <c r="AX2719" s="1">
        <v>0</v>
      </c>
      <c r="AY2719" s="1">
        <v>0</v>
      </c>
      <c r="AZ2719" s="1">
        <v>0</v>
      </c>
      <c r="BA2719" s="1">
        <v>0</v>
      </c>
      <c r="BB2719" s="1">
        <v>0</v>
      </c>
      <c r="BC2719" s="1">
        <v>0</v>
      </c>
      <c r="BD2719" s="1">
        <v>0</v>
      </c>
      <c r="BE2719" s="1">
        <v>0</v>
      </c>
      <c r="BF2719" s="1">
        <v>0</v>
      </c>
      <c r="BG2719" s="1">
        <v>0</v>
      </c>
      <c r="BH2719" s="1">
        <v>0</v>
      </c>
      <c r="BI2719" s="1">
        <v>0</v>
      </c>
      <c r="BJ2719" s="1">
        <v>0</v>
      </c>
      <c r="BK2719" s="1">
        <v>0</v>
      </c>
      <c r="BL2719" s="1">
        <v>0</v>
      </c>
      <c r="BM2719" s="1">
        <v>1</v>
      </c>
      <c r="BN2719" s="1">
        <v>0</v>
      </c>
      <c r="BO2719" s="1">
        <v>0</v>
      </c>
      <c r="BP2719" s="1">
        <v>0</v>
      </c>
      <c r="BQ2719" s="1">
        <v>0</v>
      </c>
      <c r="BR2719" s="1">
        <v>0</v>
      </c>
      <c r="BS2719" s="1" t="s">
        <v>109</v>
      </c>
      <c r="BT2719" s="1">
        <v>4812</v>
      </c>
      <c r="BU2719" s="1" t="s">
        <v>109</v>
      </c>
      <c r="BV2719" s="1"/>
      <c r="BW2719" s="1"/>
      <c r="BX2719" s="1"/>
      <c r="BY2719" s="1"/>
      <c r="BZ2719" s="1">
        <v>0</v>
      </c>
      <c r="CA2719" s="1" t="s">
        <v>109</v>
      </c>
      <c r="CB2719" s="1" t="s">
        <v>109</v>
      </c>
      <c r="CC2719" s="1">
        <v>3</v>
      </c>
      <c r="CD2719" s="1" t="s">
        <v>109</v>
      </c>
      <c r="CE2719" s="1" t="s">
        <v>109</v>
      </c>
      <c r="CF2719" s="1" t="s">
        <v>109</v>
      </c>
      <c r="CG2719" s="1" t="s">
        <v>109</v>
      </c>
      <c r="CH2719" s="1" t="s">
        <v>109</v>
      </c>
      <c r="CI2719" s="1" t="s">
        <v>109</v>
      </c>
      <c r="CJ2719" s="1" t="s">
        <v>109</v>
      </c>
      <c r="CK2719" s="1"/>
      <c r="CL2719" s="1">
        <v>0</v>
      </c>
      <c r="CM2719" s="1">
        <v>0</v>
      </c>
      <c r="CN2719" s="1">
        <v>0</v>
      </c>
    </row>
    <row r="2720" spans="1:92" ht="14.25" customHeight="1" x14ac:dyDescent="0.15">
      <c r="A2720" s="1" t="s">
        <v>19211</v>
      </c>
      <c r="B2720" s="1" t="s">
        <v>156</v>
      </c>
      <c r="C2720" s="1" t="s">
        <v>157</v>
      </c>
      <c r="D2720" s="1" t="s">
        <v>158</v>
      </c>
      <c r="E2720" s="1" t="s">
        <v>15189</v>
      </c>
      <c r="F2720" s="1" t="s">
        <v>98</v>
      </c>
      <c r="G2720" s="1" t="s">
        <v>2345</v>
      </c>
      <c r="H2720" s="1">
        <v>0</v>
      </c>
      <c r="I2720" s="1" t="s">
        <v>142</v>
      </c>
      <c r="J2720" s="1"/>
      <c r="K2720" s="1"/>
      <c r="L2720" s="1" t="s">
        <v>1391</v>
      </c>
      <c r="M2720" s="1" t="s">
        <v>125</v>
      </c>
      <c r="N2720" s="1">
        <v>0</v>
      </c>
      <c r="O2720" s="1">
        <v>0</v>
      </c>
      <c r="P2720" s="1" t="s">
        <v>7902</v>
      </c>
      <c r="Q2720" s="1" t="s">
        <v>268</v>
      </c>
      <c r="R2720" s="1" t="s">
        <v>19212</v>
      </c>
      <c r="S2720" s="1" t="s">
        <v>19213</v>
      </c>
      <c r="T2720" s="1" t="s">
        <v>19149</v>
      </c>
      <c r="U2720" s="1" t="s">
        <v>19214</v>
      </c>
      <c r="V2720" s="1">
        <v>0</v>
      </c>
      <c r="W2720" s="1">
        <v>1</v>
      </c>
      <c r="X2720" s="1">
        <v>0</v>
      </c>
      <c r="Y2720" s="1">
        <v>0</v>
      </c>
      <c r="Z2720" s="1">
        <v>0</v>
      </c>
      <c r="AA2720" s="1" t="s">
        <v>109</v>
      </c>
      <c r="AB2720" s="1" t="s">
        <v>109</v>
      </c>
      <c r="AC2720" s="1" t="s">
        <v>109</v>
      </c>
      <c r="AD2720" s="1" t="s">
        <v>109</v>
      </c>
      <c r="AE2720" s="1" t="s">
        <v>109</v>
      </c>
      <c r="AF2720" s="1" t="s">
        <v>109</v>
      </c>
      <c r="AG2720" s="1" t="s">
        <v>109</v>
      </c>
      <c r="AH2720" s="1" t="s">
        <v>109</v>
      </c>
      <c r="AI2720" s="1" t="s">
        <v>109</v>
      </c>
      <c r="AJ2720" s="1" t="s">
        <v>109</v>
      </c>
      <c r="AK2720" s="1" t="s">
        <v>109</v>
      </c>
      <c r="AL2720" s="1" t="s">
        <v>109</v>
      </c>
      <c r="AM2720" s="1" t="s">
        <v>109</v>
      </c>
      <c r="AN2720" s="1" t="s">
        <v>109</v>
      </c>
      <c r="AO2720" s="1" t="s">
        <v>109</v>
      </c>
      <c r="AP2720" s="1"/>
      <c r="AQ2720" s="1">
        <v>4</v>
      </c>
      <c r="AR2720" s="1"/>
      <c r="AS2720" s="1"/>
      <c r="AT2720" s="1">
        <v>0</v>
      </c>
      <c r="AU2720" s="1">
        <v>0</v>
      </c>
      <c r="AV2720" s="1">
        <v>0</v>
      </c>
      <c r="AW2720" s="1">
        <v>0</v>
      </c>
      <c r="AX2720" s="1">
        <v>0</v>
      </c>
      <c r="AY2720" s="1">
        <v>0</v>
      </c>
      <c r="AZ2720" s="1">
        <v>0</v>
      </c>
      <c r="BA2720" s="1">
        <v>0</v>
      </c>
      <c r="BB2720" s="1">
        <v>0</v>
      </c>
      <c r="BC2720" s="1">
        <v>0</v>
      </c>
      <c r="BD2720" s="1">
        <v>0</v>
      </c>
      <c r="BE2720" s="1">
        <v>0</v>
      </c>
      <c r="BF2720" s="1">
        <v>0</v>
      </c>
      <c r="BG2720" s="1">
        <v>0</v>
      </c>
      <c r="BH2720" s="1">
        <v>0</v>
      </c>
      <c r="BI2720" s="1">
        <v>0</v>
      </c>
      <c r="BJ2720" s="1">
        <v>0</v>
      </c>
      <c r="BK2720" s="1">
        <v>0</v>
      </c>
      <c r="BL2720" s="1">
        <v>0</v>
      </c>
      <c r="BM2720" s="1">
        <v>1</v>
      </c>
      <c r="BN2720" s="1">
        <v>0</v>
      </c>
      <c r="BO2720" s="1">
        <v>0</v>
      </c>
      <c r="BP2720" s="1">
        <v>0</v>
      </c>
      <c r="BQ2720" s="1">
        <v>0</v>
      </c>
      <c r="BR2720" s="1">
        <v>0</v>
      </c>
      <c r="BS2720" s="1" t="s">
        <v>109</v>
      </c>
      <c r="BT2720" s="1">
        <v>4813</v>
      </c>
      <c r="BU2720" s="1" t="s">
        <v>109</v>
      </c>
      <c r="BV2720" s="1"/>
      <c r="BW2720" s="1"/>
      <c r="BX2720" s="1"/>
      <c r="BY2720" s="1"/>
      <c r="BZ2720" s="1">
        <v>0</v>
      </c>
      <c r="CA2720" s="1" t="s">
        <v>109</v>
      </c>
      <c r="CB2720" s="1" t="s">
        <v>109</v>
      </c>
      <c r="CC2720" s="1">
        <v>4</v>
      </c>
      <c r="CD2720" s="1" t="s">
        <v>109</v>
      </c>
      <c r="CE2720" s="1" t="s">
        <v>109</v>
      </c>
      <c r="CF2720" s="1" t="s">
        <v>109</v>
      </c>
      <c r="CG2720" s="1" t="s">
        <v>109</v>
      </c>
      <c r="CH2720" s="1" t="s">
        <v>109</v>
      </c>
      <c r="CI2720" s="1" t="s">
        <v>109</v>
      </c>
      <c r="CJ2720" s="1" t="s">
        <v>109</v>
      </c>
      <c r="CK2720" s="1"/>
      <c r="CL2720" s="1">
        <v>0</v>
      </c>
      <c r="CM2720" s="1">
        <v>0</v>
      </c>
      <c r="CN2720" s="1">
        <v>0</v>
      </c>
    </row>
    <row r="2721" spans="1:92" ht="14.25" customHeight="1" x14ac:dyDescent="0.15">
      <c r="A2721" s="1" t="s">
        <v>19215</v>
      </c>
      <c r="B2721" s="1" t="s">
        <v>156</v>
      </c>
      <c r="C2721" s="1" t="s">
        <v>157</v>
      </c>
      <c r="D2721" s="1" t="s">
        <v>158</v>
      </c>
      <c r="E2721" s="1" t="s">
        <v>15195</v>
      </c>
      <c r="F2721" s="1" t="s">
        <v>98</v>
      </c>
      <c r="G2721" s="1" t="s">
        <v>2345</v>
      </c>
      <c r="H2721" s="1">
        <v>0</v>
      </c>
      <c r="I2721" s="1" t="s">
        <v>142</v>
      </c>
      <c r="J2721" s="1"/>
      <c r="K2721" s="1"/>
      <c r="L2721" s="1" t="s">
        <v>1391</v>
      </c>
      <c r="M2721" s="1" t="s">
        <v>125</v>
      </c>
      <c r="N2721" s="1">
        <v>0</v>
      </c>
      <c r="O2721" s="1">
        <v>0</v>
      </c>
      <c r="P2721" s="1" t="s">
        <v>7902</v>
      </c>
      <c r="Q2721" s="1" t="s">
        <v>268</v>
      </c>
      <c r="R2721" s="1" t="s">
        <v>19216</v>
      </c>
      <c r="S2721" s="1" t="s">
        <v>19217</v>
      </c>
      <c r="T2721" s="1" t="s">
        <v>19149</v>
      </c>
      <c r="U2721" s="1" t="s">
        <v>19218</v>
      </c>
      <c r="V2721" s="1">
        <v>0</v>
      </c>
      <c r="W2721" s="1">
        <v>1</v>
      </c>
      <c r="X2721" s="1">
        <v>0</v>
      </c>
      <c r="Y2721" s="1">
        <v>0</v>
      </c>
      <c r="Z2721" s="1">
        <v>0</v>
      </c>
      <c r="AA2721" s="1" t="s">
        <v>109</v>
      </c>
      <c r="AB2721" s="1" t="s">
        <v>109</v>
      </c>
      <c r="AC2721" s="1" t="s">
        <v>109</v>
      </c>
      <c r="AD2721" s="1" t="s">
        <v>109</v>
      </c>
      <c r="AE2721" s="1" t="s">
        <v>109</v>
      </c>
      <c r="AF2721" s="1" t="s">
        <v>109</v>
      </c>
      <c r="AG2721" s="1" t="s">
        <v>109</v>
      </c>
      <c r="AH2721" s="1" t="s">
        <v>109</v>
      </c>
      <c r="AI2721" s="1" t="s">
        <v>109</v>
      </c>
      <c r="AJ2721" s="1" t="s">
        <v>109</v>
      </c>
      <c r="AK2721" s="1" t="s">
        <v>109</v>
      </c>
      <c r="AL2721" s="1" t="s">
        <v>109</v>
      </c>
      <c r="AM2721" s="1" t="s">
        <v>109</v>
      </c>
      <c r="AN2721" s="1" t="s">
        <v>109</v>
      </c>
      <c r="AO2721" s="1" t="s">
        <v>109</v>
      </c>
      <c r="AP2721" s="1"/>
      <c r="AQ2721" s="1">
        <v>5</v>
      </c>
      <c r="AR2721" s="1"/>
      <c r="AS2721" s="1"/>
      <c r="AT2721" s="1">
        <v>0</v>
      </c>
      <c r="AU2721" s="1">
        <v>0</v>
      </c>
      <c r="AV2721" s="1">
        <v>0</v>
      </c>
      <c r="AW2721" s="1">
        <v>0</v>
      </c>
      <c r="AX2721" s="1">
        <v>0</v>
      </c>
      <c r="AY2721" s="1">
        <v>0</v>
      </c>
      <c r="AZ2721" s="1">
        <v>0</v>
      </c>
      <c r="BA2721" s="1">
        <v>0</v>
      </c>
      <c r="BB2721" s="1">
        <v>0</v>
      </c>
      <c r="BC2721" s="1">
        <v>0</v>
      </c>
      <c r="BD2721" s="1">
        <v>0</v>
      </c>
      <c r="BE2721" s="1">
        <v>0</v>
      </c>
      <c r="BF2721" s="1">
        <v>0</v>
      </c>
      <c r="BG2721" s="1">
        <v>0</v>
      </c>
      <c r="BH2721" s="1">
        <v>0</v>
      </c>
      <c r="BI2721" s="1">
        <v>0</v>
      </c>
      <c r="BJ2721" s="1">
        <v>0</v>
      </c>
      <c r="BK2721" s="1">
        <v>0</v>
      </c>
      <c r="BL2721" s="1">
        <v>0</v>
      </c>
      <c r="BM2721" s="1">
        <v>1</v>
      </c>
      <c r="BN2721" s="1">
        <v>0</v>
      </c>
      <c r="BO2721" s="1">
        <v>0</v>
      </c>
      <c r="BP2721" s="1">
        <v>0</v>
      </c>
      <c r="BQ2721" s="1">
        <v>0</v>
      </c>
      <c r="BR2721" s="1">
        <v>0</v>
      </c>
      <c r="BS2721" s="1" t="s">
        <v>109</v>
      </c>
      <c r="BT2721" s="1">
        <v>4814</v>
      </c>
      <c r="BU2721" s="1" t="s">
        <v>109</v>
      </c>
      <c r="BV2721" s="1"/>
      <c r="BW2721" s="1"/>
      <c r="BX2721" s="1"/>
      <c r="BY2721" s="1"/>
      <c r="BZ2721" s="1">
        <v>0</v>
      </c>
      <c r="CA2721" s="1" t="s">
        <v>109</v>
      </c>
      <c r="CB2721" s="1" t="s">
        <v>109</v>
      </c>
      <c r="CC2721" s="1">
        <v>5</v>
      </c>
      <c r="CD2721" s="1" t="s">
        <v>109</v>
      </c>
      <c r="CE2721" s="1" t="s">
        <v>109</v>
      </c>
      <c r="CF2721" s="1" t="s">
        <v>109</v>
      </c>
      <c r="CG2721" s="1" t="s">
        <v>109</v>
      </c>
      <c r="CH2721" s="1" t="s">
        <v>109</v>
      </c>
      <c r="CI2721" s="1" t="s">
        <v>109</v>
      </c>
      <c r="CJ2721" s="1" t="s">
        <v>109</v>
      </c>
      <c r="CK2721" s="1"/>
      <c r="CL2721" s="1">
        <v>0</v>
      </c>
      <c r="CM2721" s="1">
        <v>0</v>
      </c>
      <c r="CN2721" s="1">
        <v>0</v>
      </c>
    </row>
    <row r="2722" spans="1:92" ht="14.25" customHeight="1" x14ac:dyDescent="0.15">
      <c r="A2722" s="1" t="s">
        <v>19219</v>
      </c>
      <c r="B2722" s="1" t="s">
        <v>189</v>
      </c>
      <c r="C2722" s="1" t="s">
        <v>231</v>
      </c>
      <c r="D2722" s="1"/>
      <c r="E2722" s="1" t="s">
        <v>19220</v>
      </c>
      <c r="F2722" s="1" t="s">
        <v>98</v>
      </c>
      <c r="G2722" s="1" t="s">
        <v>160</v>
      </c>
      <c r="H2722" s="1">
        <v>0</v>
      </c>
      <c r="I2722" s="1" t="s">
        <v>235</v>
      </c>
      <c r="J2722" s="1"/>
      <c r="K2722" s="1"/>
      <c r="L2722" s="1" t="s">
        <v>236</v>
      </c>
      <c r="M2722" s="1" t="s">
        <v>14219</v>
      </c>
      <c r="N2722" s="1">
        <v>0</v>
      </c>
      <c r="O2722" s="1">
        <v>0</v>
      </c>
      <c r="P2722" s="1" t="s">
        <v>103</v>
      </c>
      <c r="Q2722" s="1" t="s">
        <v>167</v>
      </c>
      <c r="R2722" s="1" t="s">
        <v>19221</v>
      </c>
      <c r="S2722" s="1" t="s">
        <v>19222</v>
      </c>
      <c r="T2722" s="1" t="s">
        <v>19223</v>
      </c>
      <c r="U2722" s="1" t="s">
        <v>19224</v>
      </c>
      <c r="V2722" s="1">
        <v>1</v>
      </c>
      <c r="W2722" s="1">
        <v>1</v>
      </c>
      <c r="X2722" s="1">
        <v>0</v>
      </c>
      <c r="Y2722" s="1">
        <v>0</v>
      </c>
      <c r="Z2722" s="1">
        <v>1</v>
      </c>
      <c r="AA2722" s="1">
        <v>3</v>
      </c>
      <c r="AB2722" s="1">
        <v>3</v>
      </c>
      <c r="AC2722" s="1" t="s">
        <v>109</v>
      </c>
      <c r="AD2722" s="1">
        <v>3</v>
      </c>
      <c r="AE2722" s="1">
        <v>3</v>
      </c>
      <c r="AF2722" s="1" t="s">
        <v>109</v>
      </c>
      <c r="AG2722" s="1" t="s">
        <v>109</v>
      </c>
      <c r="AH2722" s="1">
        <v>3</v>
      </c>
      <c r="AI2722" s="1" t="s">
        <v>109</v>
      </c>
      <c r="AJ2722" s="1" t="s">
        <v>109</v>
      </c>
      <c r="AK2722" s="1" t="s">
        <v>109</v>
      </c>
      <c r="AL2722" s="1" t="s">
        <v>109</v>
      </c>
      <c r="AM2722" s="1" t="s">
        <v>109</v>
      </c>
      <c r="AN2722" s="1">
        <v>3</v>
      </c>
      <c r="AO2722" s="1" t="s">
        <v>109</v>
      </c>
      <c r="AP2722" s="1"/>
      <c r="AQ2722" s="1">
        <v>3</v>
      </c>
      <c r="AR2722" s="1"/>
      <c r="AS2722" s="1"/>
      <c r="AT2722" s="1">
        <v>0</v>
      </c>
      <c r="AU2722" s="1">
        <v>0</v>
      </c>
      <c r="AV2722" s="1">
        <v>0</v>
      </c>
      <c r="AW2722" s="1">
        <v>0</v>
      </c>
      <c r="AX2722" s="1">
        <v>0</v>
      </c>
      <c r="AY2722" s="1">
        <v>0</v>
      </c>
      <c r="AZ2722" s="1">
        <v>0</v>
      </c>
      <c r="BA2722" s="1">
        <v>0</v>
      </c>
      <c r="BB2722" s="1">
        <v>0</v>
      </c>
      <c r="BC2722" s="1">
        <v>0</v>
      </c>
      <c r="BD2722" s="1">
        <v>0</v>
      </c>
      <c r="BE2722" s="1">
        <v>0</v>
      </c>
      <c r="BF2722" s="1">
        <v>0</v>
      </c>
      <c r="BG2722" s="1">
        <v>0</v>
      </c>
      <c r="BH2722" s="1">
        <v>0</v>
      </c>
      <c r="BI2722" s="1">
        <v>0</v>
      </c>
      <c r="BJ2722" s="1">
        <v>0</v>
      </c>
      <c r="BK2722" s="1">
        <v>0</v>
      </c>
      <c r="BL2722" s="1">
        <v>0</v>
      </c>
      <c r="BM2722" s="1">
        <v>0</v>
      </c>
      <c r="BN2722" s="1">
        <v>0</v>
      </c>
      <c r="BO2722" s="1">
        <v>0</v>
      </c>
      <c r="BP2722" s="1">
        <v>0</v>
      </c>
      <c r="BQ2722" s="1">
        <v>0</v>
      </c>
      <c r="BR2722" s="1">
        <v>0</v>
      </c>
      <c r="BS2722" s="1" t="s">
        <v>109</v>
      </c>
      <c r="BT2722" s="1">
        <v>4815</v>
      </c>
      <c r="BU2722" s="1" t="s">
        <v>109</v>
      </c>
      <c r="BV2722" s="1"/>
      <c r="BW2722" s="1"/>
      <c r="BX2722" s="1"/>
      <c r="BY2722" s="1"/>
      <c r="BZ2722" s="1">
        <v>0</v>
      </c>
      <c r="CA2722" s="1">
        <v>3</v>
      </c>
      <c r="CB2722" s="1" t="s">
        <v>109</v>
      </c>
      <c r="CC2722" s="1" t="s">
        <v>109</v>
      </c>
      <c r="CD2722" s="1" t="s">
        <v>109</v>
      </c>
      <c r="CE2722" s="1" t="s">
        <v>109</v>
      </c>
      <c r="CF2722" s="1" t="s">
        <v>109</v>
      </c>
      <c r="CG2722" s="1" t="s">
        <v>109</v>
      </c>
      <c r="CH2722" s="1" t="s">
        <v>109</v>
      </c>
      <c r="CI2722" s="1" t="s">
        <v>109</v>
      </c>
      <c r="CJ2722" s="1">
        <v>3</v>
      </c>
      <c r="CK2722" s="1"/>
      <c r="CL2722" s="1">
        <v>0</v>
      </c>
      <c r="CM2722" s="1">
        <v>0</v>
      </c>
      <c r="CN2722" s="1">
        <v>0</v>
      </c>
    </row>
    <row r="2723" spans="1:92" ht="14.25" customHeight="1" x14ac:dyDescent="0.15">
      <c r="A2723" s="1" t="s">
        <v>19225</v>
      </c>
      <c r="B2723" s="1" t="s">
        <v>156</v>
      </c>
      <c r="C2723" s="1" t="s">
        <v>157</v>
      </c>
      <c r="D2723" s="1"/>
      <c r="E2723" s="1" t="s">
        <v>19226</v>
      </c>
      <c r="F2723" s="1" t="s">
        <v>1963</v>
      </c>
      <c r="G2723" s="1" t="s">
        <v>141</v>
      </c>
      <c r="H2723" s="1">
        <v>0</v>
      </c>
      <c r="I2723" s="1" t="s">
        <v>142</v>
      </c>
      <c r="J2723" s="1"/>
      <c r="K2723" s="1"/>
      <c r="L2723" s="1" t="s">
        <v>1391</v>
      </c>
      <c r="M2723" s="1" t="s">
        <v>144</v>
      </c>
      <c r="N2723" s="1">
        <v>0</v>
      </c>
      <c r="O2723" s="1">
        <v>0</v>
      </c>
      <c r="P2723" s="1" t="s">
        <v>301</v>
      </c>
      <c r="Q2723" s="1" t="s">
        <v>268</v>
      </c>
      <c r="R2723" s="1" t="s">
        <v>19227</v>
      </c>
      <c r="S2723" s="1" t="s">
        <v>19228</v>
      </c>
      <c r="T2723" s="1" t="s">
        <v>19223</v>
      </c>
      <c r="U2723" s="1" t="s">
        <v>19229</v>
      </c>
      <c r="V2723" s="1">
        <v>1</v>
      </c>
      <c r="W2723" s="1">
        <v>1</v>
      </c>
      <c r="X2723" s="1">
        <v>0</v>
      </c>
      <c r="Y2723" s="1">
        <v>0</v>
      </c>
      <c r="Z2723" s="1">
        <v>0</v>
      </c>
      <c r="AA2723" s="1" t="s">
        <v>109</v>
      </c>
      <c r="AB2723" s="1" t="s">
        <v>109</v>
      </c>
      <c r="AC2723" s="1">
        <v>1</v>
      </c>
      <c r="AD2723" s="1" t="s">
        <v>109</v>
      </c>
      <c r="AE2723" s="1" t="s">
        <v>109</v>
      </c>
      <c r="AF2723" s="1" t="s">
        <v>109</v>
      </c>
      <c r="AG2723" s="1" t="s">
        <v>109</v>
      </c>
      <c r="AH2723" s="1" t="s">
        <v>109</v>
      </c>
      <c r="AI2723" s="1" t="s">
        <v>109</v>
      </c>
      <c r="AJ2723" s="1">
        <v>1</v>
      </c>
      <c r="AK2723" s="1">
        <v>1</v>
      </c>
      <c r="AL2723" s="1">
        <v>1</v>
      </c>
      <c r="AM2723" s="1">
        <v>1</v>
      </c>
      <c r="AN2723" s="1" t="s">
        <v>109</v>
      </c>
      <c r="AO2723" s="1" t="s">
        <v>109</v>
      </c>
      <c r="AP2723" s="1"/>
      <c r="AQ2723" s="1">
        <v>1</v>
      </c>
      <c r="AR2723" s="1"/>
      <c r="AS2723" s="1"/>
      <c r="AT2723" s="1">
        <v>0</v>
      </c>
      <c r="AU2723" s="1">
        <v>0</v>
      </c>
      <c r="AV2723" s="1">
        <v>0</v>
      </c>
      <c r="AW2723" s="1">
        <v>0</v>
      </c>
      <c r="AX2723" s="1">
        <v>0</v>
      </c>
      <c r="AY2723" s="1">
        <v>0</v>
      </c>
      <c r="AZ2723" s="1">
        <v>0</v>
      </c>
      <c r="BA2723" s="1">
        <v>0</v>
      </c>
      <c r="BB2723" s="1">
        <v>0</v>
      </c>
      <c r="BC2723" s="1">
        <v>0</v>
      </c>
      <c r="BD2723" s="1">
        <v>0</v>
      </c>
      <c r="BE2723" s="1">
        <v>0</v>
      </c>
      <c r="BF2723" s="1">
        <v>0</v>
      </c>
      <c r="BG2723" s="1">
        <v>0</v>
      </c>
      <c r="BH2723" s="1">
        <v>0</v>
      </c>
      <c r="BI2723" s="1">
        <v>0</v>
      </c>
      <c r="BJ2723" s="1">
        <v>0</v>
      </c>
      <c r="BK2723" s="1">
        <v>0</v>
      </c>
      <c r="BL2723" s="1">
        <v>0</v>
      </c>
      <c r="BM2723" s="1">
        <v>0</v>
      </c>
      <c r="BN2723" s="1">
        <v>0</v>
      </c>
      <c r="BO2723" s="1">
        <v>0</v>
      </c>
      <c r="BP2723" s="1">
        <v>0</v>
      </c>
      <c r="BQ2723" s="1">
        <v>0</v>
      </c>
      <c r="BR2723" s="1">
        <v>0</v>
      </c>
      <c r="BS2723" s="1" t="s">
        <v>109</v>
      </c>
      <c r="BT2723" s="1">
        <v>4816</v>
      </c>
      <c r="BU2723" s="1" t="s">
        <v>109</v>
      </c>
      <c r="BV2723" s="1"/>
      <c r="BW2723" s="1"/>
      <c r="BX2723" s="1"/>
      <c r="BY2723" s="1"/>
      <c r="BZ2723" s="1">
        <v>0</v>
      </c>
      <c r="CA2723" s="1" t="s">
        <v>109</v>
      </c>
      <c r="CB2723" s="1" t="s">
        <v>109</v>
      </c>
      <c r="CC2723" s="1">
        <v>1</v>
      </c>
      <c r="CD2723" s="1" t="s">
        <v>109</v>
      </c>
      <c r="CE2723" s="1">
        <v>1</v>
      </c>
      <c r="CF2723" s="1" t="s">
        <v>109</v>
      </c>
      <c r="CG2723" s="1" t="s">
        <v>109</v>
      </c>
      <c r="CH2723" s="1" t="s">
        <v>109</v>
      </c>
      <c r="CI2723" s="1" t="s">
        <v>109</v>
      </c>
      <c r="CJ2723" s="1" t="s">
        <v>109</v>
      </c>
      <c r="CK2723" s="1"/>
      <c r="CL2723" s="1">
        <v>0</v>
      </c>
      <c r="CM2723" s="1">
        <v>0</v>
      </c>
      <c r="CN2723" s="1">
        <v>0</v>
      </c>
    </row>
    <row r="2724" spans="1:92" ht="14.25" customHeight="1" x14ac:dyDescent="0.15">
      <c r="A2724" s="1" t="s">
        <v>19230</v>
      </c>
      <c r="B2724" s="1" t="s">
        <v>95</v>
      </c>
      <c r="C2724" s="1" t="s">
        <v>96</v>
      </c>
      <c r="D2724" s="1"/>
      <c r="E2724" s="1" t="s">
        <v>19231</v>
      </c>
      <c r="F2724" s="1" t="s">
        <v>277</v>
      </c>
      <c r="G2724" s="1" t="s">
        <v>141</v>
      </c>
      <c r="H2724" s="1">
        <v>0</v>
      </c>
      <c r="I2724" s="1" t="s">
        <v>3776</v>
      </c>
      <c r="J2724" s="1"/>
      <c r="K2724" s="1" t="s">
        <v>19232</v>
      </c>
      <c r="L2724" s="1"/>
      <c r="M2724" s="1" t="s">
        <v>6625</v>
      </c>
      <c r="N2724" s="1">
        <v>1</v>
      </c>
      <c r="O2724" s="1">
        <v>0</v>
      </c>
      <c r="P2724" s="1" t="s">
        <v>103</v>
      </c>
      <c r="Q2724" s="1" t="s">
        <v>104</v>
      </c>
      <c r="R2724" s="1" t="s">
        <v>19233</v>
      </c>
      <c r="S2724" s="1" t="s">
        <v>19234</v>
      </c>
      <c r="T2724" s="1" t="s">
        <v>19235</v>
      </c>
      <c r="U2724" s="1" t="s">
        <v>19236</v>
      </c>
      <c r="V2724" s="1">
        <v>1</v>
      </c>
      <c r="W2724" s="1">
        <v>1</v>
      </c>
      <c r="X2724" s="1">
        <v>0</v>
      </c>
      <c r="Y2724" s="1">
        <v>0</v>
      </c>
      <c r="Z2724" s="1">
        <v>0</v>
      </c>
      <c r="AA2724" s="1">
        <v>3</v>
      </c>
      <c r="AB2724" s="1">
        <v>3</v>
      </c>
      <c r="AC2724" s="1" t="s">
        <v>109</v>
      </c>
      <c r="AD2724" s="1">
        <v>3</v>
      </c>
      <c r="AE2724" s="1">
        <v>3</v>
      </c>
      <c r="AF2724" s="1">
        <v>3</v>
      </c>
      <c r="AG2724" s="1" t="s">
        <v>109</v>
      </c>
      <c r="AH2724" s="1" t="s">
        <v>109</v>
      </c>
      <c r="AI2724" s="1" t="s">
        <v>109</v>
      </c>
      <c r="AJ2724" s="1" t="s">
        <v>109</v>
      </c>
      <c r="AK2724" s="1" t="s">
        <v>109</v>
      </c>
      <c r="AL2724" s="1" t="s">
        <v>109</v>
      </c>
      <c r="AM2724" s="1" t="s">
        <v>109</v>
      </c>
      <c r="AN2724" s="1" t="s">
        <v>109</v>
      </c>
      <c r="AO2724" s="1" t="s">
        <v>109</v>
      </c>
      <c r="AP2724" s="1"/>
      <c r="AQ2724" s="1">
        <v>3</v>
      </c>
      <c r="AR2724" s="1"/>
      <c r="AS2724" s="1"/>
      <c r="AT2724" s="1">
        <v>0</v>
      </c>
      <c r="AU2724" s="1">
        <v>0</v>
      </c>
      <c r="AV2724" s="1">
        <v>0</v>
      </c>
      <c r="AW2724" s="1">
        <v>0</v>
      </c>
      <c r="AX2724" s="1">
        <v>0</v>
      </c>
      <c r="AY2724" s="1">
        <v>0</v>
      </c>
      <c r="AZ2724" s="1">
        <v>0</v>
      </c>
      <c r="BA2724" s="1">
        <v>0</v>
      </c>
      <c r="BB2724" s="1">
        <v>0</v>
      </c>
      <c r="BC2724" s="1">
        <v>0</v>
      </c>
      <c r="BD2724" s="1">
        <v>0</v>
      </c>
      <c r="BE2724" s="1">
        <v>0</v>
      </c>
      <c r="BF2724" s="1">
        <v>0</v>
      </c>
      <c r="BG2724" s="1">
        <v>0</v>
      </c>
      <c r="BH2724" s="1">
        <v>0</v>
      </c>
      <c r="BI2724" s="1">
        <v>0</v>
      </c>
      <c r="BJ2724" s="1">
        <v>0</v>
      </c>
      <c r="BK2724" s="1">
        <v>0</v>
      </c>
      <c r="BL2724" s="1">
        <v>0</v>
      </c>
      <c r="BM2724" s="1">
        <v>0</v>
      </c>
      <c r="BN2724" s="1">
        <v>0</v>
      </c>
      <c r="BO2724" s="1">
        <v>0</v>
      </c>
      <c r="BP2724" s="1">
        <v>0</v>
      </c>
      <c r="BQ2724" s="1">
        <v>0</v>
      </c>
      <c r="BR2724" s="1">
        <v>0</v>
      </c>
      <c r="BS2724" s="1" t="s">
        <v>109</v>
      </c>
      <c r="BT2724" s="1">
        <v>4817</v>
      </c>
      <c r="BU2724" s="1" t="s">
        <v>109</v>
      </c>
      <c r="BV2724" s="1"/>
      <c r="BW2724" s="1"/>
      <c r="BX2724" s="1"/>
      <c r="BY2724" s="1"/>
      <c r="BZ2724" s="1">
        <v>0</v>
      </c>
      <c r="CA2724" s="1" t="s">
        <v>109</v>
      </c>
      <c r="CB2724" s="1">
        <v>3</v>
      </c>
      <c r="CC2724" s="1" t="s">
        <v>109</v>
      </c>
      <c r="CD2724" s="1" t="s">
        <v>109</v>
      </c>
      <c r="CE2724" s="1" t="s">
        <v>109</v>
      </c>
      <c r="CF2724" s="1" t="s">
        <v>109</v>
      </c>
      <c r="CG2724" s="1" t="s">
        <v>109</v>
      </c>
      <c r="CH2724" s="1" t="s">
        <v>109</v>
      </c>
      <c r="CI2724" s="1" t="s">
        <v>109</v>
      </c>
      <c r="CJ2724" s="1">
        <v>3</v>
      </c>
      <c r="CK2724" s="1"/>
      <c r="CL2724" s="1">
        <v>0</v>
      </c>
      <c r="CM2724" s="1">
        <v>0</v>
      </c>
      <c r="CN2724" s="1">
        <v>0</v>
      </c>
    </row>
    <row r="2725" spans="1:92" ht="14.25" customHeight="1" x14ac:dyDescent="0.15">
      <c r="A2725" s="1" t="s">
        <v>19237</v>
      </c>
      <c r="B2725" s="1" t="s">
        <v>95</v>
      </c>
      <c r="C2725" s="1" t="s">
        <v>96</v>
      </c>
      <c r="D2725" s="1"/>
      <c r="E2725" s="1" t="s">
        <v>14018</v>
      </c>
      <c r="F2725" s="1" t="s">
        <v>98</v>
      </c>
      <c r="G2725" s="1" t="s">
        <v>19238</v>
      </c>
      <c r="H2725" s="1">
        <v>0</v>
      </c>
      <c r="I2725" s="1" t="s">
        <v>161</v>
      </c>
      <c r="J2725" s="1"/>
      <c r="K2725" s="1"/>
      <c r="L2725" s="1" t="s">
        <v>19239</v>
      </c>
      <c r="M2725" s="1" t="s">
        <v>6719</v>
      </c>
      <c r="N2725" s="1">
        <v>1</v>
      </c>
      <c r="O2725" s="1">
        <v>0</v>
      </c>
      <c r="P2725" s="1" t="s">
        <v>103</v>
      </c>
      <c r="Q2725" s="1" t="s">
        <v>104</v>
      </c>
      <c r="R2725" s="1" t="s">
        <v>19240</v>
      </c>
      <c r="S2725" s="1" t="s">
        <v>19241</v>
      </c>
      <c r="T2725" s="1" t="s">
        <v>19235</v>
      </c>
      <c r="U2725" s="1" t="s">
        <v>19242</v>
      </c>
      <c r="V2725" s="1">
        <v>1</v>
      </c>
      <c r="W2725" s="1">
        <v>1</v>
      </c>
      <c r="X2725" s="1">
        <v>1</v>
      </c>
      <c r="Y2725" s="1">
        <v>0</v>
      </c>
      <c r="Z2725" s="1">
        <v>0</v>
      </c>
      <c r="AA2725" s="1" t="s">
        <v>109</v>
      </c>
      <c r="AB2725" s="1" t="s">
        <v>109</v>
      </c>
      <c r="AC2725" s="1" t="s">
        <v>109</v>
      </c>
      <c r="AD2725" s="1">
        <v>3</v>
      </c>
      <c r="AE2725" s="1">
        <v>3</v>
      </c>
      <c r="AF2725" s="1" t="s">
        <v>109</v>
      </c>
      <c r="AG2725" s="1" t="s">
        <v>109</v>
      </c>
      <c r="AH2725" s="1" t="s">
        <v>109</v>
      </c>
      <c r="AI2725" s="1" t="s">
        <v>109</v>
      </c>
      <c r="AJ2725" s="1" t="s">
        <v>109</v>
      </c>
      <c r="AK2725" s="1" t="s">
        <v>109</v>
      </c>
      <c r="AL2725" s="1" t="s">
        <v>109</v>
      </c>
      <c r="AM2725" s="1" t="s">
        <v>109</v>
      </c>
      <c r="AN2725" s="1" t="s">
        <v>109</v>
      </c>
      <c r="AO2725" s="1" t="s">
        <v>109</v>
      </c>
      <c r="AP2725" s="1"/>
      <c r="AQ2725" s="1">
        <v>3</v>
      </c>
      <c r="AR2725" s="1"/>
      <c r="AS2725" s="1"/>
      <c r="AT2725" s="1">
        <v>0</v>
      </c>
      <c r="AU2725" s="1">
        <v>0</v>
      </c>
      <c r="AV2725" s="1">
        <v>0</v>
      </c>
      <c r="AW2725" s="1">
        <v>0</v>
      </c>
      <c r="AX2725" s="1">
        <v>0</v>
      </c>
      <c r="AY2725" s="1">
        <v>0</v>
      </c>
      <c r="AZ2725" s="1">
        <v>0</v>
      </c>
      <c r="BA2725" s="1">
        <v>0</v>
      </c>
      <c r="BB2725" s="1">
        <v>0</v>
      </c>
      <c r="BC2725" s="1">
        <v>0</v>
      </c>
      <c r="BD2725" s="1">
        <v>0</v>
      </c>
      <c r="BE2725" s="1">
        <v>0</v>
      </c>
      <c r="BF2725" s="1">
        <v>0</v>
      </c>
      <c r="BG2725" s="1">
        <v>0</v>
      </c>
      <c r="BH2725" s="1">
        <v>0</v>
      </c>
      <c r="BI2725" s="1">
        <v>0</v>
      </c>
      <c r="BJ2725" s="1">
        <v>0</v>
      </c>
      <c r="BK2725" s="1">
        <v>0</v>
      </c>
      <c r="BL2725" s="1">
        <v>0</v>
      </c>
      <c r="BM2725" s="1">
        <v>0</v>
      </c>
      <c r="BN2725" s="1">
        <v>0</v>
      </c>
      <c r="BO2725" s="1">
        <v>0</v>
      </c>
      <c r="BP2725" s="1">
        <v>0</v>
      </c>
      <c r="BQ2725" s="1">
        <v>0</v>
      </c>
      <c r="BR2725" s="1">
        <v>0</v>
      </c>
      <c r="BS2725" s="1" t="s">
        <v>109</v>
      </c>
      <c r="BT2725" s="1">
        <v>4818</v>
      </c>
      <c r="BU2725" s="1" t="s">
        <v>109</v>
      </c>
      <c r="BV2725" s="1"/>
      <c r="BW2725" s="1"/>
      <c r="BX2725" s="1"/>
      <c r="BY2725" s="1"/>
      <c r="BZ2725" s="1">
        <v>0</v>
      </c>
      <c r="CA2725" s="1" t="s">
        <v>109</v>
      </c>
      <c r="CB2725" s="1">
        <v>3</v>
      </c>
      <c r="CC2725" s="1" t="s">
        <v>109</v>
      </c>
      <c r="CD2725" s="1" t="s">
        <v>109</v>
      </c>
      <c r="CE2725" s="1" t="s">
        <v>109</v>
      </c>
      <c r="CF2725" s="1" t="s">
        <v>109</v>
      </c>
      <c r="CG2725" s="1" t="s">
        <v>109</v>
      </c>
      <c r="CH2725" s="1" t="s">
        <v>109</v>
      </c>
      <c r="CI2725" s="1" t="s">
        <v>109</v>
      </c>
      <c r="CJ2725" s="1">
        <v>3</v>
      </c>
      <c r="CK2725" s="1"/>
      <c r="CL2725" s="1">
        <v>0</v>
      </c>
      <c r="CM2725" s="1">
        <v>0</v>
      </c>
      <c r="CN2725" s="1">
        <v>0</v>
      </c>
    </row>
    <row r="2726" spans="1:92" ht="14.25" customHeight="1" x14ac:dyDescent="0.15">
      <c r="A2726" s="1" t="s">
        <v>19243</v>
      </c>
      <c r="B2726" s="1" t="s">
        <v>189</v>
      </c>
      <c r="C2726" s="1"/>
      <c r="D2726" s="1"/>
      <c r="E2726" s="1" t="s">
        <v>19244</v>
      </c>
      <c r="F2726" s="1" t="s">
        <v>98</v>
      </c>
      <c r="G2726" s="1" t="s">
        <v>3820</v>
      </c>
      <c r="H2726" s="1">
        <v>0</v>
      </c>
      <c r="I2726" s="1" t="s">
        <v>122</v>
      </c>
      <c r="J2726" s="1"/>
      <c r="K2726" s="1"/>
      <c r="L2726" s="1" t="s">
        <v>1391</v>
      </c>
      <c r="M2726" s="1" t="s">
        <v>574</v>
      </c>
      <c r="N2726" s="1">
        <v>1</v>
      </c>
      <c r="O2726" s="1">
        <v>0</v>
      </c>
      <c r="P2726" s="1" t="s">
        <v>267</v>
      </c>
      <c r="Q2726" s="1" t="s">
        <v>268</v>
      </c>
      <c r="R2726" s="1" t="s">
        <v>19245</v>
      </c>
      <c r="S2726" s="1" t="s">
        <v>19246</v>
      </c>
      <c r="T2726" s="1" t="s">
        <v>19247</v>
      </c>
      <c r="U2726" s="1" t="s">
        <v>19248</v>
      </c>
      <c r="V2726" s="1">
        <v>1</v>
      </c>
      <c r="W2726" s="1">
        <v>1</v>
      </c>
      <c r="X2726" s="1">
        <v>1</v>
      </c>
      <c r="Y2726" s="1">
        <v>0</v>
      </c>
      <c r="Z2726" s="1">
        <v>1</v>
      </c>
      <c r="AA2726" s="1">
        <v>2</v>
      </c>
      <c r="AB2726" s="1">
        <v>2</v>
      </c>
      <c r="AC2726" s="1">
        <v>2</v>
      </c>
      <c r="AD2726" s="1" t="s">
        <v>109</v>
      </c>
      <c r="AE2726" s="1" t="s">
        <v>109</v>
      </c>
      <c r="AF2726" s="1">
        <v>2</v>
      </c>
      <c r="AG2726" s="1" t="s">
        <v>109</v>
      </c>
      <c r="AH2726" s="1" t="s">
        <v>109</v>
      </c>
      <c r="AI2726" s="1" t="s">
        <v>109</v>
      </c>
      <c r="AJ2726" s="1">
        <v>2</v>
      </c>
      <c r="AK2726" s="1">
        <v>2</v>
      </c>
      <c r="AL2726" s="1">
        <v>2</v>
      </c>
      <c r="AM2726" s="1" t="s">
        <v>109</v>
      </c>
      <c r="AN2726" s="1">
        <v>2</v>
      </c>
      <c r="AO2726" s="1" t="s">
        <v>109</v>
      </c>
      <c r="AP2726" s="1"/>
      <c r="AQ2726" s="1">
        <v>2</v>
      </c>
      <c r="AR2726" s="1"/>
      <c r="AS2726" s="1"/>
      <c r="AT2726" s="1">
        <v>0</v>
      </c>
      <c r="AU2726" s="1">
        <v>0</v>
      </c>
      <c r="AV2726" s="1">
        <v>0</v>
      </c>
      <c r="AW2726" s="1">
        <v>0</v>
      </c>
      <c r="AX2726" s="1">
        <v>0</v>
      </c>
      <c r="AY2726" s="1">
        <v>0</v>
      </c>
      <c r="AZ2726" s="1">
        <v>0</v>
      </c>
      <c r="BA2726" s="1">
        <v>0</v>
      </c>
      <c r="BB2726" s="1">
        <v>0</v>
      </c>
      <c r="BC2726" s="1">
        <v>0</v>
      </c>
      <c r="BD2726" s="1">
        <v>0</v>
      </c>
      <c r="BE2726" s="1">
        <v>0</v>
      </c>
      <c r="BF2726" s="1">
        <v>0</v>
      </c>
      <c r="BG2726" s="1">
        <v>0</v>
      </c>
      <c r="BH2726" s="1">
        <v>0</v>
      </c>
      <c r="BI2726" s="1">
        <v>0</v>
      </c>
      <c r="BJ2726" s="1">
        <v>0</v>
      </c>
      <c r="BK2726" s="1">
        <v>0</v>
      </c>
      <c r="BL2726" s="1">
        <v>0</v>
      </c>
      <c r="BM2726" s="1">
        <v>0</v>
      </c>
      <c r="BN2726" s="1">
        <v>0</v>
      </c>
      <c r="BO2726" s="1">
        <v>0</v>
      </c>
      <c r="BP2726" s="1">
        <v>0</v>
      </c>
      <c r="BQ2726" s="1">
        <v>0</v>
      </c>
      <c r="BR2726" s="1">
        <v>0</v>
      </c>
      <c r="BS2726" s="1" t="s">
        <v>109</v>
      </c>
      <c r="BT2726" s="1">
        <v>4819</v>
      </c>
      <c r="BU2726" s="1" t="s">
        <v>109</v>
      </c>
      <c r="BV2726" s="1"/>
      <c r="BW2726" s="1"/>
      <c r="BX2726" s="1"/>
      <c r="BY2726" s="1"/>
      <c r="BZ2726" s="1">
        <v>0</v>
      </c>
      <c r="CA2726" s="1" t="s">
        <v>109</v>
      </c>
      <c r="CB2726" s="1" t="s">
        <v>109</v>
      </c>
      <c r="CC2726" s="1">
        <v>2</v>
      </c>
      <c r="CD2726" s="1" t="s">
        <v>109</v>
      </c>
      <c r="CE2726" s="1">
        <v>2</v>
      </c>
      <c r="CF2726" s="1" t="s">
        <v>109</v>
      </c>
      <c r="CG2726" s="1" t="s">
        <v>109</v>
      </c>
      <c r="CH2726" s="1" t="s">
        <v>109</v>
      </c>
      <c r="CI2726" s="1" t="s">
        <v>109</v>
      </c>
      <c r="CJ2726" s="1" t="s">
        <v>109</v>
      </c>
      <c r="CK2726" s="1"/>
      <c r="CL2726" s="1">
        <v>0</v>
      </c>
      <c r="CM2726" s="1">
        <v>0</v>
      </c>
      <c r="CN2726" s="1">
        <v>0</v>
      </c>
    </row>
    <row r="2727" spans="1:92" ht="14.25" customHeight="1" x14ac:dyDescent="0.15">
      <c r="A2727" s="1" t="s">
        <v>19249</v>
      </c>
      <c r="B2727" s="1" t="s">
        <v>242</v>
      </c>
      <c r="C2727" s="1"/>
      <c r="D2727" s="1"/>
      <c r="E2727" s="1" t="s">
        <v>19250</v>
      </c>
      <c r="F2727" s="1" t="s">
        <v>98</v>
      </c>
      <c r="G2727" s="1" t="s">
        <v>19251</v>
      </c>
      <c r="H2727" s="1">
        <v>0</v>
      </c>
      <c r="I2727" s="1" t="s">
        <v>235</v>
      </c>
      <c r="J2727" s="1"/>
      <c r="K2727" s="1"/>
      <c r="L2727" s="1" t="s">
        <v>236</v>
      </c>
      <c r="M2727" s="1" t="s">
        <v>6144</v>
      </c>
      <c r="N2727" s="1">
        <v>1</v>
      </c>
      <c r="O2727" s="1">
        <v>0</v>
      </c>
      <c r="P2727" s="1"/>
      <c r="Q2727" s="1"/>
      <c r="R2727" s="1" t="s">
        <v>19252</v>
      </c>
      <c r="S2727" s="1" t="s">
        <v>19253</v>
      </c>
      <c r="T2727" s="1" t="s">
        <v>19247</v>
      </c>
      <c r="U2727" s="1" t="s">
        <v>19254</v>
      </c>
      <c r="V2727" s="1">
        <v>1</v>
      </c>
      <c r="W2727" s="1">
        <v>1</v>
      </c>
      <c r="X2727" s="1">
        <v>1</v>
      </c>
      <c r="Y2727" s="1">
        <v>0</v>
      </c>
      <c r="Z2727" s="1">
        <v>1</v>
      </c>
      <c r="AA2727" s="1">
        <v>3</v>
      </c>
      <c r="AB2727" s="1">
        <v>3</v>
      </c>
      <c r="AC2727" s="1">
        <v>3</v>
      </c>
      <c r="AD2727" s="1" t="s">
        <v>109</v>
      </c>
      <c r="AE2727" s="1" t="s">
        <v>109</v>
      </c>
      <c r="AF2727" s="1">
        <v>3</v>
      </c>
      <c r="AG2727" s="1" t="s">
        <v>109</v>
      </c>
      <c r="AH2727" s="1">
        <v>3</v>
      </c>
      <c r="AI2727" s="1" t="s">
        <v>109</v>
      </c>
      <c r="AJ2727" s="1" t="s">
        <v>109</v>
      </c>
      <c r="AK2727" s="1">
        <v>2</v>
      </c>
      <c r="AL2727" s="1">
        <v>3</v>
      </c>
      <c r="AM2727" s="1" t="s">
        <v>109</v>
      </c>
      <c r="AN2727" s="1" t="s">
        <v>109</v>
      </c>
      <c r="AO2727" s="1" t="s">
        <v>109</v>
      </c>
      <c r="AP2727" s="1"/>
      <c r="AQ2727" s="1">
        <v>3</v>
      </c>
      <c r="AR2727" s="1"/>
      <c r="AS2727" s="1"/>
      <c r="AT2727" s="1">
        <v>0</v>
      </c>
      <c r="AU2727" s="1">
        <v>0</v>
      </c>
      <c r="AV2727" s="1">
        <v>0</v>
      </c>
      <c r="AW2727" s="1">
        <v>0</v>
      </c>
      <c r="AX2727" s="1">
        <v>0</v>
      </c>
      <c r="AY2727" s="1">
        <v>0</v>
      </c>
      <c r="AZ2727" s="1">
        <v>0</v>
      </c>
      <c r="BA2727" s="1">
        <v>0</v>
      </c>
      <c r="BB2727" s="1">
        <v>0</v>
      </c>
      <c r="BC2727" s="1">
        <v>0</v>
      </c>
      <c r="BD2727" s="1">
        <v>0</v>
      </c>
      <c r="BE2727" s="1">
        <v>0</v>
      </c>
      <c r="BF2727" s="1">
        <v>0</v>
      </c>
      <c r="BG2727" s="1">
        <v>0</v>
      </c>
      <c r="BH2727" s="1">
        <v>0</v>
      </c>
      <c r="BI2727" s="1">
        <v>0</v>
      </c>
      <c r="BJ2727" s="1">
        <v>0</v>
      </c>
      <c r="BK2727" s="1">
        <v>0</v>
      </c>
      <c r="BL2727" s="1">
        <v>0</v>
      </c>
      <c r="BM2727" s="1">
        <v>0</v>
      </c>
      <c r="BN2727" s="1">
        <v>0</v>
      </c>
      <c r="BO2727" s="1">
        <v>0</v>
      </c>
      <c r="BP2727" s="1">
        <v>0</v>
      </c>
      <c r="BQ2727" s="1">
        <v>0</v>
      </c>
      <c r="BR2727" s="1">
        <v>0</v>
      </c>
      <c r="BS2727" s="1" t="s">
        <v>109</v>
      </c>
      <c r="BT2727" s="1">
        <v>4820</v>
      </c>
      <c r="BU2727" s="1" t="s">
        <v>109</v>
      </c>
      <c r="BV2727" s="1"/>
      <c r="BW2727" s="1"/>
      <c r="BX2727" s="1"/>
      <c r="BY2727" s="1"/>
      <c r="BZ2727" s="1">
        <v>0</v>
      </c>
      <c r="CA2727" s="1" t="s">
        <v>109</v>
      </c>
      <c r="CB2727" s="1" t="s">
        <v>109</v>
      </c>
      <c r="CC2727" s="1">
        <v>3</v>
      </c>
      <c r="CD2727" s="1" t="s">
        <v>109</v>
      </c>
      <c r="CE2727" s="1" t="s">
        <v>109</v>
      </c>
      <c r="CF2727" s="1">
        <v>3</v>
      </c>
      <c r="CG2727" s="1" t="s">
        <v>109</v>
      </c>
      <c r="CH2727" s="1" t="s">
        <v>109</v>
      </c>
      <c r="CI2727" s="1" t="s">
        <v>109</v>
      </c>
      <c r="CJ2727" s="1" t="s">
        <v>109</v>
      </c>
      <c r="CK2727" s="1"/>
      <c r="CL2727" s="1">
        <v>0</v>
      </c>
      <c r="CM2727" s="1">
        <v>0</v>
      </c>
      <c r="CN2727" s="1">
        <v>0</v>
      </c>
    </row>
    <row r="2728" spans="1:92" ht="14.25" customHeight="1" x14ac:dyDescent="0.15">
      <c r="A2728" s="1" t="s">
        <v>19255</v>
      </c>
      <c r="B2728" s="1" t="s">
        <v>189</v>
      </c>
      <c r="C2728" s="1"/>
      <c r="D2728" s="1"/>
      <c r="E2728" s="1" t="s">
        <v>19256</v>
      </c>
      <c r="F2728" s="1" t="s">
        <v>395</v>
      </c>
      <c r="G2728" s="1" t="s">
        <v>19251</v>
      </c>
      <c r="H2728" s="1">
        <v>0</v>
      </c>
      <c r="I2728" s="1" t="s">
        <v>161</v>
      </c>
      <c r="J2728" s="1"/>
      <c r="K2728" s="1"/>
      <c r="L2728" s="1" t="s">
        <v>19257</v>
      </c>
      <c r="M2728" s="1" t="s">
        <v>13051</v>
      </c>
      <c r="N2728" s="1">
        <v>0</v>
      </c>
      <c r="O2728" s="1">
        <v>0</v>
      </c>
      <c r="P2728" s="1" t="s">
        <v>215</v>
      </c>
      <c r="Q2728" s="1" t="s">
        <v>216</v>
      </c>
      <c r="R2728" s="1" t="s">
        <v>19258</v>
      </c>
      <c r="S2728" s="1" t="s">
        <v>19259</v>
      </c>
      <c r="T2728" s="1" t="s">
        <v>19247</v>
      </c>
      <c r="U2728" s="1" t="s">
        <v>19260</v>
      </c>
      <c r="V2728" s="1">
        <v>1</v>
      </c>
      <c r="W2728" s="1">
        <v>1</v>
      </c>
      <c r="X2728" s="1">
        <v>1</v>
      </c>
      <c r="Y2728" s="1">
        <v>0</v>
      </c>
      <c r="Z2728" s="1">
        <v>1</v>
      </c>
      <c r="AA2728" s="1" t="s">
        <v>109</v>
      </c>
      <c r="AB2728" s="1" t="s">
        <v>109</v>
      </c>
      <c r="AC2728" s="1" t="s">
        <v>109</v>
      </c>
      <c r="AD2728" s="1">
        <v>2</v>
      </c>
      <c r="AE2728" s="1">
        <v>1</v>
      </c>
      <c r="AF2728" s="1" t="s">
        <v>109</v>
      </c>
      <c r="AG2728" s="1">
        <v>1</v>
      </c>
      <c r="AH2728" s="1" t="s">
        <v>109</v>
      </c>
      <c r="AI2728" s="1" t="s">
        <v>109</v>
      </c>
      <c r="AJ2728" s="1" t="s">
        <v>109</v>
      </c>
      <c r="AK2728" s="1">
        <v>2</v>
      </c>
      <c r="AL2728" s="1" t="s">
        <v>109</v>
      </c>
      <c r="AM2728" s="1">
        <v>1</v>
      </c>
      <c r="AN2728" s="1">
        <v>2</v>
      </c>
      <c r="AO2728" s="1" t="s">
        <v>109</v>
      </c>
      <c r="AP2728" s="1"/>
      <c r="AQ2728" s="1">
        <v>2</v>
      </c>
      <c r="AR2728" s="1"/>
      <c r="AS2728" s="1"/>
      <c r="AT2728" s="1">
        <v>0</v>
      </c>
      <c r="AU2728" s="1">
        <v>0</v>
      </c>
      <c r="AV2728" s="1">
        <v>0</v>
      </c>
      <c r="AW2728" s="1">
        <v>0</v>
      </c>
      <c r="AX2728" s="1">
        <v>0</v>
      </c>
      <c r="AY2728" s="1">
        <v>0</v>
      </c>
      <c r="AZ2728" s="1">
        <v>0</v>
      </c>
      <c r="BA2728" s="1">
        <v>0</v>
      </c>
      <c r="BB2728" s="1">
        <v>0</v>
      </c>
      <c r="BC2728" s="1">
        <v>0</v>
      </c>
      <c r="BD2728" s="1">
        <v>0</v>
      </c>
      <c r="BE2728" s="1">
        <v>0</v>
      </c>
      <c r="BF2728" s="1">
        <v>0</v>
      </c>
      <c r="BG2728" s="1">
        <v>0</v>
      </c>
      <c r="BH2728" s="1">
        <v>0</v>
      </c>
      <c r="BI2728" s="1">
        <v>0</v>
      </c>
      <c r="BJ2728" s="1">
        <v>0</v>
      </c>
      <c r="BK2728" s="1">
        <v>0</v>
      </c>
      <c r="BL2728" s="1">
        <v>0</v>
      </c>
      <c r="BM2728" s="1">
        <v>0</v>
      </c>
      <c r="BN2728" s="1">
        <v>0</v>
      </c>
      <c r="BO2728" s="1">
        <v>0</v>
      </c>
      <c r="BP2728" s="1">
        <v>0</v>
      </c>
      <c r="BQ2728" s="1">
        <v>0</v>
      </c>
      <c r="BR2728" s="1">
        <v>0</v>
      </c>
      <c r="BS2728" s="1" t="s">
        <v>109</v>
      </c>
      <c r="BT2728" s="1">
        <v>4821</v>
      </c>
      <c r="BU2728" s="1" t="s">
        <v>109</v>
      </c>
      <c r="BV2728" s="1"/>
      <c r="BW2728" s="1"/>
      <c r="BX2728" s="1"/>
      <c r="BY2728" s="1"/>
      <c r="BZ2728" s="1">
        <v>0</v>
      </c>
      <c r="CA2728" s="1">
        <v>2</v>
      </c>
      <c r="CB2728" s="1">
        <v>2</v>
      </c>
      <c r="CC2728" s="1" t="s">
        <v>109</v>
      </c>
      <c r="CD2728" s="1" t="s">
        <v>109</v>
      </c>
      <c r="CE2728" s="1" t="s">
        <v>109</v>
      </c>
      <c r="CF2728" s="1">
        <v>2</v>
      </c>
      <c r="CG2728" s="1" t="s">
        <v>109</v>
      </c>
      <c r="CH2728" s="1" t="s">
        <v>109</v>
      </c>
      <c r="CI2728" s="1" t="s">
        <v>109</v>
      </c>
      <c r="CJ2728" s="1">
        <v>1</v>
      </c>
      <c r="CK2728" s="1"/>
      <c r="CL2728" s="1">
        <v>0</v>
      </c>
      <c r="CM2728" s="1">
        <v>0</v>
      </c>
      <c r="CN2728" s="1">
        <v>0</v>
      </c>
    </row>
    <row r="2729" spans="1:92" ht="14.25" customHeight="1" x14ac:dyDescent="0.15">
      <c r="A2729" s="1" t="s">
        <v>19261</v>
      </c>
      <c r="B2729" s="1" t="s">
        <v>242</v>
      </c>
      <c r="C2729" s="1"/>
      <c r="D2729" s="1"/>
      <c r="E2729" s="1" t="s">
        <v>19262</v>
      </c>
      <c r="F2729" s="1" t="s">
        <v>98</v>
      </c>
      <c r="G2729" s="1" t="s">
        <v>19263</v>
      </c>
      <c r="H2729" s="1">
        <v>0</v>
      </c>
      <c r="I2729" s="1" t="s">
        <v>161</v>
      </c>
      <c r="J2729" s="1"/>
      <c r="K2729" s="1"/>
      <c r="L2729" s="1" t="s">
        <v>506</v>
      </c>
      <c r="M2729" s="1" t="s">
        <v>3042</v>
      </c>
      <c r="N2729" s="1">
        <v>0</v>
      </c>
      <c r="O2729" s="1">
        <v>0</v>
      </c>
      <c r="P2729" s="1" t="s">
        <v>1382</v>
      </c>
      <c r="Q2729" s="1" t="s">
        <v>167</v>
      </c>
      <c r="R2729" s="1" t="s">
        <v>19264</v>
      </c>
      <c r="S2729" s="1" t="s">
        <v>19265</v>
      </c>
      <c r="T2729" s="1" t="s">
        <v>19247</v>
      </c>
      <c r="U2729" s="1" t="s">
        <v>19266</v>
      </c>
      <c r="V2729" s="1">
        <v>1</v>
      </c>
      <c r="W2729" s="1">
        <v>1</v>
      </c>
      <c r="X2729" s="1">
        <v>1</v>
      </c>
      <c r="Y2729" s="1">
        <v>0</v>
      </c>
      <c r="Z2729" s="1">
        <v>1</v>
      </c>
      <c r="AA2729" s="1" t="s">
        <v>109</v>
      </c>
      <c r="AB2729" s="1" t="s">
        <v>109</v>
      </c>
      <c r="AC2729" s="1" t="s">
        <v>109</v>
      </c>
      <c r="AD2729" s="1">
        <v>4</v>
      </c>
      <c r="AE2729" s="1">
        <v>2</v>
      </c>
      <c r="AF2729" s="1" t="s">
        <v>109</v>
      </c>
      <c r="AG2729" s="1" t="s">
        <v>109</v>
      </c>
      <c r="AH2729" s="1">
        <v>3</v>
      </c>
      <c r="AI2729" s="1">
        <v>3</v>
      </c>
      <c r="AJ2729" s="1" t="s">
        <v>109</v>
      </c>
      <c r="AK2729" s="1" t="s">
        <v>109</v>
      </c>
      <c r="AL2729" s="1" t="s">
        <v>109</v>
      </c>
      <c r="AM2729" s="1" t="s">
        <v>109</v>
      </c>
      <c r="AN2729" s="1" t="s">
        <v>109</v>
      </c>
      <c r="AO2729" s="1" t="s">
        <v>109</v>
      </c>
      <c r="AP2729" s="1"/>
      <c r="AQ2729" s="1">
        <v>4</v>
      </c>
      <c r="AR2729" s="1"/>
      <c r="AS2729" s="1"/>
      <c r="AT2729" s="1">
        <v>0</v>
      </c>
      <c r="AU2729" s="1">
        <v>0</v>
      </c>
      <c r="AV2729" s="1">
        <v>0</v>
      </c>
      <c r="AW2729" s="1">
        <v>0</v>
      </c>
      <c r="AX2729" s="1">
        <v>0</v>
      </c>
      <c r="AY2729" s="1">
        <v>0</v>
      </c>
      <c r="AZ2729" s="1">
        <v>0</v>
      </c>
      <c r="BA2729" s="1">
        <v>0</v>
      </c>
      <c r="BB2729" s="1">
        <v>0</v>
      </c>
      <c r="BC2729" s="1">
        <v>0</v>
      </c>
      <c r="BD2729" s="1">
        <v>0</v>
      </c>
      <c r="BE2729" s="1">
        <v>0</v>
      </c>
      <c r="BF2729" s="1">
        <v>0</v>
      </c>
      <c r="BG2729" s="1">
        <v>0</v>
      </c>
      <c r="BH2729" s="1">
        <v>0</v>
      </c>
      <c r="BI2729" s="1">
        <v>0</v>
      </c>
      <c r="BJ2729" s="1">
        <v>0</v>
      </c>
      <c r="BK2729" s="1">
        <v>0</v>
      </c>
      <c r="BL2729" s="1">
        <v>0</v>
      </c>
      <c r="BM2729" s="1">
        <v>0</v>
      </c>
      <c r="BN2729" s="1">
        <v>0</v>
      </c>
      <c r="BO2729" s="1">
        <v>0</v>
      </c>
      <c r="BP2729" s="1">
        <v>0</v>
      </c>
      <c r="BQ2729" s="1">
        <v>0</v>
      </c>
      <c r="BR2729" s="1">
        <v>0</v>
      </c>
      <c r="BS2729" s="1" t="s">
        <v>109</v>
      </c>
      <c r="BT2729" s="1">
        <v>4822</v>
      </c>
      <c r="BU2729" s="1" t="s">
        <v>109</v>
      </c>
      <c r="BV2729" s="1"/>
      <c r="BW2729" s="1"/>
      <c r="BX2729" s="1"/>
      <c r="BY2729" s="1"/>
      <c r="BZ2729" s="1">
        <v>0</v>
      </c>
      <c r="CA2729" s="1" t="s">
        <v>109</v>
      </c>
      <c r="CB2729" s="1">
        <v>4</v>
      </c>
      <c r="CC2729" s="1">
        <v>4</v>
      </c>
      <c r="CD2729" s="1" t="s">
        <v>109</v>
      </c>
      <c r="CE2729" s="1" t="s">
        <v>109</v>
      </c>
      <c r="CF2729" s="1" t="s">
        <v>109</v>
      </c>
      <c r="CG2729" s="1">
        <v>3</v>
      </c>
      <c r="CH2729" s="1" t="s">
        <v>109</v>
      </c>
      <c r="CI2729" s="1" t="s">
        <v>109</v>
      </c>
      <c r="CJ2729" s="1">
        <v>2</v>
      </c>
      <c r="CK2729" s="1"/>
      <c r="CL2729" s="1">
        <v>0</v>
      </c>
      <c r="CM2729" s="1">
        <v>0</v>
      </c>
      <c r="CN2729" s="1">
        <v>0</v>
      </c>
    </row>
    <row r="2730" spans="1:92" ht="14.25" customHeight="1" x14ac:dyDescent="0.15">
      <c r="A2730" s="1" t="s">
        <v>19267</v>
      </c>
      <c r="B2730" s="1" t="s">
        <v>189</v>
      </c>
      <c r="C2730" s="1"/>
      <c r="D2730" s="1" t="s">
        <v>67</v>
      </c>
      <c r="E2730" s="1" t="s">
        <v>19268</v>
      </c>
      <c r="F2730" s="1" t="s">
        <v>98</v>
      </c>
      <c r="G2730" s="1" t="s">
        <v>19269</v>
      </c>
      <c r="H2730" s="1">
        <v>0</v>
      </c>
      <c r="I2730" s="1" t="s">
        <v>161</v>
      </c>
      <c r="J2730" s="1"/>
      <c r="K2730" s="1"/>
      <c r="L2730" s="1" t="s">
        <v>506</v>
      </c>
      <c r="M2730" s="1" t="s">
        <v>7934</v>
      </c>
      <c r="N2730" s="1">
        <v>0</v>
      </c>
      <c r="O2730" s="1">
        <v>0</v>
      </c>
      <c r="P2730" s="1" t="s">
        <v>1382</v>
      </c>
      <c r="Q2730" s="1" t="s">
        <v>167</v>
      </c>
      <c r="R2730" s="1" t="s">
        <v>19270</v>
      </c>
      <c r="S2730" s="1" t="s">
        <v>19271</v>
      </c>
      <c r="T2730" s="1" t="s">
        <v>19247</v>
      </c>
      <c r="U2730" s="1" t="s">
        <v>19272</v>
      </c>
      <c r="V2730" s="1">
        <v>1</v>
      </c>
      <c r="W2730" s="1">
        <v>1</v>
      </c>
      <c r="X2730" s="1">
        <v>1</v>
      </c>
      <c r="Y2730" s="1">
        <v>0</v>
      </c>
      <c r="Z2730" s="1">
        <v>1</v>
      </c>
      <c r="AA2730" s="1" t="s">
        <v>109</v>
      </c>
      <c r="AB2730" s="1" t="s">
        <v>109</v>
      </c>
      <c r="AC2730" s="1" t="s">
        <v>109</v>
      </c>
      <c r="AD2730" s="1">
        <v>4</v>
      </c>
      <c r="AE2730" s="1">
        <v>3</v>
      </c>
      <c r="AF2730" s="1">
        <v>3</v>
      </c>
      <c r="AG2730" s="1" t="s">
        <v>109</v>
      </c>
      <c r="AH2730" s="1">
        <v>3</v>
      </c>
      <c r="AI2730" s="1" t="s">
        <v>109</v>
      </c>
      <c r="AJ2730" s="1">
        <v>4</v>
      </c>
      <c r="AK2730" s="1" t="s">
        <v>109</v>
      </c>
      <c r="AL2730" s="1" t="s">
        <v>109</v>
      </c>
      <c r="AM2730" s="1" t="s">
        <v>109</v>
      </c>
      <c r="AN2730" s="1" t="s">
        <v>109</v>
      </c>
      <c r="AO2730" s="1" t="s">
        <v>109</v>
      </c>
      <c r="AP2730" s="1"/>
      <c r="AQ2730" s="1">
        <v>4</v>
      </c>
      <c r="AR2730" s="1"/>
      <c r="AS2730" s="1"/>
      <c r="AT2730" s="1">
        <v>0</v>
      </c>
      <c r="AU2730" s="1">
        <v>0</v>
      </c>
      <c r="AV2730" s="1">
        <v>0</v>
      </c>
      <c r="AW2730" s="1">
        <v>0</v>
      </c>
      <c r="AX2730" s="1">
        <v>0</v>
      </c>
      <c r="AY2730" s="1">
        <v>0</v>
      </c>
      <c r="AZ2730" s="1">
        <v>0</v>
      </c>
      <c r="BA2730" s="1">
        <v>0</v>
      </c>
      <c r="BB2730" s="1">
        <v>0</v>
      </c>
      <c r="BC2730" s="1">
        <v>0</v>
      </c>
      <c r="BD2730" s="1">
        <v>0</v>
      </c>
      <c r="BE2730" s="1">
        <v>0</v>
      </c>
      <c r="BF2730" s="1">
        <v>0</v>
      </c>
      <c r="BG2730" s="1">
        <v>0</v>
      </c>
      <c r="BH2730" s="1">
        <v>0</v>
      </c>
      <c r="BI2730" s="1">
        <v>0</v>
      </c>
      <c r="BJ2730" s="1">
        <v>0</v>
      </c>
      <c r="BK2730" s="1">
        <v>0</v>
      </c>
      <c r="BL2730" s="1">
        <v>0</v>
      </c>
      <c r="BM2730" s="1">
        <v>0</v>
      </c>
      <c r="BN2730" s="1">
        <v>0</v>
      </c>
      <c r="BO2730" s="1">
        <v>1</v>
      </c>
      <c r="BP2730" s="1">
        <v>0</v>
      </c>
      <c r="BQ2730" s="1">
        <v>0</v>
      </c>
      <c r="BR2730" s="1">
        <v>0</v>
      </c>
      <c r="BS2730" s="1" t="s">
        <v>109</v>
      </c>
      <c r="BT2730" s="1">
        <v>4823</v>
      </c>
      <c r="BU2730" s="1" t="s">
        <v>109</v>
      </c>
      <c r="BV2730" s="1"/>
      <c r="BW2730" s="1"/>
      <c r="BX2730" s="1"/>
      <c r="BY2730" s="1"/>
      <c r="BZ2730" s="1">
        <v>0</v>
      </c>
      <c r="CA2730" s="1" t="s">
        <v>109</v>
      </c>
      <c r="CB2730" s="1">
        <v>4</v>
      </c>
      <c r="CC2730" s="1" t="s">
        <v>109</v>
      </c>
      <c r="CD2730" s="1" t="s">
        <v>109</v>
      </c>
      <c r="CE2730" s="1">
        <v>3</v>
      </c>
      <c r="CF2730" s="1" t="s">
        <v>109</v>
      </c>
      <c r="CG2730" s="1" t="s">
        <v>109</v>
      </c>
      <c r="CH2730" s="1" t="s">
        <v>109</v>
      </c>
      <c r="CI2730" s="1" t="s">
        <v>109</v>
      </c>
      <c r="CJ2730" s="1">
        <v>3</v>
      </c>
      <c r="CK2730" s="1"/>
      <c r="CL2730" s="1">
        <v>0</v>
      </c>
      <c r="CM2730" s="1">
        <v>0</v>
      </c>
      <c r="CN2730" s="1">
        <v>0</v>
      </c>
    </row>
    <row r="2731" spans="1:92" ht="14.25" customHeight="1" x14ac:dyDescent="0.15">
      <c r="A2731" s="1" t="s">
        <v>19273</v>
      </c>
      <c r="B2731" s="1" t="s">
        <v>189</v>
      </c>
      <c r="C2731" s="1"/>
      <c r="D2731" s="1" t="s">
        <v>57</v>
      </c>
      <c r="E2731" s="1" t="s">
        <v>5810</v>
      </c>
      <c r="F2731" s="1" t="s">
        <v>98</v>
      </c>
      <c r="G2731" s="1" t="s">
        <v>2345</v>
      </c>
      <c r="H2731" s="1">
        <v>0</v>
      </c>
      <c r="I2731" s="1" t="s">
        <v>161</v>
      </c>
      <c r="J2731" s="1"/>
      <c r="K2731" s="1"/>
      <c r="L2731" s="1" t="s">
        <v>506</v>
      </c>
      <c r="M2731" s="1" t="s">
        <v>7620</v>
      </c>
      <c r="N2731" s="1">
        <v>0</v>
      </c>
      <c r="O2731" s="1">
        <v>0</v>
      </c>
      <c r="P2731" s="1" t="s">
        <v>507</v>
      </c>
      <c r="Q2731" s="1" t="s">
        <v>167</v>
      </c>
      <c r="R2731" s="1" t="s">
        <v>19274</v>
      </c>
      <c r="S2731" s="1" t="s">
        <v>19275</v>
      </c>
      <c r="T2731" s="1" t="s">
        <v>19276</v>
      </c>
      <c r="U2731" s="1" t="s">
        <v>19277</v>
      </c>
      <c r="V2731" s="1">
        <v>0</v>
      </c>
      <c r="W2731" s="1">
        <v>1</v>
      </c>
      <c r="X2731" s="1">
        <v>0</v>
      </c>
      <c r="Y2731" s="1">
        <v>0</v>
      </c>
      <c r="Z2731" s="1">
        <v>0</v>
      </c>
      <c r="AA2731" s="1" t="s">
        <v>109</v>
      </c>
      <c r="AB2731" s="1" t="s">
        <v>109</v>
      </c>
      <c r="AC2731" s="1" t="s">
        <v>109</v>
      </c>
      <c r="AD2731" s="1" t="s">
        <v>109</v>
      </c>
      <c r="AE2731" s="1" t="s">
        <v>109</v>
      </c>
      <c r="AF2731" s="1" t="s">
        <v>109</v>
      </c>
      <c r="AG2731" s="1" t="s">
        <v>109</v>
      </c>
      <c r="AH2731" s="1">
        <v>3</v>
      </c>
      <c r="AI2731" s="1" t="s">
        <v>109</v>
      </c>
      <c r="AJ2731" s="1" t="s">
        <v>109</v>
      </c>
      <c r="AK2731" s="1" t="s">
        <v>109</v>
      </c>
      <c r="AL2731" s="1" t="s">
        <v>109</v>
      </c>
      <c r="AM2731" s="1" t="s">
        <v>109</v>
      </c>
      <c r="AN2731" s="1" t="s">
        <v>109</v>
      </c>
      <c r="AO2731" s="1" t="s">
        <v>109</v>
      </c>
      <c r="AP2731" s="1"/>
      <c r="AQ2731" s="1">
        <v>3</v>
      </c>
      <c r="AR2731" s="1"/>
      <c r="AS2731" s="1"/>
      <c r="AT2731" s="1">
        <v>0</v>
      </c>
      <c r="AU2731" s="1">
        <v>0</v>
      </c>
      <c r="AV2731" s="1">
        <v>0</v>
      </c>
      <c r="AW2731" s="1">
        <v>0</v>
      </c>
      <c r="AX2731" s="1">
        <v>0</v>
      </c>
      <c r="AY2731" s="1">
        <v>0</v>
      </c>
      <c r="AZ2731" s="1">
        <v>0</v>
      </c>
      <c r="BA2731" s="1">
        <v>0</v>
      </c>
      <c r="BB2731" s="1">
        <v>0</v>
      </c>
      <c r="BC2731" s="1">
        <v>0</v>
      </c>
      <c r="BD2731" s="1">
        <v>0</v>
      </c>
      <c r="BE2731" s="1">
        <v>1</v>
      </c>
      <c r="BF2731" s="1">
        <v>0</v>
      </c>
      <c r="BG2731" s="1">
        <v>0</v>
      </c>
      <c r="BH2731" s="1">
        <v>0</v>
      </c>
      <c r="BI2731" s="1">
        <v>0</v>
      </c>
      <c r="BJ2731" s="1">
        <v>0</v>
      </c>
      <c r="BK2731" s="1">
        <v>0</v>
      </c>
      <c r="BL2731" s="1">
        <v>0</v>
      </c>
      <c r="BM2731" s="1">
        <v>0</v>
      </c>
      <c r="BN2731" s="1">
        <v>0</v>
      </c>
      <c r="BO2731" s="1">
        <v>0</v>
      </c>
      <c r="BP2731" s="1">
        <v>0</v>
      </c>
      <c r="BQ2731" s="1">
        <v>0</v>
      </c>
      <c r="BR2731" s="1">
        <v>0</v>
      </c>
      <c r="BS2731" s="1" t="s">
        <v>109</v>
      </c>
      <c r="BT2731" s="1">
        <v>4824</v>
      </c>
      <c r="BU2731" s="1" t="s">
        <v>109</v>
      </c>
      <c r="BV2731" s="1"/>
      <c r="BW2731" s="1"/>
      <c r="BX2731" s="1"/>
      <c r="BY2731" s="1"/>
      <c r="BZ2731" s="1">
        <v>0</v>
      </c>
      <c r="CA2731" s="1" t="s">
        <v>109</v>
      </c>
      <c r="CB2731" s="1" t="s">
        <v>109</v>
      </c>
      <c r="CC2731" s="1" t="s">
        <v>109</v>
      </c>
      <c r="CD2731" s="1" t="s">
        <v>109</v>
      </c>
      <c r="CE2731" s="1" t="s">
        <v>109</v>
      </c>
      <c r="CF2731" s="1" t="s">
        <v>109</v>
      </c>
      <c r="CG2731" s="1" t="s">
        <v>109</v>
      </c>
      <c r="CH2731" s="1" t="s">
        <v>109</v>
      </c>
      <c r="CI2731" s="1" t="s">
        <v>109</v>
      </c>
      <c r="CJ2731" s="1" t="s">
        <v>109</v>
      </c>
      <c r="CK2731" s="1"/>
      <c r="CL2731" s="1">
        <v>0</v>
      </c>
      <c r="CM2731" s="1">
        <v>0</v>
      </c>
      <c r="CN2731" s="1">
        <v>0</v>
      </c>
    </row>
    <row r="2732" spans="1:92" ht="14.25" customHeight="1" x14ac:dyDescent="0.15">
      <c r="A2732" s="1" t="s">
        <v>19278</v>
      </c>
      <c r="B2732" s="1" t="s">
        <v>189</v>
      </c>
      <c r="C2732" s="1"/>
      <c r="D2732" s="1"/>
      <c r="E2732" s="1" t="s">
        <v>7541</v>
      </c>
      <c r="F2732" s="1" t="s">
        <v>98</v>
      </c>
      <c r="G2732" s="1" t="s">
        <v>141</v>
      </c>
      <c r="H2732" s="1">
        <v>0</v>
      </c>
      <c r="I2732" s="1" t="s">
        <v>235</v>
      </c>
      <c r="J2732" s="1"/>
      <c r="K2732" s="1"/>
      <c r="L2732" s="1" t="s">
        <v>236</v>
      </c>
      <c r="M2732" s="1" t="s">
        <v>125</v>
      </c>
      <c r="N2732" s="1">
        <v>0</v>
      </c>
      <c r="O2732" s="1">
        <v>0</v>
      </c>
      <c r="P2732" s="1"/>
      <c r="Q2732" s="1"/>
      <c r="R2732" s="1" t="s">
        <v>19279</v>
      </c>
      <c r="S2732" s="1" t="s">
        <v>19280</v>
      </c>
      <c r="T2732" s="1" t="s">
        <v>19276</v>
      </c>
      <c r="U2732" s="1" t="s">
        <v>19281</v>
      </c>
      <c r="V2732" s="1">
        <v>1</v>
      </c>
      <c r="W2732" s="1">
        <v>1</v>
      </c>
      <c r="X2732" s="1">
        <v>0</v>
      </c>
      <c r="Y2732" s="1">
        <v>0</v>
      </c>
      <c r="Z2732" s="1">
        <v>0</v>
      </c>
      <c r="AA2732" s="1" t="s">
        <v>109</v>
      </c>
      <c r="AB2732" s="1" t="s">
        <v>109</v>
      </c>
      <c r="AC2732" s="1" t="s">
        <v>109</v>
      </c>
      <c r="AD2732" s="1" t="s">
        <v>109</v>
      </c>
      <c r="AE2732" s="1" t="s">
        <v>109</v>
      </c>
      <c r="AF2732" s="1" t="s">
        <v>109</v>
      </c>
      <c r="AG2732" s="1" t="s">
        <v>109</v>
      </c>
      <c r="AH2732" s="1">
        <v>4</v>
      </c>
      <c r="AI2732" s="1" t="s">
        <v>109</v>
      </c>
      <c r="AJ2732" s="1" t="s">
        <v>109</v>
      </c>
      <c r="AK2732" s="1" t="s">
        <v>109</v>
      </c>
      <c r="AL2732" s="1" t="s">
        <v>109</v>
      </c>
      <c r="AM2732" s="1" t="s">
        <v>109</v>
      </c>
      <c r="AN2732" s="1" t="s">
        <v>109</v>
      </c>
      <c r="AO2732" s="1" t="s">
        <v>109</v>
      </c>
      <c r="AP2732" s="1"/>
      <c r="AQ2732" s="1">
        <v>4</v>
      </c>
      <c r="AR2732" s="1"/>
      <c r="AS2732" s="1"/>
      <c r="AT2732" s="1">
        <v>0</v>
      </c>
      <c r="AU2732" s="1">
        <v>0</v>
      </c>
      <c r="AV2732" s="1">
        <v>0</v>
      </c>
      <c r="AW2732" s="1">
        <v>0</v>
      </c>
      <c r="AX2732" s="1">
        <v>0</v>
      </c>
      <c r="AY2732" s="1">
        <v>0</v>
      </c>
      <c r="AZ2732" s="1">
        <v>0</v>
      </c>
      <c r="BA2732" s="1">
        <v>0</v>
      </c>
      <c r="BB2732" s="1">
        <v>0</v>
      </c>
      <c r="BC2732" s="1">
        <v>0</v>
      </c>
      <c r="BD2732" s="1">
        <v>0</v>
      </c>
      <c r="BE2732" s="1">
        <v>0</v>
      </c>
      <c r="BF2732" s="1">
        <v>0</v>
      </c>
      <c r="BG2732" s="1">
        <v>0</v>
      </c>
      <c r="BH2732" s="1">
        <v>0</v>
      </c>
      <c r="BI2732" s="1">
        <v>0</v>
      </c>
      <c r="BJ2732" s="1">
        <v>0</v>
      </c>
      <c r="BK2732" s="1">
        <v>0</v>
      </c>
      <c r="BL2732" s="1">
        <v>0</v>
      </c>
      <c r="BM2732" s="1">
        <v>0</v>
      </c>
      <c r="BN2732" s="1">
        <v>0</v>
      </c>
      <c r="BO2732" s="1">
        <v>0</v>
      </c>
      <c r="BP2732" s="1">
        <v>0</v>
      </c>
      <c r="BQ2732" s="1">
        <v>0</v>
      </c>
      <c r="BR2732" s="1">
        <v>0</v>
      </c>
      <c r="BS2732" s="1" t="s">
        <v>109</v>
      </c>
      <c r="BT2732" s="1">
        <v>4825</v>
      </c>
      <c r="BU2732" s="1" t="s">
        <v>109</v>
      </c>
      <c r="BV2732" s="1"/>
      <c r="BW2732" s="1"/>
      <c r="BX2732" s="1"/>
      <c r="BY2732" s="1"/>
      <c r="BZ2732" s="1">
        <v>0</v>
      </c>
      <c r="CA2732" s="1" t="s">
        <v>109</v>
      </c>
      <c r="CB2732" s="1" t="s">
        <v>109</v>
      </c>
      <c r="CC2732" s="1" t="s">
        <v>109</v>
      </c>
      <c r="CD2732" s="1" t="s">
        <v>109</v>
      </c>
      <c r="CE2732" s="1" t="s">
        <v>109</v>
      </c>
      <c r="CF2732" s="1" t="s">
        <v>109</v>
      </c>
      <c r="CG2732" s="1" t="s">
        <v>109</v>
      </c>
      <c r="CH2732" s="1" t="s">
        <v>109</v>
      </c>
      <c r="CI2732" s="1" t="s">
        <v>109</v>
      </c>
      <c r="CJ2732" s="1" t="s">
        <v>109</v>
      </c>
      <c r="CK2732" s="1"/>
      <c r="CL2732" s="1">
        <v>0</v>
      </c>
      <c r="CM2732" s="1">
        <v>0</v>
      </c>
      <c r="CN2732" s="1">
        <v>0</v>
      </c>
    </row>
    <row r="2733" spans="1:92" ht="14.25" customHeight="1" x14ac:dyDescent="0.15">
      <c r="A2733" s="1" t="s">
        <v>19282</v>
      </c>
      <c r="B2733" s="1" t="s">
        <v>254</v>
      </c>
      <c r="C2733" s="1"/>
      <c r="D2733" s="1"/>
      <c r="E2733" s="1" t="s">
        <v>19283</v>
      </c>
      <c r="F2733" s="1" t="s">
        <v>1963</v>
      </c>
      <c r="G2733" s="1" t="s">
        <v>333</v>
      </c>
      <c r="H2733" s="1">
        <v>0</v>
      </c>
      <c r="I2733" s="1" t="s">
        <v>235</v>
      </c>
      <c r="J2733" s="1"/>
      <c r="K2733" s="1"/>
      <c r="L2733" s="1"/>
      <c r="M2733" s="1" t="s">
        <v>144</v>
      </c>
      <c r="N2733" s="1">
        <v>0</v>
      </c>
      <c r="O2733" s="1">
        <v>0</v>
      </c>
      <c r="P2733" s="1" t="s">
        <v>103</v>
      </c>
      <c r="Q2733" s="1" t="s">
        <v>104</v>
      </c>
      <c r="R2733" s="1" t="s">
        <v>19284</v>
      </c>
      <c r="S2733" s="1" t="s">
        <v>19285</v>
      </c>
      <c r="T2733" s="1" t="s">
        <v>19286</v>
      </c>
      <c r="U2733" s="1" t="s">
        <v>19287</v>
      </c>
      <c r="V2733" s="1">
        <v>1</v>
      </c>
      <c r="W2733" s="1">
        <v>0</v>
      </c>
      <c r="X2733" s="1">
        <v>0</v>
      </c>
      <c r="Y2733" s="1">
        <v>0</v>
      </c>
      <c r="Z2733" s="1">
        <v>0</v>
      </c>
      <c r="AA2733" s="1">
        <v>0</v>
      </c>
      <c r="AB2733" s="1">
        <v>0</v>
      </c>
      <c r="AC2733" s="1">
        <v>0</v>
      </c>
      <c r="AD2733" s="1">
        <v>0</v>
      </c>
      <c r="AE2733" s="1" t="s">
        <v>109</v>
      </c>
      <c r="AF2733" s="1">
        <v>0</v>
      </c>
      <c r="AG2733" s="1" t="s">
        <v>109</v>
      </c>
      <c r="AH2733" s="1" t="s">
        <v>109</v>
      </c>
      <c r="AI2733" s="1" t="s">
        <v>109</v>
      </c>
      <c r="AJ2733" s="1">
        <v>0</v>
      </c>
      <c r="AK2733" s="1" t="s">
        <v>109</v>
      </c>
      <c r="AL2733" s="1">
        <v>0</v>
      </c>
      <c r="AM2733" s="1" t="s">
        <v>109</v>
      </c>
      <c r="AN2733" s="1">
        <v>0</v>
      </c>
      <c r="AO2733" s="1" t="s">
        <v>109</v>
      </c>
      <c r="AP2733" s="1"/>
      <c r="AQ2733" s="1">
        <v>0</v>
      </c>
      <c r="AR2733" s="1"/>
      <c r="AS2733" s="1"/>
      <c r="AT2733" s="1">
        <v>0</v>
      </c>
      <c r="AU2733" s="1">
        <v>0</v>
      </c>
      <c r="AV2733" s="1">
        <v>0</v>
      </c>
      <c r="AW2733" s="1">
        <v>0</v>
      </c>
      <c r="AX2733" s="1">
        <v>0</v>
      </c>
      <c r="AY2733" s="1">
        <v>0</v>
      </c>
      <c r="AZ2733" s="1">
        <v>0</v>
      </c>
      <c r="BA2733" s="1">
        <v>0</v>
      </c>
      <c r="BB2733" s="1">
        <v>0</v>
      </c>
      <c r="BC2733" s="1">
        <v>0</v>
      </c>
      <c r="BD2733" s="1">
        <v>0</v>
      </c>
      <c r="BE2733" s="1">
        <v>0</v>
      </c>
      <c r="BF2733" s="1">
        <v>0</v>
      </c>
      <c r="BG2733" s="1">
        <v>0</v>
      </c>
      <c r="BH2733" s="1">
        <v>0</v>
      </c>
      <c r="BI2733" s="1">
        <v>0</v>
      </c>
      <c r="BJ2733" s="1">
        <v>0</v>
      </c>
      <c r="BK2733" s="1">
        <v>0</v>
      </c>
      <c r="BL2733" s="1">
        <v>0</v>
      </c>
      <c r="BM2733" s="1">
        <v>0</v>
      </c>
      <c r="BN2733" s="1">
        <v>0</v>
      </c>
      <c r="BO2733" s="1">
        <v>0</v>
      </c>
      <c r="BP2733" s="1">
        <v>0</v>
      </c>
      <c r="BQ2733" s="1">
        <v>0</v>
      </c>
      <c r="BR2733" s="1">
        <v>0</v>
      </c>
      <c r="BS2733" s="1" t="s">
        <v>109</v>
      </c>
      <c r="BT2733" s="1">
        <v>4826</v>
      </c>
      <c r="BU2733" s="1" t="s">
        <v>109</v>
      </c>
      <c r="BV2733" s="1"/>
      <c r="BW2733" s="1"/>
      <c r="BX2733" s="1"/>
      <c r="BY2733" s="1"/>
      <c r="BZ2733" s="1">
        <v>0</v>
      </c>
      <c r="CA2733" s="1" t="s">
        <v>109</v>
      </c>
      <c r="CB2733" s="1" t="s">
        <v>109</v>
      </c>
      <c r="CC2733" s="1">
        <v>0</v>
      </c>
      <c r="CD2733" s="1" t="s">
        <v>109</v>
      </c>
      <c r="CE2733" s="1" t="s">
        <v>109</v>
      </c>
      <c r="CF2733" s="1" t="s">
        <v>109</v>
      </c>
      <c r="CG2733" s="1" t="s">
        <v>109</v>
      </c>
      <c r="CH2733" s="1" t="s">
        <v>109</v>
      </c>
      <c r="CI2733" s="1" t="s">
        <v>109</v>
      </c>
      <c r="CJ2733" s="1">
        <v>0</v>
      </c>
      <c r="CK2733" s="1"/>
      <c r="CL2733" s="1">
        <v>0</v>
      </c>
      <c r="CM2733" s="1">
        <v>0</v>
      </c>
      <c r="CN2733" s="1">
        <v>0</v>
      </c>
    </row>
    <row r="2734" spans="1:92" ht="14.25" customHeight="1" x14ac:dyDescent="0.15">
      <c r="A2734" s="1" t="s">
        <v>19288</v>
      </c>
      <c r="B2734" s="1" t="s">
        <v>189</v>
      </c>
      <c r="C2734" s="1"/>
      <c r="D2734" s="1"/>
      <c r="E2734" s="1" t="s">
        <v>19289</v>
      </c>
      <c r="F2734" s="1" t="s">
        <v>98</v>
      </c>
      <c r="G2734" s="1" t="s">
        <v>19290</v>
      </c>
      <c r="H2734" s="1">
        <v>0</v>
      </c>
      <c r="I2734" s="1" t="s">
        <v>235</v>
      </c>
      <c r="J2734" s="1"/>
      <c r="K2734" s="1" t="s">
        <v>19291</v>
      </c>
      <c r="L2734" s="1"/>
      <c r="M2734" s="1" t="s">
        <v>815</v>
      </c>
      <c r="N2734" s="1">
        <v>1</v>
      </c>
      <c r="O2734" s="1">
        <v>0</v>
      </c>
      <c r="P2734" s="1" t="s">
        <v>103</v>
      </c>
      <c r="Q2734" s="1" t="s">
        <v>104</v>
      </c>
      <c r="R2734" s="1" t="s">
        <v>19292</v>
      </c>
      <c r="S2734" s="1" t="s">
        <v>19293</v>
      </c>
      <c r="T2734" s="1" t="s">
        <v>19286</v>
      </c>
      <c r="U2734" s="1" t="s">
        <v>19294</v>
      </c>
      <c r="V2734" s="1">
        <v>1</v>
      </c>
      <c r="W2734" s="1">
        <v>1</v>
      </c>
      <c r="X2734" s="1">
        <v>1</v>
      </c>
      <c r="Y2734" s="1">
        <v>0</v>
      </c>
      <c r="Z2734" s="1">
        <v>0</v>
      </c>
      <c r="AA2734" s="1">
        <v>2</v>
      </c>
      <c r="AB2734" s="1">
        <v>2</v>
      </c>
      <c r="AC2734" s="1" t="s">
        <v>109</v>
      </c>
      <c r="AD2734" s="1" t="s">
        <v>109</v>
      </c>
      <c r="AE2734" s="1" t="s">
        <v>109</v>
      </c>
      <c r="AF2734" s="1">
        <v>2</v>
      </c>
      <c r="AG2734" s="1" t="s">
        <v>109</v>
      </c>
      <c r="AH2734" s="1" t="s">
        <v>109</v>
      </c>
      <c r="AI2734" s="1" t="s">
        <v>109</v>
      </c>
      <c r="AJ2734" s="1">
        <v>2</v>
      </c>
      <c r="AK2734" s="1" t="s">
        <v>109</v>
      </c>
      <c r="AL2734" s="1" t="s">
        <v>109</v>
      </c>
      <c r="AM2734" s="1" t="s">
        <v>109</v>
      </c>
      <c r="AN2734" s="1" t="s">
        <v>109</v>
      </c>
      <c r="AO2734" s="1" t="s">
        <v>109</v>
      </c>
      <c r="AP2734" s="1"/>
      <c r="AQ2734" s="1">
        <v>2</v>
      </c>
      <c r="AR2734" s="1"/>
      <c r="AS2734" s="1"/>
      <c r="AT2734" s="1">
        <v>0</v>
      </c>
      <c r="AU2734" s="1">
        <v>0</v>
      </c>
      <c r="AV2734" s="1">
        <v>0</v>
      </c>
      <c r="AW2734" s="1">
        <v>0</v>
      </c>
      <c r="AX2734" s="1">
        <v>0</v>
      </c>
      <c r="AY2734" s="1">
        <v>0</v>
      </c>
      <c r="AZ2734" s="1">
        <v>0</v>
      </c>
      <c r="BA2734" s="1">
        <v>0</v>
      </c>
      <c r="BB2734" s="1">
        <v>0</v>
      </c>
      <c r="BC2734" s="1">
        <v>0</v>
      </c>
      <c r="BD2734" s="1">
        <v>0</v>
      </c>
      <c r="BE2734" s="1">
        <v>0</v>
      </c>
      <c r="BF2734" s="1">
        <v>0</v>
      </c>
      <c r="BG2734" s="1">
        <v>0</v>
      </c>
      <c r="BH2734" s="1">
        <v>0</v>
      </c>
      <c r="BI2734" s="1">
        <v>0</v>
      </c>
      <c r="BJ2734" s="1">
        <v>0</v>
      </c>
      <c r="BK2734" s="1">
        <v>0</v>
      </c>
      <c r="BL2734" s="1">
        <v>0</v>
      </c>
      <c r="BM2734" s="1">
        <v>0</v>
      </c>
      <c r="BN2734" s="1">
        <v>0</v>
      </c>
      <c r="BO2734" s="1">
        <v>0</v>
      </c>
      <c r="BP2734" s="1">
        <v>0</v>
      </c>
      <c r="BQ2734" s="1">
        <v>0</v>
      </c>
      <c r="BR2734" s="1">
        <v>0</v>
      </c>
      <c r="BS2734" s="1" t="s">
        <v>109</v>
      </c>
      <c r="BT2734" s="1">
        <v>4827</v>
      </c>
      <c r="BU2734" s="1" t="s">
        <v>109</v>
      </c>
      <c r="BV2734" s="1"/>
      <c r="BW2734" s="1"/>
      <c r="BX2734" s="1"/>
      <c r="BY2734" s="1"/>
      <c r="BZ2734" s="1">
        <v>0</v>
      </c>
      <c r="CA2734" s="1" t="s">
        <v>109</v>
      </c>
      <c r="CB2734" s="1">
        <v>2</v>
      </c>
      <c r="CC2734" s="1" t="s">
        <v>109</v>
      </c>
      <c r="CD2734" s="1" t="s">
        <v>109</v>
      </c>
      <c r="CE2734" s="1" t="s">
        <v>109</v>
      </c>
      <c r="CF2734" s="1" t="s">
        <v>109</v>
      </c>
      <c r="CG2734" s="1" t="s">
        <v>109</v>
      </c>
      <c r="CH2734" s="1" t="s">
        <v>109</v>
      </c>
      <c r="CI2734" s="1" t="s">
        <v>109</v>
      </c>
      <c r="CJ2734" s="1" t="s">
        <v>109</v>
      </c>
      <c r="CK2734" s="1"/>
      <c r="CL2734" s="1">
        <v>0</v>
      </c>
      <c r="CM2734" s="1">
        <v>0</v>
      </c>
      <c r="CN2734" s="1">
        <v>0</v>
      </c>
    </row>
    <row r="2735" spans="1:92" ht="14.25" customHeight="1" x14ac:dyDescent="0.15">
      <c r="A2735" s="1" t="s">
        <v>19295</v>
      </c>
      <c r="B2735" s="1" t="s">
        <v>95</v>
      </c>
      <c r="C2735" s="1" t="s">
        <v>96</v>
      </c>
      <c r="D2735" s="1"/>
      <c r="E2735" s="1" t="s">
        <v>19296</v>
      </c>
      <c r="F2735" s="1" t="s">
        <v>98</v>
      </c>
      <c r="G2735" s="1" t="s">
        <v>141</v>
      </c>
      <c r="H2735" s="1">
        <v>0</v>
      </c>
      <c r="I2735" s="1" t="s">
        <v>925</v>
      </c>
      <c r="J2735" s="1"/>
      <c r="K2735" s="1" t="s">
        <v>19297</v>
      </c>
      <c r="L2735" s="1"/>
      <c r="M2735" s="1" t="s">
        <v>574</v>
      </c>
      <c r="N2735" s="1">
        <v>1</v>
      </c>
      <c r="O2735" s="1">
        <v>0</v>
      </c>
      <c r="P2735" s="1" t="s">
        <v>103</v>
      </c>
      <c r="Q2735" s="1" t="s">
        <v>104</v>
      </c>
      <c r="R2735" s="1" t="s">
        <v>19298</v>
      </c>
      <c r="S2735" s="1" t="s">
        <v>19299</v>
      </c>
      <c r="T2735" s="1" t="s">
        <v>19286</v>
      </c>
      <c r="U2735" s="1" t="s">
        <v>19300</v>
      </c>
      <c r="V2735" s="1">
        <v>1</v>
      </c>
      <c r="W2735" s="1">
        <v>1</v>
      </c>
      <c r="X2735" s="1">
        <v>0</v>
      </c>
      <c r="Y2735" s="1">
        <v>0</v>
      </c>
      <c r="Z2735" s="1">
        <v>0</v>
      </c>
      <c r="AA2735" s="1">
        <v>2</v>
      </c>
      <c r="AB2735" s="1">
        <v>2</v>
      </c>
      <c r="AC2735" s="1">
        <v>2</v>
      </c>
      <c r="AD2735" s="1">
        <v>2</v>
      </c>
      <c r="AE2735" s="1">
        <v>1</v>
      </c>
      <c r="AF2735" s="1" t="s">
        <v>109</v>
      </c>
      <c r="AG2735" s="1" t="s">
        <v>109</v>
      </c>
      <c r="AH2735" s="1" t="s">
        <v>109</v>
      </c>
      <c r="AI2735" s="1" t="s">
        <v>109</v>
      </c>
      <c r="AJ2735" s="1">
        <v>2</v>
      </c>
      <c r="AK2735" s="1" t="s">
        <v>109</v>
      </c>
      <c r="AL2735" s="1">
        <v>2</v>
      </c>
      <c r="AM2735" s="1" t="s">
        <v>109</v>
      </c>
      <c r="AN2735" s="1">
        <v>2</v>
      </c>
      <c r="AO2735" s="1" t="s">
        <v>109</v>
      </c>
      <c r="AP2735" s="1"/>
      <c r="AQ2735" s="1">
        <v>2</v>
      </c>
      <c r="AR2735" s="1"/>
      <c r="AS2735" s="1"/>
      <c r="AT2735" s="1">
        <v>0</v>
      </c>
      <c r="AU2735" s="1">
        <v>0</v>
      </c>
      <c r="AV2735" s="1">
        <v>0</v>
      </c>
      <c r="AW2735" s="1">
        <v>0</v>
      </c>
      <c r="AX2735" s="1">
        <v>0</v>
      </c>
      <c r="AY2735" s="1">
        <v>0</v>
      </c>
      <c r="AZ2735" s="1">
        <v>0</v>
      </c>
      <c r="BA2735" s="1">
        <v>0</v>
      </c>
      <c r="BB2735" s="1">
        <v>0</v>
      </c>
      <c r="BC2735" s="1">
        <v>0</v>
      </c>
      <c r="BD2735" s="1">
        <v>0</v>
      </c>
      <c r="BE2735" s="1">
        <v>0</v>
      </c>
      <c r="BF2735" s="1">
        <v>0</v>
      </c>
      <c r="BG2735" s="1">
        <v>0</v>
      </c>
      <c r="BH2735" s="1">
        <v>0</v>
      </c>
      <c r="BI2735" s="1">
        <v>0</v>
      </c>
      <c r="BJ2735" s="1">
        <v>0</v>
      </c>
      <c r="BK2735" s="1">
        <v>0</v>
      </c>
      <c r="BL2735" s="1">
        <v>0</v>
      </c>
      <c r="BM2735" s="1">
        <v>0</v>
      </c>
      <c r="BN2735" s="1">
        <v>0</v>
      </c>
      <c r="BO2735" s="1">
        <v>0</v>
      </c>
      <c r="BP2735" s="1">
        <v>0</v>
      </c>
      <c r="BQ2735" s="1">
        <v>0</v>
      </c>
      <c r="BR2735" s="1">
        <v>0</v>
      </c>
      <c r="BS2735" s="1" t="s">
        <v>109</v>
      </c>
      <c r="BT2735" s="1">
        <v>4828</v>
      </c>
      <c r="BU2735" s="1" t="s">
        <v>109</v>
      </c>
      <c r="BV2735" s="1"/>
      <c r="BW2735" s="1"/>
      <c r="BX2735" s="1"/>
      <c r="BY2735" s="1"/>
      <c r="BZ2735" s="1">
        <v>0</v>
      </c>
      <c r="CA2735" s="1" t="s">
        <v>109</v>
      </c>
      <c r="CB2735" s="1">
        <v>2</v>
      </c>
      <c r="CC2735" s="1" t="s">
        <v>109</v>
      </c>
      <c r="CD2735" s="1" t="s">
        <v>109</v>
      </c>
      <c r="CE2735" s="1" t="s">
        <v>109</v>
      </c>
      <c r="CF2735" s="1" t="s">
        <v>109</v>
      </c>
      <c r="CG2735" s="1" t="s">
        <v>109</v>
      </c>
      <c r="CH2735" s="1" t="s">
        <v>109</v>
      </c>
      <c r="CI2735" s="1" t="s">
        <v>109</v>
      </c>
      <c r="CJ2735" s="1">
        <v>1</v>
      </c>
      <c r="CK2735" s="1"/>
      <c r="CL2735" s="1">
        <v>0</v>
      </c>
      <c r="CM2735" s="1">
        <v>0</v>
      </c>
      <c r="CN2735" s="1">
        <v>0</v>
      </c>
    </row>
    <row r="2736" spans="1:92" ht="14.25" customHeight="1" x14ac:dyDescent="0.15">
      <c r="A2736" s="1" t="s">
        <v>19301</v>
      </c>
      <c r="B2736" s="1" t="s">
        <v>674</v>
      </c>
      <c r="C2736" s="1" t="s">
        <v>68</v>
      </c>
      <c r="D2736" s="1"/>
      <c r="E2736" s="1" t="s">
        <v>19302</v>
      </c>
      <c r="F2736" s="1" t="s">
        <v>98</v>
      </c>
      <c r="G2736" s="1" t="s">
        <v>19303</v>
      </c>
      <c r="H2736" s="1">
        <v>0</v>
      </c>
      <c r="I2736" s="1" t="s">
        <v>161</v>
      </c>
      <c r="J2736" s="1"/>
      <c r="K2736" s="1"/>
      <c r="L2736" s="1" t="s">
        <v>506</v>
      </c>
      <c r="M2736" s="1" t="s">
        <v>10667</v>
      </c>
      <c r="N2736" s="1">
        <v>1</v>
      </c>
      <c r="O2736" s="1">
        <v>0</v>
      </c>
      <c r="P2736" s="1" t="s">
        <v>507</v>
      </c>
      <c r="Q2736" s="1" t="s">
        <v>167</v>
      </c>
      <c r="R2736" s="1" t="s">
        <v>19304</v>
      </c>
      <c r="S2736" s="1" t="s">
        <v>19305</v>
      </c>
      <c r="T2736" s="1" t="s">
        <v>19286</v>
      </c>
      <c r="U2736" s="1" t="s">
        <v>19306</v>
      </c>
      <c r="V2736" s="1">
        <v>1</v>
      </c>
      <c r="W2736" s="1">
        <v>1</v>
      </c>
      <c r="X2736" s="1">
        <v>1</v>
      </c>
      <c r="Y2736" s="1">
        <v>0</v>
      </c>
      <c r="Z2736" s="1">
        <v>0</v>
      </c>
      <c r="AA2736" s="1">
        <v>1</v>
      </c>
      <c r="AB2736" s="1">
        <v>1</v>
      </c>
      <c r="AC2736" s="1" t="s">
        <v>109</v>
      </c>
      <c r="AD2736" s="1" t="s">
        <v>109</v>
      </c>
      <c r="AE2736" s="1" t="s">
        <v>109</v>
      </c>
      <c r="AF2736" s="1">
        <v>1</v>
      </c>
      <c r="AG2736" s="1" t="s">
        <v>109</v>
      </c>
      <c r="AH2736" s="1" t="s">
        <v>109</v>
      </c>
      <c r="AI2736" s="1">
        <v>1</v>
      </c>
      <c r="AJ2736" s="1" t="s">
        <v>109</v>
      </c>
      <c r="AK2736" s="1">
        <v>1</v>
      </c>
      <c r="AL2736" s="1" t="s">
        <v>109</v>
      </c>
      <c r="AM2736" s="1" t="s">
        <v>109</v>
      </c>
      <c r="AN2736" s="1">
        <v>1</v>
      </c>
      <c r="AO2736" s="1" t="s">
        <v>109</v>
      </c>
      <c r="AP2736" s="1"/>
      <c r="AQ2736" s="1">
        <v>1</v>
      </c>
      <c r="AR2736" s="1"/>
      <c r="AS2736" s="1"/>
      <c r="AT2736" s="1">
        <v>0</v>
      </c>
      <c r="AU2736" s="1">
        <v>0</v>
      </c>
      <c r="AV2736" s="1">
        <v>0</v>
      </c>
      <c r="AW2736" s="1">
        <v>0</v>
      </c>
      <c r="AX2736" s="1">
        <v>0</v>
      </c>
      <c r="AY2736" s="1">
        <v>0</v>
      </c>
      <c r="AZ2736" s="1">
        <v>0</v>
      </c>
      <c r="BA2736" s="1">
        <v>0</v>
      </c>
      <c r="BB2736" s="1">
        <v>0</v>
      </c>
      <c r="BC2736" s="1">
        <v>0</v>
      </c>
      <c r="BD2736" s="1">
        <v>0</v>
      </c>
      <c r="BE2736" s="1">
        <v>0</v>
      </c>
      <c r="BF2736" s="1">
        <v>0</v>
      </c>
      <c r="BG2736" s="1">
        <v>0</v>
      </c>
      <c r="BH2736" s="1">
        <v>0</v>
      </c>
      <c r="BI2736" s="1">
        <v>0</v>
      </c>
      <c r="BJ2736" s="1">
        <v>0</v>
      </c>
      <c r="BK2736" s="1">
        <v>0</v>
      </c>
      <c r="BL2736" s="1">
        <v>0</v>
      </c>
      <c r="BM2736" s="1">
        <v>0</v>
      </c>
      <c r="BN2736" s="1">
        <v>0</v>
      </c>
      <c r="BO2736" s="1">
        <v>0</v>
      </c>
      <c r="BP2736" s="1">
        <v>0</v>
      </c>
      <c r="BQ2736" s="1">
        <v>0</v>
      </c>
      <c r="BR2736" s="1">
        <v>0</v>
      </c>
      <c r="BS2736" s="1" t="s">
        <v>109</v>
      </c>
      <c r="BT2736" s="1">
        <v>4829</v>
      </c>
      <c r="BU2736" s="1" t="s">
        <v>109</v>
      </c>
      <c r="BV2736" s="1"/>
      <c r="BW2736" s="1"/>
      <c r="BX2736" s="1"/>
      <c r="BY2736" s="1"/>
      <c r="BZ2736" s="1">
        <v>0</v>
      </c>
      <c r="CA2736" s="1" t="s">
        <v>109</v>
      </c>
      <c r="CB2736" s="1" t="s">
        <v>109</v>
      </c>
      <c r="CC2736" s="1" t="s">
        <v>109</v>
      </c>
      <c r="CD2736" s="1" t="s">
        <v>109</v>
      </c>
      <c r="CE2736" s="1">
        <v>1</v>
      </c>
      <c r="CF2736" s="1" t="s">
        <v>109</v>
      </c>
      <c r="CG2736" s="1" t="s">
        <v>109</v>
      </c>
      <c r="CH2736" s="1" t="s">
        <v>109</v>
      </c>
      <c r="CI2736" s="1" t="s">
        <v>109</v>
      </c>
      <c r="CJ2736" s="1" t="s">
        <v>109</v>
      </c>
      <c r="CK2736" s="1"/>
      <c r="CL2736" s="1">
        <v>0</v>
      </c>
      <c r="CM2736" s="1">
        <v>0</v>
      </c>
      <c r="CN2736" s="1">
        <v>0</v>
      </c>
    </row>
    <row r="2737" spans="1:92" ht="14.25" customHeight="1" x14ac:dyDescent="0.15">
      <c r="A2737" s="1" t="s">
        <v>19307</v>
      </c>
      <c r="B2737" s="1" t="s">
        <v>254</v>
      </c>
      <c r="C2737" s="1" t="s">
        <v>393</v>
      </c>
      <c r="D2737" s="1"/>
      <c r="E2737" s="1" t="s">
        <v>19308</v>
      </c>
      <c r="F2737" s="1" t="s">
        <v>277</v>
      </c>
      <c r="G2737" s="1" t="s">
        <v>19309</v>
      </c>
      <c r="H2737" s="1">
        <v>0</v>
      </c>
      <c r="I2737" s="1" t="s">
        <v>19310</v>
      </c>
      <c r="J2737" s="1"/>
      <c r="K2737" s="1" t="s">
        <v>19311</v>
      </c>
      <c r="L2737" s="1"/>
      <c r="M2737" s="1" t="s">
        <v>289</v>
      </c>
      <c r="N2737" s="1">
        <v>0</v>
      </c>
      <c r="O2737" s="1">
        <v>0</v>
      </c>
      <c r="P2737" s="1" t="s">
        <v>103</v>
      </c>
      <c r="Q2737" s="1" t="s">
        <v>104</v>
      </c>
      <c r="R2737" s="1" t="s">
        <v>19312</v>
      </c>
      <c r="S2737" s="1" t="s">
        <v>19313</v>
      </c>
      <c r="T2737" s="1" t="s">
        <v>19286</v>
      </c>
      <c r="U2737" s="1" t="s">
        <v>19314</v>
      </c>
      <c r="V2737" s="1">
        <v>1</v>
      </c>
      <c r="W2737" s="1">
        <v>1</v>
      </c>
      <c r="X2737" s="1">
        <v>0</v>
      </c>
      <c r="Y2737" s="1">
        <v>0</v>
      </c>
      <c r="Z2737" s="1">
        <v>0</v>
      </c>
      <c r="AA2737" s="1">
        <v>3</v>
      </c>
      <c r="AB2737" s="1">
        <v>3</v>
      </c>
      <c r="AC2737" s="1">
        <v>3</v>
      </c>
      <c r="AD2737" s="1" t="s">
        <v>109</v>
      </c>
      <c r="AE2737" s="1" t="s">
        <v>109</v>
      </c>
      <c r="AF2737" s="1">
        <v>3</v>
      </c>
      <c r="AG2737" s="1" t="s">
        <v>109</v>
      </c>
      <c r="AH2737" s="1" t="s">
        <v>109</v>
      </c>
      <c r="AI2737" s="1" t="s">
        <v>109</v>
      </c>
      <c r="AJ2737" s="1" t="s">
        <v>109</v>
      </c>
      <c r="AK2737" s="1" t="s">
        <v>109</v>
      </c>
      <c r="AL2737" s="1">
        <v>3</v>
      </c>
      <c r="AM2737" s="1" t="s">
        <v>109</v>
      </c>
      <c r="AN2737" s="1" t="s">
        <v>109</v>
      </c>
      <c r="AO2737" s="1" t="s">
        <v>109</v>
      </c>
      <c r="AP2737" s="1"/>
      <c r="AQ2737" s="1">
        <v>3</v>
      </c>
      <c r="AR2737" s="1"/>
      <c r="AS2737" s="1"/>
      <c r="AT2737" s="1">
        <v>0</v>
      </c>
      <c r="AU2737" s="1">
        <v>0</v>
      </c>
      <c r="AV2737" s="1">
        <v>0</v>
      </c>
      <c r="AW2737" s="1">
        <v>0</v>
      </c>
      <c r="AX2737" s="1">
        <v>0</v>
      </c>
      <c r="AY2737" s="1">
        <v>0</v>
      </c>
      <c r="AZ2737" s="1">
        <v>0</v>
      </c>
      <c r="BA2737" s="1">
        <v>0</v>
      </c>
      <c r="BB2737" s="1">
        <v>0</v>
      </c>
      <c r="BC2737" s="1">
        <v>0</v>
      </c>
      <c r="BD2737" s="1">
        <v>0</v>
      </c>
      <c r="BE2737" s="1">
        <v>0</v>
      </c>
      <c r="BF2737" s="1">
        <v>0</v>
      </c>
      <c r="BG2737" s="1">
        <v>0</v>
      </c>
      <c r="BH2737" s="1">
        <v>0</v>
      </c>
      <c r="BI2737" s="1">
        <v>0</v>
      </c>
      <c r="BJ2737" s="1">
        <v>0</v>
      </c>
      <c r="BK2737" s="1">
        <v>0</v>
      </c>
      <c r="BL2737" s="1">
        <v>0</v>
      </c>
      <c r="BM2737" s="1">
        <v>0</v>
      </c>
      <c r="BN2737" s="1">
        <v>0</v>
      </c>
      <c r="BO2737" s="1">
        <v>0</v>
      </c>
      <c r="BP2737" s="1">
        <v>0</v>
      </c>
      <c r="BQ2737" s="1">
        <v>0</v>
      </c>
      <c r="BR2737" s="1">
        <v>0</v>
      </c>
      <c r="BS2737" s="1" t="s">
        <v>109</v>
      </c>
      <c r="BT2737" s="1">
        <v>4830</v>
      </c>
      <c r="BU2737" s="1" t="s">
        <v>109</v>
      </c>
      <c r="BV2737" s="1"/>
      <c r="BW2737" s="1"/>
      <c r="BX2737" s="1"/>
      <c r="BY2737" s="1"/>
      <c r="BZ2737" s="1">
        <v>0</v>
      </c>
      <c r="CA2737" s="1" t="s">
        <v>109</v>
      </c>
      <c r="CB2737" s="1" t="s">
        <v>109</v>
      </c>
      <c r="CC2737" s="1" t="s">
        <v>109</v>
      </c>
      <c r="CD2737" s="1" t="s">
        <v>109</v>
      </c>
      <c r="CE2737" s="1" t="s">
        <v>109</v>
      </c>
      <c r="CF2737" s="1" t="s">
        <v>109</v>
      </c>
      <c r="CG2737" s="1" t="s">
        <v>109</v>
      </c>
      <c r="CH2737" s="1">
        <v>3</v>
      </c>
      <c r="CI2737" s="1" t="s">
        <v>109</v>
      </c>
      <c r="CJ2737" s="1" t="s">
        <v>109</v>
      </c>
      <c r="CK2737" s="1"/>
      <c r="CL2737" s="1">
        <v>0</v>
      </c>
      <c r="CM2737" s="1">
        <v>0</v>
      </c>
      <c r="CN2737" s="1">
        <v>0</v>
      </c>
    </row>
    <row r="2738" spans="1:92" ht="14.25" customHeight="1" x14ac:dyDescent="0.15">
      <c r="A2738" s="1" t="s">
        <v>19315</v>
      </c>
      <c r="B2738" s="1" t="s">
        <v>189</v>
      </c>
      <c r="C2738" s="1"/>
      <c r="D2738" s="1"/>
      <c r="E2738" s="1" t="s">
        <v>19316</v>
      </c>
      <c r="F2738" s="1" t="s">
        <v>98</v>
      </c>
      <c r="G2738" s="1" t="s">
        <v>19317</v>
      </c>
      <c r="H2738" s="1">
        <v>0</v>
      </c>
      <c r="I2738" s="1" t="s">
        <v>161</v>
      </c>
      <c r="J2738" s="1"/>
      <c r="K2738" s="1"/>
      <c r="L2738" s="1" t="s">
        <v>5351</v>
      </c>
      <c r="M2738" s="1" t="s">
        <v>3778</v>
      </c>
      <c r="N2738" s="1">
        <v>0</v>
      </c>
      <c r="O2738" s="1">
        <v>0</v>
      </c>
      <c r="P2738" s="1" t="s">
        <v>507</v>
      </c>
      <c r="Q2738" s="1" t="s">
        <v>167</v>
      </c>
      <c r="R2738" s="1" t="s">
        <v>19318</v>
      </c>
      <c r="S2738" s="1" t="s">
        <v>19319</v>
      </c>
      <c r="T2738" s="1" t="s">
        <v>19286</v>
      </c>
      <c r="U2738" s="1" t="s">
        <v>19320</v>
      </c>
      <c r="V2738" s="1">
        <v>0</v>
      </c>
      <c r="W2738" s="1">
        <v>1</v>
      </c>
      <c r="X2738" s="1">
        <v>1</v>
      </c>
      <c r="Y2738" s="1">
        <v>0</v>
      </c>
      <c r="Z2738" s="1">
        <v>1</v>
      </c>
      <c r="AA2738" s="1">
        <v>4</v>
      </c>
      <c r="AB2738" s="1">
        <v>4</v>
      </c>
      <c r="AC2738" s="1">
        <v>4</v>
      </c>
      <c r="AD2738" s="1">
        <v>4</v>
      </c>
      <c r="AE2738" s="1" t="s">
        <v>109</v>
      </c>
      <c r="AF2738" s="1" t="s">
        <v>109</v>
      </c>
      <c r="AG2738" s="1" t="s">
        <v>109</v>
      </c>
      <c r="AH2738" s="1">
        <v>4</v>
      </c>
      <c r="AI2738" s="1">
        <v>4</v>
      </c>
      <c r="AJ2738" s="1" t="s">
        <v>109</v>
      </c>
      <c r="AK2738" s="1" t="s">
        <v>109</v>
      </c>
      <c r="AL2738" s="1">
        <v>4</v>
      </c>
      <c r="AM2738" s="1" t="s">
        <v>109</v>
      </c>
      <c r="AN2738" s="1" t="s">
        <v>109</v>
      </c>
      <c r="AO2738" s="1" t="s">
        <v>109</v>
      </c>
      <c r="AP2738" s="1"/>
      <c r="AQ2738" s="1">
        <v>4</v>
      </c>
      <c r="AR2738" s="1"/>
      <c r="AS2738" s="1"/>
      <c r="AT2738" s="1">
        <v>0</v>
      </c>
      <c r="AU2738" s="1">
        <v>0</v>
      </c>
      <c r="AV2738" s="1">
        <v>0</v>
      </c>
      <c r="AW2738" s="1">
        <v>0</v>
      </c>
      <c r="AX2738" s="1">
        <v>0</v>
      </c>
      <c r="AY2738" s="1">
        <v>0</v>
      </c>
      <c r="AZ2738" s="1">
        <v>0</v>
      </c>
      <c r="BA2738" s="1">
        <v>0</v>
      </c>
      <c r="BB2738" s="1">
        <v>0</v>
      </c>
      <c r="BC2738" s="1">
        <v>0</v>
      </c>
      <c r="BD2738" s="1">
        <v>0</v>
      </c>
      <c r="BE2738" s="1">
        <v>0</v>
      </c>
      <c r="BF2738" s="1">
        <v>0</v>
      </c>
      <c r="BG2738" s="1">
        <v>0</v>
      </c>
      <c r="BH2738" s="1">
        <v>0</v>
      </c>
      <c r="BI2738" s="1">
        <v>0</v>
      </c>
      <c r="BJ2738" s="1">
        <v>0</v>
      </c>
      <c r="BK2738" s="1">
        <v>0</v>
      </c>
      <c r="BL2738" s="1">
        <v>0</v>
      </c>
      <c r="BM2738" s="1">
        <v>0</v>
      </c>
      <c r="BN2738" s="1">
        <v>0</v>
      </c>
      <c r="BO2738" s="1">
        <v>0</v>
      </c>
      <c r="BP2738" s="1">
        <v>0</v>
      </c>
      <c r="BQ2738" s="1">
        <v>0</v>
      </c>
      <c r="BR2738" s="1">
        <v>0</v>
      </c>
      <c r="BS2738" s="1" t="s">
        <v>109</v>
      </c>
      <c r="BT2738" s="1">
        <v>4831</v>
      </c>
      <c r="BU2738" s="1" t="s">
        <v>109</v>
      </c>
      <c r="BV2738" s="1"/>
      <c r="BW2738" s="1"/>
      <c r="BX2738" s="1"/>
      <c r="BY2738" s="1"/>
      <c r="BZ2738" s="1">
        <v>0</v>
      </c>
      <c r="CA2738" s="1" t="s">
        <v>109</v>
      </c>
      <c r="CB2738" s="1">
        <v>4</v>
      </c>
      <c r="CC2738" s="1" t="s">
        <v>109</v>
      </c>
      <c r="CD2738" s="1" t="s">
        <v>109</v>
      </c>
      <c r="CE2738" s="1" t="s">
        <v>109</v>
      </c>
      <c r="CF2738" s="1" t="s">
        <v>109</v>
      </c>
      <c r="CG2738" s="1" t="s">
        <v>109</v>
      </c>
      <c r="CH2738" s="1" t="s">
        <v>109</v>
      </c>
      <c r="CI2738" s="1" t="s">
        <v>109</v>
      </c>
      <c r="CJ2738" s="1">
        <v>4</v>
      </c>
      <c r="CK2738" s="1"/>
      <c r="CL2738" s="1">
        <v>0</v>
      </c>
      <c r="CM2738" s="1">
        <v>0</v>
      </c>
      <c r="CN2738" s="1">
        <v>0</v>
      </c>
    </row>
    <row r="2739" spans="1:92" ht="14.25" customHeight="1" x14ac:dyDescent="0.15">
      <c r="A2739" s="1" t="s">
        <v>19321</v>
      </c>
      <c r="B2739" s="1" t="s">
        <v>584</v>
      </c>
      <c r="C2739" s="1"/>
      <c r="D2739" s="1" t="s">
        <v>64</v>
      </c>
      <c r="E2739" s="1" t="s">
        <v>19322</v>
      </c>
      <c r="F2739" s="1" t="s">
        <v>98</v>
      </c>
      <c r="G2739" s="1" t="s">
        <v>19323</v>
      </c>
      <c r="H2739" s="1">
        <v>1</v>
      </c>
      <c r="I2739" s="1" t="s">
        <v>142</v>
      </c>
      <c r="J2739" s="1" t="s">
        <v>7993</v>
      </c>
      <c r="K2739" s="1"/>
      <c r="L2739" s="1"/>
      <c r="M2739" s="1" t="s">
        <v>6144</v>
      </c>
      <c r="N2739" s="1">
        <v>1</v>
      </c>
      <c r="O2739" s="1">
        <v>0</v>
      </c>
      <c r="P2739" s="1" t="s">
        <v>19324</v>
      </c>
      <c r="Q2739" s="1" t="s">
        <v>104</v>
      </c>
      <c r="R2739" s="1" t="s">
        <v>19325</v>
      </c>
      <c r="S2739" s="1" t="s">
        <v>19326</v>
      </c>
      <c r="T2739" s="1" t="s">
        <v>19286</v>
      </c>
      <c r="U2739" s="1" t="s">
        <v>19327</v>
      </c>
      <c r="V2739" s="1">
        <v>1</v>
      </c>
      <c r="W2739" s="1">
        <v>1</v>
      </c>
      <c r="X2739" s="1">
        <v>1</v>
      </c>
      <c r="Y2739" s="1">
        <v>0</v>
      </c>
      <c r="Z2739" s="1">
        <v>0</v>
      </c>
      <c r="AA2739" s="1" t="s">
        <v>109</v>
      </c>
      <c r="AB2739" s="1" t="s">
        <v>109</v>
      </c>
      <c r="AC2739" s="1">
        <v>7</v>
      </c>
      <c r="AD2739" s="1">
        <v>7</v>
      </c>
      <c r="AE2739" s="1" t="s">
        <v>109</v>
      </c>
      <c r="AF2739" s="1" t="s">
        <v>109</v>
      </c>
      <c r="AG2739" s="1" t="s">
        <v>109</v>
      </c>
      <c r="AH2739" s="1" t="s">
        <v>109</v>
      </c>
      <c r="AI2739" s="1" t="s">
        <v>109</v>
      </c>
      <c r="AJ2739" s="1" t="s">
        <v>109</v>
      </c>
      <c r="AK2739" s="1">
        <v>6</v>
      </c>
      <c r="AL2739" s="1">
        <v>7</v>
      </c>
      <c r="AM2739" s="1" t="s">
        <v>109</v>
      </c>
      <c r="AN2739" s="1" t="s">
        <v>109</v>
      </c>
      <c r="AO2739" s="1" t="s">
        <v>109</v>
      </c>
      <c r="AP2739" s="1"/>
      <c r="AQ2739" s="1">
        <v>7</v>
      </c>
      <c r="AR2739" s="1"/>
      <c r="AS2739" s="1"/>
      <c r="AT2739" s="1">
        <v>0</v>
      </c>
      <c r="AU2739" s="1">
        <v>0</v>
      </c>
      <c r="AV2739" s="1">
        <v>0</v>
      </c>
      <c r="AW2739" s="1">
        <v>0</v>
      </c>
      <c r="AX2739" s="1">
        <v>0</v>
      </c>
      <c r="AY2739" s="1">
        <v>0</v>
      </c>
      <c r="AZ2739" s="1">
        <v>0</v>
      </c>
      <c r="BA2739" s="1">
        <v>0</v>
      </c>
      <c r="BB2739" s="1">
        <v>0</v>
      </c>
      <c r="BC2739" s="1">
        <v>0</v>
      </c>
      <c r="BD2739" s="1">
        <v>0</v>
      </c>
      <c r="BE2739" s="1">
        <v>0</v>
      </c>
      <c r="BF2739" s="1">
        <v>0</v>
      </c>
      <c r="BG2739" s="1">
        <v>0</v>
      </c>
      <c r="BH2739" s="1">
        <v>0</v>
      </c>
      <c r="BI2739" s="1">
        <v>0</v>
      </c>
      <c r="BJ2739" s="1">
        <v>0</v>
      </c>
      <c r="BK2739" s="1">
        <v>0</v>
      </c>
      <c r="BL2739" s="1">
        <v>1</v>
      </c>
      <c r="BM2739" s="1">
        <v>0</v>
      </c>
      <c r="BN2739" s="1">
        <v>0</v>
      </c>
      <c r="BO2739" s="1">
        <v>0</v>
      </c>
      <c r="BP2739" s="1">
        <v>0</v>
      </c>
      <c r="BQ2739" s="1">
        <v>0</v>
      </c>
      <c r="BR2739" s="1">
        <v>0</v>
      </c>
      <c r="BS2739" s="1" t="s">
        <v>109</v>
      </c>
      <c r="BT2739" s="1">
        <v>4832</v>
      </c>
      <c r="BU2739" s="1">
        <v>500</v>
      </c>
      <c r="BV2739" s="1"/>
      <c r="BW2739" s="1"/>
      <c r="BX2739" s="1"/>
      <c r="BY2739" s="1"/>
      <c r="BZ2739" s="1">
        <v>0</v>
      </c>
      <c r="CA2739" s="1" t="s">
        <v>109</v>
      </c>
      <c r="CB2739" s="1">
        <v>7</v>
      </c>
      <c r="CC2739" s="1" t="s">
        <v>109</v>
      </c>
      <c r="CD2739" s="1" t="s">
        <v>109</v>
      </c>
      <c r="CE2739" s="1" t="s">
        <v>109</v>
      </c>
      <c r="CF2739" s="1" t="s">
        <v>109</v>
      </c>
      <c r="CG2739" s="1" t="s">
        <v>109</v>
      </c>
      <c r="CH2739" s="1" t="s">
        <v>109</v>
      </c>
      <c r="CI2739" s="1" t="s">
        <v>109</v>
      </c>
      <c r="CJ2739" s="1" t="s">
        <v>109</v>
      </c>
      <c r="CK2739" s="1"/>
      <c r="CL2739" s="1">
        <v>0</v>
      </c>
      <c r="CM2739" s="1">
        <v>0</v>
      </c>
      <c r="CN2739" s="1">
        <v>0</v>
      </c>
    </row>
    <row r="2740" spans="1:92" ht="14.25" customHeight="1" x14ac:dyDescent="0.15">
      <c r="A2740" s="1" t="s">
        <v>19328</v>
      </c>
      <c r="B2740" s="1" t="s">
        <v>584</v>
      </c>
      <c r="C2740" s="1"/>
      <c r="D2740" s="1" t="s">
        <v>59</v>
      </c>
      <c r="E2740" s="1" t="s">
        <v>2069</v>
      </c>
      <c r="F2740" s="1" t="s">
        <v>98</v>
      </c>
      <c r="G2740" s="1" t="s">
        <v>19329</v>
      </c>
      <c r="H2740" s="1">
        <v>0</v>
      </c>
      <c r="I2740" s="1" t="s">
        <v>925</v>
      </c>
      <c r="J2740" s="1"/>
      <c r="K2740" s="1" t="s">
        <v>3785</v>
      </c>
      <c r="L2740" s="1"/>
      <c r="M2740" s="1" t="s">
        <v>6144</v>
      </c>
      <c r="N2740" s="1">
        <v>1</v>
      </c>
      <c r="O2740" s="1">
        <v>0</v>
      </c>
      <c r="P2740" s="1" t="s">
        <v>103</v>
      </c>
      <c r="Q2740" s="1" t="s">
        <v>268</v>
      </c>
      <c r="R2740" s="1" t="s">
        <v>19330</v>
      </c>
      <c r="S2740" s="1" t="s">
        <v>19331</v>
      </c>
      <c r="T2740" s="1" t="s">
        <v>19286</v>
      </c>
      <c r="U2740" s="1" t="s">
        <v>19332</v>
      </c>
      <c r="V2740" s="1">
        <v>1</v>
      </c>
      <c r="W2740" s="1">
        <v>1</v>
      </c>
      <c r="X2740" s="1">
        <v>1</v>
      </c>
      <c r="Y2740" s="1">
        <v>0</v>
      </c>
      <c r="Z2740" s="1">
        <v>0</v>
      </c>
      <c r="AA2740" s="1" t="s">
        <v>109</v>
      </c>
      <c r="AB2740" s="1" t="s">
        <v>109</v>
      </c>
      <c r="AC2740" s="1" t="s">
        <v>109</v>
      </c>
      <c r="AD2740" s="1">
        <v>2</v>
      </c>
      <c r="AE2740" s="1" t="s">
        <v>109</v>
      </c>
      <c r="AF2740" s="1" t="s">
        <v>109</v>
      </c>
      <c r="AG2740" s="1" t="s">
        <v>109</v>
      </c>
      <c r="AH2740" s="1" t="s">
        <v>109</v>
      </c>
      <c r="AI2740" s="1" t="s">
        <v>109</v>
      </c>
      <c r="AJ2740" s="1" t="s">
        <v>109</v>
      </c>
      <c r="AK2740" s="1" t="s">
        <v>109</v>
      </c>
      <c r="AL2740" s="1" t="s">
        <v>109</v>
      </c>
      <c r="AM2740" s="1" t="s">
        <v>109</v>
      </c>
      <c r="AN2740" s="1" t="s">
        <v>109</v>
      </c>
      <c r="AO2740" s="1" t="s">
        <v>109</v>
      </c>
      <c r="AP2740" s="1"/>
      <c r="AQ2740" s="1">
        <v>2</v>
      </c>
      <c r="AR2740" s="1"/>
      <c r="AS2740" s="1"/>
      <c r="AT2740" s="1">
        <v>0</v>
      </c>
      <c r="AU2740" s="1">
        <v>0</v>
      </c>
      <c r="AV2740" s="1">
        <v>0</v>
      </c>
      <c r="AW2740" s="1">
        <v>0</v>
      </c>
      <c r="AX2740" s="1">
        <v>0</v>
      </c>
      <c r="AY2740" s="1">
        <v>0</v>
      </c>
      <c r="AZ2740" s="1">
        <v>0</v>
      </c>
      <c r="BA2740" s="1">
        <v>0</v>
      </c>
      <c r="BB2740" s="1">
        <v>0</v>
      </c>
      <c r="BC2740" s="1">
        <v>0</v>
      </c>
      <c r="BD2740" s="1">
        <v>0</v>
      </c>
      <c r="BE2740" s="1">
        <v>0</v>
      </c>
      <c r="BF2740" s="1">
        <v>0</v>
      </c>
      <c r="BG2740" s="1">
        <v>1</v>
      </c>
      <c r="BH2740" s="1">
        <v>0</v>
      </c>
      <c r="BI2740" s="1">
        <v>0</v>
      </c>
      <c r="BJ2740" s="1">
        <v>0</v>
      </c>
      <c r="BK2740" s="1">
        <v>0</v>
      </c>
      <c r="BL2740" s="1">
        <v>0</v>
      </c>
      <c r="BM2740" s="1">
        <v>0</v>
      </c>
      <c r="BN2740" s="1">
        <v>0</v>
      </c>
      <c r="BO2740" s="1">
        <v>0</v>
      </c>
      <c r="BP2740" s="1">
        <v>0</v>
      </c>
      <c r="BQ2740" s="1">
        <v>0</v>
      </c>
      <c r="BR2740" s="1">
        <v>0</v>
      </c>
      <c r="BS2740" s="1" t="s">
        <v>109</v>
      </c>
      <c r="BT2740" s="1">
        <v>4833</v>
      </c>
      <c r="BU2740" s="1" t="s">
        <v>109</v>
      </c>
      <c r="BV2740" s="1"/>
      <c r="BW2740" s="1"/>
      <c r="BX2740" s="1"/>
      <c r="BY2740" s="1"/>
      <c r="BZ2740" s="1">
        <v>0</v>
      </c>
      <c r="CA2740" s="1" t="s">
        <v>109</v>
      </c>
      <c r="CB2740" s="1">
        <v>2</v>
      </c>
      <c r="CC2740" s="1" t="s">
        <v>109</v>
      </c>
      <c r="CD2740" s="1" t="s">
        <v>109</v>
      </c>
      <c r="CE2740" s="1" t="s">
        <v>109</v>
      </c>
      <c r="CF2740" s="1" t="s">
        <v>109</v>
      </c>
      <c r="CG2740" s="1" t="s">
        <v>109</v>
      </c>
      <c r="CH2740" s="1" t="s">
        <v>109</v>
      </c>
      <c r="CI2740" s="1" t="s">
        <v>109</v>
      </c>
      <c r="CJ2740" s="1">
        <v>2</v>
      </c>
      <c r="CK2740" s="1"/>
      <c r="CL2740" s="1">
        <v>0</v>
      </c>
      <c r="CM2740" s="1">
        <v>0</v>
      </c>
      <c r="CN2740" s="1">
        <v>0</v>
      </c>
    </row>
    <row r="2741" spans="1:92" ht="14.25" customHeight="1" x14ac:dyDescent="0.15">
      <c r="A2741" s="1" t="s">
        <v>19333</v>
      </c>
      <c r="B2741" s="1" t="s">
        <v>242</v>
      </c>
      <c r="C2741" s="1"/>
      <c r="D2741" s="1"/>
      <c r="E2741" s="1" t="s">
        <v>19334</v>
      </c>
      <c r="F2741" s="1" t="s">
        <v>98</v>
      </c>
      <c r="G2741" s="1" t="s">
        <v>141</v>
      </c>
      <c r="H2741" s="1">
        <v>0</v>
      </c>
      <c r="I2741" s="1" t="s">
        <v>161</v>
      </c>
      <c r="J2741" s="1"/>
      <c r="K2741" s="1"/>
      <c r="L2741" s="1" t="s">
        <v>506</v>
      </c>
      <c r="M2741" s="1" t="s">
        <v>815</v>
      </c>
      <c r="N2741" s="1">
        <v>1</v>
      </c>
      <c r="O2741" s="1">
        <v>0</v>
      </c>
      <c r="P2741" s="1" t="s">
        <v>14362</v>
      </c>
      <c r="Q2741" s="1" t="s">
        <v>167</v>
      </c>
      <c r="R2741" s="1" t="s">
        <v>19335</v>
      </c>
      <c r="S2741" s="1" t="s">
        <v>19336</v>
      </c>
      <c r="T2741" s="1" t="s">
        <v>19286</v>
      </c>
      <c r="U2741" s="1" t="s">
        <v>19337</v>
      </c>
      <c r="V2741" s="1">
        <v>1</v>
      </c>
      <c r="W2741" s="1">
        <v>1</v>
      </c>
      <c r="X2741" s="1">
        <v>0</v>
      </c>
      <c r="Y2741" s="1">
        <v>0</v>
      </c>
      <c r="Z2741" s="1">
        <v>0</v>
      </c>
      <c r="AA2741" s="1">
        <v>2</v>
      </c>
      <c r="AB2741" s="1">
        <v>2</v>
      </c>
      <c r="AC2741" s="1">
        <v>2</v>
      </c>
      <c r="AD2741" s="1">
        <v>2</v>
      </c>
      <c r="AE2741" s="1">
        <v>1</v>
      </c>
      <c r="AF2741" s="1" t="s">
        <v>109</v>
      </c>
      <c r="AG2741" s="1" t="s">
        <v>109</v>
      </c>
      <c r="AH2741" s="1">
        <v>2</v>
      </c>
      <c r="AI2741" s="1" t="s">
        <v>109</v>
      </c>
      <c r="AJ2741" s="1" t="s">
        <v>109</v>
      </c>
      <c r="AK2741" s="1" t="s">
        <v>109</v>
      </c>
      <c r="AL2741" s="1">
        <v>2</v>
      </c>
      <c r="AM2741" s="1" t="s">
        <v>109</v>
      </c>
      <c r="AN2741" s="1" t="s">
        <v>109</v>
      </c>
      <c r="AO2741" s="1" t="s">
        <v>109</v>
      </c>
      <c r="AP2741" s="1"/>
      <c r="AQ2741" s="1">
        <v>2</v>
      </c>
      <c r="AR2741" s="1"/>
      <c r="AS2741" s="1"/>
      <c r="AT2741" s="1">
        <v>0</v>
      </c>
      <c r="AU2741" s="1">
        <v>0</v>
      </c>
      <c r="AV2741" s="1">
        <v>0</v>
      </c>
      <c r="AW2741" s="1">
        <v>0</v>
      </c>
      <c r="AX2741" s="1">
        <v>0</v>
      </c>
      <c r="AY2741" s="1">
        <v>0</v>
      </c>
      <c r="AZ2741" s="1">
        <v>0</v>
      </c>
      <c r="BA2741" s="1">
        <v>0</v>
      </c>
      <c r="BB2741" s="1">
        <v>0</v>
      </c>
      <c r="BC2741" s="1">
        <v>0</v>
      </c>
      <c r="BD2741" s="1">
        <v>0</v>
      </c>
      <c r="BE2741" s="1">
        <v>0</v>
      </c>
      <c r="BF2741" s="1">
        <v>0</v>
      </c>
      <c r="BG2741" s="1">
        <v>0</v>
      </c>
      <c r="BH2741" s="1">
        <v>0</v>
      </c>
      <c r="BI2741" s="1">
        <v>0</v>
      </c>
      <c r="BJ2741" s="1">
        <v>0</v>
      </c>
      <c r="BK2741" s="1">
        <v>0</v>
      </c>
      <c r="BL2741" s="1">
        <v>0</v>
      </c>
      <c r="BM2741" s="1">
        <v>0</v>
      </c>
      <c r="BN2741" s="1">
        <v>0</v>
      </c>
      <c r="BO2741" s="1">
        <v>0</v>
      </c>
      <c r="BP2741" s="1">
        <v>0</v>
      </c>
      <c r="BQ2741" s="1">
        <v>0</v>
      </c>
      <c r="BR2741" s="1">
        <v>0</v>
      </c>
      <c r="BS2741" s="1" t="s">
        <v>109</v>
      </c>
      <c r="BT2741" s="1">
        <v>4834</v>
      </c>
      <c r="BU2741" s="1" t="s">
        <v>109</v>
      </c>
      <c r="BV2741" s="1"/>
      <c r="BW2741" s="1"/>
      <c r="BX2741" s="1"/>
      <c r="BY2741" s="1"/>
      <c r="BZ2741" s="1">
        <v>0</v>
      </c>
      <c r="CA2741" s="1" t="s">
        <v>109</v>
      </c>
      <c r="CB2741" s="1">
        <v>2</v>
      </c>
      <c r="CC2741" s="1" t="s">
        <v>109</v>
      </c>
      <c r="CD2741" s="1" t="s">
        <v>109</v>
      </c>
      <c r="CE2741" s="1" t="s">
        <v>109</v>
      </c>
      <c r="CF2741" s="1" t="s">
        <v>109</v>
      </c>
      <c r="CG2741" s="1" t="s">
        <v>109</v>
      </c>
      <c r="CH2741" s="1" t="s">
        <v>109</v>
      </c>
      <c r="CI2741" s="1" t="s">
        <v>109</v>
      </c>
      <c r="CJ2741" s="1">
        <v>1</v>
      </c>
      <c r="CK2741" s="1"/>
      <c r="CL2741" s="1">
        <v>0</v>
      </c>
      <c r="CM2741" s="1">
        <v>0</v>
      </c>
      <c r="CN2741" s="1">
        <v>0</v>
      </c>
    </row>
    <row r="2742" spans="1:92" ht="14.25" customHeight="1" x14ac:dyDescent="0.15">
      <c r="A2742" s="1" t="s">
        <v>19338</v>
      </c>
      <c r="B2742" s="1" t="s">
        <v>242</v>
      </c>
      <c r="C2742" s="1"/>
      <c r="D2742" s="1" t="s">
        <v>158</v>
      </c>
      <c r="E2742" s="1" t="s">
        <v>19339</v>
      </c>
      <c r="F2742" s="1" t="s">
        <v>98</v>
      </c>
      <c r="G2742" s="1" t="s">
        <v>141</v>
      </c>
      <c r="H2742" s="1">
        <v>0</v>
      </c>
      <c r="I2742" s="1" t="s">
        <v>235</v>
      </c>
      <c r="J2742" s="1"/>
      <c r="K2742" s="1"/>
      <c r="L2742" s="1"/>
      <c r="M2742" s="1" t="s">
        <v>3385</v>
      </c>
      <c r="N2742" s="1">
        <v>0</v>
      </c>
      <c r="O2742" s="1">
        <v>0</v>
      </c>
      <c r="P2742" s="1" t="s">
        <v>507</v>
      </c>
      <c r="Q2742" s="1" t="s">
        <v>104</v>
      </c>
      <c r="R2742" s="1" t="s">
        <v>19340</v>
      </c>
      <c r="S2742" s="1" t="s">
        <v>19341</v>
      </c>
      <c r="T2742" s="1" t="s">
        <v>19286</v>
      </c>
      <c r="U2742" s="1" t="s">
        <v>19342</v>
      </c>
      <c r="V2742" s="1">
        <v>1</v>
      </c>
      <c r="W2742" s="1">
        <v>1</v>
      </c>
      <c r="X2742" s="1">
        <v>0</v>
      </c>
      <c r="Y2742" s="1">
        <v>0</v>
      </c>
      <c r="Z2742" s="1">
        <v>0</v>
      </c>
      <c r="AA2742" s="1" t="s">
        <v>109</v>
      </c>
      <c r="AB2742" s="1" t="s">
        <v>109</v>
      </c>
      <c r="AC2742" s="1" t="s">
        <v>109</v>
      </c>
      <c r="AD2742" s="1" t="s">
        <v>109</v>
      </c>
      <c r="AE2742" s="1" t="s">
        <v>109</v>
      </c>
      <c r="AF2742" s="1" t="s">
        <v>109</v>
      </c>
      <c r="AG2742" s="1" t="s">
        <v>109</v>
      </c>
      <c r="AH2742" s="1" t="s">
        <v>109</v>
      </c>
      <c r="AI2742" s="1" t="s">
        <v>109</v>
      </c>
      <c r="AJ2742" s="1" t="s">
        <v>109</v>
      </c>
      <c r="AK2742" s="1" t="s">
        <v>109</v>
      </c>
      <c r="AL2742" s="1" t="s">
        <v>109</v>
      </c>
      <c r="AM2742" s="1" t="s">
        <v>109</v>
      </c>
      <c r="AN2742" s="1" t="s">
        <v>109</v>
      </c>
      <c r="AO2742" s="1" t="s">
        <v>109</v>
      </c>
      <c r="AP2742" s="1"/>
      <c r="AQ2742" s="1" t="s">
        <v>109</v>
      </c>
      <c r="AR2742" s="1"/>
      <c r="AS2742" s="1"/>
      <c r="AT2742" s="1">
        <v>0</v>
      </c>
      <c r="AU2742" s="1">
        <v>0</v>
      </c>
      <c r="AV2742" s="1">
        <v>0</v>
      </c>
      <c r="AW2742" s="1">
        <v>0</v>
      </c>
      <c r="AX2742" s="1">
        <v>0</v>
      </c>
      <c r="AY2742" s="1">
        <v>0</v>
      </c>
      <c r="AZ2742" s="1">
        <v>0</v>
      </c>
      <c r="BA2742" s="1">
        <v>0</v>
      </c>
      <c r="BB2742" s="1">
        <v>0</v>
      </c>
      <c r="BC2742" s="1">
        <v>0</v>
      </c>
      <c r="BD2742" s="1">
        <v>0</v>
      </c>
      <c r="BE2742" s="1">
        <v>0</v>
      </c>
      <c r="BF2742" s="1">
        <v>0</v>
      </c>
      <c r="BG2742" s="1">
        <v>0</v>
      </c>
      <c r="BH2742" s="1">
        <v>0</v>
      </c>
      <c r="BI2742" s="1">
        <v>0</v>
      </c>
      <c r="BJ2742" s="1">
        <v>0</v>
      </c>
      <c r="BK2742" s="1">
        <v>0</v>
      </c>
      <c r="BL2742" s="1">
        <v>0</v>
      </c>
      <c r="BM2742" s="1">
        <v>1</v>
      </c>
      <c r="BN2742" s="1">
        <v>0</v>
      </c>
      <c r="BO2742" s="1">
        <v>0</v>
      </c>
      <c r="BP2742" s="1">
        <v>0</v>
      </c>
      <c r="BQ2742" s="1">
        <v>0</v>
      </c>
      <c r="BR2742" s="1">
        <v>0</v>
      </c>
      <c r="BS2742" s="1" t="s">
        <v>109</v>
      </c>
      <c r="BT2742" s="1">
        <v>4835</v>
      </c>
      <c r="BU2742" s="1" t="s">
        <v>109</v>
      </c>
      <c r="BV2742" s="1"/>
      <c r="BW2742" s="1"/>
      <c r="BX2742" s="1"/>
      <c r="BY2742" s="1"/>
      <c r="BZ2742" s="1">
        <v>0</v>
      </c>
      <c r="CA2742" s="1" t="s">
        <v>109</v>
      </c>
      <c r="CB2742" s="1" t="s">
        <v>109</v>
      </c>
      <c r="CC2742" s="1">
        <v>3</v>
      </c>
      <c r="CD2742" s="1" t="s">
        <v>109</v>
      </c>
      <c r="CE2742" s="1">
        <v>2</v>
      </c>
      <c r="CF2742" s="1" t="s">
        <v>109</v>
      </c>
      <c r="CG2742" s="1" t="s">
        <v>109</v>
      </c>
      <c r="CH2742" s="1" t="s">
        <v>109</v>
      </c>
      <c r="CI2742" s="1" t="s">
        <v>109</v>
      </c>
      <c r="CJ2742" s="1" t="s">
        <v>109</v>
      </c>
      <c r="CK2742" s="1"/>
      <c r="CL2742" s="1">
        <v>0</v>
      </c>
      <c r="CM2742" s="1">
        <v>0</v>
      </c>
      <c r="CN2742" s="1">
        <v>0</v>
      </c>
    </row>
    <row r="2743" spans="1:92" ht="14.25" customHeight="1" x14ac:dyDescent="0.15">
      <c r="A2743" s="1" t="s">
        <v>19343</v>
      </c>
      <c r="B2743" s="1" t="s">
        <v>242</v>
      </c>
      <c r="C2743" s="1"/>
      <c r="D2743" s="1" t="s">
        <v>158</v>
      </c>
      <c r="E2743" s="1" t="s">
        <v>15701</v>
      </c>
      <c r="F2743" s="1" t="s">
        <v>98</v>
      </c>
      <c r="G2743" s="1" t="s">
        <v>141</v>
      </c>
      <c r="H2743" s="1">
        <v>0</v>
      </c>
      <c r="I2743" s="1" t="s">
        <v>235</v>
      </c>
      <c r="J2743" s="1"/>
      <c r="K2743" s="1"/>
      <c r="L2743" s="1"/>
      <c r="M2743" s="1" t="s">
        <v>3385</v>
      </c>
      <c r="N2743" s="1">
        <v>0</v>
      </c>
      <c r="O2743" s="1">
        <v>0</v>
      </c>
      <c r="P2743" s="1" t="s">
        <v>507</v>
      </c>
      <c r="Q2743" s="1" t="s">
        <v>104</v>
      </c>
      <c r="R2743" s="1" t="s">
        <v>19344</v>
      </c>
      <c r="S2743" s="1" t="s">
        <v>19345</v>
      </c>
      <c r="T2743" s="1" t="s">
        <v>19286</v>
      </c>
      <c r="U2743" s="1" t="s">
        <v>19346</v>
      </c>
      <c r="V2743" s="1">
        <v>1</v>
      </c>
      <c r="W2743" s="1">
        <v>1</v>
      </c>
      <c r="X2743" s="1">
        <v>0</v>
      </c>
      <c r="Y2743" s="1">
        <v>0</v>
      </c>
      <c r="Z2743" s="1">
        <v>0</v>
      </c>
      <c r="AA2743" s="1" t="s">
        <v>109</v>
      </c>
      <c r="AB2743" s="1" t="s">
        <v>109</v>
      </c>
      <c r="AC2743" s="1" t="s">
        <v>109</v>
      </c>
      <c r="AD2743" s="1" t="s">
        <v>109</v>
      </c>
      <c r="AE2743" s="1" t="s">
        <v>109</v>
      </c>
      <c r="AF2743" s="1" t="s">
        <v>109</v>
      </c>
      <c r="AG2743" s="1" t="s">
        <v>109</v>
      </c>
      <c r="AH2743" s="1" t="s">
        <v>109</v>
      </c>
      <c r="AI2743" s="1" t="s">
        <v>109</v>
      </c>
      <c r="AJ2743" s="1" t="s">
        <v>109</v>
      </c>
      <c r="AK2743" s="1" t="s">
        <v>109</v>
      </c>
      <c r="AL2743" s="1" t="s">
        <v>109</v>
      </c>
      <c r="AM2743" s="1" t="s">
        <v>109</v>
      </c>
      <c r="AN2743" s="1" t="s">
        <v>109</v>
      </c>
      <c r="AO2743" s="1" t="s">
        <v>109</v>
      </c>
      <c r="AP2743" s="1"/>
      <c r="AQ2743" s="1" t="s">
        <v>109</v>
      </c>
      <c r="AR2743" s="1"/>
      <c r="AS2743" s="1"/>
      <c r="AT2743" s="1">
        <v>0</v>
      </c>
      <c r="AU2743" s="1">
        <v>0</v>
      </c>
      <c r="AV2743" s="1">
        <v>0</v>
      </c>
      <c r="AW2743" s="1">
        <v>0</v>
      </c>
      <c r="AX2743" s="1">
        <v>0</v>
      </c>
      <c r="AY2743" s="1">
        <v>0</v>
      </c>
      <c r="AZ2743" s="1">
        <v>0</v>
      </c>
      <c r="BA2743" s="1">
        <v>0</v>
      </c>
      <c r="BB2743" s="1">
        <v>0</v>
      </c>
      <c r="BC2743" s="1">
        <v>0</v>
      </c>
      <c r="BD2743" s="1">
        <v>0</v>
      </c>
      <c r="BE2743" s="1">
        <v>0</v>
      </c>
      <c r="BF2743" s="1">
        <v>0</v>
      </c>
      <c r="BG2743" s="1">
        <v>0</v>
      </c>
      <c r="BH2743" s="1">
        <v>0</v>
      </c>
      <c r="BI2743" s="1">
        <v>0</v>
      </c>
      <c r="BJ2743" s="1">
        <v>0</v>
      </c>
      <c r="BK2743" s="1">
        <v>0</v>
      </c>
      <c r="BL2743" s="1">
        <v>0</v>
      </c>
      <c r="BM2743" s="1">
        <v>1</v>
      </c>
      <c r="BN2743" s="1">
        <v>0</v>
      </c>
      <c r="BO2743" s="1">
        <v>0</v>
      </c>
      <c r="BP2743" s="1">
        <v>0</v>
      </c>
      <c r="BQ2743" s="1">
        <v>0</v>
      </c>
      <c r="BR2743" s="1">
        <v>0</v>
      </c>
      <c r="BS2743" s="1" t="s">
        <v>109</v>
      </c>
      <c r="BT2743" s="1">
        <v>4836</v>
      </c>
      <c r="BU2743" s="1" t="s">
        <v>109</v>
      </c>
      <c r="BV2743" s="1"/>
      <c r="BW2743" s="1"/>
      <c r="BX2743" s="1"/>
      <c r="BY2743" s="1"/>
      <c r="BZ2743" s="1">
        <v>0</v>
      </c>
      <c r="CA2743" s="1" t="s">
        <v>109</v>
      </c>
      <c r="CB2743" s="1" t="s">
        <v>109</v>
      </c>
      <c r="CC2743" s="1">
        <v>5</v>
      </c>
      <c r="CD2743" s="1" t="s">
        <v>109</v>
      </c>
      <c r="CE2743" s="1">
        <v>4</v>
      </c>
      <c r="CF2743" s="1" t="s">
        <v>109</v>
      </c>
      <c r="CG2743" s="1" t="s">
        <v>109</v>
      </c>
      <c r="CH2743" s="1" t="s">
        <v>109</v>
      </c>
      <c r="CI2743" s="1" t="s">
        <v>109</v>
      </c>
      <c r="CJ2743" s="1" t="s">
        <v>109</v>
      </c>
      <c r="CK2743" s="1"/>
      <c r="CL2743" s="1">
        <v>0</v>
      </c>
      <c r="CM2743" s="1">
        <v>0</v>
      </c>
      <c r="CN2743" s="1">
        <v>0</v>
      </c>
    </row>
    <row r="2744" spans="1:92" ht="14.25" customHeight="1" x14ac:dyDescent="0.15">
      <c r="A2744" s="1" t="s">
        <v>19347</v>
      </c>
      <c r="B2744" s="1" t="s">
        <v>189</v>
      </c>
      <c r="C2744" s="1"/>
      <c r="D2744" s="1" t="s">
        <v>54</v>
      </c>
      <c r="E2744" s="1" t="s">
        <v>19348</v>
      </c>
      <c r="F2744" s="1" t="s">
        <v>277</v>
      </c>
      <c r="G2744" s="1" t="s">
        <v>19349</v>
      </c>
      <c r="H2744" s="1">
        <v>1</v>
      </c>
      <c r="I2744" s="1" t="s">
        <v>122</v>
      </c>
      <c r="J2744" s="1"/>
      <c r="K2744" s="1" t="s">
        <v>19350</v>
      </c>
      <c r="L2744" s="1"/>
      <c r="M2744" s="1" t="s">
        <v>408</v>
      </c>
      <c r="N2744" s="1">
        <v>0</v>
      </c>
      <c r="O2744" s="1">
        <v>0</v>
      </c>
      <c r="P2744" s="1" t="s">
        <v>103</v>
      </c>
      <c r="Q2744" s="1" t="s">
        <v>104</v>
      </c>
      <c r="R2744" s="1" t="s">
        <v>19351</v>
      </c>
      <c r="S2744" s="1" t="s">
        <v>19352</v>
      </c>
      <c r="T2744" s="1" t="s">
        <v>19286</v>
      </c>
      <c r="U2744" s="1" t="s">
        <v>19353</v>
      </c>
      <c r="V2744" s="1">
        <v>1</v>
      </c>
      <c r="W2744" s="1">
        <v>1</v>
      </c>
      <c r="X2744" s="1">
        <v>1</v>
      </c>
      <c r="Y2744" s="1">
        <v>0</v>
      </c>
      <c r="Z2744" s="1">
        <v>0</v>
      </c>
      <c r="AA2744" s="1">
        <v>8</v>
      </c>
      <c r="AB2744" s="1">
        <v>8</v>
      </c>
      <c r="AC2744" s="1" t="s">
        <v>109</v>
      </c>
      <c r="AD2744" s="1">
        <v>8</v>
      </c>
      <c r="AE2744" s="1" t="s">
        <v>109</v>
      </c>
      <c r="AF2744" s="1" t="s">
        <v>109</v>
      </c>
      <c r="AG2744" s="1" t="s">
        <v>109</v>
      </c>
      <c r="AH2744" s="1" t="s">
        <v>109</v>
      </c>
      <c r="AI2744" s="1" t="s">
        <v>109</v>
      </c>
      <c r="AJ2744" s="1" t="s">
        <v>109</v>
      </c>
      <c r="AK2744" s="1" t="s">
        <v>109</v>
      </c>
      <c r="AL2744" s="1" t="s">
        <v>109</v>
      </c>
      <c r="AM2744" s="1" t="s">
        <v>109</v>
      </c>
      <c r="AN2744" s="1" t="s">
        <v>109</v>
      </c>
      <c r="AO2744" s="1" t="s">
        <v>109</v>
      </c>
      <c r="AP2744" s="1"/>
      <c r="AQ2744" s="1">
        <v>8</v>
      </c>
      <c r="AR2744" s="1"/>
      <c r="AS2744" s="1"/>
      <c r="AT2744" s="1">
        <v>0</v>
      </c>
      <c r="AU2744" s="1">
        <v>0</v>
      </c>
      <c r="AV2744" s="1">
        <v>0</v>
      </c>
      <c r="AW2744" s="1">
        <v>0</v>
      </c>
      <c r="AX2744" s="1">
        <v>0</v>
      </c>
      <c r="AY2744" s="1">
        <v>0</v>
      </c>
      <c r="AZ2744" s="1">
        <v>0</v>
      </c>
      <c r="BA2744" s="1">
        <v>0</v>
      </c>
      <c r="BB2744" s="1">
        <v>1</v>
      </c>
      <c r="BC2744" s="1">
        <v>0</v>
      </c>
      <c r="BD2744" s="1">
        <v>0</v>
      </c>
      <c r="BE2744" s="1">
        <v>0</v>
      </c>
      <c r="BF2744" s="1">
        <v>0</v>
      </c>
      <c r="BG2744" s="1">
        <v>0</v>
      </c>
      <c r="BH2744" s="1">
        <v>0</v>
      </c>
      <c r="BI2744" s="1">
        <v>0</v>
      </c>
      <c r="BJ2744" s="1">
        <v>0</v>
      </c>
      <c r="BK2744" s="1">
        <v>0</v>
      </c>
      <c r="BL2744" s="1">
        <v>0</v>
      </c>
      <c r="BM2744" s="1">
        <v>0</v>
      </c>
      <c r="BN2744" s="1">
        <v>0</v>
      </c>
      <c r="BO2744" s="1">
        <v>0</v>
      </c>
      <c r="BP2744" s="1">
        <v>0</v>
      </c>
      <c r="BQ2744" s="1">
        <v>0</v>
      </c>
      <c r="BR2744" s="1">
        <v>0</v>
      </c>
      <c r="BS2744" s="1" t="s">
        <v>109</v>
      </c>
      <c r="BT2744" s="1">
        <v>4837</v>
      </c>
      <c r="BU2744" s="1">
        <v>1000</v>
      </c>
      <c r="BV2744" s="1"/>
      <c r="BW2744" s="1"/>
      <c r="BX2744" s="1"/>
      <c r="BY2744" s="1"/>
      <c r="BZ2744" s="1">
        <v>0</v>
      </c>
      <c r="CA2744" s="1" t="s">
        <v>109</v>
      </c>
      <c r="CB2744" s="1">
        <v>8</v>
      </c>
      <c r="CC2744" s="1" t="s">
        <v>109</v>
      </c>
      <c r="CD2744" s="1" t="s">
        <v>109</v>
      </c>
      <c r="CE2744" s="1" t="s">
        <v>109</v>
      </c>
      <c r="CF2744" s="1" t="s">
        <v>109</v>
      </c>
      <c r="CG2744" s="1" t="s">
        <v>109</v>
      </c>
      <c r="CH2744" s="1" t="s">
        <v>109</v>
      </c>
      <c r="CI2744" s="1" t="s">
        <v>109</v>
      </c>
      <c r="CJ2744" s="1" t="s">
        <v>109</v>
      </c>
      <c r="CK2744" s="1"/>
      <c r="CL2744" s="1">
        <v>0</v>
      </c>
      <c r="CM2744" s="1">
        <v>0</v>
      </c>
      <c r="CN2744" s="1">
        <v>0</v>
      </c>
    </row>
    <row r="2745" spans="1:92" ht="14.25" customHeight="1" x14ac:dyDescent="0.15">
      <c r="A2745" s="1" t="s">
        <v>19354</v>
      </c>
      <c r="B2745" s="1" t="s">
        <v>156</v>
      </c>
      <c r="C2745" s="1"/>
      <c r="D2745" s="1" t="s">
        <v>8086</v>
      </c>
      <c r="E2745" s="1" t="s">
        <v>19355</v>
      </c>
      <c r="F2745" s="1" t="s">
        <v>98</v>
      </c>
      <c r="G2745" s="1" t="s">
        <v>141</v>
      </c>
      <c r="H2745" s="1">
        <v>0</v>
      </c>
      <c r="I2745" s="1" t="s">
        <v>2136</v>
      </c>
      <c r="J2745" s="1"/>
      <c r="K2745" s="1" t="s">
        <v>1391</v>
      </c>
      <c r="L2745" s="1"/>
      <c r="M2745" s="1" t="s">
        <v>3042</v>
      </c>
      <c r="N2745" s="1">
        <v>0</v>
      </c>
      <c r="O2745" s="1">
        <v>0</v>
      </c>
      <c r="P2745" s="1" t="s">
        <v>301</v>
      </c>
      <c r="Q2745" s="1" t="s">
        <v>268</v>
      </c>
      <c r="R2745" s="1" t="s">
        <v>19356</v>
      </c>
      <c r="S2745" s="1" t="s">
        <v>19357</v>
      </c>
      <c r="T2745" s="1" t="s">
        <v>19286</v>
      </c>
      <c r="U2745" s="1" t="s">
        <v>19358</v>
      </c>
      <c r="V2745" s="1">
        <v>1</v>
      </c>
      <c r="W2745" s="1">
        <v>1</v>
      </c>
      <c r="X2745" s="1">
        <v>0</v>
      </c>
      <c r="Y2745" s="1">
        <v>0</v>
      </c>
      <c r="Z2745" s="1">
        <v>0</v>
      </c>
      <c r="AA2745" s="1">
        <v>2</v>
      </c>
      <c r="AB2745" s="1">
        <v>2</v>
      </c>
      <c r="AC2745" s="1">
        <v>2</v>
      </c>
      <c r="AD2745" s="1" t="s">
        <v>109</v>
      </c>
      <c r="AE2745" s="1" t="s">
        <v>109</v>
      </c>
      <c r="AF2745" s="1">
        <v>1</v>
      </c>
      <c r="AG2745" s="1" t="s">
        <v>109</v>
      </c>
      <c r="AH2745" s="1" t="s">
        <v>109</v>
      </c>
      <c r="AI2745" s="1" t="s">
        <v>109</v>
      </c>
      <c r="AJ2745" s="1">
        <v>2</v>
      </c>
      <c r="AK2745" s="1" t="s">
        <v>109</v>
      </c>
      <c r="AL2745" s="1">
        <v>2</v>
      </c>
      <c r="AM2745" s="1" t="s">
        <v>109</v>
      </c>
      <c r="AN2745" s="1" t="s">
        <v>109</v>
      </c>
      <c r="AO2745" s="1" t="s">
        <v>109</v>
      </c>
      <c r="AP2745" s="1"/>
      <c r="AQ2745" s="1">
        <v>2</v>
      </c>
      <c r="AR2745" s="1"/>
      <c r="AS2745" s="1"/>
      <c r="AT2745" s="1">
        <v>0</v>
      </c>
      <c r="AU2745" s="1">
        <v>0</v>
      </c>
      <c r="AV2745" s="1">
        <v>0</v>
      </c>
      <c r="AW2745" s="1">
        <v>0</v>
      </c>
      <c r="AX2745" s="1">
        <v>0</v>
      </c>
      <c r="AY2745" s="1">
        <v>0</v>
      </c>
      <c r="AZ2745" s="1">
        <v>0</v>
      </c>
      <c r="BA2745" s="1">
        <v>0</v>
      </c>
      <c r="BB2745" s="1">
        <v>0</v>
      </c>
      <c r="BC2745" s="1">
        <v>0</v>
      </c>
      <c r="BD2745" s="1">
        <v>1</v>
      </c>
      <c r="BE2745" s="1">
        <v>0</v>
      </c>
      <c r="BF2745" s="1">
        <v>0</v>
      </c>
      <c r="BG2745" s="1">
        <v>0</v>
      </c>
      <c r="BH2745" s="1">
        <v>0</v>
      </c>
      <c r="BI2745" s="1">
        <v>0</v>
      </c>
      <c r="BJ2745" s="1">
        <v>0</v>
      </c>
      <c r="BK2745" s="1">
        <v>0</v>
      </c>
      <c r="BL2745" s="1">
        <v>0</v>
      </c>
      <c r="BM2745" s="1">
        <v>1</v>
      </c>
      <c r="BN2745" s="1">
        <v>0</v>
      </c>
      <c r="BO2745" s="1">
        <v>0</v>
      </c>
      <c r="BP2745" s="1">
        <v>0</v>
      </c>
      <c r="BQ2745" s="1">
        <v>0</v>
      </c>
      <c r="BR2745" s="1">
        <v>0</v>
      </c>
      <c r="BS2745" s="1" t="s">
        <v>109</v>
      </c>
      <c r="BT2745" s="1">
        <v>4838</v>
      </c>
      <c r="BU2745" s="1" t="s">
        <v>109</v>
      </c>
      <c r="BV2745" s="1"/>
      <c r="BW2745" s="1"/>
      <c r="BX2745" s="1"/>
      <c r="BY2745" s="1"/>
      <c r="BZ2745" s="1">
        <v>0</v>
      </c>
      <c r="CA2745" s="1" t="s">
        <v>109</v>
      </c>
      <c r="CB2745" s="1" t="s">
        <v>109</v>
      </c>
      <c r="CC2745" s="1">
        <v>2</v>
      </c>
      <c r="CD2745" s="1">
        <v>2</v>
      </c>
      <c r="CE2745" s="1">
        <v>1</v>
      </c>
      <c r="CF2745" s="1" t="s">
        <v>109</v>
      </c>
      <c r="CG2745" s="1">
        <v>2</v>
      </c>
      <c r="CH2745" s="1" t="s">
        <v>109</v>
      </c>
      <c r="CI2745" s="1" t="s">
        <v>109</v>
      </c>
      <c r="CJ2745" s="1" t="s">
        <v>109</v>
      </c>
      <c r="CK2745" s="1"/>
      <c r="CL2745" s="1">
        <v>0</v>
      </c>
      <c r="CM2745" s="1">
        <v>0</v>
      </c>
      <c r="CN2745" s="1">
        <v>0</v>
      </c>
    </row>
    <row r="2746" spans="1:92" ht="14.25" customHeight="1" x14ac:dyDescent="0.15">
      <c r="A2746" s="1" t="s">
        <v>19359</v>
      </c>
      <c r="B2746" s="1" t="s">
        <v>95</v>
      </c>
      <c r="C2746" s="1" t="s">
        <v>1522</v>
      </c>
      <c r="D2746" s="1"/>
      <c r="E2746" s="1" t="s">
        <v>19360</v>
      </c>
      <c r="F2746" s="1" t="s">
        <v>1984</v>
      </c>
      <c r="G2746" s="1" t="s">
        <v>19361</v>
      </c>
      <c r="H2746" s="1">
        <v>0</v>
      </c>
      <c r="I2746" s="1" t="s">
        <v>161</v>
      </c>
      <c r="J2746" s="1"/>
      <c r="K2746" s="1" t="s">
        <v>19362</v>
      </c>
      <c r="L2746" s="1"/>
      <c r="M2746" s="1" t="s">
        <v>815</v>
      </c>
      <c r="N2746" s="1">
        <v>1</v>
      </c>
      <c r="O2746" s="1">
        <v>0</v>
      </c>
      <c r="P2746" s="1" t="s">
        <v>507</v>
      </c>
      <c r="Q2746" s="1" t="s">
        <v>104</v>
      </c>
      <c r="R2746" s="1" t="s">
        <v>19363</v>
      </c>
      <c r="S2746" s="1" t="s">
        <v>19364</v>
      </c>
      <c r="T2746" s="1" t="s">
        <v>19286</v>
      </c>
      <c r="U2746" s="1" t="s">
        <v>19365</v>
      </c>
      <c r="V2746" s="1">
        <v>1</v>
      </c>
      <c r="W2746" s="1">
        <v>1</v>
      </c>
      <c r="X2746" s="1">
        <v>1</v>
      </c>
      <c r="Y2746" s="1">
        <v>0</v>
      </c>
      <c r="Z2746" s="1">
        <v>0</v>
      </c>
      <c r="AA2746" s="1">
        <v>5</v>
      </c>
      <c r="AB2746" s="1">
        <v>5</v>
      </c>
      <c r="AC2746" s="1" t="s">
        <v>109</v>
      </c>
      <c r="AD2746" s="1" t="s">
        <v>109</v>
      </c>
      <c r="AE2746" s="1" t="s">
        <v>109</v>
      </c>
      <c r="AF2746" s="1" t="s">
        <v>109</v>
      </c>
      <c r="AG2746" s="1" t="s">
        <v>109</v>
      </c>
      <c r="AH2746" s="1" t="s">
        <v>109</v>
      </c>
      <c r="AI2746" s="1">
        <v>4</v>
      </c>
      <c r="AJ2746" s="1">
        <v>5</v>
      </c>
      <c r="AK2746" s="1" t="s">
        <v>109</v>
      </c>
      <c r="AL2746" s="1" t="s">
        <v>109</v>
      </c>
      <c r="AM2746" s="1" t="s">
        <v>109</v>
      </c>
      <c r="AN2746" s="1">
        <v>5</v>
      </c>
      <c r="AO2746" s="1" t="s">
        <v>109</v>
      </c>
      <c r="AP2746" s="1"/>
      <c r="AQ2746" s="1">
        <v>5</v>
      </c>
      <c r="AR2746" s="1"/>
      <c r="AS2746" s="1"/>
      <c r="AT2746" s="1">
        <v>0</v>
      </c>
      <c r="AU2746" s="1">
        <v>0</v>
      </c>
      <c r="AV2746" s="1">
        <v>0</v>
      </c>
      <c r="AW2746" s="1">
        <v>0</v>
      </c>
      <c r="AX2746" s="1">
        <v>0</v>
      </c>
      <c r="AY2746" s="1">
        <v>0</v>
      </c>
      <c r="AZ2746" s="1">
        <v>0</v>
      </c>
      <c r="BA2746" s="1">
        <v>0</v>
      </c>
      <c r="BB2746" s="1">
        <v>0</v>
      </c>
      <c r="BC2746" s="1">
        <v>0</v>
      </c>
      <c r="BD2746" s="1">
        <v>0</v>
      </c>
      <c r="BE2746" s="1">
        <v>0</v>
      </c>
      <c r="BF2746" s="1">
        <v>0</v>
      </c>
      <c r="BG2746" s="1">
        <v>0</v>
      </c>
      <c r="BH2746" s="1">
        <v>0</v>
      </c>
      <c r="BI2746" s="1">
        <v>0</v>
      </c>
      <c r="BJ2746" s="1">
        <v>0</v>
      </c>
      <c r="BK2746" s="1">
        <v>0</v>
      </c>
      <c r="BL2746" s="1">
        <v>0</v>
      </c>
      <c r="BM2746" s="1">
        <v>0</v>
      </c>
      <c r="BN2746" s="1">
        <v>0</v>
      </c>
      <c r="BO2746" s="1">
        <v>0</v>
      </c>
      <c r="BP2746" s="1">
        <v>0</v>
      </c>
      <c r="BQ2746" s="1">
        <v>0</v>
      </c>
      <c r="BR2746" s="1">
        <v>0</v>
      </c>
      <c r="BS2746" s="1" t="s">
        <v>109</v>
      </c>
      <c r="BT2746" s="1">
        <v>4839</v>
      </c>
      <c r="BU2746" s="1" t="s">
        <v>109</v>
      </c>
      <c r="BV2746" s="1"/>
      <c r="BW2746" s="1"/>
      <c r="BX2746" s="1"/>
      <c r="BY2746" s="1"/>
      <c r="BZ2746" s="1">
        <v>0</v>
      </c>
      <c r="CA2746" s="1" t="s">
        <v>109</v>
      </c>
      <c r="CB2746" s="1">
        <v>5</v>
      </c>
      <c r="CC2746" s="1">
        <v>5</v>
      </c>
      <c r="CD2746" s="1" t="s">
        <v>109</v>
      </c>
      <c r="CE2746" s="1" t="s">
        <v>109</v>
      </c>
      <c r="CF2746" s="1">
        <v>4</v>
      </c>
      <c r="CG2746" s="1">
        <v>4</v>
      </c>
      <c r="CH2746" s="1" t="s">
        <v>109</v>
      </c>
      <c r="CI2746" s="1" t="s">
        <v>109</v>
      </c>
      <c r="CJ2746" s="1" t="s">
        <v>109</v>
      </c>
      <c r="CK2746" s="1"/>
      <c r="CL2746" s="1">
        <v>0</v>
      </c>
      <c r="CM2746" s="1">
        <v>0</v>
      </c>
      <c r="CN2746" s="1">
        <v>0</v>
      </c>
    </row>
    <row r="2747" spans="1:92" ht="14.25" customHeight="1" x14ac:dyDescent="0.15">
      <c r="A2747" s="1" t="s">
        <v>19366</v>
      </c>
      <c r="B2747" s="1" t="s">
        <v>95</v>
      </c>
      <c r="C2747" s="1" t="s">
        <v>96</v>
      </c>
      <c r="D2747" s="1"/>
      <c r="E2747" s="1" t="s">
        <v>19367</v>
      </c>
      <c r="F2747" s="1" t="s">
        <v>98</v>
      </c>
      <c r="G2747" s="1" t="s">
        <v>19368</v>
      </c>
      <c r="H2747" s="1">
        <v>0</v>
      </c>
      <c r="I2747" s="1" t="s">
        <v>122</v>
      </c>
      <c r="J2747" s="1"/>
      <c r="K2747" s="1"/>
      <c r="L2747" s="1" t="s">
        <v>1391</v>
      </c>
      <c r="M2747" s="1" t="s">
        <v>574</v>
      </c>
      <c r="N2747" s="1">
        <v>1</v>
      </c>
      <c r="O2747" s="1">
        <v>0</v>
      </c>
      <c r="P2747" s="1" t="s">
        <v>2092</v>
      </c>
      <c r="Q2747" s="1" t="s">
        <v>104</v>
      </c>
      <c r="R2747" s="1" t="s">
        <v>19369</v>
      </c>
      <c r="S2747" s="1" t="s">
        <v>19370</v>
      </c>
      <c r="T2747" s="1" t="s">
        <v>19371</v>
      </c>
      <c r="U2747" s="1" t="s">
        <v>19372</v>
      </c>
      <c r="V2747" s="1">
        <v>1</v>
      </c>
      <c r="W2747" s="1">
        <v>1</v>
      </c>
      <c r="X2747" s="1">
        <v>1</v>
      </c>
      <c r="Y2747" s="1">
        <v>0</v>
      </c>
      <c r="Z2747" s="1">
        <v>1</v>
      </c>
      <c r="AA2747" s="1">
        <v>5</v>
      </c>
      <c r="AB2747" s="1">
        <v>5</v>
      </c>
      <c r="AC2747" s="1">
        <v>5</v>
      </c>
      <c r="AD2747" s="1" t="s">
        <v>109</v>
      </c>
      <c r="AE2747" s="1">
        <v>3</v>
      </c>
      <c r="AF2747" s="1" t="s">
        <v>109</v>
      </c>
      <c r="AG2747" s="1" t="s">
        <v>109</v>
      </c>
      <c r="AH2747" s="1" t="s">
        <v>109</v>
      </c>
      <c r="AI2747" s="1">
        <v>4</v>
      </c>
      <c r="AJ2747" s="1">
        <v>5</v>
      </c>
      <c r="AK2747" s="1">
        <v>4</v>
      </c>
      <c r="AL2747" s="1">
        <v>5</v>
      </c>
      <c r="AM2747" s="1" t="s">
        <v>109</v>
      </c>
      <c r="AN2747" s="1" t="s">
        <v>109</v>
      </c>
      <c r="AO2747" s="1" t="s">
        <v>109</v>
      </c>
      <c r="AP2747" s="1"/>
      <c r="AQ2747" s="1">
        <v>5</v>
      </c>
      <c r="AR2747" s="1"/>
      <c r="AS2747" s="1"/>
      <c r="AT2747" s="1">
        <v>0</v>
      </c>
      <c r="AU2747" s="1">
        <v>0</v>
      </c>
      <c r="AV2747" s="1">
        <v>0</v>
      </c>
      <c r="AW2747" s="1">
        <v>0</v>
      </c>
      <c r="AX2747" s="1">
        <v>0</v>
      </c>
      <c r="AY2747" s="1">
        <v>0</v>
      </c>
      <c r="AZ2747" s="1">
        <v>0</v>
      </c>
      <c r="BA2747" s="1">
        <v>0</v>
      </c>
      <c r="BB2747" s="1">
        <v>0</v>
      </c>
      <c r="BC2747" s="1">
        <v>0</v>
      </c>
      <c r="BD2747" s="1">
        <v>0</v>
      </c>
      <c r="BE2747" s="1">
        <v>0</v>
      </c>
      <c r="BF2747" s="1">
        <v>0</v>
      </c>
      <c r="BG2747" s="1">
        <v>0</v>
      </c>
      <c r="BH2747" s="1">
        <v>0</v>
      </c>
      <c r="BI2747" s="1">
        <v>0</v>
      </c>
      <c r="BJ2747" s="1">
        <v>0</v>
      </c>
      <c r="BK2747" s="1">
        <v>0</v>
      </c>
      <c r="BL2747" s="1">
        <v>0</v>
      </c>
      <c r="BM2747" s="1">
        <v>0</v>
      </c>
      <c r="BN2747" s="1">
        <v>0</v>
      </c>
      <c r="BO2747" s="1">
        <v>0</v>
      </c>
      <c r="BP2747" s="1">
        <v>0</v>
      </c>
      <c r="BQ2747" s="1">
        <v>0</v>
      </c>
      <c r="BR2747" s="1">
        <v>0</v>
      </c>
      <c r="BS2747" s="1" t="s">
        <v>109</v>
      </c>
      <c r="BT2747" s="1">
        <v>4840</v>
      </c>
      <c r="BU2747" s="1" t="s">
        <v>109</v>
      </c>
      <c r="BV2747" s="1"/>
      <c r="BW2747" s="1"/>
      <c r="BX2747" s="1"/>
      <c r="BY2747" s="1"/>
      <c r="BZ2747" s="1">
        <v>0</v>
      </c>
      <c r="CA2747" s="1" t="s">
        <v>109</v>
      </c>
      <c r="CB2747" s="1">
        <v>5</v>
      </c>
      <c r="CC2747" s="1" t="s">
        <v>109</v>
      </c>
      <c r="CD2747" s="1" t="s">
        <v>109</v>
      </c>
      <c r="CE2747" s="1" t="s">
        <v>109</v>
      </c>
      <c r="CF2747" s="1">
        <v>5</v>
      </c>
      <c r="CG2747" s="1" t="s">
        <v>109</v>
      </c>
      <c r="CH2747" s="1" t="s">
        <v>109</v>
      </c>
      <c r="CI2747" s="1" t="s">
        <v>109</v>
      </c>
      <c r="CJ2747" s="1">
        <v>3</v>
      </c>
      <c r="CK2747" s="1"/>
      <c r="CL2747" s="1">
        <v>0</v>
      </c>
      <c r="CM2747" s="1">
        <v>0</v>
      </c>
      <c r="CN2747" s="1">
        <v>0</v>
      </c>
    </row>
    <row r="2748" spans="1:92" ht="14.25" customHeight="1" x14ac:dyDescent="0.15">
      <c r="A2748" s="1" t="s">
        <v>19373</v>
      </c>
      <c r="B2748" s="1" t="s">
        <v>189</v>
      </c>
      <c r="C2748" s="1"/>
      <c r="D2748" s="1"/>
      <c r="E2748" s="1" t="s">
        <v>19374</v>
      </c>
      <c r="F2748" s="1" t="s">
        <v>98</v>
      </c>
      <c r="G2748" s="1" t="s">
        <v>19375</v>
      </c>
      <c r="H2748" s="1">
        <v>0</v>
      </c>
      <c r="I2748" s="1" t="s">
        <v>122</v>
      </c>
      <c r="J2748" s="1"/>
      <c r="K2748" s="1"/>
      <c r="L2748" s="1" t="s">
        <v>563</v>
      </c>
      <c r="M2748" s="1" t="s">
        <v>125</v>
      </c>
      <c r="N2748" s="1">
        <v>0</v>
      </c>
      <c r="O2748" s="1">
        <v>0</v>
      </c>
      <c r="P2748" s="1" t="s">
        <v>104</v>
      </c>
      <c r="Q2748" s="1" t="s">
        <v>268</v>
      </c>
      <c r="R2748" s="1" t="s">
        <v>19376</v>
      </c>
      <c r="S2748" s="1" t="s">
        <v>19377</v>
      </c>
      <c r="T2748" s="1" t="s">
        <v>19371</v>
      </c>
      <c r="U2748" s="1" t="s">
        <v>19378</v>
      </c>
      <c r="V2748" s="1">
        <v>1</v>
      </c>
      <c r="W2748" s="1">
        <v>1</v>
      </c>
      <c r="X2748" s="1">
        <v>1</v>
      </c>
      <c r="Y2748" s="1">
        <v>0</v>
      </c>
      <c r="Z2748" s="1">
        <v>1</v>
      </c>
      <c r="AA2748" s="1">
        <v>3</v>
      </c>
      <c r="AB2748" s="1">
        <v>3</v>
      </c>
      <c r="AC2748" s="1">
        <v>4</v>
      </c>
      <c r="AD2748" s="1" t="s">
        <v>109</v>
      </c>
      <c r="AE2748" s="1" t="s">
        <v>109</v>
      </c>
      <c r="AF2748" s="1" t="s">
        <v>109</v>
      </c>
      <c r="AG2748" s="1" t="s">
        <v>109</v>
      </c>
      <c r="AH2748" s="1" t="s">
        <v>109</v>
      </c>
      <c r="AI2748" s="1" t="s">
        <v>109</v>
      </c>
      <c r="AJ2748" s="1">
        <v>3</v>
      </c>
      <c r="AK2748" s="1" t="s">
        <v>109</v>
      </c>
      <c r="AL2748" s="1">
        <v>4</v>
      </c>
      <c r="AM2748" s="1" t="s">
        <v>109</v>
      </c>
      <c r="AN2748" s="1">
        <v>3</v>
      </c>
      <c r="AO2748" s="1" t="s">
        <v>109</v>
      </c>
      <c r="AP2748" s="1"/>
      <c r="AQ2748" s="1">
        <v>3</v>
      </c>
      <c r="AR2748" s="1"/>
      <c r="AS2748" s="1"/>
      <c r="AT2748" s="1">
        <v>0</v>
      </c>
      <c r="AU2748" s="1">
        <v>0</v>
      </c>
      <c r="AV2748" s="1">
        <v>0</v>
      </c>
      <c r="AW2748" s="1">
        <v>0</v>
      </c>
      <c r="AX2748" s="1">
        <v>0</v>
      </c>
      <c r="AY2748" s="1">
        <v>0</v>
      </c>
      <c r="AZ2748" s="1">
        <v>0</v>
      </c>
      <c r="BA2748" s="1">
        <v>0</v>
      </c>
      <c r="BB2748" s="1">
        <v>0</v>
      </c>
      <c r="BC2748" s="1">
        <v>0</v>
      </c>
      <c r="BD2748" s="1">
        <v>0</v>
      </c>
      <c r="BE2748" s="1">
        <v>0</v>
      </c>
      <c r="BF2748" s="1">
        <v>0</v>
      </c>
      <c r="BG2748" s="1">
        <v>0</v>
      </c>
      <c r="BH2748" s="1">
        <v>0</v>
      </c>
      <c r="BI2748" s="1">
        <v>0</v>
      </c>
      <c r="BJ2748" s="1">
        <v>0</v>
      </c>
      <c r="BK2748" s="1">
        <v>0</v>
      </c>
      <c r="BL2748" s="1">
        <v>0</v>
      </c>
      <c r="BM2748" s="1">
        <v>0</v>
      </c>
      <c r="BN2748" s="1">
        <v>0</v>
      </c>
      <c r="BO2748" s="1">
        <v>0</v>
      </c>
      <c r="BP2748" s="1">
        <v>0</v>
      </c>
      <c r="BQ2748" s="1">
        <v>0</v>
      </c>
      <c r="BR2748" s="1">
        <v>0</v>
      </c>
      <c r="BS2748" s="1" t="s">
        <v>109</v>
      </c>
      <c r="BT2748" s="1">
        <v>4841</v>
      </c>
      <c r="BU2748" s="1" t="s">
        <v>109</v>
      </c>
      <c r="BV2748" s="1"/>
      <c r="BW2748" s="1"/>
      <c r="BX2748" s="1"/>
      <c r="BY2748" s="1"/>
      <c r="BZ2748" s="1">
        <v>0</v>
      </c>
      <c r="CA2748" s="1" t="s">
        <v>109</v>
      </c>
      <c r="CB2748" s="1" t="s">
        <v>109</v>
      </c>
      <c r="CC2748" s="1" t="s">
        <v>109</v>
      </c>
      <c r="CD2748" s="1" t="s">
        <v>109</v>
      </c>
      <c r="CE2748" s="1" t="s">
        <v>109</v>
      </c>
      <c r="CF2748" s="1" t="s">
        <v>109</v>
      </c>
      <c r="CG2748" s="1" t="s">
        <v>109</v>
      </c>
      <c r="CH2748" s="1" t="s">
        <v>109</v>
      </c>
      <c r="CI2748" s="1" t="s">
        <v>109</v>
      </c>
      <c r="CJ2748" s="1" t="s">
        <v>109</v>
      </c>
      <c r="CK2748" s="1"/>
      <c r="CL2748" s="1">
        <v>0</v>
      </c>
      <c r="CM2748" s="1">
        <v>0</v>
      </c>
      <c r="CN2748" s="1">
        <v>0</v>
      </c>
    </row>
    <row r="2749" spans="1:92" ht="14.25" customHeight="1" x14ac:dyDescent="0.15">
      <c r="A2749" s="1" t="s">
        <v>19379</v>
      </c>
      <c r="B2749" s="1" t="s">
        <v>156</v>
      </c>
      <c r="C2749" s="1"/>
      <c r="D2749" s="1" t="s">
        <v>473</v>
      </c>
      <c r="E2749" s="1" t="s">
        <v>19380</v>
      </c>
      <c r="F2749" s="1" t="s">
        <v>98</v>
      </c>
      <c r="G2749" s="1" t="s">
        <v>141</v>
      </c>
      <c r="H2749" s="1">
        <v>0</v>
      </c>
      <c r="I2749" s="1" t="s">
        <v>142</v>
      </c>
      <c r="J2749" s="1"/>
      <c r="K2749" s="1"/>
      <c r="L2749" s="1" t="s">
        <v>1391</v>
      </c>
      <c r="M2749" s="1" t="s">
        <v>125</v>
      </c>
      <c r="N2749" s="1">
        <v>0</v>
      </c>
      <c r="O2749" s="1">
        <v>0</v>
      </c>
      <c r="P2749" s="1" t="s">
        <v>7902</v>
      </c>
      <c r="Q2749" s="1" t="s">
        <v>268</v>
      </c>
      <c r="R2749" s="1" t="s">
        <v>19381</v>
      </c>
      <c r="S2749" s="1" t="s">
        <v>19382</v>
      </c>
      <c r="T2749" s="1" t="s">
        <v>19371</v>
      </c>
      <c r="U2749" s="1" t="s">
        <v>19383</v>
      </c>
      <c r="V2749" s="1">
        <v>1</v>
      </c>
      <c r="W2749" s="1">
        <v>1</v>
      </c>
      <c r="X2749" s="1">
        <v>0</v>
      </c>
      <c r="Y2749" s="1">
        <v>0</v>
      </c>
      <c r="Z2749" s="1">
        <v>0</v>
      </c>
      <c r="AA2749" s="1">
        <v>2</v>
      </c>
      <c r="AB2749" s="1">
        <v>2</v>
      </c>
      <c r="AC2749" s="1">
        <v>2</v>
      </c>
      <c r="AD2749" s="1" t="s">
        <v>109</v>
      </c>
      <c r="AE2749" s="1" t="s">
        <v>109</v>
      </c>
      <c r="AF2749" s="1">
        <v>2</v>
      </c>
      <c r="AG2749" s="1" t="s">
        <v>109</v>
      </c>
      <c r="AH2749" s="1" t="s">
        <v>109</v>
      </c>
      <c r="AI2749" s="1" t="s">
        <v>109</v>
      </c>
      <c r="AJ2749" s="1">
        <v>2</v>
      </c>
      <c r="AK2749" s="1">
        <v>2</v>
      </c>
      <c r="AL2749" s="1">
        <v>2</v>
      </c>
      <c r="AM2749" s="1">
        <v>2</v>
      </c>
      <c r="AN2749" s="1" t="s">
        <v>109</v>
      </c>
      <c r="AO2749" s="1" t="s">
        <v>109</v>
      </c>
      <c r="AP2749" s="1"/>
      <c r="AQ2749" s="1">
        <v>2</v>
      </c>
      <c r="AR2749" s="1"/>
      <c r="AS2749" s="1"/>
      <c r="AT2749" s="1">
        <v>0</v>
      </c>
      <c r="AU2749" s="1">
        <v>0</v>
      </c>
      <c r="AV2749" s="1">
        <v>0</v>
      </c>
      <c r="AW2749" s="1">
        <v>0</v>
      </c>
      <c r="AX2749" s="1">
        <v>0</v>
      </c>
      <c r="AY2749" s="1">
        <v>0</v>
      </c>
      <c r="AZ2749" s="1">
        <v>0</v>
      </c>
      <c r="BA2749" s="1">
        <v>0</v>
      </c>
      <c r="BB2749" s="1">
        <v>0</v>
      </c>
      <c r="BC2749" s="1">
        <v>0</v>
      </c>
      <c r="BD2749" s="1">
        <v>0</v>
      </c>
      <c r="BE2749" s="1">
        <v>0</v>
      </c>
      <c r="BF2749" s="1">
        <v>1</v>
      </c>
      <c r="BG2749" s="1">
        <v>0</v>
      </c>
      <c r="BH2749" s="1">
        <v>0</v>
      </c>
      <c r="BI2749" s="1">
        <v>0</v>
      </c>
      <c r="BJ2749" s="1">
        <v>0</v>
      </c>
      <c r="BK2749" s="1">
        <v>0</v>
      </c>
      <c r="BL2749" s="1">
        <v>0</v>
      </c>
      <c r="BM2749" s="1">
        <v>1</v>
      </c>
      <c r="BN2749" s="1">
        <v>0</v>
      </c>
      <c r="BO2749" s="1">
        <v>0</v>
      </c>
      <c r="BP2749" s="1">
        <v>0</v>
      </c>
      <c r="BQ2749" s="1">
        <v>0</v>
      </c>
      <c r="BR2749" s="1">
        <v>0</v>
      </c>
      <c r="BS2749" s="1" t="s">
        <v>109</v>
      </c>
      <c r="BT2749" s="1">
        <v>4842</v>
      </c>
      <c r="BU2749" s="1" t="s">
        <v>109</v>
      </c>
      <c r="BV2749" s="1"/>
      <c r="BW2749" s="1"/>
      <c r="BX2749" s="1"/>
      <c r="BY2749" s="1"/>
      <c r="BZ2749" s="1">
        <v>0</v>
      </c>
      <c r="CA2749" s="1" t="s">
        <v>109</v>
      </c>
      <c r="CB2749" s="1">
        <v>2</v>
      </c>
      <c r="CC2749" s="1">
        <v>2</v>
      </c>
      <c r="CD2749" s="1" t="s">
        <v>109</v>
      </c>
      <c r="CE2749" s="1">
        <v>2</v>
      </c>
      <c r="CF2749" s="1" t="s">
        <v>109</v>
      </c>
      <c r="CG2749" s="1" t="s">
        <v>109</v>
      </c>
      <c r="CH2749" s="1" t="s">
        <v>109</v>
      </c>
      <c r="CI2749" s="1" t="s">
        <v>109</v>
      </c>
      <c r="CJ2749" s="1" t="s">
        <v>109</v>
      </c>
      <c r="CK2749" s="1"/>
      <c r="CL2749" s="1">
        <v>0</v>
      </c>
      <c r="CM2749" s="1">
        <v>0</v>
      </c>
      <c r="CN2749" s="1">
        <v>0</v>
      </c>
    </row>
    <row r="2750" spans="1:92" ht="14.25" customHeight="1" x14ac:dyDescent="0.15">
      <c r="A2750" s="1" t="s">
        <v>19384</v>
      </c>
      <c r="B2750" s="1" t="s">
        <v>95</v>
      </c>
      <c r="C2750" s="1" t="s">
        <v>96</v>
      </c>
      <c r="D2750" s="1"/>
      <c r="E2750" s="1" t="s">
        <v>13418</v>
      </c>
      <c r="F2750" s="1" t="s">
        <v>98</v>
      </c>
      <c r="G2750" s="1" t="s">
        <v>19385</v>
      </c>
      <c r="H2750" s="1">
        <v>0</v>
      </c>
      <c r="I2750" s="1" t="s">
        <v>122</v>
      </c>
      <c r="J2750" s="1" t="s">
        <v>573</v>
      </c>
      <c r="K2750" s="1"/>
      <c r="L2750" s="1"/>
      <c r="M2750" s="1" t="s">
        <v>3042</v>
      </c>
      <c r="N2750" s="1">
        <v>0</v>
      </c>
      <c r="O2750" s="1">
        <v>0</v>
      </c>
      <c r="P2750" s="1" t="s">
        <v>267</v>
      </c>
      <c r="Q2750" s="1" t="s">
        <v>268</v>
      </c>
      <c r="R2750" s="1" t="s">
        <v>19386</v>
      </c>
      <c r="S2750" s="1" t="s">
        <v>19387</v>
      </c>
      <c r="T2750" s="1" t="s">
        <v>19371</v>
      </c>
      <c r="U2750" s="1" t="s">
        <v>19388</v>
      </c>
      <c r="V2750" s="1">
        <v>1</v>
      </c>
      <c r="W2750" s="1">
        <v>1</v>
      </c>
      <c r="X2750" s="1">
        <v>1</v>
      </c>
      <c r="Y2750" s="1">
        <v>0</v>
      </c>
      <c r="Z2750" s="1">
        <v>1</v>
      </c>
      <c r="AA2750" s="1" t="s">
        <v>109</v>
      </c>
      <c r="AB2750" s="1" t="s">
        <v>109</v>
      </c>
      <c r="AC2750" s="1" t="s">
        <v>109</v>
      </c>
      <c r="AD2750" s="1">
        <v>2</v>
      </c>
      <c r="AE2750" s="1" t="s">
        <v>109</v>
      </c>
      <c r="AF2750" s="1" t="s">
        <v>109</v>
      </c>
      <c r="AG2750" s="1" t="s">
        <v>109</v>
      </c>
      <c r="AH2750" s="1" t="s">
        <v>109</v>
      </c>
      <c r="AI2750" s="1" t="s">
        <v>109</v>
      </c>
      <c r="AJ2750" s="1">
        <v>2</v>
      </c>
      <c r="AK2750" s="1" t="s">
        <v>109</v>
      </c>
      <c r="AL2750" s="1" t="s">
        <v>109</v>
      </c>
      <c r="AM2750" s="1" t="s">
        <v>109</v>
      </c>
      <c r="AN2750" s="1" t="s">
        <v>109</v>
      </c>
      <c r="AO2750" s="1" t="s">
        <v>109</v>
      </c>
      <c r="AP2750" s="1"/>
      <c r="AQ2750" s="1">
        <v>2</v>
      </c>
      <c r="AR2750" s="1"/>
      <c r="AS2750" s="1"/>
      <c r="AT2750" s="1">
        <v>0</v>
      </c>
      <c r="AU2750" s="1">
        <v>0</v>
      </c>
      <c r="AV2750" s="1">
        <v>0</v>
      </c>
      <c r="AW2750" s="1">
        <v>0</v>
      </c>
      <c r="AX2750" s="1">
        <v>0</v>
      </c>
      <c r="AY2750" s="1">
        <v>0</v>
      </c>
      <c r="AZ2750" s="1">
        <v>0</v>
      </c>
      <c r="BA2750" s="1">
        <v>0</v>
      </c>
      <c r="BB2750" s="1">
        <v>0</v>
      </c>
      <c r="BC2750" s="1">
        <v>0</v>
      </c>
      <c r="BD2750" s="1">
        <v>0</v>
      </c>
      <c r="BE2750" s="1">
        <v>0</v>
      </c>
      <c r="BF2750" s="1">
        <v>0</v>
      </c>
      <c r="BG2750" s="1">
        <v>0</v>
      </c>
      <c r="BH2750" s="1">
        <v>0</v>
      </c>
      <c r="BI2750" s="1">
        <v>0</v>
      </c>
      <c r="BJ2750" s="1">
        <v>0</v>
      </c>
      <c r="BK2750" s="1">
        <v>0</v>
      </c>
      <c r="BL2750" s="1">
        <v>0</v>
      </c>
      <c r="BM2750" s="1">
        <v>0</v>
      </c>
      <c r="BN2750" s="1">
        <v>0</v>
      </c>
      <c r="BO2750" s="1">
        <v>0</v>
      </c>
      <c r="BP2750" s="1">
        <v>0</v>
      </c>
      <c r="BQ2750" s="1">
        <v>0</v>
      </c>
      <c r="BR2750" s="1">
        <v>0</v>
      </c>
      <c r="BS2750" s="1" t="s">
        <v>109</v>
      </c>
      <c r="BT2750" s="1">
        <v>4843</v>
      </c>
      <c r="BU2750" s="1" t="s">
        <v>109</v>
      </c>
      <c r="BV2750" s="1"/>
      <c r="BW2750" s="1"/>
      <c r="BX2750" s="1"/>
      <c r="BY2750" s="1"/>
      <c r="BZ2750" s="1">
        <v>0</v>
      </c>
      <c r="CA2750" s="1" t="s">
        <v>109</v>
      </c>
      <c r="CB2750" s="1">
        <v>2</v>
      </c>
      <c r="CC2750" s="1" t="s">
        <v>109</v>
      </c>
      <c r="CD2750" s="1" t="s">
        <v>109</v>
      </c>
      <c r="CE2750" s="1" t="s">
        <v>109</v>
      </c>
      <c r="CF2750" s="1" t="s">
        <v>109</v>
      </c>
      <c r="CG2750" s="1" t="s">
        <v>109</v>
      </c>
      <c r="CH2750" s="1" t="s">
        <v>109</v>
      </c>
      <c r="CI2750" s="1" t="s">
        <v>109</v>
      </c>
      <c r="CJ2750" s="1">
        <v>2</v>
      </c>
      <c r="CK2750" s="1"/>
      <c r="CL2750" s="1">
        <v>0</v>
      </c>
      <c r="CM2750" s="1">
        <v>0</v>
      </c>
      <c r="CN2750" s="1">
        <v>0</v>
      </c>
    </row>
    <row r="2751" spans="1:92" ht="14.25" customHeight="1" x14ac:dyDescent="0.15">
      <c r="A2751" s="1" t="s">
        <v>19389</v>
      </c>
      <c r="B2751" s="1" t="s">
        <v>242</v>
      </c>
      <c r="C2751" s="1"/>
      <c r="D2751" s="1"/>
      <c r="E2751" s="1" t="s">
        <v>19390</v>
      </c>
      <c r="F2751" s="1" t="s">
        <v>98</v>
      </c>
      <c r="G2751" s="1" t="s">
        <v>19391</v>
      </c>
      <c r="H2751" s="1">
        <v>0</v>
      </c>
      <c r="I2751" s="1" t="s">
        <v>235</v>
      </c>
      <c r="J2751" s="1"/>
      <c r="K2751" s="1"/>
      <c r="L2751" s="1" t="s">
        <v>236</v>
      </c>
      <c r="M2751" s="1" t="s">
        <v>574</v>
      </c>
      <c r="N2751" s="1">
        <v>1</v>
      </c>
      <c r="O2751" s="1">
        <v>0</v>
      </c>
      <c r="P2751" s="1"/>
      <c r="Q2751" s="1"/>
      <c r="R2751" s="1" t="s">
        <v>19392</v>
      </c>
      <c r="S2751" s="1" t="s">
        <v>19393</v>
      </c>
      <c r="T2751" s="1" t="s">
        <v>19371</v>
      </c>
      <c r="U2751" s="1" t="s">
        <v>19394</v>
      </c>
      <c r="V2751" s="1">
        <v>1</v>
      </c>
      <c r="W2751" s="1">
        <v>1</v>
      </c>
      <c r="X2751" s="1">
        <v>1</v>
      </c>
      <c r="Y2751" s="1">
        <v>0</v>
      </c>
      <c r="Z2751" s="1">
        <v>1</v>
      </c>
      <c r="AA2751" s="1" t="s">
        <v>109</v>
      </c>
      <c r="AB2751" s="1" t="s">
        <v>109</v>
      </c>
      <c r="AC2751" s="1">
        <v>1</v>
      </c>
      <c r="AD2751" s="1" t="s">
        <v>109</v>
      </c>
      <c r="AE2751" s="1" t="s">
        <v>109</v>
      </c>
      <c r="AF2751" s="1" t="s">
        <v>109</v>
      </c>
      <c r="AG2751" s="1" t="s">
        <v>109</v>
      </c>
      <c r="AH2751" s="1" t="s">
        <v>109</v>
      </c>
      <c r="AI2751" s="1" t="s">
        <v>109</v>
      </c>
      <c r="AJ2751" s="1">
        <v>1</v>
      </c>
      <c r="AK2751" s="1">
        <v>1</v>
      </c>
      <c r="AL2751" s="1">
        <v>1</v>
      </c>
      <c r="AM2751" s="1" t="s">
        <v>109</v>
      </c>
      <c r="AN2751" s="1" t="s">
        <v>109</v>
      </c>
      <c r="AO2751" s="1" t="s">
        <v>109</v>
      </c>
      <c r="AP2751" s="1"/>
      <c r="AQ2751" s="1">
        <v>1</v>
      </c>
      <c r="AR2751" s="1"/>
      <c r="AS2751" s="1"/>
      <c r="AT2751" s="1">
        <v>0</v>
      </c>
      <c r="AU2751" s="1">
        <v>0</v>
      </c>
      <c r="AV2751" s="1">
        <v>0</v>
      </c>
      <c r="AW2751" s="1">
        <v>0</v>
      </c>
      <c r="AX2751" s="1">
        <v>0</v>
      </c>
      <c r="AY2751" s="1">
        <v>0</v>
      </c>
      <c r="AZ2751" s="1">
        <v>0</v>
      </c>
      <c r="BA2751" s="1">
        <v>0</v>
      </c>
      <c r="BB2751" s="1">
        <v>0</v>
      </c>
      <c r="BC2751" s="1">
        <v>0</v>
      </c>
      <c r="BD2751" s="1">
        <v>0</v>
      </c>
      <c r="BE2751" s="1">
        <v>0</v>
      </c>
      <c r="BF2751" s="1">
        <v>0</v>
      </c>
      <c r="BG2751" s="1">
        <v>0</v>
      </c>
      <c r="BH2751" s="1">
        <v>0</v>
      </c>
      <c r="BI2751" s="1">
        <v>0</v>
      </c>
      <c r="BJ2751" s="1">
        <v>0</v>
      </c>
      <c r="BK2751" s="1">
        <v>0</v>
      </c>
      <c r="BL2751" s="1">
        <v>0</v>
      </c>
      <c r="BM2751" s="1">
        <v>0</v>
      </c>
      <c r="BN2751" s="1">
        <v>0</v>
      </c>
      <c r="BO2751" s="1">
        <v>0</v>
      </c>
      <c r="BP2751" s="1">
        <v>0</v>
      </c>
      <c r="BQ2751" s="1">
        <v>0</v>
      </c>
      <c r="BR2751" s="1">
        <v>0</v>
      </c>
      <c r="BS2751" s="1" t="s">
        <v>109</v>
      </c>
      <c r="BT2751" s="1">
        <v>4844</v>
      </c>
      <c r="BU2751" s="1" t="s">
        <v>109</v>
      </c>
      <c r="BV2751" s="1"/>
      <c r="BW2751" s="1"/>
      <c r="BX2751" s="1"/>
      <c r="BY2751" s="1"/>
      <c r="BZ2751" s="1">
        <v>0</v>
      </c>
      <c r="CA2751" s="1" t="s">
        <v>109</v>
      </c>
      <c r="CB2751" s="1">
        <v>1</v>
      </c>
      <c r="CC2751" s="1" t="s">
        <v>109</v>
      </c>
      <c r="CD2751" s="1" t="s">
        <v>109</v>
      </c>
      <c r="CE2751" s="1" t="s">
        <v>109</v>
      </c>
      <c r="CF2751" s="1" t="s">
        <v>109</v>
      </c>
      <c r="CG2751" s="1" t="s">
        <v>109</v>
      </c>
      <c r="CH2751" s="1" t="s">
        <v>109</v>
      </c>
      <c r="CI2751" s="1" t="s">
        <v>109</v>
      </c>
      <c r="CJ2751" s="1" t="s">
        <v>109</v>
      </c>
      <c r="CK2751" s="1"/>
      <c r="CL2751" s="1">
        <v>0</v>
      </c>
      <c r="CM2751" s="1">
        <v>0</v>
      </c>
      <c r="CN2751" s="1">
        <v>0</v>
      </c>
    </row>
    <row r="2752" spans="1:92" ht="14.25" customHeight="1" x14ac:dyDescent="0.15">
      <c r="A2752" s="1" t="s">
        <v>19395</v>
      </c>
      <c r="B2752" s="1" t="s">
        <v>189</v>
      </c>
      <c r="C2752" s="1"/>
      <c r="D2752" s="1"/>
      <c r="E2752" s="1" t="s">
        <v>19396</v>
      </c>
      <c r="F2752" s="1" t="s">
        <v>98</v>
      </c>
      <c r="G2752" s="1" t="s">
        <v>160</v>
      </c>
      <c r="H2752" s="1">
        <v>0</v>
      </c>
      <c r="I2752" s="1" t="s">
        <v>100</v>
      </c>
      <c r="J2752" s="1" t="s">
        <v>1840</v>
      </c>
      <c r="K2752" s="1"/>
      <c r="L2752" s="1"/>
      <c r="M2752" s="1" t="s">
        <v>587</v>
      </c>
      <c r="N2752" s="1">
        <v>1</v>
      </c>
      <c r="O2752" s="1">
        <v>0</v>
      </c>
      <c r="P2752" s="1" t="s">
        <v>1841</v>
      </c>
      <c r="Q2752" s="1" t="s">
        <v>104</v>
      </c>
      <c r="R2752" s="1" t="s">
        <v>19397</v>
      </c>
      <c r="S2752" s="1" t="s">
        <v>19398</v>
      </c>
      <c r="T2752" s="1" t="s">
        <v>19371</v>
      </c>
      <c r="U2752" s="1" t="s">
        <v>19399</v>
      </c>
      <c r="V2752" s="1">
        <v>1</v>
      </c>
      <c r="W2752" s="1">
        <v>1</v>
      </c>
      <c r="X2752" s="1">
        <v>0</v>
      </c>
      <c r="Y2752" s="1">
        <v>0</v>
      </c>
      <c r="Z2752" s="1">
        <v>1</v>
      </c>
      <c r="AA2752" s="1" t="s">
        <v>109</v>
      </c>
      <c r="AB2752" s="1" t="s">
        <v>109</v>
      </c>
      <c r="AC2752" s="1" t="s">
        <v>109</v>
      </c>
      <c r="AD2752" s="1">
        <v>4</v>
      </c>
      <c r="AE2752" s="1">
        <v>4</v>
      </c>
      <c r="AF2752" s="1" t="s">
        <v>109</v>
      </c>
      <c r="AG2752" s="1" t="s">
        <v>109</v>
      </c>
      <c r="AH2752" s="1" t="s">
        <v>109</v>
      </c>
      <c r="AI2752" s="1" t="s">
        <v>109</v>
      </c>
      <c r="AJ2752" s="1" t="s">
        <v>109</v>
      </c>
      <c r="AK2752" s="1" t="s">
        <v>109</v>
      </c>
      <c r="AL2752" s="1" t="s">
        <v>109</v>
      </c>
      <c r="AM2752" s="1" t="s">
        <v>109</v>
      </c>
      <c r="AN2752" s="1" t="s">
        <v>109</v>
      </c>
      <c r="AO2752" s="1" t="s">
        <v>109</v>
      </c>
      <c r="AP2752" s="1"/>
      <c r="AQ2752" s="1">
        <v>4</v>
      </c>
      <c r="AR2752" s="1"/>
      <c r="AS2752" s="1"/>
      <c r="AT2752" s="1">
        <v>0</v>
      </c>
      <c r="AU2752" s="1">
        <v>0</v>
      </c>
      <c r="AV2752" s="1">
        <v>0</v>
      </c>
      <c r="AW2752" s="1">
        <v>0</v>
      </c>
      <c r="AX2752" s="1">
        <v>0</v>
      </c>
      <c r="AY2752" s="1">
        <v>0</v>
      </c>
      <c r="AZ2752" s="1">
        <v>0</v>
      </c>
      <c r="BA2752" s="1">
        <v>0</v>
      </c>
      <c r="BB2752" s="1">
        <v>0</v>
      </c>
      <c r="BC2752" s="1">
        <v>0</v>
      </c>
      <c r="BD2752" s="1">
        <v>0</v>
      </c>
      <c r="BE2752" s="1">
        <v>0</v>
      </c>
      <c r="BF2752" s="1">
        <v>0</v>
      </c>
      <c r="BG2752" s="1">
        <v>0</v>
      </c>
      <c r="BH2752" s="1">
        <v>0</v>
      </c>
      <c r="BI2752" s="1">
        <v>0</v>
      </c>
      <c r="BJ2752" s="1">
        <v>0</v>
      </c>
      <c r="BK2752" s="1">
        <v>0</v>
      </c>
      <c r="BL2752" s="1">
        <v>0</v>
      </c>
      <c r="BM2752" s="1">
        <v>0</v>
      </c>
      <c r="BN2752" s="1">
        <v>0</v>
      </c>
      <c r="BO2752" s="1">
        <v>0</v>
      </c>
      <c r="BP2752" s="1">
        <v>0</v>
      </c>
      <c r="BQ2752" s="1">
        <v>0</v>
      </c>
      <c r="BR2752" s="1">
        <v>0</v>
      </c>
      <c r="BS2752" s="1" t="s">
        <v>109</v>
      </c>
      <c r="BT2752" s="1">
        <v>4845</v>
      </c>
      <c r="BU2752" s="1" t="s">
        <v>109</v>
      </c>
      <c r="BV2752" s="1"/>
      <c r="BW2752" s="1"/>
      <c r="BX2752" s="1"/>
      <c r="BY2752" s="1"/>
      <c r="BZ2752" s="1">
        <v>0</v>
      </c>
      <c r="CA2752" s="1" t="s">
        <v>109</v>
      </c>
      <c r="CB2752" s="1">
        <v>4</v>
      </c>
      <c r="CC2752" s="1" t="s">
        <v>109</v>
      </c>
      <c r="CD2752" s="1" t="s">
        <v>109</v>
      </c>
      <c r="CE2752" s="1" t="s">
        <v>109</v>
      </c>
      <c r="CF2752" s="1" t="s">
        <v>109</v>
      </c>
      <c r="CG2752" s="1" t="s">
        <v>109</v>
      </c>
      <c r="CH2752" s="1" t="s">
        <v>109</v>
      </c>
      <c r="CI2752" s="1" t="s">
        <v>109</v>
      </c>
      <c r="CJ2752" s="1">
        <v>4</v>
      </c>
      <c r="CK2752" s="1"/>
      <c r="CL2752" s="1">
        <v>0</v>
      </c>
      <c r="CM2752" s="1">
        <v>0</v>
      </c>
      <c r="CN2752" s="1">
        <v>0</v>
      </c>
    </row>
    <row r="2753" spans="1:92" ht="14.25" customHeight="1" x14ac:dyDescent="0.15">
      <c r="A2753" s="1" t="s">
        <v>19400</v>
      </c>
      <c r="B2753" s="1" t="s">
        <v>189</v>
      </c>
      <c r="C2753" s="1"/>
      <c r="D2753" s="1"/>
      <c r="E2753" s="1" t="s">
        <v>19401</v>
      </c>
      <c r="F2753" s="1" t="s">
        <v>98</v>
      </c>
      <c r="G2753" s="1" t="s">
        <v>19402</v>
      </c>
      <c r="H2753" s="1">
        <v>0</v>
      </c>
      <c r="I2753" s="1" t="s">
        <v>235</v>
      </c>
      <c r="J2753" s="1"/>
      <c r="K2753" s="1" t="s">
        <v>19403</v>
      </c>
      <c r="L2753" s="1" t="s">
        <v>236</v>
      </c>
      <c r="M2753" s="1"/>
      <c r="N2753" s="1">
        <v>0</v>
      </c>
      <c r="O2753" s="1">
        <v>0</v>
      </c>
      <c r="P2753" s="1"/>
      <c r="Q2753" s="1"/>
      <c r="R2753" s="1" t="s">
        <v>19404</v>
      </c>
      <c r="S2753" s="1" t="s">
        <v>19405</v>
      </c>
      <c r="T2753" s="1" t="s">
        <v>19371</v>
      </c>
      <c r="U2753" s="1" t="s">
        <v>19406</v>
      </c>
      <c r="V2753" s="1">
        <v>1</v>
      </c>
      <c r="W2753" s="1">
        <v>1</v>
      </c>
      <c r="X2753" s="1">
        <v>1</v>
      </c>
      <c r="Y2753" s="1">
        <v>0</v>
      </c>
      <c r="Z2753" s="1">
        <v>1</v>
      </c>
      <c r="AA2753" s="1">
        <v>3</v>
      </c>
      <c r="AB2753" s="1">
        <v>3</v>
      </c>
      <c r="AC2753" s="1" t="s">
        <v>109</v>
      </c>
      <c r="AD2753" s="1" t="s">
        <v>109</v>
      </c>
      <c r="AE2753" s="1" t="s">
        <v>109</v>
      </c>
      <c r="AF2753" s="1" t="s">
        <v>109</v>
      </c>
      <c r="AG2753" s="1" t="s">
        <v>109</v>
      </c>
      <c r="AH2753" s="1" t="s">
        <v>109</v>
      </c>
      <c r="AI2753" s="1" t="s">
        <v>109</v>
      </c>
      <c r="AJ2753" s="1">
        <v>3</v>
      </c>
      <c r="AK2753" s="1" t="s">
        <v>109</v>
      </c>
      <c r="AL2753" s="1" t="s">
        <v>109</v>
      </c>
      <c r="AM2753" s="1" t="s">
        <v>109</v>
      </c>
      <c r="AN2753" s="1" t="s">
        <v>109</v>
      </c>
      <c r="AO2753" s="1" t="s">
        <v>109</v>
      </c>
      <c r="AP2753" s="1"/>
      <c r="AQ2753" s="1">
        <v>3</v>
      </c>
      <c r="AR2753" s="1"/>
      <c r="AS2753" s="1"/>
      <c r="AT2753" s="1">
        <v>0</v>
      </c>
      <c r="AU2753" s="1">
        <v>0</v>
      </c>
      <c r="AV2753" s="1">
        <v>0</v>
      </c>
      <c r="AW2753" s="1">
        <v>0</v>
      </c>
      <c r="AX2753" s="1">
        <v>0</v>
      </c>
      <c r="AY2753" s="1">
        <v>0</v>
      </c>
      <c r="AZ2753" s="1">
        <v>0</v>
      </c>
      <c r="BA2753" s="1">
        <v>0</v>
      </c>
      <c r="BB2753" s="1">
        <v>0</v>
      </c>
      <c r="BC2753" s="1">
        <v>0</v>
      </c>
      <c r="BD2753" s="1">
        <v>0</v>
      </c>
      <c r="BE2753" s="1">
        <v>0</v>
      </c>
      <c r="BF2753" s="1">
        <v>0</v>
      </c>
      <c r="BG2753" s="1">
        <v>0</v>
      </c>
      <c r="BH2753" s="1">
        <v>0</v>
      </c>
      <c r="BI2753" s="1">
        <v>0</v>
      </c>
      <c r="BJ2753" s="1">
        <v>0</v>
      </c>
      <c r="BK2753" s="1">
        <v>0</v>
      </c>
      <c r="BL2753" s="1">
        <v>0</v>
      </c>
      <c r="BM2753" s="1">
        <v>0</v>
      </c>
      <c r="BN2753" s="1">
        <v>0</v>
      </c>
      <c r="BO2753" s="1">
        <v>0</v>
      </c>
      <c r="BP2753" s="1">
        <v>0</v>
      </c>
      <c r="BQ2753" s="1">
        <v>0</v>
      </c>
      <c r="BR2753" s="1">
        <v>0</v>
      </c>
      <c r="BS2753" s="1" t="s">
        <v>109</v>
      </c>
      <c r="BT2753" s="1">
        <v>4846</v>
      </c>
      <c r="BU2753" s="1" t="s">
        <v>109</v>
      </c>
      <c r="BV2753" s="1"/>
      <c r="BW2753" s="1"/>
      <c r="BX2753" s="1"/>
      <c r="BY2753" s="1"/>
      <c r="BZ2753" s="1">
        <v>0</v>
      </c>
      <c r="CA2753" s="1" t="s">
        <v>109</v>
      </c>
      <c r="CB2753" s="1" t="s">
        <v>109</v>
      </c>
      <c r="CC2753" s="1" t="s">
        <v>109</v>
      </c>
      <c r="CD2753" s="1">
        <v>3</v>
      </c>
      <c r="CE2753" s="1" t="s">
        <v>109</v>
      </c>
      <c r="CF2753" s="1" t="s">
        <v>109</v>
      </c>
      <c r="CG2753" s="1" t="s">
        <v>109</v>
      </c>
      <c r="CH2753" s="1" t="s">
        <v>109</v>
      </c>
      <c r="CI2753" s="1" t="s">
        <v>109</v>
      </c>
      <c r="CJ2753" s="1" t="s">
        <v>109</v>
      </c>
      <c r="CK2753" s="1"/>
      <c r="CL2753" s="1">
        <v>0</v>
      </c>
      <c r="CM2753" s="1">
        <v>0</v>
      </c>
      <c r="CN2753" s="1">
        <v>0</v>
      </c>
    </row>
    <row r="2754" spans="1:92" ht="14.25" customHeight="1" x14ac:dyDescent="0.15">
      <c r="A2754" s="1" t="s">
        <v>19407</v>
      </c>
      <c r="B2754" s="1" t="s">
        <v>254</v>
      </c>
      <c r="C2754" s="1"/>
      <c r="D2754" s="1"/>
      <c r="E2754" s="1" t="s">
        <v>19408</v>
      </c>
      <c r="F2754" s="1" t="s">
        <v>98</v>
      </c>
      <c r="G2754" s="1" t="s">
        <v>19409</v>
      </c>
      <c r="H2754" s="1">
        <v>1</v>
      </c>
      <c r="I2754" s="1" t="s">
        <v>235</v>
      </c>
      <c r="J2754" s="1"/>
      <c r="K2754" s="1"/>
      <c r="L2754" s="1" t="s">
        <v>236</v>
      </c>
      <c r="M2754" s="1" t="s">
        <v>19410</v>
      </c>
      <c r="N2754" s="1">
        <v>0</v>
      </c>
      <c r="O2754" s="1">
        <v>0</v>
      </c>
      <c r="P2754" s="1"/>
      <c r="Q2754" s="1"/>
      <c r="R2754" s="1" t="s">
        <v>19411</v>
      </c>
      <c r="S2754" s="1" t="s">
        <v>19412</v>
      </c>
      <c r="T2754" s="1" t="s">
        <v>19371</v>
      </c>
      <c r="U2754" s="1" t="s">
        <v>19413</v>
      </c>
      <c r="V2754" s="1">
        <v>1</v>
      </c>
      <c r="W2754" s="1">
        <v>1</v>
      </c>
      <c r="X2754" s="1">
        <v>0</v>
      </c>
      <c r="Y2754" s="1">
        <v>0</v>
      </c>
      <c r="Z2754" s="1">
        <v>0</v>
      </c>
      <c r="AA2754" s="1" t="s">
        <v>109</v>
      </c>
      <c r="AB2754" s="1" t="s">
        <v>109</v>
      </c>
      <c r="AC2754" s="1" t="s">
        <v>109</v>
      </c>
      <c r="AD2754" s="1">
        <v>9</v>
      </c>
      <c r="AE2754" s="1" t="s">
        <v>109</v>
      </c>
      <c r="AF2754" s="1" t="s">
        <v>109</v>
      </c>
      <c r="AG2754" s="1" t="s">
        <v>109</v>
      </c>
      <c r="AH2754" s="1" t="s">
        <v>109</v>
      </c>
      <c r="AI2754" s="1" t="s">
        <v>109</v>
      </c>
      <c r="AJ2754" s="1">
        <v>9</v>
      </c>
      <c r="AK2754" s="1" t="s">
        <v>109</v>
      </c>
      <c r="AL2754" s="1" t="s">
        <v>109</v>
      </c>
      <c r="AM2754" s="1" t="s">
        <v>109</v>
      </c>
      <c r="AN2754" s="1" t="s">
        <v>109</v>
      </c>
      <c r="AO2754" s="1" t="s">
        <v>109</v>
      </c>
      <c r="AP2754" s="1"/>
      <c r="AQ2754" s="1">
        <v>9</v>
      </c>
      <c r="AR2754" s="1"/>
      <c r="AS2754" s="1"/>
      <c r="AT2754" s="1">
        <v>0</v>
      </c>
      <c r="AU2754" s="1">
        <v>0</v>
      </c>
      <c r="AV2754" s="1">
        <v>0</v>
      </c>
      <c r="AW2754" s="1">
        <v>0</v>
      </c>
      <c r="AX2754" s="1">
        <v>0</v>
      </c>
      <c r="AY2754" s="1">
        <v>0</v>
      </c>
      <c r="AZ2754" s="1">
        <v>0</v>
      </c>
      <c r="BA2754" s="1">
        <v>0</v>
      </c>
      <c r="BB2754" s="1">
        <v>0</v>
      </c>
      <c r="BC2754" s="1">
        <v>0</v>
      </c>
      <c r="BD2754" s="1">
        <v>0</v>
      </c>
      <c r="BE2754" s="1">
        <v>0</v>
      </c>
      <c r="BF2754" s="1">
        <v>0</v>
      </c>
      <c r="BG2754" s="1">
        <v>0</v>
      </c>
      <c r="BH2754" s="1">
        <v>0</v>
      </c>
      <c r="BI2754" s="1">
        <v>0</v>
      </c>
      <c r="BJ2754" s="1">
        <v>0</v>
      </c>
      <c r="BK2754" s="1">
        <v>0</v>
      </c>
      <c r="BL2754" s="1">
        <v>0</v>
      </c>
      <c r="BM2754" s="1">
        <v>0</v>
      </c>
      <c r="BN2754" s="1">
        <v>0</v>
      </c>
      <c r="BO2754" s="1">
        <v>0</v>
      </c>
      <c r="BP2754" s="1">
        <v>0</v>
      </c>
      <c r="BQ2754" s="1">
        <v>0</v>
      </c>
      <c r="BR2754" s="1">
        <v>0</v>
      </c>
      <c r="BS2754" s="1" t="s">
        <v>109</v>
      </c>
      <c r="BT2754" s="1">
        <v>4847</v>
      </c>
      <c r="BU2754" s="1">
        <v>729</v>
      </c>
      <c r="BV2754" s="1"/>
      <c r="BW2754" s="1"/>
      <c r="BX2754" s="1"/>
      <c r="BY2754" s="1"/>
      <c r="BZ2754" s="1">
        <v>0</v>
      </c>
      <c r="CA2754" s="1" t="s">
        <v>109</v>
      </c>
      <c r="CB2754" s="1" t="s">
        <v>109</v>
      </c>
      <c r="CC2754" s="1">
        <v>9</v>
      </c>
      <c r="CD2754" s="1" t="s">
        <v>109</v>
      </c>
      <c r="CE2754" s="1" t="s">
        <v>109</v>
      </c>
      <c r="CF2754" s="1" t="s">
        <v>109</v>
      </c>
      <c r="CG2754" s="1" t="s">
        <v>109</v>
      </c>
      <c r="CH2754" s="1" t="s">
        <v>109</v>
      </c>
      <c r="CI2754" s="1" t="s">
        <v>109</v>
      </c>
      <c r="CJ2754" s="1" t="s">
        <v>109</v>
      </c>
      <c r="CK2754" s="1"/>
      <c r="CL2754" s="1">
        <v>0</v>
      </c>
      <c r="CM2754" s="1">
        <v>0</v>
      </c>
      <c r="CN2754" s="1">
        <v>0</v>
      </c>
    </row>
    <row r="2755" spans="1:92" ht="14.25" customHeight="1" x14ac:dyDescent="0.15">
      <c r="A2755" s="1" t="s">
        <v>19414</v>
      </c>
      <c r="B2755" s="1" t="s">
        <v>254</v>
      </c>
      <c r="C2755" s="1"/>
      <c r="D2755" s="1"/>
      <c r="E2755" s="1" t="s">
        <v>19415</v>
      </c>
      <c r="F2755" s="1" t="s">
        <v>98</v>
      </c>
      <c r="G2755" s="1" t="s">
        <v>19402</v>
      </c>
      <c r="H2755" s="1">
        <v>0</v>
      </c>
      <c r="I2755" s="1" t="s">
        <v>235</v>
      </c>
      <c r="J2755" s="1"/>
      <c r="K2755" s="1"/>
      <c r="L2755" s="1" t="s">
        <v>236</v>
      </c>
      <c r="M2755" s="1" t="s">
        <v>19416</v>
      </c>
      <c r="N2755" s="1">
        <v>0</v>
      </c>
      <c r="O2755" s="1">
        <v>0</v>
      </c>
      <c r="P2755" s="1"/>
      <c r="Q2755" s="1"/>
      <c r="R2755" s="1" t="s">
        <v>19417</v>
      </c>
      <c r="S2755" s="1" t="s">
        <v>19418</v>
      </c>
      <c r="T2755" s="1" t="s">
        <v>19371</v>
      </c>
      <c r="U2755" s="1" t="s">
        <v>19419</v>
      </c>
      <c r="V2755" s="1">
        <v>1</v>
      </c>
      <c r="W2755" s="1">
        <v>1</v>
      </c>
      <c r="X2755" s="1">
        <v>1</v>
      </c>
      <c r="Y2755" s="1">
        <v>0</v>
      </c>
      <c r="Z2755" s="1">
        <v>1</v>
      </c>
      <c r="AA2755" s="1">
        <v>3</v>
      </c>
      <c r="AB2755" s="1">
        <v>3</v>
      </c>
      <c r="AC2755" s="1" t="s">
        <v>109</v>
      </c>
      <c r="AD2755" s="1" t="s">
        <v>109</v>
      </c>
      <c r="AE2755" s="1" t="s">
        <v>109</v>
      </c>
      <c r="AF2755" s="1">
        <v>3</v>
      </c>
      <c r="AG2755" s="1" t="s">
        <v>109</v>
      </c>
      <c r="AH2755" s="1" t="s">
        <v>109</v>
      </c>
      <c r="AI2755" s="1" t="s">
        <v>109</v>
      </c>
      <c r="AJ2755" s="1">
        <v>3</v>
      </c>
      <c r="AK2755" s="1" t="s">
        <v>109</v>
      </c>
      <c r="AL2755" s="1" t="s">
        <v>109</v>
      </c>
      <c r="AM2755" s="1" t="s">
        <v>109</v>
      </c>
      <c r="AN2755" s="1" t="s">
        <v>109</v>
      </c>
      <c r="AO2755" s="1" t="s">
        <v>109</v>
      </c>
      <c r="AP2755" s="1"/>
      <c r="AQ2755" s="1">
        <v>3</v>
      </c>
      <c r="AR2755" s="1"/>
      <c r="AS2755" s="1"/>
      <c r="AT2755" s="1">
        <v>0</v>
      </c>
      <c r="AU2755" s="1">
        <v>0</v>
      </c>
      <c r="AV2755" s="1">
        <v>0</v>
      </c>
      <c r="AW2755" s="1">
        <v>0</v>
      </c>
      <c r="AX2755" s="1">
        <v>0</v>
      </c>
      <c r="AY2755" s="1">
        <v>0</v>
      </c>
      <c r="AZ2755" s="1">
        <v>0</v>
      </c>
      <c r="BA2755" s="1">
        <v>0</v>
      </c>
      <c r="BB2755" s="1">
        <v>0</v>
      </c>
      <c r="BC2755" s="1">
        <v>0</v>
      </c>
      <c r="BD2755" s="1">
        <v>0</v>
      </c>
      <c r="BE2755" s="1">
        <v>0</v>
      </c>
      <c r="BF2755" s="1">
        <v>0</v>
      </c>
      <c r="BG2755" s="1">
        <v>0</v>
      </c>
      <c r="BH2755" s="1">
        <v>0</v>
      </c>
      <c r="BI2755" s="1">
        <v>0</v>
      </c>
      <c r="BJ2755" s="1">
        <v>0</v>
      </c>
      <c r="BK2755" s="1">
        <v>0</v>
      </c>
      <c r="BL2755" s="1">
        <v>0</v>
      </c>
      <c r="BM2755" s="1">
        <v>0</v>
      </c>
      <c r="BN2755" s="1">
        <v>0</v>
      </c>
      <c r="BO2755" s="1">
        <v>0</v>
      </c>
      <c r="BP2755" s="1">
        <v>0</v>
      </c>
      <c r="BQ2755" s="1">
        <v>0</v>
      </c>
      <c r="BR2755" s="1">
        <v>0</v>
      </c>
      <c r="BS2755" s="1" t="s">
        <v>109</v>
      </c>
      <c r="BT2755" s="1">
        <v>4848</v>
      </c>
      <c r="BU2755" s="1" t="s">
        <v>109</v>
      </c>
      <c r="BV2755" s="1"/>
      <c r="BW2755" s="1"/>
      <c r="BX2755" s="1"/>
      <c r="BY2755" s="1"/>
      <c r="BZ2755" s="1">
        <v>0</v>
      </c>
      <c r="CA2755" s="1" t="s">
        <v>109</v>
      </c>
      <c r="CB2755" s="1" t="s">
        <v>109</v>
      </c>
      <c r="CC2755" s="1">
        <v>3</v>
      </c>
      <c r="CD2755" s="1">
        <v>3</v>
      </c>
      <c r="CE2755" s="1" t="s">
        <v>109</v>
      </c>
      <c r="CF2755" s="1">
        <v>3</v>
      </c>
      <c r="CG2755" s="1" t="s">
        <v>109</v>
      </c>
      <c r="CH2755" s="1" t="s">
        <v>109</v>
      </c>
      <c r="CI2755" s="1" t="s">
        <v>109</v>
      </c>
      <c r="CJ2755" s="1" t="s">
        <v>109</v>
      </c>
      <c r="CK2755" s="1"/>
      <c r="CL2755" s="1">
        <v>0</v>
      </c>
      <c r="CM2755" s="1">
        <v>0</v>
      </c>
      <c r="CN2755" s="1">
        <v>0</v>
      </c>
    </row>
    <row r="2756" spans="1:92" ht="14.25" customHeight="1" x14ac:dyDescent="0.15">
      <c r="A2756" s="1" t="s">
        <v>19420</v>
      </c>
      <c r="B2756" s="1" t="s">
        <v>95</v>
      </c>
      <c r="C2756" s="1" t="s">
        <v>1179</v>
      </c>
      <c r="D2756" s="1"/>
      <c r="E2756" s="1" t="s">
        <v>19421</v>
      </c>
      <c r="F2756" s="1" t="s">
        <v>98</v>
      </c>
      <c r="G2756" s="1" t="s">
        <v>141</v>
      </c>
      <c r="H2756" s="1">
        <v>0</v>
      </c>
      <c r="I2756" s="1" t="s">
        <v>142</v>
      </c>
      <c r="J2756" s="1"/>
      <c r="K2756" s="1" t="s">
        <v>19422</v>
      </c>
      <c r="L2756" s="1"/>
      <c r="M2756" s="1" t="s">
        <v>125</v>
      </c>
      <c r="N2756" s="1">
        <v>0</v>
      </c>
      <c r="O2756" s="1">
        <v>0</v>
      </c>
      <c r="P2756" s="1" t="s">
        <v>103</v>
      </c>
      <c r="Q2756" s="1" t="s">
        <v>104</v>
      </c>
      <c r="R2756" s="1" t="s">
        <v>19423</v>
      </c>
      <c r="S2756" s="1" t="s">
        <v>19424</v>
      </c>
      <c r="T2756" s="1" t="s">
        <v>19371</v>
      </c>
      <c r="U2756" s="1" t="s">
        <v>19425</v>
      </c>
      <c r="V2756" s="1">
        <v>1</v>
      </c>
      <c r="W2756" s="1">
        <v>1</v>
      </c>
      <c r="X2756" s="1">
        <v>0</v>
      </c>
      <c r="Y2756" s="1">
        <v>0</v>
      </c>
      <c r="Z2756" s="1">
        <v>0</v>
      </c>
      <c r="AA2756" s="1">
        <v>2</v>
      </c>
      <c r="AB2756" s="1">
        <v>2</v>
      </c>
      <c r="AC2756" s="1">
        <v>2</v>
      </c>
      <c r="AD2756" s="1" t="s">
        <v>109</v>
      </c>
      <c r="AE2756" s="1">
        <v>1</v>
      </c>
      <c r="AF2756" s="1">
        <v>2</v>
      </c>
      <c r="AG2756" s="1" t="s">
        <v>109</v>
      </c>
      <c r="AH2756" s="1" t="s">
        <v>109</v>
      </c>
      <c r="AI2756" s="1" t="s">
        <v>109</v>
      </c>
      <c r="AJ2756" s="1" t="s">
        <v>109</v>
      </c>
      <c r="AK2756" s="1">
        <v>2</v>
      </c>
      <c r="AL2756" s="1">
        <v>2</v>
      </c>
      <c r="AM2756" s="1" t="s">
        <v>109</v>
      </c>
      <c r="AN2756" s="1" t="s">
        <v>109</v>
      </c>
      <c r="AO2756" s="1" t="s">
        <v>109</v>
      </c>
      <c r="AP2756" s="1"/>
      <c r="AQ2756" s="1">
        <v>2</v>
      </c>
      <c r="AR2756" s="1"/>
      <c r="AS2756" s="1"/>
      <c r="AT2756" s="1">
        <v>0</v>
      </c>
      <c r="AU2756" s="1">
        <v>0</v>
      </c>
      <c r="AV2756" s="1">
        <v>0</v>
      </c>
      <c r="AW2756" s="1">
        <v>0</v>
      </c>
      <c r="AX2756" s="1">
        <v>0</v>
      </c>
      <c r="AY2756" s="1">
        <v>0</v>
      </c>
      <c r="AZ2756" s="1">
        <v>0</v>
      </c>
      <c r="BA2756" s="1">
        <v>0</v>
      </c>
      <c r="BB2756" s="1">
        <v>0</v>
      </c>
      <c r="BC2756" s="1">
        <v>0</v>
      </c>
      <c r="BD2756" s="1">
        <v>0</v>
      </c>
      <c r="BE2756" s="1">
        <v>0</v>
      </c>
      <c r="BF2756" s="1">
        <v>0</v>
      </c>
      <c r="BG2756" s="1">
        <v>0</v>
      </c>
      <c r="BH2756" s="1">
        <v>0</v>
      </c>
      <c r="BI2756" s="1">
        <v>0</v>
      </c>
      <c r="BJ2756" s="1">
        <v>0</v>
      </c>
      <c r="BK2756" s="1">
        <v>0</v>
      </c>
      <c r="BL2756" s="1">
        <v>0</v>
      </c>
      <c r="BM2756" s="1">
        <v>0</v>
      </c>
      <c r="BN2756" s="1">
        <v>0</v>
      </c>
      <c r="BO2756" s="1">
        <v>0</v>
      </c>
      <c r="BP2756" s="1">
        <v>0</v>
      </c>
      <c r="BQ2756" s="1">
        <v>0</v>
      </c>
      <c r="BR2756" s="1">
        <v>0</v>
      </c>
      <c r="BS2756" s="1" t="s">
        <v>109</v>
      </c>
      <c r="BT2756" s="1">
        <v>4849</v>
      </c>
      <c r="BU2756" s="1" t="s">
        <v>109</v>
      </c>
      <c r="BV2756" s="1"/>
      <c r="BW2756" s="1"/>
      <c r="BX2756" s="1"/>
      <c r="BY2756" s="1"/>
      <c r="BZ2756" s="1">
        <v>0</v>
      </c>
      <c r="CA2756" s="1" t="s">
        <v>109</v>
      </c>
      <c r="CB2756" s="1" t="s">
        <v>109</v>
      </c>
      <c r="CC2756" s="1">
        <v>2</v>
      </c>
      <c r="CD2756" s="1">
        <v>1</v>
      </c>
      <c r="CE2756" s="1" t="s">
        <v>109</v>
      </c>
      <c r="CF2756" s="1" t="s">
        <v>109</v>
      </c>
      <c r="CG2756" s="1" t="s">
        <v>109</v>
      </c>
      <c r="CH2756" s="1" t="s">
        <v>109</v>
      </c>
      <c r="CI2756" s="1" t="s">
        <v>109</v>
      </c>
      <c r="CJ2756" s="1">
        <v>1</v>
      </c>
      <c r="CK2756" s="1"/>
      <c r="CL2756" s="1">
        <v>0</v>
      </c>
      <c r="CM2756" s="1">
        <v>0</v>
      </c>
      <c r="CN2756" s="1">
        <v>0</v>
      </c>
    </row>
    <row r="2757" spans="1:92" ht="14.25" customHeight="1" x14ac:dyDescent="0.15">
      <c r="A2757" s="1" t="s">
        <v>19426</v>
      </c>
      <c r="B2757" s="1" t="s">
        <v>95</v>
      </c>
      <c r="C2757" s="1" t="s">
        <v>1179</v>
      </c>
      <c r="D2757" s="1"/>
      <c r="E2757" s="1" t="s">
        <v>19427</v>
      </c>
      <c r="F2757" s="1" t="s">
        <v>98</v>
      </c>
      <c r="G2757" s="1" t="s">
        <v>141</v>
      </c>
      <c r="H2757" s="1">
        <v>0</v>
      </c>
      <c r="I2757" s="1" t="s">
        <v>142</v>
      </c>
      <c r="J2757" s="1"/>
      <c r="K2757" s="1" t="s">
        <v>19428</v>
      </c>
      <c r="L2757" s="1"/>
      <c r="M2757" s="1" t="s">
        <v>125</v>
      </c>
      <c r="N2757" s="1">
        <v>0</v>
      </c>
      <c r="O2757" s="1">
        <v>0</v>
      </c>
      <c r="P2757" s="1" t="s">
        <v>103</v>
      </c>
      <c r="Q2757" s="1" t="s">
        <v>104</v>
      </c>
      <c r="R2757" s="1" t="s">
        <v>19429</v>
      </c>
      <c r="S2757" s="1" t="s">
        <v>19430</v>
      </c>
      <c r="T2757" s="1" t="s">
        <v>19371</v>
      </c>
      <c r="U2757" s="1" t="s">
        <v>19431</v>
      </c>
      <c r="V2757" s="1">
        <v>1</v>
      </c>
      <c r="W2757" s="1">
        <v>1</v>
      </c>
      <c r="X2757" s="1">
        <v>0</v>
      </c>
      <c r="Y2757" s="1">
        <v>0</v>
      </c>
      <c r="Z2757" s="1">
        <v>0</v>
      </c>
      <c r="AA2757" s="1">
        <v>5</v>
      </c>
      <c r="AB2757" s="1">
        <v>5</v>
      </c>
      <c r="AC2757" s="1">
        <v>5</v>
      </c>
      <c r="AD2757" s="1" t="s">
        <v>109</v>
      </c>
      <c r="AE2757" s="1">
        <v>3</v>
      </c>
      <c r="AF2757" s="1">
        <v>4</v>
      </c>
      <c r="AG2757" s="1" t="s">
        <v>109</v>
      </c>
      <c r="AH2757" s="1" t="s">
        <v>109</v>
      </c>
      <c r="AI2757" s="1" t="s">
        <v>109</v>
      </c>
      <c r="AJ2757" s="1" t="s">
        <v>109</v>
      </c>
      <c r="AK2757" s="1">
        <v>4</v>
      </c>
      <c r="AL2757" s="1">
        <v>5</v>
      </c>
      <c r="AM2757" s="1" t="s">
        <v>109</v>
      </c>
      <c r="AN2757" s="1" t="s">
        <v>109</v>
      </c>
      <c r="AO2757" s="1" t="s">
        <v>109</v>
      </c>
      <c r="AP2757" s="1"/>
      <c r="AQ2757" s="1">
        <v>5</v>
      </c>
      <c r="AR2757" s="1"/>
      <c r="AS2757" s="1"/>
      <c r="AT2757" s="1">
        <v>0</v>
      </c>
      <c r="AU2757" s="1">
        <v>0</v>
      </c>
      <c r="AV2757" s="1">
        <v>0</v>
      </c>
      <c r="AW2757" s="1">
        <v>0</v>
      </c>
      <c r="AX2757" s="1">
        <v>0</v>
      </c>
      <c r="AY2757" s="1">
        <v>0</v>
      </c>
      <c r="AZ2757" s="1">
        <v>0</v>
      </c>
      <c r="BA2757" s="1">
        <v>0</v>
      </c>
      <c r="BB2757" s="1">
        <v>0</v>
      </c>
      <c r="BC2757" s="1">
        <v>0</v>
      </c>
      <c r="BD2757" s="1">
        <v>0</v>
      </c>
      <c r="BE2757" s="1">
        <v>0</v>
      </c>
      <c r="BF2757" s="1">
        <v>0</v>
      </c>
      <c r="BG2757" s="1">
        <v>0</v>
      </c>
      <c r="BH2757" s="1">
        <v>0</v>
      </c>
      <c r="BI2757" s="1">
        <v>0</v>
      </c>
      <c r="BJ2757" s="1">
        <v>0</v>
      </c>
      <c r="BK2757" s="1">
        <v>0</v>
      </c>
      <c r="BL2757" s="1">
        <v>0</v>
      </c>
      <c r="BM2757" s="1">
        <v>0</v>
      </c>
      <c r="BN2757" s="1">
        <v>0</v>
      </c>
      <c r="BO2757" s="1">
        <v>0</v>
      </c>
      <c r="BP2757" s="1">
        <v>0</v>
      </c>
      <c r="BQ2757" s="1">
        <v>0</v>
      </c>
      <c r="BR2757" s="1">
        <v>0</v>
      </c>
      <c r="BS2757" s="1" t="s">
        <v>109</v>
      </c>
      <c r="BT2757" s="1">
        <v>4850</v>
      </c>
      <c r="BU2757" s="1" t="s">
        <v>109</v>
      </c>
      <c r="BV2757" s="1"/>
      <c r="BW2757" s="1"/>
      <c r="BX2757" s="1"/>
      <c r="BY2757" s="1"/>
      <c r="BZ2757" s="1">
        <v>0</v>
      </c>
      <c r="CA2757" s="1" t="s">
        <v>109</v>
      </c>
      <c r="CB2757" s="1" t="s">
        <v>109</v>
      </c>
      <c r="CC2757" s="1">
        <v>5</v>
      </c>
      <c r="CD2757" s="1">
        <v>3</v>
      </c>
      <c r="CE2757" s="1" t="s">
        <v>109</v>
      </c>
      <c r="CF2757" s="1" t="s">
        <v>109</v>
      </c>
      <c r="CG2757" s="1" t="s">
        <v>109</v>
      </c>
      <c r="CH2757" s="1" t="s">
        <v>109</v>
      </c>
      <c r="CI2757" s="1" t="s">
        <v>109</v>
      </c>
      <c r="CJ2757" s="1">
        <v>3</v>
      </c>
      <c r="CK2757" s="1"/>
      <c r="CL2757" s="1">
        <v>0</v>
      </c>
      <c r="CM2757" s="1">
        <v>0</v>
      </c>
      <c r="CN2757" s="1">
        <v>0</v>
      </c>
    </row>
    <row r="2758" spans="1:92" ht="14.25" customHeight="1" x14ac:dyDescent="0.15">
      <c r="A2758" s="1" t="s">
        <v>19432</v>
      </c>
      <c r="B2758" s="1" t="s">
        <v>189</v>
      </c>
      <c r="C2758" s="1"/>
      <c r="D2758" s="1"/>
      <c r="E2758" s="1" t="s">
        <v>19433</v>
      </c>
      <c r="F2758" s="1" t="s">
        <v>6545</v>
      </c>
      <c r="G2758" s="1" t="s">
        <v>19434</v>
      </c>
      <c r="H2758" s="1">
        <v>1</v>
      </c>
      <c r="I2758" s="1" t="s">
        <v>235</v>
      </c>
      <c r="J2758" s="1"/>
      <c r="K2758" s="1"/>
      <c r="L2758" s="1" t="s">
        <v>236</v>
      </c>
      <c r="M2758" s="1" t="s">
        <v>144</v>
      </c>
      <c r="N2758" s="1">
        <v>0</v>
      </c>
      <c r="O2758" s="1">
        <v>0</v>
      </c>
      <c r="P2758" s="1"/>
      <c r="Q2758" s="1"/>
      <c r="R2758" s="1" t="s">
        <v>19435</v>
      </c>
      <c r="S2758" s="1" t="s">
        <v>19436</v>
      </c>
      <c r="T2758" s="1" t="s">
        <v>19371</v>
      </c>
      <c r="U2758" s="1" t="s">
        <v>19437</v>
      </c>
      <c r="V2758" s="1">
        <v>1</v>
      </c>
      <c r="W2758" s="1">
        <v>1</v>
      </c>
      <c r="X2758" s="1">
        <v>1</v>
      </c>
      <c r="Y2758" s="1">
        <v>0</v>
      </c>
      <c r="Z2758" s="1">
        <v>0</v>
      </c>
      <c r="AA2758" s="1">
        <v>7</v>
      </c>
      <c r="AB2758" s="1">
        <v>7</v>
      </c>
      <c r="AC2758" s="1" t="s">
        <v>109</v>
      </c>
      <c r="AD2758" s="1" t="s">
        <v>109</v>
      </c>
      <c r="AE2758" s="1" t="s">
        <v>109</v>
      </c>
      <c r="AF2758" s="1" t="s">
        <v>109</v>
      </c>
      <c r="AG2758" s="1" t="s">
        <v>109</v>
      </c>
      <c r="AH2758" s="1" t="s">
        <v>109</v>
      </c>
      <c r="AI2758" s="1" t="s">
        <v>109</v>
      </c>
      <c r="AJ2758" s="1">
        <v>7</v>
      </c>
      <c r="AK2758" s="1" t="s">
        <v>109</v>
      </c>
      <c r="AL2758" s="1" t="s">
        <v>109</v>
      </c>
      <c r="AM2758" s="1" t="s">
        <v>109</v>
      </c>
      <c r="AN2758" s="1" t="s">
        <v>109</v>
      </c>
      <c r="AO2758" s="1" t="s">
        <v>109</v>
      </c>
      <c r="AP2758" s="1"/>
      <c r="AQ2758" s="1">
        <v>7</v>
      </c>
      <c r="AR2758" s="1"/>
      <c r="AS2758" s="1"/>
      <c r="AT2758" s="1">
        <v>0</v>
      </c>
      <c r="AU2758" s="1">
        <v>0</v>
      </c>
      <c r="AV2758" s="1">
        <v>0</v>
      </c>
      <c r="AW2758" s="1">
        <v>0</v>
      </c>
      <c r="AX2758" s="1">
        <v>0</v>
      </c>
      <c r="AY2758" s="1">
        <v>0</v>
      </c>
      <c r="AZ2758" s="1">
        <v>0</v>
      </c>
      <c r="BA2758" s="1">
        <v>0</v>
      </c>
      <c r="BB2758" s="1">
        <v>0</v>
      </c>
      <c r="BC2758" s="1">
        <v>0</v>
      </c>
      <c r="BD2758" s="1">
        <v>0</v>
      </c>
      <c r="BE2758" s="1">
        <v>0</v>
      </c>
      <c r="BF2758" s="1">
        <v>0</v>
      </c>
      <c r="BG2758" s="1">
        <v>0</v>
      </c>
      <c r="BH2758" s="1">
        <v>0</v>
      </c>
      <c r="BI2758" s="1">
        <v>0</v>
      </c>
      <c r="BJ2758" s="1">
        <v>0</v>
      </c>
      <c r="BK2758" s="1">
        <v>0</v>
      </c>
      <c r="BL2758" s="1">
        <v>0</v>
      </c>
      <c r="BM2758" s="1">
        <v>0</v>
      </c>
      <c r="BN2758" s="1">
        <v>0</v>
      </c>
      <c r="BO2758" s="1">
        <v>0</v>
      </c>
      <c r="BP2758" s="1">
        <v>0</v>
      </c>
      <c r="BQ2758" s="1">
        <v>0</v>
      </c>
      <c r="BR2758" s="1">
        <v>0</v>
      </c>
      <c r="BS2758" s="1" t="s">
        <v>109</v>
      </c>
      <c r="BT2758" s="1">
        <v>4851</v>
      </c>
      <c r="BU2758" s="1">
        <v>100</v>
      </c>
      <c r="BV2758" s="1"/>
      <c r="BW2758" s="1"/>
      <c r="BX2758" s="1"/>
      <c r="BY2758" s="1"/>
      <c r="BZ2758" s="1">
        <v>0</v>
      </c>
      <c r="CA2758" s="1" t="s">
        <v>109</v>
      </c>
      <c r="CB2758" s="1" t="s">
        <v>109</v>
      </c>
      <c r="CC2758" s="1">
        <v>7</v>
      </c>
      <c r="CD2758" s="1" t="s">
        <v>109</v>
      </c>
      <c r="CE2758" s="1" t="s">
        <v>109</v>
      </c>
      <c r="CF2758" s="1" t="s">
        <v>109</v>
      </c>
      <c r="CG2758" s="1" t="s">
        <v>109</v>
      </c>
      <c r="CH2758" s="1" t="s">
        <v>109</v>
      </c>
      <c r="CI2758" s="1" t="s">
        <v>109</v>
      </c>
      <c r="CJ2758" s="1" t="s">
        <v>109</v>
      </c>
      <c r="CK2758" s="1"/>
      <c r="CL2758" s="1">
        <v>0</v>
      </c>
      <c r="CM2758" s="1">
        <v>0</v>
      </c>
      <c r="CN2758" s="1">
        <v>0</v>
      </c>
    </row>
    <row r="2759" spans="1:92" ht="14.25" customHeight="1" x14ac:dyDescent="0.15">
      <c r="A2759" s="1" t="s">
        <v>19438</v>
      </c>
      <c r="B2759" s="1" t="s">
        <v>95</v>
      </c>
      <c r="C2759" s="1" t="s">
        <v>1522</v>
      </c>
      <c r="D2759" s="1"/>
      <c r="E2759" s="1" t="s">
        <v>19439</v>
      </c>
      <c r="F2759" s="1" t="s">
        <v>98</v>
      </c>
      <c r="G2759" s="1" t="s">
        <v>19440</v>
      </c>
      <c r="H2759" s="1">
        <v>1</v>
      </c>
      <c r="I2759" s="1" t="s">
        <v>19441</v>
      </c>
      <c r="J2759" s="1"/>
      <c r="K2759" s="1"/>
      <c r="L2759" s="1"/>
      <c r="M2759" s="1" t="s">
        <v>6798</v>
      </c>
      <c r="N2759" s="1">
        <v>0</v>
      </c>
      <c r="O2759" s="1">
        <v>0</v>
      </c>
      <c r="P2759" s="1" t="s">
        <v>103</v>
      </c>
      <c r="Q2759" s="1" t="s">
        <v>104</v>
      </c>
      <c r="R2759" s="1" t="s">
        <v>19442</v>
      </c>
      <c r="S2759" s="1" t="s">
        <v>19443</v>
      </c>
      <c r="T2759" s="1" t="s">
        <v>19371</v>
      </c>
      <c r="U2759" s="1" t="s">
        <v>19444</v>
      </c>
      <c r="V2759" s="1">
        <v>1</v>
      </c>
      <c r="W2759" s="1">
        <v>1</v>
      </c>
      <c r="X2759" s="1">
        <v>0</v>
      </c>
      <c r="Y2759" s="1">
        <v>0</v>
      </c>
      <c r="Z2759" s="1">
        <v>0</v>
      </c>
      <c r="AA2759" s="1">
        <v>8</v>
      </c>
      <c r="AB2759" s="1">
        <v>8</v>
      </c>
      <c r="AC2759" s="1" t="s">
        <v>109</v>
      </c>
      <c r="AD2759" s="1">
        <v>9</v>
      </c>
      <c r="AE2759" s="1" t="s">
        <v>109</v>
      </c>
      <c r="AF2759" s="1" t="s">
        <v>109</v>
      </c>
      <c r="AG2759" s="1" t="s">
        <v>109</v>
      </c>
      <c r="AH2759" s="1" t="s">
        <v>109</v>
      </c>
      <c r="AI2759" s="1" t="s">
        <v>109</v>
      </c>
      <c r="AJ2759" s="1">
        <v>8</v>
      </c>
      <c r="AK2759" s="1" t="s">
        <v>109</v>
      </c>
      <c r="AL2759" s="1" t="s">
        <v>109</v>
      </c>
      <c r="AM2759" s="1" t="s">
        <v>109</v>
      </c>
      <c r="AN2759" s="1" t="s">
        <v>109</v>
      </c>
      <c r="AO2759" s="1" t="s">
        <v>109</v>
      </c>
      <c r="AP2759" s="1"/>
      <c r="AQ2759" s="1">
        <v>8</v>
      </c>
      <c r="AR2759" s="1"/>
      <c r="AS2759" s="1"/>
      <c r="AT2759" s="1">
        <v>0</v>
      </c>
      <c r="AU2759" s="1">
        <v>0</v>
      </c>
      <c r="AV2759" s="1">
        <v>0</v>
      </c>
      <c r="AW2759" s="1">
        <v>0</v>
      </c>
      <c r="AX2759" s="1">
        <v>0</v>
      </c>
      <c r="AY2759" s="1">
        <v>0</v>
      </c>
      <c r="AZ2759" s="1">
        <v>0</v>
      </c>
      <c r="BA2759" s="1">
        <v>0</v>
      </c>
      <c r="BB2759" s="1">
        <v>0</v>
      </c>
      <c r="BC2759" s="1">
        <v>0</v>
      </c>
      <c r="BD2759" s="1">
        <v>0</v>
      </c>
      <c r="BE2759" s="1">
        <v>0</v>
      </c>
      <c r="BF2759" s="1">
        <v>0</v>
      </c>
      <c r="BG2759" s="1">
        <v>0</v>
      </c>
      <c r="BH2759" s="1">
        <v>0</v>
      </c>
      <c r="BI2759" s="1">
        <v>0</v>
      </c>
      <c r="BJ2759" s="1">
        <v>0</v>
      </c>
      <c r="BK2759" s="1">
        <v>0</v>
      </c>
      <c r="BL2759" s="1">
        <v>0</v>
      </c>
      <c r="BM2759" s="1">
        <v>0</v>
      </c>
      <c r="BN2759" s="1">
        <v>0</v>
      </c>
      <c r="BO2759" s="1">
        <v>0</v>
      </c>
      <c r="BP2759" s="1">
        <v>0</v>
      </c>
      <c r="BQ2759" s="1">
        <v>0</v>
      </c>
      <c r="BR2759" s="1">
        <v>0</v>
      </c>
      <c r="BS2759" s="1" t="s">
        <v>109</v>
      </c>
      <c r="BT2759" s="1">
        <v>4852</v>
      </c>
      <c r="BU2759" s="1">
        <v>1500</v>
      </c>
      <c r="BV2759" s="1"/>
      <c r="BW2759" s="1"/>
      <c r="BX2759" s="1"/>
      <c r="BY2759" s="1"/>
      <c r="BZ2759" s="1">
        <v>0</v>
      </c>
      <c r="CA2759" s="1" t="s">
        <v>109</v>
      </c>
      <c r="CB2759" s="1" t="s">
        <v>109</v>
      </c>
      <c r="CC2759" s="1">
        <v>8</v>
      </c>
      <c r="CD2759" s="1" t="s">
        <v>109</v>
      </c>
      <c r="CE2759" s="1" t="s">
        <v>109</v>
      </c>
      <c r="CF2759" s="1" t="s">
        <v>109</v>
      </c>
      <c r="CG2759" s="1" t="s">
        <v>109</v>
      </c>
      <c r="CH2759" s="1" t="s">
        <v>109</v>
      </c>
      <c r="CI2759" s="1" t="s">
        <v>109</v>
      </c>
      <c r="CJ2759" s="1" t="s">
        <v>109</v>
      </c>
      <c r="CK2759" s="1"/>
      <c r="CL2759" s="1">
        <v>0</v>
      </c>
      <c r="CM2759" s="1">
        <v>0</v>
      </c>
      <c r="CN2759" s="1">
        <v>0</v>
      </c>
    </row>
    <row r="2760" spans="1:92" ht="14.25" customHeight="1" x14ac:dyDescent="0.15">
      <c r="A2760" s="1" t="s">
        <v>19445</v>
      </c>
      <c r="B2760" s="1" t="s">
        <v>189</v>
      </c>
      <c r="C2760" s="1"/>
      <c r="D2760" s="1" t="s">
        <v>61</v>
      </c>
      <c r="E2760" s="1" t="s">
        <v>9677</v>
      </c>
      <c r="F2760" s="1" t="s">
        <v>98</v>
      </c>
      <c r="G2760" s="1" t="s">
        <v>141</v>
      </c>
      <c r="H2760" s="1">
        <v>0</v>
      </c>
      <c r="I2760" s="1" t="s">
        <v>161</v>
      </c>
      <c r="J2760" s="1"/>
      <c r="K2760" s="1"/>
      <c r="L2760" s="1" t="s">
        <v>1643</v>
      </c>
      <c r="M2760" s="1" t="s">
        <v>125</v>
      </c>
      <c r="N2760" s="1">
        <v>0</v>
      </c>
      <c r="O2760" s="1">
        <v>0</v>
      </c>
      <c r="P2760" s="1" t="s">
        <v>103</v>
      </c>
      <c r="Q2760" s="1" t="s">
        <v>104</v>
      </c>
      <c r="R2760" s="1" t="s">
        <v>19446</v>
      </c>
      <c r="S2760" s="1" t="s">
        <v>19447</v>
      </c>
      <c r="T2760" s="1" t="s">
        <v>19448</v>
      </c>
      <c r="U2760" s="1" t="s">
        <v>19449</v>
      </c>
      <c r="V2760" s="1">
        <v>1</v>
      </c>
      <c r="W2760" s="1">
        <v>1</v>
      </c>
      <c r="X2760" s="1">
        <v>0</v>
      </c>
      <c r="Y2760" s="1">
        <v>0</v>
      </c>
      <c r="Z2760" s="1">
        <v>0</v>
      </c>
      <c r="AA2760" s="1" t="s">
        <v>109</v>
      </c>
      <c r="AB2760" s="1" t="s">
        <v>109</v>
      </c>
      <c r="AC2760" s="1">
        <v>4</v>
      </c>
      <c r="AD2760" s="1" t="s">
        <v>109</v>
      </c>
      <c r="AE2760" s="1" t="s">
        <v>109</v>
      </c>
      <c r="AF2760" s="1" t="s">
        <v>109</v>
      </c>
      <c r="AG2760" s="1">
        <v>4</v>
      </c>
      <c r="AH2760" s="1" t="s">
        <v>109</v>
      </c>
      <c r="AI2760" s="1" t="s">
        <v>109</v>
      </c>
      <c r="AJ2760" s="1" t="s">
        <v>109</v>
      </c>
      <c r="AK2760" s="1">
        <v>4</v>
      </c>
      <c r="AL2760" s="1">
        <v>4</v>
      </c>
      <c r="AM2760" s="1" t="s">
        <v>109</v>
      </c>
      <c r="AN2760" s="1" t="s">
        <v>109</v>
      </c>
      <c r="AO2760" s="1" t="s">
        <v>109</v>
      </c>
      <c r="AP2760" s="1"/>
      <c r="AQ2760" s="1">
        <v>4</v>
      </c>
      <c r="AR2760" s="1"/>
      <c r="AS2760" s="1"/>
      <c r="AT2760" s="1">
        <v>0</v>
      </c>
      <c r="AU2760" s="1">
        <v>0</v>
      </c>
      <c r="AV2760" s="1">
        <v>0</v>
      </c>
      <c r="AW2760" s="1">
        <v>0</v>
      </c>
      <c r="AX2760" s="1">
        <v>0</v>
      </c>
      <c r="AY2760" s="1">
        <v>0</v>
      </c>
      <c r="AZ2760" s="1">
        <v>0</v>
      </c>
      <c r="BA2760" s="1">
        <v>0</v>
      </c>
      <c r="BB2760" s="1">
        <v>0</v>
      </c>
      <c r="BC2760" s="1">
        <v>0</v>
      </c>
      <c r="BD2760" s="1">
        <v>0</v>
      </c>
      <c r="BE2760" s="1">
        <v>0</v>
      </c>
      <c r="BF2760" s="1">
        <v>0</v>
      </c>
      <c r="BG2760" s="1">
        <v>0</v>
      </c>
      <c r="BH2760" s="1">
        <v>0</v>
      </c>
      <c r="BI2760" s="1">
        <v>1</v>
      </c>
      <c r="BJ2760" s="1">
        <v>0</v>
      </c>
      <c r="BK2760" s="1">
        <v>0</v>
      </c>
      <c r="BL2760" s="1">
        <v>0</v>
      </c>
      <c r="BM2760" s="1">
        <v>0</v>
      </c>
      <c r="BN2760" s="1">
        <v>0</v>
      </c>
      <c r="BO2760" s="1">
        <v>0</v>
      </c>
      <c r="BP2760" s="1">
        <v>0</v>
      </c>
      <c r="BQ2760" s="1">
        <v>0</v>
      </c>
      <c r="BR2760" s="1">
        <v>0</v>
      </c>
      <c r="BS2760" s="1" t="s">
        <v>109</v>
      </c>
      <c r="BT2760" s="1">
        <v>4853</v>
      </c>
      <c r="BU2760" s="1" t="s">
        <v>109</v>
      </c>
      <c r="BV2760" s="1"/>
      <c r="BW2760" s="1"/>
      <c r="BX2760" s="1"/>
      <c r="BY2760" s="1"/>
      <c r="BZ2760" s="1">
        <v>0</v>
      </c>
      <c r="CA2760" s="1" t="s">
        <v>109</v>
      </c>
      <c r="CB2760" s="1" t="s">
        <v>109</v>
      </c>
      <c r="CC2760" s="1" t="s">
        <v>109</v>
      </c>
      <c r="CD2760" s="1" t="s">
        <v>109</v>
      </c>
      <c r="CE2760" s="1" t="s">
        <v>109</v>
      </c>
      <c r="CF2760" s="1" t="s">
        <v>109</v>
      </c>
      <c r="CG2760" s="1" t="s">
        <v>109</v>
      </c>
      <c r="CH2760" s="1" t="s">
        <v>109</v>
      </c>
      <c r="CI2760" s="1" t="s">
        <v>109</v>
      </c>
      <c r="CJ2760" s="1" t="s">
        <v>109</v>
      </c>
      <c r="CK2760" s="1"/>
      <c r="CL2760" s="1">
        <v>0</v>
      </c>
      <c r="CM2760" s="1">
        <v>0</v>
      </c>
      <c r="CN2760" s="1">
        <v>0</v>
      </c>
    </row>
    <row r="2761" spans="1:92" ht="14.25" customHeight="1" x14ac:dyDescent="0.15">
      <c r="A2761" s="1" t="s">
        <v>19450</v>
      </c>
      <c r="B2761" s="1" t="s">
        <v>95</v>
      </c>
      <c r="C2761" s="1" t="s">
        <v>96</v>
      </c>
      <c r="D2761" s="1" t="s">
        <v>7610</v>
      </c>
      <c r="E2761" s="1" t="s">
        <v>19451</v>
      </c>
      <c r="F2761" s="1" t="s">
        <v>98</v>
      </c>
      <c r="G2761" s="1" t="s">
        <v>19452</v>
      </c>
      <c r="H2761" s="1">
        <v>0</v>
      </c>
      <c r="I2761" s="1" t="s">
        <v>122</v>
      </c>
      <c r="J2761" s="1" t="s">
        <v>19453</v>
      </c>
      <c r="K2761" s="1"/>
      <c r="L2761" s="1"/>
      <c r="M2761" s="1" t="s">
        <v>125</v>
      </c>
      <c r="N2761" s="1">
        <v>0</v>
      </c>
      <c r="O2761" s="1">
        <v>0</v>
      </c>
      <c r="P2761" s="1" t="s">
        <v>103</v>
      </c>
      <c r="Q2761" s="1" t="s">
        <v>104</v>
      </c>
      <c r="R2761" s="1" t="s">
        <v>19454</v>
      </c>
      <c r="S2761" s="1" t="s">
        <v>19455</v>
      </c>
      <c r="T2761" s="1" t="s">
        <v>19448</v>
      </c>
      <c r="U2761" s="1" t="s">
        <v>19456</v>
      </c>
      <c r="V2761" s="1">
        <v>1</v>
      </c>
      <c r="W2761" s="1">
        <v>1</v>
      </c>
      <c r="X2761" s="1">
        <v>1</v>
      </c>
      <c r="Y2761" s="1">
        <v>0</v>
      </c>
      <c r="Z2761" s="1">
        <v>1</v>
      </c>
      <c r="AA2761" s="1">
        <v>1</v>
      </c>
      <c r="AB2761" s="1">
        <v>1</v>
      </c>
      <c r="AC2761" s="1" t="s">
        <v>109</v>
      </c>
      <c r="AD2761" s="1">
        <v>1</v>
      </c>
      <c r="AE2761" s="1">
        <v>1</v>
      </c>
      <c r="AF2761" s="1" t="s">
        <v>109</v>
      </c>
      <c r="AG2761" s="1" t="s">
        <v>109</v>
      </c>
      <c r="AH2761" s="1" t="s">
        <v>109</v>
      </c>
      <c r="AI2761" s="1" t="s">
        <v>109</v>
      </c>
      <c r="AJ2761" s="1">
        <v>1</v>
      </c>
      <c r="AK2761" s="1" t="s">
        <v>109</v>
      </c>
      <c r="AL2761" s="1" t="s">
        <v>109</v>
      </c>
      <c r="AM2761" s="1" t="s">
        <v>109</v>
      </c>
      <c r="AN2761" s="1" t="s">
        <v>109</v>
      </c>
      <c r="AO2761" s="1" t="s">
        <v>109</v>
      </c>
      <c r="AP2761" s="1"/>
      <c r="AQ2761" s="1">
        <v>1</v>
      </c>
      <c r="AR2761" s="1"/>
      <c r="AS2761" s="1"/>
      <c r="AT2761" s="1">
        <v>0</v>
      </c>
      <c r="AU2761" s="1">
        <v>0</v>
      </c>
      <c r="AV2761" s="1">
        <v>0</v>
      </c>
      <c r="AW2761" s="1">
        <v>0</v>
      </c>
      <c r="AX2761" s="1">
        <v>0</v>
      </c>
      <c r="AY2761" s="1">
        <v>0</v>
      </c>
      <c r="AZ2761" s="1">
        <v>0</v>
      </c>
      <c r="BA2761" s="1">
        <v>0</v>
      </c>
      <c r="BB2761" s="1">
        <v>1</v>
      </c>
      <c r="BC2761" s="1">
        <v>0</v>
      </c>
      <c r="BD2761" s="1">
        <v>0</v>
      </c>
      <c r="BE2761" s="1">
        <v>0</v>
      </c>
      <c r="BF2761" s="1">
        <v>0</v>
      </c>
      <c r="BG2761" s="1">
        <v>1</v>
      </c>
      <c r="BH2761" s="1">
        <v>0</v>
      </c>
      <c r="BI2761" s="1">
        <v>0</v>
      </c>
      <c r="BJ2761" s="1">
        <v>0</v>
      </c>
      <c r="BK2761" s="1">
        <v>0</v>
      </c>
      <c r="BL2761" s="1">
        <v>0</v>
      </c>
      <c r="BM2761" s="1">
        <v>0</v>
      </c>
      <c r="BN2761" s="1">
        <v>0</v>
      </c>
      <c r="BO2761" s="1">
        <v>0</v>
      </c>
      <c r="BP2761" s="1">
        <v>0</v>
      </c>
      <c r="BQ2761" s="1">
        <v>0</v>
      </c>
      <c r="BR2761" s="1">
        <v>0</v>
      </c>
      <c r="BS2761" s="1" t="s">
        <v>109</v>
      </c>
      <c r="BT2761" s="1">
        <v>4854</v>
      </c>
      <c r="BU2761" s="1" t="s">
        <v>109</v>
      </c>
      <c r="BV2761" s="1"/>
      <c r="BW2761" s="1"/>
      <c r="BX2761" s="1"/>
      <c r="BY2761" s="1"/>
      <c r="BZ2761" s="1">
        <v>0</v>
      </c>
      <c r="CA2761" s="1" t="s">
        <v>109</v>
      </c>
      <c r="CB2761" s="1">
        <v>1</v>
      </c>
      <c r="CC2761" s="1" t="s">
        <v>109</v>
      </c>
      <c r="CD2761" s="1" t="s">
        <v>109</v>
      </c>
      <c r="CE2761" s="1" t="s">
        <v>109</v>
      </c>
      <c r="CF2761" s="1" t="s">
        <v>109</v>
      </c>
      <c r="CG2761" s="1" t="s">
        <v>109</v>
      </c>
      <c r="CH2761" s="1" t="s">
        <v>109</v>
      </c>
      <c r="CI2761" s="1" t="s">
        <v>109</v>
      </c>
      <c r="CJ2761" s="1">
        <v>1</v>
      </c>
      <c r="CK2761" s="1"/>
      <c r="CL2761" s="1">
        <v>0</v>
      </c>
      <c r="CM2761" s="1">
        <v>0</v>
      </c>
      <c r="CN2761" s="1">
        <v>0</v>
      </c>
    </row>
    <row r="2762" spans="1:92" ht="14.25" customHeight="1" x14ac:dyDescent="0.15">
      <c r="A2762" s="1" t="s">
        <v>19457</v>
      </c>
      <c r="B2762" s="1" t="s">
        <v>584</v>
      </c>
      <c r="C2762" s="1"/>
      <c r="D2762" s="1" t="s">
        <v>19458</v>
      </c>
      <c r="E2762" s="1" t="s">
        <v>12694</v>
      </c>
      <c r="F2762" s="1" t="s">
        <v>98</v>
      </c>
      <c r="G2762" s="1" t="s">
        <v>160</v>
      </c>
      <c r="H2762" s="1">
        <v>0</v>
      </c>
      <c r="I2762" s="1" t="s">
        <v>161</v>
      </c>
      <c r="J2762" s="1" t="s">
        <v>19459</v>
      </c>
      <c r="K2762" s="1"/>
      <c r="L2762" s="1"/>
      <c r="M2762" s="1" t="s">
        <v>766</v>
      </c>
      <c r="N2762" s="1">
        <v>0</v>
      </c>
      <c r="O2762" s="1">
        <v>0</v>
      </c>
      <c r="P2762" s="1" t="s">
        <v>103</v>
      </c>
      <c r="Q2762" s="1" t="s">
        <v>268</v>
      </c>
      <c r="R2762" s="1" t="s">
        <v>19460</v>
      </c>
      <c r="S2762" s="1" t="s">
        <v>19461</v>
      </c>
      <c r="T2762" s="1" t="s">
        <v>19448</v>
      </c>
      <c r="U2762" s="1" t="s">
        <v>19462</v>
      </c>
      <c r="V2762" s="1">
        <v>1</v>
      </c>
      <c r="W2762" s="1">
        <v>1</v>
      </c>
      <c r="X2762" s="1">
        <v>0</v>
      </c>
      <c r="Y2762" s="1">
        <v>0</v>
      </c>
      <c r="Z2762" s="1">
        <v>1</v>
      </c>
      <c r="AA2762" s="1" t="s">
        <v>109</v>
      </c>
      <c r="AB2762" s="1" t="s">
        <v>109</v>
      </c>
      <c r="AC2762" s="1">
        <v>5</v>
      </c>
      <c r="AD2762" s="1" t="s">
        <v>109</v>
      </c>
      <c r="AE2762" s="1" t="s">
        <v>109</v>
      </c>
      <c r="AF2762" s="1" t="s">
        <v>109</v>
      </c>
      <c r="AG2762" s="1">
        <v>4</v>
      </c>
      <c r="AH2762" s="1" t="s">
        <v>109</v>
      </c>
      <c r="AI2762" s="1" t="s">
        <v>109</v>
      </c>
      <c r="AJ2762" s="1" t="s">
        <v>109</v>
      </c>
      <c r="AK2762" s="1">
        <v>4</v>
      </c>
      <c r="AL2762" s="1">
        <v>5</v>
      </c>
      <c r="AM2762" s="1" t="s">
        <v>109</v>
      </c>
      <c r="AN2762" s="1" t="s">
        <v>109</v>
      </c>
      <c r="AO2762" s="1" t="s">
        <v>109</v>
      </c>
      <c r="AP2762" s="1"/>
      <c r="AQ2762" s="1">
        <v>5</v>
      </c>
      <c r="AR2762" s="1"/>
      <c r="AS2762" s="1"/>
      <c r="AT2762" s="1">
        <v>0</v>
      </c>
      <c r="AU2762" s="1">
        <v>0</v>
      </c>
      <c r="AV2762" s="1">
        <v>0</v>
      </c>
      <c r="AW2762" s="1">
        <v>0</v>
      </c>
      <c r="AX2762" s="1">
        <v>0</v>
      </c>
      <c r="AY2762" s="1">
        <v>0</v>
      </c>
      <c r="AZ2762" s="1">
        <v>0</v>
      </c>
      <c r="BA2762" s="1">
        <v>0</v>
      </c>
      <c r="BB2762" s="1">
        <v>0</v>
      </c>
      <c r="BC2762" s="1">
        <v>0</v>
      </c>
      <c r="BD2762" s="1">
        <v>0</v>
      </c>
      <c r="BE2762" s="1">
        <v>0</v>
      </c>
      <c r="BF2762" s="1">
        <v>0</v>
      </c>
      <c r="BG2762" s="1">
        <v>1</v>
      </c>
      <c r="BH2762" s="1">
        <v>0</v>
      </c>
      <c r="BI2762" s="1">
        <v>1</v>
      </c>
      <c r="BJ2762" s="1">
        <v>0</v>
      </c>
      <c r="BK2762" s="1">
        <v>0</v>
      </c>
      <c r="BL2762" s="1">
        <v>0</v>
      </c>
      <c r="BM2762" s="1">
        <v>0</v>
      </c>
      <c r="BN2762" s="1">
        <v>0</v>
      </c>
      <c r="BO2762" s="1">
        <v>0</v>
      </c>
      <c r="BP2762" s="1">
        <v>0</v>
      </c>
      <c r="BQ2762" s="1">
        <v>0</v>
      </c>
      <c r="BR2762" s="1">
        <v>0</v>
      </c>
      <c r="BS2762" s="1" t="s">
        <v>109</v>
      </c>
      <c r="BT2762" s="1">
        <v>4855</v>
      </c>
      <c r="BU2762" s="1" t="s">
        <v>109</v>
      </c>
      <c r="BV2762" s="1"/>
      <c r="BW2762" s="1"/>
      <c r="BX2762" s="1"/>
      <c r="BY2762" s="1"/>
      <c r="BZ2762" s="1">
        <v>0</v>
      </c>
      <c r="CA2762" s="1" t="s">
        <v>109</v>
      </c>
      <c r="CB2762" s="1" t="s">
        <v>109</v>
      </c>
      <c r="CC2762" s="1" t="s">
        <v>109</v>
      </c>
      <c r="CD2762" s="1" t="s">
        <v>109</v>
      </c>
      <c r="CE2762" s="1" t="s">
        <v>109</v>
      </c>
      <c r="CF2762" s="1" t="s">
        <v>109</v>
      </c>
      <c r="CG2762" s="1" t="s">
        <v>109</v>
      </c>
      <c r="CH2762" s="1" t="s">
        <v>109</v>
      </c>
      <c r="CI2762" s="1" t="s">
        <v>109</v>
      </c>
      <c r="CJ2762" s="1" t="s">
        <v>109</v>
      </c>
      <c r="CK2762" s="1"/>
      <c r="CL2762" s="1">
        <v>0</v>
      </c>
      <c r="CM2762" s="1">
        <v>0</v>
      </c>
      <c r="CN2762" s="1">
        <v>0</v>
      </c>
    </row>
    <row r="2763" spans="1:92" ht="14.25" customHeight="1" x14ac:dyDescent="0.15">
      <c r="A2763" s="1" t="s">
        <v>19463</v>
      </c>
      <c r="B2763" s="1" t="s">
        <v>189</v>
      </c>
      <c r="C2763" s="1"/>
      <c r="D2763" s="1" t="s">
        <v>16074</v>
      </c>
      <c r="E2763" s="1" t="s">
        <v>19464</v>
      </c>
      <c r="F2763" s="1" t="s">
        <v>98</v>
      </c>
      <c r="G2763" s="1" t="s">
        <v>19465</v>
      </c>
      <c r="H2763" s="1">
        <v>0</v>
      </c>
      <c r="I2763" s="1" t="s">
        <v>161</v>
      </c>
      <c r="J2763" s="1"/>
      <c r="K2763" s="1"/>
      <c r="L2763" s="1" t="s">
        <v>506</v>
      </c>
      <c r="M2763" s="1" t="s">
        <v>408</v>
      </c>
      <c r="N2763" s="1">
        <v>0</v>
      </c>
      <c r="O2763" s="1">
        <v>0</v>
      </c>
      <c r="P2763" s="1" t="s">
        <v>301</v>
      </c>
      <c r="Q2763" s="1" t="s">
        <v>268</v>
      </c>
      <c r="R2763" s="1" t="s">
        <v>19466</v>
      </c>
      <c r="S2763" s="1" t="s">
        <v>19467</v>
      </c>
      <c r="T2763" s="1" t="s">
        <v>19448</v>
      </c>
      <c r="U2763" s="1" t="s">
        <v>19468</v>
      </c>
      <c r="V2763" s="1">
        <v>1</v>
      </c>
      <c r="W2763" s="1">
        <v>1</v>
      </c>
      <c r="X2763" s="1">
        <v>1</v>
      </c>
      <c r="Y2763" s="1">
        <v>0</v>
      </c>
      <c r="Z2763" s="1">
        <v>1</v>
      </c>
      <c r="AA2763" s="1">
        <v>2</v>
      </c>
      <c r="AB2763" s="1">
        <v>2</v>
      </c>
      <c r="AC2763" s="1">
        <v>2</v>
      </c>
      <c r="AD2763" s="1" t="s">
        <v>109</v>
      </c>
      <c r="AE2763" s="1" t="s">
        <v>109</v>
      </c>
      <c r="AF2763" s="1" t="s">
        <v>109</v>
      </c>
      <c r="AG2763" s="1" t="s">
        <v>109</v>
      </c>
      <c r="AH2763" s="1" t="s">
        <v>109</v>
      </c>
      <c r="AI2763" s="1" t="s">
        <v>109</v>
      </c>
      <c r="AJ2763" s="1">
        <v>2</v>
      </c>
      <c r="AK2763" s="1">
        <v>2</v>
      </c>
      <c r="AL2763" s="1">
        <v>2</v>
      </c>
      <c r="AM2763" s="1" t="s">
        <v>109</v>
      </c>
      <c r="AN2763" s="1" t="s">
        <v>109</v>
      </c>
      <c r="AO2763" s="1" t="s">
        <v>109</v>
      </c>
      <c r="AP2763" s="1"/>
      <c r="AQ2763" s="1">
        <v>2</v>
      </c>
      <c r="AR2763" s="1"/>
      <c r="AS2763" s="1"/>
      <c r="AT2763" s="1">
        <v>0</v>
      </c>
      <c r="AU2763" s="1">
        <v>0</v>
      </c>
      <c r="AV2763" s="1">
        <v>0</v>
      </c>
      <c r="AW2763" s="1">
        <v>0</v>
      </c>
      <c r="AX2763" s="1">
        <v>1</v>
      </c>
      <c r="AY2763" s="1">
        <v>0</v>
      </c>
      <c r="AZ2763" s="1">
        <v>0</v>
      </c>
      <c r="BA2763" s="1">
        <v>0</v>
      </c>
      <c r="BB2763" s="1">
        <v>0</v>
      </c>
      <c r="BC2763" s="1">
        <v>0</v>
      </c>
      <c r="BD2763" s="1">
        <v>0</v>
      </c>
      <c r="BE2763" s="1">
        <v>0</v>
      </c>
      <c r="BF2763" s="1">
        <v>0</v>
      </c>
      <c r="BG2763" s="1">
        <v>0</v>
      </c>
      <c r="BH2763" s="1">
        <v>0</v>
      </c>
      <c r="BI2763" s="1">
        <v>0</v>
      </c>
      <c r="BJ2763" s="1">
        <v>0</v>
      </c>
      <c r="BK2763" s="1">
        <v>0</v>
      </c>
      <c r="BL2763" s="1">
        <v>0</v>
      </c>
      <c r="BM2763" s="1">
        <v>0</v>
      </c>
      <c r="BN2763" s="1">
        <v>0</v>
      </c>
      <c r="BO2763" s="1">
        <v>0</v>
      </c>
      <c r="BP2763" s="1">
        <v>0</v>
      </c>
      <c r="BQ2763" s="1">
        <v>0</v>
      </c>
      <c r="BR2763" s="1">
        <v>0</v>
      </c>
      <c r="BS2763" s="1" t="s">
        <v>109</v>
      </c>
      <c r="BT2763" s="1">
        <v>4856</v>
      </c>
      <c r="BU2763" s="1" t="s">
        <v>109</v>
      </c>
      <c r="BV2763" s="1"/>
      <c r="BW2763" s="1"/>
      <c r="BX2763" s="1"/>
      <c r="BY2763" s="1"/>
      <c r="BZ2763" s="1">
        <v>0</v>
      </c>
      <c r="CA2763" s="1">
        <v>2</v>
      </c>
      <c r="CB2763" s="1">
        <v>2</v>
      </c>
      <c r="CC2763" s="1" t="s">
        <v>109</v>
      </c>
      <c r="CD2763" s="1" t="s">
        <v>109</v>
      </c>
      <c r="CE2763" s="1" t="s">
        <v>109</v>
      </c>
      <c r="CF2763" s="1" t="s">
        <v>109</v>
      </c>
      <c r="CG2763" s="1" t="s">
        <v>109</v>
      </c>
      <c r="CH2763" s="1" t="s">
        <v>109</v>
      </c>
      <c r="CI2763" s="1" t="s">
        <v>109</v>
      </c>
      <c r="CJ2763" s="1" t="s">
        <v>109</v>
      </c>
      <c r="CK2763" s="1"/>
      <c r="CL2763" s="1">
        <v>0</v>
      </c>
      <c r="CM2763" s="1">
        <v>0</v>
      </c>
      <c r="CN2763" s="1">
        <v>0</v>
      </c>
    </row>
    <row r="2764" spans="1:92" ht="14.25" customHeight="1" x14ac:dyDescent="0.15">
      <c r="A2764" s="1" t="s">
        <v>19469</v>
      </c>
      <c r="B2764" s="1" t="s">
        <v>189</v>
      </c>
      <c r="C2764" s="1"/>
      <c r="D2764" s="1" t="s">
        <v>16074</v>
      </c>
      <c r="E2764" s="1" t="s">
        <v>19470</v>
      </c>
      <c r="F2764" s="1" t="s">
        <v>98</v>
      </c>
      <c r="G2764" s="1" t="s">
        <v>19465</v>
      </c>
      <c r="H2764" s="1">
        <v>0</v>
      </c>
      <c r="I2764" s="1" t="s">
        <v>100</v>
      </c>
      <c r="J2764" s="1"/>
      <c r="K2764" s="1"/>
      <c r="L2764" s="1" t="s">
        <v>716</v>
      </c>
      <c r="M2764" s="1" t="s">
        <v>408</v>
      </c>
      <c r="N2764" s="1">
        <v>0</v>
      </c>
      <c r="O2764" s="1">
        <v>0</v>
      </c>
      <c r="P2764" s="1" t="s">
        <v>301</v>
      </c>
      <c r="Q2764" s="1" t="s">
        <v>268</v>
      </c>
      <c r="R2764" s="1" t="s">
        <v>19471</v>
      </c>
      <c r="S2764" s="1" t="s">
        <v>19472</v>
      </c>
      <c r="T2764" s="1" t="s">
        <v>19448</v>
      </c>
      <c r="U2764" s="1" t="s">
        <v>19473</v>
      </c>
      <c r="V2764" s="1">
        <v>1</v>
      </c>
      <c r="W2764" s="1">
        <v>1</v>
      </c>
      <c r="X2764" s="1">
        <v>1</v>
      </c>
      <c r="Y2764" s="1">
        <v>0</v>
      </c>
      <c r="Z2764" s="1">
        <v>1</v>
      </c>
      <c r="AA2764" s="1">
        <v>5</v>
      </c>
      <c r="AB2764" s="1">
        <v>5</v>
      </c>
      <c r="AC2764" s="1">
        <v>5</v>
      </c>
      <c r="AD2764" s="1" t="s">
        <v>109</v>
      </c>
      <c r="AE2764" s="1" t="s">
        <v>109</v>
      </c>
      <c r="AF2764" s="1" t="s">
        <v>109</v>
      </c>
      <c r="AG2764" s="1" t="s">
        <v>109</v>
      </c>
      <c r="AH2764" s="1" t="s">
        <v>109</v>
      </c>
      <c r="AI2764" s="1" t="s">
        <v>109</v>
      </c>
      <c r="AJ2764" s="1">
        <v>5</v>
      </c>
      <c r="AK2764" s="1">
        <v>5</v>
      </c>
      <c r="AL2764" s="1">
        <v>5</v>
      </c>
      <c r="AM2764" s="1" t="s">
        <v>109</v>
      </c>
      <c r="AN2764" s="1" t="s">
        <v>109</v>
      </c>
      <c r="AO2764" s="1" t="s">
        <v>109</v>
      </c>
      <c r="AP2764" s="1"/>
      <c r="AQ2764" s="1">
        <v>5</v>
      </c>
      <c r="AR2764" s="1"/>
      <c r="AS2764" s="1"/>
      <c r="AT2764" s="1">
        <v>0</v>
      </c>
      <c r="AU2764" s="1">
        <v>0</v>
      </c>
      <c r="AV2764" s="1">
        <v>0</v>
      </c>
      <c r="AW2764" s="1">
        <v>0</v>
      </c>
      <c r="AX2764" s="1">
        <v>1</v>
      </c>
      <c r="AY2764" s="1">
        <v>0</v>
      </c>
      <c r="AZ2764" s="1">
        <v>0</v>
      </c>
      <c r="BA2764" s="1">
        <v>0</v>
      </c>
      <c r="BB2764" s="1">
        <v>0</v>
      </c>
      <c r="BC2764" s="1">
        <v>0</v>
      </c>
      <c r="BD2764" s="1">
        <v>0</v>
      </c>
      <c r="BE2764" s="1">
        <v>0</v>
      </c>
      <c r="BF2764" s="1">
        <v>0</v>
      </c>
      <c r="BG2764" s="1">
        <v>0</v>
      </c>
      <c r="BH2764" s="1">
        <v>0</v>
      </c>
      <c r="BI2764" s="1">
        <v>0</v>
      </c>
      <c r="BJ2764" s="1">
        <v>0</v>
      </c>
      <c r="BK2764" s="1">
        <v>0</v>
      </c>
      <c r="BL2764" s="1">
        <v>0</v>
      </c>
      <c r="BM2764" s="1">
        <v>0</v>
      </c>
      <c r="BN2764" s="1">
        <v>0</v>
      </c>
      <c r="BO2764" s="1">
        <v>0</v>
      </c>
      <c r="BP2764" s="1">
        <v>0</v>
      </c>
      <c r="BQ2764" s="1">
        <v>0</v>
      </c>
      <c r="BR2764" s="1">
        <v>0</v>
      </c>
      <c r="BS2764" s="1" t="s">
        <v>109</v>
      </c>
      <c r="BT2764" s="1">
        <v>4857</v>
      </c>
      <c r="BU2764" s="1" t="s">
        <v>109</v>
      </c>
      <c r="BV2764" s="1"/>
      <c r="BW2764" s="1"/>
      <c r="BX2764" s="1"/>
      <c r="BY2764" s="1"/>
      <c r="BZ2764" s="1">
        <v>0</v>
      </c>
      <c r="CA2764" s="1">
        <v>5</v>
      </c>
      <c r="CB2764" s="1">
        <v>5</v>
      </c>
      <c r="CC2764" s="1" t="s">
        <v>109</v>
      </c>
      <c r="CD2764" s="1" t="s">
        <v>109</v>
      </c>
      <c r="CE2764" s="1" t="s">
        <v>109</v>
      </c>
      <c r="CF2764" s="1" t="s">
        <v>109</v>
      </c>
      <c r="CG2764" s="1" t="s">
        <v>109</v>
      </c>
      <c r="CH2764" s="1" t="s">
        <v>109</v>
      </c>
      <c r="CI2764" s="1" t="s">
        <v>109</v>
      </c>
      <c r="CJ2764" s="1" t="s">
        <v>109</v>
      </c>
      <c r="CK2764" s="1"/>
      <c r="CL2764" s="1">
        <v>0</v>
      </c>
      <c r="CM2764" s="1">
        <v>0</v>
      </c>
      <c r="CN2764" s="1">
        <v>0</v>
      </c>
    </row>
    <row r="2765" spans="1:92" ht="14.25" customHeight="1" x14ac:dyDescent="0.15">
      <c r="A2765" s="1" t="s">
        <v>19474</v>
      </c>
      <c r="B2765" s="1" t="s">
        <v>674</v>
      </c>
      <c r="C2765" s="1" t="s">
        <v>675</v>
      </c>
      <c r="D2765" s="1"/>
      <c r="E2765" s="1" t="s">
        <v>19475</v>
      </c>
      <c r="F2765" s="1" t="s">
        <v>98</v>
      </c>
      <c r="G2765" s="1" t="s">
        <v>3820</v>
      </c>
      <c r="H2765" s="1">
        <v>0</v>
      </c>
      <c r="I2765" s="1" t="s">
        <v>161</v>
      </c>
      <c r="J2765" s="1"/>
      <c r="K2765" s="1"/>
      <c r="L2765" s="1" t="s">
        <v>506</v>
      </c>
      <c r="M2765" s="1" t="s">
        <v>125</v>
      </c>
      <c r="N2765" s="1">
        <v>0</v>
      </c>
      <c r="O2765" s="1">
        <v>0</v>
      </c>
      <c r="P2765" s="1" t="s">
        <v>507</v>
      </c>
      <c r="Q2765" s="1" t="s">
        <v>268</v>
      </c>
      <c r="R2765" s="1" t="s">
        <v>19476</v>
      </c>
      <c r="S2765" s="1" t="s">
        <v>19477</v>
      </c>
      <c r="T2765" s="1" t="s">
        <v>19448</v>
      </c>
      <c r="U2765" s="1" t="s">
        <v>19478</v>
      </c>
      <c r="V2765" s="1">
        <v>1</v>
      </c>
      <c r="W2765" s="1">
        <v>1</v>
      </c>
      <c r="X2765" s="1">
        <v>1</v>
      </c>
      <c r="Y2765" s="1">
        <v>0</v>
      </c>
      <c r="Z2765" s="1">
        <v>1</v>
      </c>
      <c r="AA2765" s="1">
        <v>3</v>
      </c>
      <c r="AB2765" s="1">
        <v>3</v>
      </c>
      <c r="AC2765" s="1" t="s">
        <v>109</v>
      </c>
      <c r="AD2765" s="1" t="s">
        <v>109</v>
      </c>
      <c r="AE2765" s="1">
        <v>3</v>
      </c>
      <c r="AF2765" s="1">
        <v>3</v>
      </c>
      <c r="AG2765" s="1" t="s">
        <v>109</v>
      </c>
      <c r="AH2765" s="1" t="s">
        <v>109</v>
      </c>
      <c r="AI2765" s="1" t="s">
        <v>109</v>
      </c>
      <c r="AJ2765" s="1" t="s">
        <v>109</v>
      </c>
      <c r="AK2765" s="1" t="s">
        <v>109</v>
      </c>
      <c r="AL2765" s="1" t="s">
        <v>109</v>
      </c>
      <c r="AM2765" s="1" t="s">
        <v>109</v>
      </c>
      <c r="AN2765" s="1" t="s">
        <v>109</v>
      </c>
      <c r="AO2765" s="1" t="s">
        <v>109</v>
      </c>
      <c r="AP2765" s="1"/>
      <c r="AQ2765" s="1">
        <v>3</v>
      </c>
      <c r="AR2765" s="1"/>
      <c r="AS2765" s="1"/>
      <c r="AT2765" s="1">
        <v>0</v>
      </c>
      <c r="AU2765" s="1">
        <v>0</v>
      </c>
      <c r="AV2765" s="1">
        <v>0</v>
      </c>
      <c r="AW2765" s="1">
        <v>0</v>
      </c>
      <c r="AX2765" s="1">
        <v>0</v>
      </c>
      <c r="AY2765" s="1">
        <v>0</v>
      </c>
      <c r="AZ2765" s="1">
        <v>0</v>
      </c>
      <c r="BA2765" s="1">
        <v>0</v>
      </c>
      <c r="BB2765" s="1">
        <v>0</v>
      </c>
      <c r="BC2765" s="1">
        <v>0</v>
      </c>
      <c r="BD2765" s="1">
        <v>0</v>
      </c>
      <c r="BE2765" s="1">
        <v>0</v>
      </c>
      <c r="BF2765" s="1">
        <v>0</v>
      </c>
      <c r="BG2765" s="1">
        <v>0</v>
      </c>
      <c r="BH2765" s="1">
        <v>0</v>
      </c>
      <c r="BI2765" s="1">
        <v>0</v>
      </c>
      <c r="BJ2765" s="1">
        <v>0</v>
      </c>
      <c r="BK2765" s="1">
        <v>0</v>
      </c>
      <c r="BL2765" s="1">
        <v>0</v>
      </c>
      <c r="BM2765" s="1">
        <v>0</v>
      </c>
      <c r="BN2765" s="1">
        <v>0</v>
      </c>
      <c r="BO2765" s="1">
        <v>0</v>
      </c>
      <c r="BP2765" s="1">
        <v>0</v>
      </c>
      <c r="BQ2765" s="1">
        <v>0</v>
      </c>
      <c r="BR2765" s="1">
        <v>0</v>
      </c>
      <c r="BS2765" s="1" t="s">
        <v>109</v>
      </c>
      <c r="BT2765" s="1">
        <v>4858</v>
      </c>
      <c r="BU2765" s="1" t="s">
        <v>109</v>
      </c>
      <c r="BV2765" s="1"/>
      <c r="BW2765" s="1"/>
      <c r="BX2765" s="1"/>
      <c r="BY2765" s="1"/>
      <c r="BZ2765" s="1">
        <v>0</v>
      </c>
      <c r="CA2765" s="1" t="s">
        <v>109</v>
      </c>
      <c r="CB2765" s="1" t="s">
        <v>109</v>
      </c>
      <c r="CC2765" s="1" t="s">
        <v>109</v>
      </c>
      <c r="CD2765" s="1" t="s">
        <v>109</v>
      </c>
      <c r="CE2765" s="1" t="s">
        <v>109</v>
      </c>
      <c r="CF2765" s="1" t="s">
        <v>109</v>
      </c>
      <c r="CG2765" s="1" t="s">
        <v>109</v>
      </c>
      <c r="CH2765" s="1" t="s">
        <v>109</v>
      </c>
      <c r="CI2765" s="1" t="s">
        <v>109</v>
      </c>
      <c r="CJ2765" s="1">
        <v>3</v>
      </c>
      <c r="CK2765" s="1"/>
      <c r="CL2765" s="1">
        <v>0</v>
      </c>
      <c r="CM2765" s="1">
        <v>0</v>
      </c>
      <c r="CN2765" s="1">
        <v>0</v>
      </c>
    </row>
    <row r="2766" spans="1:92" ht="14.25" customHeight="1" x14ac:dyDescent="0.15">
      <c r="A2766" s="1" t="s">
        <v>19479</v>
      </c>
      <c r="B2766" s="1" t="s">
        <v>189</v>
      </c>
      <c r="C2766" s="1"/>
      <c r="D2766" s="1"/>
      <c r="E2766" s="1" t="s">
        <v>19480</v>
      </c>
      <c r="F2766" s="1" t="s">
        <v>98</v>
      </c>
      <c r="G2766" s="1" t="s">
        <v>19481</v>
      </c>
      <c r="H2766" s="1">
        <v>0</v>
      </c>
      <c r="I2766" s="1" t="s">
        <v>235</v>
      </c>
      <c r="J2766" s="1"/>
      <c r="K2766" s="1"/>
      <c r="L2766" s="1" t="s">
        <v>236</v>
      </c>
      <c r="M2766" s="1" t="s">
        <v>3042</v>
      </c>
      <c r="N2766" s="1">
        <v>0</v>
      </c>
      <c r="O2766" s="1">
        <v>0</v>
      </c>
      <c r="P2766" s="1"/>
      <c r="Q2766" s="1"/>
      <c r="R2766" s="1" t="s">
        <v>19482</v>
      </c>
      <c r="S2766" s="1" t="s">
        <v>19483</v>
      </c>
      <c r="T2766" s="1" t="s">
        <v>19448</v>
      </c>
      <c r="U2766" s="1" t="s">
        <v>19484</v>
      </c>
      <c r="V2766" s="1">
        <v>1</v>
      </c>
      <c r="W2766" s="1">
        <v>1</v>
      </c>
      <c r="X2766" s="1">
        <v>1</v>
      </c>
      <c r="Y2766" s="1">
        <v>0</v>
      </c>
      <c r="Z2766" s="1">
        <v>0</v>
      </c>
      <c r="AA2766" s="1" t="s">
        <v>109</v>
      </c>
      <c r="AB2766" s="1" t="s">
        <v>109</v>
      </c>
      <c r="AC2766" s="1" t="s">
        <v>109</v>
      </c>
      <c r="AD2766" s="1" t="s">
        <v>109</v>
      </c>
      <c r="AE2766" s="1" t="s">
        <v>109</v>
      </c>
      <c r="AF2766" s="1">
        <v>2</v>
      </c>
      <c r="AG2766" s="1" t="s">
        <v>109</v>
      </c>
      <c r="AH2766" s="1">
        <v>2</v>
      </c>
      <c r="AI2766" s="1" t="s">
        <v>109</v>
      </c>
      <c r="AJ2766" s="1" t="s">
        <v>109</v>
      </c>
      <c r="AK2766" s="1" t="s">
        <v>109</v>
      </c>
      <c r="AL2766" s="1" t="s">
        <v>109</v>
      </c>
      <c r="AM2766" s="1" t="s">
        <v>109</v>
      </c>
      <c r="AN2766" s="1">
        <v>2</v>
      </c>
      <c r="AO2766" s="1" t="s">
        <v>109</v>
      </c>
      <c r="AP2766" s="1"/>
      <c r="AQ2766" s="1">
        <v>2</v>
      </c>
      <c r="AR2766" s="1"/>
      <c r="AS2766" s="1"/>
      <c r="AT2766" s="1">
        <v>0</v>
      </c>
      <c r="AU2766" s="1">
        <v>0</v>
      </c>
      <c r="AV2766" s="1">
        <v>0</v>
      </c>
      <c r="AW2766" s="1">
        <v>0</v>
      </c>
      <c r="AX2766" s="1">
        <v>0</v>
      </c>
      <c r="AY2766" s="1">
        <v>0</v>
      </c>
      <c r="AZ2766" s="1">
        <v>0</v>
      </c>
      <c r="BA2766" s="1">
        <v>0</v>
      </c>
      <c r="BB2766" s="1">
        <v>0</v>
      </c>
      <c r="BC2766" s="1">
        <v>0</v>
      </c>
      <c r="BD2766" s="1">
        <v>0</v>
      </c>
      <c r="BE2766" s="1">
        <v>0</v>
      </c>
      <c r="BF2766" s="1">
        <v>0</v>
      </c>
      <c r="BG2766" s="1">
        <v>0</v>
      </c>
      <c r="BH2766" s="1">
        <v>0</v>
      </c>
      <c r="BI2766" s="1">
        <v>0</v>
      </c>
      <c r="BJ2766" s="1">
        <v>0</v>
      </c>
      <c r="BK2766" s="1">
        <v>0</v>
      </c>
      <c r="BL2766" s="1">
        <v>0</v>
      </c>
      <c r="BM2766" s="1">
        <v>0</v>
      </c>
      <c r="BN2766" s="1">
        <v>0</v>
      </c>
      <c r="BO2766" s="1">
        <v>0</v>
      </c>
      <c r="BP2766" s="1">
        <v>0</v>
      </c>
      <c r="BQ2766" s="1">
        <v>0</v>
      </c>
      <c r="BR2766" s="1">
        <v>0</v>
      </c>
      <c r="BS2766" s="1" t="s">
        <v>109</v>
      </c>
      <c r="BT2766" s="1">
        <v>4859</v>
      </c>
      <c r="BU2766" s="1" t="s">
        <v>109</v>
      </c>
      <c r="BV2766" s="1"/>
      <c r="BW2766" s="1"/>
      <c r="BX2766" s="1"/>
      <c r="BY2766" s="1"/>
      <c r="BZ2766" s="1">
        <v>0</v>
      </c>
      <c r="CA2766" s="1" t="s">
        <v>109</v>
      </c>
      <c r="CB2766" s="1" t="s">
        <v>109</v>
      </c>
      <c r="CC2766" s="1" t="s">
        <v>109</v>
      </c>
      <c r="CD2766" s="1" t="s">
        <v>109</v>
      </c>
      <c r="CE2766" s="1" t="s">
        <v>109</v>
      </c>
      <c r="CF2766" s="1" t="s">
        <v>109</v>
      </c>
      <c r="CG2766" s="1" t="s">
        <v>109</v>
      </c>
      <c r="CH2766" s="1" t="s">
        <v>109</v>
      </c>
      <c r="CI2766" s="1" t="s">
        <v>109</v>
      </c>
      <c r="CJ2766" s="1" t="s">
        <v>109</v>
      </c>
      <c r="CK2766" s="1"/>
      <c r="CL2766" s="1">
        <v>0</v>
      </c>
      <c r="CM2766" s="1">
        <v>0</v>
      </c>
      <c r="CN2766" s="1">
        <v>0</v>
      </c>
    </row>
    <row r="2767" spans="1:92" ht="14.25" customHeight="1" x14ac:dyDescent="0.15">
      <c r="A2767" s="1" t="s">
        <v>19485</v>
      </c>
      <c r="B2767" s="1" t="s">
        <v>189</v>
      </c>
      <c r="C2767" s="1"/>
      <c r="D2767" s="1" t="s">
        <v>16074</v>
      </c>
      <c r="E2767" s="1" t="s">
        <v>19486</v>
      </c>
      <c r="F2767" s="1" t="s">
        <v>98</v>
      </c>
      <c r="G2767" s="1" t="s">
        <v>19487</v>
      </c>
      <c r="H2767" s="1">
        <v>0</v>
      </c>
      <c r="I2767" s="1" t="s">
        <v>16552</v>
      </c>
      <c r="J2767" s="1"/>
      <c r="K2767" s="1"/>
      <c r="L2767" s="1" t="s">
        <v>1391</v>
      </c>
      <c r="M2767" s="1" t="s">
        <v>3042</v>
      </c>
      <c r="N2767" s="1">
        <v>0</v>
      </c>
      <c r="O2767" s="1">
        <v>0</v>
      </c>
      <c r="P2767" s="1" t="s">
        <v>301</v>
      </c>
      <c r="Q2767" s="1" t="s">
        <v>268</v>
      </c>
      <c r="R2767" s="1" t="s">
        <v>19488</v>
      </c>
      <c r="S2767" s="1" t="s">
        <v>19489</v>
      </c>
      <c r="T2767" s="1" t="s">
        <v>19448</v>
      </c>
      <c r="U2767" s="1" t="s">
        <v>19490</v>
      </c>
      <c r="V2767" s="1">
        <v>1</v>
      </c>
      <c r="W2767" s="1">
        <v>1</v>
      </c>
      <c r="X2767" s="1">
        <v>1</v>
      </c>
      <c r="Y2767" s="1">
        <v>0</v>
      </c>
      <c r="Z2767" s="1">
        <v>0</v>
      </c>
      <c r="AA2767" s="1" t="s">
        <v>109</v>
      </c>
      <c r="AB2767" s="1" t="s">
        <v>109</v>
      </c>
      <c r="AC2767" s="1">
        <v>3</v>
      </c>
      <c r="AD2767" s="1" t="s">
        <v>109</v>
      </c>
      <c r="AE2767" s="1" t="s">
        <v>109</v>
      </c>
      <c r="AF2767" s="1">
        <v>2</v>
      </c>
      <c r="AG2767" s="1">
        <v>2</v>
      </c>
      <c r="AH2767" s="1" t="s">
        <v>109</v>
      </c>
      <c r="AI2767" s="1" t="s">
        <v>109</v>
      </c>
      <c r="AJ2767" s="1" t="s">
        <v>109</v>
      </c>
      <c r="AK2767" s="1" t="s">
        <v>109</v>
      </c>
      <c r="AL2767" s="1">
        <v>3</v>
      </c>
      <c r="AM2767" s="1" t="s">
        <v>109</v>
      </c>
      <c r="AN2767" s="1">
        <v>2</v>
      </c>
      <c r="AO2767" s="1" t="s">
        <v>109</v>
      </c>
      <c r="AP2767" s="1"/>
      <c r="AQ2767" s="1">
        <v>3</v>
      </c>
      <c r="AR2767" s="1"/>
      <c r="AS2767" s="1"/>
      <c r="AT2767" s="1">
        <v>0</v>
      </c>
      <c r="AU2767" s="1">
        <v>0</v>
      </c>
      <c r="AV2767" s="1">
        <v>0</v>
      </c>
      <c r="AW2767" s="1">
        <v>0</v>
      </c>
      <c r="AX2767" s="1">
        <v>1</v>
      </c>
      <c r="AY2767" s="1">
        <v>0</v>
      </c>
      <c r="AZ2767" s="1">
        <v>0</v>
      </c>
      <c r="BA2767" s="1">
        <v>0</v>
      </c>
      <c r="BB2767" s="1">
        <v>0</v>
      </c>
      <c r="BC2767" s="1">
        <v>0</v>
      </c>
      <c r="BD2767" s="1">
        <v>0</v>
      </c>
      <c r="BE2767" s="1">
        <v>0</v>
      </c>
      <c r="BF2767" s="1">
        <v>0</v>
      </c>
      <c r="BG2767" s="1">
        <v>0</v>
      </c>
      <c r="BH2767" s="1">
        <v>0</v>
      </c>
      <c r="BI2767" s="1">
        <v>0</v>
      </c>
      <c r="BJ2767" s="1">
        <v>0</v>
      </c>
      <c r="BK2767" s="1">
        <v>0</v>
      </c>
      <c r="BL2767" s="1">
        <v>0</v>
      </c>
      <c r="BM2767" s="1">
        <v>0</v>
      </c>
      <c r="BN2767" s="1">
        <v>0</v>
      </c>
      <c r="BO2767" s="1">
        <v>0</v>
      </c>
      <c r="BP2767" s="1">
        <v>0</v>
      </c>
      <c r="BQ2767" s="1">
        <v>0</v>
      </c>
      <c r="BR2767" s="1">
        <v>0</v>
      </c>
      <c r="BS2767" s="1" t="s">
        <v>109</v>
      </c>
      <c r="BT2767" s="1">
        <v>4860</v>
      </c>
      <c r="BU2767" s="1" t="s">
        <v>109</v>
      </c>
      <c r="BV2767" s="1"/>
      <c r="BW2767" s="1"/>
      <c r="BX2767" s="1"/>
      <c r="BY2767" s="1"/>
      <c r="BZ2767" s="1">
        <v>0</v>
      </c>
      <c r="CA2767" s="1" t="s">
        <v>109</v>
      </c>
      <c r="CB2767" s="1" t="s">
        <v>109</v>
      </c>
      <c r="CC2767" s="1" t="s">
        <v>109</v>
      </c>
      <c r="CD2767" s="1" t="s">
        <v>109</v>
      </c>
      <c r="CE2767" s="1" t="s">
        <v>109</v>
      </c>
      <c r="CF2767" s="1" t="s">
        <v>109</v>
      </c>
      <c r="CG2767" s="1" t="s">
        <v>109</v>
      </c>
      <c r="CH2767" s="1" t="s">
        <v>109</v>
      </c>
      <c r="CI2767" s="1" t="s">
        <v>109</v>
      </c>
      <c r="CJ2767" s="1" t="s">
        <v>109</v>
      </c>
      <c r="CK2767" s="1"/>
      <c r="CL2767" s="1">
        <v>0</v>
      </c>
      <c r="CM2767" s="1">
        <v>0</v>
      </c>
      <c r="CN2767" s="1">
        <v>0</v>
      </c>
    </row>
    <row r="2768" spans="1:92" ht="14.25" customHeight="1" x14ac:dyDescent="0.15">
      <c r="A2768" s="1" t="s">
        <v>19491</v>
      </c>
      <c r="B2768" s="1" t="s">
        <v>189</v>
      </c>
      <c r="C2768" s="1"/>
      <c r="D2768" s="1"/>
      <c r="E2768" s="1" t="s">
        <v>19492</v>
      </c>
      <c r="F2768" s="1" t="s">
        <v>1963</v>
      </c>
      <c r="G2768" s="1" t="s">
        <v>141</v>
      </c>
      <c r="H2768" s="1">
        <v>0</v>
      </c>
      <c r="I2768" s="1" t="s">
        <v>235</v>
      </c>
      <c r="J2768" s="1"/>
      <c r="K2768" s="1"/>
      <c r="L2768" s="1" t="s">
        <v>236</v>
      </c>
      <c r="M2768" s="1" t="s">
        <v>144</v>
      </c>
      <c r="N2768" s="1">
        <v>0</v>
      </c>
      <c r="O2768" s="1">
        <v>0</v>
      </c>
      <c r="P2768" s="1"/>
      <c r="Q2768" s="1"/>
      <c r="R2768" s="1" t="s">
        <v>19493</v>
      </c>
      <c r="S2768" s="1" t="s">
        <v>19494</v>
      </c>
      <c r="T2768" s="1" t="s">
        <v>19448</v>
      </c>
      <c r="U2768" s="1" t="s">
        <v>19495</v>
      </c>
      <c r="V2768" s="1">
        <v>1</v>
      </c>
      <c r="W2768" s="1">
        <v>1</v>
      </c>
      <c r="X2768" s="1">
        <v>0</v>
      </c>
      <c r="Y2768" s="1">
        <v>0</v>
      </c>
      <c r="Z2768" s="1">
        <v>0</v>
      </c>
      <c r="AA2768" s="1" t="s">
        <v>109</v>
      </c>
      <c r="AB2768" s="1" t="s">
        <v>109</v>
      </c>
      <c r="AC2768" s="1" t="s">
        <v>109</v>
      </c>
      <c r="AD2768" s="1" t="s">
        <v>109</v>
      </c>
      <c r="AE2768" s="1" t="s">
        <v>109</v>
      </c>
      <c r="AF2768" s="1">
        <v>1</v>
      </c>
      <c r="AG2768" s="1" t="s">
        <v>109</v>
      </c>
      <c r="AH2768" s="1" t="s">
        <v>109</v>
      </c>
      <c r="AI2768" s="1" t="s">
        <v>109</v>
      </c>
      <c r="AJ2768" s="1" t="s">
        <v>109</v>
      </c>
      <c r="AK2768" s="1" t="s">
        <v>109</v>
      </c>
      <c r="AL2768" s="1" t="s">
        <v>109</v>
      </c>
      <c r="AM2768" s="1" t="s">
        <v>109</v>
      </c>
      <c r="AN2768" s="1">
        <v>1</v>
      </c>
      <c r="AO2768" s="1" t="s">
        <v>109</v>
      </c>
      <c r="AP2768" s="1"/>
      <c r="AQ2768" s="1">
        <v>1</v>
      </c>
      <c r="AR2768" s="1"/>
      <c r="AS2768" s="1"/>
      <c r="AT2768" s="1">
        <v>0</v>
      </c>
      <c r="AU2768" s="1">
        <v>0</v>
      </c>
      <c r="AV2768" s="1">
        <v>0</v>
      </c>
      <c r="AW2768" s="1">
        <v>0</v>
      </c>
      <c r="AX2768" s="1">
        <v>0</v>
      </c>
      <c r="AY2768" s="1">
        <v>0</v>
      </c>
      <c r="AZ2768" s="1">
        <v>0</v>
      </c>
      <c r="BA2768" s="1">
        <v>0</v>
      </c>
      <c r="BB2768" s="1">
        <v>0</v>
      </c>
      <c r="BC2768" s="1">
        <v>0</v>
      </c>
      <c r="BD2768" s="1">
        <v>0</v>
      </c>
      <c r="BE2768" s="1">
        <v>0</v>
      </c>
      <c r="BF2768" s="1">
        <v>0</v>
      </c>
      <c r="BG2768" s="1">
        <v>0</v>
      </c>
      <c r="BH2768" s="1">
        <v>0</v>
      </c>
      <c r="BI2768" s="1">
        <v>0</v>
      </c>
      <c r="BJ2768" s="1">
        <v>0</v>
      </c>
      <c r="BK2768" s="1">
        <v>0</v>
      </c>
      <c r="BL2768" s="1">
        <v>0</v>
      </c>
      <c r="BM2768" s="1">
        <v>0</v>
      </c>
      <c r="BN2768" s="1">
        <v>0</v>
      </c>
      <c r="BO2768" s="1">
        <v>0</v>
      </c>
      <c r="BP2768" s="1">
        <v>0</v>
      </c>
      <c r="BQ2768" s="1">
        <v>0</v>
      </c>
      <c r="BR2768" s="1">
        <v>0</v>
      </c>
      <c r="BS2768" s="1" t="s">
        <v>109</v>
      </c>
      <c r="BT2768" s="1">
        <v>4861</v>
      </c>
      <c r="BU2768" s="1" t="s">
        <v>109</v>
      </c>
      <c r="BV2768" s="1"/>
      <c r="BW2768" s="1"/>
      <c r="BX2768" s="1"/>
      <c r="BY2768" s="1"/>
      <c r="BZ2768" s="1">
        <v>0</v>
      </c>
      <c r="CA2768" s="1" t="s">
        <v>109</v>
      </c>
      <c r="CB2768" s="1" t="s">
        <v>109</v>
      </c>
      <c r="CC2768" s="1" t="s">
        <v>109</v>
      </c>
      <c r="CD2768" s="1" t="s">
        <v>109</v>
      </c>
      <c r="CE2768" s="1" t="s">
        <v>109</v>
      </c>
      <c r="CF2768" s="1" t="s">
        <v>109</v>
      </c>
      <c r="CG2768" s="1" t="s">
        <v>109</v>
      </c>
      <c r="CH2768" s="1" t="s">
        <v>109</v>
      </c>
      <c r="CI2768" s="1" t="s">
        <v>109</v>
      </c>
      <c r="CJ2768" s="1" t="s">
        <v>109</v>
      </c>
      <c r="CK2768" s="1"/>
      <c r="CL2768" s="1">
        <v>0</v>
      </c>
      <c r="CM2768" s="1">
        <v>0</v>
      </c>
      <c r="CN2768" s="1">
        <v>0</v>
      </c>
    </row>
    <row r="2769" spans="1:92" ht="14.25" customHeight="1" x14ac:dyDescent="0.15">
      <c r="A2769" s="1" t="s">
        <v>19496</v>
      </c>
      <c r="B2769" s="1" t="s">
        <v>189</v>
      </c>
      <c r="C2769" s="1"/>
      <c r="D2769" s="1"/>
      <c r="E2769" s="1" t="s">
        <v>9809</v>
      </c>
      <c r="F2769" s="1" t="s">
        <v>98</v>
      </c>
      <c r="G2769" s="1" t="s">
        <v>19497</v>
      </c>
      <c r="H2769" s="1">
        <v>1</v>
      </c>
      <c r="I2769" s="1" t="s">
        <v>235</v>
      </c>
      <c r="J2769" s="1"/>
      <c r="K2769" s="1"/>
      <c r="L2769" s="1" t="s">
        <v>236</v>
      </c>
      <c r="M2769" s="1" t="s">
        <v>3042</v>
      </c>
      <c r="N2769" s="1">
        <v>0</v>
      </c>
      <c r="O2769" s="1">
        <v>0</v>
      </c>
      <c r="P2769" s="1"/>
      <c r="Q2769" s="1"/>
      <c r="R2769" s="1" t="s">
        <v>19498</v>
      </c>
      <c r="S2769" s="1" t="s">
        <v>19499</v>
      </c>
      <c r="T2769" s="1" t="s">
        <v>19448</v>
      </c>
      <c r="U2769" s="1" t="s">
        <v>19500</v>
      </c>
      <c r="V2769" s="1">
        <v>1</v>
      </c>
      <c r="W2769" s="1">
        <v>1</v>
      </c>
      <c r="X2769" s="1">
        <v>0</v>
      </c>
      <c r="Y2769" s="1">
        <v>0</v>
      </c>
      <c r="Z2769" s="1">
        <v>0</v>
      </c>
      <c r="AA2769" s="1" t="s">
        <v>109</v>
      </c>
      <c r="AB2769" s="1" t="s">
        <v>109</v>
      </c>
      <c r="AC2769" s="1" t="s">
        <v>109</v>
      </c>
      <c r="AD2769" s="1" t="s">
        <v>109</v>
      </c>
      <c r="AE2769" s="1" t="s">
        <v>109</v>
      </c>
      <c r="AF2769" s="1" t="s">
        <v>109</v>
      </c>
      <c r="AG2769" s="1" t="s">
        <v>109</v>
      </c>
      <c r="AH2769" s="1" t="s">
        <v>109</v>
      </c>
      <c r="AI2769" s="1" t="s">
        <v>109</v>
      </c>
      <c r="AJ2769" s="1" t="s">
        <v>109</v>
      </c>
      <c r="AK2769" s="1" t="s">
        <v>109</v>
      </c>
      <c r="AL2769" s="1" t="s">
        <v>109</v>
      </c>
      <c r="AM2769" s="1" t="s">
        <v>109</v>
      </c>
      <c r="AN2769" s="1">
        <v>3</v>
      </c>
      <c r="AO2769" s="1" t="s">
        <v>109</v>
      </c>
      <c r="AP2769" s="1"/>
      <c r="AQ2769" s="1">
        <v>3</v>
      </c>
      <c r="AR2769" s="1"/>
      <c r="AS2769" s="1"/>
      <c r="AT2769" s="1">
        <v>0</v>
      </c>
      <c r="AU2769" s="1">
        <v>0</v>
      </c>
      <c r="AV2769" s="1">
        <v>0</v>
      </c>
      <c r="AW2769" s="1">
        <v>0</v>
      </c>
      <c r="AX2769" s="1">
        <v>0</v>
      </c>
      <c r="AY2769" s="1">
        <v>0</v>
      </c>
      <c r="AZ2769" s="1">
        <v>0</v>
      </c>
      <c r="BA2769" s="1">
        <v>0</v>
      </c>
      <c r="BB2769" s="1">
        <v>0</v>
      </c>
      <c r="BC2769" s="1">
        <v>0</v>
      </c>
      <c r="BD2769" s="1">
        <v>0</v>
      </c>
      <c r="BE2769" s="1">
        <v>0</v>
      </c>
      <c r="BF2769" s="1">
        <v>0</v>
      </c>
      <c r="BG2769" s="1">
        <v>0</v>
      </c>
      <c r="BH2769" s="1">
        <v>0</v>
      </c>
      <c r="BI2769" s="1">
        <v>0</v>
      </c>
      <c r="BJ2769" s="1">
        <v>0</v>
      </c>
      <c r="BK2769" s="1">
        <v>0</v>
      </c>
      <c r="BL2769" s="1">
        <v>0</v>
      </c>
      <c r="BM2769" s="1">
        <v>0</v>
      </c>
      <c r="BN2769" s="1">
        <v>0</v>
      </c>
      <c r="BO2769" s="1">
        <v>0</v>
      </c>
      <c r="BP2769" s="1">
        <v>0</v>
      </c>
      <c r="BQ2769" s="1">
        <v>0</v>
      </c>
      <c r="BR2769" s="1">
        <v>0</v>
      </c>
      <c r="BS2769" s="1" t="s">
        <v>109</v>
      </c>
      <c r="BT2769" s="1">
        <v>4862</v>
      </c>
      <c r="BU2769" s="1">
        <v>500</v>
      </c>
      <c r="BV2769" s="1"/>
      <c r="BW2769" s="1"/>
      <c r="BX2769" s="1"/>
      <c r="BY2769" s="1"/>
      <c r="BZ2769" s="1">
        <v>0</v>
      </c>
      <c r="CA2769" s="1" t="s">
        <v>109</v>
      </c>
      <c r="CB2769" s="1" t="s">
        <v>109</v>
      </c>
      <c r="CC2769" s="1" t="s">
        <v>109</v>
      </c>
      <c r="CD2769" s="1" t="s">
        <v>109</v>
      </c>
      <c r="CE2769" s="1" t="s">
        <v>109</v>
      </c>
      <c r="CF2769" s="1" t="s">
        <v>109</v>
      </c>
      <c r="CG2769" s="1" t="s">
        <v>109</v>
      </c>
      <c r="CH2769" s="1" t="s">
        <v>109</v>
      </c>
      <c r="CI2769" s="1" t="s">
        <v>109</v>
      </c>
      <c r="CJ2769" s="1" t="s">
        <v>109</v>
      </c>
      <c r="CK2769" s="1"/>
      <c r="CL2769" s="1">
        <v>0</v>
      </c>
      <c r="CM2769" s="1">
        <v>0</v>
      </c>
      <c r="CN2769" s="1">
        <v>0</v>
      </c>
    </row>
    <row r="2770" spans="1:92" ht="14.25" customHeight="1" x14ac:dyDescent="0.15">
      <c r="A2770" s="1" t="s">
        <v>19501</v>
      </c>
      <c r="B2770" s="1" t="s">
        <v>156</v>
      </c>
      <c r="C2770" s="1" t="s">
        <v>834</v>
      </c>
      <c r="D2770" s="1" t="s">
        <v>158</v>
      </c>
      <c r="E2770" s="1" t="s">
        <v>6083</v>
      </c>
      <c r="F2770" s="1" t="s">
        <v>98</v>
      </c>
      <c r="G2770" s="1" t="s">
        <v>141</v>
      </c>
      <c r="H2770" s="1">
        <v>0</v>
      </c>
      <c r="I2770" s="1" t="s">
        <v>915</v>
      </c>
      <c r="J2770" s="1"/>
      <c r="K2770" s="1"/>
      <c r="L2770" s="1" t="s">
        <v>1391</v>
      </c>
      <c r="M2770" s="1" t="s">
        <v>125</v>
      </c>
      <c r="N2770" s="1">
        <v>0</v>
      </c>
      <c r="O2770" s="1">
        <v>0</v>
      </c>
      <c r="P2770" s="1" t="s">
        <v>301</v>
      </c>
      <c r="Q2770" s="1" t="s">
        <v>268</v>
      </c>
      <c r="R2770" s="1" t="s">
        <v>19502</v>
      </c>
      <c r="S2770" s="1" t="s">
        <v>19503</v>
      </c>
      <c r="T2770" s="1" t="s">
        <v>19448</v>
      </c>
      <c r="U2770" s="1" t="s">
        <v>19504</v>
      </c>
      <c r="V2770" s="1">
        <v>1</v>
      </c>
      <c r="W2770" s="1">
        <v>1</v>
      </c>
      <c r="X2770" s="1">
        <v>0</v>
      </c>
      <c r="Y2770" s="1">
        <v>0</v>
      </c>
      <c r="Z2770" s="1">
        <v>0</v>
      </c>
      <c r="AA2770" s="1" t="s">
        <v>109</v>
      </c>
      <c r="AB2770" s="1" t="s">
        <v>109</v>
      </c>
      <c r="AC2770" s="1" t="s">
        <v>109</v>
      </c>
      <c r="AD2770" s="1" t="s">
        <v>109</v>
      </c>
      <c r="AE2770" s="1" t="s">
        <v>109</v>
      </c>
      <c r="AF2770" s="1">
        <v>2</v>
      </c>
      <c r="AG2770" s="1" t="s">
        <v>109</v>
      </c>
      <c r="AH2770" s="1" t="s">
        <v>109</v>
      </c>
      <c r="AI2770" s="1" t="s">
        <v>109</v>
      </c>
      <c r="AJ2770" s="1" t="s">
        <v>109</v>
      </c>
      <c r="AK2770" s="1" t="s">
        <v>109</v>
      </c>
      <c r="AL2770" s="1" t="s">
        <v>109</v>
      </c>
      <c r="AM2770" s="1" t="s">
        <v>109</v>
      </c>
      <c r="AN2770" s="1" t="s">
        <v>109</v>
      </c>
      <c r="AO2770" s="1" t="s">
        <v>109</v>
      </c>
      <c r="AP2770" s="1"/>
      <c r="AQ2770" s="1">
        <v>2</v>
      </c>
      <c r="AR2770" s="1"/>
      <c r="AS2770" s="1"/>
      <c r="AT2770" s="1">
        <v>0</v>
      </c>
      <c r="AU2770" s="1">
        <v>0</v>
      </c>
      <c r="AV2770" s="1">
        <v>0</v>
      </c>
      <c r="AW2770" s="1">
        <v>0</v>
      </c>
      <c r="AX2770" s="1">
        <v>0</v>
      </c>
      <c r="AY2770" s="1">
        <v>0</v>
      </c>
      <c r="AZ2770" s="1">
        <v>0</v>
      </c>
      <c r="BA2770" s="1">
        <v>0</v>
      </c>
      <c r="BB2770" s="1">
        <v>0</v>
      </c>
      <c r="BC2770" s="1">
        <v>0</v>
      </c>
      <c r="BD2770" s="1">
        <v>0</v>
      </c>
      <c r="BE2770" s="1">
        <v>0</v>
      </c>
      <c r="BF2770" s="1">
        <v>0</v>
      </c>
      <c r="BG2770" s="1">
        <v>0</v>
      </c>
      <c r="BH2770" s="1">
        <v>0</v>
      </c>
      <c r="BI2770" s="1">
        <v>0</v>
      </c>
      <c r="BJ2770" s="1">
        <v>0</v>
      </c>
      <c r="BK2770" s="1">
        <v>0</v>
      </c>
      <c r="BL2770" s="1">
        <v>0</v>
      </c>
      <c r="BM2770" s="1">
        <v>1</v>
      </c>
      <c r="BN2770" s="1">
        <v>0</v>
      </c>
      <c r="BO2770" s="1">
        <v>0</v>
      </c>
      <c r="BP2770" s="1">
        <v>0</v>
      </c>
      <c r="BQ2770" s="1">
        <v>0</v>
      </c>
      <c r="BR2770" s="1">
        <v>0</v>
      </c>
      <c r="BS2770" s="1" t="s">
        <v>109</v>
      </c>
      <c r="BT2770" s="1">
        <v>4863</v>
      </c>
      <c r="BU2770" s="1" t="s">
        <v>109</v>
      </c>
      <c r="BV2770" s="1"/>
      <c r="BW2770" s="1"/>
      <c r="BX2770" s="1"/>
      <c r="BY2770" s="1"/>
      <c r="BZ2770" s="1">
        <v>0</v>
      </c>
      <c r="CA2770" s="1" t="s">
        <v>109</v>
      </c>
      <c r="CB2770" s="1" t="s">
        <v>109</v>
      </c>
      <c r="CC2770" s="1" t="s">
        <v>109</v>
      </c>
      <c r="CD2770" s="1" t="s">
        <v>109</v>
      </c>
      <c r="CE2770" s="1" t="s">
        <v>109</v>
      </c>
      <c r="CF2770" s="1" t="s">
        <v>109</v>
      </c>
      <c r="CG2770" s="1" t="s">
        <v>109</v>
      </c>
      <c r="CH2770" s="1" t="s">
        <v>109</v>
      </c>
      <c r="CI2770" s="1" t="s">
        <v>109</v>
      </c>
      <c r="CJ2770" s="1" t="s">
        <v>109</v>
      </c>
      <c r="CK2770" s="1"/>
      <c r="CL2770" s="1">
        <v>0</v>
      </c>
      <c r="CM2770" s="1">
        <v>0</v>
      </c>
      <c r="CN2770" s="1">
        <v>0</v>
      </c>
    </row>
    <row r="2771" spans="1:92" ht="14.25" customHeight="1" x14ac:dyDescent="0.15">
      <c r="A2771" s="1" t="s">
        <v>19505</v>
      </c>
      <c r="B2771" s="1" t="s">
        <v>674</v>
      </c>
      <c r="C2771" s="1" t="s">
        <v>675</v>
      </c>
      <c r="D2771" s="1"/>
      <c r="E2771" s="1" t="s">
        <v>19506</v>
      </c>
      <c r="F2771" s="1" t="s">
        <v>98</v>
      </c>
      <c r="G2771" s="1" t="s">
        <v>141</v>
      </c>
      <c r="H2771" s="1">
        <v>0</v>
      </c>
      <c r="I2771" s="1" t="s">
        <v>235</v>
      </c>
      <c r="J2771" s="1"/>
      <c r="K2771" s="1"/>
      <c r="L2771" s="1"/>
      <c r="M2771" s="1" t="s">
        <v>19507</v>
      </c>
      <c r="N2771" s="1">
        <v>0</v>
      </c>
      <c r="O2771" s="1">
        <v>0</v>
      </c>
      <c r="P2771" s="1" t="s">
        <v>103</v>
      </c>
      <c r="Q2771" s="1" t="s">
        <v>104</v>
      </c>
      <c r="R2771" s="1" t="s">
        <v>19508</v>
      </c>
      <c r="S2771" s="1" t="s">
        <v>19509</v>
      </c>
      <c r="T2771" s="1" t="s">
        <v>19448</v>
      </c>
      <c r="U2771" s="1" t="s">
        <v>19510</v>
      </c>
      <c r="V2771" s="1">
        <v>1</v>
      </c>
      <c r="W2771" s="1">
        <v>1</v>
      </c>
      <c r="X2771" s="1">
        <v>0</v>
      </c>
      <c r="Y2771" s="1">
        <v>0</v>
      </c>
      <c r="Z2771" s="1">
        <v>0</v>
      </c>
      <c r="AA2771" s="1">
        <v>5</v>
      </c>
      <c r="AB2771" s="1">
        <v>5</v>
      </c>
      <c r="AC2771" s="1" t="s">
        <v>109</v>
      </c>
      <c r="AD2771" s="1" t="s">
        <v>109</v>
      </c>
      <c r="AE2771" s="1" t="s">
        <v>109</v>
      </c>
      <c r="AF2771" s="1">
        <v>5</v>
      </c>
      <c r="AG2771" s="1" t="s">
        <v>109</v>
      </c>
      <c r="AH2771" s="1" t="s">
        <v>109</v>
      </c>
      <c r="AI2771" s="1" t="s">
        <v>109</v>
      </c>
      <c r="AJ2771" s="1" t="s">
        <v>109</v>
      </c>
      <c r="AK2771" s="1" t="s">
        <v>109</v>
      </c>
      <c r="AL2771" s="1" t="s">
        <v>109</v>
      </c>
      <c r="AM2771" s="1" t="s">
        <v>109</v>
      </c>
      <c r="AN2771" s="1" t="s">
        <v>109</v>
      </c>
      <c r="AO2771" s="1" t="s">
        <v>109</v>
      </c>
      <c r="AP2771" s="1"/>
      <c r="AQ2771" s="1">
        <v>5</v>
      </c>
      <c r="AR2771" s="1"/>
      <c r="AS2771" s="1"/>
      <c r="AT2771" s="1">
        <v>0</v>
      </c>
      <c r="AU2771" s="1">
        <v>0</v>
      </c>
      <c r="AV2771" s="1">
        <v>0</v>
      </c>
      <c r="AW2771" s="1">
        <v>0</v>
      </c>
      <c r="AX2771" s="1">
        <v>0</v>
      </c>
      <c r="AY2771" s="1">
        <v>0</v>
      </c>
      <c r="AZ2771" s="1">
        <v>0</v>
      </c>
      <c r="BA2771" s="1">
        <v>0</v>
      </c>
      <c r="BB2771" s="1">
        <v>0</v>
      </c>
      <c r="BC2771" s="1">
        <v>0</v>
      </c>
      <c r="BD2771" s="1">
        <v>0</v>
      </c>
      <c r="BE2771" s="1">
        <v>0</v>
      </c>
      <c r="BF2771" s="1">
        <v>0</v>
      </c>
      <c r="BG2771" s="1">
        <v>0</v>
      </c>
      <c r="BH2771" s="1">
        <v>0</v>
      </c>
      <c r="BI2771" s="1">
        <v>0</v>
      </c>
      <c r="BJ2771" s="1">
        <v>0</v>
      </c>
      <c r="BK2771" s="1">
        <v>0</v>
      </c>
      <c r="BL2771" s="1">
        <v>0</v>
      </c>
      <c r="BM2771" s="1">
        <v>0</v>
      </c>
      <c r="BN2771" s="1">
        <v>0</v>
      </c>
      <c r="BO2771" s="1">
        <v>0</v>
      </c>
      <c r="BP2771" s="1">
        <v>0</v>
      </c>
      <c r="BQ2771" s="1">
        <v>0</v>
      </c>
      <c r="BR2771" s="1">
        <v>0</v>
      </c>
      <c r="BS2771" s="1" t="s">
        <v>109</v>
      </c>
      <c r="BT2771" s="1">
        <v>4864</v>
      </c>
      <c r="BU2771" s="1" t="s">
        <v>109</v>
      </c>
      <c r="BV2771" s="1"/>
      <c r="BW2771" s="1"/>
      <c r="BX2771" s="1"/>
      <c r="BY2771" s="1"/>
      <c r="BZ2771" s="1">
        <v>0</v>
      </c>
      <c r="CA2771" s="1" t="s">
        <v>109</v>
      </c>
      <c r="CB2771" s="1" t="s">
        <v>109</v>
      </c>
      <c r="CC2771" s="1">
        <v>5</v>
      </c>
      <c r="CD2771" s="1" t="s">
        <v>109</v>
      </c>
      <c r="CE2771" s="1">
        <v>5</v>
      </c>
      <c r="CF2771" s="1" t="s">
        <v>109</v>
      </c>
      <c r="CG2771" s="1" t="s">
        <v>109</v>
      </c>
      <c r="CH2771" s="1" t="s">
        <v>109</v>
      </c>
      <c r="CI2771" s="1" t="s">
        <v>109</v>
      </c>
      <c r="CJ2771" s="1" t="s">
        <v>109</v>
      </c>
      <c r="CK2771" s="1"/>
      <c r="CL2771" s="1">
        <v>0</v>
      </c>
      <c r="CM2771" s="1">
        <v>0</v>
      </c>
      <c r="CN2771" s="1">
        <v>0</v>
      </c>
    </row>
    <row r="2772" spans="1:92" ht="14.25" customHeight="1" x14ac:dyDescent="0.15">
      <c r="A2772" s="1" t="s">
        <v>19511</v>
      </c>
      <c r="B2772" s="1" t="s">
        <v>156</v>
      </c>
      <c r="C2772" s="1"/>
      <c r="D2772" s="1" t="s">
        <v>473</v>
      </c>
      <c r="E2772" s="1" t="s">
        <v>19512</v>
      </c>
      <c r="F2772" s="1" t="s">
        <v>98</v>
      </c>
      <c r="G2772" s="1" t="s">
        <v>141</v>
      </c>
      <c r="H2772" s="1">
        <v>0</v>
      </c>
      <c r="I2772" s="1" t="s">
        <v>142</v>
      </c>
      <c r="J2772" s="1"/>
      <c r="K2772" s="1"/>
      <c r="L2772" s="1" t="s">
        <v>1391</v>
      </c>
      <c r="M2772" s="1" t="s">
        <v>19513</v>
      </c>
      <c r="N2772" s="1">
        <v>0</v>
      </c>
      <c r="O2772" s="1">
        <v>0</v>
      </c>
      <c r="P2772" s="1" t="s">
        <v>301</v>
      </c>
      <c r="Q2772" s="1" t="s">
        <v>268</v>
      </c>
      <c r="R2772" s="1" t="s">
        <v>19514</v>
      </c>
      <c r="S2772" s="1" t="s">
        <v>19515</v>
      </c>
      <c r="T2772" s="1" t="s">
        <v>19448</v>
      </c>
      <c r="U2772" s="1" t="s">
        <v>19516</v>
      </c>
      <c r="V2772" s="1">
        <v>1</v>
      </c>
      <c r="W2772" s="1">
        <v>1</v>
      </c>
      <c r="X2772" s="1">
        <v>0</v>
      </c>
      <c r="Y2772" s="1">
        <v>0</v>
      </c>
      <c r="Z2772" s="1">
        <v>0</v>
      </c>
      <c r="AA2772" s="1">
        <v>2</v>
      </c>
      <c r="AB2772" s="1">
        <v>2</v>
      </c>
      <c r="AC2772" s="1" t="s">
        <v>109</v>
      </c>
      <c r="AD2772" s="1" t="s">
        <v>109</v>
      </c>
      <c r="AE2772" s="1" t="s">
        <v>109</v>
      </c>
      <c r="AF2772" s="1">
        <v>2</v>
      </c>
      <c r="AG2772" s="1" t="s">
        <v>109</v>
      </c>
      <c r="AH2772" s="1" t="s">
        <v>109</v>
      </c>
      <c r="AI2772" s="1" t="s">
        <v>109</v>
      </c>
      <c r="AJ2772" s="1" t="s">
        <v>109</v>
      </c>
      <c r="AK2772" s="1">
        <v>2</v>
      </c>
      <c r="AL2772" s="1" t="s">
        <v>109</v>
      </c>
      <c r="AM2772" s="1">
        <v>1</v>
      </c>
      <c r="AN2772" s="1" t="s">
        <v>109</v>
      </c>
      <c r="AO2772" s="1" t="s">
        <v>109</v>
      </c>
      <c r="AP2772" s="1"/>
      <c r="AQ2772" s="1">
        <v>2</v>
      </c>
      <c r="AR2772" s="1"/>
      <c r="AS2772" s="1"/>
      <c r="AT2772" s="1">
        <v>0</v>
      </c>
      <c r="AU2772" s="1">
        <v>0</v>
      </c>
      <c r="AV2772" s="1">
        <v>0</v>
      </c>
      <c r="AW2772" s="1">
        <v>0</v>
      </c>
      <c r="AX2772" s="1">
        <v>0</v>
      </c>
      <c r="AY2772" s="1">
        <v>0</v>
      </c>
      <c r="AZ2772" s="1">
        <v>0</v>
      </c>
      <c r="BA2772" s="1">
        <v>0</v>
      </c>
      <c r="BB2772" s="1">
        <v>0</v>
      </c>
      <c r="BC2772" s="1">
        <v>0</v>
      </c>
      <c r="BD2772" s="1">
        <v>0</v>
      </c>
      <c r="BE2772" s="1">
        <v>0</v>
      </c>
      <c r="BF2772" s="1">
        <v>1</v>
      </c>
      <c r="BG2772" s="1">
        <v>0</v>
      </c>
      <c r="BH2772" s="1">
        <v>0</v>
      </c>
      <c r="BI2772" s="1">
        <v>0</v>
      </c>
      <c r="BJ2772" s="1">
        <v>0</v>
      </c>
      <c r="BK2772" s="1">
        <v>0</v>
      </c>
      <c r="BL2772" s="1">
        <v>0</v>
      </c>
      <c r="BM2772" s="1">
        <v>1</v>
      </c>
      <c r="BN2772" s="1">
        <v>0</v>
      </c>
      <c r="BO2772" s="1">
        <v>0</v>
      </c>
      <c r="BP2772" s="1">
        <v>0</v>
      </c>
      <c r="BQ2772" s="1">
        <v>0</v>
      </c>
      <c r="BR2772" s="1">
        <v>0</v>
      </c>
      <c r="BS2772" s="1" t="s">
        <v>109</v>
      </c>
      <c r="BT2772" s="1">
        <v>4865</v>
      </c>
      <c r="BU2772" s="1" t="s">
        <v>109</v>
      </c>
      <c r="BV2772" s="1"/>
      <c r="BW2772" s="1"/>
      <c r="BX2772" s="1"/>
      <c r="BY2772" s="1"/>
      <c r="BZ2772" s="1">
        <v>0</v>
      </c>
      <c r="CA2772" s="1" t="s">
        <v>109</v>
      </c>
      <c r="CB2772" s="1" t="s">
        <v>109</v>
      </c>
      <c r="CC2772" s="1">
        <v>2</v>
      </c>
      <c r="CD2772" s="1" t="s">
        <v>109</v>
      </c>
      <c r="CE2772" s="1">
        <v>2</v>
      </c>
      <c r="CF2772" s="1" t="s">
        <v>109</v>
      </c>
      <c r="CG2772" s="1" t="s">
        <v>109</v>
      </c>
      <c r="CH2772" s="1" t="s">
        <v>109</v>
      </c>
      <c r="CI2772" s="1" t="s">
        <v>109</v>
      </c>
      <c r="CJ2772" s="1" t="s">
        <v>109</v>
      </c>
      <c r="CK2772" s="1"/>
      <c r="CL2772" s="1">
        <v>0</v>
      </c>
      <c r="CM2772" s="1">
        <v>0</v>
      </c>
      <c r="CN2772" s="1">
        <v>0</v>
      </c>
    </row>
    <row r="2773" spans="1:92" ht="14.25" customHeight="1" x14ac:dyDescent="0.15">
      <c r="A2773" s="1" t="s">
        <v>19517</v>
      </c>
      <c r="B2773" s="1" t="s">
        <v>674</v>
      </c>
      <c r="C2773" s="1" t="s">
        <v>1715</v>
      </c>
      <c r="D2773" s="1"/>
      <c r="E2773" s="1" t="s">
        <v>19518</v>
      </c>
      <c r="F2773" s="1" t="s">
        <v>98</v>
      </c>
      <c r="G2773" s="1" t="s">
        <v>19519</v>
      </c>
      <c r="H2773" s="1">
        <v>0</v>
      </c>
      <c r="I2773" s="1" t="s">
        <v>161</v>
      </c>
      <c r="J2773" s="1"/>
      <c r="K2773" s="1"/>
      <c r="L2773" s="1" t="s">
        <v>19520</v>
      </c>
      <c r="M2773" s="1" t="s">
        <v>7432</v>
      </c>
      <c r="N2773" s="1">
        <v>1</v>
      </c>
      <c r="O2773" s="1">
        <v>0</v>
      </c>
      <c r="P2773" s="1" t="s">
        <v>281</v>
      </c>
      <c r="Q2773" s="1" t="s">
        <v>104</v>
      </c>
      <c r="R2773" s="1" t="s">
        <v>19521</v>
      </c>
      <c r="S2773" s="1" t="s">
        <v>19522</v>
      </c>
      <c r="T2773" s="1" t="s">
        <v>19448</v>
      </c>
      <c r="U2773" s="1" t="s">
        <v>19523</v>
      </c>
      <c r="V2773" s="1">
        <v>1</v>
      </c>
      <c r="W2773" s="1">
        <v>1</v>
      </c>
      <c r="X2773" s="1">
        <v>1</v>
      </c>
      <c r="Y2773" s="1">
        <v>0</v>
      </c>
      <c r="Z2773" s="1">
        <v>0</v>
      </c>
      <c r="AA2773" s="1">
        <v>2</v>
      </c>
      <c r="AB2773" s="1">
        <v>2</v>
      </c>
      <c r="AC2773" s="1" t="s">
        <v>109</v>
      </c>
      <c r="AD2773" s="1" t="s">
        <v>109</v>
      </c>
      <c r="AE2773" s="1" t="s">
        <v>109</v>
      </c>
      <c r="AF2773" s="1">
        <v>2</v>
      </c>
      <c r="AG2773" s="1" t="s">
        <v>109</v>
      </c>
      <c r="AH2773" s="1" t="s">
        <v>109</v>
      </c>
      <c r="AI2773" s="1" t="s">
        <v>109</v>
      </c>
      <c r="AJ2773" s="1" t="s">
        <v>109</v>
      </c>
      <c r="AK2773" s="1" t="s">
        <v>109</v>
      </c>
      <c r="AL2773" s="1" t="s">
        <v>109</v>
      </c>
      <c r="AM2773" s="1" t="s">
        <v>109</v>
      </c>
      <c r="AN2773" s="1" t="s">
        <v>109</v>
      </c>
      <c r="AO2773" s="1" t="s">
        <v>109</v>
      </c>
      <c r="AP2773" s="1"/>
      <c r="AQ2773" s="1">
        <v>2</v>
      </c>
      <c r="AR2773" s="1"/>
      <c r="AS2773" s="1"/>
      <c r="AT2773" s="1">
        <v>0</v>
      </c>
      <c r="AU2773" s="1">
        <v>0</v>
      </c>
      <c r="AV2773" s="1">
        <v>0</v>
      </c>
      <c r="AW2773" s="1">
        <v>0</v>
      </c>
      <c r="AX2773" s="1">
        <v>0</v>
      </c>
      <c r="AY2773" s="1">
        <v>0</v>
      </c>
      <c r="AZ2773" s="1">
        <v>0</v>
      </c>
      <c r="BA2773" s="1">
        <v>0</v>
      </c>
      <c r="BB2773" s="1">
        <v>0</v>
      </c>
      <c r="BC2773" s="1">
        <v>0</v>
      </c>
      <c r="BD2773" s="1">
        <v>0</v>
      </c>
      <c r="BE2773" s="1">
        <v>0</v>
      </c>
      <c r="BF2773" s="1">
        <v>0</v>
      </c>
      <c r="BG2773" s="1">
        <v>0</v>
      </c>
      <c r="BH2773" s="1">
        <v>0</v>
      </c>
      <c r="BI2773" s="1">
        <v>0</v>
      </c>
      <c r="BJ2773" s="1">
        <v>0</v>
      </c>
      <c r="BK2773" s="1">
        <v>0</v>
      </c>
      <c r="BL2773" s="1">
        <v>0</v>
      </c>
      <c r="BM2773" s="1">
        <v>0</v>
      </c>
      <c r="BN2773" s="1">
        <v>0</v>
      </c>
      <c r="BO2773" s="1">
        <v>0</v>
      </c>
      <c r="BP2773" s="1">
        <v>0</v>
      </c>
      <c r="BQ2773" s="1">
        <v>0</v>
      </c>
      <c r="BR2773" s="1">
        <v>0</v>
      </c>
      <c r="BS2773" s="1" t="s">
        <v>109</v>
      </c>
      <c r="BT2773" s="1">
        <v>4866</v>
      </c>
      <c r="BU2773" s="1" t="s">
        <v>109</v>
      </c>
      <c r="BV2773" s="1"/>
      <c r="BW2773" s="1"/>
      <c r="BX2773" s="1"/>
      <c r="BY2773" s="1"/>
      <c r="BZ2773" s="1">
        <v>0</v>
      </c>
      <c r="CA2773" s="1" t="s">
        <v>109</v>
      </c>
      <c r="CB2773" s="1" t="s">
        <v>109</v>
      </c>
      <c r="CC2773" s="1">
        <v>2</v>
      </c>
      <c r="CD2773" s="1" t="s">
        <v>109</v>
      </c>
      <c r="CE2773" s="1">
        <v>2</v>
      </c>
      <c r="CF2773" s="1">
        <v>2</v>
      </c>
      <c r="CG2773" s="1" t="s">
        <v>109</v>
      </c>
      <c r="CH2773" s="1" t="s">
        <v>109</v>
      </c>
      <c r="CI2773" s="1" t="s">
        <v>109</v>
      </c>
      <c r="CJ2773" s="1" t="s">
        <v>109</v>
      </c>
      <c r="CK2773" s="1"/>
      <c r="CL2773" s="1">
        <v>0</v>
      </c>
      <c r="CM2773" s="1">
        <v>0</v>
      </c>
      <c r="CN2773" s="1">
        <v>0</v>
      </c>
    </row>
    <row r="2774" spans="1:92" ht="14.25" customHeight="1" x14ac:dyDescent="0.15">
      <c r="A2774" s="1" t="s">
        <v>19524</v>
      </c>
      <c r="B2774" s="1" t="s">
        <v>674</v>
      </c>
      <c r="C2774" s="1" t="s">
        <v>675</v>
      </c>
      <c r="D2774" s="1"/>
      <c r="E2774" s="1" t="s">
        <v>19518</v>
      </c>
      <c r="F2774" s="1" t="s">
        <v>98</v>
      </c>
      <c r="G2774" s="1" t="s">
        <v>3091</v>
      </c>
      <c r="H2774" s="1">
        <v>0</v>
      </c>
      <c r="I2774" s="1" t="s">
        <v>161</v>
      </c>
      <c r="J2774" s="1"/>
      <c r="K2774" s="1"/>
      <c r="L2774" s="1" t="s">
        <v>3092</v>
      </c>
      <c r="M2774" s="1" t="s">
        <v>5811</v>
      </c>
      <c r="N2774" s="1">
        <v>1</v>
      </c>
      <c r="O2774" s="1">
        <v>0</v>
      </c>
      <c r="P2774" s="1" t="s">
        <v>8111</v>
      </c>
      <c r="Q2774" s="1" t="s">
        <v>104</v>
      </c>
      <c r="R2774" s="1" t="s">
        <v>19525</v>
      </c>
      <c r="S2774" s="1" t="s">
        <v>19526</v>
      </c>
      <c r="T2774" s="1" t="s">
        <v>19448</v>
      </c>
      <c r="U2774" s="1" t="s">
        <v>19527</v>
      </c>
      <c r="V2774" s="1">
        <v>1</v>
      </c>
      <c r="W2774" s="1">
        <v>1</v>
      </c>
      <c r="X2774" s="1">
        <v>0</v>
      </c>
      <c r="Y2774" s="1">
        <v>0</v>
      </c>
      <c r="Z2774" s="1">
        <v>0</v>
      </c>
      <c r="AA2774" s="1">
        <v>2</v>
      </c>
      <c r="AB2774" s="1">
        <v>2</v>
      </c>
      <c r="AC2774" s="1" t="s">
        <v>109</v>
      </c>
      <c r="AD2774" s="1" t="s">
        <v>109</v>
      </c>
      <c r="AE2774" s="1" t="s">
        <v>109</v>
      </c>
      <c r="AF2774" s="1">
        <v>2</v>
      </c>
      <c r="AG2774" s="1" t="s">
        <v>109</v>
      </c>
      <c r="AH2774" s="1" t="s">
        <v>109</v>
      </c>
      <c r="AI2774" s="1" t="s">
        <v>109</v>
      </c>
      <c r="AJ2774" s="1" t="s">
        <v>109</v>
      </c>
      <c r="AK2774" s="1" t="s">
        <v>109</v>
      </c>
      <c r="AL2774" s="1" t="s">
        <v>109</v>
      </c>
      <c r="AM2774" s="1" t="s">
        <v>109</v>
      </c>
      <c r="AN2774" s="1" t="s">
        <v>109</v>
      </c>
      <c r="AO2774" s="1" t="s">
        <v>109</v>
      </c>
      <c r="AP2774" s="1"/>
      <c r="AQ2774" s="1">
        <v>2</v>
      </c>
      <c r="AR2774" s="1"/>
      <c r="AS2774" s="1"/>
      <c r="AT2774" s="1">
        <v>0</v>
      </c>
      <c r="AU2774" s="1">
        <v>0</v>
      </c>
      <c r="AV2774" s="1">
        <v>0</v>
      </c>
      <c r="AW2774" s="1">
        <v>0</v>
      </c>
      <c r="AX2774" s="1">
        <v>0</v>
      </c>
      <c r="AY2774" s="1">
        <v>0</v>
      </c>
      <c r="AZ2774" s="1">
        <v>0</v>
      </c>
      <c r="BA2774" s="1">
        <v>0</v>
      </c>
      <c r="BB2774" s="1">
        <v>0</v>
      </c>
      <c r="BC2774" s="1">
        <v>0</v>
      </c>
      <c r="BD2774" s="1">
        <v>0</v>
      </c>
      <c r="BE2774" s="1">
        <v>0</v>
      </c>
      <c r="BF2774" s="1">
        <v>0</v>
      </c>
      <c r="BG2774" s="1">
        <v>0</v>
      </c>
      <c r="BH2774" s="1">
        <v>0</v>
      </c>
      <c r="BI2774" s="1">
        <v>0</v>
      </c>
      <c r="BJ2774" s="1">
        <v>0</v>
      </c>
      <c r="BK2774" s="1">
        <v>0</v>
      </c>
      <c r="BL2774" s="1">
        <v>0</v>
      </c>
      <c r="BM2774" s="1">
        <v>0</v>
      </c>
      <c r="BN2774" s="1">
        <v>0</v>
      </c>
      <c r="BO2774" s="1">
        <v>0</v>
      </c>
      <c r="BP2774" s="1">
        <v>0</v>
      </c>
      <c r="BQ2774" s="1">
        <v>0</v>
      </c>
      <c r="BR2774" s="1">
        <v>0</v>
      </c>
      <c r="BS2774" s="1" t="s">
        <v>109</v>
      </c>
      <c r="BT2774" s="1">
        <v>4867</v>
      </c>
      <c r="BU2774" s="1" t="s">
        <v>109</v>
      </c>
      <c r="BV2774" s="1"/>
      <c r="BW2774" s="1"/>
      <c r="BX2774" s="1"/>
      <c r="BY2774" s="1"/>
      <c r="BZ2774" s="1">
        <v>0</v>
      </c>
      <c r="CA2774" s="1" t="s">
        <v>109</v>
      </c>
      <c r="CB2774" s="1" t="s">
        <v>109</v>
      </c>
      <c r="CC2774" s="1">
        <v>2</v>
      </c>
      <c r="CD2774" s="1" t="s">
        <v>109</v>
      </c>
      <c r="CE2774" s="1">
        <v>2</v>
      </c>
      <c r="CF2774" s="1">
        <v>2</v>
      </c>
      <c r="CG2774" s="1" t="s">
        <v>109</v>
      </c>
      <c r="CH2774" s="1" t="s">
        <v>109</v>
      </c>
      <c r="CI2774" s="1" t="s">
        <v>109</v>
      </c>
      <c r="CJ2774" s="1" t="s">
        <v>109</v>
      </c>
      <c r="CK2774" s="1"/>
      <c r="CL2774" s="1">
        <v>0</v>
      </c>
      <c r="CM2774" s="1">
        <v>0</v>
      </c>
      <c r="CN2774" s="1">
        <v>0</v>
      </c>
    </row>
    <row r="2775" spans="1:92" ht="14.25" customHeight="1" x14ac:dyDescent="0.15">
      <c r="A2775" s="1" t="s">
        <v>19528</v>
      </c>
      <c r="B2775" s="1" t="s">
        <v>189</v>
      </c>
      <c r="C2775" s="1"/>
      <c r="D2775" s="1"/>
      <c r="E2775" s="1" t="s">
        <v>19529</v>
      </c>
      <c r="F2775" s="1" t="s">
        <v>98</v>
      </c>
      <c r="G2775" s="1" t="s">
        <v>141</v>
      </c>
      <c r="H2775" s="1">
        <v>0</v>
      </c>
      <c r="I2775" s="1" t="s">
        <v>235</v>
      </c>
      <c r="J2775" s="1"/>
      <c r="K2775" s="1"/>
      <c r="L2775" s="1" t="s">
        <v>236</v>
      </c>
      <c r="M2775" s="1" t="s">
        <v>5711</v>
      </c>
      <c r="N2775" s="1">
        <v>0</v>
      </c>
      <c r="O2775" s="1">
        <v>0</v>
      </c>
      <c r="P2775" s="1"/>
      <c r="Q2775" s="1"/>
      <c r="R2775" s="1" t="s">
        <v>19530</v>
      </c>
      <c r="S2775" s="1" t="s">
        <v>19531</v>
      </c>
      <c r="T2775" s="1" t="s">
        <v>19532</v>
      </c>
      <c r="U2775" s="1" t="s">
        <v>19533</v>
      </c>
      <c r="V2775" s="1">
        <v>1</v>
      </c>
      <c r="W2775" s="1">
        <v>1</v>
      </c>
      <c r="X2775" s="1">
        <v>0</v>
      </c>
      <c r="Y2775" s="1">
        <v>0</v>
      </c>
      <c r="Z2775" s="1">
        <v>0</v>
      </c>
      <c r="AA2775" s="1">
        <v>2</v>
      </c>
      <c r="AB2775" s="1">
        <v>2</v>
      </c>
      <c r="AC2775" s="1" t="s">
        <v>109</v>
      </c>
      <c r="AD2775" s="1">
        <v>2</v>
      </c>
      <c r="AE2775" s="1" t="s">
        <v>109</v>
      </c>
      <c r="AF2775" s="1" t="s">
        <v>109</v>
      </c>
      <c r="AG2775" s="1" t="s">
        <v>109</v>
      </c>
      <c r="AH2775" s="1">
        <v>2</v>
      </c>
      <c r="AI2775" s="1" t="s">
        <v>109</v>
      </c>
      <c r="AJ2775" s="1">
        <v>2</v>
      </c>
      <c r="AK2775" s="1" t="s">
        <v>109</v>
      </c>
      <c r="AL2775" s="1" t="s">
        <v>109</v>
      </c>
      <c r="AM2775" s="1" t="s">
        <v>109</v>
      </c>
      <c r="AN2775" s="1" t="s">
        <v>109</v>
      </c>
      <c r="AO2775" s="1" t="s">
        <v>109</v>
      </c>
      <c r="AP2775" s="1"/>
      <c r="AQ2775" s="1">
        <v>2</v>
      </c>
      <c r="AR2775" s="1"/>
      <c r="AS2775" s="1"/>
      <c r="AT2775" s="1">
        <v>0</v>
      </c>
      <c r="AU2775" s="1">
        <v>0</v>
      </c>
      <c r="AV2775" s="1">
        <v>0</v>
      </c>
      <c r="AW2775" s="1">
        <v>0</v>
      </c>
      <c r="AX2775" s="1">
        <v>0</v>
      </c>
      <c r="AY2775" s="1">
        <v>0</v>
      </c>
      <c r="AZ2775" s="1">
        <v>0</v>
      </c>
      <c r="BA2775" s="1">
        <v>0</v>
      </c>
      <c r="BB2775" s="1">
        <v>0</v>
      </c>
      <c r="BC2775" s="1">
        <v>0</v>
      </c>
      <c r="BD2775" s="1">
        <v>0</v>
      </c>
      <c r="BE2775" s="1">
        <v>0</v>
      </c>
      <c r="BF2775" s="1">
        <v>0</v>
      </c>
      <c r="BG2775" s="1">
        <v>0</v>
      </c>
      <c r="BH2775" s="1">
        <v>0</v>
      </c>
      <c r="BI2775" s="1">
        <v>0</v>
      </c>
      <c r="BJ2775" s="1">
        <v>0</v>
      </c>
      <c r="BK2775" s="1">
        <v>0</v>
      </c>
      <c r="BL2775" s="1">
        <v>0</v>
      </c>
      <c r="BM2775" s="1">
        <v>0</v>
      </c>
      <c r="BN2775" s="1">
        <v>0</v>
      </c>
      <c r="BO2775" s="1">
        <v>0</v>
      </c>
      <c r="BP2775" s="1">
        <v>0</v>
      </c>
      <c r="BQ2775" s="1">
        <v>0</v>
      </c>
      <c r="BR2775" s="1">
        <v>0</v>
      </c>
      <c r="BS2775" s="1" t="s">
        <v>109</v>
      </c>
      <c r="BT2775" s="1">
        <v>4868</v>
      </c>
      <c r="BU2775" s="1" t="s">
        <v>109</v>
      </c>
      <c r="BV2775" s="1"/>
      <c r="BW2775" s="1"/>
      <c r="BX2775" s="1"/>
      <c r="BY2775" s="1"/>
      <c r="BZ2775" s="1">
        <v>0</v>
      </c>
      <c r="CA2775" s="1" t="s">
        <v>109</v>
      </c>
      <c r="CB2775" s="1" t="s">
        <v>109</v>
      </c>
      <c r="CC2775" s="1" t="s">
        <v>109</v>
      </c>
      <c r="CD2775" s="1" t="s">
        <v>109</v>
      </c>
      <c r="CE2775" s="1" t="s">
        <v>109</v>
      </c>
      <c r="CF2775" s="1" t="s">
        <v>109</v>
      </c>
      <c r="CG2775" s="1" t="s">
        <v>109</v>
      </c>
      <c r="CH2775" s="1" t="s">
        <v>109</v>
      </c>
      <c r="CI2775" s="1" t="s">
        <v>109</v>
      </c>
      <c r="CJ2775" s="1">
        <v>2</v>
      </c>
      <c r="CK2775" s="1"/>
      <c r="CL2775" s="1">
        <v>0</v>
      </c>
      <c r="CM2775" s="1">
        <v>0</v>
      </c>
      <c r="CN2775" s="1">
        <v>0</v>
      </c>
    </row>
    <row r="2776" spans="1:92" ht="14.25" customHeight="1" x14ac:dyDescent="0.15">
      <c r="A2776" s="1" t="s">
        <v>19534</v>
      </c>
      <c r="B2776" s="1" t="s">
        <v>189</v>
      </c>
      <c r="C2776" s="1"/>
      <c r="D2776" s="1"/>
      <c r="E2776" s="1" t="s">
        <v>11751</v>
      </c>
      <c r="F2776" s="1" t="s">
        <v>98</v>
      </c>
      <c r="G2776" s="1" t="s">
        <v>141</v>
      </c>
      <c r="H2776" s="1">
        <v>0</v>
      </c>
      <c r="I2776" s="1" t="s">
        <v>161</v>
      </c>
      <c r="J2776" s="1"/>
      <c r="K2776" s="1"/>
      <c r="L2776" s="1" t="s">
        <v>162</v>
      </c>
      <c r="M2776" s="1" t="s">
        <v>7718</v>
      </c>
      <c r="N2776" s="1">
        <v>0</v>
      </c>
      <c r="O2776" s="1">
        <v>0</v>
      </c>
      <c r="P2776" s="1" t="s">
        <v>8111</v>
      </c>
      <c r="Q2776" s="1" t="s">
        <v>268</v>
      </c>
      <c r="R2776" s="1" t="s">
        <v>19535</v>
      </c>
      <c r="S2776" s="1" t="s">
        <v>19536</v>
      </c>
      <c r="T2776" s="1" t="s">
        <v>19532</v>
      </c>
      <c r="U2776" s="1" t="s">
        <v>19537</v>
      </c>
      <c r="V2776" s="1">
        <v>1</v>
      </c>
      <c r="W2776" s="1">
        <v>1</v>
      </c>
      <c r="X2776" s="1">
        <v>0</v>
      </c>
      <c r="Y2776" s="1">
        <v>0</v>
      </c>
      <c r="Z2776" s="1">
        <v>0</v>
      </c>
      <c r="AA2776" s="1">
        <v>3</v>
      </c>
      <c r="AB2776" s="1">
        <v>3</v>
      </c>
      <c r="AC2776" s="1">
        <v>3</v>
      </c>
      <c r="AD2776" s="1">
        <v>3</v>
      </c>
      <c r="AE2776" s="1" t="s">
        <v>109</v>
      </c>
      <c r="AF2776" s="1" t="s">
        <v>109</v>
      </c>
      <c r="AG2776" s="1" t="s">
        <v>109</v>
      </c>
      <c r="AH2776" s="1" t="s">
        <v>109</v>
      </c>
      <c r="AI2776" s="1" t="s">
        <v>109</v>
      </c>
      <c r="AJ2776" s="1">
        <v>3</v>
      </c>
      <c r="AK2776" s="1" t="s">
        <v>109</v>
      </c>
      <c r="AL2776" s="1">
        <v>3</v>
      </c>
      <c r="AM2776" s="1" t="s">
        <v>109</v>
      </c>
      <c r="AN2776" s="1" t="s">
        <v>109</v>
      </c>
      <c r="AO2776" s="1" t="s">
        <v>109</v>
      </c>
      <c r="AP2776" s="1"/>
      <c r="AQ2776" s="1">
        <v>3</v>
      </c>
      <c r="AR2776" s="1"/>
      <c r="AS2776" s="1"/>
      <c r="AT2776" s="1">
        <v>0</v>
      </c>
      <c r="AU2776" s="1">
        <v>0</v>
      </c>
      <c r="AV2776" s="1">
        <v>0</v>
      </c>
      <c r="AW2776" s="1">
        <v>0</v>
      </c>
      <c r="AX2776" s="1">
        <v>0</v>
      </c>
      <c r="AY2776" s="1">
        <v>0</v>
      </c>
      <c r="AZ2776" s="1">
        <v>0</v>
      </c>
      <c r="BA2776" s="1">
        <v>0</v>
      </c>
      <c r="BB2776" s="1">
        <v>0</v>
      </c>
      <c r="BC2776" s="1">
        <v>0</v>
      </c>
      <c r="BD2776" s="1">
        <v>0</v>
      </c>
      <c r="BE2776" s="1">
        <v>0</v>
      </c>
      <c r="BF2776" s="1">
        <v>0</v>
      </c>
      <c r="BG2776" s="1">
        <v>0</v>
      </c>
      <c r="BH2776" s="1">
        <v>0</v>
      </c>
      <c r="BI2776" s="1">
        <v>0</v>
      </c>
      <c r="BJ2776" s="1">
        <v>0</v>
      </c>
      <c r="BK2776" s="1">
        <v>0</v>
      </c>
      <c r="BL2776" s="1">
        <v>0</v>
      </c>
      <c r="BM2776" s="1">
        <v>0</v>
      </c>
      <c r="BN2776" s="1">
        <v>0</v>
      </c>
      <c r="BO2776" s="1">
        <v>0</v>
      </c>
      <c r="BP2776" s="1">
        <v>0</v>
      </c>
      <c r="BQ2776" s="1">
        <v>0</v>
      </c>
      <c r="BR2776" s="1">
        <v>0</v>
      </c>
      <c r="BS2776" s="1" t="s">
        <v>109</v>
      </c>
      <c r="BT2776" s="1">
        <v>4869</v>
      </c>
      <c r="BU2776" s="1" t="s">
        <v>109</v>
      </c>
      <c r="BV2776" s="1"/>
      <c r="BW2776" s="1"/>
      <c r="BX2776" s="1"/>
      <c r="BY2776" s="1"/>
      <c r="BZ2776" s="1">
        <v>0</v>
      </c>
      <c r="CA2776" s="1" t="s">
        <v>109</v>
      </c>
      <c r="CB2776" s="1" t="s">
        <v>109</v>
      </c>
      <c r="CC2776" s="1" t="s">
        <v>109</v>
      </c>
      <c r="CD2776" s="1" t="s">
        <v>109</v>
      </c>
      <c r="CE2776" s="1" t="s">
        <v>109</v>
      </c>
      <c r="CF2776" s="1" t="s">
        <v>109</v>
      </c>
      <c r="CG2776" s="1" t="s">
        <v>109</v>
      </c>
      <c r="CH2776" s="1" t="s">
        <v>109</v>
      </c>
      <c r="CI2776" s="1" t="s">
        <v>109</v>
      </c>
      <c r="CJ2776" s="1">
        <v>3</v>
      </c>
      <c r="CK2776" s="1"/>
      <c r="CL2776" s="1">
        <v>0</v>
      </c>
      <c r="CM2776" s="1">
        <v>0</v>
      </c>
      <c r="CN2776" s="1">
        <v>0</v>
      </c>
    </row>
    <row r="2777" spans="1:92" ht="14.25" customHeight="1" x14ac:dyDescent="0.15">
      <c r="A2777" s="1" t="s">
        <v>19538</v>
      </c>
      <c r="B2777" s="1" t="s">
        <v>242</v>
      </c>
      <c r="C2777" s="1"/>
      <c r="D2777" s="1"/>
      <c r="E2777" s="1" t="s">
        <v>19539</v>
      </c>
      <c r="F2777" s="1" t="s">
        <v>98</v>
      </c>
      <c r="G2777" s="1" t="s">
        <v>19540</v>
      </c>
      <c r="H2777" s="1">
        <v>0</v>
      </c>
      <c r="I2777" s="1" t="s">
        <v>235</v>
      </c>
      <c r="J2777" s="1"/>
      <c r="K2777" s="1"/>
      <c r="L2777" s="1" t="s">
        <v>236</v>
      </c>
      <c r="M2777" s="1" t="s">
        <v>125</v>
      </c>
      <c r="N2777" s="1">
        <v>0</v>
      </c>
      <c r="O2777" s="1">
        <v>0</v>
      </c>
      <c r="P2777" s="1" t="s">
        <v>103</v>
      </c>
      <c r="Q2777" s="1" t="s">
        <v>104</v>
      </c>
      <c r="R2777" s="1" t="s">
        <v>19541</v>
      </c>
      <c r="S2777" s="1" t="s">
        <v>19542</v>
      </c>
      <c r="T2777" s="1" t="s">
        <v>19543</v>
      </c>
      <c r="U2777" s="1" t="s">
        <v>19544</v>
      </c>
      <c r="V2777" s="1">
        <v>1</v>
      </c>
      <c r="W2777" s="1">
        <v>1</v>
      </c>
      <c r="X2777" s="1">
        <v>0</v>
      </c>
      <c r="Y2777" s="1">
        <v>0</v>
      </c>
      <c r="Z2777" s="1">
        <v>0</v>
      </c>
      <c r="AA2777" s="1">
        <v>3</v>
      </c>
      <c r="AB2777" s="1">
        <v>3</v>
      </c>
      <c r="AC2777" s="1" t="s">
        <v>109</v>
      </c>
      <c r="AD2777" s="1" t="s">
        <v>109</v>
      </c>
      <c r="AE2777" s="1" t="s">
        <v>109</v>
      </c>
      <c r="AF2777" s="1">
        <v>3</v>
      </c>
      <c r="AG2777" s="1" t="s">
        <v>109</v>
      </c>
      <c r="AH2777" s="1" t="s">
        <v>109</v>
      </c>
      <c r="AI2777" s="1">
        <v>3</v>
      </c>
      <c r="AJ2777" s="1" t="s">
        <v>109</v>
      </c>
      <c r="AK2777" s="1" t="s">
        <v>109</v>
      </c>
      <c r="AL2777" s="1" t="s">
        <v>109</v>
      </c>
      <c r="AM2777" s="1" t="s">
        <v>109</v>
      </c>
      <c r="AN2777" s="1">
        <v>3</v>
      </c>
      <c r="AO2777" s="1" t="s">
        <v>109</v>
      </c>
      <c r="AP2777" s="1"/>
      <c r="AQ2777" s="1">
        <v>3</v>
      </c>
      <c r="AR2777" s="1"/>
      <c r="AS2777" s="1"/>
      <c r="AT2777" s="1">
        <v>0</v>
      </c>
      <c r="AU2777" s="1">
        <v>0</v>
      </c>
      <c r="AV2777" s="1">
        <v>0</v>
      </c>
      <c r="AW2777" s="1">
        <v>0</v>
      </c>
      <c r="AX2777" s="1">
        <v>0</v>
      </c>
      <c r="AY2777" s="1">
        <v>0</v>
      </c>
      <c r="AZ2777" s="1">
        <v>0</v>
      </c>
      <c r="BA2777" s="1">
        <v>0</v>
      </c>
      <c r="BB2777" s="1">
        <v>0</v>
      </c>
      <c r="BC2777" s="1">
        <v>0</v>
      </c>
      <c r="BD2777" s="1">
        <v>0</v>
      </c>
      <c r="BE2777" s="1">
        <v>0</v>
      </c>
      <c r="BF2777" s="1">
        <v>0</v>
      </c>
      <c r="BG2777" s="1">
        <v>0</v>
      </c>
      <c r="BH2777" s="1">
        <v>0</v>
      </c>
      <c r="BI2777" s="1">
        <v>0</v>
      </c>
      <c r="BJ2777" s="1">
        <v>0</v>
      </c>
      <c r="BK2777" s="1">
        <v>0</v>
      </c>
      <c r="BL2777" s="1">
        <v>0</v>
      </c>
      <c r="BM2777" s="1">
        <v>0</v>
      </c>
      <c r="BN2777" s="1">
        <v>0</v>
      </c>
      <c r="BO2777" s="1">
        <v>0</v>
      </c>
      <c r="BP2777" s="1">
        <v>0</v>
      </c>
      <c r="BQ2777" s="1">
        <v>0</v>
      </c>
      <c r="BR2777" s="1">
        <v>0</v>
      </c>
      <c r="BS2777" s="1" t="s">
        <v>109</v>
      </c>
      <c r="BT2777" s="1">
        <v>4870</v>
      </c>
      <c r="BU2777" s="1" t="s">
        <v>109</v>
      </c>
      <c r="BV2777" s="1"/>
      <c r="BW2777" s="1"/>
      <c r="BX2777" s="1"/>
      <c r="BY2777" s="1"/>
      <c r="BZ2777" s="1">
        <v>0</v>
      </c>
      <c r="CA2777" s="1">
        <v>3</v>
      </c>
      <c r="CB2777" s="1" t="s">
        <v>109</v>
      </c>
      <c r="CC2777" s="1" t="s">
        <v>109</v>
      </c>
      <c r="CD2777" s="1" t="s">
        <v>109</v>
      </c>
      <c r="CE2777" s="1" t="s">
        <v>109</v>
      </c>
      <c r="CF2777" s="1">
        <v>2</v>
      </c>
      <c r="CG2777" s="1" t="s">
        <v>109</v>
      </c>
      <c r="CH2777" s="1" t="s">
        <v>109</v>
      </c>
      <c r="CI2777" s="1" t="s">
        <v>109</v>
      </c>
      <c r="CJ2777" s="1" t="s">
        <v>109</v>
      </c>
      <c r="CK2777" s="1"/>
      <c r="CL2777" s="1">
        <v>0</v>
      </c>
      <c r="CM2777" s="1">
        <v>0</v>
      </c>
      <c r="CN2777" s="1">
        <v>0</v>
      </c>
    </row>
    <row r="2778" spans="1:92" ht="14.25" customHeight="1" x14ac:dyDescent="0.15">
      <c r="A2778" s="1" t="s">
        <v>19545</v>
      </c>
      <c r="B2778" s="1" t="s">
        <v>189</v>
      </c>
      <c r="C2778" s="1"/>
      <c r="D2778" s="1"/>
      <c r="E2778" s="1" t="s">
        <v>19546</v>
      </c>
      <c r="F2778" s="1" t="s">
        <v>98</v>
      </c>
      <c r="G2778" s="1" t="s">
        <v>19547</v>
      </c>
      <c r="H2778" s="1">
        <v>0</v>
      </c>
      <c r="I2778" s="1" t="s">
        <v>235</v>
      </c>
      <c r="J2778" s="1"/>
      <c r="K2778" s="1"/>
      <c r="L2778" s="1" t="s">
        <v>236</v>
      </c>
      <c r="M2778" s="1" t="s">
        <v>3042</v>
      </c>
      <c r="N2778" s="1">
        <v>0</v>
      </c>
      <c r="O2778" s="1">
        <v>0</v>
      </c>
      <c r="P2778" s="1" t="s">
        <v>103</v>
      </c>
      <c r="Q2778" s="1" t="s">
        <v>104</v>
      </c>
      <c r="R2778" s="1" t="s">
        <v>19548</v>
      </c>
      <c r="S2778" s="1" t="s">
        <v>19549</v>
      </c>
      <c r="T2778" s="1" t="s">
        <v>19543</v>
      </c>
      <c r="U2778" s="1" t="s">
        <v>19550</v>
      </c>
      <c r="V2778" s="1">
        <v>1</v>
      </c>
      <c r="W2778" s="1">
        <v>1</v>
      </c>
      <c r="X2778" s="1">
        <v>0</v>
      </c>
      <c r="Y2778" s="1">
        <v>0</v>
      </c>
      <c r="Z2778" s="1">
        <v>0</v>
      </c>
      <c r="AA2778" s="1">
        <v>2</v>
      </c>
      <c r="AB2778" s="1">
        <v>2</v>
      </c>
      <c r="AC2778" s="1" t="s">
        <v>109</v>
      </c>
      <c r="AD2778" s="1" t="s">
        <v>109</v>
      </c>
      <c r="AE2778" s="1" t="s">
        <v>109</v>
      </c>
      <c r="AF2778" s="1">
        <v>2</v>
      </c>
      <c r="AG2778" s="1" t="s">
        <v>109</v>
      </c>
      <c r="AH2778" s="1" t="s">
        <v>109</v>
      </c>
      <c r="AI2778" s="1" t="s">
        <v>109</v>
      </c>
      <c r="AJ2778" s="1">
        <v>2</v>
      </c>
      <c r="AK2778" s="1">
        <v>2</v>
      </c>
      <c r="AL2778" s="1" t="s">
        <v>109</v>
      </c>
      <c r="AM2778" s="1" t="s">
        <v>109</v>
      </c>
      <c r="AN2778" s="1" t="s">
        <v>109</v>
      </c>
      <c r="AO2778" s="1" t="s">
        <v>109</v>
      </c>
      <c r="AP2778" s="1"/>
      <c r="AQ2778" s="1">
        <v>2</v>
      </c>
      <c r="AR2778" s="1"/>
      <c r="AS2778" s="1"/>
      <c r="AT2778" s="1">
        <v>0</v>
      </c>
      <c r="AU2778" s="1">
        <v>0</v>
      </c>
      <c r="AV2778" s="1">
        <v>0</v>
      </c>
      <c r="AW2778" s="1">
        <v>0</v>
      </c>
      <c r="AX2778" s="1">
        <v>0</v>
      </c>
      <c r="AY2778" s="1">
        <v>0</v>
      </c>
      <c r="AZ2778" s="1">
        <v>0</v>
      </c>
      <c r="BA2778" s="1">
        <v>0</v>
      </c>
      <c r="BB2778" s="1">
        <v>0</v>
      </c>
      <c r="BC2778" s="1">
        <v>0</v>
      </c>
      <c r="BD2778" s="1">
        <v>0</v>
      </c>
      <c r="BE2778" s="1">
        <v>0</v>
      </c>
      <c r="BF2778" s="1">
        <v>0</v>
      </c>
      <c r="BG2778" s="1">
        <v>0</v>
      </c>
      <c r="BH2778" s="1">
        <v>0</v>
      </c>
      <c r="BI2778" s="1">
        <v>0</v>
      </c>
      <c r="BJ2778" s="1">
        <v>0</v>
      </c>
      <c r="BK2778" s="1">
        <v>0</v>
      </c>
      <c r="BL2778" s="1">
        <v>0</v>
      </c>
      <c r="BM2778" s="1">
        <v>0</v>
      </c>
      <c r="BN2778" s="1">
        <v>0</v>
      </c>
      <c r="BO2778" s="1">
        <v>0</v>
      </c>
      <c r="BP2778" s="1">
        <v>0</v>
      </c>
      <c r="BQ2778" s="1">
        <v>0</v>
      </c>
      <c r="BR2778" s="1">
        <v>0</v>
      </c>
      <c r="BS2778" s="1" t="s">
        <v>109</v>
      </c>
      <c r="BT2778" s="1">
        <v>4871</v>
      </c>
      <c r="BU2778" s="1" t="s">
        <v>109</v>
      </c>
      <c r="BV2778" s="1"/>
      <c r="BW2778" s="1"/>
      <c r="BX2778" s="1"/>
      <c r="BY2778" s="1"/>
      <c r="BZ2778" s="1">
        <v>0</v>
      </c>
      <c r="CA2778" s="1" t="s">
        <v>109</v>
      </c>
      <c r="CB2778" s="1">
        <v>2</v>
      </c>
      <c r="CC2778" s="1" t="s">
        <v>109</v>
      </c>
      <c r="CD2778" s="1" t="s">
        <v>109</v>
      </c>
      <c r="CE2778" s="1" t="s">
        <v>109</v>
      </c>
      <c r="CF2778" s="1">
        <v>2</v>
      </c>
      <c r="CG2778" s="1" t="s">
        <v>109</v>
      </c>
      <c r="CH2778" s="1" t="s">
        <v>109</v>
      </c>
      <c r="CI2778" s="1" t="s">
        <v>109</v>
      </c>
      <c r="CJ2778" s="1" t="s">
        <v>109</v>
      </c>
      <c r="CK2778" s="1"/>
      <c r="CL2778" s="1">
        <v>0</v>
      </c>
      <c r="CM2778" s="1">
        <v>0</v>
      </c>
      <c r="CN2778" s="1">
        <v>0</v>
      </c>
    </row>
    <row r="2779" spans="1:92" ht="14.25" customHeight="1" x14ac:dyDescent="0.15">
      <c r="A2779" s="1" t="s">
        <v>19551</v>
      </c>
      <c r="B2779" s="1" t="s">
        <v>189</v>
      </c>
      <c r="C2779" s="1"/>
      <c r="D2779" s="1"/>
      <c r="E2779" s="1" t="s">
        <v>19552</v>
      </c>
      <c r="F2779" s="1" t="s">
        <v>98</v>
      </c>
      <c r="G2779" s="1" t="s">
        <v>19553</v>
      </c>
      <c r="H2779" s="1">
        <v>0</v>
      </c>
      <c r="I2779" s="1" t="s">
        <v>235</v>
      </c>
      <c r="J2779" s="1"/>
      <c r="K2779" s="1"/>
      <c r="L2779" s="1" t="s">
        <v>236</v>
      </c>
      <c r="M2779" s="1" t="s">
        <v>3042</v>
      </c>
      <c r="N2779" s="1">
        <v>0</v>
      </c>
      <c r="O2779" s="1">
        <v>0</v>
      </c>
      <c r="P2779" s="1" t="s">
        <v>103</v>
      </c>
      <c r="Q2779" s="1" t="s">
        <v>104</v>
      </c>
      <c r="R2779" s="1" t="s">
        <v>19554</v>
      </c>
      <c r="S2779" s="1" t="s">
        <v>19555</v>
      </c>
      <c r="T2779" s="1" t="s">
        <v>19543</v>
      </c>
      <c r="U2779" s="1" t="s">
        <v>19556</v>
      </c>
      <c r="V2779" s="1">
        <v>1</v>
      </c>
      <c r="W2779" s="1">
        <v>1</v>
      </c>
      <c r="X2779" s="1">
        <v>0</v>
      </c>
      <c r="Y2779" s="1">
        <v>0</v>
      </c>
      <c r="Z2779" s="1">
        <v>0</v>
      </c>
      <c r="AA2779" s="1">
        <v>1</v>
      </c>
      <c r="AB2779" s="1">
        <v>1</v>
      </c>
      <c r="AC2779" s="1" t="s">
        <v>109</v>
      </c>
      <c r="AD2779" s="1" t="s">
        <v>109</v>
      </c>
      <c r="AE2779" s="1" t="s">
        <v>109</v>
      </c>
      <c r="AF2779" s="1">
        <v>1</v>
      </c>
      <c r="AG2779" s="1" t="s">
        <v>109</v>
      </c>
      <c r="AH2779" s="1" t="s">
        <v>109</v>
      </c>
      <c r="AI2779" s="1" t="s">
        <v>109</v>
      </c>
      <c r="AJ2779" s="1" t="s">
        <v>109</v>
      </c>
      <c r="AK2779" s="1">
        <v>1</v>
      </c>
      <c r="AL2779" s="1" t="s">
        <v>109</v>
      </c>
      <c r="AM2779" s="1" t="s">
        <v>109</v>
      </c>
      <c r="AN2779" s="1" t="s">
        <v>109</v>
      </c>
      <c r="AO2779" s="1" t="s">
        <v>109</v>
      </c>
      <c r="AP2779" s="1"/>
      <c r="AQ2779" s="1">
        <v>1</v>
      </c>
      <c r="AR2779" s="1"/>
      <c r="AS2779" s="1"/>
      <c r="AT2779" s="1">
        <v>0</v>
      </c>
      <c r="AU2779" s="1">
        <v>0</v>
      </c>
      <c r="AV2779" s="1">
        <v>0</v>
      </c>
      <c r="AW2779" s="1">
        <v>0</v>
      </c>
      <c r="AX2779" s="1">
        <v>0</v>
      </c>
      <c r="AY2779" s="1">
        <v>0</v>
      </c>
      <c r="AZ2779" s="1">
        <v>0</v>
      </c>
      <c r="BA2779" s="1">
        <v>0</v>
      </c>
      <c r="BB2779" s="1">
        <v>0</v>
      </c>
      <c r="BC2779" s="1">
        <v>0</v>
      </c>
      <c r="BD2779" s="1">
        <v>0</v>
      </c>
      <c r="BE2779" s="1">
        <v>0</v>
      </c>
      <c r="BF2779" s="1">
        <v>0</v>
      </c>
      <c r="BG2779" s="1">
        <v>0</v>
      </c>
      <c r="BH2779" s="1">
        <v>0</v>
      </c>
      <c r="BI2779" s="1">
        <v>0</v>
      </c>
      <c r="BJ2779" s="1">
        <v>0</v>
      </c>
      <c r="BK2779" s="1">
        <v>0</v>
      </c>
      <c r="BL2779" s="1">
        <v>0</v>
      </c>
      <c r="BM2779" s="1">
        <v>0</v>
      </c>
      <c r="BN2779" s="1">
        <v>0</v>
      </c>
      <c r="BO2779" s="1">
        <v>0</v>
      </c>
      <c r="BP2779" s="1">
        <v>0</v>
      </c>
      <c r="BQ2779" s="1">
        <v>0</v>
      </c>
      <c r="BR2779" s="1">
        <v>0</v>
      </c>
      <c r="BS2779" s="1" t="s">
        <v>109</v>
      </c>
      <c r="BT2779" s="1">
        <v>4872</v>
      </c>
      <c r="BU2779" s="1" t="s">
        <v>109</v>
      </c>
      <c r="BV2779" s="1"/>
      <c r="BW2779" s="1"/>
      <c r="BX2779" s="1"/>
      <c r="BY2779" s="1"/>
      <c r="BZ2779" s="1">
        <v>0</v>
      </c>
      <c r="CA2779" s="1" t="s">
        <v>109</v>
      </c>
      <c r="CB2779" s="1" t="s">
        <v>109</v>
      </c>
      <c r="CC2779" s="1" t="s">
        <v>109</v>
      </c>
      <c r="CD2779" s="1" t="s">
        <v>109</v>
      </c>
      <c r="CE2779" s="1" t="s">
        <v>109</v>
      </c>
      <c r="CF2779" s="1">
        <v>1</v>
      </c>
      <c r="CG2779" s="1" t="s">
        <v>109</v>
      </c>
      <c r="CH2779" s="1">
        <v>1</v>
      </c>
      <c r="CI2779" s="1" t="s">
        <v>109</v>
      </c>
      <c r="CJ2779" s="1" t="s">
        <v>109</v>
      </c>
      <c r="CK2779" s="1"/>
      <c r="CL2779" s="1">
        <v>0</v>
      </c>
      <c r="CM2779" s="1">
        <v>0</v>
      </c>
      <c r="CN2779" s="1">
        <v>0</v>
      </c>
    </row>
    <row r="2780" spans="1:92" ht="14.25" customHeight="1" x14ac:dyDescent="0.15">
      <c r="A2780" s="1" t="s">
        <v>19557</v>
      </c>
      <c r="B2780" s="1" t="s">
        <v>95</v>
      </c>
      <c r="C2780" s="1" t="s">
        <v>694</v>
      </c>
      <c r="D2780" s="1"/>
      <c r="E2780" s="1" t="s">
        <v>19558</v>
      </c>
      <c r="F2780" s="1" t="s">
        <v>98</v>
      </c>
      <c r="G2780" s="1" t="s">
        <v>19559</v>
      </c>
      <c r="H2780" s="1">
        <v>0</v>
      </c>
      <c r="I2780" s="1" t="s">
        <v>235</v>
      </c>
      <c r="J2780" s="1"/>
      <c r="K2780" s="1"/>
      <c r="L2780" s="1" t="s">
        <v>236</v>
      </c>
      <c r="M2780" s="1" t="s">
        <v>289</v>
      </c>
      <c r="N2780" s="1">
        <v>0</v>
      </c>
      <c r="O2780" s="1">
        <v>0</v>
      </c>
      <c r="P2780" s="1" t="s">
        <v>103</v>
      </c>
      <c r="Q2780" s="1" t="s">
        <v>104</v>
      </c>
      <c r="R2780" s="1" t="s">
        <v>19560</v>
      </c>
      <c r="S2780" s="1" t="s">
        <v>19561</v>
      </c>
      <c r="T2780" s="1" t="s">
        <v>19543</v>
      </c>
      <c r="U2780" s="1" t="s">
        <v>19562</v>
      </c>
      <c r="V2780" s="1">
        <v>1</v>
      </c>
      <c r="W2780" s="1">
        <v>1</v>
      </c>
      <c r="X2780" s="1">
        <v>0</v>
      </c>
      <c r="Y2780" s="1">
        <v>0</v>
      </c>
      <c r="Z2780" s="1">
        <v>0</v>
      </c>
      <c r="AA2780" s="1" t="s">
        <v>109</v>
      </c>
      <c r="AB2780" s="1" t="s">
        <v>109</v>
      </c>
      <c r="AC2780" s="1">
        <v>2</v>
      </c>
      <c r="AD2780" s="1">
        <v>2</v>
      </c>
      <c r="AE2780" s="1">
        <v>2</v>
      </c>
      <c r="AF2780" s="1" t="s">
        <v>109</v>
      </c>
      <c r="AG2780" s="1">
        <v>2</v>
      </c>
      <c r="AH2780" s="1" t="s">
        <v>109</v>
      </c>
      <c r="AI2780" s="1" t="s">
        <v>109</v>
      </c>
      <c r="AJ2780" s="1" t="s">
        <v>109</v>
      </c>
      <c r="AK2780" s="1" t="s">
        <v>109</v>
      </c>
      <c r="AL2780" s="1">
        <v>2</v>
      </c>
      <c r="AM2780" s="1" t="s">
        <v>109</v>
      </c>
      <c r="AN2780" s="1" t="s">
        <v>109</v>
      </c>
      <c r="AO2780" s="1" t="s">
        <v>109</v>
      </c>
      <c r="AP2780" s="1"/>
      <c r="AQ2780" s="1">
        <v>2</v>
      </c>
      <c r="AR2780" s="1"/>
      <c r="AS2780" s="1"/>
      <c r="AT2780" s="1">
        <v>0</v>
      </c>
      <c r="AU2780" s="1">
        <v>0</v>
      </c>
      <c r="AV2780" s="1">
        <v>0</v>
      </c>
      <c r="AW2780" s="1">
        <v>0</v>
      </c>
      <c r="AX2780" s="1">
        <v>0</v>
      </c>
      <c r="AY2780" s="1">
        <v>0</v>
      </c>
      <c r="AZ2780" s="1">
        <v>0</v>
      </c>
      <c r="BA2780" s="1">
        <v>0</v>
      </c>
      <c r="BB2780" s="1">
        <v>0</v>
      </c>
      <c r="BC2780" s="1">
        <v>0</v>
      </c>
      <c r="BD2780" s="1">
        <v>0</v>
      </c>
      <c r="BE2780" s="1">
        <v>0</v>
      </c>
      <c r="BF2780" s="1">
        <v>0</v>
      </c>
      <c r="BG2780" s="1">
        <v>0</v>
      </c>
      <c r="BH2780" s="1">
        <v>0</v>
      </c>
      <c r="BI2780" s="1">
        <v>0</v>
      </c>
      <c r="BJ2780" s="1">
        <v>0</v>
      </c>
      <c r="BK2780" s="1">
        <v>0</v>
      </c>
      <c r="BL2780" s="1">
        <v>0</v>
      </c>
      <c r="BM2780" s="1">
        <v>0</v>
      </c>
      <c r="BN2780" s="1">
        <v>0</v>
      </c>
      <c r="BO2780" s="1">
        <v>0</v>
      </c>
      <c r="BP2780" s="1">
        <v>0</v>
      </c>
      <c r="BQ2780" s="1">
        <v>0</v>
      </c>
      <c r="BR2780" s="1">
        <v>0</v>
      </c>
      <c r="BS2780" s="1" t="s">
        <v>109</v>
      </c>
      <c r="BT2780" s="1">
        <v>4873</v>
      </c>
      <c r="BU2780" s="1" t="s">
        <v>109</v>
      </c>
      <c r="BV2780" s="1"/>
      <c r="BW2780" s="1"/>
      <c r="BX2780" s="1"/>
      <c r="BY2780" s="1"/>
      <c r="BZ2780" s="1">
        <v>0</v>
      </c>
      <c r="CA2780" s="1" t="s">
        <v>109</v>
      </c>
      <c r="CB2780" s="1">
        <v>2</v>
      </c>
      <c r="CC2780" s="1" t="s">
        <v>109</v>
      </c>
      <c r="CD2780" s="1" t="s">
        <v>109</v>
      </c>
      <c r="CE2780" s="1" t="s">
        <v>109</v>
      </c>
      <c r="CF2780" s="1">
        <v>2</v>
      </c>
      <c r="CG2780" s="1" t="s">
        <v>109</v>
      </c>
      <c r="CH2780" s="1" t="s">
        <v>109</v>
      </c>
      <c r="CI2780" s="1" t="s">
        <v>109</v>
      </c>
      <c r="CJ2780" s="1">
        <v>2</v>
      </c>
      <c r="CK2780" s="1"/>
      <c r="CL2780" s="1">
        <v>0</v>
      </c>
      <c r="CM2780" s="1">
        <v>0</v>
      </c>
      <c r="CN2780" s="1">
        <v>0</v>
      </c>
    </row>
    <row r="2781" spans="1:92" ht="14.25" customHeight="1" x14ac:dyDescent="0.15">
      <c r="A2781" s="1" t="s">
        <v>19563</v>
      </c>
      <c r="B2781" s="1" t="s">
        <v>189</v>
      </c>
      <c r="C2781" s="1"/>
      <c r="D2781" s="1"/>
      <c r="E2781" s="1" t="s">
        <v>19564</v>
      </c>
      <c r="F2781" s="1" t="s">
        <v>98</v>
      </c>
      <c r="G2781" s="1" t="s">
        <v>19565</v>
      </c>
      <c r="H2781" s="1">
        <v>0</v>
      </c>
      <c r="I2781" s="1" t="s">
        <v>235</v>
      </c>
      <c r="J2781" s="1"/>
      <c r="K2781" s="1"/>
      <c r="L2781" s="1" t="s">
        <v>236</v>
      </c>
      <c r="M2781" s="1" t="s">
        <v>3042</v>
      </c>
      <c r="N2781" s="1">
        <v>0</v>
      </c>
      <c r="O2781" s="1">
        <v>0</v>
      </c>
      <c r="P2781" s="1" t="s">
        <v>103</v>
      </c>
      <c r="Q2781" s="1" t="s">
        <v>104</v>
      </c>
      <c r="R2781" s="1" t="s">
        <v>19566</v>
      </c>
      <c r="S2781" s="1" t="s">
        <v>19567</v>
      </c>
      <c r="T2781" s="1" t="s">
        <v>19543</v>
      </c>
      <c r="U2781" s="1" t="s">
        <v>19568</v>
      </c>
      <c r="V2781" s="1">
        <v>1</v>
      </c>
      <c r="W2781" s="1">
        <v>1</v>
      </c>
      <c r="X2781" s="1">
        <v>0</v>
      </c>
      <c r="Y2781" s="1">
        <v>0</v>
      </c>
      <c r="Z2781" s="1">
        <v>0</v>
      </c>
      <c r="AA2781" s="1">
        <v>1</v>
      </c>
      <c r="AB2781" s="1">
        <v>1</v>
      </c>
      <c r="AC2781" s="1" t="s">
        <v>109</v>
      </c>
      <c r="AD2781" s="1" t="s">
        <v>109</v>
      </c>
      <c r="AE2781" s="1">
        <v>1</v>
      </c>
      <c r="AF2781" s="1">
        <v>1</v>
      </c>
      <c r="AG2781" s="1" t="s">
        <v>109</v>
      </c>
      <c r="AH2781" s="1" t="s">
        <v>109</v>
      </c>
      <c r="AI2781" s="1" t="s">
        <v>109</v>
      </c>
      <c r="AJ2781" s="1">
        <v>1</v>
      </c>
      <c r="AK2781" s="1" t="s">
        <v>109</v>
      </c>
      <c r="AL2781" s="1" t="s">
        <v>109</v>
      </c>
      <c r="AM2781" s="1" t="s">
        <v>109</v>
      </c>
      <c r="AN2781" s="1" t="s">
        <v>109</v>
      </c>
      <c r="AO2781" s="1" t="s">
        <v>109</v>
      </c>
      <c r="AP2781" s="1"/>
      <c r="AQ2781" s="1">
        <v>1</v>
      </c>
      <c r="AR2781" s="1"/>
      <c r="AS2781" s="1"/>
      <c r="AT2781" s="1">
        <v>0</v>
      </c>
      <c r="AU2781" s="1">
        <v>0</v>
      </c>
      <c r="AV2781" s="1">
        <v>0</v>
      </c>
      <c r="AW2781" s="1">
        <v>0</v>
      </c>
      <c r="AX2781" s="1">
        <v>0</v>
      </c>
      <c r="AY2781" s="1">
        <v>0</v>
      </c>
      <c r="AZ2781" s="1">
        <v>0</v>
      </c>
      <c r="BA2781" s="1">
        <v>0</v>
      </c>
      <c r="BB2781" s="1">
        <v>0</v>
      </c>
      <c r="BC2781" s="1">
        <v>0</v>
      </c>
      <c r="BD2781" s="1">
        <v>0</v>
      </c>
      <c r="BE2781" s="1">
        <v>0</v>
      </c>
      <c r="BF2781" s="1">
        <v>0</v>
      </c>
      <c r="BG2781" s="1">
        <v>0</v>
      </c>
      <c r="BH2781" s="1">
        <v>0</v>
      </c>
      <c r="BI2781" s="1">
        <v>0</v>
      </c>
      <c r="BJ2781" s="1">
        <v>0</v>
      </c>
      <c r="BK2781" s="1">
        <v>0</v>
      </c>
      <c r="BL2781" s="1">
        <v>0</v>
      </c>
      <c r="BM2781" s="1">
        <v>0</v>
      </c>
      <c r="BN2781" s="1">
        <v>0</v>
      </c>
      <c r="BO2781" s="1">
        <v>0</v>
      </c>
      <c r="BP2781" s="1">
        <v>0</v>
      </c>
      <c r="BQ2781" s="1">
        <v>0</v>
      </c>
      <c r="BR2781" s="1">
        <v>0</v>
      </c>
      <c r="BS2781" s="1" t="s">
        <v>109</v>
      </c>
      <c r="BT2781" s="1">
        <v>4874</v>
      </c>
      <c r="BU2781" s="1" t="s">
        <v>109</v>
      </c>
      <c r="BV2781" s="1"/>
      <c r="BW2781" s="1"/>
      <c r="BX2781" s="1"/>
      <c r="BY2781" s="1"/>
      <c r="BZ2781" s="1">
        <v>0</v>
      </c>
      <c r="CA2781" s="1" t="s">
        <v>109</v>
      </c>
      <c r="CB2781" s="1">
        <v>1</v>
      </c>
      <c r="CC2781" s="1" t="s">
        <v>109</v>
      </c>
      <c r="CD2781" s="1" t="s">
        <v>109</v>
      </c>
      <c r="CE2781" s="1" t="s">
        <v>109</v>
      </c>
      <c r="CF2781" s="1">
        <v>1</v>
      </c>
      <c r="CG2781" s="1" t="s">
        <v>109</v>
      </c>
      <c r="CH2781" s="1" t="s">
        <v>109</v>
      </c>
      <c r="CI2781" s="1" t="s">
        <v>109</v>
      </c>
      <c r="CJ2781" s="1">
        <v>1</v>
      </c>
      <c r="CK2781" s="1"/>
      <c r="CL2781" s="1">
        <v>0</v>
      </c>
      <c r="CM2781" s="1">
        <v>0</v>
      </c>
      <c r="CN2781" s="1">
        <v>0</v>
      </c>
    </row>
    <row r="2782" spans="1:92" ht="14.25" customHeight="1" x14ac:dyDescent="0.15">
      <c r="A2782" s="1" t="s">
        <v>19569</v>
      </c>
      <c r="B2782" s="1" t="s">
        <v>189</v>
      </c>
      <c r="C2782" s="1"/>
      <c r="D2782" s="1"/>
      <c r="E2782" s="1" t="s">
        <v>19570</v>
      </c>
      <c r="F2782" s="1" t="s">
        <v>98</v>
      </c>
      <c r="G2782" s="1" t="s">
        <v>19571</v>
      </c>
      <c r="H2782" s="1">
        <v>0</v>
      </c>
      <c r="I2782" s="1" t="s">
        <v>235</v>
      </c>
      <c r="J2782" s="1"/>
      <c r="K2782" s="1"/>
      <c r="L2782" s="1" t="s">
        <v>236</v>
      </c>
      <c r="M2782" s="1" t="s">
        <v>125</v>
      </c>
      <c r="N2782" s="1">
        <v>0</v>
      </c>
      <c r="O2782" s="1">
        <v>0</v>
      </c>
      <c r="P2782" s="1" t="s">
        <v>103</v>
      </c>
      <c r="Q2782" s="1" t="s">
        <v>104</v>
      </c>
      <c r="R2782" s="1" t="s">
        <v>19572</v>
      </c>
      <c r="S2782" s="1" t="s">
        <v>19573</v>
      </c>
      <c r="T2782" s="1" t="s">
        <v>19543</v>
      </c>
      <c r="U2782" s="1" t="s">
        <v>19574</v>
      </c>
      <c r="V2782" s="1">
        <v>1</v>
      </c>
      <c r="W2782" s="1">
        <v>1</v>
      </c>
      <c r="X2782" s="1">
        <v>0</v>
      </c>
      <c r="Y2782" s="1">
        <v>0</v>
      </c>
      <c r="Z2782" s="1">
        <v>0</v>
      </c>
      <c r="AA2782" s="1" t="s">
        <v>109</v>
      </c>
      <c r="AB2782" s="1" t="s">
        <v>109</v>
      </c>
      <c r="AC2782" s="1" t="s">
        <v>109</v>
      </c>
      <c r="AD2782" s="1">
        <v>2</v>
      </c>
      <c r="AE2782" s="1">
        <v>2</v>
      </c>
      <c r="AF2782" s="1" t="s">
        <v>109</v>
      </c>
      <c r="AG2782" s="1" t="s">
        <v>109</v>
      </c>
      <c r="AH2782" s="1" t="s">
        <v>109</v>
      </c>
      <c r="AI2782" s="1" t="s">
        <v>109</v>
      </c>
      <c r="AJ2782" s="1" t="s">
        <v>109</v>
      </c>
      <c r="AK2782" s="1" t="s">
        <v>109</v>
      </c>
      <c r="AL2782" s="1" t="s">
        <v>109</v>
      </c>
      <c r="AM2782" s="1" t="s">
        <v>109</v>
      </c>
      <c r="AN2782" s="1" t="s">
        <v>109</v>
      </c>
      <c r="AO2782" s="1" t="s">
        <v>109</v>
      </c>
      <c r="AP2782" s="1"/>
      <c r="AQ2782" s="1">
        <v>2</v>
      </c>
      <c r="AR2782" s="1"/>
      <c r="AS2782" s="1"/>
      <c r="AT2782" s="1">
        <v>0</v>
      </c>
      <c r="AU2782" s="1">
        <v>0</v>
      </c>
      <c r="AV2782" s="1">
        <v>0</v>
      </c>
      <c r="AW2782" s="1">
        <v>0</v>
      </c>
      <c r="AX2782" s="1">
        <v>0</v>
      </c>
      <c r="AY2782" s="1">
        <v>0</v>
      </c>
      <c r="AZ2782" s="1">
        <v>0</v>
      </c>
      <c r="BA2782" s="1">
        <v>0</v>
      </c>
      <c r="BB2782" s="1">
        <v>0</v>
      </c>
      <c r="BC2782" s="1">
        <v>0</v>
      </c>
      <c r="BD2782" s="1">
        <v>0</v>
      </c>
      <c r="BE2782" s="1">
        <v>0</v>
      </c>
      <c r="BF2782" s="1">
        <v>0</v>
      </c>
      <c r="BG2782" s="1">
        <v>0</v>
      </c>
      <c r="BH2782" s="1">
        <v>0</v>
      </c>
      <c r="BI2782" s="1">
        <v>0</v>
      </c>
      <c r="BJ2782" s="1">
        <v>0</v>
      </c>
      <c r="BK2782" s="1">
        <v>0</v>
      </c>
      <c r="BL2782" s="1">
        <v>0</v>
      </c>
      <c r="BM2782" s="1">
        <v>0</v>
      </c>
      <c r="BN2782" s="1">
        <v>0</v>
      </c>
      <c r="BO2782" s="1">
        <v>0</v>
      </c>
      <c r="BP2782" s="1">
        <v>0</v>
      </c>
      <c r="BQ2782" s="1">
        <v>0</v>
      </c>
      <c r="BR2782" s="1">
        <v>0</v>
      </c>
      <c r="BS2782" s="1" t="s">
        <v>109</v>
      </c>
      <c r="BT2782" s="1">
        <v>4875</v>
      </c>
      <c r="BU2782" s="1" t="s">
        <v>109</v>
      </c>
      <c r="BV2782" s="1"/>
      <c r="BW2782" s="1"/>
      <c r="BX2782" s="1"/>
      <c r="BY2782" s="1"/>
      <c r="BZ2782" s="1">
        <v>0</v>
      </c>
      <c r="CA2782" s="1" t="s">
        <v>109</v>
      </c>
      <c r="CB2782" s="1">
        <v>2</v>
      </c>
      <c r="CC2782" s="1" t="s">
        <v>109</v>
      </c>
      <c r="CD2782" s="1" t="s">
        <v>109</v>
      </c>
      <c r="CE2782" s="1" t="s">
        <v>109</v>
      </c>
      <c r="CF2782" s="1">
        <v>2</v>
      </c>
      <c r="CG2782" s="1" t="s">
        <v>109</v>
      </c>
      <c r="CH2782" s="1" t="s">
        <v>109</v>
      </c>
      <c r="CI2782" s="1" t="s">
        <v>109</v>
      </c>
      <c r="CJ2782" s="1">
        <v>2</v>
      </c>
      <c r="CK2782" s="1"/>
      <c r="CL2782" s="1">
        <v>0</v>
      </c>
      <c r="CM2782" s="1">
        <v>0</v>
      </c>
      <c r="CN2782" s="1">
        <v>0</v>
      </c>
    </row>
    <row r="2783" spans="1:92" ht="14.25" customHeight="1" x14ac:dyDescent="0.15">
      <c r="A2783" s="1" t="s">
        <v>19575</v>
      </c>
      <c r="B2783" s="1" t="s">
        <v>254</v>
      </c>
      <c r="C2783" s="1"/>
      <c r="D2783" s="1" t="s">
        <v>70</v>
      </c>
      <c r="E2783" s="1" t="s">
        <v>19576</v>
      </c>
      <c r="F2783" s="1" t="s">
        <v>98</v>
      </c>
      <c r="G2783" s="1" t="s">
        <v>141</v>
      </c>
      <c r="H2783" s="1">
        <v>0</v>
      </c>
      <c r="I2783" s="1" t="s">
        <v>122</v>
      </c>
      <c r="J2783" s="1" t="s">
        <v>16714</v>
      </c>
      <c r="K2783" s="1"/>
      <c r="L2783" s="1"/>
      <c r="M2783" s="1" t="s">
        <v>289</v>
      </c>
      <c r="N2783" s="1">
        <v>0</v>
      </c>
      <c r="O2783" s="1">
        <v>0</v>
      </c>
      <c r="P2783" s="1" t="s">
        <v>103</v>
      </c>
      <c r="Q2783" s="1" t="s">
        <v>104</v>
      </c>
      <c r="R2783" s="1" t="s">
        <v>19577</v>
      </c>
      <c r="S2783" s="1" t="s">
        <v>19578</v>
      </c>
      <c r="T2783" s="1" t="s">
        <v>19579</v>
      </c>
      <c r="U2783" s="1" t="s">
        <v>19580</v>
      </c>
      <c r="V2783" s="1">
        <v>1</v>
      </c>
      <c r="W2783" s="1">
        <v>1</v>
      </c>
      <c r="X2783" s="1">
        <v>0</v>
      </c>
      <c r="Y2783" s="1">
        <v>0</v>
      </c>
      <c r="Z2783" s="1">
        <v>0</v>
      </c>
      <c r="AA2783" s="1" t="s">
        <v>109</v>
      </c>
      <c r="AB2783" s="1" t="s">
        <v>109</v>
      </c>
      <c r="AC2783" s="1" t="s">
        <v>109</v>
      </c>
      <c r="AD2783" s="1">
        <v>3</v>
      </c>
      <c r="AE2783" s="1">
        <v>2</v>
      </c>
      <c r="AF2783" s="1" t="s">
        <v>109</v>
      </c>
      <c r="AG2783" s="1" t="s">
        <v>109</v>
      </c>
      <c r="AH2783" s="1" t="s">
        <v>109</v>
      </c>
      <c r="AI2783" s="1" t="s">
        <v>109</v>
      </c>
      <c r="AJ2783" s="1" t="s">
        <v>109</v>
      </c>
      <c r="AK2783" s="1">
        <v>3</v>
      </c>
      <c r="AL2783" s="1" t="s">
        <v>109</v>
      </c>
      <c r="AM2783" s="1" t="s">
        <v>109</v>
      </c>
      <c r="AN2783" s="1" t="s">
        <v>109</v>
      </c>
      <c r="AO2783" s="1" t="s">
        <v>109</v>
      </c>
      <c r="AP2783" s="1"/>
      <c r="AQ2783" s="1">
        <v>3</v>
      </c>
      <c r="AR2783" s="1"/>
      <c r="AS2783" s="1"/>
      <c r="AT2783" s="1">
        <v>0</v>
      </c>
      <c r="AU2783" s="1">
        <v>0</v>
      </c>
      <c r="AV2783" s="1">
        <v>0</v>
      </c>
      <c r="AW2783" s="1">
        <v>0</v>
      </c>
      <c r="AX2783" s="1">
        <v>0</v>
      </c>
      <c r="AY2783" s="1">
        <v>0</v>
      </c>
      <c r="AZ2783" s="1">
        <v>0</v>
      </c>
      <c r="BA2783" s="1">
        <v>0</v>
      </c>
      <c r="BB2783" s="1">
        <v>0</v>
      </c>
      <c r="BC2783" s="1">
        <v>0</v>
      </c>
      <c r="BD2783" s="1">
        <v>0</v>
      </c>
      <c r="BE2783" s="1">
        <v>0</v>
      </c>
      <c r="BF2783" s="1">
        <v>0</v>
      </c>
      <c r="BG2783" s="1">
        <v>0</v>
      </c>
      <c r="BH2783" s="1">
        <v>0</v>
      </c>
      <c r="BI2783" s="1">
        <v>0</v>
      </c>
      <c r="BJ2783" s="1">
        <v>0</v>
      </c>
      <c r="BK2783" s="1">
        <v>0</v>
      </c>
      <c r="BL2783" s="1">
        <v>0</v>
      </c>
      <c r="BM2783" s="1">
        <v>0</v>
      </c>
      <c r="BN2783" s="1">
        <v>0</v>
      </c>
      <c r="BO2783" s="1">
        <v>0</v>
      </c>
      <c r="BP2783" s="1">
        <v>0</v>
      </c>
      <c r="BQ2783" s="1">
        <v>0</v>
      </c>
      <c r="BR2783" s="1">
        <v>1</v>
      </c>
      <c r="BS2783" s="1" t="s">
        <v>109</v>
      </c>
      <c r="BT2783" s="1">
        <v>4876</v>
      </c>
      <c r="BU2783" s="1" t="s">
        <v>109</v>
      </c>
      <c r="BV2783" s="1"/>
      <c r="BW2783" s="1"/>
      <c r="BX2783" s="1"/>
      <c r="BY2783" s="1"/>
      <c r="BZ2783" s="1">
        <v>0</v>
      </c>
      <c r="CA2783" s="1" t="s">
        <v>109</v>
      </c>
      <c r="CB2783" s="1">
        <v>3</v>
      </c>
      <c r="CC2783" s="1" t="s">
        <v>109</v>
      </c>
      <c r="CD2783" s="1" t="s">
        <v>109</v>
      </c>
      <c r="CE2783" s="1" t="s">
        <v>109</v>
      </c>
      <c r="CF2783" s="1" t="s">
        <v>109</v>
      </c>
      <c r="CG2783" s="1" t="s">
        <v>109</v>
      </c>
      <c r="CH2783" s="1" t="s">
        <v>109</v>
      </c>
      <c r="CI2783" s="1" t="s">
        <v>109</v>
      </c>
      <c r="CJ2783" s="1">
        <v>2</v>
      </c>
      <c r="CK2783" s="1"/>
      <c r="CL2783" s="1">
        <v>0</v>
      </c>
      <c r="CM2783" s="1">
        <v>0</v>
      </c>
      <c r="CN2783" s="1">
        <v>0</v>
      </c>
    </row>
    <row r="2784" spans="1:92" ht="14.25" customHeight="1" x14ac:dyDescent="0.15">
      <c r="A2784" s="1" t="s">
        <v>19581</v>
      </c>
      <c r="B2784" s="1" t="s">
        <v>584</v>
      </c>
      <c r="C2784" s="1"/>
      <c r="D2784" s="1"/>
      <c r="E2784" s="1" t="s">
        <v>19582</v>
      </c>
      <c r="F2784" s="1" t="s">
        <v>98</v>
      </c>
      <c r="G2784" s="1" t="s">
        <v>19583</v>
      </c>
      <c r="H2784" s="1">
        <v>0</v>
      </c>
      <c r="I2784" s="1" t="s">
        <v>161</v>
      </c>
      <c r="J2784" s="1"/>
      <c r="K2784" s="1"/>
      <c r="L2784" s="1" t="s">
        <v>506</v>
      </c>
      <c r="M2784" s="1" t="s">
        <v>5642</v>
      </c>
      <c r="N2784" s="1">
        <v>0</v>
      </c>
      <c r="O2784" s="1">
        <v>0</v>
      </c>
      <c r="P2784" s="1" t="s">
        <v>301</v>
      </c>
      <c r="Q2784" s="1" t="s">
        <v>268</v>
      </c>
      <c r="R2784" s="1" t="s">
        <v>19584</v>
      </c>
      <c r="S2784" s="1" t="s">
        <v>19585</v>
      </c>
      <c r="T2784" s="1" t="s">
        <v>19579</v>
      </c>
      <c r="U2784" s="1" t="s">
        <v>19586</v>
      </c>
      <c r="V2784" s="1">
        <v>1</v>
      </c>
      <c r="W2784" s="1">
        <v>1</v>
      </c>
      <c r="X2784" s="1">
        <v>1</v>
      </c>
      <c r="Y2784" s="1">
        <v>0</v>
      </c>
      <c r="Z2784" s="1">
        <v>1</v>
      </c>
      <c r="AA2784" s="1" t="s">
        <v>109</v>
      </c>
      <c r="AB2784" s="1" t="s">
        <v>109</v>
      </c>
      <c r="AC2784" s="1" t="s">
        <v>109</v>
      </c>
      <c r="AD2784" s="1">
        <v>2</v>
      </c>
      <c r="AE2784" s="1">
        <v>2</v>
      </c>
      <c r="AF2784" s="1">
        <v>2</v>
      </c>
      <c r="AG2784" s="1" t="s">
        <v>109</v>
      </c>
      <c r="AH2784" s="1">
        <v>2</v>
      </c>
      <c r="AI2784" s="1" t="s">
        <v>109</v>
      </c>
      <c r="AJ2784" s="1" t="s">
        <v>109</v>
      </c>
      <c r="AK2784" s="1" t="s">
        <v>109</v>
      </c>
      <c r="AL2784" s="1" t="s">
        <v>109</v>
      </c>
      <c r="AM2784" s="1" t="s">
        <v>109</v>
      </c>
      <c r="AN2784" s="1" t="s">
        <v>109</v>
      </c>
      <c r="AO2784" s="1" t="s">
        <v>109</v>
      </c>
      <c r="AP2784" s="1"/>
      <c r="AQ2784" s="1">
        <v>2</v>
      </c>
      <c r="AR2784" s="1"/>
      <c r="AS2784" s="1"/>
      <c r="AT2784" s="1">
        <v>0</v>
      </c>
      <c r="AU2784" s="1">
        <v>0</v>
      </c>
      <c r="AV2784" s="1">
        <v>0</v>
      </c>
      <c r="AW2784" s="1">
        <v>0</v>
      </c>
      <c r="AX2784" s="1">
        <v>0</v>
      </c>
      <c r="AY2784" s="1">
        <v>0</v>
      </c>
      <c r="AZ2784" s="1">
        <v>0</v>
      </c>
      <c r="BA2784" s="1">
        <v>0</v>
      </c>
      <c r="BB2784" s="1">
        <v>0</v>
      </c>
      <c r="BC2784" s="1">
        <v>0</v>
      </c>
      <c r="BD2784" s="1">
        <v>0</v>
      </c>
      <c r="BE2784" s="1">
        <v>0</v>
      </c>
      <c r="BF2784" s="1">
        <v>0</v>
      </c>
      <c r="BG2784" s="1">
        <v>0</v>
      </c>
      <c r="BH2784" s="1">
        <v>0</v>
      </c>
      <c r="BI2784" s="1">
        <v>0</v>
      </c>
      <c r="BJ2784" s="1">
        <v>0</v>
      </c>
      <c r="BK2784" s="1">
        <v>0</v>
      </c>
      <c r="BL2784" s="1">
        <v>0</v>
      </c>
      <c r="BM2784" s="1">
        <v>0</v>
      </c>
      <c r="BN2784" s="1">
        <v>0</v>
      </c>
      <c r="BO2784" s="1">
        <v>0</v>
      </c>
      <c r="BP2784" s="1">
        <v>0</v>
      </c>
      <c r="BQ2784" s="1">
        <v>0</v>
      </c>
      <c r="BR2784" s="1">
        <v>0</v>
      </c>
      <c r="BS2784" s="1" t="s">
        <v>109</v>
      </c>
      <c r="BT2784" s="1">
        <v>4877</v>
      </c>
      <c r="BU2784" s="1" t="s">
        <v>109</v>
      </c>
      <c r="BV2784" s="1"/>
      <c r="BW2784" s="1"/>
      <c r="BX2784" s="1"/>
      <c r="BY2784" s="1"/>
      <c r="BZ2784" s="1">
        <v>0</v>
      </c>
      <c r="CA2784" s="1" t="s">
        <v>109</v>
      </c>
      <c r="CB2784" s="1">
        <v>2</v>
      </c>
      <c r="CC2784" s="1">
        <v>2</v>
      </c>
      <c r="CD2784" s="1">
        <v>2</v>
      </c>
      <c r="CE2784" s="1" t="s">
        <v>109</v>
      </c>
      <c r="CF2784" s="1">
        <v>2</v>
      </c>
      <c r="CG2784" s="1" t="s">
        <v>109</v>
      </c>
      <c r="CH2784" s="1" t="s">
        <v>109</v>
      </c>
      <c r="CI2784" s="1" t="s">
        <v>109</v>
      </c>
      <c r="CJ2784" s="1">
        <v>2</v>
      </c>
      <c r="CK2784" s="1"/>
      <c r="CL2784" s="1">
        <v>0</v>
      </c>
      <c r="CM2784" s="1">
        <v>0</v>
      </c>
      <c r="CN2784" s="1">
        <v>0</v>
      </c>
    </row>
    <row r="2785" spans="1:92" ht="14.25" customHeight="1" x14ac:dyDescent="0.15">
      <c r="A2785" s="1" t="s">
        <v>19587</v>
      </c>
      <c r="B2785" s="1" t="s">
        <v>242</v>
      </c>
      <c r="C2785" s="1"/>
      <c r="D2785" s="1"/>
      <c r="E2785" s="1" t="s">
        <v>19588</v>
      </c>
      <c r="F2785" s="1" t="s">
        <v>98</v>
      </c>
      <c r="G2785" s="1" t="s">
        <v>19589</v>
      </c>
      <c r="H2785" s="1">
        <v>0</v>
      </c>
      <c r="I2785" s="1" t="s">
        <v>161</v>
      </c>
      <c r="J2785" s="1"/>
      <c r="K2785" s="1"/>
      <c r="L2785" s="1" t="s">
        <v>506</v>
      </c>
      <c r="M2785" s="1" t="s">
        <v>5642</v>
      </c>
      <c r="N2785" s="1">
        <v>0</v>
      </c>
      <c r="O2785" s="1">
        <v>0</v>
      </c>
      <c r="P2785" s="1" t="s">
        <v>507</v>
      </c>
      <c r="Q2785" s="1" t="s">
        <v>167</v>
      </c>
      <c r="R2785" s="1" t="s">
        <v>19590</v>
      </c>
      <c r="S2785" s="1" t="s">
        <v>19591</v>
      </c>
      <c r="T2785" s="1" t="s">
        <v>19579</v>
      </c>
      <c r="U2785" s="1" t="s">
        <v>19592</v>
      </c>
      <c r="V2785" s="1">
        <v>1</v>
      </c>
      <c r="W2785" s="1">
        <v>1</v>
      </c>
      <c r="X2785" s="1">
        <v>1</v>
      </c>
      <c r="Y2785" s="1">
        <v>0</v>
      </c>
      <c r="Z2785" s="1">
        <v>1</v>
      </c>
      <c r="AA2785" s="1" t="s">
        <v>109</v>
      </c>
      <c r="AB2785" s="1" t="s">
        <v>109</v>
      </c>
      <c r="AC2785" s="1">
        <v>3</v>
      </c>
      <c r="AD2785" s="1">
        <v>3</v>
      </c>
      <c r="AE2785" s="1">
        <v>3</v>
      </c>
      <c r="AF2785" s="1">
        <v>3</v>
      </c>
      <c r="AG2785" s="1" t="s">
        <v>109</v>
      </c>
      <c r="AH2785" s="1">
        <v>3</v>
      </c>
      <c r="AI2785" s="1" t="s">
        <v>109</v>
      </c>
      <c r="AJ2785" s="1" t="s">
        <v>109</v>
      </c>
      <c r="AK2785" s="1">
        <v>3</v>
      </c>
      <c r="AL2785" s="1">
        <v>3</v>
      </c>
      <c r="AM2785" s="1" t="s">
        <v>109</v>
      </c>
      <c r="AN2785" s="1" t="s">
        <v>109</v>
      </c>
      <c r="AO2785" s="1" t="s">
        <v>109</v>
      </c>
      <c r="AP2785" s="1"/>
      <c r="AQ2785" s="1">
        <v>3</v>
      </c>
      <c r="AR2785" s="1"/>
      <c r="AS2785" s="1"/>
      <c r="AT2785" s="1">
        <v>0</v>
      </c>
      <c r="AU2785" s="1">
        <v>0</v>
      </c>
      <c r="AV2785" s="1">
        <v>0</v>
      </c>
      <c r="AW2785" s="1">
        <v>0</v>
      </c>
      <c r="AX2785" s="1">
        <v>0</v>
      </c>
      <c r="AY2785" s="1">
        <v>0</v>
      </c>
      <c r="AZ2785" s="1">
        <v>0</v>
      </c>
      <c r="BA2785" s="1">
        <v>0</v>
      </c>
      <c r="BB2785" s="1">
        <v>0</v>
      </c>
      <c r="BC2785" s="1">
        <v>0</v>
      </c>
      <c r="BD2785" s="1">
        <v>0</v>
      </c>
      <c r="BE2785" s="1">
        <v>0</v>
      </c>
      <c r="BF2785" s="1">
        <v>0</v>
      </c>
      <c r="BG2785" s="1">
        <v>0</v>
      </c>
      <c r="BH2785" s="1">
        <v>0</v>
      </c>
      <c r="BI2785" s="1">
        <v>0</v>
      </c>
      <c r="BJ2785" s="1">
        <v>0</v>
      </c>
      <c r="BK2785" s="1">
        <v>0</v>
      </c>
      <c r="BL2785" s="1">
        <v>0</v>
      </c>
      <c r="BM2785" s="1">
        <v>0</v>
      </c>
      <c r="BN2785" s="1">
        <v>0</v>
      </c>
      <c r="BO2785" s="1">
        <v>0</v>
      </c>
      <c r="BP2785" s="1">
        <v>0</v>
      </c>
      <c r="BQ2785" s="1">
        <v>0</v>
      </c>
      <c r="BR2785" s="1">
        <v>0</v>
      </c>
      <c r="BS2785" s="1" t="s">
        <v>109</v>
      </c>
      <c r="BT2785" s="1">
        <v>4878</v>
      </c>
      <c r="BU2785" s="1" t="s">
        <v>109</v>
      </c>
      <c r="BV2785" s="1"/>
      <c r="BW2785" s="1"/>
      <c r="BX2785" s="1"/>
      <c r="BY2785" s="1"/>
      <c r="BZ2785" s="1">
        <v>0</v>
      </c>
      <c r="CA2785" s="1" t="s">
        <v>109</v>
      </c>
      <c r="CB2785" s="1" t="s">
        <v>109</v>
      </c>
      <c r="CC2785" s="1">
        <v>3</v>
      </c>
      <c r="CD2785" s="1">
        <v>3</v>
      </c>
      <c r="CE2785" s="1">
        <v>3</v>
      </c>
      <c r="CF2785" s="1">
        <v>3</v>
      </c>
      <c r="CG2785" s="1">
        <v>3</v>
      </c>
      <c r="CH2785" s="1" t="s">
        <v>109</v>
      </c>
      <c r="CI2785" s="1" t="s">
        <v>109</v>
      </c>
      <c r="CJ2785" s="1">
        <v>3</v>
      </c>
      <c r="CK2785" s="1"/>
      <c r="CL2785" s="1">
        <v>0</v>
      </c>
      <c r="CM2785" s="1">
        <v>0</v>
      </c>
      <c r="CN2785" s="1">
        <v>0</v>
      </c>
    </row>
    <row r="2786" spans="1:92" ht="14.25" customHeight="1" x14ac:dyDescent="0.15">
      <c r="A2786" s="1" t="s">
        <v>19593</v>
      </c>
      <c r="B2786" s="1" t="s">
        <v>674</v>
      </c>
      <c r="C2786" s="1" t="s">
        <v>675</v>
      </c>
      <c r="D2786" s="1"/>
      <c r="E2786" s="1" t="s">
        <v>19594</v>
      </c>
      <c r="F2786" s="1" t="s">
        <v>98</v>
      </c>
      <c r="G2786" s="1" t="s">
        <v>19595</v>
      </c>
      <c r="H2786" s="1">
        <v>0</v>
      </c>
      <c r="I2786" s="1" t="s">
        <v>161</v>
      </c>
      <c r="J2786" s="1" t="s">
        <v>19596</v>
      </c>
      <c r="K2786" s="1"/>
      <c r="L2786" s="1"/>
      <c r="M2786" s="1" t="s">
        <v>6144</v>
      </c>
      <c r="N2786" s="1">
        <v>1</v>
      </c>
      <c r="O2786" s="1">
        <v>0</v>
      </c>
      <c r="P2786" s="1" t="s">
        <v>507</v>
      </c>
      <c r="Q2786" s="1" t="s">
        <v>167</v>
      </c>
      <c r="R2786" s="1" t="s">
        <v>19597</v>
      </c>
      <c r="S2786" s="1" t="s">
        <v>19598</v>
      </c>
      <c r="T2786" s="1" t="s">
        <v>19579</v>
      </c>
      <c r="U2786" s="1" t="s">
        <v>19599</v>
      </c>
      <c r="V2786" s="1">
        <v>1</v>
      </c>
      <c r="W2786" s="1">
        <v>1</v>
      </c>
      <c r="X2786" s="1">
        <v>1</v>
      </c>
      <c r="Y2786" s="1">
        <v>0</v>
      </c>
      <c r="Z2786" s="1">
        <v>0</v>
      </c>
      <c r="AA2786" s="1">
        <v>2</v>
      </c>
      <c r="AB2786" s="1">
        <v>2</v>
      </c>
      <c r="AC2786" s="1" t="s">
        <v>109</v>
      </c>
      <c r="AD2786" s="1" t="s">
        <v>109</v>
      </c>
      <c r="AE2786" s="1" t="s">
        <v>109</v>
      </c>
      <c r="AF2786" s="1">
        <v>2</v>
      </c>
      <c r="AG2786" s="1" t="s">
        <v>109</v>
      </c>
      <c r="AH2786" s="1">
        <v>2</v>
      </c>
      <c r="AI2786" s="1">
        <v>2</v>
      </c>
      <c r="AJ2786" s="1" t="s">
        <v>109</v>
      </c>
      <c r="AK2786" s="1">
        <v>2</v>
      </c>
      <c r="AL2786" s="1" t="s">
        <v>109</v>
      </c>
      <c r="AM2786" s="1">
        <v>2</v>
      </c>
      <c r="AN2786" s="1">
        <v>2</v>
      </c>
      <c r="AO2786" s="1" t="s">
        <v>109</v>
      </c>
      <c r="AP2786" s="1"/>
      <c r="AQ2786" s="1">
        <v>2</v>
      </c>
      <c r="AR2786" s="1"/>
      <c r="AS2786" s="1"/>
      <c r="AT2786" s="1">
        <v>0</v>
      </c>
      <c r="AU2786" s="1">
        <v>0</v>
      </c>
      <c r="AV2786" s="1">
        <v>0</v>
      </c>
      <c r="AW2786" s="1">
        <v>0</v>
      </c>
      <c r="AX2786" s="1">
        <v>0</v>
      </c>
      <c r="AY2786" s="1">
        <v>0</v>
      </c>
      <c r="AZ2786" s="1">
        <v>0</v>
      </c>
      <c r="BA2786" s="1">
        <v>0</v>
      </c>
      <c r="BB2786" s="1">
        <v>0</v>
      </c>
      <c r="BC2786" s="1">
        <v>0</v>
      </c>
      <c r="BD2786" s="1">
        <v>0</v>
      </c>
      <c r="BE2786" s="1">
        <v>0</v>
      </c>
      <c r="BF2786" s="1">
        <v>0</v>
      </c>
      <c r="BG2786" s="1">
        <v>0</v>
      </c>
      <c r="BH2786" s="1">
        <v>0</v>
      </c>
      <c r="BI2786" s="1">
        <v>0</v>
      </c>
      <c r="BJ2786" s="1">
        <v>0</v>
      </c>
      <c r="BK2786" s="1">
        <v>0</v>
      </c>
      <c r="BL2786" s="1">
        <v>0</v>
      </c>
      <c r="BM2786" s="1">
        <v>0</v>
      </c>
      <c r="BN2786" s="1">
        <v>0</v>
      </c>
      <c r="BO2786" s="1">
        <v>0</v>
      </c>
      <c r="BP2786" s="1">
        <v>0</v>
      </c>
      <c r="BQ2786" s="1">
        <v>0</v>
      </c>
      <c r="BR2786" s="1">
        <v>0</v>
      </c>
      <c r="BS2786" s="1" t="s">
        <v>109</v>
      </c>
      <c r="BT2786" s="1">
        <v>4879</v>
      </c>
      <c r="BU2786" s="1" t="s">
        <v>109</v>
      </c>
      <c r="BV2786" s="1"/>
      <c r="BW2786" s="1"/>
      <c r="BX2786" s="1"/>
      <c r="BY2786" s="1"/>
      <c r="BZ2786" s="1">
        <v>0</v>
      </c>
      <c r="CA2786" s="1" t="s">
        <v>109</v>
      </c>
      <c r="CB2786" s="1" t="s">
        <v>109</v>
      </c>
      <c r="CC2786" s="1">
        <v>2</v>
      </c>
      <c r="CD2786" s="1">
        <v>2</v>
      </c>
      <c r="CE2786" s="1">
        <v>2</v>
      </c>
      <c r="CF2786" s="1">
        <v>2</v>
      </c>
      <c r="CG2786" s="1">
        <v>2</v>
      </c>
      <c r="CH2786" s="1" t="s">
        <v>109</v>
      </c>
      <c r="CI2786" s="1" t="s">
        <v>109</v>
      </c>
      <c r="CJ2786" s="1" t="s">
        <v>109</v>
      </c>
      <c r="CK2786" s="1"/>
      <c r="CL2786" s="1">
        <v>0</v>
      </c>
      <c r="CM2786" s="1">
        <v>0</v>
      </c>
      <c r="CN2786" s="1">
        <v>0</v>
      </c>
    </row>
    <row r="2787" spans="1:92" ht="14.25" customHeight="1" x14ac:dyDescent="0.15">
      <c r="A2787" s="1" t="s">
        <v>19600</v>
      </c>
      <c r="B2787" s="1" t="s">
        <v>674</v>
      </c>
      <c r="C2787" s="1" t="s">
        <v>675</v>
      </c>
      <c r="D2787" s="1"/>
      <c r="E2787" s="1" t="s">
        <v>19601</v>
      </c>
      <c r="F2787" s="1" t="s">
        <v>98</v>
      </c>
      <c r="G2787" s="1" t="s">
        <v>19595</v>
      </c>
      <c r="H2787" s="1">
        <v>0</v>
      </c>
      <c r="I2787" s="1" t="s">
        <v>161</v>
      </c>
      <c r="J2787" s="1" t="s">
        <v>19602</v>
      </c>
      <c r="K2787" s="1"/>
      <c r="L2787" s="1"/>
      <c r="M2787" s="1" t="s">
        <v>6144</v>
      </c>
      <c r="N2787" s="1">
        <v>1</v>
      </c>
      <c r="O2787" s="1">
        <v>0</v>
      </c>
      <c r="P2787" s="1" t="s">
        <v>507</v>
      </c>
      <c r="Q2787" s="1" t="s">
        <v>167</v>
      </c>
      <c r="R2787" s="1" t="s">
        <v>19603</v>
      </c>
      <c r="S2787" s="1" t="s">
        <v>19604</v>
      </c>
      <c r="T2787" s="1" t="s">
        <v>19579</v>
      </c>
      <c r="U2787" s="1" t="s">
        <v>19605</v>
      </c>
      <c r="V2787" s="1">
        <v>1</v>
      </c>
      <c r="W2787" s="1">
        <v>1</v>
      </c>
      <c r="X2787" s="1">
        <v>1</v>
      </c>
      <c r="Y2787" s="1">
        <v>0</v>
      </c>
      <c r="Z2787" s="1">
        <v>0</v>
      </c>
      <c r="AA2787" s="1">
        <v>3</v>
      </c>
      <c r="AB2787" s="1">
        <v>3</v>
      </c>
      <c r="AC2787" s="1" t="s">
        <v>109</v>
      </c>
      <c r="AD2787" s="1" t="s">
        <v>109</v>
      </c>
      <c r="AE2787" s="1" t="s">
        <v>109</v>
      </c>
      <c r="AF2787" s="1">
        <v>3</v>
      </c>
      <c r="AG2787" s="1" t="s">
        <v>109</v>
      </c>
      <c r="AH2787" s="1" t="s">
        <v>109</v>
      </c>
      <c r="AI2787" s="1">
        <v>3</v>
      </c>
      <c r="AJ2787" s="1" t="s">
        <v>109</v>
      </c>
      <c r="AK2787" s="1" t="s">
        <v>109</v>
      </c>
      <c r="AL2787" s="1" t="s">
        <v>109</v>
      </c>
      <c r="AM2787" s="1" t="s">
        <v>109</v>
      </c>
      <c r="AN2787" s="1" t="s">
        <v>109</v>
      </c>
      <c r="AO2787" s="1" t="s">
        <v>109</v>
      </c>
      <c r="AP2787" s="1"/>
      <c r="AQ2787" s="1">
        <v>3</v>
      </c>
      <c r="AR2787" s="1"/>
      <c r="AS2787" s="1"/>
      <c r="AT2787" s="1">
        <v>0</v>
      </c>
      <c r="AU2787" s="1">
        <v>0</v>
      </c>
      <c r="AV2787" s="1">
        <v>0</v>
      </c>
      <c r="AW2787" s="1">
        <v>0</v>
      </c>
      <c r="AX2787" s="1">
        <v>0</v>
      </c>
      <c r="AY2787" s="1">
        <v>0</v>
      </c>
      <c r="AZ2787" s="1">
        <v>0</v>
      </c>
      <c r="BA2787" s="1">
        <v>0</v>
      </c>
      <c r="BB2787" s="1">
        <v>0</v>
      </c>
      <c r="BC2787" s="1">
        <v>0</v>
      </c>
      <c r="BD2787" s="1">
        <v>0</v>
      </c>
      <c r="BE2787" s="1">
        <v>0</v>
      </c>
      <c r="BF2787" s="1">
        <v>0</v>
      </c>
      <c r="BG2787" s="1">
        <v>0</v>
      </c>
      <c r="BH2787" s="1">
        <v>0</v>
      </c>
      <c r="BI2787" s="1">
        <v>0</v>
      </c>
      <c r="BJ2787" s="1">
        <v>0</v>
      </c>
      <c r="BK2787" s="1">
        <v>0</v>
      </c>
      <c r="BL2787" s="1">
        <v>0</v>
      </c>
      <c r="BM2787" s="1">
        <v>0</v>
      </c>
      <c r="BN2787" s="1">
        <v>0</v>
      </c>
      <c r="BO2787" s="1">
        <v>0</v>
      </c>
      <c r="BP2787" s="1">
        <v>0</v>
      </c>
      <c r="BQ2787" s="1">
        <v>0</v>
      </c>
      <c r="BR2787" s="1">
        <v>0</v>
      </c>
      <c r="BS2787" s="1" t="s">
        <v>109</v>
      </c>
      <c r="BT2787" s="1">
        <v>4880</v>
      </c>
      <c r="BU2787" s="1" t="s">
        <v>109</v>
      </c>
      <c r="BV2787" s="1"/>
      <c r="BW2787" s="1"/>
      <c r="BX2787" s="1"/>
      <c r="BY2787" s="1"/>
      <c r="BZ2787" s="1">
        <v>0</v>
      </c>
      <c r="CA2787" s="1" t="s">
        <v>109</v>
      </c>
      <c r="CB2787" s="1" t="s">
        <v>109</v>
      </c>
      <c r="CC2787" s="1">
        <v>3</v>
      </c>
      <c r="CD2787" s="1" t="s">
        <v>109</v>
      </c>
      <c r="CE2787" s="1">
        <v>3</v>
      </c>
      <c r="CF2787" s="1">
        <v>3</v>
      </c>
      <c r="CG2787" s="1" t="s">
        <v>109</v>
      </c>
      <c r="CH2787" s="1" t="s">
        <v>109</v>
      </c>
      <c r="CI2787" s="1" t="s">
        <v>109</v>
      </c>
      <c r="CJ2787" s="1" t="s">
        <v>109</v>
      </c>
      <c r="CK2787" s="1"/>
      <c r="CL2787" s="1">
        <v>0</v>
      </c>
      <c r="CM2787" s="1">
        <v>0</v>
      </c>
      <c r="CN2787" s="1">
        <v>0</v>
      </c>
    </row>
    <row r="2788" spans="1:92" ht="14.25" customHeight="1" x14ac:dyDescent="0.15">
      <c r="A2788" s="1" t="s">
        <v>19606</v>
      </c>
      <c r="B2788" s="1" t="s">
        <v>674</v>
      </c>
      <c r="C2788" s="1" t="s">
        <v>675</v>
      </c>
      <c r="D2788" s="1"/>
      <c r="E2788" s="1" t="s">
        <v>19607</v>
      </c>
      <c r="F2788" s="1" t="s">
        <v>98</v>
      </c>
      <c r="G2788" s="1" t="s">
        <v>19595</v>
      </c>
      <c r="H2788" s="1">
        <v>0</v>
      </c>
      <c r="I2788" s="1" t="s">
        <v>100</v>
      </c>
      <c r="J2788" s="1" t="s">
        <v>19602</v>
      </c>
      <c r="K2788" s="1"/>
      <c r="L2788" s="1" t="s">
        <v>2857</v>
      </c>
      <c r="M2788" s="1" t="s">
        <v>6144</v>
      </c>
      <c r="N2788" s="1">
        <v>1</v>
      </c>
      <c r="O2788" s="1">
        <v>0</v>
      </c>
      <c r="P2788" s="1" t="s">
        <v>507</v>
      </c>
      <c r="Q2788" s="1" t="s">
        <v>167</v>
      </c>
      <c r="R2788" s="1" t="s">
        <v>19608</v>
      </c>
      <c r="S2788" s="1" t="s">
        <v>19609</v>
      </c>
      <c r="T2788" s="1" t="s">
        <v>19579</v>
      </c>
      <c r="U2788" s="1" t="s">
        <v>19610</v>
      </c>
      <c r="V2788" s="1">
        <v>1</v>
      </c>
      <c r="W2788" s="1">
        <v>1</v>
      </c>
      <c r="X2788" s="1">
        <v>1</v>
      </c>
      <c r="Y2788" s="1">
        <v>0</v>
      </c>
      <c r="Z2788" s="1">
        <v>0</v>
      </c>
      <c r="AA2788" s="1">
        <v>7</v>
      </c>
      <c r="AB2788" s="1">
        <v>7</v>
      </c>
      <c r="AC2788" s="1" t="s">
        <v>109</v>
      </c>
      <c r="AD2788" s="1" t="s">
        <v>109</v>
      </c>
      <c r="AE2788" s="1" t="s">
        <v>109</v>
      </c>
      <c r="AF2788" s="1" t="s">
        <v>109</v>
      </c>
      <c r="AG2788" s="1" t="s">
        <v>109</v>
      </c>
      <c r="AH2788" s="1" t="s">
        <v>109</v>
      </c>
      <c r="AI2788" s="1">
        <v>6</v>
      </c>
      <c r="AJ2788" s="1" t="s">
        <v>109</v>
      </c>
      <c r="AK2788" s="1" t="s">
        <v>109</v>
      </c>
      <c r="AL2788" s="1" t="s">
        <v>109</v>
      </c>
      <c r="AM2788" s="1" t="s">
        <v>109</v>
      </c>
      <c r="AN2788" s="1" t="s">
        <v>109</v>
      </c>
      <c r="AO2788" s="1" t="s">
        <v>109</v>
      </c>
      <c r="AP2788" s="1"/>
      <c r="AQ2788" s="1">
        <v>7</v>
      </c>
      <c r="AR2788" s="1"/>
      <c r="AS2788" s="1"/>
      <c r="AT2788" s="1">
        <v>0</v>
      </c>
      <c r="AU2788" s="1">
        <v>0</v>
      </c>
      <c r="AV2788" s="1">
        <v>0</v>
      </c>
      <c r="AW2788" s="1">
        <v>0</v>
      </c>
      <c r="AX2788" s="1">
        <v>0</v>
      </c>
      <c r="AY2788" s="1">
        <v>0</v>
      </c>
      <c r="AZ2788" s="1">
        <v>0</v>
      </c>
      <c r="BA2788" s="1">
        <v>0</v>
      </c>
      <c r="BB2788" s="1">
        <v>0</v>
      </c>
      <c r="BC2788" s="1">
        <v>0</v>
      </c>
      <c r="BD2788" s="1">
        <v>0</v>
      </c>
      <c r="BE2788" s="1">
        <v>0</v>
      </c>
      <c r="BF2788" s="1">
        <v>0</v>
      </c>
      <c r="BG2788" s="1">
        <v>0</v>
      </c>
      <c r="BH2788" s="1">
        <v>0</v>
      </c>
      <c r="BI2788" s="1">
        <v>0</v>
      </c>
      <c r="BJ2788" s="1">
        <v>0</v>
      </c>
      <c r="BK2788" s="1">
        <v>0</v>
      </c>
      <c r="BL2788" s="1">
        <v>0</v>
      </c>
      <c r="BM2788" s="1">
        <v>0</v>
      </c>
      <c r="BN2788" s="1">
        <v>0</v>
      </c>
      <c r="BO2788" s="1">
        <v>0</v>
      </c>
      <c r="BP2788" s="1">
        <v>0</v>
      </c>
      <c r="BQ2788" s="1">
        <v>0</v>
      </c>
      <c r="BR2788" s="1">
        <v>0</v>
      </c>
      <c r="BS2788" s="1" t="s">
        <v>109</v>
      </c>
      <c r="BT2788" s="1">
        <v>4881</v>
      </c>
      <c r="BU2788" s="1" t="s">
        <v>109</v>
      </c>
      <c r="BV2788" s="1"/>
      <c r="BW2788" s="1"/>
      <c r="BX2788" s="1"/>
      <c r="BY2788" s="1"/>
      <c r="BZ2788" s="1">
        <v>0</v>
      </c>
      <c r="CA2788" s="1" t="s">
        <v>109</v>
      </c>
      <c r="CB2788" s="1" t="s">
        <v>109</v>
      </c>
      <c r="CC2788" s="1">
        <v>7</v>
      </c>
      <c r="CD2788" s="1" t="s">
        <v>109</v>
      </c>
      <c r="CE2788" s="1">
        <v>6</v>
      </c>
      <c r="CF2788" s="1" t="s">
        <v>109</v>
      </c>
      <c r="CG2788" s="1" t="s">
        <v>109</v>
      </c>
      <c r="CH2788" s="1" t="s">
        <v>109</v>
      </c>
      <c r="CI2788" s="1" t="s">
        <v>109</v>
      </c>
      <c r="CJ2788" s="1" t="s">
        <v>109</v>
      </c>
      <c r="CK2788" s="1"/>
      <c r="CL2788" s="1">
        <v>0</v>
      </c>
      <c r="CM2788" s="1">
        <v>0</v>
      </c>
      <c r="CN2788" s="1">
        <v>0</v>
      </c>
    </row>
    <row r="2789" spans="1:92" ht="14.25" customHeight="1" x14ac:dyDescent="0.15">
      <c r="A2789" s="1" t="s">
        <v>19611</v>
      </c>
      <c r="B2789" s="1" t="s">
        <v>584</v>
      </c>
      <c r="C2789" s="1"/>
      <c r="D2789" s="1"/>
      <c r="E2789" s="1" t="s">
        <v>19612</v>
      </c>
      <c r="F2789" s="1" t="s">
        <v>98</v>
      </c>
      <c r="G2789" s="1" t="s">
        <v>19583</v>
      </c>
      <c r="H2789" s="1">
        <v>0</v>
      </c>
      <c r="I2789" s="1" t="s">
        <v>161</v>
      </c>
      <c r="J2789" s="1"/>
      <c r="K2789" s="1"/>
      <c r="L2789" s="1" t="s">
        <v>506</v>
      </c>
      <c r="M2789" s="1" t="s">
        <v>5642</v>
      </c>
      <c r="N2789" s="1">
        <v>0</v>
      </c>
      <c r="O2789" s="1">
        <v>0</v>
      </c>
      <c r="P2789" s="1" t="s">
        <v>301</v>
      </c>
      <c r="Q2789" s="1" t="s">
        <v>268</v>
      </c>
      <c r="R2789" s="1" t="s">
        <v>19613</v>
      </c>
      <c r="S2789" s="1" t="s">
        <v>19614</v>
      </c>
      <c r="T2789" s="1" t="s">
        <v>19579</v>
      </c>
      <c r="U2789" s="1" t="s">
        <v>19615</v>
      </c>
      <c r="V2789" s="1">
        <v>1</v>
      </c>
      <c r="W2789" s="1">
        <v>1</v>
      </c>
      <c r="X2789" s="1">
        <v>1</v>
      </c>
      <c r="Y2789" s="1">
        <v>0</v>
      </c>
      <c r="Z2789" s="1">
        <v>1</v>
      </c>
      <c r="AA2789" s="1" t="s">
        <v>109</v>
      </c>
      <c r="AB2789" s="1" t="s">
        <v>109</v>
      </c>
      <c r="AC2789" s="1" t="s">
        <v>109</v>
      </c>
      <c r="AD2789" s="1">
        <v>2</v>
      </c>
      <c r="AE2789" s="1">
        <v>2</v>
      </c>
      <c r="AF2789" s="1">
        <v>2</v>
      </c>
      <c r="AG2789" s="1" t="s">
        <v>109</v>
      </c>
      <c r="AH2789" s="1">
        <v>2</v>
      </c>
      <c r="AI2789" s="1" t="s">
        <v>109</v>
      </c>
      <c r="AJ2789" s="1">
        <v>2</v>
      </c>
      <c r="AK2789" s="1" t="s">
        <v>109</v>
      </c>
      <c r="AL2789" s="1" t="s">
        <v>109</v>
      </c>
      <c r="AM2789" s="1" t="s">
        <v>109</v>
      </c>
      <c r="AN2789" s="1" t="s">
        <v>109</v>
      </c>
      <c r="AO2789" s="1" t="s">
        <v>109</v>
      </c>
      <c r="AP2789" s="1"/>
      <c r="AQ2789" s="1">
        <v>2</v>
      </c>
      <c r="AR2789" s="1"/>
      <c r="AS2789" s="1"/>
      <c r="AT2789" s="1">
        <v>0</v>
      </c>
      <c r="AU2789" s="1">
        <v>0</v>
      </c>
      <c r="AV2789" s="1">
        <v>0</v>
      </c>
      <c r="AW2789" s="1">
        <v>0</v>
      </c>
      <c r="AX2789" s="1">
        <v>0</v>
      </c>
      <c r="AY2789" s="1">
        <v>0</v>
      </c>
      <c r="AZ2789" s="1">
        <v>0</v>
      </c>
      <c r="BA2789" s="1">
        <v>0</v>
      </c>
      <c r="BB2789" s="1">
        <v>0</v>
      </c>
      <c r="BC2789" s="1">
        <v>0</v>
      </c>
      <c r="BD2789" s="1">
        <v>0</v>
      </c>
      <c r="BE2789" s="1">
        <v>0</v>
      </c>
      <c r="BF2789" s="1">
        <v>0</v>
      </c>
      <c r="BG2789" s="1">
        <v>0</v>
      </c>
      <c r="BH2789" s="1">
        <v>0</v>
      </c>
      <c r="BI2789" s="1">
        <v>0</v>
      </c>
      <c r="BJ2789" s="1">
        <v>0</v>
      </c>
      <c r="BK2789" s="1">
        <v>0</v>
      </c>
      <c r="BL2789" s="1">
        <v>0</v>
      </c>
      <c r="BM2789" s="1">
        <v>0</v>
      </c>
      <c r="BN2789" s="1">
        <v>0</v>
      </c>
      <c r="BO2789" s="1">
        <v>0</v>
      </c>
      <c r="BP2789" s="1">
        <v>0</v>
      </c>
      <c r="BQ2789" s="1">
        <v>0</v>
      </c>
      <c r="BR2789" s="1">
        <v>0</v>
      </c>
      <c r="BS2789" s="1" t="s">
        <v>109</v>
      </c>
      <c r="BT2789" s="1">
        <v>4882</v>
      </c>
      <c r="BU2789" s="1" t="s">
        <v>109</v>
      </c>
      <c r="BV2789" s="1"/>
      <c r="BW2789" s="1"/>
      <c r="BX2789" s="1"/>
      <c r="BY2789" s="1"/>
      <c r="BZ2789" s="1">
        <v>0</v>
      </c>
      <c r="CA2789" s="1" t="s">
        <v>109</v>
      </c>
      <c r="CB2789" s="1">
        <v>2</v>
      </c>
      <c r="CC2789" s="1">
        <v>2</v>
      </c>
      <c r="CD2789" s="1">
        <v>2</v>
      </c>
      <c r="CE2789" s="1" t="s">
        <v>109</v>
      </c>
      <c r="CF2789" s="1">
        <v>2</v>
      </c>
      <c r="CG2789" s="1" t="s">
        <v>109</v>
      </c>
      <c r="CH2789" s="1" t="s">
        <v>109</v>
      </c>
      <c r="CI2789" s="1" t="s">
        <v>109</v>
      </c>
      <c r="CJ2789" s="1">
        <v>2</v>
      </c>
      <c r="CK2789" s="1"/>
      <c r="CL2789" s="1">
        <v>0</v>
      </c>
      <c r="CM2789" s="1">
        <v>0</v>
      </c>
      <c r="CN2789" s="1">
        <v>0</v>
      </c>
    </row>
    <row r="2790" spans="1:92" ht="14.25" customHeight="1" x14ac:dyDescent="0.15">
      <c r="A2790" s="1" t="s">
        <v>19616</v>
      </c>
      <c r="B2790" s="1" t="s">
        <v>95</v>
      </c>
      <c r="C2790" s="1" t="s">
        <v>694</v>
      </c>
      <c r="D2790" s="1" t="s">
        <v>70</v>
      </c>
      <c r="E2790" s="1" t="s">
        <v>19617</v>
      </c>
      <c r="F2790" s="1" t="s">
        <v>98</v>
      </c>
      <c r="G2790" s="1" t="s">
        <v>160</v>
      </c>
      <c r="H2790" s="1">
        <v>0</v>
      </c>
      <c r="I2790" s="1" t="s">
        <v>122</v>
      </c>
      <c r="J2790" s="1" t="s">
        <v>19618</v>
      </c>
      <c r="K2790" s="1"/>
      <c r="L2790" s="1"/>
      <c r="M2790" s="1" t="s">
        <v>355</v>
      </c>
      <c r="N2790" s="1">
        <v>0</v>
      </c>
      <c r="O2790" s="1">
        <v>0</v>
      </c>
      <c r="P2790" s="1" t="s">
        <v>2770</v>
      </c>
      <c r="Q2790" s="1" t="s">
        <v>268</v>
      </c>
      <c r="R2790" s="1" t="s">
        <v>19619</v>
      </c>
      <c r="S2790" s="1" t="s">
        <v>19620</v>
      </c>
      <c r="T2790" s="1" t="s">
        <v>19579</v>
      </c>
      <c r="U2790" s="1" t="s">
        <v>19621</v>
      </c>
      <c r="V2790" s="1">
        <v>1</v>
      </c>
      <c r="W2790" s="1">
        <v>1</v>
      </c>
      <c r="X2790" s="1">
        <v>0</v>
      </c>
      <c r="Y2790" s="1">
        <v>0</v>
      </c>
      <c r="Z2790" s="1">
        <v>1</v>
      </c>
      <c r="AA2790" s="1" t="s">
        <v>109</v>
      </c>
      <c r="AB2790" s="1" t="s">
        <v>109</v>
      </c>
      <c r="AC2790" s="1">
        <v>3</v>
      </c>
      <c r="AD2790" s="1">
        <v>3</v>
      </c>
      <c r="AE2790" s="1">
        <v>3</v>
      </c>
      <c r="AF2790" s="1" t="s">
        <v>109</v>
      </c>
      <c r="AG2790" s="1">
        <v>3</v>
      </c>
      <c r="AH2790" s="1" t="s">
        <v>109</v>
      </c>
      <c r="AI2790" s="1" t="s">
        <v>109</v>
      </c>
      <c r="AJ2790" s="1" t="s">
        <v>109</v>
      </c>
      <c r="AK2790" s="1" t="s">
        <v>109</v>
      </c>
      <c r="AL2790" s="1">
        <v>3</v>
      </c>
      <c r="AM2790" s="1" t="s">
        <v>109</v>
      </c>
      <c r="AN2790" s="1" t="s">
        <v>109</v>
      </c>
      <c r="AO2790" s="1" t="s">
        <v>109</v>
      </c>
      <c r="AP2790" s="1"/>
      <c r="AQ2790" s="1">
        <v>3</v>
      </c>
      <c r="AR2790" s="1"/>
      <c r="AS2790" s="1"/>
      <c r="AT2790" s="1">
        <v>0</v>
      </c>
      <c r="AU2790" s="1">
        <v>0</v>
      </c>
      <c r="AV2790" s="1">
        <v>0</v>
      </c>
      <c r="AW2790" s="1">
        <v>0</v>
      </c>
      <c r="AX2790" s="1">
        <v>0</v>
      </c>
      <c r="AY2790" s="1">
        <v>0</v>
      </c>
      <c r="AZ2790" s="1">
        <v>0</v>
      </c>
      <c r="BA2790" s="1">
        <v>0</v>
      </c>
      <c r="BB2790" s="1">
        <v>0</v>
      </c>
      <c r="BC2790" s="1">
        <v>0</v>
      </c>
      <c r="BD2790" s="1">
        <v>0</v>
      </c>
      <c r="BE2790" s="1">
        <v>0</v>
      </c>
      <c r="BF2790" s="1">
        <v>0</v>
      </c>
      <c r="BG2790" s="1">
        <v>0</v>
      </c>
      <c r="BH2790" s="1">
        <v>0</v>
      </c>
      <c r="BI2790" s="1">
        <v>0</v>
      </c>
      <c r="BJ2790" s="1">
        <v>0</v>
      </c>
      <c r="BK2790" s="1">
        <v>0</v>
      </c>
      <c r="BL2790" s="1">
        <v>0</v>
      </c>
      <c r="BM2790" s="1">
        <v>0</v>
      </c>
      <c r="BN2790" s="1">
        <v>0</v>
      </c>
      <c r="BO2790" s="1">
        <v>0</v>
      </c>
      <c r="BP2790" s="1">
        <v>0</v>
      </c>
      <c r="BQ2790" s="1">
        <v>0</v>
      </c>
      <c r="BR2790" s="1">
        <v>1</v>
      </c>
      <c r="BS2790" s="1" t="s">
        <v>109</v>
      </c>
      <c r="BT2790" s="1">
        <v>4883</v>
      </c>
      <c r="BU2790" s="1" t="s">
        <v>109</v>
      </c>
      <c r="BV2790" s="1"/>
      <c r="BW2790" s="1"/>
      <c r="BX2790" s="1"/>
      <c r="BY2790" s="1"/>
      <c r="BZ2790" s="1">
        <v>0</v>
      </c>
      <c r="CA2790" s="1" t="s">
        <v>109</v>
      </c>
      <c r="CB2790" s="1">
        <v>3</v>
      </c>
      <c r="CC2790" s="1" t="s">
        <v>109</v>
      </c>
      <c r="CD2790" s="1" t="s">
        <v>109</v>
      </c>
      <c r="CE2790" s="1" t="s">
        <v>109</v>
      </c>
      <c r="CF2790" s="1" t="s">
        <v>109</v>
      </c>
      <c r="CG2790" s="1" t="s">
        <v>109</v>
      </c>
      <c r="CH2790" s="1" t="s">
        <v>109</v>
      </c>
      <c r="CI2790" s="1" t="s">
        <v>109</v>
      </c>
      <c r="CJ2790" s="1">
        <v>3</v>
      </c>
      <c r="CK2790" s="1"/>
      <c r="CL2790" s="1">
        <v>0</v>
      </c>
      <c r="CM2790" s="1">
        <v>0</v>
      </c>
      <c r="CN2790" s="1">
        <v>0</v>
      </c>
    </row>
    <row r="2791" spans="1:92" ht="14.25" customHeight="1" x14ac:dyDescent="0.15">
      <c r="A2791" s="1" t="s">
        <v>19622</v>
      </c>
      <c r="B2791" s="1" t="s">
        <v>584</v>
      </c>
      <c r="C2791" s="1"/>
      <c r="D2791" s="1"/>
      <c r="E2791" s="1" t="s">
        <v>19582</v>
      </c>
      <c r="F2791" s="1" t="s">
        <v>98</v>
      </c>
      <c r="G2791" s="1" t="s">
        <v>19583</v>
      </c>
      <c r="H2791" s="1">
        <v>0</v>
      </c>
      <c r="I2791" s="1" t="s">
        <v>161</v>
      </c>
      <c r="J2791" s="1"/>
      <c r="K2791" s="1"/>
      <c r="L2791" s="1" t="s">
        <v>506</v>
      </c>
      <c r="M2791" s="1" t="s">
        <v>5642</v>
      </c>
      <c r="N2791" s="1">
        <v>0</v>
      </c>
      <c r="O2791" s="1">
        <v>0</v>
      </c>
      <c r="P2791" s="1" t="s">
        <v>301</v>
      </c>
      <c r="Q2791" s="1" t="s">
        <v>268</v>
      </c>
      <c r="R2791" s="1" t="s">
        <v>19623</v>
      </c>
      <c r="S2791" s="1" t="s">
        <v>19624</v>
      </c>
      <c r="T2791" s="1" t="s">
        <v>19579</v>
      </c>
      <c r="U2791" s="1" t="s">
        <v>19625</v>
      </c>
      <c r="V2791" s="1">
        <v>1</v>
      </c>
      <c r="W2791" s="1">
        <v>1</v>
      </c>
      <c r="X2791" s="1">
        <v>1</v>
      </c>
      <c r="Y2791" s="1">
        <v>0</v>
      </c>
      <c r="Z2791" s="1">
        <v>1</v>
      </c>
      <c r="AA2791" s="1" t="s">
        <v>109</v>
      </c>
      <c r="AB2791" s="1" t="s">
        <v>109</v>
      </c>
      <c r="AC2791" s="1" t="s">
        <v>109</v>
      </c>
      <c r="AD2791" s="1">
        <v>2</v>
      </c>
      <c r="AE2791" s="1">
        <v>2</v>
      </c>
      <c r="AF2791" s="1">
        <v>2</v>
      </c>
      <c r="AG2791" s="1" t="s">
        <v>109</v>
      </c>
      <c r="AH2791" s="1">
        <v>2</v>
      </c>
      <c r="AI2791" s="1" t="s">
        <v>109</v>
      </c>
      <c r="AJ2791" s="1" t="s">
        <v>109</v>
      </c>
      <c r="AK2791" s="1" t="s">
        <v>109</v>
      </c>
      <c r="AL2791" s="1" t="s">
        <v>109</v>
      </c>
      <c r="AM2791" s="1" t="s">
        <v>109</v>
      </c>
      <c r="AN2791" s="1" t="s">
        <v>109</v>
      </c>
      <c r="AO2791" s="1" t="s">
        <v>109</v>
      </c>
      <c r="AP2791" s="1"/>
      <c r="AQ2791" s="1">
        <v>2</v>
      </c>
      <c r="AR2791" s="1"/>
      <c r="AS2791" s="1"/>
      <c r="AT2791" s="1">
        <v>0</v>
      </c>
      <c r="AU2791" s="1">
        <v>0</v>
      </c>
      <c r="AV2791" s="1">
        <v>0</v>
      </c>
      <c r="AW2791" s="1">
        <v>0</v>
      </c>
      <c r="AX2791" s="1">
        <v>0</v>
      </c>
      <c r="AY2791" s="1">
        <v>0</v>
      </c>
      <c r="AZ2791" s="1">
        <v>0</v>
      </c>
      <c r="BA2791" s="1">
        <v>0</v>
      </c>
      <c r="BB2791" s="1">
        <v>0</v>
      </c>
      <c r="BC2791" s="1">
        <v>0</v>
      </c>
      <c r="BD2791" s="1">
        <v>0</v>
      </c>
      <c r="BE2791" s="1">
        <v>0</v>
      </c>
      <c r="BF2791" s="1">
        <v>0</v>
      </c>
      <c r="BG2791" s="1">
        <v>0</v>
      </c>
      <c r="BH2791" s="1">
        <v>0</v>
      </c>
      <c r="BI2791" s="1">
        <v>0</v>
      </c>
      <c r="BJ2791" s="1">
        <v>0</v>
      </c>
      <c r="BK2791" s="1">
        <v>0</v>
      </c>
      <c r="BL2791" s="1">
        <v>0</v>
      </c>
      <c r="BM2791" s="1">
        <v>0</v>
      </c>
      <c r="BN2791" s="1">
        <v>0</v>
      </c>
      <c r="BO2791" s="1">
        <v>0</v>
      </c>
      <c r="BP2791" s="1">
        <v>0</v>
      </c>
      <c r="BQ2791" s="1">
        <v>0</v>
      </c>
      <c r="BR2791" s="1">
        <v>0</v>
      </c>
      <c r="BS2791" s="1" t="s">
        <v>109</v>
      </c>
      <c r="BT2791" s="1">
        <v>4884</v>
      </c>
      <c r="BU2791" s="1" t="s">
        <v>109</v>
      </c>
      <c r="BV2791" s="1"/>
      <c r="BW2791" s="1"/>
      <c r="BX2791" s="1"/>
      <c r="BY2791" s="1"/>
      <c r="BZ2791" s="1">
        <v>0</v>
      </c>
      <c r="CA2791" s="1" t="s">
        <v>109</v>
      </c>
      <c r="CB2791" s="1">
        <v>2</v>
      </c>
      <c r="CC2791" s="1">
        <v>2</v>
      </c>
      <c r="CD2791" s="1">
        <v>2</v>
      </c>
      <c r="CE2791" s="1" t="s">
        <v>109</v>
      </c>
      <c r="CF2791" s="1">
        <v>2</v>
      </c>
      <c r="CG2791" s="1" t="s">
        <v>109</v>
      </c>
      <c r="CH2791" s="1" t="s">
        <v>109</v>
      </c>
      <c r="CI2791" s="1" t="s">
        <v>109</v>
      </c>
      <c r="CJ2791" s="1">
        <v>2</v>
      </c>
      <c r="CK2791" s="1"/>
      <c r="CL2791" s="1">
        <v>0</v>
      </c>
      <c r="CM2791" s="1">
        <v>0</v>
      </c>
      <c r="CN2791" s="1">
        <v>0</v>
      </c>
    </row>
    <row r="2792" spans="1:92" ht="14.25" customHeight="1" x14ac:dyDescent="0.15">
      <c r="A2792" s="1" t="s">
        <v>19626</v>
      </c>
      <c r="B2792" s="1" t="s">
        <v>242</v>
      </c>
      <c r="C2792" s="1"/>
      <c r="D2792" s="1"/>
      <c r="E2792" s="1" t="s">
        <v>19627</v>
      </c>
      <c r="F2792" s="1" t="s">
        <v>98</v>
      </c>
      <c r="G2792" s="1" t="s">
        <v>19628</v>
      </c>
      <c r="H2792" s="1">
        <v>0</v>
      </c>
      <c r="I2792" s="1" t="s">
        <v>161</v>
      </c>
      <c r="J2792" s="1"/>
      <c r="K2792" s="1"/>
      <c r="L2792" s="1" t="s">
        <v>506</v>
      </c>
      <c r="M2792" s="1" t="s">
        <v>289</v>
      </c>
      <c r="N2792" s="1">
        <v>0</v>
      </c>
      <c r="O2792" s="1">
        <v>0</v>
      </c>
      <c r="P2792" s="1" t="s">
        <v>1382</v>
      </c>
      <c r="Q2792" s="1" t="s">
        <v>167</v>
      </c>
      <c r="R2792" s="1" t="s">
        <v>19629</v>
      </c>
      <c r="S2792" s="1" t="s">
        <v>19630</v>
      </c>
      <c r="T2792" s="1" t="s">
        <v>19579</v>
      </c>
      <c r="U2792" s="1" t="s">
        <v>19631</v>
      </c>
      <c r="V2792" s="1">
        <v>1</v>
      </c>
      <c r="W2792" s="1">
        <v>1</v>
      </c>
      <c r="X2792" s="1">
        <v>1</v>
      </c>
      <c r="Y2792" s="1">
        <v>0</v>
      </c>
      <c r="Z2792" s="1">
        <v>0</v>
      </c>
      <c r="AA2792" s="1" t="s">
        <v>109</v>
      </c>
      <c r="AB2792" s="1" t="s">
        <v>109</v>
      </c>
      <c r="AC2792" s="1">
        <v>3</v>
      </c>
      <c r="AD2792" s="1">
        <v>3</v>
      </c>
      <c r="AE2792" s="1">
        <v>3</v>
      </c>
      <c r="AF2792" s="1" t="s">
        <v>109</v>
      </c>
      <c r="AG2792" s="1">
        <v>3</v>
      </c>
      <c r="AH2792" s="1">
        <v>3</v>
      </c>
      <c r="AI2792" s="1">
        <v>3</v>
      </c>
      <c r="AJ2792" s="1" t="s">
        <v>109</v>
      </c>
      <c r="AK2792" s="1" t="s">
        <v>109</v>
      </c>
      <c r="AL2792" s="1">
        <v>3</v>
      </c>
      <c r="AM2792" s="1" t="s">
        <v>109</v>
      </c>
      <c r="AN2792" s="1" t="s">
        <v>109</v>
      </c>
      <c r="AO2792" s="1" t="s">
        <v>109</v>
      </c>
      <c r="AP2792" s="1"/>
      <c r="AQ2792" s="1">
        <v>3</v>
      </c>
      <c r="AR2792" s="1"/>
      <c r="AS2792" s="1"/>
      <c r="AT2792" s="1">
        <v>0</v>
      </c>
      <c r="AU2792" s="1">
        <v>0</v>
      </c>
      <c r="AV2792" s="1">
        <v>0</v>
      </c>
      <c r="AW2792" s="1">
        <v>0</v>
      </c>
      <c r="AX2792" s="1">
        <v>0</v>
      </c>
      <c r="AY2792" s="1">
        <v>0</v>
      </c>
      <c r="AZ2792" s="1">
        <v>0</v>
      </c>
      <c r="BA2792" s="1">
        <v>0</v>
      </c>
      <c r="BB2792" s="1">
        <v>0</v>
      </c>
      <c r="BC2792" s="1">
        <v>0</v>
      </c>
      <c r="BD2792" s="1">
        <v>0</v>
      </c>
      <c r="BE2792" s="1">
        <v>0</v>
      </c>
      <c r="BF2792" s="1">
        <v>0</v>
      </c>
      <c r="BG2792" s="1">
        <v>0</v>
      </c>
      <c r="BH2792" s="1">
        <v>0</v>
      </c>
      <c r="BI2792" s="1">
        <v>0</v>
      </c>
      <c r="BJ2792" s="1">
        <v>0</v>
      </c>
      <c r="BK2792" s="1">
        <v>0</v>
      </c>
      <c r="BL2792" s="1">
        <v>0</v>
      </c>
      <c r="BM2792" s="1">
        <v>0</v>
      </c>
      <c r="BN2792" s="1">
        <v>0</v>
      </c>
      <c r="BO2792" s="1">
        <v>0</v>
      </c>
      <c r="BP2792" s="1">
        <v>0</v>
      </c>
      <c r="BQ2792" s="1">
        <v>0</v>
      </c>
      <c r="BR2792" s="1">
        <v>0</v>
      </c>
      <c r="BS2792" s="1" t="s">
        <v>109</v>
      </c>
      <c r="BT2792" s="1">
        <v>4885</v>
      </c>
      <c r="BU2792" s="1" t="s">
        <v>109</v>
      </c>
      <c r="BV2792" s="1"/>
      <c r="BW2792" s="1"/>
      <c r="BX2792" s="1"/>
      <c r="BY2792" s="1"/>
      <c r="BZ2792" s="1">
        <v>0</v>
      </c>
      <c r="CA2792" s="1">
        <v>3</v>
      </c>
      <c r="CB2792" s="1">
        <v>3</v>
      </c>
      <c r="CC2792" s="1">
        <v>3</v>
      </c>
      <c r="CD2792" s="1" t="s">
        <v>109</v>
      </c>
      <c r="CE2792" s="1" t="s">
        <v>109</v>
      </c>
      <c r="CF2792" s="1" t="s">
        <v>109</v>
      </c>
      <c r="CG2792" s="1" t="s">
        <v>109</v>
      </c>
      <c r="CH2792" s="1" t="s">
        <v>109</v>
      </c>
      <c r="CI2792" s="1" t="s">
        <v>109</v>
      </c>
      <c r="CJ2792" s="1">
        <v>3</v>
      </c>
      <c r="CK2792" s="1"/>
      <c r="CL2792" s="1">
        <v>0</v>
      </c>
      <c r="CM2792" s="1">
        <v>0</v>
      </c>
      <c r="CN2792" s="1">
        <v>0</v>
      </c>
    </row>
    <row r="2793" spans="1:92" ht="14.25" customHeight="1" x14ac:dyDescent="0.15">
      <c r="A2793" s="1" t="s">
        <v>19632</v>
      </c>
      <c r="B2793" s="1" t="s">
        <v>242</v>
      </c>
      <c r="C2793" s="1"/>
      <c r="D2793" s="1"/>
      <c r="E2793" s="1" t="s">
        <v>19633</v>
      </c>
      <c r="F2793" s="1" t="s">
        <v>98</v>
      </c>
      <c r="G2793" s="1" t="s">
        <v>19634</v>
      </c>
      <c r="H2793" s="1">
        <v>0</v>
      </c>
      <c r="I2793" s="1" t="s">
        <v>161</v>
      </c>
      <c r="J2793" s="1"/>
      <c r="K2793" s="1"/>
      <c r="L2793" s="1" t="s">
        <v>506</v>
      </c>
      <c r="M2793" s="1" t="s">
        <v>144</v>
      </c>
      <c r="N2793" s="1">
        <v>0</v>
      </c>
      <c r="O2793" s="1">
        <v>0</v>
      </c>
      <c r="P2793" s="1" t="s">
        <v>1382</v>
      </c>
      <c r="Q2793" s="1" t="s">
        <v>167</v>
      </c>
      <c r="R2793" s="1" t="s">
        <v>19635</v>
      </c>
      <c r="S2793" s="1" t="s">
        <v>19636</v>
      </c>
      <c r="T2793" s="1" t="s">
        <v>19579</v>
      </c>
      <c r="U2793" s="1" t="s">
        <v>19637</v>
      </c>
      <c r="V2793" s="1">
        <v>1</v>
      </c>
      <c r="W2793" s="1">
        <v>1</v>
      </c>
      <c r="X2793" s="1">
        <v>1</v>
      </c>
      <c r="Y2793" s="1">
        <v>0</v>
      </c>
      <c r="Z2793" s="1">
        <v>0</v>
      </c>
      <c r="AA2793" s="1" t="s">
        <v>109</v>
      </c>
      <c r="AB2793" s="1" t="s">
        <v>109</v>
      </c>
      <c r="AC2793" s="1">
        <v>2</v>
      </c>
      <c r="AD2793" s="1">
        <v>2</v>
      </c>
      <c r="AE2793" s="1">
        <v>2</v>
      </c>
      <c r="AF2793" s="1" t="s">
        <v>109</v>
      </c>
      <c r="AG2793" s="1">
        <v>2</v>
      </c>
      <c r="AH2793" s="1">
        <v>2</v>
      </c>
      <c r="AI2793" s="1">
        <v>2</v>
      </c>
      <c r="AJ2793" s="1" t="s">
        <v>109</v>
      </c>
      <c r="AK2793" s="1" t="s">
        <v>109</v>
      </c>
      <c r="AL2793" s="1">
        <v>2</v>
      </c>
      <c r="AM2793" s="1" t="s">
        <v>109</v>
      </c>
      <c r="AN2793" s="1" t="s">
        <v>109</v>
      </c>
      <c r="AO2793" s="1" t="s">
        <v>109</v>
      </c>
      <c r="AP2793" s="1"/>
      <c r="AQ2793" s="1">
        <v>2</v>
      </c>
      <c r="AR2793" s="1"/>
      <c r="AS2793" s="1"/>
      <c r="AT2793" s="1">
        <v>0</v>
      </c>
      <c r="AU2793" s="1">
        <v>0</v>
      </c>
      <c r="AV2793" s="1">
        <v>0</v>
      </c>
      <c r="AW2793" s="1">
        <v>0</v>
      </c>
      <c r="AX2793" s="1">
        <v>0</v>
      </c>
      <c r="AY2793" s="1">
        <v>0</v>
      </c>
      <c r="AZ2793" s="1">
        <v>0</v>
      </c>
      <c r="BA2793" s="1">
        <v>0</v>
      </c>
      <c r="BB2793" s="1">
        <v>0</v>
      </c>
      <c r="BC2793" s="1">
        <v>0</v>
      </c>
      <c r="BD2793" s="1">
        <v>0</v>
      </c>
      <c r="BE2793" s="1">
        <v>0</v>
      </c>
      <c r="BF2793" s="1">
        <v>0</v>
      </c>
      <c r="BG2793" s="1">
        <v>0</v>
      </c>
      <c r="BH2793" s="1">
        <v>0</v>
      </c>
      <c r="BI2793" s="1">
        <v>0</v>
      </c>
      <c r="BJ2793" s="1">
        <v>0</v>
      </c>
      <c r="BK2793" s="1">
        <v>0</v>
      </c>
      <c r="BL2793" s="1">
        <v>0</v>
      </c>
      <c r="BM2793" s="1">
        <v>0</v>
      </c>
      <c r="BN2793" s="1">
        <v>0</v>
      </c>
      <c r="BO2793" s="1">
        <v>0</v>
      </c>
      <c r="BP2793" s="1">
        <v>0</v>
      </c>
      <c r="BQ2793" s="1">
        <v>0</v>
      </c>
      <c r="BR2793" s="1">
        <v>0</v>
      </c>
      <c r="BS2793" s="1" t="s">
        <v>109</v>
      </c>
      <c r="BT2793" s="1">
        <v>4886</v>
      </c>
      <c r="BU2793" s="1" t="s">
        <v>109</v>
      </c>
      <c r="BV2793" s="1"/>
      <c r="BW2793" s="1"/>
      <c r="BX2793" s="1"/>
      <c r="BY2793" s="1"/>
      <c r="BZ2793" s="1">
        <v>0</v>
      </c>
      <c r="CA2793" s="1">
        <v>2</v>
      </c>
      <c r="CB2793" s="1">
        <v>2</v>
      </c>
      <c r="CC2793" s="1">
        <v>2</v>
      </c>
      <c r="CD2793" s="1" t="s">
        <v>109</v>
      </c>
      <c r="CE2793" s="1" t="s">
        <v>109</v>
      </c>
      <c r="CF2793" s="1" t="s">
        <v>109</v>
      </c>
      <c r="CG2793" s="1" t="s">
        <v>109</v>
      </c>
      <c r="CH2793" s="1" t="s">
        <v>109</v>
      </c>
      <c r="CI2793" s="1" t="s">
        <v>109</v>
      </c>
      <c r="CJ2793" s="1">
        <v>2</v>
      </c>
      <c r="CK2793" s="1"/>
      <c r="CL2793" s="1">
        <v>0</v>
      </c>
      <c r="CM2793" s="1">
        <v>0</v>
      </c>
      <c r="CN2793" s="1">
        <v>0</v>
      </c>
    </row>
    <row r="2794" spans="1:92" ht="14.25" customHeight="1" x14ac:dyDescent="0.15">
      <c r="A2794" s="1" t="s">
        <v>19638</v>
      </c>
      <c r="B2794" s="1" t="s">
        <v>584</v>
      </c>
      <c r="C2794" s="1"/>
      <c r="D2794" s="1" t="s">
        <v>6667</v>
      </c>
      <c r="E2794" s="1" t="s">
        <v>1101</v>
      </c>
      <c r="F2794" s="1" t="s">
        <v>98</v>
      </c>
      <c r="G2794" s="1" t="s">
        <v>19639</v>
      </c>
      <c r="H2794" s="1">
        <v>0</v>
      </c>
      <c r="I2794" s="1" t="s">
        <v>235</v>
      </c>
      <c r="J2794" s="1"/>
      <c r="K2794" s="1"/>
      <c r="L2794" s="1" t="s">
        <v>236</v>
      </c>
      <c r="M2794" s="1" t="s">
        <v>125</v>
      </c>
      <c r="N2794" s="1">
        <v>0</v>
      </c>
      <c r="O2794" s="1">
        <v>0</v>
      </c>
      <c r="P2794" s="1"/>
      <c r="Q2794" s="1"/>
      <c r="R2794" s="1" t="s">
        <v>19640</v>
      </c>
      <c r="S2794" s="1" t="s">
        <v>19641</v>
      </c>
      <c r="T2794" s="1" t="s">
        <v>19579</v>
      </c>
      <c r="U2794" s="1" t="s">
        <v>19642</v>
      </c>
      <c r="V2794" s="1">
        <v>1</v>
      </c>
      <c r="W2794" s="1">
        <v>1</v>
      </c>
      <c r="X2794" s="1">
        <v>1</v>
      </c>
      <c r="Y2794" s="1">
        <v>0</v>
      </c>
      <c r="Z2794" s="1">
        <v>0</v>
      </c>
      <c r="AA2794" s="1">
        <v>7</v>
      </c>
      <c r="AB2794" s="1">
        <v>7</v>
      </c>
      <c r="AC2794" s="1" t="s">
        <v>109</v>
      </c>
      <c r="AD2794" s="1" t="s">
        <v>109</v>
      </c>
      <c r="AE2794" s="1" t="s">
        <v>109</v>
      </c>
      <c r="AF2794" s="1" t="s">
        <v>109</v>
      </c>
      <c r="AG2794" s="1" t="s">
        <v>109</v>
      </c>
      <c r="AH2794" s="1" t="s">
        <v>109</v>
      </c>
      <c r="AI2794" s="1" t="s">
        <v>109</v>
      </c>
      <c r="AJ2794" s="1" t="s">
        <v>109</v>
      </c>
      <c r="AK2794" s="1" t="s">
        <v>109</v>
      </c>
      <c r="AL2794" s="1" t="s">
        <v>109</v>
      </c>
      <c r="AM2794" s="1" t="s">
        <v>109</v>
      </c>
      <c r="AN2794" s="1" t="s">
        <v>109</v>
      </c>
      <c r="AO2794" s="1" t="s">
        <v>109</v>
      </c>
      <c r="AP2794" s="1"/>
      <c r="AQ2794" s="1">
        <v>7</v>
      </c>
      <c r="AR2794" s="1"/>
      <c r="AS2794" s="1"/>
      <c r="AT2794" s="1">
        <v>0</v>
      </c>
      <c r="AU2794" s="1">
        <v>0</v>
      </c>
      <c r="AV2794" s="1">
        <v>0</v>
      </c>
      <c r="AW2794" s="1">
        <v>0</v>
      </c>
      <c r="AX2794" s="1">
        <v>0</v>
      </c>
      <c r="AY2794" s="1">
        <v>0</v>
      </c>
      <c r="AZ2794" s="1">
        <v>0</v>
      </c>
      <c r="BA2794" s="1">
        <v>0</v>
      </c>
      <c r="BB2794" s="1">
        <v>0</v>
      </c>
      <c r="BC2794" s="1">
        <v>0</v>
      </c>
      <c r="BD2794" s="1">
        <v>0</v>
      </c>
      <c r="BE2794" s="1">
        <v>0</v>
      </c>
      <c r="BF2794" s="1">
        <v>0</v>
      </c>
      <c r="BG2794" s="1">
        <v>1</v>
      </c>
      <c r="BH2794" s="1">
        <v>0</v>
      </c>
      <c r="BI2794" s="1">
        <v>0</v>
      </c>
      <c r="BJ2794" s="1">
        <v>0</v>
      </c>
      <c r="BK2794" s="1">
        <v>0</v>
      </c>
      <c r="BL2794" s="1">
        <v>0</v>
      </c>
      <c r="BM2794" s="1">
        <v>0</v>
      </c>
      <c r="BN2794" s="1">
        <v>0</v>
      </c>
      <c r="BO2794" s="1">
        <v>0</v>
      </c>
      <c r="BP2794" s="1">
        <v>0</v>
      </c>
      <c r="BQ2794" s="1">
        <v>0</v>
      </c>
      <c r="BR2794" s="1">
        <v>1</v>
      </c>
      <c r="BS2794" s="1" t="s">
        <v>109</v>
      </c>
      <c r="BT2794" s="1">
        <v>4887</v>
      </c>
      <c r="BU2794" s="1" t="s">
        <v>109</v>
      </c>
      <c r="BV2794" s="1"/>
      <c r="BW2794" s="1"/>
      <c r="BX2794" s="1"/>
      <c r="BY2794" s="1"/>
      <c r="BZ2794" s="1">
        <v>0</v>
      </c>
      <c r="CA2794" s="1" t="s">
        <v>109</v>
      </c>
      <c r="CB2794" s="1" t="s">
        <v>109</v>
      </c>
      <c r="CC2794" s="1" t="s">
        <v>109</v>
      </c>
      <c r="CD2794" s="1" t="s">
        <v>109</v>
      </c>
      <c r="CE2794" s="1" t="s">
        <v>109</v>
      </c>
      <c r="CF2794" s="1" t="s">
        <v>109</v>
      </c>
      <c r="CG2794" s="1" t="s">
        <v>109</v>
      </c>
      <c r="CH2794" s="1" t="s">
        <v>109</v>
      </c>
      <c r="CI2794" s="1" t="s">
        <v>109</v>
      </c>
      <c r="CJ2794" s="1" t="s">
        <v>109</v>
      </c>
      <c r="CK2794" s="1"/>
      <c r="CL2794" s="1">
        <v>0</v>
      </c>
      <c r="CM2794" s="1">
        <v>0</v>
      </c>
      <c r="CN2794" s="1">
        <v>0</v>
      </c>
    </row>
    <row r="2795" spans="1:92" ht="14.25" customHeight="1" x14ac:dyDescent="0.15">
      <c r="A2795" s="1" t="s">
        <v>19643</v>
      </c>
      <c r="B2795" s="1" t="s">
        <v>95</v>
      </c>
      <c r="C2795" s="1" t="s">
        <v>694</v>
      </c>
      <c r="D2795" s="1" t="s">
        <v>70</v>
      </c>
      <c r="E2795" s="1" t="s">
        <v>19644</v>
      </c>
      <c r="F2795" s="1" t="s">
        <v>98</v>
      </c>
      <c r="G2795" s="1" t="s">
        <v>160</v>
      </c>
      <c r="H2795" s="1">
        <v>0</v>
      </c>
      <c r="I2795" s="1" t="s">
        <v>122</v>
      </c>
      <c r="J2795" s="1" t="s">
        <v>19618</v>
      </c>
      <c r="K2795" s="1"/>
      <c r="L2795" s="1"/>
      <c r="M2795" s="1" t="s">
        <v>355</v>
      </c>
      <c r="N2795" s="1">
        <v>0</v>
      </c>
      <c r="O2795" s="1">
        <v>0</v>
      </c>
      <c r="P2795" s="1" t="s">
        <v>2770</v>
      </c>
      <c r="Q2795" s="1" t="s">
        <v>268</v>
      </c>
      <c r="R2795" s="1" t="s">
        <v>19645</v>
      </c>
      <c r="S2795" s="1" t="s">
        <v>19646</v>
      </c>
      <c r="T2795" s="1" t="s">
        <v>19579</v>
      </c>
      <c r="U2795" s="1" t="s">
        <v>19647</v>
      </c>
      <c r="V2795" s="1">
        <v>1</v>
      </c>
      <c r="W2795" s="1">
        <v>1</v>
      </c>
      <c r="X2795" s="1">
        <v>0</v>
      </c>
      <c r="Y2795" s="1">
        <v>0</v>
      </c>
      <c r="Z2795" s="1">
        <v>1</v>
      </c>
      <c r="AA2795" s="1" t="s">
        <v>109</v>
      </c>
      <c r="AB2795" s="1" t="s">
        <v>109</v>
      </c>
      <c r="AC2795" s="1">
        <v>3</v>
      </c>
      <c r="AD2795" s="1">
        <v>3</v>
      </c>
      <c r="AE2795" s="1">
        <v>3</v>
      </c>
      <c r="AF2795" s="1" t="s">
        <v>109</v>
      </c>
      <c r="AG2795" s="1" t="s">
        <v>109</v>
      </c>
      <c r="AH2795" s="1" t="s">
        <v>109</v>
      </c>
      <c r="AI2795" s="1" t="s">
        <v>109</v>
      </c>
      <c r="AJ2795" s="1" t="s">
        <v>109</v>
      </c>
      <c r="AK2795" s="1" t="s">
        <v>109</v>
      </c>
      <c r="AL2795" s="1">
        <v>3</v>
      </c>
      <c r="AM2795" s="1">
        <v>3</v>
      </c>
      <c r="AN2795" s="1" t="s">
        <v>109</v>
      </c>
      <c r="AO2795" s="1" t="s">
        <v>109</v>
      </c>
      <c r="AP2795" s="1"/>
      <c r="AQ2795" s="1">
        <v>3</v>
      </c>
      <c r="AR2795" s="1"/>
      <c r="AS2795" s="1"/>
      <c r="AT2795" s="1">
        <v>0</v>
      </c>
      <c r="AU2795" s="1">
        <v>0</v>
      </c>
      <c r="AV2795" s="1">
        <v>0</v>
      </c>
      <c r="AW2795" s="1">
        <v>0</v>
      </c>
      <c r="AX2795" s="1">
        <v>0</v>
      </c>
      <c r="AY2795" s="1">
        <v>0</v>
      </c>
      <c r="AZ2795" s="1">
        <v>0</v>
      </c>
      <c r="BA2795" s="1">
        <v>0</v>
      </c>
      <c r="BB2795" s="1">
        <v>0</v>
      </c>
      <c r="BC2795" s="1">
        <v>0</v>
      </c>
      <c r="BD2795" s="1">
        <v>0</v>
      </c>
      <c r="BE2795" s="1">
        <v>0</v>
      </c>
      <c r="BF2795" s="1">
        <v>0</v>
      </c>
      <c r="BG2795" s="1">
        <v>0</v>
      </c>
      <c r="BH2795" s="1">
        <v>0</v>
      </c>
      <c r="BI2795" s="1">
        <v>0</v>
      </c>
      <c r="BJ2795" s="1">
        <v>0</v>
      </c>
      <c r="BK2795" s="1">
        <v>0</v>
      </c>
      <c r="BL2795" s="1">
        <v>0</v>
      </c>
      <c r="BM2795" s="1">
        <v>0</v>
      </c>
      <c r="BN2795" s="1">
        <v>0</v>
      </c>
      <c r="BO2795" s="1">
        <v>0</v>
      </c>
      <c r="BP2795" s="1">
        <v>0</v>
      </c>
      <c r="BQ2795" s="1">
        <v>0</v>
      </c>
      <c r="BR2795" s="1">
        <v>1</v>
      </c>
      <c r="BS2795" s="1" t="s">
        <v>109</v>
      </c>
      <c r="BT2795" s="1">
        <v>4888</v>
      </c>
      <c r="BU2795" s="1" t="s">
        <v>109</v>
      </c>
      <c r="BV2795" s="1"/>
      <c r="BW2795" s="1"/>
      <c r="BX2795" s="1"/>
      <c r="BY2795" s="1"/>
      <c r="BZ2795" s="1">
        <v>0</v>
      </c>
      <c r="CA2795" s="1" t="s">
        <v>109</v>
      </c>
      <c r="CB2795" s="1">
        <v>3</v>
      </c>
      <c r="CC2795" s="1" t="s">
        <v>109</v>
      </c>
      <c r="CD2795" s="1" t="s">
        <v>109</v>
      </c>
      <c r="CE2795" s="1" t="s">
        <v>109</v>
      </c>
      <c r="CF2795" s="1" t="s">
        <v>109</v>
      </c>
      <c r="CG2795" s="1" t="s">
        <v>109</v>
      </c>
      <c r="CH2795" s="1" t="s">
        <v>109</v>
      </c>
      <c r="CI2795" s="1" t="s">
        <v>109</v>
      </c>
      <c r="CJ2795" s="1">
        <v>3</v>
      </c>
      <c r="CK2795" s="1"/>
      <c r="CL2795" s="1">
        <v>0</v>
      </c>
      <c r="CM2795" s="1">
        <v>0</v>
      </c>
      <c r="CN2795" s="1">
        <v>0</v>
      </c>
    </row>
    <row r="2796" spans="1:92" ht="14.25" customHeight="1" x14ac:dyDescent="0.15">
      <c r="A2796" s="1" t="s">
        <v>19648</v>
      </c>
      <c r="B2796" s="1" t="s">
        <v>189</v>
      </c>
      <c r="C2796" s="1"/>
      <c r="D2796" s="1" t="s">
        <v>70</v>
      </c>
      <c r="E2796" s="1" t="s">
        <v>19649</v>
      </c>
      <c r="F2796" s="1" t="s">
        <v>98</v>
      </c>
      <c r="G2796" s="1" t="s">
        <v>141</v>
      </c>
      <c r="H2796" s="1">
        <v>0</v>
      </c>
      <c r="I2796" s="1" t="s">
        <v>235</v>
      </c>
      <c r="J2796" s="1"/>
      <c r="K2796" s="1"/>
      <c r="L2796" s="1"/>
      <c r="M2796" s="1" t="s">
        <v>144</v>
      </c>
      <c r="N2796" s="1">
        <v>0</v>
      </c>
      <c r="O2796" s="1">
        <v>0</v>
      </c>
      <c r="P2796" s="1" t="s">
        <v>19650</v>
      </c>
      <c r="Q2796" s="1"/>
      <c r="R2796" s="1" t="s">
        <v>19651</v>
      </c>
      <c r="S2796" s="1" t="s">
        <v>19652</v>
      </c>
      <c r="T2796" s="1" t="s">
        <v>19579</v>
      </c>
      <c r="U2796" s="1" t="s">
        <v>19653</v>
      </c>
      <c r="V2796" s="1">
        <v>1</v>
      </c>
      <c r="W2796" s="1">
        <v>1</v>
      </c>
      <c r="X2796" s="1">
        <v>0</v>
      </c>
      <c r="Y2796" s="1">
        <v>0</v>
      </c>
      <c r="Z2796" s="1">
        <v>0</v>
      </c>
      <c r="AA2796" s="1">
        <v>4</v>
      </c>
      <c r="AB2796" s="1">
        <v>4</v>
      </c>
      <c r="AC2796" s="1">
        <v>4</v>
      </c>
      <c r="AD2796" s="1">
        <v>4</v>
      </c>
      <c r="AE2796" s="1" t="s">
        <v>109</v>
      </c>
      <c r="AF2796" s="1" t="s">
        <v>109</v>
      </c>
      <c r="AG2796" s="1" t="s">
        <v>109</v>
      </c>
      <c r="AH2796" s="1" t="s">
        <v>109</v>
      </c>
      <c r="AI2796" s="1" t="s">
        <v>109</v>
      </c>
      <c r="AJ2796" s="1" t="s">
        <v>109</v>
      </c>
      <c r="AK2796" s="1" t="s">
        <v>109</v>
      </c>
      <c r="AL2796" s="1">
        <v>4</v>
      </c>
      <c r="AM2796" s="1" t="s">
        <v>109</v>
      </c>
      <c r="AN2796" s="1" t="s">
        <v>109</v>
      </c>
      <c r="AO2796" s="1" t="s">
        <v>109</v>
      </c>
      <c r="AP2796" s="1"/>
      <c r="AQ2796" s="1">
        <v>4</v>
      </c>
      <c r="AR2796" s="1"/>
      <c r="AS2796" s="1"/>
      <c r="AT2796" s="1">
        <v>0</v>
      </c>
      <c r="AU2796" s="1">
        <v>0</v>
      </c>
      <c r="AV2796" s="1">
        <v>0</v>
      </c>
      <c r="AW2796" s="1">
        <v>0</v>
      </c>
      <c r="AX2796" s="1">
        <v>0</v>
      </c>
      <c r="AY2796" s="1">
        <v>0</v>
      </c>
      <c r="AZ2796" s="1">
        <v>0</v>
      </c>
      <c r="BA2796" s="1">
        <v>0</v>
      </c>
      <c r="BB2796" s="1">
        <v>0</v>
      </c>
      <c r="BC2796" s="1">
        <v>0</v>
      </c>
      <c r="BD2796" s="1">
        <v>0</v>
      </c>
      <c r="BE2796" s="1">
        <v>0</v>
      </c>
      <c r="BF2796" s="1">
        <v>0</v>
      </c>
      <c r="BG2796" s="1">
        <v>0</v>
      </c>
      <c r="BH2796" s="1">
        <v>0</v>
      </c>
      <c r="BI2796" s="1">
        <v>0</v>
      </c>
      <c r="BJ2796" s="1">
        <v>0</v>
      </c>
      <c r="BK2796" s="1">
        <v>0</v>
      </c>
      <c r="BL2796" s="1">
        <v>0</v>
      </c>
      <c r="BM2796" s="1">
        <v>0</v>
      </c>
      <c r="BN2796" s="1">
        <v>0</v>
      </c>
      <c r="BO2796" s="1">
        <v>0</v>
      </c>
      <c r="BP2796" s="1">
        <v>0</v>
      </c>
      <c r="BQ2796" s="1">
        <v>0</v>
      </c>
      <c r="BR2796" s="1">
        <v>1</v>
      </c>
      <c r="BS2796" s="1" t="s">
        <v>109</v>
      </c>
      <c r="BT2796" s="1">
        <v>4889</v>
      </c>
      <c r="BU2796" s="1" t="s">
        <v>109</v>
      </c>
      <c r="BV2796" s="1"/>
      <c r="BW2796" s="1"/>
      <c r="BX2796" s="1"/>
      <c r="BY2796" s="1"/>
      <c r="BZ2796" s="1">
        <v>0</v>
      </c>
      <c r="CA2796" s="1">
        <v>4</v>
      </c>
      <c r="CB2796" s="1">
        <v>4</v>
      </c>
      <c r="CC2796" s="1" t="s">
        <v>109</v>
      </c>
      <c r="CD2796" s="1" t="s">
        <v>109</v>
      </c>
      <c r="CE2796" s="1" t="s">
        <v>109</v>
      </c>
      <c r="CF2796" s="1" t="s">
        <v>109</v>
      </c>
      <c r="CG2796" s="1" t="s">
        <v>109</v>
      </c>
      <c r="CH2796" s="1" t="s">
        <v>109</v>
      </c>
      <c r="CI2796" s="1" t="s">
        <v>109</v>
      </c>
      <c r="CJ2796" s="1">
        <v>4</v>
      </c>
      <c r="CK2796" s="1"/>
      <c r="CL2796" s="1">
        <v>0</v>
      </c>
      <c r="CM2796" s="1">
        <v>0</v>
      </c>
      <c r="CN2796" s="1">
        <v>0</v>
      </c>
    </row>
    <row r="2797" spans="1:92" ht="14.25" customHeight="1" x14ac:dyDescent="0.15">
      <c r="A2797" s="1" t="s">
        <v>19654</v>
      </c>
      <c r="B2797" s="1" t="s">
        <v>242</v>
      </c>
      <c r="C2797" s="1"/>
      <c r="D2797" s="1"/>
      <c r="E2797" s="1" t="s">
        <v>19655</v>
      </c>
      <c r="F2797" s="1" t="s">
        <v>98</v>
      </c>
      <c r="G2797" s="1" t="s">
        <v>19656</v>
      </c>
      <c r="H2797" s="1">
        <v>1</v>
      </c>
      <c r="I2797" s="1" t="s">
        <v>161</v>
      </c>
      <c r="J2797" s="1"/>
      <c r="K2797" s="1"/>
      <c r="L2797" s="1" t="s">
        <v>19657</v>
      </c>
      <c r="M2797" s="1" t="s">
        <v>19658</v>
      </c>
      <c r="N2797" s="1">
        <v>0</v>
      </c>
      <c r="O2797" s="1">
        <v>0</v>
      </c>
      <c r="P2797" s="1" t="s">
        <v>507</v>
      </c>
      <c r="Q2797" s="1" t="s">
        <v>167</v>
      </c>
      <c r="R2797" s="1" t="s">
        <v>19659</v>
      </c>
      <c r="S2797" s="1" t="s">
        <v>19660</v>
      </c>
      <c r="T2797" s="1" t="s">
        <v>19448</v>
      </c>
      <c r="U2797" s="1" t="s">
        <v>19661</v>
      </c>
      <c r="V2797" s="1">
        <v>1</v>
      </c>
      <c r="W2797" s="1">
        <v>1</v>
      </c>
      <c r="X2797" s="1">
        <v>1</v>
      </c>
      <c r="Y2797" s="1">
        <v>0</v>
      </c>
      <c r="Z2797" s="1">
        <v>0</v>
      </c>
      <c r="AA2797" s="1">
        <v>4</v>
      </c>
      <c r="AB2797" s="1">
        <v>4</v>
      </c>
      <c r="AC2797" s="1">
        <v>4</v>
      </c>
      <c r="AD2797" s="1" t="s">
        <v>109</v>
      </c>
      <c r="AE2797" s="1" t="s">
        <v>109</v>
      </c>
      <c r="AF2797" s="1">
        <v>4</v>
      </c>
      <c r="AG2797" s="1" t="s">
        <v>109</v>
      </c>
      <c r="AH2797" s="1" t="s">
        <v>109</v>
      </c>
      <c r="AI2797" s="1" t="s">
        <v>109</v>
      </c>
      <c r="AJ2797" s="1" t="s">
        <v>109</v>
      </c>
      <c r="AK2797" s="1" t="s">
        <v>109</v>
      </c>
      <c r="AL2797" s="1">
        <v>4</v>
      </c>
      <c r="AM2797" s="1" t="s">
        <v>109</v>
      </c>
      <c r="AN2797" s="1">
        <v>4</v>
      </c>
      <c r="AO2797" s="1" t="s">
        <v>109</v>
      </c>
      <c r="AP2797" s="1"/>
      <c r="AQ2797" s="1">
        <v>4</v>
      </c>
      <c r="AR2797" s="1"/>
      <c r="AS2797" s="1"/>
      <c r="AT2797" s="1">
        <v>0</v>
      </c>
      <c r="AU2797" s="1">
        <v>0</v>
      </c>
      <c r="AV2797" s="1">
        <v>0</v>
      </c>
      <c r="AW2797" s="1">
        <v>0</v>
      </c>
      <c r="AX2797" s="1">
        <v>0</v>
      </c>
      <c r="AY2797" s="1">
        <v>0</v>
      </c>
      <c r="AZ2797" s="1">
        <v>0</v>
      </c>
      <c r="BA2797" s="1">
        <v>0</v>
      </c>
      <c r="BB2797" s="1">
        <v>0</v>
      </c>
      <c r="BC2797" s="1">
        <v>0</v>
      </c>
      <c r="BD2797" s="1">
        <v>0</v>
      </c>
      <c r="BE2797" s="1">
        <v>0</v>
      </c>
      <c r="BF2797" s="1">
        <v>0</v>
      </c>
      <c r="BG2797" s="1">
        <v>0</v>
      </c>
      <c r="BH2797" s="1">
        <v>0</v>
      </c>
      <c r="BI2797" s="1">
        <v>0</v>
      </c>
      <c r="BJ2797" s="1">
        <v>0</v>
      </c>
      <c r="BK2797" s="1">
        <v>0</v>
      </c>
      <c r="BL2797" s="1">
        <v>0</v>
      </c>
      <c r="BM2797" s="1">
        <v>0</v>
      </c>
      <c r="BN2797" s="1">
        <v>0</v>
      </c>
      <c r="BO2797" s="1">
        <v>0</v>
      </c>
      <c r="BP2797" s="1">
        <v>0</v>
      </c>
      <c r="BQ2797" s="1">
        <v>0</v>
      </c>
      <c r="BR2797" s="1">
        <v>0</v>
      </c>
      <c r="BS2797" s="1" t="s">
        <v>109</v>
      </c>
      <c r="BT2797" s="1">
        <v>4890</v>
      </c>
      <c r="BU2797" s="1">
        <v>25</v>
      </c>
      <c r="BV2797" s="1"/>
      <c r="BW2797" s="1"/>
      <c r="BX2797" s="1"/>
      <c r="BY2797" s="1"/>
      <c r="BZ2797" s="1">
        <v>0</v>
      </c>
      <c r="CA2797" s="1" t="s">
        <v>109</v>
      </c>
      <c r="CB2797" s="1" t="s">
        <v>109</v>
      </c>
      <c r="CC2797" s="1" t="s">
        <v>109</v>
      </c>
      <c r="CD2797" s="1" t="s">
        <v>109</v>
      </c>
      <c r="CE2797" s="1" t="s">
        <v>109</v>
      </c>
      <c r="CF2797" s="1">
        <v>4</v>
      </c>
      <c r="CG2797" s="1" t="s">
        <v>109</v>
      </c>
      <c r="CH2797" s="1" t="s">
        <v>109</v>
      </c>
      <c r="CI2797" s="1" t="s">
        <v>109</v>
      </c>
      <c r="CJ2797" s="1" t="s">
        <v>109</v>
      </c>
      <c r="CK2797" s="1"/>
      <c r="CL2797" s="1">
        <v>0</v>
      </c>
      <c r="CM2797" s="1">
        <v>0</v>
      </c>
      <c r="CN2797" s="1">
        <v>0</v>
      </c>
    </row>
    <row r="2798" spans="1:92" ht="14.25" customHeight="1" x14ac:dyDescent="0.15">
      <c r="A2798" s="1" t="s">
        <v>19662</v>
      </c>
      <c r="B2798" s="1" t="s">
        <v>242</v>
      </c>
      <c r="C2798" s="1"/>
      <c r="D2798" s="1"/>
      <c r="E2798" s="1" t="s">
        <v>19663</v>
      </c>
      <c r="F2798" s="1" t="s">
        <v>98</v>
      </c>
      <c r="G2798" s="1" t="s">
        <v>19656</v>
      </c>
      <c r="H2798" s="1">
        <v>1</v>
      </c>
      <c r="I2798" s="1" t="s">
        <v>161</v>
      </c>
      <c r="J2798" s="1"/>
      <c r="K2798" s="1"/>
      <c r="L2798" s="1" t="s">
        <v>19657</v>
      </c>
      <c r="M2798" s="1" t="s">
        <v>19658</v>
      </c>
      <c r="N2798" s="1">
        <v>0</v>
      </c>
      <c r="O2798" s="1">
        <v>0</v>
      </c>
      <c r="P2798" s="1" t="s">
        <v>507</v>
      </c>
      <c r="Q2798" s="1" t="s">
        <v>167</v>
      </c>
      <c r="R2798" s="1" t="s">
        <v>19664</v>
      </c>
      <c r="S2798" s="1" t="s">
        <v>19665</v>
      </c>
      <c r="T2798" s="1" t="s">
        <v>19448</v>
      </c>
      <c r="U2798" s="1" t="s">
        <v>19666</v>
      </c>
      <c r="V2798" s="1">
        <v>1</v>
      </c>
      <c r="W2798" s="1">
        <v>1</v>
      </c>
      <c r="X2798" s="1">
        <v>1</v>
      </c>
      <c r="Y2798" s="1">
        <v>0</v>
      </c>
      <c r="Z2798" s="1">
        <v>0</v>
      </c>
      <c r="AA2798" s="1">
        <v>6</v>
      </c>
      <c r="AB2798" s="1">
        <v>6</v>
      </c>
      <c r="AC2798" s="1">
        <v>6</v>
      </c>
      <c r="AD2798" s="1" t="s">
        <v>109</v>
      </c>
      <c r="AE2798" s="1" t="s">
        <v>109</v>
      </c>
      <c r="AF2798" s="1">
        <v>6</v>
      </c>
      <c r="AG2798" s="1" t="s">
        <v>109</v>
      </c>
      <c r="AH2798" s="1" t="s">
        <v>109</v>
      </c>
      <c r="AI2798" s="1" t="s">
        <v>109</v>
      </c>
      <c r="AJ2798" s="1" t="s">
        <v>109</v>
      </c>
      <c r="AK2798" s="1" t="s">
        <v>109</v>
      </c>
      <c r="AL2798" s="1">
        <v>6</v>
      </c>
      <c r="AM2798" s="1" t="s">
        <v>109</v>
      </c>
      <c r="AN2798" s="1">
        <v>6</v>
      </c>
      <c r="AO2798" s="1" t="s">
        <v>109</v>
      </c>
      <c r="AP2798" s="1"/>
      <c r="AQ2798" s="1">
        <v>6</v>
      </c>
      <c r="AR2798" s="1"/>
      <c r="AS2798" s="1"/>
      <c r="AT2798" s="1">
        <v>0</v>
      </c>
      <c r="AU2798" s="1">
        <v>0</v>
      </c>
      <c r="AV2798" s="1">
        <v>0</v>
      </c>
      <c r="AW2798" s="1">
        <v>0</v>
      </c>
      <c r="AX2798" s="1">
        <v>0</v>
      </c>
      <c r="AY2798" s="1">
        <v>0</v>
      </c>
      <c r="AZ2798" s="1">
        <v>0</v>
      </c>
      <c r="BA2798" s="1">
        <v>0</v>
      </c>
      <c r="BB2798" s="1">
        <v>0</v>
      </c>
      <c r="BC2798" s="1">
        <v>0</v>
      </c>
      <c r="BD2798" s="1">
        <v>0</v>
      </c>
      <c r="BE2798" s="1">
        <v>0</v>
      </c>
      <c r="BF2798" s="1">
        <v>0</v>
      </c>
      <c r="BG2798" s="1">
        <v>0</v>
      </c>
      <c r="BH2798" s="1">
        <v>0</v>
      </c>
      <c r="BI2798" s="1">
        <v>0</v>
      </c>
      <c r="BJ2798" s="1">
        <v>0</v>
      </c>
      <c r="BK2798" s="1">
        <v>0</v>
      </c>
      <c r="BL2798" s="1">
        <v>0</v>
      </c>
      <c r="BM2798" s="1">
        <v>0</v>
      </c>
      <c r="BN2798" s="1">
        <v>0</v>
      </c>
      <c r="BO2798" s="1">
        <v>0</v>
      </c>
      <c r="BP2798" s="1">
        <v>0</v>
      </c>
      <c r="BQ2798" s="1">
        <v>0</v>
      </c>
      <c r="BR2798" s="1">
        <v>0</v>
      </c>
      <c r="BS2798" s="1" t="s">
        <v>109</v>
      </c>
      <c r="BT2798" s="1">
        <v>4891</v>
      </c>
      <c r="BU2798" s="1">
        <v>25</v>
      </c>
      <c r="BV2798" s="1"/>
      <c r="BW2798" s="1"/>
      <c r="BX2798" s="1"/>
      <c r="BY2798" s="1"/>
      <c r="BZ2798" s="1">
        <v>0</v>
      </c>
      <c r="CA2798" s="1" t="s">
        <v>109</v>
      </c>
      <c r="CB2798" s="1" t="s">
        <v>109</v>
      </c>
      <c r="CC2798" s="1" t="s">
        <v>109</v>
      </c>
      <c r="CD2798" s="1" t="s">
        <v>109</v>
      </c>
      <c r="CE2798" s="1" t="s">
        <v>109</v>
      </c>
      <c r="CF2798" s="1">
        <v>6</v>
      </c>
      <c r="CG2798" s="1" t="s">
        <v>109</v>
      </c>
      <c r="CH2798" s="1" t="s">
        <v>109</v>
      </c>
      <c r="CI2798" s="1" t="s">
        <v>109</v>
      </c>
      <c r="CJ2798" s="1" t="s">
        <v>109</v>
      </c>
      <c r="CK2798" s="1"/>
      <c r="CL2798" s="1">
        <v>0</v>
      </c>
      <c r="CM2798" s="1">
        <v>0</v>
      </c>
      <c r="CN2798" s="1">
        <v>0</v>
      </c>
    </row>
    <row r="2799" spans="1:92" ht="14.25" customHeight="1" x14ac:dyDescent="0.15">
      <c r="A2799" s="1" t="s">
        <v>19667</v>
      </c>
      <c r="B2799" s="1" t="s">
        <v>242</v>
      </c>
      <c r="C2799" s="1"/>
      <c r="D2799" s="1"/>
      <c r="E2799" s="1" t="s">
        <v>5724</v>
      </c>
      <c r="F2799" s="1" t="s">
        <v>98</v>
      </c>
      <c r="G2799" s="1" t="s">
        <v>19656</v>
      </c>
      <c r="H2799" s="1">
        <v>1</v>
      </c>
      <c r="I2799" s="1" t="s">
        <v>161</v>
      </c>
      <c r="J2799" s="1"/>
      <c r="K2799" s="1"/>
      <c r="L2799" s="1" t="s">
        <v>19657</v>
      </c>
      <c r="M2799" s="1" t="s">
        <v>19658</v>
      </c>
      <c r="N2799" s="1">
        <v>0</v>
      </c>
      <c r="O2799" s="1">
        <v>0</v>
      </c>
      <c r="P2799" s="1" t="s">
        <v>507</v>
      </c>
      <c r="Q2799" s="1" t="s">
        <v>167</v>
      </c>
      <c r="R2799" s="1" t="s">
        <v>19668</v>
      </c>
      <c r="S2799" s="1" t="s">
        <v>19669</v>
      </c>
      <c r="T2799" s="1" t="s">
        <v>19448</v>
      </c>
      <c r="U2799" s="1" t="s">
        <v>19670</v>
      </c>
      <c r="V2799" s="1">
        <v>1</v>
      </c>
      <c r="W2799" s="1">
        <v>1</v>
      </c>
      <c r="X2799" s="1">
        <v>1</v>
      </c>
      <c r="Y2799" s="1">
        <v>0</v>
      </c>
      <c r="Z2799" s="1">
        <v>0</v>
      </c>
      <c r="AA2799" s="1">
        <v>9</v>
      </c>
      <c r="AB2799" s="1">
        <v>9</v>
      </c>
      <c r="AC2799" s="1">
        <v>9</v>
      </c>
      <c r="AD2799" s="1" t="s">
        <v>109</v>
      </c>
      <c r="AE2799" s="1" t="s">
        <v>109</v>
      </c>
      <c r="AF2799" s="1" t="s">
        <v>109</v>
      </c>
      <c r="AG2799" s="1" t="s">
        <v>109</v>
      </c>
      <c r="AH2799" s="1" t="s">
        <v>109</v>
      </c>
      <c r="AI2799" s="1" t="s">
        <v>109</v>
      </c>
      <c r="AJ2799" s="1" t="s">
        <v>109</v>
      </c>
      <c r="AK2799" s="1" t="s">
        <v>109</v>
      </c>
      <c r="AL2799" s="1">
        <v>9</v>
      </c>
      <c r="AM2799" s="1" t="s">
        <v>109</v>
      </c>
      <c r="AN2799" s="1" t="s">
        <v>109</v>
      </c>
      <c r="AO2799" s="1" t="s">
        <v>109</v>
      </c>
      <c r="AP2799" s="1"/>
      <c r="AQ2799" s="1">
        <v>9</v>
      </c>
      <c r="AR2799" s="1"/>
      <c r="AS2799" s="1"/>
      <c r="AT2799" s="1">
        <v>0</v>
      </c>
      <c r="AU2799" s="1">
        <v>0</v>
      </c>
      <c r="AV2799" s="1">
        <v>0</v>
      </c>
      <c r="AW2799" s="1">
        <v>0</v>
      </c>
      <c r="AX2799" s="1">
        <v>0</v>
      </c>
      <c r="AY2799" s="1">
        <v>0</v>
      </c>
      <c r="AZ2799" s="1">
        <v>0</v>
      </c>
      <c r="BA2799" s="1">
        <v>0</v>
      </c>
      <c r="BB2799" s="1">
        <v>0</v>
      </c>
      <c r="BC2799" s="1">
        <v>0</v>
      </c>
      <c r="BD2799" s="1">
        <v>0</v>
      </c>
      <c r="BE2799" s="1">
        <v>0</v>
      </c>
      <c r="BF2799" s="1">
        <v>0</v>
      </c>
      <c r="BG2799" s="1">
        <v>0</v>
      </c>
      <c r="BH2799" s="1">
        <v>0</v>
      </c>
      <c r="BI2799" s="1">
        <v>0</v>
      </c>
      <c r="BJ2799" s="1">
        <v>0</v>
      </c>
      <c r="BK2799" s="1">
        <v>0</v>
      </c>
      <c r="BL2799" s="1">
        <v>0</v>
      </c>
      <c r="BM2799" s="1">
        <v>0</v>
      </c>
      <c r="BN2799" s="1">
        <v>0</v>
      </c>
      <c r="BO2799" s="1">
        <v>0</v>
      </c>
      <c r="BP2799" s="1">
        <v>0</v>
      </c>
      <c r="BQ2799" s="1">
        <v>0</v>
      </c>
      <c r="BR2799" s="1">
        <v>0</v>
      </c>
      <c r="BS2799" s="1" t="s">
        <v>109</v>
      </c>
      <c r="BT2799" s="1">
        <v>4892</v>
      </c>
      <c r="BU2799" s="1">
        <v>25</v>
      </c>
      <c r="BV2799" s="1"/>
      <c r="BW2799" s="1"/>
      <c r="BX2799" s="1"/>
      <c r="BY2799" s="1"/>
      <c r="BZ2799" s="1">
        <v>0</v>
      </c>
      <c r="CA2799" s="1" t="s">
        <v>109</v>
      </c>
      <c r="CB2799" s="1" t="s">
        <v>109</v>
      </c>
      <c r="CC2799" s="1" t="s">
        <v>109</v>
      </c>
      <c r="CD2799" s="1" t="s">
        <v>109</v>
      </c>
      <c r="CE2799" s="1" t="s">
        <v>109</v>
      </c>
      <c r="CF2799" s="1" t="s">
        <v>109</v>
      </c>
      <c r="CG2799" s="1" t="s">
        <v>109</v>
      </c>
      <c r="CH2799" s="1" t="s">
        <v>109</v>
      </c>
      <c r="CI2799" s="1" t="s">
        <v>109</v>
      </c>
      <c r="CJ2799" s="1" t="s">
        <v>109</v>
      </c>
      <c r="CK2799" s="1"/>
      <c r="CL2799" s="1">
        <v>0</v>
      </c>
      <c r="CM2799" s="1">
        <v>0</v>
      </c>
      <c r="CN2799" s="1">
        <v>0</v>
      </c>
    </row>
    <row r="2800" spans="1:92" ht="14.25" customHeight="1" x14ac:dyDescent="0.15">
      <c r="A2800" s="1" t="s">
        <v>19671</v>
      </c>
      <c r="B2800" s="1" t="s">
        <v>189</v>
      </c>
      <c r="C2800" s="1"/>
      <c r="D2800" s="1"/>
      <c r="E2800" s="1" t="s">
        <v>16787</v>
      </c>
      <c r="F2800" s="1" t="s">
        <v>355</v>
      </c>
      <c r="G2800" s="1" t="s">
        <v>14919</v>
      </c>
      <c r="H2800" s="1">
        <v>0</v>
      </c>
      <c r="I2800" s="1" t="s">
        <v>235</v>
      </c>
      <c r="J2800" s="1"/>
      <c r="K2800" s="1"/>
      <c r="L2800" s="1" t="s">
        <v>236</v>
      </c>
      <c r="M2800" s="1" t="s">
        <v>19672</v>
      </c>
      <c r="N2800" s="1">
        <v>0</v>
      </c>
      <c r="O2800" s="1">
        <v>0</v>
      </c>
      <c r="P2800" s="1"/>
      <c r="Q2800" s="1"/>
      <c r="R2800" s="1" t="s">
        <v>19673</v>
      </c>
      <c r="S2800" s="1" t="s">
        <v>19674</v>
      </c>
      <c r="T2800" s="1" t="s">
        <v>19448</v>
      </c>
      <c r="U2800" s="1" t="s">
        <v>19675</v>
      </c>
      <c r="V2800" s="1">
        <v>1</v>
      </c>
      <c r="W2800" s="1">
        <v>1</v>
      </c>
      <c r="X2800" s="1">
        <v>1</v>
      </c>
      <c r="Y2800" s="1">
        <v>0</v>
      </c>
      <c r="Z2800" s="1">
        <v>0</v>
      </c>
      <c r="AA2800" s="1">
        <v>2</v>
      </c>
      <c r="AB2800" s="1">
        <v>2</v>
      </c>
      <c r="AC2800" s="1" t="s">
        <v>109</v>
      </c>
      <c r="AD2800" s="1" t="s">
        <v>109</v>
      </c>
      <c r="AE2800" s="1" t="s">
        <v>109</v>
      </c>
      <c r="AF2800" s="1">
        <v>2</v>
      </c>
      <c r="AG2800" s="1" t="s">
        <v>109</v>
      </c>
      <c r="AH2800" s="1" t="s">
        <v>109</v>
      </c>
      <c r="AI2800" s="1" t="s">
        <v>109</v>
      </c>
      <c r="AJ2800" s="1" t="s">
        <v>109</v>
      </c>
      <c r="AK2800" s="1" t="s">
        <v>109</v>
      </c>
      <c r="AL2800" s="1" t="s">
        <v>109</v>
      </c>
      <c r="AM2800" s="1" t="s">
        <v>109</v>
      </c>
      <c r="AN2800" s="1" t="s">
        <v>109</v>
      </c>
      <c r="AO2800" s="1" t="s">
        <v>109</v>
      </c>
      <c r="AP2800" s="1"/>
      <c r="AQ2800" s="1">
        <v>2</v>
      </c>
      <c r="AR2800" s="1"/>
      <c r="AS2800" s="1"/>
      <c r="AT2800" s="1">
        <v>0</v>
      </c>
      <c r="AU2800" s="1">
        <v>0</v>
      </c>
      <c r="AV2800" s="1">
        <v>0</v>
      </c>
      <c r="AW2800" s="1">
        <v>0</v>
      </c>
      <c r="AX2800" s="1">
        <v>0</v>
      </c>
      <c r="AY2800" s="1">
        <v>0</v>
      </c>
      <c r="AZ2800" s="1">
        <v>0</v>
      </c>
      <c r="BA2800" s="1">
        <v>0</v>
      </c>
      <c r="BB2800" s="1">
        <v>0</v>
      </c>
      <c r="BC2800" s="1">
        <v>0</v>
      </c>
      <c r="BD2800" s="1">
        <v>0</v>
      </c>
      <c r="BE2800" s="1">
        <v>0</v>
      </c>
      <c r="BF2800" s="1">
        <v>0</v>
      </c>
      <c r="BG2800" s="1">
        <v>0</v>
      </c>
      <c r="BH2800" s="1">
        <v>0</v>
      </c>
      <c r="BI2800" s="1">
        <v>0</v>
      </c>
      <c r="BJ2800" s="1">
        <v>0</v>
      </c>
      <c r="BK2800" s="1">
        <v>0</v>
      </c>
      <c r="BL2800" s="1">
        <v>0</v>
      </c>
      <c r="BM2800" s="1">
        <v>0</v>
      </c>
      <c r="BN2800" s="1">
        <v>0</v>
      </c>
      <c r="BO2800" s="1">
        <v>0</v>
      </c>
      <c r="BP2800" s="1">
        <v>0</v>
      </c>
      <c r="BQ2800" s="1">
        <v>0</v>
      </c>
      <c r="BR2800" s="1">
        <v>0</v>
      </c>
      <c r="BS2800" s="1" t="s">
        <v>109</v>
      </c>
      <c r="BT2800" s="1">
        <v>4893</v>
      </c>
      <c r="BU2800" s="1" t="s">
        <v>109</v>
      </c>
      <c r="BV2800" s="1"/>
      <c r="BW2800" s="1"/>
      <c r="BX2800" s="1"/>
      <c r="BY2800" s="1"/>
      <c r="BZ2800" s="1">
        <v>0</v>
      </c>
      <c r="CA2800" s="1" t="s">
        <v>109</v>
      </c>
      <c r="CB2800" s="1" t="s">
        <v>109</v>
      </c>
      <c r="CC2800" s="1">
        <v>2</v>
      </c>
      <c r="CD2800" s="1">
        <v>2</v>
      </c>
      <c r="CE2800" s="1">
        <v>2</v>
      </c>
      <c r="CF2800" s="1">
        <v>2</v>
      </c>
      <c r="CG2800" s="1" t="s">
        <v>109</v>
      </c>
      <c r="CH2800" s="1" t="s">
        <v>109</v>
      </c>
      <c r="CI2800" s="1" t="s">
        <v>109</v>
      </c>
      <c r="CJ2800" s="1" t="s">
        <v>109</v>
      </c>
      <c r="CK2800" s="1"/>
      <c r="CL2800" s="1">
        <v>0</v>
      </c>
      <c r="CM2800" s="1">
        <v>0</v>
      </c>
      <c r="CN2800" s="1">
        <v>0</v>
      </c>
    </row>
    <row r="2801" spans="1:92" ht="14.25" customHeight="1" x14ac:dyDescent="0.15">
      <c r="A2801" s="1" t="s">
        <v>19676</v>
      </c>
      <c r="B2801" s="1" t="s">
        <v>254</v>
      </c>
      <c r="C2801" s="1"/>
      <c r="D2801" s="1"/>
      <c r="E2801" s="1" t="s">
        <v>19677</v>
      </c>
      <c r="F2801" s="1" t="s">
        <v>277</v>
      </c>
      <c r="G2801" s="1" t="s">
        <v>19678</v>
      </c>
      <c r="H2801" s="1">
        <v>1</v>
      </c>
      <c r="I2801" s="1" t="s">
        <v>161</v>
      </c>
      <c r="J2801" s="1"/>
      <c r="K2801" s="1"/>
      <c r="L2801" s="1" t="s">
        <v>19679</v>
      </c>
      <c r="M2801" s="1" t="s">
        <v>144</v>
      </c>
      <c r="N2801" s="1">
        <v>0</v>
      </c>
      <c r="O2801" s="1">
        <v>0</v>
      </c>
      <c r="P2801" s="1" t="s">
        <v>103</v>
      </c>
      <c r="Q2801" s="1" t="s">
        <v>104</v>
      </c>
      <c r="R2801" s="1" t="s">
        <v>19680</v>
      </c>
      <c r="S2801" s="1" t="s">
        <v>19681</v>
      </c>
      <c r="T2801" s="1" t="s">
        <v>19448</v>
      </c>
      <c r="U2801" s="1" t="s">
        <v>19682</v>
      </c>
      <c r="V2801" s="1">
        <v>1</v>
      </c>
      <c r="W2801" s="1">
        <v>1</v>
      </c>
      <c r="X2801" s="1">
        <v>1</v>
      </c>
      <c r="Y2801" s="1">
        <v>0</v>
      </c>
      <c r="Z2801" s="1">
        <v>0</v>
      </c>
      <c r="AA2801" s="1">
        <v>1</v>
      </c>
      <c r="AB2801" s="1">
        <v>1</v>
      </c>
      <c r="AC2801" s="1">
        <v>1</v>
      </c>
      <c r="AD2801" s="1" t="s">
        <v>109</v>
      </c>
      <c r="AE2801" s="1" t="s">
        <v>109</v>
      </c>
      <c r="AF2801" s="1">
        <v>1</v>
      </c>
      <c r="AG2801" s="1" t="s">
        <v>109</v>
      </c>
      <c r="AH2801" s="1" t="s">
        <v>109</v>
      </c>
      <c r="AI2801" s="1" t="s">
        <v>109</v>
      </c>
      <c r="AJ2801" s="1" t="s">
        <v>109</v>
      </c>
      <c r="AK2801" s="1" t="s">
        <v>109</v>
      </c>
      <c r="AL2801" s="1">
        <v>1</v>
      </c>
      <c r="AM2801" s="1" t="s">
        <v>109</v>
      </c>
      <c r="AN2801" s="1" t="s">
        <v>109</v>
      </c>
      <c r="AO2801" s="1" t="s">
        <v>109</v>
      </c>
      <c r="AP2801" s="1"/>
      <c r="AQ2801" s="1">
        <v>1</v>
      </c>
      <c r="AR2801" s="1"/>
      <c r="AS2801" s="1"/>
      <c r="AT2801" s="1">
        <v>0</v>
      </c>
      <c r="AU2801" s="1">
        <v>0</v>
      </c>
      <c r="AV2801" s="1">
        <v>0</v>
      </c>
      <c r="AW2801" s="1">
        <v>0</v>
      </c>
      <c r="AX2801" s="1">
        <v>0</v>
      </c>
      <c r="AY2801" s="1">
        <v>0</v>
      </c>
      <c r="AZ2801" s="1">
        <v>0</v>
      </c>
      <c r="BA2801" s="1">
        <v>0</v>
      </c>
      <c r="BB2801" s="1">
        <v>0</v>
      </c>
      <c r="BC2801" s="1">
        <v>0</v>
      </c>
      <c r="BD2801" s="1">
        <v>0</v>
      </c>
      <c r="BE2801" s="1">
        <v>0</v>
      </c>
      <c r="BF2801" s="1">
        <v>0</v>
      </c>
      <c r="BG2801" s="1">
        <v>0</v>
      </c>
      <c r="BH2801" s="1">
        <v>0</v>
      </c>
      <c r="BI2801" s="1">
        <v>0</v>
      </c>
      <c r="BJ2801" s="1">
        <v>0</v>
      </c>
      <c r="BK2801" s="1">
        <v>0</v>
      </c>
      <c r="BL2801" s="1">
        <v>0</v>
      </c>
      <c r="BM2801" s="1">
        <v>0</v>
      </c>
      <c r="BN2801" s="1">
        <v>0</v>
      </c>
      <c r="BO2801" s="1">
        <v>0</v>
      </c>
      <c r="BP2801" s="1">
        <v>0</v>
      </c>
      <c r="BQ2801" s="1">
        <v>0</v>
      </c>
      <c r="BR2801" s="1">
        <v>0</v>
      </c>
      <c r="BS2801" s="1" t="s">
        <v>109</v>
      </c>
      <c r="BT2801" s="1">
        <v>4894</v>
      </c>
      <c r="BU2801" s="1">
        <v>25</v>
      </c>
      <c r="BV2801" s="1"/>
      <c r="BW2801" s="1"/>
      <c r="BX2801" s="1"/>
      <c r="BY2801" s="1"/>
      <c r="BZ2801" s="1">
        <v>0</v>
      </c>
      <c r="CA2801" s="1" t="s">
        <v>109</v>
      </c>
      <c r="CB2801" s="1" t="s">
        <v>109</v>
      </c>
      <c r="CC2801" s="1">
        <v>1</v>
      </c>
      <c r="CD2801" s="1" t="s">
        <v>109</v>
      </c>
      <c r="CE2801" s="1" t="s">
        <v>109</v>
      </c>
      <c r="CF2801" s="1">
        <v>1</v>
      </c>
      <c r="CG2801" s="1" t="s">
        <v>109</v>
      </c>
      <c r="CH2801" s="1" t="s">
        <v>109</v>
      </c>
      <c r="CI2801" s="1" t="s">
        <v>109</v>
      </c>
      <c r="CJ2801" s="1" t="s">
        <v>109</v>
      </c>
      <c r="CK2801" s="1"/>
      <c r="CL2801" s="1">
        <v>0</v>
      </c>
      <c r="CM2801" s="1">
        <v>0</v>
      </c>
      <c r="CN2801" s="1">
        <v>0</v>
      </c>
    </row>
    <row r="2802" spans="1:92" ht="14.25" customHeight="1" x14ac:dyDescent="0.15">
      <c r="A2802" s="1" t="s">
        <v>19683</v>
      </c>
      <c r="B2802" s="1" t="s">
        <v>189</v>
      </c>
      <c r="C2802" s="1"/>
      <c r="D2802" s="1"/>
      <c r="E2802" s="1" t="s">
        <v>19684</v>
      </c>
      <c r="F2802" s="1" t="s">
        <v>277</v>
      </c>
      <c r="G2802" s="1" t="s">
        <v>19685</v>
      </c>
      <c r="H2802" s="1">
        <v>1</v>
      </c>
      <c r="I2802" s="1" t="s">
        <v>142</v>
      </c>
      <c r="J2802" s="1"/>
      <c r="K2802" s="1"/>
      <c r="L2802" s="1" t="s">
        <v>563</v>
      </c>
      <c r="M2802" s="1" t="s">
        <v>19686</v>
      </c>
      <c r="N2802" s="1">
        <v>0</v>
      </c>
      <c r="O2802" s="1">
        <v>0</v>
      </c>
      <c r="P2802" s="1" t="s">
        <v>5953</v>
      </c>
      <c r="Q2802" s="1" t="s">
        <v>167</v>
      </c>
      <c r="R2802" s="1" t="s">
        <v>19687</v>
      </c>
      <c r="S2802" s="1" t="s">
        <v>19688</v>
      </c>
      <c r="T2802" s="1" t="s">
        <v>19448</v>
      </c>
      <c r="U2802" s="1" t="s">
        <v>19689</v>
      </c>
      <c r="V2802" s="1">
        <v>1</v>
      </c>
      <c r="W2802" s="1">
        <v>1</v>
      </c>
      <c r="X2802" s="1">
        <v>1</v>
      </c>
      <c r="Y2802" s="1">
        <v>0</v>
      </c>
      <c r="Z2802" s="1">
        <v>0</v>
      </c>
      <c r="AA2802" s="1">
        <v>2</v>
      </c>
      <c r="AB2802" s="1">
        <v>2</v>
      </c>
      <c r="AC2802" s="1" t="s">
        <v>109</v>
      </c>
      <c r="AD2802" s="1" t="s">
        <v>109</v>
      </c>
      <c r="AE2802" s="1" t="s">
        <v>109</v>
      </c>
      <c r="AF2802" s="1">
        <v>2</v>
      </c>
      <c r="AG2802" s="1" t="s">
        <v>109</v>
      </c>
      <c r="AH2802" s="1" t="s">
        <v>109</v>
      </c>
      <c r="AI2802" s="1" t="s">
        <v>109</v>
      </c>
      <c r="AJ2802" s="1">
        <v>2</v>
      </c>
      <c r="AK2802" s="1" t="s">
        <v>109</v>
      </c>
      <c r="AL2802" s="1" t="s">
        <v>109</v>
      </c>
      <c r="AM2802" s="1" t="s">
        <v>109</v>
      </c>
      <c r="AN2802" s="1" t="s">
        <v>109</v>
      </c>
      <c r="AO2802" s="1" t="s">
        <v>109</v>
      </c>
      <c r="AP2802" s="1"/>
      <c r="AQ2802" s="1">
        <v>2</v>
      </c>
      <c r="AR2802" s="1"/>
      <c r="AS2802" s="1"/>
      <c r="AT2802" s="1">
        <v>0</v>
      </c>
      <c r="AU2802" s="1">
        <v>0</v>
      </c>
      <c r="AV2802" s="1">
        <v>0</v>
      </c>
      <c r="AW2802" s="1">
        <v>0</v>
      </c>
      <c r="AX2802" s="1">
        <v>0</v>
      </c>
      <c r="AY2802" s="1">
        <v>0</v>
      </c>
      <c r="AZ2802" s="1">
        <v>0</v>
      </c>
      <c r="BA2802" s="1">
        <v>0</v>
      </c>
      <c r="BB2802" s="1">
        <v>0</v>
      </c>
      <c r="BC2802" s="1">
        <v>0</v>
      </c>
      <c r="BD2802" s="1">
        <v>0</v>
      </c>
      <c r="BE2802" s="1">
        <v>0</v>
      </c>
      <c r="BF2802" s="1">
        <v>0</v>
      </c>
      <c r="BG2802" s="1">
        <v>0</v>
      </c>
      <c r="BH2802" s="1">
        <v>0</v>
      </c>
      <c r="BI2802" s="1">
        <v>0</v>
      </c>
      <c r="BJ2802" s="1">
        <v>0</v>
      </c>
      <c r="BK2802" s="1">
        <v>0</v>
      </c>
      <c r="BL2802" s="1">
        <v>0</v>
      </c>
      <c r="BM2802" s="1">
        <v>0</v>
      </c>
      <c r="BN2802" s="1">
        <v>0</v>
      </c>
      <c r="BO2802" s="1">
        <v>0</v>
      </c>
      <c r="BP2802" s="1">
        <v>0</v>
      </c>
      <c r="BQ2802" s="1">
        <v>0</v>
      </c>
      <c r="BR2802" s="1">
        <v>0</v>
      </c>
      <c r="BS2802" s="1" t="s">
        <v>109</v>
      </c>
      <c r="BT2802" s="1">
        <v>4895</v>
      </c>
      <c r="BU2802" s="1">
        <v>25</v>
      </c>
      <c r="BV2802" s="1"/>
      <c r="BW2802" s="1"/>
      <c r="BX2802" s="1"/>
      <c r="BY2802" s="1"/>
      <c r="BZ2802" s="1">
        <v>0</v>
      </c>
      <c r="CA2802" s="1" t="s">
        <v>109</v>
      </c>
      <c r="CB2802" s="1" t="s">
        <v>109</v>
      </c>
      <c r="CC2802" s="1" t="s">
        <v>109</v>
      </c>
      <c r="CD2802" s="1" t="s">
        <v>109</v>
      </c>
      <c r="CE2802" s="1" t="s">
        <v>109</v>
      </c>
      <c r="CF2802" s="1">
        <v>2</v>
      </c>
      <c r="CG2802" s="1" t="s">
        <v>109</v>
      </c>
      <c r="CH2802" s="1" t="s">
        <v>109</v>
      </c>
      <c r="CI2802" s="1" t="s">
        <v>109</v>
      </c>
      <c r="CJ2802" s="1" t="s">
        <v>109</v>
      </c>
      <c r="CK2802" s="1"/>
      <c r="CL2802" s="1">
        <v>0</v>
      </c>
      <c r="CM2802" s="1">
        <v>0</v>
      </c>
      <c r="CN2802" s="1">
        <v>0</v>
      </c>
    </row>
    <row r="2803" spans="1:92" ht="14.25" customHeight="1" x14ac:dyDescent="0.15">
      <c r="A2803" s="1" t="s">
        <v>19690</v>
      </c>
      <c r="B2803" s="1" t="s">
        <v>156</v>
      </c>
      <c r="C2803" s="1" t="s">
        <v>157</v>
      </c>
      <c r="D2803" s="1" t="s">
        <v>16043</v>
      </c>
      <c r="E2803" s="1" t="s">
        <v>19691</v>
      </c>
      <c r="F2803" s="1" t="s">
        <v>98</v>
      </c>
      <c r="G2803" s="1" t="s">
        <v>19692</v>
      </c>
      <c r="H2803" s="1">
        <v>0</v>
      </c>
      <c r="I2803" s="1" t="s">
        <v>142</v>
      </c>
      <c r="J2803" s="1"/>
      <c r="K2803" s="1"/>
      <c r="L2803" s="1" t="s">
        <v>563</v>
      </c>
      <c r="M2803" s="1" t="s">
        <v>125</v>
      </c>
      <c r="N2803" s="1">
        <v>0</v>
      </c>
      <c r="O2803" s="1">
        <v>0</v>
      </c>
      <c r="P2803" s="1" t="s">
        <v>17483</v>
      </c>
      <c r="Q2803" s="1" t="s">
        <v>268</v>
      </c>
      <c r="R2803" s="1" t="s">
        <v>19693</v>
      </c>
      <c r="S2803" s="1" t="s">
        <v>19694</v>
      </c>
      <c r="T2803" s="1" t="s">
        <v>19448</v>
      </c>
      <c r="U2803" s="1" t="s">
        <v>19695</v>
      </c>
      <c r="V2803" s="1">
        <v>1</v>
      </c>
      <c r="W2803" s="1">
        <v>1</v>
      </c>
      <c r="X2803" s="1">
        <v>1</v>
      </c>
      <c r="Y2803" s="1">
        <v>0</v>
      </c>
      <c r="Z2803" s="1">
        <v>1</v>
      </c>
      <c r="AA2803" s="1">
        <v>3</v>
      </c>
      <c r="AB2803" s="1">
        <v>3</v>
      </c>
      <c r="AC2803" s="1">
        <v>3</v>
      </c>
      <c r="AD2803" s="1" t="s">
        <v>109</v>
      </c>
      <c r="AE2803" s="1" t="s">
        <v>109</v>
      </c>
      <c r="AF2803" s="1">
        <v>2</v>
      </c>
      <c r="AG2803" s="1">
        <v>2</v>
      </c>
      <c r="AH2803" s="1" t="s">
        <v>109</v>
      </c>
      <c r="AI2803" s="1" t="s">
        <v>109</v>
      </c>
      <c r="AJ2803" s="1">
        <v>3</v>
      </c>
      <c r="AK2803" s="1">
        <v>3</v>
      </c>
      <c r="AL2803" s="1">
        <v>3</v>
      </c>
      <c r="AM2803" s="1" t="s">
        <v>109</v>
      </c>
      <c r="AN2803" s="1" t="s">
        <v>109</v>
      </c>
      <c r="AO2803" s="1" t="s">
        <v>109</v>
      </c>
      <c r="AP2803" s="1"/>
      <c r="AQ2803" s="1">
        <v>3</v>
      </c>
      <c r="AR2803" s="1"/>
      <c r="AS2803" s="1"/>
      <c r="AT2803" s="1">
        <v>0</v>
      </c>
      <c r="AU2803" s="1">
        <v>0</v>
      </c>
      <c r="AV2803" s="1">
        <v>0</v>
      </c>
      <c r="AW2803" s="1">
        <v>0</v>
      </c>
      <c r="AX2803" s="1">
        <v>0</v>
      </c>
      <c r="AY2803" s="1">
        <v>0</v>
      </c>
      <c r="AZ2803" s="1">
        <v>0</v>
      </c>
      <c r="BA2803" s="1">
        <v>0</v>
      </c>
      <c r="BB2803" s="1">
        <v>0</v>
      </c>
      <c r="BC2803" s="1">
        <v>0</v>
      </c>
      <c r="BD2803" s="1">
        <v>1</v>
      </c>
      <c r="BE2803" s="1">
        <v>0</v>
      </c>
      <c r="BF2803" s="1">
        <v>0</v>
      </c>
      <c r="BG2803" s="1">
        <v>0</v>
      </c>
      <c r="BH2803" s="1">
        <v>0</v>
      </c>
      <c r="BI2803" s="1">
        <v>0</v>
      </c>
      <c r="BJ2803" s="1">
        <v>0</v>
      </c>
      <c r="BK2803" s="1">
        <v>0</v>
      </c>
      <c r="BL2803" s="1">
        <v>0</v>
      </c>
      <c r="BM2803" s="1">
        <v>1</v>
      </c>
      <c r="BN2803" s="1">
        <v>0</v>
      </c>
      <c r="BO2803" s="1">
        <v>0</v>
      </c>
      <c r="BP2803" s="1">
        <v>0</v>
      </c>
      <c r="BQ2803" s="1">
        <v>0</v>
      </c>
      <c r="BR2803" s="1">
        <v>0</v>
      </c>
      <c r="BS2803" s="1" t="s">
        <v>109</v>
      </c>
      <c r="BT2803" s="1">
        <v>4896</v>
      </c>
      <c r="BU2803" s="1" t="s">
        <v>109</v>
      </c>
      <c r="BV2803" s="1"/>
      <c r="BW2803" s="1"/>
      <c r="BX2803" s="1"/>
      <c r="BY2803" s="1"/>
      <c r="BZ2803" s="1">
        <v>0</v>
      </c>
      <c r="CA2803" s="1" t="s">
        <v>109</v>
      </c>
      <c r="CB2803" s="1" t="s">
        <v>109</v>
      </c>
      <c r="CC2803" s="1" t="s">
        <v>109</v>
      </c>
      <c r="CD2803" s="1" t="s">
        <v>109</v>
      </c>
      <c r="CE2803" s="1">
        <v>2</v>
      </c>
      <c r="CF2803" s="1" t="s">
        <v>109</v>
      </c>
      <c r="CG2803" s="1" t="s">
        <v>109</v>
      </c>
      <c r="CH2803" s="1" t="s">
        <v>109</v>
      </c>
      <c r="CI2803" s="1" t="s">
        <v>109</v>
      </c>
      <c r="CJ2803" s="1" t="s">
        <v>109</v>
      </c>
      <c r="CK2803" s="1"/>
      <c r="CL2803" s="1">
        <v>0</v>
      </c>
      <c r="CM2803" s="1">
        <v>0</v>
      </c>
      <c r="CN2803" s="1">
        <v>0</v>
      </c>
    </row>
    <row r="2804" spans="1:92" ht="14.25" customHeight="1" x14ac:dyDescent="0.15">
      <c r="A2804" s="1" t="s">
        <v>19696</v>
      </c>
      <c r="B2804" s="1" t="s">
        <v>254</v>
      </c>
      <c r="C2804" s="1"/>
      <c r="D2804" s="1"/>
      <c r="E2804" s="1" t="s">
        <v>19697</v>
      </c>
      <c r="F2804" s="1" t="s">
        <v>98</v>
      </c>
      <c r="G2804" s="1" t="s">
        <v>19698</v>
      </c>
      <c r="H2804" s="1">
        <v>0</v>
      </c>
      <c r="I2804" s="1"/>
      <c r="J2804" s="1" t="s">
        <v>1346</v>
      </c>
      <c r="K2804" s="1"/>
      <c r="L2804" s="1"/>
      <c r="M2804" s="1" t="s">
        <v>11884</v>
      </c>
      <c r="N2804" s="1">
        <v>1</v>
      </c>
      <c r="O2804" s="1">
        <v>0</v>
      </c>
      <c r="P2804" s="1" t="s">
        <v>103</v>
      </c>
      <c r="Q2804" s="1" t="s">
        <v>104</v>
      </c>
      <c r="R2804" s="1" t="s">
        <v>19699</v>
      </c>
      <c r="S2804" s="1" t="s">
        <v>19700</v>
      </c>
      <c r="T2804" s="1" t="s">
        <v>19448</v>
      </c>
      <c r="U2804" s="1" t="s">
        <v>19701</v>
      </c>
      <c r="V2804" s="1">
        <v>1</v>
      </c>
      <c r="W2804" s="1">
        <v>1</v>
      </c>
      <c r="X2804" s="1">
        <v>0</v>
      </c>
      <c r="Y2804" s="1">
        <v>0</v>
      </c>
      <c r="Z2804" s="1">
        <v>0</v>
      </c>
      <c r="AA2804" s="1">
        <v>1</v>
      </c>
      <c r="AB2804" s="1">
        <v>1</v>
      </c>
      <c r="AC2804" s="1">
        <v>1</v>
      </c>
      <c r="AD2804" s="1" t="s">
        <v>109</v>
      </c>
      <c r="AE2804" s="1" t="s">
        <v>109</v>
      </c>
      <c r="AF2804" s="1">
        <v>1</v>
      </c>
      <c r="AG2804" s="1">
        <v>1</v>
      </c>
      <c r="AH2804" s="1" t="s">
        <v>109</v>
      </c>
      <c r="AI2804" s="1" t="s">
        <v>109</v>
      </c>
      <c r="AJ2804" s="1">
        <v>1</v>
      </c>
      <c r="AK2804" s="1">
        <v>1</v>
      </c>
      <c r="AL2804" s="1">
        <v>1</v>
      </c>
      <c r="AM2804" s="1" t="s">
        <v>109</v>
      </c>
      <c r="AN2804" s="1" t="s">
        <v>109</v>
      </c>
      <c r="AO2804" s="1" t="s">
        <v>109</v>
      </c>
      <c r="AP2804" s="1"/>
      <c r="AQ2804" s="1">
        <v>1</v>
      </c>
      <c r="AR2804" s="1"/>
      <c r="AS2804" s="1"/>
      <c r="AT2804" s="1">
        <v>0</v>
      </c>
      <c r="AU2804" s="1">
        <v>0</v>
      </c>
      <c r="AV2804" s="1">
        <v>0</v>
      </c>
      <c r="AW2804" s="1">
        <v>0</v>
      </c>
      <c r="AX2804" s="1">
        <v>0</v>
      </c>
      <c r="AY2804" s="1">
        <v>0</v>
      </c>
      <c r="AZ2804" s="1">
        <v>0</v>
      </c>
      <c r="BA2804" s="1">
        <v>0</v>
      </c>
      <c r="BB2804" s="1">
        <v>0</v>
      </c>
      <c r="BC2804" s="1">
        <v>0</v>
      </c>
      <c r="BD2804" s="1">
        <v>0</v>
      </c>
      <c r="BE2804" s="1">
        <v>0</v>
      </c>
      <c r="BF2804" s="1">
        <v>0</v>
      </c>
      <c r="BG2804" s="1">
        <v>0</v>
      </c>
      <c r="BH2804" s="1">
        <v>0</v>
      </c>
      <c r="BI2804" s="1">
        <v>0</v>
      </c>
      <c r="BJ2804" s="1">
        <v>0</v>
      </c>
      <c r="BK2804" s="1">
        <v>0</v>
      </c>
      <c r="BL2804" s="1">
        <v>0</v>
      </c>
      <c r="BM2804" s="1">
        <v>0</v>
      </c>
      <c r="BN2804" s="1">
        <v>0</v>
      </c>
      <c r="BO2804" s="1">
        <v>0</v>
      </c>
      <c r="BP2804" s="1">
        <v>0</v>
      </c>
      <c r="BQ2804" s="1">
        <v>0</v>
      </c>
      <c r="BR2804" s="1">
        <v>0</v>
      </c>
      <c r="BS2804" s="1" t="s">
        <v>109</v>
      </c>
      <c r="BT2804" s="1">
        <v>4897</v>
      </c>
      <c r="BU2804" s="1" t="s">
        <v>109</v>
      </c>
      <c r="BV2804" s="1"/>
      <c r="BW2804" s="1"/>
      <c r="BX2804" s="1"/>
      <c r="BY2804" s="1"/>
      <c r="BZ2804" s="1">
        <v>0</v>
      </c>
      <c r="CA2804" s="1" t="s">
        <v>109</v>
      </c>
      <c r="CB2804" s="1">
        <v>1</v>
      </c>
      <c r="CC2804" s="1">
        <v>1</v>
      </c>
      <c r="CD2804" s="1">
        <v>1</v>
      </c>
      <c r="CE2804" s="1">
        <v>1</v>
      </c>
      <c r="CF2804" s="1">
        <v>1</v>
      </c>
      <c r="CG2804" s="1">
        <v>1</v>
      </c>
      <c r="CH2804" s="1" t="s">
        <v>109</v>
      </c>
      <c r="CI2804" s="1" t="s">
        <v>109</v>
      </c>
      <c r="CJ2804" s="1" t="s">
        <v>109</v>
      </c>
      <c r="CK2804" s="1"/>
      <c r="CL2804" s="1">
        <v>0</v>
      </c>
      <c r="CM2804" s="1">
        <v>0</v>
      </c>
      <c r="CN2804" s="1">
        <v>0</v>
      </c>
    </row>
    <row r="2805" spans="1:92" ht="14.25" customHeight="1" x14ac:dyDescent="0.15">
      <c r="A2805" s="1" t="s">
        <v>19702</v>
      </c>
      <c r="B2805" s="1" t="s">
        <v>95</v>
      </c>
      <c r="C2805" s="1" t="s">
        <v>1179</v>
      </c>
      <c r="D2805" s="1"/>
      <c r="E2805" s="1" t="s">
        <v>19703</v>
      </c>
      <c r="F2805" s="1" t="s">
        <v>355</v>
      </c>
      <c r="G2805" s="1" t="s">
        <v>19704</v>
      </c>
      <c r="H2805" s="1">
        <v>1</v>
      </c>
      <c r="I2805" s="1" t="s">
        <v>142</v>
      </c>
      <c r="J2805" s="1"/>
      <c r="K2805" s="1" t="s">
        <v>19705</v>
      </c>
      <c r="L2805" s="1"/>
      <c r="M2805" s="1" t="s">
        <v>5642</v>
      </c>
      <c r="N2805" s="1">
        <v>0</v>
      </c>
      <c r="O2805" s="1">
        <v>0</v>
      </c>
      <c r="P2805" s="1" t="s">
        <v>103</v>
      </c>
      <c r="Q2805" s="1" t="s">
        <v>104</v>
      </c>
      <c r="R2805" s="1" t="s">
        <v>19706</v>
      </c>
      <c r="S2805" s="1" t="s">
        <v>19707</v>
      </c>
      <c r="T2805" s="1" t="s">
        <v>19448</v>
      </c>
      <c r="U2805" s="1" t="s">
        <v>19708</v>
      </c>
      <c r="V2805" s="1">
        <v>1</v>
      </c>
      <c r="W2805" s="1">
        <v>1</v>
      </c>
      <c r="X2805" s="1">
        <v>0</v>
      </c>
      <c r="Y2805" s="1">
        <v>0</v>
      </c>
      <c r="Z2805" s="1">
        <v>0</v>
      </c>
      <c r="AA2805" s="1">
        <v>6</v>
      </c>
      <c r="AB2805" s="1">
        <v>6</v>
      </c>
      <c r="AC2805" s="1" t="s">
        <v>109</v>
      </c>
      <c r="AD2805" s="1">
        <v>6</v>
      </c>
      <c r="AE2805" s="1">
        <v>4</v>
      </c>
      <c r="AF2805" s="1" t="s">
        <v>109</v>
      </c>
      <c r="AG2805" s="1" t="s">
        <v>109</v>
      </c>
      <c r="AH2805" s="1" t="s">
        <v>109</v>
      </c>
      <c r="AI2805" s="1">
        <v>6</v>
      </c>
      <c r="AJ2805" s="1">
        <v>6</v>
      </c>
      <c r="AK2805" s="1" t="s">
        <v>109</v>
      </c>
      <c r="AL2805" s="1" t="s">
        <v>109</v>
      </c>
      <c r="AM2805" s="1" t="s">
        <v>109</v>
      </c>
      <c r="AN2805" s="1" t="s">
        <v>109</v>
      </c>
      <c r="AO2805" s="1" t="s">
        <v>109</v>
      </c>
      <c r="AP2805" s="1"/>
      <c r="AQ2805" s="1">
        <v>6</v>
      </c>
      <c r="AR2805" s="1"/>
      <c r="AS2805" s="1"/>
      <c r="AT2805" s="1">
        <v>0</v>
      </c>
      <c r="AU2805" s="1">
        <v>0</v>
      </c>
      <c r="AV2805" s="1">
        <v>0</v>
      </c>
      <c r="AW2805" s="1">
        <v>0</v>
      </c>
      <c r="AX2805" s="1">
        <v>0</v>
      </c>
      <c r="AY2805" s="1">
        <v>0</v>
      </c>
      <c r="AZ2805" s="1">
        <v>0</v>
      </c>
      <c r="BA2805" s="1">
        <v>0</v>
      </c>
      <c r="BB2805" s="1">
        <v>0</v>
      </c>
      <c r="BC2805" s="1">
        <v>0</v>
      </c>
      <c r="BD2805" s="1">
        <v>0</v>
      </c>
      <c r="BE2805" s="1">
        <v>0</v>
      </c>
      <c r="BF2805" s="1">
        <v>0</v>
      </c>
      <c r="BG2805" s="1">
        <v>0</v>
      </c>
      <c r="BH2805" s="1">
        <v>0</v>
      </c>
      <c r="BI2805" s="1">
        <v>0</v>
      </c>
      <c r="BJ2805" s="1">
        <v>0</v>
      </c>
      <c r="BK2805" s="1">
        <v>0</v>
      </c>
      <c r="BL2805" s="1">
        <v>0</v>
      </c>
      <c r="BM2805" s="1">
        <v>0</v>
      </c>
      <c r="BN2805" s="1">
        <v>0</v>
      </c>
      <c r="BO2805" s="1">
        <v>0</v>
      </c>
      <c r="BP2805" s="1">
        <v>0</v>
      </c>
      <c r="BQ2805" s="1">
        <v>0</v>
      </c>
      <c r="BR2805" s="1">
        <v>0</v>
      </c>
      <c r="BS2805" s="1" t="s">
        <v>109</v>
      </c>
      <c r="BT2805" s="1">
        <v>4898</v>
      </c>
      <c r="BU2805" s="1">
        <v>100</v>
      </c>
      <c r="BV2805" s="1"/>
      <c r="BW2805" s="1"/>
      <c r="BX2805" s="1"/>
      <c r="BY2805" s="1"/>
      <c r="BZ2805" s="1">
        <v>0</v>
      </c>
      <c r="CA2805" s="1">
        <v>4</v>
      </c>
      <c r="CB2805" s="1">
        <v>6</v>
      </c>
      <c r="CC2805" s="1" t="s">
        <v>109</v>
      </c>
      <c r="CD2805" s="1" t="s">
        <v>109</v>
      </c>
      <c r="CE2805" s="1" t="s">
        <v>109</v>
      </c>
      <c r="CF2805" s="1" t="s">
        <v>109</v>
      </c>
      <c r="CG2805" s="1" t="s">
        <v>109</v>
      </c>
      <c r="CH2805" s="1" t="s">
        <v>109</v>
      </c>
      <c r="CI2805" s="1" t="s">
        <v>109</v>
      </c>
      <c r="CJ2805" s="1">
        <v>4</v>
      </c>
      <c r="CK2805" s="1"/>
      <c r="CL2805" s="1">
        <v>0</v>
      </c>
      <c r="CM2805" s="1">
        <v>0</v>
      </c>
      <c r="CN2805" s="1">
        <v>0</v>
      </c>
    </row>
    <row r="2806" spans="1:92" ht="14.25" customHeight="1" x14ac:dyDescent="0.15">
      <c r="A2806" s="1" t="s">
        <v>19709</v>
      </c>
      <c r="B2806" s="1" t="s">
        <v>242</v>
      </c>
      <c r="C2806" s="1"/>
      <c r="D2806" s="1"/>
      <c r="E2806" s="1" t="s">
        <v>19710</v>
      </c>
      <c r="F2806" s="1" t="s">
        <v>98</v>
      </c>
      <c r="G2806" s="1" t="s">
        <v>141</v>
      </c>
      <c r="H2806" s="1">
        <v>0</v>
      </c>
      <c r="I2806" s="1" t="s">
        <v>142</v>
      </c>
      <c r="J2806" s="1"/>
      <c r="K2806" s="1"/>
      <c r="L2806" s="1" t="s">
        <v>5677</v>
      </c>
      <c r="M2806" s="1" t="s">
        <v>19711</v>
      </c>
      <c r="N2806" s="1">
        <v>0</v>
      </c>
      <c r="O2806" s="1">
        <v>0</v>
      </c>
      <c r="P2806" s="1" t="s">
        <v>507</v>
      </c>
      <c r="Q2806" s="1" t="s">
        <v>167</v>
      </c>
      <c r="R2806" s="1" t="s">
        <v>19712</v>
      </c>
      <c r="S2806" s="1" t="s">
        <v>19713</v>
      </c>
      <c r="T2806" s="1" t="s">
        <v>19448</v>
      </c>
      <c r="U2806" s="1" t="s">
        <v>19714</v>
      </c>
      <c r="V2806" s="1">
        <v>1</v>
      </c>
      <c r="W2806" s="1">
        <v>1</v>
      </c>
      <c r="X2806" s="1">
        <v>0</v>
      </c>
      <c r="Y2806" s="1">
        <v>0</v>
      </c>
      <c r="Z2806" s="1">
        <v>0</v>
      </c>
      <c r="AA2806" s="1">
        <v>2</v>
      </c>
      <c r="AB2806" s="1">
        <v>2</v>
      </c>
      <c r="AC2806" s="1">
        <v>2</v>
      </c>
      <c r="AD2806" s="1" t="s">
        <v>109</v>
      </c>
      <c r="AE2806" s="1" t="s">
        <v>109</v>
      </c>
      <c r="AF2806" s="1">
        <v>2</v>
      </c>
      <c r="AG2806" s="1">
        <v>2</v>
      </c>
      <c r="AH2806" s="1" t="s">
        <v>109</v>
      </c>
      <c r="AI2806" s="1" t="s">
        <v>109</v>
      </c>
      <c r="AJ2806" s="1" t="s">
        <v>109</v>
      </c>
      <c r="AK2806" s="1" t="s">
        <v>109</v>
      </c>
      <c r="AL2806" s="1">
        <v>2</v>
      </c>
      <c r="AM2806" s="1" t="s">
        <v>109</v>
      </c>
      <c r="AN2806" s="1" t="s">
        <v>109</v>
      </c>
      <c r="AO2806" s="1" t="s">
        <v>109</v>
      </c>
      <c r="AP2806" s="1"/>
      <c r="AQ2806" s="1">
        <v>2</v>
      </c>
      <c r="AR2806" s="1"/>
      <c r="AS2806" s="1"/>
      <c r="AT2806" s="1">
        <v>0</v>
      </c>
      <c r="AU2806" s="1">
        <v>0</v>
      </c>
      <c r="AV2806" s="1">
        <v>0</v>
      </c>
      <c r="AW2806" s="1">
        <v>0</v>
      </c>
      <c r="AX2806" s="1">
        <v>0</v>
      </c>
      <c r="AY2806" s="1">
        <v>0</v>
      </c>
      <c r="AZ2806" s="1">
        <v>0</v>
      </c>
      <c r="BA2806" s="1">
        <v>0</v>
      </c>
      <c r="BB2806" s="1">
        <v>0</v>
      </c>
      <c r="BC2806" s="1">
        <v>0</v>
      </c>
      <c r="BD2806" s="1">
        <v>0</v>
      </c>
      <c r="BE2806" s="1">
        <v>0</v>
      </c>
      <c r="BF2806" s="1">
        <v>0</v>
      </c>
      <c r="BG2806" s="1">
        <v>0</v>
      </c>
      <c r="BH2806" s="1">
        <v>0</v>
      </c>
      <c r="BI2806" s="1">
        <v>0</v>
      </c>
      <c r="BJ2806" s="1">
        <v>0</v>
      </c>
      <c r="BK2806" s="1">
        <v>0</v>
      </c>
      <c r="BL2806" s="1">
        <v>0</v>
      </c>
      <c r="BM2806" s="1">
        <v>0</v>
      </c>
      <c r="BN2806" s="1">
        <v>0</v>
      </c>
      <c r="BO2806" s="1">
        <v>0</v>
      </c>
      <c r="BP2806" s="1">
        <v>0</v>
      </c>
      <c r="BQ2806" s="1">
        <v>0</v>
      </c>
      <c r="BR2806" s="1">
        <v>0</v>
      </c>
      <c r="BS2806" s="1" t="s">
        <v>109</v>
      </c>
      <c r="BT2806" s="1">
        <v>4899</v>
      </c>
      <c r="BU2806" s="1" t="s">
        <v>109</v>
      </c>
      <c r="BV2806" s="1"/>
      <c r="BW2806" s="1"/>
      <c r="BX2806" s="1"/>
      <c r="BY2806" s="1"/>
      <c r="BZ2806" s="1">
        <v>0</v>
      </c>
      <c r="CA2806" s="1" t="s">
        <v>109</v>
      </c>
      <c r="CB2806" s="1">
        <v>2</v>
      </c>
      <c r="CC2806" s="1">
        <v>2</v>
      </c>
      <c r="CD2806" s="1" t="s">
        <v>109</v>
      </c>
      <c r="CE2806" s="1">
        <v>2</v>
      </c>
      <c r="CF2806" s="1" t="s">
        <v>109</v>
      </c>
      <c r="CG2806" s="1" t="s">
        <v>109</v>
      </c>
      <c r="CH2806" s="1" t="s">
        <v>109</v>
      </c>
      <c r="CI2806" s="1" t="s">
        <v>109</v>
      </c>
      <c r="CJ2806" s="1" t="s">
        <v>109</v>
      </c>
      <c r="CK2806" s="1"/>
      <c r="CL2806" s="1">
        <v>0</v>
      </c>
      <c r="CM2806" s="1">
        <v>0</v>
      </c>
      <c r="CN2806" s="1">
        <v>0</v>
      </c>
    </row>
    <row r="2807" spans="1:92" ht="14.25" customHeight="1" x14ac:dyDescent="0.15">
      <c r="A2807" s="1" t="s">
        <v>19715</v>
      </c>
      <c r="B2807" s="1" t="s">
        <v>189</v>
      </c>
      <c r="C2807" s="1"/>
      <c r="D2807" s="1" t="s">
        <v>16074</v>
      </c>
      <c r="E2807" s="1" t="s">
        <v>6075</v>
      </c>
      <c r="F2807" s="1" t="s">
        <v>355</v>
      </c>
      <c r="G2807" s="1" t="s">
        <v>160</v>
      </c>
      <c r="H2807" s="1">
        <v>0</v>
      </c>
      <c r="I2807" s="1" t="s">
        <v>161</v>
      </c>
      <c r="J2807" s="1"/>
      <c r="K2807" s="1"/>
      <c r="L2807" s="1" t="s">
        <v>506</v>
      </c>
      <c r="M2807" s="1" t="s">
        <v>280</v>
      </c>
      <c r="N2807" s="1">
        <v>0</v>
      </c>
      <c r="O2807" s="1">
        <v>0</v>
      </c>
      <c r="P2807" s="1" t="s">
        <v>267</v>
      </c>
      <c r="Q2807" s="1" t="s">
        <v>268</v>
      </c>
      <c r="R2807" s="1" t="s">
        <v>19716</v>
      </c>
      <c r="S2807" s="1" t="s">
        <v>19717</v>
      </c>
      <c r="T2807" s="1" t="s">
        <v>19448</v>
      </c>
      <c r="U2807" s="1" t="s">
        <v>19718</v>
      </c>
      <c r="V2807" s="1">
        <v>1</v>
      </c>
      <c r="W2807" s="1">
        <v>1</v>
      </c>
      <c r="X2807" s="1">
        <v>0</v>
      </c>
      <c r="Y2807" s="1">
        <v>0</v>
      </c>
      <c r="Z2807" s="1">
        <v>1</v>
      </c>
      <c r="AA2807" s="1" t="s">
        <v>109</v>
      </c>
      <c r="AB2807" s="1" t="s">
        <v>109</v>
      </c>
      <c r="AC2807" s="1" t="s">
        <v>109</v>
      </c>
      <c r="AD2807" s="1" t="s">
        <v>109</v>
      </c>
      <c r="AE2807" s="1" t="s">
        <v>109</v>
      </c>
      <c r="AF2807" s="1" t="s">
        <v>109</v>
      </c>
      <c r="AG2807" s="1" t="s">
        <v>109</v>
      </c>
      <c r="AH2807" s="1" t="s">
        <v>109</v>
      </c>
      <c r="AI2807" s="1" t="s">
        <v>109</v>
      </c>
      <c r="AJ2807" s="1" t="s">
        <v>109</v>
      </c>
      <c r="AK2807" s="1">
        <v>1</v>
      </c>
      <c r="AL2807" s="1" t="s">
        <v>109</v>
      </c>
      <c r="AM2807" s="1" t="s">
        <v>109</v>
      </c>
      <c r="AN2807" s="1" t="s">
        <v>109</v>
      </c>
      <c r="AO2807" s="1" t="s">
        <v>109</v>
      </c>
      <c r="AP2807" s="1"/>
      <c r="AQ2807" s="1">
        <v>1</v>
      </c>
      <c r="AR2807" s="1"/>
      <c r="AS2807" s="1"/>
      <c r="AT2807" s="1">
        <v>0</v>
      </c>
      <c r="AU2807" s="1">
        <v>0</v>
      </c>
      <c r="AV2807" s="1">
        <v>0</v>
      </c>
      <c r="AW2807" s="1">
        <v>0</v>
      </c>
      <c r="AX2807" s="1">
        <v>1</v>
      </c>
      <c r="AY2807" s="1">
        <v>0</v>
      </c>
      <c r="AZ2807" s="1">
        <v>0</v>
      </c>
      <c r="BA2807" s="1">
        <v>0</v>
      </c>
      <c r="BB2807" s="1">
        <v>0</v>
      </c>
      <c r="BC2807" s="1">
        <v>0</v>
      </c>
      <c r="BD2807" s="1">
        <v>0</v>
      </c>
      <c r="BE2807" s="1">
        <v>0</v>
      </c>
      <c r="BF2807" s="1">
        <v>0</v>
      </c>
      <c r="BG2807" s="1">
        <v>0</v>
      </c>
      <c r="BH2807" s="1">
        <v>0</v>
      </c>
      <c r="BI2807" s="1">
        <v>0</v>
      </c>
      <c r="BJ2807" s="1">
        <v>0</v>
      </c>
      <c r="BK2807" s="1">
        <v>0</v>
      </c>
      <c r="BL2807" s="1">
        <v>0</v>
      </c>
      <c r="BM2807" s="1">
        <v>0</v>
      </c>
      <c r="BN2807" s="1">
        <v>0</v>
      </c>
      <c r="BO2807" s="1">
        <v>0</v>
      </c>
      <c r="BP2807" s="1">
        <v>0</v>
      </c>
      <c r="BQ2807" s="1">
        <v>0</v>
      </c>
      <c r="BR2807" s="1">
        <v>0</v>
      </c>
      <c r="BS2807" s="1" t="s">
        <v>109</v>
      </c>
      <c r="BT2807" s="1">
        <v>4900</v>
      </c>
      <c r="BU2807" s="1" t="s">
        <v>109</v>
      </c>
      <c r="BV2807" s="1"/>
      <c r="BW2807" s="1"/>
      <c r="BX2807" s="1"/>
      <c r="BY2807" s="1"/>
      <c r="BZ2807" s="1">
        <v>0</v>
      </c>
      <c r="CA2807" s="1" t="s">
        <v>109</v>
      </c>
      <c r="CB2807" s="1" t="s">
        <v>109</v>
      </c>
      <c r="CC2807" s="1" t="s">
        <v>109</v>
      </c>
      <c r="CD2807" s="1" t="s">
        <v>109</v>
      </c>
      <c r="CE2807" s="1" t="s">
        <v>109</v>
      </c>
      <c r="CF2807" s="1" t="s">
        <v>109</v>
      </c>
      <c r="CG2807" s="1" t="s">
        <v>109</v>
      </c>
      <c r="CH2807" s="1" t="s">
        <v>109</v>
      </c>
      <c r="CI2807" s="1" t="s">
        <v>109</v>
      </c>
      <c r="CJ2807" s="1" t="s">
        <v>109</v>
      </c>
      <c r="CK2807" s="1"/>
      <c r="CL2807" s="1">
        <v>0</v>
      </c>
      <c r="CM2807" s="1">
        <v>0</v>
      </c>
      <c r="CN2807" s="1">
        <v>0</v>
      </c>
    </row>
    <row r="2808" spans="1:92" ht="14.25" customHeight="1" x14ac:dyDescent="0.15">
      <c r="A2808" s="1" t="s">
        <v>19719</v>
      </c>
      <c r="B2808" s="1" t="s">
        <v>189</v>
      </c>
      <c r="C2808" s="1"/>
      <c r="D2808" s="1" t="s">
        <v>16074</v>
      </c>
      <c r="E2808" s="1" t="s">
        <v>6587</v>
      </c>
      <c r="F2808" s="1" t="s">
        <v>355</v>
      </c>
      <c r="G2808" s="1" t="s">
        <v>160</v>
      </c>
      <c r="H2808" s="1">
        <v>0</v>
      </c>
      <c r="I2808" s="1" t="s">
        <v>161</v>
      </c>
      <c r="J2808" s="1"/>
      <c r="K2808" s="1"/>
      <c r="L2808" s="1" t="s">
        <v>506</v>
      </c>
      <c r="M2808" s="1" t="s">
        <v>280</v>
      </c>
      <c r="N2808" s="1">
        <v>0</v>
      </c>
      <c r="O2808" s="1">
        <v>0</v>
      </c>
      <c r="P2808" s="1" t="s">
        <v>267</v>
      </c>
      <c r="Q2808" s="1" t="s">
        <v>268</v>
      </c>
      <c r="R2808" s="1" t="s">
        <v>19720</v>
      </c>
      <c r="S2808" s="1" t="s">
        <v>19721</v>
      </c>
      <c r="T2808" s="1" t="s">
        <v>19448</v>
      </c>
      <c r="U2808" s="1" t="s">
        <v>19722</v>
      </c>
      <c r="V2808" s="1">
        <v>1</v>
      </c>
      <c r="W2808" s="1">
        <v>1</v>
      </c>
      <c r="X2808" s="1">
        <v>0</v>
      </c>
      <c r="Y2808" s="1">
        <v>0</v>
      </c>
      <c r="Z2808" s="1">
        <v>1</v>
      </c>
      <c r="AA2808" s="1" t="s">
        <v>109</v>
      </c>
      <c r="AB2808" s="1" t="s">
        <v>109</v>
      </c>
      <c r="AC2808" s="1" t="s">
        <v>109</v>
      </c>
      <c r="AD2808" s="1" t="s">
        <v>109</v>
      </c>
      <c r="AE2808" s="1" t="s">
        <v>109</v>
      </c>
      <c r="AF2808" s="1" t="s">
        <v>109</v>
      </c>
      <c r="AG2808" s="1" t="s">
        <v>109</v>
      </c>
      <c r="AH2808" s="1" t="s">
        <v>109</v>
      </c>
      <c r="AI2808" s="1" t="s">
        <v>109</v>
      </c>
      <c r="AJ2808" s="1" t="s">
        <v>109</v>
      </c>
      <c r="AK2808" s="1">
        <v>2</v>
      </c>
      <c r="AL2808" s="1" t="s">
        <v>109</v>
      </c>
      <c r="AM2808" s="1" t="s">
        <v>109</v>
      </c>
      <c r="AN2808" s="1" t="s">
        <v>109</v>
      </c>
      <c r="AO2808" s="1" t="s">
        <v>109</v>
      </c>
      <c r="AP2808" s="1"/>
      <c r="AQ2808" s="1">
        <v>2</v>
      </c>
      <c r="AR2808" s="1"/>
      <c r="AS2808" s="1"/>
      <c r="AT2808" s="1">
        <v>0</v>
      </c>
      <c r="AU2808" s="1">
        <v>0</v>
      </c>
      <c r="AV2808" s="1">
        <v>0</v>
      </c>
      <c r="AW2808" s="1">
        <v>0</v>
      </c>
      <c r="AX2808" s="1">
        <v>1</v>
      </c>
      <c r="AY2808" s="1">
        <v>0</v>
      </c>
      <c r="AZ2808" s="1">
        <v>0</v>
      </c>
      <c r="BA2808" s="1">
        <v>0</v>
      </c>
      <c r="BB2808" s="1">
        <v>0</v>
      </c>
      <c r="BC2808" s="1">
        <v>0</v>
      </c>
      <c r="BD2808" s="1">
        <v>0</v>
      </c>
      <c r="BE2808" s="1">
        <v>0</v>
      </c>
      <c r="BF2808" s="1">
        <v>0</v>
      </c>
      <c r="BG2808" s="1">
        <v>0</v>
      </c>
      <c r="BH2808" s="1">
        <v>0</v>
      </c>
      <c r="BI2808" s="1">
        <v>0</v>
      </c>
      <c r="BJ2808" s="1">
        <v>0</v>
      </c>
      <c r="BK2808" s="1">
        <v>0</v>
      </c>
      <c r="BL2808" s="1">
        <v>0</v>
      </c>
      <c r="BM2808" s="1">
        <v>0</v>
      </c>
      <c r="BN2808" s="1">
        <v>0</v>
      </c>
      <c r="BO2808" s="1">
        <v>0</v>
      </c>
      <c r="BP2808" s="1">
        <v>0</v>
      </c>
      <c r="BQ2808" s="1">
        <v>0</v>
      </c>
      <c r="BR2808" s="1">
        <v>0</v>
      </c>
      <c r="BS2808" s="1" t="s">
        <v>109</v>
      </c>
      <c r="BT2808" s="1">
        <v>4901</v>
      </c>
      <c r="BU2808" s="1" t="s">
        <v>109</v>
      </c>
      <c r="BV2808" s="1"/>
      <c r="BW2808" s="1"/>
      <c r="BX2808" s="1"/>
      <c r="BY2808" s="1"/>
      <c r="BZ2808" s="1">
        <v>0</v>
      </c>
      <c r="CA2808" s="1" t="s">
        <v>109</v>
      </c>
      <c r="CB2808" s="1" t="s">
        <v>109</v>
      </c>
      <c r="CC2808" s="1" t="s">
        <v>109</v>
      </c>
      <c r="CD2808" s="1" t="s">
        <v>109</v>
      </c>
      <c r="CE2808" s="1" t="s">
        <v>109</v>
      </c>
      <c r="CF2808" s="1" t="s">
        <v>109</v>
      </c>
      <c r="CG2808" s="1" t="s">
        <v>109</v>
      </c>
      <c r="CH2808" s="1" t="s">
        <v>109</v>
      </c>
      <c r="CI2808" s="1" t="s">
        <v>109</v>
      </c>
      <c r="CJ2808" s="1" t="s">
        <v>109</v>
      </c>
      <c r="CK2808" s="1"/>
      <c r="CL2808" s="1">
        <v>0</v>
      </c>
      <c r="CM2808" s="1">
        <v>0</v>
      </c>
      <c r="CN2808" s="1">
        <v>0</v>
      </c>
    </row>
    <row r="2809" spans="1:92" ht="14.25" customHeight="1" x14ac:dyDescent="0.15">
      <c r="A2809" s="1" t="s">
        <v>19723</v>
      </c>
      <c r="B2809" s="1" t="s">
        <v>189</v>
      </c>
      <c r="C2809" s="1"/>
      <c r="D2809" s="1" t="s">
        <v>16074</v>
      </c>
      <c r="E2809" s="1" t="s">
        <v>6035</v>
      </c>
      <c r="F2809" s="1" t="s">
        <v>355</v>
      </c>
      <c r="G2809" s="1" t="s">
        <v>160</v>
      </c>
      <c r="H2809" s="1">
        <v>0</v>
      </c>
      <c r="I2809" s="1" t="s">
        <v>161</v>
      </c>
      <c r="J2809" s="1"/>
      <c r="K2809" s="1"/>
      <c r="L2809" s="1" t="s">
        <v>506</v>
      </c>
      <c r="M2809" s="1" t="s">
        <v>408</v>
      </c>
      <c r="N2809" s="1">
        <v>0</v>
      </c>
      <c r="O2809" s="1">
        <v>0</v>
      </c>
      <c r="P2809" s="1" t="s">
        <v>267</v>
      </c>
      <c r="Q2809" s="1" t="s">
        <v>268</v>
      </c>
      <c r="R2809" s="1" t="s">
        <v>19724</v>
      </c>
      <c r="S2809" s="1" t="s">
        <v>19725</v>
      </c>
      <c r="T2809" s="1" t="s">
        <v>19448</v>
      </c>
      <c r="U2809" s="1" t="s">
        <v>19726</v>
      </c>
      <c r="V2809" s="1">
        <v>1</v>
      </c>
      <c r="W2809" s="1">
        <v>1</v>
      </c>
      <c r="X2809" s="1">
        <v>0</v>
      </c>
      <c r="Y2809" s="1">
        <v>0</v>
      </c>
      <c r="Z2809" s="1">
        <v>1</v>
      </c>
      <c r="AA2809" s="1" t="s">
        <v>109</v>
      </c>
      <c r="AB2809" s="1" t="s">
        <v>109</v>
      </c>
      <c r="AC2809" s="1" t="s">
        <v>109</v>
      </c>
      <c r="AD2809" s="1" t="s">
        <v>109</v>
      </c>
      <c r="AE2809" s="1" t="s">
        <v>109</v>
      </c>
      <c r="AF2809" s="1" t="s">
        <v>109</v>
      </c>
      <c r="AG2809" s="1" t="s">
        <v>109</v>
      </c>
      <c r="AH2809" s="1" t="s">
        <v>109</v>
      </c>
      <c r="AI2809" s="1" t="s">
        <v>109</v>
      </c>
      <c r="AJ2809" s="1" t="s">
        <v>109</v>
      </c>
      <c r="AK2809" s="1">
        <v>4</v>
      </c>
      <c r="AL2809" s="1" t="s">
        <v>109</v>
      </c>
      <c r="AM2809" s="1" t="s">
        <v>109</v>
      </c>
      <c r="AN2809" s="1" t="s">
        <v>109</v>
      </c>
      <c r="AO2809" s="1" t="s">
        <v>109</v>
      </c>
      <c r="AP2809" s="1"/>
      <c r="AQ2809" s="1">
        <v>4</v>
      </c>
      <c r="AR2809" s="1"/>
      <c r="AS2809" s="1"/>
      <c r="AT2809" s="1">
        <v>0</v>
      </c>
      <c r="AU2809" s="1">
        <v>0</v>
      </c>
      <c r="AV2809" s="1">
        <v>0</v>
      </c>
      <c r="AW2809" s="1">
        <v>0</v>
      </c>
      <c r="AX2809" s="1">
        <v>1</v>
      </c>
      <c r="AY2809" s="1">
        <v>0</v>
      </c>
      <c r="AZ2809" s="1">
        <v>0</v>
      </c>
      <c r="BA2809" s="1">
        <v>0</v>
      </c>
      <c r="BB2809" s="1">
        <v>0</v>
      </c>
      <c r="BC2809" s="1">
        <v>0</v>
      </c>
      <c r="BD2809" s="1">
        <v>0</v>
      </c>
      <c r="BE2809" s="1">
        <v>0</v>
      </c>
      <c r="BF2809" s="1">
        <v>0</v>
      </c>
      <c r="BG2809" s="1">
        <v>0</v>
      </c>
      <c r="BH2809" s="1">
        <v>0</v>
      </c>
      <c r="BI2809" s="1">
        <v>0</v>
      </c>
      <c r="BJ2809" s="1">
        <v>0</v>
      </c>
      <c r="BK2809" s="1">
        <v>0</v>
      </c>
      <c r="BL2809" s="1">
        <v>0</v>
      </c>
      <c r="BM2809" s="1">
        <v>0</v>
      </c>
      <c r="BN2809" s="1">
        <v>0</v>
      </c>
      <c r="BO2809" s="1">
        <v>0</v>
      </c>
      <c r="BP2809" s="1">
        <v>0</v>
      </c>
      <c r="BQ2809" s="1">
        <v>0</v>
      </c>
      <c r="BR2809" s="1">
        <v>0</v>
      </c>
      <c r="BS2809" s="1" t="s">
        <v>109</v>
      </c>
      <c r="BT2809" s="1">
        <v>4902</v>
      </c>
      <c r="BU2809" s="1" t="s">
        <v>109</v>
      </c>
      <c r="BV2809" s="1"/>
      <c r="BW2809" s="1"/>
      <c r="BX2809" s="1"/>
      <c r="BY2809" s="1"/>
      <c r="BZ2809" s="1">
        <v>0</v>
      </c>
      <c r="CA2809" s="1" t="s">
        <v>109</v>
      </c>
      <c r="CB2809" s="1" t="s">
        <v>109</v>
      </c>
      <c r="CC2809" s="1" t="s">
        <v>109</v>
      </c>
      <c r="CD2809" s="1" t="s">
        <v>109</v>
      </c>
      <c r="CE2809" s="1" t="s">
        <v>109</v>
      </c>
      <c r="CF2809" s="1" t="s">
        <v>109</v>
      </c>
      <c r="CG2809" s="1" t="s">
        <v>109</v>
      </c>
      <c r="CH2809" s="1" t="s">
        <v>109</v>
      </c>
      <c r="CI2809" s="1" t="s">
        <v>109</v>
      </c>
      <c r="CJ2809" s="1" t="s">
        <v>109</v>
      </c>
      <c r="CK2809" s="1"/>
      <c r="CL2809" s="1">
        <v>0</v>
      </c>
      <c r="CM2809" s="1">
        <v>0</v>
      </c>
      <c r="CN2809" s="1">
        <v>0</v>
      </c>
    </row>
    <row r="2810" spans="1:92" ht="14.25" customHeight="1" x14ac:dyDescent="0.15">
      <c r="A2810" s="1" t="s">
        <v>19727</v>
      </c>
      <c r="B2810" s="1" t="s">
        <v>674</v>
      </c>
      <c r="C2810" s="1" t="s">
        <v>68</v>
      </c>
      <c r="D2810" s="1"/>
      <c r="E2810" s="1" t="s">
        <v>4972</v>
      </c>
      <c r="F2810" s="1" t="s">
        <v>355</v>
      </c>
      <c r="G2810" s="1" t="s">
        <v>19728</v>
      </c>
      <c r="H2810" s="1">
        <v>1</v>
      </c>
      <c r="I2810" s="1" t="s">
        <v>2962</v>
      </c>
      <c r="J2810" s="1"/>
      <c r="K2810" s="1" t="s">
        <v>19729</v>
      </c>
      <c r="L2810" s="1"/>
      <c r="M2810" s="1" t="s">
        <v>144</v>
      </c>
      <c r="N2810" s="1">
        <v>0</v>
      </c>
      <c r="O2810" s="1">
        <v>0</v>
      </c>
      <c r="P2810" s="1" t="s">
        <v>727</v>
      </c>
      <c r="Q2810" s="1" t="s">
        <v>268</v>
      </c>
      <c r="R2810" s="1" t="s">
        <v>19730</v>
      </c>
      <c r="S2810" s="1" t="s">
        <v>19731</v>
      </c>
      <c r="T2810" s="1" t="s">
        <v>19448</v>
      </c>
      <c r="U2810" s="1" t="s">
        <v>19732</v>
      </c>
      <c r="V2810" s="1">
        <v>1</v>
      </c>
      <c r="W2810" s="1">
        <v>1</v>
      </c>
      <c r="X2810" s="1">
        <v>0</v>
      </c>
      <c r="Y2810" s="1">
        <v>0</v>
      </c>
      <c r="Z2810" s="1">
        <v>0</v>
      </c>
      <c r="AA2810" s="1" t="s">
        <v>109</v>
      </c>
      <c r="AB2810" s="1" t="s">
        <v>109</v>
      </c>
      <c r="AC2810" s="1" t="s">
        <v>109</v>
      </c>
      <c r="AD2810" s="1" t="s">
        <v>109</v>
      </c>
      <c r="AE2810" s="1" t="s">
        <v>109</v>
      </c>
      <c r="AF2810" s="1">
        <v>6</v>
      </c>
      <c r="AG2810" s="1" t="s">
        <v>109</v>
      </c>
      <c r="AH2810" s="1" t="s">
        <v>109</v>
      </c>
      <c r="AI2810" s="1" t="s">
        <v>109</v>
      </c>
      <c r="AJ2810" s="1" t="s">
        <v>109</v>
      </c>
      <c r="AK2810" s="1" t="s">
        <v>109</v>
      </c>
      <c r="AL2810" s="1" t="s">
        <v>109</v>
      </c>
      <c r="AM2810" s="1" t="s">
        <v>109</v>
      </c>
      <c r="AN2810" s="1" t="s">
        <v>109</v>
      </c>
      <c r="AO2810" s="1" t="s">
        <v>109</v>
      </c>
      <c r="AP2810" s="1"/>
      <c r="AQ2810" s="1">
        <v>6</v>
      </c>
      <c r="AR2810" s="1"/>
      <c r="AS2810" s="1"/>
      <c r="AT2810" s="1">
        <v>0</v>
      </c>
      <c r="AU2810" s="1">
        <v>0</v>
      </c>
      <c r="AV2810" s="1">
        <v>0</v>
      </c>
      <c r="AW2810" s="1">
        <v>0</v>
      </c>
      <c r="AX2810" s="1">
        <v>0</v>
      </c>
      <c r="AY2810" s="1">
        <v>0</v>
      </c>
      <c r="AZ2810" s="1">
        <v>0</v>
      </c>
      <c r="BA2810" s="1">
        <v>0</v>
      </c>
      <c r="BB2810" s="1">
        <v>0</v>
      </c>
      <c r="BC2810" s="1">
        <v>0</v>
      </c>
      <c r="BD2810" s="1">
        <v>0</v>
      </c>
      <c r="BE2810" s="1">
        <v>0</v>
      </c>
      <c r="BF2810" s="1">
        <v>0</v>
      </c>
      <c r="BG2810" s="1">
        <v>0</v>
      </c>
      <c r="BH2810" s="1">
        <v>0</v>
      </c>
      <c r="BI2810" s="1">
        <v>0</v>
      </c>
      <c r="BJ2810" s="1">
        <v>0</v>
      </c>
      <c r="BK2810" s="1">
        <v>0</v>
      </c>
      <c r="BL2810" s="1">
        <v>0</v>
      </c>
      <c r="BM2810" s="1">
        <v>0</v>
      </c>
      <c r="BN2810" s="1">
        <v>0</v>
      </c>
      <c r="BO2810" s="1">
        <v>0</v>
      </c>
      <c r="BP2810" s="1">
        <v>0</v>
      </c>
      <c r="BQ2810" s="1">
        <v>0</v>
      </c>
      <c r="BR2810" s="1">
        <v>0</v>
      </c>
      <c r="BS2810" s="1" t="s">
        <v>109</v>
      </c>
      <c r="BT2810" s="1">
        <v>4903</v>
      </c>
      <c r="BU2810" s="1">
        <v>100</v>
      </c>
      <c r="BV2810" s="1"/>
      <c r="BW2810" s="1"/>
      <c r="BX2810" s="1"/>
      <c r="BY2810" s="1"/>
      <c r="BZ2810" s="1">
        <v>0</v>
      </c>
      <c r="CA2810" s="1" t="s">
        <v>109</v>
      </c>
      <c r="CB2810" s="1" t="s">
        <v>109</v>
      </c>
      <c r="CC2810" s="1" t="s">
        <v>109</v>
      </c>
      <c r="CD2810" s="1" t="s">
        <v>109</v>
      </c>
      <c r="CE2810" s="1" t="s">
        <v>109</v>
      </c>
      <c r="CF2810" s="1" t="s">
        <v>109</v>
      </c>
      <c r="CG2810" s="1" t="s">
        <v>109</v>
      </c>
      <c r="CH2810" s="1" t="s">
        <v>109</v>
      </c>
      <c r="CI2810" s="1" t="s">
        <v>109</v>
      </c>
      <c r="CJ2810" s="1" t="s">
        <v>109</v>
      </c>
      <c r="CK2810" s="1"/>
      <c r="CL2810" s="1">
        <v>0</v>
      </c>
      <c r="CM2810" s="1">
        <v>0</v>
      </c>
      <c r="CN2810" s="1">
        <v>0</v>
      </c>
    </row>
    <row r="2811" spans="1:92" ht="14.25" customHeight="1" x14ac:dyDescent="0.15">
      <c r="A2811" s="1" t="s">
        <v>19733</v>
      </c>
      <c r="B2811" s="1" t="s">
        <v>95</v>
      </c>
      <c r="C2811" s="1" t="s">
        <v>3570</v>
      </c>
      <c r="D2811" s="1" t="s">
        <v>19734</v>
      </c>
      <c r="E2811" s="1" t="s">
        <v>19735</v>
      </c>
      <c r="F2811" s="1" t="s">
        <v>355</v>
      </c>
      <c r="G2811" s="1" t="s">
        <v>19736</v>
      </c>
      <c r="H2811" s="1">
        <v>0</v>
      </c>
      <c r="I2811" s="1" t="s">
        <v>142</v>
      </c>
      <c r="J2811" s="1"/>
      <c r="K2811" s="1" t="s">
        <v>19737</v>
      </c>
      <c r="L2811" s="1"/>
      <c r="M2811" s="1" t="s">
        <v>3042</v>
      </c>
      <c r="N2811" s="1">
        <v>0</v>
      </c>
      <c r="O2811" s="1">
        <v>0</v>
      </c>
      <c r="P2811" s="1" t="s">
        <v>103</v>
      </c>
      <c r="Q2811" s="1" t="s">
        <v>104</v>
      </c>
      <c r="R2811" s="1" t="s">
        <v>19738</v>
      </c>
      <c r="S2811" s="1" t="s">
        <v>19739</v>
      </c>
      <c r="T2811" s="1" t="s">
        <v>19448</v>
      </c>
      <c r="U2811" s="1" t="s">
        <v>19740</v>
      </c>
      <c r="V2811" s="1">
        <v>1</v>
      </c>
      <c r="W2811" s="1">
        <v>1</v>
      </c>
      <c r="X2811" s="1">
        <v>0</v>
      </c>
      <c r="Y2811" s="1">
        <v>0</v>
      </c>
      <c r="Z2811" s="1">
        <v>1</v>
      </c>
      <c r="AA2811" s="1">
        <v>3</v>
      </c>
      <c r="AB2811" s="1">
        <v>3</v>
      </c>
      <c r="AC2811" s="1">
        <v>3</v>
      </c>
      <c r="AD2811" s="1" t="s">
        <v>109</v>
      </c>
      <c r="AE2811" s="1" t="s">
        <v>109</v>
      </c>
      <c r="AF2811" s="1" t="s">
        <v>109</v>
      </c>
      <c r="AG2811" s="1" t="s">
        <v>109</v>
      </c>
      <c r="AH2811" s="1" t="s">
        <v>109</v>
      </c>
      <c r="AI2811" s="1">
        <v>3</v>
      </c>
      <c r="AJ2811" s="1" t="s">
        <v>109</v>
      </c>
      <c r="AK2811" s="1" t="s">
        <v>109</v>
      </c>
      <c r="AL2811" s="1">
        <v>3</v>
      </c>
      <c r="AM2811" s="1" t="s">
        <v>109</v>
      </c>
      <c r="AN2811" s="1" t="s">
        <v>109</v>
      </c>
      <c r="AO2811" s="1" t="s">
        <v>109</v>
      </c>
      <c r="AP2811" s="1"/>
      <c r="AQ2811" s="1">
        <v>3</v>
      </c>
      <c r="AR2811" s="1"/>
      <c r="AS2811" s="1"/>
      <c r="AT2811" s="1">
        <v>0</v>
      </c>
      <c r="AU2811" s="1">
        <v>0</v>
      </c>
      <c r="AV2811" s="1">
        <v>0</v>
      </c>
      <c r="AW2811" s="1">
        <v>0</v>
      </c>
      <c r="AX2811" s="1">
        <v>0</v>
      </c>
      <c r="AY2811" s="1">
        <v>0</v>
      </c>
      <c r="AZ2811" s="1">
        <v>0</v>
      </c>
      <c r="BA2811" s="1">
        <v>0</v>
      </c>
      <c r="BB2811" s="1">
        <v>0</v>
      </c>
      <c r="BC2811" s="1">
        <v>0</v>
      </c>
      <c r="BD2811" s="1">
        <v>0</v>
      </c>
      <c r="BE2811" s="1">
        <v>0</v>
      </c>
      <c r="BF2811" s="1">
        <v>0</v>
      </c>
      <c r="BG2811" s="1">
        <v>0</v>
      </c>
      <c r="BH2811" s="1">
        <v>0</v>
      </c>
      <c r="BI2811" s="1">
        <v>0</v>
      </c>
      <c r="BJ2811" s="1">
        <v>0</v>
      </c>
      <c r="BK2811" s="1">
        <v>1</v>
      </c>
      <c r="BL2811" s="1">
        <v>0</v>
      </c>
      <c r="BM2811" s="1">
        <v>0</v>
      </c>
      <c r="BN2811" s="1">
        <v>0</v>
      </c>
      <c r="BO2811" s="1">
        <v>0</v>
      </c>
      <c r="BP2811" s="1">
        <v>0</v>
      </c>
      <c r="BQ2811" s="1">
        <v>0</v>
      </c>
      <c r="BR2811" s="1">
        <v>0</v>
      </c>
      <c r="BS2811" s="1" t="s">
        <v>109</v>
      </c>
      <c r="BT2811" s="1">
        <v>4904</v>
      </c>
      <c r="BU2811" s="1" t="s">
        <v>109</v>
      </c>
      <c r="BV2811" s="1"/>
      <c r="BW2811" s="1"/>
      <c r="BX2811" s="1"/>
      <c r="BY2811" s="1"/>
      <c r="BZ2811" s="1">
        <v>0</v>
      </c>
      <c r="CA2811" s="1" t="s">
        <v>109</v>
      </c>
      <c r="CB2811" s="1" t="s">
        <v>109</v>
      </c>
      <c r="CC2811" s="1" t="s">
        <v>109</v>
      </c>
      <c r="CD2811" s="1" t="s">
        <v>109</v>
      </c>
      <c r="CE2811" s="1" t="s">
        <v>109</v>
      </c>
      <c r="CF2811" s="1" t="s">
        <v>109</v>
      </c>
      <c r="CG2811" s="1" t="s">
        <v>109</v>
      </c>
      <c r="CH2811" s="1" t="s">
        <v>109</v>
      </c>
      <c r="CI2811" s="1" t="s">
        <v>109</v>
      </c>
      <c r="CJ2811" s="1" t="s">
        <v>109</v>
      </c>
      <c r="CK2811" s="1"/>
      <c r="CL2811" s="1">
        <v>0</v>
      </c>
      <c r="CM2811" s="1">
        <v>0</v>
      </c>
      <c r="CN2811" s="1">
        <v>0</v>
      </c>
    </row>
    <row r="2812" spans="1:92" ht="14.25" customHeight="1" x14ac:dyDescent="0.15">
      <c r="A2812" s="1" t="s">
        <v>19741</v>
      </c>
      <c r="B2812" s="1" t="s">
        <v>95</v>
      </c>
      <c r="C2812" s="1" t="s">
        <v>96</v>
      </c>
      <c r="D2812" s="1"/>
      <c r="E2812" s="1" t="s">
        <v>19742</v>
      </c>
      <c r="F2812" s="1" t="s">
        <v>98</v>
      </c>
      <c r="G2812" s="1" t="s">
        <v>141</v>
      </c>
      <c r="H2812" s="1">
        <v>0</v>
      </c>
      <c r="I2812" s="1" t="s">
        <v>161</v>
      </c>
      <c r="J2812" s="1"/>
      <c r="K2812" s="1" t="s">
        <v>19743</v>
      </c>
      <c r="L2812" s="1"/>
      <c r="M2812" s="1" t="s">
        <v>289</v>
      </c>
      <c r="N2812" s="1">
        <v>0</v>
      </c>
      <c r="O2812" s="1">
        <v>0</v>
      </c>
      <c r="P2812" s="1" t="s">
        <v>5310</v>
      </c>
      <c r="Q2812" s="1" t="s">
        <v>104</v>
      </c>
      <c r="R2812" s="1" t="s">
        <v>19744</v>
      </c>
      <c r="S2812" s="1" t="s">
        <v>19745</v>
      </c>
      <c r="T2812" s="1" t="s">
        <v>19448</v>
      </c>
      <c r="U2812" s="1" t="s">
        <v>19746</v>
      </c>
      <c r="V2812" s="1">
        <v>1</v>
      </c>
      <c r="W2812" s="1">
        <v>1</v>
      </c>
      <c r="X2812" s="1">
        <v>0</v>
      </c>
      <c r="Y2812" s="1">
        <v>0</v>
      </c>
      <c r="Z2812" s="1">
        <v>0</v>
      </c>
      <c r="AA2812" s="1">
        <v>2</v>
      </c>
      <c r="AB2812" s="1">
        <v>2</v>
      </c>
      <c r="AC2812" s="1">
        <v>2</v>
      </c>
      <c r="AD2812" s="1" t="s">
        <v>109</v>
      </c>
      <c r="AE2812" s="1">
        <v>2</v>
      </c>
      <c r="AF2812" s="1" t="s">
        <v>109</v>
      </c>
      <c r="AG2812" s="1" t="s">
        <v>109</v>
      </c>
      <c r="AH2812" s="1" t="s">
        <v>109</v>
      </c>
      <c r="AI2812" s="1">
        <v>2</v>
      </c>
      <c r="AJ2812" s="1" t="s">
        <v>109</v>
      </c>
      <c r="AK2812" s="1">
        <v>2</v>
      </c>
      <c r="AL2812" s="1">
        <v>2</v>
      </c>
      <c r="AM2812" s="1" t="s">
        <v>109</v>
      </c>
      <c r="AN2812" s="1" t="s">
        <v>109</v>
      </c>
      <c r="AO2812" s="1" t="s">
        <v>109</v>
      </c>
      <c r="AP2812" s="1"/>
      <c r="AQ2812" s="1">
        <v>2</v>
      </c>
      <c r="AR2812" s="1"/>
      <c r="AS2812" s="1"/>
      <c r="AT2812" s="1">
        <v>0</v>
      </c>
      <c r="AU2812" s="1">
        <v>0</v>
      </c>
      <c r="AV2812" s="1">
        <v>0</v>
      </c>
      <c r="AW2812" s="1">
        <v>0</v>
      </c>
      <c r="AX2812" s="1">
        <v>0</v>
      </c>
      <c r="AY2812" s="1">
        <v>0</v>
      </c>
      <c r="AZ2812" s="1">
        <v>0</v>
      </c>
      <c r="BA2812" s="1">
        <v>0</v>
      </c>
      <c r="BB2812" s="1">
        <v>0</v>
      </c>
      <c r="BC2812" s="1">
        <v>0</v>
      </c>
      <c r="BD2812" s="1">
        <v>0</v>
      </c>
      <c r="BE2812" s="1">
        <v>0</v>
      </c>
      <c r="BF2812" s="1">
        <v>0</v>
      </c>
      <c r="BG2812" s="1">
        <v>0</v>
      </c>
      <c r="BH2812" s="1">
        <v>0</v>
      </c>
      <c r="BI2812" s="1">
        <v>0</v>
      </c>
      <c r="BJ2812" s="1">
        <v>0</v>
      </c>
      <c r="BK2812" s="1">
        <v>0</v>
      </c>
      <c r="BL2812" s="1">
        <v>0</v>
      </c>
      <c r="BM2812" s="1">
        <v>0</v>
      </c>
      <c r="BN2812" s="1">
        <v>0</v>
      </c>
      <c r="BO2812" s="1">
        <v>0</v>
      </c>
      <c r="BP2812" s="1">
        <v>0</v>
      </c>
      <c r="BQ2812" s="1">
        <v>0</v>
      </c>
      <c r="BR2812" s="1">
        <v>0</v>
      </c>
      <c r="BS2812" s="1" t="s">
        <v>109</v>
      </c>
      <c r="BT2812" s="1">
        <v>4905</v>
      </c>
      <c r="BU2812" s="1" t="s">
        <v>109</v>
      </c>
      <c r="BV2812" s="1"/>
      <c r="BW2812" s="1"/>
      <c r="BX2812" s="1"/>
      <c r="BY2812" s="1"/>
      <c r="BZ2812" s="1">
        <v>0</v>
      </c>
      <c r="CA2812" s="1" t="s">
        <v>109</v>
      </c>
      <c r="CB2812" s="1" t="s">
        <v>109</v>
      </c>
      <c r="CC2812" s="1" t="s">
        <v>109</v>
      </c>
      <c r="CD2812" s="1" t="s">
        <v>109</v>
      </c>
      <c r="CE2812" s="1" t="s">
        <v>109</v>
      </c>
      <c r="CF2812" s="1" t="s">
        <v>109</v>
      </c>
      <c r="CG2812" s="1" t="s">
        <v>109</v>
      </c>
      <c r="CH2812" s="1" t="s">
        <v>109</v>
      </c>
      <c r="CI2812" s="1" t="s">
        <v>109</v>
      </c>
      <c r="CJ2812" s="1">
        <v>2</v>
      </c>
      <c r="CK2812" s="1"/>
      <c r="CL2812" s="1">
        <v>0</v>
      </c>
      <c r="CM2812" s="1">
        <v>0</v>
      </c>
      <c r="CN2812" s="1">
        <v>0</v>
      </c>
    </row>
    <row r="2813" spans="1:92" ht="14.25" customHeight="1" x14ac:dyDescent="0.15">
      <c r="A2813" s="1" t="s">
        <v>19747</v>
      </c>
      <c r="B2813" s="1" t="s">
        <v>584</v>
      </c>
      <c r="C2813" s="1"/>
      <c r="D2813" s="1" t="s">
        <v>64</v>
      </c>
      <c r="E2813" s="1" t="s">
        <v>19748</v>
      </c>
      <c r="F2813" s="1" t="s">
        <v>98</v>
      </c>
      <c r="G2813" s="1" t="s">
        <v>141</v>
      </c>
      <c r="H2813" s="1">
        <v>0</v>
      </c>
      <c r="I2813" s="1" t="s">
        <v>161</v>
      </c>
      <c r="J2813" s="1"/>
      <c r="K2813" s="1"/>
      <c r="L2813" s="1" t="s">
        <v>1285</v>
      </c>
      <c r="M2813" s="1" t="s">
        <v>815</v>
      </c>
      <c r="N2813" s="1">
        <v>1</v>
      </c>
      <c r="O2813" s="1">
        <v>0</v>
      </c>
      <c r="P2813" s="1" t="s">
        <v>103</v>
      </c>
      <c r="Q2813" s="1" t="s">
        <v>104</v>
      </c>
      <c r="R2813" s="1" t="s">
        <v>19749</v>
      </c>
      <c r="S2813" s="1" t="s">
        <v>19750</v>
      </c>
      <c r="T2813" s="1" t="s">
        <v>19448</v>
      </c>
      <c r="U2813" s="1" t="s">
        <v>19751</v>
      </c>
      <c r="V2813" s="1">
        <v>1</v>
      </c>
      <c r="W2813" s="1">
        <v>1</v>
      </c>
      <c r="X2813" s="1">
        <v>0</v>
      </c>
      <c r="Y2813" s="1">
        <v>0</v>
      </c>
      <c r="Z2813" s="1">
        <v>0</v>
      </c>
      <c r="AA2813" s="1">
        <v>4</v>
      </c>
      <c r="AB2813" s="1">
        <v>4</v>
      </c>
      <c r="AC2813" s="1">
        <v>4</v>
      </c>
      <c r="AD2813" s="1">
        <v>4</v>
      </c>
      <c r="AE2813" s="1">
        <v>4</v>
      </c>
      <c r="AF2813" s="1">
        <v>4</v>
      </c>
      <c r="AG2813" s="1">
        <v>4</v>
      </c>
      <c r="AH2813" s="1" t="s">
        <v>109</v>
      </c>
      <c r="AI2813" s="1" t="s">
        <v>109</v>
      </c>
      <c r="AJ2813" s="1" t="s">
        <v>109</v>
      </c>
      <c r="AK2813" s="1">
        <v>4</v>
      </c>
      <c r="AL2813" s="1">
        <v>4</v>
      </c>
      <c r="AM2813" s="1" t="s">
        <v>109</v>
      </c>
      <c r="AN2813" s="1">
        <v>4</v>
      </c>
      <c r="AO2813" s="1" t="s">
        <v>109</v>
      </c>
      <c r="AP2813" s="1"/>
      <c r="AQ2813" s="1">
        <v>4</v>
      </c>
      <c r="AR2813" s="1"/>
      <c r="AS2813" s="1"/>
      <c r="AT2813" s="1">
        <v>0</v>
      </c>
      <c r="AU2813" s="1">
        <v>0</v>
      </c>
      <c r="AV2813" s="1">
        <v>0</v>
      </c>
      <c r="AW2813" s="1">
        <v>0</v>
      </c>
      <c r="AX2813" s="1">
        <v>0</v>
      </c>
      <c r="AY2813" s="1">
        <v>0</v>
      </c>
      <c r="AZ2813" s="1">
        <v>0</v>
      </c>
      <c r="BA2813" s="1">
        <v>0</v>
      </c>
      <c r="BB2813" s="1">
        <v>0</v>
      </c>
      <c r="BC2813" s="1">
        <v>0</v>
      </c>
      <c r="BD2813" s="1">
        <v>0</v>
      </c>
      <c r="BE2813" s="1">
        <v>0</v>
      </c>
      <c r="BF2813" s="1">
        <v>0</v>
      </c>
      <c r="BG2813" s="1">
        <v>0</v>
      </c>
      <c r="BH2813" s="1">
        <v>0</v>
      </c>
      <c r="BI2813" s="1">
        <v>0</v>
      </c>
      <c r="BJ2813" s="1">
        <v>0</v>
      </c>
      <c r="BK2813" s="1">
        <v>0</v>
      </c>
      <c r="BL2813" s="1">
        <v>1</v>
      </c>
      <c r="BM2813" s="1">
        <v>0</v>
      </c>
      <c r="BN2813" s="1">
        <v>0</v>
      </c>
      <c r="BO2813" s="1">
        <v>0</v>
      </c>
      <c r="BP2813" s="1">
        <v>0</v>
      </c>
      <c r="BQ2813" s="1">
        <v>0</v>
      </c>
      <c r="BR2813" s="1">
        <v>0</v>
      </c>
      <c r="BS2813" s="1" t="s">
        <v>109</v>
      </c>
      <c r="BT2813" s="1">
        <v>4906</v>
      </c>
      <c r="BU2813" s="1" t="s">
        <v>109</v>
      </c>
      <c r="BV2813" s="1"/>
      <c r="BW2813" s="1"/>
      <c r="BX2813" s="1"/>
      <c r="BY2813" s="1"/>
      <c r="BZ2813" s="1">
        <v>0</v>
      </c>
      <c r="CA2813" s="1" t="s">
        <v>109</v>
      </c>
      <c r="CB2813" s="1">
        <v>4</v>
      </c>
      <c r="CC2813" s="1" t="s">
        <v>109</v>
      </c>
      <c r="CD2813" s="1" t="s">
        <v>109</v>
      </c>
      <c r="CE2813" s="1" t="s">
        <v>109</v>
      </c>
      <c r="CF2813" s="1">
        <v>4</v>
      </c>
      <c r="CG2813" s="1" t="s">
        <v>109</v>
      </c>
      <c r="CH2813" s="1" t="s">
        <v>109</v>
      </c>
      <c r="CI2813" s="1" t="s">
        <v>109</v>
      </c>
      <c r="CJ2813" s="1">
        <v>4</v>
      </c>
      <c r="CK2813" s="1"/>
      <c r="CL2813" s="1">
        <v>0</v>
      </c>
      <c r="CM2813" s="1">
        <v>0</v>
      </c>
      <c r="CN2813" s="1">
        <v>0</v>
      </c>
    </row>
    <row r="2814" spans="1:92" ht="14.25" customHeight="1" x14ac:dyDescent="0.15">
      <c r="A2814" s="1" t="s">
        <v>19752</v>
      </c>
      <c r="B2814" s="1" t="s">
        <v>189</v>
      </c>
      <c r="C2814" s="1"/>
      <c r="D2814" s="1"/>
      <c r="E2814" s="1" t="s">
        <v>19753</v>
      </c>
      <c r="F2814" s="1" t="s">
        <v>98</v>
      </c>
      <c r="G2814" s="1" t="s">
        <v>19754</v>
      </c>
      <c r="H2814" s="1">
        <v>0</v>
      </c>
      <c r="I2814" s="1" t="s">
        <v>142</v>
      </c>
      <c r="J2814" s="1"/>
      <c r="K2814" s="1"/>
      <c r="L2814" s="1" t="s">
        <v>1391</v>
      </c>
      <c r="M2814" s="1" t="s">
        <v>5642</v>
      </c>
      <c r="N2814" s="1">
        <v>0</v>
      </c>
      <c r="O2814" s="1">
        <v>0</v>
      </c>
      <c r="P2814" s="1" t="s">
        <v>267</v>
      </c>
      <c r="Q2814" s="1" t="s">
        <v>268</v>
      </c>
      <c r="R2814" s="1" t="s">
        <v>19755</v>
      </c>
      <c r="S2814" s="1" t="s">
        <v>19756</v>
      </c>
      <c r="T2814" s="1" t="s">
        <v>19448</v>
      </c>
      <c r="U2814" s="1" t="s">
        <v>19757</v>
      </c>
      <c r="V2814" s="1">
        <v>1</v>
      </c>
      <c r="W2814" s="1">
        <v>1</v>
      </c>
      <c r="X2814" s="1">
        <v>1</v>
      </c>
      <c r="Y2814" s="1">
        <v>0</v>
      </c>
      <c r="Z2814" s="1">
        <v>0</v>
      </c>
      <c r="AA2814" s="1" t="s">
        <v>109</v>
      </c>
      <c r="AB2814" s="1" t="s">
        <v>109</v>
      </c>
      <c r="AC2814" s="1">
        <v>3</v>
      </c>
      <c r="AD2814" s="1">
        <v>3</v>
      </c>
      <c r="AE2814" s="1">
        <v>2</v>
      </c>
      <c r="AF2814" s="1" t="s">
        <v>109</v>
      </c>
      <c r="AG2814" s="1">
        <v>3</v>
      </c>
      <c r="AH2814" s="1" t="s">
        <v>109</v>
      </c>
      <c r="AI2814" s="1" t="s">
        <v>109</v>
      </c>
      <c r="AJ2814" s="1">
        <v>3</v>
      </c>
      <c r="AK2814" s="1">
        <v>3</v>
      </c>
      <c r="AL2814" s="1">
        <v>3</v>
      </c>
      <c r="AM2814" s="1" t="s">
        <v>109</v>
      </c>
      <c r="AN2814" s="1" t="s">
        <v>109</v>
      </c>
      <c r="AO2814" s="1" t="s">
        <v>109</v>
      </c>
      <c r="AP2814" s="1"/>
      <c r="AQ2814" s="1">
        <v>3</v>
      </c>
      <c r="AR2814" s="1"/>
      <c r="AS2814" s="1"/>
      <c r="AT2814" s="1">
        <v>0</v>
      </c>
      <c r="AU2814" s="1">
        <v>0</v>
      </c>
      <c r="AV2814" s="1">
        <v>0</v>
      </c>
      <c r="AW2814" s="1">
        <v>0</v>
      </c>
      <c r="AX2814" s="1">
        <v>0</v>
      </c>
      <c r="AY2814" s="1">
        <v>0</v>
      </c>
      <c r="AZ2814" s="1">
        <v>0</v>
      </c>
      <c r="BA2814" s="1">
        <v>0</v>
      </c>
      <c r="BB2814" s="1">
        <v>0</v>
      </c>
      <c r="BC2814" s="1">
        <v>0</v>
      </c>
      <c r="BD2814" s="1">
        <v>0</v>
      </c>
      <c r="BE2814" s="1">
        <v>0</v>
      </c>
      <c r="BF2814" s="1">
        <v>0</v>
      </c>
      <c r="BG2814" s="1">
        <v>0</v>
      </c>
      <c r="BH2814" s="1">
        <v>0</v>
      </c>
      <c r="BI2814" s="1">
        <v>0</v>
      </c>
      <c r="BJ2814" s="1">
        <v>0</v>
      </c>
      <c r="BK2814" s="1">
        <v>0</v>
      </c>
      <c r="BL2814" s="1">
        <v>0</v>
      </c>
      <c r="BM2814" s="1">
        <v>0</v>
      </c>
      <c r="BN2814" s="1">
        <v>0</v>
      </c>
      <c r="BO2814" s="1">
        <v>0</v>
      </c>
      <c r="BP2814" s="1">
        <v>0</v>
      </c>
      <c r="BQ2814" s="1">
        <v>0</v>
      </c>
      <c r="BR2814" s="1">
        <v>0</v>
      </c>
      <c r="BS2814" s="1" t="s">
        <v>109</v>
      </c>
      <c r="BT2814" s="1">
        <v>4907</v>
      </c>
      <c r="BU2814" s="1" t="s">
        <v>109</v>
      </c>
      <c r="BV2814" s="1"/>
      <c r="BW2814" s="1"/>
      <c r="BX2814" s="1"/>
      <c r="BY2814" s="1"/>
      <c r="BZ2814" s="1">
        <v>0</v>
      </c>
      <c r="CA2814" s="1" t="s">
        <v>109</v>
      </c>
      <c r="CB2814" s="1">
        <v>3</v>
      </c>
      <c r="CC2814" s="1" t="s">
        <v>109</v>
      </c>
      <c r="CD2814" s="1" t="s">
        <v>109</v>
      </c>
      <c r="CE2814" s="1" t="s">
        <v>109</v>
      </c>
      <c r="CF2814" s="1" t="s">
        <v>109</v>
      </c>
      <c r="CG2814" s="1" t="s">
        <v>109</v>
      </c>
      <c r="CH2814" s="1" t="s">
        <v>109</v>
      </c>
      <c r="CI2814" s="1" t="s">
        <v>109</v>
      </c>
      <c r="CJ2814" s="1">
        <v>2</v>
      </c>
      <c r="CK2814" s="1"/>
      <c r="CL2814" s="1">
        <v>0</v>
      </c>
      <c r="CM2814" s="1">
        <v>0</v>
      </c>
      <c r="CN2814" s="1">
        <v>0</v>
      </c>
    </row>
    <row r="2815" spans="1:92" ht="14.25" customHeight="1" x14ac:dyDescent="0.15">
      <c r="A2815" s="1" t="s">
        <v>19758</v>
      </c>
      <c r="B2815" s="1" t="s">
        <v>254</v>
      </c>
      <c r="C2815" s="1"/>
      <c r="D2815" s="1" t="s">
        <v>61</v>
      </c>
      <c r="E2815" s="1" t="s">
        <v>19759</v>
      </c>
      <c r="F2815" s="1" t="s">
        <v>277</v>
      </c>
      <c r="G2815" s="1" t="s">
        <v>19760</v>
      </c>
      <c r="H2815" s="1">
        <v>1</v>
      </c>
      <c r="I2815" s="1" t="s">
        <v>161</v>
      </c>
      <c r="J2815" s="1"/>
      <c r="K2815" s="1"/>
      <c r="L2815" s="1" t="s">
        <v>19761</v>
      </c>
      <c r="M2815" s="1" t="s">
        <v>11457</v>
      </c>
      <c r="N2815" s="1">
        <v>0</v>
      </c>
      <c r="O2815" s="1">
        <v>0</v>
      </c>
      <c r="P2815" s="1" t="s">
        <v>507</v>
      </c>
      <c r="Q2815" s="1" t="s">
        <v>104</v>
      </c>
      <c r="R2815" s="1" t="s">
        <v>19762</v>
      </c>
      <c r="S2815" s="1" t="s">
        <v>19763</v>
      </c>
      <c r="T2815" s="1" t="s">
        <v>19448</v>
      </c>
      <c r="U2815" s="1" t="s">
        <v>19764</v>
      </c>
      <c r="V2815" s="1">
        <v>1</v>
      </c>
      <c r="W2815" s="1">
        <v>1</v>
      </c>
      <c r="X2815" s="1">
        <v>0</v>
      </c>
      <c r="Y2815" s="1">
        <v>0</v>
      </c>
      <c r="Z2815" s="1">
        <v>0</v>
      </c>
      <c r="AA2815" s="1" t="s">
        <v>109</v>
      </c>
      <c r="AB2815" s="1" t="s">
        <v>109</v>
      </c>
      <c r="AC2815" s="1">
        <v>2</v>
      </c>
      <c r="AD2815" s="1" t="s">
        <v>109</v>
      </c>
      <c r="AE2815" s="1" t="s">
        <v>109</v>
      </c>
      <c r="AF2815" s="1" t="s">
        <v>109</v>
      </c>
      <c r="AG2815" s="1">
        <v>1</v>
      </c>
      <c r="AH2815" s="1" t="s">
        <v>109</v>
      </c>
      <c r="AI2815" s="1" t="s">
        <v>109</v>
      </c>
      <c r="AJ2815" s="1" t="s">
        <v>109</v>
      </c>
      <c r="AK2815" s="1">
        <v>1</v>
      </c>
      <c r="AL2815" s="1">
        <v>2</v>
      </c>
      <c r="AM2815" s="1" t="s">
        <v>109</v>
      </c>
      <c r="AN2815" s="1" t="s">
        <v>109</v>
      </c>
      <c r="AO2815" s="1" t="s">
        <v>109</v>
      </c>
      <c r="AP2815" s="1"/>
      <c r="AQ2815" s="1">
        <v>2</v>
      </c>
      <c r="AR2815" s="1"/>
      <c r="AS2815" s="1"/>
      <c r="AT2815" s="1">
        <v>0</v>
      </c>
      <c r="AU2815" s="1">
        <v>0</v>
      </c>
      <c r="AV2815" s="1">
        <v>0</v>
      </c>
      <c r="AW2815" s="1">
        <v>0</v>
      </c>
      <c r="AX2815" s="1">
        <v>0</v>
      </c>
      <c r="AY2815" s="1">
        <v>0</v>
      </c>
      <c r="AZ2815" s="1">
        <v>0</v>
      </c>
      <c r="BA2815" s="1">
        <v>0</v>
      </c>
      <c r="BB2815" s="1">
        <v>0</v>
      </c>
      <c r="BC2815" s="1">
        <v>0</v>
      </c>
      <c r="BD2815" s="1">
        <v>0</v>
      </c>
      <c r="BE2815" s="1">
        <v>0</v>
      </c>
      <c r="BF2815" s="1">
        <v>0</v>
      </c>
      <c r="BG2815" s="1">
        <v>0</v>
      </c>
      <c r="BH2815" s="1">
        <v>0</v>
      </c>
      <c r="BI2815" s="1">
        <v>1</v>
      </c>
      <c r="BJ2815" s="1">
        <v>0</v>
      </c>
      <c r="BK2815" s="1">
        <v>0</v>
      </c>
      <c r="BL2815" s="1">
        <v>0</v>
      </c>
      <c r="BM2815" s="1">
        <v>0</v>
      </c>
      <c r="BN2815" s="1">
        <v>0</v>
      </c>
      <c r="BO2815" s="1">
        <v>0</v>
      </c>
      <c r="BP2815" s="1">
        <v>0</v>
      </c>
      <c r="BQ2815" s="1">
        <v>0</v>
      </c>
      <c r="BR2815" s="1">
        <v>0</v>
      </c>
      <c r="BS2815" s="1" t="s">
        <v>109</v>
      </c>
      <c r="BT2815" s="1">
        <v>4908</v>
      </c>
      <c r="BU2815" s="1">
        <v>50</v>
      </c>
      <c r="BV2815" s="1"/>
      <c r="BW2815" s="1"/>
      <c r="BX2815" s="1"/>
      <c r="BY2815" s="1"/>
      <c r="BZ2815" s="1">
        <v>0</v>
      </c>
      <c r="CA2815" s="1" t="s">
        <v>109</v>
      </c>
      <c r="CB2815" s="1" t="s">
        <v>109</v>
      </c>
      <c r="CC2815" s="1" t="s">
        <v>109</v>
      </c>
      <c r="CD2815" s="1" t="s">
        <v>109</v>
      </c>
      <c r="CE2815" s="1" t="s">
        <v>109</v>
      </c>
      <c r="CF2815" s="1" t="s">
        <v>109</v>
      </c>
      <c r="CG2815" s="1" t="s">
        <v>109</v>
      </c>
      <c r="CH2815" s="1" t="s">
        <v>109</v>
      </c>
      <c r="CI2815" s="1" t="s">
        <v>109</v>
      </c>
      <c r="CJ2815" s="1" t="s">
        <v>109</v>
      </c>
      <c r="CK2815" s="1"/>
      <c r="CL2815" s="1">
        <v>0</v>
      </c>
      <c r="CM2815" s="1">
        <v>0</v>
      </c>
      <c r="CN2815" s="1">
        <v>0</v>
      </c>
    </row>
    <row r="2816" spans="1:92" ht="14.25" customHeight="1" x14ac:dyDescent="0.15">
      <c r="A2816" s="1" t="s">
        <v>19765</v>
      </c>
      <c r="B2816" s="1" t="s">
        <v>254</v>
      </c>
      <c r="C2816" s="1"/>
      <c r="D2816" s="1"/>
      <c r="E2816" s="1" t="s">
        <v>19766</v>
      </c>
      <c r="F2816" s="1" t="s">
        <v>98</v>
      </c>
      <c r="G2816" s="1" t="s">
        <v>19767</v>
      </c>
      <c r="H2816" s="1">
        <v>1</v>
      </c>
      <c r="I2816" s="1" t="s">
        <v>161</v>
      </c>
      <c r="J2816" s="1"/>
      <c r="K2816" s="1"/>
      <c r="L2816" s="1" t="s">
        <v>506</v>
      </c>
      <c r="M2816" s="1" t="s">
        <v>465</v>
      </c>
      <c r="N2816" s="1">
        <v>0</v>
      </c>
      <c r="O2816" s="1">
        <v>0</v>
      </c>
      <c r="P2816" s="1" t="s">
        <v>215</v>
      </c>
      <c r="Q2816" s="1" t="s">
        <v>216</v>
      </c>
      <c r="R2816" s="1" t="s">
        <v>19768</v>
      </c>
      <c r="S2816" s="1" t="s">
        <v>19769</v>
      </c>
      <c r="T2816" s="1" t="s">
        <v>19448</v>
      </c>
      <c r="U2816" s="1" t="s">
        <v>19770</v>
      </c>
      <c r="V2816" s="1">
        <v>1</v>
      </c>
      <c r="W2816" s="1">
        <v>1</v>
      </c>
      <c r="X2816" s="1">
        <v>1</v>
      </c>
      <c r="Y2816" s="1">
        <v>0</v>
      </c>
      <c r="Z2816" s="1">
        <v>0</v>
      </c>
      <c r="AA2816" s="1">
        <v>5</v>
      </c>
      <c r="AB2816" s="1">
        <v>5</v>
      </c>
      <c r="AC2816" s="1" t="s">
        <v>109</v>
      </c>
      <c r="AD2816" s="1" t="s">
        <v>109</v>
      </c>
      <c r="AE2816" s="1" t="s">
        <v>109</v>
      </c>
      <c r="AF2816" s="1" t="s">
        <v>109</v>
      </c>
      <c r="AG2816" s="1" t="s">
        <v>109</v>
      </c>
      <c r="AH2816" s="1">
        <v>5</v>
      </c>
      <c r="AI2816" s="1" t="s">
        <v>109</v>
      </c>
      <c r="AJ2816" s="1">
        <v>5</v>
      </c>
      <c r="AK2816" s="1" t="s">
        <v>109</v>
      </c>
      <c r="AL2816" s="1" t="s">
        <v>109</v>
      </c>
      <c r="AM2816" s="1" t="s">
        <v>109</v>
      </c>
      <c r="AN2816" s="1">
        <v>5</v>
      </c>
      <c r="AO2816" s="1" t="s">
        <v>109</v>
      </c>
      <c r="AP2816" s="1"/>
      <c r="AQ2816" s="1">
        <v>5</v>
      </c>
      <c r="AR2816" s="1"/>
      <c r="AS2816" s="1"/>
      <c r="AT2816" s="1">
        <v>0</v>
      </c>
      <c r="AU2816" s="1">
        <v>0</v>
      </c>
      <c r="AV2816" s="1">
        <v>0</v>
      </c>
      <c r="AW2816" s="1">
        <v>0</v>
      </c>
      <c r="AX2816" s="1">
        <v>0</v>
      </c>
      <c r="AY2816" s="1">
        <v>0</v>
      </c>
      <c r="AZ2816" s="1">
        <v>0</v>
      </c>
      <c r="BA2816" s="1">
        <v>0</v>
      </c>
      <c r="BB2816" s="1">
        <v>0</v>
      </c>
      <c r="BC2816" s="1">
        <v>0</v>
      </c>
      <c r="BD2816" s="1">
        <v>0</v>
      </c>
      <c r="BE2816" s="1">
        <v>0</v>
      </c>
      <c r="BF2816" s="1">
        <v>0</v>
      </c>
      <c r="BG2816" s="1">
        <v>0</v>
      </c>
      <c r="BH2816" s="1">
        <v>0</v>
      </c>
      <c r="BI2816" s="1">
        <v>0</v>
      </c>
      <c r="BJ2816" s="1">
        <v>0</v>
      </c>
      <c r="BK2816" s="1">
        <v>0</v>
      </c>
      <c r="BL2816" s="1">
        <v>0</v>
      </c>
      <c r="BM2816" s="1">
        <v>0</v>
      </c>
      <c r="BN2816" s="1">
        <v>0</v>
      </c>
      <c r="BO2816" s="1">
        <v>0</v>
      </c>
      <c r="BP2816" s="1">
        <v>0</v>
      </c>
      <c r="BQ2816" s="1">
        <v>0</v>
      </c>
      <c r="BR2816" s="1">
        <v>0</v>
      </c>
      <c r="BS2816" s="1" t="s">
        <v>109</v>
      </c>
      <c r="BT2816" s="1">
        <v>4909</v>
      </c>
      <c r="BU2816" s="1">
        <v>200</v>
      </c>
      <c r="BV2816" s="1"/>
      <c r="BW2816" s="1"/>
      <c r="BX2816" s="1"/>
      <c r="BY2816" s="1"/>
      <c r="BZ2816" s="1">
        <v>0</v>
      </c>
      <c r="CA2816" s="1">
        <v>4</v>
      </c>
      <c r="CB2816" s="1">
        <v>5</v>
      </c>
      <c r="CC2816" s="1" t="s">
        <v>109</v>
      </c>
      <c r="CD2816" s="1" t="s">
        <v>109</v>
      </c>
      <c r="CE2816" s="1" t="s">
        <v>109</v>
      </c>
      <c r="CF2816" s="1" t="s">
        <v>109</v>
      </c>
      <c r="CG2816" s="1" t="s">
        <v>109</v>
      </c>
      <c r="CH2816" s="1" t="s">
        <v>109</v>
      </c>
      <c r="CI2816" s="1" t="s">
        <v>109</v>
      </c>
      <c r="CJ2816" s="1" t="s">
        <v>109</v>
      </c>
      <c r="CK2816" s="1"/>
      <c r="CL2816" s="1">
        <v>0</v>
      </c>
      <c r="CM2816" s="1">
        <v>0</v>
      </c>
      <c r="CN2816" s="1">
        <v>0</v>
      </c>
    </row>
    <row r="2817" spans="1:92" ht="14.25" customHeight="1" x14ac:dyDescent="0.15">
      <c r="A2817" s="1" t="s">
        <v>19771</v>
      </c>
      <c r="B2817" s="1" t="s">
        <v>95</v>
      </c>
      <c r="C2817" s="1" t="s">
        <v>3570</v>
      </c>
      <c r="D2817" s="1"/>
      <c r="E2817" s="1" t="s">
        <v>19772</v>
      </c>
      <c r="F2817" s="1" t="s">
        <v>395</v>
      </c>
      <c r="G2817" s="1" t="s">
        <v>19773</v>
      </c>
      <c r="H2817" s="1">
        <v>1</v>
      </c>
      <c r="I2817" s="1" t="s">
        <v>142</v>
      </c>
      <c r="J2817" s="1"/>
      <c r="K2817" s="1" t="s">
        <v>19774</v>
      </c>
      <c r="L2817" s="1"/>
      <c r="M2817" s="1" t="s">
        <v>947</v>
      </c>
      <c r="N2817" s="1">
        <v>0</v>
      </c>
      <c r="O2817" s="1">
        <v>0</v>
      </c>
      <c r="P2817" s="1" t="s">
        <v>103</v>
      </c>
      <c r="Q2817" s="1" t="s">
        <v>104</v>
      </c>
      <c r="R2817" s="1" t="s">
        <v>19775</v>
      </c>
      <c r="S2817" s="1" t="s">
        <v>19776</v>
      </c>
      <c r="T2817" s="1" t="s">
        <v>19448</v>
      </c>
      <c r="U2817" s="1" t="s">
        <v>19777</v>
      </c>
      <c r="V2817" s="1">
        <v>1</v>
      </c>
      <c r="W2817" s="1">
        <v>1</v>
      </c>
      <c r="X2817" s="1">
        <v>1</v>
      </c>
      <c r="Y2817" s="1">
        <v>0</v>
      </c>
      <c r="Z2817" s="1">
        <v>0</v>
      </c>
      <c r="AA2817" s="1">
        <v>3</v>
      </c>
      <c r="AB2817" s="1">
        <v>3</v>
      </c>
      <c r="AC2817" s="1">
        <v>3</v>
      </c>
      <c r="AD2817" s="1">
        <v>3</v>
      </c>
      <c r="AE2817" s="1" t="s">
        <v>109</v>
      </c>
      <c r="AF2817" s="1" t="s">
        <v>109</v>
      </c>
      <c r="AG2817" s="1" t="s">
        <v>109</v>
      </c>
      <c r="AH2817" s="1" t="s">
        <v>109</v>
      </c>
      <c r="AI2817" s="1">
        <v>3</v>
      </c>
      <c r="AJ2817" s="1">
        <v>3</v>
      </c>
      <c r="AK2817" s="1">
        <v>3</v>
      </c>
      <c r="AL2817" s="1">
        <v>3</v>
      </c>
      <c r="AM2817" s="1" t="s">
        <v>109</v>
      </c>
      <c r="AN2817" s="1" t="s">
        <v>109</v>
      </c>
      <c r="AO2817" s="1" t="s">
        <v>109</v>
      </c>
      <c r="AP2817" s="1"/>
      <c r="AQ2817" s="1">
        <v>3</v>
      </c>
      <c r="AR2817" s="1"/>
      <c r="AS2817" s="1"/>
      <c r="AT2817" s="1">
        <v>0</v>
      </c>
      <c r="AU2817" s="1">
        <v>0</v>
      </c>
      <c r="AV2817" s="1">
        <v>0</v>
      </c>
      <c r="AW2817" s="1">
        <v>0</v>
      </c>
      <c r="AX2817" s="1">
        <v>0</v>
      </c>
      <c r="AY2817" s="1">
        <v>0</v>
      </c>
      <c r="AZ2817" s="1">
        <v>0</v>
      </c>
      <c r="BA2817" s="1">
        <v>0</v>
      </c>
      <c r="BB2817" s="1">
        <v>0</v>
      </c>
      <c r="BC2817" s="1">
        <v>0</v>
      </c>
      <c r="BD2817" s="1">
        <v>0</v>
      </c>
      <c r="BE2817" s="1">
        <v>0</v>
      </c>
      <c r="BF2817" s="1">
        <v>0</v>
      </c>
      <c r="BG2817" s="1">
        <v>0</v>
      </c>
      <c r="BH2817" s="1">
        <v>0</v>
      </c>
      <c r="BI2817" s="1">
        <v>0</v>
      </c>
      <c r="BJ2817" s="1">
        <v>0</v>
      </c>
      <c r="BK2817" s="1">
        <v>0</v>
      </c>
      <c r="BL2817" s="1">
        <v>0</v>
      </c>
      <c r="BM2817" s="1">
        <v>0</v>
      </c>
      <c r="BN2817" s="1">
        <v>0</v>
      </c>
      <c r="BO2817" s="1">
        <v>0</v>
      </c>
      <c r="BP2817" s="1">
        <v>0</v>
      </c>
      <c r="BQ2817" s="1">
        <v>0</v>
      </c>
      <c r="BR2817" s="1">
        <v>0</v>
      </c>
      <c r="BS2817" s="1" t="s">
        <v>109</v>
      </c>
      <c r="BT2817" s="1">
        <v>4910</v>
      </c>
      <c r="BU2817" s="1">
        <v>100</v>
      </c>
      <c r="BV2817" s="1"/>
      <c r="BW2817" s="1"/>
      <c r="BX2817" s="1"/>
      <c r="BY2817" s="1"/>
      <c r="BZ2817" s="1">
        <v>1</v>
      </c>
      <c r="CA2817" s="1" t="s">
        <v>109</v>
      </c>
      <c r="CB2817" s="1">
        <v>3</v>
      </c>
      <c r="CC2817" s="1" t="s">
        <v>109</v>
      </c>
      <c r="CD2817" s="1" t="s">
        <v>109</v>
      </c>
      <c r="CE2817" s="1" t="s">
        <v>109</v>
      </c>
      <c r="CF2817" s="1" t="s">
        <v>109</v>
      </c>
      <c r="CG2817" s="1" t="s">
        <v>109</v>
      </c>
      <c r="CH2817" s="1" t="s">
        <v>109</v>
      </c>
      <c r="CI2817" s="1" t="s">
        <v>109</v>
      </c>
      <c r="CJ2817" s="1">
        <v>3</v>
      </c>
      <c r="CK2817" s="1"/>
      <c r="CL2817" s="1">
        <v>0</v>
      </c>
      <c r="CM2817" s="1">
        <v>0</v>
      </c>
      <c r="CN2817" s="1">
        <v>0</v>
      </c>
    </row>
    <row r="2818" spans="1:92" ht="14.25" customHeight="1" x14ac:dyDescent="0.15">
      <c r="A2818" s="1" t="s">
        <v>19778</v>
      </c>
      <c r="B2818" s="1" t="s">
        <v>95</v>
      </c>
      <c r="C2818" s="1" t="s">
        <v>96</v>
      </c>
      <c r="D2818" s="1" t="s">
        <v>49</v>
      </c>
      <c r="E2818" s="1" t="s">
        <v>19779</v>
      </c>
      <c r="F2818" s="1" t="s">
        <v>355</v>
      </c>
      <c r="G2818" s="1" t="s">
        <v>19780</v>
      </c>
      <c r="H2818" s="1">
        <v>0</v>
      </c>
      <c r="I2818" s="1" t="s">
        <v>142</v>
      </c>
      <c r="J2818" s="1"/>
      <c r="K2818" s="1" t="s">
        <v>19781</v>
      </c>
      <c r="L2818" s="1"/>
      <c r="M2818" s="1" t="s">
        <v>574</v>
      </c>
      <c r="N2818" s="1">
        <v>1</v>
      </c>
      <c r="O2818" s="1">
        <v>0</v>
      </c>
      <c r="P2818" s="1" t="s">
        <v>103</v>
      </c>
      <c r="Q2818" s="1" t="s">
        <v>104</v>
      </c>
      <c r="R2818" s="1" t="s">
        <v>19782</v>
      </c>
      <c r="S2818" s="1" t="s">
        <v>19783</v>
      </c>
      <c r="T2818" s="1" t="s">
        <v>19448</v>
      </c>
      <c r="U2818" s="1" t="s">
        <v>19784</v>
      </c>
      <c r="V2818" s="1">
        <v>1</v>
      </c>
      <c r="W2818" s="1">
        <v>1</v>
      </c>
      <c r="X2818" s="1">
        <v>1</v>
      </c>
      <c r="Y2818" s="1">
        <v>0</v>
      </c>
      <c r="Z2818" s="1">
        <v>0</v>
      </c>
      <c r="AA2818" s="1">
        <v>7</v>
      </c>
      <c r="AB2818" s="1">
        <v>7</v>
      </c>
      <c r="AC2818" s="1">
        <v>7</v>
      </c>
      <c r="AD2818" s="1">
        <v>7</v>
      </c>
      <c r="AE2818" s="1" t="s">
        <v>109</v>
      </c>
      <c r="AF2818" s="1" t="s">
        <v>109</v>
      </c>
      <c r="AG2818" s="1" t="s">
        <v>109</v>
      </c>
      <c r="AH2818" s="1" t="s">
        <v>109</v>
      </c>
      <c r="AI2818" s="1">
        <v>6</v>
      </c>
      <c r="AJ2818" s="1" t="s">
        <v>109</v>
      </c>
      <c r="AK2818" s="1" t="s">
        <v>109</v>
      </c>
      <c r="AL2818" s="1">
        <v>7</v>
      </c>
      <c r="AM2818" s="1" t="s">
        <v>109</v>
      </c>
      <c r="AN2818" s="1" t="s">
        <v>109</v>
      </c>
      <c r="AO2818" s="1" t="s">
        <v>109</v>
      </c>
      <c r="AP2818" s="1"/>
      <c r="AQ2818" s="1">
        <v>7</v>
      </c>
      <c r="AR2818" s="1"/>
      <c r="AS2818" s="1"/>
      <c r="AT2818" s="1">
        <v>0</v>
      </c>
      <c r="AU2818" s="1">
        <v>0</v>
      </c>
      <c r="AV2818" s="1">
        <v>0</v>
      </c>
      <c r="AW2818" s="1">
        <v>1</v>
      </c>
      <c r="AX2818" s="1">
        <v>0</v>
      </c>
      <c r="AY2818" s="1">
        <v>0</v>
      </c>
      <c r="AZ2818" s="1">
        <v>0</v>
      </c>
      <c r="BA2818" s="1">
        <v>0</v>
      </c>
      <c r="BB2818" s="1">
        <v>0</v>
      </c>
      <c r="BC2818" s="1">
        <v>0</v>
      </c>
      <c r="BD2818" s="1">
        <v>0</v>
      </c>
      <c r="BE2818" s="1">
        <v>0</v>
      </c>
      <c r="BF2818" s="1">
        <v>0</v>
      </c>
      <c r="BG2818" s="1">
        <v>0</v>
      </c>
      <c r="BH2818" s="1">
        <v>0</v>
      </c>
      <c r="BI2818" s="1">
        <v>0</v>
      </c>
      <c r="BJ2818" s="1">
        <v>0</v>
      </c>
      <c r="BK2818" s="1">
        <v>0</v>
      </c>
      <c r="BL2818" s="1">
        <v>0</v>
      </c>
      <c r="BM2818" s="1">
        <v>0</v>
      </c>
      <c r="BN2818" s="1">
        <v>0</v>
      </c>
      <c r="BO2818" s="1">
        <v>0</v>
      </c>
      <c r="BP2818" s="1">
        <v>0</v>
      </c>
      <c r="BQ2818" s="1">
        <v>0</v>
      </c>
      <c r="BR2818" s="1">
        <v>0</v>
      </c>
      <c r="BS2818" s="1" t="s">
        <v>109</v>
      </c>
      <c r="BT2818" s="1">
        <v>4911</v>
      </c>
      <c r="BU2818" s="1" t="s">
        <v>109</v>
      </c>
      <c r="BV2818" s="1"/>
      <c r="BW2818" s="1"/>
      <c r="BX2818" s="1"/>
      <c r="BY2818" s="1"/>
      <c r="BZ2818" s="1">
        <v>0</v>
      </c>
      <c r="CA2818" s="1" t="s">
        <v>109</v>
      </c>
      <c r="CB2818" s="1">
        <v>7</v>
      </c>
      <c r="CC2818" s="1" t="s">
        <v>109</v>
      </c>
      <c r="CD2818" s="1" t="s">
        <v>109</v>
      </c>
      <c r="CE2818" s="1" t="s">
        <v>109</v>
      </c>
      <c r="CF2818" s="1" t="s">
        <v>109</v>
      </c>
      <c r="CG2818" s="1" t="s">
        <v>109</v>
      </c>
      <c r="CH2818" s="1" t="s">
        <v>109</v>
      </c>
      <c r="CI2818" s="1" t="s">
        <v>109</v>
      </c>
      <c r="CJ2818" s="1" t="s">
        <v>109</v>
      </c>
      <c r="CK2818" s="1"/>
      <c r="CL2818" s="1">
        <v>0</v>
      </c>
      <c r="CM2818" s="1">
        <v>0</v>
      </c>
      <c r="CN2818" s="1">
        <v>0</v>
      </c>
    </row>
    <row r="2819" spans="1:92" ht="14.25" customHeight="1" x14ac:dyDescent="0.15">
      <c r="A2819" s="1" t="s">
        <v>19785</v>
      </c>
      <c r="B2819" s="1" t="s">
        <v>189</v>
      </c>
      <c r="C2819" s="1"/>
      <c r="D2819" s="1"/>
      <c r="E2819" s="1" t="s">
        <v>4856</v>
      </c>
      <c r="F2819" s="1" t="s">
        <v>6545</v>
      </c>
      <c r="G2819" s="1" t="s">
        <v>141</v>
      </c>
      <c r="H2819" s="1">
        <v>0</v>
      </c>
      <c r="I2819" s="1" t="s">
        <v>235</v>
      </c>
      <c r="J2819" s="1"/>
      <c r="K2819" s="1"/>
      <c r="L2819" s="1" t="s">
        <v>236</v>
      </c>
      <c r="M2819" s="1" t="s">
        <v>125</v>
      </c>
      <c r="N2819" s="1">
        <v>0</v>
      </c>
      <c r="O2819" s="1">
        <v>0</v>
      </c>
      <c r="P2819" s="1" t="s">
        <v>103</v>
      </c>
      <c r="Q2819" s="1" t="s">
        <v>104</v>
      </c>
      <c r="R2819" s="1" t="s">
        <v>19786</v>
      </c>
      <c r="S2819" s="1" t="s">
        <v>19787</v>
      </c>
      <c r="T2819" s="1" t="s">
        <v>19448</v>
      </c>
      <c r="U2819" s="1" t="s">
        <v>19788</v>
      </c>
      <c r="V2819" s="1">
        <v>1</v>
      </c>
      <c r="W2819" s="1">
        <v>1</v>
      </c>
      <c r="X2819" s="1">
        <v>0</v>
      </c>
      <c r="Y2819" s="1">
        <v>0</v>
      </c>
      <c r="Z2819" s="1">
        <v>0</v>
      </c>
      <c r="AA2819" s="1" t="s">
        <v>109</v>
      </c>
      <c r="AB2819" s="1" t="s">
        <v>109</v>
      </c>
      <c r="AC2819" s="1" t="s">
        <v>109</v>
      </c>
      <c r="AD2819" s="1">
        <v>5</v>
      </c>
      <c r="AE2819" s="1" t="s">
        <v>109</v>
      </c>
      <c r="AF2819" s="1" t="s">
        <v>109</v>
      </c>
      <c r="AG2819" s="1" t="s">
        <v>109</v>
      </c>
      <c r="AH2819" s="1" t="s">
        <v>109</v>
      </c>
      <c r="AI2819" s="1" t="s">
        <v>109</v>
      </c>
      <c r="AJ2819" s="1" t="s">
        <v>109</v>
      </c>
      <c r="AK2819" s="1" t="s">
        <v>109</v>
      </c>
      <c r="AL2819" s="1" t="s">
        <v>109</v>
      </c>
      <c r="AM2819" s="1" t="s">
        <v>109</v>
      </c>
      <c r="AN2819" s="1" t="s">
        <v>109</v>
      </c>
      <c r="AO2819" s="1" t="s">
        <v>109</v>
      </c>
      <c r="AP2819" s="1"/>
      <c r="AQ2819" s="1">
        <v>5</v>
      </c>
      <c r="AR2819" s="1"/>
      <c r="AS2819" s="1"/>
      <c r="AT2819" s="1">
        <v>0</v>
      </c>
      <c r="AU2819" s="1">
        <v>0</v>
      </c>
      <c r="AV2819" s="1">
        <v>0</v>
      </c>
      <c r="AW2819" s="1">
        <v>0</v>
      </c>
      <c r="AX2819" s="1">
        <v>0</v>
      </c>
      <c r="AY2819" s="1">
        <v>0</v>
      </c>
      <c r="AZ2819" s="1">
        <v>0</v>
      </c>
      <c r="BA2819" s="1">
        <v>0</v>
      </c>
      <c r="BB2819" s="1">
        <v>0</v>
      </c>
      <c r="BC2819" s="1">
        <v>0</v>
      </c>
      <c r="BD2819" s="1">
        <v>0</v>
      </c>
      <c r="BE2819" s="1">
        <v>0</v>
      </c>
      <c r="BF2819" s="1">
        <v>0</v>
      </c>
      <c r="BG2819" s="1">
        <v>0</v>
      </c>
      <c r="BH2819" s="1">
        <v>0</v>
      </c>
      <c r="BI2819" s="1">
        <v>0</v>
      </c>
      <c r="BJ2819" s="1">
        <v>0</v>
      </c>
      <c r="BK2819" s="1">
        <v>0</v>
      </c>
      <c r="BL2819" s="1">
        <v>0</v>
      </c>
      <c r="BM2819" s="1">
        <v>0</v>
      </c>
      <c r="BN2819" s="1">
        <v>0</v>
      </c>
      <c r="BO2819" s="1">
        <v>0</v>
      </c>
      <c r="BP2819" s="1">
        <v>0</v>
      </c>
      <c r="BQ2819" s="1">
        <v>0</v>
      </c>
      <c r="BR2819" s="1">
        <v>0</v>
      </c>
      <c r="BS2819" s="1" t="s">
        <v>109</v>
      </c>
      <c r="BT2819" s="1">
        <v>4912</v>
      </c>
      <c r="BU2819" s="1" t="s">
        <v>109</v>
      </c>
      <c r="BV2819" s="1"/>
      <c r="BW2819" s="1"/>
      <c r="BX2819" s="1"/>
      <c r="BY2819" s="1"/>
      <c r="BZ2819" s="1">
        <v>0</v>
      </c>
      <c r="CA2819" s="1" t="s">
        <v>109</v>
      </c>
      <c r="CB2819" s="1" t="s">
        <v>109</v>
      </c>
      <c r="CC2819" s="1" t="s">
        <v>109</v>
      </c>
      <c r="CD2819" s="1" t="s">
        <v>109</v>
      </c>
      <c r="CE2819" s="1" t="s">
        <v>109</v>
      </c>
      <c r="CF2819" s="1" t="s">
        <v>109</v>
      </c>
      <c r="CG2819" s="1" t="s">
        <v>109</v>
      </c>
      <c r="CH2819" s="1" t="s">
        <v>109</v>
      </c>
      <c r="CI2819" s="1" t="s">
        <v>109</v>
      </c>
      <c r="CJ2819" s="1">
        <v>5</v>
      </c>
      <c r="CK2819" s="1"/>
      <c r="CL2819" s="1">
        <v>0</v>
      </c>
      <c r="CM2819" s="1">
        <v>0</v>
      </c>
      <c r="CN2819" s="1">
        <v>0</v>
      </c>
    </row>
    <row r="2820" spans="1:92" ht="14.25" customHeight="1" x14ac:dyDescent="0.15">
      <c r="A2820" s="1" t="s">
        <v>19789</v>
      </c>
      <c r="B2820" s="1" t="s">
        <v>189</v>
      </c>
      <c r="C2820" s="1"/>
      <c r="D2820" s="1"/>
      <c r="E2820" s="1" t="s">
        <v>19790</v>
      </c>
      <c r="F2820" s="1" t="s">
        <v>98</v>
      </c>
      <c r="G2820" s="1" t="s">
        <v>19791</v>
      </c>
      <c r="H2820" s="1">
        <v>0</v>
      </c>
      <c r="I2820" s="1" t="s">
        <v>142</v>
      </c>
      <c r="J2820" s="1"/>
      <c r="K2820" s="1"/>
      <c r="L2820" s="1" t="s">
        <v>563</v>
      </c>
      <c r="M2820" s="1" t="s">
        <v>125</v>
      </c>
      <c r="N2820" s="1">
        <v>0</v>
      </c>
      <c r="O2820" s="1">
        <v>0</v>
      </c>
      <c r="P2820" s="1" t="s">
        <v>267</v>
      </c>
      <c r="Q2820" s="1" t="s">
        <v>268</v>
      </c>
      <c r="R2820" s="1" t="s">
        <v>19792</v>
      </c>
      <c r="S2820" s="1" t="s">
        <v>19793</v>
      </c>
      <c r="T2820" s="1" t="s">
        <v>19448</v>
      </c>
      <c r="U2820" s="1" t="s">
        <v>19794</v>
      </c>
      <c r="V2820" s="1">
        <v>1</v>
      </c>
      <c r="W2820" s="1">
        <v>0</v>
      </c>
      <c r="X2820" s="1">
        <v>1</v>
      </c>
      <c r="Y2820" s="1">
        <v>0</v>
      </c>
      <c r="Z2820" s="1">
        <v>0</v>
      </c>
      <c r="AA2820" s="1">
        <v>3</v>
      </c>
      <c r="AB2820" s="1">
        <v>3</v>
      </c>
      <c r="AC2820" s="1">
        <v>3</v>
      </c>
      <c r="AD2820" s="1">
        <v>3</v>
      </c>
      <c r="AE2820" s="1" t="s">
        <v>109</v>
      </c>
      <c r="AF2820" s="1" t="s">
        <v>109</v>
      </c>
      <c r="AG2820" s="1" t="s">
        <v>109</v>
      </c>
      <c r="AH2820" s="1" t="s">
        <v>109</v>
      </c>
      <c r="AI2820" s="1" t="s">
        <v>109</v>
      </c>
      <c r="AJ2820" s="1">
        <v>3</v>
      </c>
      <c r="AK2820" s="1">
        <v>3</v>
      </c>
      <c r="AL2820" s="1">
        <v>3</v>
      </c>
      <c r="AM2820" s="1" t="s">
        <v>109</v>
      </c>
      <c r="AN2820" s="1">
        <v>3</v>
      </c>
      <c r="AO2820" s="1" t="s">
        <v>109</v>
      </c>
      <c r="AP2820" s="1"/>
      <c r="AQ2820" s="1">
        <v>3</v>
      </c>
      <c r="AR2820" s="1"/>
      <c r="AS2820" s="1"/>
      <c r="AT2820" s="1">
        <v>0</v>
      </c>
      <c r="AU2820" s="1">
        <v>0</v>
      </c>
      <c r="AV2820" s="1">
        <v>0</v>
      </c>
      <c r="AW2820" s="1">
        <v>0</v>
      </c>
      <c r="AX2820" s="1">
        <v>0</v>
      </c>
      <c r="AY2820" s="1">
        <v>0</v>
      </c>
      <c r="AZ2820" s="1">
        <v>0</v>
      </c>
      <c r="BA2820" s="1">
        <v>0</v>
      </c>
      <c r="BB2820" s="1">
        <v>0</v>
      </c>
      <c r="BC2820" s="1">
        <v>0</v>
      </c>
      <c r="BD2820" s="1">
        <v>0</v>
      </c>
      <c r="BE2820" s="1">
        <v>0</v>
      </c>
      <c r="BF2820" s="1">
        <v>0</v>
      </c>
      <c r="BG2820" s="1">
        <v>0</v>
      </c>
      <c r="BH2820" s="1">
        <v>0</v>
      </c>
      <c r="BI2820" s="1">
        <v>0</v>
      </c>
      <c r="BJ2820" s="1">
        <v>0</v>
      </c>
      <c r="BK2820" s="1">
        <v>0</v>
      </c>
      <c r="BL2820" s="1">
        <v>0</v>
      </c>
      <c r="BM2820" s="1">
        <v>0</v>
      </c>
      <c r="BN2820" s="1">
        <v>0</v>
      </c>
      <c r="BO2820" s="1">
        <v>0</v>
      </c>
      <c r="BP2820" s="1">
        <v>0</v>
      </c>
      <c r="BQ2820" s="1">
        <v>0</v>
      </c>
      <c r="BR2820" s="1">
        <v>0</v>
      </c>
      <c r="BS2820" s="1" t="s">
        <v>109</v>
      </c>
      <c r="BT2820" s="1">
        <v>4913</v>
      </c>
      <c r="BU2820" s="1" t="s">
        <v>109</v>
      </c>
      <c r="BV2820" s="1"/>
      <c r="BW2820" s="1"/>
      <c r="BX2820" s="1"/>
      <c r="BY2820" s="1"/>
      <c r="BZ2820" s="1">
        <v>0</v>
      </c>
      <c r="CA2820" s="1">
        <v>2</v>
      </c>
      <c r="CB2820" s="1" t="s">
        <v>109</v>
      </c>
      <c r="CC2820" s="1" t="s">
        <v>109</v>
      </c>
      <c r="CD2820" s="1" t="s">
        <v>109</v>
      </c>
      <c r="CE2820" s="1" t="s">
        <v>109</v>
      </c>
      <c r="CF2820" s="1" t="s">
        <v>109</v>
      </c>
      <c r="CG2820" s="1" t="s">
        <v>109</v>
      </c>
      <c r="CH2820" s="1" t="s">
        <v>109</v>
      </c>
      <c r="CI2820" s="1" t="s">
        <v>109</v>
      </c>
      <c r="CJ2820" s="1">
        <v>3</v>
      </c>
      <c r="CK2820" s="1"/>
      <c r="CL2820" s="1">
        <v>0</v>
      </c>
      <c r="CM2820" s="1">
        <v>0</v>
      </c>
      <c r="CN2820" s="1">
        <v>0</v>
      </c>
    </row>
    <row r="2821" spans="1:92" ht="14.25" customHeight="1" x14ac:dyDescent="0.15">
      <c r="A2821" s="1" t="s">
        <v>19795</v>
      </c>
      <c r="B2821" s="1" t="s">
        <v>189</v>
      </c>
      <c r="C2821" s="1"/>
      <c r="D2821" s="1"/>
      <c r="E2821" s="1" t="s">
        <v>19796</v>
      </c>
      <c r="F2821" s="1" t="s">
        <v>98</v>
      </c>
      <c r="G2821" s="1" t="s">
        <v>2345</v>
      </c>
      <c r="H2821" s="1">
        <v>0</v>
      </c>
      <c r="I2821" s="1" t="s">
        <v>142</v>
      </c>
      <c r="J2821" s="1"/>
      <c r="K2821" s="1"/>
      <c r="L2821" s="1" t="s">
        <v>1391</v>
      </c>
      <c r="M2821" s="1" t="s">
        <v>144</v>
      </c>
      <c r="N2821" s="1">
        <v>0</v>
      </c>
      <c r="O2821" s="1">
        <v>0</v>
      </c>
      <c r="P2821" s="1" t="s">
        <v>267</v>
      </c>
      <c r="Q2821" s="1" t="s">
        <v>104</v>
      </c>
      <c r="R2821" s="1" t="s">
        <v>19797</v>
      </c>
      <c r="S2821" s="1" t="s">
        <v>19798</v>
      </c>
      <c r="T2821" s="1" t="s">
        <v>19448</v>
      </c>
      <c r="U2821" s="1" t="s">
        <v>19799</v>
      </c>
      <c r="V2821" s="1">
        <v>0</v>
      </c>
      <c r="W2821" s="1">
        <v>1</v>
      </c>
      <c r="X2821" s="1">
        <v>0</v>
      </c>
      <c r="Y2821" s="1">
        <v>0</v>
      </c>
      <c r="Z2821" s="1">
        <v>0</v>
      </c>
      <c r="AA2821" s="1">
        <v>4</v>
      </c>
      <c r="AB2821" s="1">
        <v>4</v>
      </c>
      <c r="AC2821" s="1">
        <v>4</v>
      </c>
      <c r="AD2821" s="1">
        <v>4</v>
      </c>
      <c r="AE2821" s="1" t="s">
        <v>109</v>
      </c>
      <c r="AF2821" s="1" t="s">
        <v>109</v>
      </c>
      <c r="AG2821" s="1" t="s">
        <v>109</v>
      </c>
      <c r="AH2821" s="1">
        <v>4</v>
      </c>
      <c r="AI2821" s="1" t="s">
        <v>109</v>
      </c>
      <c r="AJ2821" s="1">
        <v>4</v>
      </c>
      <c r="AK2821" s="1" t="s">
        <v>109</v>
      </c>
      <c r="AL2821" s="1">
        <v>4</v>
      </c>
      <c r="AM2821" s="1" t="s">
        <v>109</v>
      </c>
      <c r="AN2821" s="1" t="s">
        <v>109</v>
      </c>
      <c r="AO2821" s="1" t="s">
        <v>109</v>
      </c>
      <c r="AP2821" s="1"/>
      <c r="AQ2821" s="1">
        <v>4</v>
      </c>
      <c r="AR2821" s="1"/>
      <c r="AS2821" s="1"/>
      <c r="AT2821" s="1">
        <v>0</v>
      </c>
      <c r="AU2821" s="1">
        <v>0</v>
      </c>
      <c r="AV2821" s="1">
        <v>0</v>
      </c>
      <c r="AW2821" s="1">
        <v>0</v>
      </c>
      <c r="AX2821" s="1">
        <v>0</v>
      </c>
      <c r="AY2821" s="1">
        <v>0</v>
      </c>
      <c r="AZ2821" s="1">
        <v>0</v>
      </c>
      <c r="BA2821" s="1">
        <v>0</v>
      </c>
      <c r="BB2821" s="1">
        <v>0</v>
      </c>
      <c r="BC2821" s="1">
        <v>0</v>
      </c>
      <c r="BD2821" s="1">
        <v>0</v>
      </c>
      <c r="BE2821" s="1">
        <v>0</v>
      </c>
      <c r="BF2821" s="1">
        <v>0</v>
      </c>
      <c r="BG2821" s="1">
        <v>0</v>
      </c>
      <c r="BH2821" s="1">
        <v>0</v>
      </c>
      <c r="BI2821" s="1">
        <v>0</v>
      </c>
      <c r="BJ2821" s="1">
        <v>0</v>
      </c>
      <c r="BK2821" s="1">
        <v>0</v>
      </c>
      <c r="BL2821" s="1">
        <v>0</v>
      </c>
      <c r="BM2821" s="1">
        <v>0</v>
      </c>
      <c r="BN2821" s="1">
        <v>0</v>
      </c>
      <c r="BO2821" s="1">
        <v>0</v>
      </c>
      <c r="BP2821" s="1">
        <v>0</v>
      </c>
      <c r="BQ2821" s="1">
        <v>0</v>
      </c>
      <c r="BR2821" s="1">
        <v>0</v>
      </c>
      <c r="BS2821" s="1" t="s">
        <v>109</v>
      </c>
      <c r="BT2821" s="1">
        <v>4914</v>
      </c>
      <c r="BU2821" s="1" t="s">
        <v>109</v>
      </c>
      <c r="BV2821" s="1"/>
      <c r="BW2821" s="1"/>
      <c r="BX2821" s="1"/>
      <c r="BY2821" s="1"/>
      <c r="BZ2821" s="1">
        <v>0</v>
      </c>
      <c r="CA2821" s="1" t="s">
        <v>109</v>
      </c>
      <c r="CB2821" s="1" t="s">
        <v>109</v>
      </c>
      <c r="CC2821" s="1" t="s">
        <v>109</v>
      </c>
      <c r="CD2821" s="1" t="s">
        <v>109</v>
      </c>
      <c r="CE2821" s="1" t="s">
        <v>109</v>
      </c>
      <c r="CF2821" s="1" t="s">
        <v>109</v>
      </c>
      <c r="CG2821" s="1" t="s">
        <v>109</v>
      </c>
      <c r="CH2821" s="1" t="s">
        <v>109</v>
      </c>
      <c r="CI2821" s="1" t="s">
        <v>109</v>
      </c>
      <c r="CJ2821" s="1">
        <v>4</v>
      </c>
      <c r="CK2821" s="1"/>
      <c r="CL2821" s="1">
        <v>0</v>
      </c>
      <c r="CM2821" s="1">
        <v>0</v>
      </c>
      <c r="CN2821" s="1">
        <v>0</v>
      </c>
    </row>
    <row r="2822" spans="1:92" ht="14.25" customHeight="1" x14ac:dyDescent="0.15">
      <c r="A2822" s="1" t="s">
        <v>19800</v>
      </c>
      <c r="B2822" s="1" t="s">
        <v>189</v>
      </c>
      <c r="C2822" s="1"/>
      <c r="D2822" s="1" t="s">
        <v>16074</v>
      </c>
      <c r="E2822" s="1" t="s">
        <v>19801</v>
      </c>
      <c r="F2822" s="1" t="s">
        <v>98</v>
      </c>
      <c r="G2822" s="1" t="s">
        <v>7085</v>
      </c>
      <c r="H2822" s="1">
        <v>0</v>
      </c>
      <c r="I2822" s="1" t="s">
        <v>161</v>
      </c>
      <c r="J2822" s="1"/>
      <c r="K2822" s="1"/>
      <c r="L2822" s="1" t="s">
        <v>19802</v>
      </c>
      <c r="M2822" s="1" t="s">
        <v>19803</v>
      </c>
      <c r="N2822" s="1">
        <v>0</v>
      </c>
      <c r="O2822" s="1">
        <v>0</v>
      </c>
      <c r="P2822" s="1" t="s">
        <v>301</v>
      </c>
      <c r="Q2822" s="1" t="s">
        <v>268</v>
      </c>
      <c r="R2822" s="1" t="s">
        <v>19804</v>
      </c>
      <c r="S2822" s="1" t="s">
        <v>19805</v>
      </c>
      <c r="T2822" s="1" t="s">
        <v>19448</v>
      </c>
      <c r="U2822" s="1" t="s">
        <v>19806</v>
      </c>
      <c r="V2822" s="1">
        <v>1</v>
      </c>
      <c r="W2822" s="1">
        <v>1</v>
      </c>
      <c r="X2822" s="1">
        <v>1</v>
      </c>
      <c r="Y2822" s="1">
        <v>0</v>
      </c>
      <c r="Z2822" s="1">
        <v>0</v>
      </c>
      <c r="AA2822" s="1">
        <v>2</v>
      </c>
      <c r="AB2822" s="1">
        <v>2</v>
      </c>
      <c r="AC2822" s="1" t="s">
        <v>109</v>
      </c>
      <c r="AD2822" s="1" t="s">
        <v>109</v>
      </c>
      <c r="AE2822" s="1" t="s">
        <v>109</v>
      </c>
      <c r="AF2822" s="1" t="s">
        <v>109</v>
      </c>
      <c r="AG2822" s="1" t="s">
        <v>109</v>
      </c>
      <c r="AH2822" s="1" t="s">
        <v>109</v>
      </c>
      <c r="AI2822" s="1" t="s">
        <v>109</v>
      </c>
      <c r="AJ2822" s="1">
        <v>2</v>
      </c>
      <c r="AK2822" s="1">
        <v>2</v>
      </c>
      <c r="AL2822" s="1" t="s">
        <v>109</v>
      </c>
      <c r="AM2822" s="1" t="s">
        <v>109</v>
      </c>
      <c r="AN2822" s="1" t="s">
        <v>109</v>
      </c>
      <c r="AO2822" s="1" t="s">
        <v>109</v>
      </c>
      <c r="AP2822" s="1"/>
      <c r="AQ2822" s="1">
        <v>2</v>
      </c>
      <c r="AR2822" s="1"/>
      <c r="AS2822" s="1"/>
      <c r="AT2822" s="1">
        <v>0</v>
      </c>
      <c r="AU2822" s="1">
        <v>0</v>
      </c>
      <c r="AV2822" s="1">
        <v>0</v>
      </c>
      <c r="AW2822" s="1">
        <v>0</v>
      </c>
      <c r="AX2822" s="1">
        <v>1</v>
      </c>
      <c r="AY2822" s="1">
        <v>0</v>
      </c>
      <c r="AZ2822" s="1">
        <v>0</v>
      </c>
      <c r="BA2822" s="1">
        <v>0</v>
      </c>
      <c r="BB2822" s="1">
        <v>0</v>
      </c>
      <c r="BC2822" s="1">
        <v>0</v>
      </c>
      <c r="BD2822" s="1">
        <v>0</v>
      </c>
      <c r="BE2822" s="1">
        <v>0</v>
      </c>
      <c r="BF2822" s="1">
        <v>0</v>
      </c>
      <c r="BG2822" s="1">
        <v>0</v>
      </c>
      <c r="BH2822" s="1">
        <v>0</v>
      </c>
      <c r="BI2822" s="1">
        <v>0</v>
      </c>
      <c r="BJ2822" s="1">
        <v>0</v>
      </c>
      <c r="BK2822" s="1">
        <v>0</v>
      </c>
      <c r="BL2822" s="1">
        <v>0</v>
      </c>
      <c r="BM2822" s="1">
        <v>0</v>
      </c>
      <c r="BN2822" s="1">
        <v>0</v>
      </c>
      <c r="BO2822" s="1">
        <v>0</v>
      </c>
      <c r="BP2822" s="1">
        <v>0</v>
      </c>
      <c r="BQ2822" s="1">
        <v>0</v>
      </c>
      <c r="BR2822" s="1">
        <v>0</v>
      </c>
      <c r="BS2822" s="1" t="s">
        <v>109</v>
      </c>
      <c r="BT2822" s="1">
        <v>4915</v>
      </c>
      <c r="BU2822" s="1" t="s">
        <v>109</v>
      </c>
      <c r="BV2822" s="1"/>
      <c r="BW2822" s="1"/>
      <c r="BX2822" s="1"/>
      <c r="BY2822" s="1"/>
      <c r="BZ2822" s="1">
        <v>0</v>
      </c>
      <c r="CA2822" s="1">
        <v>2</v>
      </c>
      <c r="CB2822" s="1" t="s">
        <v>109</v>
      </c>
      <c r="CC2822" s="1" t="s">
        <v>109</v>
      </c>
      <c r="CD2822" s="1" t="s">
        <v>109</v>
      </c>
      <c r="CE2822" s="1" t="s">
        <v>109</v>
      </c>
      <c r="CF2822" s="1" t="s">
        <v>109</v>
      </c>
      <c r="CG2822" s="1" t="s">
        <v>109</v>
      </c>
      <c r="CH2822" s="1" t="s">
        <v>109</v>
      </c>
      <c r="CI2822" s="1" t="s">
        <v>109</v>
      </c>
      <c r="CJ2822" s="1" t="s">
        <v>109</v>
      </c>
      <c r="CK2822" s="1"/>
      <c r="CL2822" s="1">
        <v>0</v>
      </c>
      <c r="CM2822" s="1">
        <v>0</v>
      </c>
      <c r="CN2822" s="1">
        <v>0</v>
      </c>
    </row>
    <row r="2823" spans="1:92" ht="14.25" customHeight="1" x14ac:dyDescent="0.15">
      <c r="A2823" s="1" t="s">
        <v>19807</v>
      </c>
      <c r="B2823" s="1" t="s">
        <v>674</v>
      </c>
      <c r="C2823" s="1" t="s">
        <v>1715</v>
      </c>
      <c r="D2823" s="1" t="s">
        <v>158</v>
      </c>
      <c r="E2823" s="1" t="s">
        <v>19808</v>
      </c>
      <c r="F2823" s="1" t="s">
        <v>98</v>
      </c>
      <c r="G2823" s="1" t="s">
        <v>19809</v>
      </c>
      <c r="H2823" s="1">
        <v>0</v>
      </c>
      <c r="I2823" s="1" t="s">
        <v>122</v>
      </c>
      <c r="J2823" s="1"/>
      <c r="K2823" s="1"/>
      <c r="L2823" s="1" t="s">
        <v>563</v>
      </c>
      <c r="M2823" s="1" t="s">
        <v>289</v>
      </c>
      <c r="N2823" s="1">
        <v>0</v>
      </c>
      <c r="O2823" s="1">
        <v>0</v>
      </c>
      <c r="P2823" s="1" t="s">
        <v>301</v>
      </c>
      <c r="Q2823" s="1" t="s">
        <v>268</v>
      </c>
      <c r="R2823" s="1" t="s">
        <v>19810</v>
      </c>
      <c r="S2823" s="1" t="s">
        <v>19811</v>
      </c>
      <c r="T2823" s="1" t="s">
        <v>19448</v>
      </c>
      <c r="U2823" s="1" t="s">
        <v>19812</v>
      </c>
      <c r="V2823" s="1">
        <v>1</v>
      </c>
      <c r="W2823" s="1">
        <v>1</v>
      </c>
      <c r="X2823" s="1">
        <v>0</v>
      </c>
      <c r="Y2823" s="1">
        <v>0</v>
      </c>
      <c r="Z2823" s="1">
        <v>0</v>
      </c>
      <c r="AA2823" s="1">
        <v>1</v>
      </c>
      <c r="AB2823" s="1">
        <v>1</v>
      </c>
      <c r="AC2823" s="1">
        <v>1</v>
      </c>
      <c r="AD2823" s="1" t="s">
        <v>109</v>
      </c>
      <c r="AE2823" s="1" t="s">
        <v>109</v>
      </c>
      <c r="AF2823" s="1">
        <v>1</v>
      </c>
      <c r="AG2823" s="1" t="s">
        <v>109</v>
      </c>
      <c r="AH2823" s="1" t="s">
        <v>109</v>
      </c>
      <c r="AI2823" s="1" t="s">
        <v>109</v>
      </c>
      <c r="AJ2823" s="1" t="s">
        <v>109</v>
      </c>
      <c r="AK2823" s="1" t="s">
        <v>109</v>
      </c>
      <c r="AL2823" s="1">
        <v>1</v>
      </c>
      <c r="AM2823" s="1" t="s">
        <v>109</v>
      </c>
      <c r="AN2823" s="1" t="s">
        <v>109</v>
      </c>
      <c r="AO2823" s="1" t="s">
        <v>109</v>
      </c>
      <c r="AP2823" s="1"/>
      <c r="AQ2823" s="1">
        <v>1</v>
      </c>
      <c r="AR2823" s="1"/>
      <c r="AS2823" s="1"/>
      <c r="AT2823" s="1">
        <v>0</v>
      </c>
      <c r="AU2823" s="1">
        <v>0</v>
      </c>
      <c r="AV2823" s="1">
        <v>0</v>
      </c>
      <c r="AW2823" s="1">
        <v>0</v>
      </c>
      <c r="AX2823" s="1">
        <v>0</v>
      </c>
      <c r="AY2823" s="1">
        <v>0</v>
      </c>
      <c r="AZ2823" s="1">
        <v>0</v>
      </c>
      <c r="BA2823" s="1">
        <v>0</v>
      </c>
      <c r="BB2823" s="1">
        <v>0</v>
      </c>
      <c r="BC2823" s="1">
        <v>0</v>
      </c>
      <c r="BD2823" s="1">
        <v>0</v>
      </c>
      <c r="BE2823" s="1">
        <v>0</v>
      </c>
      <c r="BF2823" s="1">
        <v>0</v>
      </c>
      <c r="BG2823" s="1">
        <v>0</v>
      </c>
      <c r="BH2823" s="1">
        <v>0</v>
      </c>
      <c r="BI2823" s="1">
        <v>0</v>
      </c>
      <c r="BJ2823" s="1">
        <v>0</v>
      </c>
      <c r="BK2823" s="1">
        <v>0</v>
      </c>
      <c r="BL2823" s="1">
        <v>0</v>
      </c>
      <c r="BM2823" s="1">
        <v>1</v>
      </c>
      <c r="BN2823" s="1">
        <v>0</v>
      </c>
      <c r="BO2823" s="1">
        <v>0</v>
      </c>
      <c r="BP2823" s="1">
        <v>0</v>
      </c>
      <c r="BQ2823" s="1">
        <v>0</v>
      </c>
      <c r="BR2823" s="1">
        <v>0</v>
      </c>
      <c r="BS2823" s="1" t="s">
        <v>109</v>
      </c>
      <c r="BT2823" s="1">
        <v>4916</v>
      </c>
      <c r="BU2823" s="1" t="s">
        <v>109</v>
      </c>
      <c r="BV2823" s="1"/>
      <c r="BW2823" s="1"/>
      <c r="BX2823" s="1"/>
      <c r="BY2823" s="1"/>
      <c r="BZ2823" s="1">
        <v>0</v>
      </c>
      <c r="CA2823" s="1" t="s">
        <v>109</v>
      </c>
      <c r="CB2823" s="1" t="s">
        <v>109</v>
      </c>
      <c r="CC2823" s="1">
        <v>1</v>
      </c>
      <c r="CD2823" s="1" t="s">
        <v>109</v>
      </c>
      <c r="CE2823" s="1">
        <v>1</v>
      </c>
      <c r="CF2823" s="1">
        <v>1</v>
      </c>
      <c r="CG2823" s="1" t="s">
        <v>109</v>
      </c>
      <c r="CH2823" s="1" t="s">
        <v>109</v>
      </c>
      <c r="CI2823" s="1" t="s">
        <v>109</v>
      </c>
      <c r="CJ2823" s="1" t="s">
        <v>109</v>
      </c>
      <c r="CK2823" s="1"/>
      <c r="CL2823" s="1">
        <v>0</v>
      </c>
      <c r="CM2823" s="1">
        <v>0</v>
      </c>
      <c r="CN2823" s="1">
        <v>0</v>
      </c>
    </row>
    <row r="2824" spans="1:92" ht="14.25" customHeight="1" x14ac:dyDescent="0.15">
      <c r="A2824" s="1" t="s">
        <v>19813</v>
      </c>
      <c r="B2824" s="1" t="s">
        <v>254</v>
      </c>
      <c r="C2824" s="1"/>
      <c r="D2824" s="1"/>
      <c r="E2824" s="1" t="s">
        <v>19814</v>
      </c>
      <c r="F2824" s="1" t="s">
        <v>377</v>
      </c>
      <c r="G2824" s="1" t="s">
        <v>19815</v>
      </c>
      <c r="H2824" s="1">
        <v>1</v>
      </c>
      <c r="I2824" s="1" t="s">
        <v>235</v>
      </c>
      <c r="J2824" s="1"/>
      <c r="K2824" s="1"/>
      <c r="L2824" s="1" t="s">
        <v>236</v>
      </c>
      <c r="M2824" s="1" t="s">
        <v>19816</v>
      </c>
      <c r="N2824" s="1">
        <v>0</v>
      </c>
      <c r="O2824" s="1">
        <v>0</v>
      </c>
      <c r="P2824" s="1" t="s">
        <v>507</v>
      </c>
      <c r="Q2824" s="1" t="s">
        <v>12919</v>
      </c>
      <c r="R2824" s="1" t="s">
        <v>19817</v>
      </c>
      <c r="S2824" s="1" t="s">
        <v>19818</v>
      </c>
      <c r="T2824" s="1" t="s">
        <v>19448</v>
      </c>
      <c r="U2824" s="1" t="s">
        <v>19819</v>
      </c>
      <c r="V2824" s="1">
        <v>1</v>
      </c>
      <c r="W2824" s="1">
        <v>1</v>
      </c>
      <c r="X2824" s="1">
        <v>1</v>
      </c>
      <c r="Y2824" s="1">
        <v>0</v>
      </c>
      <c r="Z2824" s="1">
        <v>0</v>
      </c>
      <c r="AA2824" s="1">
        <v>6</v>
      </c>
      <c r="AB2824" s="1">
        <v>6</v>
      </c>
      <c r="AC2824" s="1">
        <v>6</v>
      </c>
      <c r="AD2824" s="1" t="s">
        <v>109</v>
      </c>
      <c r="AE2824" s="1" t="s">
        <v>109</v>
      </c>
      <c r="AF2824" s="1">
        <v>6</v>
      </c>
      <c r="AG2824" s="1" t="s">
        <v>109</v>
      </c>
      <c r="AH2824" s="1" t="s">
        <v>109</v>
      </c>
      <c r="AI2824" s="1" t="s">
        <v>109</v>
      </c>
      <c r="AJ2824" s="1">
        <v>6</v>
      </c>
      <c r="AK2824" s="1">
        <v>6</v>
      </c>
      <c r="AL2824" s="1">
        <v>6</v>
      </c>
      <c r="AM2824" s="1" t="s">
        <v>109</v>
      </c>
      <c r="AN2824" s="1" t="s">
        <v>109</v>
      </c>
      <c r="AO2824" s="1" t="s">
        <v>109</v>
      </c>
      <c r="AP2824" s="1"/>
      <c r="AQ2824" s="1">
        <v>6</v>
      </c>
      <c r="AR2824" s="1"/>
      <c r="AS2824" s="1"/>
      <c r="AT2824" s="1">
        <v>0</v>
      </c>
      <c r="AU2824" s="1">
        <v>0</v>
      </c>
      <c r="AV2824" s="1">
        <v>0</v>
      </c>
      <c r="AW2824" s="1">
        <v>0</v>
      </c>
      <c r="AX2824" s="1">
        <v>0</v>
      </c>
      <c r="AY2824" s="1">
        <v>0</v>
      </c>
      <c r="AZ2824" s="1">
        <v>0</v>
      </c>
      <c r="BA2824" s="1">
        <v>0</v>
      </c>
      <c r="BB2824" s="1">
        <v>0</v>
      </c>
      <c r="BC2824" s="1">
        <v>0</v>
      </c>
      <c r="BD2824" s="1">
        <v>0</v>
      </c>
      <c r="BE2824" s="1">
        <v>0</v>
      </c>
      <c r="BF2824" s="1">
        <v>0</v>
      </c>
      <c r="BG2824" s="1">
        <v>0</v>
      </c>
      <c r="BH2824" s="1">
        <v>0</v>
      </c>
      <c r="BI2824" s="1">
        <v>0</v>
      </c>
      <c r="BJ2824" s="1">
        <v>0</v>
      </c>
      <c r="BK2824" s="1">
        <v>0</v>
      </c>
      <c r="BL2824" s="1">
        <v>0</v>
      </c>
      <c r="BM2824" s="1">
        <v>0</v>
      </c>
      <c r="BN2824" s="1">
        <v>0</v>
      </c>
      <c r="BO2824" s="1">
        <v>0</v>
      </c>
      <c r="BP2824" s="1">
        <v>0</v>
      </c>
      <c r="BQ2824" s="1">
        <v>0</v>
      </c>
      <c r="BR2824" s="1">
        <v>0</v>
      </c>
      <c r="BS2824" s="1" t="s">
        <v>109</v>
      </c>
      <c r="BT2824" s="1">
        <v>4917</v>
      </c>
      <c r="BU2824" s="1">
        <v>1500</v>
      </c>
      <c r="BV2824" s="1"/>
      <c r="BW2824" s="1"/>
      <c r="BX2824" s="1"/>
      <c r="BY2824" s="1"/>
      <c r="BZ2824" s="1">
        <v>0</v>
      </c>
      <c r="CA2824" s="1" t="s">
        <v>109</v>
      </c>
      <c r="CB2824" s="1" t="s">
        <v>109</v>
      </c>
      <c r="CC2824" s="1">
        <v>6</v>
      </c>
      <c r="CD2824" s="1" t="s">
        <v>109</v>
      </c>
      <c r="CE2824" s="1" t="s">
        <v>109</v>
      </c>
      <c r="CF2824" s="1" t="s">
        <v>109</v>
      </c>
      <c r="CG2824" s="1" t="s">
        <v>109</v>
      </c>
      <c r="CH2824" s="1" t="s">
        <v>109</v>
      </c>
      <c r="CI2824" s="1" t="s">
        <v>109</v>
      </c>
      <c r="CJ2824" s="1" t="s">
        <v>109</v>
      </c>
      <c r="CK2824" s="1"/>
      <c r="CL2824" s="1">
        <v>0</v>
      </c>
      <c r="CM2824" s="1">
        <v>0</v>
      </c>
      <c r="CN2824" s="1">
        <v>0</v>
      </c>
    </row>
    <row r="2825" spans="1:92" ht="14.25" customHeight="1" x14ac:dyDescent="0.15">
      <c r="A2825" s="1" t="s">
        <v>19820</v>
      </c>
      <c r="B2825" s="1" t="s">
        <v>189</v>
      </c>
      <c r="C2825" s="1"/>
      <c r="D2825" s="1" t="s">
        <v>54</v>
      </c>
      <c r="E2825" s="1" t="s">
        <v>11757</v>
      </c>
      <c r="F2825" s="1" t="s">
        <v>355</v>
      </c>
      <c r="G2825" s="1" t="s">
        <v>160</v>
      </c>
      <c r="H2825" s="1">
        <v>0</v>
      </c>
      <c r="I2825" s="1" t="s">
        <v>142</v>
      </c>
      <c r="J2825" s="1"/>
      <c r="K2825" s="1" t="s">
        <v>19821</v>
      </c>
      <c r="L2825" s="1"/>
      <c r="M2825" s="1" t="s">
        <v>125</v>
      </c>
      <c r="N2825" s="1">
        <v>0</v>
      </c>
      <c r="O2825" s="1">
        <v>0</v>
      </c>
      <c r="P2825" s="1" t="s">
        <v>2092</v>
      </c>
      <c r="Q2825" s="1" t="s">
        <v>268</v>
      </c>
      <c r="R2825" s="1" t="s">
        <v>19822</v>
      </c>
      <c r="S2825" s="1" t="s">
        <v>19823</v>
      </c>
      <c r="T2825" s="1" t="s">
        <v>19448</v>
      </c>
      <c r="U2825" s="1" t="s">
        <v>19824</v>
      </c>
      <c r="V2825" s="1">
        <v>1</v>
      </c>
      <c r="W2825" s="1">
        <v>1</v>
      </c>
      <c r="X2825" s="1">
        <v>0</v>
      </c>
      <c r="Y2825" s="1">
        <v>0</v>
      </c>
      <c r="Z2825" s="1">
        <v>1</v>
      </c>
      <c r="AA2825" s="1">
        <v>5</v>
      </c>
      <c r="AB2825" s="1">
        <v>5</v>
      </c>
      <c r="AC2825" s="1">
        <v>5</v>
      </c>
      <c r="AD2825" s="1">
        <v>5</v>
      </c>
      <c r="AE2825" s="1" t="s">
        <v>109</v>
      </c>
      <c r="AF2825" s="1" t="s">
        <v>109</v>
      </c>
      <c r="AG2825" s="1" t="s">
        <v>109</v>
      </c>
      <c r="AH2825" s="1" t="s">
        <v>109</v>
      </c>
      <c r="AI2825" s="1" t="s">
        <v>109</v>
      </c>
      <c r="AJ2825" s="1">
        <v>5</v>
      </c>
      <c r="AK2825" s="1" t="s">
        <v>109</v>
      </c>
      <c r="AL2825" s="1">
        <v>5</v>
      </c>
      <c r="AM2825" s="1" t="s">
        <v>109</v>
      </c>
      <c r="AN2825" s="1" t="s">
        <v>109</v>
      </c>
      <c r="AO2825" s="1" t="s">
        <v>109</v>
      </c>
      <c r="AP2825" s="1"/>
      <c r="AQ2825" s="1">
        <v>5</v>
      </c>
      <c r="AR2825" s="1"/>
      <c r="AS2825" s="1"/>
      <c r="AT2825" s="1">
        <v>0</v>
      </c>
      <c r="AU2825" s="1">
        <v>0</v>
      </c>
      <c r="AV2825" s="1">
        <v>0</v>
      </c>
      <c r="AW2825" s="1">
        <v>0</v>
      </c>
      <c r="AX2825" s="1">
        <v>0</v>
      </c>
      <c r="AY2825" s="1">
        <v>0</v>
      </c>
      <c r="AZ2825" s="1">
        <v>0</v>
      </c>
      <c r="BA2825" s="1">
        <v>0</v>
      </c>
      <c r="BB2825" s="1">
        <v>1</v>
      </c>
      <c r="BC2825" s="1">
        <v>0</v>
      </c>
      <c r="BD2825" s="1">
        <v>0</v>
      </c>
      <c r="BE2825" s="1">
        <v>0</v>
      </c>
      <c r="BF2825" s="1">
        <v>0</v>
      </c>
      <c r="BG2825" s="1">
        <v>0</v>
      </c>
      <c r="BH2825" s="1">
        <v>0</v>
      </c>
      <c r="BI2825" s="1">
        <v>0</v>
      </c>
      <c r="BJ2825" s="1">
        <v>0</v>
      </c>
      <c r="BK2825" s="1">
        <v>0</v>
      </c>
      <c r="BL2825" s="1">
        <v>0</v>
      </c>
      <c r="BM2825" s="1">
        <v>0</v>
      </c>
      <c r="BN2825" s="1">
        <v>0</v>
      </c>
      <c r="BO2825" s="1">
        <v>0</v>
      </c>
      <c r="BP2825" s="1">
        <v>0</v>
      </c>
      <c r="BQ2825" s="1">
        <v>0</v>
      </c>
      <c r="BR2825" s="1">
        <v>0</v>
      </c>
      <c r="BS2825" s="1" t="s">
        <v>109</v>
      </c>
      <c r="BT2825" s="1">
        <v>4918</v>
      </c>
      <c r="BU2825" s="1" t="s">
        <v>109</v>
      </c>
      <c r="BV2825" s="1"/>
      <c r="BW2825" s="1"/>
      <c r="BX2825" s="1"/>
      <c r="BY2825" s="1"/>
      <c r="BZ2825" s="1">
        <v>0</v>
      </c>
      <c r="CA2825" s="1" t="s">
        <v>109</v>
      </c>
      <c r="CB2825" s="1" t="s">
        <v>109</v>
      </c>
      <c r="CC2825" s="1" t="s">
        <v>109</v>
      </c>
      <c r="CD2825" s="1" t="s">
        <v>109</v>
      </c>
      <c r="CE2825" s="1" t="s">
        <v>109</v>
      </c>
      <c r="CF2825" s="1" t="s">
        <v>109</v>
      </c>
      <c r="CG2825" s="1" t="s">
        <v>109</v>
      </c>
      <c r="CH2825" s="1" t="s">
        <v>109</v>
      </c>
      <c r="CI2825" s="1" t="s">
        <v>109</v>
      </c>
      <c r="CJ2825" s="1">
        <v>5</v>
      </c>
      <c r="CK2825" s="1"/>
      <c r="CL2825" s="1">
        <v>0</v>
      </c>
      <c r="CM2825" s="1">
        <v>0</v>
      </c>
      <c r="CN2825" s="1">
        <v>0</v>
      </c>
    </row>
    <row r="2826" spans="1:92" ht="14.25" customHeight="1" x14ac:dyDescent="0.15">
      <c r="A2826" s="1" t="s">
        <v>19825</v>
      </c>
      <c r="B2826" s="1" t="s">
        <v>95</v>
      </c>
      <c r="C2826" s="1" t="s">
        <v>96</v>
      </c>
      <c r="D2826" s="1"/>
      <c r="E2826" s="1" t="s">
        <v>19826</v>
      </c>
      <c r="F2826" s="1" t="s">
        <v>98</v>
      </c>
      <c r="G2826" s="1" t="s">
        <v>141</v>
      </c>
      <c r="H2826" s="1">
        <v>0</v>
      </c>
      <c r="I2826" s="1" t="s">
        <v>161</v>
      </c>
      <c r="J2826" s="1"/>
      <c r="K2826" s="1" t="s">
        <v>19827</v>
      </c>
      <c r="L2826" s="1"/>
      <c r="M2826" s="1" t="s">
        <v>144</v>
      </c>
      <c r="N2826" s="1">
        <v>0</v>
      </c>
      <c r="O2826" s="1">
        <v>0</v>
      </c>
      <c r="P2826" s="1" t="s">
        <v>103</v>
      </c>
      <c r="Q2826" s="1" t="s">
        <v>104</v>
      </c>
      <c r="R2826" s="1" t="s">
        <v>19828</v>
      </c>
      <c r="S2826" s="1" t="s">
        <v>19829</v>
      </c>
      <c r="T2826" s="1" t="s">
        <v>19448</v>
      </c>
      <c r="U2826" s="1" t="s">
        <v>19830</v>
      </c>
      <c r="V2826" s="1">
        <v>1</v>
      </c>
      <c r="W2826" s="1">
        <v>1</v>
      </c>
      <c r="X2826" s="1">
        <v>0</v>
      </c>
      <c r="Y2826" s="1">
        <v>0</v>
      </c>
      <c r="Z2826" s="1">
        <v>0</v>
      </c>
      <c r="AA2826" s="1">
        <v>1</v>
      </c>
      <c r="AB2826" s="1">
        <v>1</v>
      </c>
      <c r="AC2826" s="1">
        <v>1</v>
      </c>
      <c r="AD2826" s="1" t="s">
        <v>109</v>
      </c>
      <c r="AE2826" s="1" t="s">
        <v>109</v>
      </c>
      <c r="AF2826" s="1">
        <v>1</v>
      </c>
      <c r="AG2826" s="1" t="s">
        <v>109</v>
      </c>
      <c r="AH2826" s="1" t="s">
        <v>109</v>
      </c>
      <c r="AI2826" s="1">
        <v>1</v>
      </c>
      <c r="AJ2826" s="1">
        <v>1</v>
      </c>
      <c r="AK2826" s="1">
        <v>1</v>
      </c>
      <c r="AL2826" s="1">
        <v>1</v>
      </c>
      <c r="AM2826" s="1" t="s">
        <v>109</v>
      </c>
      <c r="AN2826" s="1" t="s">
        <v>109</v>
      </c>
      <c r="AO2826" s="1" t="s">
        <v>109</v>
      </c>
      <c r="AP2826" s="1"/>
      <c r="AQ2826" s="1">
        <v>1</v>
      </c>
      <c r="AR2826" s="1"/>
      <c r="AS2826" s="1"/>
      <c r="AT2826" s="1">
        <v>0</v>
      </c>
      <c r="AU2826" s="1">
        <v>0</v>
      </c>
      <c r="AV2826" s="1">
        <v>0</v>
      </c>
      <c r="AW2826" s="1">
        <v>0</v>
      </c>
      <c r="AX2826" s="1">
        <v>0</v>
      </c>
      <c r="AY2826" s="1">
        <v>0</v>
      </c>
      <c r="AZ2826" s="1">
        <v>0</v>
      </c>
      <c r="BA2826" s="1">
        <v>0</v>
      </c>
      <c r="BB2826" s="1">
        <v>0</v>
      </c>
      <c r="BC2826" s="1">
        <v>0</v>
      </c>
      <c r="BD2826" s="1">
        <v>0</v>
      </c>
      <c r="BE2826" s="1">
        <v>0</v>
      </c>
      <c r="BF2826" s="1">
        <v>0</v>
      </c>
      <c r="BG2826" s="1">
        <v>0</v>
      </c>
      <c r="BH2826" s="1">
        <v>0</v>
      </c>
      <c r="BI2826" s="1">
        <v>0</v>
      </c>
      <c r="BJ2826" s="1">
        <v>0</v>
      </c>
      <c r="BK2826" s="1">
        <v>0</v>
      </c>
      <c r="BL2826" s="1">
        <v>0</v>
      </c>
      <c r="BM2826" s="1">
        <v>0</v>
      </c>
      <c r="BN2826" s="1">
        <v>0</v>
      </c>
      <c r="BO2826" s="1">
        <v>0</v>
      </c>
      <c r="BP2826" s="1">
        <v>0</v>
      </c>
      <c r="BQ2826" s="1">
        <v>0</v>
      </c>
      <c r="BR2826" s="1">
        <v>0</v>
      </c>
      <c r="BS2826" s="1" t="s">
        <v>109</v>
      </c>
      <c r="BT2826" s="1">
        <v>4919</v>
      </c>
      <c r="BU2826" s="1" t="s">
        <v>109</v>
      </c>
      <c r="BV2826" s="1"/>
      <c r="BW2826" s="1"/>
      <c r="BX2826" s="1"/>
      <c r="BY2826" s="1"/>
      <c r="BZ2826" s="1">
        <v>0</v>
      </c>
      <c r="CA2826" s="1" t="s">
        <v>109</v>
      </c>
      <c r="CB2826" s="1" t="s">
        <v>109</v>
      </c>
      <c r="CC2826" s="1">
        <v>1</v>
      </c>
      <c r="CD2826" s="1" t="s">
        <v>109</v>
      </c>
      <c r="CE2826" s="1">
        <v>1</v>
      </c>
      <c r="CF2826" s="1">
        <v>1</v>
      </c>
      <c r="CG2826" s="1" t="s">
        <v>109</v>
      </c>
      <c r="CH2826" s="1" t="s">
        <v>109</v>
      </c>
      <c r="CI2826" s="1" t="s">
        <v>109</v>
      </c>
      <c r="CJ2826" s="1" t="s">
        <v>109</v>
      </c>
      <c r="CK2826" s="1"/>
      <c r="CL2826" s="1">
        <v>0</v>
      </c>
      <c r="CM2826" s="1">
        <v>0</v>
      </c>
      <c r="CN2826" s="1">
        <v>0</v>
      </c>
    </row>
    <row r="2827" spans="1:92" ht="14.25" customHeight="1" x14ac:dyDescent="0.15">
      <c r="A2827" s="1" t="s">
        <v>19831</v>
      </c>
      <c r="B2827" s="1" t="s">
        <v>242</v>
      </c>
      <c r="C2827" s="1"/>
      <c r="D2827" s="1" t="s">
        <v>61</v>
      </c>
      <c r="E2827" s="1" t="s">
        <v>19832</v>
      </c>
      <c r="F2827" s="1" t="s">
        <v>98</v>
      </c>
      <c r="G2827" s="1" t="s">
        <v>141</v>
      </c>
      <c r="H2827" s="1">
        <v>0</v>
      </c>
      <c r="I2827" s="1" t="s">
        <v>122</v>
      </c>
      <c r="J2827" s="1"/>
      <c r="K2827" s="1" t="s">
        <v>19833</v>
      </c>
      <c r="L2827" s="1"/>
      <c r="M2827" s="1" t="s">
        <v>125</v>
      </c>
      <c r="N2827" s="1">
        <v>0</v>
      </c>
      <c r="O2827" s="1">
        <v>0</v>
      </c>
      <c r="P2827" s="1" t="s">
        <v>211</v>
      </c>
      <c r="Q2827" s="1" t="s">
        <v>268</v>
      </c>
      <c r="R2827" s="1" t="s">
        <v>19834</v>
      </c>
      <c r="S2827" s="1" t="s">
        <v>19835</v>
      </c>
      <c r="T2827" s="1" t="s">
        <v>19448</v>
      </c>
      <c r="U2827" s="1" t="s">
        <v>19836</v>
      </c>
      <c r="V2827" s="1">
        <v>1</v>
      </c>
      <c r="W2827" s="1">
        <v>1</v>
      </c>
      <c r="X2827" s="1">
        <v>0</v>
      </c>
      <c r="Y2827" s="1">
        <v>0</v>
      </c>
      <c r="Z2827" s="1">
        <v>0</v>
      </c>
      <c r="AA2827" s="1">
        <v>6</v>
      </c>
      <c r="AB2827" s="1">
        <v>6</v>
      </c>
      <c r="AC2827" s="1">
        <v>6</v>
      </c>
      <c r="AD2827" s="1" t="s">
        <v>109</v>
      </c>
      <c r="AE2827" s="1" t="s">
        <v>109</v>
      </c>
      <c r="AF2827" s="1">
        <v>5</v>
      </c>
      <c r="AG2827" s="1" t="s">
        <v>109</v>
      </c>
      <c r="AH2827" s="1" t="s">
        <v>109</v>
      </c>
      <c r="AI2827" s="1" t="s">
        <v>109</v>
      </c>
      <c r="AJ2827" s="1" t="s">
        <v>109</v>
      </c>
      <c r="AK2827" s="1">
        <v>5</v>
      </c>
      <c r="AL2827" s="1">
        <v>6</v>
      </c>
      <c r="AM2827" s="1" t="s">
        <v>109</v>
      </c>
      <c r="AN2827" s="1" t="s">
        <v>109</v>
      </c>
      <c r="AO2827" s="1" t="s">
        <v>109</v>
      </c>
      <c r="AP2827" s="1"/>
      <c r="AQ2827" s="1">
        <v>6</v>
      </c>
      <c r="AR2827" s="1"/>
      <c r="AS2827" s="1"/>
      <c r="AT2827" s="1">
        <v>0</v>
      </c>
      <c r="AU2827" s="1">
        <v>0</v>
      </c>
      <c r="AV2827" s="1">
        <v>0</v>
      </c>
      <c r="AW2827" s="1">
        <v>0</v>
      </c>
      <c r="AX2827" s="1">
        <v>0</v>
      </c>
      <c r="AY2827" s="1">
        <v>0</v>
      </c>
      <c r="AZ2827" s="1">
        <v>0</v>
      </c>
      <c r="BA2827" s="1">
        <v>0</v>
      </c>
      <c r="BB2827" s="1">
        <v>0</v>
      </c>
      <c r="BC2827" s="1">
        <v>0</v>
      </c>
      <c r="BD2827" s="1">
        <v>0</v>
      </c>
      <c r="BE2827" s="1">
        <v>0</v>
      </c>
      <c r="BF2827" s="1">
        <v>0</v>
      </c>
      <c r="BG2827" s="1">
        <v>0</v>
      </c>
      <c r="BH2827" s="1">
        <v>0</v>
      </c>
      <c r="BI2827" s="1">
        <v>1</v>
      </c>
      <c r="BJ2827" s="1">
        <v>0</v>
      </c>
      <c r="BK2827" s="1">
        <v>0</v>
      </c>
      <c r="BL2827" s="1">
        <v>0</v>
      </c>
      <c r="BM2827" s="1">
        <v>0</v>
      </c>
      <c r="BN2827" s="1">
        <v>0</v>
      </c>
      <c r="BO2827" s="1">
        <v>0</v>
      </c>
      <c r="BP2827" s="1">
        <v>0</v>
      </c>
      <c r="BQ2827" s="1">
        <v>0</v>
      </c>
      <c r="BR2827" s="1">
        <v>0</v>
      </c>
      <c r="BS2827" s="1" t="s">
        <v>109</v>
      </c>
      <c r="BT2827" s="1">
        <v>4920</v>
      </c>
      <c r="BU2827" s="1" t="s">
        <v>109</v>
      </c>
      <c r="BV2827" s="1"/>
      <c r="BW2827" s="1"/>
      <c r="BX2827" s="1"/>
      <c r="BY2827" s="1"/>
      <c r="BZ2827" s="1">
        <v>0</v>
      </c>
      <c r="CA2827" s="1" t="s">
        <v>109</v>
      </c>
      <c r="CB2827" s="1" t="s">
        <v>109</v>
      </c>
      <c r="CC2827" s="1" t="s">
        <v>109</v>
      </c>
      <c r="CD2827" s="1" t="s">
        <v>109</v>
      </c>
      <c r="CE2827" s="1" t="s">
        <v>109</v>
      </c>
      <c r="CF2827" s="1" t="s">
        <v>109</v>
      </c>
      <c r="CG2827" s="1" t="s">
        <v>109</v>
      </c>
      <c r="CH2827" s="1" t="s">
        <v>109</v>
      </c>
      <c r="CI2827" s="1" t="s">
        <v>109</v>
      </c>
      <c r="CJ2827" s="1" t="s">
        <v>109</v>
      </c>
      <c r="CK2827" s="1"/>
      <c r="CL2827" s="1">
        <v>0</v>
      </c>
      <c r="CM2827" s="1">
        <v>0</v>
      </c>
      <c r="CN2827" s="1">
        <v>0</v>
      </c>
    </row>
    <row r="2828" spans="1:92" ht="14.25" customHeight="1" x14ac:dyDescent="0.15">
      <c r="A2828" s="1" t="s">
        <v>19837</v>
      </c>
      <c r="B2828" s="1" t="s">
        <v>254</v>
      </c>
      <c r="C2828" s="1" t="s">
        <v>393</v>
      </c>
      <c r="D2828" s="1"/>
      <c r="E2828" s="1" t="s">
        <v>18070</v>
      </c>
      <c r="F2828" s="1" t="s">
        <v>355</v>
      </c>
      <c r="G2828" s="1" t="s">
        <v>19838</v>
      </c>
      <c r="H2828" s="1">
        <v>0</v>
      </c>
      <c r="I2828" s="1" t="s">
        <v>235</v>
      </c>
      <c r="J2828" s="1"/>
      <c r="K2828" s="1"/>
      <c r="L2828" s="1" t="s">
        <v>236</v>
      </c>
      <c r="M2828" s="1" t="s">
        <v>6144</v>
      </c>
      <c r="N2828" s="1">
        <v>1</v>
      </c>
      <c r="O2828" s="1">
        <v>0</v>
      </c>
      <c r="P2828" s="1" t="s">
        <v>507</v>
      </c>
      <c r="Q2828" s="1" t="s">
        <v>167</v>
      </c>
      <c r="R2828" s="1" t="s">
        <v>19839</v>
      </c>
      <c r="S2828" s="1" t="s">
        <v>19840</v>
      </c>
      <c r="T2828" s="1" t="s">
        <v>19448</v>
      </c>
      <c r="U2828" s="1" t="s">
        <v>19841</v>
      </c>
      <c r="V2828" s="1">
        <v>1</v>
      </c>
      <c r="W2828" s="1">
        <v>1</v>
      </c>
      <c r="X2828" s="1">
        <v>0</v>
      </c>
      <c r="Y2828" s="1">
        <v>0</v>
      </c>
      <c r="Z2828" s="1">
        <v>0</v>
      </c>
      <c r="AA2828" s="1">
        <v>2</v>
      </c>
      <c r="AB2828" s="1">
        <v>2</v>
      </c>
      <c r="AC2828" s="1">
        <v>2</v>
      </c>
      <c r="AD2828" s="1">
        <v>2</v>
      </c>
      <c r="AE2828" s="1" t="s">
        <v>109</v>
      </c>
      <c r="AF2828" s="1" t="s">
        <v>109</v>
      </c>
      <c r="AG2828" s="1" t="s">
        <v>109</v>
      </c>
      <c r="AH2828" s="1" t="s">
        <v>109</v>
      </c>
      <c r="AI2828" s="1" t="s">
        <v>109</v>
      </c>
      <c r="AJ2828" s="1">
        <v>2</v>
      </c>
      <c r="AK2828" s="1" t="s">
        <v>109</v>
      </c>
      <c r="AL2828" s="1">
        <v>2</v>
      </c>
      <c r="AM2828" s="1" t="s">
        <v>109</v>
      </c>
      <c r="AN2828" s="1" t="s">
        <v>109</v>
      </c>
      <c r="AO2828" s="1" t="s">
        <v>109</v>
      </c>
      <c r="AP2828" s="1"/>
      <c r="AQ2828" s="1">
        <v>2</v>
      </c>
      <c r="AR2828" s="1"/>
      <c r="AS2828" s="1"/>
      <c r="AT2828" s="1">
        <v>0</v>
      </c>
      <c r="AU2828" s="1">
        <v>0</v>
      </c>
      <c r="AV2828" s="1">
        <v>0</v>
      </c>
      <c r="AW2828" s="1">
        <v>0</v>
      </c>
      <c r="AX2828" s="1">
        <v>0</v>
      </c>
      <c r="AY2828" s="1">
        <v>0</v>
      </c>
      <c r="AZ2828" s="1">
        <v>0</v>
      </c>
      <c r="BA2828" s="1">
        <v>0</v>
      </c>
      <c r="BB2828" s="1">
        <v>0</v>
      </c>
      <c r="BC2828" s="1">
        <v>0</v>
      </c>
      <c r="BD2828" s="1">
        <v>0</v>
      </c>
      <c r="BE2828" s="1">
        <v>0</v>
      </c>
      <c r="BF2828" s="1">
        <v>0</v>
      </c>
      <c r="BG2828" s="1">
        <v>0</v>
      </c>
      <c r="BH2828" s="1">
        <v>0</v>
      </c>
      <c r="BI2828" s="1">
        <v>0</v>
      </c>
      <c r="BJ2828" s="1">
        <v>0</v>
      </c>
      <c r="BK2828" s="1">
        <v>0</v>
      </c>
      <c r="BL2828" s="1">
        <v>0</v>
      </c>
      <c r="BM2828" s="1">
        <v>0</v>
      </c>
      <c r="BN2828" s="1">
        <v>0</v>
      </c>
      <c r="BO2828" s="1">
        <v>0</v>
      </c>
      <c r="BP2828" s="1">
        <v>0</v>
      </c>
      <c r="BQ2828" s="1">
        <v>0</v>
      </c>
      <c r="BR2828" s="1">
        <v>0</v>
      </c>
      <c r="BS2828" s="1" t="s">
        <v>109</v>
      </c>
      <c r="BT2828" s="1">
        <v>4921</v>
      </c>
      <c r="BU2828" s="1" t="s">
        <v>109</v>
      </c>
      <c r="BV2828" s="1"/>
      <c r="BW2828" s="1"/>
      <c r="BX2828" s="1"/>
      <c r="BY2828" s="1"/>
      <c r="BZ2828" s="1">
        <v>0</v>
      </c>
      <c r="CA2828" s="1" t="s">
        <v>109</v>
      </c>
      <c r="CB2828" s="1">
        <v>2</v>
      </c>
      <c r="CC2828" s="1" t="s">
        <v>109</v>
      </c>
      <c r="CD2828" s="1" t="s">
        <v>109</v>
      </c>
      <c r="CE2828" s="1" t="s">
        <v>109</v>
      </c>
      <c r="CF2828" s="1" t="s">
        <v>109</v>
      </c>
      <c r="CG2828" s="1" t="s">
        <v>109</v>
      </c>
      <c r="CH2828" s="1" t="s">
        <v>109</v>
      </c>
      <c r="CI2828" s="1" t="s">
        <v>109</v>
      </c>
      <c r="CJ2828" s="1">
        <v>2</v>
      </c>
      <c r="CK2828" s="1"/>
      <c r="CL2828" s="1">
        <v>0</v>
      </c>
      <c r="CM2828" s="1">
        <v>0</v>
      </c>
      <c r="CN2828" s="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39" customWidth="1"/>
    <col min="2" max="6" width="10.83203125" customWidth="1"/>
    <col min="7" max="26" width="8.6640625" customWidth="1"/>
  </cols>
  <sheetData>
    <row r="1" spans="1:26" ht="27.75" customHeight="1" x14ac:dyDescent="0.15">
      <c r="A1" s="2" t="s">
        <v>14</v>
      </c>
      <c r="B1" s="1"/>
      <c r="C1" s="1"/>
      <c r="D1" s="1"/>
      <c r="E1" s="1"/>
      <c r="F1" s="1"/>
      <c r="G1" s="1"/>
      <c r="H1" s="1"/>
      <c r="I1" s="1"/>
      <c r="J1" s="1"/>
      <c r="K1" s="1"/>
      <c r="L1" s="1"/>
      <c r="M1" s="1"/>
      <c r="N1" s="1"/>
      <c r="O1" s="1"/>
      <c r="P1" s="1"/>
      <c r="Q1" s="1"/>
      <c r="R1" s="1"/>
      <c r="S1" s="1"/>
      <c r="T1" s="1"/>
      <c r="U1" s="1"/>
      <c r="V1" s="1"/>
      <c r="W1" s="1"/>
      <c r="X1" s="1"/>
      <c r="Y1" s="1"/>
      <c r="Z1" s="1"/>
    </row>
    <row r="2" spans="1:26" ht="26.25" customHeight="1" x14ac:dyDescent="0.15">
      <c r="A2" s="3" t="s">
        <v>71</v>
      </c>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15">
      <c r="A3" s="4" t="str">
        <f>HYPERLINK("mailto:chopswil@comcast.net","Issues? Contact me at chopswil@comcast.net")</f>
        <v>Issues? Contact me at chopswil@comcast.net</v>
      </c>
      <c r="B3" s="1"/>
      <c r="C3" s="1"/>
      <c r="D3" s="1"/>
      <c r="E3" s="1"/>
      <c r="F3" s="1"/>
      <c r="G3" s="1"/>
      <c r="H3" s="1"/>
      <c r="I3" s="1"/>
      <c r="J3" s="1"/>
      <c r="K3" s="1"/>
      <c r="L3" s="1"/>
      <c r="M3" s="1"/>
      <c r="N3" s="1"/>
      <c r="O3" s="1"/>
      <c r="P3" s="1"/>
      <c r="Q3" s="1"/>
      <c r="R3" s="1"/>
      <c r="S3" s="1"/>
      <c r="T3" s="1"/>
      <c r="U3" s="1"/>
      <c r="V3" s="1"/>
      <c r="W3" s="1"/>
      <c r="X3" s="1"/>
      <c r="Y3" s="1"/>
      <c r="Z3" s="1"/>
    </row>
    <row r="4" spans="1:26" ht="38.25" customHeight="1" x14ac:dyDescent="0.15">
      <c r="A4" s="3" t="s">
        <v>111</v>
      </c>
      <c r="B4" s="1"/>
      <c r="C4" s="1"/>
      <c r="D4" s="1"/>
      <c r="E4" s="1"/>
      <c r="F4" s="1"/>
      <c r="G4" s="1"/>
      <c r="H4" s="1"/>
      <c r="I4" s="1"/>
      <c r="J4" s="1"/>
      <c r="K4" s="1"/>
      <c r="L4" s="1"/>
      <c r="M4" s="1"/>
      <c r="N4" s="1"/>
      <c r="O4" s="1"/>
      <c r="P4" s="1"/>
      <c r="Q4" s="1"/>
      <c r="R4" s="1"/>
      <c r="S4" s="1"/>
      <c r="T4" s="1"/>
      <c r="U4" s="1"/>
      <c r="V4" s="1"/>
      <c r="W4" s="1"/>
      <c r="X4" s="1"/>
      <c r="Y4" s="1"/>
      <c r="Z4" s="1"/>
    </row>
    <row r="5" spans="1:26" ht="26.25" customHeight="1" x14ac:dyDescent="0.15">
      <c r="A5" s="3" t="s">
        <v>112</v>
      </c>
      <c r="B5" s="1"/>
      <c r="C5" s="1"/>
      <c r="D5" s="1"/>
      <c r="E5" s="1"/>
      <c r="F5" s="1"/>
      <c r="G5" s="1"/>
      <c r="H5" s="1"/>
      <c r="I5" s="1"/>
      <c r="J5" s="1"/>
      <c r="K5" s="1"/>
      <c r="L5" s="1"/>
      <c r="M5" s="1"/>
      <c r="N5" s="1"/>
      <c r="O5" s="1"/>
      <c r="P5" s="1"/>
      <c r="Q5" s="1"/>
      <c r="R5" s="1"/>
      <c r="S5" s="1"/>
      <c r="T5" s="1"/>
      <c r="U5" s="1"/>
      <c r="V5" s="1"/>
      <c r="W5" s="1"/>
      <c r="X5" s="1"/>
      <c r="Y5" s="1"/>
      <c r="Z5" s="1"/>
    </row>
    <row r="6" spans="1:26" ht="38.25" customHeight="1" x14ac:dyDescent="0.15">
      <c r="A6" s="3" t="s">
        <v>113</v>
      </c>
      <c r="B6" s="1"/>
      <c r="C6" s="1"/>
      <c r="D6" s="1"/>
      <c r="E6" s="1"/>
      <c r="F6" s="1"/>
      <c r="G6" s="1"/>
      <c r="H6" s="1"/>
      <c r="I6" s="1"/>
      <c r="J6" s="1"/>
      <c r="K6" s="1"/>
      <c r="L6" s="1"/>
      <c r="M6" s="1"/>
      <c r="N6" s="1"/>
      <c r="O6" s="1"/>
      <c r="P6" s="1"/>
      <c r="Q6" s="1"/>
      <c r="R6" s="1"/>
      <c r="S6" s="1"/>
      <c r="T6" s="1"/>
      <c r="U6" s="1"/>
      <c r="V6" s="1"/>
      <c r="W6" s="1"/>
      <c r="X6" s="1"/>
      <c r="Y6" s="1"/>
      <c r="Z6" s="1"/>
    </row>
    <row r="7" spans="1:26" ht="38.25" customHeight="1" x14ac:dyDescent="0.15">
      <c r="A7" s="3" t="s">
        <v>114</v>
      </c>
      <c r="B7" s="1"/>
      <c r="C7" s="1"/>
      <c r="D7" s="1"/>
      <c r="E7" s="1"/>
      <c r="F7" s="1"/>
      <c r="G7" s="1"/>
      <c r="H7" s="1"/>
      <c r="I7" s="1"/>
      <c r="J7" s="1"/>
      <c r="K7" s="1"/>
      <c r="L7" s="1"/>
      <c r="M7" s="1"/>
      <c r="N7" s="1"/>
      <c r="O7" s="1"/>
      <c r="P7" s="1"/>
      <c r="Q7" s="1"/>
      <c r="R7" s="1"/>
      <c r="S7" s="1"/>
      <c r="T7" s="1"/>
      <c r="U7" s="1"/>
      <c r="V7" s="1"/>
      <c r="W7" s="1"/>
      <c r="X7" s="1"/>
      <c r="Y7" s="1"/>
      <c r="Z7" s="1"/>
    </row>
    <row r="8" spans="1:26" ht="38.25" customHeight="1" x14ac:dyDescent="0.15">
      <c r="A8" s="3" t="s">
        <v>115</v>
      </c>
      <c r="B8" s="1"/>
      <c r="C8" s="1"/>
      <c r="D8" s="1"/>
      <c r="E8" s="1"/>
      <c r="F8" s="1"/>
      <c r="G8" s="1"/>
      <c r="H8" s="1"/>
      <c r="I8" s="1"/>
      <c r="J8" s="1"/>
      <c r="K8" s="1"/>
      <c r="L8" s="1"/>
      <c r="M8" s="1"/>
      <c r="N8" s="1"/>
      <c r="O8" s="1"/>
      <c r="P8" s="1"/>
      <c r="Q8" s="1"/>
      <c r="R8" s="1"/>
      <c r="S8" s="1"/>
      <c r="T8" s="1"/>
      <c r="U8" s="1"/>
      <c r="V8" s="1"/>
      <c r="W8" s="1"/>
      <c r="X8" s="1"/>
      <c r="Y8" s="1"/>
      <c r="Z8" s="1"/>
    </row>
    <row r="9" spans="1:26" ht="38.25" customHeight="1" x14ac:dyDescent="0.15">
      <c r="A9" s="3" t="s">
        <v>116</v>
      </c>
      <c r="B9" s="1"/>
      <c r="C9" s="1"/>
      <c r="D9" s="1"/>
      <c r="E9" s="1"/>
      <c r="F9" s="1"/>
      <c r="G9" s="1"/>
      <c r="H9" s="1"/>
      <c r="I9" s="1"/>
      <c r="J9" s="1"/>
      <c r="K9" s="1"/>
      <c r="L9" s="1"/>
      <c r="M9" s="1"/>
      <c r="N9" s="1"/>
      <c r="O9" s="1"/>
      <c r="P9" s="1"/>
      <c r="Q9" s="1"/>
      <c r="R9" s="1"/>
      <c r="S9" s="1"/>
      <c r="T9" s="1"/>
      <c r="U9" s="1"/>
      <c r="V9" s="1"/>
      <c r="W9" s="1"/>
      <c r="X9" s="1"/>
      <c r="Y9" s="1"/>
      <c r="Z9" s="1"/>
    </row>
    <row r="10" spans="1:26" ht="38.25" customHeight="1" x14ac:dyDescent="0.15">
      <c r="A10" s="3" t="s">
        <v>117</v>
      </c>
      <c r="B10" s="1"/>
      <c r="C10" s="1"/>
      <c r="D10" s="1"/>
      <c r="E10" s="1"/>
      <c r="F10" s="1"/>
      <c r="G10" s="1"/>
      <c r="H10" s="1"/>
      <c r="I10" s="1"/>
      <c r="J10" s="1"/>
      <c r="K10" s="1"/>
      <c r="L10" s="1"/>
      <c r="M10" s="1"/>
      <c r="N10" s="1"/>
      <c r="O10" s="1"/>
      <c r="P10" s="1"/>
      <c r="Q10" s="1"/>
      <c r="R10" s="1"/>
      <c r="S10" s="1"/>
      <c r="T10" s="1"/>
      <c r="U10" s="1"/>
      <c r="V10" s="1"/>
      <c r="W10" s="1"/>
      <c r="X10" s="1"/>
      <c r="Y10" s="1"/>
      <c r="Z10" s="1"/>
    </row>
    <row r="11" spans="1:26" ht="38.25" customHeight="1" x14ac:dyDescent="0.15">
      <c r="A11" s="3" t="s">
        <v>120</v>
      </c>
      <c r="B11" s="1"/>
      <c r="C11" s="1"/>
      <c r="D11" s="1"/>
      <c r="E11" s="1"/>
      <c r="F11" s="1"/>
      <c r="G11" s="1"/>
      <c r="H11" s="1"/>
      <c r="I11" s="1"/>
      <c r="J11" s="1"/>
      <c r="K11" s="1"/>
      <c r="L11" s="1"/>
      <c r="M11" s="1"/>
      <c r="N11" s="1"/>
      <c r="O11" s="1"/>
      <c r="P11" s="1"/>
      <c r="Q11" s="1"/>
      <c r="R11" s="1"/>
      <c r="S11" s="1"/>
      <c r="T11" s="1"/>
      <c r="U11" s="1"/>
      <c r="V11" s="1"/>
      <c r="W11" s="1"/>
      <c r="X11" s="1"/>
      <c r="Y11" s="1"/>
      <c r="Z11" s="1"/>
    </row>
    <row r="12" spans="1:26" ht="38.25" customHeight="1" x14ac:dyDescent="0.15">
      <c r="A12" s="3" t="s">
        <v>124</v>
      </c>
      <c r="B12" s="1"/>
      <c r="C12" s="1"/>
      <c r="D12" s="1"/>
      <c r="E12" s="1"/>
      <c r="F12" s="1"/>
      <c r="G12" s="1"/>
      <c r="H12" s="1"/>
      <c r="I12" s="1"/>
      <c r="J12" s="1"/>
      <c r="K12" s="1"/>
      <c r="L12" s="1"/>
      <c r="M12" s="1"/>
      <c r="N12" s="1"/>
      <c r="O12" s="1"/>
      <c r="P12" s="1"/>
      <c r="Q12" s="1"/>
      <c r="R12" s="1"/>
      <c r="S12" s="1"/>
      <c r="T12" s="1"/>
      <c r="U12" s="1"/>
      <c r="V12" s="1"/>
      <c r="W12" s="1"/>
      <c r="X12" s="1"/>
      <c r="Y12" s="1"/>
      <c r="Z12" s="1"/>
    </row>
    <row r="13" spans="1:26" ht="38.25" customHeight="1" x14ac:dyDescent="0.15">
      <c r="A13" s="3" t="s">
        <v>126</v>
      </c>
      <c r="B13" s="1"/>
      <c r="C13" s="1"/>
      <c r="D13" s="1"/>
      <c r="E13" s="1"/>
      <c r="F13" s="1"/>
      <c r="G13" s="1"/>
      <c r="H13" s="1"/>
      <c r="I13" s="1"/>
      <c r="J13" s="1"/>
      <c r="K13" s="1"/>
      <c r="L13" s="1"/>
      <c r="M13" s="1"/>
      <c r="N13" s="1"/>
      <c r="O13" s="1"/>
      <c r="P13" s="1"/>
      <c r="Q13" s="1"/>
      <c r="R13" s="1"/>
      <c r="S13" s="1"/>
      <c r="T13" s="1"/>
      <c r="U13" s="1"/>
      <c r="V13" s="1"/>
      <c r="W13" s="1"/>
      <c r="X13" s="1"/>
      <c r="Y13" s="1"/>
      <c r="Z13" s="1"/>
    </row>
    <row r="14" spans="1:26" ht="50.25" customHeight="1" x14ac:dyDescent="0.15">
      <c r="A14" s="3" t="s">
        <v>129</v>
      </c>
      <c r="B14" s="1"/>
      <c r="C14" s="1"/>
      <c r="D14" s="1"/>
      <c r="E14" s="1"/>
      <c r="F14" s="1"/>
      <c r="G14" s="1"/>
      <c r="H14" s="1"/>
      <c r="I14" s="1"/>
      <c r="J14" s="1"/>
      <c r="K14" s="1"/>
      <c r="L14" s="1"/>
      <c r="M14" s="1"/>
      <c r="N14" s="1"/>
      <c r="O14" s="1"/>
      <c r="P14" s="1"/>
      <c r="Q14" s="1"/>
      <c r="R14" s="1"/>
      <c r="S14" s="1"/>
      <c r="T14" s="1"/>
      <c r="U14" s="1"/>
      <c r="V14" s="1"/>
      <c r="W14" s="1"/>
      <c r="X14" s="1"/>
      <c r="Y14" s="1"/>
      <c r="Z14" s="1"/>
    </row>
    <row r="15" spans="1:26" ht="38.25" customHeight="1" x14ac:dyDescent="0.15">
      <c r="A15" s="3" t="s">
        <v>131</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15">
      <c r="A16" s="3" t="s">
        <v>133</v>
      </c>
      <c r="B16" s="1"/>
      <c r="C16" s="1"/>
      <c r="D16" s="1"/>
      <c r="E16" s="1"/>
      <c r="F16" s="1"/>
      <c r="G16" s="1"/>
      <c r="H16" s="1"/>
      <c r="I16" s="1"/>
      <c r="J16" s="1"/>
      <c r="K16" s="1"/>
      <c r="L16" s="1"/>
      <c r="M16" s="1"/>
      <c r="N16" s="1"/>
      <c r="O16" s="1"/>
      <c r="P16" s="1"/>
      <c r="Q16" s="1"/>
      <c r="R16" s="1"/>
      <c r="S16" s="1"/>
      <c r="T16" s="1"/>
      <c r="U16" s="1"/>
      <c r="V16" s="1"/>
      <c r="W16" s="1"/>
      <c r="X16" s="1"/>
      <c r="Y16" s="1"/>
      <c r="Z16" s="1"/>
    </row>
    <row r="17" spans="1:26" ht="50.25" customHeight="1" x14ac:dyDescent="0.15">
      <c r="A17" s="3" t="s">
        <v>134</v>
      </c>
      <c r="B17" s="1"/>
      <c r="C17" s="1"/>
      <c r="D17" s="1"/>
      <c r="E17" s="1"/>
      <c r="F17" s="1"/>
      <c r="G17" s="1"/>
      <c r="H17" s="1"/>
      <c r="I17" s="1"/>
      <c r="J17" s="1"/>
      <c r="K17" s="1"/>
      <c r="L17" s="1"/>
      <c r="M17" s="1"/>
      <c r="N17" s="1"/>
      <c r="O17" s="1"/>
      <c r="P17" s="1"/>
      <c r="Q17" s="1"/>
      <c r="R17" s="1"/>
      <c r="S17" s="1"/>
      <c r="T17" s="1"/>
      <c r="U17" s="1"/>
      <c r="V17" s="1"/>
      <c r="W17" s="1"/>
      <c r="X17" s="1"/>
      <c r="Y17" s="1"/>
      <c r="Z17" s="1"/>
    </row>
    <row r="18" spans="1:26" ht="38.25" customHeight="1" x14ac:dyDescent="0.15">
      <c r="A18" s="3" t="s">
        <v>135</v>
      </c>
      <c r="B18" s="1"/>
      <c r="C18" s="1"/>
      <c r="D18" s="1"/>
      <c r="E18" s="1"/>
      <c r="F18" s="1"/>
      <c r="G18" s="1"/>
      <c r="H18" s="1"/>
      <c r="I18" s="1"/>
      <c r="J18" s="1"/>
      <c r="K18" s="1"/>
      <c r="L18" s="1"/>
      <c r="M18" s="1"/>
      <c r="N18" s="1"/>
      <c r="O18" s="1"/>
      <c r="P18" s="1"/>
      <c r="Q18" s="1"/>
      <c r="R18" s="1"/>
      <c r="S18" s="1"/>
      <c r="T18" s="1"/>
      <c r="U18" s="1"/>
      <c r="V18" s="1"/>
      <c r="W18" s="1"/>
      <c r="X18" s="1"/>
      <c r="Y18" s="1"/>
      <c r="Z18" s="1"/>
    </row>
    <row r="19" spans="1:26" ht="26.25" customHeight="1" x14ac:dyDescent="0.15">
      <c r="A19" s="3" t="s">
        <v>136</v>
      </c>
      <c r="B19" s="1"/>
      <c r="C19" s="1"/>
      <c r="D19" s="1"/>
      <c r="E19" s="1"/>
      <c r="F19" s="1"/>
      <c r="G19" s="1"/>
      <c r="H19" s="1"/>
      <c r="I19" s="1"/>
      <c r="J19" s="1"/>
      <c r="K19" s="1"/>
      <c r="L19" s="1"/>
      <c r="M19" s="1"/>
      <c r="N19" s="1"/>
      <c r="O19" s="1"/>
      <c r="P19" s="1"/>
      <c r="Q19" s="1"/>
      <c r="R19" s="1"/>
      <c r="S19" s="1"/>
      <c r="T19" s="1"/>
      <c r="U19" s="1"/>
      <c r="V19" s="1"/>
      <c r="W19" s="1"/>
      <c r="X19" s="1"/>
      <c r="Y19" s="1"/>
      <c r="Z19" s="1"/>
    </row>
    <row r="20" spans="1:26" ht="50.25" customHeight="1" x14ac:dyDescent="0.15">
      <c r="A20" s="3" t="s">
        <v>137</v>
      </c>
      <c r="B20" s="1"/>
      <c r="C20" s="1"/>
      <c r="D20" s="1"/>
      <c r="E20" s="1"/>
      <c r="F20" s="1"/>
      <c r="G20" s="1"/>
      <c r="H20" s="1"/>
      <c r="I20" s="1"/>
      <c r="J20" s="1"/>
      <c r="K20" s="1"/>
      <c r="L20" s="1"/>
      <c r="M20" s="1"/>
      <c r="N20" s="1"/>
      <c r="O20" s="1"/>
      <c r="P20" s="1"/>
      <c r="Q20" s="1"/>
      <c r="R20" s="1"/>
      <c r="S20" s="1"/>
      <c r="T20" s="1"/>
      <c r="U20" s="1"/>
      <c r="V20" s="1"/>
      <c r="W20" s="1"/>
      <c r="X20" s="1"/>
      <c r="Y20" s="1"/>
      <c r="Z20" s="1"/>
    </row>
    <row r="21" spans="1:26" ht="26.25" customHeight="1" x14ac:dyDescent="0.15">
      <c r="A21" s="3" t="s">
        <v>139</v>
      </c>
      <c r="B21" s="1"/>
      <c r="C21" s="1"/>
      <c r="D21" s="1"/>
      <c r="E21" s="1"/>
      <c r="F21" s="1"/>
      <c r="G21" s="1"/>
      <c r="H21" s="1"/>
      <c r="I21" s="1"/>
      <c r="J21" s="1"/>
      <c r="K21" s="1"/>
      <c r="L21" s="1"/>
      <c r="M21" s="1"/>
      <c r="N21" s="1"/>
      <c r="O21" s="1"/>
      <c r="P21" s="1"/>
      <c r="Q21" s="1"/>
      <c r="R21" s="1"/>
      <c r="S21" s="1"/>
      <c r="T21" s="1"/>
      <c r="U21" s="1"/>
      <c r="V21" s="1"/>
      <c r="W21" s="1"/>
      <c r="X21" s="1"/>
      <c r="Y21" s="1"/>
      <c r="Z21" s="1"/>
    </row>
    <row r="22" spans="1:26" ht="86.25" customHeight="1" x14ac:dyDescent="0.15">
      <c r="A22" s="3" t="s">
        <v>147</v>
      </c>
      <c r="B22" s="1"/>
      <c r="C22" s="1"/>
      <c r="D22" s="1"/>
      <c r="E22" s="1"/>
      <c r="F22" s="1"/>
      <c r="G22" s="1"/>
      <c r="H22" s="1"/>
      <c r="I22" s="1"/>
      <c r="J22" s="1"/>
      <c r="K22" s="1"/>
      <c r="L22" s="1"/>
      <c r="M22" s="1"/>
      <c r="N22" s="1"/>
      <c r="O22" s="1"/>
      <c r="P22" s="1"/>
      <c r="Q22" s="1"/>
      <c r="R22" s="1"/>
      <c r="S22" s="1"/>
      <c r="T22" s="1"/>
      <c r="U22" s="1"/>
      <c r="V22" s="1"/>
      <c r="W22" s="1"/>
      <c r="X22" s="1"/>
      <c r="Y22" s="1"/>
      <c r="Z22" s="1"/>
    </row>
    <row r="23" spans="1:26" ht="98.25" customHeight="1" x14ac:dyDescent="0.15">
      <c r="A23" s="3" t="s">
        <v>149</v>
      </c>
      <c r="B23" s="1"/>
      <c r="C23" s="1"/>
      <c r="D23" s="1"/>
      <c r="E23" s="1"/>
      <c r="F23" s="1"/>
      <c r="G23" s="1"/>
      <c r="H23" s="1"/>
      <c r="I23" s="1"/>
      <c r="J23" s="1"/>
      <c r="K23" s="1"/>
      <c r="L23" s="1"/>
      <c r="M23" s="1"/>
      <c r="N23" s="1"/>
      <c r="O23" s="1"/>
      <c r="P23" s="1"/>
      <c r="Q23" s="1"/>
      <c r="R23" s="1"/>
      <c r="S23" s="1"/>
      <c r="T23" s="1"/>
      <c r="U23" s="1"/>
      <c r="V23" s="1"/>
      <c r="W23" s="1"/>
      <c r="X23" s="1"/>
      <c r="Y23" s="1"/>
      <c r="Z23" s="1"/>
    </row>
    <row r="24" spans="1:26" ht="62.25" customHeight="1" x14ac:dyDescent="0.15">
      <c r="A24" s="3" t="s">
        <v>151</v>
      </c>
      <c r="B24" s="1"/>
      <c r="C24" s="1"/>
      <c r="D24" s="1"/>
      <c r="E24" s="1"/>
      <c r="F24" s="1"/>
      <c r="G24" s="1"/>
      <c r="H24" s="1"/>
      <c r="I24" s="1"/>
      <c r="J24" s="1"/>
      <c r="K24" s="1"/>
      <c r="L24" s="1"/>
      <c r="M24" s="1"/>
      <c r="N24" s="1"/>
      <c r="O24" s="1"/>
      <c r="P24" s="1"/>
      <c r="Q24" s="1"/>
      <c r="R24" s="1"/>
      <c r="S24" s="1"/>
      <c r="T24" s="1"/>
      <c r="U24" s="1"/>
      <c r="V24" s="1"/>
      <c r="W24" s="1"/>
      <c r="X24" s="1"/>
      <c r="Y24" s="1"/>
      <c r="Z24" s="1"/>
    </row>
    <row r="25" spans="1:26" ht="62.25" customHeight="1" x14ac:dyDescent="0.15">
      <c r="A25" s="3" t="s">
        <v>152</v>
      </c>
      <c r="B25" s="1"/>
      <c r="C25" s="1"/>
      <c r="D25" s="1"/>
      <c r="E25" s="1"/>
      <c r="F25" s="1"/>
      <c r="G25" s="1"/>
      <c r="H25" s="1"/>
      <c r="I25" s="1"/>
      <c r="J25" s="1"/>
      <c r="K25" s="1"/>
      <c r="L25" s="1"/>
      <c r="M25" s="1"/>
      <c r="N25" s="1"/>
      <c r="O25" s="1"/>
      <c r="P25" s="1"/>
      <c r="Q25" s="1"/>
      <c r="R25" s="1"/>
      <c r="S25" s="1"/>
      <c r="T25" s="1"/>
      <c r="U25" s="1"/>
      <c r="V25" s="1"/>
      <c r="W25" s="1"/>
      <c r="X25" s="1"/>
      <c r="Y25" s="1"/>
      <c r="Z25" s="1"/>
    </row>
    <row r="26" spans="1:26" ht="74.25" customHeight="1" x14ac:dyDescent="0.15">
      <c r="A26" s="3" t="s">
        <v>153</v>
      </c>
      <c r="B26" s="1"/>
      <c r="C26" s="1"/>
      <c r="D26" s="1"/>
      <c r="E26" s="1"/>
      <c r="F26" s="1"/>
      <c r="G26" s="1"/>
      <c r="H26" s="1"/>
      <c r="I26" s="1"/>
      <c r="J26" s="1"/>
      <c r="K26" s="1"/>
      <c r="L26" s="1"/>
      <c r="M26" s="1"/>
      <c r="N26" s="1"/>
      <c r="O26" s="1"/>
      <c r="P26" s="1"/>
      <c r="Q26" s="1"/>
      <c r="R26" s="1"/>
      <c r="S26" s="1"/>
      <c r="T26" s="1"/>
      <c r="U26" s="1"/>
      <c r="V26" s="1"/>
      <c r="W26" s="1"/>
      <c r="X26" s="1"/>
      <c r="Y26" s="1"/>
      <c r="Z26" s="1"/>
    </row>
    <row r="27" spans="1:26" ht="50.25" customHeight="1" x14ac:dyDescent="0.15">
      <c r="A27" s="3" t="s">
        <v>154</v>
      </c>
      <c r="B27" s="1"/>
      <c r="C27" s="1"/>
      <c r="D27" s="1"/>
      <c r="E27" s="1"/>
      <c r="F27" s="1"/>
      <c r="G27" s="1"/>
      <c r="H27" s="1"/>
      <c r="I27" s="1"/>
      <c r="J27" s="1"/>
      <c r="K27" s="1"/>
      <c r="L27" s="1"/>
      <c r="M27" s="1"/>
      <c r="N27" s="1"/>
      <c r="O27" s="1"/>
      <c r="P27" s="1"/>
      <c r="Q27" s="1"/>
      <c r="R27" s="1"/>
      <c r="S27" s="1"/>
      <c r="T27" s="1"/>
      <c r="U27" s="1"/>
      <c r="V27" s="1"/>
      <c r="W27" s="1"/>
      <c r="X27" s="1"/>
      <c r="Y27" s="1"/>
      <c r="Z27" s="1"/>
    </row>
    <row r="28" spans="1:26" ht="26.25" customHeight="1" x14ac:dyDescent="0.15">
      <c r="A28" s="3" t="s">
        <v>163</v>
      </c>
      <c r="B28" s="1"/>
      <c r="C28" s="1"/>
      <c r="D28" s="1"/>
      <c r="E28" s="1"/>
      <c r="F28" s="1"/>
      <c r="G28" s="1"/>
      <c r="H28" s="1"/>
      <c r="I28" s="1"/>
      <c r="J28" s="1"/>
      <c r="K28" s="1"/>
      <c r="L28" s="1"/>
      <c r="M28" s="1"/>
      <c r="N28" s="1"/>
      <c r="O28" s="1"/>
      <c r="P28" s="1"/>
      <c r="Q28" s="1"/>
      <c r="R28" s="1"/>
      <c r="S28" s="1"/>
      <c r="T28" s="1"/>
      <c r="U28" s="1"/>
      <c r="V28" s="1"/>
      <c r="W28" s="1"/>
      <c r="X28" s="1"/>
      <c r="Y28" s="1"/>
      <c r="Z28" s="1"/>
    </row>
    <row r="29" spans="1:26" ht="26.25" customHeight="1" x14ac:dyDescent="0.15">
      <c r="A29" s="3" t="s">
        <v>165</v>
      </c>
      <c r="B29" s="1"/>
      <c r="C29" s="1"/>
      <c r="D29" s="1"/>
      <c r="E29" s="1"/>
      <c r="F29" s="1"/>
      <c r="G29" s="1"/>
      <c r="H29" s="1"/>
      <c r="I29" s="1"/>
      <c r="J29" s="1"/>
      <c r="K29" s="1"/>
      <c r="L29" s="1"/>
      <c r="M29" s="1"/>
      <c r="N29" s="1"/>
      <c r="O29" s="1"/>
      <c r="P29" s="1"/>
      <c r="Q29" s="1"/>
      <c r="R29" s="1"/>
      <c r="S29" s="1"/>
      <c r="T29" s="1"/>
      <c r="U29" s="1"/>
      <c r="V29" s="1"/>
      <c r="W29" s="1"/>
      <c r="X29" s="1"/>
      <c r="Y29" s="1"/>
      <c r="Z29" s="1"/>
    </row>
    <row r="30" spans="1:26" ht="62.25" customHeight="1" x14ac:dyDescent="0.15">
      <c r="A30" s="3" t="s">
        <v>166</v>
      </c>
      <c r="B30" s="1"/>
      <c r="C30" s="1"/>
      <c r="D30" s="1"/>
      <c r="E30" s="1"/>
      <c r="F30" s="1"/>
      <c r="G30" s="1"/>
      <c r="H30" s="1"/>
      <c r="I30" s="1"/>
      <c r="J30" s="1"/>
      <c r="K30" s="1"/>
      <c r="L30" s="1"/>
      <c r="M30" s="1"/>
      <c r="N30" s="1"/>
      <c r="O30" s="1"/>
      <c r="P30" s="1"/>
      <c r="Q30" s="1"/>
      <c r="R30" s="1"/>
      <c r="S30" s="1"/>
      <c r="T30" s="1"/>
      <c r="U30" s="1"/>
      <c r="V30" s="1"/>
      <c r="W30" s="1"/>
      <c r="X30" s="1"/>
      <c r="Y30" s="1"/>
      <c r="Z30" s="1"/>
    </row>
    <row r="31" spans="1:26" ht="50.25" customHeight="1" x14ac:dyDescent="0.15">
      <c r="A31" s="3" t="s">
        <v>169</v>
      </c>
      <c r="B31" s="1"/>
      <c r="C31" s="1"/>
      <c r="D31" s="1"/>
      <c r="E31" s="1"/>
      <c r="F31" s="1"/>
      <c r="G31" s="1"/>
      <c r="H31" s="1"/>
      <c r="I31" s="1"/>
      <c r="J31" s="1"/>
      <c r="K31" s="1"/>
      <c r="L31" s="1"/>
      <c r="M31" s="1"/>
      <c r="N31" s="1"/>
      <c r="O31" s="1"/>
      <c r="P31" s="1"/>
      <c r="Q31" s="1"/>
      <c r="R31" s="1"/>
      <c r="S31" s="1"/>
      <c r="T31" s="1"/>
      <c r="U31" s="1"/>
      <c r="V31" s="1"/>
      <c r="W31" s="1"/>
      <c r="X31" s="1"/>
      <c r="Y31" s="1"/>
      <c r="Z31" s="1"/>
    </row>
    <row r="32" spans="1:26" ht="38.25" customHeight="1" x14ac:dyDescent="0.15">
      <c r="A32" s="3" t="s">
        <v>171</v>
      </c>
      <c r="B32" s="1"/>
      <c r="C32" s="1"/>
      <c r="D32" s="1"/>
      <c r="E32" s="1"/>
      <c r="F32" s="1"/>
      <c r="G32" s="1"/>
      <c r="H32" s="1"/>
      <c r="I32" s="1"/>
      <c r="J32" s="1"/>
      <c r="K32" s="1"/>
      <c r="L32" s="1"/>
      <c r="M32" s="1"/>
      <c r="N32" s="1"/>
      <c r="O32" s="1"/>
      <c r="P32" s="1"/>
      <c r="Q32" s="1"/>
      <c r="R32" s="1"/>
      <c r="S32" s="1"/>
      <c r="T32" s="1"/>
      <c r="U32" s="1"/>
      <c r="V32" s="1"/>
      <c r="W32" s="1"/>
      <c r="X32" s="1"/>
      <c r="Y32" s="1"/>
      <c r="Z32" s="1"/>
    </row>
    <row r="33" spans="1:26" ht="38.25" customHeight="1" x14ac:dyDescent="0.15">
      <c r="A33" s="3" t="s">
        <v>173</v>
      </c>
      <c r="B33" s="1"/>
      <c r="C33" s="1"/>
      <c r="D33" s="1"/>
      <c r="E33" s="1"/>
      <c r="F33" s="1"/>
      <c r="G33" s="1"/>
      <c r="H33" s="1"/>
      <c r="I33" s="1"/>
      <c r="J33" s="1"/>
      <c r="K33" s="1"/>
      <c r="L33" s="1"/>
      <c r="M33" s="1"/>
      <c r="N33" s="1"/>
      <c r="O33" s="1"/>
      <c r="P33" s="1"/>
      <c r="Q33" s="1"/>
      <c r="R33" s="1"/>
      <c r="S33" s="1"/>
      <c r="T33" s="1"/>
      <c r="U33" s="1"/>
      <c r="V33" s="1"/>
      <c r="W33" s="1"/>
      <c r="X33" s="1"/>
      <c r="Y33" s="1"/>
      <c r="Z33" s="1"/>
    </row>
    <row r="34" spans="1:26" ht="50.25" customHeight="1" x14ac:dyDescent="0.15">
      <c r="A34" s="3" t="s">
        <v>176</v>
      </c>
      <c r="B34" s="1"/>
      <c r="C34" s="1"/>
      <c r="D34" s="1"/>
      <c r="E34" s="1"/>
      <c r="F34" s="1"/>
      <c r="G34" s="1"/>
      <c r="H34" s="1"/>
      <c r="I34" s="1"/>
      <c r="J34" s="1"/>
      <c r="K34" s="1"/>
      <c r="L34" s="1"/>
      <c r="M34" s="1"/>
      <c r="N34" s="1"/>
      <c r="O34" s="1"/>
      <c r="P34" s="1"/>
      <c r="Q34" s="1"/>
      <c r="R34" s="1"/>
      <c r="S34" s="1"/>
      <c r="T34" s="1"/>
      <c r="U34" s="1"/>
      <c r="V34" s="1"/>
      <c r="W34" s="1"/>
      <c r="X34" s="1"/>
      <c r="Y34" s="1"/>
      <c r="Z34" s="1"/>
    </row>
    <row r="35" spans="1:26" ht="38.25" customHeight="1" x14ac:dyDescent="0.15">
      <c r="A35" s="3" t="s">
        <v>177</v>
      </c>
      <c r="B35" s="1"/>
      <c r="C35" s="1"/>
      <c r="D35" s="1"/>
      <c r="E35" s="1"/>
      <c r="F35" s="1"/>
      <c r="G35" s="1"/>
      <c r="H35" s="1"/>
      <c r="I35" s="1"/>
      <c r="J35" s="1"/>
      <c r="K35" s="1"/>
      <c r="L35" s="1"/>
      <c r="M35" s="1"/>
      <c r="N35" s="1"/>
      <c r="O35" s="1"/>
      <c r="P35" s="1"/>
      <c r="Q35" s="1"/>
      <c r="R35" s="1"/>
      <c r="S35" s="1"/>
      <c r="T35" s="1"/>
      <c r="U35" s="1"/>
      <c r="V35" s="1"/>
      <c r="W35" s="1"/>
      <c r="X35" s="1"/>
      <c r="Y35" s="1"/>
      <c r="Z35" s="1"/>
    </row>
    <row r="36" spans="1:26" ht="26.25" customHeight="1" x14ac:dyDescent="0.15">
      <c r="A36" s="3" t="s">
        <v>178</v>
      </c>
      <c r="B36" s="1"/>
      <c r="C36" s="1"/>
      <c r="D36" s="1"/>
      <c r="E36" s="1"/>
      <c r="F36" s="1"/>
      <c r="G36" s="1"/>
      <c r="H36" s="1"/>
      <c r="I36" s="1"/>
      <c r="J36" s="1"/>
      <c r="K36" s="1"/>
      <c r="L36" s="1"/>
      <c r="M36" s="1"/>
      <c r="N36" s="1"/>
      <c r="O36" s="1"/>
      <c r="P36" s="1"/>
      <c r="Q36" s="1"/>
      <c r="R36" s="1"/>
      <c r="S36" s="1"/>
      <c r="T36" s="1"/>
      <c r="U36" s="1"/>
      <c r="V36" s="1"/>
      <c r="W36" s="1"/>
      <c r="X36" s="1"/>
      <c r="Y36" s="1"/>
      <c r="Z36" s="1"/>
    </row>
    <row r="37" spans="1:26" ht="38.25" customHeight="1" x14ac:dyDescent="0.15">
      <c r="A37" s="3" t="s">
        <v>179</v>
      </c>
      <c r="B37" s="1"/>
      <c r="C37" s="1"/>
      <c r="D37" s="1"/>
      <c r="E37" s="1"/>
      <c r="F37" s="1"/>
      <c r="G37" s="1"/>
      <c r="H37" s="1"/>
      <c r="I37" s="1"/>
      <c r="J37" s="1"/>
      <c r="K37" s="1"/>
      <c r="L37" s="1"/>
      <c r="M37" s="1"/>
      <c r="N37" s="1"/>
      <c r="O37" s="1"/>
      <c r="P37" s="1"/>
      <c r="Q37" s="1"/>
      <c r="R37" s="1"/>
      <c r="S37" s="1"/>
      <c r="T37" s="1"/>
      <c r="U37" s="1"/>
      <c r="V37" s="1"/>
      <c r="W37" s="1"/>
      <c r="X37" s="1"/>
      <c r="Y37" s="1"/>
      <c r="Z37" s="1"/>
    </row>
    <row r="38" spans="1:26" ht="38.25" customHeight="1" x14ac:dyDescent="0.15">
      <c r="A38" s="3" t="s">
        <v>180</v>
      </c>
      <c r="B38" s="1"/>
      <c r="C38" s="1"/>
      <c r="D38" s="1"/>
      <c r="E38" s="1"/>
      <c r="F38" s="1"/>
      <c r="G38" s="1"/>
      <c r="H38" s="1"/>
      <c r="I38" s="1"/>
      <c r="J38" s="1"/>
      <c r="K38" s="1"/>
      <c r="L38" s="1"/>
      <c r="M38" s="1"/>
      <c r="N38" s="1"/>
      <c r="O38" s="1"/>
      <c r="P38" s="1"/>
      <c r="Q38" s="1"/>
      <c r="R38" s="1"/>
      <c r="S38" s="1"/>
      <c r="T38" s="1"/>
      <c r="U38" s="1"/>
      <c r="V38" s="1"/>
      <c r="W38" s="1"/>
      <c r="X38" s="1"/>
      <c r="Y38" s="1"/>
      <c r="Z38" s="1"/>
    </row>
    <row r="39" spans="1:26" ht="38.25" customHeight="1" x14ac:dyDescent="0.15">
      <c r="A39" s="3" t="s">
        <v>182</v>
      </c>
      <c r="B39" s="1"/>
      <c r="C39" s="1"/>
      <c r="D39" s="1"/>
      <c r="E39" s="1"/>
      <c r="F39" s="1"/>
      <c r="G39" s="1"/>
      <c r="H39" s="1"/>
      <c r="I39" s="1"/>
      <c r="J39" s="1"/>
      <c r="K39" s="1"/>
      <c r="L39" s="1"/>
      <c r="M39" s="1"/>
      <c r="N39" s="1"/>
      <c r="O39" s="1"/>
      <c r="P39" s="1"/>
      <c r="Q39" s="1"/>
      <c r="R39" s="1"/>
      <c r="S39" s="1"/>
      <c r="T39" s="1"/>
      <c r="U39" s="1"/>
      <c r="V39" s="1"/>
      <c r="W39" s="1"/>
      <c r="X39" s="1"/>
      <c r="Y39" s="1"/>
      <c r="Z39" s="1"/>
    </row>
    <row r="40" spans="1:26" ht="26.25" customHeight="1" x14ac:dyDescent="0.15">
      <c r="A40" s="3" t="s">
        <v>183</v>
      </c>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15">
      <c r="A41" s="3" t="s">
        <v>184</v>
      </c>
      <c r="B41" s="1"/>
      <c r="C41" s="1"/>
      <c r="D41" s="1"/>
      <c r="E41" s="1"/>
      <c r="F41" s="1"/>
      <c r="G41" s="1"/>
      <c r="H41" s="1"/>
      <c r="I41" s="1"/>
      <c r="J41" s="1"/>
      <c r="K41" s="1"/>
      <c r="L41" s="1"/>
      <c r="M41" s="1"/>
      <c r="N41" s="1"/>
      <c r="O41" s="1"/>
      <c r="P41" s="1"/>
      <c r="Q41" s="1"/>
      <c r="R41" s="1"/>
      <c r="S41" s="1"/>
      <c r="T41" s="1"/>
      <c r="U41" s="1"/>
      <c r="V41" s="1"/>
      <c r="W41" s="1"/>
      <c r="X41" s="1"/>
      <c r="Y41" s="1"/>
      <c r="Z41" s="1"/>
    </row>
    <row r="42" spans="1:26" ht="62.25" customHeight="1" x14ac:dyDescent="0.15">
      <c r="A42" s="3" t="s">
        <v>185</v>
      </c>
      <c r="B42" s="1"/>
      <c r="C42" s="1"/>
      <c r="D42" s="1"/>
      <c r="E42" s="1"/>
      <c r="F42" s="1"/>
      <c r="G42" s="1"/>
      <c r="H42" s="1"/>
      <c r="I42" s="1"/>
      <c r="J42" s="1"/>
      <c r="K42" s="1"/>
      <c r="L42" s="1"/>
      <c r="M42" s="1"/>
      <c r="N42" s="1"/>
      <c r="O42" s="1"/>
      <c r="P42" s="1"/>
      <c r="Q42" s="1"/>
      <c r="R42" s="1"/>
      <c r="S42" s="1"/>
      <c r="T42" s="1"/>
      <c r="U42" s="1"/>
      <c r="V42" s="1"/>
      <c r="W42" s="1"/>
      <c r="X42" s="1"/>
      <c r="Y42" s="1"/>
      <c r="Z42" s="1"/>
    </row>
    <row r="43" spans="1:26" ht="26.25" customHeight="1" x14ac:dyDescent="0.15">
      <c r="A43" s="3" t="s">
        <v>186</v>
      </c>
      <c r="B43" s="1"/>
      <c r="C43" s="1"/>
      <c r="D43" s="1"/>
      <c r="E43" s="1"/>
      <c r="F43" s="1"/>
      <c r="G43" s="1"/>
      <c r="H43" s="1"/>
      <c r="I43" s="1"/>
      <c r="J43" s="1"/>
      <c r="K43" s="1"/>
      <c r="L43" s="1"/>
      <c r="M43" s="1"/>
      <c r="N43" s="1"/>
      <c r="O43" s="1"/>
      <c r="P43" s="1"/>
      <c r="Q43" s="1"/>
      <c r="R43" s="1"/>
      <c r="S43" s="1"/>
      <c r="T43" s="1"/>
      <c r="U43" s="1"/>
      <c r="V43" s="1"/>
      <c r="W43" s="1"/>
      <c r="X43" s="1"/>
      <c r="Y43" s="1"/>
      <c r="Z43" s="1"/>
    </row>
    <row r="44" spans="1:26" ht="26.25" customHeight="1" x14ac:dyDescent="0.15">
      <c r="A44" s="3" t="s">
        <v>187</v>
      </c>
      <c r="B44" s="1"/>
      <c r="C44" s="1"/>
      <c r="D44" s="1"/>
      <c r="E44" s="1"/>
      <c r="F44" s="1"/>
      <c r="G44" s="1"/>
      <c r="H44" s="1"/>
      <c r="I44" s="1"/>
      <c r="J44" s="1"/>
      <c r="K44" s="1"/>
      <c r="L44" s="1"/>
      <c r="M44" s="1"/>
      <c r="N44" s="1"/>
      <c r="O44" s="1"/>
      <c r="P44" s="1"/>
      <c r="Q44" s="1"/>
      <c r="R44" s="1"/>
      <c r="S44" s="1"/>
      <c r="T44" s="1"/>
      <c r="U44" s="1"/>
      <c r="V44" s="1"/>
      <c r="W44" s="1"/>
      <c r="X44" s="1"/>
      <c r="Y44" s="1"/>
      <c r="Z44" s="1"/>
    </row>
    <row r="45" spans="1:26" ht="26.25" customHeight="1" x14ac:dyDescent="0.15">
      <c r="A45" s="3" t="s">
        <v>190</v>
      </c>
      <c r="B45" s="1"/>
      <c r="C45" s="1"/>
      <c r="D45" s="1"/>
      <c r="E45" s="1"/>
      <c r="F45" s="1"/>
      <c r="G45" s="1"/>
      <c r="H45" s="1"/>
      <c r="I45" s="1"/>
      <c r="J45" s="1"/>
      <c r="K45" s="1"/>
      <c r="L45" s="1"/>
      <c r="M45" s="1"/>
      <c r="N45" s="1"/>
      <c r="O45" s="1"/>
      <c r="P45" s="1"/>
      <c r="Q45" s="1"/>
      <c r="R45" s="1"/>
      <c r="S45" s="1"/>
      <c r="T45" s="1"/>
      <c r="U45" s="1"/>
      <c r="V45" s="1"/>
      <c r="W45" s="1"/>
      <c r="X45" s="1"/>
      <c r="Y45" s="1"/>
      <c r="Z45" s="1"/>
    </row>
    <row r="46" spans="1:26" ht="50.25" customHeight="1" x14ac:dyDescent="0.15">
      <c r="A46" s="3" t="s">
        <v>192</v>
      </c>
      <c r="B46" s="1"/>
      <c r="C46" s="1"/>
      <c r="D46" s="1"/>
      <c r="E46" s="1"/>
      <c r="F46" s="1"/>
      <c r="G46" s="1"/>
      <c r="H46" s="1"/>
      <c r="I46" s="1"/>
      <c r="J46" s="1"/>
      <c r="K46" s="1"/>
      <c r="L46" s="1"/>
      <c r="M46" s="1"/>
      <c r="N46" s="1"/>
      <c r="O46" s="1"/>
      <c r="P46" s="1"/>
      <c r="Q46" s="1"/>
      <c r="R46" s="1"/>
      <c r="S46" s="1"/>
      <c r="T46" s="1"/>
      <c r="U46" s="1"/>
      <c r="V46" s="1"/>
      <c r="W46" s="1"/>
      <c r="X46" s="1"/>
      <c r="Y46" s="1"/>
      <c r="Z46" s="1"/>
    </row>
    <row r="47" spans="1:26" ht="62.25" customHeight="1" x14ac:dyDescent="0.15">
      <c r="A47" s="3" t="s">
        <v>195</v>
      </c>
      <c r="B47" s="1"/>
      <c r="C47" s="1"/>
      <c r="D47" s="1"/>
      <c r="E47" s="1"/>
      <c r="F47" s="1"/>
      <c r="G47" s="1"/>
      <c r="H47" s="1"/>
      <c r="I47" s="1"/>
      <c r="J47" s="1"/>
      <c r="K47" s="1"/>
      <c r="L47" s="1"/>
      <c r="M47" s="1"/>
      <c r="N47" s="1"/>
      <c r="O47" s="1"/>
      <c r="P47" s="1"/>
      <c r="Q47" s="1"/>
      <c r="R47" s="1"/>
      <c r="S47" s="1"/>
      <c r="T47" s="1"/>
      <c r="U47" s="1"/>
      <c r="V47" s="1"/>
      <c r="W47" s="1"/>
      <c r="X47" s="1"/>
      <c r="Y47" s="1"/>
      <c r="Z47" s="1"/>
    </row>
    <row r="48" spans="1:26" ht="50.25" customHeight="1" x14ac:dyDescent="0.15">
      <c r="A48" s="3" t="s">
        <v>197</v>
      </c>
      <c r="B48" s="1"/>
      <c r="C48" s="1"/>
      <c r="D48" s="1"/>
      <c r="E48" s="1"/>
      <c r="F48" s="1"/>
      <c r="G48" s="1"/>
      <c r="H48" s="1"/>
      <c r="I48" s="1"/>
      <c r="J48" s="1"/>
      <c r="K48" s="1"/>
      <c r="L48" s="1"/>
      <c r="M48" s="1"/>
      <c r="N48" s="1"/>
      <c r="O48" s="1"/>
      <c r="P48" s="1"/>
      <c r="Q48" s="1"/>
      <c r="R48" s="1"/>
      <c r="S48" s="1"/>
      <c r="T48" s="1"/>
      <c r="U48" s="1"/>
      <c r="V48" s="1"/>
      <c r="W48" s="1"/>
      <c r="X48" s="1"/>
      <c r="Y48" s="1"/>
      <c r="Z48" s="1"/>
    </row>
    <row r="49" spans="1:26" ht="62.25" customHeight="1" x14ac:dyDescent="0.15">
      <c r="A49" s="3" t="s">
        <v>199</v>
      </c>
      <c r="B49" s="1"/>
      <c r="C49" s="1"/>
      <c r="D49" s="1"/>
      <c r="E49" s="1"/>
      <c r="F49" s="1"/>
      <c r="G49" s="1"/>
      <c r="H49" s="1"/>
      <c r="I49" s="1"/>
      <c r="J49" s="1"/>
      <c r="K49" s="1"/>
      <c r="L49" s="1"/>
      <c r="M49" s="1"/>
      <c r="N49" s="1"/>
      <c r="O49" s="1"/>
      <c r="P49" s="1"/>
      <c r="Q49" s="1"/>
      <c r="R49" s="1"/>
      <c r="S49" s="1"/>
      <c r="T49" s="1"/>
      <c r="U49" s="1"/>
      <c r="V49" s="1"/>
      <c r="W49" s="1"/>
      <c r="X49" s="1"/>
      <c r="Y49" s="1"/>
      <c r="Z49" s="1"/>
    </row>
    <row r="50" spans="1:26" ht="62.25" customHeight="1" x14ac:dyDescent="0.15">
      <c r="A50" s="3" t="s">
        <v>200</v>
      </c>
      <c r="B50" s="1"/>
      <c r="C50" s="1"/>
      <c r="D50" s="1"/>
      <c r="E50" s="1"/>
      <c r="F50" s="1"/>
      <c r="G50" s="1"/>
      <c r="H50" s="1"/>
      <c r="I50" s="1"/>
      <c r="J50" s="1"/>
      <c r="K50" s="1"/>
      <c r="L50" s="1"/>
      <c r="M50" s="1"/>
      <c r="N50" s="1"/>
      <c r="O50" s="1"/>
      <c r="P50" s="1"/>
      <c r="Q50" s="1"/>
      <c r="R50" s="1"/>
      <c r="S50" s="1"/>
      <c r="T50" s="1"/>
      <c r="U50" s="1"/>
      <c r="V50" s="1"/>
      <c r="W50" s="1"/>
      <c r="X50" s="1"/>
      <c r="Y50" s="1"/>
      <c r="Z50" s="1"/>
    </row>
    <row r="51" spans="1:26" ht="50.25" customHeight="1" x14ac:dyDescent="0.15">
      <c r="A51" s="3" t="s">
        <v>202</v>
      </c>
      <c r="B51" s="1"/>
      <c r="C51" s="1"/>
      <c r="D51" s="1"/>
      <c r="E51" s="1"/>
      <c r="F51" s="1"/>
      <c r="G51" s="1"/>
      <c r="H51" s="1"/>
      <c r="I51" s="1"/>
      <c r="J51" s="1"/>
      <c r="K51" s="1"/>
      <c r="L51" s="1"/>
      <c r="M51" s="1"/>
      <c r="N51" s="1"/>
      <c r="O51" s="1"/>
      <c r="P51" s="1"/>
      <c r="Q51" s="1"/>
      <c r="R51" s="1"/>
      <c r="S51" s="1"/>
      <c r="T51" s="1"/>
      <c r="U51" s="1"/>
      <c r="V51" s="1"/>
      <c r="W51" s="1"/>
      <c r="X51" s="1"/>
      <c r="Y51" s="1"/>
      <c r="Z51" s="1"/>
    </row>
    <row r="52" spans="1:26" ht="277.5" customHeight="1" x14ac:dyDescent="0.15">
      <c r="A52" s="3" t="s">
        <v>205</v>
      </c>
      <c r="B52" s="1"/>
      <c r="C52" s="1"/>
      <c r="D52" s="1"/>
      <c r="E52" s="1"/>
      <c r="F52" s="1"/>
      <c r="G52" s="1"/>
      <c r="H52" s="1"/>
      <c r="I52" s="1"/>
      <c r="J52" s="1"/>
      <c r="K52" s="1"/>
      <c r="L52" s="1"/>
      <c r="M52" s="1"/>
      <c r="N52" s="1"/>
      <c r="O52" s="1"/>
      <c r="P52" s="1"/>
      <c r="Q52" s="1"/>
      <c r="R52" s="1"/>
      <c r="S52" s="1"/>
      <c r="T52" s="1"/>
      <c r="U52" s="1"/>
      <c r="V52" s="1"/>
      <c r="W52" s="1"/>
      <c r="X52" s="1"/>
      <c r="Y52" s="1"/>
      <c r="Z52" s="1"/>
    </row>
    <row r="53" spans="1:26" ht="62.25" customHeight="1" x14ac:dyDescent="0.15">
      <c r="A53" s="3" t="s">
        <v>206</v>
      </c>
      <c r="B53" s="1"/>
      <c r="C53" s="1"/>
      <c r="D53" s="1"/>
      <c r="E53" s="1"/>
      <c r="F53" s="1"/>
      <c r="G53" s="1"/>
      <c r="H53" s="1"/>
      <c r="I53" s="1"/>
      <c r="J53" s="1"/>
      <c r="K53" s="1"/>
      <c r="L53" s="1"/>
      <c r="M53" s="1"/>
      <c r="N53" s="1"/>
      <c r="O53" s="1"/>
      <c r="P53" s="1"/>
      <c r="Q53" s="1"/>
      <c r="R53" s="1"/>
      <c r="S53" s="1"/>
      <c r="T53" s="1"/>
      <c r="U53" s="1"/>
      <c r="V53" s="1"/>
      <c r="W53" s="1"/>
      <c r="X53" s="1"/>
      <c r="Y53" s="1"/>
      <c r="Z53" s="1"/>
    </row>
    <row r="54" spans="1:26" ht="122.25" customHeight="1" x14ac:dyDescent="0.15">
      <c r="A54" s="3" t="s">
        <v>207</v>
      </c>
      <c r="B54" s="1"/>
      <c r="C54" s="1"/>
      <c r="D54" s="1"/>
      <c r="E54" s="1"/>
      <c r="F54" s="1"/>
      <c r="G54" s="1"/>
      <c r="H54" s="1"/>
      <c r="I54" s="1"/>
      <c r="J54" s="1"/>
      <c r="K54" s="1"/>
      <c r="L54" s="1"/>
      <c r="M54" s="1"/>
      <c r="N54" s="1"/>
      <c r="O54" s="1"/>
      <c r="P54" s="1"/>
      <c r="Q54" s="1"/>
      <c r="R54" s="1"/>
      <c r="S54" s="1"/>
      <c r="T54" s="1"/>
      <c r="U54" s="1"/>
      <c r="V54" s="1"/>
      <c r="W54" s="1"/>
      <c r="X54" s="1"/>
      <c r="Y54" s="1"/>
      <c r="Z54" s="1"/>
    </row>
    <row r="55" spans="1:26" ht="26.25" customHeight="1" x14ac:dyDescent="0.15">
      <c r="A55" s="3" t="s">
        <v>208</v>
      </c>
      <c r="B55" s="1"/>
      <c r="C55" s="1"/>
      <c r="D55" s="1"/>
      <c r="E55" s="1"/>
      <c r="F55" s="1"/>
      <c r="G55" s="1"/>
      <c r="H55" s="1"/>
      <c r="I55" s="1"/>
      <c r="J55" s="1"/>
      <c r="K55" s="1"/>
      <c r="L55" s="1"/>
      <c r="M55" s="1"/>
      <c r="N55" s="1"/>
      <c r="O55" s="1"/>
      <c r="P55" s="1"/>
      <c r="Q55" s="1"/>
      <c r="R55" s="1"/>
      <c r="S55" s="1"/>
      <c r="T55" s="1"/>
      <c r="U55" s="1"/>
      <c r="V55" s="1"/>
      <c r="W55" s="1"/>
      <c r="X55" s="1"/>
      <c r="Y55" s="1"/>
      <c r="Z55" s="1"/>
    </row>
    <row r="56" spans="1:26" ht="26.25" customHeight="1" x14ac:dyDescent="0.15">
      <c r="A56" s="3" t="s">
        <v>209</v>
      </c>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15">
      <c r="A57" s="3" t="s">
        <v>212</v>
      </c>
      <c r="B57" s="1"/>
      <c r="C57" s="1"/>
      <c r="D57" s="1"/>
      <c r="E57" s="1"/>
      <c r="F57" s="1"/>
      <c r="G57" s="1"/>
      <c r="H57" s="1"/>
      <c r="I57" s="1"/>
      <c r="J57" s="1"/>
      <c r="K57" s="1"/>
      <c r="L57" s="1"/>
      <c r="M57" s="1"/>
      <c r="N57" s="1"/>
      <c r="O57" s="1"/>
      <c r="P57" s="1"/>
      <c r="Q57" s="1"/>
      <c r="R57" s="1"/>
      <c r="S57" s="1"/>
      <c r="T57" s="1"/>
      <c r="U57" s="1"/>
      <c r="V57" s="1"/>
      <c r="W57" s="1"/>
      <c r="X57" s="1"/>
      <c r="Y57" s="1"/>
      <c r="Z57" s="1"/>
    </row>
    <row r="58" spans="1:26" ht="38.25" customHeight="1" x14ac:dyDescent="0.15">
      <c r="A58" s="3" t="s">
        <v>217</v>
      </c>
      <c r="B58" s="1"/>
      <c r="C58" s="1"/>
      <c r="D58" s="1"/>
      <c r="E58" s="1"/>
      <c r="F58" s="1"/>
      <c r="G58" s="1"/>
      <c r="H58" s="1"/>
      <c r="I58" s="1"/>
      <c r="J58" s="1"/>
      <c r="K58" s="1"/>
      <c r="L58" s="1"/>
      <c r="M58" s="1"/>
      <c r="N58" s="1"/>
      <c r="O58" s="1"/>
      <c r="P58" s="1"/>
      <c r="Q58" s="1"/>
      <c r="R58" s="1"/>
      <c r="S58" s="1"/>
      <c r="T58" s="1"/>
      <c r="U58" s="1"/>
      <c r="V58" s="1"/>
      <c r="W58" s="1"/>
      <c r="X58" s="1"/>
      <c r="Y58" s="1"/>
      <c r="Z58" s="1"/>
    </row>
    <row r="59" spans="1:26" ht="26.25" customHeight="1" x14ac:dyDescent="0.15">
      <c r="A59" s="3" t="s">
        <v>220</v>
      </c>
      <c r="B59" s="1"/>
      <c r="C59" s="1"/>
      <c r="D59" s="1"/>
      <c r="E59" s="1"/>
      <c r="F59" s="1"/>
      <c r="G59" s="1"/>
      <c r="H59" s="1"/>
      <c r="I59" s="1"/>
      <c r="J59" s="1"/>
      <c r="K59" s="1"/>
      <c r="L59" s="1"/>
      <c r="M59" s="1"/>
      <c r="N59" s="1"/>
      <c r="O59" s="1"/>
      <c r="P59" s="1"/>
      <c r="Q59" s="1"/>
      <c r="R59" s="1"/>
      <c r="S59" s="1"/>
      <c r="T59" s="1"/>
      <c r="U59" s="1"/>
      <c r="V59" s="1"/>
      <c r="W59" s="1"/>
      <c r="X59" s="1"/>
      <c r="Y59" s="1"/>
      <c r="Z59" s="1"/>
    </row>
    <row r="60" spans="1:26" ht="86.25" customHeight="1" x14ac:dyDescent="0.15">
      <c r="A60" s="3" t="s">
        <v>222</v>
      </c>
      <c r="B60" s="1"/>
      <c r="C60" s="1"/>
      <c r="D60" s="1"/>
      <c r="E60" s="1"/>
      <c r="F60" s="1"/>
      <c r="G60" s="1"/>
      <c r="H60" s="1"/>
      <c r="I60" s="1"/>
      <c r="J60" s="1"/>
      <c r="K60" s="1"/>
      <c r="L60" s="1"/>
      <c r="M60" s="1"/>
      <c r="N60" s="1"/>
      <c r="O60" s="1"/>
      <c r="P60" s="1"/>
      <c r="Q60" s="1"/>
      <c r="R60" s="1"/>
      <c r="S60" s="1"/>
      <c r="T60" s="1"/>
      <c r="U60" s="1"/>
      <c r="V60" s="1"/>
      <c r="W60" s="1"/>
      <c r="X60" s="1"/>
      <c r="Y60" s="1"/>
      <c r="Z60" s="1"/>
    </row>
    <row r="61" spans="1:26" ht="38.25" customHeight="1" x14ac:dyDescent="0.15">
      <c r="A61" s="3" t="s">
        <v>223</v>
      </c>
      <c r="B61" s="1"/>
      <c r="C61" s="1"/>
      <c r="D61" s="1"/>
      <c r="E61" s="1"/>
      <c r="F61" s="1"/>
      <c r="G61" s="1"/>
      <c r="H61" s="1"/>
      <c r="I61" s="1"/>
      <c r="J61" s="1"/>
      <c r="K61" s="1"/>
      <c r="L61" s="1"/>
      <c r="M61" s="1"/>
      <c r="N61" s="1"/>
      <c r="O61" s="1"/>
      <c r="P61" s="1"/>
      <c r="Q61" s="1"/>
      <c r="R61" s="1"/>
      <c r="S61" s="1"/>
      <c r="T61" s="1"/>
      <c r="U61" s="1"/>
      <c r="V61" s="1"/>
      <c r="W61" s="1"/>
      <c r="X61" s="1"/>
      <c r="Y61" s="1"/>
      <c r="Z61" s="1"/>
    </row>
    <row r="62" spans="1:26" ht="26.25" customHeight="1" x14ac:dyDescent="0.15">
      <c r="A62" s="3" t="s">
        <v>226</v>
      </c>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15">
      <c r="A63" s="3" t="s">
        <v>227</v>
      </c>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15">
      <c r="A64" s="3" t="s">
        <v>228</v>
      </c>
      <c r="B64" s="1"/>
      <c r="C64" s="1"/>
      <c r="D64" s="1"/>
      <c r="E64" s="1"/>
      <c r="F64" s="1"/>
      <c r="G64" s="1"/>
      <c r="H64" s="1"/>
      <c r="I64" s="1"/>
      <c r="J64" s="1"/>
      <c r="K64" s="1"/>
      <c r="L64" s="1"/>
      <c r="M64" s="1"/>
      <c r="N64" s="1"/>
      <c r="O64" s="1"/>
      <c r="P64" s="1"/>
      <c r="Q64" s="1"/>
      <c r="R64" s="1"/>
      <c r="S64" s="1"/>
      <c r="T64" s="1"/>
      <c r="U64" s="1"/>
      <c r="V64" s="1"/>
      <c r="W64" s="1"/>
      <c r="X64" s="1"/>
      <c r="Y64" s="1"/>
      <c r="Z64" s="1"/>
    </row>
    <row r="65" spans="1:26" ht="26.25" customHeight="1" x14ac:dyDescent="0.15">
      <c r="A65" s="6" t="s">
        <v>229</v>
      </c>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15">
      <c r="A66" s="7" t="s">
        <v>233</v>
      </c>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Updated 01Jul2017</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2017-11-22T23:44:05Z</dcterms:created>
  <dcterms:modified xsi:type="dcterms:W3CDTF">2017-12-02T02:00:44Z</dcterms:modified>
</cp:coreProperties>
</file>